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2024정산" sheetId="1" r:id="rId5"/>
    <sheet state="visible" name="입주자" sheetId="2" r:id="rId6"/>
    <sheet state="visible" name="2026정산" sheetId="3" r:id="rId7"/>
    <sheet state="visible" name="아띠 공과금" sheetId="4" r:id="rId8"/>
    <sheet state="visible" name="지출" sheetId="5" r:id="rId9"/>
    <sheet state="visible" name="계약서" sheetId="6" r:id="rId10"/>
    <sheet state="visible" name="계약서의 사본" sheetId="7" r:id="rId11"/>
    <sheet state="visible" name="단기계" sheetId="8" r:id="rId12"/>
    <sheet state="visible" name="청구" sheetId="9" r:id="rId13"/>
    <sheet state="visible" name="공실정보" sheetId="10" r:id="rId14"/>
    <sheet state="visible" name="우주외플랫폼" sheetId="11" r:id="rId15"/>
    <sheet state="visible" name="플랫폼등록" sheetId="12" r:id="rId16"/>
    <sheet state="hidden" name="우주(예전자료)" sheetId="13" r:id="rId17"/>
    <sheet state="hidden" name="2023결산" sheetId="14" r:id="rId18"/>
    <sheet state="hidden" name="N)공과금" sheetId="15" r:id="rId19"/>
    <sheet state="hidden" name="공-아띠의 사본" sheetId="16" r:id="rId20"/>
    <sheet state="hidden" name="데이터" sheetId="17" r:id="rId21"/>
    <sheet state="visible" name="하우스정보" sheetId="18" r:id="rId22"/>
    <sheet state="hidden" name="공과금23" sheetId="19" r:id="rId23"/>
    <sheet state="visible" name="엔코정산" sheetId="20" r:id="rId24"/>
    <sheet state="visible" name="2026결산" sheetId="21" r:id="rId25"/>
    <sheet state="hidden" name="26매출" sheetId="22" r:id="rId26"/>
    <sheet state="hidden" name="임대차정보" sheetId="23" r:id="rId27"/>
  </sheets>
  <definedNames>
    <definedName hidden="1" localSheetId="0" name="_xlnm._FilterDatabase">'2024정산'!$A$1:$BU$811</definedName>
    <definedName hidden="1" localSheetId="1" name="_xlnm._FilterDatabase">'입주자'!$A$4:$Z$230</definedName>
    <definedName hidden="1" localSheetId="2" name="_xlnm._FilterDatabase">'2026정산'!$A$1:$AN$779</definedName>
    <definedName hidden="1" localSheetId="4" name="_xlnm._FilterDatabase">'지출'!$B$2:$K$2418</definedName>
    <definedName hidden="1" localSheetId="8" name="_xlnm._FilterDatabase">'청구'!$O$22:$O$26</definedName>
    <definedName hidden="1" localSheetId="12" name="_xlnm._FilterDatabase">'우주(예전자료)'!$A$1:$AI$32</definedName>
    <definedName hidden="1" localSheetId="1" name="Z_271B9689_9ED1_4E23_B189_74F03AADFFA0_.wvu.FilterData">'입주자'!$A$4:$X$209</definedName>
    <definedName hidden="1" localSheetId="18" name="Z_271B9689_9ED1_4E23_B189_74F03AADFFA0_.wvu.FilterData">'공과금23'!$B$1:$AB$274</definedName>
  </definedNames>
  <calcPr/>
  <customWorkbookViews>
    <customWorkbookView activeSheetId="0" maximized="1" windowHeight="0" windowWidth="0" guid="{271B9689-9ED1-4E23-B189-74F03AADFFA0}" name="필터 1"/>
  </customWorkbookViews>
  <pivotCaches>
    <pivotCache cacheId="0" r:id="rId2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월세 케이뱅크 61, 
관리 강연수 카카오 8만</t>
      </text>
    </comment>
    <comment authorId="0" ref="N2">
      <text>
        <t xml:space="preserve">Maurain Sarah 3/1
퇴실 월세  	19,677  
퇴실 관리비 	2,581
&gt; 보증금에서 차감</t>
      </text>
    </comment>
    <comment authorId="0" ref="AM2">
      <text>
        <t xml:space="preserve">Giorgia Picchini 8/31 
첫달 월세	20,645
첫달 관리비	2,581</t>
      </text>
    </comment>
    <comment authorId="0" ref="AR2">
      <text>
        <t xml:space="preserve">잔금 함께 입금</t>
      </text>
    </comment>
    <comment authorId="0" ref="D3">
      <text>
        <t xml:space="preserve">11/26 C-1 입주
1/1 B 이동
12/31 500,000+25,807(12월추가) 
1/1 100,000 </t>
      </text>
    </comment>
    <comment authorId="0" ref="N3">
      <text>
        <t xml:space="preserve">관리 : 쓰레기봉투 9천원 차감 입금</t>
      </text>
    </comment>
    <comment authorId="0" ref="D4">
      <text>
        <t xml:space="preserve">첫달 월세	275,806
첫달 관리비	49,032 &gt; 8만 입금</t>
      </text>
    </comment>
    <comment authorId="0" ref="I4">
      <text>
        <t xml:space="preserve">관리비 : 유재훈 카카오 입금</t>
      </text>
    </comment>
    <comment authorId="0" ref="X4">
      <text>
        <t xml:space="preserve">5월 연장</t>
      </text>
    </comment>
    <comment authorId="0" ref="AM4">
      <text>
        <t xml:space="preserve">연장, 인상없음</t>
      </text>
    </comment>
    <comment authorId="0" ref="AR4">
      <text>
        <t xml:space="preserve">입금자 박은영(한빛메디칼)
</t>
      </text>
    </comment>
    <comment authorId="0" ref="BB4">
      <text>
        <t xml:space="preserve">연장,인상x</t>
      </text>
    </comment>
    <comment authorId="0" ref="D5">
      <text>
        <t xml:space="preserve">설네 &gt; 워너비 이동
1/3 보증금 100만 강연수 입금</t>
      </text>
    </comment>
    <comment authorId="0" ref="X5">
      <text>
        <t xml:space="preserve">입금자 LIU QIA</t>
      </text>
    </comment>
    <comment authorId="0" ref="AH5">
      <text>
        <t xml:space="preserve">1년 연장, 2만원 인상</t>
      </text>
    </comment>
    <comment authorId="0" ref="V11">
      <text>
        <t xml:space="preserve">4.15 강연수 카뱅</t>
      </text>
    </comment>
    <comment authorId="0" ref="AA11">
      <text>
        <t xml:space="preserve">5/30 카뱅</t>
      </text>
    </comment>
    <comment authorId="0" ref="AP11">
      <text>
        <t xml:space="preserve">8/9 이체</t>
      </text>
    </comment>
    <comment authorId="0" ref="BJ11">
      <text>
        <t xml:space="preserve">12/2</t>
      </text>
    </comment>
    <comment authorId="0" ref="AC18">
      <text>
        <t xml:space="preserve">Laura 6.12  &gt; ok
퇴실 월세  	248,000
퇴실 관리비 	32,000
강다연(우주) 6.20 
월세	235,000
수수료 10%	23,500
월세정산	211,500
관리비	29,000
정산합계	240,500</t>
      </text>
    </comment>
    <comment authorId="0" ref="AH18">
      <text>
        <t xml:space="preserve">월세	640,000
수수료 10%	64,000
부가세	6,400
월세정산	569,600
관리비	80,000
정산합계	649,600</t>
      </text>
    </comment>
    <comment authorId="0" ref="AM18">
      <text>
        <t xml:space="preserve">월세	640,000
수수료 10%	64,000
부가세	6,400
월세정산	569,600
관리비	80,000
정산합계	649,600</t>
      </text>
    </comment>
    <comment authorId="0" ref="AR18">
      <text>
        <t xml:space="preserve">월세	640,000
수수료 10%	64,000
부가세	6,400
월세정산	569,600
관리비	80,000
정산합계	649,600</t>
      </text>
    </comment>
    <comment authorId="0" ref="AW18">
      <text>
        <t xml:space="preserve">월세	640,000
수수료 10%	64,000
부가세	6,400
월세정산	569,600
관리비	80,000
정산합계	649,600</t>
      </text>
    </comment>
    <comment authorId="0" ref="BB18">
      <text>
        <t xml:space="preserve">월세	640,000
수수료 10%	64,000
부가세	6,400
월세정산	569,600
관리비	80,000
정산합계	649,600</t>
      </text>
    </comment>
    <comment authorId="0" ref="BG18">
      <text>
        <t xml:space="preserve">월세	640,000
수수료 10%	64,000
부가세	6,400
월세정산	569,600
관리비	80,000
정산합계	649,600</t>
      </text>
    </comment>
    <comment authorId="0" ref="BL18">
      <text>
        <t xml:space="preserve">월세	640,000
수수료 10%	64,000
부가세	6,400
월세정산	569,600
관리비	80,000
정산합계	649,600</t>
      </text>
    </comment>
    <comment authorId="0" ref="I19">
      <text>
        <t xml:space="preserve">Floralie Roux Cecile jac 2/25
퇴실 월세  	560,345
퇴실 관리비 	68,966 &gt; ok
Irene Barbieri 2/26 
첫달 월세	89,655
첫달 관리비	11,034</t>
      </text>
    </comment>
    <comment authorId="0" ref="X19">
      <text>
        <t xml:space="preserve">Irene Barbieri 5/24 
월세 503,226
관리 61,935</t>
      </text>
    </comment>
    <comment authorId="0" ref="AC19">
      <text>
        <t xml:space="preserve">첫달 월세	40,000
첫달 관리비	5,333</t>
      </text>
    </comment>
    <comment authorId="0" ref="AM19">
      <text>
        <t xml:space="preserve">박하나 8/3 실제 퇴실 
8월분 월세+관리비 보증금차감 </t>
      </text>
    </comment>
    <comment authorId="0" ref="BG19">
      <text>
        <t xml:space="preserve">실제퇴실 12/17
관리비 : 75000 + 5000 샤워기헤드
동지 &gt; 영동 8/31  이동
12/1~12/31 1달 구두 연장, 계약수정없이
</t>
      </text>
    </comment>
    <comment authorId="0" ref="BL19">
      <text>
        <t xml:space="preserve">헤바Heba(우주) 1/18
월세	298,000
수수료 10%	29,800
부가세	2,980
월세정산	265,220
관리비	36,100
정산합계	301,320</t>
      </text>
    </comment>
    <comment authorId="0" ref="X20">
      <text>
        <t xml:space="preserve">Agathe Brillaud 5/31
첫달 월세	18,387
첫달 관리비	2,581 + 8만 (6월)</t>
      </text>
    </comment>
    <comment authorId="0" ref="AC20">
      <text>
        <t xml:space="preserve">관리비	5월  2,581 + 6월 8만</t>
      </text>
    </comment>
    <comment authorId="0" ref="AH20">
      <text>
        <t xml:space="preserve">관리비 : 70,200 
쓰레기봉투 9800 차감 입금</t>
      </text>
    </comment>
    <comment authorId="0" ref="AR20">
      <text>
        <t xml:space="preserve">연장, 인상X</t>
      </text>
    </comment>
    <comment authorId="0" ref="BB20">
      <text>
        <t xml:space="preserve">Agathe Brillaud 11/30 &gt; 실제퇴실 11/20 &gt; ok
GUILLOTON Salomé 11/30 
첫달 월세	19,000 &gt; ok
첫달 관리비	2,667 &gt; ok</t>
      </text>
    </comment>
    <comment authorId="0" ref="D21">
      <text>
        <t xml:space="preserve">이지윤(우주) 1/5  
우주에서 월세 받아서 5일치 제외 환급함
271 (신사)  F1  12/1 ~ 12/31 
269 (영동)  D    1/1 ~6/30 
1/5 퇴실처리 , 월세는 우주에서 반환
&gt; 위약금 1달 594,000+8만 2월 반영
월세	96,000
수수료 10%	9,600
월세정산	86,400
관리비	13,000 OK
정산합계	99,400
김태이(우주) 1/6
월세	498,000
수수료 10%	49,800
월세정산	448,200
관리비	67,000  OK
정산합계	515,200
</t>
      </text>
    </comment>
    <comment authorId="0" ref="I21">
      <text>
        <t xml:space="preserve">이지윤(우주) 위약금
김태이(우주)
월세	594,000
수수료 10%	59,400
월세정산	534,600
관리비	80,000
정산합계	614,600</t>
      </text>
    </comment>
    <comment authorId="0" ref="N21">
      <text>
        <t xml:space="preserve">월세	594,000
수수료 10%	59,400
월세정산	534,600
관리비	80,000
정산합계	614,600</t>
      </text>
    </comment>
    <comment authorId="0" ref="S21">
      <text>
        <t xml:space="preserve">월세	594,000
수수료 10%	59,400
월세정산	534,600
관리비	80,000
정산합계	614,600</t>
      </text>
    </comment>
    <comment authorId="0" ref="X21">
      <text>
        <t xml:space="preserve">월세	594,000
수수료 10%	59,400
월세정산	534,600
관리비	80,000
정산합계	614,600</t>
      </text>
    </comment>
    <comment authorId="0" ref="AC21">
      <text>
        <t xml:space="preserve">월세	594,000
수수료 10%	59,400
월세정산	534,600
관리비	80,000
정산합계	614,600</t>
      </text>
    </comment>
    <comment authorId="0" ref="AH21">
      <text>
        <t xml:space="preserve">김태이 7/5 &gt; 실제 퇴실 6/29
월세	96,000
수수료 10%	9,600
부가세	960
월세정산	85,440
관리비	12,900
정산합계	98,340
정다혜 7/6
월세	498,000
수수료 10%	49,800
부가세	4,980
월세정산	443,220
관리비	67,100
정산합계	510,320</t>
      </text>
    </comment>
    <comment authorId="0" ref="AM21">
      <text>
        <t xml:space="preserve">월세	594,000
수수료 10%	59,400
부가세	5,940
월세정산	528,660
관리비	80,000
정산합계	608,660</t>
      </text>
    </comment>
    <comment authorId="0" ref="AR21">
      <text>
        <t xml:space="preserve">월세	594,000
수수료 10%	59,400
부가세	5,940
월세정산	528,660
관리비	80,000
정산합계	608,660</t>
      </text>
    </comment>
    <comment authorId="0" ref="AW21">
      <text>
        <t xml:space="preserve">월세	594,000
수수료 10%	59,400
부가세	5,940
월세정산	528,660
관리비	80,000
정산합계	608,660</t>
      </text>
    </comment>
    <comment authorId="0" ref="BB21">
      <text>
        <t xml:space="preserve">월세	594,000
수수료 10%	59,400
부가세	5,940
월세정산	528,660
관리비	80,000
정산합계	608,660</t>
      </text>
    </comment>
    <comment authorId="0" ref="BG21">
      <text>
        <t xml:space="preserve">월세	594,000
수수료 10%	59,400
부가세	5,940
월세정산	528,660
관리비	80,000
정산합계	608,660</t>
      </text>
    </comment>
    <comment authorId="0" ref="BL21">
      <text>
        <t xml:space="preserve">월세	594,000
수수료 10%	59,400
부가세	5,940
월세정산	528,660
관리비	80,000
정산합계	608,660</t>
      </text>
    </comment>
    <comment authorId="0" ref="N22">
      <text>
        <t xml:space="preserve">월세	528,000
수수료 10%	52,800
월세정산	475,200
관리비	80,000
정산합계	555,200</t>
      </text>
    </comment>
    <comment authorId="0" ref="S22">
      <text>
        <t xml:space="preserve">월세	528,000
수수료 10%	52,800
월세정산	475,200
관리비	80,000
정산합계	555,200</t>
      </text>
    </comment>
    <comment authorId="0" ref="X22">
      <text>
        <t xml:space="preserve">월세	528,000
수수료 10%	52,800
월세정산	475,200
관리비	80,000
정산합계	555,200</t>
      </text>
    </comment>
    <comment authorId="0" ref="AC22">
      <text>
        <t xml:space="preserve">월세	528,000
수수료 10%	52,800
월세정산	475,200
관리비	80,000
정산합계	555,200</t>
      </text>
    </comment>
    <comment authorId="0" ref="AH22">
      <text>
        <t xml:space="preserve">월세	528,000
수수료 10%	52,800
부가세	5,280
월세정산	469,920
관리비	80,000
정산합계	549,920</t>
      </text>
    </comment>
    <comment authorId="0" ref="AM22">
      <text>
        <t xml:space="preserve">월세	528,000
수수료 10%	52,800
부가세	5,280
월세정산	469,920
관리비	80,000
정산합계	549,920</t>
      </text>
    </comment>
    <comment authorId="0" ref="AR22">
      <text>
        <t xml:space="preserve">월세	528,000
수수료 10%	52,800
부가세	5,280
월세정산	469,920
관리비	80,000
정산합계	549,920</t>
      </text>
    </comment>
    <comment authorId="0" ref="AR23">
      <text>
        <t xml:space="preserve">연장, 인상X</t>
      </text>
    </comment>
    <comment authorId="0" ref="BB23">
      <text>
        <t xml:space="preserve">6일 입금예정</t>
      </text>
    </comment>
    <comment authorId="0" ref="N36">
      <text>
        <t xml:space="preserve">유진 3/1 C &gt; A 이동
3월 추가공과금 70,000
</t>
      </text>
    </comment>
    <comment authorId="0" ref="AR36">
      <text>
        <t xml:space="preserve">연장, 인상X</t>
      </text>
    </comment>
    <comment authorId="0" ref="N37">
      <text>
        <t xml:space="preserve">월세는 최예진
관리비는 구나경
3월 추가공과금 79,891
</t>
      </text>
    </comment>
    <comment authorId="0" ref="I38">
      <text>
        <t xml:space="preserve">유진 3/1 C &gt; A 이동 &gt; ok
Florance Herren 2/29 
첫달 월세	20,690
첫달 관리비	2,759
</t>
      </text>
    </comment>
    <comment authorId="0" ref="N38">
      <text>
        <t xml:space="preserve">3월 추가공과금 70,000</t>
      </text>
    </comment>
    <comment authorId="0" ref="AM38">
      <text>
        <t xml:space="preserve">Florance Herren 8/19
퇴실 월세  	367,742
퇴실 관리비 	49,032
박하나 계약취소 위약금
50만원 (보증금에서 차감)
황다원 8/25
첫달 월세	110,323+18387
첫달 관리비	15,484+2581
1일분 18387+2581=20968 &gt; 월세계좌
(계약일 26일 &gt; 입주 25일) </t>
      </text>
    </comment>
    <comment authorId="0" ref="AW38">
      <text>
        <t xml:space="preserve">케이뱅크로 월+관 함께 입금</t>
      </text>
    </comment>
    <comment authorId="0" ref="BG38">
      <text>
        <t xml:space="preserve">연장, 인상X</t>
      </text>
    </comment>
    <comment authorId="0" ref="I39">
      <text>
        <t xml:space="preserve">퇴실 월세  	383,793 &gt; 케이뱅크 
퇴실 관리비 	57,931</t>
      </text>
    </comment>
    <comment authorId="0" ref="N39">
      <text>
        <t xml:space="preserve">첫달 월세	263,226
첫달 관리비	43,871
3월 추가공과금 70,000</t>
      </text>
    </comment>
    <comment authorId="0" ref="S39">
      <text>
        <t xml:space="preserve">Amina 4/29  중도 퇴실  
위약금 48 + 8 2달 
5월 &gt; 입금함, 6월  &gt; 보증금 차감</t>
      </text>
    </comment>
    <comment authorId="0" ref="AH39">
      <text>
        <t xml:space="preserve">7/24  
50입금 ( 보증금 30 +월세 20 )
20 +8 입금 
</t>
      </text>
    </comment>
    <comment authorId="0" ref="AR39">
      <text>
        <t xml:space="preserve">첫달 월세	256,000
첫달 관리비	42,667 
11/7 현금수령  
balance 756,000 &gt;  계좌로 재입금
11월 480,000 + 80,000
Total : 1,310,000  
123만 &gt; 이승민 계좌 (노현수)
8만 &gt; 케이뱅크(노현수) </t>
      </text>
    </comment>
    <comment authorId="0" ref="AW39">
      <text>
        <t xml:space="preserve">10/22 월세 48+8  현금수령
&gt; 이승민 이체 완료
수수료 1000 제외입금</t>
      </text>
    </comment>
    <comment authorId="0" ref="BB39">
      <text>
        <t xml:space="preserve">11/7 현금수령  
balance 756,000 
11월 480,000 + 80,000
Total : 1,310,000  
123만 &gt; 이승민 계좌 (노현수)
8만 &gt; 케이뱅크(노현수)</t>
      </text>
    </comment>
    <comment authorId="0" ref="BG39">
      <text>
        <t xml:space="preserve">중도퇴실 12/17
현금수령  48+8=56
12/15 1차 
 월세 + 관리비 = 543.000
12/18 2차 17,000  
543000 +17000 = 56
위약금 48+1.4 
위약금 1월 입력
보증금 50만원에서 위약금 정산</t>
      </text>
    </comment>
    <comment authorId="0" ref="I40">
      <text>
        <t xml:space="preserve">퇴실 월세 413,793
퇴실 관리비 66,207</t>
      </text>
    </comment>
    <comment authorId="0" ref="N40">
      <text>
        <t xml:space="preserve">첫달 월세	263,226
첫달 관리비	43,871
3월 추가공과금 70,000</t>
      </text>
    </comment>
    <comment authorId="0" ref="AM40">
      <text>
        <t xml:space="preserve">김난영 8/1~19  &gt; ok
7/24  
50입금 ( 보증금 30 +월세 20 )
30+8 &gt; 관리비 월세계좌 입금
Jessica 8/19 &gt; OK
첫달 월세	201,290
첫달 관리비	33,548
Jessica As</t>
      </text>
    </comment>
    <comment authorId="0" ref="BG40">
      <text>
        <t xml:space="preserve">중도퇴실 12/17
위약금 48+8 * 2 = 112 
보증금 100 + 12 부족금 (월세계좌 입금) 
12월 월세 48+ 12 = 60 입금 
위약금 1월, 2월 입력</t>
      </text>
    </comment>
    <comment authorId="0" ref="N41">
      <text>
        <t xml:space="preserve">실제입주 3/6 
입금자 : 신수용 / 타니구치 카렌
3월 추가공과금 79,891
</t>
      </text>
    </comment>
    <comment authorId="0" ref="AM41">
      <text>
        <t xml:space="preserve">첫달 월세	108,387
첫달 관리비	18,065</t>
      </text>
    </comment>
    <comment authorId="0" ref="AW41">
      <text>
        <t xml:space="preserve">Manon Emma
</t>
      </text>
    </comment>
    <comment authorId="0" ref="BB41">
      <text>
        <t xml:space="preserve">Manon Emma
</t>
      </text>
    </comment>
    <comment authorId="0" ref="BG41">
      <text>
        <t xml:space="preserve">Manon Guillotte 중도퇴실 12/3 
월세 24만  &gt; ok
관리비 4만 &gt; ok 
중도퇴실 위약금  1월2월 입력
56+8 * 2달 = 112만  
보증금 100만 + 부족 12만 (11/30 입금-케이뱅크)
관리비2달 16만 투자자입금-12/5
황륜희 12/21
첫달 월세	195,161
첫달 관리비	28,387</t>
      </text>
    </comment>
    <comment authorId="0" ref="N42">
      <text>
        <t xml:space="preserve">3월 추가공과금 70,000</t>
      </text>
    </comment>
    <comment authorId="0" ref="AC42">
      <text>
        <t xml:space="preserve">연장, 인상없음</t>
      </text>
    </comment>
    <comment authorId="0" ref="AR42">
      <text>
        <t xml:space="preserve">연장, 할인1만</t>
      </text>
    </comment>
    <comment authorId="0" ref="N43">
      <text>
        <t xml:space="preserve">계약취소 60만원 미환불</t>
      </text>
    </comment>
    <comment authorId="0" ref="AC43">
      <text>
        <t xml:space="preserve">첫달 월세	272,000
첫달 관리비	45,333 </t>
      </text>
    </comment>
    <comment authorId="0" ref="AH43">
      <text>
        <t xml:space="preserve">JULINE Reb
</t>
      </text>
    </comment>
    <comment authorId="0" ref="BG43">
      <text>
        <t xml:space="preserve">퇴실 월세  	201,290
퇴실 관리비 	33,548 &gt; 월세계좌 입금</t>
      </text>
    </comment>
    <comment authorId="0" ref="N44">
      <text>
        <t xml:space="preserve">3월 추가공과금 70,000</t>
      </text>
    </comment>
    <comment authorId="0" ref="AM44">
      <text>
        <t xml:space="preserve">전수지 8/5 &gt; ok
퇴실 월세  	74,194
퇴실 관리비 	12,903
김민채 8/10 
첫달 월세	319,355
첫달 관리비	56,774</t>
      </text>
    </comment>
    <comment authorId="0" ref="C47">
      <text>
        <t xml:space="preserve">계단 + 상하수도(총30만)</t>
      </text>
    </comment>
    <comment authorId="0" ref="I57">
      <text>
        <t xml:space="preserve">중도퇴실 위약금 
1달분 3월입력 60 + 8</t>
      </text>
    </comment>
    <comment authorId="0" ref="N57">
      <text>
        <t xml:space="preserve">박원지 위약금 ok
Ximena Denisse Reyna Gatica 3/14 
첫달 월세	377,419
첫달 관리비	46,452 
&gt; 페이팔 입금 </t>
      </text>
    </comment>
    <comment authorId="0" ref="S57">
      <text>
        <t xml:space="preserve">4/4 친구 입금 139000
입금자 ALNINDYA D</t>
      </text>
    </comment>
    <comment authorId="0" ref="X57">
      <text>
        <t xml:space="preserve">페이팔 입금</t>
      </text>
    </comment>
    <comment authorId="0" ref="AC57">
      <text>
        <t xml:space="preserve">페이팔 입금</t>
      </text>
    </comment>
    <comment authorId="0" ref="AH57">
      <text>
        <t xml:space="preserve">페이팔 입금</t>
      </text>
    </comment>
    <comment authorId="0" ref="AM57">
      <text>
        <t xml:space="preserve">페이팔 입금</t>
      </text>
    </comment>
    <comment authorId="0" ref="AR57">
      <text>
        <t xml:space="preserve">연장, 인상X
REYNA GATI</t>
      </text>
    </comment>
    <comment authorId="0" ref="AW57">
      <text>
        <t xml:space="preserve">REYNA GATI</t>
      </text>
    </comment>
    <comment authorId="0" ref="BB57">
      <text>
        <t xml:space="preserve">REYNA GATI</t>
      </text>
    </comment>
    <comment authorId="0" ref="D58">
      <text>
        <t xml:space="preserve">입금자 Tessa Rose
</t>
      </text>
    </comment>
    <comment authorId="0" ref="I58">
      <text>
        <t xml:space="preserve">입금자 Tessa Rose
</t>
      </text>
    </comment>
    <comment authorId="0" ref="N58">
      <text>
        <t xml:space="preserve">입금자명 : GIMONET TE
</t>
      </text>
    </comment>
    <comment authorId="0" ref="S58">
      <text>
        <t xml:space="preserve">입금자명 : GIMONET TE
</t>
      </text>
    </comment>
    <comment authorId="0" ref="BL59">
      <text>
        <t xml:space="preserve">연장 
1.1~12.31</t>
      </text>
    </comment>
    <comment authorId="0" ref="D60">
      <text>
        <t xml:space="preserve">입금자 : Jeanne Bou</t>
      </text>
    </comment>
    <comment authorId="0" ref="X60">
      <text>
        <t xml:space="preserve">Bouzat Jeanne 
실제 퇴실 5/1
임수빈(우주) 5/27
월세	96,000
수수료 10%	9,600
월세정산	86,400
관리비	13,000
정산합계	99,400</t>
      </text>
    </comment>
    <comment authorId="0" ref="AC60">
      <text>
        <t xml:space="preserve">월세	595,000
수수료 10%	59,500
월세정산	535,500
관리비	80,000
정산합계	615,500</t>
      </text>
    </comment>
    <comment authorId="0" ref="AH60">
      <text>
        <t xml:space="preserve">월세	595,000
수수료 10%	59,500
부가세	5,950
월세정산	529,550
관리비	80,000
정산합계	609,550</t>
      </text>
    </comment>
    <comment authorId="0" ref="AM60">
      <text>
        <t xml:space="preserve">월세	595,000
수수료 10%	59,500
부가세	5,950
월세정산	529,550
관리비	80,000
정산합계	609,550</t>
      </text>
    </comment>
    <comment authorId="0" ref="AR60">
      <text>
        <t xml:space="preserve">월세	595,000
수수료 10%	59,500
부가세	5,950
월세정산	529,550
관리비	80,000
정산합계	609,550
&gt; 10/7 기준 연체로 미정산</t>
      </text>
    </comment>
    <comment authorId="0" ref="AW60">
      <text>
        <t xml:space="preserve">월세	595,000
수수료 10%	59,500
부가세	5,950
월세정산	529,550
관리비	80,000
정산합계	609,550</t>
      </text>
    </comment>
    <comment authorId="0" ref="BB60">
      <text>
        <t xml:space="preserve">월세	595,000
수수료 10%	59,500
부가세	5,950
월세정산	529,550
관리비	80,000
정산합계	609,550</t>
      </text>
    </comment>
    <comment authorId="0" ref="BG60">
      <text>
        <t xml:space="preserve">입실 F-1 10/27
이동 D-1 11/30
월세 &gt; 케이뱅크 
</t>
      </text>
    </comment>
    <comment authorId="0" ref="N61">
      <text>
        <t xml:space="preserve">H  계약 &gt; E 이동
첫달 월세	449,032
첫달 관리비	74,839</t>
      </text>
    </comment>
    <comment authorId="0" ref="D62">
      <text>
        <t xml:space="preserve">10월, 11월 관리비 8만*2 =16만
1/14 입금
1월 미납 &gt;  보증금 차감</t>
      </text>
    </comment>
    <comment authorId="0" ref="I62">
      <text>
        <t xml:space="preserve">관리비 미입금 &gt; 보증금 차감</t>
      </text>
    </comment>
    <comment authorId="0" ref="X62">
      <text>
        <t xml:space="preserve">첫달 월세	15,484
첫달 관리비	2,581</t>
      </text>
    </comment>
    <comment authorId="0" ref="AC62">
      <text>
        <t xml:space="preserve">이새롬 6/7 &gt; ok
퇴실 월세  	112,000
퇴실 관리비 	18,667
이은비 6/5 
첫달 월세	368,000
첫달 관리비	61,333 &gt; 이승민 카뱅 입금</t>
      </text>
    </comment>
    <comment authorId="0" ref="AM62">
      <text>
        <t xml:space="preserve">월세 계좌로 관리비 입금</t>
      </text>
    </comment>
    <comment authorId="0" ref="AR62">
      <text>
        <t xml:space="preserve">9/7 퇴실 &gt; 1달 연장 
보증금 차감 &gt; 입금하기로 함
</t>
      </text>
    </comment>
    <comment authorId="0" ref="AW62">
      <text>
        <t xml:space="preserve">이은비 10/7 &gt; ok
퇴실 월세  	108,387
퇴실 관리비 	18,065 &gt; 투자자 미입금
&gt; 보증금에서 차감
이지언 10/27 &gt; ok
첫달 월세	77,419
첫달 관리비	12,903</t>
      </text>
    </comment>
    <comment authorId="0" ref="BB62">
      <text>
        <t xml:space="preserve">이지언 
입실 F-1 10/27
이동 D-1 11/30
MILAN Ly-Ann 11/30	
첫달 월세	17,000
첫달 관리비	2,667</t>
      </text>
    </comment>
    <comment authorId="0" ref="D63">
      <text>
        <t xml:space="preserve">월세	17,000
수수료 10%	1,700
월세정산	15,300
관리비	2,600
정산합계	17,900</t>
      </text>
    </comment>
    <comment authorId="0" ref="I63">
      <text>
        <t xml:space="preserve">월세	528,000
수수료 10%	52,800
월세정산	475,200
관리비	80,000
정산합계	555,200</t>
      </text>
    </comment>
    <comment authorId="0" ref="N63">
      <text>
        <t xml:space="preserve">월세	528,000
수수료 10%	52,800
월세정산	475,200
관리비	80,000
정산합계	555,200</t>
      </text>
    </comment>
    <comment authorId="0" ref="S63">
      <text>
        <t xml:space="preserve">월세	528,000
수수료 10%	52,800
월세정산	475,200
관리비	80,000
정산합계	555,200</t>
      </text>
    </comment>
    <comment authorId="0" ref="X63">
      <text>
        <t xml:space="preserve">월세	528,000
수수료 10%	52,800
월세정산	475,200
관리비	80,000
정산합계	555,200</t>
      </text>
    </comment>
    <comment authorId="0" ref="AC63">
      <text>
        <t xml:space="preserve">월세	528,000
수수료 10%	52,800
월세정산	475,200
관리비	80,000
정산합계	555,200</t>
      </text>
    </comment>
    <comment authorId="0" ref="AH63">
      <text>
        <t xml:space="preserve">월세	528,000
수수료 10%	52,800
부가세	5,280
월세정산	469,920
관리비	80,000
정산합계	549,920</t>
      </text>
    </comment>
    <comment authorId="0" ref="AM63">
      <text>
        <t xml:space="preserve">우주 계약 24.1.31~ 7. 31  528,000
자체계약 24. 8.1~ 25.7. 31  46만
월세+관 &gt; 케이뱅크 입금</t>
      </text>
    </comment>
    <comment authorId="0" ref="N64">
      <text>
        <t xml:space="preserve">첫달 월세	237,419
첫달 관리비	41,290</t>
      </text>
    </comment>
    <comment authorId="0" ref="X65">
      <text>
        <t xml:space="preserve">남지수 실제 퇴실 5/16 
우주 서교동 &gt; 반포 이동
지원비 20만+차량이동 8/25
우주보증금 50만
8/25 50만</t>
      </text>
    </comment>
    <comment authorId="0" ref="AC65">
      <text>
        <t xml:space="preserve">첫달 월세	357,667
첫달 관리비	77,333</t>
      </text>
    </comment>
    <comment authorId="0" ref="N66">
      <text>
        <t xml:space="preserve">첫달 월세	241,290
첫달 관리비	43,871</t>
      </text>
    </comment>
    <comment authorId="0" ref="AC66">
      <text>
        <t xml:space="preserve">Sara Truppo 6/15 &gt; 실제퇴실 6/7
퇴실 월세  	220,000
퇴실 관리비 	40,000 &gt; 43,871 입금
이새롬 6/8 &gt; ok
첫달 월세	314,333
첫달 관리비	61,333
</t>
      </text>
    </comment>
    <comment authorId="0" ref="AW67">
      <text>
        <t xml:space="preserve">J → K 이동</t>
      </text>
    </comment>
    <comment authorId="0" ref="C70">
      <text>
        <t xml:space="preserve"> 계단 + 상하수도(총23만) 
</t>
      </text>
    </comment>
    <comment authorId="0" ref="N80">
      <text>
        <t xml:space="preserve">관리비 6+1
월세 52+1
3/12
9~12,2월  월세 52만  미입금 1만 *5회 =5만 + 관리비 1만 미입금 =6만</t>
      </text>
    </comment>
    <comment authorId="0" ref="S80">
      <text>
        <t xml:space="preserve">52+1</t>
      </text>
    </comment>
    <comment authorId="0" ref="X80">
      <text>
        <t xml:space="preserve">52+1 (구. 카카오)</t>
      </text>
    </comment>
    <comment authorId="0" ref="AM80">
      <text>
        <t xml:space="preserve">추가공과금 2만</t>
      </text>
    </comment>
    <comment authorId="0" ref="AR80">
      <text>
        <t xml:space="preserve">황지영 9/30 &gt; OK
1달 연장 63+8
Hila JAURÉ 9/30 &gt; OK
첫달 월세	21,667
첫달 관리비	2,667
모두 카뱅 입금</t>
      </text>
    </comment>
    <comment authorId="0" ref="AW80">
      <text>
        <t xml:space="preserve">Hila JAURÉ 10/31 중도퇴실
고고한국 수수료 없기로 함
보증금 &gt; 고고한국 계좌환불
Gieriet Simona 10/16 (엔코스테이)
첫달 월세	373,344
첫달 관리비	42,672
퇴실청소비 5만 함께 정산 
베딩 5만원 &gt; 환불
&gt; 11/8 정산</t>
      </text>
    </comment>
    <comment authorId="0" ref="BB80">
      <text>
        <t xml:space="preserve">엔코스테이 &gt; 익월 10일 정산
숙박비  1,073,344
관리비  122,672
청소비  50,000
베딩비 50,000 (10/17 엔코에 환불)
엔코 서비스 수수료  431,600 (정산 제외) 
11/8 정산 1,296,016 - 베딩 5만 = 
실정산  1,246,016 
11월 월세	373,344 + 12월 70만
11월 관리비	42,672 + 12월 8만
퇴실청소비 5만 함께 정산  
베딩 5만원 &gt; 환불 
&gt; 익월 10일 정산</t>
      </text>
    </comment>
    <comment authorId="0" ref="BG80">
      <text>
        <t xml:space="preserve">12/10 70+8 
수수료x</t>
      </text>
    </comment>
    <comment authorId="0" ref="D81">
      <text>
        <t xml:space="preserve">입금자 Oceane mar</t>
      </text>
    </comment>
    <comment authorId="0" ref="I81">
      <text>
        <t xml:space="preserve">입금자 Oceane mar</t>
      </text>
    </comment>
    <comment authorId="0" ref="N81">
      <text>
        <t xml:space="preserve">입금자 Oceane mar</t>
      </text>
    </comment>
    <comment authorId="0" ref="S81">
      <text>
        <t xml:space="preserve">입금자 Oceane mar</t>
      </text>
    </comment>
    <comment authorId="0" ref="X81">
      <text>
        <t xml:space="preserve">입금자 Oceane mar</t>
      </text>
    </comment>
    <comment authorId="0" ref="AC81">
      <text>
        <t xml:space="preserve">F-2) 2인실 오  → B 1인실 이동
</t>
      </text>
    </comment>
    <comment authorId="0" ref="AM81">
      <text>
        <t xml:space="preserve">추가공과금 22175</t>
      </text>
    </comment>
    <comment authorId="0" ref="AR81">
      <text>
        <t xml:space="preserve">연장, 인상X</t>
      </text>
    </comment>
    <comment authorId="0" ref="AW81">
      <text>
        <t xml:space="preserve">11/4 월세,관  입금</t>
      </text>
    </comment>
    <comment authorId="0" ref="BB81">
      <text>
        <t xml:space="preserve">12/17~12/19
40+19+3</t>
      </text>
    </comment>
    <comment authorId="0" ref="X82">
      <text>
        <t xml:space="preserve">CHEN YING JU 5/25
첫달 월세	130,968
첫달 관리비	18,065 + 6월 8만 </t>
      </text>
    </comment>
    <comment authorId="0" ref="AC82">
      <text>
        <t xml:space="preserve">첫달 관리비	18,065 + 6월 8만 
입금자 : 채주원</t>
      </text>
    </comment>
    <comment authorId="0" ref="AM82">
      <text>
        <t xml:space="preserve">추가공과금 2만</t>
      </text>
    </comment>
    <comment authorId="0" ref="D83">
      <text>
        <t xml:space="preserve">월세 : 카카오 이승민 계좌로 입금</t>
      </text>
    </comment>
    <comment authorId="0" ref="N83">
      <text>
        <t xml:space="preserve">입금자  PARTY CAMI</t>
      </text>
    </comment>
    <comment authorId="0" ref="X83">
      <text>
        <t xml:space="preserve">PARTY CAMI
</t>
      </text>
    </comment>
    <comment authorId="0" ref="AC83">
      <text>
        <t xml:space="preserve">Camille Party 6/19
퇴실 월세  	380,000
퇴실 관리비 	50,667
전수인(우주) 취소 위약금
보증금 20만원</t>
      </text>
    </comment>
    <comment authorId="0" ref="AH83">
      <text>
        <t xml:space="preserve">월세	21,000
수수료 10%	2,100
부가세	210
월세정산	18,690
관리비	2,600
정산합계	21,290</t>
      </text>
    </comment>
    <comment authorId="0" ref="AM83">
      <text>
        <t xml:space="preserve">월세	660,000
수수료 10%	66,000
부가세	6,600
월세정산	587,400
관리비	80,000
정산합계	667,400
추가공과금 2만</t>
      </text>
    </comment>
    <comment authorId="0" ref="AR83">
      <text>
        <t xml:space="preserve">월세	660,000
수수료 10%	66,000
부가세	6,600
월세정산	587,400
관리비	80,000
정산합계	667,400</t>
      </text>
    </comment>
    <comment authorId="0" ref="AW83">
      <text>
        <t xml:space="preserve">월세	660,000
수수료 10%	66,000
부가세	6,600
월세정산	587,400
관리비	80,000
정산합계	667,400</t>
      </text>
    </comment>
    <comment authorId="0" ref="BB83">
      <text>
        <t xml:space="preserve">월세	660,000
수수료 10%	66,000
부가세	6,600
월세정산	587,400
관리비	80,000
정산합계	667,400</t>
      </text>
    </comment>
    <comment authorId="0" ref="BG83">
      <text>
        <t xml:space="preserve">월세	660,000
수수료 10%	66,000
부가세	6,600
월세정산	587,400
관리비	80,000
정산합계	667,400</t>
      </text>
    </comment>
    <comment authorId="0" ref="BL83">
      <text>
        <t xml:space="preserve">월세	660,000
수수료 10%	66,000
부가세	6,600
월세정산	587,400
관리비	80,000
정산합계	667,400</t>
      </text>
    </comment>
    <comment authorId="0" ref="D84">
      <text>
        <t xml:space="preserve">하선린 11/30 중도퇴실
중도퇴실 위약금
2달 12월,1월 
우주월세 572,000+8만 &gt;  2달분 위약금
박선영
월세 50만+2만</t>
      </text>
    </comment>
    <comment authorId="0" ref="N84">
      <text>
        <t xml:space="preserve">박선영 3/8 &gt; 보증금 차감 ok
퇴실 월세  	134,194
퇴실 관리비 	20,645
홍나래(우주) 3/8
월세	443,000
수수료 10%	44,300
월세정산	398,700
관리비	62,000
정산합계	460,700
</t>
      </text>
    </comment>
    <comment authorId="0" ref="S84">
      <text>
        <t xml:space="preserve">월세	572,000
수수료 10%	57,200
월세정산	514,800
관리비	80,000
정산합계	594,800</t>
      </text>
    </comment>
    <comment authorId="0" ref="X84">
      <text>
        <t xml:space="preserve">월세	572,000
수수료 10%	57,200
월세정산	514,800
관리비	80,000
정산합계	594,800</t>
      </text>
    </comment>
    <comment authorId="0" ref="AC84">
      <text>
        <t xml:space="preserve">홍나래(우주) 6/29
월세	572,000
수수료 10%	57,200
월세정산	514,800
관리비	80,000
정산합계	594,800
홍경민 6/29 &gt; 잔금 입금
첫달 월세	34,667
첫달 관리비	5,333</t>
      </text>
    </comment>
    <comment authorId="0" ref="AM84">
      <text>
        <t xml:space="preserve">추가공과금  2만</t>
      </text>
    </comment>
    <comment authorId="0" ref="BL84">
      <text>
        <t xml:space="preserve">연장,인상x
F-2 → 12/31 이동</t>
      </text>
    </comment>
    <comment authorId="0" ref="D85">
      <text>
        <t xml:space="preserve">월세	62,000
수수료 10%	6,200
월세정산	55,800
관리비	7,700
정산합계	63,500</t>
      </text>
    </comment>
    <comment authorId="0" ref="I85">
      <text>
        <t xml:space="preserve">월세	638,000
수수료 10%	63,800
월세정산	574,200
관리비	80,000
정산합계	654,200</t>
      </text>
    </comment>
    <comment authorId="0" ref="N85">
      <text>
        <t xml:space="preserve">월세	638,000
수수료 10%	63,800
월세정산	574,200
관리비	80,000
정산합계	654,200</t>
      </text>
    </comment>
    <comment authorId="0" ref="S85">
      <text>
        <t xml:space="preserve">월세	638,000
수수료 10%	63,800
월세정산	574,200
관리비	80,000
정산합계	654,200</t>
      </text>
    </comment>
    <comment authorId="0" ref="X85">
      <text>
        <t xml:space="preserve">월세	638,000
수수료 10%	63,800
월세정산	574,200
관리비	80,000
정산합계	654,200</t>
      </text>
    </comment>
    <comment authorId="0" ref="AC85">
      <text>
        <t xml:space="preserve">월세	638,000
수수료 10%	63,800
월세정산	574,200
관리비	80,000
정산합계	654,200</t>
      </text>
    </comment>
    <comment authorId="0" ref="AH85">
      <text>
        <t xml:space="preserve">월세	638,000
수수료 10%	63,800
부가세	6,380
월세정산	567,820
관리비	80,000
정산합계	647,820</t>
      </text>
    </comment>
    <comment authorId="0" ref="AM85">
      <text>
        <t xml:space="preserve">월세	638,000
수수료 10%	63,800
부가세	6,380
월세정산	567,820
관리비	80,000
정산합계	647,820
추가공과금  2만</t>
      </text>
    </comment>
    <comment authorId="0" ref="AR85">
      <text>
        <t xml:space="preserve">월세	638,000
수수료 10%	63,800
부가세	6,380
월세정산	567,820
관리비	80,000
정산합계	647,820</t>
      </text>
    </comment>
    <comment authorId="0" ref="AW85">
      <text>
        <t xml:space="preserve">월세	638,000
수수료 10%	63,800
부가세	6,380
월세정산	567,820
관리비	80,000
정산합계	647,820</t>
      </text>
    </comment>
    <comment authorId="0" ref="BB85">
      <text>
        <t xml:space="preserve">월세	638,000
수수료 10%	63,800
부가세	6,380
월세정산	567,820
관리비	80,000
정산합계	647,820</t>
      </text>
    </comment>
    <comment authorId="0" ref="BG85">
      <text>
        <t xml:space="preserve">월세	638,000
수수료 10%	63,800
부가세	6,380
월세정산	567,820
관리비	80,000
정산합계	647,820</t>
      </text>
    </comment>
    <comment authorId="0" ref="BL85">
      <text>
        <t xml:space="preserve">월세	638,000
수수료 10%	63,800
부가세	6,380
월세정산	567,820
관리비	80,000
정산합계	647,820</t>
      </text>
    </comment>
    <comment authorId="0" ref="D86">
      <text>
        <t xml:space="preserve">권나우 실제 퇴실 1/19 </t>
      </text>
    </comment>
    <comment authorId="0" ref="I86">
      <text>
        <t xml:space="preserve">권나우 2/5 계약종료 
실제퇴실 1/19
퇴실 월세  	82,800  ok
퇴실 관리비 	13,800  ok
&gt; 보증금 차감
진희진 2/3 
391,034 + 74,483</t>
      </text>
    </comment>
    <comment authorId="0" ref="N86">
      <text>
        <t xml:space="preserve">진희진 중도퇴실 3/27 
입주자 구함 10만 위약금 &gt; 최정인 수고비로 지불 예정
</t>
      </text>
    </comment>
    <comment authorId="0" ref="AC86">
      <text>
        <t xml:space="preserve">10일 입금</t>
      </text>
    </comment>
    <comment authorId="0" ref="AR86">
      <text>
        <t xml:space="preserve">10/21 16만 - 9월 10월 관리비</t>
      </text>
    </comment>
    <comment authorId="0" ref="AW86">
      <text>
        <t xml:space="preserve">10/21 16만 - 9월 10월 관리비</t>
      </text>
    </comment>
    <comment authorId="0" ref="N87">
      <text>
        <t xml:space="preserve">최정인 3/24 중도퇴실 
새입주자 직접 구함, 위약금 없음
최정화 3/29 
첫달 월세	46,452
첫달 관리비	7,742 + 4월 8만</t>
      </text>
    </comment>
    <comment authorId="0" ref="S87">
      <text>
        <t xml:space="preserve">첫달 관리비	7,742 + 4월 8만</t>
      </text>
    </comment>
    <comment authorId="0" ref="X87">
      <text>
        <t xml:space="preserve">최정화  &gt; ok
5/31 B 이동
진경하 5/31 
첫달 월세	15,484
첫달 관리비	2,581
입금자:CHEN QINGXIA</t>
      </text>
    </comment>
    <comment authorId="0" ref="AC87">
      <text>
        <t xml:space="preserve">입금자:CHEN QINGXIA</t>
      </text>
    </comment>
    <comment authorId="0" ref="AM87">
      <text>
        <t xml:space="preserve">추가공과금 2만</t>
      </text>
    </comment>
    <comment authorId="0" ref="BG87">
      <text>
        <t xml:space="preserve">연장,인상x
12/31 E-1 이동
입금 CHEN QINGX</t>
      </text>
    </comment>
    <comment authorId="0" ref="BL87">
      <text>
        <t xml:space="preserve">월세	528,000
수수료 10%	52,800
부가세	5,280
월세정산	469,920
관리비	80,000
정산합계	549,920</t>
      </text>
    </comment>
    <comment authorId="0" ref="C89">
      <text>
        <t xml:space="preserve">계약기간 : 25년 3월 15일까지 계약
입금일 : 매월 16일 후불
입금계좌 : 농협 352 03926 11943 김익현</t>
      </text>
    </comment>
    <comment authorId="0" ref="B91">
      <text>
        <t xml:space="preserve">케이뱅크 내역 확인 입력 신사 수도 등 검색</t>
      </text>
    </comment>
    <comment authorId="0" ref="G91">
      <text>
        <t xml:space="preserve">2.15 김익현신사1월전기
</t>
      </text>
    </comment>
    <comment authorId="0" ref="V91">
      <text>
        <t xml:space="preserve">5/25 김익현
</t>
      </text>
    </comment>
    <comment authorId="0" ref="AA91">
      <text>
        <t xml:space="preserve">6/7 김익현
신사전기5월 (실제4월)
</t>
      </text>
    </comment>
    <comment authorId="0" ref="AF91">
      <text>
        <t xml:space="preserve">6/12 김익현
신사전기6월 (실제5월)
</t>
      </text>
    </comment>
    <comment authorId="0" ref="AK91">
      <text>
        <t xml:space="preserve">7/21 김익현
</t>
      </text>
    </comment>
    <comment authorId="0" ref="AP91">
      <text>
        <t xml:space="preserve">8/19 김익현
</t>
      </text>
    </comment>
    <comment authorId="0" ref="AZ91">
      <text>
        <t xml:space="preserve">11/1 김익현
</t>
      </text>
    </comment>
    <comment authorId="0" ref="BE91">
      <text>
        <t xml:space="preserve">11/19 김익현
</t>
      </text>
    </comment>
    <comment authorId="0" ref="B92">
      <text>
        <t xml:space="preserve">501호 502호 
두개 합계 입력</t>
      </text>
    </comment>
    <comment authorId="0" ref="C92">
      <text>
        <t xml:space="preserve">카드결제 신청 완료
</t>
      </text>
    </comment>
    <comment authorId="0" ref="G93">
      <text>
        <t xml:space="preserve">2.15  김익현 신사 수도
&gt; 실제 12.1?
</t>
      </text>
    </comment>
    <comment authorId="0" ref="Q93">
      <text>
        <t xml:space="preserve">4/17 김익현
신사수도 2.3월?
</t>
      </text>
    </comment>
    <comment authorId="0" ref="AA93">
      <text>
        <t xml:space="preserve">6/13 김익현 8만  
신사수도 4.5월
</t>
      </text>
    </comment>
    <comment authorId="0" ref="AP93">
      <text>
        <t xml:space="preserve">8/19 김익현
</t>
      </text>
    </comment>
    <comment authorId="0" ref="BE93">
      <text>
        <t xml:space="preserve">11/1 김익현
</t>
      </text>
    </comment>
    <comment authorId="0" ref="BG102">
      <text>
        <t xml:space="preserve">첫달 월세	505,161
첫달 관리비	69,677 &gt; 8만 입금</t>
      </text>
    </comment>
    <comment authorId="0" ref="C106">
      <text>
        <t xml:space="preserve">계약기간 : 25년 3월 15일까지 계약
입금일 : 매월 16일 후불
입금계좌 : 농협 352 03926 11943 김익현</t>
      </text>
    </comment>
    <comment authorId="0" ref="C109">
      <text>
        <t xml:space="preserve">카드결제 신청 완료
</t>
      </text>
    </comment>
    <comment authorId="0" ref="I118">
      <text>
        <t xml:space="preserve">첫달 월세	165,517
첫달 관리비	33,103</t>
      </text>
    </comment>
    <comment authorId="0" ref="AR118">
      <text>
        <t xml:space="preserve">연장, 인상X</t>
      </text>
    </comment>
    <comment authorId="0" ref="D119">
      <text>
        <t xml:space="preserve">중도퇴실 12/16
12월,1월 월세 보증금에서 차감
보증금 150 - ( 52 + 8 ) * 2달 - 퇴실비3만=  27만 (환불 원치 않음 &gt; 12월 입력)</t>
      </text>
    </comment>
    <comment authorId="0" ref="N119">
      <text>
        <t xml:space="preserve">전아현 중도퇴실  ok
2달치 위약금 3월, 4월 42+8 
Camille Bouchez 3/17 
첫달 월세	251,613
첫달 관리비	38,710
입금자 : VALERIE  P
</t>
      </text>
    </comment>
    <comment authorId="0" ref="S119">
      <text>
        <t xml:space="preserve">입금자 : VALERIE  P</t>
      </text>
    </comment>
    <comment authorId="0" ref="X119">
      <text>
        <t xml:space="preserve">VALERIE  P
</t>
      </text>
    </comment>
    <comment authorId="0" ref="AC119">
      <text>
        <t xml:space="preserve">VALERIE  P</t>
      </text>
    </comment>
    <comment authorId="0" ref="AH119">
      <text>
        <t xml:space="preserve">Camille Bouchez 7/17
VALERIE  P</t>
      </text>
    </comment>
    <comment authorId="0" ref="AM119">
      <text>
        <t xml:space="preserve">첫달 월세	338,710
첫달 관리비	64,516</t>
      </text>
    </comment>
    <comment authorId="0" ref="N120">
      <text>
        <t xml:space="preserve">첫달 월세	336,774
첫달 관리비	74,839</t>
      </text>
    </comment>
    <comment authorId="0" ref="AM120">
      <text>
        <t xml:space="preserve">심연아 중도퇴실 9/1 
1달 36+8 9월</t>
      </text>
    </comment>
    <comment authorId="0" ref="AR120">
      <text>
        <t xml:space="preserve">심연아 위약금 &gt; ok
성영주(우주) 9/1 
월세	400,000
수수료 10%	40,000
부가세	4,000
월세정산	356,000
관리비	80,000
정산합계	436,000</t>
      </text>
    </comment>
    <comment authorId="0" ref="I121">
      <text>
        <t xml:space="preserve">첫달 월세	179,310
첫달 관리비	35,862</t>
      </text>
    </comment>
    <comment authorId="0" ref="AM121">
      <text>
        <t xml:space="preserve">조아현 8/25  중도퇴실 
위약금 40+8 1달  9월
김근희 8/26
첫달 월세	77,419
첫달 관리비	15,484</t>
      </text>
    </comment>
    <comment authorId="0" ref="C125">
      <text>
        <t xml:space="preserve">카드결제 신청 완료
</t>
      </text>
    </comment>
    <comment authorId="0" ref="C126">
      <text>
        <t xml:space="preserve">카드결제 신청 완료
서울도시</t>
      </text>
    </comment>
    <comment authorId="0" ref="N134">
      <text>
        <t xml:space="preserve">입금자 PYTEL JOAN
</t>
      </text>
    </comment>
    <comment authorId="0" ref="AC134">
      <text>
        <t xml:space="preserve">PYTEL JOAN
</t>
      </text>
    </comment>
    <comment authorId="0" ref="AH134">
      <text>
        <t xml:space="preserve">PYTEL JOAN
</t>
      </text>
    </comment>
    <comment authorId="0" ref="AM134">
      <text>
        <t xml:space="preserve">Joanna Pytel 8/31 &gt; ok
송지수 8/31 &gt; ok
첫달 월세	16,774
첫달 관리비	2,581</t>
      </text>
    </comment>
    <comment authorId="0" ref="AR135">
      <text>
        <t xml:space="preserve">연장, 인상X</t>
      </text>
    </comment>
    <comment authorId="0" ref="AR137">
      <text>
        <t xml:space="preserve">연장, 인상X</t>
      </text>
    </comment>
    <comment authorId="0" ref="C141">
      <text>
        <t xml:space="preserve">카드결제 신청 완료
</t>
      </text>
    </comment>
    <comment authorId="0" ref="C142">
      <text>
        <t xml:space="preserve">카드결제 신청 완료
서울도시</t>
      </text>
    </comment>
    <comment authorId="0" ref="C157">
      <text>
        <t xml:space="preserve">카드결제 신청 완료
</t>
      </text>
    </comment>
    <comment authorId="0" ref="C158">
      <text>
        <t xml:space="preserve">카드결제 신청 완료
</t>
      </text>
    </comment>
    <comment authorId="0" ref="N166">
      <text>
        <t xml:space="preserve">서연진 위약금 50만
계약 취소, 계약금 미환불
강조원 3/6 ok
첫달 월세	436,129
첫달 관리비	67,097
잔금에 관리비만큼 덜 입금!!!  &gt; 잔금과 케이뱅크 입금</t>
      </text>
    </comment>
    <comment authorId="0" ref="AR166">
      <text>
        <t xml:space="preserve">연장, 인상X</t>
      </text>
    </comment>
    <comment authorId="0" ref="S167">
      <text>
        <t xml:space="preserve">첫달 월세	322,000
첫달 관리비	61,333</t>
      </text>
    </comment>
    <comment authorId="0" ref="AH167">
      <text>
        <t xml:space="preserve">퇴실 월세  	94,839
퇴실 관리비 	18,065</t>
      </text>
    </comment>
    <comment authorId="0" ref="N168">
      <text>
        <t xml:space="preserve">첫달 월세	365,806
첫달 관리비	69,677</t>
      </text>
    </comment>
    <comment authorId="0" ref="AM168">
      <text>
        <t xml:space="preserve">김나영 8/25 &gt; ok
오오하타 코토하 8/25 &gt;  ok
첫달 월세	94,839
첫달 관리비	18,065 &gt; 카뱅
계약금 : 김태영
잔금 : 케이뱅크</t>
      </text>
    </comment>
    <comment authorId="0" ref="AR168">
      <text>
        <t xml:space="preserve">잔금에 포함</t>
      </text>
    </comment>
    <comment authorId="0" ref="AW168">
      <text>
        <t xml:space="preserve">오오하타 코토하 10/12 중도퇴실
2달분 위약금 42+8 11월12월</t>
      </text>
    </comment>
    <comment authorId="0" ref="BG168">
      <text>
        <t xml:space="preserve">오오하타 코토하 위약금2 OK
Sofiia Futuima 12/4 
첫달 월세	379,355
첫달 관리비	72,258 &gt; 8만 입금
입금자 : 나건하</t>
      </text>
    </comment>
    <comment authorId="0" ref="N169">
      <text>
        <t xml:space="preserve">첫달 월세	322,581 - 5만 첫달만 = 272,581
첫달 관리비	64,516</t>
      </text>
    </comment>
    <comment authorId="0" ref="N170">
      <text>
        <t xml:space="preserve">첫달 월세	322,581 - 5만 첫달만
첫달 관리비	64,516
입금자 OTA AMANE
</t>
      </text>
    </comment>
    <comment authorId="0" ref="C174">
      <text>
        <t xml:space="preserve">카드결제 신청 완료
</t>
      </text>
    </comment>
    <comment authorId="0" ref="C175">
      <text>
        <t xml:space="preserve">카드결제 신청 완료
서울도시</t>
      </text>
    </comment>
    <comment authorId="0" ref="L175">
      <text>
        <t xml:space="preserve">3.18 서울가스</t>
      </text>
    </comment>
    <comment authorId="0" ref="AK176">
      <text>
        <t xml:space="preserve">7/22 고옥화</t>
      </text>
    </comment>
    <comment authorId="0" ref="BE176">
      <text>
        <t xml:space="preserve">11/25 고옥화</t>
      </text>
    </comment>
    <comment authorId="0" ref="I183">
      <text>
        <t xml:space="preserve">첫달 월세	100,000
첫달 관리비	17,241 &gt;  
계약금 : 488,535 
부족금 : 11,465 &gt; 잔금에 추가 입금 
&gt; 잔금 케이뱅크 입금</t>
      </text>
    </comment>
    <comment authorId="0" ref="N184">
      <text>
        <t xml:space="preserve">첫달 월세	336,774
첫달 관리비	58,065</t>
      </text>
    </comment>
    <comment authorId="0" ref="AM184">
      <text>
        <t xml:space="preserve">Jasmin Schaer 8/31 &gt; ok
임여경 8/31 &gt; ok
첫달 월세	17,097
첫달 관리비	3,226 &gt; 82,903 월세 계좌+ 20,323 케이뱅크</t>
      </text>
    </comment>
    <comment authorId="0" ref="AR184">
      <text>
        <t xml:space="preserve">10/7 기준 
투자자계좌 입금 → 투자자 미입금</t>
      </text>
    </comment>
    <comment authorId="0" ref="AC185">
      <text>
        <t xml:space="preserve">첫달 월세	15,000
첫달 관리비	3,333</t>
      </text>
    </comment>
    <comment authorId="0" ref="N186">
      <text>
        <t xml:space="preserve">3/15 추가공과금 8만 입금</t>
      </text>
    </comment>
    <comment authorId="0" ref="AM186">
      <text>
        <t xml:space="preserve">최유라 8/21 중도퇴실
43+8 2달 9월,10월</t>
      </text>
    </comment>
    <comment authorId="0" ref="D199">
      <text>
        <t xml:space="preserve"> 박혜린 1/31
첫달 월세	16,774
첫달 관리비	2,581</t>
      </text>
    </comment>
    <comment authorId="0" ref="AR199">
      <text>
        <t xml:space="preserve">첫달 월세	104,000
첫달 관리비	16,000
3명 동시입주
계약금 50*3=150 입금
관리비 3명 16000*3=48000 
입금자 MARINA
MARINA BLA,Nora Ortega Rivilla,Berta Cereceda Toro
</t>
      </text>
    </comment>
    <comment authorId="0" ref="AW199">
      <text>
        <t xml:space="preserve">MARINA BLA
관리비 3명 80000*3=240,000 
입금자 MARINA
MARINA BLA,Nora Ortega Rivilla,Berta Cereceda Toro</t>
      </text>
    </comment>
    <comment authorId="0" ref="BB199">
      <text>
        <t xml:space="preserve">MARINA BLA,
Nora Ortega Rivilla
Berta Cereceda Toro
3명 함께 입금</t>
      </text>
    </comment>
    <comment authorId="0" ref="BG199">
      <text>
        <t xml:space="preserve">MARINA BLA,
Nora Ortega Rivilla
Berta Cereceda Toro
3명 함께 입금</t>
      </text>
    </comment>
    <comment authorId="0" ref="N200">
      <text>
        <t xml:space="preserve">입금자 Bethany Jo
</t>
      </text>
    </comment>
    <comment authorId="0" ref="AH200">
      <text>
        <t xml:space="preserve">Bethany Gross 7/24 중도퇴실
60+8 2달 8월,9월</t>
      </text>
    </comment>
    <comment authorId="0" ref="AM200">
      <text>
        <t xml:space="preserve">Kavya Sudesh Kumar 8/20
첫달 월세	212,903
첫달 관리비	30,968 &gt; 카뱅</t>
      </text>
    </comment>
    <comment authorId="0" ref="AR200">
      <text>
        <t xml:space="preserve">Bethany Gross 위약금2 &gt; ok
Kavya Sudesh Kumar  &gt; ok</t>
      </text>
    </comment>
    <comment authorId="0" ref="BL200">
      <text>
        <t xml:space="preserve">첫달 월세	390,000
첫달 관리비	60,000
계약금 : 정경희 (대현 입금)
대현 계약 취소 &gt; 구디 변경
계약 변경으로 월세 할인 55 →52</t>
      </text>
    </comment>
    <comment authorId="0" ref="AR201">
      <text>
        <t xml:space="preserve">1달 연장
퇴실 월세  	293,333
퇴실 관리비 	58,667</t>
      </text>
    </comment>
    <comment authorId="0" ref="BG201">
      <text>
        <t xml:space="preserve">B → C 12/1 이동</t>
      </text>
    </comment>
    <comment authorId="0" ref="D202">
      <text>
        <t xml:space="preserve">월세	440,000
수수료 10%	44,000
월세정산	396,000
관리비	80,000
정산합계	476,000</t>
      </text>
    </comment>
    <comment authorId="0" ref="I202">
      <text>
        <t xml:space="preserve">월세	440,000
수수료 10%	44,000
월세정산	396,000
관리비	80,000
정산합계	476,000</t>
      </text>
    </comment>
    <comment authorId="0" ref="N202">
      <text>
        <t xml:space="preserve">월세	440,000
수수료 10%	44,000
월세정산	396,000
관리비	80,000
정산합계	476,000</t>
      </text>
    </comment>
    <comment authorId="0" ref="S202">
      <text>
        <t xml:space="preserve">월세	440,000
수수료 10%	44,000
월세정산	396,000
관리비	80,000
정산합계	476,000</t>
      </text>
    </comment>
    <comment authorId="0" ref="X202">
      <text>
        <t xml:space="preserve">월세	440,000
수수료 10%	44,000
월세정산	396,000
관리비	80,000
정산합계	476,000</t>
      </text>
    </comment>
    <comment authorId="0" ref="AC202">
      <text>
        <t xml:space="preserve">월세	59,000
수수료 10%	5,900
월세정산	53,100
관리비	11,000
정산합계	64,100
6/5 ~ 8/4 
40 + 8 자체계약 &gt; ok
첫달 월세	346,667
첫달 관리비	69,333 &gt; 8만 입금
</t>
      </text>
    </comment>
    <comment authorId="0" ref="AH202">
      <text>
        <t xml:space="preserve">6/5 ~ 8/4 
40 + 8 자체계약</t>
      </text>
    </comment>
    <comment authorId="0" ref="AM202">
      <text>
        <t xml:space="preserve">6/5 ~ 9/4 
40 + 8 자체계약
6월 40+8 7월 40+8 8월  40+8
입금완료</t>
      </text>
    </comment>
    <comment authorId="0" ref="AR202">
      <text>
        <t xml:space="preserve">김미소 9/2 &gt; ok 
퇴실 월세  	53,333
퇴실 관리비 	10,667 
6/5 ~ 9/4 
40 + 8 자체계약
6월 40+8 7월 40+8 8월  40+8
입금완료
6월, 9월 월계산 나눠 입력
구본미 9/2 ok 
첫달 월세	377,000
첫달 관리비	77,333</t>
      </text>
    </comment>
    <comment authorId="0" ref="D203">
      <text>
        <t xml:space="preserve">월세	440,000
수수료 10%	44,000
월세정산	396,000
관리비	80,000
정산합계	476,000</t>
      </text>
    </comment>
    <comment authorId="0" ref="I203">
      <text>
        <t xml:space="preserve">월세	440,000
수수료 10%	44,000
월세정산	396,000
관리비	80,000
정산합계	476,000</t>
      </text>
    </comment>
    <comment authorId="0" ref="N203">
      <text>
        <t xml:space="preserve">보증금에서 차감 ok
퇴실 월세  	14,200
퇴실 관리비 	2,590</t>
      </text>
    </comment>
    <comment authorId="0" ref="AR203">
      <text>
        <t xml:space="preserve">첫달 월세	80,000
첫달 관리비	16,000
3명 동시입주
계약금 50*3=150 입금
관리비 3명 16000*3=48000 
입금자 MARINA
MARINA BLA,Nora Ortega Rivilla,Berta Cereceda Toro
</t>
      </text>
    </comment>
    <comment authorId="0" ref="AW203">
      <text>
        <t xml:space="preserve">MARINA BLA
관리비 3명 80000*3=240,000 
입금자 MARINA
MARINA BLA,Nora Ortega Rivilla,Berta Cereceda Toro</t>
      </text>
    </comment>
    <comment authorId="0" ref="AM204">
      <text>
        <t xml:space="preserve">정도희 단기
8/1~8/31 
실제입주 : 8/4</t>
      </text>
    </comment>
    <comment authorId="0" ref="AR204">
      <text>
        <t xml:space="preserve">첫달 월세	80,000
첫달 관리비	16,000
3명 동시입주
계약금 50*3=150 입금
관리비 3명 16000*3=48000 
입금자 MARINA
MARINA BLA,Nora Ortega Rivilla,Berta Cereceda Toro
</t>
      </text>
    </comment>
    <comment authorId="0" ref="AW204">
      <text>
        <t xml:space="preserve">MARINA BLA
관리비 3명 80000*3=240,000 
입금자 MARINA
MARINA BLA,Nora Ortega Rivilla,Berta Cereceda Toro</t>
      </text>
    </comment>
    <comment authorId="0" ref="I217">
      <text>
        <t xml:space="preserve">첫달 월세	439,310
첫달 관리비	89,655</t>
      </text>
    </comment>
    <comment authorId="0" ref="AR218">
      <text>
        <t xml:space="preserve">연장, 인상X</t>
      </text>
    </comment>
    <comment authorId="0" ref="AM219">
      <text>
        <t xml:space="preserve">중도퇴실 위약금 10만원 9월</t>
      </text>
    </comment>
    <comment authorId="0" ref="AR219">
      <text>
        <t xml:space="preserve">Filippo Pi</t>
      </text>
    </comment>
    <comment authorId="0" ref="AW219">
      <text>
        <t xml:space="preserve">Filippo Pi</t>
      </text>
    </comment>
    <comment authorId="0" ref="BB219">
      <text>
        <t xml:space="preserve">Filippo Pi</t>
      </text>
    </comment>
    <comment authorId="0" ref="BG219">
      <text>
        <t xml:space="preserve">Filippo Pi</t>
      </text>
    </comment>
    <comment authorId="0" ref="I220">
      <text>
        <t xml:space="preserve">박지수 2/3~29
첫달 월세	530,690
첫달 관리비	93,103</t>
      </text>
    </comment>
    <comment authorId="0" ref="AM220">
      <text>
        <t xml:space="preserve">중도퇴실 위약금 10만원 9월</t>
      </text>
    </comment>
    <comment authorId="0" ref="D221">
      <text>
        <t xml:space="preserve">15일 입금</t>
      </text>
    </comment>
    <comment authorId="0" ref="I221">
      <text>
        <t xml:space="preserve">15일 입금</t>
      </text>
    </comment>
    <comment authorId="0" ref="AM221">
      <text>
        <t xml:space="preserve">첫달 월세	350,968
첫달 관리비	51,613</t>
      </text>
    </comment>
    <comment authorId="0" ref="AW221">
      <text>
        <t xml:space="preserve">관 151,613 입금
11월 차액  48,387  입금
</t>
      </text>
    </comment>
    <comment authorId="0" ref="BB221">
      <text>
        <t xml:space="preserve">관 151,613 입금
</t>
      </text>
    </comment>
    <comment authorId="0" ref="BG221">
      <text>
        <t xml:space="preserve">관 151,613 입금
</t>
      </text>
    </comment>
    <comment authorId="0" ref="BL221">
      <text>
        <t xml:space="preserve">관 151,613 입금
다음달 5만 차감 입금안내
12/31 2월분 5만원 입금
</t>
      </text>
    </comment>
    <comment authorId="0" ref="C226">
      <text>
        <t xml:space="preserve">카드결제 신청 완료
</t>
      </text>
    </comment>
    <comment authorId="0" ref="N234">
      <text>
        <t xml:space="preserve">쓰레기봉투 4900 관리비 차감 입금 
6350 차감 </t>
      </text>
    </comment>
    <comment authorId="0" ref="AM234">
      <text>
        <t xml:space="preserve">퇴실 월세  	469,677
퇴실 관리비 	72,258</t>
      </text>
    </comment>
    <comment authorId="0" ref="AR234">
      <text>
        <t xml:space="preserve">잔금함께 입금 
C &gt; A 이동</t>
      </text>
    </comment>
    <comment authorId="0" ref="N235">
      <text>
        <t xml:space="preserve">3월 연장 인상
45→49</t>
      </text>
    </comment>
    <comment authorId="0" ref="AR235">
      <text>
        <t xml:space="preserve">연장, 인상X</t>
      </text>
    </comment>
    <comment authorId="0" ref="AM236">
      <text>
        <t xml:space="preserve">이민정 8/3 실제퇴실 &gt; ok
CHEN YUJU 8/24 &gt; ok
첫달 월세	134,194
첫달 관리비	20,645 
보증금 50 &gt; 유재훈 우리은행</t>
      </text>
    </comment>
    <comment authorId="0" ref="AR236">
      <text>
        <t xml:space="preserve">월세	672,000
수수료 10%	67,200
부가세	6,720
월세정산	598,080
관리비	80,000
정산합계	678,080</t>
      </text>
    </comment>
    <comment authorId="0" ref="AW236">
      <text>
        <t xml:space="preserve">월세	672,000
수수료 10%	67,200
부가세	6,720
월세정산	598,080
관리비	80,000
정산합계	678,080</t>
      </text>
    </comment>
    <comment authorId="0" ref="BB236">
      <text>
        <t xml:space="preserve">월세	672,000
수수료 10%	67,200
부가세	6,720
월세정산	598,080
관리비	80,000
정산합계	678,080</t>
      </text>
    </comment>
    <comment authorId="0" ref="BG236">
      <text>
        <t xml:space="preserve">월세	672,000
수수료 10%	67,200
부가세	6,720
월세정산	598,080
관리비	80,000
정산합계	678,080</t>
      </text>
    </comment>
    <comment authorId="0" ref="AM237">
      <text>
        <t xml:space="preserve">김지은 8/9 &gt; ok
퇴실 월세  	116,129
퇴실 관리비 	23,226
이가은8/10 &gt; ok
첫달 월세	319,355
첫달 관리비	56,774</t>
      </text>
    </comment>
    <comment authorId="0" ref="BL237">
      <text>
        <t xml:space="preserve">월세 145,161
관리비 25,806</t>
      </text>
    </comment>
    <comment authorId="0" ref="D238">
      <text>
        <t xml:space="preserve">오은빈 1/28 &gt; 
첫달 월세	13,793
첫달 관리비	2,759</t>
      </text>
    </comment>
    <comment authorId="0" ref="BB238">
      <text>
        <t xml:space="preserve">잔금 미입금
첫달 월세	86,000
첫달 관리비	16,000 &gt; 12/7
보증금 200</t>
      </text>
    </comment>
    <comment authorId="0" ref="BG238">
      <text>
        <t xml:space="preserve">첫달 관리비	16,000+8만 &gt; 공진 계좌입금 &gt; 12/7 입금
</t>
      </text>
    </comment>
    <comment authorId="0" ref="I251">
      <text>
        <t xml:space="preserve">강진 2/19
퇴실 월세  	360,345 &gt; 55만 입금
퇴실 관리비 	52,414 &gt; 8만 입금
</t>
      </text>
    </comment>
    <comment authorId="0" ref="N251">
      <text>
        <t xml:space="preserve"> 계약금 입금자 : 허옥자</t>
      </text>
    </comment>
    <comment authorId="0" ref="S251">
      <text>
        <t xml:space="preserve">입금자 : 허옥자</t>
      </text>
    </comment>
    <comment authorId="0" ref="AH251">
      <text>
        <t xml:space="preserve">허옥자</t>
      </text>
    </comment>
    <comment authorId="0" ref="AM251">
      <text>
        <t xml:space="preserve">허옥자</t>
      </text>
    </comment>
    <comment authorId="0" ref="AR251">
      <text>
        <t xml:space="preserve">연장, 인상X
허옥자</t>
      </text>
    </comment>
    <comment authorId="0" ref="BB251">
      <text>
        <t xml:space="preserve">허옥자</t>
      </text>
    </comment>
    <comment authorId="0" ref="B252">
      <text>
        <t xml:space="preserve">서울시 동대문구 이문동 331-4 2층</t>
      </text>
    </comment>
    <comment authorId="0" ref="D252">
      <text>
        <t xml:space="preserve">중도퇴실 12/19
위약금
50만+8만=58만 
2달 1월 2월 입력
</t>
      </text>
    </comment>
    <comment authorId="0" ref="I252">
      <text>
        <t xml:space="preserve">중도퇴실 12/19
위약금 &gt; ok
50만+8만=58만 
2달 1월 2월 입력
와타나베 미쿠 2/24  &gt;  
첫달 월세	103,448
첫달 관리비	16,552
입금자 : MIKU WATAN
</t>
      </text>
    </comment>
    <comment authorId="0" ref="S252">
      <text>
        <t xml:space="preserve">입금자 : WATANABE M
</t>
      </text>
    </comment>
    <comment authorId="0" ref="I253">
      <text>
        <t xml:space="preserve">첫달 월세	127,931
첫달 관리비	19,310</t>
      </text>
    </comment>
    <comment authorId="0" ref="AM253">
      <text>
        <t xml:space="preserve">Lidia Medinilla Marin  8/25 &gt; ok
Raniya 8/25 &gt;  ok
첫달 월세	112,903
첫달 관리비	18,065
계약금 - 8/8 500,000 :  ABDILHAYEV
잔금 1 - 8/19  900,000
잔금 2 - 8/26 712,903
-------------------
sum  2,112,903 </t>
      </text>
    </comment>
    <comment authorId="0" ref="AW253">
      <text>
        <t xml:space="preserve">입금자 : 김유림</t>
      </text>
    </comment>
    <comment authorId="0" ref="BB253">
      <text>
        <t xml:space="preserve">월+관 &gt; 케이뱅크</t>
      </text>
    </comment>
    <comment authorId="0" ref="N254">
      <text>
        <t xml:space="preserve">첫달 월세	483,871
첫달 관리비	77,419</t>
      </text>
    </comment>
    <comment authorId="0" ref="AC254">
      <text>
        <t xml:space="preserve">김민주 6/29 중도퇴실
7월 50+8 
8월 퇴실 월세  	403,226
퇴실 관리비 	64,516</t>
      </text>
    </comment>
    <comment authorId="0" ref="AM254">
      <text>
        <t xml:space="preserve">김민주 8/25  위약금 ok
퇴실 월세  	403,226 
Mia Huguenin 8/23
첫달 월세	153,871
첫달 관리비	23,226</t>
      </text>
    </comment>
    <comment authorId="0" ref="BB254">
      <text>
        <t xml:space="preserve">월세 강연수 카뱅입금
Mia Romane
</t>
      </text>
    </comment>
    <comment authorId="0" ref="D255">
      <text>
        <t xml:space="preserve">월세 &gt; 케이뱅크
12/30 C &gt; E  이동
계약 종료까지 지내기로 함</t>
      </text>
    </comment>
    <comment authorId="0" ref="I255">
      <text>
        <t xml:space="preserve">Anna Schmitt 2/28
55+8 &gt; ok
Isabel Colas Vaquero 2/28 
첫달 월세	36,552
첫달 관리비	5,517</t>
      </text>
    </comment>
    <comment authorId="0" ref="AH255">
      <text>
        <t xml:space="preserve">입금자 Lidia Medi</t>
      </text>
    </comment>
    <comment authorId="0" ref="AM255">
      <text>
        <t xml:space="preserve">Isabel Colas Vaquero 8/25 &gt; ok
Kinga Diana Bernath 8/25
첫달 월세	112,903
첫달 관리비	18,065
&gt; 모두 카뱅 입금</t>
      </text>
    </comment>
    <comment authorId="0" ref="AR255">
      <text>
        <t xml:space="preserve">모두 카뱅입금</t>
      </text>
    </comment>
    <comment authorId="0" ref="AW255">
      <text>
        <t xml:space="preserve">BernathKin</t>
      </text>
    </comment>
    <comment authorId="0" ref="C257">
      <text>
        <t xml:space="preserve">계약기간 : 25년 6월 13일까지 계약
입금일 : 매월 13일 선불
입금계좌 : 국민 527825 92 102159 유경례</t>
      </text>
    </comment>
    <comment authorId="0" ref="Q261">
      <text>
        <t xml:space="preserve">3.5 김용규</t>
      </text>
    </comment>
    <comment authorId="0" ref="V261">
      <text>
        <t xml:space="preserve">4.12 김용규</t>
      </text>
    </comment>
    <comment authorId="0" ref="AF261">
      <text>
        <t xml:space="preserve">6.12 김용규</t>
      </text>
    </comment>
    <comment authorId="0" ref="AP261">
      <text>
        <t xml:space="preserve">8/22 김용규</t>
      </text>
    </comment>
    <comment authorId="0" ref="N268">
      <text>
        <t xml:space="preserve">3/1 인상</t>
      </text>
    </comment>
    <comment authorId="0" ref="AR268">
      <text>
        <t xml:space="preserve">첫달 월세	402,000
첫달 관리비	60,000</t>
      </text>
    </comment>
    <comment authorId="0" ref="I269">
      <text>
        <t xml:space="preserve">Jenny Andersson 2/19 &gt; ok
유한별 2/24
첫달 월세	124,138
첫달 관리비	20,690</t>
      </text>
    </comment>
    <comment authorId="0" ref="BG269">
      <text>
        <t xml:space="preserve">유한별 중도퇴실 12/1
중도퇴실 위약금 
60 + 10  2달 12월,1월 입력</t>
      </text>
    </comment>
    <comment authorId="0" ref="AM270">
      <text>
        <t xml:space="preserve">Elodie Lormel 8/31 중도퇴실 &gt; ok
직접 구함 위약금X
Lily Klatt 8/31 &gt;  ok
첫달 월세	19,355 
첫달 관리비	3,226
입금자 : 정연석</t>
      </text>
    </comment>
    <comment authorId="0" ref="AW270">
      <text>
        <t xml:space="preserve">입금 정연석 </t>
      </text>
    </comment>
    <comment authorId="0" ref="BG270">
      <text>
        <t xml:space="preserve">Klatt Lill</t>
      </text>
    </comment>
    <comment authorId="0" ref="I271">
      <text>
        <t xml:space="preserve">중도퇴실 2/26 
위약금 1달분 3월 월세+관리비
</t>
      </text>
    </comment>
    <comment authorId="0" ref="N271">
      <text>
        <t xml:space="preserve">김예인 계약 취소 50만원</t>
      </text>
    </comment>
    <comment authorId="0" ref="S271">
      <text>
        <t xml:space="preserve">52+?</t>
      </text>
    </comment>
    <comment authorId="0" ref="AR271">
      <text>
        <t xml:space="preserve">연장, 인상X</t>
      </text>
    </comment>
    <comment authorId="0" ref="AC272">
      <text>
        <t xml:space="preserve">엄혜린 단기 거주
6.27~30 ,8.1~12  &gt; 오은별이 입금
7월      월세 50, 관리비 10
</t>
      </text>
    </comment>
    <comment authorId="0" ref="AH272">
      <text>
        <t xml:space="preserve">엄혜린 단기 거주
6.27~30 ,8.1~12  &gt; 오은별이 입금
7월      월세 50, 관리비 10
</t>
      </text>
    </comment>
    <comment authorId="0" ref="AM272">
      <text>
        <t xml:space="preserve">엄혜린 단기 거주
6.27~30 ,8.1~12  &gt; 오은별이 입금
7월      월세 50, 관리비 10
</t>
      </text>
    </comment>
    <comment authorId="0" ref="AR272">
      <text>
        <t xml:space="preserve">Megan Pabst 실제 8/30 입주
9.1~11.30 
중도퇴실 1달 위약금  42+8 12월 입력
</t>
      </text>
    </comment>
    <comment authorId="0" ref="BG272">
      <text>
        <t xml:space="preserve">8/31 무드 &gt; 청량 이동
1달 중도퇴실 위약금 
42+8</t>
      </text>
    </comment>
    <comment authorId="0" ref="D273">
      <text>
        <t xml:space="preserve">23CC34724</t>
      </text>
    </comment>
    <comment authorId="0" ref="AM273">
      <text>
        <t xml:space="preserve">퇴실 월세 403,226
퇴실 관리비 80,645</t>
      </text>
    </comment>
    <comment authorId="0" ref="C275">
      <text>
        <t xml:space="preserve">계약기간 : 25년 1월 2일까지 계약
입금일 : 매월 2일 후불
입금계좌 : 국민 424001 01 023588 송기영</t>
      </text>
    </comment>
    <comment authorId="0" ref="B276">
      <text>
        <t xml:space="preserve">02-2212-3127</t>
      </text>
    </comment>
    <comment authorId="0" ref="C276">
      <text>
        <t xml:space="preserve">국민 467701 01 120482
</t>
      </text>
    </comment>
    <comment authorId="0" ref="G276">
      <text>
        <t xml:space="preserve">23년 12월분 262,600
-------------------------------
24년 3월 5일 12/1월분 2개월치 납입
</t>
      </text>
    </comment>
    <comment authorId="0" ref="L276">
      <text>
        <t xml:space="preserve">23년 12월분 262,600
-------------------------------
24년 3월 5일 12/1월분 2개월치 납입
</t>
      </text>
    </comment>
    <comment authorId="0" ref="AA276">
      <text>
        <t xml:space="preserve">4월분</t>
      </text>
    </comment>
    <comment authorId="0" ref="AF276">
      <text>
        <t xml:space="preserve">5월분</t>
      </text>
    </comment>
    <comment authorId="0" ref="AK276">
      <text>
        <t xml:space="preserve">6월분</t>
      </text>
    </comment>
    <comment authorId="0" ref="AP276">
      <text>
        <t xml:space="preserve">7월분</t>
      </text>
    </comment>
    <comment authorId="0" ref="AM287">
      <text>
        <t xml:space="preserve">Eliška Cibulková 8/27 &gt; ok
퇴실 월세  	452,903
퇴실 관리비 	69,677
KERBRAT Elodie 8/27  &gt; ok
첫달 월세	91,935
첫달 관리비	12,903</t>
      </text>
    </comment>
    <comment authorId="0" ref="X288">
      <text>
        <t xml:space="preserve">PA0184265
중도퇴실 5/31
57+8 2달 6월,7월</t>
      </text>
    </comment>
    <comment authorId="0" ref="AM288">
      <text>
        <t xml:space="preserve">첫달 월세	184,516
첫달 관리비	28,387</t>
      </text>
    </comment>
    <comment authorId="0" ref="BB288">
      <text>
        <t xml:space="preserve">호리고메모모코</t>
      </text>
    </comment>
    <comment authorId="0" ref="BG288">
      <text>
        <t xml:space="preserve">호리고메모모코</t>
      </text>
    </comment>
    <comment authorId="0" ref="D289">
      <text>
        <t xml:space="preserve">5일 반 - 관리비 4만+4만
</t>
      </text>
    </comment>
    <comment authorId="0" ref="I289">
      <text>
        <t xml:space="preserve">Anzhelika Kulchieva 2/28 &gt; ok
서현아 2/29 
첫달 월세	15,517
첫달 관리비	2,759</t>
      </text>
    </comment>
    <comment authorId="0" ref="AM289">
      <text>
        <t xml:space="preserve">서현아 8/25
퇴실 월세  	362,903
퇴실 관리비 	64,516
장한비 8/29
첫달 월세	43,548
첫달 관리비	7,742</t>
      </text>
    </comment>
    <comment authorId="0" ref="N290">
      <text>
        <t xml:space="preserve">3월 연장 인상 
50 → 55</t>
      </text>
    </comment>
    <comment authorId="0" ref="X290">
      <text>
        <t xml:space="preserve">Emma Charlotte ABLASS 5/23
중도퇴실 1달 위약금
Tam Yuk Mui 5/28
첫달 월세	58,065
첫달 관리비	10,323</t>
      </text>
    </comment>
    <comment authorId="0" ref="AR290">
      <text>
        <t xml:space="preserve">연장, 인상X</t>
      </text>
    </comment>
    <comment authorId="0" ref="N303">
      <text>
        <t xml:space="preserve">3월 연장</t>
      </text>
    </comment>
    <comment authorId="0" ref="AR303">
      <text>
        <t xml:space="preserve">연장, 인상없음</t>
      </text>
    </comment>
    <comment authorId="0" ref="D304">
      <text>
        <t xml:space="preserve">월세	440,000
수수료 10%	44,000
월세정산	396,000
관리비	80,000
정산합계	476,000</t>
      </text>
    </comment>
    <comment authorId="0" ref="I304">
      <text>
        <t xml:space="preserve">월세	440,000
수수료 10%	44,000
월세정산	396,000
관리비	80,000
정산합계	476,000</t>
      </text>
    </comment>
    <comment authorId="0" ref="N304">
      <text>
        <t xml:space="preserve">월세	440,000
수수료 10%	44,000
월세정산	396,000
관리비	80,000
정산합계	476,000</t>
      </text>
    </comment>
    <comment authorId="0" ref="S304">
      <text>
        <t xml:space="preserve">월세	440,000
수수료 10%	44,000
월세정산	396,000
관리비	80,000
정산합계	476,000</t>
      </text>
    </comment>
    <comment authorId="0" ref="X304">
      <text>
        <t xml:space="preserve">월세	440,000
수수료 10%	44,000
월세정산	396,000
관리비	80,000
정산합계	476,000</t>
      </text>
    </comment>
    <comment authorId="0" ref="AC304">
      <text>
        <t xml:space="preserve">월세	440,000
수수료 10%	44,000
월세정산	396,000
관리비	80,000
정산합계	476,000</t>
      </text>
    </comment>
    <comment authorId="0" ref="AH304">
      <text>
        <t xml:space="preserve">월세	440,000
수수료 10%	44,000
부가세	4,400
월세정산	391,600
관리비	80,000
정산합계	471,600</t>
      </text>
    </comment>
    <comment authorId="0" ref="AM304">
      <text>
        <t xml:space="preserve">월세	440,000
수수료 10%	44,000
부가세	4,400
월세정산	391,600
관리비	80,000
정산합계	471,600</t>
      </text>
    </comment>
    <comment authorId="0" ref="AR304">
      <text>
        <t xml:space="preserve">연장, 인상X
월세	440,000
수수료 10%	44,000
부가세	4,400
월세정산	391,600
관리비	80,000
정산합계	471,600</t>
      </text>
    </comment>
    <comment authorId="0" ref="AW304">
      <text>
        <t xml:space="preserve">월세	440,000
수수료 10%	44,000
부가세	4,400
월세정산	391,600
관리비	80,000
정산합계	471,600</t>
      </text>
    </comment>
    <comment authorId="0" ref="BB304">
      <text>
        <t xml:space="preserve">월세	440,000
수수료 10%	44,000
부가세	4,400
월세정산	391,600
관리비	80,000
정산합계	471,600</t>
      </text>
    </comment>
    <comment authorId="0" ref="BG304">
      <text>
        <t xml:space="preserve">월세	440,000
수수료 10%	44,000
부가세	4,400
월세정산	391,600
관리비	80,000
정산합계	471,600</t>
      </text>
    </comment>
    <comment authorId="0" ref="BL304">
      <text>
        <t xml:space="preserve">월세	440,000
수수료 10%	44,000
부가세	4,400
월세정산	391,600
관리비	80,000
정산합계	471,600</t>
      </text>
    </comment>
    <comment authorId="0" ref="D305">
      <text>
        <t xml:space="preserve">퇴실 월세  	73,548
퇴실 관리비 	15,484</t>
      </text>
    </comment>
    <comment authorId="0" ref="I305">
      <text>
        <t xml:space="preserve">첫달 월세	68,966
첫달 관리비	13,793</t>
      </text>
    </comment>
    <comment authorId="0" ref="AM305">
      <text>
        <t xml:space="preserve">유수현 8/10
퇴실 월세  	129,032
퇴실 관리비 	25,806
Masamura Nami 마사무라 나미 8/10
첫달 월세	283,871
첫달 관리비	56,774</t>
      </text>
    </comment>
    <comment authorId="0" ref="I306">
      <text>
        <t xml:space="preserve">2/3 신사이동
퇴실 월세  	130,345
퇴실 관리비 	24,828</t>
      </text>
    </comment>
    <comment authorId="0" ref="N306">
      <text>
        <t xml:space="preserve">첫달 월세	367,742
첫달 관리비	77,419</t>
      </text>
    </comment>
    <comment authorId="0" ref="AC306">
      <text>
        <t xml:space="preserve">김행운 6/27 계약 취소 
위약금 50만원 
기록은 6월, 위약금은 7월 반영
</t>
      </text>
    </comment>
    <comment authorId="0" ref="AH306">
      <text>
        <t xml:space="preserve">김행운 6/27 계약 취소 
위약금 50만원 
기록은 6월, 위약금은 7월 반영
</t>
      </text>
    </comment>
    <comment authorId="0" ref="AM306">
      <text>
        <t xml:space="preserve">첫달 월세	123,871
첫달 관리비	20,645</t>
      </text>
    </comment>
    <comment authorId="0" ref="AR307">
      <text>
        <t xml:space="preserve">연장, 인상없음</t>
      </text>
    </comment>
    <comment authorId="0" ref="AM321">
      <text>
        <t xml:space="preserve">첫달 월세	18,387
첫달 관리비	2,581
잔금 : 김창진</t>
      </text>
    </comment>
    <comment authorId="0" ref="AR322">
      <text>
        <t xml:space="preserve">첫달 월세	328,667
첫달 관리비	45,333
Ellenore J
신한 나마네 입금확인</t>
      </text>
    </comment>
    <comment authorId="0" ref="AW322">
      <text>
        <t xml:space="preserve">Ellenore J</t>
      </text>
    </comment>
    <comment authorId="0" ref="BB322">
      <text>
        <t xml:space="preserve">Ellenore J</t>
      </text>
    </comment>
    <comment authorId="0" ref="BG322">
      <text>
        <t xml:space="preserve">Ellenore J</t>
      </text>
    </comment>
    <comment authorId="0" ref="AR323">
      <text>
        <t xml:space="preserve">첫달 월세	313,333
첫달 관리비	53,333
보증금 200+ 월세 9월 313,333 + 9월 관리비 53,333 = 2,366,666
2,366,666 - 페이팔 2,225,611 = 잔액 141,055
모두 페이팔로 입금
Lopez Genesa Marie
141,055 + 10월 47 + 10관 8 = 691,055 
&gt; 모두 나마네 입금(허재은)</t>
      </text>
    </comment>
    <comment authorId="0" ref="BB323">
      <text>
        <t xml:space="preserve">입금자 허재은
월세,관리비 모두 나마네계좌 입금</t>
      </text>
    </comment>
    <comment authorId="0" ref="BG323">
      <text>
        <t xml:space="preserve">입금자 허재은
</t>
      </text>
    </comment>
    <comment authorId="0" ref="D336">
      <text>
        <t xml:space="preserve">중도퇴실 1/31 (실제 1/14 퇴실)
위약금 
10만 
2월 입력
</t>
      </text>
    </comment>
    <comment authorId="0" ref="I336">
      <text>
        <t xml:space="preserve">이유진 
위약금 10만원 &gt; 보증금 차감 ok
이예령 2/24  
위약금 40만원 (대신) &gt; ok
첫달 월세	132,414
첫달 관리비	20,690
</t>
      </text>
    </comment>
    <comment authorId="0" ref="D337">
      <text>
        <t xml:space="preserve">2/1 2인실로 이동</t>
      </text>
    </comment>
    <comment authorId="0" ref="AR337">
      <text>
        <t xml:space="preserve">1년 연장, 2만 할인</t>
      </text>
    </comment>
    <comment authorId="0" ref="AR338">
      <text>
        <t xml:space="preserve">연장, 인상X
월세 9846 계좌</t>
      </text>
    </comment>
    <comment authorId="0" ref="AR339">
      <text>
        <t xml:space="preserve">연장, 인상X</t>
      </text>
    </comment>
    <comment authorId="0" ref="D340">
      <text>
        <t xml:space="preserve">중도퇴실 2/1  (실제퇴실 1/14)
위약금 
70만+15만=85만 
1달 2월 입력
</t>
      </text>
    </comment>
    <comment authorId="0" ref="N340">
      <text>
        <t xml:space="preserve">입금자 David Shen
</t>
      </text>
    </comment>
    <comment authorId="0" ref="C343">
      <text>
        <t xml:space="preserve">계약기간 : 24년 12월 31일까지 계약
입금일 : 매월 1일 후불
입금계좌 : 하나 379 910115 54807 주성수</t>
      </text>
    </comment>
    <comment authorId="0" ref="B344">
      <text>
        <t xml:space="preserve">02-338-8016</t>
      </text>
    </comment>
    <comment authorId="0" ref="C344">
      <text>
        <t xml:space="preserve">하나 379 910008 19805</t>
      </text>
    </comment>
    <comment authorId="0" ref="G344">
      <text>
        <t xml:space="preserve">23년 12월분 : 335,180</t>
      </text>
    </comment>
    <comment authorId="0" ref="L344">
      <text>
        <t xml:space="preserve">24년 1월분 : 347010</t>
      </text>
    </comment>
    <comment authorId="0" ref="Q344">
      <text>
        <t xml:space="preserve">24년 2월분 : 302,920</t>
      </text>
    </comment>
    <comment authorId="0" ref="V344">
      <text>
        <t xml:space="preserve">24년 3월분 : 322,270</t>
      </text>
    </comment>
    <comment authorId="0" ref="AA344">
      <text>
        <t xml:space="preserve">24년 4월분</t>
      </text>
    </comment>
    <comment authorId="0" ref="AF344">
      <text>
        <t xml:space="preserve">24년 5월분</t>
      </text>
    </comment>
    <comment authorId="0" ref="AK344">
      <text>
        <t xml:space="preserve">24년 6월분</t>
      </text>
    </comment>
    <comment authorId="0" ref="AP344">
      <text>
        <t xml:space="preserve">24년 7월분</t>
      </text>
    </comment>
    <comment authorId="0" ref="C346">
      <text>
        <t xml:space="preserve">카드결제 신청 완료
</t>
      </text>
    </comment>
    <comment authorId="0" ref="AR355">
      <text>
        <t xml:space="preserve">연장, 인상X</t>
      </text>
    </comment>
    <comment authorId="0" ref="D356">
      <text>
        <t xml:space="preserve">15일 입금</t>
      </text>
    </comment>
    <comment authorId="0" ref="I356">
      <text>
        <t xml:space="preserve">15일 입금 
곽도현 2/28
퇴실 월세  	579,310 &gt; 초과입금 환불
퇴실 관리비 	77,241 &gt; 8만입금</t>
      </text>
    </comment>
    <comment authorId="0" ref="X356">
      <text>
        <t xml:space="preserve">SHIBASAKI</t>
      </text>
    </comment>
    <comment authorId="0" ref="AH356">
      <text>
        <t xml:space="preserve">SHIBASAKI</t>
      </text>
    </comment>
    <comment authorId="0" ref="AM356">
      <text>
        <t xml:space="preserve">Anna-Lena Aicher 8/31  &gt; ok
Anna-Lena Aicher 8/31 &gt;  ok
첫달 월세	19,355
첫달 관리비	2,581</t>
      </text>
    </comment>
    <comment authorId="0" ref="D357">
      <text>
        <t xml:space="preserve">첫달 월세	325,161
첫달 관리비	54,194
입금자 : SHIBASAKI
</t>
      </text>
    </comment>
    <comment authorId="0" ref="I357">
      <text>
        <t xml:space="preserve">입금자 : SHIBASAKI &gt; ok
박다빈 계약취소 50만
김도영 2/28
첫달 월세	33,103
첫달 관리비	5,517</t>
      </text>
    </comment>
    <comment authorId="0" ref="AR357">
      <text>
        <t xml:space="preserve">연장, 인상X</t>
      </text>
    </comment>
    <comment authorId="0" ref="N358">
      <text>
        <t xml:space="preserve">3월 연장 , 인상없음
Ngoc Tram</t>
      </text>
    </comment>
    <comment authorId="0" ref="AR358">
      <text>
        <t xml:space="preserve">연장,인상X</t>
      </text>
    </comment>
    <comment authorId="0" ref="AW358">
      <text>
        <t xml:space="preserve">NGOC TRAM</t>
      </text>
    </comment>
    <comment authorId="0" ref="BB358">
      <text>
        <t xml:space="preserve">한패스 유재훈 으로 입금</t>
      </text>
    </comment>
    <comment authorId="0" ref="D377">
      <text>
        <t xml:space="preserve">입금자 : MADUROMARI
27+30+8
케이뱅크 월세 함께 입금</t>
      </text>
    </comment>
    <comment authorId="0" ref="I377">
      <text>
        <t xml:space="preserve">입금자 : MADUROMARI
투자자 27+케이뱅크 30+8
</t>
      </text>
    </comment>
    <comment authorId="0" ref="AM377">
      <text>
        <t xml:space="preserve">중도퇴실 8.31 
1달 위약금 55+8 9월</t>
      </text>
    </comment>
    <comment authorId="0" ref="AW377">
      <text>
        <t xml:space="preserve">입금자 : 조은상
월세 &gt; 유재훈 카뱅</t>
      </text>
    </comment>
    <comment authorId="0" ref="BB377">
      <text>
        <t xml:space="preserve">입금자 : 월세 조은상
관리비 : owokuma
월세 29*2회</t>
      </text>
    </comment>
    <comment authorId="0" ref="BG377">
      <text>
        <t xml:space="preserve">관리비 : owokuma</t>
      </text>
    </comment>
    <comment authorId="0" ref="I378">
      <text>
        <t xml:space="preserve">UTO MAREI(우토 마레이 ) 2/27 ok</t>
      </text>
    </comment>
    <comment authorId="0" ref="AM378">
      <text>
        <t xml:space="preserve">박찬미 8/25 ok
중도퇴실 위약금 1달 45+8 9월
도유민 8/25   ok
첫달 월세	101,613
첫달 관리비	18,065</t>
      </text>
    </comment>
    <comment authorId="0" ref="AR378">
      <text>
        <t xml:space="preserve">박찬미 위약금 &gt; OK
도유민 OK</t>
      </text>
    </comment>
    <comment authorId="0" ref="N379">
      <text>
        <t xml:space="preserve">3월 연장, 인상없음</t>
      </text>
    </comment>
    <comment authorId="0" ref="AR379">
      <text>
        <t xml:space="preserve">연장, 인상X</t>
      </text>
    </comment>
    <comment authorId="0" ref="N393">
      <text>
        <t xml:space="preserve">운영종료 3/16 
월세, 관리비 &gt; 보증금 차감완료
퇴실 월세  	273,548
퇴실 관리비 	41,290</t>
      </text>
    </comment>
    <comment authorId="0" ref="D396">
      <text>
        <t xml:space="preserve">10일 입금
중국에서 수술 후 입국못함
1/10 입금자 : 이민주 39+8=47 
&gt; 카카오 입금
</t>
      </text>
    </comment>
    <comment authorId="0" ref="I396">
      <text>
        <t xml:space="preserve">13일 입금</t>
      </text>
    </comment>
    <comment authorId="0" ref="N396">
      <text>
        <t xml:space="preserve">3월 월세,관리비
&gt; 보증금 차감 </t>
      </text>
    </comment>
    <comment authorId="0" ref="G402">
      <text>
        <t xml:space="preserve">1/1 홍네 수도세</t>
      </text>
    </comment>
    <comment authorId="0" ref="I409">
      <text>
        <t xml:space="preserve">2월 연장</t>
      </text>
    </comment>
    <comment authorId="0" ref="AH409">
      <text>
        <t xml:space="preserve">15일</t>
      </text>
    </comment>
    <comment authorId="0" ref="AM409">
      <text>
        <t xml:space="preserve">Anica Adam 8/18  중도퇴실  &gt; OK
위약금 54+8 2달  9월,10월 
Flora Abissa 8/28 &gt; OK
첫달 월세	72,258
첫달 관리비	10,323
Flora Emma
보증금 50 &gt; 유재훈카뱅</t>
      </text>
    </comment>
    <comment authorId="0" ref="AW409">
      <text>
        <t xml:space="preserve">Anica OK
Flora Emma
</t>
      </text>
    </comment>
    <comment authorId="0" ref="BB409">
      <text>
        <t xml:space="preserve">Flora Emma
</t>
      </text>
    </comment>
    <comment authorId="0" ref="BG409">
      <text>
        <t xml:space="preserve">Flora Emma
Flora Abissa 12/30 
중도퇴실 
2달분 위약금 56+8 1월,2월
</t>
      </text>
    </comment>
    <comment authorId="0" ref="D410">
      <text>
        <t xml:space="preserve">입금자 : 이혜경</t>
      </text>
    </comment>
    <comment authorId="0" ref="N410">
      <text>
        <t xml:space="preserve">3월 연장</t>
      </text>
    </comment>
    <comment authorId="0" ref="AH410">
      <text>
        <t xml:space="preserve">이혜경</t>
      </text>
    </comment>
    <comment authorId="0" ref="AR410">
      <text>
        <t xml:space="preserve">연장, 인상X
이혜경
당번X 벌금 3만 입금</t>
      </text>
    </comment>
    <comment authorId="0" ref="BB410">
      <text>
        <t xml:space="preserve">이혜경</t>
      </text>
    </comment>
    <comment authorId="0" ref="BG410">
      <text>
        <t xml:space="preserve">이혜경</t>
      </text>
    </comment>
    <comment authorId="0" ref="N411">
      <text>
        <t xml:space="preserve">3월 연장</t>
      </text>
    </comment>
    <comment authorId="0" ref="N412">
      <text>
        <t xml:space="preserve">3/1 인상 
37+1 </t>
      </text>
    </comment>
    <comment authorId="0" ref="AM412">
      <text>
        <t xml:space="preserve">이창석</t>
      </text>
    </comment>
    <comment authorId="0" ref="N425">
      <text>
        <t xml:space="preserve">Genesis Joely Castillo 3/3
퇴실 월세  	53,226
퇴실 관리비 	7,742
&gt; 보증금 차감 완료
배채연(우주) 3/3 
월세	421,000
수수료 10%	42,100
월세정산	378,900
관리비	74,800
정산합계	453,700
입금자 : 배이환 100만</t>
      </text>
    </comment>
    <comment authorId="0" ref="S425">
      <text>
        <t xml:space="preserve">월세	450,000
수수료 10%	45,000
월세정산	405,000
관리비	80,000
정산합계	485,000</t>
      </text>
    </comment>
    <comment authorId="0" ref="X425">
      <text>
        <t xml:space="preserve">월세	450,000
수수료 10%	45,000
월세정산	405,000
관리비	80,000
정산합계	485,000</t>
      </text>
    </comment>
    <comment authorId="0" ref="AC425">
      <text>
        <t xml:space="preserve">월세	450,000
수수료 10%	45,000
월세정산	405,000
관리비	80,000
정산합계	485,000</t>
      </text>
    </comment>
    <comment authorId="0" ref="AH425">
      <text>
        <t xml:space="preserve">월세	450,000
수수료 10%	45,000
부가세	4,500
월세정산	400,500
관리비	80,000
정산합계	480,500</t>
      </text>
    </comment>
    <comment authorId="0" ref="AM425">
      <text>
        <t xml:space="preserve">월세	363,000
수수료 10%	36,300
부가세	3,630
월세정산	323,070
관리비	64,500
정산합계	387,570</t>
      </text>
    </comment>
    <comment authorId="0" ref="I426">
      <text>
        <t xml:space="preserve">첫달 월세	89,655
첫달 관리비	13,793</t>
      </text>
    </comment>
    <comment authorId="0" ref="AH426">
      <text>
        <t xml:space="preserve">강다인 7/14  중도퇴실
위약금 8월 1달분</t>
      </text>
    </comment>
    <comment authorId="0" ref="AM426">
      <text>
        <t xml:space="preserve">퇴실 월세  	419,355
퇴실 관리비 	64,516</t>
      </text>
    </comment>
    <comment authorId="0" ref="I427">
      <text>
        <t xml:space="preserve">Megan Pabst 2/24  
첫달 월세	74,483
첫달 관리비	16,552
관리비 3/3 현금 입금에정</t>
      </text>
    </comment>
    <comment authorId="0" ref="AC427">
      <text>
        <t xml:space="preserve">PABST MEGA
</t>
      </text>
    </comment>
    <comment authorId="0" ref="AH427">
      <text>
        <t xml:space="preserve">PABST MEGA
</t>
      </text>
    </comment>
    <comment authorId="0" ref="AM427">
      <text>
        <t xml:space="preserve">무드 &gt; 청량 이동 8/30
위약금 1달로 차감</t>
      </text>
    </comment>
    <comment authorId="0" ref="BB427">
      <text>
        <t xml:space="preserve">Megan Pabst 11/30 중도퇴실 
2달 위약금 36+8 12월,1월</t>
      </text>
    </comment>
    <comment authorId="0" ref="D428">
      <text>
        <t xml:space="preserve">12일 입금예정</t>
      </text>
    </comment>
    <comment authorId="0" ref="I428">
      <text>
        <t xml:space="preserve">퇴실 월세  	204,138
퇴실 관리비 	44,138</t>
      </text>
    </comment>
    <comment authorId="0" ref="AC428">
      <text>
        <t xml:space="preserve">월세 &gt; 케이뱅크</t>
      </text>
    </comment>
    <comment authorId="0" ref="AF434">
      <text>
        <t xml:space="preserve">6/12 이체</t>
      </text>
    </comment>
    <comment authorId="0" ref="C441">
      <text>
        <t xml:space="preserve">보일러 X, 전기패널O</t>
      </text>
    </comment>
    <comment authorId="0" ref="AH441">
      <text>
        <t xml:space="preserve">Coline</t>
      </text>
    </comment>
    <comment authorId="0" ref="AM441">
      <text>
        <t xml:space="preserve">중도퇴실 위약금 
55+8 1달 9월 
박지은 8/30 
첫달 월세	32,903
첫달 관리비	5,161</t>
      </text>
    </comment>
    <comment authorId="0" ref="I442">
      <text>
        <t xml:space="preserve">입금자명 : 오미숙</t>
      </text>
    </comment>
    <comment authorId="0" ref="AR442">
      <text>
        <t xml:space="preserve">연장, 인상없음</t>
      </text>
    </comment>
    <comment authorId="0" ref="BG442">
      <text>
        <t xml:space="preserve">1년 계약 아님, 대신 투어페이백 없음</t>
      </text>
    </comment>
    <comment authorId="0" ref="D443">
      <text>
        <t xml:space="preserve">입금자 : 윤명숙</t>
      </text>
    </comment>
    <comment authorId="0" ref="I443">
      <text>
        <t xml:space="preserve">입금자 : 윤명숙</t>
      </text>
    </comment>
    <comment authorId="0" ref="N443">
      <text>
        <t xml:space="preserve">첫달 월세	493,548
첫달 관리비	77,419</t>
      </text>
    </comment>
    <comment authorId="0" ref="AR443">
      <text>
        <t xml:space="preserve">연장, 인상X</t>
      </text>
    </comment>
    <comment authorId="0" ref="AR444">
      <text>
        <t xml:space="preserve">연장, 인상X</t>
      </text>
    </comment>
    <comment authorId="0" ref="I445">
      <text>
        <t xml:space="preserve">첫달 월세	96,552
첫달 관리비	19,310 
</t>
      </text>
    </comment>
    <comment authorId="0" ref="AM445">
      <text>
        <t xml:space="preserve">장윤서 8/25 &gt; ok
퇴실 월세  	322,581
퇴실 관리비 	64,516
박유빈 8/25 &gt;  ok
첫달 월세	90,323
첫달 관리비	18,065
입금자 : 박사명 계약금  30+20</t>
      </text>
    </comment>
    <comment authorId="0" ref="G451">
      <text>
        <t xml:space="preserve">1/31 이체</t>
      </text>
    </comment>
    <comment authorId="0" ref="V451">
      <text>
        <t xml:space="preserve">??</t>
      </text>
    </comment>
    <comment authorId="0" ref="AA451">
      <text>
        <t xml:space="preserve">5/30 이체</t>
      </text>
    </comment>
    <comment authorId="0" ref="AP451">
      <text>
        <t xml:space="preserve">8/9 이체</t>
      </text>
    </comment>
    <comment authorId="0" ref="BJ451">
      <text>
        <t xml:space="preserve">12/26</t>
      </text>
    </comment>
    <comment authorId="0" ref="D459">
      <text>
        <t xml:space="preserve">월세 : 1,2월 12/19 선입금 
100+6</t>
      </text>
    </comment>
    <comment authorId="0" ref="I459">
      <text>
        <t xml:space="preserve">월세 : 1,2월 12/19 선입금 
100+6</t>
      </text>
    </comment>
    <comment authorId="0" ref="AH459">
      <text>
        <t xml:space="preserve">연장, 인상없음</t>
      </text>
    </comment>
    <comment authorId="0" ref="N460">
      <text>
        <t xml:space="preserve">첫달 월세	377,419
첫달 관리비	77,419</t>
      </text>
    </comment>
    <comment authorId="0" ref="AM460">
      <text>
        <t xml:space="preserve">박미호</t>
      </text>
    </comment>
    <comment authorId="0" ref="AR460">
      <text>
        <t xml:space="preserve">박미호 
입금자 강연수?</t>
      </text>
    </comment>
    <comment authorId="0" ref="I461">
      <text>
        <t xml:space="preserve">3.1 C2 → A 이동</t>
      </text>
    </comment>
    <comment authorId="0" ref="C464">
      <text>
        <t xml:space="preserve">월 3만 고정</t>
      </text>
    </comment>
    <comment authorId="0" ref="C467">
      <text>
        <t xml:space="preserve">월 3만원 고정</t>
      </text>
    </comment>
    <comment authorId="0" ref="AA467">
      <text>
        <t xml:space="preserve">5/30 카뱅</t>
      </text>
    </comment>
    <comment authorId="0" ref="I474">
      <text>
        <t xml:space="preserve">첫달 월세	103,448
첫달 관리비	16,552</t>
      </text>
    </comment>
    <comment authorId="0" ref="AH474">
      <text>
        <t xml:space="preserve">김아영 7/27 중도퇴실
(50+8)*2달 &gt; 8월 9월 입력
할인 3만*3달=9만 &gt; 8월입력
</t>
      </text>
    </comment>
    <comment authorId="0" ref="AM474">
      <text>
        <t xml:space="preserve">하현지 8/27
첫달 월세	85,484
첫달 관리비	12,903
잔금 &gt; 윤서라</t>
      </text>
    </comment>
    <comment authorId="0" ref="BG474">
      <text>
        <t xml:space="preserve">입금 하헌지
</t>
      </text>
    </comment>
    <comment authorId="0" ref="I475">
      <text>
        <t xml:space="preserve">첫달 월세	18,966
첫달 관리비	2,759</t>
      </text>
    </comment>
    <comment authorId="0" ref="S475">
      <text>
        <t xml:space="preserve">입금자 : 이지은</t>
      </text>
    </comment>
    <comment authorId="0" ref="AR475">
      <text>
        <t xml:space="preserve">연장, 인상X</t>
      </text>
    </comment>
    <comment authorId="0" ref="AR476">
      <text>
        <t xml:space="preserve">9/24
보증금 200 현금수령
9월분 연수님 에비계좌로 직접 받았다고 함 
58만 (50+8)</t>
      </text>
    </comment>
    <comment authorId="0" ref="AW476">
      <text>
        <t xml:space="preserve">10/1 유재훈 53+8 현금 수령함
: 53 &gt; 연수님 바로 전달, 입금x
이체수수료 1500 제외 입금</t>
      </text>
    </comment>
    <comment authorId="0" ref="BB476">
      <text>
        <t xml:space="preserve">11/2 김기진 53+8 현금 수령함
53 아래 계좌로 입금(미확인)
3333018844926 카카오뱅크 강연수</t>
      </text>
    </comment>
    <comment authorId="0" ref="BG476">
      <text>
        <t xml:space="preserve">43+10
</t>
      </text>
    </comment>
    <comment authorId="0" ref="I477">
      <text>
        <t xml:space="preserve">첫달 월세	141,379
첫달 관리비	27,586</t>
      </text>
    </comment>
    <comment authorId="0" ref="AH477">
      <text>
        <t xml:space="preserve">이한성 
퇴실안내 없이 퇴실함
7월, 8월 위약금 공과금에서 정산</t>
      </text>
    </comment>
    <comment authorId="0" ref="AM477">
      <text>
        <t xml:space="preserve">이한성 8/25 &gt; ok
퇴실 월세  	330,645
퇴실 관리비 	64,516
7월, 8월 위약금 공과금에서 정산
박지은 8/16~29 &gt; ok
월세 185,161 / 관리비 41,000
</t>
      </text>
    </comment>
    <comment authorId="0" ref="D490">
      <text>
        <t xml:space="preserve">입금자 : 윤현주
월세 52 입금 &gt; 2만 환불</t>
      </text>
    </comment>
    <comment authorId="0" ref="I490">
      <text>
        <t xml:space="preserve">퇴실 월세  	413,793 
퇴실 관리비 	66,207
&gt; 초과입금액  보증금 차감</t>
      </text>
    </comment>
    <comment authorId="0" ref="N490">
      <text>
        <t xml:space="preserve">첫달 월세	464,516
첫달 관리비	77,419</t>
      </text>
    </comment>
    <comment authorId="0" ref="AR490">
      <text>
        <t xml:space="preserve">연장, 인상X</t>
      </text>
    </comment>
    <comment authorId="0" ref="D491">
      <text>
        <t xml:space="preserve">래미안 건설
부가세별도 
C &gt; B로 이동
12월 528000 +88000 =616,000 (부가세포함) &gt; 카카오 입금</t>
      </text>
    </comment>
    <comment authorId="0" ref="I491">
      <text>
        <t xml:space="preserve">이시연 중도퇴실  3/1
위약금 2개월 3월, 4월 48 + 8 
래미안 건설
부가세별도 
C &gt; B로 이동
12월 528000 +88000 =616,000 (부가세포함) &gt; 카카오 입금</t>
      </text>
    </comment>
    <comment authorId="0" ref="N491">
      <text>
        <t xml:space="preserve">이시연 래미안 위약금 1 ok
이연미 3/3
첫달 월세	420,968
첫달 관리비	74,839</t>
      </text>
    </comment>
    <comment authorId="0" ref="S491">
      <text>
        <t xml:space="preserve">이시연 래미안 2 위약금 ok</t>
      </text>
    </comment>
    <comment authorId="0" ref="AR491">
      <text>
        <t xml:space="preserve">연장, 인상X</t>
      </text>
    </comment>
    <comment authorId="0" ref="AW491">
      <text>
        <t xml:space="preserve">입금자 : 박희옥</t>
      </text>
    </comment>
    <comment authorId="0" ref="N492">
      <text>
        <t xml:space="preserve">첫달 월세	383,548
첫달 관리비	74,839</t>
      </text>
    </comment>
    <comment authorId="0" ref="I493">
      <text>
        <t xml:space="preserve">2월 연장</t>
      </text>
    </comment>
    <comment authorId="0" ref="AR493">
      <text>
        <t xml:space="preserve">연장, 인상X</t>
      </text>
    </comment>
    <comment authorId="0" ref="D506">
      <text>
        <t xml:space="preserve">퇴실 월세  	129,032
퇴실 관리비 	20,645 &gt; 21,333 입금</t>
      </text>
    </comment>
    <comment authorId="0" ref="I506">
      <text>
        <t xml:space="preserve">첫달 월세	168,966
첫달 관리비	27,586 &gt; 카카오 입금</t>
      </text>
    </comment>
    <comment authorId="0" ref="N506">
      <text>
        <t xml:space="preserve">관리비 카카오 입금</t>
      </text>
    </comment>
    <comment authorId="0" ref="AR506">
      <text>
        <t xml:space="preserve">연장, 인상X</t>
      </text>
    </comment>
    <comment authorId="0" ref="N507">
      <text>
        <t xml:space="preserve">3월 연장 인상
37 → 39</t>
      </text>
    </comment>
    <comment authorId="0" ref="I508">
      <text>
        <t xml:space="preserve">이은비 2/14
퇴실 월세  	193,103
퇴실 관리비 	38,621 &gt; ok
김나영 2/27 
첫달 월세	40,345
첫달 관리비	8,276</t>
      </text>
    </comment>
    <comment authorId="0" ref="AM508">
      <text>
        <t xml:space="preserve">김나영 8/25 &gt; ok
퇴실 월세  	346,774
퇴실 관리비 	64,516
정규연 8/25 &gt; ok
첫달 월세	90,323
첫달 관리비	18,065</t>
      </text>
    </comment>
    <comment authorId="0" ref="N509">
      <text>
        <t xml:space="preserve">첫달 월세	245,161
첫달 관리비	49,032
계약금 477,986  부족금 22,014 잔금에 추가입금
</t>
      </text>
    </comment>
    <comment authorId="0" ref="AR509">
      <text>
        <t xml:space="preserve">4개월 연장 
10만 인상</t>
      </text>
    </comment>
    <comment authorId="0" ref="BL509">
      <text>
        <t xml:space="preserve">6개월 연장 
40+8</t>
      </text>
    </comment>
    <comment authorId="0" ref="I510">
      <text>
        <t xml:space="preserve">첫달 월세	63,793
첫달 관리비	13,793</t>
      </text>
    </comment>
    <comment authorId="0" ref="AR510">
      <text>
        <t xml:space="preserve">연장, 인상X</t>
      </text>
    </comment>
    <comment authorId="0" ref="C514">
      <text>
        <t xml:space="preserve">카드결제 신청 완료
</t>
      </text>
    </comment>
    <comment authorId="0" ref="C515">
      <text>
        <t xml:space="preserve">4월부터 내 카드로 </t>
      </text>
    </comment>
    <comment authorId="0" ref="N523">
      <text>
        <t xml:space="preserve">입금자 Elyna Vale
</t>
      </text>
    </comment>
    <comment authorId="0" ref="X523">
      <text>
        <t xml:space="preserve">231K10883</t>
      </text>
    </comment>
    <comment authorId="0" ref="AC523">
      <text>
        <t xml:space="preserve">첫달 월세	165,000
첫달 관리비	24,000</t>
      </text>
    </comment>
    <comment authorId="0" ref="AM523">
      <text>
        <t xml:space="preserve">김지현 8/31 중도퇴실
55+8 2달 9월 10월</t>
      </text>
    </comment>
    <comment authorId="0" ref="AR523">
      <text>
        <t xml:space="preserve">김지현 위약금 &gt; ok
박수현 9/1 &gt;</t>
      </text>
    </comment>
    <comment authorId="0" ref="I524">
      <text>
        <t xml:space="preserve">김현경 2/13
퇴실 월세  	210,690
퇴실 관리비 	35,862 &gt; ok
Haifa Grefalda 2/22 &gt; 관리미입금
첫달 월세	157,241
첫달 관리비	22,069
</t>
      </text>
    </comment>
    <comment authorId="0" ref="AC524">
      <text>
        <t xml:space="preserve">백혜원 중도퇴실 6.23 
7월 50+8 
8월 403,226 + 64,516
위약금</t>
      </text>
    </comment>
    <comment authorId="0" ref="AM524">
      <text>
        <t xml:space="preserve">백혜원 위약금 8/25 &gt; ok
퇴실 월세  	403,226
퇴실 관리비 	64,516
박예림(우주) 8/22
월세	185,000
수수료 10%	18,500
부가세	1,850
월세정산	164,650
관리비	25,800
정산합계	190,450</t>
      </text>
    </comment>
    <comment authorId="0" ref="AR524">
      <text>
        <t xml:space="preserve">월세	572,000
수수료 10%	57,200
부가세	5,720
월세정산	509,080
관리비	80,000
정산합계	589,080</t>
      </text>
    </comment>
    <comment authorId="0" ref="AW524">
      <text>
        <t xml:space="preserve">관 : 잔금 함께 월세계좌로 입금
9,10관리비 12만
Anke Kroep
</t>
      </text>
    </comment>
    <comment authorId="0" ref="BB524">
      <text>
        <t xml:space="preserve">Anke Kroep
</t>
      </text>
    </comment>
    <comment authorId="0" ref="N525">
      <text>
        <t xml:space="preserve">Haifa Grefalda 2/22
2/22 B룸 입주 &gt; 2/28 C룸 이동</t>
      </text>
    </comment>
    <comment authorId="0" ref="S525">
      <text>
        <t xml:space="preserve">입금자 GREFALDAH
</t>
      </text>
    </comment>
    <comment authorId="0" ref="AC525">
      <text>
        <t xml:space="preserve">GREFALDA
</t>
      </text>
    </comment>
    <comment authorId="0" ref="AH525">
      <text>
        <t xml:space="preserve">GREFALDA
</t>
      </text>
    </comment>
    <comment authorId="0" ref="AM525">
      <text>
        <t xml:space="preserve">첫달 월세	134,194
첫달 관리비	20,645</t>
      </text>
    </comment>
    <comment authorId="0" ref="BB525">
      <text>
        <t xml:space="preserve">DICKHAEUSE</t>
      </text>
    </comment>
    <comment authorId="0" ref="BG525">
      <text>
        <t xml:space="preserve">DICKHAEUSE</t>
      </text>
    </comment>
    <comment authorId="0" ref="AR526">
      <text>
        <t xml:space="preserve">연장, 인상X</t>
      </text>
    </comment>
    <comment authorId="0" ref="I527">
      <text>
        <t xml:space="preserve">첫달 월세	17,241
첫달 관리비	2,759 &gt; 카카오 유재훈</t>
      </text>
    </comment>
    <comment authorId="0" ref="N527">
      <text>
        <t xml:space="preserve">관리비  &gt; 카카오 유재훈</t>
      </text>
    </comment>
    <comment authorId="0" ref="X527">
      <text>
        <t xml:space="preserve">김채연 5/31 중도퇴실 
5/1 청량하우스 이동으로 위약금 x</t>
      </text>
    </comment>
    <comment authorId="0" ref="AC527">
      <text>
        <t xml:space="preserve">6/1 중도퇴실 &gt; 청량 이동
퇴실 월세  	466,667
퇴실 관리비 	74,667
&gt; 입주자 위약금은 없음, 
투자자에게만 위약금 정산</t>
      </text>
    </comment>
    <comment authorId="0" ref="AR527">
      <text>
        <t xml:space="preserve">Lara Kroepelin 9/16~9/30 
첫달 월세	215,000
첫달 관리비	40,000
9/3 500,000 (보증금)
9/22 2,266,113 (잔금)
9,10관리비 12만
Anke Kroep
</t>
      </text>
    </comment>
    <comment authorId="0" ref="C531">
      <text>
        <t xml:space="preserve">카드결제 신청 완료
</t>
      </text>
    </comment>
    <comment authorId="0" ref="C532">
      <text>
        <t xml:space="preserve">4월부터 내 카드로 </t>
      </text>
    </comment>
    <comment authorId="0" ref="L545">
      <text>
        <t xml:space="preserve">2/25 바우월세+수도+관리비
</t>
      </text>
    </comment>
    <comment authorId="0" ref="AA545">
      <text>
        <t xml:space="preserve">5/24 바우월세+수도+관리비
</t>
      </text>
    </comment>
    <comment authorId="0" ref="AF545">
      <text>
        <t xml:space="preserve">6/24 바우월세+수도+관리비</t>
      </text>
    </comment>
    <comment authorId="0" ref="AK545">
      <text>
        <t xml:space="preserve">7/24 바우월세+수도+관리비</t>
      </text>
    </comment>
    <comment authorId="0" ref="AP545">
      <text>
        <t xml:space="preserve">8/23 바우월세+수도+관리비</t>
      </text>
    </comment>
    <comment authorId="0" ref="AU545">
      <text>
        <t xml:space="preserve">9/24 바우월세+수도+관리비</t>
      </text>
    </comment>
    <comment authorId="0" ref="AZ545">
      <text>
        <t xml:space="preserve">10/24 바우월세+수도+관리비</t>
      </text>
    </comment>
    <comment authorId="0" ref="BE545">
      <text>
        <t xml:space="preserve">11/24 바우월세+수도+관리비
525,000
</t>
      </text>
    </comment>
    <comment authorId="0" ref="D555">
      <text>
        <t xml:space="preserve">월세 케이뱅크 입금
입금자 : KAI LION / Lion Kai
</t>
      </text>
    </comment>
    <comment authorId="0" ref="I555">
      <text>
        <t xml:space="preserve">월세 케이뱅크 입금
입금자 : KAI LION
</t>
      </text>
    </comment>
    <comment authorId="0" ref="N555">
      <text>
        <t xml:space="preserve">월세 케이뱅크 입금
입금자 : Lion Kai
</t>
      </text>
    </comment>
    <comment authorId="0" ref="S555">
      <text>
        <t xml:space="preserve">월세 케이뱅크 입금
입금자 Lion Kai 
</t>
      </text>
    </comment>
    <comment authorId="0" ref="AC555">
      <text>
        <t xml:space="preserve">월세 케이뱅크 입금
연장, 인상X</t>
      </text>
    </comment>
    <comment authorId="0" ref="AH555">
      <text>
        <t xml:space="preserve">월세 케이뱅크 입금
입금자 Lion Kai 
</t>
      </text>
    </comment>
    <comment authorId="0" ref="AR555">
      <text>
        <t xml:space="preserve">Lion Kai</t>
      </text>
    </comment>
    <comment authorId="0" ref="AW555">
      <text>
        <t xml:space="preserve">Lion Kai &gt; 59+8 케이뱅크 모두 입금</t>
      </text>
    </comment>
    <comment authorId="0" ref="BB555">
      <text>
        <t xml:space="preserve">Lion Kai &gt; 59+8 케이뱅크 모두 입금
235,154 + 444,846 2번 나눠입금
68만
</t>
      </text>
    </comment>
    <comment authorId="0" ref="BG555">
      <text>
        <t xml:space="preserve">연장, 인상x
 531,000  +  59,000 
</t>
      </text>
    </comment>
    <comment authorId="0" ref="D556">
      <text>
        <t xml:space="preserve">최지승 1/31
56+8 ok
윤수빈 1/31 
첫달 월세	18,065
첫달 관리비	2,581</t>
      </text>
    </comment>
    <comment authorId="0" ref="I556">
      <text>
        <t xml:space="preserve">2/29 B &gt; C 이동</t>
      </text>
    </comment>
    <comment authorId="0" ref="N557">
      <text>
        <t xml:space="preserve">3월 연장</t>
      </text>
    </comment>
    <comment authorId="0" ref="AR557">
      <text>
        <t xml:space="preserve">연장, 인상X</t>
      </text>
    </comment>
    <comment authorId="0" ref="N558">
      <text>
        <t xml:space="preserve">2/29 B &gt; C 이동</t>
      </text>
    </comment>
    <comment authorId="0" ref="AR558">
      <text>
        <t xml:space="preserve">동동 퇴실비 3만 8/31</t>
      </text>
    </comment>
    <comment authorId="0" ref="D571">
      <text>
        <t xml:space="preserve">월세 55만 + 1만 
</t>
      </text>
    </comment>
    <comment authorId="0" ref="I571">
      <text>
        <t xml:space="preserve">월세 55만 + 1만 
</t>
      </text>
    </comment>
    <comment authorId="0" ref="N571">
      <text>
        <t xml:space="preserve">3월 연장 , 인하</t>
      </text>
    </comment>
    <comment authorId="0" ref="S571">
      <text>
        <t xml:space="preserve">권진송 4.30 중도퇴실 
입주자 직접 구함
위약금 10만
할인 1만 *2달 = 2만
10일 입금</t>
      </text>
    </comment>
    <comment authorId="0" ref="AC571">
      <text>
        <t xml:space="preserve">월세 &gt; 케이뱅크
관리비 &gt; 카뱅 
입금자 : 이슬기</t>
      </text>
    </comment>
    <comment authorId="0" ref="AR571">
      <text>
        <t xml:space="preserve">연장, 인상X</t>
      </text>
    </comment>
    <comment authorId="0" ref="D572">
      <text>
        <t xml:space="preserve">손채현 실제퇴실 1/3 ok
김다예 1/31 
첫달 월세	17,742
첫달 관리비	2,581
입금자 : 김다에</t>
      </text>
    </comment>
    <comment authorId="0" ref="I572">
      <text>
        <t xml:space="preserve">1/26 잔금으로 입금</t>
      </text>
    </comment>
    <comment authorId="0" ref="S572">
      <text>
        <t xml:space="preserve">입금자 : 김승근</t>
      </text>
    </comment>
    <comment authorId="0" ref="X572">
      <text>
        <t xml:space="preserve">입금자 브루하우스 B1 김</t>
      </text>
    </comment>
    <comment authorId="0" ref="AC572">
      <text>
        <t xml:space="preserve">입금자 : 브루하우스 B1 김</t>
      </text>
    </comment>
    <comment authorId="0" ref="AM572">
      <text>
        <t xml:space="preserve">김다예 8/15 &gt; OK
곽승혜 8/26 &gt; OK
첫달 월세	106,452
첫달 관리비	15,484</t>
      </text>
    </comment>
    <comment authorId="0" ref="D573">
      <text>
        <t xml:space="preserve">실제퇴실 1/27
1월 관리비 &gt; 카카오 유재훈 입금
중도퇴실 2월한달 위약금</t>
      </text>
    </comment>
    <comment authorId="0" ref="N573">
      <text>
        <t xml:space="preserve">첫달 월세	27,097
첫달 관리비	5,161</t>
      </text>
    </comment>
    <comment authorId="0" ref="AH573">
      <text>
        <t xml:space="preserve">퇴실 월세  	406,452
퇴실 관리비 	77,419</t>
      </text>
    </comment>
    <comment authorId="0" ref="AM573">
      <text>
        <t xml:space="preserve">첫달 월세	276,774
첫달 관리비	56,774</t>
      </text>
    </comment>
    <comment authorId="0" ref="D574">
      <text>
        <t xml:space="preserve">실제퇴실 1/27
중도퇴실 2월한달 위약금</t>
      </text>
    </comment>
    <comment authorId="0" ref="AH574">
      <text>
        <t xml:space="preserve">입금자 : Dale Lee W</t>
      </text>
    </comment>
    <comment authorId="0" ref="AM574">
      <text>
        <t xml:space="preserve">입금자 : Dale Lee W</t>
      </text>
    </comment>
    <comment authorId="0" ref="AR574">
      <text>
        <t xml:space="preserve">입금자 : Dale Lee W</t>
      </text>
    </comment>
    <comment authorId="0" ref="AW574">
      <text>
        <t xml:space="preserve">입금자 : Dale Lee W
중도퇴실 10/29 
11월분까지 입금예정</t>
      </text>
    </comment>
    <comment authorId="0" ref="BB574">
      <text>
        <t xml:space="preserve">입금자 : Dale Lee W
</t>
      </text>
    </comment>
    <comment authorId="0" ref="D587">
      <text>
        <t xml:space="preserve">1월 연장</t>
      </text>
    </comment>
    <comment authorId="0" ref="AC587">
      <text>
        <t xml:space="preserve">이은지 6/30 &gt; 실제 퇴실 6/26 &gt; OK
김지오 6/26 &gt; OK
첫달 월세	86,667
첫달 관리비	13,333</t>
      </text>
    </comment>
    <comment authorId="0" ref="AH587">
      <text>
        <t xml:space="preserve">케이뱅크로 월+관리 함께 입금</t>
      </text>
    </comment>
    <comment authorId="0" ref="AM587">
      <text>
        <t xml:space="preserve">입금자명: 조금선</t>
      </text>
    </comment>
    <comment authorId="0" ref="AR587">
      <text>
        <t xml:space="preserve">관리비 &gt; 카뱅 유재훈</t>
      </text>
    </comment>
    <comment authorId="0" ref="AW587">
      <text>
        <t xml:space="preserve">관리비 &gt; 카뱅 유재훈</t>
      </text>
    </comment>
    <comment authorId="0" ref="BL587">
      <text>
        <t xml:space="preserve">24.12 연장  62&gt; 52</t>
      </text>
    </comment>
    <comment authorId="0" ref="N588">
      <text>
        <t xml:space="preserve">3월 연장, 인상없음</t>
      </text>
    </comment>
    <comment authorId="0" ref="AR588">
      <text>
        <t xml:space="preserve">연장, 인상X</t>
      </text>
    </comment>
    <comment authorId="0" ref="BG588">
      <text>
        <t xml:space="preserve">중도퇴실 12/29
50+8 * 2개월
1월 2월 입력</t>
      </text>
    </comment>
    <comment authorId="0" ref="D589">
      <text>
        <t xml:space="preserve">퇴실 월세  	188,710
퇴실 관리비 	33,548</t>
      </text>
    </comment>
    <comment authorId="0" ref="I589">
      <text>
        <t xml:space="preserve">첫달월세 82,759
첫달관리비 16,552
김정민,김선주 동반입주 2만원 할인</t>
      </text>
    </comment>
    <comment authorId="0" ref="N589">
      <text>
        <t xml:space="preserve">김정민,김선주 동반입주 2만원 할인</t>
      </text>
    </comment>
    <comment authorId="0" ref="AM589">
      <text>
        <t xml:space="preserve">1차 : 25일 퇴실 예정 64,516
2차 : 월세 73,548 , 관리비 15,484 </t>
      </text>
    </comment>
    <comment authorId="0" ref="AR589">
      <text>
        <t xml:space="preserve">연장, 인상X</t>
      </text>
    </comment>
    <comment authorId="0" ref="D590">
      <text>
        <t xml:space="preserve">입금자 : Alexia Son
</t>
      </text>
    </comment>
    <comment authorId="0" ref="N590">
      <text>
        <t xml:space="preserve">첫달 월세	367,742
첫달 관리비	77,419
김정민,김선주 동반입주 2만원 할인</t>
      </text>
    </comment>
    <comment authorId="0" ref="AM590">
      <text>
        <t xml:space="preserve">김선주 8/24 &gt; ok
퇴실 월세  	306,452
퇴실 관리비 	64,516
오현빈 8/24 
첫달 월세	129,032
첫달 관리비	20,645 &gt; 카뱅 유재훈</t>
      </text>
    </comment>
    <comment authorId="0" ref="C594">
      <text>
        <t xml:space="preserve">카드결제 신청 완료
</t>
      </text>
    </comment>
    <comment authorId="0" ref="C595">
      <text>
        <t xml:space="preserve">카드결제 신청 완료
</t>
      </text>
    </comment>
    <comment authorId="0" ref="AP596">
      <text>
        <t xml:space="preserve">8/2 고정의 116200</t>
      </text>
    </comment>
    <comment authorId="0" ref="N603">
      <text>
        <t xml:space="preserve">3월 연장, 인상없음</t>
      </text>
    </comment>
    <comment authorId="0" ref="AR603">
      <text>
        <t xml:space="preserve">연장, 인상X</t>
      </text>
    </comment>
    <comment authorId="0" ref="N604">
      <text>
        <t xml:space="preserve">3월 연장, 인상없음</t>
      </text>
    </comment>
    <comment authorId="0" ref="AR604">
      <text>
        <t xml:space="preserve">연장, 인상없음</t>
      </text>
    </comment>
    <comment authorId="0" ref="D605">
      <text>
        <t xml:space="preserve">첫달 월세	12,903
첫달 관리비	2,581</t>
      </text>
    </comment>
    <comment authorId="0" ref="I605">
      <text>
        <t xml:space="preserve">1/30 잔금과 입금
5일 입금</t>
      </text>
    </comment>
    <comment authorId="0" ref="N605">
      <text>
        <t xml:space="preserve">5일 입금</t>
      </text>
    </comment>
    <comment authorId="0" ref="S605">
      <text>
        <t xml:space="preserve">5일 입금</t>
      </text>
    </comment>
    <comment authorId="0" ref="X605">
      <text>
        <t xml:space="preserve">5일 입금</t>
      </text>
    </comment>
    <comment authorId="0" ref="AC605">
      <text>
        <t xml:space="preserve">5일 입금</t>
      </text>
    </comment>
    <comment authorId="0" ref="AH605">
      <text>
        <t xml:space="preserve">5일 입금</t>
      </text>
    </comment>
    <comment authorId="0" ref="BB605">
      <text>
        <t xml:space="preserve">2명 동시 입주 계약 &gt; 계약취소 &gt; 계약금 미환불 50만*2명</t>
      </text>
    </comment>
    <comment authorId="0" ref="I606">
      <text>
        <t xml:space="preserve">2/18 중도퇴실
1달 위약금 3월 입력 37 + 8</t>
      </text>
    </comment>
    <comment authorId="0" ref="N606">
      <text>
        <t xml:space="preserve">2/18 중도퇴실
1달 위약금 3월 입력 37 + 8</t>
      </text>
    </comment>
    <comment authorId="0" ref="AH606">
      <text>
        <t xml:space="preserve">1개월 연장</t>
      </text>
    </comment>
    <comment authorId="0" ref="BB606">
      <text>
        <t xml:space="preserve">계약 취소 위약금 50만</t>
      </text>
    </comment>
    <comment authorId="0" ref="BL606">
      <text>
        <t xml:space="preserve">첫달 월세	270,968
첫달 관리비	54,194</t>
      </text>
    </comment>
    <comment authorId="0" ref="C610">
      <text>
        <t xml:space="preserve">카드결제 신청 완료
</t>
      </text>
    </comment>
    <comment authorId="0" ref="C611">
      <text>
        <t xml:space="preserve">카드결제 신청 완료
</t>
      </text>
    </comment>
    <comment authorId="0" ref="AP612">
      <text>
        <t xml:space="preserve">8/2 고정의 116200</t>
      </text>
    </comment>
    <comment authorId="0" ref="N619">
      <text>
        <t xml:space="preserve">3월 연장</t>
      </text>
    </comment>
    <comment authorId="0" ref="AM620">
      <text>
        <t xml:space="preserve">51 + 1</t>
      </text>
    </comment>
    <comment authorId="0" ref="AR620">
      <text>
        <t xml:space="preserve">연장, 인하 1만</t>
      </text>
    </comment>
    <comment authorId="0" ref="I621">
      <text>
        <t xml:space="preserve">권성원 2/2 &gt; 보증금 차감
퇴실 월세  	27,586 ok
퇴실 관리비 	5,517 ok
최설화 실제입주 2/3
</t>
      </text>
    </comment>
    <comment authorId="0" ref="I622">
      <text>
        <t xml:space="preserve">실제퇴실 1/12 &gt; 보증금 차감
퇴실 월세  	27,586 ok
퇴실 관리비 	5,517 ok
이단비 2/12~29 &gt; B 이동 
첫달 월세	260,690
첫달 관리비	49,655</t>
      </text>
    </comment>
    <comment authorId="0" ref="N622">
      <text>
        <t xml:space="preserve">첫달 월세	230,323
첫달 관리비	43,871 &gt; 카뱅 입금</t>
      </text>
    </comment>
    <comment authorId="0" ref="C624">
      <text>
        <t xml:space="preserve">계약기간 : 25년 8월 14일까지 계약
입금일 : 매월 15일 후불
입금계좌 : 기업 053 028817 01 027 박영미</t>
      </text>
    </comment>
    <comment authorId="0" ref="Q628">
      <text>
        <t xml:space="preserve">3.28 박영미 7만 (영영1,영영2)
</t>
      </text>
    </comment>
    <comment authorId="0" ref="BE628">
      <text>
        <t xml:space="preserve">11/25 박영미 11만 /2 = 55,000</t>
      </text>
    </comment>
    <comment authorId="0" ref="I635">
      <text>
        <t xml:space="preserve">2월 연장</t>
      </text>
    </comment>
    <comment authorId="0" ref="D636">
      <text>
        <t xml:space="preserve">퇴실 월세  	162,581
퇴실 관리비 	30,968</t>
      </text>
    </comment>
    <comment authorId="0" ref="S636">
      <text>
        <t xml:space="preserve">입금자 : 이주연
</t>
      </text>
    </comment>
    <comment authorId="0" ref="D637">
      <text>
        <t xml:space="preserve">퇴실 월세  	162,581
퇴실 관리비 	30,968</t>
      </text>
    </comment>
    <comment authorId="0" ref="C639">
      <text>
        <t xml:space="preserve">계약기간 : 25년 8월 14일까지 계약
입금일 : 매월 15일 후불
입금계좌 : 기업 053 028817 01 027 박영미</t>
      </text>
    </comment>
    <comment authorId="0" ref="Q643">
      <text>
        <t xml:space="preserve">3.28 박영미 7만 (영영1,영영2)
</t>
      </text>
    </comment>
    <comment authorId="0" ref="BE643">
      <text>
        <t xml:space="preserve">11/25 박영미 11만 /2 = 55,000</t>
      </text>
    </comment>
    <comment authorId="0" ref="AH650">
      <text>
        <t xml:space="preserve">25.2.28까지 인상
인상없음</t>
      </text>
    </comment>
    <comment authorId="0" ref="S651">
      <text>
        <t xml:space="preserve">4월 연장</t>
      </text>
    </comment>
    <comment authorId="0" ref="D652">
      <text>
        <t xml:space="preserve">중도퇴실 1/5 
위약금 (1월 + 2월분 )
42만+8만=58만 
2달 1월 2월 입력
</t>
      </text>
    </comment>
    <comment authorId="0" ref="S652">
      <text>
        <t xml:space="preserve">월세	368,000
수수료 10%	36,800
월세정산	331,200
관리비	67,000
정산합계	398,200</t>
      </text>
    </comment>
    <comment authorId="0" ref="X652">
      <text>
        <t xml:space="preserve">월세	442,000
수수료 10%	44,200
월세정산	397,800
관리비	80,000
정산합계	477,800</t>
      </text>
    </comment>
    <comment authorId="0" ref="AC652">
      <text>
        <t xml:space="preserve">월세	442,000
수수료 10%	44,200
월세정산	397,800
관리비	80,000
정산합계	477,800</t>
      </text>
    </comment>
    <comment authorId="0" ref="AH652">
      <text>
        <t xml:space="preserve">월세	442,000
수수료 10%	44,200
부가세	4,420
월세정산	393,380
관리비	80,000
정산합계	473,380</t>
      </text>
    </comment>
    <comment authorId="0" ref="AM652">
      <text>
        <t xml:space="preserve">월세	442,000
수수료 10%	44,200
부가세	4,420
월세정산	393,380
관리비	80,000
정산합계	473,380</t>
      </text>
    </comment>
    <comment authorId="0" ref="AR652">
      <text>
        <t xml:space="preserve">월세	442,000
수수료 10%	44,200
부가세	4,420
월세정산	393,380
관리비	80,000
정산합계	473,380</t>
      </text>
    </comment>
    <comment authorId="0" ref="AW652">
      <text>
        <t xml:space="preserve">월세	71,000
수수료 10%	7,100
부가세	710
월세정산	63,190
관리비	12,900
정산합계	76,090</t>
      </text>
    </comment>
    <comment authorId="0" ref="C653">
      <text>
        <t xml:space="preserve">에어컨있음</t>
      </text>
    </comment>
    <comment authorId="0" ref="N653">
      <text>
        <t xml:space="preserve">월세	58,000
수수료 10%	5,800
월세정산	52,200
관리비	10,000
정산합계	62,200</t>
      </text>
    </comment>
    <comment authorId="0" ref="S653">
      <text>
        <t xml:space="preserve">월세	450,000
수수료 10%	45,000
월세정산	405,000
관리비	80,000
정산합계	485,000</t>
      </text>
    </comment>
    <comment authorId="0" ref="X653">
      <text>
        <t xml:space="preserve">월세	450,000
수수료 10%	45,000
월세정산	405,000
관리비	80,000
정산합계	485,000</t>
      </text>
    </comment>
    <comment authorId="0" ref="AC653">
      <text>
        <t xml:space="preserve">월세	420,000
수수료 10%	42,000
월세정산	378,000
관리비	75,000
정산합계	453,000
임보람 6/28 &gt; 잔금 입금
첫달 월세	40,000
첫달 관리비	8,000</t>
      </text>
    </comment>
    <comment authorId="0" ref="AR653">
      <text>
        <t xml:space="preserve">관리비 카뱅</t>
      </text>
    </comment>
    <comment authorId="0" ref="AW653">
      <text>
        <t xml:space="preserve">연장, 인상X</t>
      </text>
    </comment>
    <comment authorId="0" ref="C655">
      <text>
        <t xml:space="preserve">계약기간 : 25년 4월 30일까지 계약
입금일 : 매월 30일 후불
입금계좌 : 신협 132 001 823764 신우식
관리비 1.2만 + 수도세 2만</t>
      </text>
    </comment>
    <comment authorId="0" ref="C657">
      <text>
        <t xml:space="preserve">카드결제 신청 완료
</t>
      </text>
    </comment>
    <comment authorId="0" ref="C658">
      <text>
        <t xml:space="preserve">카드결제 신청 완료
</t>
      </text>
    </comment>
    <comment authorId="0" ref="AR666">
      <text>
        <t xml:space="preserve">첫달 월세	32,000
첫달 관리비	5,333</t>
      </text>
    </comment>
    <comment authorId="0" ref="AR667">
      <text>
        <t xml:space="preserve">첫달 월세	216,667
첫달 관리비	34,667</t>
      </text>
    </comment>
    <comment authorId="0" ref="AW668">
      <text>
        <t xml:space="preserve">첫달 월세	333,871
첫달 관리비	59,355</t>
      </text>
    </comment>
    <comment authorId="0" ref="AW669">
      <text>
        <t xml:space="preserve">잔 192만+ 관 8만 
현금수령 &gt; 입금 </t>
      </text>
    </comment>
    <comment authorId="0" ref="I682">
      <text>
        <t xml:space="preserve">2월 연장</t>
      </text>
    </comment>
    <comment authorId="0" ref="AM682">
      <text>
        <t xml:space="preserve">추가공과금 55,000</t>
      </text>
    </comment>
    <comment authorId="0" ref="I683">
      <text>
        <t xml:space="preserve">홍서빈 2/19
퇴실 월세 353,793 ok
퇴실 관리비 52,414 ok
박주영 2/28 
첫달 월세	37,241
첫달 관리비	5,517 &gt; 카카오 강연수 입금</t>
      </text>
    </comment>
    <comment authorId="0" ref="N683">
      <text>
        <t xml:space="preserve">관리비 &gt; 카카오 강연수 입금</t>
      </text>
    </comment>
    <comment authorId="0" ref="AM683">
      <text>
        <t xml:space="preserve">퇴실 월세  	435,484
퇴실 관리비 	64,516
추가공과금 56,394 &gt; 보증금 차감</t>
      </text>
    </comment>
    <comment authorId="0" ref="AR683">
      <text>
        <t xml:space="preserve">첫달 월세	114,333
첫달 관리비	18,667</t>
      </text>
    </comment>
    <comment authorId="0" ref="BG683">
      <text>
        <t xml:space="preserve">중도퇴실 12/1 
퇴실 월세  	15,806 &gt; ok
퇴실 관리비 	2,581 
중도퇴실 위약금  
49+8  &gt; 12월, 1월 입력</t>
      </text>
    </comment>
    <comment authorId="0" ref="N684">
      <text>
        <t xml:space="preserve">첫달 월세	372,581
첫달 관리비	54,194
입금자 Melanie Pa
</t>
      </text>
    </comment>
    <comment authorId="0" ref="S684">
      <text>
        <t xml:space="preserve">입금자 Melanie Pa</t>
      </text>
    </comment>
    <comment authorId="0" ref="AM684">
      <text>
        <t xml:space="preserve">입금자 Melanie Pa
추가공과금 55,000 &gt; 보증금 차감
중도퇴실 8/31 
55+8 2달 9월 10월</t>
      </text>
    </comment>
    <comment authorId="0" ref="I685">
      <text>
        <t xml:space="preserve">퇴실 월세  	248,276
퇴실 관리비 	49,655</t>
      </text>
    </comment>
    <comment authorId="0" ref="N685">
      <text>
        <t xml:space="preserve">첫달 월세	281,935
첫달 관리비	59,355</t>
      </text>
    </comment>
    <comment authorId="0" ref="S685">
      <text>
        <t xml:space="preserve">관리비 미입금 &gt; 보증금 차감
3만 - 에어컨청소비</t>
      </text>
    </comment>
    <comment authorId="0" ref="AH685">
      <text>
        <t xml:space="preserve">오하은 7/30 중도퇴실
위약금 8월 입력, 보증금 차감요청</t>
      </text>
    </comment>
    <comment authorId="0" ref="AM685">
      <text>
        <t xml:space="preserve">오하은 8/25 위약금
퇴실 월세  	306,452
퇴실 관리비 	64,516
&gt; 보증금 차감</t>
      </text>
    </comment>
    <comment authorId="0" ref="D686">
      <text>
        <t xml:space="preserve">입금자 : 박해란</t>
      </text>
    </comment>
    <comment authorId="0" ref="I686">
      <text>
        <t xml:space="preserve">최지윤 2/18
퇴실 월세  	229,655
퇴실 관리비 	49,655
김수진 2/29 
첫달 월세	13,103
첫달 관리비	2,759</t>
      </text>
    </comment>
    <comment authorId="0" ref="AM686">
      <text>
        <t xml:space="preserve">김수진 8/18 중도퇴실
위약금 38+8 2달 9월 10월</t>
      </text>
    </comment>
    <comment authorId="0" ref="B691">
      <text>
        <t xml:space="preserve">예스코 10030-32273 ??</t>
      </text>
    </comment>
    <comment authorId="0" ref="N725">
      <text>
        <t xml:space="preserve">3/15 입주
관리비 카뱅 입금</t>
      </text>
    </comment>
    <comment authorId="0" ref="S725">
      <text>
        <t xml:space="preserve">관리비 카뱅</t>
      </text>
    </comment>
    <comment authorId="0" ref="X725">
      <text>
        <t xml:space="preserve">관리비 카뱅</t>
      </text>
    </comment>
    <comment authorId="0" ref="AC725">
      <text>
        <t xml:space="preserve">관리비 카뱅</t>
      </text>
    </comment>
    <comment authorId="0" ref="AH725">
      <text>
        <t xml:space="preserve">관리비 카뱅</t>
      </text>
    </comment>
    <comment authorId="0" ref="AM725">
      <text>
        <t xml:space="preserve">중도퇴실 
1달 57+8 9월
관리비 카뱅</t>
      </text>
    </comment>
    <comment authorId="0" ref="AR725">
      <text>
        <t xml:space="preserve">Gabrielle Bethards 위약금 &gt; ok
Cervesato Linda 9/2  &gt; ok
첫달 월세	502,667
첫달 관리비	77,333
계약금 50 입금 : 신한 유재훈
잔금+관 &gt; 케뱅</t>
      </text>
    </comment>
    <comment authorId="0" ref="D726">
      <text>
        <t xml:space="preserve">월세 : 케이뱅크 입금</t>
      </text>
    </comment>
    <comment authorId="0" ref="I726">
      <text>
        <t xml:space="preserve">월세 : 케이뱅크 입금
입금자 : Pyrene Cha
</t>
      </text>
    </comment>
    <comment authorId="0" ref="N726">
      <text>
        <t xml:space="preserve">월세 : 케이뱅크 입금
입금자 : Pyrene Cha
</t>
      </text>
    </comment>
    <comment authorId="0" ref="S726">
      <text>
        <t xml:space="preserve">월세 : 케이뱅크 입금
입금자 : Pyrene Cha
</t>
      </text>
    </comment>
    <comment authorId="0" ref="X726">
      <text>
        <t xml:space="preserve">ICART Pyrène  
월세 : 케이뱅크 입금
입금자 : Pyrene Cha
여권번호 23D141537
</t>
      </text>
    </comment>
    <comment authorId="0" ref="AC726">
      <text>
        <t xml:space="preserve">첫달 월세	334,333
첫달 관리비	45,333
모두 카뱅입금</t>
      </text>
    </comment>
    <comment authorId="0" ref="AR726">
      <text>
        <t xml:space="preserve">첫달 월세	329,333
첫달 관리비	50,667
잔금 Peter ILLO</t>
      </text>
    </comment>
    <comment authorId="0" ref="D727">
      <text>
        <t xml:space="preserve">임금자 : Maria Prie
월세 : 케이뱅크 입금</t>
      </text>
    </comment>
    <comment authorId="0" ref="I727">
      <text>
        <t xml:space="preserve">임금자 : Maria Prie
월세 : 케이뱅크 입금</t>
      </text>
    </comment>
    <comment authorId="0" ref="N727">
      <text>
        <t xml:space="preserve">월세	430,000
수수료 10%	43,000
월세정산	387,000
관리비	80,000
정산합계	467,000</t>
      </text>
    </comment>
    <comment authorId="0" ref="S727">
      <text>
        <t xml:space="preserve">월세	430,000
수수료 10%	43,000
월세정산	387,000
관리비	80,000
정산합계	467,000</t>
      </text>
    </comment>
    <comment authorId="0" ref="X727">
      <text>
        <t xml:space="preserve">월세	430,000
수수료 10%	43,000
월세정산	387,000
관리비	80,000
정산합계	467,000</t>
      </text>
    </comment>
    <comment authorId="0" ref="AC727">
      <text>
        <t xml:space="preserve">월세	430,000
수수료 10%	43,000
월세정산	387,000
관리비	80,000
정산합계	467,000</t>
      </text>
    </comment>
    <comment authorId="0" ref="AH727">
      <text>
        <t xml:space="preserve">월세	430,000
수수료 10%	43,000
부가세	4,300
월세정산	382,700
관리비	80,000
정산합계	462,700</t>
      </text>
    </comment>
    <comment authorId="0" ref="AM727">
      <text>
        <t xml:space="preserve">월세	430,000
수수료 10%	43,000
부가세	4,300
월세정산	382,700
관리비	80,000
정산합계	462,700</t>
      </text>
    </comment>
    <comment authorId="0" ref="AR727">
      <text>
        <t xml:space="preserve">월세	430,000
수수료 10%	43,000
부가세	4,300
월세정산	382,700
관리비	80,000
정산합계	462,700</t>
      </text>
    </comment>
    <comment authorId="0" ref="AW727">
      <text>
        <t xml:space="preserve">월세	430,000
수수료 10%	43,000
부가세	4,300
월세정산	382,700
관리비	80,000
정산합계	462,700</t>
      </text>
    </comment>
    <comment authorId="0" ref="BB727">
      <text>
        <t xml:space="preserve">월세	430,000
수수료 10%	43,000
부가세	4,300
월세정산	382,700
관리비	80,000
정산합계	462,700</t>
      </text>
    </comment>
    <comment authorId="0" ref="BG727">
      <text>
        <t xml:space="preserve">월세	430,000
수수료 10%	43,000
부가세	4,300
월세정산	382,700
관리비	80,000
정산합계	462,700</t>
      </text>
    </comment>
    <comment authorId="0" ref="BL727">
      <text>
        <t xml:space="preserve">월세	430,000
수수료 10%	43,000
부가세	4,300
월세정산	382,700
관리비	80,000
정산합계	462,700</t>
      </text>
    </comment>
    <comment authorId="0" ref="N728">
      <text>
        <t xml:space="preserve">3월 연장</t>
      </text>
    </comment>
    <comment authorId="0" ref="AH728">
      <text>
        <t xml:space="preserve">BALABAN EYLUL 7/26
중도퇴실 14+8  위약금 8월 입력
구민지 7/31 
첫달 월세	14,194
첫달 관리비	2,581</t>
      </text>
    </comment>
    <comment authorId="0" ref="BG728">
      <text>
        <t xml:space="preserve">구민지 12/31 &gt; ok
나마네보증금처리완
Dubus Mélina Nathalie 12/31 &gt; 미입금
첫달 월세	13,226
첫달 관리비	2,581 &gt; 미입금 
8만원만 입금</t>
      </text>
    </comment>
    <comment authorId="0" ref="BL728">
      <text>
        <t xml:space="preserve">12/28 입금</t>
      </text>
    </comment>
    <comment authorId="0" ref="C730">
      <text>
        <t xml:space="preserve">계약기간 : 25년 4월 30일까지 계약
입금일 : 매월 1일 선불
입금계좌 
하나 : 200만원 최정애 우리 1002 404 794667 
둘 : 200만원 + 20 관리비 합계 220만원 하경식 1002 853 529398 
</t>
      </text>
    </comment>
    <comment authorId="0" ref="I741">
      <text>
        <t xml:space="preserve">손가형 2/28 ok
송민영 2/29
첫달 월세	17,931
첫달 관리비	2,759
입금자 : 송기영</t>
      </text>
    </comment>
    <comment authorId="0" ref="S741">
      <text>
        <t xml:space="preserve">1년 계약으로 변경
24.4 부터 월세 인하 50만원 적용
입금자  송기영</t>
      </text>
    </comment>
    <comment authorId="0" ref="X741">
      <text>
        <t xml:space="preserve">입금자 송기영 
관리비 카뱅</t>
      </text>
    </comment>
    <comment authorId="0" ref="AC741">
      <text>
        <t xml:space="preserve">입금자 송기영 
월세 케이뱅</t>
      </text>
    </comment>
    <comment authorId="0" ref="AH741">
      <text>
        <t xml:space="preserve">입금자 송기영 
관리비 카뱅</t>
      </text>
    </comment>
    <comment authorId="0" ref="AM741">
      <text>
        <t xml:space="preserve">입금자 송기영 
</t>
      </text>
    </comment>
    <comment authorId="0" ref="AR741">
      <text>
        <t xml:space="preserve">입금자 송기영 
</t>
      </text>
    </comment>
    <comment authorId="0" ref="BB741">
      <text>
        <t xml:space="preserve">송기영</t>
      </text>
    </comment>
    <comment authorId="0" ref="D742">
      <text>
        <t xml:space="preserve">1월 월세+관리비 
보증금 차감 ok</t>
      </text>
    </comment>
    <comment authorId="0" ref="I742">
      <text>
        <t xml:space="preserve">Francesca Moretti (고고한국)
2월 월세+관리비 
보증금 차감 ok
김연우 2/29
첫달 월세	17,586
첫달 관리비	2,759</t>
      </text>
    </comment>
    <comment authorId="0" ref="S742">
      <text>
        <t xml:space="preserve">입금자 : 김병철 (관)</t>
      </text>
    </comment>
    <comment authorId="0" ref="AM743">
      <text>
        <t xml:space="preserve">8월분 보증금에서 차감</t>
      </text>
    </comment>
    <comment authorId="0" ref="AR743">
      <text>
        <t xml:space="preserve">첫달 월세	266,000
첫달 관리비	50,667 &gt; 2,760  10월 추가입금
</t>
      </text>
    </comment>
    <comment authorId="0" ref="AW743">
      <text>
        <t xml:space="preserve">Iris Marie
</t>
      </text>
    </comment>
    <comment authorId="0" ref="BB743">
      <text>
        <t xml:space="preserve">Iris Marie
</t>
      </text>
    </comment>
    <comment authorId="0" ref="BG743">
      <text>
        <t xml:space="preserve">Iris Marie
</t>
      </text>
    </comment>
    <comment authorId="0" ref="N744">
      <text>
        <t xml:space="preserve">3/1 인상</t>
      </text>
    </comment>
    <comment authorId="0" ref="C746">
      <text>
        <t xml:space="preserve">계약기간 : 25년 4월 30일까지 계약
입금일 : 매월 1일 선불
입금계좌 
하나 : 200만원 최정애 우리 1002 404 794667 
둘 : 200만원 + 20 관리비 합계 220만원 하경식 1002 853 529398 
</t>
      </text>
    </comment>
    <comment authorId="0" ref="D757">
      <text>
        <t xml:space="preserve">Ilaria Artioli 1/14 &gt; 미입금
중도퇴실 위약금 10만원 
퇴실 월세  	243,871 &gt; ok
퇴실 관리비 	36,129 &gt; ok
Benenitah Amankwah 1/14  
첫달 월세	313,548  &gt; ok
첫달 관리비	46,452 &gt; ok
1인실 313,548 + 2인실 209,677 = 523,225 
12/2 12월분 50 +1월분 50 두번 입
금 + 1/3 23,225 추가입금 </t>
      </text>
    </comment>
    <comment authorId="0" ref="I757">
      <text>
        <t xml:space="preserve">입금자 AMANKWAH B
22 + 32</t>
      </text>
    </comment>
    <comment authorId="0" ref="N757">
      <text>
        <t xml:space="preserve">Benenitah Amankwah 3/5
퇴실 월세  	87,097
퇴실 관리비 	12,903
&gt; 공과금 차감 ok
Jessica SUSINI 3/12
첫달 월세	380,645
첫달 관리비	51,613 &gt; ok</t>
      </text>
    </comment>
    <comment authorId="0" ref="AM757">
      <text>
        <t xml:space="preserve">Jessica SUSINI 8/31 &gt; ok
59+8 2개월 위약금
9월 10월 입력
강가림 계약취소 &gt; ok
위약금 50</t>
      </text>
    </comment>
    <comment authorId="0" ref="AR757">
      <text>
        <t xml:space="preserve">Jessica SUSINI 위약금1 &gt; ok
Carla Domínguez Gamo 9/14 &gt; ok
첫달 월세	323,000
첫달 관리비	45,333 </t>
      </text>
    </comment>
    <comment authorId="0" ref="D758">
      <text>
        <t xml:space="preserve">입금자 : Maelle Nor</t>
      </text>
    </comment>
    <comment authorId="0" ref="I758">
      <text>
        <t xml:space="preserve">입금자 : Maelle Nor</t>
      </text>
    </comment>
    <comment authorId="0" ref="N758">
      <text>
        <t xml:space="preserve">입금자 : Maelle Nor</t>
      </text>
    </comment>
    <comment authorId="0" ref="S758">
      <text>
        <t xml:space="preserve">입금자 : Maelle Nor</t>
      </text>
    </comment>
    <comment authorId="0" ref="X758">
      <text>
        <t xml:space="preserve">입금자 : Maelle Nor</t>
      </text>
    </comment>
    <comment authorId="0" ref="AR758">
      <text>
        <t xml:space="preserve">건전지 8500 차감
입금 71,503
</t>
      </text>
    </comment>
    <comment authorId="0" ref="D759">
      <text>
        <t xml:space="preserve">12/2 12월분 50 +1월분 50 두번 입
금 + 1/3 23,225 추가입금 
퇴실 월세  	209,677
퇴실 관리비 	33,548
1인실 313,548 + 2인실 209,677 = 523,225 
</t>
      </text>
    </comment>
    <comment authorId="0" ref="N759">
      <text>
        <t xml:space="preserve">관리비 카뱅입금</t>
      </text>
    </comment>
    <comment authorId="0" ref="AC759">
      <text>
        <t xml:space="preserve">Sierra Larsen  6/14  &gt; ok
퇴실 월세  	228,667
퇴실 관리비 	37,333
Maria Vittoria Birsa 6/14 &gt; ok
첫달 월세	243,667
첫달 관리비	45,333
</t>
      </text>
    </comment>
    <comment authorId="0" ref="AH759">
      <text>
        <t xml:space="preserve">7/31 B룸 이동 </t>
      </text>
    </comment>
    <comment authorId="0" ref="AR759">
      <text>
        <t xml:space="preserve">첫달 월세	243,667
첫달 관리비	45,333</t>
      </text>
    </comment>
    <comment authorId="0" ref="AC760">
      <text>
        <t xml:space="preserve">Isabel Dell Flores 6/14 &gt; ok
퇴실 월세  	228,667
퇴실 관리비 	37,333
Asia 6/14 &gt; ok
첫달 월세	243,667
첫달 관리비	45,333</t>
      </text>
    </comment>
    <comment authorId="0" ref="BG760">
      <text>
        <t xml:space="preserve">관 75,500 + 쓰레기봉투 4500
</t>
      </text>
    </comment>
    <comment authorId="0" ref="C762">
      <text>
        <t xml:space="preserve">계약기간 : 25년 4월 30일까지 계약
입금일 : 매월 1일 선불
입금계좌 
하나 : 200만원 최정애 우리 1002 404 794667 
둘 : 200만원 + 20 관리비 합계 220만원 하경식 1002 853 529398 
</t>
      </text>
    </comment>
    <comment authorId="0" ref="I773">
      <text>
        <t xml:space="preserve">안유빈 2/28  ok
중도퇴실 
1달 위약금 49+8  3월 입력 
보증금 차감
최승빈 2/28 
첫달 월세	33,793
첫달 관리비	5,517
</t>
      </text>
    </comment>
    <comment authorId="0" ref="I774">
      <text>
        <t xml:space="preserve">이미송  2/28  잔금 미입금
첫달 월세	32,414
첫달 관리비	5,517</t>
      </text>
    </comment>
    <comment authorId="0" ref="S774">
      <text>
        <t xml:space="preserve">45+2</t>
      </text>
    </comment>
    <comment authorId="0" ref="I775">
      <text>
        <t xml:space="preserve">Sierra Larsen 2/28 &gt; 동일 이동 ok
김규리 2/28 
첫달 월세	25,517
첫달 관리비	5,517</t>
      </text>
    </comment>
    <comment authorId="0" ref="S775">
      <text>
        <t xml:space="preserve">35+2</t>
      </text>
    </comment>
    <comment authorId="0" ref="I776">
      <text>
        <t xml:space="preserve">Isabel Dell Flores 2/28 ok
 &gt; 동일 이동
서지은 2/28 &gt; 잔금 미입금
첫달 월세	25,517
첫달 관리비	5,517</t>
      </text>
    </comment>
    <comment authorId="0" ref="S776">
      <text>
        <t xml:space="preserve">35+2</t>
      </text>
    </comment>
    <comment authorId="0" ref="C778">
      <text>
        <t xml:space="preserve">계약기간 : 25년 4월 30일까지 계약
입금일 : 매월 1일 선불
입금계좌 
하나 : 200만원 최정애 우리 1002 404 794667 
둘 : 200만원 + 20 관리비 합계 220만원 하경식 1002 853 529398 
</t>
      </text>
    </comment>
    <comment authorId="0" ref="N789">
      <text>
        <t xml:space="preserve">3월 월세</t>
      </text>
    </comment>
    <comment authorId="0" ref="S789">
      <text>
        <t xml:space="preserve">관리비 &gt; 케이뱅크</t>
      </text>
    </comment>
    <comment authorId="0" ref="AM789">
      <text>
        <t xml:space="preserve">Violaine Natacha Barral 8/31 &gt; ok
Sarah Declercq 8/31 &gt; ok
첫달 월세	19,355
첫달 관리비	2,581
케이뱅 모두 입금</t>
      </text>
    </comment>
    <comment authorId="0" ref="AW789">
      <text>
        <t xml:space="preserve">월세+관 &gt; 모두 케이뱅크 입금</t>
      </text>
    </comment>
    <comment authorId="0" ref="BB789">
      <text>
        <t xml:space="preserve">월세+관 &gt; 모두 케이뱅크 입금
60+8-6900 쓰레기봉투 차감</t>
      </text>
    </comment>
    <comment authorId="0" ref="BG789">
      <text>
        <t xml:space="preserve">월세+관 &gt; 모두 케이뱅크 입금
60+8</t>
      </text>
    </comment>
    <comment authorId="0" ref="I790">
      <text>
        <t xml:space="preserve">구보람 2/17 ok
Kattia Gloria 케티아 2/22 &gt; 잔금미입금
첫달 월세	115,862
첫달 관리비	22,069</t>
      </text>
    </comment>
    <comment authorId="0" ref="S790">
      <text>
        <t xml:space="preserve">입금자 Kattia Glo
</t>
      </text>
    </comment>
    <comment authorId="0" ref="BB790">
      <text>
        <t xml:space="preserve">월세 48 입금?</t>
      </text>
    </comment>
    <comment authorId="0" ref="D791">
      <text>
        <t xml:space="preserve">첫달 월세	13,548
첫달 관리비	2,581
잔금 미입금</t>
      </text>
    </comment>
    <comment authorId="0" ref="I791">
      <text>
        <t xml:space="preserve">1/19 잔금으로 입금</t>
      </text>
    </comment>
    <comment authorId="0" ref="S791">
      <text>
        <t xml:space="preserve">입금자 : TRISTAN JE</t>
      </text>
    </comment>
    <comment authorId="0" ref="D792">
      <text>
        <t xml:space="preserve">1월중 이동 A-2 &gt; B1 
입금자 Moya-Hypolite</t>
      </text>
    </comment>
    <comment authorId="0" ref="I792">
      <text>
        <t xml:space="preserve">입금자 Moya-Hypolite</t>
      </text>
    </comment>
    <comment authorId="0" ref="N792">
      <text>
        <t xml:space="preserve">입금자 MOYA HYPOL</t>
      </text>
    </comment>
    <comment authorId="0" ref="S792">
      <text>
        <t xml:space="preserve">입금자 MOYA HYPOL</t>
      </text>
    </comment>
    <comment authorId="0" ref="AM792">
      <text>
        <t xml:space="preserve">Jerilyn Moya-Hypolite  8/31 &gt; ok
Callista Chrysilla 8/31 &gt;  ok
첫달 월세	13,548
첫달 관리비	2,581
입금 FEBRIANA A
계약금 FATKHURRO  2명분 같이</t>
      </text>
    </comment>
    <comment authorId="0" ref="I793">
      <text>
        <t xml:space="preserve">2월 연장</t>
      </text>
    </comment>
    <comment authorId="0" ref="S793">
      <text>
        <t xml:space="preserve">중도퇴실 2달분 위약금
40 + 8 
5월,6월 입력 
보증금 차감
</t>
      </text>
    </comment>
    <comment authorId="0" ref="AC793">
      <text>
        <t xml:space="preserve">Laurine BLANCHON 6/11
첫달 월세	300,000
첫달 관리비	53,333
전액 일시 입금 5/28
	보증금	1,000,000		
6월	월세	300,000
	관리비	53,333		
7월	월세	450,000
	관리비	80,000		
8월	월세	450,000
	관리비	80,000
	합계	2,413,333
</t>
      </text>
    </comment>
    <comment authorId="0" ref="AH793">
      <text>
        <t xml:space="preserve">21AD73445</t>
      </text>
    </comment>
    <comment authorId="0" ref="AM793">
      <text>
        <t xml:space="preserve">Laurine BLANCHON 8/31 &gt; ok
Ellisa Hidayat 8/31 &gt; 잔금 미입금
첫달 월세	13,548 &gt; 카뱅
첫달 관리비	2,581
계약금 FATKHURRO  2명분 같이
입금자 : 맛구르로구만 (관리비)</t>
      </text>
    </comment>
    <comment authorId="0" ref="AW793">
      <text>
        <t xml:space="preserve">HIDAYAT EL
</t>
      </text>
    </comment>
    <comment authorId="0" ref="BB793">
      <text>
        <t xml:space="preserve">HIDAYAT EL
</t>
      </text>
    </comment>
    <comment authorId="0" ref="BG793">
      <text>
        <t xml:space="preserve">HIDAYAT EL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주방 CCTV</t>
      </text>
    </comment>
    <comment authorId="0" ref="E6">
      <text>
        <t xml:space="preserve">25.12 3개월 연장</t>
      </text>
    </comment>
    <comment authorId="0" ref="E7">
      <text>
        <t xml:space="preserve">전, 이은서와 같은 직장
준오헤어 김은정
이은서 보증금으로 대체</t>
      </text>
    </comment>
    <comment authorId="0" ref="E8">
      <text>
        <t xml:space="preserve">준오헤어 김은정</t>
      </text>
    </comment>
    <comment authorId="0" ref="E9">
      <text>
        <t xml:space="preserve">베딩 추가</t>
      </text>
    </comment>
    <comment authorId="0" ref="C11">
      <text>
        <t xml:space="preserve">보일러 조절기</t>
      </text>
    </comment>
    <comment authorId="0" ref="E11">
      <text>
        <t xml:space="preserve">진승연 1/9 &gt; 신사 이동
Adia Arthur(엔코)  26/1/9~6/27
60 + 10
반포 &gt; 영동 이동</t>
      </text>
    </comment>
    <comment authorId="0" ref="E12">
      <text>
        <t xml:space="preserve">24.12 6개월 연장
25.5   6개월 연장
25.11 12개월 연장</t>
      </text>
    </comment>
    <comment authorId="0" ref="C14">
      <text>
        <t xml:space="preserve">보일러 조절기</t>
      </text>
    </comment>
    <comment authorId="0" ref="B15">
      <text>
        <t xml:space="preserve">보일러 : 베란다 주방</t>
      </text>
    </comment>
    <comment authorId="0" ref="E15">
      <text>
        <t xml:space="preserve">25.1 1년 연장 
2/10 B  &gt; D2 이동 &gt; 2/28 A 이동
25.12 1년 연장  관 8&gt;10 
반포로 전입신고</t>
      </text>
    </comment>
    <comment authorId="0" ref="E17">
      <text>
        <t xml:space="preserve">11.15 F 입실 &gt; 12.7 C 이동
F 직접 계약
C 엔코 계약 &gt; 
26.2 직접계약 3개월
</t>
      </text>
    </comment>
    <comment authorId="0" ref="C18">
      <text>
        <t xml:space="preserve">화장실 포함</t>
      </text>
    </comment>
    <comment authorId="0" ref="C19">
      <text>
        <t xml:space="preserve">화장실 포함</t>
      </text>
    </comment>
    <comment authorId="0" ref="E19">
      <text>
        <t xml:space="preserve">26.1 8개월 연장</t>
      </text>
    </comment>
    <comment authorId="0" ref="C20">
      <text>
        <t xml:space="preserve">화장실 포함</t>
      </text>
    </comment>
    <comment authorId="0" ref="C21">
      <text>
        <t xml:space="preserve">화장실 포함</t>
      </text>
    </comment>
    <comment authorId="0" ref="B24">
      <text>
        <t xml:space="preserve">주방 CCTV</t>
      </text>
    </comment>
    <comment authorId="0" ref="C24">
      <text>
        <t xml:space="preserve">1, A룸 : 보일러 조절기 &gt; 주방 베란다 
2. 거실: 보일러 조절기 &gt; 거실 베란다</t>
      </text>
    </comment>
    <comment authorId="0" ref="E24">
      <text>
        <t xml:space="preserve">I룸  8/1  &gt; A룸  9/6 이동
25.12 6개월 연장</t>
      </text>
    </comment>
    <comment authorId="0" ref="E26">
      <text>
        <t xml:space="preserve">우주 계약 24.1.31~ 7. 31  528,000
자체계약 24. 8.1~ 25.7. 31  46만
G &gt; C룸 이동 25.7.31~1년
보증금 100 + 추가입금 100</t>
      </text>
    </comment>
    <comment authorId="0" ref="C28">
      <text>
        <t xml:space="preserve">화장실 포함 
보일러 조절기</t>
      </text>
    </comment>
    <comment authorId="0" ref="C29">
      <text>
        <t xml:space="preserve">화장실 포함</t>
      </text>
    </comment>
    <comment authorId="0" ref="E31">
      <text>
        <t xml:space="preserve">F  7/1-9/30 , 보증금 50
F &gt; H 9/30 이동, 보증금 50추가
갱신 받아주지 말것 / 입주자들과 사이 안좋음
</t>
      </text>
    </comment>
    <comment authorId="0" ref="P31">
      <text>
        <t xml:space="preserve">010-9577-2961</t>
      </text>
    </comment>
    <comment authorId="0" ref="C32">
      <text>
        <t xml:space="preserve">25.3 3인실 &gt; 2인실 변경
화장실 포함</t>
      </text>
    </comment>
    <comment authorId="0" ref="C33">
      <text>
        <t xml:space="preserve">25.3 3인실 &gt; 2인실 변경
화장실 포함</t>
      </text>
    </comment>
    <comment authorId="0" ref="E33">
      <text>
        <t xml:space="preserve">F-1 5.31~6.7 
J-1 6.8~ 25.5.31
K 24.10.1~25.5.31
25.4 1년 연장</t>
      </text>
    </comment>
    <comment authorId="0" ref="B34">
      <text>
        <t xml:space="preserve">주방 CCTV</t>
      </text>
    </comment>
    <comment authorId="0" ref="E34">
      <text>
        <t xml:space="preserve">영어학원 강사 브루클린
이정연이 대신 계약
★ 입금
월세 &gt; 이정연 
관리비 &gt; 브루클린
</t>
      </text>
    </comment>
    <comment authorId="0" ref="C35">
      <text>
        <t xml:space="preserve">보일러 조절기 : 베란다</t>
      </text>
    </comment>
    <comment authorId="0" ref="E35">
      <text>
        <t xml:space="preserve">E-1 입주 &gt; D-1 2/26 이동
E-1  2/1-25   446429 + 107143
D-1  2/26-28  58929 + 12857</t>
      </text>
    </comment>
    <comment authorId="0" ref="E36">
      <text>
        <t xml:space="preserve">진승연  신사 C룸 1/9 ~ 4/24
영동 &gt; 신사 이동 1/9
보증금 
영동  30
신사 170 추가</t>
      </text>
    </comment>
    <comment authorId="0" ref="C38">
      <text>
        <t xml:space="preserve">스위치 : 화장대 뒤쪽
</t>
      </text>
    </comment>
    <comment authorId="0" ref="E38">
      <text>
        <t xml:space="preserve">1.4-31 김태희 / 2.1~7.3 구채민
010-3698-4843 / 010-5817-0615</t>
      </text>
    </comment>
    <comment authorId="0" ref="E39">
      <text>
        <t xml:space="preserve">1.4-31 김태희 / 2.1~7.3 구채민
010-3698-4843 / 010-5817-0615</t>
      </text>
    </comment>
    <comment authorId="0" ref="C40">
      <text>
        <t xml:space="preserve"> 왼쪽 화장실 오른쪽 구석방</t>
      </text>
    </comment>
    <comment authorId="0" ref="C41">
      <text>
        <t xml:space="preserve"> 왼쪽 화장실 오른쪽 구석방</t>
      </text>
    </comment>
    <comment authorId="0" ref="E41">
      <text>
        <t xml:space="preserve">1인실 나오면 이동 희망
입급자:CHEN QINGXIA
12/31  E-1 이동
25. 4 연장
25.8 6개월 연장</t>
      </text>
    </comment>
    <comment authorId="0" ref="E45">
      <text>
        <t xml:space="preserve">25.10 3개월 연장
26.2 3개월 연장</t>
      </text>
    </comment>
    <comment authorId="0" ref="E46">
      <text>
        <t xml:space="preserve">최가현, 심연아 동반입주 
2만 할인
24.8 자동연장 6개월
24.12 1년 연장 
26.1 1년 연장  43+10
</t>
      </text>
    </comment>
    <comment authorId="0" ref="E50">
      <text>
        <t xml:space="preserve">24.12 1년연장
25.12 1년연장 관 8&gt;10
2/25 B &gt; A 이동</t>
      </text>
    </comment>
    <comment authorId="0" ref="E51">
      <text>
        <t xml:space="preserve">24.8 자동연장 6개월
24.12 1년연장
25.12 1년연장 월  37
c2&gt;b 이동 3/1 적용</t>
      </text>
    </comment>
    <comment authorId="0" ref="E52">
      <text>
        <t xml:space="preserve">입금은 이경희이름으로</t>
      </text>
    </comment>
    <comment authorId="0" ref="E56">
      <text>
        <t xml:space="preserve">1차 : 2024. 12. 4~2025. 6. 30
2차 : 2025. 7. 1`~2026. 6. 30 - 25.3월 1년연장</t>
      </text>
    </comment>
    <comment authorId="0" ref="E57">
      <text>
        <t xml:space="preserve">25.6  6개월 연장
25.12  12개월 연장</t>
      </text>
    </comment>
    <comment authorId="0" ref="E67">
      <text>
        <t xml:space="preserve">당산 &gt; 쌍용 이동 8/30
25.12 6개월 연장</t>
      </text>
    </comment>
    <comment authorId="0" ref="E68">
      <text>
        <t xml:space="preserve">26.1 6개월 연장</t>
      </text>
    </comment>
    <comment authorId="0" ref="E69">
      <text>
        <t xml:space="preserve">전입신고, 입주청소
26.2 1년연장</t>
      </text>
    </comment>
    <comment authorId="0" ref="E71">
      <text>
        <t xml:space="preserve">25.1 6개월 연장
25.8 6개월 연장
25.12 6개월 연장</t>
      </text>
    </comment>
    <comment authorId="0" ref="O71">
      <text>
        <t xml:space="preserve">고 ) 여권번호</t>
      </text>
    </comment>
    <comment authorId="0" ref="E72">
      <text>
        <t xml:space="preserve">25.7 재학증명서 확인
25.12 1년 연장</t>
      </text>
    </comment>
    <comment authorId="0" ref="E75">
      <text>
        <t xml:space="preserve">E 입주 &gt; A 이동 2/25
</t>
      </text>
    </comment>
    <comment authorId="0" ref="E77">
      <text>
        <t xml:space="preserve">25.1 1년 연장</t>
      </text>
    </comment>
    <comment authorId="0" ref="C78">
      <text>
        <t xml:space="preserve">싱크대 위 찬장 왼쪽 열쇠</t>
      </text>
    </comment>
    <comment authorId="0" ref="E80">
      <text>
        <t xml:space="preserve">12월 셋째주 입실예정</t>
      </text>
    </comment>
    <comment authorId="0" ref="C82">
      <text>
        <t xml:space="preserve">거실 스위치와 연동</t>
      </text>
    </comment>
    <comment authorId="0" ref="E82">
      <text>
        <t xml:space="preserve">2/25 D → C 이동
24.12 1년 연장
25.12 1년 연장, 관 10&gt;12</t>
      </text>
    </comment>
    <comment authorId="0" ref="E83">
      <text>
        <t xml:space="preserve">이동 2.26
F-1 &gt;  D-1 </t>
      </text>
    </comment>
    <comment authorId="0" ref="C84">
      <text>
        <t xml:space="preserve">현관 거실방향 직진 화장실 왼쪽방</t>
      </text>
    </comment>
    <comment authorId="0" ref="C85">
      <text>
        <t xml:space="preserve">현관 거실방향 직진 화장실 오른쪽방</t>
      </text>
    </comment>
    <comment authorId="0" ref="E89">
      <text>
        <t xml:space="preserve">24.8 자동연장,6개월
24.12 1년 연장
25.12 1년 연장, 월 40 / 관 10</t>
      </text>
    </comment>
    <comment authorId="0" ref="E90">
      <text>
        <t xml:space="preserve">24.12  6개월 연장 
25.12  6개월 연장 </t>
      </text>
    </comment>
    <comment authorId="0" ref="E91">
      <text>
        <t xml:space="preserve">24.12  1년연장 
25.12  6개월 연장 </t>
      </text>
    </comment>
    <comment authorId="0" ref="E92">
      <text>
        <t xml:space="preserve">24.12  1년연장 
25.12  1년연장 </t>
      </text>
    </comment>
    <comment authorId="0" ref="E95">
      <text>
        <t xml:space="preserve">계약금 : 김성민</t>
      </text>
    </comment>
    <comment authorId="0" ref="E105">
      <text>
        <t xml:space="preserve">25.11 6개월 연장</t>
      </text>
    </comment>
    <comment authorId="0" ref="E106">
      <text>
        <t xml:space="preserve">24.8 자동연장 6개월
24.12 1년 연장
25.12 1년 연장, 월 62&gt;60</t>
      </text>
    </comment>
    <comment authorId="0" ref="E110">
      <text>
        <t xml:space="preserve">25.12 12개월 연장</t>
      </text>
    </comment>
    <comment authorId="0" ref="E111">
      <text>
        <t xml:space="preserve">실제입주 3/1
25.12 1년 연장 , 월 50 </t>
      </text>
    </comment>
    <comment authorId="0" ref="E113">
      <text>
        <t xml:space="preserve">9/1
삼성 &gt; 와이지 이동 
청소요청
25.12 6개월 연장
</t>
      </text>
    </comment>
    <comment authorId="0" ref="B121">
      <text>
        <t xml:space="preserve">보일러 : 3층 복도 측 문안쪽 / </t>
      </text>
    </comment>
    <comment authorId="0" ref="E121">
      <text>
        <t xml:space="preserve">26.1 6개월 연장</t>
      </text>
    </comment>
    <comment authorId="0" ref="E122">
      <text>
        <t xml:space="preserve">HOANG 지은
24.8 자동연장 6개월
24.12 1년 연장
25.12 1년 연장 관 8&gt;10</t>
      </text>
    </comment>
    <comment authorId="0" ref="E123">
      <text>
        <t xml:space="preserve">우주 서교동 &gt; 샛별 이동
지원비 20만+차량이동 9/2 12시
계약금 : 우주보증금 50만 + 8/22 50만
24.12 1년 연장
25.12 1년 연장</t>
      </text>
    </comment>
    <comment authorId="0" ref="B125">
      <text>
        <t xml:space="preserve">보일러 : 3층 복도 측 문안쪽 / </t>
      </text>
    </comment>
    <comment authorId="0" ref="E133">
      <text>
        <t xml:space="preserve">25.1 1년 계약</t>
      </text>
    </comment>
    <comment authorId="0" ref="E134">
      <text>
        <t xml:space="preserve">24.12 1년 계약</t>
      </text>
    </comment>
    <comment authorId="0" ref="C136">
      <text>
        <t xml:space="preserve">구 C 2인실</t>
      </text>
    </comment>
    <comment authorId="0" ref="C137">
      <text>
        <t xml:space="preserve">구 B 2인실</t>
      </text>
    </comment>
    <comment authorId="0" ref="C138">
      <text>
        <t xml:space="preserve">구 B 2인실</t>
      </text>
    </comment>
    <comment authorId="0" ref="C139">
      <text>
        <t xml:space="preserve">에어컨 있음</t>
      </text>
    </comment>
    <comment authorId="0" ref="C140">
      <text>
        <t xml:space="preserve">A룸 이외 에어컨 없음</t>
      </text>
    </comment>
    <comment authorId="0" ref="E140">
      <text>
        <t xml:space="preserve">최은정 어머니 010458922217</t>
      </text>
    </comment>
    <comment authorId="0" ref="C142">
      <text>
        <t xml:space="preserve">에어컨 X</t>
      </text>
    </comment>
    <comment authorId="0" ref="E144">
      <text>
        <t xml:space="preserve">2.25 C2 &gt; A이동 
25.12 1년 연장 </t>
      </text>
    </comment>
    <comment authorId="0" ref="E146">
      <text>
        <t xml:space="preserve">친구와 동반입주</t>
      </text>
    </comment>
    <comment authorId="0" ref="E147">
      <text>
        <t xml:space="preserve">친구와 동반입주</t>
      </text>
    </comment>
    <comment authorId="0" ref="E149">
      <text>
        <t xml:space="preserve">입주청소, 창문잠금장치
24.8 자동연장 6개월
24.12 1년 연장</t>
      </text>
    </comment>
    <comment authorId="0" ref="E150">
      <text>
        <t xml:space="preserve">계약은 2/27
실제 2/28 입주로 월세 계산됨</t>
      </text>
    </comment>
    <comment authorId="0" ref="E151">
      <text>
        <t xml:space="preserve">25.12 1년 연장, 월 5만할인
</t>
      </text>
    </comment>
    <comment authorId="0" ref="E153">
      <text>
        <t xml:space="preserve">2인실 2명 동시입주</t>
      </text>
    </comment>
    <comment authorId="0" ref="E154">
      <text>
        <t xml:space="preserve">2인실 2명 동시입주</t>
      </text>
    </comment>
    <comment authorId="0" ref="E159">
      <text>
        <t xml:space="preserve">25.12 1년 연장  월 35&gt;34</t>
      </text>
    </comment>
    <comment authorId="0" ref="C162">
      <text>
        <t xml:space="preserve">인터넷공유기</t>
      </text>
    </comment>
    <comment authorId="0" ref="E162">
      <text>
        <t xml:space="preserve">맘스테이 통해 옴</t>
      </text>
    </comment>
    <comment authorId="0" ref="E165">
      <text>
        <t xml:space="preserve">25.12 6개월 연장</t>
      </text>
    </comment>
    <comment authorId="0" ref="C166">
      <text>
        <t xml:space="preserve"> 거실 스위치가 켜진 상태에서 방 전등 켜짐</t>
      </text>
    </comment>
    <comment authorId="0" ref="C167">
      <text>
        <t xml:space="preserve">보일러 조절기</t>
      </text>
    </comment>
    <comment authorId="0" ref="E172">
      <text>
        <t xml:space="preserve">연장 12/1~2/28
24.12 1년 연장
25.12 3개월 연장</t>
      </text>
    </comment>
    <comment authorId="0" ref="C174">
      <text>
        <t xml:space="preserve">보일러 조절기</t>
      </text>
    </comment>
    <comment authorId="0" ref="E174">
      <text>
        <t xml:space="preserve">24.8 자동연장 6개월
24.12 1년 연장 
25.10 현재 친구와 동거, 하우스 비거주중으로 당번에서 제외
25.12 1년 연장  관 8&gt;10</t>
      </text>
    </comment>
    <comment authorId="0" ref="E175">
      <text>
        <t xml:space="preserve">동동&gt; 샤샤  이동
보증금도 이동 체크!
8/31 이동
24.1 1년 연장  관 8&gt;10</t>
      </text>
    </comment>
    <comment authorId="0" ref="E177">
      <text>
        <t xml:space="preserve">24.6 6개월 연장
25.12 12개월 연장</t>
      </text>
    </comment>
    <comment authorId="0" ref="E178">
      <text>
        <t xml:space="preserve">25.1 1년 연장
25.12 1년 연장</t>
      </text>
    </comment>
    <comment authorId="0" ref="E180">
      <text>
        <t xml:space="preserve">8/24 2인실 입주 &gt; 9/1 1인실 이동
24.12 연장  62 &gt; 52
25.6 연장 6개월, 관리비&gt;10
25.12 연장 6개월
&gt; 연장 안할 시, 최지연 우선!!</t>
      </text>
    </comment>
    <comment authorId="0" ref="C182">
      <text>
        <t xml:space="preserve">에어컨 있음</t>
      </text>
    </comment>
    <comment authorId="0" ref="E182">
      <text>
        <t xml:space="preserve">26.4 1년 연장</t>
      </text>
    </comment>
    <comment authorId="0" ref="E183">
      <text>
        <t xml:space="preserve">1인실 이동 희망
25.11 12개월 연장</t>
      </text>
    </comment>
    <comment authorId="0" ref="B184">
      <text>
        <t xml:space="preserve">문 앞 CCTV</t>
      </text>
    </comment>
    <comment authorId="0" ref="E184">
      <text>
        <t xml:space="preserve">24.8 자동연장 6개월
26.1 6개월 연장</t>
      </text>
    </comment>
    <comment authorId="0" ref="E185">
      <text>
        <t xml:space="preserve">25.12 6개월 연장 월 50&gt;52 , 관 8&gt;10</t>
      </text>
    </comment>
    <comment authorId="0" ref="E188">
      <text>
        <t xml:space="preserve">25.12 12개월 연장, 관 8&gt;10</t>
      </text>
    </comment>
    <comment authorId="0" ref="E190">
      <text>
        <t xml:space="preserve">홍승연 대표님 01074642342
1. 성명(입주당사자) Phạm Thiên Như Ý :
2. 전화번호 : 당사자 아직 한국 번호는 없습니다.
- 당사자 베트남 번호: 0707123961
- 당사자 엄마: 0939640606
- 당사자 아빠: Father - 0908164613
- 한국 보호자 (연락하는 본인): 01041682342</t>
      </text>
    </comment>
    <comment authorId="0" ref="E191">
      <text>
        <t xml:space="preserve">25.12 3개월 연장</t>
      </text>
    </comment>
    <comment authorId="0" ref="E194">
      <text>
        <t xml:space="preserve">차민서,이지현 동반입주
첫달 3월 3만원 추가할인 &gt; 37만
25.6 6개월 연장</t>
      </text>
    </comment>
    <comment authorId="0" ref="E196">
      <text>
        <t xml:space="preserve">우주:  50만원 보증금
24.12 1년 연장
2/1 A&gt; B  이동
25.12 1년 연장, 관 8&gt;10</t>
      </text>
    </comment>
    <comment authorId="0" ref="E197">
      <text>
        <t xml:space="preserve">신촌 Nilla.stahl(고고)  동생 
1달 계약 60+10 보증금 30
2인실 전체 사용</t>
      </text>
    </comment>
    <comment authorId="0" ref="E200">
      <text>
        <t xml:space="preserve">26.3 1년연장</t>
      </text>
    </comment>
    <comment authorId="0" ref="E202">
      <text>
        <t xml:space="preserve">26.1 3개월 연장</t>
      </text>
    </comment>
    <comment authorId="0" ref="E204">
      <text>
        <t xml:space="preserve">권수민, 권지우
동반입주</t>
      </text>
    </comment>
    <comment authorId="0" ref="E205">
      <text>
        <t xml:space="preserve">계약금 입금안됨
보증금 한번에 입금예정 2/13 
26.1 1년 연장 월 47&gt;45
</t>
      </text>
    </comment>
    <comment authorId="0" ref="E207">
      <text>
        <t xml:space="preserve">권수민, 권지우
동반입주</t>
      </text>
    </comment>
    <comment authorId="0" ref="E210">
      <text>
        <t xml:space="preserve">소녀 &gt; 동지 이동
25.12 1년 연장</t>
      </text>
    </comment>
    <comment authorId="0" ref="E212">
      <text>
        <t xml:space="preserve">24.12 1년 연장
25.12 6개월 연장</t>
      </text>
    </comment>
    <comment authorId="0" ref="E214">
      <text>
        <t xml:space="preserve">기존 2024. 2. 29 ~  2024. 8. 31 
변경 2024. 2. 29 ~  2025. 2. 28   
52 만 → 50 만 으로 24.4월부터 적용
24.12 1년 연장
25.12 1년 연장 관 8&gt;10</t>
      </text>
    </comment>
    <comment authorId="0" ref="E216">
      <text>
        <t xml:space="preserve">투어후 바로 계약 &gt; 첫달 월세 4만원 할인
25.12 1년 연장 
</t>
      </text>
    </comment>
    <comment authorId="0" ref="E218">
      <text>
        <t xml:space="preserve">경초윤 아버님 이름으로 계약
1. 성명(입주당사자) : 경종현
2. 전화번호 : 010-2769-0407
</t>
      </text>
    </comment>
    <comment authorId="0" ref="E219">
      <text>
        <t xml:space="preserve">25.5 6개월 연장
25.12 12개월 연장</t>
      </text>
    </comment>
    <comment authorId="0" ref="B222">
      <text>
        <t xml:space="preserve">인터넷 소유주 : 남동생  강민*</t>
      </text>
    </comment>
    <comment authorId="0" ref="E222">
      <text>
        <t xml:space="preserve">24.11월 1년연장
25.12월 1년연장 월 55&gt;50, 관8&gt;10
C1 &gt; A 3/1 이동
보종금 100 추가입금: 김은정 </t>
      </text>
    </comment>
    <comment authorId="0" ref="P222">
      <text>
        <t xml:space="preserve">엄마 010 6823 8680</t>
      </text>
    </comment>
    <comment authorId="0" ref="E226">
      <text>
        <t xml:space="preserve">25.12 1년연장  월 52&gt;50</t>
      </text>
    </comment>
    <comment authorId="0" ref="E227">
      <text>
        <t xml:space="preserve">2인실 전체사용</t>
      </text>
    </comment>
    <comment authorId="0" ref="E228">
      <text>
        <t xml:space="preserve">2인실 전체사용</t>
      </text>
    </comment>
    <comment authorId="0" ref="E229">
      <text>
        <t xml:space="preserve">25.12 1년연장 월40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잔금 중복입금, 월세,관리비 선입금 처리
2,240,000 + 119,355 = 2,359,355 &gt; 중복
선입금
(62+10)*3개월 (10월,11월,12월) = 2,160,000 
선입금 199,355
1월 62+10 : 강 카뱅 전체입금
관리비 케이뱅크로 입금  : 10월~1월 10*4=40만
</t>
      </text>
    </comment>
    <comment authorId="0" ref="G2">
      <text>
        <t xml:space="preserve">BILLON Zoe 2/28 &gt; ok 
&gt; 투자자가 관리비 케이뱅크 미입금
柯吟 周 Ko Yin Zhou (엔코) 2/28
&gt; 3월 입금</t>
      </text>
    </comment>
    <comment authorId="0" ref="J2">
      <text>
        <t xml:space="preserve">26년 03월 11일 (1/3) &gt; 3월분
결제일: 2026년 01월 08일
임대료 ₩780,000
청소비 ₩50,000
호스트 정산 금액 ₩830,000
월세 68 + 관 10</t>
      </text>
    </comment>
    <comment authorId="0" ref="M2">
      <text>
        <t xml:space="preserve">26년 03월 11일 (1/3) &gt; 3월분
결제일: 2026년 01월 08일
임대료 ₩780,000
청소비 ₩50,000
호스트 정산 금액 ₩830,000
월세 68 + 관 10</t>
      </text>
    </comment>
    <comment authorId="0" ref="P2">
      <text>
        <t xml:space="preserve">26년 05월 11일 (3/3) &gt; 5,6월분
결제일: 2026년 03월 30일
호스트 정산 금액 ₩1,404,024
5월 월세 68 + 관 10
6월  544,024	+ 80,000
</t>
      </text>
    </comment>
    <comment authorId="0" ref="S2">
      <text>
        <t xml:space="preserve">26년 05월 11일 (3/3) &gt; 5,6월분
결제일: 2026년 03월 30일
호스트 정산 금액 ₩1,404,024
5월 월세 68 + 관 10
6월  544,024	+ 80,000</t>
      </text>
    </comment>
    <comment authorId="0" ref="D3">
      <text>
        <t xml:space="preserve">삼중 &gt; 워너비 이동 11/30</t>
      </text>
    </comment>
    <comment authorId="0" ref="D4">
      <text>
        <t xml:space="preserve">준오헤어 김은정</t>
      </text>
    </comment>
    <comment authorId="0" ref="G4">
      <text>
        <t xml:space="preserve">준오헤어 김은정</t>
      </text>
    </comment>
    <comment authorId="0" ref="J4">
      <text>
        <t xml:space="preserve">준오헤어 김은정
이은서 3/31 퇴실
유운서 직원에게 인계</t>
      </text>
    </comment>
    <comment authorId="0" ref="M4">
      <text>
        <t xml:space="preserve">준오헤어 김은정
이은서 3/31 퇴실
유운서 직원에게 인계 , 보증금도 ! 
47+10 &gt; 강연수 카뱅 입금</t>
      </text>
    </comment>
    <comment authorId="0" ref="D5">
      <text>
        <t xml:space="preserve">준오헤어 김은정</t>
      </text>
    </comment>
    <comment authorId="0" ref="G5">
      <text>
        <t xml:space="preserve">준오헤어 김은정</t>
      </text>
    </comment>
    <comment authorId="0" ref="J5">
      <text>
        <t xml:space="preserve">준오헤어 김은정</t>
      </text>
    </comment>
    <comment authorId="0" ref="M5">
      <text>
        <t xml:space="preserve">준오헤어 김은정</t>
      </text>
    </comment>
    <comment authorId="0" ref="F11">
      <text>
        <t xml:space="preserve">2/4 강연수 카뱅</t>
      </text>
    </comment>
    <comment authorId="0" ref="D19">
      <text>
        <t xml:space="preserve">월세	660,000
수수료 10%	66,000
부가세	6,600
월세정산	587,400
관리비	100,000
정산합계	687,400
초과공과금 &gt; 보증금 차감
1월 4.5+ 2월 3 = 7.5
Lesna </t>
      </text>
    </comment>
    <comment authorId="0" ref="G19">
      <text>
        <t xml:space="preserve">헤바Heba(우주) 2/28
월세	660,000
수수료 10%	66,000
부가세	6,600
월세정산	587,400
관리비	100,000 &gt; ok
정산합계	687,400
초과공과금 &gt; 보증금 차감
1월 4.5+ 2월 3 = 7.5
</t>
      </text>
    </comment>
    <comment authorId="0" ref="J19">
      <text>
        <t xml:space="preserve">26년 03월 11일 (1/3)
실제입실 2/28
임대료 ₩800,000 (70+10)
청소비 ₩50,000
베딩비 ₩55,000
호스트 정산 금액 ₩905,000
월세 70 + 관 10</t>
      </text>
    </comment>
    <comment authorId="0" ref="S19">
      <text>
        <t xml:space="preserve">395339	+ 58017</t>
      </text>
    </comment>
    <comment authorId="0" ref="D20">
      <text>
        <t xml:space="preserve">진승연 실제 신사 이동 1/3
영동	 월세 	 관리비 
10	 139,355   25,806  &gt; 케뱅입금
11	 540,000  100,000  &gt; 투자자
12	 540,000  100,000  &gt; 투자자
1	 156,774  29,032  &gt; 투자자
합계		 1,605,161   
선입금완료 , 
10/26 케뱅 관리비  229,032  입금완료
신사 Adia Arthur(엔코) 1/9
26년 02월 10일 (1/5)
결제일: 2025년 07월 19일
렌트비 ₩1,236,682 (임+관)
임대료 ₩1,060,000 
관리비 ₩176,682
청소비 ₩50,000
호스트 정산 금액  ₩1,286,682
1월 월세	460,000+ 관리비	76,682
2월 월세 60 + 10</t>
      </text>
    </comment>
    <comment authorId="0" ref="G20">
      <text>
        <t xml:space="preserve">26년 02월 10일 (1/5)
결제일: 2025년 07월 19일
렌트비 ₩1,236,682 (임+관)
임대료 ₩1,060,000 
관리비 ₩176,682
청소비 ₩50,000
호스트 정산 금액  ₩1,286,682
1월 월세	460,000+ 관리비	76,682
2월 월세 60 + 10</t>
      </text>
    </comment>
    <comment authorId="0" ref="J20">
      <text>
        <t xml:space="preserve">3월 월세 60 + 10</t>
      </text>
    </comment>
    <comment authorId="0" ref="M20">
      <text>
        <t xml:space="preserve">4월 월세 60 + 10</t>
      </text>
    </comment>
    <comment authorId="0" ref="P20">
      <text>
        <t xml:space="preserve">5월 월세 60 + 10</t>
      </text>
    </comment>
    <comment authorId="0" ref="S20">
      <text>
        <t xml:space="preserve">6월
렌트비 ₩606,684
&gt; 임대료 ₩520,000 + 관리비 ₩86,684</t>
      </text>
    </comment>
    <comment authorId="0" ref="D21">
      <text>
        <t xml:space="preserve">월세	570,000
수수료 10%	57,000
부가세	5,700
월세정산	507,300
관리비	100,000 &gt; ok
정산합계	607,300</t>
      </text>
    </comment>
    <comment authorId="0" ref="G21">
      <text>
        <t xml:space="preserve">월세	570,000
수수료 10%	57,000
부가세	5,700
월세정산	507,300
관리비	100,000 &gt; ok
정산합계	607,300</t>
      </text>
    </comment>
    <comment authorId="0" ref="J21">
      <text>
        <t xml:space="preserve">월세	570,000
수수료 10%	57,000
부가세	5,700
월세정산	507,300
관리비	100,000
정산합계	607,300</t>
      </text>
    </comment>
    <comment authorId="0" ref="M21">
      <text>
        <t xml:space="preserve">월세	570,000
수수료 10%	57,000
부가세	5,700
월세정산	507,300
관리비	100,000
정산합계	607,300</t>
      </text>
    </comment>
    <comment authorId="0" ref="P21">
      <text>
        <t xml:space="preserve">월세	570,000
수수료 10%	57,000
부가세	5,700
월세정산	507,300
관리비	100,000
정산합계	607,300</t>
      </text>
    </comment>
    <comment authorId="0" ref="S21">
      <text>
        <t xml:space="preserve">월세	570,000
수수료 10%	57,000
부가세	5,700
월세정산	507,300
관리비	100,000
정산합계	607,300</t>
      </text>
    </comment>
    <comment authorId="0" ref="D22">
      <text>
        <t xml:space="preserve">연장 10/15 ~ 1/10
10월  263,226 , 54,839
11,12  48+10
1월   154,839, 32,258
합계 1,665,162
2명  		 3,330,324 
선입금 (나마네계좌)	 2,624,061 
입금 (유재훈카뱅) 10/26  706,263  </t>
      </text>
    </comment>
    <comment authorId="0" ref="D23">
      <text>
        <t xml:space="preserve">연장 10/15 ~ 1/10
10월  263,226 , 54,839
11,12  48+10
1월   154,839, 32,258
합계 1,665,162
2명  		 3,330,324 
선입금 (나마네계좌)	 2,624,061 
입금 (유재훈카뱅) 10/26  706,263  </t>
      </text>
    </comment>
    <comment authorId="0" ref="D36">
      <text>
        <t xml:space="preserve">관 8 &gt; 10?
초과공과금 
12월 4만+ 1월 5만 + 2월 8.5만 = 17.5만  &gt; 미입금</t>
      </text>
    </comment>
    <comment authorId="0" ref="G36">
      <text>
        <t xml:space="preserve">초과공과금 
12월 4만+ 1월 5만 + 2월 8.5만 = 17.5만 &gt; 미입금</t>
      </text>
    </comment>
    <comment authorId="0" ref="J36">
      <text>
        <t xml:space="preserve">초과공과금 
12월 4만+ 1월 5만 + 2월 8.5만 = 17.5만 &gt; 미입금
</t>
      </text>
    </comment>
    <comment authorId="0" ref="D37">
      <text>
        <t xml:space="preserve">초과공과금 
12월 4만+ 1월 5만 + 2월 8.5만 = 17.5만
&gt; 보증금차감</t>
      </text>
    </comment>
    <comment authorId="0" ref="G37">
      <text>
        <t xml:space="preserve">초과공과금 
12월 4만+ 1월 5만 + 2월 8.5만 = 17.5만
&gt; 보증금차감</t>
      </text>
    </comment>
    <comment authorId="0" ref="J37">
      <text>
        <t xml:space="preserve">첫달 월세  	202,258
첫달 관리비	35,484
김미숙</t>
      </text>
    </comment>
    <comment authorId="0" ref="D38">
      <text>
        <t xml:space="preserve">렌트비 ₩750,000 (임+관)
임대료 ₩650,000 
관리비 ₩100,000- 베딩비  취소55,000=45000
KIM YUMINA
실제입금 65+4.5=69,5
초과공과금 
12월 4만+ 1월 5만 + 2월 8.5만 = 17.5만</t>
      </text>
    </comment>
    <comment authorId="0" ref="G38">
      <text>
        <t xml:space="preserve">렌트비 ₩750,000 (임+관)
임대료 ₩650,000 
관리비 ₩100,000
KIM YUMINA
초과공과금 
12월 4만+ 1월 5만 + 2월 8.5만 = 17.5만
</t>
      </text>
    </comment>
    <comment authorId="0" ref="J38">
      <text>
        <t xml:space="preserve">김유미나 직계약 3/8-6/7
첫달 월세  	480,000
첫달 관리비	77,419
KIM YUMINA</t>
      </text>
    </comment>
    <comment authorId="0" ref="M38">
      <text>
        <t xml:space="preserve">김유미나 직계약 3/8-6/7
첫달 월세  	480,000
첫달 관리비	77,419</t>
      </text>
    </comment>
    <comment authorId="0" ref="P38">
      <text>
        <t xml:space="preserve">김유미나 직계약 3/8-6/7
첫달 월세  	480,000
첫달 관리비	77,419</t>
      </text>
    </comment>
    <comment authorId="0" ref="S38">
      <text>
        <t xml:space="preserve">김유미나 직계약 3/8-6/7
퇴실 월세  	144,667
퇴실 관리비 	23,333</t>
      </text>
    </comment>
    <comment authorId="0" ref="J39">
      <text>
        <t xml:space="preserve">첫달 월세  	290,645
첫달 관리비	54,839</t>
      </text>
    </comment>
    <comment authorId="0" ref="S39">
      <text>
        <t xml:space="preserve">퇴실 월세  	247,333
퇴실 관리비 	46,667</t>
      </text>
    </comment>
    <comment authorId="0" ref="D40">
      <text>
        <t xml:space="preserve">합계 801,676
1 월 550,000 + 관 100,000
25.10월 24~30 : 128,333 + 관 23,343 
초과공과금 
12월 4만+ 1월 5만 + 2월 8.5만 = 17.5만</t>
      </text>
    </comment>
    <comment authorId="0" ref="G40">
      <text>
        <t xml:space="preserve">합계 801,676
1 월 550,000 + 관 100,000
25.10월 24~30 : 128,333 + 관 23,343 
&gt;&gt; 2월 입력
초과공과금 
12월 4만+ 1월 5만 + 2월 8.5만 = 17.5만</t>
      </text>
    </comment>
    <comment authorId="0" ref="AE40">
      <text>
        <t xml:space="preserve">렌트비 ₩650,000
&gt; 2월 임대료 550,000 + 관리비100,000
(1/24~2/23)
&gt; 2/24-2/28 128,353+ 23,323 (2월 입금예정)
26년 02월 02일 (4/4)
임대료 ₩801,676
호스트 정산 금액₩801,676
2월 일할  128,353+ 관리비	23,323 (2월 입금예정)
월세 550000+ 128353=678,353
관 100000+23323=123,323
</t>
      </text>
    </comment>
    <comment authorId="0" ref="D41">
      <text>
        <t xml:space="preserve">초과공과금  &gt; 보증금 차감
12월 4만+ 1월 5만 + 2월 8.5만 + 3월 4만= 21.5만</t>
      </text>
    </comment>
    <comment authorId="0" ref="G41">
      <text>
        <t xml:space="preserve">초과공과금  &gt; 보증금 차감
12월 4만+ 1월 5만 + 2월 8.5만 + 3월 4만= 21.5만</t>
      </text>
    </comment>
    <comment authorId="0" ref="J41">
      <text>
        <t xml:space="preserve">퇴실 월세  	298,065
퇴실 관리비 	70,968
초과공과금  &gt; 보증금 차감
12월 4만+ 1월 5만 + 2월 8.5만 + 3월 4만= 21.5만</t>
      </text>
    </comment>
    <comment authorId="0" ref="M41">
      <text>
        <t xml:space="preserve">첫달 월세  	378,000
첫달 관리비	90,000</t>
      </text>
    </comment>
    <comment authorId="0" ref="D42">
      <text>
        <t xml:space="preserve">초과공과금 
12월 4만+ 1월 5만 + 2월 8.5만 = 17.5만</t>
      </text>
    </comment>
    <comment authorId="0" ref="G42">
      <text>
        <t xml:space="preserve">초과공과금 
12월 4만+ 1월 5만 + 2월 8.5만 = 17.5만</t>
      </text>
    </comment>
    <comment authorId="0" ref="C47">
      <text>
        <t xml:space="preserve">계단 + 상하수도(총30만)</t>
      </text>
    </comment>
    <comment authorId="0" ref="D57">
      <text>
        <t xml:space="preserve">초과공과금 
1월 2.5만+ 2월 4.5만 = 7만</t>
      </text>
    </comment>
    <comment authorId="0" ref="G57">
      <text>
        <t xml:space="preserve">초과공과금 
1월 2.5만+ 2월 4.5만 = 7만</t>
      </text>
    </comment>
    <comment authorId="0" ref="D58">
      <text>
        <t xml:space="preserve">연장, 인하 2만 1월부터
초과공과금 
1월 2.5만+ 2월 4.5만 = 7만</t>
      </text>
    </comment>
    <comment authorId="0" ref="G58">
      <text>
        <t xml:space="preserve">케뱅 2?
초과공과금 
1월 2.5만+ 2월 4.5만 = 7만</t>
      </text>
    </comment>
    <comment authorId="0" ref="D59">
      <text>
        <t xml:space="preserve">초과공과금 
1월 2.5만+ 2월 4.5만 = 7만</t>
      </text>
    </comment>
    <comment authorId="0" ref="G59">
      <text>
        <t xml:space="preserve">초과공과금 
1월 2.5만+ 2월 4.5만 = 7만</t>
      </text>
    </comment>
    <comment authorId="0" ref="D60">
      <text>
        <t xml:space="preserve">1월 
렌트비 ₩210,006
&gt; 임대료 ₩180,000 + 관리비 ₩30,006
반포 &gt; 영동 이동
김여원 1/10
390,323 + 70,968
초과공과금 
1월 2.5만+ 2월 4.5만 = 7만</t>
      </text>
    </comment>
    <comment authorId="0" ref="G60">
      <text>
        <t xml:space="preserve">초과공과금 
1월 2.5만+ 2월 4.5만 = 7만</t>
      </text>
    </comment>
    <comment authorId="0" ref="V60">
      <text>
        <t xml:space="preserve">퇴실 월세  	159,677
퇴실 관리비 	29,032</t>
      </text>
    </comment>
    <comment authorId="0" ref="J61">
      <text>
        <t xml:space="preserve">엔코 계약 ~3/1 , 
3/2 퇴실 1일 추가 2.5+0.5=3만 케뱅 입금
이서진 3/6-30
첫달 월세  	402,581
첫달 관리비	83,871 &gt; 10만?
</t>
      </text>
    </comment>
    <comment authorId="0" ref="J62">
      <text>
        <t xml:space="preserve">엔코 계약 ~3/1 , 
3/2 퇴실 1일 추가 2.5+0.5=3만 케뱅 입금</t>
      </text>
    </comment>
    <comment authorId="0" ref="G63">
      <text>
        <t xml:space="preserve">첫달 월세  	45,000
첫달 관리비	10,714</t>
      </text>
    </comment>
    <comment authorId="0" ref="D64">
      <text>
        <t xml:space="preserve">카지이든
초과공과금 
1월 2.5만+ 2월 4.5만 = 7만
&gt; 보증금 차감요청</t>
      </text>
    </comment>
    <comment authorId="0" ref="G64">
      <text>
        <t xml:space="preserve">카지이든
초과공과금 
1월 2.5만+ 2월 4.5만 = 7만
&gt; 보증금 차감요청</t>
      </text>
    </comment>
    <comment authorId="0" ref="J64">
      <text>
        <t xml:space="preserve">카지이든
초과공과금 
1월 2.5만+ 2월 4.5만 = 7만
&gt; 보증금 차감요청</t>
      </text>
    </comment>
    <comment authorId="0" ref="C69">
      <text>
        <t xml:space="preserve"> 계단 + 상하수도(총23만) 
</t>
      </text>
    </comment>
    <comment authorId="0" ref="G79">
      <text>
        <t xml:space="preserve">첫달 월세  	21,429
첫달 관리비	3,571
영어학원 강사 브루클린
이정연이 대신 계약
★ 입금
월세 &gt; 이정연 
관리비 &gt; 브루클린 &gt; ok
DRUMMOND B
</t>
      </text>
    </comment>
    <comment authorId="0" ref="J79">
      <text>
        <t xml:space="preserve">영어학원 강사 브루클린
이정연이 대신 계약
★ 입금
월세 &gt; 이정연 
관리비 &gt; 브루클린
DRUMMOND B
</t>
      </text>
    </comment>
    <comment authorId="0" ref="M79">
      <text>
        <t xml:space="preserve">영어학원 강사 브루클린
이정연이 대신 계약
★ 입금
월세 &gt; 이정연 
관리비 &gt; 브루클린
DRUMMOND B
</t>
      </text>
    </comment>
    <comment authorId="0" ref="P79">
      <text>
        <t xml:space="preserve">영어학원 강사 브루클린
이정연이 대신 계약
★ 입금
월세 &gt; 이정연 
관리비 &gt; 브루클린
DRUMMOND B
</t>
      </text>
    </comment>
    <comment authorId="0" ref="S79">
      <text>
        <t xml:space="preserve">영어학원 강사 브루클린
이정연이 대신 계약
★ 입금
월세 &gt; 이정연 
관리비 &gt; 브루클린
DRUMMOND B
</t>
      </text>
    </comment>
    <comment authorId="0" ref="V79">
      <text>
        <t xml:space="preserve">영어학원 강사 브루클린
이정연이 대신 계약
★ 입금
월세 &gt; 이정연 
관리비 &gt; 브루클린
DRUMMOND B
</t>
      </text>
    </comment>
    <comment authorId="0" ref="Y79">
      <text>
        <t xml:space="preserve">영어학원 강사 브루클린
이정연이 대신 계약
★ 입금
월세 &gt; 이정연 
관리비 &gt; 브루클린
DRUMMOND B
</t>
      </text>
    </comment>
    <comment authorId="0" ref="AB79">
      <text>
        <t xml:space="preserve">영어학원 강사 브루클린
이정연이 대신 계약
★ 입금
월세 &gt; 이정연 
관리비 &gt; 브루클린
DRUMMOND B
</t>
      </text>
    </comment>
    <comment authorId="0" ref="AE79">
      <text>
        <t xml:space="preserve">영어학원 강사 브루클린
이정연이 대신 계약
★ 입금
월세 &gt; 이정연 
관리비 &gt; 브루클린
DRUMMOND B
</t>
      </text>
    </comment>
    <comment authorId="0" ref="AH79">
      <text>
        <t xml:space="preserve">영어학원 강사 브루클린
이정연이 대신 계약
★ 입금
월세 &gt; 이정연 
관리비 &gt; 브루클린
DRUMMOND B
</t>
      </text>
    </comment>
    <comment authorId="0" ref="AK79">
      <text>
        <t xml:space="preserve">영어학원 강사 브루클린
이정연이 대신 계약
★ 입금
월세 &gt; 이정연 
관리비 &gt; 브루클린
DRUMMOND B
</t>
      </text>
    </comment>
    <comment authorId="0" ref="G80">
      <text>
        <t xml:space="preserve">김세연 
2월분 &gt; 보증금 정산 OK
초과공과금 65000 
황채원 2/22
첫달 월세  	162,500
첫달 관리비	25,000</t>
      </text>
    </comment>
    <comment authorId="0" ref="Y80">
      <text>
        <t xml:space="preserve">퇴실 월세  	440,323
퇴실 관리비 	67,742</t>
      </text>
    </comment>
    <comment authorId="0" ref="D81">
      <text>
        <t xml:space="preserve">진승연  신사 C룸 1/9 ~ 4/24
영동 &gt; 신사 이동 1/9
보증금 
영동  30 &gt; 유재훈 계좌로 이체요청
신사 170 추가</t>
      </text>
    </comment>
    <comment authorId="0" ref="M81">
      <text>
        <t xml:space="preserve">진승연 4/24
퇴실 월세  	496,000
퇴실 관리비 	80,000
이서진 4/12
첫달 월세  	392,667
첫달 관리비	63,333
▶반포 E-1 : 2026. 3. 6-2026. 4. 12
월세 402,581 / 관리비 83,871
▶신사 C-1) : 2026. 4. 12-2026. 9. 30
4월 : 월세 반포)192,000+신사)392,667=584,667 / 관리비 10만</t>
      </text>
    </comment>
    <comment authorId="0" ref="D82">
      <text>
        <t xml:space="preserve">퇴실 월세  	465,789+19407 1일추가
퇴실 관리비 	78947</t>
      </text>
    </comment>
    <comment authorId="0" ref="G82">
      <text>
        <t xml:space="preserve">26년 03월 06일 (1/3)
결제일: 2025년 12월 22일
임대료 ₩780,000
청소비 ₩50,000
베딩비 ₩55,000
호스트 정산 금액  ₩885,000
월세 68 + 관 10</t>
      </text>
    </comment>
    <comment authorId="0" ref="J82">
      <text>
        <t xml:space="preserve">임대료 ₩780,000
월세 68 + 관 10</t>
      </text>
    </comment>
    <comment authorId="0" ref="M82">
      <text>
        <t xml:space="preserve">임대료 ₩780,000
월세 68 + 관 10</t>
      </text>
    </comment>
    <comment authorId="0" ref="P82">
      <text>
        <t xml:space="preserve">임대료 ₩780,000
월세 68 + 관 10
5월 68+10 
6월 628,694+73,33= 702,027
= 1,482,027</t>
      </text>
    </comment>
    <comment authorId="0" ref="S82">
      <text>
        <t xml:space="preserve">5월 68+10 
6월 628,694+73,33= 702,027
= 1,482,027</t>
      </text>
    </comment>
    <comment authorId="0" ref="D83">
      <text>
        <t xml:space="preserve">1.4-31 김태희
2.1~7.3 구채민</t>
      </text>
    </comment>
    <comment authorId="0" ref="G83">
      <text>
        <t xml:space="preserve">1.4-31 김태희
2.1~7.3 구채민</t>
      </text>
    </comment>
    <comment authorId="0" ref="J83">
      <text>
        <t xml:space="preserve">1.4-31 김태희
2.1~7.3 구채민</t>
      </text>
    </comment>
    <comment authorId="0" ref="M83">
      <text>
        <t xml:space="preserve">1.4-31 김태희
2.1~7.3 구채민</t>
      </text>
    </comment>
    <comment authorId="0" ref="P83">
      <text>
        <t xml:space="preserve">1.4-31 김태희
2.1~7.3 구채민</t>
      </text>
    </comment>
    <comment authorId="0" ref="S83">
      <text>
        <t xml:space="preserve">1.4-31 김태희
2.1~7.3 구채민</t>
      </text>
    </comment>
    <comment authorId="0" ref="V83">
      <text>
        <t xml:space="preserve">퇴실 월세  	50,323
퇴실 관리비 	9,677</t>
      </text>
    </comment>
    <comment authorId="0" ref="J84">
      <text>
        <t xml:space="preserve">윤서희 - 보증금 150만 1/5 입금</t>
      </text>
    </comment>
    <comment authorId="0" ref="V84">
      <text>
        <t xml:space="preserve">퇴실 월세  	51,290
퇴실 관리비 	9,677</t>
      </text>
    </comment>
    <comment authorId="0" ref="D85">
      <text>
        <t xml:space="preserve">월세	528,000
수수료 10%	52,800
부가세	5,280
월세정산	469,920
관리비	100,000
정산합계	569,920</t>
      </text>
    </comment>
    <comment authorId="0" ref="G85">
      <text>
        <t xml:space="preserve">월세	528,000
수수료 10%	52,800
부가세	5,280
월세정산	469,920
관리비	100,000
정산합계	569,920
초과공과금 65000 
</t>
      </text>
    </comment>
    <comment authorId="0" ref="J85">
      <text>
        <t xml:space="preserve">월세	528,000
수수료 10%	52,800
부가세	5,280
월세정산	469,920
관리비	100,000
정산합계	569,920</t>
      </text>
    </comment>
    <comment authorId="0" ref="M85">
      <text>
        <t xml:space="preserve">월세	528,000
수수료 10%	52,800
부가세	5,280
월세정산	469,920
관리비	100,000
정산합계	569,920</t>
      </text>
    </comment>
    <comment authorId="0" ref="P85">
      <text>
        <t xml:space="preserve">월세	528,000
수수료 10%	52,800
부가세	5,280
월세정산	469,920
관리비	100,000
정산합계	569,920</t>
      </text>
    </comment>
    <comment authorId="0" ref="S85">
      <text>
        <t xml:space="preserve">월세	528,000
수수료 10%	52,800
부가세	5,280
월세정산	469,920
관리비	100,000
정산합계	569,920</t>
      </text>
    </comment>
    <comment authorId="0" ref="V85">
      <text>
        <t xml:space="preserve">월세	528,000
수수료 10%	52,800
부가세	5,280
월세정산	469,920
관리비	100,000
정산합계	569,920</t>
      </text>
    </comment>
    <comment authorId="0" ref="Y85">
      <text>
        <t xml:space="preserve">월세	528,000
수수료 10%	52,800
부가세	5,280
월세정산	469,920
관리비	100,000
정산합계	569,920</t>
      </text>
    </comment>
    <comment authorId="0" ref="AB85">
      <text>
        <t xml:space="preserve">월세	528,000
수수료 10%	52,800
부가세	5,280
월세정산	469,920
관리비	100,000
정산합계	569,920</t>
      </text>
    </comment>
    <comment authorId="0" ref="AE85">
      <text>
        <t xml:space="preserve">월세	528,000
수수료 10%	52,800
부가세	5,280
월세정산	469,920
관리비	100,000
정산합계	569,920</t>
      </text>
    </comment>
    <comment authorId="0" ref="AH85">
      <text>
        <t xml:space="preserve">월세	528,000
수수료 10%	52,800
부가세	5,280
월세정산	469,920
관리비	100,000
정산합계	569,920</t>
      </text>
    </comment>
    <comment authorId="0" ref="D86">
      <text>
        <t xml:space="preserve">월세	528,000
수수료 10%	52,800
부가세	5,280
월세정산	469,920
관리비	100,000
정산합계	569,920</t>
      </text>
    </comment>
    <comment authorId="0" ref="G86">
      <text>
        <t xml:space="preserve">월세	528,000
수수료 10%	52,800
부가세	5,280
월세정산	469,920
관리비	100,000
정산합계	569,920
초과공과금 65000 
</t>
      </text>
    </comment>
    <comment authorId="0" ref="J86">
      <text>
        <t xml:space="preserve">월세	528,000
수수료 10%	52,800
부가세	5,280
월세정산	469,920
관리비	100,000
정산합계	569,920</t>
      </text>
    </comment>
    <comment authorId="0" ref="M86">
      <text>
        <t xml:space="preserve">월세	528,000
수수료 10%	52,800
부가세	5,280
월세정산	469,920
관리비	100,000
정산합계	569,920</t>
      </text>
    </comment>
    <comment authorId="0" ref="C88">
      <text>
        <t xml:space="preserve">
입금일 : 매월 16일 후불
입금계좌 : 농협 352 03926 11943 김익현</t>
      </text>
    </comment>
    <comment authorId="0" ref="B90">
      <text>
        <t xml:space="preserve">케이뱅크 내역 확인 입력 신사 수도 등 검색</t>
      </text>
    </comment>
    <comment authorId="0" ref="B91">
      <text>
        <t xml:space="preserve">501호 502호 
두개 합계 입력</t>
      </text>
    </comment>
    <comment authorId="0" ref="C91">
      <text>
        <t xml:space="preserve">카드결제 신청 완료
</t>
      </text>
    </comment>
    <comment authorId="0" ref="AG91">
      <text>
        <t xml:space="preserve">10/17 케뱅 김익현
</t>
      </text>
    </comment>
    <comment authorId="0" ref="AG92">
      <text>
        <t xml:space="preserve">10/17 케뱅 김익현
</t>
      </text>
    </comment>
    <comment authorId="0" ref="J100">
      <text>
        <t xml:space="preserve">VERNA FULV</t>
      </text>
    </comment>
    <comment authorId="0" ref="D101">
      <text>
        <t xml:space="preserve">1월
렌트비 ₩228,006
&gt; 임대료 ₩198,000 + 관리비 ₩30,006
권민경 1/10
411,613+ 70,968</t>
      </text>
    </comment>
    <comment authorId="0" ref="V101">
      <text>
        <t xml:space="preserve">퇴실 월세  	168,387
퇴실 관리비 	29,032</t>
      </text>
    </comment>
    <comment authorId="0" ref="J103">
      <text>
        <t xml:space="preserve">연장, 인상 48&gt;49</t>
      </text>
    </comment>
    <comment authorId="0" ref="C105">
      <text>
        <t xml:space="preserve">계약기간 : 25년 3월 15일까지 계약
입금일 : 매월 16일 후불
입금계좌 : 농협 352 03926 11943 김익현</t>
      </text>
    </comment>
    <comment authorId="0" ref="B108">
      <text>
        <t xml:space="preserve">확인불가가</t>
      </text>
    </comment>
    <comment authorId="0" ref="C108">
      <text>
        <t xml:space="preserve">카드결제 신청 완료
</t>
      </text>
    </comment>
    <comment authorId="0" ref="D117">
      <text>
        <t xml:space="preserve">대학생할인 </t>
      </text>
    </comment>
    <comment authorId="0" ref="G117">
      <text>
        <t xml:space="preserve">대학생할인 </t>
      </text>
    </comment>
    <comment authorId="0" ref="J117">
      <text>
        <t xml:space="preserve">연장, 인상 43+10</t>
      </text>
    </comment>
    <comment authorId="0" ref="D118">
      <text>
        <t xml:space="preserve">월세	520,000
수수료 10%	52,000
부가세	5,200
월세정산	462,800
관리비	100,000 &gt; ok
정산합계	562,800</t>
      </text>
    </comment>
    <comment authorId="0" ref="G118">
      <text>
        <t xml:space="preserve">월세	520,000
수수료 10%	52,000
부가세	5,200
월세정산	462,800
관리비	100,000
정산합계	562,800</t>
      </text>
    </comment>
    <comment authorId="0" ref="D119">
      <text>
        <t xml:space="preserve">대학생할인 </t>
      </text>
    </comment>
    <comment authorId="0" ref="G119">
      <text>
        <t xml:space="preserve">대학생할인 
퇴실 월세  	258,929
퇴실 관리비 	89,286</t>
      </text>
    </comment>
    <comment authorId="0" ref="G120">
      <text>
        <t xml:space="preserve">이채은 2/28 퇴실
구서영 2/28
15000 + 3,571</t>
      </text>
    </comment>
    <comment authorId="0" ref="C124">
      <text>
        <t xml:space="preserve">카드결제 신청 완료
</t>
      </text>
    </comment>
    <comment authorId="0" ref="C125">
      <text>
        <t xml:space="preserve">카드결제 신청 완료
서울도시</t>
      </text>
    </comment>
    <comment authorId="0" ref="G133">
      <text>
        <t xml:space="preserve">퇴실 월세 455,357
퇴실 관리비 89,286</t>
      </text>
    </comment>
    <comment authorId="0" ref="G134">
      <text>
        <t xml:space="preserve">1년연장, 관 8&gt;10
2/25 B &gt; A 이동
유진하 계약취소 위약금 50</t>
      </text>
    </comment>
    <comment authorId="0" ref="J134">
      <text>
        <t xml:space="preserve">3/1 C2 &gt; B 이동</t>
      </text>
    </comment>
    <comment authorId="0" ref="G135">
      <text>
        <t xml:space="preserve">첫달 월세  	15,000
첫달 관리비	3,571
입금 이경희</t>
      </text>
    </comment>
    <comment authorId="0" ref="G136">
      <text>
        <t xml:space="preserve">3/1 C2 &gt; B 이동</t>
      </text>
    </comment>
    <comment authorId="0" ref="C140">
      <text>
        <t xml:space="preserve">카드결제 신청 완료
</t>
      </text>
    </comment>
    <comment authorId="0" ref="C141">
      <text>
        <t xml:space="preserve">카드결제 신청 완료
서울도시</t>
      </text>
    </comment>
    <comment authorId="0" ref="D149">
      <text>
        <t xml:space="preserve">대학생할인</t>
      </text>
    </comment>
    <comment authorId="0" ref="G149">
      <text>
        <t xml:space="preserve">김민재 2/22
대학생할인
퇴실 월세  	330,000
퇴실 관리비 	78,572
김위 2/22
첫달 월세  	137,500
첫달 관리비	25,000
Shekerova Vasilena (엔코) - 계약취소!
위약금 ₩813,737
임대료 ₩715,338+ 관리비 ₩98,399
</t>
      </text>
    </comment>
    <comment authorId="0" ref="Y149">
      <text>
        <t xml:space="preserve">퇴실 월세  	443,548
퇴실 관리비 	80,645</t>
      </text>
    </comment>
    <comment authorId="0" ref="D151">
      <text>
        <t xml:space="preserve">10일 입금
대학생 할인
(2월에 차감 적용)</t>
      </text>
    </comment>
    <comment authorId="0" ref="G151">
      <text>
        <t xml:space="preserve">10일 입금 / 나건하
대학생 할인
1월,2월 적용  20만원 차감</t>
      </text>
    </comment>
    <comment authorId="0" ref="J151">
      <text>
        <t xml:space="preserve">10일 입금
42 &gt; 40+2</t>
      </text>
    </comment>
    <comment authorId="0" ref="M151">
      <text>
        <t xml:space="preserve">10일 입금</t>
      </text>
    </comment>
    <comment authorId="0" ref="P151">
      <text>
        <t xml:space="preserve">10일 입금</t>
      </text>
    </comment>
    <comment authorId="0" ref="S151">
      <text>
        <t xml:space="preserve">10일 입금</t>
      </text>
    </comment>
    <comment authorId="0" ref="J152">
      <text>
        <t xml:space="preserve">연장, 인하 42&gt;40</t>
      </text>
    </comment>
    <comment authorId="0" ref="G153">
      <text>
        <t xml:space="preserve">오은지 2/23
퇴실 월세  	295,004
퇴실 관리비 	75,854
이다현 2/24
첫달 월세  	75,000
첫달 관리비	17,857</t>
      </text>
    </comment>
    <comment authorId="0" ref="C157">
      <text>
        <t xml:space="preserve">카드결제 신청 완료
</t>
      </text>
    </comment>
    <comment authorId="0" ref="C158">
      <text>
        <t xml:space="preserve">카드결제 신청 완료
서울도시</t>
      </text>
    </comment>
    <comment authorId="0" ref="D166">
      <text>
        <t xml:space="preserve">Elia Karin
초과공과금 4만</t>
      </text>
    </comment>
    <comment authorId="0" ref="G166">
      <text>
        <t xml:space="preserve">추가공과금 22000 &gt; 보증금 차감</t>
      </text>
    </comment>
    <comment authorId="0" ref="D167">
      <text>
        <t xml:space="preserve">Dara Pauli
초과공과금 4만</t>
      </text>
    </comment>
    <comment authorId="0" ref="G167">
      <text>
        <t xml:space="preserve">추가공과금 22000 &gt; 보증금 차감</t>
      </text>
    </comment>
    <comment authorId="0" ref="D168">
      <text>
        <t xml:space="preserve">초과공과금 4만</t>
      </text>
    </comment>
    <comment authorId="0" ref="G168">
      <text>
        <t xml:space="preserve">추가공과금 22000 +15000 </t>
      </text>
    </comment>
    <comment authorId="0" ref="J168">
      <text>
        <t xml:space="preserve">연장, 인하 40&gt;37 8&gt;10</t>
      </text>
    </comment>
    <comment authorId="0" ref="D170">
      <text>
        <t xml:space="preserve">추가공과금 4만</t>
      </text>
    </comment>
    <comment authorId="0" ref="G170">
      <text>
        <t xml:space="preserve">추가공과금 22000 &gt; 보증금 차감</t>
      </text>
    </comment>
    <comment authorId="0" ref="G184">
      <text>
        <t xml:space="preserve">박민영 2/28
첫달 월세  	17,857
첫달 관리비	4,286</t>
      </text>
    </comment>
    <comment authorId="0" ref="G185">
      <text>
        <t xml:space="preserve">노예서 1월퇴실 
2월 보증금에서 차감
퇴실 월세  	437,500
퇴실 관리비 	107,143</t>
      </text>
    </comment>
    <comment authorId="0" ref="J186">
      <text>
        <t xml:space="preserve">연장, 62&gt;65</t>
      </text>
    </comment>
    <comment authorId="0" ref="M188">
      <text>
        <t xml:space="preserve">연장, 인상X</t>
      </text>
    </comment>
    <comment authorId="0" ref="C194">
      <text>
        <t xml:space="preserve">카드결제 신청 완료
</t>
      </text>
    </comment>
    <comment authorId="0" ref="D202">
      <text>
        <t xml:space="preserve">Desiree Ma
</t>
      </text>
    </comment>
    <comment authorId="0" ref="G202">
      <text>
        <t xml:space="preserve">Desiree Ma
</t>
      </text>
    </comment>
    <comment authorId="0" ref="J202">
      <text>
        <t xml:space="preserve">Desiree Ma
</t>
      </text>
    </comment>
    <comment authorId="0" ref="B203">
      <text>
        <t xml:space="preserve">(동대문구 신이문로8길 10 301호)</t>
      </text>
    </comment>
    <comment authorId="0" ref="J203">
      <text>
        <t xml:space="preserve">연장, 50&gt;53</t>
      </text>
    </comment>
    <comment authorId="0" ref="D204">
      <text>
        <t xml:space="preserve">대학생할인</t>
      </text>
    </comment>
    <comment authorId="0" ref="G204">
      <text>
        <t xml:space="preserve">대학생할인</t>
      </text>
    </comment>
    <comment authorId="0" ref="J204">
      <text>
        <t xml:space="preserve">연장, 52&gt;50</t>
      </text>
    </comment>
    <comment authorId="0" ref="D205">
      <text>
        <t xml:space="preserve">월+관&gt; 유재훈 카뱅 입금완료
Vivian Est
</t>
      </text>
    </comment>
    <comment authorId="0" ref="G205">
      <text>
        <t xml:space="preserve">Improta Vivian Ester 2/25
월+관&gt; 유재훈 카뱅 입금완료
Vivian Est
Emily(맘스테이) 2/25 
이승민 공진 신한으로 월+관 모두 입금 &gt; 관 10 케뱅 미입금
퇴실비 3만미입금 &gt; 퇴실시 보증금에서 차감예쩡</t>
      </text>
    </comment>
    <comment authorId="0" ref="J205">
      <text>
        <t xml:space="preserve">Emily(맘스테이) 2/25 
이승민 공진 신한으로 월+관 모두 입금 &gt; 관 10 케뱅 미입금
퇴실비 3만 &gt; 맘스테이 미입금</t>
      </text>
    </comment>
    <comment authorId="0" ref="M205">
      <text>
        <t xml:space="preserve">이승민 카뱅으로 월+관 모두 입금</t>
      </text>
    </comment>
    <comment authorId="0" ref="P205">
      <text>
        <t xml:space="preserve">이승민 카뱅으로 월+관 모두 입금</t>
      </text>
    </comment>
    <comment authorId="0" ref="S205">
      <text>
        <t xml:space="preserve">이승민 카뱅으로 월+관 모두 입금</t>
      </text>
    </comment>
    <comment authorId="0" ref="V205">
      <text>
        <t xml:space="preserve">이승민 카뱅으로 월+관 모두 입금
퇴실비 3만미입금 &gt; 퇴실시 보증금에서 차감예정</t>
      </text>
    </comment>
    <comment authorId="0" ref="G206">
      <text>
        <t xml:space="preserve">배서희 2/28
첫달 월세  	16,071
첫달 관리비	3,571</t>
      </text>
    </comment>
    <comment authorId="0" ref="D219">
      <text>
        <t xml:space="preserve">대학생할인 </t>
      </text>
    </comment>
    <comment authorId="0" ref="G219">
      <text>
        <t xml:space="preserve">서제영 2/25
대학생할인 
윤석경 2/25 E&gt; A 이동</t>
      </text>
    </comment>
    <comment authorId="0" ref="B220">
      <text>
        <t xml:space="preserve">서울시 동대문구 이문동 331-4 2층</t>
      </text>
    </comment>
    <comment authorId="0" ref="D220">
      <text>
        <t xml:space="preserve">대학생할인  
관 &gt; 카뱅 입금 42+10</t>
      </text>
    </comment>
    <comment authorId="0" ref="G220">
      <text>
        <t xml:space="preserve">김도연 2/25
대학생할인  
관 &gt; 카뱅 입금 42+10
양이선 2/28
첫달 월세  	17,857
첫달 관리비	3,571</t>
      </text>
    </comment>
    <comment authorId="0" ref="D221">
      <text>
        <t xml:space="preserve">월 46+ 관 10 = 56 &gt; 케뱅 
TASHMETOVA</t>
      </text>
    </comment>
    <comment authorId="0" ref="G221">
      <text>
        <t xml:space="preserve">월 46+ 관 10 = 56 &gt; 케뱅
58?
TASHMETOVA</t>
      </text>
    </comment>
    <comment authorId="0" ref="J221">
      <text>
        <t xml:space="preserve">월 46+ 관 10 = 56 &gt; 케뱅
58?
TASHMETOVA</t>
      </text>
    </comment>
    <comment authorId="0" ref="D222">
      <text>
        <t xml:space="preserve">대학생할인  42 &gt;43?</t>
      </text>
    </comment>
    <comment authorId="0" ref="G222">
      <text>
        <t xml:space="preserve">대학생할인  
퇴실 월세  	364,286 &gt; 케뱅
퇴실 관리비 	89,286 &gt; 카뱅</t>
      </text>
    </comment>
    <comment authorId="0" ref="J222">
      <text>
        <t xml:space="preserve">45 +5</t>
      </text>
    </comment>
    <comment authorId="0" ref="C225">
      <text>
        <t xml:space="preserve">계약기간 : 25년 6월 13일까지 계약
입금일 : 매월 13일 선불
입금계좌 : 국민 527825 92 102159 유경례</t>
      </text>
    </comment>
    <comment authorId="0" ref="U229">
      <text>
        <t xml:space="preserve">6/17 케뱅</t>
      </text>
    </comment>
    <comment authorId="0" ref="AA229">
      <text>
        <t xml:space="preserve">8/18 케뱅</t>
      </text>
    </comment>
    <comment authorId="0" ref="J238">
      <text>
        <t xml:space="preserve">연장, 관 10&gt;12
10 +2 </t>
      </text>
    </comment>
    <comment authorId="0" ref="M238">
      <text>
        <t xml:space="preserve">차용금액 30+20
4월 15 + 10 &gt;? 
5월 15+  10 &gt; ?
</t>
      </text>
    </comment>
    <comment authorId="0" ref="D239">
      <text>
        <t xml:space="preserve">대학생할인 </t>
      </text>
    </comment>
    <comment authorId="0" ref="G239">
      <text>
        <t xml:space="preserve">김지원
보증금에서 2월분 차감  &gt; OK
대학생할인 
황채영 2/26
E-1 &gt; D-1 2/26 이동
E-1  2/1-25   446429 + 107143
D-1  2/26-28  58929 + 12857</t>
      </text>
    </comment>
    <comment authorId="0" ref="D240">
      <text>
        <t xml:space="preserve">Lisa Burri(Lila) 1/31  중도퇴실
위약금 2개월 2월,3월 입력
53+12 * 2달</t>
      </text>
    </comment>
    <comment authorId="0" ref="G240">
      <text>
        <t xml:space="preserve">Lisa Burri(Lila) 2/1  중도퇴실 위약금1
위약금 2개월 2월,3월 입력
53+12 * 2달
황채영 
2/1~2/26 E-1 &gt; D-1 2/26 이동
E-1  2/1-25   446429 + 107143
D-1  2/26-28  58929 + 12857
E-1 &gt; D-1 2/26 이동
고다언 계약취소
위약금 50+12</t>
      </text>
    </comment>
    <comment authorId="0" ref="J240">
      <text>
        <t xml:space="preserve">첫달 월세  	403,226
첫달 관리비	96,774</t>
      </text>
    </comment>
    <comment authorId="0" ref="Y240">
      <text>
        <t xml:space="preserve">퇴실 월세  	403,226
퇴실 관리비 	96,774</t>
      </text>
    </comment>
    <comment authorId="0" ref="D241">
      <text>
        <t xml:space="preserve">Sara Federer 1/8 중도퇴실
위약금 2개월 2월,3월 입력
53+12 * 2달</t>
      </text>
    </comment>
    <comment authorId="0" ref="G241">
      <text>
        <t xml:space="preserve">이신영 2/13
첫달 월세  	285,714
첫달 관리비	68,571
</t>
      </text>
    </comment>
    <comment authorId="0" ref="J241">
      <text>
        <t xml:space="preserve">이신영 
40 &gt; 케뱅
5 &gt; 카뱅</t>
      </text>
    </comment>
    <comment authorId="0" ref="C243">
      <text>
        <t xml:space="preserve">계약기간 : 25년 1월 2일까지 계약
입금일 : 매월 2일 후불
입금계좌 : 국민 424001 01 023588 송기영</t>
      </text>
    </comment>
    <comment authorId="0" ref="B244">
      <text>
        <t xml:space="preserve">02-2212-3127</t>
      </text>
    </comment>
    <comment authorId="0" ref="C244">
      <text>
        <t xml:space="preserve">국민 467701 01 120482
</t>
      </text>
    </comment>
    <comment authorId="0" ref="D255">
      <text>
        <t xml:space="preserve">대학생할인
초과공과금 
12월 1만+ 1월 4만 + 2월 5만 = 10만 보증금 차감</t>
      </text>
    </comment>
    <comment authorId="0" ref="G255">
      <text>
        <t xml:space="preserve">신예원 2/28 &gt; 실제 퇴실 2/21
대학생할인
초과공과금 
12월 1만+ 1월 4만 + 2월 5만 = 10만 보증금 차감
김나영 계약취소 위약금 50
김세진 2/25  
첫달 월세  	75,714
첫달 관리비	14,286 </t>
      </text>
    </comment>
    <comment authorId="0" ref="Y255">
      <text>
        <t xml:space="preserve">퇴실 월세  	410,323
퇴실 관리비 	77,419</t>
      </text>
    </comment>
    <comment authorId="0" ref="D256">
      <text>
        <t xml:space="preserve">대학생할인
초과공과금 
12월 1만+ 1월 4만 + 2월 2.5만 = 7.5만 보증금 차감</t>
      </text>
    </comment>
    <comment authorId="0" ref="G256">
      <text>
        <t xml:space="preserve">김현빈 2/14
대학생 할인
퇴실 월세  	210,000
퇴실 관리비 	50,000
초과공과금 12월 1만+ 1월 4만 + 2월 2.5만 = 7.5만 보증금 차감
이주영 2/18
첫달 월세  	216,071
첫달 관리비	39,286</t>
      </text>
    </comment>
    <comment authorId="0" ref="D257">
      <text>
        <t xml:space="preserve">대학생할인
초과공과금 12월 1만+ 1월 0.5 + 2월 3만 = 4.5만 보증금 차감</t>
      </text>
    </comment>
    <comment authorId="0" ref="G257">
      <text>
        <t xml:space="preserve">장한비 2/25 중도퇴실 
대학생할인 
1개월 45+10 3월 입력
초과공과금 12월 1만+ 1월 0.5 + 2월 3만 = 4.5만 보증금 차감
박한별 2/21
첫달 월세  	71,429
첫달 관리비	17,857</t>
      </text>
    </comment>
    <comment authorId="0" ref="D258">
      <text>
        <t xml:space="preserve">1월분 
방학 할인없이 총 45만 입금 
&gt; 초과액 2월에서 차감입금 안내
월세 35만 + 10만 &gt; 2월 월세 차감예정
초과공과금 12월 1만+ 1월 0.5= 1.5</t>
      </text>
    </comment>
    <comment authorId="0" ref="G258">
      <text>
        <t xml:space="preserve">1월분 
대학생 할인없이 총 45만 입금 &gt; 초과액 2월에서 차감입금 안내
2월 35 -10 1월 초과분 =25 
초과공과금 12월 1만+ 1월 0.5= 1.5</t>
      </text>
    </comment>
    <comment authorId="0" ref="J258">
      <text>
        <t xml:space="preserve">연장, 40, 관 10</t>
      </text>
    </comment>
    <comment authorId="0" ref="D272">
      <text>
        <t xml:space="preserve">월세	440,000
수수료 10%	44,000
부가세	4,400
월세정산	391,600
관리비	80,000
정산합계	471,600</t>
      </text>
    </comment>
    <comment authorId="0" ref="G272">
      <text>
        <t xml:space="preserve">월세	440,000
수수료 10%	44,000
부가세	4,400
월세정산	391,600
관리비	80,000
정산합계	471,600</t>
      </text>
    </comment>
    <comment authorId="0" ref="J272">
      <text>
        <t xml:space="preserve">월세	440,000
수수료 10%	44,000
부가세	4,400
월세정산	391,600
관리비	80,000
정산합계	471,600</t>
      </text>
    </comment>
    <comment authorId="0" ref="M272">
      <text>
        <t xml:space="preserve">월세	440,000
수수료 10%	44,000
부가세	4,400
월세정산	391,600
관리비	80,000
정산합계	471,600</t>
      </text>
    </comment>
    <comment authorId="0" ref="P272">
      <text>
        <t xml:space="preserve">월세	440,000
수수료 10%	44,000
부가세	4,400
월세정산	391,600
관리비	80,000
정산합계	471,600</t>
      </text>
    </comment>
    <comment authorId="0" ref="S272">
      <text>
        <t xml:space="preserve">월세	440,000
수수료 10%	44,000
부가세	4,400
월세정산	391,600
관리비	80,000
정산합계	471,600</t>
      </text>
    </comment>
    <comment authorId="0" ref="V272">
      <text>
        <t xml:space="preserve">월세	440,000
수수료 10%	44,000
부가세	4,400
월세정산	391,600
관리비	80,000
정산합계	471,600</t>
      </text>
    </comment>
    <comment authorId="0" ref="Y272">
      <text>
        <t xml:space="preserve">월세	440,000
수수료 10%	44,000
부가세	4,400
월세정산	391,600
관리비	80,000
정산합계	471,600</t>
      </text>
    </comment>
    <comment authorId="0" ref="J273">
      <text>
        <t xml:space="preserve">연장, 37+10</t>
      </text>
    </comment>
    <comment authorId="0" ref="G274">
      <text>
        <t xml:space="preserve">송윤서 2/25
첫달 월세  	52,857
첫달 관리비	14,286</t>
      </text>
    </comment>
    <comment authorId="0" ref="G275">
      <text>
        <t xml:space="preserve">이지원 2/27
첫달 월세  	26,429
첫달 관리비	7,143</t>
      </text>
    </comment>
    <comment authorId="0" ref="D288">
      <text>
        <t xml:space="preserve">대학생할인 - 재학증명서 확인</t>
      </text>
    </comment>
    <comment authorId="0" ref="G288">
      <text>
        <t xml:space="preserve">김예원 2/28
대학생할인 
오은채 2/26 (D룸 2일 있다가 A로 이동)
첫달 월세  	53,571
첫달 관리비	10,714</t>
      </text>
    </comment>
    <comment authorId="0" ref="D289">
      <text>
        <t xml:space="preserve">일시납 할인 적용    610만
보증금 50만
&gt; 610+50=660 입금완료
  관리비 10만*12=120만 입금완료
 7월 8월 1월 2월 	 44* 4=	 176 
 3월~6월, 9월 10월  54*6=	 324 
 11월,12월 	 55*	2= 110 
합계 610
</t>
      </text>
    </comment>
    <comment authorId="0" ref="G289">
      <text>
        <t xml:space="preserve">일시납 할인 적용    610만
보증금 50만
&gt; 610+50=660 입금완료
  관리비 10만*12=120만 입금완료 
 7월 8월 1월 2월 	 44* 4=	 176 
 3월~6월, 9월 10월  54*6=	 324 
 11월,12월 	 55*	2= 110 
합계 610
완납할인 적용
 월세 	 월     금액 
 590,000 12	 7,080,000 
 40,000 	12	 480,000 
 100,000 4	 400,000 
 10,000 	10	 100,000 (25.2~3월 제외)
		       6,100,000 
월세 610만원
관리비 10만원*12=120만원
보증금 50만원
ㅡㅡㅡㅡㅡㅡㅡㅡㅡㅡㅡㅡ
합계 780만원
</t>
      </text>
    </comment>
    <comment authorId="0" ref="J289">
      <text>
        <t xml:space="preserve">Claybaugh, Genevieve Mary 3/1 
</t>
      </text>
    </comment>
    <comment authorId="0" ref="G290">
      <text>
        <t xml:space="preserve">첫달 월세  	196,429
첫달 관리비	39,286</t>
      </text>
    </comment>
    <comment authorId="0" ref="D291">
      <text>
        <t xml:space="preserve">대학생할인 - 재학증명서 확인</t>
      </text>
    </comment>
    <comment authorId="0" ref="G291">
      <text>
        <t xml:space="preserve">임세영 2/18
퇴실 월세  	295,714
퇴실 관리비 	64,286
</t>
      </text>
    </comment>
    <comment authorId="0" ref="J291">
      <text>
        <t xml:space="preserve">(44+10)*12개월-할인8만=640만 일시불 입금완료
월세 할인 8만 = 6660 * 3월~1월 + 6740 2월
433340* 3월~1월 =4,766,740
433260* 2월=433,260
100000*12= 1,200,000
---------------------------------
합 640만
</t>
      </text>
    </comment>
    <comment authorId="0" ref="M291">
      <text>
        <t xml:space="preserve">(44+10)*12개월-할인8만=640만 일시불 입금완료
월세 할인 8만 = 6660 * 3월~1월 + 6740 2월
433340* 3월~1월 =4,766,740
433260* 2월=433,260
100000*12= 1,200,000
---------------------------------
합 640만
</t>
      </text>
    </comment>
    <comment authorId="0" ref="P291">
      <text>
        <t xml:space="preserve">(44+10)*12개월-할인8만=640만 일시불 입금완료
월세 할인 8만 = 6660 * 3월~1월 + 6740 2월
433340* 3월~1월 =4,766,740
433260* 2월=433,260
100000*12= 1,200,000
---------------------------------
합 640만
</t>
      </text>
    </comment>
    <comment authorId="0" ref="S291">
      <text>
        <t xml:space="preserve">(44+10)*12개월-할인8만=640만 일시불 입금완료
월세 할인 8만 = 6660 * 3월~1월 + 6740 2월
433340* 3월~1월 =4,766,740
433260* 2월=433,260
100000*12= 1,200,000
---------------------------------
합 640만
</t>
      </text>
    </comment>
    <comment authorId="0" ref="V291">
      <text>
        <t xml:space="preserve">(44+10)*12개월-할인8만=640만 일시불 입금완료
월세 할인 8만 = 6660 * 3월~1월 + 6740 2월
433340* 3월~1월 =4,766,740
433260* 2월=433,260
100000*12= 1,200,000
---------------------------------
합 640만
</t>
      </text>
    </comment>
    <comment authorId="0" ref="Y291">
      <text>
        <t xml:space="preserve">(44+10)*12개월-할인8만=640만 일시불 입금완료
월세 할인 8만 = 6660 * 3월~1월 + 6740 2월
433340* 3월~1월 =4,766,740
433260* 2월=433,260
100000*12= 1,200,000
---------------------------------
합 640만
</t>
      </text>
    </comment>
    <comment authorId="0" ref="AB291">
      <text>
        <t xml:space="preserve">(44+10)*12개월-할인8만=640만 일시불 입금완료
월세 할인 8만 = 6660 * 3월~1월 + 6740 2월
433340* 3월~1월 =4,766,740
433260* 2월=433,260
100000*12= 1,200,000
---------------------------------
합 640만
</t>
      </text>
    </comment>
    <comment authorId="0" ref="AE291">
      <text>
        <t xml:space="preserve">(44+10)*12개월-할인8만=640만 일시불 입금완료
월세 할인 8만 = 6660 * 3월~1월 + 6740 2월
433340* 3월~1월 =4,766,740
433260* 2월=433,260
100000*12= 1,200,000
---------------------------------
합 640만
</t>
      </text>
    </comment>
    <comment authorId="0" ref="AH291">
      <text>
        <t xml:space="preserve">(44+10)*12개월-할인8만=640만 일시불 입금완료
월세 할인 8만 = 6660 * 3월~1월 + 6740 2월
433340* 3월~1월 =4,766,740
433260* 2월=433,260
100000*12= 1,200,000
---------------------------------
합 640만
</t>
      </text>
    </comment>
    <comment authorId="0" ref="AK291">
      <text>
        <t xml:space="preserve">(44+10)*12개월-할인8만=640만 일시불 입금완료
월세 할인 8만 = 6660 * 3월~1월 + 6740 2월
433340* 3월~1월 =4,766,740
433260* 2월=433,260
100000*12= 1,200,000
---------------------------------
합 640만
</t>
      </text>
    </comment>
    <comment authorId="0" ref="G304">
      <text>
        <t xml:space="preserve">첫달 월세  	176,786
첫달 관리비	32,143</t>
      </text>
    </comment>
    <comment authorId="0" ref="J305">
      <text>
        <t xml:space="preserve">김주원 3/15 중도퇴실
첫달 월세  	532,258
첫달 관리비	96,774
위약금 1달 55+10 4월 입력
윤다운 3/15 
첫달 월세  	274,194
첫달 관리비	54,839</t>
      </text>
    </comment>
    <comment authorId="0" ref="J307">
      <text>
        <t xml:space="preserve">월+관 &gt; 카뱅 모두 입금 
</t>
      </text>
    </comment>
    <comment authorId="0" ref="G308">
      <text>
        <t xml:space="preserve">첫달 월세  	42,857
첫달 관리비	10,714</t>
      </text>
    </comment>
    <comment authorId="0" ref="D321">
      <text>
        <t xml:space="preserve">대학생할인 - 재학증명서 확인</t>
      </text>
    </comment>
    <comment authorId="0" ref="G321">
      <text>
        <t xml:space="preserve">대학생할인 - 재학증명서 확인
초과공과금 3만</t>
      </text>
    </comment>
    <comment authorId="0" ref="G322">
      <text>
        <t xml:space="preserve">초과공과금 3만</t>
      </text>
    </comment>
    <comment authorId="0" ref="G323">
      <text>
        <t xml:space="preserve">초과공과금 1.5만</t>
      </text>
    </comment>
    <comment authorId="0" ref="J323">
      <text>
        <t xml:space="preserve">연장, 60+12</t>
      </text>
    </comment>
    <comment authorId="0" ref="G324">
      <text>
        <t xml:space="preserve">초과공과금 3만 </t>
      </text>
    </comment>
    <comment authorId="0" ref="Y324">
      <text>
        <t xml:space="preserve">퇴실 월세  	251,613
퇴실 관리비 	50,323</t>
      </text>
    </comment>
    <comment authorId="0" ref="D325">
      <text>
        <t xml:space="preserve">대학생할인 - 재학증명서 확인
초과공과금 1월 3만+2월 4만=7만 &gt; 보증금차감</t>
      </text>
    </comment>
    <comment authorId="0" ref="G325">
      <text>
        <t xml:space="preserve">이정윤 2/20
퇴실 월세  	321,429
퇴실 관리비 	85,714
초과공과금 1월 3만+2월 4만=7만 &gt; 보증금차감</t>
      </text>
    </comment>
    <comment authorId="0" ref="D326">
      <text>
        <t xml:space="preserve">초과공과금 1월 3만+2월 4만=7만 &gt; 보증금차감</t>
      </text>
    </comment>
    <comment authorId="0" ref="G326">
      <text>
        <t xml:space="preserve">이서현 2/20 실제 2/6
퇴실 월세  	321,429
퇴실 관리비 	85,714
초과공과금 1월 3만+2월 4만=7만 &gt; 보증금차감
김민지 2/21
첫달 월세  	128,571
첫달 관리비	34,286</t>
      </text>
    </comment>
    <comment authorId="0" ref="C328">
      <text>
        <t xml:space="preserve">계약기간 : 24년 12월 31일까지 계약
입금일 : 매월 1일 후불
입금계좌 : 하나 379 910115 54807 주성수</t>
      </text>
    </comment>
    <comment authorId="0" ref="B329">
      <text>
        <t xml:space="preserve">02-338-8016</t>
      </text>
    </comment>
    <comment authorId="0" ref="C329">
      <text>
        <t xml:space="preserve">하나 379 910008 19805</t>
      </text>
    </comment>
    <comment authorId="0" ref="C331">
      <text>
        <t xml:space="preserve">카드결제 신청 완료
</t>
      </text>
    </comment>
    <comment authorId="0" ref="J340">
      <text>
        <t xml:space="preserve">연장, 60+10</t>
      </text>
    </comment>
    <comment authorId="0" ref="D341">
      <text>
        <t xml:space="preserve">대학생할인</t>
      </text>
    </comment>
    <comment authorId="0" ref="G341">
      <text>
        <t xml:space="preserve">대학생할인</t>
      </text>
    </comment>
    <comment authorId="0" ref="J341">
      <text>
        <t xml:space="preserve">연장, 55+10</t>
      </text>
    </comment>
    <comment authorId="0" ref="J342">
      <text>
        <t xml:space="preserve">첫달 월세  	329,032
첫달 관리비	64,516
1,829,032 + 64,516 &gt; Lee Hyun Soo
&gt; 투자자 관리비 케뱅 미입금
100,000w &gt; Jaehoon Yoo  &gt; 4월 관리비 선입금
</t>
      </text>
    </comment>
    <comment authorId="0" ref="J343">
      <text>
        <t xml:space="preserve">연장, 48+10</t>
      </text>
    </comment>
    <comment authorId="0" ref="J363">
      <text>
        <t xml:space="preserve">연장, 47&gt;52 인상</t>
      </text>
    </comment>
    <comment authorId="0" ref="D364">
      <text>
        <t xml:space="preserve">대학생 할인</t>
      </text>
    </comment>
    <comment authorId="0" ref="G364">
      <text>
        <t xml:space="preserve">대학생 할인</t>
      </text>
    </comment>
    <comment authorId="0" ref="J364">
      <text>
        <t xml:space="preserve">연장, 42+10</t>
      </text>
    </comment>
    <comment authorId="0" ref="J365">
      <text>
        <t xml:space="preserve">연장, 45+10</t>
      </text>
    </comment>
    <comment authorId="0" ref="D378">
      <text>
        <t xml:space="preserve">10일 입금
초과공과금 
1월 2+2월 55000=75000 &gt; 보증금차감
</t>
      </text>
    </comment>
    <comment authorId="0" ref="G378">
      <text>
        <t xml:space="preserve">손사라 2/25  
퇴실 월세  	526,786
퇴실 관리비 	89,286
2월분 미입금 보증금에서 차감
초과공과금 
1월 2+2월 5.5=7.5 &gt; 보증금차감
Nilla.stahl(고고) 2/26
첫달 월세  	69,643
첫달 관리비	10,714 
</t>
      </text>
    </comment>
    <comment authorId="0" ref="G379">
      <text>
        <t xml:space="preserve">이하주 2/13 중도퇴실
2월 15일분만 235000+5
3월 1달분 위약금 &gt; 3월 입력
3만 할인*3개월=9만 &gt; 3월 입력</t>
      </text>
    </comment>
    <comment authorId="0" ref="J379">
      <text>
        <t xml:space="preserve">이하주 2/13 중도퇴실
2월 15일분만 235000+5
3월 1달분 위약금 &gt; 3월 입력
3만 할인*3개월=9만 &gt; 3월 입력
심규리 3/1 
싱규리</t>
      </text>
    </comment>
    <comment authorId="0" ref="Y379">
      <text>
        <t xml:space="preserve">퇴실 월세  	403,226
퇴실 관리비 	80,645</t>
      </text>
    </comment>
    <comment authorId="0" ref="D380">
      <text>
        <t xml:space="preserve">초과공과금 
1월 7000+2월 25000=32000</t>
      </text>
    </comment>
    <comment authorId="0" ref="G380">
      <text>
        <t xml:space="preserve">초과공과금 
1월 7000+2월 25000=32000</t>
      </text>
    </comment>
    <comment authorId="0" ref="D381">
      <text>
        <t xml:space="preserve">초과공과금 
1월 7000+2월 25000=32000
보증금에서 차감</t>
      </text>
    </comment>
    <comment authorId="0" ref="G381">
      <text>
        <t xml:space="preserve">야스이 아야네 (Yasui Ayane) 2/25
퇴실 월세  	437,500
퇴실 관리비 	89,286
초과공과금 
1월 7000+2월 25000=32000
보증금에서 차감
최은주 2/27
첫달 월세  	34,286
첫달 관리비	7,143</t>
      </text>
    </comment>
    <comment authorId="0" ref="G394">
      <text>
        <t xml:space="preserve">첫달 월세  	300,000
첫달 관리비	50,000 &gt; 10만입금?</t>
      </text>
    </comment>
    <comment authorId="0" ref="G395">
      <text>
        <t xml:space="preserve">첫달 월세  	339,286
첫달 관리비	67,857
모두 케뱅 입금</t>
      </text>
    </comment>
    <comment authorId="0" ref="G396">
      <text>
        <t xml:space="preserve">첫달 월세  	35,714
첫달 관리비	7,143</t>
      </text>
    </comment>
    <comment authorId="0" ref="D409">
      <text>
        <t xml:space="preserve">월+관 &gt; 월세계좌 
&gt; 관리비 투자자 입금 </t>
      </text>
    </comment>
    <comment authorId="0" ref="G409">
      <text>
        <t xml:space="preserve">월+관 &gt; 월세계좌 
&gt; 관리비 투자자 입금 </t>
      </text>
    </comment>
    <comment authorId="0" ref="G411">
      <text>
        <t xml:space="preserve">퇴실 월세  	312,500
퇴실 관리비 	65,800</t>
      </text>
    </comment>
    <comment authorId="0" ref="D412">
      <text>
        <t xml:space="preserve">대학생할인 - 재학증명서 확인</t>
      </text>
    </comment>
    <comment authorId="0" ref="G412">
      <text>
        <t xml:space="preserve">25일 퇴실요청 정산
퇴실 월세  	250,000
퇴실 관리비 	71,429</t>
      </text>
    </comment>
    <comment authorId="0" ref="L416">
      <text>
        <t xml:space="preserve">2.2~3.2
이사일자 3.3</t>
      </text>
    </comment>
    <comment authorId="0" ref="F434">
      <text>
        <t xml:space="preserve">2/11 강연수 카뱅</t>
      </text>
    </comment>
    <comment authorId="0" ref="C441">
      <text>
        <t xml:space="preserve">보일러 X, 전기패널O</t>
      </text>
    </comment>
    <comment authorId="0" ref="D442">
      <text>
        <t xml:space="preserve">김다영 1/11 중도퇴실
2월분 보증금 차감요청
52만 입금 &gt; 대학생할인적용 &gt; 10만원 보증금 정산시 환불
이지윤 1/19
첫달 월세  	230,645
첫달 관리비	41,935</t>
      </text>
    </comment>
    <comment authorId="0" ref="G442">
      <text>
        <t xml:space="preserve">김다영 1/11 중도퇴실
2월분 보증금 차감
대학생할인
퇴실 월세  	375,000
퇴실 관리비 	71,429</t>
      </text>
    </comment>
    <comment authorId="0" ref="D443">
      <text>
        <t xml:space="preserve">대학생할인 - 재학증명서 확인</t>
      </text>
    </comment>
    <comment authorId="0" ref="G443">
      <text>
        <t xml:space="preserve">김지윤 2/25
대학생할인 
김기영  2/14
첫달 월세  	251,786
첫달 관리비	53,571</t>
      </text>
    </comment>
    <comment authorId="0" ref="G444">
      <text>
        <t xml:space="preserve">명주영 2/28
명성용 월+관 중복 입금 
386842 + 10
김나경 2/27
첫달 월세  	30,000
첫달 관리비	7,140
</t>
      </text>
    </comment>
    <comment authorId="0" ref="G445">
      <text>
        <t xml:space="preserve">퇴실월세 345000
퇴실 관 10</t>
      </text>
    </comment>
    <comment authorId="0" ref="J445">
      <text>
        <t xml:space="preserve">첫달 월세  	406,452
첫달 관리비	96,774</t>
      </text>
    </comment>
    <comment authorId="0" ref="Y445">
      <text>
        <t xml:space="preserve">퇴실 월세  	338,710
퇴실 관리비 	80,645</t>
      </text>
    </comment>
    <comment authorId="0" ref="F451">
      <text>
        <t xml:space="preserve">1/22 강연수 카뱅</t>
      </text>
    </comment>
    <comment authorId="0" ref="J458">
      <text>
        <t xml:space="preserve">2.25 C2 &gt; A이동</t>
      </text>
    </comment>
    <comment authorId="0" ref="D459">
      <text>
        <t xml:space="preserve">초과공과금
12월 15,00 + 1월 25,000 + 2월 1만 = 5만  &gt; 공과금정산</t>
      </text>
    </comment>
    <comment authorId="0" ref="G459">
      <text>
        <t xml:space="preserve">정희원 2/25
퇴실 월세  	473,214
퇴실 관리비 	89,286
초과공과금
12월 15,000 + 1월 25,000 + 2월 1만 = 5만 &gt; 공과금정산
김예원 2.25
첫달 월세  	68,571
첫달 관리비	14,286</t>
      </text>
    </comment>
    <comment authorId="0" ref="D460">
      <text>
        <t xml:space="preserve">대학생할인 - 재학증명서 확인
초과공과금
12월 15,00 + 1월 25,000 + 2월 1만 = 5만  &gt; 공과금정산</t>
      </text>
    </comment>
    <comment authorId="0" ref="G460">
      <text>
        <t xml:space="preserve">한서아
대학생할인 
초과공과금
12월 15,00 + 1월 25,000 + 2월 1만 = 5만  &gt; 공과금정산
이세진 2/28
첫달 월세  	13,214
첫달 관리비	3,571
</t>
      </text>
    </comment>
    <comment authorId="0" ref="D461">
      <text>
        <t xml:space="preserve">대학생할인 
초과공과금
12월 15,00 + 1월 25,000 + 2월 1만 = 5만 </t>
      </text>
    </comment>
    <comment authorId="0" ref="G461">
      <text>
        <t xml:space="preserve">노현진 2/25
대학생할인 
2.25 C2 &gt; A이동
초과공과금
12월 15,00 + 1월 25,000 + 2월 1만 = 5만 &gt; OK
박수지 2/28
첫달 월세  	13,214
첫달 관리비	3,571</t>
      </text>
    </comment>
    <comment authorId="0" ref="C464">
      <text>
        <t xml:space="preserve">월 3만 고정</t>
      </text>
    </comment>
    <comment authorId="0" ref="C467">
      <text>
        <t xml:space="preserve">월 1인 * 15000원 =4*15000=6만 고정</t>
      </text>
    </comment>
    <comment authorId="0" ref="D474">
      <text>
        <t xml:space="preserve">12/31 중도퇴실 
1월분 입금
1개월 위약금 50+10 &gt; 2월 입력
대학생할인 10만*3  &gt; 2월 입력
대학생 할인</t>
      </text>
    </comment>
    <comment authorId="0" ref="G474">
      <text>
        <t xml:space="preserve">12/31 중도퇴실 
1월분 입금
1개월 위약금 50+10 2월 입력
대학생할인 10만*3  &gt; 2월 입력
할인 3만*3=9  &gt; 2월 입력
박상아 2/23  / 변경애 
첫달 월세  	100,714
첫달 관리비	21,429</t>
      </text>
    </comment>
    <comment authorId="0" ref="D475">
      <text>
        <t xml:space="preserve">대학생 할인
1월에 55입금 &gt; 2월에 20만원 적게 입금</t>
      </text>
    </comment>
    <comment authorId="0" ref="G475">
      <text>
        <t xml:space="preserve">대학생 할인
1월에 55입금 &gt; 2월에 20만원 적게 입금</t>
      </text>
    </comment>
    <comment authorId="0" ref="J475">
      <text>
        <t xml:space="preserve">연장, 55+10</t>
      </text>
    </comment>
    <comment authorId="0" ref="D476">
      <text>
        <t xml:space="preserve">계약취소 
입실후 소음문제 제기
1/31 바로 퇴실 
1달 월세 위약금
</t>
      </text>
    </comment>
    <comment authorId="0" ref="G476">
      <text>
        <t xml:space="preserve">첫달 월세  	20,357
첫달 관리비	3,571
&gt; 모두 월세계좌로 입금 &gt; 관리 케뱅 입금
계약은 2/27
실제 2/28 입주로 월세 계산됨</t>
      </text>
    </comment>
    <comment authorId="0" ref="D489">
      <text>
        <t xml:space="preserve">대학생할인 - 재학증명서 확인</t>
      </text>
    </comment>
    <comment authorId="0" ref="G489">
      <text>
        <t xml:space="preserve">대학생할인 - 재학증명서 확인</t>
      </text>
    </comment>
    <comment authorId="0" ref="J489">
      <text>
        <t xml:space="preserve">연장, 47+10</t>
      </text>
    </comment>
    <comment authorId="0" ref="D490">
      <text>
        <t xml:space="preserve">대학생할인 - 재학증명서 확인</t>
      </text>
    </comment>
    <comment authorId="0" ref="G490">
      <text>
        <t xml:space="preserve">퇴실 월세  	321,429
퇴실 관리비 	89,286
대학생할인 - 재학증명서 확인
이한희 2/28 / 이정현
첫달 월세  	17,500
첫달 관리비	3,571</t>
      </text>
    </comment>
    <comment authorId="0" ref="J490">
      <text>
        <t xml:space="preserve">이정현</t>
      </text>
    </comment>
    <comment authorId="0" ref="Y490">
      <text>
        <t xml:space="preserve">퇴실 월세  	395,161
퇴실 관리비 	80,645</t>
      </text>
    </comment>
    <comment authorId="0" ref="G491">
      <text>
        <t xml:space="preserve">성연우 2/22
퇴실 월세  	510,714
퇴실 관리비 	78,571
임은우 계약취소 
계약금 50 입력
권민교 2/25 / 권민석 
첫달 월세  	52,857
첫달 관리비	14,286</t>
      </text>
    </comment>
    <comment authorId="0" ref="G492">
      <text>
        <t xml:space="preserve">첫달 월세  	52,857
첫달 관리비	14,286</t>
      </text>
    </comment>
    <comment authorId="0" ref="D505">
      <text>
        <t xml:space="preserve">초과공과금 : 1월 2.5 + 2월 1.5=4만 
&gt; 보증금 정산</t>
      </text>
    </comment>
    <comment authorId="0" ref="G505">
      <text>
        <t xml:space="preserve">퇴실 월세  	437,500
퇴실 관리비 	71,429
초과공과금 : 1월 2.5 + 2월 1.5=4만 
&gt; 보증금 정산</t>
      </text>
    </comment>
    <comment authorId="0" ref="J505">
      <text>
        <t xml:space="preserve">첫달 월세  	454,839
첫달 관리비	96,774</t>
      </text>
    </comment>
    <comment authorId="0" ref="D506">
      <text>
        <t xml:space="preserve">대학생할인
초과공과금 : 1월 2.5 + 2월 1.5=4만 
</t>
      </text>
    </comment>
    <comment authorId="0" ref="G506">
      <text>
        <t xml:space="preserve">대학생할인
초과공과금 : 1월 2.5 + 2월 1.5=4만 
</t>
      </text>
    </comment>
    <comment authorId="0" ref="J506">
      <text>
        <t xml:space="preserve">연장, 37+10</t>
      </text>
    </comment>
    <comment authorId="0" ref="G507">
      <text>
        <t xml:space="preserve">월세 13,214
관리비 3,571</t>
      </text>
    </comment>
    <comment authorId="0" ref="J507">
      <text>
        <t xml:space="preserve">김은서 계약취소 위약금 50</t>
      </text>
    </comment>
    <comment authorId="0" ref="Y507">
      <text>
        <t xml:space="preserve">퇴실 월세  	314,516
퇴실 관리비 	80,645</t>
      </text>
    </comment>
    <comment authorId="0" ref="G508">
      <text>
        <t xml:space="preserve">첫달 월세  	50,000
첫달 관리비	14,286</t>
      </text>
    </comment>
    <comment authorId="0" ref="Y508">
      <text>
        <t xml:space="preserve">퇴실 월세  	270,968
퇴실 관리비 	77,419</t>
      </text>
    </comment>
    <comment authorId="0" ref="D509">
      <text>
        <t xml:space="preserve">대학생할인
초과공과금 : 1월 2.5 + 2월 1.5=4만 
</t>
      </text>
    </comment>
    <comment authorId="0" ref="G509">
      <text>
        <t xml:space="preserve">대학생할인
초과공과금 : 1월 2.5 + 2월 1.5=4만 
</t>
      </text>
    </comment>
    <comment authorId="0" ref="J509">
      <text>
        <t xml:space="preserve">연장, 33+10</t>
      </text>
    </comment>
    <comment authorId="0" ref="C513">
      <text>
        <t xml:space="preserve">카드결제 신청 완료
</t>
      </text>
    </comment>
    <comment authorId="0" ref="C514">
      <text>
        <t xml:space="preserve">4월부터 내 카드로 </t>
      </text>
    </comment>
    <comment authorId="0" ref="G522">
      <text>
        <t xml:space="preserve">임승현 2/20
월세 392,857
관리비 71,429
손희진 2/21
첫달 월세  	142,857
첫달 관리비	28,571 </t>
      </text>
    </comment>
    <comment authorId="0" ref="J522">
      <text>
        <t xml:space="preserve">손희진,손민주 같이 입금</t>
      </text>
    </comment>
    <comment authorId="0" ref="M522">
      <text>
        <t xml:space="preserve">손희진,손민주 같이 입금</t>
      </text>
    </comment>
    <comment authorId="0" ref="P522">
      <text>
        <t xml:space="preserve">손희진,손민주 같이 입금</t>
      </text>
    </comment>
    <comment authorId="0" ref="S522">
      <text>
        <t xml:space="preserve">손희진,손민주 같이 입금</t>
      </text>
    </comment>
    <comment authorId="0" ref="V522">
      <text>
        <t xml:space="preserve">손희진,손민주 같이 입금</t>
      </text>
    </comment>
    <comment authorId="0" ref="Y522">
      <text>
        <t xml:space="preserve">손희진,손민주 같이 입금</t>
      </text>
    </comment>
    <comment authorId="0" ref="AB522">
      <text>
        <t xml:space="preserve">손희진,손민주 같이 입금</t>
      </text>
    </comment>
    <comment authorId="0" ref="AE522">
      <text>
        <t xml:space="preserve">손희진,손민주 같이 입금</t>
      </text>
    </comment>
    <comment authorId="0" ref="AH522">
      <text>
        <t xml:space="preserve">손희진,손민주 같이 입금</t>
      </text>
    </comment>
    <comment authorId="0" ref="AK522">
      <text>
        <t xml:space="preserve">손희진,손민주 같이 입금</t>
      </text>
    </comment>
    <comment authorId="0" ref="D523">
      <text>
        <t xml:space="preserve">12월 + 1월 : 보증금에서 정산</t>
      </text>
    </comment>
    <comment authorId="0" ref="G523">
      <text>
        <t xml:space="preserve">이연우
12월+1월+2월 = 월,관 보증금 차감
손민주 2/21
첫달 월세  	134,286
첫달 관리비	28,571</t>
      </text>
    </comment>
    <comment authorId="0" ref="J523">
      <text>
        <t xml:space="preserve">손희진,손민주 같이 입금</t>
      </text>
    </comment>
    <comment authorId="0" ref="M523">
      <text>
        <t xml:space="preserve">손희진,손민주 같이 입금</t>
      </text>
    </comment>
    <comment authorId="0" ref="P523">
      <text>
        <t xml:space="preserve">손희진,손민주 같이 입금</t>
      </text>
    </comment>
    <comment authorId="0" ref="S523">
      <text>
        <t xml:space="preserve">손희진,손민주 같이 입금</t>
      </text>
    </comment>
    <comment authorId="0" ref="V523">
      <text>
        <t xml:space="preserve">손희진,손민주 같이 입금</t>
      </text>
    </comment>
    <comment authorId="0" ref="Y523">
      <text>
        <t xml:space="preserve">손희진,손민주 같이 입금</t>
      </text>
    </comment>
    <comment authorId="0" ref="AB523">
      <text>
        <t xml:space="preserve">손희진,손민주 같이 입금</t>
      </text>
    </comment>
    <comment authorId="0" ref="AE523">
      <text>
        <t xml:space="preserve">손희진,손민주 같이 입금</t>
      </text>
    </comment>
    <comment authorId="0" ref="AH523">
      <text>
        <t xml:space="preserve">손희진,손민주 같이 입금</t>
      </text>
    </comment>
    <comment authorId="0" ref="AK523">
      <text>
        <t xml:space="preserve">손희진,손민주 같이 입금</t>
      </text>
    </comment>
    <comment authorId="0" ref="D525">
      <text>
        <t xml:space="preserve">월세	490,000
수수료 10%	49,000
부가세	4,900
월세정산	436,100
관리비	100,000
정산합계	536,100</t>
      </text>
    </comment>
    <comment authorId="0" ref="G525">
      <text>
        <t xml:space="preserve">월세	490,000
수수료 10%	49,000
부가세	4,900
월세정산	436,100
관리비	100,000
정산합계	536,100</t>
      </text>
    </comment>
    <comment authorId="0" ref="J525">
      <text>
        <t xml:space="preserve">월세	490,000
수수료 10%	49,000
부가세	4,900
월세정산	436,100
관리비	100,000
정산합계	536,100</t>
      </text>
    </comment>
    <comment authorId="0" ref="M525">
      <text>
        <t xml:space="preserve">월세	490,000
수수료 10%	49,000
부가세	4,900
월세정산	436,100
관리비	100,000
정산합계	536,100</t>
      </text>
    </comment>
    <comment authorId="0" ref="P525">
      <text>
        <t xml:space="preserve">월세	490,000
수수료 10%	49,000
부가세	4,900
월세정산	436,100
관리비	100,000
정산합계	536,100</t>
      </text>
    </comment>
    <comment authorId="0" ref="S525">
      <text>
        <t xml:space="preserve">월세	490,000
수수료 10%	49,000
부가세	4,900
월세정산	436,100
관리비	100,000
정산합계	536,100</t>
      </text>
    </comment>
    <comment authorId="0" ref="V525">
      <text>
        <t xml:space="preserve">월세	490,000
수수료 10%	49,000
부가세	4,900
월세정산	436,100
관리비	100,000
정산합계	536,100</t>
      </text>
    </comment>
    <comment authorId="0" ref="Y526">
      <text>
        <t xml:space="preserve">퇴실 월세  	338,710
퇴실 관리비 	80,645</t>
      </text>
    </comment>
    <comment authorId="0" ref="C530">
      <text>
        <t xml:space="preserve">카드결제 신청 완료
</t>
      </text>
    </comment>
    <comment authorId="0" ref="C531">
      <text>
        <t xml:space="preserve">4월부터 내 카드로 </t>
      </text>
    </comment>
    <comment authorId="0" ref="G539">
      <text>
        <t xml:space="preserve">관 20 &gt; 2월+3월</t>
      </text>
    </comment>
    <comment authorId="0" ref="J539">
      <text>
        <t xml:space="preserve">관 20 &gt; 2월+3월</t>
      </text>
    </comment>
    <comment authorId="0" ref="D540">
      <text>
        <t xml:space="preserve">최영서 1/23
퇴실 월세 348,710
퇴실 관리비 74,194
심수빈 1/24
첫달 월세  	116,129
첫달 관리비	25,806</t>
      </text>
    </comment>
    <comment authorId="0" ref="D541">
      <text>
        <t xml:space="preserve">중도퇴실 12/22
위약금 48+10 *2개월 
1월2월 입력</t>
      </text>
    </comment>
    <comment authorId="0" ref="G541">
      <text>
        <t xml:space="preserve">이예진 2/24
83929+17857
관리비 &gt; 한영희</t>
      </text>
    </comment>
    <comment authorId="0" ref="D542">
      <text>
        <t xml:space="preserve">1월 65+10 &gt; 케뱅
9월,10월,11월,12월 4개월 선입
(65*4달)+보증금 40=300 선잆금 
8/19 카뱅 입금완료
연장, 인상 10 &gt; 월세 65
25.12 구두로 1달 연장 : 12/20 입금 
65+10=75</t>
      </text>
    </comment>
    <comment authorId="0" ref="D555">
      <text>
        <t xml:space="preserve">케이뱅크 월+관
정기청소 17000  &gt; 1/8 입금
1/8 입금  - 추가공과금
12월 추가 7천+1월 추가 17천 =24000
추가공과금 1월 1만+2월 3.5=45000 &gt; 미</t>
      </text>
    </comment>
    <comment authorId="0" ref="G555">
      <text>
        <t xml:space="preserve">케이뱅크 월+관
정기청소 17000
추가공과금 1월 1만+2월 3.5=45000 &gt; 미
</t>
      </text>
    </comment>
    <comment authorId="0" ref="J555">
      <text>
        <t xml:space="preserve">연장 59+10
케이뱅크 월+관 
정기청소 17000 &gt; 미
</t>
      </text>
    </comment>
    <comment authorId="0" ref="G556">
      <text>
        <t xml:space="preserve">퇴실 월세  	380,000
퇴실 관리비 	67,857</t>
      </text>
    </comment>
    <comment authorId="0" ref="J556">
      <text>
        <t xml:space="preserve">정기청소 17000 
</t>
      </text>
    </comment>
    <comment authorId="0" ref="J557">
      <text>
        <t xml:space="preserve">연장 43+10</t>
      </text>
    </comment>
    <comment authorId="0" ref="D558">
      <text>
        <t xml:space="preserve">정기청소 추가 17,000
추가공과금 1월 1만+2월 3.5=45000 </t>
      </text>
    </comment>
    <comment authorId="0" ref="G558">
      <text>
        <t xml:space="preserve">정기청소 추가 17,000 
추가공과금 1월 1만+2월 3.5=45000 </t>
      </text>
    </comment>
    <comment authorId="0" ref="J558">
      <text>
        <t xml:space="preserve">정기청소 추가 17,000 &gt; 미</t>
      </text>
    </comment>
    <comment authorId="0" ref="M558">
      <text>
        <t xml:space="preserve">정기청소 추가 17,000 ?</t>
      </text>
    </comment>
    <comment authorId="0" ref="P558">
      <text>
        <t xml:space="preserve">정기청소 추가 17,000 ?</t>
      </text>
    </comment>
    <comment authorId="0" ref="S558">
      <text>
        <t xml:space="preserve">정기청소 추가 17,000 ?</t>
      </text>
    </comment>
    <comment authorId="0" ref="V558">
      <text>
        <t xml:space="preserve">정기청소 추가 17,000 ?</t>
      </text>
    </comment>
    <comment authorId="0" ref="Y558">
      <text>
        <t xml:space="preserve">정기청소 추가 17,000 ?</t>
      </text>
    </comment>
    <comment authorId="0" ref="AB558">
      <text>
        <t xml:space="preserve">정기청소 추가 17,000 ?</t>
      </text>
    </comment>
    <comment authorId="0" ref="AE558">
      <text>
        <t xml:space="preserve">정기청소 추가 17,000 ?</t>
      </text>
    </comment>
    <comment authorId="0" ref="AH558">
      <text>
        <t xml:space="preserve">정기청소 추가 17,000 ?</t>
      </text>
    </comment>
    <comment authorId="0" ref="AK558">
      <text>
        <t xml:space="preserve">정기청소 추가 17,000 ?</t>
      </text>
    </comment>
    <comment authorId="0" ref="G571">
      <text>
        <t xml:space="preserve">이슭 2/22  중도퇴실
위약금 2개월 56+10 3,4월 입력
2월분 보증금 차감 56+8</t>
      </text>
    </comment>
    <comment authorId="0" ref="J571">
      <text>
        <t xml:space="preserve">한예현 3/6
첫달 월세  	461,290
첫달 관리비	83,871</t>
      </text>
    </comment>
    <comment authorId="0" ref="V571">
      <text>
        <t xml:space="preserve">퇴실 월세  	106,452
퇴실 관리비 	19,355</t>
      </text>
    </comment>
    <comment authorId="0" ref="J572">
      <text>
        <t xml:space="preserve">연장 55+10</t>
      </text>
    </comment>
    <comment authorId="0" ref="J573">
      <text>
        <t xml:space="preserve">연장 37+10</t>
      </text>
    </comment>
    <comment authorId="0" ref="J574">
      <text>
        <t xml:space="preserve">연장 37+10</t>
      </text>
    </comment>
    <comment authorId="0" ref="J587">
      <text>
        <t xml:space="preserve">연장 52+10</t>
      </text>
    </comment>
    <comment authorId="0" ref="Y588">
      <text>
        <t xml:space="preserve">퇴실 월세  	403,226
퇴실 관리비 	80,645</t>
      </text>
    </comment>
    <comment authorId="0" ref="P589">
      <text>
        <t xml:space="preserve">연장, 인상x</t>
      </text>
    </comment>
    <comment authorId="0" ref="J590">
      <text>
        <t xml:space="preserve">연장 37+10</t>
      </text>
    </comment>
    <comment authorId="0" ref="C594">
      <text>
        <t xml:space="preserve">카드결제 신청 완료
</t>
      </text>
    </comment>
    <comment authorId="0" ref="C595">
      <text>
        <t xml:space="preserve">카드결제 신청 완료
</t>
      </text>
    </comment>
    <comment authorId="0" ref="D603">
      <text>
        <t xml:space="preserve">대학생할인 
1월 59만 입금 &gt; 2월 20만 차감  39만 입금</t>
      </text>
    </comment>
    <comment authorId="0" ref="G603">
      <text>
        <t xml:space="preserve">대학생할인 
1월 59만 입금 &gt; 2월 20만 차감  39만 입금</t>
      </text>
    </comment>
    <comment authorId="0" ref="J603">
      <text>
        <t xml:space="preserve">연장 52+10</t>
      </text>
    </comment>
    <comment authorId="0" ref="G604">
      <text>
        <t xml:space="preserve">연장 52+10</t>
      </text>
    </comment>
    <comment authorId="0" ref="C610">
      <text>
        <t xml:space="preserve">카드결제 신청 완료
</t>
      </text>
    </comment>
    <comment authorId="0" ref="C611">
      <text>
        <t xml:space="preserve">카드결제 신청 완료
</t>
      </text>
    </comment>
    <comment authorId="0" ref="J619">
      <text>
        <t xml:space="preserve">연장 54+10</t>
      </text>
    </comment>
    <comment authorId="0" ref="G620">
      <text>
        <t xml:space="preserve">이단비
7/20 보증금 100만 추가 할인1만
24.12 6개월 연장
고은주 2/25
첫달 월세  	74,286 &gt; 94286?
첫달 관리비	14,286.
</t>
      </text>
    </comment>
    <comment authorId="0" ref="Y620">
      <text>
        <t xml:space="preserve">퇴실 월세  	419,355
퇴실 관리비 	80,645</t>
      </text>
    </comment>
    <comment authorId="0" ref="J621">
      <text>
        <t xml:space="preserve">첫달 월세  	189,677
첫달 관리비	45,161 
월+관  &gt; 모두 카뱅</t>
      </text>
    </comment>
    <comment authorId="0" ref="AB621">
      <text>
        <t xml:space="preserve">퇴실 월세  	238,000
퇴실 관리비 	56,667</t>
      </text>
    </comment>
    <comment authorId="0" ref="D622">
      <text>
        <t xml:space="preserve">NAKAMURA M</t>
      </text>
    </comment>
    <comment authorId="0" ref="G622">
      <text>
        <t xml:space="preserve">NAKAMURA M</t>
      </text>
    </comment>
    <comment authorId="0" ref="J622">
      <text>
        <t xml:space="preserve">NAKAMURA M</t>
      </text>
    </comment>
    <comment authorId="0" ref="M622">
      <text>
        <t xml:space="preserve">NAKAMURA M</t>
      </text>
    </comment>
    <comment authorId="0" ref="P622">
      <text>
        <t xml:space="preserve">NAKAMURA M</t>
      </text>
    </comment>
    <comment authorId="0" ref="C624">
      <text>
        <t xml:space="preserve">계약기간 : 25년 8월 14일까지 계약
입금일 : 매월 15일 후불
입금계좌 : 기업 053 028817 01 027 박영미</t>
      </text>
    </comment>
    <comment authorId="0" ref="X628">
      <text>
        <t xml:space="preserve">7/24 케뱅</t>
      </text>
    </comment>
    <comment authorId="0" ref="AD628">
      <text>
        <t xml:space="preserve">9/29 케뱅</t>
      </text>
    </comment>
    <comment authorId="0" ref="J637">
      <text>
        <t xml:space="preserve">연장 35+10</t>
      </text>
    </comment>
    <comment authorId="0" ref="C639">
      <text>
        <t xml:space="preserve">계약기간 : 25년 8월 14일까지 계약
입금일 : 매월 15일 후불
입금계좌 : 기업 053 028817 01 027 박영미</t>
      </text>
    </comment>
    <comment authorId="0" ref="D650">
      <text>
        <t xml:space="preserve">AYA HASHIM
초과관리비 1월 2만+2월 3.5만+3월 5만=  10.5만원 &gt;보증금정산</t>
      </text>
    </comment>
    <comment authorId="0" ref="G650">
      <text>
        <t xml:space="preserve">AYA HASHIM
초과관리비 1월 2만+2월 3.5만+3월 5만=  10.5만원 &gt;보증금정산</t>
      </text>
    </comment>
    <comment authorId="0" ref="J650">
      <text>
        <t xml:space="preserve">AYA HASHIM 3/20
HASHIMOTO
퇴실 월세  	335,484
퇴실 관리비 	64,516
AYA HASHIM
초과관리비 1월 2만+2월 3.5만+3월 5만+4월 2만=  12.5만원 &gt;보증금정산</t>
      </text>
    </comment>
    <comment authorId="0" ref="M650">
      <text>
        <t xml:space="preserve">첫달 월세  	405,000
첫달 관리비	90,000</t>
      </text>
    </comment>
    <comment authorId="0" ref="D651">
      <text>
        <t xml:space="preserve">초과관리비 1월 2만+2월 3.5만+3월 5만=  10.5만원</t>
      </text>
    </comment>
    <comment authorId="0" ref="G651">
      <text>
        <t xml:space="preserve">초과관리비 1월 2만+2월 3.5만+3월 5만=  10.5만원</t>
      </text>
    </comment>
    <comment authorId="0" ref="J651">
      <text>
        <t xml:space="preserve">연장 50+10
초과관리비 1월 2만+2월 3.5만+3월 5만=  10.5만원</t>
      </text>
    </comment>
    <comment authorId="0" ref="G652">
      <text>
        <t xml:space="preserve">계약취소 위약금 50만 
2인실 입주 &gt; 1인실 이동예정 
위약금 2인실에 입력</t>
      </text>
    </comment>
    <comment authorId="0" ref="J652">
      <text>
        <t xml:space="preserve">1달 거주 60+10 보증금 30
월세  	300,000
관리비	50000
Nilla Sabr 전액 60+10 입금</t>
      </text>
    </comment>
    <comment authorId="0" ref="M652">
      <text>
        <t xml:space="preserve">월세  	300,000
관리비	50000
Nilla Sabr 전액 60+10 입금</t>
      </text>
    </comment>
    <comment authorId="0" ref="C655">
      <text>
        <t xml:space="preserve">계약기간 : 25년 4월 30일까지 계약
입금일 : 매월 30일 후불
입금계좌 : 신협 132 001 823764 신우식
관리비 1.2만 + 수도세 2만</t>
      </text>
    </comment>
    <comment authorId="0" ref="C657">
      <text>
        <t xml:space="preserve">카드결제 신청 완료
</t>
      </text>
    </comment>
    <comment authorId="0" ref="C658">
      <text>
        <t xml:space="preserve">카드결제 신청 완료
</t>
      </text>
    </comment>
    <comment authorId="0" ref="G666">
      <text>
        <t xml:space="preserve">계약취소 위약금 50</t>
      </text>
    </comment>
    <comment authorId="0" ref="M667">
      <text>
        <t xml:space="preserve">연장, 인상x</t>
      </text>
    </comment>
    <comment authorId="0" ref="D669">
      <text>
        <t xml:space="preserve">Fabrizzio </t>
      </text>
    </comment>
    <comment authorId="0" ref="G669">
      <text>
        <t xml:space="preserve">Fabrizzio </t>
      </text>
    </comment>
    <comment authorId="0" ref="J669">
      <text>
        <t xml:space="preserve">Fabrizzio </t>
      </text>
    </comment>
    <comment authorId="0" ref="M669">
      <text>
        <t xml:space="preserve">Fabrizzio </t>
      </text>
    </comment>
    <comment authorId="0" ref="P669">
      <text>
        <t xml:space="preserve">Fabrizzio </t>
      </text>
    </comment>
    <comment authorId="0" ref="S669">
      <text>
        <t xml:space="preserve">Fabrizzio 
연장, 인상x</t>
      </text>
    </comment>
    <comment authorId="0" ref="V669">
      <text>
        <t xml:space="preserve">Fabrizzio </t>
      </text>
    </comment>
    <comment authorId="0" ref="Y669">
      <text>
        <t xml:space="preserve">Fabrizzio </t>
      </text>
    </comment>
    <comment authorId="0" ref="D682">
      <text>
        <t xml:space="preserve">Alzbeta Ho</t>
      </text>
    </comment>
    <comment authorId="0" ref="G682">
      <text>
        <t xml:space="preserve">Anna Sophie Holzinger 2/25
Alzbeta Ho
초과관리비 1월 1만+2월 6만=  7만원 &gt; 공과금정산
서혜령 계약취소 위약금 50
여가은 2/22
첫달 월세  	125,000
첫달 관리비	25,000
최경화</t>
      </text>
    </comment>
    <comment authorId="0" ref="D683">
      <text>
        <t xml:space="preserve">47+3</t>
      </text>
    </comment>
    <comment authorId="0" ref="G683">
      <text>
        <t xml:space="preserve">첫달 월세  	137,143
첫달 관리비	28,571</t>
      </text>
    </comment>
    <comment authorId="0" ref="D684">
      <text>
        <t xml:space="preserve">대학생할인 - 재학증명서 확인 
초과관리비 1월 1만+2월 6만=  7만원</t>
      </text>
    </comment>
    <comment authorId="0" ref="G684">
      <text>
        <t xml:space="preserve">대학생할인 - 재학증명서 확인 
초과관리비 1월 1만+2월 6만=  7만원</t>
      </text>
    </comment>
    <comment authorId="0" ref="J684">
      <text>
        <t xml:space="preserve">연장 45+10</t>
      </text>
    </comment>
    <comment authorId="0" ref="D685">
      <text>
        <t xml:space="preserve">초과관리비 1월 1만+2월 6만=  7만원&gt;OK</t>
      </text>
    </comment>
    <comment authorId="0" ref="G685">
      <text>
        <t xml:space="preserve">초과관리비 1월 1만+2월 6만=  7만원&gt;OK</t>
      </text>
    </comment>
    <comment authorId="0" ref="Y685">
      <text>
        <t xml:space="preserve">렌트비 ₩432,024
임대료 ₩352,008 + 관리비 ₩80,016</t>
      </text>
    </comment>
    <comment authorId="0" ref="G686">
      <text>
        <t xml:space="preserve">첫달 월세  	105,714
첫달 관리비	28,571</t>
      </text>
    </comment>
    <comment authorId="0" ref="B691">
      <text>
        <t xml:space="preserve">예스코 10030-32273 ??</t>
      </text>
    </comment>
    <comment authorId="0" ref="J699">
      <text>
        <t xml:space="preserve">연장 55+10
SONDA ARIA
</t>
      </text>
    </comment>
    <comment authorId="0" ref="J700">
      <text>
        <t xml:space="preserve">연장 55+10</t>
      </text>
    </comment>
    <comment authorId="0" ref="D701">
      <text>
        <t xml:space="preserve">월세	330,000
수수료 10%	33,000
부가세	3,300
월세정산	293,700
관리비	80,000 &gt; 케뱅 미입금
정산합계	373,700
대학생 할인</t>
      </text>
    </comment>
    <comment authorId="0" ref="G701">
      <text>
        <t xml:space="preserve">월세	330,000
수수료 10%	33,000
부가세	3,300
월세정산	293,700
관리비	80,000 &gt; 케뱅 미입금
정산합계	373,700
대학생 할인</t>
      </text>
    </comment>
    <comment authorId="0" ref="J701">
      <text>
        <t xml:space="preserve">월세	430,000
수수료 10%	43,000
부가세	4,300
월세정산	382,700
관리비	100,000
정산합계	482,700
연장 43+10</t>
      </text>
    </comment>
    <comment authorId="0" ref="M701">
      <text>
        <t xml:space="preserve">월세	430,000
수수료 10%	43,000
부가세	4,300
월세정산	382,700
관리비	100,000
정산합계	482,700
연장 43+10</t>
      </text>
    </comment>
    <comment authorId="0" ref="P701">
      <text>
        <t xml:space="preserve">월세	430,000
수수료 10%	43,000
부가세	4,300
월세정산	382,700
관리비	100,000
정산합계	482,700
연장 43+10</t>
      </text>
    </comment>
    <comment authorId="0" ref="S701">
      <text>
        <t xml:space="preserve">월세	430,000
수수료 10%	43,000
부가세	4,300
월세정산	382,700
관리비	100,000
정산합계	482,700
연장 43+10</t>
      </text>
    </comment>
    <comment authorId="0" ref="V701">
      <text>
        <t xml:space="preserve">월세	430,000
수수료 10%	43,000
부가세	4,300
월세정산	382,700
관리비	100,000
정산합계	482,700
연장 43+10</t>
      </text>
    </comment>
    <comment authorId="0" ref="Y701">
      <text>
        <t xml:space="preserve">월세	430,000
수수료 10%	43,000
부가세	4,300
월세정산	382,700
관리비	100,000
정산합계	482,700
연장 43+10</t>
      </text>
    </comment>
    <comment authorId="0" ref="G702">
      <text>
        <t xml:space="preserve">첫달 월세  	14,286
첫달 관리비	3,571</t>
      </text>
    </comment>
    <comment authorId="0" ref="Y702">
      <text>
        <t xml:space="preserve">퇴실 월세  	322,581
퇴실 관리비 	80,645</t>
      </text>
    </comment>
    <comment authorId="0" ref="C704">
      <text>
        <t xml:space="preserve">계약기간 : 25년 4월 30일까지 계약
입금일 : 매월 1일 선불
입금계좌 
하나 : 200만원 최정애 우리 1002 404 794667 
둘 : 200만원 + 20 관리비 합계 220만원 하경식 1002 853 529398 
</t>
      </text>
    </comment>
    <comment authorId="0" ref="D715">
      <text>
        <t xml:space="preserve">초과관리비 
1월 5만+2월 4.5만=  9.5만원
</t>
      </text>
    </comment>
    <comment authorId="0" ref="G715">
      <text>
        <t xml:space="preserve">초과관리비 
1월 5만+2월 4.5만=  9.5만원
</t>
      </text>
    </comment>
    <comment authorId="0" ref="J715">
      <text>
        <t xml:space="preserve">연장 50+10</t>
      </text>
    </comment>
    <comment authorId="0" ref="D716">
      <text>
        <t xml:space="preserve">초과관리비 1월 1만+2월 6만=  7만원 &gt; 보증금정산
</t>
      </text>
    </comment>
    <comment authorId="0" ref="G716">
      <text>
        <t xml:space="preserve">김연우 2/27
초과관리비 1월 1만+2월 6만=  7만원 &gt; 보증금정산
첫달 월세  	19,643
첫달 관리비	3,571
</t>
      </text>
    </comment>
    <comment authorId="0" ref="D717">
      <text>
        <t xml:space="preserve">초과관리비 
1월 5만+2월 4.5만=  9.5만원
</t>
      </text>
    </comment>
    <comment authorId="0" ref="G717">
      <text>
        <t xml:space="preserve">초과관리비 
1월 5만+2월 4.5만=  9.5만원
</t>
      </text>
    </comment>
    <comment authorId="0" ref="J717">
      <text>
        <t xml:space="preserve">연장 37+10</t>
      </text>
    </comment>
    <comment authorId="0" ref="D718">
      <text>
        <t xml:space="preserve">중도퇴실 35+8
1.2월 위약금 35+8</t>
      </text>
    </comment>
    <comment authorId="0" ref="G718">
      <text>
        <t xml:space="preserve">공채경 2/24
첫달 월세  	75,000
첫달 관리비	17,857</t>
      </text>
    </comment>
    <comment authorId="0" ref="Y718">
      <text>
        <t xml:space="preserve">퇴실 월세  	311,613
퇴실 관리비 	74,194</t>
      </text>
    </comment>
    <comment authorId="0" ref="C720">
      <text>
        <t xml:space="preserve">계약기간 : 25년 4월 30일까지 계약
입금일 : 매월 1일 선불
입금계좌 
하나 : 200만원 최정애 우리 1002 404 794667 
둘 : 200만원 + 20 관리비 합계 220만원 하경식 1002 853 529398 
</t>
      </text>
    </comment>
    <comment authorId="0" ref="G731">
      <text>
        <t xml:space="preserve">경종현(경초윤) 2/28
첫달 월세  	19,643
첫달 관리비	3,571</t>
      </text>
    </comment>
    <comment authorId="0" ref="D732">
      <text>
        <t xml:space="preserve">월세	550,000
수수료 10%	55,000
부가세	5,500
월세정산	489,500
관리비	100,000 &gt; 케뱅 미입금
정산합계	589,500</t>
      </text>
    </comment>
    <comment authorId="0" ref="G732">
      <text>
        <t xml:space="preserve">월세	550,000
수수료 10%	55,000
부가세	5,500
월세정산	489,500
관리비	100,000 &gt; 케뱅 미입금
정산합계	589,500</t>
      </text>
    </comment>
    <comment authorId="0" ref="J732">
      <text>
        <t xml:space="preserve">월세	550,000
수수료 10%	55,000
부가세	5,500
월세정산	489,500
관리비	100,000
정산합계	589,500</t>
      </text>
    </comment>
    <comment authorId="0" ref="M732">
      <text>
        <t xml:space="preserve">월세	550,000
수수료 10%	55,000
부가세	5,500
월세정산	489,500
관리비	100,000
정산합계	589,500</t>
      </text>
    </comment>
    <comment authorId="0" ref="P732">
      <text>
        <t xml:space="preserve">월세	550,000
수수료 10%	55,000
부가세	5,500
월세정산	489,500
관리비	100,000
정산합계	589,500</t>
      </text>
    </comment>
    <comment authorId="0" ref="S732">
      <text>
        <t xml:space="preserve">월세	550,000
수수료 10%	55,000
부가세	5,500
월세정산	489,500
관리비	100,000
정산합계	589,500</t>
      </text>
    </comment>
    <comment authorId="0" ref="V732">
      <text>
        <t xml:space="preserve">월세	550,000
수수료 10%	55,000
부가세	5,500
월세정산	489,500
관리비	100,000
정산합계	589,500</t>
      </text>
    </comment>
    <comment authorId="0" ref="Y732">
      <text>
        <t xml:space="preserve">월세	550,000
수수료 10%	55,000
부가세	5,500
월세정산	489,500
관리비	100,000
정산합계	589,500</t>
      </text>
    </comment>
    <comment authorId="0" ref="AB732">
      <text>
        <t xml:space="preserve">월세	550,000
수수료 10%	55,000
부가세	5,500
월세정산	489,500
관리비	100,000
정산합계	589,500</t>
      </text>
    </comment>
    <comment authorId="0" ref="AE732">
      <text>
        <t xml:space="preserve">월세	550,000
수수료 10%	55,000
부가세	5,500
월세정산	489,500
관리비	100,000
정산합계	589,500</t>
      </text>
    </comment>
    <comment authorId="0" ref="AH732">
      <text>
        <t xml:space="preserve">월세	550,000
수수료 10%	55,000
부가세	5,500
월세정산	489,500
관리비	100,000
정산합계	589,500</t>
      </text>
    </comment>
    <comment authorId="0" ref="AK732">
      <text>
        <t xml:space="preserve">월세	550,000
수수료 10%	55,000
부가세	5,500
월세정산	489,500
관리비	100,000
정산합계	589,500</t>
      </text>
    </comment>
    <comment authorId="0" ref="G733">
      <text>
        <t xml:space="preserve">김예림 위약금 
계약취소 20만원 위약금
김동림 2/28
첫달 월세  	15,000
첫달 관리비	3,571</t>
      </text>
    </comment>
    <comment authorId="0" ref="Y733">
      <text>
        <t xml:space="preserve">퇴실 월세  	338,710
퇴실 관리비 	80,645</t>
      </text>
    </comment>
    <comment authorId="0" ref="C736">
      <text>
        <t xml:space="preserve">계약기간 : 25년 4월 30일까지 계약
입금일 : 매월 1일 선불
입금계좌 
하나 : 200만원 최정애 우리 1002 404 794667 
둘 : 200만원 + 20 관리비 합계 220만원 하경식 1002 853 529398 
</t>
      </text>
    </comment>
    <comment authorId="0" ref="D747">
      <text>
        <t xml:space="preserve">12월 1만+1월 1.5만=  2.5만원 &gt; 보증금정산</t>
      </text>
    </comment>
    <comment authorId="0" ref="G747">
      <text>
        <t xml:space="preserve">12월 1만+1월 1.5만=  2.5만원 &gt; 보증금정산</t>
      </text>
    </comment>
    <comment authorId="0" ref="J747">
      <text>
        <t xml:space="preserve">보종금 100 추가입금: 김은정 
C &gt; A룸 이동</t>
      </text>
    </comment>
    <comment authorId="0" ref="D748">
      <text>
        <t xml:space="preserve">초과관리비 
12월 1만+1월 1.5만=  2.5만원 &gt; 보증금정산</t>
      </text>
    </comment>
    <comment authorId="0" ref="G748">
      <text>
        <t xml:space="preserve">이미송
초과관리비 
12월 1만+1월 1.5만=  2.5만원 &gt; 보증금정산
김민재 2/28
17857 + 3571</t>
      </text>
    </comment>
    <comment authorId="0" ref="D749">
      <text>
        <t xml:space="preserve">보종금 100 추가입금: 김은정 
대학생할인 - 재학증명서 확인
초과관리비 
12월 1만+1월 1.5만=  2.5만원 </t>
      </text>
    </comment>
    <comment authorId="0" ref="G749">
      <text>
        <t xml:space="preserve">보종금 100 추가입금: 김은정 
A룸 이동
대학생할인 - 재학증명서 확인
초과관리비 
12월 1만+1월 1.5만=  2.5만원 </t>
      </text>
    </comment>
    <comment authorId="0" ref="D750">
      <text>
        <t xml:space="preserve">대학생할인 - 재학증명서 확인
초과관리비 
12월 1만+1월 1.5만=  2.5만원 &gt; 보증금정산
</t>
      </text>
    </comment>
    <comment authorId="0" ref="G750">
      <text>
        <t xml:space="preserve">대학생할인 - 재학증명서 확인
12월 1만+1월 1.5만=  2.5만원 &gt; 보증금정산</t>
      </text>
    </comment>
    <comment authorId="0" ref="C752">
      <text>
        <t xml:space="preserve">계약기간 : 25년 4월 30일까지 계약
입금일 : 매월 1일 선불
입금계좌 
하나 : 200만원 최정애 우리 1002 404 794667 
둘 : 200만원 + 20 관리비 합계 220만원 하경식 1002 853 529398 
</t>
      </text>
    </comment>
    <comment authorId="0" ref="D763">
      <text>
        <t xml:space="preserve">대학생할인 - 재학증명서 확인
42 &gt; 43?
초과관리비
12월 7만+1월 7.5만=  14.5만원</t>
      </text>
    </comment>
    <comment authorId="0" ref="G763">
      <text>
        <t xml:space="preserve">대학생할인 
42 &gt; 45?
초과관리비
12월 7만+1월 7.5만=  14.5만원</t>
      </text>
    </comment>
    <comment authorId="0" ref="J763">
      <text>
        <t xml:space="preserve">연장, 50+10
53 ?</t>
      </text>
    </comment>
    <comment authorId="0" ref="G764">
      <text>
        <t xml:space="preserve">첫달 월세  	208,929
첫달 관리비	48,214
2인실 전체사용</t>
      </text>
    </comment>
    <comment authorId="0" ref="D766">
      <text>
        <t xml:space="preserve">초과관리비
12월 7만+1월 7.5만=  14.5만원</t>
      </text>
    </comment>
    <comment authorId="0" ref="G766">
      <text>
        <t xml:space="preserve">초과관리비
12월 7만+1월 7.5만=  14.5만원</t>
      </text>
    </comment>
    <comment authorId="0" ref="J766">
      <text>
        <t xml:space="preserve">연장, 40+10</t>
      </text>
    </comment>
    <comment authorId="0" ref="J767">
      <text>
        <t xml:space="preserve">조윤채 계약취소 &gt; 김은서 대체입주
위약금 없음
김은서로 잔금, 김현득으로 관리비 </t>
      </text>
    </comment>
    <comment authorId="0" ref="Y767">
      <text>
        <t xml:space="preserve">퇴실 월세  	314,516
퇴실 관리비 	80,645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계약금 : paypal 유재훈 으로 9월 5일 보냄
잔금 : 10월 10일 직접 현금으로 수령 (유재훈)
11월 1일 : 유재훈 케이뱅크 관리비 계좌로 미스 입금 
11월 30일 : 지정된 계좌로 입금 (이승민 신협) 
&gt;&gt; 이런식으로 해주시면 됩니다</t>
      </text>
    </comment>
    <comment authorId="0" ref="Y2">
      <text>
        <t xml:space="preserve">수수료 부가세 시작</t>
      </text>
    </comment>
    <comment authorId="0" ref="Y3">
      <text>
        <t xml:space="preserve">월세	498,000
수수료 10%	49,800
부가세	4,980
월세정산	443,220
관리비	67,100
정산합계	510,320</t>
      </text>
    </comment>
    <comment authorId="0" ref="Z3">
      <text>
        <t xml:space="preserve">월세	594,000
수수료 10%	59,400
부가세	5,940
월세정산	528,660
관리비	80,000
정산합계	608,660</t>
      </text>
    </comment>
    <comment authorId="0" ref="AA3">
      <text>
        <t xml:space="preserve">월세	594,000
수수료 10%	59,400
부가세	5,940
월세정산	528,660
관리비	80,000
정산합계	608,660</t>
      </text>
    </comment>
    <comment authorId="0" ref="AB3">
      <text>
        <t xml:space="preserve">월세	594,000
수수료 10%	59,400
부가세	5,940
월세정산	528,660
관리비	80,000
정산합계	608,660</t>
      </text>
    </comment>
    <comment authorId="0" ref="AC3">
      <text>
        <t xml:space="preserve">월세	594,000
수수료 10%	59,400
부가세	5,940
월세정산	528,660
관리비	80,000
정산합계	608,660</t>
      </text>
    </comment>
    <comment authorId="0" ref="AD3">
      <text>
        <t xml:space="preserve">월세	594,000
수수료 10%	59,400
부가세	5,940
월세정산	528,660
관리비	80,000
정산합계	608,660</t>
      </text>
    </comment>
    <comment authorId="0" ref="AE3">
      <text>
        <t xml:space="preserve">월세	594,000
수수료 10%	59,400
부가세	5,940
월세정산	528,660
관리비	80,000
정산합계	608,660</t>
      </text>
    </comment>
    <comment authorId="0" ref="AF3">
      <text>
        <t xml:space="preserve">월세	594,000
수수료 10%	59,400
부가세	5,940
월세정산	528,660
관리비	80,000
정산합계	608,660</t>
      </text>
    </comment>
    <comment authorId="0" ref="AG3">
      <text>
        <t xml:space="preserve">월세	594,000
수수료 10%	59,400
부가세	5,940
월세정산	528,660
관리비	80,000
정산합계	608,660</t>
      </text>
    </comment>
    <comment authorId="0" ref="AH3">
      <text>
        <t xml:space="preserve">월세	594,000
수수료 10%	59,400
부가세	5,940
월세정산	528,660
관리비	80,000
정산합계	608,660</t>
      </text>
    </comment>
    <comment authorId="0" ref="AI3">
      <text>
        <t xml:space="preserve">월세	594,000
수수료 10%	59,400
부가세	5,940
월세정산	528,660
관리비	80,000
정산합계	608,660</t>
      </text>
    </comment>
    <comment authorId="0" ref="AJ3">
      <text>
        <t xml:space="preserve">월세	594,000
수수료 10%	59,400
부가세	5,940
월세정산	528,660
관리비	80,000
정산합계	608,660</t>
      </text>
    </comment>
    <comment authorId="0" ref="AK3">
      <text>
        <t xml:space="preserve">월세	594,000
수수료 10%	59,400
부가세	5,940
월세정산	528,660
관리비	100,000
정산합계	628,660</t>
      </text>
    </comment>
    <comment authorId="0" ref="AL3">
      <text>
        <t xml:space="preserve">월세	594,000
수수료 10%	59,400
부가세	5,940
월세정산	528,660
관리비	100,000
정산합계	628,660</t>
      </text>
    </comment>
    <comment authorId="0" ref="AM3">
      <text>
        <t xml:space="preserve">월세	594,000
수수료 10%	59,400
부가세	5,940
월세정산	528,660
관리비	100,000
정산합계	628,660</t>
      </text>
    </comment>
    <comment authorId="0" ref="AN3">
      <text>
        <t xml:space="preserve">월세	594,000
수수료 10%	59,400
부가세	5,940
월세정산	528,660
관리비	100,000
정산합계	628,660</t>
      </text>
    </comment>
    <comment authorId="0" ref="AO3">
      <text>
        <t xml:space="preserve">월세	594,000
수수료 10%	59,400
부가세	5,940
월세정산	528,660
관리비	100,000
정산합계	628,660</t>
      </text>
    </comment>
    <comment authorId="0" ref="AP3">
      <text>
        <t xml:space="preserve">월세	594,000
수수료 10%	59,400
부가세	5,940
월세정산	528,660
관리비	100,000
정산합계	628,660</t>
      </text>
    </comment>
    <comment authorId="0" ref="AQ3">
      <text>
        <t xml:space="preserve">월세	570,000
수수료 10%	57,000
부가세	5,700
월세정산	507,300
관리비	100,000
정산합계	607,300</t>
      </text>
    </comment>
    <comment authorId="0" ref="AR3">
      <text>
        <t xml:space="preserve">월세	570,000
수수료 10%	57,000
부가세	5,700
월세정산	507,300
관리비	100,000
정산합계	607,300</t>
      </text>
    </comment>
    <comment authorId="0" ref="AS3">
      <text>
        <t xml:space="preserve">월세	570,000
수수료 10%	57,000
부가세	5,700
월세정산	507,300
관리비	100,000
정산합계	607,300</t>
      </text>
    </comment>
    <comment authorId="0" ref="AT3">
      <text>
        <t xml:space="preserve">월세	570,000
수수료 10%	57,000
부가세	5,700
월세정산	507,300
관리비	100,000
정산합계	607,300</t>
      </text>
    </comment>
    <comment authorId="0" ref="AU3">
      <text>
        <t xml:space="preserve">월세	570,000
수수료 10%	57,000
부가세	5,700
월세정산	507,300
관리비	100,000
정산합계	607,300</t>
      </text>
    </comment>
    <comment authorId="0" ref="AV3">
      <text>
        <t xml:space="preserve">월세	570,000
수수료 10%	57,000
부가세	5,700
월세정산	507,300
관리비	100,000
정산합계	607,300</t>
      </text>
    </comment>
    <comment authorId="0" ref="AW3">
      <text>
        <t xml:space="preserve">월세	570,000
수수료 10%	57,000
부가세	5,700
월세정산	507,300
관리비	100,000
정산합계	607,300</t>
      </text>
    </comment>
    <comment authorId="0" ref="AX3">
      <text>
        <t xml:space="preserve">월세	570,000
수수료 10%	57,000
부가세	5,700
월세정산	507,300
관리비	100,000
정산합계	607,300</t>
      </text>
    </comment>
    <comment authorId="0" ref="AY3">
      <text>
        <t xml:space="preserve">월세	570,000
수수료 10%	57,000
부가세	5,700
월세정산	507,300
관리비	100,000
정산합계	607,300</t>
      </text>
    </comment>
    <comment authorId="0" ref="AZ3">
      <text>
        <t xml:space="preserve">월세	570,000
수수료 10%	57,000
부가세	5,700
월세정산	507,300
관리비	100,000
정산합계	607,300</t>
      </text>
    </comment>
    <comment authorId="0" ref="BA3">
      <text>
        <t xml:space="preserve">월세	570,000
수수료 10%	57,000
부가세	5,700
월세정산	507,300
관리비	100,000
정산합계	607,300</t>
      </text>
    </comment>
    <comment authorId="0" ref="BB3">
      <text>
        <t xml:space="preserve">월세	570,000
수수료 10%	57,000
부가세	5,700
월세정산	507,300
관리비	100,000
정산합계	607,300</t>
      </text>
    </comment>
    <comment authorId="0" ref="AO4">
      <text>
        <t xml:space="preserve">월세	229,000
수수료 10%	22,900
부가세	2,290
월세정산	203,810
관리비	43,300
정산합계	247,110</t>
      </text>
    </comment>
    <comment authorId="0" ref="AP4">
      <text>
        <t xml:space="preserve">월세	528,000
수수료 10%	52,800
부가세	5,280
월세정산	469,920
관리비	100,000
정산합계	569,920</t>
      </text>
    </comment>
    <comment authorId="0" ref="AQ4">
      <text>
        <t xml:space="preserve">월세	528,000
수수료 10%	52,800
부가세	5,280
월세정산	469,920
관리비	100,000
정산합계	569,920</t>
      </text>
    </comment>
    <comment authorId="0" ref="AR4">
      <text>
        <t xml:space="preserve">월세	528,000
수수료 10%	52,800
부가세	5,280
월세정산	469,920
관리비	100,000
정산합계	569,920</t>
      </text>
    </comment>
    <comment authorId="0" ref="AS4">
      <text>
        <t xml:space="preserve">월세	528,000
수수료 10%	52,800
부가세	5,280
월세정산	469,920
관리비	100,000
정산합계	569,920</t>
      </text>
    </comment>
    <comment authorId="0" ref="AT4">
      <text>
        <t xml:space="preserve">월세	528,000
수수료 10%	52,800
부가세	5,280
월세정산	469,920
관리비	100,000
정산합계	569,920</t>
      </text>
    </comment>
    <comment authorId="0" ref="AU4">
      <text>
        <t xml:space="preserve">월세	528,000
수수료 10%	52,800
부가세	5,280
월세정산	469,920
관리비	100,000
정산합계	569,920</t>
      </text>
    </comment>
    <comment authorId="0" ref="AV4">
      <text>
        <t xml:space="preserve">월세	528,000
수수료 10%	52,800
부가세	5,280
월세정산	469,920
관리비	100,000
정산합계	569,920</t>
      </text>
    </comment>
    <comment authorId="0" ref="AW4">
      <text>
        <t xml:space="preserve">월세	528,000
수수료 10%	52,800
부가세	5,280
월세정산	469,920
관리비	100,000
정산합계	569,920</t>
      </text>
    </comment>
    <comment authorId="0" ref="AX4">
      <text>
        <t xml:space="preserve">월세	528,000
수수료 10%	52,800
부가세	5,280
월세정산	469,920
관리비	100,000
정산합계	569,920</t>
      </text>
    </comment>
    <comment authorId="0" ref="AY4">
      <text>
        <t xml:space="preserve">월세	528,000
수수료 10%	52,800
부가세	5,280
월세정산	469,920
관리비	100,000
정산합계	569,920</t>
      </text>
    </comment>
    <comment authorId="0" ref="AZ4">
      <text>
        <t xml:space="preserve">월세	528,000
수수료 10%	52,800
부가세	5,280
월세정산	469,920
관리비	100,000
정산합계	569,920</t>
      </text>
    </comment>
    <comment authorId="0" ref="BA4">
      <text>
        <t xml:space="preserve">월세	247,000
수수료 10%	24,700
부가세	2,470
월세정산	219,830
관리비	47,000
정산합계	266,830</t>
      </text>
    </comment>
    <comment authorId="0" ref="AE5">
      <text>
        <t xml:space="preserve">월세	528,000
수수료 10%	52,800
부가세	5,280
월세정산	469,920
관리비	80,000
정산합계	549,920</t>
      </text>
    </comment>
    <comment authorId="0" ref="AF5">
      <text>
        <t xml:space="preserve">월세	528,000
수수료 10%	52,800
부가세	5,280
월세정산	469,920
관리비	80,000
정산합계	549,920</t>
      </text>
    </comment>
    <comment authorId="0" ref="AG5">
      <text>
        <t xml:space="preserve">월세	528,000
수수료 10%	52,800
부가세	5,280
월세정산	469,920
관리비	80,000
정산합계	549,920</t>
      </text>
    </comment>
    <comment authorId="0" ref="AH5">
      <text>
        <t xml:space="preserve">월세	528,000
수수료 10%	52,800
부가세	5,280
월세정산	469,920
관리비	80,000
정산합계	549,920</t>
      </text>
    </comment>
    <comment authorId="0" ref="AI5">
      <text>
        <t xml:space="preserve">관 8 &gt; 10
월세	528,000
수수료 10%	52,800
부가세	5,280
월세정산	469,920
관리비	100,000
정산합계	569,920</t>
      </text>
    </comment>
    <comment authorId="0" ref="AJ5">
      <text>
        <t xml:space="preserve">관 8 &gt; 10
월세	528,000
수수료 10%	52,800
부가세	5,280
월세정산	469,920
관리비	100,000
정산합계	569,920</t>
      </text>
    </comment>
    <comment authorId="0" ref="AK5">
      <text>
        <t xml:space="preserve">관 8 &gt; 10
월세	528,000
수수료 10%	52,800
부가세	5,280
월세정산	469,920
관리비	100,000
정산합계	569,920</t>
      </text>
    </comment>
    <comment authorId="0" ref="AL5">
      <text>
        <t xml:space="preserve">관 8 &gt; 10
월세	528,000
수수료 10%	52,800
부가세	5,280
월세정산	469,920
관리비	100,000
정산합계	569,920</t>
      </text>
    </comment>
    <comment authorId="0" ref="AM5">
      <text>
        <t xml:space="preserve">관 8 &gt; 10
월세	528,000
수수료 10%	52,800
부가세	5,280
월세정산	469,920
관리비	100,000
정산합계	569,920</t>
      </text>
    </comment>
    <comment authorId="0" ref="AN5">
      <text>
        <t xml:space="preserve">관 8 &gt; 10
월세	528,000
수수료 10%	52,800
부가세	5,280
월세정산	469,920
관리비	100,000
정산합계	569,920</t>
      </text>
    </comment>
    <comment authorId="0" ref="AO5">
      <text>
        <t xml:space="preserve">관 8 &gt; 10
월세	528,000
수수료 10%	52,800
부가세	5,280
월세정산	469,920
관리비	100,000
정산합계	569,920</t>
      </text>
    </comment>
    <comment authorId="0" ref="AP5">
      <text>
        <t xml:space="preserve">관 8 &gt; 10
월세	528,000
수수료 10%	52,800
부가세	5,280
월세정산	469,920
관리비	100,000
정산합계	569,920</t>
      </text>
    </comment>
    <comment authorId="0" ref="AQ5">
      <text>
        <t xml:space="preserve">관 8 &gt; 10
월세	528,000
수수료 10%	52,800
부가세	5,280
월세정산	469,920
관리비	100,000
정산합계	569,920</t>
      </text>
    </comment>
    <comment authorId="0" ref="AR5">
      <text>
        <t xml:space="preserve">관 8 &gt; 10
월세	528,000
수수료 10%	52,800
부가세	5,280
월세정산	469,920
관리비	100,000
정산합계	569,920</t>
      </text>
    </comment>
    <comment authorId="0" ref="AS5">
      <text>
        <t xml:space="preserve">관 8 &gt; 10
월세	528,000
수수료 10%	52,800
부가세	5,280
월세정산	469,920
관리비	100,000
정산합계	569,920</t>
      </text>
    </comment>
    <comment authorId="0" ref="AT5">
      <text>
        <t xml:space="preserve">관 8 &gt; 10
월세	528,000
수수료 10%	52,800
부가세	5,280
월세정산	469,920
관리비	100,000
정산합계	569,920</t>
      </text>
    </comment>
    <comment authorId="0" ref="P6">
      <text>
        <t xml:space="preserve">월세	396,000
수수료 10%	39,600
월세정산	356,400
관리비	72,000
정산합계	428,400</t>
      </text>
    </comment>
    <comment authorId="0" ref="Q6">
      <text>
        <t xml:space="preserve">월세	440,000
수수료 10%	44,000
월세정산	396,000
관리비	80,000
정산합계	476,000</t>
      </text>
    </comment>
    <comment authorId="0" ref="S6">
      <text>
        <t xml:space="preserve">월세	440,000
수수료 10%	44,000
월세정산	396,000
관리비	80,000
정산합계	476,000</t>
      </text>
    </comment>
    <comment authorId="0" ref="T6">
      <text>
        <t xml:space="preserve">월세	440,000
수수료 10%	44,000
월세정산	396,000
관리비	80,000
정산합계	476,000</t>
      </text>
    </comment>
    <comment authorId="0" ref="U6">
      <text>
        <t xml:space="preserve">월세	440,000
수수료 10%	44,000
월세정산	396,000
관리비	80,000
정산합계	476,000</t>
      </text>
    </comment>
    <comment authorId="0" ref="V6">
      <text>
        <t xml:space="preserve">월세	440,000
수수료 10%	44,000
월세정산	396,000
관리비	80,000
정산합계	476,000</t>
      </text>
    </comment>
    <comment authorId="0" ref="W6">
      <text>
        <t xml:space="preserve">월세	440,000
수수료 10%	44,000
월세정산	396,000
관리비	80,000
정산합계	476,000</t>
      </text>
    </comment>
    <comment authorId="0" ref="X6">
      <text>
        <t xml:space="preserve">월세	440,000
수수료 10%	44,000
월세정산	396,000
관리비	80,000
정산합계	476,000</t>
      </text>
    </comment>
    <comment authorId="0" ref="Y6">
      <text>
        <t xml:space="preserve">월세	440,000
수수료 10%	44,000
부가세	4,400
월세정산	391,600
관리비	80,000
정산합계	471,600</t>
      </text>
    </comment>
    <comment authorId="0" ref="Z6">
      <text>
        <t xml:space="preserve">월세	440,000
수수료 10%	44,000
부가세	4,400
월세정산	391,600
관리비	80,000
정산합계	471,600</t>
      </text>
    </comment>
    <comment authorId="0" ref="AA6">
      <text>
        <t xml:space="preserve">월세	440,000
수수료 10%	44,000
부가세	4,400
월세정산	391,600
관리비	80,000
정산합계	471,600</t>
      </text>
    </comment>
    <comment authorId="0" ref="AB6">
      <text>
        <t xml:space="preserve">월세	440,000
수수료 10%	44,000
부가세	4,400
월세정산	391,600
관리비	80,000
정산합계	471,600</t>
      </text>
    </comment>
    <comment authorId="0" ref="AC6">
      <text>
        <t xml:space="preserve">월세	440,000
수수료 10%	44,000
부가세	4,400
월세정산	391,600
관리비	80,000
정산합계	471,600</t>
      </text>
    </comment>
    <comment authorId="0" ref="AD6">
      <text>
        <t xml:space="preserve">월세	440,000
수수료 10%	44,000
부가세	4,400
월세정산	391,600
관리비	80,000
정산합계	471,600</t>
      </text>
    </comment>
    <comment authorId="0" ref="AE6">
      <text>
        <t xml:space="preserve">월세	440,000
수수료 10%	44,000
부가세	4,400
월세정산	391,600
관리비	80,000
정산합계	471,600</t>
      </text>
    </comment>
    <comment authorId="0" ref="AF6">
      <text>
        <t xml:space="preserve">월세	440,000
수수료 10%	44,000
부가세	4,400
월세정산	391,600
관리비	80,000
정산합계	471,600</t>
      </text>
    </comment>
    <comment authorId="0" ref="AG6">
      <text>
        <t xml:space="preserve">월세	440,000
수수료 10%	44,000
부가세	4,400
월세정산	391,600
관리비	80,000
정산합계	471,600</t>
      </text>
    </comment>
    <comment authorId="0" ref="AH6">
      <text>
        <t xml:space="preserve">월세	440,000
수수료 10%	44,000
부가세	4,400
월세정산	391,600
관리비	80,000
정산합계	471,600</t>
      </text>
    </comment>
    <comment authorId="0" ref="AI6">
      <text>
        <t xml:space="preserve">월세	440,000
수수료 10%	44,000
부가세	4,400
월세정산	391,600
관리비	80,000
정산합계	471,600</t>
      </text>
    </comment>
    <comment authorId="0" ref="AJ6">
      <text>
        <t xml:space="preserve">월세	440,000
수수료 10%	44,000
부가세	4,400
월세정산	391,600
관리비	80,000
정산합계	471,600</t>
      </text>
    </comment>
    <comment authorId="0" ref="AK6">
      <text>
        <t xml:space="preserve">월세	440,000
수수료 10%	44,000
부가세	4,400
월세정산	391,600
관리비	80,000
정산합계	471,600</t>
      </text>
    </comment>
    <comment authorId="0" ref="AL6">
      <text>
        <t xml:space="preserve">월세	440,000
수수료 10%	44,000
부가세	4,400
월세정산	391,600
관리비	80,000
정산합계	471,600</t>
      </text>
    </comment>
    <comment authorId="0" ref="AM6">
      <text>
        <t xml:space="preserve">월세	440,000
수수료 10%	44,000
부가세	4,400
월세정산	391,600
관리비	80,000
정산합계	471,600</t>
      </text>
    </comment>
    <comment authorId="0" ref="AN6">
      <text>
        <t xml:space="preserve">월세	440,000
수수료 10%	44,000
부가세	4,400
월세정산	391,600
관리비	80,000
정산합계	471,600</t>
      </text>
    </comment>
    <comment authorId="0" ref="AO6">
      <text>
        <t xml:space="preserve">월세	440,000
수수료 10%	44,000
부가세	4,400
월세정산	391,600
관리비	80,000
정산합계	471,600</t>
      </text>
    </comment>
    <comment authorId="0" ref="AP6">
      <text>
        <t xml:space="preserve">월세	440,000
수수료 10%	44,000
부가세	4,400
월세정산	391,600
관리비	80,000
정산합계	471,600</t>
      </text>
    </comment>
    <comment authorId="0" ref="AQ6">
      <text>
        <t xml:space="preserve">월세	440,000
수수료 10%	44,000
부가세	4,400
월세정산	391,600
관리비	80,000
정산합계	471,600</t>
      </text>
    </comment>
    <comment authorId="0" ref="AR6">
      <text>
        <t xml:space="preserve">월세	440,000
수수료 10%	44,000
부가세	4,400
월세정산	391,600
관리비	80,000
정산합계	471,600</t>
      </text>
    </comment>
    <comment authorId="0" ref="AS6">
      <text>
        <t xml:space="preserve">월세	440,000
수수료 10%	44,000
부가세	4,400
월세정산	391,600
관리비	80,000
정산합계	471,600</t>
      </text>
    </comment>
    <comment authorId="0" ref="AT6">
      <text>
        <t xml:space="preserve">월세	440,000
수수료 10%	44,000
부가세	4,400
월세정산	391,600
관리비	80,000
정산합계	471,600</t>
      </text>
    </comment>
    <comment authorId="0" ref="AU6">
      <text>
        <t xml:space="preserve">월세	440,000
수수료 10%	44,000
부가세	4,400
월세정산	391,600
관리비	80,000
정산합계	471,600</t>
      </text>
    </comment>
    <comment authorId="0" ref="AV6">
      <text>
        <t xml:space="preserve">월세	440,000
수수료 10%	44,000
부가세	4,400
월세정산	391,600
관리비	80,000
정산합계	471,600</t>
      </text>
    </comment>
    <comment authorId="0" ref="AW6">
      <text>
        <t xml:space="preserve">월세	440,000
수수료 10%	44,000
부가세	4,400
월세정산	391,600
관리비	80,000
정산합계	471,600</t>
      </text>
    </comment>
    <comment authorId="0" ref="AX6">
      <text>
        <t xml:space="preserve">월세	233,000
수수료 10%	23,300
부가세	2,330
월세정산	207,370
관리비	42,000
정산합계	249,370</t>
      </text>
    </comment>
    <comment authorId="0" ref="AL7">
      <text>
        <t xml:space="preserve">월세	79,000
수수료 10%	7,900
부가세	790
월세정산	70,310
관리비	16,100
정산합계	86,410</t>
      </text>
    </comment>
    <comment authorId="0" ref="AM7">
      <text>
        <t xml:space="preserve">월세	490,000
수수료 10%	49,000
부가세	4,900
월세정산	436,100
관리비	100,000
정산합계	536,100</t>
      </text>
    </comment>
    <comment authorId="0" ref="AN7">
      <text>
        <t xml:space="preserve">월세	490,000
수수료 10%	49,000
부가세	4,900
월세정산	436,100
관리비	100,000
정산합계	536,100</t>
      </text>
    </comment>
    <comment authorId="0" ref="AO7">
      <text>
        <t xml:space="preserve">월세	490,000
수수료 10%	49,000
부가세	4,900
월세정산	436,100
관리비	100,000
정산합계	536,100</t>
      </text>
    </comment>
    <comment authorId="0" ref="AP7">
      <text>
        <t xml:space="preserve">월세	490,000
수수료 10%	49,000
부가세	4,900
월세정산	436,100
관리비	100,000
정산합계	536,100</t>
      </text>
    </comment>
    <comment authorId="0" ref="AQ7">
      <text>
        <t xml:space="preserve">월세	490,000
수수료 10%	49,000
부가세	4,900
월세정산	436,100
관리비	100,000
정산합계	536,100</t>
      </text>
    </comment>
    <comment authorId="0" ref="AR7">
      <text>
        <t xml:space="preserve">월세	490,000
수수료 10%	49,000
부가세	4,900
월세정산	436,100
관리비	100,000
정산합계	536,100</t>
      </text>
    </comment>
    <comment authorId="0" ref="AS7">
      <text>
        <t xml:space="preserve">월세	490,000
수수료 10%	49,000
부가세	4,900
월세정산	436,100
관리비	100,000
정산합계	536,100</t>
      </text>
    </comment>
    <comment authorId="0" ref="AT7">
      <text>
        <t xml:space="preserve">월세	490,000
수수료 10%	49,000
부가세	4,900
월세정산	436,100
관리비	100,000
정산합계	536,100</t>
      </text>
    </comment>
    <comment authorId="0" ref="AU7">
      <text>
        <t xml:space="preserve">월세	490,000
수수료 10%	49,000
부가세	4,900
월세정산	436,100
관리비	100,000
정산합계	536,100</t>
      </text>
    </comment>
    <comment authorId="0" ref="AV7">
      <text>
        <t xml:space="preserve">월세	490,000
수수료 10%	49,000
부가세	4,900
월세정산	436,100
관리비	100,000
정산합계	536,100</t>
      </text>
    </comment>
    <comment authorId="0" ref="AW7">
      <text>
        <t xml:space="preserve">월세	95,000
수수료 10%	9,500
부가세	950
월세정산	84,550
관리비	20,000
정산합계	104,550</t>
      </text>
    </comment>
    <comment authorId="0" ref="G8">
      <text>
        <t xml:space="preserve">24.9~25.2 계약 연장
24.12 1년 연장</t>
      </text>
    </comment>
    <comment authorId="0" ref="U8">
      <text>
        <t xml:space="preserve">월세	430,000
수수료 10%	43,000
월세정산	387,000
관리비	80,000
정산합계	467,000</t>
      </text>
    </comment>
    <comment authorId="0" ref="V8">
      <text>
        <t xml:space="preserve">월세	430,000
수수료 10%	43,000
월세정산	387,000
관리비	80,000
정산합계	467,000</t>
      </text>
    </comment>
    <comment authorId="0" ref="W8">
      <text>
        <t xml:space="preserve">월세	430,000
수수료 10%	43,000
월세정산	387,000
관리비	80,000
정산합계	467,000</t>
      </text>
    </comment>
    <comment authorId="0" ref="X8">
      <text>
        <t xml:space="preserve">월세	430,000
수수료 10%	43,000
월세정산	387,000
관리비	80,000
정산합계	467,000</t>
      </text>
    </comment>
    <comment authorId="0" ref="Y8">
      <text>
        <t xml:space="preserve">월세	430,000
수수료 10%	43,000
부가세	4,300
월세정산	382,700
관리비	80,000
정산합계	462,700</t>
      </text>
    </comment>
    <comment authorId="0" ref="Z8">
      <text>
        <t xml:space="preserve">월세	430,000
수수료 10%	43,000
부가세	4,300
월세정산	382,700
관리비	80,000
정산합계	462,700</t>
      </text>
    </comment>
    <comment authorId="0" ref="AA8">
      <text>
        <t xml:space="preserve">월세	430,000
수수료 10%	43,000
부가세	4,300
월세정산	382,700
관리비	80,000
정산합계	462,700</t>
      </text>
    </comment>
    <comment authorId="0" ref="AB8">
      <text>
        <t xml:space="preserve">월세	430,000
수수료 10%	43,000
부가세	4,300
월세정산	382,700
관리비	80,000
정산합계	462,700</t>
      </text>
    </comment>
    <comment authorId="0" ref="AC8">
      <text>
        <t xml:space="preserve">월세	430,000
수수료 10%	43,000
부가세	4,300
월세정산	382,700
관리비	80,000
정산합계	462,700</t>
      </text>
    </comment>
    <comment authorId="0" ref="AD8">
      <text>
        <t xml:space="preserve">월세	430,000
수수료 10%	43,000
부가세	4,300
월세정산	382,700
관리비	80,000
정산합계	462,700</t>
      </text>
    </comment>
    <comment authorId="0" ref="AE8">
      <text>
        <t xml:space="preserve">월세	430,000
수수료 10%	43,000
부가세	4,300
월세정산	382,700
관리비	80,000
정산합계	462,700</t>
      </text>
    </comment>
    <comment authorId="0" ref="AF8">
      <text>
        <t xml:space="preserve">월세	430,000
수수료 10%	43,000
부가세	4,300
월세정산	382,700
관리비	80,000
정산합계	462,700</t>
      </text>
    </comment>
    <comment authorId="0" ref="AG8">
      <text>
        <t xml:space="preserve">월세	430,000
수수료 10%	43,000
부가세	4,300
월세정산	382,700
관리비	80,000
정산합계	462,700</t>
      </text>
    </comment>
    <comment authorId="0" ref="AH8">
      <text>
        <t xml:space="preserve">월세	330,000
수수료 10%	43,000
부가세	4,300
월세정산	382,700
관리비	80,000
정산합계	462,700</t>
      </text>
    </comment>
    <comment authorId="0" ref="AI8">
      <text>
        <t xml:space="preserve">월세	430,000
수수료 10%	43,000
부가세	4,300
월세정산	382,700
관리비	80,000
정산합계	462,700</t>
      </text>
    </comment>
    <comment authorId="0" ref="AJ8">
      <text>
        <t xml:space="preserve">월세	430,000
수수료 10%	43,000
부가세	4,300
월세정산	382,700
관리비	80,000
정산합계	462,700</t>
      </text>
    </comment>
    <comment authorId="0" ref="AK8">
      <text>
        <t xml:space="preserve">월세	330,000
수수료 10%	33,000
부가세	3,300
월세정산	293,700
관리비	80,000
정산합계	373,700
대학생 할인</t>
      </text>
    </comment>
    <comment authorId="0" ref="AL8">
      <text>
        <t xml:space="preserve">월세	330,000
수수료 10%	33,000
부가세	3,300
월세정산	293,700
관리비	80,000
정산합계	373,700
대학생 할인</t>
      </text>
    </comment>
    <comment authorId="0" ref="AM8">
      <text>
        <t xml:space="preserve">월세	430,000
수수료 10%	43,000
부가세	4,300
월세정산	382,700
관리비	80,000
정산합계	462,700</t>
      </text>
    </comment>
    <comment authorId="0" ref="AN8">
      <text>
        <t xml:space="preserve">월세	430,000
수수료 10%	43,000
부가세	4,300
월세정산	382,700
관리비	80,000
정산합계	462,700</t>
      </text>
    </comment>
    <comment authorId="0" ref="AO8">
      <text>
        <t xml:space="preserve">월세	430,000
수수료 10%	43,000
부가세	4,300
월세정산	382,700
관리비	80,000
정산합계	462,700</t>
      </text>
    </comment>
    <comment authorId="0" ref="AP8">
      <text>
        <t xml:space="preserve">월세	430,000
수수료 10%	43,000
부가세	4,300
월세정산	382,700
관리비	80,000
정산합계	462,700</t>
      </text>
    </comment>
    <comment authorId="0" ref="AQ8">
      <text>
        <t xml:space="preserve">월세	330,000
수수료 10%	33,000
부가세	3,300
월세정산	293,700
관리비	80,000
정산합계	373,700
대학생 할인</t>
      </text>
    </comment>
    <comment authorId="0" ref="AR8">
      <text>
        <t xml:space="preserve">월세	330,000
수수료 10%	33,000
부가세	3,300
월세정산	293,700
관리비	80,000
정산합계	373,700
대학생 할인</t>
      </text>
    </comment>
    <comment authorId="0" ref="AS8">
      <text>
        <t xml:space="preserve">월세	430,000
수수료 10%	43,000
부가세	4,300
월세정산	382,700
관리비	100,000
정산합계	482,700
연장 43+10</t>
      </text>
    </comment>
    <comment authorId="0" ref="AT8">
      <text>
        <t xml:space="preserve">월세	430,000
수수료 10%	43,000
부가세	4,300
월세정산	382,700
관리비	100,000
정산합계	482,700
연장 43+10</t>
      </text>
    </comment>
    <comment authorId="0" ref="AU8">
      <text>
        <t xml:space="preserve">월세	430,000
수수료 10%	43,000
부가세	4,300
월세정산	382,700
관리비	100,000
정산합계	482,700
연장 43+10</t>
      </text>
    </comment>
    <comment authorId="0" ref="AV8">
      <text>
        <t xml:space="preserve">월세	430,000
수수료 10%	43,000
부가세	4,300
월세정산	382,700
관리비	100,000
정산합계	482,700
연장 43+10</t>
      </text>
    </comment>
    <comment authorId="0" ref="AW8">
      <text>
        <t xml:space="preserve">월세	430,000
수수료 10%	43,000
부가세	4,300
월세정산	382,700
관리비	100,000
정산합계	482,700
연장 43+10</t>
      </text>
    </comment>
    <comment authorId="0" ref="AX8">
      <text>
        <t xml:space="preserve">월세	347,000
수수료 10%	34,700
부가세	3,470
월세정산	308,830
관리비	81,000
정산합계	389,830</t>
      </text>
    </comment>
    <comment authorId="0" ref="AF9">
      <text>
        <t xml:space="preserve">월세	79,000
수수료 10%	7,900
부가세	790
월세정산	70,310
관리비	14,300
정산합계	84,610</t>
      </text>
    </comment>
    <comment authorId="0" ref="AG9">
      <text>
        <t xml:space="preserve">월세	550,000
수수료 10%	55,000
부가세	5,500
월세정산	489,500
관리비	100,000
정산합계	589,500</t>
      </text>
    </comment>
    <comment authorId="0" ref="AH9">
      <text>
        <t xml:space="preserve">월세	550,000
수수료 10%	55,000
부가세	5,500
월세정산	489,500
관리비	100,000
정산합계	589,500</t>
      </text>
    </comment>
    <comment authorId="0" ref="AI9">
      <text>
        <t xml:space="preserve">월세	550,000
수수료 10%	55,000
부가세	5,500
월세정산	489,500
관리비	100,000
정산합계	589,500</t>
      </text>
    </comment>
    <comment authorId="0" ref="AJ9">
      <text>
        <t xml:space="preserve">월세	550,000
수수료 10%	55,000
부가세	5,500
월세정산	489,500
관리비	100,000
정산합계	589,500</t>
      </text>
    </comment>
    <comment authorId="0" ref="AK9">
      <text>
        <t xml:space="preserve">월세	550,000
수수료 10%	55,000
부가세	5,500
월세정산	489,500
관리비	100,000
정산합계	589,500</t>
      </text>
    </comment>
    <comment authorId="0" ref="AL9">
      <text>
        <t xml:space="preserve">월세	550,000
수수료 10%	55,000
부가세	5,500
월세정산	489,500
관리비	100,000
정산합계	589,500</t>
      </text>
    </comment>
    <comment authorId="0" ref="AM9">
      <text>
        <t xml:space="preserve">월세	550,000
수수료 10%	55,000
부가세	5,500
월세정산	489,500
관리비	100,000
정산합계	589,500</t>
      </text>
    </comment>
    <comment authorId="0" ref="AN9">
      <text>
        <t xml:space="preserve">월세	550,000
수수료 10%	55,000
부가세	5,500
월세정산	489,500
관리비	100,000
정산합계	589,500</t>
      </text>
    </comment>
    <comment authorId="0" ref="AO9">
      <text>
        <t xml:space="preserve">월세	550,000
수수료 10%	55,000
부가세	5,500
월세정산	489,500
관리비	100,000
정산합계	589,500</t>
      </text>
    </comment>
    <comment authorId="0" ref="AP9">
      <text>
        <t xml:space="preserve">월세	550,000
수수료 10%	55,000
부가세	5,500
월세정산	489,500
관리비	100,000
정산합계	589,500</t>
      </text>
    </comment>
    <comment authorId="0" ref="AQ9">
      <text>
        <t xml:space="preserve">월세	550,000
수수료 10%	55,000
부가세	5,500
월세정산	489,500
관리비	100,000
정산합계	589,500</t>
      </text>
    </comment>
    <comment authorId="0" ref="AR9">
      <text>
        <t xml:space="preserve">월세	550,000
수수료 10%	55,000
부가세	5,500
월세정산	489,500
관리비	100,000
정산합계	589,500</t>
      </text>
    </comment>
    <comment authorId="0" ref="AS9">
      <text>
        <t xml:space="preserve">월세	550,000
수수료 10%	55,000
부가세	5,500
월세정산	489,500
관리비	100,000
정산합계	589,500</t>
      </text>
    </comment>
    <comment authorId="0" ref="AT9">
      <text>
        <t xml:space="preserve">월세	550,000
수수료 10%	55,000
부가세	5,500
월세정산	489,500
관리비	100,000
정산합계	589,500</t>
      </text>
    </comment>
    <comment authorId="0" ref="AU9">
      <text>
        <t xml:space="preserve">월세	550,000
수수료 10%	55,000
부가세	5,500
월세정산	489,500
관리비	100,000
정산합계	589,500</t>
      </text>
    </comment>
    <comment authorId="0" ref="AV9">
      <text>
        <t xml:space="preserve">월세	550,000
수수료 10%	55,000
부가세	5,500
월세정산	489,500
관리비	100,000
정산합계	589,500</t>
      </text>
    </comment>
    <comment authorId="0" ref="AW9">
      <text>
        <t xml:space="preserve">월세	550,000
수수료 10%	55,000
부가세	5,500
월세정산	489,500
관리비	100,000
정산합계	589,500</t>
      </text>
    </comment>
    <comment authorId="0" ref="AX9">
      <text>
        <t xml:space="preserve">월세	550,000
수수료 10%	55,000
부가세	5,500
월세정산	489,500
관리비	100,000
정산합계	589,500</t>
      </text>
    </comment>
    <comment authorId="0" ref="AY9">
      <text>
        <t xml:space="preserve">월세	550,000
수수료 10%	55,000
부가세	5,500
월세정산	489,500
관리비	100,000
정산합계	589,500</t>
      </text>
    </comment>
    <comment authorId="0" ref="AZ9">
      <text>
        <t xml:space="preserve">월세	550,000
수수료 10%	55,000
부가세	5,500
월세정산	489,500
관리비	100,000
정산합계	589,500</t>
      </text>
    </comment>
    <comment authorId="0" ref="BA9">
      <text>
        <t xml:space="preserve">월세	550,000
수수료 10%	55,000
부가세	5,500
월세정산	489,500
관리비	100,000
정산합계	589,500</t>
      </text>
    </comment>
    <comment authorId="0" ref="BB9">
      <text>
        <t xml:space="preserve">월세	550,000
수수료 10%	55,000
부가세	5,500
월세정산	489,500
관리비	100,000
정산합계	589,500</t>
      </text>
    </comment>
    <comment authorId="0" ref="AQ12">
      <text>
        <t xml:space="preserve">26년 02월 &gt; 2월 입금
임대료 ₩500,000
관리비  ₩100,000
</t>
      </text>
    </comment>
    <comment authorId="0" ref="AR12">
      <text>
        <t xml:space="preserve">26년 02월  &gt; 입주일 입금
임대료 ₩500,000
관리비  ₩100,000
</t>
      </text>
    </comment>
    <comment authorId="0" ref="AS12">
      <text>
        <t xml:space="preserve">26년 02월 
임대료 ₩500,000
관리비  ₩100,000
</t>
      </text>
    </comment>
    <comment authorId="0" ref="AT12">
      <text>
        <t xml:space="preserve">26년 02월 
임대료 ₩500,000
관리비  ₩100,000
</t>
      </text>
    </comment>
    <comment authorId="0" ref="AU12">
      <text>
        <t xml:space="preserve">26년 02월 
임대료 ₩500,000
관리비  ₩100,000
</t>
      </text>
    </comment>
    <comment authorId="0" ref="AV12">
      <text>
        <t xml:space="preserve">26년 02월 
임대료 ₩500,000
관리비  ₩100,000
</t>
      </text>
    </comment>
    <comment authorId="0" ref="AW12">
      <text>
        <t xml:space="preserve">26년 02월 
임대료 ₩500,000
관리비  ₩100,000
</t>
      </text>
    </comment>
    <comment authorId="0" ref="AR16">
      <text>
        <t xml:space="preserve">26년 03월 11일 (1/3) &gt; 3월분
결제일: 2026년 01월 08일
임대료 ₩780,000
청소비 ₩50,000
호스트 정산 금액 ₩830,000
월세 68 + 관 10</t>
      </text>
    </comment>
    <comment authorId="0" ref="AS16">
      <text>
        <t xml:space="preserve">4월
렌트비 ₩780,000
&gt; 임대료 ₩680,000 + 관리비 ₩100,000</t>
      </text>
    </comment>
    <comment authorId="0" ref="AT16">
      <text>
        <t xml:space="preserve">26년 05월 11일 (3/3) &gt; 5,6월분
결제일: 2026년 03월 30일
호스트 정산 금액 ₩1,404,024
5월 월세 68 + 관 10
6월  544,024	+ 80,000
</t>
      </text>
    </comment>
    <comment authorId="0" ref="AR17">
      <text>
        <t xml:space="preserve">26년 03월 06일 (1/3)
결제일: 2025년 12월 22일
임대료 ₩780,000
청소비 ₩50,000
베딩비 ₩55,000
호스트 정산 금액  ₩885,000
월세 68 + 관 10</t>
      </text>
    </comment>
    <comment authorId="0" ref="AS17">
      <text>
        <t xml:space="preserve">3월
렌트비 ₩780,000
&gt; 임대료 ₩680,000 + 관리비 ₩100,000</t>
      </text>
    </comment>
    <comment authorId="0" ref="AT17">
      <text>
        <t xml:space="preserve">퇴실 월세  	498,667 ? 
퇴실 관리비 	73,333 ? 
5월 68+10
6월 628,694+73,333= 702,027 ? 
= 1,482,027
</t>
      </text>
    </comment>
    <comment authorId="0" ref="AL18">
      <text>
        <t xml:space="preserve">결제일: 2025년 03월 23일
25년 09월 10일 (1/9)
임대료 ₩863,338 (8월+9월)
관리비 ₩123,338 (8월+9월)
청소비 ₩50,000
베딩비 ₩55,000
호스트 정산 금액 ₩1,091,676
8월 월세	163,338 + 관리비	23,338
9월 월세 70 + 10</t>
      </text>
    </comment>
    <comment authorId="0" ref="AM18">
      <text>
        <t xml:space="preserve">10월
렌트비 ₩800,000
&gt; 임대료 ₩700,000 + 관리비 ₩100,000</t>
      </text>
    </comment>
    <comment authorId="0" ref="AN18">
      <text>
        <t xml:space="preserve">11월
렌트비 ₩800,000
&gt; 임대료 ₩700,000 + 관리비 ₩100,000</t>
      </text>
    </comment>
    <comment authorId="0" ref="AO18">
      <text>
        <t xml:space="preserve">12월
렌트비 ₩800,000
&gt; 임대료 ₩700,000 + 관리비 ₩100,000</t>
      </text>
    </comment>
    <comment authorId="0" ref="AP18">
      <text>
        <t xml:space="preserve">1월
렌트비 ₩800,000
&gt; 임대료 ₩700,000 + 관리비 ₩100,000</t>
      </text>
    </comment>
    <comment authorId="0" ref="AQ18">
      <text>
        <t xml:space="preserve">1월
렌트비 ₩800,000
&gt; 임대료 ₩700,000 + 관리비 ₩100,000</t>
      </text>
    </comment>
    <comment authorId="0" ref="AR18">
      <text>
        <t xml:space="preserve">1월
렌트비 ₩800,000
&gt; 임대료 ₩700,000 + 관리비 ₩100,000</t>
      </text>
    </comment>
    <comment authorId="0" ref="AS18">
      <text>
        <t xml:space="preserve">1월
렌트비 ₩800,000
&gt; 임대료 ₩700,000 + 관리비 ₩100,000</t>
      </text>
    </comment>
    <comment authorId="0" ref="AT18">
      <text>
        <t xml:space="preserve">4월
렌트비 ₩800,000
&gt; 임대료 ₩700,000 + 관리비 ₩100,000</t>
      </text>
    </comment>
    <comment authorId="0" ref="AU18">
      <text>
        <t xml:space="preserve">5월
렌트비 ₩800,040
&gt; 임대료 ₩700,000 + 관리비 ₩100,040</t>
      </text>
    </comment>
    <comment authorId="0" ref="AR19">
      <text>
        <t xml:space="preserve">26년 03월 11일 (1/3) &gt; 3월분
임대료 ₩800,000
청소비 ₩50,000
베딩비 ₩55,000
호스트 정산 금액 ₩905,000
월세 70 + 관 10</t>
      </text>
    </comment>
    <comment authorId="0" ref="AS19">
      <text>
        <t xml:space="preserve">렌트비 ₩800,000
&gt; 임대료 ₩700,000 + 관리비 ₩100,000</t>
      </text>
    </comment>
    <comment authorId="0" ref="AT19">
      <text>
        <t xml:space="preserve">26년 05월 11일 (3/3)
임대료 ₩1,253,356
호스트 정산 금액 ₩1,253,356
5월 월세 70 + 관 10
6월 월세 395,339+관 58,017</t>
      </text>
    </comment>
    <comment authorId="0" ref="AQ20">
      <text>
        <t xml:space="preserve">26년 02월 10일 (1/5)
결제일: 2025년 07월 19일
렌트비 ₩1,236,682 (임+관)
임대료 ₩1,060,000 
관리비 ₩176,682
청소비 ₩50,000
호스트 정산 금액  ₩1,286,682
1월 월세	460,000+ 관리비	76,682
2월 월세 60 + 10</t>
      </text>
    </comment>
    <comment authorId="0" ref="AR20">
      <text>
        <t xml:space="preserve">3월
렌트비 ₩700,000
&gt; 임대료 ₩600,000 + 관리비 ₩100,000</t>
      </text>
    </comment>
    <comment authorId="0" ref="AS20">
      <text>
        <t xml:space="preserve">3월
렌트비 ₩700,000
&gt; 임대료 ₩600,000 + 관리비 ₩100,000</t>
      </text>
    </comment>
    <comment authorId="0" ref="AT20">
      <text>
        <t xml:space="preserve">3월
렌트비 ₩700,000
&gt; 임대료 ₩600,000 + 관리비 ₩100,000</t>
      </text>
    </comment>
    <comment authorId="0" ref="AU20">
      <text>
        <t xml:space="preserve">3월
렌트비 ₩700,000
&gt; 임대료 ₩600,000 + 관리비 ₩100,000</t>
      </text>
    </comment>
    <comment authorId="0" ref="AV20">
      <text>
        <t xml:space="preserve">6월
렌트비 ₩606,684
&gt; 임대료 ₩520,000 + 관리비 ₩86,684</t>
      </text>
    </comment>
    <comment authorId="0" ref="AN21">
      <text>
        <t xml:space="preserve">결제일: 2025년 10월 15일 (11월분)
임대료 ₩650,000
청소비 ₩50,000
호스트 정산 금액 ₩700,000
11월 월세 55 + 10 
(10/24~11/23)
★정산방법 변경 (일할계산 마지막달!!) 
10월 월세 128,353+ 관리비	23,323 (2월 입금예정)
</t>
      </text>
    </comment>
    <comment authorId="0" ref="AO21">
      <text>
        <t xml:space="preserve">12월
렌트비 ₩650,000
&gt; 임대료 ₩550,000 + 관리비 ₩100,000
(11/24~12/23)</t>
      </text>
    </comment>
    <comment authorId="0" ref="AP21">
      <text>
        <t xml:space="preserve">1월
렌트비 ₩650,000
&gt; 임대료 ₩550,000 + 관리비 ₩100,000
(12/24~1/23)</t>
      </text>
    </comment>
    <comment authorId="0" ref="AQ21">
      <text>
        <t xml:space="preserve">합계 801,676
1 월 550,000 + 관 100,000
25.10월 24~30 : 128,333 + 관 23,343 
</t>
      </text>
    </comment>
    <comment authorId="0" ref="AR21">
      <text>
        <t xml:space="preserve">렌트비 ₩650,000
&gt; 임대료 ₩550,000 + 관리비 ₩100,000</t>
      </text>
    </comment>
    <comment authorId="0" ref="AS21">
      <text>
        <t xml:space="preserve">렌트비 ₩650,000
&gt; 임대료 ₩550,000 + 관리비 ₩100,000</t>
      </text>
    </comment>
    <comment authorId="0" ref="AT21">
      <text>
        <t xml:space="preserve">렌트비 ₩650,000
&gt; 임대료 ₩550,000 + 관리비 ₩100,000</t>
      </text>
    </comment>
    <comment authorId="0" ref="AU21">
      <text>
        <t xml:space="preserve">렌트비 ₩650,000
&gt; 임대료 ₩550,000 + 관리비 ₩100,000</t>
      </text>
    </comment>
    <comment authorId="0" ref="AV21">
      <text>
        <t xml:space="preserve">렌트비 ₩650,000
&gt; 임대료 ₩550,000 + 관리비 ₩100,000</t>
      </text>
    </comment>
    <comment authorId="0" ref="AW21">
      <text>
        <t xml:space="preserve">렌트비 ₩650,000
&gt; 임대료 ₩550,000 + 관리비 ₩100,000</t>
      </text>
    </comment>
    <comment authorId="0" ref="AX21">
      <text>
        <t xml:space="preserve">렌트비 ₩650,000
&gt; 임대료 ₩550,000 + 관리비 ₩100,000</t>
      </text>
    </comment>
    <comment authorId="0" ref="AY21">
      <text>
        <t xml:space="preserve">렌트비 ₩650,000
&gt; 2월 임대료 550,000 + 관리비100,000
(1/24~2/23)
&gt; 2/24-2/28 128,353+ 23,323 (2월 입금예정)
26년 02월 02일 (4/4)
임대료 ₩801,676
호스트 정산 금액₩801,676
2월 일할  128,353+ 관리비	23,323 (2월 입금예정)
월세 550000+ 128353=678,353
관 100000+23323=123,323
</t>
      </text>
    </comment>
    <comment authorId="0" ref="AL22">
      <text>
        <t xml:space="preserve">결제일: 2025년 06월 27일
25년 09월 10일 (1/9)
임대료 ₩542,669 (8월+9월)
관리비 ₩123,338 (8월+9월)
청소비 ₩50,000
호스트 정산 금액 ₩716,007
8월 월세	102,669 + 관리비	23,338
9월 월세 44 + 10
첫달 월세  	102,669
첫달 관리비	23,338</t>
      </text>
    </comment>
    <comment authorId="0" ref="AM22">
      <text>
        <t xml:space="preserve">10월
렌트비 ₩540,000
임대료 ₩440,000 + 관리비 ₩100,000</t>
      </text>
    </comment>
    <comment authorId="0" ref="AN22">
      <text>
        <t xml:space="preserve">11월
렌트비 ₩540,000
임대료 ₩440,000 + 관리비 ₩100,000</t>
      </text>
    </comment>
    <comment authorId="0" ref="AO22">
      <text>
        <t xml:space="preserve">12월
렌트비 ₩540,000
임대료 ₩440,000 + 관리비 ₩100,000</t>
      </text>
    </comment>
    <comment authorId="0" ref="AP22">
      <text>
        <t xml:space="preserve">12월
렌트비 ₩540,000
임대료 ₩440,000 + 관리비 ₩100,000</t>
      </text>
    </comment>
    <comment authorId="0" ref="AQ22">
      <text>
        <t xml:space="preserve">12월
렌트비 ₩540,000
임대료 ₩440,000 + 관리비 ₩100,000</t>
      </text>
    </comment>
    <comment authorId="0" ref="AR22">
      <text>
        <t xml:space="preserve">12월
렌트비 ₩540,000
임대료 ₩440,000 + 관리비 ₩100,000</t>
      </text>
    </comment>
    <comment authorId="0" ref="AS22">
      <text>
        <t xml:space="preserve">12월
렌트비 ₩540,000
임대료 ₩440,000 + 관리비 ₩100,000</t>
      </text>
    </comment>
    <comment authorId="0" ref="AT22">
      <text>
        <t xml:space="preserve">12월
렌트비 ₩540,000
임대료 ₩440,000 + 관리비 ₩100,000</t>
      </text>
    </comment>
    <comment authorId="0" ref="AU22">
      <text>
        <t xml:space="preserve">12월
렌트비 ₩540,000
임대료 ₩440,000 + 관리비 ₩100,000</t>
      </text>
    </comment>
    <comment authorId="0" ref="AV22">
      <text>
        <t xml:space="preserve">12월
렌트비 ₩540,000
임대료 ₩440,000 + 관리비 ₩100,000</t>
      </text>
    </comment>
    <comment authorId="0" ref="AW22">
      <text>
        <t xml:space="preserve">렌트비 ₩540,000
임대료 ₩440,000 + 관리비 ₩100,000</t>
      </text>
    </comment>
    <comment authorId="0" ref="AX22">
      <text>
        <t xml:space="preserve">렌트비 ₩432,024
임대료 ₩352,008 + 관리비 ₩80,016</t>
      </text>
    </comment>
    <comment authorId="0" ref="AL24">
      <text>
        <t xml:space="preserve">워너비 Palak Chopra(엔코)  오입금
다음달 10월 60만 차감  입금예정</t>
      </text>
    </comment>
    <comment authorId="0" ref="AM24">
      <text>
        <t xml:space="preserve">워너비 Palak Chopra(엔코)  오입금
다음달 10월 60만 차감  입금예정</t>
      </text>
    </comment>
    <comment authorId="0" ref="AN24">
      <text>
        <t xml:space="preserve">삼중 Gregoratti Greta(엔코)
11/4 입금</t>
      </text>
    </comment>
    <comment authorId="0" ref="AB25">
      <text>
        <t xml:space="preserve">▶ 동지하우스 입금 : 462,700
동지  C-1 오채영(우주)  462,700
▶ 트리하우스 입금 : 76,090
트리 C-2) 이준하(우주)  76,090
▶ 신사하우스 입금 :   1,315,220
신사 E-1) 전다정(우주)  667,400
신사 E-2) 윤설빈(우주)  647,820
1,854,010</t>
      </text>
    </comment>
    <comment authorId="0" ref="X38">
      <text>
        <t xml:space="preserve">강다연(우주) 6.20 
월세	235,000
수수료 10%	23,500
월세정산	211,500
관리비	29,000
정산합계	240,500</t>
      </text>
    </comment>
    <comment authorId="0" ref="Y38">
      <text>
        <t xml:space="preserve">월세	640,000
수수료 10%	64,000
부가세	6,400
월세정산	569,600
관리비	80,000
정산합계	649,600</t>
      </text>
    </comment>
    <comment authorId="0" ref="Z38">
      <text>
        <t xml:space="preserve">월세	640,000
수수료 10%	64,000
부가세	6,400
월세정산	569,600
관리비	80,000
정산합계	649,600</t>
      </text>
    </comment>
    <comment authorId="0" ref="AA38">
      <text>
        <t xml:space="preserve">월세	640,000
수수료 10%	64,000
부가세	6,400
월세정산	569,600
관리비	80,000
정산합계	649,600</t>
      </text>
    </comment>
    <comment authorId="0" ref="AB38">
      <text>
        <t xml:space="preserve">월세	640,000
수수료 10%	64,000
부가세	6,400
월세정산	569,600
관리비	80,000
정산합계	649,600</t>
      </text>
    </comment>
    <comment authorId="0" ref="AC38">
      <text>
        <t xml:space="preserve">월세	640,000
수수료 10%	64,000
부가세	6,400
월세정산	569,600
관리비	80,000
정산합계	649,600</t>
      </text>
    </comment>
    <comment authorId="0" ref="AD38">
      <text>
        <t xml:space="preserve">월세	640,000
수수료 10%	64,000
부가세	6,400
월세정산	569,600
관리비	80,000
정산합계	649,600</t>
      </text>
    </comment>
    <comment authorId="0" ref="AE38">
      <text>
        <t xml:space="preserve">월세	640,000
수수료 10%	64,000
부가세	6,400
월세정산	569,600
관리비	80,000
정산합계	649,600</t>
      </text>
    </comment>
    <comment authorId="0" ref="AF38">
      <text>
        <t xml:space="preserve">월세	640,000
수수료 10%	64,000
부가세	6,400
월세정산	569,600
관리비	80,000
정산합계	649,600</t>
      </text>
    </comment>
    <comment authorId="0" ref="AG38">
      <text>
        <t xml:space="preserve">월세	640,000
수수료 10%	64,000
부가세	6,400
월세정산	569,600
관리비	80,000
정산합계	649,600</t>
      </text>
    </comment>
    <comment authorId="0" ref="AH38">
      <text>
        <t xml:space="preserve">월세	640,000
수수료 10%	64,000
부가세	6,400
월세정산	569,600
관리비	80,000
정산합계	649,600</t>
      </text>
    </comment>
    <comment authorId="0" ref="AI38">
      <text>
        <t xml:space="preserve">월세	640,000
수수료 10%	64,000
부가세	6,400
월세정산	569,600
관리비	80,000
정산합계	649,600</t>
      </text>
    </comment>
    <comment authorId="0" ref="AJ38">
      <text>
        <t xml:space="preserve">월세	405,000
수수료 10%	40,500
부가세	4,050
월세정산	360,450
관리비	50,700
정산합계	411,150</t>
      </text>
    </comment>
    <comment authorId="0" ref="G39">
      <text>
        <t xml:space="preserve">271 (신사)  F1  12/1 ~ 12/31 
269 (영동)  D    1/1 ~6/30 
보증금 200 &gt; 이승민 신협
 보증금 	 2,000,000 
 퇴실비 	-30,000 
 미입금( ) 	0 
 위약금 / 1개월분 	-674,000 
 기타 (청소미비,사진x)  	-50,000 
 환불금액 	1,246,000 
"</t>
      </text>
    </comment>
    <comment authorId="0" ref="S39">
      <text>
        <t xml:space="preserve">월세	96,000
수수료 10%	9,600
월세정산	86,400
관리비	13,000
정산합계	99,400</t>
      </text>
    </comment>
    <comment authorId="0" ref="S40">
      <text>
        <t xml:space="preserve">월세	498,000
수수료 10%	49,800
월세정산	448,200
관리비	67,000
정산합계	515,200</t>
      </text>
    </comment>
    <comment authorId="0" ref="T40">
      <text>
        <t xml:space="preserve">월세	594,000
수수료 10%	59,400
월세정산	534,600
관리비	80,000
정산합계	614,600</t>
      </text>
    </comment>
    <comment authorId="0" ref="U40">
      <text>
        <t xml:space="preserve">월세	594,000
수수료 10%	59,400
월세정산	534,600
관리비	80,000
정산합계	614,600</t>
      </text>
    </comment>
    <comment authorId="0" ref="V40">
      <text>
        <t xml:space="preserve">월세	594,000
수수료 10%	59,400
월세정산	534,600
관리비	80,000
정산합계	614,600</t>
      </text>
    </comment>
    <comment authorId="0" ref="W40">
      <text>
        <t xml:space="preserve">월세	594,000
수수료 10%	59,400
월세정산	534,600
관리비	80,000
정산합계	614,600</t>
      </text>
    </comment>
    <comment authorId="0" ref="X40">
      <text>
        <t xml:space="preserve">월세	594,000
수수료 10%	59,400
월세정산	534,600
관리비	80,000
정산합계	614,600</t>
      </text>
    </comment>
    <comment authorId="0" ref="Y40">
      <text>
        <t xml:space="preserve">월세	96,000
수수료 10%	9,600
부가세	960
월세정산	85,440
관리비	12,900
정산합계	98,340</t>
      </text>
    </comment>
    <comment authorId="0" ref="G41">
      <text>
        <t xml:space="preserve">전입신고, 1년계약</t>
      </text>
    </comment>
    <comment authorId="0" ref="O41">
      <text>
        <t xml:space="preserve">월세	528,000
수수료 10%	52,800
월세정산	475,200
관리비	80,000
정산합계	555,200</t>
      </text>
    </comment>
    <comment authorId="0" ref="P41">
      <text>
        <t xml:space="preserve">월세	528,000
수수료 10%	52,800
월세정산	475,200
관리비	80,000
정산합계	555,200</t>
      </text>
    </comment>
    <comment authorId="0" ref="Q41">
      <text>
        <t xml:space="preserve">월세	528,000
수수료 10%	52,800
월세정산	475,200
관리비	80,000
정산합계	555,200</t>
      </text>
    </comment>
    <comment authorId="0" ref="S41">
      <text>
        <t xml:space="preserve">월세	528,000
수수료 10%	52,800
월세정산	475,200
관리비	80,000
정산합계	555,200</t>
      </text>
    </comment>
    <comment authorId="0" ref="T41">
      <text>
        <t xml:space="preserve">월세	528,000
수수료 10%	52,800
월세정산	475,200
관리비	80,000
정산합계	555,200</t>
      </text>
    </comment>
    <comment authorId="0" ref="U41">
      <text>
        <t xml:space="preserve">월세	528,000
수수료 10%	52,800
월세정산	475,200
관리비	80,000
정산합계	555,200</t>
      </text>
    </comment>
    <comment authorId="0" ref="V41">
      <text>
        <t xml:space="preserve">월세	528,000
수수료 10%	52,800
월세정산	475,200
관리비	80,000
정산합계	555,200</t>
      </text>
    </comment>
    <comment authorId="0" ref="W41">
      <text>
        <t xml:space="preserve">월세	528,000
수수료 10%	52,800
월세정산	475,200
관리비	80,000
정산합계	555,200</t>
      </text>
    </comment>
    <comment authorId="0" ref="X41">
      <text>
        <t xml:space="preserve">월세	528,000
수수료 10%	52,800
월세정산	475,200
관리비	80,000
정산합계	555,200</t>
      </text>
    </comment>
    <comment authorId="0" ref="Y41">
      <text>
        <t xml:space="preserve">월세	528,000
수수료 10%	52,800
부가세	5,280
월세정산	469,920
관리비	80,000
정산합계	549,920</t>
      </text>
    </comment>
    <comment authorId="0" ref="Z41">
      <text>
        <t xml:space="preserve">월세	528,000
수수료 10%	52,800
부가세	5,280
월세정산	469,920
관리비	80,000
정산합계	549,920</t>
      </text>
    </comment>
    <comment authorId="0" ref="AA41">
      <text>
        <t xml:space="preserve">월세	528,000
수수료 10%	52,800
부가세	5,280
월세정산	469,920
관리비	80,000
정산합계	549,920</t>
      </text>
    </comment>
    <comment authorId="0" ref="AG42">
      <text>
        <t xml:space="preserve">월세	115,000
수수료 10%	11,500
부가세	1,150
월세정산	102,350
관리비	19,400
정산합계	121,750</t>
      </text>
    </comment>
    <comment authorId="0" ref="AH42">
      <text>
        <t xml:space="preserve">월세	595,000
수수료 10%	59,500
부가세	5,950
월세정산	529,550
관리비	100,000
정산합계	629,550</t>
      </text>
    </comment>
    <comment authorId="0" ref="AI42">
      <text>
        <t xml:space="preserve">월세	595,000
수수료 10%	59,500
부가세	5,950
월세정산	529,550
관리비	100,000
정산합계	629,550</t>
      </text>
    </comment>
    <comment authorId="0" ref="AJ42">
      <text>
        <t xml:space="preserve">월세	357,000
수수료 10%	35,700
부가세	3,570
월세정산	317,730
관리비	60,000
정산합계	377,730</t>
      </text>
    </comment>
    <comment authorId="0" ref="S43">
      <text>
        <t xml:space="preserve">월세	17,000
수수료 10%	1,700
월세정산	15,300
관리비	2,600
정산합계	17,900</t>
      </text>
    </comment>
    <comment authorId="0" ref="T43">
      <text>
        <t xml:space="preserve">월세	528,000
수수료 10%	52,800
월세정산	475,200
관리비	80,000 &gt; 우주 2600 오류
정산합계	555,200
&gt;관리비	80,000 - 우주 2600 = 77400  
&gt; 4월 추가정산 예정! </t>
      </text>
    </comment>
    <comment authorId="0" ref="U43">
      <text>
        <t xml:space="preserve">월세	528,000
수수료 10%	52,800
월세정산	475,200
관리비	80,000
정산합계	555,200</t>
      </text>
    </comment>
    <comment authorId="0" ref="V43">
      <text>
        <t xml:space="preserve">월세	528,000
수수료 10%	52,800
월세정산	475,200
관리비	80,000
정산합계	555,200</t>
      </text>
    </comment>
    <comment authorId="0" ref="W43">
      <text>
        <t xml:space="preserve">월세	528,000
수수료 10%	52,800
월세정산	475,200
관리비	80,000
정산합계	555,200</t>
      </text>
    </comment>
    <comment authorId="0" ref="X43">
      <text>
        <t xml:space="preserve">월세	528,000
수수료 10%	52,800
월세정산	475,200
관리비	80,000
정산합계	555,200</t>
      </text>
    </comment>
    <comment authorId="0" ref="Y43">
      <text>
        <t xml:space="preserve">월세	528,000
수수료 10%	52,800
부가세	5,280
월세정산	469,920
관리비	80,000
정산합계	549,920</t>
      </text>
    </comment>
    <comment authorId="0" ref="Z43">
      <text>
        <t xml:space="preserve">월세	528,000
수수료 10%	52,800
부가세	5,280
월세정산	469,920
관리비	80,000
정산합계	549,920</t>
      </text>
    </comment>
    <comment authorId="0" ref="AA43">
      <text>
        <t xml:space="preserve">월세	528,000
수수료 10%	52,800
부가세	5,280
월세정산	469,920
관리비	80,000
정산합계	549,920</t>
      </text>
    </comment>
    <comment authorId="0" ref="AB43">
      <text>
        <t xml:space="preserve">월세	528,000
수수료 10%	52,800
부가세	5,280
월세정산	469,920
관리비	80,000
정산합계	549,920</t>
      </text>
    </comment>
    <comment authorId="0" ref="AC43">
      <text>
        <t xml:space="preserve">월세	528,000
수수료 10%	52,800
부가세	5,280
월세정산	469,920
관리비	80,000
정산합계	549,920</t>
      </text>
    </comment>
    <comment authorId="0" ref="AD43">
      <text>
        <t xml:space="preserve">월세	528,000
수수료 10%	52,800
부가세	5,280
월세정산	469,920
관리비	80,000
정산합계	549,920</t>
      </text>
    </comment>
    <comment authorId="0" ref="AE43">
      <text>
        <t xml:space="preserve">월세	528,000
수수료 10%	52,800
부가세	5,280
월세정산	469,920
관리비	80,000
정산합계	549,920</t>
      </text>
    </comment>
    <comment authorId="0" ref="AF43">
      <text>
        <t xml:space="preserve">월세	528,000
수수료 10%	52,800
부가세	5,280
월세정산	469,920
관리비	80,000
정산합계	549,920</t>
      </text>
    </comment>
    <comment authorId="0" ref="AG43">
      <text>
        <t xml:space="preserve">월세	528,000
수수료 10%	52,800
부가세	5,280
월세정산	469,920
관리비	80,000
정산합계	549,920</t>
      </text>
    </comment>
    <comment authorId="0" ref="AH43">
      <text>
        <t xml:space="preserve">월세	528,000
수수료 10%	52,800
부가세	5,280
월세정산	469,920
관리비	80,000
정산합계	549,920</t>
      </text>
    </comment>
    <comment authorId="0" ref="AI43">
      <text>
        <t xml:space="preserve">월세	528,000
수수료 10%	52,800
부가세	5,280
월세정산	469,920
관리비	80,000
정산합계	549,920</t>
      </text>
    </comment>
    <comment authorId="0" ref="AJ43">
      <text>
        <t xml:space="preserve">월세	528,000
수수료 10%	52,800
부가세	5,280
월세정산	469,920
관리비	80,000
정산합계	549,920</t>
      </text>
    </comment>
    <comment authorId="0" ref="AK43">
      <text>
        <t xml:space="preserve">월세	528,000
수수료 10%	52,800
부가세	5,280
월세정산	469,920
관리비	80,000
정산합계	549,920</t>
      </text>
    </comment>
    <comment authorId="0" ref="G44">
      <text>
        <t xml:space="preserve">271 (신사)  F1  12/1 ~ 12/31 
269 (영동)  D    1/1 ~6/30 
보증금 200 &gt; 이승민 신협</t>
      </text>
    </comment>
    <comment authorId="0" ref="Q44">
      <text>
        <t xml:space="preserve">월세	638,000 &gt; 우주 668,000
수수료 10%	66,800
월세정산	601,200
관리비	80,000
정산합계	681,200</t>
      </text>
    </comment>
    <comment authorId="0" ref="J45">
      <text>
        <t xml:space="preserve">11/3 유재훈 카카오 입금</t>
      </text>
    </comment>
    <comment authorId="0" ref="O45">
      <text>
        <t xml:space="preserve">월세	474,000
수수료 10%	47,400
월세정산	426,600
관리비	57,000
정산합계	483,600</t>
      </text>
    </comment>
    <comment authorId="0" ref="P45">
      <text>
        <t xml:space="preserve">중도퇴실 10.29
위약금 668,000*2달 = 1,336,000
보증금 200만 
환불금액  664,000</t>
      </text>
    </comment>
    <comment authorId="0" ref="J46">
      <text>
        <t xml:space="preserve">우리측 전달없이
우주에서 바로 계약후 입주
보증금도 우주가 받음, 
퇴실시 보증금 정산 우주가 처리</t>
      </text>
    </comment>
    <comment authorId="0" ref="N46">
      <text>
        <t xml:space="preserve">월세	572,000
수수료	57,200
월세정산	514,800
관리비	80,000
정산합계	594,800
10월 5일 법인통장 입금</t>
      </text>
    </comment>
    <comment authorId="0" ref="O46">
      <text>
        <t xml:space="preserve">월세	572,000
수수료	57,200
월세정산	514,800
관리비	80,000
정산합계	594,800</t>
      </text>
    </comment>
    <comment authorId="0" ref="P46">
      <text>
        <t xml:space="preserve">월세	572,000
수수료	57,200
월세정산	514,800
관리비	80,000
정산합계	594,800</t>
      </text>
    </comment>
    <comment authorId="0" ref="J47">
      <text>
        <t xml:space="preserve">우리측 전달없이
우주에서 바로 계약후 입주
보증금도 우주가 받음, 
퇴실시 보증금 정산 우주가 처리</t>
      </text>
    </comment>
    <comment authorId="0" ref="P47">
      <text>
        <t xml:space="preserve">우주에서 환불
중도퇴실 11/30 
위약금 	(572,000 + 8만) * 2 달 + 퇴실비 3만  = 1,334,000 
우주에서 입금 받음</t>
      </text>
    </comment>
    <comment authorId="0" ref="U48">
      <text>
        <t xml:space="preserve">월세	443,000
수수료 10%	44,300
월세정산	398,700
관리비	62,000
정산합계	460,700</t>
      </text>
    </comment>
    <comment authorId="0" ref="V48">
      <text>
        <t xml:space="preserve">월세	572,000
수수료 10%	57,200
월세정산	514,800
관리비	80,000
정산합계	594,800</t>
      </text>
    </comment>
    <comment authorId="0" ref="W48">
      <text>
        <t xml:space="preserve">월세	572,000
수수료 10%	57,200
월세정산	514,800
관리비	80,000
정산합계	594,800</t>
      </text>
    </comment>
    <comment authorId="0" ref="X48">
      <text>
        <t xml:space="preserve">월세	572,000
수수료 10%	57,200
월세정산	514,800
관리비	80,000
정산합계	594,800</t>
      </text>
    </comment>
    <comment authorId="0" ref="G49">
      <text>
        <t xml:space="preserve">12/22 대현이동
우주와 계약종료
우리와 재계약</t>
      </text>
    </comment>
    <comment authorId="0" ref="O49">
      <text>
        <t xml:space="preserve">월세	535,000
수수료 10%	53,500
월세정산	481,500
관리비	74,900 &gt; 75,000
정산합계	556,500</t>
      </text>
    </comment>
    <comment authorId="0" ref="P49">
      <text>
        <t xml:space="preserve">월세	572,000
수수료 10%	57,200
월세정산	514,800
관리비	80,000
정산합계	594,800</t>
      </text>
    </comment>
    <comment authorId="0" ref="Q49">
      <text>
        <t xml:space="preserve">월세	406,000
수수료 10%	40,600
월세정산	365,400
관리비	56,774 &gt; 우주 8만 계산됨
정산합계	422,174
조기퇴실 166,000 우주에서 더 입금!</t>
      </text>
    </comment>
    <comment authorId="0" ref="Q51">
      <text>
        <t xml:space="preserve">월세	383,000
수수료 10%	38,300
월세정산	344,700
관리비	69,700 &gt; 우주 7만
정산합계	414,700</t>
      </text>
    </comment>
    <comment authorId="0" ref="S51">
      <text>
        <t xml:space="preserve">월세	440,000
수수료 10%	44,000
월세정산	396,000
관리비	80,000
정산합계	476,000</t>
      </text>
    </comment>
    <comment authorId="0" ref="T51">
      <text>
        <t xml:space="preserve">월세	440,000
수수료 10%	44,000
월세정산	396,000
관리비	80,000
정산합계	476,000</t>
      </text>
    </comment>
    <comment authorId="0" ref="U51">
      <text>
        <t xml:space="preserve">월세	440,000
수수료 10%	44,000
월세정산	396,000
관리비	80,000
정산합계	476,000</t>
      </text>
    </comment>
    <comment authorId="0" ref="V51">
      <text>
        <t xml:space="preserve">월세	440,000
수수료 10%	44,000
월세정산	396,000
관리비	80,000
정산합계	476,000</t>
      </text>
    </comment>
    <comment authorId="0" ref="W51">
      <text>
        <t xml:space="preserve">월세	440,000
수수료 10%	44,000
월세정산	396,000
관리비	80,000
정산합계	476,000</t>
      </text>
    </comment>
    <comment authorId="0" ref="X51">
      <text>
        <t xml:space="preserve">월세	59,000
수수료 10%	5,900
월세정산	53,100
관리비	11,000
정산합계	64,100</t>
      </text>
    </comment>
    <comment authorId="0" ref="Q52">
      <text>
        <t xml:space="preserve">월세	14,000
수수료 10%	1,400
월세정산	12,600
관리비	2,600 &gt; 우주 3,000
정산합계	15,600</t>
      </text>
    </comment>
    <comment authorId="0" ref="S52">
      <text>
        <t xml:space="preserve">월세	440,000
수수료 10%	44,000
월세정산	396,000
관리비	80,000
정산합계	476,000</t>
      </text>
    </comment>
    <comment authorId="0" ref="T52">
      <text>
        <t xml:space="preserve">월세	440,000
수수료 10%	44,000
월세정산	396,000
관리비	80,000
정산합계	476,000</t>
      </text>
    </comment>
    <comment authorId="0" ref="U53">
      <text>
        <t xml:space="preserve">월세	58,000
수수료 10%	5,800
월세정산	52,200
관리비	10,000
정산합계	62,200</t>
      </text>
    </comment>
    <comment authorId="0" ref="V53">
      <text>
        <t xml:space="preserve">월세	450,000
수수료 10%	45,000
월세정산	405,000
관리비	80,000
정산합계	485,000</t>
      </text>
    </comment>
    <comment authorId="0" ref="W53">
      <text>
        <t xml:space="preserve">월세	450,000
수수료 10%	45,000
월세정산	405,000
관리비	80,000
정산합계	485,000</t>
      </text>
    </comment>
    <comment authorId="0" ref="X53">
      <text>
        <t xml:space="preserve">월세	420,000
수수료 10%	42,000
월세정산	378,000
관리비	75,000
정산합계	453,000</t>
      </text>
    </comment>
    <comment authorId="0" ref="V54">
      <text>
        <t xml:space="preserve">월세	368,000
수수료 10%	36,800
월세정산	331,200
관리비	67,000
정산합계	398,200</t>
      </text>
    </comment>
    <comment authorId="0" ref="W54">
      <text>
        <t xml:space="preserve">월세	442,000
수수료 10%	44,200
월세정산	397,800
관리비	80,000
정산합계	477,800</t>
      </text>
    </comment>
    <comment authorId="0" ref="X54">
      <text>
        <t xml:space="preserve">월세	442,000
수수료 10%	44,200
월세정산	397,800
관리비	80,000
정산합계	477,800</t>
      </text>
    </comment>
    <comment authorId="0" ref="Y54">
      <text>
        <t xml:space="preserve">월세	442,000
수수료 10%	44,200
부가세	4,420
월세정산	393,380
관리비	80,000
정산합계	473,380</t>
      </text>
    </comment>
    <comment authorId="0" ref="Z54">
      <text>
        <t xml:space="preserve">월세	442,000
수수료 10%	44,200
부가세	4,420
월세정산	393,380
관리비	80,000
정산합계	473,380</t>
      </text>
    </comment>
    <comment authorId="0" ref="AA54">
      <text>
        <t xml:space="preserve">월세	442,000
수수료 10%	44,200
부가세	4,420
월세정산	393,380
관리비	80,000
정산합계	473,380</t>
      </text>
    </comment>
    <comment authorId="0" ref="AB54">
      <text>
        <t xml:space="preserve">월세	71,000
수수료 10%	7,100
부가세	710
월세정산	63,190
관리비	12,900
정산합계	76,090</t>
      </text>
    </comment>
    <comment authorId="0" ref="N55">
      <text>
        <t xml:space="preserve">월세	262,000
수수료 10%	26,200
월세정산	235,800
관리비	43,000
정산합계	278,800
10월 5일 법인통장 입금</t>
      </text>
    </comment>
    <comment authorId="0" ref="O55">
      <text>
        <t xml:space="preserve">월세	492,000
수수료 10%	49,200
월세정산	442,800
관리비	80,000
정산합계	522,800</t>
      </text>
    </comment>
    <comment authorId="0" ref="P55">
      <text>
        <t xml:space="preserve">월세	492,000
수수료 10%	49,200
월세정산	442,800
관리비	80,000
정산합계	522,800</t>
      </text>
    </comment>
    <comment authorId="0" ref="Q55">
      <text>
        <t xml:space="preserve">월세	492,000
수수료 10%	49,200
월세정산	442,800
관리비	80,000
정산합계	522,800</t>
      </text>
    </comment>
    <comment authorId="0" ref="Z56">
      <text>
        <t xml:space="preserve">월세	185,000
수수료 10%	18,500
부가세	1,850
월세정산	164,650
관리비	25,800
정산합계	190,450</t>
      </text>
    </comment>
    <comment authorId="0" ref="AA56">
      <text>
        <t xml:space="preserve">월세	572,000
수수료 10%	57,200
부가세	5,720
월세정산	509,080
관리비	80,000
정산합계	589,080</t>
      </text>
    </comment>
    <comment authorId="0" ref="W57">
      <text>
        <t xml:space="preserve">월세	96,000
수수료 10%	9,600
월세정산	86,400
관리비	13,000
정산합계	99,400</t>
      </text>
    </comment>
    <comment authorId="0" ref="X57">
      <text>
        <t xml:space="preserve">월세	595,000
수수료 10%	59,500
월세정산	535,500
관리비	80,000
정산합계	615,500</t>
      </text>
    </comment>
    <comment authorId="0" ref="Y57">
      <text>
        <t xml:space="preserve">월세	595,000
수수료 10%	59,500
부가세	5,950
월세정산	529,550
관리비	80,000
정산합계	609,550</t>
      </text>
    </comment>
    <comment authorId="0" ref="Z57">
      <text>
        <t xml:space="preserve">월세	595,000
수수료 10%	59,500
부가세	5,950
월세정산	529,550
관리비	80,000
정산합계	609,550</t>
      </text>
    </comment>
    <comment authorId="0" ref="AA57">
      <text>
        <t xml:space="preserve">월세	595,000
수수료 10%	59,500
부가세	5,950
월세정산	529,550
관리비	80,000
정산합계	609,550</t>
      </text>
    </comment>
    <comment authorId="0" ref="AB57">
      <text>
        <t xml:space="preserve">월세	595,000
수수료 10%	59,500
부가세	5,950
월세정산	529,550
관리비	80,000
정산합계	609,550</t>
      </text>
    </comment>
    <comment authorId="0" ref="AC57">
      <text>
        <t xml:space="preserve">월세	595,000
수수료 10%	59,500
부가세	5,950
월세정산	529,550
관리비	80,000
정산합계	609,550
12/2 현재  
11월분 임수빈 우주에 미입금
보증금에서 월세,관리비 차감후 환불
우주 수수료+부가세 12월분(1월) 정산 시 차감 (59,500+5,950=65,450) 
</t>
      </text>
    </comment>
    <comment authorId="0" ref="AA58">
      <text>
        <t xml:space="preserve">월세	672,000
수수료 10%	67,200
부가세	6,720
월세정산	598,080
관리비	80,000
정산합계	678,080</t>
      </text>
    </comment>
    <comment authorId="0" ref="AB58">
      <text>
        <t xml:space="preserve">월세	672,000
수수료 10%	67,200
부가세	6,720
월세정산	598,080
관리비	80,000
정산합계	678,080</t>
      </text>
    </comment>
    <comment authorId="0" ref="AC58">
      <text>
        <t xml:space="preserve">월세	672,000
수수료 10%	67,200
부가세	6,720
월세정산	598,080
관리비	80,000
정산합계	678,080</t>
      </text>
    </comment>
    <comment authorId="0" ref="AD58">
      <text>
        <t xml:space="preserve">월세	672,000
수수료 10%	67,200
부가세	6,720
월세정산	598,080
관리비	80,000
정산합계	678,080</t>
      </text>
    </comment>
    <comment authorId="0" ref="AF59">
      <text>
        <t xml:space="preserve">월세	672,000
수수료 10%	67,200
부가세	6,720
월세정산	598,080
관리비	80,000
정산합계	678,080</t>
      </text>
    </comment>
    <comment authorId="0" ref="AG59">
      <text>
        <t xml:space="preserve">월세	672,000
수수료 10%	67,200
부가세	6,720
월세정산	598,080
관리비	80,000
정산합계	678,080</t>
      </text>
    </comment>
    <comment authorId="0" ref="AH59">
      <text>
        <t xml:space="preserve">월세	672,000
수수료 10%	67,200
부가세	6,720
월세정산	598,080
관리비	80,000
정산합계	678,080</t>
      </text>
    </comment>
    <comment authorId="0" ref="AI59">
      <text>
        <t xml:space="preserve">월세	672,000
수수료 10%	67,200
부가세	6,720
월세정산	598,080
관리비	80,000
정산합계	678,080</t>
      </text>
    </comment>
    <comment authorId="0" ref="AJ59">
      <text>
        <t xml:space="preserve">월세	672,000
수수료 10%	67,200
부가세	6,720
월세정산	598,080
관리비	80,000
정산합계	678,080</t>
      </text>
    </comment>
    <comment authorId="0" ref="Y60">
      <text>
        <t xml:space="preserve">월세	21,000
수수료 10%	2,100
부가세	210
월세정산	18,690
관리비	2,600
정산합계	21,290</t>
      </text>
    </comment>
    <comment authorId="0" ref="Z60">
      <text>
        <t xml:space="preserve">월세	660,000
수수료 10%	66,000
부가세	6,600
월세정산	587,400
관리비	80,000
정산합계	667,400</t>
      </text>
    </comment>
    <comment authorId="0" ref="AA60">
      <text>
        <t xml:space="preserve">월세	660,000
수수료 10%	66,000
부가세	6,600
월세정산	587,400
관리비	80,000
정산합계	667,400</t>
      </text>
    </comment>
    <comment authorId="0" ref="AB60">
      <text>
        <t xml:space="preserve">월세	660,000
수수료 10%	66,000
부가세	6,600
월세정산	587,400
관리비	80,000
정산합계	667,400</t>
      </text>
    </comment>
    <comment authorId="0" ref="AC60">
      <text>
        <t xml:space="preserve">월세	660,000
수수료 10%	66,000
부가세	6,600
월세정산	587,400
관리비	80,000
정산합계	667,400</t>
      </text>
    </comment>
    <comment authorId="0" ref="AD60">
      <text>
        <t xml:space="preserve">월세	660,000
수수료 10%	66,000
부가세	6,600
월세정산	587,400
관리비	80,000
정산합계	667,400</t>
      </text>
    </comment>
    <comment authorId="0" ref="AE60">
      <text>
        <t xml:space="preserve">월세	660,000
수수료 10%	66,000
부가세	6,600
월세정산	587,400
관리비	80,000
정산합계	667,400</t>
      </text>
    </comment>
    <comment authorId="0" ref="S61">
      <text>
        <t xml:space="preserve">월세	62,000
수수료 10%	6,200
월세정산	55,800
관리비	7,700
정산합계	63,500</t>
      </text>
    </comment>
    <comment authorId="0" ref="T61">
      <text>
        <t xml:space="preserve">월세	638,000
수수료 10%	63,800
월세정산	574,200
관리비	80,000
정산합계	654,200</t>
      </text>
    </comment>
    <comment authorId="0" ref="U61">
      <text>
        <t xml:space="preserve">월세	638,000
수수료 10%	63,800
월세정산	574,200
관리비	80,000
정산합계	654,200</t>
      </text>
    </comment>
    <comment authorId="0" ref="V61">
      <text>
        <t xml:space="preserve">월세	638,000
수수료 10%	63,800
월세정산	574,200
관리비	80,000
정산합계	654,200</t>
      </text>
    </comment>
    <comment authorId="0" ref="W61">
      <text>
        <t xml:space="preserve">월세	638,000
수수료 10%	63,800
월세정산	574,200
관리비	80,000
정산합계	654,200</t>
      </text>
    </comment>
    <comment authorId="0" ref="X61">
      <text>
        <t xml:space="preserve">월세	638,000
수수료 10%	63,800
월세정산	574,200
관리비	80,000
정산합계	654,200</t>
      </text>
    </comment>
    <comment authorId="0" ref="Y61">
      <text>
        <t xml:space="preserve">월세	638,000
수수료 10%	63,800
부가세	6,380
월세정산	567,820
관리비	80,000
정산합계	647,820</t>
      </text>
    </comment>
    <comment authorId="0" ref="Z61">
      <text>
        <t xml:space="preserve">월세	638,000
수수료 10%	63,800
부가세	6,380
월세정산	567,820
관리비	80,000
정산합계	647,820</t>
      </text>
    </comment>
    <comment authorId="0" ref="AA61">
      <text>
        <t xml:space="preserve">월세	638,000
수수료 10%	63,800
부가세	6,380
월세정산	567,820
관리비	80,000
정산합계	647,820</t>
      </text>
    </comment>
    <comment authorId="0" ref="AB61">
      <text>
        <t xml:space="preserve">월세	638,000
수수료 10%	63,800
부가세	6,380
월세정산	567,820
관리비	80,000
정산합계	647,820</t>
      </text>
    </comment>
    <comment authorId="0" ref="AC61">
      <text>
        <t xml:space="preserve">월세	638,000
수수료 10%	63,800
부가세	6,380
월세정산	567,820
관리비	80,000
정산합계	647,820</t>
      </text>
    </comment>
    <comment authorId="0" ref="AD61">
      <text>
        <t xml:space="preserve">월세	638,000
수수료 10%	63,800
부가세	6,380
월세정산	567,820
관리비	80,000
정산합계	647,820</t>
      </text>
    </comment>
    <comment authorId="0" ref="AE61">
      <text>
        <t xml:space="preserve">월세	576,000
수수료 10%	57,600
부가세	5,760
월세정산	512,640
관리비	72,300
정산합계	584,940</t>
      </text>
    </comment>
    <comment authorId="0" ref="AA62">
      <text>
        <t xml:space="preserve">월세	400,000
수수료 10%	40,000
부가세	4,000
월세정산	356,000
관리비	80,000
정산합계	436,000</t>
      </text>
    </comment>
    <comment authorId="0" ref="AB62">
      <text>
        <t xml:space="preserve">월세	400,000
수수료 10%	40,000
부가세	4,000
월세정산	356,000
관리비	80,000
정산합계	436,000</t>
      </text>
    </comment>
    <comment authorId="0" ref="AC62">
      <text>
        <t xml:space="preserve">월세	400,000
수수료 10%	40,000
부가세	4,000
월세정산	356,000
관리비	80,000
정산합계	436,000</t>
      </text>
    </comment>
    <comment authorId="0" ref="AD62">
      <text>
        <t xml:space="preserve">월세	400,000
수수료 10%	40,000
부가세	4,000
월세정산	356,000
관리비	80,000
정산합계	436,000</t>
      </text>
    </comment>
    <comment authorId="0" ref="AE62">
      <text>
        <t xml:space="preserve">월세	400,000
수수료 10%	40,000
부가세	4,000
월세정산	356,000
관리비	80,000
정산합계	436,000</t>
      </text>
    </comment>
    <comment authorId="0" ref="AF62">
      <text>
        <t xml:space="preserve">월세	400,000
수수료 10%	40,000
부가세	4,000
월세정산	356,000
관리비	80,000
정산합계	436,000</t>
      </text>
    </comment>
    <comment authorId="0" ref="G63">
      <text>
        <t xml:space="preserve">중도퇴실 25.10.23
위약금 2달분   64+10 *2개월</t>
      </text>
    </comment>
    <comment authorId="0" ref="AJ63">
      <text>
        <t xml:space="preserve">월세	363,000
수수료 10%	36,300
부가세	3,630
월세정산	323,070
관리비	56,700
정산합계	379,770</t>
      </text>
    </comment>
    <comment authorId="0" ref="AK63">
      <text>
        <t xml:space="preserve">월세	640,000
수수료 10%	64,000
부가세	6,400
월세정산	569,600
관리비	100,000
정산합계	669,600</t>
      </text>
    </comment>
    <comment authorId="0" ref="AL63">
      <text>
        <t xml:space="preserve">월세	640,000
수수료 10%	64,000
부가세	6,400
월세정산	569,600
관리비	100,000
정산합계	669,600</t>
      </text>
    </comment>
    <comment authorId="0" ref="AM63">
      <text>
        <t xml:space="preserve">월세	640,000
수수료 10%	64,000
부가세	6,400
월세정산	569,600
관리비	100,000
정산합계	669,600</t>
      </text>
    </comment>
    <comment authorId="0" ref="AN63">
      <text>
        <t xml:space="preserve">월세	640,000
수수료 10%	64,000
부가세	6,400
월세정산	569,600
관리비	100,000
정산합계	669,600</t>
      </text>
    </comment>
    <comment authorId="0" ref="AE64">
      <text>
        <t xml:space="preserve">월세	298,000
수수료 10%	29,800
부가세	2,980
월세정산	265,220
관리비	36,100
정산합계	301,320</t>
      </text>
    </comment>
    <comment authorId="0" ref="AF64">
      <text>
        <t xml:space="preserve">월세	660,000
수수료 10%	66,000
부가세	6,600
월세정산	587,400
관리비	80,000
정산합계	667,400</t>
      </text>
    </comment>
    <comment authorId="0" ref="AG64">
      <text>
        <t xml:space="preserve">월세	660,000
수수료 10%	66,000
부가세	6,600
월세정산	587,400
관리비	80,000
정산합계	667,400</t>
      </text>
    </comment>
    <comment authorId="0" ref="AH64">
      <text>
        <t xml:space="preserve">월세	660,000
수수료 10%	66,000
부가세	6,600
월세정산	587,400
관리비	80,000
정산합계	667,400</t>
      </text>
    </comment>
    <comment authorId="0" ref="AI64">
      <text>
        <t xml:space="preserve">월세	660,000
수수료 10%	66,000
부가세	6,600
월세정산	587,400
관리비	80,000
정산합계	667,400</t>
      </text>
    </comment>
    <comment authorId="0" ref="AJ64">
      <text>
        <t xml:space="preserve">월세	660,000
수수료 10%	66,000
부가세	6,600
월세정산	587,400
관리비	80,000
정산합계	667,400</t>
      </text>
    </comment>
    <comment authorId="0" ref="AK64">
      <text>
        <t xml:space="preserve">월세	660,000
수수료 10%	66,000
부가세	6,600
월세정산	587,400
관리비	80,000
정산합계	667,400</t>
      </text>
    </comment>
    <comment authorId="0" ref="AL64">
      <text>
        <t xml:space="preserve">월세	660,000
수수료 10%	66,000
부가세	6,600
월세정산	587,400
관리비	100,000
정산합계	687,400</t>
      </text>
    </comment>
    <comment authorId="0" ref="AM64">
      <text>
        <t xml:space="preserve">월세	660,000
수수료 10%	66,000
부가세	6,600
월세정산	587,400
관리비	100,000
정산합계	687,400</t>
      </text>
    </comment>
    <comment authorId="0" ref="AN64">
      <text>
        <t xml:space="preserve">월세	660,000
수수료 10%	66,000
부가세	6,600
월세정산	587,400
관리비	100,000
정산합계	687,400</t>
      </text>
    </comment>
    <comment authorId="0" ref="AO64">
      <text>
        <t xml:space="preserve">월세	660,000
수수료 10%	66,000
부가세	6,600
월세정산	587,400
관리비	100,000
정산합계	687,400</t>
      </text>
    </comment>
    <comment authorId="0" ref="AP64">
      <text>
        <t xml:space="preserve">월세	660,000
수수료 10%	66,000
부가세	6,600
월세정산	587,400
관리비	100,000
정산합계	687,400</t>
      </text>
    </comment>
    <comment authorId="0" ref="AQ64">
      <text>
        <t xml:space="preserve">월세	660,000
수수료 10%	66,000
부가세	6,600
월세정산	587,400
관리비	100,000
정산합계	687,400</t>
      </text>
    </comment>
    <comment authorId="0" ref="AR64">
      <text>
        <t xml:space="preserve">월세	660,000
수수료 10%	66,000
부가세	6,600
월세정산	587,400
관리비	100,000
정산합계	687,400</t>
      </text>
    </comment>
    <comment authorId="0" ref="AF65">
      <text>
        <t xml:space="preserve">월세	19,000
수수료 10%	1,900
부가세	190
월세정산	16,910
관리비	3,600
정산합계	20,510</t>
      </text>
    </comment>
    <comment authorId="0" ref="AG65">
      <text>
        <t xml:space="preserve">월세	520,000
수수료 10%	52,000
부가세	5,200
월세정산	462,800
관리비	100,000
정산합계	562,800</t>
      </text>
    </comment>
    <comment authorId="0" ref="AH65">
      <text>
        <t xml:space="preserve">월세	520,000
수수료 10%	52,000
부가세	5,200
월세정산	462,800
관리비	100,000
정산합계	562,800</t>
      </text>
    </comment>
    <comment authorId="0" ref="AI65">
      <text>
        <t xml:space="preserve">월세	520,000
수수료 10%	52,000
부가세	5,200
월세정산	462,800
관리비	100,000
정산합계	562,800</t>
      </text>
    </comment>
    <comment authorId="0" ref="AJ65">
      <text>
        <t xml:space="preserve">월세	520,000
수수료 10%	52,000
부가세	5,200
월세정산	462,800
관리비	100,000
정산합계	562,800</t>
      </text>
    </comment>
    <comment authorId="0" ref="AK65">
      <text>
        <t xml:space="preserve">월세	520,000
수수료 10%	52,000
부가세	5,200
월세정산	462,800
관리비	100,000
정산합계	562,800</t>
      </text>
    </comment>
    <comment authorId="0" ref="AL65">
      <text>
        <t xml:space="preserve">월세	520,000
수수료 10%	52,000
부가세	5,200
월세정산	462,800
관리비	100,000
정산합계	562,800</t>
      </text>
    </comment>
    <comment authorId="0" ref="AM65">
      <text>
        <t xml:space="preserve">월세	520,000
수수료 10%	52,000
부가세	5,200
월세정산	462,800
관리비	100,000
정산합계	562,800</t>
      </text>
    </comment>
    <comment authorId="0" ref="AN65">
      <text>
        <t xml:space="preserve">월세	520,000
수수료 10%	52,000
부가세	5,200
월세정산	462,800
관리비	100,000
정산합계	562,800</t>
      </text>
    </comment>
    <comment authorId="0" ref="AO65">
      <text>
        <t xml:space="preserve">월세	520,000
수수료 10%	52,000
부가세	5,200
월세정산	462,800
관리비	100,000
정산합계	562,800</t>
      </text>
    </comment>
    <comment authorId="0" ref="AP65">
      <text>
        <t xml:space="preserve">월세	520,000
수수료 10%	52,000
부가세	5,200
월세정산	462,800
관리비	100,000
정산합계	562,800</t>
      </text>
    </comment>
    <comment authorId="0" ref="AQ65">
      <text>
        <t xml:space="preserve">월세	520,000
수수료 10%	52,000
부가세	5,200
월세정산	462,800
관리비	100,000
정산합계	562,800</t>
      </text>
    </comment>
    <comment authorId="0" ref="AR65">
      <text>
        <t xml:space="preserve">월세	520,000
수수료 10%	52,000
부가세	5,200
월세정산	462,800
관리비	100,000
정산합계	562,800</t>
      </text>
    </comment>
    <comment authorId="0" ref="AL71">
      <text>
        <t xml:space="preserve">25년 09월 10일 (1/4)
결제일: 2025년 07월 08일
렌트비 ₩888,348 (임+관)
+ 임대료 ₩751,674 (8월+9월)
+ 관리비 ₩136,674 (8월+9월)
+ 청소비 ₩50,000
+ 베딩비 ₩55,000
호스트 정산 금액 ₩993,348
8월 월세	201,674 + 관리비	36,674
9월 월세 55 + 10</t>
      </text>
    </comment>
    <comment authorId="0" ref="AM71">
      <text>
        <t xml:space="preserve">10월
렌트비 ₩650,000
&gt; 임대료 ₩550,000 + 관리비 ₩100,000</t>
      </text>
    </comment>
    <comment authorId="0" ref="AN71">
      <text>
        <t xml:space="preserve">11월
렌트비 ₩650,000
&gt; 임대료 ₩550,000 + 관리비 ₩100,000</t>
      </text>
    </comment>
    <comment authorId="0" ref="AO71">
      <text>
        <t xml:space="preserve">12월
12/17 퇴실 렌트비 ₩346,688
&gt; 임대료 ₩293,344+ 관리비 ₩53,344
12/20 퇴실변경 
추가금액 74,000+14,000 = 88,000</t>
      </text>
    </comment>
    <comment authorId="0" ref="AG72">
      <text>
        <t xml:space="preserve">25년 04월 10일 입금예정 
결제일: 2025년 02월 23일
첫달 월세  	43,334
첫달 관리비	6,668
3월+ 4월
임대료 ₩693,334 3월+4월 (43,334+65만=693,334)
관리비 ₩106,668 3월+4월
(6,668+10만=106,668)
청소비 ₩50,000 = 퇴실비
베딩비₩55,000
호스트 정산 금액 ₩905,002</t>
      </text>
    </comment>
    <comment authorId="0" ref="AH72">
      <text>
        <t xml:space="preserve">5월
렌트비 ₩750,000
임대료 ₩650,000 + 관리비 ₩100,000</t>
      </text>
    </comment>
    <comment authorId="0" ref="AI72">
      <text>
        <t xml:space="preserve">6월
렌트비 ₩750,000
임대료 ₩650,000 + 관리비 ₩100,000</t>
      </text>
    </comment>
    <comment authorId="0" ref="AJ72">
      <text>
        <t xml:space="preserve">7월
렌트비 ₩750,000
임대료 ₩650,000 + 관리비 ₩100,000</t>
      </text>
    </comment>
    <comment authorId="0" ref="AK72">
      <text>
        <t xml:space="preserve">8월
렌트비 ₩750,000
임대료 ₩650,000 + 관리비 ₩100,000</t>
      </text>
    </comment>
    <comment authorId="0" ref="AL72">
      <text>
        <t xml:space="preserve">9월
렌트비 ₩750,000
임대료 ₩650,000 + 관리비 ₩100,000</t>
      </text>
    </comment>
    <comment authorId="0" ref="AM72">
      <text>
        <t xml:space="preserve">10월
렌트비 ₩475,019
임대료 ₩411,673 + 관리비 ₩63,346</t>
      </text>
    </comment>
    <comment authorId="0" ref="AN72">
      <text>
        <t xml:space="preserve">11월
렌트비 ₩475,019
임대료 ₩411,673 + 관리비 ₩63,346</t>
      </text>
    </comment>
    <comment authorId="0" ref="AO72">
      <text>
        <t xml:space="preserve">12월
렌트비 ₩475,019
임대료 ₩411,673 + 관리비 ₩63,346</t>
      </text>
    </comment>
    <comment authorId="0" ref="AN73">
      <text>
        <t xml:space="preserve">25년 11월 10일 (1/3)
결제일: 2025년 07월 21일
렌트비 ₩1,400,020 (임+관)
임대료 ₩1,200,000
관리비 ₩200,020
청소비 ₩50,000
호스트 정산 금액 ₩1,450,020
10월 60 + 10
11월 60 + 10</t>
      </text>
    </comment>
    <comment authorId="0" ref="AO73">
      <text>
        <t xml:space="preserve">11월
렌트비 ₩700,000
&gt; 임대료 ₩600,000 + 관리비 ₩100,000</t>
      </text>
    </comment>
    <comment authorId="0" ref="AP73">
      <text>
        <t xml:space="preserve">12월
렌트비 ₩210,006
&gt; 임대료 ₩180,000 + 관리비 ₩30,006</t>
      </text>
    </comment>
    <comment authorId="0" ref="AL74">
      <text>
        <t xml:space="preserve">25년 09월 10일 (1/5)
결제일: 2025년 07월 21일
렌트비 ₩1,013,340 (임+관)
임대료 ₩880,000 (8월+9월)
관리비 ₩133,340 (8월+9월)
청소비 ₩50,000
베딩비 ₩55,000
호스트 정산 금액 ₩1,118,340 
8월 22+33,340
9월 66+10</t>
      </text>
    </comment>
    <comment authorId="0" ref="AM74">
      <text>
        <t xml:space="preserve">10월
렌트비 ₩760,000
&gt; 임대료 ₩660,000 + 관리비 ₩100,000</t>
      </text>
    </comment>
    <comment authorId="0" ref="AN74">
      <text>
        <t xml:space="preserve">11월
렌트비 ₩760,000
&gt; 임대료 ₩660,000 + 관리비 ₩100,000</t>
      </text>
    </comment>
    <comment authorId="0" ref="AO74">
      <text>
        <t xml:space="preserve">12월
렌트비 ₩760,000
&gt; 임대료 ₩660,000 + 관리비 ₩100,000</t>
      </text>
    </comment>
    <comment authorId="0" ref="AP74">
      <text>
        <t xml:space="preserve">1월
렌트비 ₩228,006
&gt; 임대료 ₩198,000 + 관리비 ₩30,006</t>
      </text>
    </comment>
    <comment authorId="0" ref="AE75">
      <text>
        <t xml:space="preserve">1월 + 2월
임대료 ₩516,667
관리비 ₩103,334
청소비 ₩50,000
호스트 정산 금액
₩670,001</t>
      </text>
    </comment>
    <comment authorId="0" ref="AF75">
      <text>
        <t xml:space="preserve">3월
렌트비 ₩600,000
임대료 ₩500,000 + 관리비 ₩100,000</t>
      </text>
    </comment>
    <comment authorId="0" ref="AG75">
      <text>
        <t xml:space="preserve">4월
렌트비 ₩600,000
임대료 ₩500,000 + 관리비 ₩100,000</t>
      </text>
    </comment>
    <comment authorId="0" ref="AH75">
      <text>
        <t xml:space="preserve">5월
렌트비 ₩600,000
임대료 ₩500,000 + 관리비 ₩100,000</t>
      </text>
    </comment>
    <comment authorId="0" ref="AI75">
      <text>
        <t xml:space="preserve">렌트비 ₩600,000
임대료 ₩500,000 + 관리비 ₩100,000</t>
      </text>
    </comment>
    <comment authorId="0" ref="AJ75">
      <text>
        <t xml:space="preserve">7월
렌트비 ₩600,000
임대료 ₩500,000 + 관리비 ₩100,000</t>
      </text>
    </comment>
    <comment authorId="0" ref="AK75">
      <text>
        <t xml:space="preserve">8월
렌트비 ₩593,000
임대료 ₩500,000 + 관리비 ₩93,000</t>
      </text>
    </comment>
    <comment authorId="0" ref="AB76">
      <text>
        <t xml:space="preserve">익월 10일 정산
숙박비  1,073,344
관리비  122,672
청소비  50,000
베딩비 50,000 (10/17 엔코에 환불)
11/8 정산 1,296,016 - 베딩 5만 = 
실정산  1,246,016 
10월 월세	373,344 + 11월 70만
10월 관리비	42,672 + 11월 8만
퇴실청소비 5만 함께 정산  
베딩 5만원 &gt; 환불 
&gt; 익월 10일 정산</t>
      </text>
    </comment>
    <comment authorId="0" ref="AC76">
      <text>
        <t xml:space="preserve">렌트비 ₩7800,000
임대료 ₩700,000 + 관리비 ₩80,000</t>
      </text>
    </comment>
    <comment authorId="0" ref="AD76">
      <text>
        <t xml:space="preserve">렌트비 ₩7800,000
임대료 ₩700,000 + 관리비 ₩80,000</t>
      </text>
    </comment>
    <comment authorId="0" ref="AE76">
      <text>
        <t xml:space="preserve">렌트비 ₩780,000
임대료 ₩700,000 + 관리비 ₩80,000</t>
      </text>
    </comment>
    <comment authorId="0" ref="AF76">
      <text>
        <t xml:space="preserve">렌트비 ₩7800,000
임대료 ₩700,000 + 관리비 ₩80,000
환율차액 + 30</t>
      </text>
    </comment>
    <comment authorId="0" ref="AF77">
      <text>
        <t xml:space="preserve">25년 03월 10일 (1/6)
임대료 ₩1,088,006 (2월+3월)
관리비 ₩160,012 (2월+3월)
청소비 ₩50,000
베딩비 ₩55,000
호스트 정산 금액
₩1,353,018
2월 월세	408,006 + 관리비	60,012
(일세 22,667 / 관리비 3,334원)
3월 월세 68 + 10
</t>
      </text>
    </comment>
    <comment authorId="0" ref="AG77">
      <text>
        <t xml:space="preserve">4월분
렌트비 ₩780,000
임대료 ₩680,000 + 관리비 ₩100,000</t>
      </text>
    </comment>
    <comment authorId="0" ref="AH77">
      <text>
        <t xml:space="preserve">5월분
렌트비 ₩780,000
임대료 ₩680,000 + 관리비 ₩100,000</t>
      </text>
    </comment>
    <comment authorId="0" ref="AI77">
      <text>
        <t xml:space="preserve">6월분
렌트비 ₩780,000
임대료 ₩680,000 + 관리비 ₩100,000</t>
      </text>
    </comment>
    <comment authorId="0" ref="AJ77">
      <text>
        <t xml:space="preserve">7월분
렌트비 ₩780,000
임대료 ₩680,000 + 관리비 ₩100,000</t>
      </text>
    </comment>
    <comment authorId="0" ref="AK77">
      <text>
        <t xml:space="preserve">25년 08월 10일 (6/6)
렌트비  ₩390,015
임대료 ₩340,005 +  관리비 ₩50,010
호스트 정산 금액 ₩390,015</t>
      </text>
    </comment>
    <comment authorId="0" ref="AL78">
      <text>
        <t xml:space="preserve">25년 09월 10일 (1/3)
결제일: 2025년 07월 20일
렌트비 ₩1,000,010 (임 + 관)
임대료  ₩866,670 (8월+9월)
관리비₩133,340  (8월+9월)
청소비 ₩50,000
베딩비 ₩55,000
호스트 정산 금액 ₩1,105,010 
8월 월세	216,670 + 관리비	33,340
9월 월세 65 + 10
</t>
      </text>
    </comment>
    <comment authorId="0" ref="AM78">
      <text>
        <t xml:space="preserve">10월
렌트비 ₩750,000
임대료 ₩650,000 + 관리비 ₩100,000</t>
      </text>
    </comment>
    <comment authorId="0" ref="AN78">
      <text>
        <t xml:space="preserve">11월
렌트비 ₩475,019
임대료 ₩411,673 + 관리비 ₩63,346</t>
      </text>
    </comment>
    <comment authorId="0" ref="AO79">
      <text>
        <t xml:space="preserve">25년 12월 16일 (1/3)
결제일: 2025년 11월 2일
렌트비 ₩750,000 (임+관)
임대료 ₩650,000 
관리비 ₩100,000
청소비 ₩50,000
베딩비 ₩55,000 &gt; 취소, 1월차감예정
호스트 정산 금액  ₩855,000 
12월 월세 65+ 관리비 10</t>
      </text>
    </comment>
    <comment authorId="0" ref="AP79">
      <text>
        <t xml:space="preserve">1월 10일 입금예정 (2/3)
렌트비 ₩695,000
&gt; 임대료 ₩650,000 + 관리비 ₩45,000
&gt; 관리비에 베딩비 55,000 차감후 입금
</t>
      </text>
    </comment>
    <comment authorId="0" ref="AQ79">
      <text>
        <t xml:space="preserve">2월 19일 입금예정 (3/3)
렌트비 ₩750,000
&gt; 임대료 ₩650,000 + 관리비 ₩100,000</t>
      </text>
    </comment>
    <comment authorId="0" ref="AM80">
      <text>
        <t xml:space="preserve">25년 10월 10일 (1/6)
결제일: 2025년 08월 24일
렌트비 ₩975,020
임대료 ₩825,010   (9월+10월)
관리비 ₩150,010    (9월+10월)
청소비 ₩50,000
베딩비 ₩55,000
호스트 정산 금액  ₩1,080,020
</t>
      </text>
    </comment>
    <comment authorId="0" ref="AN80">
      <text>
        <t xml:space="preserve">11월
렌트비 ₩650,000
&gt; 임대료 ₩550,000 + 관리비 ₩100,000</t>
      </text>
    </comment>
    <comment authorId="0" ref="AO80">
      <text>
        <t xml:space="preserve">12월
렌트비 ₩650,000
&gt; 임대료 ₩550,000 + 관리비 ₩100,000</t>
      </text>
    </comment>
    <comment authorId="0" ref="AP80">
      <text>
        <t xml:space="preserve">1월
렌트비 ₩650,000
&gt; 임대료 ₩550,000 + 관리비 ₩100,000</t>
      </text>
    </comment>
    <comment authorId="0" ref="AQ80">
      <text>
        <t xml:space="preserve">2월
렌트비 ₩650,000
&gt; 임대료 ₩550,000 + 관리비 ₩100,000</t>
      </text>
    </comment>
    <comment authorId="0" ref="AR80">
      <text>
        <t xml:space="preserve">3월
렌트비 ₩650,000
&gt; 임대료 ₩550,000 + 관리비 ₩100,000</t>
      </text>
    </comment>
    <comment authorId="0" ref="AM81">
      <text>
        <t xml:space="preserve">25년 10월 10일 (1/6)
결제일: 2025년 08월 24일
렌트비 ₩975,020
임대료 ₩825,010   (9월+10월)
관리비 ₩150,010    (9월+10월)
청소비 ₩50,000
베딩비 ₩55,000
호스트 정산 금액  ₩1,080,020
</t>
      </text>
    </comment>
    <comment authorId="0" ref="AN81">
      <text>
        <t xml:space="preserve">11월
렌트비 ₩650,000
&gt; 임대료 ₩550,000 + 관리비 ₩100,000</t>
      </text>
    </comment>
    <comment authorId="0" ref="AO81">
      <text>
        <t xml:space="preserve">12월
렌트비 ₩650,000
&gt; 임대료 ₩550,000 + 관리비 ₩100,000</t>
      </text>
    </comment>
    <comment authorId="0" ref="AP81">
      <text>
        <t xml:space="preserve">1월
렌트비 ₩650,000
&gt; 임대료 ₩550,000 + 관리비 ₩100,000</t>
      </text>
    </comment>
    <comment authorId="0" ref="AQ81">
      <text>
        <t xml:space="preserve">2월
렌트비 ₩650,000
&gt; 임대료 ₩550,000 + 관리비 ₩100,000</t>
      </text>
    </comment>
    <comment authorId="0" ref="AR81">
      <text>
        <t xml:space="preserve">3월
렌트비 ₩650,000
&gt; 임대료 ₩550,000 + 관리비 ₩100,000</t>
      </text>
    </comment>
    <comment authorId="0" ref="AQ82">
      <text>
        <t xml:space="preserve">26년 03월 10일 (1/12) / 계약취소!
위약금 ₩813,737
임대료 ₩715,338+ 관리비 ₩98,399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수수료 부가세 시작</t>
      </text>
    </comment>
    <comment authorId="0" ref="F2">
      <text>
        <t xml:space="preserve">271 (신사)  F1  12/1 ~ 12/31 
269 (영동)  D    1/1 ~6/30 
보증금 200 &gt; 이승민 신협
 보증금 	 2,000,000 
 퇴실비 	-30,000 
 미입금( ) 	0 
 위약금 / 1개월분 	-674,000 
 기타 (청소미비,사진x)  	-50,000 
 환불금액 	1,246,000 
"</t>
      </text>
    </comment>
    <comment authorId="0" ref="S2">
      <text>
        <t xml:space="preserve">월세	96,000
수수료 10%	9,600
월세정산	86,400
관리비	13,000
정산합계	99,400</t>
      </text>
    </comment>
    <comment authorId="0" ref="B3">
      <text>
        <t xml:space="preserve">269호
</t>
      </text>
    </comment>
    <comment authorId="0" ref="X3">
      <text>
        <t xml:space="preserve">강다연(우주) 6.20 
월세	235,000
수수료 10%	23,500
월세정산	211,500
관리비	29,000
정산합계	240,500</t>
      </text>
    </comment>
    <comment authorId="0" ref="Y3">
      <text>
        <t xml:space="preserve">월세	640,000
수수료 10%	64,000
부가세	6,400
월세정산	569,600
관리비	80,000
정산합계	649,600</t>
      </text>
    </comment>
    <comment authorId="0" ref="Z3">
      <text>
        <t xml:space="preserve">월세	640,000
수수료 10%	64,000
부가세	6,400
월세정산	569,600
관리비	80,000
정산합계	649,600</t>
      </text>
    </comment>
    <comment authorId="0" ref="AA3">
      <text>
        <t xml:space="preserve">월세	640,000
수수료 10%	64,000
부가세	6,400
월세정산	569,600
관리비	80,000
정산합계	649,600</t>
      </text>
    </comment>
    <comment authorId="0" ref="B4">
      <text>
        <t xml:space="preserve">269호
</t>
      </text>
    </comment>
    <comment authorId="0" ref="S4">
      <text>
        <t xml:space="preserve">월세	498,000
수수료 10%	49,800
월세정산	448,200
관리비	67,000
정산합계	515,200</t>
      </text>
    </comment>
    <comment authorId="0" ref="T4">
      <text>
        <t xml:space="preserve">월세	594,000
수수료 10%	59,400
월세정산	534,600
관리비	80,000
정산합계	614,600</t>
      </text>
    </comment>
    <comment authorId="0" ref="U4">
      <text>
        <t xml:space="preserve">월세	594,000
수수료 10%	59,400
월세정산	534,600
관리비	80,000
정산합계	614,600</t>
      </text>
    </comment>
    <comment authorId="0" ref="V4">
      <text>
        <t xml:space="preserve">월세	594,000
수수료 10%	59,400
월세정산	534,600
관리비	80,000
정산합계	614,600</t>
      </text>
    </comment>
    <comment authorId="0" ref="W4">
      <text>
        <t xml:space="preserve">월세	594,000
수수료 10%	59,400
월세정산	534,600
관리비	80,000
정산합계	614,600</t>
      </text>
    </comment>
    <comment authorId="0" ref="X4">
      <text>
        <t xml:space="preserve">월세	594,000
수수료 10%	59,400
월세정산	534,600
관리비	80,000
정산합계	614,600</t>
      </text>
    </comment>
    <comment authorId="0" ref="Y4">
      <text>
        <t xml:space="preserve">월세	96,000
수수료 10%	9,600
부가세	960
월세정산	85,440
관리비	12,900
정산합계	98,340</t>
      </text>
    </comment>
    <comment authorId="0" ref="B5">
      <text>
        <t xml:space="preserve">269호
</t>
      </text>
    </comment>
    <comment authorId="0" ref="Y5">
      <text>
        <t xml:space="preserve">월세	498,000
수수료 10%	49,800
부가세	4,980
월세정산	443,220
관리비	67,100
정산합계	510,320</t>
      </text>
    </comment>
    <comment authorId="0" ref="Z5">
      <text>
        <t xml:space="preserve">월세	594,000
수수료 10%	59,400
부가세	5,940
월세정산	528,660
관리비	80,000
정산합계	608,660</t>
      </text>
    </comment>
    <comment authorId="0" ref="AA5">
      <text>
        <t xml:space="preserve">월세	594,000
수수료 10%	59,400
부가세	5,940
월세정산	528,660
관리비	80,000
정산합계	608,660</t>
      </text>
    </comment>
    <comment authorId="0" ref="AB5">
      <text>
        <t xml:space="preserve">월세	594,000
수수료 10%	59,400
부가세	5,940
월세정산	528,660
관리비	80,000
정산합계	608,660</t>
      </text>
    </comment>
    <comment authorId="0" ref="AC5">
      <text>
        <t xml:space="preserve">월세	594,000
수수료 10%	59,400
부가세	5,940
월세정산	528,660
관리비	80,000
정산합계	608,660</t>
      </text>
    </comment>
    <comment authorId="0" ref="AD5">
      <text>
        <t xml:space="preserve">월세	594,000
수수료 10%	59,400
부가세	5,940
월세정산	528,660
관리비	80,000
정산합계	608,660</t>
      </text>
    </comment>
    <comment authorId="0" ref="AE5">
      <text>
        <t xml:space="preserve">월세	594,000
수수료 10%	59,400
부가세	5,940
월세정산	528,660
관리비	80,000
정산합계	608,660</t>
      </text>
    </comment>
    <comment authorId="0" ref="B6">
      <text>
        <t xml:space="preserve">269호
</t>
      </text>
    </comment>
    <comment authorId="0" ref="F6">
      <text>
        <t xml:space="preserve">전입신고, 1년계약</t>
      </text>
    </comment>
    <comment authorId="0" ref="O6">
      <text>
        <t xml:space="preserve">월세	528,000
수수료 10%	52,800
월세정산	475,200
관리비	80,000
정산합계	555,200</t>
      </text>
    </comment>
    <comment authorId="0" ref="P6">
      <text>
        <t xml:space="preserve">월세	528,000
수수료 10%	52,800
월세정산	475,200
관리비	80,000
정산합계	555,200</t>
      </text>
    </comment>
    <comment authorId="0" ref="Q6">
      <text>
        <t xml:space="preserve">월세	528,000
수수료 10%	52,800
월세정산	475,200
관리비	80,000
정산합계	555,200</t>
      </text>
    </comment>
    <comment authorId="0" ref="S6">
      <text>
        <t xml:space="preserve">월세	528,000
수수료 10%	52,800
월세정산	475,200
관리비	80,000
정산합계	555,200</t>
      </text>
    </comment>
    <comment authorId="0" ref="T6">
      <text>
        <t xml:space="preserve">월세	528,000
수수료 10%	52,800
월세정산	475,200
관리비	80,000
정산합계	555,200</t>
      </text>
    </comment>
    <comment authorId="0" ref="U6">
      <text>
        <t xml:space="preserve">월세	528,000
수수료 10%	52,800
월세정산	475,200
관리비	80,000
정산합계	555,200</t>
      </text>
    </comment>
    <comment authorId="0" ref="V6">
      <text>
        <t xml:space="preserve">월세	528,000
수수료 10%	52,800
월세정산	475,200
관리비	80,000
정산합계	555,200</t>
      </text>
    </comment>
    <comment authorId="0" ref="W6">
      <text>
        <t xml:space="preserve">월세	528,000
수수료 10%	52,800
월세정산	475,200
관리비	80,000
정산합계	555,200</t>
      </text>
    </comment>
    <comment authorId="0" ref="X6">
      <text>
        <t xml:space="preserve">월세	528,000
수수료 10%	52,800
월세정산	475,200
관리비	80,000
정산합계	555,200</t>
      </text>
    </comment>
    <comment authorId="0" ref="Y6">
      <text>
        <t xml:space="preserve">월세	528,000
수수료 10%	52,800
부가세	5,280
월세정산	469,920
관리비	80,000
정산합계	549,920</t>
      </text>
    </comment>
    <comment authorId="0" ref="Z6">
      <text>
        <t xml:space="preserve">월세	528,000
수수료 10%	52,800
부가세	5,280
월세정산	469,920
관리비	80,000
정산합계	549,920</t>
      </text>
    </comment>
    <comment authorId="0" ref="AA6">
      <text>
        <t xml:space="preserve">월세	528,000
수수료 10%	52,800
부가세	5,280
월세정산	469,920
관리비	80,000
정산합계	549,920</t>
      </text>
    </comment>
    <comment authorId="0" ref="B7">
      <text>
        <t xml:space="preserve">269호
</t>
      </text>
    </comment>
    <comment authorId="0" ref="W7">
      <text>
        <t xml:space="preserve">월세	96,000
수수료 10%	9,600
월세정산	86,400
관리비	13,000
정산합계	99,400</t>
      </text>
    </comment>
    <comment authorId="0" ref="X7">
      <text>
        <t xml:space="preserve">월세	595,000
수수료 10%	59,500
월세정산	535,500
관리비	80,000
정산합계	615,500</t>
      </text>
    </comment>
    <comment authorId="0" ref="Y7">
      <text>
        <t xml:space="preserve">월세	595,000
수수료 10%	59,500
부가세	5,950
월세정산	529,550
관리비	80,000
정산합계	609,550</t>
      </text>
    </comment>
    <comment authorId="0" ref="Z7">
      <text>
        <t xml:space="preserve">월세	595,000
수수료 10%	59,500
부가세	5,950
월세정산	529,550
관리비	80,000
정산합계	609,550</t>
      </text>
    </comment>
    <comment authorId="0" ref="AA7">
      <text>
        <t xml:space="preserve">월세	595,000
수수료 10%	59,500
부가세	5,950
월세정산	529,550
관리비	80,000
정산합계	609,550</t>
      </text>
    </comment>
    <comment authorId="0" ref="AB7">
      <text>
        <t xml:space="preserve">월세	595,000
수수료 10%	59,500
부가세	5,950
월세정산	529,550
관리비	80,000
정산합계	609,550</t>
      </text>
    </comment>
    <comment authorId="0" ref="AC7">
      <text>
        <t xml:space="preserve">월세	595,000
수수료 10%	59,500
부가세	5,950
월세정산	529,550
관리비	80,000
정산합계	609,550</t>
      </text>
    </comment>
    <comment authorId="0" ref="B8">
      <text>
        <t xml:space="preserve">269호
</t>
      </text>
    </comment>
    <comment authorId="0" ref="S8">
      <text>
        <t xml:space="preserve">월세	17,000
수수료 10%	1,700
월세정산	15,300
관리비	2,600
정산합계	17,900</t>
      </text>
    </comment>
    <comment authorId="0" ref="T8">
      <text>
        <t xml:space="preserve">월세	528,000
수수료 10%	52,800
월세정산	475,200
관리비	80,000 &gt; 우주 2600 오류
정산합계	555,200
&gt;관리비	80,000 - 우주 2600 = 77400  
&gt; 4월 추가정산 예정! </t>
      </text>
    </comment>
    <comment authorId="0" ref="U8">
      <text>
        <t xml:space="preserve">월세	528,000
수수료 10%	52,800
월세정산	475,200
관리비	80,000
정산합계	555,200</t>
      </text>
    </comment>
    <comment authorId="0" ref="V8">
      <text>
        <t xml:space="preserve">월세	528,000
수수료 10%	52,800
월세정산	475,200
관리비	80,000
정산합계	555,200</t>
      </text>
    </comment>
    <comment authorId="0" ref="W8">
      <text>
        <t xml:space="preserve">월세	528,000
수수료 10%	52,800
월세정산	475,200
관리비	80,000
정산합계	555,200</t>
      </text>
    </comment>
    <comment authorId="0" ref="X8">
      <text>
        <t xml:space="preserve">월세	528,000
수수료 10%	52,800
월세정산	475,200
관리비	80,000
정산합계	555,200</t>
      </text>
    </comment>
    <comment authorId="0" ref="Y8">
      <text>
        <t xml:space="preserve">월세	528,000
수수료 10%	52,800
부가세	5,280
월세정산	469,920
관리비	80,000
정산합계	549,920</t>
      </text>
    </comment>
    <comment authorId="0" ref="F9">
      <text>
        <t xml:space="preserve">271 (신사)  F1  12/1 ~ 12/31 
269 (영동)  D    1/1 ~6/30 
보증금 200 &gt; 이승민 신협</t>
      </text>
    </comment>
    <comment authorId="0" ref="Q9">
      <text>
        <t xml:space="preserve">월세	638,000 &gt; 우주 668,000
수수료 10%	66,800
월세정산	601,200
관리비	80,000
정산합계	681,200</t>
      </text>
    </comment>
    <comment authorId="0" ref="B10">
      <text>
        <t xml:space="preserve">271호</t>
      </text>
    </comment>
    <comment authorId="0" ref="I10">
      <text>
        <t xml:space="preserve">11/3 유재훈 카카오 입금</t>
      </text>
    </comment>
    <comment authorId="0" ref="O10">
      <text>
        <t xml:space="preserve">월세	474,000
수수료 10%	47,400
월세정산	426,600
관리비	57,000
정산합계	483,600</t>
      </text>
    </comment>
    <comment authorId="0" ref="P10">
      <text>
        <t xml:space="preserve">중도퇴실 10.29
위약금 668,000*2달 = 1,336,000
보증금 200만 
환불금액  664,000</t>
      </text>
    </comment>
    <comment authorId="0" ref="B11">
      <text>
        <t xml:space="preserve">271호</t>
      </text>
    </comment>
    <comment authorId="0" ref="I11">
      <text>
        <t xml:space="preserve">우리측 전달없이
우주에서 바로 계약후 입주
보증금도 우주가 받음, 
퇴실시 보증금 정산 우주가 처리</t>
      </text>
    </comment>
    <comment authorId="0" ref="N11">
      <text>
        <t xml:space="preserve">월세	572,000
수수료	57,200
월세정산	514,800
관리비	80,000
정산합계	594,800
10월 5일 법인통장 입금</t>
      </text>
    </comment>
    <comment authorId="0" ref="O11">
      <text>
        <t xml:space="preserve">월세	572,000
수수료	57,200
월세정산	514,800
관리비	80,000
정산합계	594,800</t>
      </text>
    </comment>
    <comment authorId="0" ref="P11">
      <text>
        <t xml:space="preserve">월세	572,000
수수료	57,200
월세정산	514,800
관리비	80,000
정산합계	594,800</t>
      </text>
    </comment>
    <comment authorId="0" ref="B12">
      <text>
        <t xml:space="preserve">271호</t>
      </text>
    </comment>
    <comment authorId="0" ref="I12">
      <text>
        <t xml:space="preserve">우리측 전달없이
우주에서 바로 계약후 입주
보증금도 우주가 받음, 
퇴실시 보증금 정산 우주가 처리</t>
      </text>
    </comment>
    <comment authorId="0" ref="P12">
      <text>
        <t xml:space="preserve">우주에서 환불
중도퇴실 11/30 
위약금 	(572,000 + 8만) * 2 달 + 퇴실비 3만  = 1,334,000 
우주에서 입금 받음</t>
      </text>
    </comment>
    <comment authorId="0" ref="B13">
      <text>
        <t xml:space="preserve">271호</t>
      </text>
    </comment>
    <comment authorId="0" ref="U13">
      <text>
        <t xml:space="preserve">월세	443,000
수수료 10%	44,300
월세정산	398,700
관리비	62,000
정산합계	460,700</t>
      </text>
    </comment>
    <comment authorId="0" ref="V13">
      <text>
        <t xml:space="preserve">월세	572,000
수수료 10%	57,200
월세정산	514,800
관리비	80,000
정산합계	594,800</t>
      </text>
    </comment>
    <comment authorId="0" ref="W13">
      <text>
        <t xml:space="preserve">월세	572,000
수수료 10%	57,200
월세정산	514,800
관리비	80,000
정산합계	594,800</t>
      </text>
    </comment>
    <comment authorId="0" ref="X13">
      <text>
        <t xml:space="preserve">월세	572,000
수수료 10%	57,200
월세정산	514,800
관리비	80,000
정산합계	594,800</t>
      </text>
    </comment>
    <comment authorId="0" ref="B14">
      <text>
        <t xml:space="preserve">271호</t>
      </text>
    </comment>
    <comment authorId="0" ref="Y14">
      <text>
        <t xml:space="preserve">월세	21,000
수수료 10%	2,100
부가세	210
월세정산	18,690
관리비	2,600
정산합계	21,290</t>
      </text>
    </comment>
    <comment authorId="0" ref="Z14">
      <text>
        <t xml:space="preserve">월세	660,000
수수료 10%	66,000
부가세	6,600
월세정산	587,400
관리비	80,000
정산합계	667,400</t>
      </text>
    </comment>
    <comment authorId="0" ref="AA14">
      <text>
        <t xml:space="preserve">월세	660,000
수수료 10%	66,000
부가세	6,600
월세정산	587,400
관리비	80,000
정산합계	667,400</t>
      </text>
    </comment>
    <comment authorId="0" ref="AB14">
      <text>
        <t xml:space="preserve">월세	660,000
수수료 10%	66,000
부가세	6,600
월세정산	587,400
관리비	80,000
정산합계	667,400</t>
      </text>
    </comment>
    <comment authorId="0" ref="AC14">
      <text>
        <t xml:space="preserve">월세	660,000
수수료 10%	66,000
부가세	6,600
월세정산	587,400
관리비	80,000
정산합계	667,400</t>
      </text>
    </comment>
    <comment authorId="0" ref="AD14">
      <text>
        <t xml:space="preserve">월세	660,000
수수료 10%	66,000
부가세	6,600
월세정산	587,400
관리비	80,000
정산합계	667,400</t>
      </text>
    </comment>
    <comment authorId="0" ref="AE14">
      <text>
        <t xml:space="preserve">월세	660,000
수수료 10%	66,000
부가세	6,600
월세정산	587,400
관리비	80,000
정산합계	667,400</t>
      </text>
    </comment>
    <comment authorId="0" ref="B15">
      <text>
        <t xml:space="preserve">271호</t>
      </text>
    </comment>
    <comment authorId="0" ref="S15">
      <text>
        <t xml:space="preserve">월세	62,000
수수료 10%	6,200
월세정산	55,800
관리비	7,700
정산합계	63,500</t>
      </text>
    </comment>
    <comment authorId="0" ref="T15">
      <text>
        <t xml:space="preserve">월세	638,000
수수료 10%	63,800
월세정산	574,200
관리비	80,000
정산합계	654,200</t>
      </text>
    </comment>
    <comment authorId="0" ref="U15">
      <text>
        <t xml:space="preserve">월세	638,000
수수료 10%	63,800
월세정산	574,200
관리비	80,000
정산합계	654,200</t>
      </text>
    </comment>
    <comment authorId="0" ref="V15">
      <text>
        <t xml:space="preserve">월세	638,000
수수료 10%	63,800
월세정산	574,200
관리비	80,000
정산합계	654,200</t>
      </text>
    </comment>
    <comment authorId="0" ref="W15">
      <text>
        <t xml:space="preserve">월세	638,000
수수료 10%	63,800
월세정산	574,200
관리비	80,000
정산합계	654,200</t>
      </text>
    </comment>
    <comment authorId="0" ref="X15">
      <text>
        <t xml:space="preserve">월세	638,000
수수료 10%	63,800
월세정산	574,200
관리비	80,000
정산합계	654,200</t>
      </text>
    </comment>
    <comment authorId="0" ref="Y15">
      <text>
        <t xml:space="preserve">월세	638,000
수수료 10%	63,800
부가세	6,380
월세정산	567,820
관리비	80,000
정산합계	647,820</t>
      </text>
    </comment>
    <comment authorId="0" ref="Z15">
      <text>
        <t xml:space="preserve">월세	638,000
수수료 10%	63,800
부가세	6,380
월세정산	567,820
관리비	80,000
정산합계	647,820</t>
      </text>
    </comment>
    <comment authorId="0" ref="AA15">
      <text>
        <t xml:space="preserve">월세	638,000
수수료 10%	63,800
부가세	6,380
월세정산	567,820
관리비	80,000
정산합계	647,820</t>
      </text>
    </comment>
    <comment authorId="0" ref="AB15">
      <text>
        <t xml:space="preserve">월세	638,000
수수료 10%	63,800
부가세	6,380
월세정산	567,820
관리비	80,000
정산합계	647,820</t>
      </text>
    </comment>
    <comment authorId="0" ref="AC15">
      <text>
        <t xml:space="preserve">월세	638,000
수수료 10%	63,800
부가세	6,380
월세정산	567,820
관리비	80,000
정산합계	647,820</t>
      </text>
    </comment>
    <comment authorId="0" ref="AD15">
      <text>
        <t xml:space="preserve">월세	638,000
수수료 10%	63,800
부가세	6,380
월세정산	567,820
관리비	80,000
정산합계	647,820</t>
      </text>
    </comment>
    <comment authorId="0" ref="AE15">
      <text>
        <t xml:space="preserve">월세	638,000
수수료 10%	63,800
부가세	6,380
월세정산	567,820
관리비	80,000
정산합계	647,820</t>
      </text>
    </comment>
    <comment authorId="0" ref="B16">
      <text>
        <t xml:space="preserve">272호</t>
      </text>
    </comment>
    <comment authorId="0" ref="F16">
      <text>
        <t xml:space="preserve">12/22 대현이동
우주와 계약종료
우리와 재계약</t>
      </text>
    </comment>
    <comment authorId="0" ref="O16">
      <text>
        <t xml:space="preserve">월세	535,000
수수료 10%	53,500
월세정산	481,500
관리비	74,900 &gt; 75,000
정산합계	556,500</t>
      </text>
    </comment>
    <comment authorId="0" ref="P16">
      <text>
        <t xml:space="preserve">월세	572,000
수수료 10%	57,200
월세정산	514,800
관리비	80,000
정산합계	594,800</t>
      </text>
    </comment>
    <comment authorId="0" ref="Q16">
      <text>
        <t xml:space="preserve">월세	406,000
수수료 10%	40,600
월세정산	365,400
관리비	56,774 &gt; 우주 8만 계산됨
정산합계	422,174
조기퇴실 166,000 우주에서 더 입금!</t>
      </text>
    </comment>
    <comment authorId="0" ref="B17">
      <text>
        <t xml:space="preserve">271호</t>
      </text>
    </comment>
    <comment authorId="0" ref="Q18">
      <text>
        <t xml:space="preserve">월세	383,000
수수료 10%	38,300
월세정산	344,700
관리비	69,700 &gt; 우주 7만
정산합계	414,700</t>
      </text>
    </comment>
    <comment authorId="0" ref="S18">
      <text>
        <t xml:space="preserve">월세	440,000
수수료 10%	44,000
월세정산	396,000
관리비	80,000
정산합계	476,000</t>
      </text>
    </comment>
    <comment authorId="0" ref="T18">
      <text>
        <t xml:space="preserve">월세	440,000
수수료 10%	44,000
월세정산	396,000
관리비	80,000
정산합계	476,000</t>
      </text>
    </comment>
    <comment authorId="0" ref="U18">
      <text>
        <t xml:space="preserve">월세	440,000
수수료 10%	44,000
월세정산	396,000
관리비	80,000
정산합계	476,000</t>
      </text>
    </comment>
    <comment authorId="0" ref="V18">
      <text>
        <t xml:space="preserve">월세	440,000
수수료 10%	44,000
월세정산	396,000
관리비	80,000
정산합계	476,000</t>
      </text>
    </comment>
    <comment authorId="0" ref="W18">
      <text>
        <t xml:space="preserve">월세	440,000
수수료 10%	44,000
월세정산	396,000
관리비	80,000
정산합계	476,000</t>
      </text>
    </comment>
    <comment authorId="0" ref="X18">
      <text>
        <t xml:space="preserve">월세	59,000
수수료 10%	5,900
월세정산	53,100
관리비	11,000
정산합계	64,100</t>
      </text>
    </comment>
    <comment authorId="0" ref="Q19">
      <text>
        <t xml:space="preserve">월세	14,000
수수료 10%	1,400
월세정산	12,600
관리비	2,600 &gt; 우주 3,000
정산합계	15,600</t>
      </text>
    </comment>
    <comment authorId="0" ref="S19">
      <text>
        <t xml:space="preserve">월세	440,000
수수료 10%	44,000
월세정산	396,000
관리비	80,000
정산합계	476,000</t>
      </text>
    </comment>
    <comment authorId="0" ref="T19">
      <text>
        <t xml:space="preserve">월세	440,000
수수료 10%	44,000
월세정산	396,000
관리비	80,000
정산합계	476,000</t>
      </text>
    </comment>
    <comment authorId="0" ref="U20">
      <text>
        <t xml:space="preserve">월세	421,000
수수료 10%	42,100
월세정산	378,900
관리비	75,000
정산합계	453,900</t>
      </text>
    </comment>
    <comment authorId="0" ref="V20">
      <text>
        <t xml:space="preserve">월세	450,000
수수료 10%	45,000
월세정산	405,000
관리비	80,000
정산합계	485,000</t>
      </text>
    </comment>
    <comment authorId="0" ref="W20">
      <text>
        <t xml:space="preserve">월세	450,000
수수료 10%	45,000
월세정산	405,000
관리비	80,000
정산합계	485,000</t>
      </text>
    </comment>
    <comment authorId="0" ref="X20">
      <text>
        <t xml:space="preserve">월세	450,000
수수료 10%	45,000
월세정산	405,000
관리비	80,000
정산합계	485,000</t>
      </text>
    </comment>
    <comment authorId="0" ref="Y20">
      <text>
        <t xml:space="preserve">월세	450,000
수수료 10%	45,000
부가세	4,500
월세정산	400,500
관리비	80,000
정산합계	480,500</t>
      </text>
    </comment>
    <comment authorId="0" ref="Z20">
      <text>
        <t xml:space="preserve">월세	363,000
수수료 10%	36,300
부가세	3,630
월세정산	323,070
관리비	64,500
정산합계	387,570</t>
      </text>
    </comment>
    <comment authorId="0" ref="B21">
      <text>
        <t xml:space="preserve">281호</t>
      </text>
    </comment>
    <comment authorId="0" ref="P21">
      <text>
        <t xml:space="preserve">월세	396,000
수수료 10%	39,600
월세정산	356,400
관리비	72,000
정산합계	428,400</t>
      </text>
    </comment>
    <comment authorId="0" ref="Q21">
      <text>
        <t xml:space="preserve">월세	440,000
수수료 10%	44,000
월세정산	396,000
관리비	80,000
정산합계	476,000</t>
      </text>
    </comment>
    <comment authorId="0" ref="S21">
      <text>
        <t xml:space="preserve">월세	440,000
수수료 10%	44,000
월세정산	396,000
관리비	80,000
정산합계	476,000</t>
      </text>
    </comment>
    <comment authorId="0" ref="T21">
      <text>
        <t xml:space="preserve">월세	440,000
수수료 10%	44,000
월세정산	396,000
관리비	80,000
정산합계	476,000</t>
      </text>
    </comment>
    <comment authorId="0" ref="U21">
      <text>
        <t xml:space="preserve">월세	440,000
수수료 10%	44,000
월세정산	396,000
관리비	80,000
정산합계	476,000</t>
      </text>
    </comment>
    <comment authorId="0" ref="V21">
      <text>
        <t xml:space="preserve">월세	440,000
수수료 10%	44,000
월세정산	396,000
관리비	80,000
정산합계	476,000</t>
      </text>
    </comment>
    <comment authorId="0" ref="W21">
      <text>
        <t xml:space="preserve">월세	440,000
수수료 10%	44,000
월세정산	396,000
관리비	80,000
정산합계	476,000</t>
      </text>
    </comment>
    <comment authorId="0" ref="X21">
      <text>
        <t xml:space="preserve">월세	440,000
수수료 10%	44,000
월세정산	396,000
관리비	80,000
정산합계	476,000</t>
      </text>
    </comment>
    <comment authorId="0" ref="Y21">
      <text>
        <t xml:space="preserve">월세	440,000
수수료 10%	44,000
부가세	4,400
월세정산	391,600
관리비	80,000
정산합계	471,600</t>
      </text>
    </comment>
    <comment authorId="0" ref="Z21">
      <text>
        <t xml:space="preserve">월세	440,000
수수료 10%	44,000
부가세	4,400
월세정산	391,600
관리비	80,000
정산합계	471,600</t>
      </text>
    </comment>
    <comment authorId="0" ref="AA21">
      <text>
        <t xml:space="preserve">월세	440,000
수수료 10%	44,000
부가세	4,400
월세정산	391,600
관리비	80,000
정산합계	471,600</t>
      </text>
    </comment>
    <comment authorId="0" ref="AB21">
      <text>
        <t xml:space="preserve">월세	440,000
수수료 10%	44,000
부가세	4,400
월세정산	391,600
관리비	80,000
정산합계	471,600</t>
      </text>
    </comment>
    <comment authorId="0" ref="AC21">
      <text>
        <t xml:space="preserve">월세	440,000
수수료 10%	44,000
부가세	4,400
월세정산	391,600
관리비	80,000
정산합계	471,600</t>
      </text>
    </comment>
    <comment authorId="0" ref="AD21">
      <text>
        <t xml:space="preserve">월세	440,000
수수료 10%	44,000
부가세	4,400
월세정산	391,600
관리비	80,000
정산합계	471,600</t>
      </text>
    </comment>
    <comment authorId="0" ref="AE21">
      <text>
        <t xml:space="preserve">월세	440,000
수수료 10%	44,000
부가세	4,400
월세정산	391,600
관리비	80,000
정산합계	471,600</t>
      </text>
    </comment>
    <comment authorId="0" ref="AF21">
      <text>
        <t xml:space="preserve">월세	440,000
수수료 10%	44,000
부가세	4,400
월세정산	391,600
관리비	80,000
정산합계	471,600</t>
      </text>
    </comment>
    <comment authorId="0" ref="B22">
      <text>
        <t xml:space="preserve">283호</t>
      </text>
    </comment>
    <comment authorId="0" ref="U22">
      <text>
        <t xml:space="preserve">월세	58,000
수수료 10%	5,800
월세정산	52,200
관리비	10,000
정산합계	62,200</t>
      </text>
    </comment>
    <comment authorId="0" ref="V22">
      <text>
        <t xml:space="preserve">월세	450,000
수수료 10%	45,000
월세정산	405,000
관리비	80,000
정산합계	485,000</t>
      </text>
    </comment>
    <comment authorId="0" ref="W22">
      <text>
        <t xml:space="preserve">월세	450,000
수수료 10%	45,000
월세정산	405,000
관리비	80,000
정산합계	485,000</t>
      </text>
    </comment>
    <comment authorId="0" ref="X22">
      <text>
        <t xml:space="preserve">월세	420,000
수수료 10%	42,000
월세정산	378,000
관리비	75,000
정산합계	453,000</t>
      </text>
    </comment>
    <comment authorId="0" ref="B23">
      <text>
        <t xml:space="preserve">283호</t>
      </text>
    </comment>
    <comment authorId="0" ref="V23">
      <text>
        <t xml:space="preserve">월세	368,000
수수료 10%	36,800
월세정산	331,200
관리비	67,000
정산합계	398,200</t>
      </text>
    </comment>
    <comment authorId="0" ref="W23">
      <text>
        <t xml:space="preserve">월세	442,000
수수료 10%	44,200
월세정산	397,800
관리비	80,000
정산합계	477,800</t>
      </text>
    </comment>
    <comment authorId="0" ref="X23">
      <text>
        <t xml:space="preserve">월세	442,000
수수료 10%	44,200
월세정산	397,800
관리비	80,000
정산합계	477,800</t>
      </text>
    </comment>
    <comment authorId="0" ref="Y23">
      <text>
        <t xml:space="preserve">월세	442,000
수수료 10%	44,200
부가세	4,420
월세정산	393,380
관리비	80,000
정산합계	473,380</t>
      </text>
    </comment>
    <comment authorId="0" ref="Z23">
      <text>
        <t xml:space="preserve">월세	442,000
수수료 10%	44,200
부가세	4,420
월세정산	393,380
관리비	80,000
정산합계	473,380</t>
      </text>
    </comment>
    <comment authorId="0" ref="AA23">
      <text>
        <t xml:space="preserve">월세	442,000
수수료 10%	44,200
부가세	4,420
월세정산	393,380
관리비	80,000
정산합계	473,380</t>
      </text>
    </comment>
    <comment authorId="0" ref="AB23">
      <text>
        <t xml:space="preserve">월세	71,000
수수료 10%	7,100
부가세	710
월세정산	63,190
관리비	12,900
정산합계	76,090</t>
      </text>
    </comment>
    <comment authorId="0" ref="B24">
      <text>
        <t xml:space="preserve">276호</t>
      </text>
    </comment>
    <comment authorId="0" ref="N24">
      <text>
        <t xml:space="preserve">월세	262,000
수수료 10%	26,200
월세정산	235,800
관리비	43,000
정산합계	278,800
10월 5일 법인통장 입금</t>
      </text>
    </comment>
    <comment authorId="0" ref="O24">
      <text>
        <t xml:space="preserve">월세	492,000
수수료 10%	49,200
월세정산	442,800
관리비	80,000
정산합계	522,800</t>
      </text>
    </comment>
    <comment authorId="0" ref="P24">
      <text>
        <t xml:space="preserve">월세	492,000
수수료 10%	49,200
월세정산	442,800
관리비	80,000
정산합계	522,800</t>
      </text>
    </comment>
    <comment authorId="0" ref="Q24">
      <text>
        <t xml:space="preserve">월세	492,000
수수료 10%	49,200
월세정산	442,800
관리비	80,000
정산합계	522,800</t>
      </text>
    </comment>
    <comment authorId="0" ref="AA25">
      <text>
        <t xml:space="preserve">월세	400,000
수수료 10%	40,000
부가세	4,000
월세정산	356,000
관리비	80,000
정산합계	436,000</t>
      </text>
    </comment>
    <comment authorId="0" ref="AB25">
      <text>
        <t xml:space="preserve">월세	400,000
수수료 10%	40,000
부가세	4,000
월세정산	356,000
관리비	80,000
정산합계	436,000</t>
      </text>
    </comment>
    <comment authorId="0" ref="AC25">
      <text>
        <t xml:space="preserve">월세	400,000
수수료 10%	40,000
부가세	4,000
월세정산	356,000
관리비	80,000
정산합계	436,000</t>
      </text>
    </comment>
    <comment authorId="0" ref="AD25">
      <text>
        <t xml:space="preserve">월세	400,000
수수료 10%	40,000
부가세	4,000
월세정산	356,000
관리비	80,000
정산합계	436,000</t>
      </text>
    </comment>
    <comment authorId="0" ref="AE25">
      <text>
        <t xml:space="preserve">월세	400,000
수수료 10%	40,000
부가세	4,000
월세정산	356,000
관리비	80,000
정산합계	436,000</t>
      </text>
    </comment>
    <comment authorId="0" ref="AF25">
      <text>
        <t xml:space="preserve">월세	400,000
수수료 10%	40,000
부가세	4,000
월세정산	356,000
관리비	80,000
정산합계	436,000</t>
      </text>
    </comment>
    <comment authorId="0" ref="AA26">
      <text>
        <t xml:space="preserve">월세	672,000
수수료 10%	67,200
부가세	6,720
월세정산	598,080
관리비	80,000
정산합계	678,080</t>
      </text>
    </comment>
    <comment authorId="0" ref="AB26">
      <text>
        <t xml:space="preserve">월세	672,000
수수료 10%	67,200
부가세	6,720
월세정산	598,080
관리비	80,000
정산합계	678,080</t>
      </text>
    </comment>
    <comment authorId="0" ref="AC26">
      <text>
        <t xml:space="preserve">월세	672,000
수수료 10%	67,200
부가세	6,720
월세정산	598,080
관리비	80,000
정산합계	678,080</t>
      </text>
    </comment>
    <comment authorId="0" ref="AD26">
      <text>
        <t xml:space="preserve">월세	672,000
수수료 10%	67,200
부가세	6,720
월세정산	598,080
관리비	80,000
정산합계	678,080</t>
      </text>
    </comment>
    <comment authorId="0" ref="Z27">
      <text>
        <t xml:space="preserve">월세	185,000
수수료 10%	18,500
부가세	1,850
월세정산	164,650
관리비	25,800
정산합계	190,450</t>
      </text>
    </comment>
    <comment authorId="0" ref="AA27">
      <text>
        <t xml:space="preserve">월세	572,000
수수료 10%	57,200
부가세	5,720
월세정산	509,080
관리비	80,000
정산합계	589,080</t>
      </text>
    </comment>
    <comment authorId="0" ref="F28">
      <text>
        <t xml:space="preserve">24.9~25.2 계약 연장</t>
      </text>
    </comment>
    <comment authorId="0" ref="U28">
      <text>
        <t xml:space="preserve">월세	430,000
수수료 10%	43,000
월세정산	387,000
관리비	80,000
정산합계	467,000</t>
      </text>
    </comment>
    <comment authorId="0" ref="V28">
      <text>
        <t xml:space="preserve">월세	430,000
수수료 10%	43,000
월세정산	387,000
관리비	80,000
정산합계	467,000</t>
      </text>
    </comment>
    <comment authorId="0" ref="W28">
      <text>
        <t xml:space="preserve">월세	430,000
수수료 10%	43,000
월세정산	387,000
관리비	80,000
정산합계	467,000</t>
      </text>
    </comment>
    <comment authorId="0" ref="X28">
      <text>
        <t xml:space="preserve">월세	430,000
수수료 10%	43,000
월세정산	387,000
관리비	80,000
정산합계	467,000</t>
      </text>
    </comment>
    <comment authorId="0" ref="Y28">
      <text>
        <t xml:space="preserve">월세	430,000
수수료 10%	43,000
부가세	4,300
월세정산	382,700
관리비	80,000
정산합계	462,700</t>
      </text>
    </comment>
    <comment authorId="0" ref="Z28">
      <text>
        <t xml:space="preserve">월세	430,000
수수료 10%	43,000
부가세	4,300
월세정산	382,700
관리비	80,000
정산합계	462,700</t>
      </text>
    </comment>
    <comment authorId="0" ref="AA28">
      <text>
        <t xml:space="preserve">월세	430,000
수수료 10%	43,000
부가세	4,300
월세정산	382,700
관리비	80,000
정산합계	462,700</t>
      </text>
    </comment>
    <comment authorId="0" ref="AB28">
      <text>
        <t xml:space="preserve">월세	430,000
수수료 10%	43,000
부가세	4,300
월세정산	382,700
관리비	80,000
정산합계	462,700</t>
      </text>
    </comment>
    <comment authorId="0" ref="AC28">
      <text>
        <t xml:space="preserve">월세	430,000
수수료 10%	43,000
부가세	4,300
월세정산	382,700
관리비	80,000
정산합계	462,700</t>
      </text>
    </comment>
    <comment authorId="0" ref="AD28">
      <text>
        <t xml:space="preserve">월세	430,000
수수료 10%	43,000
부가세	4,300
월세정산	382,700
관리비	80,000
정산합계	462,700</t>
      </text>
    </comment>
    <comment authorId="0" ref="AE28">
      <text>
        <t xml:space="preserve">월세	430,000
수수료 10%	43,000
부가세	4,300
월세정산	382,700
관리비	80,000
정산합계	462,700</t>
      </text>
    </comment>
    <comment authorId="0" ref="AF28">
      <text>
        <t xml:space="preserve">월세	430,000
수수료 10%	43,000
부가세	4,300
월세정산	382,700
관리비	80,000
정산합계	462,700</t>
      </text>
    </comment>
    <comment authorId="0" ref="N30">
      <text>
        <t xml:space="preserve">입금내역 
10/5 278,800
10/5 594,800
--------------------------
합   873,600
</t>
      </text>
    </comment>
    <comment authorId="0" ref="O30">
      <text>
        <t xml:space="preserve">입금내역 
11/2 522,800
11/2 556,500
11/2 1,078,400
11/9 555,200
--------------------------
합 2,712,900
</t>
      </text>
    </comment>
    <comment authorId="0" ref="P30">
      <text>
        <t xml:space="preserve">입금내역 
12/4 1,928,800
12/4 522,800
--------------------------
합 2,451,600
</t>
      </text>
    </comment>
    <comment authorId="0" ref="Q30">
      <text>
        <t xml:space="preserve">입금내역 
1/4 681,200
1/4 522,800
--------------------------
합 1,204,000
</t>
      </text>
    </comment>
    <comment authorId="0" ref="S30">
      <text>
        <t xml:space="preserve">입금내역 
2/5 63,500 &gt; 신사 271호
--------------------------
합 63,500
</t>
      </text>
    </comment>
    <comment authorId="0" ref="T30">
      <text>
        <t xml:space="preserve">입금내역 
3/5 581,900 
3/11 72,300 
합 654,200 &gt;  271호 신사
--------------------------
합 654,200 
270호 반포
&gt;관리비	80,000 - 우주 2600 = 77400  
&gt; 4월 추가정산 예정! 
</t>
      </text>
    </comment>
    <comment authorId="0" ref="U30">
      <text>
        <t xml:space="preserve">2월 + 3월
270호 반포
&gt;관리비	80,000 - 우주 2600 = 77400  * 2 번 = 154,400
&gt; 4월5일 추가정산  
3월 271호 
월세	638,000
수수료 10%	63,800 
월세정산	574,200
관리비	80,000  &gt;  7,700으로 오정산
정산합계	654,200
</t>
      </text>
    </comment>
    <comment authorId="0" ref="V30">
      <text>
        <t xml:space="preserve">4월 
271호 신사
3월 관리비   7,700으로 오정산 
&gt; 72300 4월에 추가입금 
정산합계	654,200 
정산합계	594,800
합계 : 1249000+ 72300 = 1,321,300
283호 트리
정산합 485,000
정산합 398,200 
합계  883,200
308호 동지 
467,000
</t>
      </text>
    </comment>
    <comment authorId="0" ref="W30">
      <text>
        <t xml:space="preserve">6월 2,678,800
271호 신사
594,800
654,200
합계 : 1,249,000
283호 트리
정산합 485,000
정산합 477,800 
정산합 467,000 
합계  962,800
308호 동지 
467,000
</t>
      </text>
    </comment>
    <comment authorId="0" ref="X30">
      <text>
        <t xml:space="preserve">▶ 동지하우스 입금 : 467,000 
동지  C-1 오채영(우주)  467,000 
▶ 트리하우스 입금 : 930,800 
트리 B-1) 박준희(우주)  477,800
트리 C-2) 이준하(우주)  467,000
▶ 신사하우스 입금 : 1,249,000
신사 E-1) 홍나래(우주)  594,800
신사 E-2) 윤설빈(우주)  654,200</t>
      </text>
    </comment>
    <comment authorId="0" ref="Y30">
      <text>
        <t xml:space="preserve">▶ 동지하우스 입금 : 462,700
동지  C-1 오채영(우주)  462,700
▶ 트리하우스 입금 : 473,380
트리 C-2) 이준하(우주)  473,380
▶ 신사하우스 입금 :   669,110 &gt; 669,510 입금
신사 E-1) 전다정(우주)  21,290
신사 E-2) 윤설빈(우주)  647,820</t>
      </text>
    </comment>
    <comment authorId="0" ref="Z30">
      <text>
        <t xml:space="preserve">▶ 동지하우스 입금 : 462,700
동지  C-1 오채영(우주)  462,700
▶ 트리하우스 입금 : 473,380
트리 C-2) 이준하(우주)  473,380
▶ 신사하우스 입금 :   1,315,220
신사 E-1) 전다정(우주)  667,400
신사 E-2) 윤설빈(우주)  647,820</t>
      </text>
    </comment>
    <comment authorId="0" ref="AA30">
      <text>
        <t xml:space="preserve">▶ 동지하우스 입금 : 462,700
동지  C-1 오채영(우주)  462,700
▶ 트리하우스 입금 : 473,380
트리 C-2) 이준하(우주)  473,380
▶ 신사하우스 입금 :   1,315,220
신사 E-1) 전다정(우주)  667,400
신사 E-2) 윤설빈(우주)  647,820</t>
      </text>
    </comment>
    <comment authorId="0" ref="AB30">
      <text>
        <t xml:space="preserve">▶ 동지하우스 입금 : 462,700
동지  C-1 오채영(우주)  462,700
▶ 트리하우스 입금 : 76,090
트리 C-2) 이준하(우주)  76,090
▶ 신사하우스 입금 :   1,315,220
신사 E-1) 전다정(우주)  667,400
신사 E-2) 윤설빈(우주)  647,820
1,854,010</t>
      </text>
    </comment>
    <comment authorId="0" ref="O31">
      <text>
        <t xml:space="preserve">운영내역서에 
269호 555,201 누락됨 
추가 입금 </t>
      </text>
    </comment>
    <comment authorId="0" ref="Q31">
      <text>
        <t xml:space="preserve">운영내역서에 
272호 조기퇴실 166,000 우주에서 더 입금!
</t>
      </text>
    </comment>
    <comment authorId="0" ref="T32">
      <text>
        <t xml:space="preserve">270 운영관리비 미적용 추가</t>
      </text>
    </comment>
    <comment authorId="0" ref="U32">
      <text>
        <t xml:space="preserve">270 운영관리비 미적용 추가</t>
      </text>
    </comment>
    <comment authorId="0" ref="V32">
      <text>
        <t xml:space="preserve">3월 271 운영관리비 미적용 추가</t>
      </text>
    </comment>
    <comment authorId="0" ref="X32">
      <text>
        <t xml:space="preserve">영동 강다연(우주) 중복 입금</t>
      </text>
    </comment>
    <comment authorId="0" ref="Y32">
      <text>
        <t xml:space="preserve">영동 강다연(우주) 중복 입금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8">
      <text>
        <t xml:space="preserve">홍혜리님은 15일 이후 입실이어서 해당사항없음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후불/선불 : 
- 납부일자 : 
- 계좌번호 : 
</t>
      </text>
    </comment>
    <comment authorId="0" ref="G2">
      <text>
        <t xml:space="preserve">- 후불/선불 : 
- 납부일자 : 
- 계좌번호 : </t>
      </text>
    </comment>
    <comment authorId="0" ref="I2">
      <text>
        <t xml:space="preserve">- 명의 : 
- 계좌이체/카드 : 
- 회사 : 
- 계약기간 : </t>
      </text>
    </comment>
    <comment authorId="0" ref="O2">
      <text>
        <t xml:space="preserve">- 명의 : 
- 계좌이체/카드 : 
- 회사 : 
- 계약기간 : </t>
      </text>
    </comment>
    <comment authorId="0" ref="D7">
      <text>
        <t xml:space="preserve">1월 가스 266,740
2월 가스 253,090
2월 20일 이체 신청 
3월 청구분부터 자동이체 
-----------------------
전기
납기일은 15일
1월 : 26,010
2월 : 19,000 (카드결제 예정)
</t>
      </text>
    </comment>
    <comment authorId="0" ref="D8">
      <text>
        <t xml:space="preserve">1/2월 분까지는 투자자 
2월 20일 이체 신청 
3월 청구분부터 자동이체 
고지서상 3월분 실제로는 2월분 사용 : 271,880 &gt;&gt; 이거부터 카드결제 시작 
----------------------------------------------
전기
납기일은 15일
2월 : 28,990 (태화님 납부완료)
3/25 예정 : ------ (카드결제 실행 예정</t>
      </text>
    </comment>
    <comment authorId="0" ref="D12">
      <text>
        <t xml:space="preserve">2월 20일 이체 신청 
3월 청구분부터 자동이체 
1137650 &gt;&gt; 이 금액 납부 되었고 이로부터 카드결제 시작 
3월분 
-----------------------------------------
전기 아파트 관리비 포함</t>
      </text>
    </comment>
    <comment authorId="0" ref="D18">
      <text>
        <t xml:space="preserve">전기
납기일은 15일
2/15 : 38,940
3/15 결제예정 (카드첫결제)</t>
      </text>
    </comment>
    <comment authorId="0" ref="D19">
      <text>
        <t xml:space="preserve">전기
납기일은 15일
2/25 : 58,180
3/25 결제예정 (카드첫결제)</t>
      </text>
    </comment>
    <comment authorId="0" ref="D20">
      <text>
        <t xml:space="preserve">
2월 20일 이체 신청 
3월 청구분부터 자동이체 
110,970 이금액부터 카드결제
----------------------------
전기
2/말 : 24,850
3/말 결제예정 (카드첫결제)</t>
      </text>
    </comment>
    <comment authorId="0" ref="D21">
      <text>
        <t xml:space="preserve">
2월 20일 이체 신청 
3월 청구분부터 자동이체 
152,700 이금액부터 카드결제
------------------------------
전기
2/말 : 55,570
3/말 결제예정 (카드첫결제)</t>
      </text>
    </comment>
    <comment authorId="0" ref="H29">
      <text>
        <t xml:space="preserve">은주님 매니저폰 LGU+ 알뜰폰이랑 결합할인 5000원 (내명의)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8">
      <text>
        <t xml:space="preserve">정화조
</t>
      </text>
    </comment>
    <comment authorId="0" ref="D79">
      <text>
        <t xml:space="preserve">2.12.23 ~ 23.1.20</t>
      </text>
    </comment>
    <comment authorId="0" ref="D103">
      <text>
        <t xml:space="preserve">22.12.12 ~ 23.1.11</t>
      </text>
    </comment>
    <comment authorId="0" ref="N220">
      <text>
        <t xml:space="preserve">큰방 화장실 청소X
</t>
      </text>
    </comment>
    <comment authorId="0" ref="O220">
      <text>
        <t xml:space="preserve">큰방 화장실 청소X
</t>
      </text>
    </comment>
  </commentList>
</comments>
</file>

<file path=xl/sharedStrings.xml><?xml version="1.0" encoding="utf-8"?>
<sst xmlns="http://schemas.openxmlformats.org/spreadsheetml/2006/main" count="20452" uniqueCount="3547">
  <si>
    <t>하우스</t>
  </si>
  <si>
    <t>구분</t>
  </si>
  <si>
    <t>1월 이름</t>
  </si>
  <si>
    <t>1월 월세</t>
  </si>
  <si>
    <t>2월 이름</t>
  </si>
  <si>
    <t>2월 월세</t>
  </si>
  <si>
    <t>3월 이름</t>
  </si>
  <si>
    <t>3월 월세</t>
  </si>
  <si>
    <t>4월 이름</t>
  </si>
  <si>
    <t>4월 월세</t>
  </si>
  <si>
    <t>5월 이름</t>
  </si>
  <si>
    <t>5월 월세</t>
  </si>
  <si>
    <t>6월 이름</t>
  </si>
  <si>
    <t>6월 월세</t>
  </si>
  <si>
    <t>7월 이름</t>
  </si>
  <si>
    <t>7월 월세</t>
  </si>
  <si>
    <t>8월 이름</t>
  </si>
  <si>
    <t>8월 월세</t>
  </si>
  <si>
    <t>9월 이름</t>
  </si>
  <si>
    <t>9월 월세</t>
  </si>
  <si>
    <t>10월 이름</t>
  </si>
  <si>
    <t>10월 월세</t>
  </si>
  <si>
    <t>11월 이름</t>
  </si>
  <si>
    <t>11월 월세</t>
  </si>
  <si>
    <t>12월 이름</t>
  </si>
  <si>
    <t>12월 월세</t>
  </si>
  <si>
    <t>투자자</t>
  </si>
  <si>
    <t>워너비</t>
  </si>
  <si>
    <t>Maurain Sarah</t>
  </si>
  <si>
    <r>
      <rPr>
        <rFont val="Nanum Gothic"/>
        <color rgb="FF000000"/>
      </rPr>
      <t xml:space="preserve">Maurain </t>
    </r>
    <r>
      <rPr>
        <rFont val="Nanum Gothic"/>
        <color rgb="FF666666"/>
      </rPr>
      <t>Sarah 3/1
Olatz Genova Zubia 3/1</t>
    </r>
  </si>
  <si>
    <t>Olatz Genova Zubia</t>
  </si>
  <si>
    <r>
      <rPr>
        <rFont val="Nanum Gothic"/>
        <color rgb="FF666666"/>
      </rPr>
      <t xml:space="preserve">Olatz Genova Zubia 8/25
</t>
    </r>
    <r>
      <rPr>
        <rFont val="Nanum Gothic"/>
        <color rgb="FF000000"/>
      </rPr>
      <t>Giorgia Picchini 8/31</t>
    </r>
  </si>
  <si>
    <t>Giorgia Picchini</t>
  </si>
  <si>
    <t>강연수</t>
  </si>
  <si>
    <t>워너비(강남구 도산대로54길 48-15)</t>
  </si>
  <si>
    <t>Ellie Jane Loong</t>
  </si>
  <si>
    <t>Ellie Jane Loong 12/13</t>
  </si>
  <si>
    <t>★</t>
  </si>
  <si>
    <t>김정민 1/13</t>
  </si>
  <si>
    <t>김정민</t>
  </si>
  <si>
    <t xml:space="preserve">유희지 (LIU QIA) </t>
  </si>
  <si>
    <t>유희지 (LIU QIA)</t>
  </si>
  <si>
    <t>합계</t>
  </si>
  <si>
    <t>(고정) 월세</t>
  </si>
  <si>
    <t>없음</t>
  </si>
  <si>
    <t>(고정) 관리비</t>
  </si>
  <si>
    <t>전기 01-0845-0159</t>
  </si>
  <si>
    <t>(고정) 전기</t>
  </si>
  <si>
    <t>코원 23235558</t>
  </si>
  <si>
    <t>(고정) 가스</t>
  </si>
  <si>
    <t>건물주</t>
  </si>
  <si>
    <t>(고정) 수도</t>
  </si>
  <si>
    <t>(고정) 인터넷</t>
  </si>
  <si>
    <t>(고정) 정수기</t>
  </si>
  <si>
    <t>그외(청소/수리/쿠팡)</t>
  </si>
  <si>
    <t>유학원마케팅</t>
  </si>
  <si>
    <t>순이익</t>
  </si>
  <si>
    <t>운영자</t>
  </si>
  <si>
    <t>영동</t>
  </si>
  <si>
    <t>A-1) 화장실 옆</t>
  </si>
  <si>
    <t>Laura Mourgues De Rosa</t>
  </si>
  <si>
    <r>
      <rPr>
        <rFont val="Nanum Gothic"/>
        <color rgb="FF666666"/>
      </rPr>
      <t xml:space="preserve">Laura Mourgues De Rosa 6/12
</t>
    </r>
    <r>
      <rPr>
        <rFont val="Nanum Gothic"/>
        <color rgb="FF000000"/>
      </rPr>
      <t>강다연(우주) 6/20</t>
    </r>
  </si>
  <si>
    <t>강다연(우주)</t>
  </si>
  <si>
    <t>이승민</t>
  </si>
  <si>
    <t>B-1) 주방 앞</t>
  </si>
  <si>
    <t>Floralie Roux Cecile jac</t>
  </si>
  <si>
    <t xml:space="preserve">Floralie Roux Cecile jac 2/25
Irene Barbieri 2/26 </t>
  </si>
  <si>
    <t>Irene Barbieri</t>
  </si>
  <si>
    <t>Irene Barbieri 5/24</t>
  </si>
  <si>
    <t>박하나 6/29</t>
  </si>
  <si>
    <t>박하나</t>
  </si>
  <si>
    <t>박하나 8/3</t>
  </si>
  <si>
    <t>Petit Fleur 9/1</t>
  </si>
  <si>
    <t>Petit Fleur</t>
  </si>
  <si>
    <t>Petit Fleur 12/17</t>
  </si>
  <si>
    <t>헤바Heba(우주) 1/18</t>
  </si>
  <si>
    <t>C-1) 윗층 왼</t>
  </si>
  <si>
    <t>Elena Basso</t>
  </si>
  <si>
    <t>Elena Basso 5/22
Agathe Brillaud 5/31</t>
  </si>
  <si>
    <t>Agathe Brillaud</t>
  </si>
  <si>
    <t>Agathe Brillaud 9/1</t>
  </si>
  <si>
    <r>
      <rPr>
        <rFont val="Nanum Gothic"/>
        <color rgb="FF666666"/>
      </rPr>
      <t xml:space="preserve">Agathe Brillaud 11/20
</t>
    </r>
    <r>
      <rPr>
        <rFont val="Nanum Gothic"/>
        <color rgb="FF000000"/>
      </rPr>
      <t>GUILLOTON Salomé 11/30</t>
    </r>
  </si>
  <si>
    <t>GUILLOTON Salomé</t>
  </si>
  <si>
    <t>D-1) 윗층 오</t>
  </si>
  <si>
    <t>이지윤(우주) 1/5
김태이(우주) 1/6</t>
  </si>
  <si>
    <t>이지윤(우주) 위약금
김태이(우주)</t>
  </si>
  <si>
    <t>김태이(우주)</t>
  </si>
  <si>
    <t>김태이(우주) 7/5
정다혜(우주) 7/6</t>
  </si>
  <si>
    <t>정다혜(우주)</t>
  </si>
  <si>
    <t>E-1) 화장실 우 오른쪽</t>
  </si>
  <si>
    <t>최가인(우주)</t>
  </si>
  <si>
    <t>최가인(우주) 9/30</t>
  </si>
  <si>
    <t>E-2) 화장실 우 왼쪽</t>
  </si>
  <si>
    <t>김여김</t>
  </si>
  <si>
    <t xml:space="preserve">김여김 </t>
  </si>
  <si>
    <t>투자자고지</t>
  </si>
  <si>
    <t>(고정) 관리비/계단</t>
  </si>
  <si>
    <t>삼중</t>
  </si>
  <si>
    <t>A-1) 미닫이문 오</t>
  </si>
  <si>
    <t>Sabrina AHMED</t>
  </si>
  <si>
    <t>Sabrina AHMED 2/29</t>
  </si>
  <si>
    <t>유진 3/1</t>
  </si>
  <si>
    <t xml:space="preserve">유진 </t>
  </si>
  <si>
    <t>유진 9/1</t>
  </si>
  <si>
    <t>B-1) 거실 오른쪽</t>
  </si>
  <si>
    <t>최예진</t>
  </si>
  <si>
    <t>C-1) 주방 맞은편</t>
  </si>
  <si>
    <t>유진</t>
  </si>
  <si>
    <t>유진 2/29
Florance Herren 2/29</t>
  </si>
  <si>
    <t>Florance Herren</t>
  </si>
  <si>
    <t>Florance Herren 8/19
박하나 계약취소 위약금
황다원 8/25</t>
  </si>
  <si>
    <t>황다원</t>
  </si>
  <si>
    <t>D-1) 주방 옆 문쪽</t>
  </si>
  <si>
    <t>Sonia Hila</t>
  </si>
  <si>
    <t>Sonia Hila 2/21</t>
  </si>
  <si>
    <t>Amina Elisabeth Deutz 3/15</t>
  </si>
  <si>
    <t xml:space="preserve">Amina Elisabeth Deutz 4/29 </t>
  </si>
  <si>
    <t>Amina Elisabeth Deutz</t>
  </si>
  <si>
    <t>Amina Elisabeth Deutz 위약금 1</t>
  </si>
  <si>
    <t>김라엘 7/25</t>
  </si>
  <si>
    <t>김라엘 8/19</t>
  </si>
  <si>
    <t>Demi Klinkhamer 9/15</t>
  </si>
  <si>
    <t xml:space="preserve">Demi Klinkhamer </t>
  </si>
  <si>
    <t>Demi Klinkhamer 12/17</t>
  </si>
  <si>
    <t>Demi Klinkhamer 위약금</t>
  </si>
  <si>
    <t>D-2) 주방 옆 안쪽</t>
  </si>
  <si>
    <t>Aldana</t>
  </si>
  <si>
    <t>Aldana 2/24</t>
  </si>
  <si>
    <t>Maja Aengenvoort 3/15</t>
  </si>
  <si>
    <t>Maja Aengenvoort</t>
  </si>
  <si>
    <t>Maja Aengenvoort 6/12</t>
  </si>
  <si>
    <t>김난영 8/1~19
Jessica 8/19</t>
  </si>
  <si>
    <t>Jessica</t>
  </si>
  <si>
    <t>Jessica 12/17</t>
  </si>
  <si>
    <t>Jessica 위약금1</t>
  </si>
  <si>
    <t>E-1) 입구방 오른쪽</t>
  </si>
  <si>
    <t>TANIGUCHI KAREN 타니구치카렌  3/1</t>
  </si>
  <si>
    <t xml:space="preserve">TANIGUCHI KAREN 타니구치카렌 </t>
  </si>
  <si>
    <t>TANIGUCHI KAREN 타니구치카렌  7/31</t>
  </si>
  <si>
    <t>Manon Guillotte 8/25</t>
  </si>
  <si>
    <t>Manon Guillotte</t>
  </si>
  <si>
    <r>
      <rPr>
        <rFont val="Nanum Gothic"/>
        <color rgb="FF666666"/>
      </rPr>
      <t xml:space="preserve">Manon Guillotte 12/3
</t>
    </r>
    <r>
      <rPr>
        <rFont val="Nanum Gothic"/>
        <b/>
        <color rgb="FFFF0000"/>
      </rPr>
      <t>황륜희 12/21</t>
    </r>
  </si>
  <si>
    <t>Manon Guillotte 위약금1
황륜희</t>
  </si>
  <si>
    <t>E-2) 입구방 왼쪽</t>
  </si>
  <si>
    <t>백송희</t>
  </si>
  <si>
    <t>F-1) 윗층방 왼쪽</t>
  </si>
  <si>
    <t>김지현 위약금</t>
  </si>
  <si>
    <t>Juline Kotarski 6/14</t>
  </si>
  <si>
    <t>Juline Kotarski</t>
  </si>
  <si>
    <t>Juline Kotarski 12/13</t>
  </si>
  <si>
    <t>F-2) 윗층방 오른쪽</t>
  </si>
  <si>
    <t>전수지</t>
  </si>
  <si>
    <r>
      <rPr>
        <rFont val="Nanum Gothic"/>
        <color rgb="FF666666"/>
      </rPr>
      <t xml:space="preserve">전수지 8/5
</t>
    </r>
    <r>
      <rPr>
        <rFont val="Nanum Gothic"/>
        <color rgb="FF434343"/>
      </rPr>
      <t>김민채 8/10</t>
    </r>
  </si>
  <si>
    <t>김민채</t>
  </si>
  <si>
    <t>반포</t>
  </si>
  <si>
    <t>A-1) (화) 왼</t>
  </si>
  <si>
    <t>박원지</t>
  </si>
  <si>
    <t>박원지 2/28</t>
  </si>
  <si>
    <r>
      <rPr>
        <rFont val="Nanum Gothic"/>
        <color theme="1"/>
      </rPr>
      <t>박원지</t>
    </r>
    <r>
      <rPr>
        <rFont val="Nanum Gothic"/>
        <color theme="1"/>
      </rPr>
      <t xml:space="preserve">
Ximena Denisse Reyna Gatica 3/14</t>
    </r>
  </si>
  <si>
    <t>Ximena Denisse Reyna Gatica</t>
  </si>
  <si>
    <t>B-1) (화) 오</t>
  </si>
  <si>
    <t>Tessa GIMONET</t>
  </si>
  <si>
    <t>Tessa GIMONET 8/31</t>
  </si>
  <si>
    <t>Lilia Chaffi 9/1</t>
  </si>
  <si>
    <t>Lilia Chaffi</t>
  </si>
  <si>
    <t>C-1) 입구왼</t>
  </si>
  <si>
    <t>박수진</t>
  </si>
  <si>
    <t>D-1) 거실 가벽</t>
  </si>
  <si>
    <t>Bouzat Jeanne</t>
  </si>
  <si>
    <t>Bouzat Jeanne 5/1
임수빈(우주) 5/27</t>
  </si>
  <si>
    <t>임수빈(우주)</t>
  </si>
  <si>
    <t>임수빈(우주) 11/30</t>
  </si>
  <si>
    <t>이지언</t>
  </si>
  <si>
    <t>E-1) (거실화) 왼</t>
  </si>
  <si>
    <t>Laura Helena Leon Cortazar 헬레나  위약금1</t>
  </si>
  <si>
    <t>Laura Helena Leon Cortazar 헬레나  위약금2</t>
  </si>
  <si>
    <t>조은우 3/3</t>
  </si>
  <si>
    <t xml:space="preserve">조은우 </t>
  </si>
  <si>
    <t>F-1) (거실화) 오</t>
  </si>
  <si>
    <t>Lara Melgarejo Jimenez 라라</t>
  </si>
  <si>
    <t>Lara Melgarejo Jimenez 라라 2/28</t>
  </si>
  <si>
    <t>이새롬 5/31</t>
  </si>
  <si>
    <t>이새롬 6/7
이은비 6/8</t>
  </si>
  <si>
    <t>이은비</t>
  </si>
  <si>
    <t>이은비 10/7
이지언 10/27</t>
  </si>
  <si>
    <t>이지언 11/30
MILAN Ly-Ann 11/30</t>
  </si>
  <si>
    <t>MILAN Ly-Ann</t>
  </si>
  <si>
    <t>G-1) 2인실 입구오 왼쪽</t>
  </si>
  <si>
    <t>서민지(우주) 1/31</t>
  </si>
  <si>
    <t>서민지(우주)</t>
  </si>
  <si>
    <t>서민지(우주) 7/31</t>
  </si>
  <si>
    <t>서민지 8/1</t>
  </si>
  <si>
    <t>서민지</t>
  </si>
  <si>
    <t>H-1) 2인실 입구오 오른쪽</t>
  </si>
  <si>
    <t>양정인 3/16</t>
  </si>
  <si>
    <t xml:space="preserve">양정인 </t>
  </si>
  <si>
    <t>I-1) 3인실 왼</t>
  </si>
  <si>
    <t>남지수</t>
  </si>
  <si>
    <t>남지수 5/31</t>
  </si>
  <si>
    <t>서관영 6/2</t>
  </si>
  <si>
    <t>서관영</t>
  </si>
  <si>
    <t>서관영 11/30</t>
  </si>
  <si>
    <t>J-1) 3인실 중</t>
  </si>
  <si>
    <t>Sara Truppo 3/15</t>
  </si>
  <si>
    <t>Sara Truppo</t>
  </si>
  <si>
    <t>Sara Truppo 6/7
이새롬 6/8</t>
  </si>
  <si>
    <t>이새롬</t>
  </si>
  <si>
    <t>K-1) 3인실 오</t>
  </si>
  <si>
    <t>곽성이</t>
  </si>
  <si>
    <t>곽성이 9/30</t>
  </si>
  <si>
    <t>신사</t>
  </si>
  <si>
    <t>A-1) 1인실 (베) 왼</t>
  </si>
  <si>
    <t>황지영</t>
  </si>
  <si>
    <t>황지영 9/30
Hila JAURÉ 9/30</t>
  </si>
  <si>
    <r>
      <rPr>
        <rFont val="Nanum Gothic"/>
        <color rgb="FF666666"/>
      </rPr>
      <t xml:space="preserve">Hila JAURÉ 10/31
</t>
    </r>
    <r>
      <rPr>
        <rFont val="Nanum Gothic"/>
        <b/>
        <color rgb="FFFF0000"/>
      </rPr>
      <t>Gieriet Simona(엔코) 10/16</t>
    </r>
  </si>
  <si>
    <t>Gieriet Simona(엔코)</t>
  </si>
  <si>
    <t>유재훈</t>
  </si>
  <si>
    <t>B-1) 1인실 (베) 오</t>
  </si>
  <si>
    <t>Oceane paiva</t>
  </si>
  <si>
    <t>Oceane paiva 5/31</t>
  </si>
  <si>
    <t>최정화 6/1</t>
  </si>
  <si>
    <t>최정화</t>
  </si>
  <si>
    <t>C-1) 1인실 거실 왼</t>
  </si>
  <si>
    <t>Anna Landtag</t>
  </si>
  <si>
    <t>Anna Landtag 5/25
CHEN YING JU 5/25</t>
  </si>
  <si>
    <t>CHEN YING JU</t>
  </si>
  <si>
    <t>D-1) 1인실 거실 오</t>
  </si>
  <si>
    <t>Camille Party</t>
  </si>
  <si>
    <t>Camille Party 6/19
전수인(우주) 취소위약금</t>
  </si>
  <si>
    <t>전다정(우주) 7/31</t>
  </si>
  <si>
    <t>전다정(우주)</t>
  </si>
  <si>
    <t>E-1) 1.5인실 왼 (행거)</t>
  </si>
  <si>
    <t>하선린(우주) 위약금 2
박선영</t>
  </si>
  <si>
    <t>박선영</t>
  </si>
  <si>
    <t>박선영 3/8
홍나래(우주) 3/8</t>
  </si>
  <si>
    <t>홍나래(우주)</t>
  </si>
  <si>
    <t>홍나래(우주) 6/29
홍경민 6/29</t>
  </si>
  <si>
    <t>홍경민</t>
  </si>
  <si>
    <t>홍경민 12/31</t>
  </si>
  <si>
    <t>진경하 1/1</t>
  </si>
  <si>
    <t>E-2) 1.5인실 오 (붙)</t>
  </si>
  <si>
    <t>윤설빈(우주) 1/29</t>
  </si>
  <si>
    <t>윤설빈(우주)</t>
  </si>
  <si>
    <t>F-1) 2인실 왼</t>
  </si>
  <si>
    <t>권나우 1/19</t>
  </si>
  <si>
    <t>권나우 2/5
진희진 2/3</t>
  </si>
  <si>
    <t>진희진 3/27</t>
  </si>
  <si>
    <t>정보배 4/1</t>
  </si>
  <si>
    <t>정보배</t>
  </si>
  <si>
    <t>정보배 6/30</t>
  </si>
  <si>
    <t>Lara Melgarejo 8/1</t>
  </si>
  <si>
    <t>Lara Melgarejo</t>
  </si>
  <si>
    <t>F-2) 2인실 오</t>
  </si>
  <si>
    <t>최정인</t>
  </si>
  <si>
    <t xml:space="preserve">최정인 3/31
최정화 3/29 </t>
  </si>
  <si>
    <r>
      <rPr>
        <rFont val="Nanum Gothic"/>
        <color rgb="FF666666"/>
      </rPr>
      <t xml:space="preserve">최정화 5/31
</t>
    </r>
    <r>
      <rPr>
        <rFont val="Nanum Gothic"/>
        <b/>
        <color rgb="FFFF0000"/>
      </rPr>
      <t xml:space="preserve">진경하 5/31 </t>
    </r>
  </si>
  <si>
    <t>진경하</t>
  </si>
  <si>
    <t>진경하 12/31</t>
  </si>
  <si>
    <t>임가람(우주) 1/1</t>
  </si>
  <si>
    <t>주인 고지</t>
  </si>
  <si>
    <t>코원 23112899 , 23112902</t>
  </si>
  <si>
    <t>(고정) 가스 (카드)</t>
  </si>
  <si>
    <t>주인고지 (2개월텀)</t>
  </si>
  <si>
    <t>확인</t>
  </si>
  <si>
    <t>신아</t>
  </si>
  <si>
    <t>(고정) 비데</t>
  </si>
  <si>
    <t>선릉</t>
  </si>
  <si>
    <t>A 1인실</t>
  </si>
  <si>
    <t>이효길</t>
  </si>
  <si>
    <t>B 1인실</t>
  </si>
  <si>
    <t>김수빈 12/5</t>
  </si>
  <si>
    <t>김수빈</t>
  </si>
  <si>
    <t>C 2인실 (왼)</t>
  </si>
  <si>
    <t>C 2인실 (오)</t>
  </si>
  <si>
    <t>(고정) 화재보험</t>
  </si>
  <si>
    <t>대학</t>
  </si>
  <si>
    <t>A 1인실 입구</t>
  </si>
  <si>
    <t>WANG XI 1/31</t>
  </si>
  <si>
    <t>최가현 2/18</t>
  </si>
  <si>
    <t>최가현</t>
  </si>
  <si>
    <t>박성운</t>
  </si>
  <si>
    <t>B 1인실 화장실 오른쪽</t>
  </si>
  <si>
    <t>LI LING 12/16</t>
  </si>
  <si>
    <r>
      <rPr>
        <rFont val="Nanum Gothic"/>
        <color rgb="FF666666"/>
      </rPr>
      <t xml:space="preserve">전아현 위약금 1
</t>
    </r>
    <r>
      <rPr>
        <rFont val="Nanum Gothic"/>
        <color rgb="FF000000"/>
      </rPr>
      <t xml:space="preserve">Camille </t>
    </r>
    <r>
      <rPr>
        <rFont val="Nanum Gothic"/>
        <color rgb="FF666666"/>
      </rPr>
      <t>Bouchez 3/17</t>
    </r>
  </si>
  <si>
    <t>전아현 위약금 2 ok
Camille Bouchez</t>
  </si>
  <si>
    <t>Camille Bouchez</t>
  </si>
  <si>
    <t>Camille Bouchez 7/31</t>
  </si>
  <si>
    <t>ISHIDA HONOKA 8/7</t>
  </si>
  <si>
    <t>ISHIDA HONOKA</t>
  </si>
  <si>
    <t>C 1인실 코너</t>
  </si>
  <si>
    <t>CHEN JIAXIN 1/31</t>
  </si>
  <si>
    <t>심연아 3/3</t>
  </si>
  <si>
    <t>심연아</t>
  </si>
  <si>
    <t>심연아 9/1</t>
  </si>
  <si>
    <t xml:space="preserve">심연아 위약금
성영주(우주) 9/1 </t>
  </si>
  <si>
    <t>성영주(우주)</t>
  </si>
  <si>
    <t>D 1인실 안쪽</t>
  </si>
  <si>
    <t>조아현 2/17</t>
  </si>
  <si>
    <t>조아현</t>
  </si>
  <si>
    <t>조아현 8/25
김근희 8/26</t>
  </si>
  <si>
    <t>조아현 위약금
김근희</t>
  </si>
  <si>
    <t>김근희</t>
  </si>
  <si>
    <t>01-2710-9332</t>
  </si>
  <si>
    <t>(고정) 전기 (카드)</t>
  </si>
  <si>
    <t>60055-73188 서울도시 사용자계약번호</t>
  </si>
  <si>
    <t>샤네</t>
  </si>
  <si>
    <t>A-1) 거실 큰방</t>
  </si>
  <si>
    <t>Joanna Pytel 피텔조안나</t>
  </si>
  <si>
    <t>Joanna Pytel 피텔조안나 8/31
송지수 8.31</t>
  </si>
  <si>
    <t>송지수</t>
  </si>
  <si>
    <t>김태화</t>
  </si>
  <si>
    <t>B-1)  주방옆</t>
  </si>
  <si>
    <t>이지희</t>
  </si>
  <si>
    <t>C-1 2인실 왼</t>
  </si>
  <si>
    <t>김재연</t>
  </si>
  <si>
    <t>김재연 8/31</t>
  </si>
  <si>
    <t>C-2) 2인실 오</t>
  </si>
  <si>
    <t>김승은</t>
  </si>
  <si>
    <t>01 1527 2178</t>
  </si>
  <si>
    <t>벤처</t>
  </si>
  <si>
    <t>A-1</t>
  </si>
  <si>
    <t>쑤훈공동</t>
  </si>
  <si>
    <t>B-1</t>
  </si>
  <si>
    <t>C-1</t>
  </si>
  <si>
    <t>D-1</t>
  </si>
  <si>
    <t>01 2013 0376</t>
  </si>
  <si>
    <t>2층 고지</t>
  </si>
  <si>
    <t>확인 (고운님)</t>
  </si>
  <si>
    <t>낙성</t>
  </si>
  <si>
    <t>서연진 위약금
강조원 3/6</t>
  </si>
  <si>
    <t xml:space="preserve">강조원 </t>
  </si>
  <si>
    <t>강조원</t>
  </si>
  <si>
    <t>B-1 왼</t>
  </si>
  <si>
    <t>최윤서 4/8</t>
  </si>
  <si>
    <t xml:space="preserve">최윤서 </t>
  </si>
  <si>
    <t>최윤서 7/7</t>
  </si>
  <si>
    <t>홍수아 9/1</t>
  </si>
  <si>
    <t>홍수아</t>
  </si>
  <si>
    <t>B-2 오</t>
  </si>
  <si>
    <t>김나영 3/5</t>
  </si>
  <si>
    <t xml:space="preserve">김나영 </t>
  </si>
  <si>
    <t>김나영 8/25
오오하타 코토하 8/25</t>
  </si>
  <si>
    <t>오오하타 코토하</t>
  </si>
  <si>
    <t>오오하타 코토하 10/12</t>
  </si>
  <si>
    <t>오오하타 코토하 위약금1</t>
  </si>
  <si>
    <t>오오하타 코토하 위약금2
Sofiia Futuima 12/4</t>
  </si>
  <si>
    <t>Sofiia Futuima</t>
  </si>
  <si>
    <t>박예지 3/7</t>
  </si>
  <si>
    <t>박예지</t>
  </si>
  <si>
    <t>C-2</t>
  </si>
  <si>
    <t>오오타 아마네 3/7</t>
  </si>
  <si>
    <t>오오타 아마네 OTA AMANE</t>
  </si>
  <si>
    <t>01 5353 1096</t>
  </si>
  <si>
    <t>대현</t>
  </si>
  <si>
    <t>Eleonora Adorni 2/25</t>
  </si>
  <si>
    <t>Eleonora Adorni</t>
  </si>
  <si>
    <t>Eleonora Adorni 5/22</t>
  </si>
  <si>
    <t>이현수</t>
  </si>
  <si>
    <t>YA7527030</t>
  </si>
  <si>
    <t>Jasmin Schaer 3/14</t>
  </si>
  <si>
    <t>Jasmin Schaer</t>
  </si>
  <si>
    <t>Jasmin Schaer 8/31
임여경 8/31</t>
  </si>
  <si>
    <t>임여경</t>
  </si>
  <si>
    <t>임여경 12/31</t>
  </si>
  <si>
    <t>C-1 왼</t>
  </si>
  <si>
    <t>윤여원 6/30</t>
  </si>
  <si>
    <t>윤여원</t>
  </si>
  <si>
    <t>윤여원 12/31</t>
  </si>
  <si>
    <t>C-2 오</t>
  </si>
  <si>
    <t>최유라</t>
  </si>
  <si>
    <t>최유라 8/21</t>
  </si>
  <si>
    <t>최유라 위약금1</t>
  </si>
  <si>
    <t>최유라 위약금2</t>
  </si>
  <si>
    <t>주인고지</t>
  </si>
  <si>
    <t>구디</t>
  </si>
  <si>
    <t>A-1) 거실 테이블 옆</t>
  </si>
  <si>
    <t>Bethany Gross 1/31
박혜린 1/31</t>
  </si>
  <si>
    <t>박혜린</t>
  </si>
  <si>
    <t>박혜린 4/30</t>
  </si>
  <si>
    <t>Marina Blasco Herrojo 9/25</t>
  </si>
  <si>
    <t>Marina Blasco Herrojo</t>
  </si>
  <si>
    <t>구디 (서울시 관악구 조원로6길 41-7 3층)</t>
  </si>
  <si>
    <t>B-1) 옥탑</t>
  </si>
  <si>
    <t>최미정 1/31</t>
  </si>
  <si>
    <t>Bethany Gross 2/1</t>
  </si>
  <si>
    <t>Bethany Gross</t>
  </si>
  <si>
    <t>Bethany Gross 7/24</t>
  </si>
  <si>
    <r>
      <rPr>
        <rFont val="Nanum Gothic"/>
        <color rgb="FF666666"/>
      </rPr>
      <t xml:space="preserve">Bethany Gross 위약금1
</t>
    </r>
    <r>
      <rPr>
        <rFont val="Nanum Gothic"/>
        <color rgb="FF434343"/>
      </rPr>
      <t>Kavya Sudesh Kumar 8/20</t>
    </r>
  </si>
  <si>
    <t>Bethany Gross 위약금2
Kavya Sudesh Kumar</t>
  </si>
  <si>
    <t>Kavya Sudesh Kumar</t>
  </si>
  <si>
    <t>양인서 1/13</t>
  </si>
  <si>
    <t>C-1) 입구왼쪽(화) 왼</t>
  </si>
  <si>
    <t>KOBAYASHI HIBIKI</t>
  </si>
  <si>
    <t xml:space="preserve">KOBAYASHI HIBIKI </t>
  </si>
  <si>
    <t>KOBAYASHI HIBIKI 9/22</t>
  </si>
  <si>
    <t>D-1) 입구왼쪽(화) 오</t>
  </si>
  <si>
    <t>김미소(우주)</t>
  </si>
  <si>
    <t>김미소(우주) 6/4</t>
  </si>
  <si>
    <t>김미소</t>
  </si>
  <si>
    <t>김미소 9/2
구본미 9/2</t>
  </si>
  <si>
    <t>구본미</t>
  </si>
  <si>
    <t>구본미 12/31</t>
  </si>
  <si>
    <t>E-1) 화장실 왼쪽 좌측</t>
  </si>
  <si>
    <t>김서린(우주)</t>
  </si>
  <si>
    <t>김서린(우주) 2/29</t>
  </si>
  <si>
    <t>김서린(우주) 3/1</t>
  </si>
  <si>
    <t>박혜린5/1</t>
  </si>
  <si>
    <t>박혜린 7/31</t>
  </si>
  <si>
    <t>Nora Ortega Rivilla 9/25</t>
  </si>
  <si>
    <t>Nora Ortega Rivilla</t>
  </si>
  <si>
    <t>F-1) 화장실 왼쪽 우측</t>
  </si>
  <si>
    <t>정도희 8/1</t>
  </si>
  <si>
    <t>Berta Cereceda Toro 9/25</t>
  </si>
  <si>
    <t>Berta Cereceda Toro</t>
  </si>
  <si>
    <t>(고정) 관리비(계단)</t>
  </si>
  <si>
    <t>쌍용</t>
  </si>
  <si>
    <t>A 1인실 S1</t>
  </si>
  <si>
    <t>이주은 2/4</t>
  </si>
  <si>
    <t>이주은</t>
  </si>
  <si>
    <t>이주은 8/31</t>
  </si>
  <si>
    <t>김혜인 9/1</t>
  </si>
  <si>
    <t>김혜인</t>
  </si>
  <si>
    <t>B 1인실 S2</t>
  </si>
  <si>
    <t>박미나</t>
  </si>
  <si>
    <t>C 1인실 M2</t>
  </si>
  <si>
    <t>Camilla Sommella 3/1</t>
  </si>
  <si>
    <t>Camilla Sommella</t>
  </si>
  <si>
    <t>Camilla Sommella 8/31</t>
  </si>
  <si>
    <t>Camilla Sommella 위약금
Chiara Piperno 9.1</t>
  </si>
  <si>
    <t>Chiara Piperno</t>
  </si>
  <si>
    <t>D 1인실 M1</t>
  </si>
  <si>
    <t>박지수 2/3~29</t>
  </si>
  <si>
    <t>Margherita Francesca Buonomo 3/1</t>
  </si>
  <si>
    <t xml:space="preserve">Margherita Francesca Buonomo </t>
  </si>
  <si>
    <t>Margherita Francesca Buonomo  8/31</t>
  </si>
  <si>
    <t>Margherita Francesca Buonomo  위약금
Giulia Rossi 9/1</t>
  </si>
  <si>
    <t>Giulia Rossi</t>
  </si>
  <si>
    <t>E 1인실 L</t>
  </si>
  <si>
    <t>이수연</t>
  </si>
  <si>
    <t>이수연 2/28</t>
  </si>
  <si>
    <t>박지수 3/1</t>
  </si>
  <si>
    <t>박지수</t>
  </si>
  <si>
    <t>박지수 7/30</t>
  </si>
  <si>
    <t>Axl Rodriguez 8/16</t>
  </si>
  <si>
    <t>Axl Rodriguez</t>
  </si>
  <si>
    <t>(고정) 전기(관리비포함)</t>
  </si>
  <si>
    <t>관리비포함</t>
  </si>
  <si>
    <t>(고정) 수도(관리비포함)</t>
  </si>
  <si>
    <t>이문</t>
  </si>
  <si>
    <t>A) 1인실 아래층</t>
  </si>
  <si>
    <t>Caroline GUILLERON(고고한국)</t>
  </si>
  <si>
    <t>Caroline GUILLERON(고고한국) 8/28</t>
  </si>
  <si>
    <t>CHEN YUJU</t>
  </si>
  <si>
    <t>이문(동대문구 신이문로8길 10 301호)</t>
  </si>
  <si>
    <t>B) 1인실 윗층 오</t>
  </si>
  <si>
    <t>YEO JING YING(여린)</t>
  </si>
  <si>
    <t>C) 1인실 윗층 왼</t>
  </si>
  <si>
    <t>이민정</t>
  </si>
  <si>
    <t>이민정 8/3
CHEN YUJU 8/24</t>
  </si>
  <si>
    <t>이주영(우주) 9/1</t>
  </si>
  <si>
    <t>이주영(우주)</t>
  </si>
  <si>
    <t>이주영(우주) 12/31</t>
  </si>
  <si>
    <t>D-1) 왼쪽</t>
  </si>
  <si>
    <t>김지은</t>
  </si>
  <si>
    <t>김지은 8/9
이가은8/10</t>
  </si>
  <si>
    <t>이가은</t>
  </si>
  <si>
    <t>이가은 1/10</t>
  </si>
  <si>
    <t>D-2) 오른쪽</t>
  </si>
  <si>
    <t>오은빈 1/28</t>
  </si>
  <si>
    <t>오은빈</t>
  </si>
  <si>
    <t>오은빈 8/11</t>
  </si>
  <si>
    <t>Noemi Lamorgese 11/25</t>
  </si>
  <si>
    <t>Noemi Lamorgese</t>
  </si>
  <si>
    <t xml:space="preserve"> 미고지(3/10) 
</t>
  </si>
  <si>
    <t>빠방</t>
  </si>
  <si>
    <t>A) 오른쪽 끝 왼쪽</t>
  </si>
  <si>
    <t>강진</t>
  </si>
  <si>
    <t>강진 2/19</t>
  </si>
  <si>
    <t>전은결 3/1</t>
  </si>
  <si>
    <t>전은결</t>
  </si>
  <si>
    <t>B) 오른쪽 끝 정면</t>
  </si>
  <si>
    <t>Mohammad khanloo Setare 위약금1</t>
  </si>
  <si>
    <t>Mohammad khanloo Setare  위약금2
와타나베 미쿠 2/24</t>
  </si>
  <si>
    <t>와타나베 미쿠</t>
  </si>
  <si>
    <t>C) 오른쪽 끝 오른쪽</t>
  </si>
  <si>
    <t>Lidia Medinilla Marin 2/23</t>
  </si>
  <si>
    <t xml:space="preserve">Lidia Medinilla Marin </t>
  </si>
  <si>
    <t>Lidia Medinilla Marin  8/25
Raniya 8/25</t>
  </si>
  <si>
    <t>Raniya</t>
  </si>
  <si>
    <t>D) 거실욕실 오른쪽</t>
  </si>
  <si>
    <t>김민주 3/2</t>
  </si>
  <si>
    <t>김민주</t>
  </si>
  <si>
    <t>김민주 6/29</t>
  </si>
  <si>
    <t>김민주 위약금1</t>
  </si>
  <si>
    <t>김민주 위약금2 ok
Mia Huguenin 8/23</t>
  </si>
  <si>
    <t>Mia Huguenin</t>
  </si>
  <si>
    <t>E) 주방 맞은편</t>
  </si>
  <si>
    <t>Anna Schmitt</t>
  </si>
  <si>
    <t>Anna Schmitt 2/28
Isabel Colas Vaquero 2/28</t>
  </si>
  <si>
    <t>Isabel Colas Vaquero</t>
  </si>
  <si>
    <t>Isabel Colas Vaquero 8/25
Kinga Diana Bernath 8/25</t>
  </si>
  <si>
    <t>Kinga Diana Bernath</t>
  </si>
  <si>
    <t>0128047709</t>
  </si>
  <si>
    <t>(고정) 전기(카드)</t>
  </si>
  <si>
    <t>예스코 1017555583</t>
  </si>
  <si>
    <t>청량</t>
  </si>
  <si>
    <t>A-1) 입구</t>
  </si>
  <si>
    <t>김민지</t>
  </si>
  <si>
    <t xml:space="preserve">김민지 </t>
  </si>
  <si>
    <t>김민지 8/31</t>
  </si>
  <si>
    <t>Miriam Notari 9/13</t>
  </si>
  <si>
    <t>Miriam Notari</t>
  </si>
  <si>
    <t>청량(동대문구 서울시립대로 75 전농미소지움아파트 103동 101호 )</t>
  </si>
  <si>
    <t>B-1) 주방</t>
  </si>
  <si>
    <t>Jenny Andersson</t>
  </si>
  <si>
    <t xml:space="preserve">Jenny Andersson 2/19
유한별 2/24        </t>
  </si>
  <si>
    <t xml:space="preserve">유한별 </t>
  </si>
  <si>
    <t>유한별 12/1 위약금1</t>
  </si>
  <si>
    <t>유한별 위약금2</t>
  </si>
  <si>
    <t>C-1) 거실 왼</t>
  </si>
  <si>
    <t>박다솔 1/31</t>
  </si>
  <si>
    <t>Elodie Lormel 3/1</t>
  </si>
  <si>
    <t>Elodie Lormel</t>
  </si>
  <si>
    <t>Elodie Lormel 8/31
Lilly Klatt 8/31</t>
  </si>
  <si>
    <t>Lilly Klatt</t>
  </si>
  <si>
    <t>D-1) 거실 오</t>
  </si>
  <si>
    <t>김도영</t>
  </si>
  <si>
    <t>김도영 2/26</t>
  </si>
  <si>
    <t>김도영 위약금
김예인 위약금
이행진 3/1</t>
  </si>
  <si>
    <t>이행진</t>
  </si>
  <si>
    <t>E-1) 화장실 옆 왼쪽</t>
  </si>
  <si>
    <t>박선하</t>
  </si>
  <si>
    <t>박선하 2/29</t>
  </si>
  <si>
    <t>오은별 3/1</t>
  </si>
  <si>
    <t>오은별</t>
  </si>
  <si>
    <t xml:space="preserve">오은별-엄혜린(단기) 6/27 </t>
  </si>
  <si>
    <t>오은별-엄혜린(단기)</t>
  </si>
  <si>
    <t>오은별 8/25
엄혜린(단기) 8/12</t>
  </si>
  <si>
    <t>Megan Pabst 8/30</t>
  </si>
  <si>
    <t>Megan Pabst</t>
  </si>
  <si>
    <t>Megan Pabst 11/30</t>
  </si>
  <si>
    <t>Megan Pabst 위약금</t>
  </si>
  <si>
    <t>F-1) 화장실 옆 오른쪽</t>
  </si>
  <si>
    <t>Candice GAUDILLAT</t>
  </si>
  <si>
    <t>Candice GAUDILLAT 5/31</t>
  </si>
  <si>
    <t>김채연 6/1</t>
  </si>
  <si>
    <t>김채연</t>
  </si>
  <si>
    <t>김채연 8/25</t>
  </si>
  <si>
    <t>최서정 9/1</t>
  </si>
  <si>
    <t>최서정</t>
  </si>
  <si>
    <t>최서정 12/31</t>
  </si>
  <si>
    <t>관리사무실</t>
  </si>
  <si>
    <t>예스코 1016121737</t>
  </si>
  <si>
    <t>휘경</t>
  </si>
  <si>
    <t>Eliška Cibulková</t>
  </si>
  <si>
    <r>
      <rPr>
        <rFont val="Nanum Gothic"/>
        <color rgb="FF666666"/>
      </rPr>
      <t xml:space="preserve">Eliška Cibulková 8/27
</t>
    </r>
    <r>
      <rPr>
        <rFont val="Nanum Gothic"/>
        <color rgb="FF434343"/>
      </rPr>
      <t>KERBRAT Elodie 8/27</t>
    </r>
  </si>
  <si>
    <t>KERBRAT Elodie</t>
  </si>
  <si>
    <t>B-1) 주방옆</t>
  </si>
  <si>
    <t>Sara Cuenca</t>
  </si>
  <si>
    <t>Sara Cuenca 5/31</t>
  </si>
  <si>
    <t>Sara Cuenca 위약금 1</t>
  </si>
  <si>
    <t>Sara Cuenca 위약금 2</t>
  </si>
  <si>
    <t>Momoko Horigome 8/21</t>
  </si>
  <si>
    <t>Momoko Horigome</t>
  </si>
  <si>
    <t>C-1) 거실옆 문쪽</t>
  </si>
  <si>
    <t>Anzhelika Kulchieva</t>
  </si>
  <si>
    <t>Anzhelika Kulchieva 2/28
서현아 2/29</t>
  </si>
  <si>
    <t>서현아</t>
  </si>
  <si>
    <t>서현아 8/25
장한비 8/29</t>
  </si>
  <si>
    <t>장한비</t>
  </si>
  <si>
    <t>C-2) 거실옆 안쪽</t>
  </si>
  <si>
    <t>Emma Charlotte ABLASS</t>
  </si>
  <si>
    <t>Emma Charlotte ABLASS 5/23
Tam Yuk Mui 5/28</t>
  </si>
  <si>
    <t xml:space="preserve">Emma Charlotte ABLASS 위약금
Tam Yuk Mui </t>
  </si>
  <si>
    <t xml:space="preserve">Tam Yuk Mui </t>
  </si>
  <si>
    <t>Tam Yuk Mui</t>
  </si>
  <si>
    <t>(고정) 수도/공용전기/계단</t>
  </si>
  <si>
    <t>회기</t>
  </si>
  <si>
    <t>Stephanie Lindawati</t>
  </si>
  <si>
    <t>쑤훈박미선</t>
  </si>
  <si>
    <t>회기 - 관리X</t>
  </si>
  <si>
    <t>정규원(우주)</t>
  </si>
  <si>
    <t>B-2</t>
  </si>
  <si>
    <t>임지은 1/6</t>
  </si>
  <si>
    <t>유수현 2/25</t>
  </si>
  <si>
    <t xml:space="preserve">유수현 </t>
  </si>
  <si>
    <t>유수현 8/10
Masamura Nami 마사무라 나미 8/10</t>
  </si>
  <si>
    <t>Masamura Nami 마사무라 나미</t>
  </si>
  <si>
    <t>진희진</t>
  </si>
  <si>
    <t>진희진 2/9</t>
  </si>
  <si>
    <t>장소원 3/2</t>
  </si>
  <si>
    <t xml:space="preserve">장소원 </t>
  </si>
  <si>
    <t xml:space="preserve">장소원 
김행운 계약취소 </t>
  </si>
  <si>
    <t>장소원 7/30
김행운 위약금</t>
  </si>
  <si>
    <t>유하선 8/24</t>
  </si>
  <si>
    <t>유하선</t>
  </si>
  <si>
    <t>유하선 12/31</t>
  </si>
  <si>
    <t>진근혜</t>
  </si>
  <si>
    <t>시립</t>
  </si>
  <si>
    <t>문예담 9/1</t>
  </si>
  <si>
    <t>문예담</t>
  </si>
  <si>
    <t>B-1) 욕실 (오)</t>
  </si>
  <si>
    <t>Anzhelika Kulchieva 8/31</t>
  </si>
  <si>
    <t>C-1) 욕실 (왼)</t>
  </si>
  <si>
    <t>Ellénore Smith 9/14</t>
  </si>
  <si>
    <t>Ellénore Smith</t>
  </si>
  <si>
    <t>D-1) 주방 뒤</t>
  </si>
  <si>
    <t>Kyla Cristine Choi 9/11</t>
  </si>
  <si>
    <t>Kyla Cristine Choi</t>
  </si>
  <si>
    <t>예스코 1200136866</t>
  </si>
  <si>
    <t>광흥</t>
  </si>
  <si>
    <t>이유진 1/31</t>
  </si>
  <si>
    <t>이유진 위약금
이예령 2/24</t>
  </si>
  <si>
    <t>이예령</t>
  </si>
  <si>
    <t>B-1) 거실 왼</t>
  </si>
  <si>
    <t>Kaitlin L. Shen</t>
  </si>
  <si>
    <t>최의정 3/1</t>
  </si>
  <si>
    <t>최의정</t>
  </si>
  <si>
    <t>C-1) 거실 오</t>
  </si>
  <si>
    <t>강경화</t>
  </si>
  <si>
    <t>D-1) 주방옆</t>
  </si>
  <si>
    <t>김은빛</t>
  </si>
  <si>
    <t>E-1) 2인실 왼</t>
  </si>
  <si>
    <t>문지현 2/1</t>
  </si>
  <si>
    <t>문지현 위약금
Kaitlin L. Shen 2/1</t>
  </si>
  <si>
    <t>E-2) 2인실 오</t>
  </si>
  <si>
    <t>관리사무소</t>
  </si>
  <si>
    <t>관리비 포함</t>
  </si>
  <si>
    <t>SK브로드</t>
  </si>
  <si>
    <t>와이지</t>
  </si>
  <si>
    <t xml:space="preserve">Yang venny </t>
  </si>
  <si>
    <t>Yang venny</t>
  </si>
  <si>
    <t>곽도현</t>
  </si>
  <si>
    <t>곽도현 2/28</t>
  </si>
  <si>
    <t>시바사키 마유 3/1</t>
  </si>
  <si>
    <t>시바사키 마유 SHIBASAKI</t>
  </si>
  <si>
    <t>시바사키 마유</t>
  </si>
  <si>
    <t>시바사키 마유 8/31
Anna-Lena Aicher 8/31</t>
  </si>
  <si>
    <t>Anna-Lena Aicher</t>
  </si>
  <si>
    <t>시바사키 마유 1/11</t>
  </si>
  <si>
    <t>시바사키 마유 2/29
박다빈 위약금
김도영 2/28</t>
  </si>
  <si>
    <t xml:space="preserve">김도영 </t>
  </si>
  <si>
    <t>Nguyen Ngoc Tram 진아</t>
  </si>
  <si>
    <t>샛별</t>
  </si>
  <si>
    <t>치보</t>
  </si>
  <si>
    <t>전경자</t>
  </si>
  <si>
    <t>A-1) 제일 안쪽 큰방</t>
  </si>
  <si>
    <t>Mariselle</t>
  </si>
  <si>
    <t>Mariselle 2/28</t>
  </si>
  <si>
    <t>Laura González Cerdán 3/1</t>
  </si>
  <si>
    <t>Laura González Cerdán</t>
  </si>
  <si>
    <t>Laura González Cerdán 8/31</t>
  </si>
  <si>
    <t>Laura González Cerdán 위약금
Jennifer Rivera 9/1</t>
  </si>
  <si>
    <t>Jennifer Rivera</t>
  </si>
  <si>
    <t>B-1) 화장실 앞방</t>
  </si>
  <si>
    <t>UTO MAREI(우토 마레이 )</t>
  </si>
  <si>
    <t>UTO MAREI(우토 마레이 ) 2/27</t>
  </si>
  <si>
    <t>박찬미 3/1</t>
  </si>
  <si>
    <t xml:space="preserve">박찬미 </t>
  </si>
  <si>
    <r>
      <rPr>
        <rFont val="Nanum Gothic"/>
        <color rgb="FF666666"/>
      </rPr>
      <t xml:space="preserve">박찬미 8/25
</t>
    </r>
    <r>
      <rPr>
        <rFont val="Nanum Gothic"/>
        <color rgb="FF434343"/>
      </rPr>
      <t>도유민 8/25</t>
    </r>
  </si>
  <si>
    <t>박찬미 위약금
도유민</t>
  </si>
  <si>
    <t>도유민</t>
  </si>
  <si>
    <t>C-1) 입구 오른쪽방</t>
  </si>
  <si>
    <t>HOANG MY BICH VAN</t>
  </si>
  <si>
    <t>D-1) 입구 왼쪽방</t>
  </si>
  <si>
    <t>조세라캠벨</t>
  </si>
  <si>
    <t>그린</t>
  </si>
  <si>
    <t>A 큰 1인실</t>
  </si>
  <si>
    <t>Samantha Conte</t>
  </si>
  <si>
    <t>Samantha Conte 3/16</t>
  </si>
  <si>
    <t>그린(서대문구 세무서길 43-13)</t>
  </si>
  <si>
    <t>NAN JINGWEN</t>
  </si>
  <si>
    <t>NAN JINGWEN 2/28</t>
  </si>
  <si>
    <t>C 2인실 왼</t>
  </si>
  <si>
    <t>C 2인실 오</t>
  </si>
  <si>
    <t>김예화</t>
  </si>
  <si>
    <t>김예화 3/29</t>
  </si>
  <si>
    <t>-</t>
  </si>
  <si>
    <t>아띠공</t>
  </si>
  <si>
    <t>한전 0114802349</t>
  </si>
  <si>
    <t>포함</t>
  </si>
  <si>
    <t>아띠관</t>
  </si>
  <si>
    <t>루프</t>
  </si>
  <si>
    <t>Anica Adam</t>
  </si>
  <si>
    <t xml:space="preserve">Anica Adam 8/18
Flora Abissa 8/28 </t>
  </si>
  <si>
    <t>Anica Adam 위약금1
Flora Abissa</t>
  </si>
  <si>
    <t>Anica Adam 위약금2
Flora Abissa</t>
  </si>
  <si>
    <t>Flora Abissa</t>
  </si>
  <si>
    <t>Flora Abissa 12/30</t>
  </si>
  <si>
    <t>루프(성동구 왕십리로 31가길 31)</t>
  </si>
  <si>
    <t>B 1인실 입구쪽</t>
  </si>
  <si>
    <t>최희순</t>
  </si>
  <si>
    <t xml:space="preserve">최희순 </t>
  </si>
  <si>
    <t>C1 2인실 왼</t>
  </si>
  <si>
    <t>홍정연</t>
  </si>
  <si>
    <t>C2 2인실 오</t>
  </si>
  <si>
    <t>이유나</t>
  </si>
  <si>
    <t>한전 01-0715-0868</t>
  </si>
  <si>
    <t>예스코 101686381/4</t>
  </si>
  <si>
    <t>무드</t>
  </si>
  <si>
    <t>A-1) 1인실</t>
  </si>
  <si>
    <t>Genesis Joely Castillo</t>
  </si>
  <si>
    <t>Genesis Joely Castillo 3/3
배채연(우주) 3/3</t>
  </si>
  <si>
    <t>배채연(우주)</t>
  </si>
  <si>
    <t>배채연(우주) 8/25</t>
  </si>
  <si>
    <t>Nadine</t>
  </si>
  <si>
    <t>Shan 10.3~24</t>
  </si>
  <si>
    <t>이준 ~11.29</t>
  </si>
  <si>
    <t>은지 ~12.9</t>
  </si>
  <si>
    <t>Vivian ~1.12</t>
  </si>
  <si>
    <t>C-1) 현관쪽 1인실</t>
  </si>
  <si>
    <t>강다인 2/25</t>
  </si>
  <si>
    <t>강다인</t>
  </si>
  <si>
    <t>강다인 7/14</t>
  </si>
  <si>
    <t>강다인 위약금</t>
  </si>
  <si>
    <t>이준 10.29~</t>
  </si>
  <si>
    <t>은지 11.29~</t>
  </si>
  <si>
    <t>Vivian 12.22~</t>
  </si>
  <si>
    <t>무드(성북구 동소문로23길 16-11 지층)</t>
  </si>
  <si>
    <t>B-1) 큰2인실 왼</t>
  </si>
  <si>
    <t>Megan Pabst 2/24</t>
  </si>
  <si>
    <t>kamielah 10.25~29</t>
  </si>
  <si>
    <t>B-2) 큰2인실 오</t>
  </si>
  <si>
    <t>Destiny fushia Many Shots</t>
  </si>
  <si>
    <t>Destiny fushia Many Shots(고고한국) 2/16</t>
  </si>
  <si>
    <t>유소이 3/1</t>
  </si>
  <si>
    <t>유소이</t>
  </si>
  <si>
    <t>유소이 8/25</t>
  </si>
  <si>
    <t>한전 01-0763-7932</t>
  </si>
  <si>
    <t>예스코 1016815368</t>
  </si>
  <si>
    <t>소녀</t>
  </si>
  <si>
    <t>A 1인실(다락방)</t>
  </si>
  <si>
    <t>BRENOT Coline(Marie)콜린</t>
  </si>
  <si>
    <t>BRENOT Coline(Marie)콜린 8/30
박지은 8/30</t>
  </si>
  <si>
    <t>BRENOT Coline(Marie)콜린 위약금1
박지은</t>
  </si>
  <si>
    <t>박지은</t>
  </si>
  <si>
    <t>소녀(성북구 동소문로13나길 71)</t>
  </si>
  <si>
    <t>B 1인실 (입구쪽)</t>
  </si>
  <si>
    <t>이동은</t>
  </si>
  <si>
    <t>이동은 2/28</t>
  </si>
  <si>
    <t>안서진 3/1</t>
  </si>
  <si>
    <t xml:space="preserve">안서진 </t>
  </si>
  <si>
    <t>안서진</t>
  </si>
  <si>
    <t>C 1인실 (복도끝)</t>
  </si>
  <si>
    <t>권혜원</t>
  </si>
  <si>
    <t>권혜원 2/25</t>
  </si>
  <si>
    <t>김다영 3/2</t>
  </si>
  <si>
    <t>김다영</t>
  </si>
  <si>
    <t>D1 2인실 오</t>
  </si>
  <si>
    <t>박준서</t>
  </si>
  <si>
    <t>박준서 2/29</t>
  </si>
  <si>
    <t>방지연 3/1</t>
  </si>
  <si>
    <t>방지연</t>
  </si>
  <si>
    <t>D2 2인실 왼</t>
  </si>
  <si>
    <t>장윤서 2/23</t>
  </si>
  <si>
    <t xml:space="preserve">장윤서 </t>
  </si>
  <si>
    <t>장윤서 8/25 
박유빈 8/25</t>
  </si>
  <si>
    <t>박유빈</t>
  </si>
  <si>
    <t>한전 0109273394</t>
  </si>
  <si>
    <t>예스코 1007627850</t>
  </si>
  <si>
    <t>허브</t>
  </si>
  <si>
    <t>A 1인실 거실옆</t>
  </si>
  <si>
    <t xml:space="preserve">이세연 </t>
  </si>
  <si>
    <t>이세연 2/28</t>
  </si>
  <si>
    <t>박하은 3/1</t>
  </si>
  <si>
    <t>박하은</t>
  </si>
  <si>
    <t>허브(성북구 보문로34다길 31)</t>
  </si>
  <si>
    <t>B 1인실 거실옆</t>
  </si>
  <si>
    <t>Chen Chumo</t>
  </si>
  <si>
    <t>이윤서</t>
  </si>
  <si>
    <t>이윤서 2/29</t>
  </si>
  <si>
    <t>한서아 3/2</t>
  </si>
  <si>
    <t>한서아</t>
  </si>
  <si>
    <t>박하은 2/29</t>
  </si>
  <si>
    <t>윤서연 3/1</t>
  </si>
  <si>
    <t xml:space="preserve">윤서연 </t>
  </si>
  <si>
    <t>한전 01-0762-2902</t>
  </si>
  <si>
    <t>예스코 1016448053</t>
  </si>
  <si>
    <t>단짠</t>
  </si>
  <si>
    <t>A 1인실(미닫이)</t>
  </si>
  <si>
    <t>에어비앤비</t>
  </si>
  <si>
    <t>김아영 2/24</t>
  </si>
  <si>
    <t xml:space="preserve">김아영 </t>
  </si>
  <si>
    <t>김아영 7/27</t>
  </si>
  <si>
    <t>김아영 위약금1
하현지 8/27</t>
  </si>
  <si>
    <t>김아영 위약금2
하현지</t>
  </si>
  <si>
    <t>하현지</t>
  </si>
  <si>
    <t>단짠(성북구 보문로30가길 17-8)</t>
  </si>
  <si>
    <t>B 1인실_큰방</t>
  </si>
  <si>
    <t>정선민 2/29</t>
  </si>
  <si>
    <t>정선민</t>
  </si>
  <si>
    <t>박주원 3/1</t>
  </si>
  <si>
    <t>박주원</t>
  </si>
  <si>
    <t>박주원 8/25</t>
  </si>
  <si>
    <t>Varvara 에비</t>
  </si>
  <si>
    <t>에비</t>
  </si>
  <si>
    <t>이한성 2/20</t>
  </si>
  <si>
    <t>이한성</t>
  </si>
  <si>
    <t>이한성 7월초</t>
  </si>
  <si>
    <t>이한성 8/25
박지은 8/16~30</t>
  </si>
  <si>
    <t>전기 0107611086</t>
  </si>
  <si>
    <t>예스코 1016736400</t>
  </si>
  <si>
    <t>수도</t>
  </si>
  <si>
    <t>(고정) 수도(매월3만</t>
  </si>
  <si>
    <t>다정</t>
  </si>
  <si>
    <t>채수정</t>
  </si>
  <si>
    <t>채수정 2/24</t>
  </si>
  <si>
    <t>이소율 3/2</t>
  </si>
  <si>
    <t>이소율</t>
  </si>
  <si>
    <t>다정(성북구 정릉로38다길 32 1층)</t>
  </si>
  <si>
    <t>이시연</t>
  </si>
  <si>
    <t>이시연 래미안 3/1</t>
  </si>
  <si>
    <t>이시연 래미안 위약금 1
이연미 3/3</t>
  </si>
  <si>
    <t xml:space="preserve">이시연 래미안 위약금 2
이연미 </t>
  </si>
  <si>
    <t>이연미</t>
  </si>
  <si>
    <t>박채린 3/3</t>
  </si>
  <si>
    <t>박채린</t>
  </si>
  <si>
    <t>박채린 10/31</t>
  </si>
  <si>
    <t>김시온</t>
  </si>
  <si>
    <t>한전 01-1623-7296</t>
  </si>
  <si>
    <t>예스코 1017070946</t>
  </si>
  <si>
    <t>고정</t>
  </si>
  <si>
    <t>아리</t>
  </si>
  <si>
    <t>A -1) 1인실 입구</t>
  </si>
  <si>
    <t>이소민 1/8</t>
  </si>
  <si>
    <t>민성현 2/20</t>
  </si>
  <si>
    <t xml:space="preserve">민성현 </t>
  </si>
  <si>
    <t>민성현</t>
  </si>
  <si>
    <t>최지연</t>
  </si>
  <si>
    <t>B-1) 2인실큰 왼</t>
  </si>
  <si>
    <t>최수진</t>
  </si>
  <si>
    <t>최수진 8/18</t>
  </si>
  <si>
    <t>B-2) 2인실큰 오</t>
  </si>
  <si>
    <t>이은비 2/14
김나영 2/27</t>
  </si>
  <si>
    <t>김나영</t>
  </si>
  <si>
    <t>김나영 8/25
정규연 8/25</t>
  </si>
  <si>
    <t>정규연</t>
  </si>
  <si>
    <t>C-1) 2인실작 왼</t>
  </si>
  <si>
    <t>이금남</t>
  </si>
  <si>
    <t>이금남 2/28</t>
  </si>
  <si>
    <t>Maria Lovat 3/13</t>
  </si>
  <si>
    <t>Maria Lovat</t>
  </si>
  <si>
    <t>C-2) 2인실작 오</t>
  </si>
  <si>
    <t>강민경 2/25</t>
  </si>
  <si>
    <t xml:space="preserve">강민경 </t>
  </si>
  <si>
    <t>강민경</t>
  </si>
  <si>
    <t>01-2640-2980</t>
  </si>
  <si>
    <t>예스코  1016606240</t>
  </si>
  <si>
    <t>한성</t>
  </si>
  <si>
    <t>A 1인실 창문방</t>
  </si>
  <si>
    <t>Elyna Joseph-Edouard</t>
  </si>
  <si>
    <t>Elyna Joseph-Edouard 5/31</t>
  </si>
  <si>
    <t>김지현 6/22</t>
  </si>
  <si>
    <t>김지현</t>
  </si>
  <si>
    <t>김지현 8/31</t>
  </si>
  <si>
    <t>김지현 위약금
박수현 9/1</t>
  </si>
  <si>
    <t>박수현</t>
  </si>
  <si>
    <t>B 1인실 복도방</t>
  </si>
  <si>
    <t xml:space="preserve">김현경 </t>
  </si>
  <si>
    <r>
      <rPr>
        <rFont val="Nanum Gothic"/>
        <b/>
        <color rgb="FF666666"/>
      </rPr>
      <t xml:space="preserve">김현경 2/13
</t>
    </r>
    <r>
      <rPr>
        <rFont val="Nanum Gothic"/>
        <b val="0"/>
        <color rgb="FF000000"/>
      </rPr>
      <t>Haifa Grefalda 2/22~2/28</t>
    </r>
  </si>
  <si>
    <t>백혜원 3/1</t>
  </si>
  <si>
    <t>백혜원</t>
  </si>
  <si>
    <t>백혜원 6/23</t>
  </si>
  <si>
    <t>백혜원 위약금1</t>
  </si>
  <si>
    <r>
      <rPr>
        <rFont val="Nanum Gothic"/>
        <color rgb="FF666666"/>
      </rPr>
      <t xml:space="preserve">백혜원 위약금2
</t>
    </r>
    <r>
      <rPr>
        <rFont val="Nanum Gothic"/>
        <b/>
        <color rgb="FFFF0000"/>
      </rPr>
      <t>박예림(우주) 8/22</t>
    </r>
  </si>
  <si>
    <t>박예림(우주) 9/30</t>
  </si>
  <si>
    <t>Lara Kroepelin 10/1</t>
  </si>
  <si>
    <t>Lara Kroepelin</t>
  </si>
  <si>
    <t>C 1인실 거실방 (베)</t>
  </si>
  <si>
    <t>전혜민</t>
  </si>
  <si>
    <t>전혜민 2/28</t>
  </si>
  <si>
    <t>Haifa Grefalda 3/1</t>
  </si>
  <si>
    <t>Haifa Grefalda</t>
  </si>
  <si>
    <t>Haifa Grefalda 7/31</t>
  </si>
  <si>
    <t>Sarah Kartika Dickhaeuser 8/24</t>
  </si>
  <si>
    <t>Sarah Kartika Dickhaeuser</t>
  </si>
  <si>
    <t>D1 2인실 왼</t>
  </si>
  <si>
    <t>박가온</t>
  </si>
  <si>
    <t>박가온 2/23</t>
  </si>
  <si>
    <t>손한결 3/1</t>
  </si>
  <si>
    <t>손한결</t>
  </si>
  <si>
    <t>D2 2인실 오</t>
  </si>
  <si>
    <t>김채연 2/29</t>
  </si>
  <si>
    <t>김채연 5/31</t>
  </si>
  <si>
    <t>김채연 위약금</t>
  </si>
  <si>
    <t>Lara Kroepelin 9/16</t>
  </si>
  <si>
    <t>01-0059-8658</t>
  </si>
  <si>
    <t>예스코  1016776703</t>
  </si>
  <si>
    <t>바우</t>
  </si>
  <si>
    <t>A 1인실(부엌쪽)</t>
  </si>
  <si>
    <t>~1/19</t>
  </si>
  <si>
    <t>2/3~3/2</t>
  </si>
  <si>
    <t>바우(영등포구 영신로 17)</t>
  </si>
  <si>
    <t>B 1인실 (복도쪽)</t>
  </si>
  <si>
    <t>C 1인실 (가운데)</t>
  </si>
  <si>
    <t>한전 01-02632180</t>
  </si>
  <si>
    <t>서울 6005661519</t>
  </si>
  <si>
    <t>샤샤</t>
  </si>
  <si>
    <t>A-1) 주방</t>
  </si>
  <si>
    <t>카이 리온</t>
  </si>
  <si>
    <t xml:space="preserve">카이 리온 </t>
  </si>
  <si>
    <t>카이 리온 KAI LION</t>
  </si>
  <si>
    <t>샤샤(영등포구 당산동1가 440)</t>
  </si>
  <si>
    <t>최지승 1/31
윤수빈 1/31 &gt; 잔금 미입금</t>
  </si>
  <si>
    <t>윤수빈</t>
  </si>
  <si>
    <t>조이현 3/1</t>
  </si>
  <si>
    <t xml:space="preserve">조이현 </t>
  </si>
  <si>
    <t>조이현</t>
  </si>
  <si>
    <t>샤샤(영등포구 당산로 16길 5-10 3층)</t>
  </si>
  <si>
    <t>C-1) 2인실 왼</t>
  </si>
  <si>
    <t>김채영</t>
  </si>
  <si>
    <t>한지원</t>
  </si>
  <si>
    <t>한지원 2/28</t>
  </si>
  <si>
    <t>윤수빈 8/31</t>
  </si>
  <si>
    <t>Jerilyn Moya-Hypolite 9/1</t>
  </si>
  <si>
    <t>Jerilyn Moya-Hypolite</t>
  </si>
  <si>
    <t>한전 0102667543</t>
  </si>
  <si>
    <t>서울 60063-49479</t>
  </si>
  <si>
    <t>브루</t>
  </si>
  <si>
    <t>A-1) 주방쪽</t>
  </si>
  <si>
    <t>권진송</t>
  </si>
  <si>
    <t>권진송 4/30</t>
  </si>
  <si>
    <t>이슭 5/1</t>
  </si>
  <si>
    <t>이슭</t>
  </si>
  <si>
    <t>브루(영등포구 국회대로29길 12 401)</t>
  </si>
  <si>
    <t>B-1) 거실쪽</t>
  </si>
  <si>
    <t xml:space="preserve">손채현 1/31
김다예 1/31 </t>
  </si>
  <si>
    <t xml:space="preserve">김다예 </t>
  </si>
  <si>
    <t>김다예 8/15
곽승혜 8/26</t>
  </si>
  <si>
    <t>곽승혜</t>
  </si>
  <si>
    <t>김유정 1/27</t>
  </si>
  <si>
    <t>김유정 위약금</t>
  </si>
  <si>
    <t>엄영아 3/30</t>
  </si>
  <si>
    <t xml:space="preserve">엄영아 </t>
  </si>
  <si>
    <t>엄영아 7/30</t>
  </si>
  <si>
    <t>김채영 8/10</t>
  </si>
  <si>
    <t>김지유 1/27</t>
  </si>
  <si>
    <t>김지유 위약금</t>
  </si>
  <si>
    <t>LI Ranbuni 6/1</t>
  </si>
  <si>
    <t>LI Ranbuni</t>
  </si>
  <si>
    <t>LI Ranbuni 10/29</t>
  </si>
  <si>
    <t>LI Ranbuni 11/30</t>
  </si>
  <si>
    <t>한전 01-5623-0342</t>
  </si>
  <si>
    <t>서울 6005854994</t>
  </si>
  <si>
    <t>아리수 034206854</t>
  </si>
  <si>
    <t>영삼</t>
  </si>
  <si>
    <t>A-1) 화장실 오른쪽</t>
  </si>
  <si>
    <t>이은지</t>
  </si>
  <si>
    <t>이은지 6/26
김지오 6/26</t>
  </si>
  <si>
    <t>김지오</t>
  </si>
  <si>
    <t>김지오 8/31</t>
  </si>
  <si>
    <t>오현빈 9/1</t>
  </si>
  <si>
    <t>오현빈</t>
  </si>
  <si>
    <t>양성원</t>
  </si>
  <si>
    <t>B-1) 입구쪽</t>
  </si>
  <si>
    <t>장미진</t>
  </si>
  <si>
    <t xml:space="preserve">장미진 </t>
  </si>
  <si>
    <t>장미진 12/29</t>
  </si>
  <si>
    <t>장미진 위약금1</t>
  </si>
  <si>
    <t>Duquesnoy Laurie 1/13</t>
  </si>
  <si>
    <t>김정민 2/24</t>
  </si>
  <si>
    <t xml:space="preserve">김정민 </t>
  </si>
  <si>
    <t>Duquesnoy Alexia 1/13</t>
  </si>
  <si>
    <t>김선주 3/2</t>
  </si>
  <si>
    <t>김선주</t>
  </si>
  <si>
    <t>김선주 8/24
오현빈 8/24</t>
  </si>
  <si>
    <t>01-0266-8819</t>
  </si>
  <si>
    <t>영이</t>
  </si>
  <si>
    <t>A-1) 입구쪽</t>
  </si>
  <si>
    <t>이아원  LI YA YUAN</t>
  </si>
  <si>
    <t>B-1) 화장실 오른쪽</t>
  </si>
  <si>
    <t>김연화</t>
  </si>
  <si>
    <t xml:space="preserve">김연화 </t>
  </si>
  <si>
    <t>조슬기 1/31</t>
  </si>
  <si>
    <t xml:space="preserve">조슬기 </t>
  </si>
  <si>
    <t>조슬기 7/31</t>
  </si>
  <si>
    <t>이효정 취소위약금</t>
  </si>
  <si>
    <t>박문선</t>
  </si>
  <si>
    <t>박문선 2/18</t>
  </si>
  <si>
    <t>박문선 위약금</t>
  </si>
  <si>
    <t>박소연 4/1</t>
  </si>
  <si>
    <t xml:space="preserve">박소연 </t>
  </si>
  <si>
    <t>박소연 7/31</t>
  </si>
  <si>
    <t>심지빈 취소위약금</t>
  </si>
  <si>
    <t>이예은 1/11</t>
  </si>
  <si>
    <t xml:space="preserve"> 01-0266-8837</t>
  </si>
  <si>
    <t>영영1</t>
  </si>
  <si>
    <t>A-1) 거실 오</t>
  </si>
  <si>
    <t>권서현</t>
  </si>
  <si>
    <t>B-1) 주방쪽</t>
  </si>
  <si>
    <t>김유미</t>
  </si>
  <si>
    <t>김유미 2/28</t>
  </si>
  <si>
    <t>이단비 3/1</t>
  </si>
  <si>
    <t>이단비</t>
  </si>
  <si>
    <t>권성원</t>
  </si>
  <si>
    <t>권성원 2/2
최설화 2/1</t>
  </si>
  <si>
    <t>최설화</t>
  </si>
  <si>
    <t>김성은</t>
  </si>
  <si>
    <t>김성은 2/2
이단비 2/12</t>
  </si>
  <si>
    <t>김혜은 3/15</t>
  </si>
  <si>
    <t>김혜은</t>
  </si>
  <si>
    <t>김혜은 8/25</t>
  </si>
  <si>
    <t>서울 01-02662405</t>
  </si>
  <si>
    <r>
      <rPr>
        <rFont val="Nanum Gothic"/>
        <color rgb="FF666666"/>
      </rPr>
      <t>(고정) 가스</t>
    </r>
    <r>
      <rPr>
        <rFont val="Nanum Gothic"/>
        <color rgb="FFFF0000"/>
      </rPr>
      <t xml:space="preserve"> (카드완)</t>
    </r>
  </si>
  <si>
    <t>주인고지(2개월에 한번)</t>
  </si>
  <si>
    <t>현대</t>
  </si>
  <si>
    <t>영영2</t>
  </si>
  <si>
    <t>POE</t>
  </si>
  <si>
    <t xml:space="preserve">B-1) 2인실 왼 </t>
  </si>
  <si>
    <t>김민채 1/12</t>
  </si>
  <si>
    <t>김민채 3/1</t>
  </si>
  <si>
    <t xml:space="preserve">김민채 </t>
  </si>
  <si>
    <t>김민채 12/20</t>
  </si>
  <si>
    <t>B-2) 2인실 오</t>
  </si>
  <si>
    <t>이시정 1/12</t>
  </si>
  <si>
    <t>이시정 3/1</t>
  </si>
  <si>
    <t xml:space="preserve">이시정 </t>
  </si>
  <si>
    <t>이시정 12/20</t>
  </si>
  <si>
    <t>계단청소</t>
  </si>
  <si>
    <t>서울 01-02662361</t>
  </si>
  <si>
    <t>(고정) 가스 (카드완)</t>
  </si>
  <si>
    <t>트리</t>
  </si>
  <si>
    <t>김지연</t>
  </si>
  <si>
    <t xml:space="preserve">김지연 </t>
  </si>
  <si>
    <t>B-1) 입구</t>
  </si>
  <si>
    <t>백혜인</t>
  </si>
  <si>
    <t>백혜인 7/31</t>
  </si>
  <si>
    <t>박진영 9/1</t>
  </si>
  <si>
    <t xml:space="preserve">박진영 </t>
  </si>
  <si>
    <t xml:space="preserve">박진영 12/31 </t>
  </si>
  <si>
    <t>전은채 1/5 위약금 1</t>
  </si>
  <si>
    <t>전은채 위약금 2</t>
  </si>
  <si>
    <t>이준하(우주) 4/6</t>
  </si>
  <si>
    <t xml:space="preserve">이준하(우주) </t>
  </si>
  <si>
    <t>이준하(우주) 10/5</t>
  </si>
  <si>
    <t>박준희(우주) 3/28</t>
  </si>
  <si>
    <t>박준희(우주) 6/28
임보람 6/28</t>
  </si>
  <si>
    <t>임보람</t>
  </si>
  <si>
    <t>월세포함</t>
  </si>
  <si>
    <t>01 0266 6385</t>
  </si>
  <si>
    <t>고정이자</t>
  </si>
  <si>
    <t>당산</t>
  </si>
  <si>
    <t>A-1) 거실옆</t>
  </si>
  <si>
    <t>유수정 9/29</t>
  </si>
  <si>
    <t>유수정</t>
  </si>
  <si>
    <t>권민경 9/12</t>
  </si>
  <si>
    <t>권민경</t>
  </si>
  <si>
    <t>C-1) 코너방</t>
  </si>
  <si>
    <t>유혜빈 10.9</t>
  </si>
  <si>
    <t>유혜빈</t>
  </si>
  <si>
    <t>D-1) 입구</t>
  </si>
  <si>
    <t>삼페이 유이 SAMPEI YUI 10.1</t>
  </si>
  <si>
    <t>삼페이 유이 SAMPEI YUI</t>
  </si>
  <si>
    <t xml:space="preserve">(고정) 전기 </t>
  </si>
  <si>
    <t xml:space="preserve">(고정) 가스 </t>
  </si>
  <si>
    <t>숙녀</t>
  </si>
  <si>
    <t>A 1인실 현관코너</t>
  </si>
  <si>
    <t>김경빈</t>
  </si>
  <si>
    <t>숙녀(마포구 만리재로20길 28)</t>
  </si>
  <si>
    <t>B 1인실 부엌안쪽</t>
  </si>
  <si>
    <t>홍서빈</t>
  </si>
  <si>
    <t>홍서빈 2/19
박주영 2/28</t>
  </si>
  <si>
    <t>박주영</t>
  </si>
  <si>
    <t>박주영 8/25
김수현 계약취소 위약금 50만</t>
  </si>
  <si>
    <t>Elizabeth Anne 9/24</t>
  </si>
  <si>
    <t>Elizabeth Anne</t>
  </si>
  <si>
    <t>Elizabeth Anne 12/1 위약금 1</t>
  </si>
  <si>
    <t>Elizabeth Anne 위약금 2</t>
  </si>
  <si>
    <t>C 미닫이</t>
  </si>
  <si>
    <t>이예림</t>
  </si>
  <si>
    <t>이예림 2/28</t>
  </si>
  <si>
    <t>Bodenghien Mélanie 3/11</t>
  </si>
  <si>
    <t>Bodenghien Mélanie</t>
  </si>
  <si>
    <t>Bodenghien Mélanie 8/31</t>
  </si>
  <si>
    <t>Mélanie 위약금1</t>
  </si>
  <si>
    <t>CHIANG MENG SYUAN</t>
  </si>
  <si>
    <t>CHIANG MENG SYUAN 2/18</t>
  </si>
  <si>
    <t>오하은 3/9</t>
  </si>
  <si>
    <t>오하은</t>
  </si>
  <si>
    <t>오하은 7/30</t>
  </si>
  <si>
    <t>오하은 위약금</t>
  </si>
  <si>
    <t>최지윤</t>
  </si>
  <si>
    <t>최지윤 2/18
김수진 2/29</t>
  </si>
  <si>
    <t>김수진</t>
  </si>
  <si>
    <t>김수진 8/18</t>
  </si>
  <si>
    <t>김수진 위약금1</t>
  </si>
  <si>
    <t>김수진 위약금2</t>
  </si>
  <si>
    <t>한전 01-0254-0733</t>
  </si>
  <si>
    <t>아리수 026523548</t>
  </si>
  <si>
    <t>원효1-2층</t>
  </si>
  <si>
    <t>도시가스 용산 6006107715</t>
  </si>
  <si>
    <t>수수료 변경</t>
  </si>
  <si>
    <t>원효지층</t>
  </si>
  <si>
    <t>동지</t>
  </si>
  <si>
    <t>강민경 1/31</t>
  </si>
  <si>
    <t>Gabrielle Bethards 3/1</t>
  </si>
  <si>
    <t xml:space="preserve">Gabrielle Bethards </t>
  </si>
  <si>
    <t xml:space="preserve">Gabrielle Bethards 8/29 </t>
  </si>
  <si>
    <t>Gabrielle Bethards 위약금
Cervesato Linda 9/2</t>
  </si>
  <si>
    <t>Cervesato Linda</t>
  </si>
  <si>
    <t xml:space="preserve">ICART Pyrène </t>
  </si>
  <si>
    <t>ICART Pyrène  5/31</t>
  </si>
  <si>
    <t>Petit Fleur 6/18</t>
  </si>
  <si>
    <t xml:space="preserve">Petit Fleur </t>
  </si>
  <si>
    <t>Petit Fleur 8/31</t>
  </si>
  <si>
    <t>Marie ILLOVSKY 9/12</t>
  </si>
  <si>
    <t>Marie ILLOVSKY</t>
  </si>
  <si>
    <t xml:space="preserve">María Prieto </t>
  </si>
  <si>
    <t>María Prieto 2/28</t>
  </si>
  <si>
    <t>오채영(우주) 3/1</t>
  </si>
  <si>
    <t>오채영(우주)</t>
  </si>
  <si>
    <t>BALABAN EYLUL</t>
  </si>
  <si>
    <r>
      <rPr>
        <rFont val="Nanum Gothic"/>
        <color rgb="FF666666"/>
      </rPr>
      <t xml:space="preserve">BALABAN EYLUL 7/26
</t>
    </r>
    <r>
      <rPr>
        <rFont val="Nanum Gothic"/>
        <color rgb="FF000000"/>
      </rPr>
      <t>구민지 7/31</t>
    </r>
  </si>
  <si>
    <t>BALABAN EYLUL 위약금
구민지</t>
  </si>
  <si>
    <t>구민지</t>
  </si>
  <si>
    <r>
      <rPr>
        <rFont val="Nanum Gothic"/>
        <color rgb="FF666666"/>
      </rPr>
      <t xml:space="preserve">구민지 12/31
</t>
    </r>
    <r>
      <rPr>
        <rFont val="Nanum Gothic"/>
        <color rgb="FFFF0000"/>
      </rPr>
      <t>Dubus Mélina Nathalie 12/31</t>
    </r>
  </si>
  <si>
    <t>Dubus Mélina Nathalie</t>
  </si>
  <si>
    <t>01 1880 1859</t>
  </si>
  <si>
    <t>자동이체 확인 &gt; 미확인!</t>
  </si>
  <si>
    <t>예스코 1017550029</t>
  </si>
  <si>
    <t>고객번호 031326502</t>
  </si>
  <si>
    <t>자동이체 확인</t>
  </si>
  <si>
    <t>동일</t>
  </si>
  <si>
    <t>손가형</t>
  </si>
  <si>
    <t>손가형 2/28
송민영 2/29</t>
  </si>
  <si>
    <t>송민영</t>
  </si>
  <si>
    <t>Francesca Moretti (고고한국)</t>
  </si>
  <si>
    <r>
      <rPr>
        <rFont val="Nanum Gothic"/>
        <color rgb="FF434343"/>
      </rPr>
      <t xml:space="preserve">Francesca </t>
    </r>
    <r>
      <rPr>
        <rFont val="Nanum Gothic"/>
        <color rgb="FF666666"/>
      </rPr>
      <t>Moretti (고고한국) 2/29
김연우 2/29</t>
    </r>
  </si>
  <si>
    <t xml:space="preserve">김연우 </t>
  </si>
  <si>
    <t>권유진 1/8</t>
  </si>
  <si>
    <t>권유진</t>
  </si>
  <si>
    <t>권유진 8/31</t>
  </si>
  <si>
    <t>Iris Hirrien 9/12</t>
  </si>
  <si>
    <t>Iris Hirrien</t>
  </si>
  <si>
    <t>박설빈</t>
  </si>
  <si>
    <t>01 1880 1831</t>
  </si>
  <si>
    <t>예스코 1017549973</t>
  </si>
  <si>
    <t>고객번호 031326613</t>
  </si>
  <si>
    <t>동이</t>
  </si>
  <si>
    <t xml:space="preserve">Ilaria Artioli 1/14
Benenitah Amankwah 1/14 </t>
  </si>
  <si>
    <t>Benenitah Amankwah</t>
  </si>
  <si>
    <t>Benenitah Amankwah 3/5
Jessica SUSINI 3/12</t>
  </si>
  <si>
    <t>Jessica SUSINI</t>
  </si>
  <si>
    <t>Jessica SUSINI 8/31
강가림 위약금</t>
  </si>
  <si>
    <t>Jessica SUSINI 위약금1
Carla Domínguez Gamo 9/14</t>
  </si>
  <si>
    <t>Jessica SUSINI 위약금2
Carla Domínguez Gamo</t>
  </si>
  <si>
    <t>Carla Domínguez Gamo</t>
  </si>
  <si>
    <t>Norroy Maëlle (고고한국)</t>
  </si>
  <si>
    <t>Norroy Maëlle (고고한국) 7/31</t>
  </si>
  <si>
    <t>Maria Vittoria Birsa 8/1</t>
  </si>
  <si>
    <t>Maria Vittoria Birsa</t>
  </si>
  <si>
    <t>Benenitah Amankwah 1/13</t>
  </si>
  <si>
    <t>Sierra Larsen  3/1</t>
  </si>
  <si>
    <t xml:space="preserve">Sierra Larsen </t>
  </si>
  <si>
    <t>Sierra Larsen  6/14 
Maria Vittoria Birsa 6/14</t>
  </si>
  <si>
    <t>Maria Vittoria Birsa 7/31</t>
  </si>
  <si>
    <t>Rizzati Fiamma 9/14</t>
  </si>
  <si>
    <t>Rizzati Fiamma</t>
  </si>
  <si>
    <t>Isabel Dell Flores 3/1</t>
  </si>
  <si>
    <t>Isabel Dell Flores</t>
  </si>
  <si>
    <t xml:space="preserve">Isabel Dell Flores 6/14
Asia 6/14 </t>
  </si>
  <si>
    <t>Asia</t>
  </si>
  <si>
    <t>01 1880 1813</t>
  </si>
  <si>
    <t>예스코 1017549972</t>
  </si>
  <si>
    <t>고객번호 031326695</t>
  </si>
  <si>
    <t>동삼</t>
  </si>
  <si>
    <t>안유빈</t>
  </si>
  <si>
    <t>안유빈 2/28
최승빈 2/28</t>
  </si>
  <si>
    <t>안유빈 위약금
최승빈</t>
  </si>
  <si>
    <t>최승빈</t>
  </si>
  <si>
    <t>이미송 2/28</t>
  </si>
  <si>
    <t>이미송</t>
  </si>
  <si>
    <t>Sierra Larsen</t>
  </si>
  <si>
    <t>Sierra Larsen 2/28
김규리 2/28</t>
  </si>
  <si>
    <t>김규리</t>
  </si>
  <si>
    <t>Isabel Dell Flores 2/28
서지은 2/28</t>
  </si>
  <si>
    <t>서지은</t>
  </si>
  <si>
    <t>01 1880 1797</t>
  </si>
  <si>
    <t>예스코 1017550028</t>
  </si>
  <si>
    <t>고객번호 031326734</t>
  </si>
  <si>
    <t>동동</t>
  </si>
  <si>
    <t>Violaine Natacha Barral</t>
  </si>
  <si>
    <t>Violaine Natacha Barral 8/31
Sarah Declercq 8/31</t>
  </si>
  <si>
    <t>Sarah Declercq</t>
  </si>
  <si>
    <t>Sarah Declercq 12/27</t>
  </si>
  <si>
    <t>A-1 S</t>
  </si>
  <si>
    <t>구보람</t>
  </si>
  <si>
    <t>구보람 2/28
Kattia Gloria 케티아 2/28</t>
  </si>
  <si>
    <t>Kattia Gloria 케티아</t>
  </si>
  <si>
    <t>A-2 S</t>
  </si>
  <si>
    <t>진슬인(Tristan Jesslyn) 1/31</t>
  </si>
  <si>
    <t>진슬인(Tristan Jesslyn)</t>
  </si>
  <si>
    <t>B-1 L</t>
  </si>
  <si>
    <t xml:space="preserve">Jerilyn Moya-Hypolite </t>
  </si>
  <si>
    <t>Jerilyn Moya-Hypolite  8/31
Callista Chrysilla 8/31</t>
  </si>
  <si>
    <t>Callista Chrysilla</t>
  </si>
  <si>
    <t>B-2 L</t>
  </si>
  <si>
    <t>서희종</t>
  </si>
  <si>
    <t>서희종 4/30</t>
  </si>
  <si>
    <t>서희종 위약금 1</t>
  </si>
  <si>
    <t>서희종 위약금 2
Laurine BLANCHON 6/11</t>
  </si>
  <si>
    <t>Laurine BLANCHON</t>
  </si>
  <si>
    <t xml:space="preserve">Laurine BLANCHON 8/31
Ellisa Hidayat 8/31 </t>
  </si>
  <si>
    <t>Ellisa Hidayat</t>
  </si>
  <si>
    <t>01 5817 5773</t>
  </si>
  <si>
    <t>예스코 1017548878</t>
  </si>
  <si>
    <t>확인?</t>
  </si>
  <si>
    <t>아띠 인터넷.정수기</t>
  </si>
  <si>
    <t>아띠 전기.가스.수도</t>
  </si>
  <si>
    <t>아띠 관리지출합계</t>
  </si>
  <si>
    <t xml:space="preserve"> </t>
  </si>
  <si>
    <t>투자자  :</t>
  </si>
  <si>
    <t>운영자 수수료  :</t>
  </si>
  <si>
    <t>아띠 매출</t>
  </si>
  <si>
    <t>공동 매출</t>
  </si>
  <si>
    <t>이름 :</t>
  </si>
  <si>
    <t>조경주</t>
  </si>
  <si>
    <t xml:space="preserve">첫달 월세  </t>
  </si>
  <si>
    <t xml:space="preserve">퇴실 월세  </t>
  </si>
  <si>
    <t>이승민,공진</t>
  </si>
  <si>
    <t xml:space="preserve">외국인 계좌 </t>
  </si>
  <si>
    <t>Kakao bank 3333-12-6297317  이승민 Lee Seungmin</t>
  </si>
  <si>
    <t xml:space="preserve">Phone : 010-7588-5201, </t>
  </si>
  <si>
    <t xml:space="preserve">Birth : 1974-Nov-04, </t>
  </si>
  <si>
    <t xml:space="preserve">email : hooniga2@naver.com        </t>
  </si>
  <si>
    <t xml:space="preserve">입주일자 : </t>
  </si>
  <si>
    <t>첫달 관리비</t>
  </si>
  <si>
    <t xml:space="preserve">퇴실 관리비 </t>
  </si>
  <si>
    <t>회기하우스</t>
  </si>
  <si>
    <t>관리비계좌</t>
  </si>
  <si>
    <t>카카오뱅크 박미선 3333-1011-09421</t>
  </si>
  <si>
    <t>한달 기준일 :</t>
  </si>
  <si>
    <t>잔금</t>
  </si>
  <si>
    <t>지역</t>
  </si>
  <si>
    <t>자리</t>
  </si>
  <si>
    <t>계약자</t>
  </si>
  <si>
    <t>계약시작</t>
  </si>
  <si>
    <t>계약종료</t>
  </si>
  <si>
    <t>추가사항</t>
  </si>
  <si>
    <t>공실</t>
  </si>
  <si>
    <t>보증금</t>
  </si>
  <si>
    <t>6개월 가격</t>
  </si>
  <si>
    <t>할인</t>
  </si>
  <si>
    <t>월세</t>
  </si>
  <si>
    <t>관리비</t>
  </si>
  <si>
    <t>생년월일</t>
  </si>
  <si>
    <t>연락처</t>
  </si>
  <si>
    <t>주소</t>
  </si>
  <si>
    <t>계좌</t>
  </si>
  <si>
    <t>강남구</t>
  </si>
  <si>
    <t>A-1) 1인실 우측</t>
  </si>
  <si>
    <t>1인실</t>
  </si>
  <si>
    <t>柯吟 周 Ko Yin Zhou (엔코)</t>
  </si>
  <si>
    <t>zke86090@gmail.com</t>
  </si>
  <si>
    <t>서울시 강남구 논현동 104-13 201호</t>
  </si>
  <si>
    <t>워너비하우스</t>
  </si>
  <si>
    <t>3333-08-6259-701 카카오뱅크 강연수</t>
  </si>
  <si>
    <t>010-9207-2588</t>
  </si>
  <si>
    <t>747-14-01518</t>
  </si>
  <si>
    <t>아띠</t>
  </si>
  <si>
    <t>B-1) 1인실 좌측</t>
  </si>
  <si>
    <t>RAMADANTI ALFIYYAH ZAHRA 정아라</t>
  </si>
  <si>
    <t>A룸 이동희망</t>
  </si>
  <si>
    <t>florentina.roiciu@gmail.com</t>
  </si>
  <si>
    <t>C-1) 2인실 오</t>
  </si>
  <si>
    <t>2인실</t>
  </si>
  <si>
    <t>유은선</t>
  </si>
  <si>
    <t>정상퇴실 4.30</t>
  </si>
  <si>
    <t>공실예정</t>
  </si>
  <si>
    <t>070501-</t>
  </si>
  <si>
    <t>010-7488-6879</t>
  </si>
  <si>
    <t>C-2) 2인실 왼 (창가)</t>
  </si>
  <si>
    <t>한찬유</t>
  </si>
  <si>
    <t>970604-</t>
  </si>
  <si>
    <t>010-6765-6443</t>
  </si>
  <si>
    <t>Maïa Redonnet(엔코)</t>
  </si>
  <si>
    <t>redonnet.maia@gmail.com</t>
  </si>
  <si>
    <t>서울시 강남구 논현동139-18 3층</t>
  </si>
  <si>
    <t>영동하우스</t>
  </si>
  <si>
    <t>신협 저축은행 이승민 132 099 791064</t>
  </si>
  <si>
    <t>010-7588-5201</t>
  </si>
  <si>
    <t>1974-11-04</t>
  </si>
  <si>
    <t>엔코</t>
  </si>
  <si>
    <t>Maria Katharina Henneken(엔코)</t>
  </si>
  <si>
    <t>makatharinah@gmail.com</t>
  </si>
  <si>
    <t>우주</t>
  </si>
  <si>
    <t>C-1) 윗층 왼쪽</t>
  </si>
  <si>
    <t>Adia Arthur(엔코)</t>
  </si>
  <si>
    <t>941127-</t>
  </si>
  <si>
    <t>010-9429-9347</t>
  </si>
  <si>
    <t>870827-</t>
  </si>
  <si>
    <t>010-8682-2307</t>
  </si>
  <si>
    <t>즉시입주</t>
  </si>
  <si>
    <t>고고</t>
  </si>
  <si>
    <t>040521-</t>
  </si>
  <si>
    <t>010-5695-7033</t>
  </si>
  <si>
    <t>서울시 강남구 봉은사로 78길 17 3층</t>
  </si>
  <si>
    <t>삼중하우스</t>
  </si>
  <si>
    <t>저축은행(사이다뱅크)  02810-13-9166591 이승민</t>
  </si>
  <si>
    <t>차지수</t>
  </si>
  <si>
    <t>010312-</t>
  </si>
  <si>
    <t>010-2719-1484</t>
  </si>
  <si>
    <t>김유미나</t>
  </si>
  <si>
    <t>yuminakim@gmail.com</t>
  </si>
  <si>
    <t>Dafne Carolina Castillo Normandía(고고)</t>
  </si>
  <si>
    <t>N19900233</t>
  </si>
  <si>
    <t>dccn7@yahoo.com</t>
  </si>
  <si>
    <t>Gregoratti Greta(엔코)</t>
  </si>
  <si>
    <t>E-1) 입구방 왼쪽</t>
  </si>
  <si>
    <t>나선일</t>
  </si>
  <si>
    <t>960503-</t>
  </si>
  <si>
    <t>010-2731-1312</t>
  </si>
  <si>
    <t>E-2) 입구방 오른쪽</t>
  </si>
  <si>
    <t>Caterina Ventrella(고고)</t>
  </si>
  <si>
    <t>YC2595471</t>
  </si>
  <si>
    <t xml:space="preserve">caterinaventrella98@gmail.com </t>
  </si>
  <si>
    <t>860901-</t>
  </si>
  <si>
    <t>010-2694-7990</t>
  </si>
  <si>
    <t>서영은</t>
  </si>
  <si>
    <t>20DF1917</t>
  </si>
  <si>
    <t>party.camille@orange.fr</t>
  </si>
  <si>
    <t>서울시 서초구 사평대로53길 97 유진빌라 C동 3층</t>
  </si>
  <si>
    <t>반포하우스</t>
  </si>
  <si>
    <t>국민 이승민 782702-04-131415</t>
  </si>
  <si>
    <t>이하림</t>
  </si>
  <si>
    <t>조은 중도퇴실 5.17</t>
  </si>
  <si>
    <t>930506-</t>
  </si>
  <si>
    <t>010-3951-1170</t>
  </si>
  <si>
    <t>010316-</t>
  </si>
  <si>
    <t>010-2821-6195</t>
  </si>
  <si>
    <t>김여원</t>
  </si>
  <si>
    <t>940707-</t>
  </si>
  <si>
    <t>010-7521-7872</t>
  </si>
  <si>
    <t>정세아</t>
  </si>
  <si>
    <t>051115-</t>
  </si>
  <si>
    <t>010-2723-5526</t>
  </si>
  <si>
    <t>Eden Qazi</t>
  </si>
  <si>
    <t>edenqazi.eq@gmail.com</t>
  </si>
  <si>
    <t>국민은행 이승민 782702-04-131415</t>
  </si>
  <si>
    <t>I-1) 2인실 왼</t>
  </si>
  <si>
    <t>장원영</t>
  </si>
  <si>
    <t>031202-</t>
  </si>
  <si>
    <t>010-2502-4559</t>
  </si>
  <si>
    <t>J-1) 2인실 오</t>
  </si>
  <si>
    <t>880126-</t>
  </si>
  <si>
    <t>010-2050-2037</t>
  </si>
  <si>
    <t>이정연(Brooklyn)</t>
  </si>
  <si>
    <t>010-2400-6260</t>
  </si>
  <si>
    <t xml:space="preserve">서울시 강남구 논현동 16-33 5층 501호 </t>
  </si>
  <si>
    <t>신사하우스</t>
  </si>
  <si>
    <t>유재훈(곰곰쉐어)</t>
  </si>
  <si>
    <t>카카오뱅크 유재훈 3333-30-2727013</t>
  </si>
  <si>
    <t>010-8682-8299</t>
  </si>
  <si>
    <t>1984-01-06</t>
  </si>
  <si>
    <t>황채원</t>
  </si>
  <si>
    <t>000313-</t>
  </si>
  <si>
    <t>010-8372-8901</t>
  </si>
  <si>
    <t>진승연</t>
  </si>
  <si>
    <t xml:space="preserve"> 정상퇴실 4.11</t>
  </si>
  <si>
    <t>010-7209-6001</t>
  </si>
  <si>
    <t>Nguyen Gia Han(엔코)</t>
  </si>
  <si>
    <t>준오헤어 양재 1호점-김태희/구채민</t>
  </si>
  <si>
    <t xml:space="preserve">E-2) 1.5인실 오 (붙) </t>
  </si>
  <si>
    <t>준오헤어 양재 1호점-윤서희</t>
  </si>
  <si>
    <t>010-3002-4782</t>
  </si>
  <si>
    <t>이리안(우주)</t>
  </si>
  <si>
    <t>071007-</t>
  </si>
  <si>
    <t>010-7284-6470</t>
  </si>
  <si>
    <t>임가람(우주)</t>
  </si>
  <si>
    <t>Fulvia Verna</t>
  </si>
  <si>
    <t>정상퇴실 5.31</t>
  </si>
  <si>
    <t>YC7661784</t>
  </si>
  <si>
    <t>fulvia.verna@gmail.com</t>
  </si>
  <si>
    <t>서울시 강남구 역삼동 697-49 302호</t>
  </si>
  <si>
    <t>선릉하우스</t>
  </si>
  <si>
    <t>우리은행 이효길 1002 180 157701</t>
  </si>
  <si>
    <t>010-5663-1499</t>
  </si>
  <si>
    <t>1983-09-12</t>
  </si>
  <si>
    <t>020514-</t>
  </si>
  <si>
    <t>010-6435-4709</t>
  </si>
  <si>
    <t>C-1 2인실 (왼)</t>
  </si>
  <si>
    <t>020627-</t>
  </si>
  <si>
    <t>010-2858-4098</t>
  </si>
  <si>
    <t>C2- 2인실 (오)</t>
  </si>
  <si>
    <t>최연지</t>
  </si>
  <si>
    <t>990705-</t>
  </si>
  <si>
    <t>010-3446-8754</t>
  </si>
  <si>
    <t>관악구</t>
  </si>
  <si>
    <t xml:space="preserve">A 1인실 입구 </t>
  </si>
  <si>
    <t>040628-</t>
  </si>
  <si>
    <t>010-2034-4602</t>
  </si>
  <si>
    <t>서울시 관악구 신림동 1517-8 2-2호</t>
  </si>
  <si>
    <t>대학하우스</t>
  </si>
  <si>
    <t>케이뱅크 박성운 100 169 980138</t>
  </si>
  <si>
    <t>010-3000-5732</t>
  </si>
  <si>
    <t>1983-11-24</t>
  </si>
  <si>
    <t>000901-</t>
  </si>
  <si>
    <t>010-2114-2662</t>
  </si>
  <si>
    <t>구서영</t>
  </si>
  <si>
    <t>060316-</t>
  </si>
  <si>
    <t>010-3360-2685</t>
  </si>
  <si>
    <t>020326-</t>
  </si>
  <si>
    <t>010-9207-3616</t>
  </si>
  <si>
    <t>서울시 관악구 봉천동 1667-57 1층</t>
  </si>
  <si>
    <t>샤네하우스</t>
  </si>
  <si>
    <t>우리은행 김태화 1002-957-974667</t>
  </si>
  <si>
    <t>010-3369-9406</t>
  </si>
  <si>
    <t>1978-10-09</t>
  </si>
  <si>
    <t>공동</t>
  </si>
  <si>
    <t>020302-</t>
  </si>
  <si>
    <t>010-4908-8036</t>
  </si>
  <si>
    <t>C-1 2인실 오</t>
  </si>
  <si>
    <t>최솔</t>
  </si>
  <si>
    <t>051212-</t>
  </si>
  <si>
    <t>010-5342-0270</t>
  </si>
  <si>
    <t>C-2) 2인실 왼</t>
  </si>
  <si>
    <t>김위</t>
  </si>
  <si>
    <t>910914-</t>
  </si>
  <si>
    <t>010-5514-0222</t>
  </si>
  <si>
    <t xml:space="preserve">서울시 관악구 봉천동 1686-14 401호 </t>
  </si>
  <si>
    <t>낙성하우스</t>
  </si>
  <si>
    <t>카카오뱅크 유재훈 3333-01-0839-846</t>
  </si>
  <si>
    <t>여민서</t>
  </si>
  <si>
    <t>051128-</t>
  </si>
  <si>
    <t>010-8653-2860</t>
  </si>
  <si>
    <t>정상퇴실 6.30</t>
  </si>
  <si>
    <t>GC180297</t>
  </si>
  <si>
    <t>sofiafutuima@gmail.com</t>
  </si>
  <si>
    <t>강수민</t>
  </si>
  <si>
    <t>050426-</t>
  </si>
  <si>
    <t>010-2403-0426</t>
  </si>
  <si>
    <t>이다현</t>
  </si>
  <si>
    <t>050906-</t>
  </si>
  <si>
    <t>010-4675-8107</t>
  </si>
  <si>
    <t>구로구</t>
  </si>
  <si>
    <t>운영종료</t>
  </si>
  <si>
    <t>25LA07650</t>
  </si>
  <si>
    <t>elia.le-guern@nantes.archi</t>
  </si>
  <si>
    <t>서울시 관악구 조원로6길 41-7 3층</t>
  </si>
  <si>
    <t>구디하우스</t>
  </si>
  <si>
    <t>(주)공진</t>
  </si>
  <si>
    <t xml:space="preserve">신한은행 100-034-265800 (주)공진                        </t>
  </si>
  <si>
    <t>887-81-01803</t>
  </si>
  <si>
    <t>doussetdara@gmail.com</t>
  </si>
  <si>
    <t>970731-6200114</t>
  </si>
  <si>
    <t>010-9631-9707</t>
  </si>
  <si>
    <t>E-1) 화장실 왼쪽 좌측 창</t>
  </si>
  <si>
    <t>25AC47850</t>
  </si>
  <si>
    <t>Lola.burdin@nantes.archi</t>
  </si>
  <si>
    <t>박민영</t>
  </si>
  <si>
    <t>021201-</t>
  </si>
  <si>
    <t>010-9376-1703</t>
  </si>
  <si>
    <t>서울시 영등포구 도림동 820 쌍용플래티넘시티 104동 303호</t>
  </si>
  <si>
    <t>쌍용하우스</t>
  </si>
  <si>
    <t>119-86-64660</t>
  </si>
  <si>
    <t>이수현</t>
  </si>
  <si>
    <t>010923-</t>
  </si>
  <si>
    <t>010-6565-7605</t>
  </si>
  <si>
    <t>991118-</t>
  </si>
  <si>
    <t>010-6402-0380</t>
  </si>
  <si>
    <t>전수연</t>
  </si>
  <si>
    <t>050628-</t>
  </si>
  <si>
    <t>010-9404-0570</t>
  </si>
  <si>
    <t>황채련</t>
  </si>
  <si>
    <t>041207-</t>
  </si>
  <si>
    <t xml:space="preserve"> 010-6525-1207</t>
  </si>
  <si>
    <t>동대문구</t>
  </si>
  <si>
    <t>Desirée Mattioli</t>
  </si>
  <si>
    <t>YB8628014</t>
  </si>
  <si>
    <t>mattioli.desiree1997@gmail.com</t>
  </si>
  <si>
    <t>서울시 동대문구 이문동 256-214 301호</t>
  </si>
  <si>
    <t>이문하우스</t>
  </si>
  <si>
    <t>K3009542G (싱가폴)</t>
  </si>
  <si>
    <t>yeo.jing.ying@gmail.com</t>
  </si>
  <si>
    <t>진혜린</t>
  </si>
  <si>
    <t>040301-</t>
  </si>
  <si>
    <t>010-2988-5015</t>
  </si>
  <si>
    <t>(주)공진 이승민</t>
  </si>
  <si>
    <t>Emily(맘스테이)</t>
  </si>
  <si>
    <t>C7L8VL41N</t>
  </si>
  <si>
    <t>emilylo@gmx.net</t>
  </si>
  <si>
    <t>배서희</t>
  </si>
  <si>
    <t>060812-</t>
  </si>
  <si>
    <t>010-2212-0570</t>
  </si>
  <si>
    <t>윤석경</t>
  </si>
  <si>
    <t>061215-</t>
  </si>
  <si>
    <t>010-8688-0617</t>
  </si>
  <si>
    <t>서울시 동대문구 이문동 331-4 2층</t>
  </si>
  <si>
    <t>빠방하우스</t>
  </si>
  <si>
    <t>양이선</t>
  </si>
  <si>
    <t>061210-</t>
  </si>
  <si>
    <t>010-4939-5443</t>
  </si>
  <si>
    <t>040124-8780043</t>
  </si>
  <si>
    <t>010-8881-2281</t>
  </si>
  <si>
    <t>임보민</t>
  </si>
  <si>
    <t>051016-</t>
  </si>
  <si>
    <t>010-6516-9598</t>
  </si>
  <si>
    <t>박유현</t>
  </si>
  <si>
    <t>010-7760-9879</t>
  </si>
  <si>
    <t>이영채</t>
  </si>
  <si>
    <t>040416-</t>
  </si>
  <si>
    <t>010-4599-8978</t>
  </si>
  <si>
    <t>서울시 동대문구 서울시립대로 75 전농미소지움아파트 103동 101호</t>
  </si>
  <si>
    <t>청량하우스</t>
  </si>
  <si>
    <t>장미</t>
  </si>
  <si>
    <t>950901-</t>
  </si>
  <si>
    <t>010-3051-7353</t>
  </si>
  <si>
    <t>이행진 (50만원 돈 빌려감)</t>
  </si>
  <si>
    <t>040730-</t>
  </si>
  <si>
    <t>010-2054-4210</t>
  </si>
  <si>
    <t>황채영</t>
  </si>
  <si>
    <t>980707-</t>
  </si>
  <si>
    <t>010-5106-8748</t>
  </si>
  <si>
    <t>E-1) 화장실 옆 붙박이장 오른쪽</t>
  </si>
  <si>
    <t>유영서</t>
  </si>
  <si>
    <t>010-9532-0861</t>
  </si>
  <si>
    <t>F-1) 화장실 옆 왼쪽</t>
  </si>
  <si>
    <r>
      <rPr>
        <rFont val="Noto Sans KR"/>
        <color rgb="FF434343"/>
        <sz val="9.0"/>
      </rPr>
      <t xml:space="preserve">이신영 </t>
    </r>
    <r>
      <rPr>
        <rFont val="Noto Sans KR"/>
        <b/>
        <color rgb="FFFF0000"/>
        <sz val="9.0"/>
      </rPr>
      <t>(요주의 대상 갱신 고려)</t>
    </r>
  </si>
  <si>
    <t xml:space="preserve">중도퇴실 </t>
  </si>
  <si>
    <t>970702-</t>
  </si>
  <si>
    <t>010-7518-2434</t>
  </si>
  <si>
    <t>김세진</t>
  </si>
  <si>
    <t>060921-</t>
  </si>
  <si>
    <t>010-4126-7374</t>
  </si>
  <si>
    <t>서울시 동대문구 전농로38길 76-5 2층</t>
  </si>
  <si>
    <t>휘경하우스</t>
  </si>
  <si>
    <t>신한 100 034 921723 (주)공진</t>
  </si>
  <si>
    <t>이주영</t>
  </si>
  <si>
    <t>031007-</t>
  </si>
  <si>
    <t>010-5358-5613</t>
  </si>
  <si>
    <t>C-1) 거실옆 안쪽, 왼쪽</t>
  </si>
  <si>
    <t>박한별</t>
  </si>
  <si>
    <t>030509-</t>
  </si>
  <si>
    <t>010-2966-7428</t>
  </si>
  <si>
    <t>C-2) 거실옆 문쪽, 오른쪽</t>
  </si>
  <si>
    <t>C30KLCVT6</t>
  </si>
  <si>
    <t>010-5732-0241</t>
  </si>
  <si>
    <t>000915-</t>
  </si>
  <si>
    <t>stephanie150920@gmail.com</t>
  </si>
  <si>
    <t>서울시 동대문구 휘경동 281-30 401호</t>
  </si>
  <si>
    <t>박미선</t>
  </si>
  <si>
    <t>KAKAOBANK 3333-2699-22840  박미선</t>
  </si>
  <si>
    <t>010-5466-1340</t>
  </si>
  <si>
    <t>1981-08-17</t>
  </si>
  <si>
    <t>B-1 관리X</t>
  </si>
  <si>
    <t>010-8407-3558</t>
  </si>
  <si>
    <t>카카오뱅크 3333-2699-22840  박미선</t>
  </si>
  <si>
    <t>050122-</t>
  </si>
  <si>
    <t>010-2161-8940</t>
  </si>
  <si>
    <t xml:space="preserve">C-1 </t>
  </si>
  <si>
    <t>송윤서</t>
  </si>
  <si>
    <t>060512-</t>
  </si>
  <si>
    <t>010-3202-6476</t>
  </si>
  <si>
    <t xml:space="preserve">C-2 </t>
  </si>
  <si>
    <t>이지원</t>
  </si>
  <si>
    <t>060517-</t>
  </si>
  <si>
    <t>010-5687-4347</t>
  </si>
  <si>
    <t>오은채</t>
  </si>
  <si>
    <t>060109-</t>
  </si>
  <si>
    <t>010-6785-7706</t>
  </si>
  <si>
    <t>서울시 동대문구 망우로12나길 43 B2호</t>
  </si>
  <si>
    <t>시립하우스</t>
  </si>
  <si>
    <t>(주)나마네</t>
  </si>
  <si>
    <t>(주)나마네 신한 140-014-832673</t>
  </si>
  <si>
    <t>Claybaugh, Genevieve Mary</t>
  </si>
  <si>
    <t>gmclaybaugh@gmail.com</t>
  </si>
  <si>
    <t>김민서</t>
  </si>
  <si>
    <t>010-7103-9871</t>
  </si>
  <si>
    <t>송지윤</t>
  </si>
  <si>
    <t>070216-</t>
  </si>
  <si>
    <t>010-9447-4841</t>
  </si>
  <si>
    <t>외대</t>
  </si>
  <si>
    <t xml:space="preserve">A-1) </t>
  </si>
  <si>
    <t>서지희</t>
  </si>
  <si>
    <t>061130-</t>
  </si>
  <si>
    <t>010-9220-7495</t>
  </si>
  <si>
    <t xml:space="preserve">서울시 동대문구 이문동 326-8 3층 </t>
  </si>
  <si>
    <t>외대하우스</t>
  </si>
  <si>
    <t xml:space="preserve">B-1) </t>
  </si>
  <si>
    <t>윤다운</t>
  </si>
  <si>
    <t>071231-</t>
  </si>
  <si>
    <t>010-5816-1025</t>
  </si>
  <si>
    <t xml:space="preserve">C-1) </t>
  </si>
  <si>
    <t>황은우</t>
  </si>
  <si>
    <t>010-4610-5386</t>
  </si>
  <si>
    <t>D-1)  왼쪽</t>
  </si>
  <si>
    <t>고사랑</t>
  </si>
  <si>
    <t>070117-</t>
  </si>
  <si>
    <t>010-2275-4017</t>
  </si>
  <si>
    <r>
      <rPr>
        <rFont val="Noto Sans KR"/>
        <color rgb="FF434343"/>
        <sz val="9.0"/>
      </rPr>
      <t>이채원</t>
    </r>
    <r>
      <rPr>
        <rFont val="Noto Sans KR"/>
        <b/>
        <color rgb="FFFF0000"/>
        <sz val="9.0"/>
      </rPr>
      <t xml:space="preserve"> 2학기 1인실 이동희망</t>
    </r>
  </si>
  <si>
    <t>070410-</t>
  </si>
  <si>
    <t>010-8224-4243</t>
  </si>
  <si>
    <t>마포구</t>
  </si>
  <si>
    <t>강가경</t>
  </si>
  <si>
    <t>010219-</t>
  </si>
  <si>
    <t>010-5514-5316</t>
  </si>
  <si>
    <t>서울시 마포구 창전동 443 서강해모로 107동 102호</t>
  </si>
  <si>
    <t>광흥하우스</t>
  </si>
  <si>
    <t>임지선</t>
  </si>
  <si>
    <t>980319-</t>
  </si>
  <si>
    <t>010-4753-8170</t>
  </si>
  <si>
    <t>841013-</t>
  </si>
  <si>
    <t>010.8585.4180</t>
  </si>
  <si>
    <t>예서영</t>
  </si>
  <si>
    <t>041214-</t>
  </si>
  <si>
    <t>010-4121-0271</t>
  </si>
  <si>
    <t>오서영</t>
  </si>
  <si>
    <t>061214-</t>
  </si>
  <si>
    <t>010-7217-2589</t>
  </si>
  <si>
    <t>040905-</t>
  </si>
  <si>
    <t>010-4082-4785</t>
  </si>
  <si>
    <t>001117-</t>
  </si>
  <si>
    <t>010-8243-1076</t>
  </si>
  <si>
    <t>서울시 마포구 합정동 399-6 태광빌라 201호</t>
  </si>
  <si>
    <t>와이지하우스</t>
  </si>
  <si>
    <t>카카오뱅크 3333 2252 23927 이현수</t>
  </si>
  <si>
    <t>010-4952-6162</t>
  </si>
  <si>
    <t>1975-07-19</t>
  </si>
  <si>
    <t>신유림</t>
  </si>
  <si>
    <t>061219-</t>
  </si>
  <si>
    <t>010-7225-4530</t>
  </si>
  <si>
    <t xml:space="preserve">C-1 2인실 </t>
  </si>
  <si>
    <t>Alice Turchi(고고)</t>
  </si>
  <si>
    <t>000614-</t>
  </si>
  <si>
    <t>aliceturchi2000@gmail.com</t>
  </si>
  <si>
    <t xml:space="preserve">C-2 2인실 </t>
  </si>
  <si>
    <t>980318-</t>
  </si>
  <si>
    <t>010-7284-0343</t>
  </si>
  <si>
    <t>서대문구</t>
  </si>
  <si>
    <t>계약완료</t>
  </si>
  <si>
    <t>서울시 서대문구 성산로 376</t>
  </si>
  <si>
    <t>샛별하우스3</t>
  </si>
  <si>
    <t>새마을금고 9003 2408 8902 5 전경자</t>
  </si>
  <si>
    <t>010-2648-0425</t>
  </si>
  <si>
    <t xml:space="preserve">550106 -2058411 </t>
  </si>
  <si>
    <t>3층 전체</t>
  </si>
  <si>
    <t>MJ1230592</t>
  </si>
  <si>
    <t>010-6828-4474</t>
  </si>
  <si>
    <t>LEE SZU YING</t>
  </si>
  <si>
    <t>sinnie0717@gmail.com</t>
  </si>
  <si>
    <t>서울시 서대문구 성산로 376 4층</t>
  </si>
  <si>
    <t>샛별하우스4</t>
  </si>
  <si>
    <t>홍유진</t>
  </si>
  <si>
    <t>020907-</t>
  </si>
  <si>
    <t>010-4739-1935</t>
  </si>
  <si>
    <t>920822-6780068</t>
  </si>
  <si>
    <t>010-3463-2208</t>
  </si>
  <si>
    <t xml:space="preserve">조세라캠벨 </t>
  </si>
  <si>
    <t>M67116158</t>
  </si>
  <si>
    <t>010-5520-3268</t>
  </si>
  <si>
    <t>신촌</t>
  </si>
  <si>
    <t>A-1) 오른쪽방</t>
  </si>
  <si>
    <t>Nilla.stahl(고고)</t>
  </si>
  <si>
    <t>AA6359869</t>
  </si>
  <si>
    <t>Nilla.stahl@outlook.com</t>
  </si>
  <si>
    <t>서울시 마포구 고산길 82 1층</t>
  </si>
  <si>
    <t>신촌하우스</t>
  </si>
  <si>
    <t>B-1) 왼쪽방</t>
  </si>
  <si>
    <t>심규리</t>
  </si>
  <si>
    <t>061124-</t>
  </si>
  <si>
    <t>010-8482-6266</t>
  </si>
  <si>
    <t>노재은</t>
  </si>
  <si>
    <t>010-6395-3103</t>
  </si>
  <si>
    <t>D-1) 안쪽방</t>
  </si>
  <si>
    <t>최은주</t>
  </si>
  <si>
    <t>060313-</t>
  </si>
  <si>
    <t>010-2638-5086</t>
  </si>
  <si>
    <t>아현</t>
  </si>
  <si>
    <t>박해빈</t>
  </si>
  <si>
    <t>061002-</t>
  </si>
  <si>
    <t>010-4070-1487</t>
  </si>
  <si>
    <t>서울시 서대문구 북아현동 129-55 2층</t>
  </si>
  <si>
    <t>아현하우스</t>
  </si>
  <si>
    <t>B-1)</t>
  </si>
  <si>
    <t>Komarova Irina</t>
  </si>
  <si>
    <t>040926-</t>
  </si>
  <si>
    <t>010-9699-9926</t>
  </si>
  <si>
    <t>천예은</t>
  </si>
  <si>
    <t>030709-</t>
  </si>
  <si>
    <t>010-4733-5920</t>
  </si>
  <si>
    <t>성동구</t>
  </si>
  <si>
    <t>Jody FAWAZ</t>
  </si>
  <si>
    <t>하우스 계약 종료</t>
  </si>
  <si>
    <t>221H81548</t>
  </si>
  <si>
    <t>jodyfawaz95270@gmail.com</t>
  </si>
  <si>
    <t>서울시 성동구 왕십리로31가길 31 4층</t>
  </si>
  <si>
    <t>루프하우스</t>
  </si>
  <si>
    <t>3333086259701 카카오뱅크 강연수</t>
  </si>
  <si>
    <t>Kennedi Johnson</t>
  </si>
  <si>
    <t>kennedijohnson55@gmail.com</t>
  </si>
  <si>
    <t>031122-4233113</t>
  </si>
  <si>
    <t>010-8289-3440</t>
  </si>
  <si>
    <t>030111-4895017</t>
  </si>
  <si>
    <t>010-8478-3491</t>
  </si>
  <si>
    <t>성북구</t>
  </si>
  <si>
    <t>에비 운영중</t>
  </si>
  <si>
    <t>980425-</t>
  </si>
  <si>
    <t xml:space="preserve">Genesisc398@gmail.com </t>
  </si>
  <si>
    <t>서울시 성북구 동선동4가 182번지 지층</t>
  </si>
  <si>
    <t>무드하우스</t>
  </si>
  <si>
    <t>케이뱅크 강연수  100158598398</t>
  </si>
  <si>
    <t>050413-</t>
  </si>
  <si>
    <t>010-9413-8829</t>
  </si>
  <si>
    <t>C4865512W</t>
  </si>
  <si>
    <t>Themegladon14@gmail.com</t>
  </si>
  <si>
    <t>030417-</t>
  </si>
  <si>
    <t>010-2428-8356</t>
  </si>
  <si>
    <t>A-1) 1인실(다락방)</t>
  </si>
  <si>
    <t>장수현</t>
  </si>
  <si>
    <t>061010-</t>
  </si>
  <si>
    <t>010-8348-2104</t>
  </si>
  <si>
    <t>서울시 성북구 동소문동 6가 199번지 101호</t>
  </si>
  <si>
    <t>소녀하우스</t>
  </si>
  <si>
    <t>B-1)1인실 (입구쪽)</t>
  </si>
  <si>
    <t>이지윤</t>
  </si>
  <si>
    <t>010118-</t>
  </si>
  <si>
    <t>010-3357-2218</t>
  </si>
  <si>
    <t>C-1) 1인실 (복도끝)</t>
  </si>
  <si>
    <t>김기영</t>
  </si>
  <si>
    <t>050913-</t>
  </si>
  <si>
    <t>010-7925-1807</t>
  </si>
  <si>
    <t>D-1) 2인실 오</t>
  </si>
  <si>
    <t>김나경</t>
  </si>
  <si>
    <t>010-3897-8853</t>
  </si>
  <si>
    <t>D-2) 2인실 왼</t>
  </si>
  <si>
    <t>엄다윤</t>
  </si>
  <si>
    <t>050129-</t>
  </si>
  <si>
    <t>010-5552-9476</t>
  </si>
  <si>
    <t>A-1) 1인실 거실</t>
  </si>
  <si>
    <t>노현진</t>
  </si>
  <si>
    <t>060305-</t>
  </si>
  <si>
    <t>010-6789-5306</t>
  </si>
  <si>
    <t>서울시 성북구 보문로34다길 31 301호</t>
  </si>
  <si>
    <t>허브하우스</t>
  </si>
  <si>
    <t>B-1) 1인실 현관옆</t>
  </si>
  <si>
    <t>김예원1</t>
  </si>
  <si>
    <t>010-4686-5815</t>
  </si>
  <si>
    <t>이세진</t>
  </si>
  <si>
    <t>020204-</t>
  </si>
  <si>
    <t>010-9924-3084</t>
  </si>
  <si>
    <t>박수지</t>
  </si>
  <si>
    <t>030128-</t>
  </si>
  <si>
    <t>010-6556-9785</t>
  </si>
  <si>
    <t>A 1인실 거실오</t>
  </si>
  <si>
    <t>박상아</t>
  </si>
  <si>
    <t>000331-</t>
  </si>
  <si>
    <t>010-7644-8201</t>
  </si>
  <si>
    <t>서울시 성북구 보문로30가길 17-8</t>
  </si>
  <si>
    <t>단짠하우스</t>
  </si>
  <si>
    <t>B 1인실 거실왼</t>
  </si>
  <si>
    <t>050721-</t>
  </si>
  <si>
    <t>010-6713-1154</t>
  </si>
  <si>
    <t>C 1인실 큰방</t>
  </si>
  <si>
    <t>이혜은</t>
  </si>
  <si>
    <t>071029</t>
  </si>
  <si>
    <t>010-3944-8742</t>
  </si>
  <si>
    <t>AB</t>
  </si>
  <si>
    <t>김수현</t>
  </si>
  <si>
    <t>서울시 성북구 정릉로 38다길 32  1층</t>
  </si>
  <si>
    <t>다정하우스</t>
  </si>
  <si>
    <t>이한희</t>
  </si>
  <si>
    <t>070716-</t>
  </si>
  <si>
    <t>010-4678-1560</t>
  </si>
  <si>
    <t>권민교</t>
  </si>
  <si>
    <t>070208-</t>
  </si>
  <si>
    <t>010-5764-0126</t>
  </si>
  <si>
    <t>C2 2인실 오(안쪽)</t>
  </si>
  <si>
    <t>조서현</t>
  </si>
  <si>
    <t>070710-</t>
  </si>
  <si>
    <t>010-3406-2007</t>
  </si>
  <si>
    <t>곽지윤</t>
  </si>
  <si>
    <t>040209-</t>
  </si>
  <si>
    <t>010-7135-5615</t>
  </si>
  <si>
    <t>서울시 성북구 아리랑로19길45 3층</t>
  </si>
  <si>
    <t>아리하우스</t>
  </si>
  <si>
    <t>신한은행  최지연 110-028-052468</t>
  </si>
  <si>
    <t>010-3109-9752</t>
  </si>
  <si>
    <t>1968-02-10</t>
  </si>
  <si>
    <t>송하늘</t>
  </si>
  <si>
    <t>6개월할인/연장안하면 할인반환 19만</t>
  </si>
  <si>
    <t>020224-</t>
  </si>
  <si>
    <t xml:space="preserve"> 010-3919-3891</t>
  </si>
  <si>
    <t>권지인</t>
  </si>
  <si>
    <t>061031-</t>
  </si>
  <si>
    <t>010-3140-9170</t>
  </si>
  <si>
    <t>박민정</t>
  </si>
  <si>
    <t>070614-</t>
  </si>
  <si>
    <t>010-9869-6014</t>
  </si>
  <si>
    <t>서효민</t>
  </si>
  <si>
    <t>060531-</t>
  </si>
  <si>
    <t>010-6678-7274</t>
  </si>
  <si>
    <t>A) 1인실 창문방</t>
  </si>
  <si>
    <t>손희진</t>
  </si>
  <si>
    <t>031222-</t>
  </si>
  <si>
    <t>010-5476-3683</t>
  </si>
  <si>
    <t>서울시 성북구 성북동 161-18 진한맨숀 401호</t>
  </si>
  <si>
    <t>한성하우스</t>
  </si>
  <si>
    <t>B) 1인실 복도방</t>
  </si>
  <si>
    <t>손민주</t>
  </si>
  <si>
    <t>060309-</t>
  </si>
  <si>
    <t>010-5223-3683</t>
  </si>
  <si>
    <t>C) 1인실 거실방 (베)</t>
  </si>
  <si>
    <t>Stepien Adrianna Joanna</t>
  </si>
  <si>
    <t>000925-</t>
  </si>
  <si>
    <t>soomi8792@naver.com</t>
  </si>
  <si>
    <t>D1) 2인실 왼</t>
  </si>
  <si>
    <t>Elisa Libert(우주)</t>
  </si>
  <si>
    <t>GA2001351</t>
  </si>
  <si>
    <t>010-3188-3463</t>
  </si>
  <si>
    <t>D2) 2인실 오</t>
  </si>
  <si>
    <t>이서현</t>
  </si>
  <si>
    <t>040118-</t>
  </si>
  <si>
    <t>010-8597-9526</t>
  </si>
  <si>
    <t>상상</t>
  </si>
  <si>
    <t>A) 1인실 입구방</t>
  </si>
  <si>
    <t>고현서</t>
  </si>
  <si>
    <t>950409-</t>
  </si>
  <si>
    <t>010-2429-7612</t>
  </si>
  <si>
    <t xml:space="preserve">서울시 성북구 동소문로25-20 301호 </t>
  </si>
  <si>
    <t>상상하우스</t>
  </si>
  <si>
    <t>B) 1인실 거실방</t>
  </si>
  <si>
    <t>심수빈</t>
  </si>
  <si>
    <t>030714-</t>
  </si>
  <si>
    <t>010-2629-2715</t>
  </si>
  <si>
    <t>C) 1인실 주방옆방</t>
  </si>
  <si>
    <t>이예진</t>
  </si>
  <si>
    <t>040910-</t>
  </si>
  <si>
    <t>010-5065-3710</t>
  </si>
  <si>
    <t>D) 1인실 베란다방</t>
  </si>
  <si>
    <t>김이영</t>
  </si>
  <si>
    <t>061028-</t>
  </si>
  <si>
    <t>010-2938-1622</t>
  </si>
  <si>
    <t>영등포구</t>
  </si>
  <si>
    <t>2/1 장기 예약됨</t>
  </si>
  <si>
    <t>010-2823-1187</t>
  </si>
  <si>
    <t>서울시 영등포구 영등포동 620-134 4층</t>
  </si>
  <si>
    <t>바우하우스</t>
  </si>
  <si>
    <t>960722-</t>
  </si>
  <si>
    <t>010-6786-4815</t>
  </si>
  <si>
    <t>2인실 &gt; 1인실로 변경</t>
  </si>
  <si>
    <t>MJ1644844</t>
  </si>
  <si>
    <t>awanoyounaaikodatta@yahoo.co.jp</t>
  </si>
  <si>
    <t>서울시 영등포구 당산동1가 440 3층</t>
  </si>
  <si>
    <t>샤샤하우스</t>
  </si>
  <si>
    <t>신유진</t>
  </si>
  <si>
    <t>050523-</t>
  </si>
  <si>
    <t>010-4193-4175</t>
  </si>
  <si>
    <t>김채영1</t>
  </si>
  <si>
    <t>990828-</t>
  </si>
  <si>
    <t>010-4183-1011</t>
  </si>
  <si>
    <t>010411-</t>
  </si>
  <si>
    <t>010-9205-2149</t>
  </si>
  <si>
    <t>한예현</t>
  </si>
  <si>
    <t>071006-</t>
  </si>
  <si>
    <t>010-3360-7508</t>
  </si>
  <si>
    <t>서울시 영등포구 당산동4가 73-6번지 4층</t>
  </si>
  <si>
    <t>브루하우스</t>
  </si>
  <si>
    <t>전시현</t>
  </si>
  <si>
    <t>011022-</t>
  </si>
  <si>
    <t>010-3348-3294</t>
  </si>
  <si>
    <t>010819-</t>
  </si>
  <si>
    <t xml:space="preserve"> 010-9391-8014</t>
  </si>
  <si>
    <t>이가을</t>
  </si>
  <si>
    <t>000817-</t>
  </si>
  <si>
    <t>010-3353-5072</t>
  </si>
  <si>
    <t>최지연 이동 희망</t>
  </si>
  <si>
    <t>990318-</t>
  </si>
  <si>
    <t>서울시 영등포구 당산로18길 13 3층</t>
  </si>
  <si>
    <t>영삼하우스</t>
  </si>
  <si>
    <t xml:space="preserve">신한은행 양성원 110-482-586795                        </t>
  </si>
  <si>
    <t>010-2681-8498</t>
  </si>
  <si>
    <t>1970-08-10</t>
  </si>
  <si>
    <t>김예원</t>
  </si>
  <si>
    <t>070527-</t>
  </si>
  <si>
    <t>010-7178-8746</t>
  </si>
  <si>
    <t>950718-</t>
  </si>
  <si>
    <t>010-2532-0030</t>
  </si>
  <si>
    <t>000410-</t>
  </si>
  <si>
    <t>010-2100-6698</t>
  </si>
  <si>
    <t>이아원</t>
  </si>
  <si>
    <t>S224612877</t>
  </si>
  <si>
    <t>love10141053@gmail.com</t>
  </si>
  <si>
    <t>서울시 영등포구 당산로18길 13 2층</t>
  </si>
  <si>
    <t>영이하우스</t>
  </si>
  <si>
    <t>010728-</t>
  </si>
  <si>
    <t>010-8495-1028</t>
  </si>
  <si>
    <t>941121-</t>
  </si>
  <si>
    <t>010-2461-2546</t>
  </si>
  <si>
    <t>031231-</t>
  </si>
  <si>
    <t>010-4013-5109</t>
  </si>
  <si>
    <t>951128-</t>
  </si>
  <si>
    <t>010-3591-7196</t>
  </si>
  <si>
    <t>서울시 영등포구 당산로 10길 15 4층 / 5층</t>
  </si>
  <si>
    <t>영영하우스1</t>
  </si>
  <si>
    <t>고은주</t>
  </si>
  <si>
    <t>020328-</t>
  </si>
  <si>
    <t>010-9890-5840</t>
  </si>
  <si>
    <t>허브원이엔씨(Phạm Thiên Như Ý)</t>
  </si>
  <si>
    <t>P02958701</t>
  </si>
  <si>
    <t>010-4168-2342</t>
  </si>
  <si>
    <t>나카무라 마아코</t>
  </si>
  <si>
    <t>940308-</t>
  </si>
  <si>
    <t>010-7708-7383</t>
  </si>
  <si>
    <t>서울시 영등포구 당산로 10길 15 4층</t>
  </si>
  <si>
    <t>양예림</t>
  </si>
  <si>
    <t>991203-</t>
  </si>
  <si>
    <t>010-4913-3969</t>
  </si>
  <si>
    <t>영영하우스2</t>
  </si>
  <si>
    <t>030817-</t>
  </si>
  <si>
    <t>010-5822-0733</t>
  </si>
  <si>
    <t>이지현</t>
  </si>
  <si>
    <t>000913-</t>
  </si>
  <si>
    <t>010-4507-8671</t>
  </si>
  <si>
    <t>김혜연</t>
  </si>
  <si>
    <t>011201-</t>
  </si>
  <si>
    <t>010-2674-1666</t>
  </si>
  <si>
    <t>서울시 영등포구 당산동1가 408번지 4층</t>
  </si>
  <si>
    <t>트리하우스</t>
  </si>
  <si>
    <t>B-1) 주방쮹</t>
  </si>
  <si>
    <t>950731-</t>
  </si>
  <si>
    <t>010-9351-9616</t>
  </si>
  <si>
    <t>Carine Hobeika Ståhl 전체사용</t>
  </si>
  <si>
    <t>LR3128516</t>
  </si>
  <si>
    <t>hobeikacarine@gmail.com</t>
  </si>
  <si>
    <t>정인혜</t>
  </si>
  <si>
    <t>050620-</t>
  </si>
  <si>
    <t>010-7639-5709</t>
  </si>
  <si>
    <t>서울시 영등포구 당산로16길 16 2층</t>
  </si>
  <si>
    <t>당산하우스</t>
  </si>
  <si>
    <t>박근화</t>
  </si>
  <si>
    <t>991130-</t>
  </si>
  <si>
    <t>010-6547-2268</t>
  </si>
  <si>
    <t>구승희</t>
  </si>
  <si>
    <t>980317-</t>
  </si>
  <si>
    <t>010-5730-4119</t>
  </si>
  <si>
    <t>Manon Durante</t>
  </si>
  <si>
    <t>001203-</t>
  </si>
  <si>
    <t>durante.manon@gmail.com</t>
  </si>
  <si>
    <t>용산구</t>
  </si>
  <si>
    <t>여가은</t>
  </si>
  <si>
    <t>070214-</t>
  </si>
  <si>
    <t>010-8583-9556</t>
  </si>
  <si>
    <t>서울시 마포구 공덕동 6-38 4층</t>
  </si>
  <si>
    <t>숙녀하우스</t>
  </si>
  <si>
    <t>권수민</t>
  </si>
  <si>
    <t>050416-</t>
  </si>
  <si>
    <t>010-2861-8229</t>
  </si>
  <si>
    <t>황주격</t>
  </si>
  <si>
    <t>EJ8419498</t>
  </si>
  <si>
    <t>hsg333coco@gmail.com</t>
  </si>
  <si>
    <t>Riya Mehra(엔코)</t>
  </si>
  <si>
    <t>riyamehra0721@gmail.com</t>
  </si>
  <si>
    <t>권지우</t>
  </si>
  <si>
    <t>061207</t>
  </si>
  <si>
    <t xml:space="preserve"> 010-9637-5412</t>
  </si>
  <si>
    <t>원효</t>
  </si>
  <si>
    <t>윗층</t>
  </si>
  <si>
    <t>풋샵 직원들</t>
  </si>
  <si>
    <t>서울시 용산구  원효로3가 249</t>
  </si>
  <si>
    <t>원효하우스</t>
  </si>
  <si>
    <t>김미애</t>
  </si>
  <si>
    <t>농협 김미애 352-1736-3662-73</t>
  </si>
  <si>
    <t>010-8975-0789</t>
  </si>
  <si>
    <t>1968-02-15</t>
  </si>
  <si>
    <t>아래층</t>
  </si>
  <si>
    <t>단기임대</t>
  </si>
  <si>
    <t>중구</t>
  </si>
  <si>
    <t>Arianna Sonda</t>
  </si>
  <si>
    <t>011031-</t>
  </si>
  <si>
    <t>arianna.sonda@gmail.com</t>
  </si>
  <si>
    <t>서울시 중구 장충동2가 193-229, 동광빌라 지하층 01호</t>
  </si>
  <si>
    <t>AFFORTIT Estelle</t>
  </si>
  <si>
    <t>23CH67320</t>
  </si>
  <si>
    <t>estelle.affortit14@gmail.com</t>
  </si>
  <si>
    <t>010919-</t>
  </si>
  <si>
    <t>Mariaprieto676@gmail.com</t>
  </si>
  <si>
    <t>송주은</t>
  </si>
  <si>
    <t>070221-</t>
  </si>
  <si>
    <t>010-6244-0221</t>
  </si>
  <si>
    <t>050719-</t>
  </si>
  <si>
    <t>010-6437-7268</t>
  </si>
  <si>
    <t>서울시 중구 장충동2가 193-229, 동광빌라 1층 101호</t>
  </si>
  <si>
    <t>김려원</t>
  </si>
  <si>
    <t>060504-</t>
  </si>
  <si>
    <t xml:space="preserve">010-5460-0654 </t>
  </si>
  <si>
    <t>임설희</t>
  </si>
  <si>
    <t>030719-</t>
  </si>
  <si>
    <t xml:space="preserve"> 010-6775-1147</t>
  </si>
  <si>
    <t>공채경</t>
  </si>
  <si>
    <t>070424-</t>
  </si>
  <si>
    <t>010-9644-8094</t>
  </si>
  <si>
    <t>경종현(경초윤)</t>
  </si>
  <si>
    <t>070510-</t>
  </si>
  <si>
    <t>010-3581-0407</t>
  </si>
  <si>
    <t>서울시 중구 장충동2가 193-229, 동광빌라 2층 201호</t>
  </si>
  <si>
    <t>김민지(우주)</t>
  </si>
  <si>
    <t>010-2852-4059</t>
  </si>
  <si>
    <t>C-1 오른쪽</t>
  </si>
  <si>
    <t>김동림</t>
  </si>
  <si>
    <t>061018-</t>
  </si>
  <si>
    <t>010-2838-1779</t>
  </si>
  <si>
    <t>C-2 왼쪽(문쪽)</t>
  </si>
  <si>
    <t>박서인</t>
  </si>
  <si>
    <t>060511-</t>
  </si>
  <si>
    <t>010-8910-6194</t>
  </si>
  <si>
    <t>040601-</t>
  </si>
  <si>
    <t>010-6444-2894</t>
  </si>
  <si>
    <t>서울시 중구 장충동2가 193-229, 동광빌라 3층 301호</t>
  </si>
  <si>
    <t>김민재</t>
  </si>
  <si>
    <t>050717-</t>
  </si>
  <si>
    <t>010-3175-7034</t>
  </si>
  <si>
    <t>정은진</t>
  </si>
  <si>
    <t>041030-</t>
  </si>
  <si>
    <t>010-5581-3882</t>
  </si>
  <si>
    <t>공재희</t>
  </si>
  <si>
    <t>040426-</t>
  </si>
  <si>
    <t>010-3316-5217</t>
  </si>
  <si>
    <t>전채원</t>
  </si>
  <si>
    <t>061122-</t>
  </si>
  <si>
    <t>010-2024-8021</t>
  </si>
  <si>
    <t xml:space="preserve">서울시 중구 장충동2가 193-37, 태양빌라 1층 103호 </t>
  </si>
  <si>
    <t>김세하</t>
  </si>
  <si>
    <t>071014-</t>
  </si>
  <si>
    <t>010-2698-1244</t>
  </si>
  <si>
    <t>Kakao bank 유재훈 3333-01-0839-846</t>
  </si>
  <si>
    <t>040125-</t>
  </si>
  <si>
    <t>010-2322-3542</t>
  </si>
  <si>
    <t>김은서</t>
  </si>
  <si>
    <t>070724-</t>
  </si>
  <si>
    <t>010-4405-6521</t>
  </si>
  <si>
    <t>아띠 워너비</t>
  </si>
  <si>
    <t>BILLON Zoe</t>
  </si>
  <si>
    <t>BILLON Zoe 2/28
柯吟 周 Ko Yin Zhou (엔코) 2/28</t>
  </si>
  <si>
    <t>柯吟 周 Ko Yin Zhou (엔코) 6/22</t>
  </si>
  <si>
    <t>RAMADANTI ALFIYYAH ZAHRA 정아라 5/31</t>
  </si>
  <si>
    <t>이은서</t>
  </si>
  <si>
    <t>이은서 3/31</t>
  </si>
  <si>
    <t>유은선 4/1~30</t>
  </si>
  <si>
    <t>한찬유 4/30</t>
  </si>
  <si>
    <t>예상</t>
  </si>
  <si>
    <t>Maïa Redonnet(엔코) 5/31</t>
  </si>
  <si>
    <t>헤바Heba(우주)</t>
  </si>
  <si>
    <t>헤바Heba(우주) 2/28
Maria Katharina Henneken(엔코) 2/28</t>
  </si>
  <si>
    <t>Maria Katharina Henneken(엔코) 6/15</t>
  </si>
  <si>
    <r>
      <rPr>
        <rFont val="Noto Sans KR"/>
        <color rgb="FF666666"/>
      </rPr>
      <t xml:space="preserve">진승연 1/9
</t>
    </r>
    <r>
      <rPr>
        <rFont val="Noto Sans KR"/>
        <color rgb="FF000000"/>
      </rPr>
      <t>Adia Arthur(엔코) 1/9</t>
    </r>
  </si>
  <si>
    <t>Adia Arthur(엔코) 6/27</t>
  </si>
  <si>
    <t>정다혜(우주) 6/30</t>
  </si>
  <si>
    <t>Laurine BLANCHON(고고) 1/10</t>
  </si>
  <si>
    <t>Cassandra BLANCHON(고고) 1/10</t>
  </si>
  <si>
    <t>MOSSISA AYANTU TESHOME</t>
  </si>
  <si>
    <t>차지수 3/21</t>
  </si>
  <si>
    <t>김유미나(엔코)</t>
  </si>
  <si>
    <t>김유미나 6/7</t>
  </si>
  <si>
    <t>신한나 1/31</t>
  </si>
  <si>
    <t>Dafne Carolina Castillo Normandía(고고) 3/15</t>
  </si>
  <si>
    <t>Dafne Carolina Castillo Normandía(고고) 6/14</t>
  </si>
  <si>
    <t>Gregoratti Greta(엔코) 10/24</t>
  </si>
  <si>
    <t>허나겸</t>
  </si>
  <si>
    <t>허나겸 3/22</t>
  </si>
  <si>
    <t>나선일 4/4</t>
  </si>
  <si>
    <t>Caterina Ventrella</t>
  </si>
  <si>
    <t>Caterina Ventrella 5/31</t>
  </si>
  <si>
    <t>김민채 3/31</t>
  </si>
  <si>
    <t>(고정) 관리비/수도</t>
  </si>
  <si>
    <t>서영은 7/31</t>
  </si>
  <si>
    <t>조은</t>
  </si>
  <si>
    <t>조은 12/31</t>
  </si>
  <si>
    <t>서민지 7/31</t>
  </si>
  <si>
    <r>
      <rPr>
        <rFont val="Noto Sans KR"/>
        <color rgb="FF666666"/>
      </rPr>
      <t xml:space="preserve">Adia Arthur(엔코) 1/9
</t>
    </r>
    <r>
      <rPr>
        <rFont val="Noto Sans KR"/>
        <b/>
        <color rgb="FF999999"/>
      </rPr>
      <t>김여원 1/10</t>
    </r>
  </si>
  <si>
    <t>김여원 7/9</t>
  </si>
  <si>
    <t>Elisabeth Frieda Margarete Fuchs(엔코)</t>
  </si>
  <si>
    <t>Elisabeth Frieda Margarete Fuchs(엔코) 3/2
이서진 3/6-30</t>
  </si>
  <si>
    <t>Soergel Anne Marlene(엔코)</t>
  </si>
  <si>
    <t>Soergel Anne Marlene(엔코) 3/2</t>
  </si>
  <si>
    <t>정세아 2/26</t>
  </si>
  <si>
    <t>Eden Qazi 3/31</t>
  </si>
  <si>
    <t>장원영 5/15</t>
  </si>
  <si>
    <t>이채림 1/31</t>
  </si>
  <si>
    <t>이정연(Brooklyn) 2/28</t>
  </si>
  <si>
    <t>김세연</t>
  </si>
  <si>
    <t>김세연 2/21
황채원 2/22</t>
  </si>
  <si>
    <t>황채원 8/21</t>
  </si>
  <si>
    <t>진승연 4/24
이서진 4/12</t>
  </si>
  <si>
    <t>이서진</t>
  </si>
  <si>
    <t>이서진 9/30</t>
  </si>
  <si>
    <t>정나래 1/25</t>
  </si>
  <si>
    <t>Nguyen Gia Han(엔코) 2/25</t>
  </si>
  <si>
    <t>Nguyen Gia Han(엔코) 6/22</t>
  </si>
  <si>
    <t>김태희 준오헤어 양재 1호점 1/4</t>
  </si>
  <si>
    <t>구채민 준오헤어 양재 1호점</t>
  </si>
  <si>
    <t>구채민 준오헤어 양재 1호점 7/3</t>
  </si>
  <si>
    <t>윤서희-준오헤어 양재 1호점</t>
  </si>
  <si>
    <t>윤서희-준오헤어 양재 1호점 7/3</t>
  </si>
  <si>
    <t>이리안(우주) 11/17</t>
  </si>
  <si>
    <t>임가람(우주) 4/30</t>
  </si>
  <si>
    <t>Fulvia Verna 5/31</t>
  </si>
  <si>
    <r>
      <rPr>
        <rFont val="Noto Sans KR"/>
        <color rgb="FF666666"/>
      </rPr>
      <t xml:space="preserve">Anamaria Diana Lupascu(엔코) 1/10
</t>
    </r>
    <r>
      <rPr>
        <rFont val="Noto Sans KR"/>
        <color rgb="FF434343"/>
      </rPr>
      <t>권민경 1/10</t>
    </r>
  </si>
  <si>
    <t>권민경 7/9</t>
  </si>
  <si>
    <t>곽은혜</t>
  </si>
  <si>
    <t>곽은혜 3/31</t>
  </si>
  <si>
    <t>고객번호 01-1173-7096</t>
  </si>
  <si>
    <t>Alina Li(우주)</t>
  </si>
  <si>
    <t>Alina Li(우주) 2/28</t>
  </si>
  <si>
    <t>유예리</t>
  </si>
  <si>
    <t>유예리 2/25</t>
  </si>
  <si>
    <t>이채은</t>
  </si>
  <si>
    <t>이채은 2/28
구서영 2/28</t>
  </si>
  <si>
    <t>6005573188 서울도시 사용자계약번호</t>
  </si>
  <si>
    <t>이연경</t>
  </si>
  <si>
    <t>이연경 2/25</t>
  </si>
  <si>
    <t>이지희 2/25
유진하 위약금</t>
  </si>
  <si>
    <t>정하연 1/31</t>
  </si>
  <si>
    <t>최솔 2/28</t>
  </si>
  <si>
    <t>최솔 8/25</t>
  </si>
  <si>
    <t>김민재 2/22
김위 2/22
Shekerova(엔코) 위약금</t>
  </si>
  <si>
    <t>김위 8/25</t>
  </si>
  <si>
    <t>여민서 2/23</t>
  </si>
  <si>
    <t>여민서 8/23</t>
  </si>
  <si>
    <t>오은지</t>
  </si>
  <si>
    <t>오은지 2/23
이다현 2/24</t>
  </si>
  <si>
    <t>이다현 8/25</t>
  </si>
  <si>
    <t>Elia Le Guern</t>
  </si>
  <si>
    <t>Elia Le Guern 2/2</t>
  </si>
  <si>
    <t>Dara DOUSSET</t>
  </si>
  <si>
    <t>Dara DOUSSET 2/6</t>
  </si>
  <si>
    <t>Kavya Sudesh Kumar 3/31</t>
  </si>
  <si>
    <t xml:space="preserve">Lola Burdin 1/31 </t>
  </si>
  <si>
    <t>장하늘</t>
  </si>
  <si>
    <t>장하늘 2/25
박민영 2/28</t>
  </si>
  <si>
    <t>노예서 1/22</t>
  </si>
  <si>
    <t>노예서 위약금</t>
  </si>
  <si>
    <t>이수현 3/1</t>
  </si>
  <si>
    <t>유수정 8/25</t>
  </si>
  <si>
    <t>(고정) 주택보험</t>
  </si>
  <si>
    <t>YEO JING YING(여린) 8/25</t>
  </si>
  <si>
    <t>Improta Vivian Ester</t>
  </si>
  <si>
    <t>Improta Vivian Ester 2/25
Emily(맘스테이) 2/25</t>
  </si>
  <si>
    <t>배서희 2/28</t>
  </si>
  <si>
    <t>배서희 8/25</t>
  </si>
  <si>
    <t>서제영</t>
  </si>
  <si>
    <t>서제영 2/25
윤석경 2/26</t>
  </si>
  <si>
    <t>김도연</t>
  </si>
  <si>
    <t>김도연 2/25
양이선 2/28</t>
  </si>
  <si>
    <t>Raniya 8/24</t>
  </si>
  <si>
    <t>이인영</t>
  </si>
  <si>
    <t>이인영 2/25</t>
  </si>
  <si>
    <t>임보민 3/1</t>
  </si>
  <si>
    <t>윤석경 2/25</t>
  </si>
  <si>
    <t>박유현 3/1</t>
  </si>
  <si>
    <t xml:space="preserve">01 2804 7709 </t>
  </si>
  <si>
    <t>이영채 11/14</t>
  </si>
  <si>
    <t>김지원</t>
  </si>
  <si>
    <t>김지원 2/25
황채영 2/26</t>
  </si>
  <si>
    <t>Lisa Burri(Lila) 1/31</t>
  </si>
  <si>
    <t>Lisa Burri(Lila) 위약금1
황채영 2/1~2/26
고다언 위약금</t>
  </si>
  <si>
    <t>Lisa Burri(Lila) 위약금2
유영서 3/7</t>
  </si>
  <si>
    <t>Sara Federer 1/8</t>
  </si>
  <si>
    <t>Sara Federer 위약금1
이신영 2/13</t>
  </si>
  <si>
    <t>Sara Federer 위약금2
이신영</t>
  </si>
  <si>
    <t>이신영</t>
  </si>
  <si>
    <t>신예원</t>
  </si>
  <si>
    <r>
      <rPr>
        <rFont val="Noto Sans KR"/>
        <color rgb="FF666666"/>
      </rPr>
      <t xml:space="preserve">신예원 2/28
김나영 위약금
</t>
    </r>
    <r>
      <rPr>
        <rFont val="Noto Sans KR"/>
        <color rgb="FF666666"/>
      </rPr>
      <t xml:space="preserve">김세진 2/25 </t>
    </r>
  </si>
  <si>
    <t>김세진 8/24</t>
  </si>
  <si>
    <t>김현빈</t>
  </si>
  <si>
    <t>김현빈 2/14
이주영 2/18</t>
  </si>
  <si>
    <t>이주영 8/25</t>
  </si>
  <si>
    <r>
      <rPr>
        <rFont val="Noto Sans KR"/>
        <color rgb="FF666666"/>
      </rPr>
      <t xml:space="preserve">장한비 2/21
</t>
    </r>
    <r>
      <rPr>
        <rFont val="Noto Sans KR"/>
        <color rgb="FF666666"/>
      </rPr>
      <t>박한별 2/24</t>
    </r>
  </si>
  <si>
    <t>장한비 위약금
박한별</t>
  </si>
  <si>
    <t>박한별 8/31</t>
  </si>
  <si>
    <t>Stephanie Lindawati 8/25</t>
  </si>
  <si>
    <t>정규원(우주) 8/16</t>
  </si>
  <si>
    <t>정지원 1/15</t>
  </si>
  <si>
    <t>정지원 위약금
송윤서 2/25</t>
  </si>
  <si>
    <t>장유정</t>
  </si>
  <si>
    <t>장유정 2/25
이지원 2/27</t>
  </si>
  <si>
    <t>김예원 2/28
오은채 2/26</t>
  </si>
  <si>
    <t>오은채 8/25</t>
  </si>
  <si>
    <t>쑤훈공동(법인)</t>
  </si>
  <si>
    <t>시립(서울시 동대문구 망우로12나길 43 B2호)</t>
  </si>
  <si>
    <t>손재희</t>
  </si>
  <si>
    <t>손재희 3/1
Claybaugh, Genevieve Mary 3/1</t>
  </si>
  <si>
    <t>Claybaugh, Genevieve Mary 8/25</t>
  </si>
  <si>
    <t>김민서 2/18</t>
  </si>
  <si>
    <t>임세영</t>
  </si>
  <si>
    <t>임세영 2/18</t>
  </si>
  <si>
    <t>송지윤 3/1</t>
  </si>
  <si>
    <t>서지희 2/20</t>
  </si>
  <si>
    <t>서지희 8/25</t>
  </si>
  <si>
    <t>B-1) 1인실</t>
  </si>
  <si>
    <r>
      <rPr>
        <rFont val="Noto Sans KR"/>
        <color rgb="FF666666"/>
      </rPr>
      <t xml:space="preserve">김주원 3/2-15
</t>
    </r>
    <r>
      <rPr>
        <rFont val="Noto Sans KR"/>
        <color rgb="FF666666"/>
      </rPr>
      <t>윤다운 3/15</t>
    </r>
  </si>
  <si>
    <t>김주원 위약금
윤다운</t>
  </si>
  <si>
    <t>윤다운 8/25</t>
  </si>
  <si>
    <t>C-1) 1인실</t>
  </si>
  <si>
    <t>황은우 3/1</t>
  </si>
  <si>
    <t>D-1) 2인실</t>
  </si>
  <si>
    <t>고사랑 3/1</t>
  </si>
  <si>
    <t>고사랑 8/25</t>
  </si>
  <si>
    <t>D-2) 2인실</t>
  </si>
  <si>
    <t>이채원 2/26</t>
  </si>
  <si>
    <t>이채원</t>
  </si>
  <si>
    <t>[한전-0129657931]고객번호</t>
  </si>
  <si>
    <t>예스코 1002594507</t>
  </si>
  <si>
    <t>강가경 8/25</t>
  </si>
  <si>
    <t>임지선 8/25</t>
  </si>
  <si>
    <t>신민정 위약금2
예서영</t>
  </si>
  <si>
    <t>예서영 8/13</t>
  </si>
  <si>
    <t>이정윤</t>
  </si>
  <si>
    <t>이정윤 2/20</t>
  </si>
  <si>
    <t>오서영 3/1</t>
  </si>
  <si>
    <t>이서현 2/20
김민지 2/21</t>
  </si>
  <si>
    <t>Alice Turchi 3/12</t>
  </si>
  <si>
    <t>Alice Turchi</t>
  </si>
  <si>
    <t>Alice Turchi 8/29</t>
  </si>
  <si>
    <t>Nguyen Ngoc Tram 진아 8/25</t>
  </si>
  <si>
    <t>홍유진 8/25</t>
  </si>
  <si>
    <t>손사라</t>
  </si>
  <si>
    <t>손사라 2/25
Nilla.stahl(고고) 2/26</t>
  </si>
  <si>
    <t>Nilla.stahl(고고) 8/25</t>
  </si>
  <si>
    <t>이하주</t>
  </si>
  <si>
    <t>이하주 2/13</t>
  </si>
  <si>
    <r>
      <rPr>
        <rFont val="Noto Sans KR"/>
        <color rgb="FF666666"/>
      </rPr>
      <t xml:space="preserve">이하주 위약금
</t>
    </r>
    <r>
      <rPr>
        <rFont val="Noto Sans KR"/>
        <color rgb="FF666666"/>
      </rPr>
      <t>심규리 3/1</t>
    </r>
  </si>
  <si>
    <t>심규리 8/25</t>
  </si>
  <si>
    <t>노재은 8/25</t>
  </si>
  <si>
    <t>야스이 아야네 (Yasui Ayane)</t>
  </si>
  <si>
    <t>야스이 아야네 (Yasui Ayane) 2/25
최은주 2/27</t>
  </si>
  <si>
    <t>투자자고지  01 1114 7349</t>
  </si>
  <si>
    <t>12월 94650</t>
  </si>
  <si>
    <t>박해빈 2/15</t>
  </si>
  <si>
    <t>Komarova Irina 2/10</t>
  </si>
  <si>
    <t>천예은 2/27</t>
  </si>
  <si>
    <t>아띠 루프</t>
  </si>
  <si>
    <t>Jody FAWAZ 2/20</t>
  </si>
  <si>
    <t>Kennedi Johnson 2/25</t>
  </si>
  <si>
    <t>홍정연 2/25</t>
  </si>
  <si>
    <t>이유나 2/28</t>
  </si>
  <si>
    <t>예스코 1016863814</t>
  </si>
  <si>
    <t>(고정) 정수기 없음</t>
  </si>
  <si>
    <t>아띠 무드</t>
  </si>
  <si>
    <t>van(12/31~1/10)</t>
  </si>
  <si>
    <t>Vivien(2/23~</t>
  </si>
  <si>
    <t>Vivien(7/1퇴실)</t>
  </si>
  <si>
    <t>최형락(1/29~2/4)</t>
  </si>
  <si>
    <t>아띠 소녀</t>
  </si>
  <si>
    <r>
      <rPr>
        <rFont val="Noto Sans KR"/>
        <color rgb="FF666666"/>
      </rPr>
      <t xml:space="preserve">김다영 1/11
</t>
    </r>
    <r>
      <rPr>
        <rFont val="Noto Sans KR"/>
        <color rgb="FF666666"/>
      </rPr>
      <t>이지윤 1/19</t>
    </r>
  </si>
  <si>
    <t>김다영 위약금
이지윤</t>
  </si>
  <si>
    <t>이지윤 7/31</t>
  </si>
  <si>
    <t>김지윤</t>
  </si>
  <si>
    <t>김지윤 2/25
김기영 2/14</t>
  </si>
  <si>
    <t>명주영</t>
  </si>
  <si>
    <t>명주영 2/28
김나경 2/27</t>
  </si>
  <si>
    <t>김나경 8/26</t>
  </si>
  <si>
    <t>오유정</t>
  </si>
  <si>
    <t>오유정 2/25</t>
  </si>
  <si>
    <t>엄다윤 3/2</t>
  </si>
  <si>
    <t>엄다윤 8/25</t>
  </si>
  <si>
    <t>아띠 허브</t>
  </si>
  <si>
    <t>노현진 2/26</t>
  </si>
  <si>
    <t>정희원</t>
  </si>
  <si>
    <t>정희원 2/25
김예원 2/25</t>
  </si>
  <si>
    <t>한서아 2/28
이세진 2/28</t>
  </si>
  <si>
    <t>노현진 2/25
박수지 2/28</t>
  </si>
  <si>
    <t>아띠 단짠</t>
  </si>
  <si>
    <t>최유민</t>
  </si>
  <si>
    <r>
      <rPr>
        <rFont val="Noto Sans KR"/>
        <color rgb="FF666666"/>
      </rPr>
      <t xml:space="preserve">최유민 위약금
</t>
    </r>
    <r>
      <rPr>
        <rFont val="Noto Sans KR"/>
        <color rgb="FF666666"/>
      </rPr>
      <t>박상아 2/24</t>
    </r>
  </si>
  <si>
    <t>정선민 8/25</t>
  </si>
  <si>
    <t>C1 1인실</t>
  </si>
  <si>
    <t>신유빈 위약금</t>
  </si>
  <si>
    <t>이혜은 2/28</t>
  </si>
  <si>
    <t>아띠 다정</t>
  </si>
  <si>
    <t>윤지민</t>
  </si>
  <si>
    <r>
      <rPr>
        <rFont val="Noto Sans KR"/>
        <color rgb="FF666666"/>
      </rPr>
      <t xml:space="preserve">윤지민 2/25
</t>
    </r>
    <r>
      <rPr>
        <rFont val="Noto Sans KR"/>
        <color rgb="FF666666"/>
      </rPr>
      <t>이한희 2/28</t>
    </r>
  </si>
  <si>
    <t>이한희 8/25</t>
  </si>
  <si>
    <t>성연우</t>
  </si>
  <si>
    <t>성연우 2/22
임은우 위약금
권민교 2/25</t>
  </si>
  <si>
    <t>조서현 2/25</t>
  </si>
  <si>
    <t>민성현 2/25</t>
  </si>
  <si>
    <t>곽지윤 3/2</t>
  </si>
  <si>
    <t>권지인 2/28</t>
  </si>
  <si>
    <t>김은서 위약금
권지인</t>
  </si>
  <si>
    <t>권지인 7/31</t>
  </si>
  <si>
    <t>박민정 2/25</t>
  </si>
  <si>
    <t>박민정 8/24</t>
  </si>
  <si>
    <t>임승현</t>
  </si>
  <si>
    <t>임승현 2/20
손희진 2/21</t>
  </si>
  <si>
    <t>이연우</t>
  </si>
  <si>
    <r>
      <rPr>
        <rFont val="Noto Sans KR"/>
        <color rgb="FF666666"/>
      </rPr>
      <t xml:space="preserve">이연우 2/25
</t>
    </r>
    <r>
      <rPr>
        <rFont val="Noto Sans KR"/>
        <color rgb="FF666666"/>
      </rPr>
      <t>손민주 2/21</t>
    </r>
  </si>
  <si>
    <t>Stepien Adrianna Joanna 7/23</t>
  </si>
  <si>
    <t>Elisa Libert(우주) 7/6</t>
  </si>
  <si>
    <t>이서현 3/1</t>
  </si>
  <si>
    <t>이서현 8/25</t>
  </si>
  <si>
    <t>고현서 8/25</t>
  </si>
  <si>
    <t>상상(성북구 동소문로25-20 301호)</t>
  </si>
  <si>
    <t>최영서 1/23
심수빈 1/24</t>
  </si>
  <si>
    <t>박태희 위약금1</t>
  </si>
  <si>
    <t>박태희 위약금2
이예진 2/24</t>
  </si>
  <si>
    <t>신혜빈 1/31</t>
  </si>
  <si>
    <t>김이영 2/1</t>
  </si>
  <si>
    <t>김이영 7/31</t>
  </si>
  <si>
    <t>아띠 샤샤</t>
  </si>
  <si>
    <t>카이 리온 5/31</t>
  </si>
  <si>
    <t>AOKI FUKA 후우카</t>
  </si>
  <si>
    <t>AOKI FUKA 후우카 2/19</t>
  </si>
  <si>
    <t>신유진 3/1</t>
  </si>
  <si>
    <t>신유진 12/31</t>
  </si>
  <si>
    <t>서울 6006349479</t>
  </si>
  <si>
    <t>건물주 (1년에 한번?;;)</t>
  </si>
  <si>
    <t>아띠 브루</t>
  </si>
  <si>
    <t>이슭 2/22</t>
  </si>
  <si>
    <t>이슭 위약금1
한예현 3/6</t>
  </si>
  <si>
    <t>이슭 위약금2
한예현</t>
  </si>
  <si>
    <t>한예현 7/6</t>
  </si>
  <si>
    <t xml:space="preserve">김채영 </t>
  </si>
  <si>
    <t>이가을 9/30</t>
  </si>
  <si>
    <t>오현빈 8/25</t>
  </si>
  <si>
    <t>황소정</t>
  </si>
  <si>
    <t>황소정 2/21</t>
  </si>
  <si>
    <t>김예원 3/1</t>
  </si>
  <si>
    <t>김예원 8/25</t>
  </si>
  <si>
    <t>이아원  LI YA YUAN 8/25</t>
  </si>
  <si>
    <t>김연화 7/31</t>
  </si>
  <si>
    <t>조현아</t>
  </si>
  <si>
    <t>조현아 2/28</t>
  </si>
  <si>
    <t>이단비 2/25
고은주 2/25</t>
  </si>
  <si>
    <t>고은주 8/25</t>
  </si>
  <si>
    <t>최설화 2/25</t>
  </si>
  <si>
    <t>허브원이엔씨(Phạm Thiên Như Ý) 3/18</t>
  </si>
  <si>
    <t>허브원이엔씨(Phạm Thiên Như Ý) 9/17</t>
  </si>
  <si>
    <t>나카무라 마아코 5/25</t>
  </si>
  <si>
    <t>양예림 9/30</t>
  </si>
  <si>
    <t>차민서</t>
  </si>
  <si>
    <t>차민서 2/25</t>
  </si>
  <si>
    <t>하시모토 아야 aya</t>
  </si>
  <si>
    <t>하시모토 아야 aya 3/20</t>
  </si>
  <si>
    <t>김혜연 4/4</t>
  </si>
  <si>
    <t>이소빈 위약금</t>
  </si>
  <si>
    <t>Carine Hobeika Ståhl 3/16</t>
  </si>
  <si>
    <t>Carine Hobeika Ståhl 4/15</t>
  </si>
  <si>
    <t>(고정) 수도 (고정)</t>
  </si>
  <si>
    <t>박진민 1/30</t>
  </si>
  <si>
    <t>최수현 위약금</t>
  </si>
  <si>
    <t>정인혜 3/1</t>
  </si>
  <si>
    <t>구승희 5/31</t>
  </si>
  <si>
    <t>Manon</t>
  </si>
  <si>
    <t>Manon 8/31</t>
  </si>
  <si>
    <t>아띠 숙녀</t>
  </si>
  <si>
    <t>Anna Sophie Holzinger</t>
  </si>
  <si>
    <t>Anna Sophie Holzinger 2/25
서혜령 위약금
여가은 2/22</t>
  </si>
  <si>
    <t xml:space="preserve">여가은
</t>
  </si>
  <si>
    <t>김경빈 1/31</t>
  </si>
  <si>
    <t>권수민 2/21</t>
  </si>
  <si>
    <t>황주격 HUANG SHUG</t>
  </si>
  <si>
    <t>Riya Mehra(엔코) 8/25</t>
  </si>
  <si>
    <t>권지우 2/21</t>
  </si>
  <si>
    <t>AFFORTIT Estelle(고고)</t>
  </si>
  <si>
    <t>오채영(우주) 8/25</t>
  </si>
  <si>
    <t>송주은 2/28</t>
  </si>
  <si>
    <t>송주은 8/25</t>
  </si>
  <si>
    <t>김연우 2/27
김려원 2/28</t>
  </si>
  <si>
    <t>김려원 8/25</t>
  </si>
  <si>
    <t>박설빈 위약금1</t>
  </si>
  <si>
    <t>박설빈 위약금2
공채경 2/24</t>
  </si>
  <si>
    <t>공채경 8/23</t>
  </si>
  <si>
    <t>최다영</t>
  </si>
  <si>
    <t>최다영 2/25
경종현(경초윤) 2/28</t>
  </si>
  <si>
    <t>경종현(경초윤) 8/25</t>
  </si>
  <si>
    <t xml:space="preserve">김민지(우주) </t>
  </si>
  <si>
    <t>남채영 1/31</t>
  </si>
  <si>
    <r>
      <rPr>
        <rFont val="Noto Sans KR"/>
        <color rgb="FF666666"/>
      </rPr>
      <t xml:space="preserve">김예림 위약금
</t>
    </r>
    <r>
      <rPr>
        <rFont val="Noto Sans KR"/>
        <color rgb="FF666666"/>
      </rPr>
      <t>김동림 2/28</t>
    </r>
  </si>
  <si>
    <t>김동림 8/25</t>
  </si>
  <si>
    <t>박서인 2/1</t>
  </si>
  <si>
    <t>최승빈 2/28</t>
  </si>
  <si>
    <t>김규리 3/1</t>
  </si>
  <si>
    <t>이미송 2/28
김민재 2/28</t>
  </si>
  <si>
    <t>김규리 2/28</t>
  </si>
  <si>
    <t>정은진 3/1</t>
  </si>
  <si>
    <t>서지은 2/28</t>
  </si>
  <si>
    <t>공재희 3/1</t>
  </si>
  <si>
    <t>김세하 2/20</t>
  </si>
  <si>
    <t>김세하 (전체)</t>
  </si>
  <si>
    <t>김세하 (전체) 8/20</t>
  </si>
  <si>
    <t>김은서 3/1</t>
  </si>
  <si>
    <t>김은서 8/25</t>
  </si>
  <si>
    <t>1월</t>
  </si>
  <si>
    <t>2월</t>
  </si>
  <si>
    <t>3월</t>
  </si>
  <si>
    <t>4월</t>
  </si>
  <si>
    <t>5월</t>
  </si>
  <si>
    <t>6월</t>
  </si>
  <si>
    <t>7월</t>
  </si>
  <si>
    <t>8월</t>
  </si>
  <si>
    <t>9월</t>
  </si>
  <si>
    <t>10월</t>
  </si>
  <si>
    <t>11월</t>
  </si>
  <si>
    <t>12월</t>
  </si>
  <si>
    <t>아띠 다정 총계</t>
  </si>
  <si>
    <t>아띠 단짠 총계</t>
  </si>
  <si>
    <t>아띠 루프 총계</t>
  </si>
  <si>
    <t>아띠 브루 총계</t>
  </si>
  <si>
    <t>아띠 샤샤 총계</t>
  </si>
  <si>
    <t>아띠 소녀 총계</t>
  </si>
  <si>
    <t>아띠 숙녀 총계</t>
  </si>
  <si>
    <t>아띠 워너비 총계</t>
  </si>
  <si>
    <t>아띠 허브 총계</t>
  </si>
  <si>
    <t>총계</t>
  </si>
  <si>
    <t>24년 10월부터 12월 : 4,771,400</t>
  </si>
  <si>
    <t xml:space="preserve">2월까지 지불 완료 </t>
  </si>
  <si>
    <t>날짜</t>
  </si>
  <si>
    <t>지점</t>
  </si>
  <si>
    <t>종류</t>
  </si>
  <si>
    <t>지출내역</t>
  </si>
  <si>
    <t>수행</t>
  </si>
  <si>
    <t>금액</t>
  </si>
  <si>
    <t>1열</t>
  </si>
  <si>
    <t>2열</t>
  </si>
  <si>
    <t>month</t>
  </si>
  <si>
    <t>Column 10</t>
  </si>
  <si>
    <t>수리</t>
  </si>
  <si>
    <t>비데수리</t>
  </si>
  <si>
    <t>원영훈 노비타</t>
  </si>
  <si>
    <t>쿠팡</t>
  </si>
  <si>
    <t>화장실청소세제</t>
  </si>
  <si>
    <t>세탁세제 laundry detergent</t>
  </si>
  <si>
    <t>청소</t>
  </si>
  <si>
    <t>쓰레기봉투 garbage bag</t>
  </si>
  <si>
    <t>단열벽지</t>
  </si>
  <si>
    <t>주방세제, 휴지</t>
  </si>
  <si>
    <t>고무장갑 Rubber glove, 수세미 Scrubbers</t>
  </si>
  <si>
    <t>휴지 tissue</t>
  </si>
  <si>
    <t>Jody</t>
  </si>
  <si>
    <t>욕실세제</t>
  </si>
  <si>
    <t>정하연</t>
  </si>
  <si>
    <t>휴지</t>
  </si>
  <si>
    <t>오늘수거</t>
  </si>
  <si>
    <t>고무장갑 Rubber glove, 수세미 Scrubbers, 청소 밀대  Cleaning mop</t>
  </si>
  <si>
    <t>쓰레기봉투</t>
  </si>
  <si>
    <t>YASUI AYANE</t>
  </si>
  <si>
    <t>주방세제 kitchen detergent</t>
  </si>
  <si>
    <t>Nguyen Ngoc Tram</t>
  </si>
  <si>
    <t>건조기 폐기</t>
  </si>
  <si>
    <t>환불</t>
  </si>
  <si>
    <t>결로방지페인트</t>
  </si>
  <si>
    <t>건전지</t>
  </si>
  <si>
    <t>휴지 tissue, 세탁세제 laundry detergent, 주방세제 kitchen detergent</t>
  </si>
  <si>
    <t>박진민</t>
  </si>
  <si>
    <t>주방세제 kitchen detergent, 청소 밀대  Cleaning mop, 수세미 Scrubbers</t>
  </si>
  <si>
    <t>Elisa Libert</t>
  </si>
  <si>
    <t>투어</t>
  </si>
  <si>
    <t>투어페이백</t>
  </si>
  <si>
    <t>소파 테이블 폐기</t>
  </si>
  <si>
    <t>성북구청</t>
  </si>
  <si>
    <t>세탁세제 laundry detergent, 주방세제 kitchen detergent, 휴지 tissue, 수세미 Scrubbers, 청소 밀대  Cleaning mop, 락스</t>
  </si>
  <si>
    <t>청소밀대 반품</t>
  </si>
  <si>
    <t>휴지 tissue, 세탁세제 laundry detergent</t>
  </si>
  <si>
    <t>세탁세제 laundry detergent, 고무장갑 Rubber glove</t>
  </si>
  <si>
    <t>aya</t>
  </si>
  <si>
    <t>방문손잡이</t>
  </si>
  <si>
    <t>락스</t>
  </si>
  <si>
    <t>고무장갑 Rubber glove, 수세미 Scrubbers, 세탁세제 laundry detergent</t>
  </si>
  <si>
    <t>김연우</t>
  </si>
  <si>
    <t xml:space="preserve">쓰레기봉투 garbage bag, </t>
  </si>
  <si>
    <t>신혜빈</t>
  </si>
  <si>
    <t>프라이팬</t>
  </si>
  <si>
    <t>뽁뽁이</t>
  </si>
  <si>
    <t>재활용봉투</t>
  </si>
  <si>
    <t>휴지 tissue, 쓰레기봉투 garbage bag, 수세미 Scrubbers, 수세미는두꺼운걸로부탁드립니다</t>
  </si>
  <si>
    <t>주방세제 kitchen detergent, 수세미 Scrubbers</t>
  </si>
  <si>
    <t>고무장갑</t>
  </si>
  <si>
    <t>세탁세제 laundry detergent, 주방세제 kitchen detergent, 수세미 Scrubbers</t>
  </si>
  <si>
    <t>화장실 락스</t>
  </si>
  <si>
    <t>정다혜</t>
  </si>
  <si>
    <t>세탁세제 laundry detergent, 주방세제 kitchen detergent</t>
  </si>
  <si>
    <t>세탁기</t>
  </si>
  <si>
    <t>욕실청소 세제</t>
  </si>
  <si>
    <t>의자 2개 폐기</t>
  </si>
  <si>
    <t>마포구청</t>
  </si>
  <si>
    <t>배수관 클리너</t>
  </si>
  <si>
    <t>휴지 tissue, 주방세제 kitchen detergent</t>
  </si>
  <si>
    <t>휴지 tissue, 세탁세제 laundry detergent, 주방세제 kitchen detergent, 고무장갑 Rubber glove</t>
  </si>
  <si>
    <t>Arianna</t>
  </si>
  <si>
    <t>주방세제,곰팡이제거제</t>
  </si>
  <si>
    <t>오채영</t>
  </si>
  <si>
    <t>의자 1개 폐기</t>
  </si>
  <si>
    <t>중구청</t>
  </si>
  <si>
    <t>청소기</t>
  </si>
  <si>
    <t>어글리랩</t>
  </si>
  <si>
    <t>세탁기 처리</t>
  </si>
  <si>
    <t>박혜성</t>
  </si>
  <si>
    <t>세탁기 수전</t>
  </si>
  <si>
    <t>진진수</t>
  </si>
  <si>
    <t>샛별하우스 점검 및 세탁기 처리</t>
  </si>
  <si>
    <t>샛별 하우스 세탁기 옮기기</t>
  </si>
  <si>
    <t>변기수리</t>
  </si>
  <si>
    <t>기타</t>
  </si>
  <si>
    <t>건조기 당근구입</t>
  </si>
  <si>
    <t>유종원</t>
  </si>
  <si>
    <t>수리) 다정하우스 싱크대 배수</t>
  </si>
  <si>
    <t>수리)  2인실 벽행거 설치 + 앙카 추가설치</t>
  </si>
  <si>
    <t>수리) 삼중 E룸 화장실 변기막힘</t>
  </si>
  <si>
    <t>청소) 신사하우스 정기청소 1회차</t>
  </si>
  <si>
    <t>청소) 반포하우스 정기청소 1회차</t>
  </si>
  <si>
    <t>청소) 샛별하우스 정기청소+계단청소</t>
  </si>
  <si>
    <t>청소) 삼중하우스 정기청소 1회차</t>
  </si>
  <si>
    <t>청소) 영영하우스1 정기청소</t>
  </si>
  <si>
    <t>청소) 영영하우스2 정기청소</t>
  </si>
  <si>
    <t>청소) 루프하우스 정기청소</t>
  </si>
  <si>
    <t>청소) 다정하우스 정기청소</t>
  </si>
  <si>
    <t>청소) 아리하우스 정기청소 - 2월청소 X</t>
  </si>
  <si>
    <t>청소) 샤샤하우스 정기청소 1회차</t>
  </si>
  <si>
    <t>청소) 트리하우스 정기청소 - 2월 정기청소x</t>
  </si>
  <si>
    <t>청소) 신촌하우스 정기청소 + 거실벽 곰팡이 확인 B룸 창문과 틀닦기 서랍!</t>
  </si>
  <si>
    <t>청소) 대학하우스 정기청소</t>
  </si>
  <si>
    <t>청소) 청량하우스 정기청소</t>
  </si>
  <si>
    <t>청소) 동일하우스 정기청소</t>
  </si>
  <si>
    <t>청소) 동지하우스 정기청소</t>
  </si>
  <si>
    <t>청소) 동이하우스 정기청소</t>
  </si>
  <si>
    <t>청소) 브루하우스 정기청소</t>
  </si>
  <si>
    <t>청소) 영삼하우스 정기청소</t>
  </si>
  <si>
    <t>청소) 영이하우스 정기청소</t>
  </si>
  <si>
    <t>청소) 동동하우스 정기청소 - 2월청소X</t>
  </si>
  <si>
    <t>청소) 동삼하우스 정기청소</t>
  </si>
  <si>
    <t>청소) 와이지하우스 정기청소</t>
  </si>
  <si>
    <t>청소) 선릉하우스 정기청소</t>
  </si>
  <si>
    <t>청소) 숙녀하우스 정기청소 + 2월 성애제거</t>
  </si>
  <si>
    <t>청소) 상상하우스 정기청소+2월 욕실 선반내부 닦</t>
  </si>
  <si>
    <t>청소) 낙성하우스 정기청소</t>
  </si>
  <si>
    <t>청소) 샤네하우스 정기청소</t>
  </si>
  <si>
    <t>청소) 허브하우스 정기청소</t>
  </si>
  <si>
    <t>청소) 당산하우스 정기청소</t>
  </si>
  <si>
    <t>청소) 쌍용하우스 정기청소</t>
  </si>
  <si>
    <t>청소) 소녀하우스 정기청소</t>
  </si>
  <si>
    <t>청소) 광흥하우스 정기청소</t>
  </si>
  <si>
    <t>청소) 삼중하우스 정기청소 2회차</t>
  </si>
  <si>
    <t>청소) 영동하우스 정기청소 + 화장실 천정 물방울 유무</t>
  </si>
  <si>
    <t>청소) 한성하우스 정기청소</t>
  </si>
  <si>
    <t>청소) 신사하우스 정기청소 2회차</t>
  </si>
  <si>
    <t>청소) 워너비하우스 정기청소</t>
  </si>
  <si>
    <t>청소) 휘경하우스 정기청소</t>
  </si>
  <si>
    <t>청소) 빠방하우스 정기청소 + 욕실 곰팡이청소+현관문 위 곰팡이 닦기</t>
  </si>
  <si>
    <t>청소) 시립하우스 정기청소+공실확인</t>
  </si>
  <si>
    <t>청소) 샤샤하우스 정기청소 2회차_집상태먼저확인!</t>
  </si>
  <si>
    <t>청소) 이문하우스 정기청소</t>
  </si>
  <si>
    <t>청소) 반포하우스 정기청소 2회차</t>
  </si>
  <si>
    <t>청소) 구디하우스 정기청소 - 3월 청소X</t>
  </si>
  <si>
    <t>청소도구 - 니트릴장갑</t>
  </si>
  <si>
    <t>이한나</t>
  </si>
  <si>
    <t>세탁세제 laundry detergent, 캡슐세제로 부탁드립니다.</t>
  </si>
  <si>
    <t>세탁세제 laundry detergent, 휴지 tissue</t>
  </si>
  <si>
    <t>임가람</t>
  </si>
  <si>
    <t>배수구팝업</t>
  </si>
  <si>
    <t>방전등</t>
  </si>
  <si>
    <t>홍지은</t>
  </si>
  <si>
    <t>반품</t>
  </si>
  <si>
    <t>변기커버</t>
  </si>
  <si>
    <t>침대폐기 3개</t>
  </si>
  <si>
    <t>침대폐기 5개</t>
  </si>
  <si>
    <t xml:space="preserve">Kavya </t>
  </si>
  <si>
    <t>배수구세정제</t>
  </si>
  <si>
    <t>주방세제, 세탁세제</t>
  </si>
  <si>
    <t>세탁세제</t>
  </si>
  <si>
    <t>세탁세제,휴지</t>
  </si>
  <si>
    <t>청소기 먼지봉투</t>
  </si>
  <si>
    <t>주방세제</t>
  </si>
  <si>
    <t xml:space="preserve">AFFORTIT Estelle </t>
  </si>
  <si>
    <t>수도수리</t>
  </si>
  <si>
    <t>해주세요</t>
  </si>
  <si>
    <t>의자폐기</t>
  </si>
  <si>
    <t>휴지 tissue, 세탁세제 laundry detergent, 고무장갑 Rubber glove</t>
  </si>
  <si>
    <t>캡슐세제</t>
  </si>
  <si>
    <t>케이뱅크 이체?</t>
  </si>
  <si>
    <t>TAM YUK MUI</t>
  </si>
  <si>
    <t>정화조</t>
  </si>
  <si>
    <t>신우식</t>
  </si>
  <si>
    <t>냄새 처리작업</t>
  </si>
  <si>
    <t>문익호</t>
  </si>
  <si>
    <t>재활용봉투 recycling bag</t>
  </si>
  <si>
    <t>수세미</t>
  </si>
  <si>
    <t>세탁기 폐기</t>
  </si>
  <si>
    <t>강남구청</t>
  </si>
  <si>
    <t>케뱅이체</t>
  </si>
  <si>
    <t>침구세트</t>
  </si>
  <si>
    <t>침구 5만원 추가결제</t>
  </si>
  <si>
    <t>B룸 Maria Katharina Henneken(엔코)</t>
  </si>
  <si>
    <t>음식물 쓰레기봉투</t>
  </si>
  <si>
    <t>(개포동 주문건)</t>
  </si>
  <si>
    <t>무선와이파이 증폭기</t>
  </si>
  <si>
    <t>샤워기 수전</t>
  </si>
  <si>
    <t>Irina Komarova</t>
  </si>
  <si>
    <t>의자 액자 건조대 등 폐기</t>
  </si>
  <si>
    <t>성동구청</t>
  </si>
  <si>
    <t>냉장고수리</t>
  </si>
  <si>
    <t>이종희(위니아)</t>
  </si>
  <si>
    <t>책상 폐기</t>
  </si>
  <si>
    <t>영등포구청</t>
  </si>
  <si>
    <t>수리) 샛별 방등교체 C룸</t>
  </si>
  <si>
    <t>수리) 허브 샤워기 수전교체</t>
  </si>
  <si>
    <t>수리) 신사 변기 막힘</t>
  </si>
  <si>
    <t>수리) 다정 책상조립</t>
  </si>
  <si>
    <t>수리) 소녀 선반 달기</t>
  </si>
  <si>
    <t>수리) 신촌 해충방역</t>
  </si>
  <si>
    <t>수리) 신사하우스  AB 사이 주방 세탁기 폐기</t>
  </si>
  <si>
    <t>수리) 단짠 A룸 창틈 보수</t>
  </si>
  <si>
    <t>수리) 샤샤하우스 cctv 설치</t>
  </si>
  <si>
    <t>수리) 샤샤하우스 변기막힘</t>
  </si>
  <si>
    <t>수리) 허브  B룸 서랍장, 거울 등</t>
  </si>
  <si>
    <t>수리) 동일하우스 B룸 김려원 수납장 수리</t>
  </si>
  <si>
    <t>청소) 신촌하우스 정기청소 + 거실벽 곰팡이 확인</t>
  </si>
  <si>
    <t>청소) 대학하우스 정기청소 + 3월입주시 청소</t>
  </si>
  <si>
    <t>청소) 시립하우스 정기청소</t>
  </si>
  <si>
    <t>청소) 휘경 정기청소+ B 입주청소 이주영</t>
  </si>
  <si>
    <t>청소) 상상하우스 정기청소 욕실선반 내부닦기+ C룸 입주청소 이예진</t>
  </si>
  <si>
    <t>청소) 샤샤하우스 정기청소 2회차+B룸 입주청소 신유진_집상태 먼저확인!</t>
  </si>
  <si>
    <t>청소) 한성하우스 정기청소 +D2 오른쪽 이서현 입주청소</t>
  </si>
  <si>
    <t>청소) 신사하우스 정기청소 2회차 + A룸 입주청소 Brooklyn + AB 사이 주방 청소!, D룸 침구 방안에 넣기!</t>
  </si>
  <si>
    <t>청소) 빠방하우스 정기청소 + 입주청소 E룸 박유현 + 욕실 곰팡이청소</t>
  </si>
  <si>
    <t>청소) 영동하우스 정기청소 + 화장실 천정 물방울 유무 + 침구</t>
  </si>
  <si>
    <t xml:space="preserve">쓰레기봉투 </t>
  </si>
  <si>
    <t>휴지 tissue, 고무장갑 Rubber glove</t>
  </si>
  <si>
    <t>욕실전등</t>
  </si>
  <si>
    <t>의자3개 폐기</t>
  </si>
  <si>
    <t>서대문구청</t>
  </si>
  <si>
    <t>팝업</t>
  </si>
  <si>
    <t>수전</t>
  </si>
  <si>
    <t>주방 찌든때 제거제, 행주, 주방청소용 세정제</t>
  </si>
  <si>
    <t>세탁세제 laundry detergent, 쓰레기봉투 garbage bag, 고무장갑 Rubber glove</t>
  </si>
  <si>
    <t>주방세제 kitchen detergent, 재활용봉투 recycling bag, 수세미 Scrubbers</t>
  </si>
  <si>
    <t>주방세제 kitchen detergent, 재활용봉투 recycling bag, 쓰레기봉투 garbage bag</t>
  </si>
  <si>
    <t>황수리</t>
  </si>
  <si>
    <t>살충제</t>
  </si>
  <si>
    <t>김주원</t>
  </si>
  <si>
    <t>수세미 Scrubbers, Kitchen's sponge</t>
  </si>
  <si>
    <t>데시레에 마티올리</t>
  </si>
  <si>
    <t>주방전등</t>
  </si>
  <si>
    <t>재활용봉투 recycling bag, 지난번에 주문한 재활용 쓰레기 봉투(60 L)는 너무 작아서 화장실 쓰레기통에 맞지 않습니다. 저희 하우스용으로 더 큰 사이즈인 120L이상으로 주문해 주시면 감사하겠습니다.</t>
  </si>
  <si>
    <t>주방세제 kitchen detergent, 고무장갑 Rubber glove, 수세미 Scrubbers</t>
  </si>
  <si>
    <t>주방칼, 조리도구</t>
  </si>
  <si>
    <t>후라이팬</t>
  </si>
  <si>
    <t>니트릴장갑,검정봉투,주방세제</t>
  </si>
  <si>
    <t>크린랩</t>
  </si>
  <si>
    <t>하시모토아야</t>
  </si>
  <si>
    <t>케뱅?</t>
  </si>
  <si>
    <t>의자폐기 1개</t>
  </si>
  <si>
    <t>태화, 강남구청</t>
  </si>
  <si>
    <t>락스랑 다목적 세정제 스프레이</t>
  </si>
  <si>
    <t>yumina</t>
  </si>
  <si>
    <t>휴지 tissue, 주방세제 kitchen detergent, 고무장갑 Rubber glove</t>
  </si>
  <si>
    <t>주방세제 kitchen detergent, 고무장갑 Rubber glove</t>
  </si>
  <si>
    <t>쓰레기봉투 garbage bag, Food trash</t>
  </si>
  <si>
    <t>샤워헤드</t>
  </si>
  <si>
    <t>주방용 집게</t>
  </si>
  <si>
    <t>휴지걸이</t>
  </si>
  <si>
    <t>휴지 tissue, 주방세제 kitchen detergent, 쓰레기봉투 garbage bag, 재활용봉투 recycling bag</t>
  </si>
  <si>
    <t>Kai Lion</t>
  </si>
  <si>
    <t>영수증x</t>
  </si>
  <si>
    <t>시트지</t>
  </si>
  <si>
    <t>고무장갑 Rubber glove</t>
  </si>
  <si>
    <t>음식물쓰레기봉투</t>
  </si>
  <si>
    <t>수세미 Scrubbers</t>
  </si>
  <si>
    <t>바닥배수구 커버</t>
  </si>
  <si>
    <t>휴지, 주방세제</t>
  </si>
  <si>
    <t>고방광고</t>
  </si>
  <si>
    <t>욕실등</t>
  </si>
  <si>
    <t>건조기수리</t>
  </si>
  <si>
    <t>나성열(위니아)</t>
  </si>
  <si>
    <t>비데</t>
  </si>
  <si>
    <t>수</t>
  </si>
  <si>
    <t>변기막힘</t>
  </si>
  <si>
    <t>전자레인지</t>
  </si>
  <si>
    <t>배수구 세정제</t>
  </si>
  <si>
    <t>쓰레기통, 봉투</t>
  </si>
  <si>
    <t>아현주문 &gt; 당산이동</t>
  </si>
  <si>
    <t>멀티세정제</t>
  </si>
  <si>
    <t>세탁기수리</t>
  </si>
  <si>
    <t>손정호(월풀)</t>
  </si>
  <si>
    <t>전지현</t>
  </si>
  <si>
    <t>이리안</t>
  </si>
  <si>
    <t>4/27 이체</t>
  </si>
  <si>
    <t>헤바 10만원 관리비계좌 입금</t>
  </si>
  <si>
    <t>취소</t>
  </si>
  <si>
    <t>5000 관리계좌 입금확인</t>
  </si>
  <si>
    <t>케이뱅크 입금 6천+3만(배출비용)</t>
  </si>
  <si>
    <t>케이뱅크 입금확인</t>
  </si>
  <si>
    <t>반품 9/4</t>
  </si>
  <si>
    <t>케뱅</t>
  </si>
  <si>
    <t>중복 반품</t>
  </si>
  <si>
    <t>&gt; 휴지 반품</t>
  </si>
  <si>
    <t>관리비계좌 27,000 입금</t>
  </si>
  <si>
    <t>2인치 반품</t>
  </si>
  <si>
    <t>Name  ▶</t>
  </si>
  <si>
    <t>s</t>
  </si>
  <si>
    <t>쉐어메이트 계약서</t>
  </si>
  <si>
    <t>서교 쉐어메이트 계약서</t>
  </si>
  <si>
    <t xml:space="preserve">임 대 계 약 서 </t>
  </si>
  <si>
    <t>다음과 같이 합의하여 쉐어메이트 계약을 체결한다.</t>
  </si>
  <si>
    <t>Sign a Share Mate contract by agreeing as follows</t>
  </si>
  <si>
    <t>제 1 조. 거주공간의 표시</t>
  </si>
  <si>
    <t>Article 1. Indication of living space</t>
  </si>
  <si>
    <t>임대부분</t>
  </si>
  <si>
    <t>임대료 계좌</t>
  </si>
  <si>
    <t>Address</t>
  </si>
  <si>
    <t>House</t>
  </si>
  <si>
    <t>제 2 조. 계약 내용</t>
  </si>
  <si>
    <t>Rent</t>
  </si>
  <si>
    <t>Rent payment</t>
  </si>
  <si>
    <t>제 1 항 [ 목 적 ] 임대인과 이용자는 합의에 의하여 임차보증금 및 차임을 아래와 같이 지불하기로 한다.</t>
  </si>
  <si>
    <t xml:space="preserve">
Article 2. Contract contents</t>
  </si>
  <si>
    <t xml:space="preserve">퇴실시 시설물 확인 및 정산 확인 후 최대 7일 이내로 반환 됩니다 </t>
  </si>
  <si>
    <t>계약일자</t>
  </si>
  <si>
    <t>제 1 항 [ 목 적 ] 임대인과 이용자은 합의에 의하여 임차보증금 및 차임을 아래와 같이 지불하기로 한다.</t>
  </si>
  <si>
    <t>1. [Purpose] The landlord and the lessee agree to pay the lease deposit and rent as follows by agreement.</t>
  </si>
  <si>
    <t>할인금</t>
  </si>
  <si>
    <r>
      <rPr>
        <rFont val="Noto Sans KR"/>
        <color rgb="FF000000"/>
        <sz val="11.0"/>
      </rPr>
      <t xml:space="preserve">을 제외한 월세는 </t>
    </r>
    <r>
      <rPr>
        <rFont val="Noto Sans KR"/>
        <color rgb="FF000000"/>
        <sz val="11.0"/>
      </rPr>
      <t>매월 1일 지정계좌</t>
    </r>
    <r>
      <rPr>
        <rFont val="Noto Sans KR"/>
        <color rgb="FF000000"/>
        <sz val="11.0"/>
      </rPr>
      <t>로 납입한다.</t>
    </r>
  </si>
  <si>
    <t xml:space="preserve"> 첫달 월세 일할계산</t>
  </si>
  <si>
    <t>Deposit</t>
  </si>
  <si>
    <r>
      <rPr>
        <rFont val="Noto Sans KR"/>
        <color rgb="FF000000"/>
        <sz val="11.0"/>
      </rPr>
      <t xml:space="preserve">Refund will be made within </t>
    </r>
    <r>
      <rPr>
        <rFont val="Noto Sans KR"/>
        <b/>
        <color rgb="FF000000"/>
        <sz val="11.0"/>
      </rPr>
      <t>7 days</t>
    </r>
    <r>
      <rPr>
        <rFont val="Noto Sans KR"/>
        <color rgb="FF000000"/>
        <sz val="11.0"/>
      </rPr>
      <t xml:space="preserve"> after confirmation of facility and settlement</t>
    </r>
  </si>
  <si>
    <t>계약금</t>
  </si>
  <si>
    <t>은 입주시 지불하고 영수함</t>
  </si>
  <si>
    <t>영수인</t>
  </si>
  <si>
    <t>(인)</t>
  </si>
  <si>
    <t>원</t>
  </si>
  <si>
    <t>에서 할인금액</t>
  </si>
  <si>
    <t>을 제외한 월세금은 선불로 납입완료되었으며 영수함.</t>
  </si>
  <si>
    <t>Monthly fee</t>
  </si>
  <si>
    <t>Discount</t>
  </si>
  <si>
    <t>Monthly rent payday is 1st of each month.</t>
  </si>
  <si>
    <t>First month</t>
  </si>
  <si>
    <t>Down payment</t>
  </si>
  <si>
    <t>received and signed</t>
  </si>
  <si>
    <t>Receipt</t>
  </si>
  <si>
    <t>(Sign)</t>
  </si>
  <si>
    <r>
      <rPr>
        <rFont val="Noto Sans KR"/>
        <color rgb="FF000000"/>
        <sz val="11.0"/>
      </rPr>
      <t xml:space="preserve">첫달관리비, 잔금 (보증금-계약금+첫달 입주일~말일-할인) </t>
    </r>
    <r>
      <rPr>
        <rFont val="Noto Sans KR"/>
        <b/>
        <color rgb="FF000000"/>
        <sz val="11.0"/>
      </rPr>
      <t>입금완료하여 영수함</t>
    </r>
    <r>
      <rPr>
        <rFont val="Noto Sans KR"/>
        <color rgb="FF000000"/>
        <sz val="11.0"/>
      </rPr>
      <t xml:space="preserve">. </t>
    </r>
    <r>
      <rPr>
        <rFont val="Noto Sans KR"/>
        <b/>
        <color rgb="FF000000"/>
        <sz val="11.0"/>
      </rPr>
      <t>( ※ 잔금, 관리비 각 계좌 확인 후 입금!)</t>
    </r>
  </si>
  <si>
    <t>은 계약시 지불하고 영수함</t>
  </si>
  <si>
    <r>
      <rPr>
        <rFont val="Noto Sans KR"/>
        <color rgb="FF000000"/>
        <sz val="11.0"/>
      </rPr>
      <t xml:space="preserve">매월 1일 지정계좌로 선불 납입한다.  </t>
    </r>
    <r>
      <rPr>
        <rFont val="Noto Sans KR"/>
        <b/>
        <color rgb="FF000000"/>
        <sz val="11.0"/>
      </rPr>
      <t>K BANK 유재훈 100-166-670094</t>
    </r>
  </si>
  <si>
    <t xml:space="preserve"> 첫달 관리비 일할계산 :</t>
  </si>
  <si>
    <t>은 입주일인</t>
  </si>
  <si>
    <t>하루 이전에 납입 후 입실정보를 받는다</t>
  </si>
  <si>
    <t>Balance</t>
  </si>
  <si>
    <r>
      <rPr>
        <rFont val="Noto Sans KR"/>
        <color rgb="FF000000"/>
        <sz val="11.0"/>
      </rPr>
      <t xml:space="preserve">The balance and administration fee need to paid by    </t>
    </r>
    <r>
      <rPr>
        <rFont val="Noto Sans KR"/>
        <b/>
        <color rgb="FF000000"/>
        <sz val="11.0"/>
      </rPr>
      <t>within 2 weeks after signing the contract</t>
    </r>
  </si>
  <si>
    <t xml:space="preserve"> * 신규 계약이 아닌 갱신계약은 계약금, 잔금 납부는 해당되지 않습니다. 보증금,월세,계약기간만 체크바랍니다</t>
  </si>
  <si>
    <t>administration fee</t>
  </si>
  <si>
    <r>
      <rPr>
        <rFont val="Noto Sans KR"/>
        <color rgb="FF000000"/>
        <sz val="11.0"/>
      </rPr>
      <t>pay to every 1st to following account (</t>
    </r>
    <r>
      <rPr>
        <rFont val="Noto Sans KR"/>
        <b/>
        <color rgb="FF000000"/>
        <sz val="11.0"/>
      </rPr>
      <t xml:space="preserve"> K BANK 유재훈 100-166-670094  </t>
    </r>
    <r>
      <rPr>
        <rFont val="Noto Sans KR"/>
        <color rgb="FF000000"/>
        <sz val="11.0"/>
      </rPr>
      <t>)</t>
    </r>
  </si>
  <si>
    <t>제 2 항 [존속기간]</t>
  </si>
  <si>
    <t>제공자는 위 공간을 주거 목적대로 사용할 수 있는 상태로 제 3 항의 계약 기간동안 거주자에게 인도한다.</t>
  </si>
  <si>
    <t>Contract date</t>
  </si>
  <si>
    <t>제 3 항 [기간 한정]</t>
  </si>
  <si>
    <t>본 계약은</t>
  </si>
  <si>
    <t>부터</t>
  </si>
  <si>
    <t>까지로 한다</t>
  </si>
  <si>
    <t>2. [Duration]</t>
  </si>
  <si>
    <t>The operator shall deliver the space above to the occupant during the contract term of paragraph 3 in a state that can be used for residential purposes.</t>
  </si>
  <si>
    <t>제 4 항 [계약의 해지]</t>
  </si>
  <si>
    <r>
      <rPr>
        <rFont val="Noto Sans KR"/>
        <color rgb="FF000000"/>
        <sz val="11.0"/>
      </rPr>
      <t>이용자는 임대 계약을 끝낼 시 임대법에 의거하여</t>
    </r>
    <r>
      <rPr>
        <rFont val="Noto Sans KR"/>
        <color rgb="FFFF0000"/>
        <sz val="11.0"/>
      </rPr>
      <t xml:space="preserve">  8주 이전에 서면 공지 </t>
    </r>
    <r>
      <rPr>
        <rFont val="Noto Sans KR"/>
        <color rgb="FF000000"/>
        <sz val="11.0"/>
      </rPr>
      <t>하며, 공지가 없을시 임대법 묵시적갱신 관련조항에 의거하여 자동으로 연장된다. 제공자가 임대 계약을 끝내거나 재계약 월세변동이 있을시, 동일하게 8주 이전에 공지하도록 한다.</t>
    </r>
  </si>
  <si>
    <t>까지 의무, 이후는 다시 상호협의한다</t>
  </si>
  <si>
    <t>3. [Period]</t>
  </si>
  <si>
    <t>From</t>
  </si>
  <si>
    <t>to</t>
  </si>
  <si>
    <t>Contract is valid</t>
  </si>
  <si>
    <t>제 5항 [계약의 종료]</t>
  </si>
  <si>
    <r>
      <rPr>
        <rFont val="Noto Sans KR"/>
        <color rgb="FF000000"/>
        <sz val="11.0"/>
      </rPr>
      <t xml:space="preserve">계약 종료 후, 이용자는 사용공간을 원상복구 하여야 하며, </t>
    </r>
    <r>
      <rPr>
        <rFont val="Noto Sans KR"/>
        <color rgb="FFFF0000"/>
        <sz val="11.0"/>
      </rPr>
      <t>제공자는 보증금을 7일 이내 반환</t>
    </r>
    <r>
      <rPr>
        <rFont val="Noto Sans KR"/>
        <color rgb="FF000000"/>
        <sz val="11.0"/>
      </rPr>
      <t xml:space="preserve">하여야 한다. 사용공간과 가구, 제공품에 손실이 있었고 관리자와 상의 하에 중도 대체가 안 된 경우 보증금에서 제한다. </t>
    </r>
  </si>
  <si>
    <t>임대 계약을 끝낼 시에는 임대인 이용자 쌍방 4주 이전에 공지하며, 공지가 없을시 자동으로 연장되며 임대법 묵시적갱신 관련조항에 의거하여 동일한 월세과 기간으로 연장된다. 계약기간 이전에 나갈 경우 남은기간에 대한 임대료 최고 3개월치 임대료를 이용자이 지불 하며 월세를 할인 받은 경우 혜택으로 할인 받은 금액 전액을 환불한다</t>
  </si>
  <si>
    <t>4. [Termination]</t>
  </si>
  <si>
    <r>
      <rPr>
        <rFont val="Noto Sans KR"/>
        <color rgb="FF000000"/>
        <sz val="11.0"/>
      </rPr>
      <t xml:space="preserve">Upon completion of the lease, the lease shall be announced   </t>
    </r>
    <r>
      <rPr>
        <rFont val="Noto Sans KR"/>
        <color rgb="FF000000"/>
        <sz val="11.0"/>
      </rPr>
      <t>8 weeks prior</t>
    </r>
    <r>
      <rPr>
        <rFont val="Noto Sans KR"/>
        <color rgb="FF000000"/>
        <sz val="11.0"/>
      </rPr>
      <t xml:space="preserve">  to the operator's residence under the Lease Act, automatically extended in the absence of notice, and extended to the same monthly rent period under the terms of implied renewal of the Lease Act.</t>
    </r>
  </si>
  <si>
    <t>제 6항 [채무불이행]</t>
  </si>
  <si>
    <r>
      <rPr>
        <rFont val="Noto Sans KR"/>
        <color rgb="FFFF0000"/>
        <sz val="11.0"/>
      </rPr>
      <t xml:space="preserve">이용료가 2주 이상 지체되거나 연락이 두절될 경우 계약은 즉시 해지  </t>
    </r>
    <r>
      <rPr>
        <rFont val="Noto Sans KR"/>
        <color rgb="FF000000"/>
        <sz val="11.0"/>
      </rPr>
      <t>되고 제공자는 별도의 법적인 절차 없이 이용자의 물건을 짐보관 업체에 위탁하고 출입통제가 가능하며, 계약중도해지 위약금이 청구될 수 있다.  이에 이용자는 어떠한 법적 이의도 제기하지 않는 것에 동의한다.</t>
    </r>
  </si>
  <si>
    <t>제 5 항 [계약의 종료]</t>
  </si>
  <si>
    <t>계약 종료 후, 이용자은 부동산을 원상 그대로, 임대인은 보증금을 반환하여야 한다. 부동산과 가구 등에 손실이 있었고 임대인과 상의 하에 중도 대체가 안 된 경우 보증금에서 제한다.
 보증금은 방청소, 제공물품 파손여부, 키 반납, 계약해지에 따른 정산 확인 후   3일 이내에 지정된 계좌로 반환된다.</t>
  </si>
  <si>
    <t>5. [Deposit return]</t>
  </si>
  <si>
    <t>After the end of the contract, the occupant shall restore the used space to its original state, and the operator shall return the deposit within seven days. Deposit shall be excluded from the deposit if there has been a loss in the space of use, furniture, and supplies, and there has been no interim replacement under consultation with the manager.</t>
  </si>
  <si>
    <t>제 7항 [계약중도해지]</t>
  </si>
  <si>
    <t xml:space="preserve">본 계약상의 내용에 대하여 불이행으로 강제퇴실 혹은, 계약기간 이전에 중도해지할 경우 남은기간에 대한 임대료 전체가 아닌 남은기간의 최대 2개월치가 위약금(월세+관리비)으로 청구되며, 이후 발생되는 추가 임차인 모집에 대해서는 권리 주장이 불가능하며 월세 할인 혹은 기타 혜택으로 할인 받은 금액 전액을 환불한다. 이 경우, 어떠한 법적 보상도 요구하지 않으며 강제퇴실의 경우 고지된  퇴실기간을 지키는 것에 동의한다. </t>
  </si>
  <si>
    <t>제 7항 [채무불이행]</t>
  </si>
  <si>
    <t>이용료가 2주 이상 지체되거나 연락이 두절될 경우 별도의 법적인 절차 없이 아띠제공자는 이용자의 물건을 짐보관업체에 위탁하고 계약된 집의 출입통제가 가능하며, 계약은 즉시 해지되고 운영에 손실이 있을 경우 이를 청구할 수 있으며 이에 이용자은 민, 형사상 어떠한 이의도 제기하지 않는 것에 동의하며 이의 경우 이용자 사유의 계약중도해지에 해당한다.</t>
  </si>
  <si>
    <t>6. [Fee Default]</t>
  </si>
  <si>
    <t>If the fee is delayed or lost for more than two weeks, the contract will be terminated immediately, and the operator can entrust the tenant's goods to the luggage storage company and control the entry without any legal procedures, and a penalty may be charged. The occupant hereby agrees not to raise any legal objection.</t>
  </si>
  <si>
    <t>제 8항 [입주 당일]</t>
  </si>
  <si>
    <r>
      <rPr>
        <rFont val="Noto Sans KR"/>
        <color rgb="FFFF0000"/>
        <sz val="11.0"/>
      </rPr>
      <t xml:space="preserve">이사직후 사용 공간 (방, 냉장고, 화장실 수납칸등)에 오염, 이염, 파손 및 이전 세입자의 물건이 있다면 그 즉시 제공자에게 고지      </t>
    </r>
    <r>
      <rPr>
        <rFont val="Noto Sans KR"/>
        <color rgb="FF000000"/>
        <sz val="11.0"/>
      </rPr>
      <t xml:space="preserve">해야한다. 미고지로 인하여   퇴실시 불이익은 이용자에게 책임이 있다. 입주 이전 청소의 경우 최소한의 청소로만 제공되며, 청소의 기준은 개개인에게 맞춤 제공이 불가능하다. *바닥 물걸레질, 창틀, 냉장고 청소등 </t>
    </r>
  </si>
  <si>
    <t>제 8항 [이용자의 의무]</t>
  </si>
  <si>
    <t>이용자은   전에 개인이 쓰던 구역을 깨끗이 청소를 의무로 한다. 관리자의 판단에 따라 청소가 미흡하거나 개인물건을 두고간 경우 5만원의 청소용역 및 짐처리 비용이 청구된다.</t>
  </si>
  <si>
    <t>7. [Termination]</t>
  </si>
  <si>
    <t>Failure to comply with this Agreement shall result in a penalty of up to three months' value for the remainder of the term, not the entire remaining rent, and any subsequent additional tenant recruitment shall not be claimed and the full discount will be refunded as a monthly rent or other benefits. In such cases, no legal compensation is required, and in the case of forced discharge, he/she agrees to observe the notified period of discharge.</t>
  </si>
  <si>
    <t>제 9항 [제공자의 의무]</t>
  </si>
  <si>
    <t>운영상황에 따라 변경되는 계약 내용이 있을 시 이용자에게 최소 4주전에 고지한다.</t>
  </si>
  <si>
    <t>8. [Tenant duty]</t>
  </si>
  <si>
    <t>If there is contamination, irritation, damage, and the previous tenant's goods in the use space (room, refrigerator, toilet storage area, etc.) immediately after moving, the operator shall immediately
A notice shall be made. The occupant shall be responsible for any disadvantages in leaving the room due to a notice of failure</t>
  </si>
  <si>
    <t>제 9항 [아띠의 의무]</t>
  </si>
  <si>
    <t>월이용료 조정은 계약기간 이후 재협의가 가능하며, 운영상황에 따라 변경되는 계약 내용이 있을 시 이용자에게 4주전에 고지한다.</t>
  </si>
  <si>
    <t>9. [Sharehouse Duty]</t>
  </si>
  <si>
    <t>Contract that changes depending on the operation situation, the tenant shall be notified at least four weeks in advance</t>
  </si>
  <si>
    <t>제 3 조. 특약 사항</t>
  </si>
  <si>
    <r>
      <rPr>
        <rFont val="Noto Sans KR"/>
        <color rgb="FF000000"/>
        <sz val="11.0"/>
      </rPr>
      <t xml:space="preserve">1.  [제공자 의무] 쉐어하우스는 집을 소분하여 임대하는 주거의 형태로 제공자는 임대인과 동일하게 월세 임대 관례에 따라 주거가 가능한 형태로 집을 유지관리할 의무가 있으며, 제공자는 현 거주 시설을 저감시키는 상황이 발생될 경우 최대한 빠르게 복구하도록 하며, 특약으로 재난 혹은 문제가 개인에 있는 것이 아닌 건물의 문제로 인하여 </t>
    </r>
    <r>
      <rPr>
        <rFont val="Noto Sans KR"/>
        <color rgb="FF000000"/>
        <sz val="11.0"/>
      </rPr>
      <t>거주할 수 없는 환경이 24시간 이상 이어질 경우 사용 못하는 날수 만큼 월세 일할계산</t>
    </r>
    <r>
      <rPr>
        <rFont val="Noto Sans KR"/>
        <color rgb="FF000000"/>
        <sz val="11.0"/>
      </rPr>
      <t xml:space="preserve">으로 이용자에게 보상해준다. </t>
    </r>
  </si>
  <si>
    <t>Article 3. Special Agreement</t>
  </si>
  <si>
    <t>2.  [공동 거주자의 최소 의무] 하우스메이트 간에 서로 배려하고 문제는 소통하여 해결하며 최소한의 의무 [청소 / 소음 / 예쁜 언어사용과 따뜻한 인사] 를 지키는 것을 약속한다. 만약 쉐어메이트 혹은 제공자와 지속적으로 불화가 있을 경우 제공자의 판단하에 강제퇴실조치되며 최대 2주일 이내 퇴실 해야 한다.</t>
  </si>
  <si>
    <t>1. 쉐어하우스는 집을 소분하여 임대하는 주거의 형태로 제공자는 월세 임대 관례에 따라 주거가 가능한 형태로 집을 유지관리할 의무가 있으며 생활하며 발생되는 집에 대한 관리 유지는 하우스메이트 모두에게 그 의무가 있다. ( 예시. 변기막힘 / 청결상태 / 머리카락으로 인한 배수문제 등 ) 하우스가 일정수준 이하의 청결로 지속적으로 유지될경우 경고 후 이용자 1/N 부담으로 청소업체가 투입될 수 있다.</t>
  </si>
  <si>
    <t>1. [Operator's Duty] Share house is a residential type, and operators are obliged to maintain houses in the same manner as tenants, and operators are required to restore current residential facilities as quickly as possible, and compensate tenants for more than 24 hours.</t>
  </si>
  <si>
    <r>
      <rPr>
        <rFont val="Noto Sans KR"/>
        <color rgb="FF000000"/>
        <sz val="11.0"/>
      </rPr>
      <t xml:space="preserve">3.  </t>
    </r>
    <r>
      <rPr>
        <rFont val="Noto Sans KR"/>
        <color rgb="FF000000"/>
        <sz val="11.0"/>
      </rPr>
      <t xml:space="preserve">[강제 퇴실] </t>
    </r>
    <r>
      <rPr>
        <rFont val="Noto Sans KR"/>
        <color rgb="FF000000"/>
        <sz val="11.0"/>
      </rPr>
      <t xml:space="preserve">애완동물 반입, 흡연, 공동 생활 수칙 미준수, 쉐어메이트 혹은 제공자에게 과도한 불편 혹은 불쾌함을 주거나 이기적인 행동으로 피해를 줄 경우, 타인의 물건을 사전  허락 없이 사용하거나 절도할 경우 경고 또는 강제 퇴실 조치가 취해 질 수 있다. 강제 퇴실 조치 판단은 관리자의 객관적인 판단에 따른다. </t>
    </r>
    <r>
      <rPr>
        <rFont val="Noto Sans KR"/>
        <color rgb="FF000000"/>
        <sz val="11.0"/>
      </rPr>
      <t>위에 명시된 특수 사항으로 강제 퇴실시 이용자는 1주일 이내로  퇴실 해</t>
    </r>
    <r>
      <rPr>
        <rFont val="Noto Sans KR"/>
        <color rgb="FF000000"/>
        <sz val="11.0"/>
      </rPr>
      <t xml:space="preserve">야한다.                                                                                  </t>
    </r>
  </si>
  <si>
    <t>2. 하우스메이트 간에 서로 배려하고 문제는 소통하여 해결하며 최소한의 룰 [청소 / 소음 / 예쁜 언어사용과 따뜻한 인사] 를 꼭 지켜주도록 한다</t>
  </si>
  <si>
    <t>2. [Minimum obligation of co-resident] It promises to be considerate of each other, communicate with each other to solve problems, and to keep the minimum obligation [cleaning / noise / using pretty language and warm greetings]. If there is a continuous disagreement with the Sharemate or the operator, he/she will be forced to leave the room at the judgment of the operator, and in this case, he/she shall leave the room within two weeks.</t>
  </si>
  <si>
    <t>4.  [파손과 배상] 개인 공간 옵션과 공용 공간 옵션 파손 혹은 수리가 필요한 경우, 파손자가 배상한다. 만약 파손자가 누구인지 불명확할 경우 이용자 전원이 배상비용에 대하여 1/N 로 책임을 진다.</t>
  </si>
  <si>
    <t xml:space="preserve">3. 애완동물 반입, 흡연, 공동 생활 수칙 미준수, 쉐어메이트에게 과도한 불편 혹은 불쾌함을 주거나 이기적인 행동으로 피해를 줄 경우, 타인의 물건을 사전  허락 없이 사용하거나 절도할 경우 경고 또는 강제  조치가 취해 질 수 있다. 강제   조치 판단은 관리자의 객관적인 판단에 따른다.  강제  될 경우 1주일 이내로  해야하며 어떠한 법적 보상도 요구하지 않을 것임을 동의한다. 계약기간은 지키지 못한 것으로 간주한다.                                                                                        </t>
  </si>
  <si>
    <r>
      <rPr>
        <rFont val="Noto Sans KR"/>
        <color rgb="FF000000"/>
        <sz val="11.0"/>
      </rPr>
      <t>3. [</t>
    </r>
    <r>
      <rPr>
        <rFont val="Noto Sans KR"/>
        <color rgb="FF000000"/>
        <sz val="11.0"/>
      </rPr>
      <t>Forced discharge</t>
    </r>
    <r>
      <rPr>
        <rFont val="Noto Sans KR"/>
        <color rgb="FF000000"/>
        <sz val="11.0"/>
      </rPr>
      <t>] Warning or forced discharge may be taken if bring pets, smoked, against living rules, caused excessive inconvenience or discomfort to sharemates or operators, using or steal others without prior permission. The judgment of compulsory exit measures shall be based on the objective judgment of the manager. In case of forced discharge, occupants must leave the room within one week.</t>
    </r>
  </si>
  <si>
    <t xml:space="preserve">5.  [관리와 보상] 생활하며 발생되는 집에 대한 관리 유지는 하우스메이트 모두에게 그 의무가 있다. ( 예시. 변기막힘 / 청결상태 / 머리카락으로 인한 배수문제 등 ) 하우스가 일정수준 이하의 청결로 지속적으로 유지될경우 경고 후 이용자 1/N 부담으로 청소업체가 투입될 수 있다. 제공자의 안내에 따르지 않아 생긴 피해의 책임은 이용자에게 있으며 곰팡이, 동파, 파손, 도난등의 내부 관리가 필요한 항목을 의미한다. 이로 인한 피해에 대하여 관리자는 보상의무가 없다. </t>
  </si>
  <si>
    <t>4. 개인 공간 옵션과 공용 공간 옵션 파손 시, 파손자가 배상한다. 만약 파손자가 누구인지 불명확할 경우 이용자 전원이 1/N 로 책임을 진다.</t>
  </si>
  <si>
    <t>4. [Damage and Indemnity] In case of destruction of private space and public space options, the destructor shall compensate. If it is unclear who the damaged person is, all occupants shall be responsible for 1/N of the compensation expenses.</t>
  </si>
  <si>
    <t>6.  [정리와 청결] 공용공간에 개인 물건은 배정된 구역 이외에 두지 않으며, 공용공간 사용 후 즉시 원상복구를 원칙으로 한다 (설거지, 거실 물건정리등) 개인 구역 이외에 물건을 지속적으로 놔둘 경우, 경고 후 관리인 판단하에 처분이 가능하다. 청결을 위해 매트리스는 반드시 방수 매트리스 커버를 구매하여 씌워 사용한다. 매트리스가 오염되었을 경우 파손에 해당하여 배상하여야한다.</t>
  </si>
  <si>
    <t xml:space="preserve">5. 이용자 부주의로 인한 곰팡이, 동파, 기계고장, 파손, 도난 등은 반드시 관리자에게 상의하여 적합한 조치를 취해야하여 이로인한 피해에 대하여 관리자는 보상의무가 없다. 아띠 제공자는 현 거주 시설을 저감시키는 상황이 발생될 경우 최대한 빠르게 복구하도록 하며, 재난 혹은 문제가 개인에 있는 것이 아닌 건물의 문제로 인하여 거주할 수 없는 환경이 24시간 이상 이어질 경우 사용못하는 날수 만큼 월세 일할계산으로 이용자에게 보상해준다. 직접거주자로서 집을 돌봐야하는 책임이 있으므로 제공자의 안내에 따르지 않아 생긴 피해의 책임은 이용자에게 있다. </t>
  </si>
  <si>
    <t>5. [Management and Compensation] Maintaining the management of the house that occurs to all housemates (e.g. clogged toilet/cleanliness/drainage problems caused by hair,etc) If the house is maintained below a certain level of cleanliness, a cleaning company may be deployed at the expense divided by occupants. The tenant is responsible for the damage caused by not following the operator's guidance, such as mold, freezing, damage, and theft. The manager has no obligation to compensate for the damage caused.</t>
  </si>
  <si>
    <t xml:space="preserve">7.  [수납] 수납공간에 수용되는 만큼의 짐만 가져오도록 하여 초과되는 짐으로 룸메이트에게 피해를 주지 않도록 한다. 개인실은 개인방, 다인실은 배정된 수납공간에 수용되지 않는 양을 가져올 경우 별도로 유료 짐보관 서비스를 이용하여야 한다. </t>
  </si>
  <si>
    <t>6. 청결을 위해 매트리스는 꼭 개인 매트리스 커버 구매하여 씌워 사용한다. 매트리스가 오염되었을 경우 개인 옵션 파손에 해당하여 대체해야한다.</t>
  </si>
  <si>
    <t>6. [Cleanlines] In principle, personal items are not left in the public space other than the designated area, and if the goods are left in the public space (dishwashing, cleaning, etc.) after warning, they can be disposed of by the manager. For cleanliness, purchase and use a waterproof mattress cover. If the mattress is contaminated, it shall be compensated for damage.</t>
  </si>
  <si>
    <t>8.  [금전활동 금지] 쉐어하우스 이용자들 사이에서의 금전거래 또는 물품판매, 보험 및 영업활동 일체를 금지하며, 발각될 시 즉시 강제 퇴실에 동의한다. 강제  퇴실조치 판단은 관리자의 객관적인 판단에 따른다. 강제  퇴실시 이용자는 1개월 이내로  퇴실해야한다. 내부 거래로 인한 피해는 제공자가 책임지지 않는다</t>
  </si>
  <si>
    <t>7. 다인실의 경우 견학시 확인했던 수납공간에 수용되는 만큼의 짐만 가져오도록 하여 초과되는 짐으로 룸메이트에게 피해를 주지 않도록 한다. 기존 수납공간에 수용되지 않는 양을 가져올 경우 유료 짐보관 서비스를 이용하는데 동의한다.</t>
  </si>
  <si>
    <t>7. [Luggage] Only carry as much luggage as can be accommodated in the storage space so that the excess baggage does not cause damage to the roommates. Where an individual room is brought in a private room and a multi-person room is not accommodated in the allocated storage space, the paid luggage storage service shall be separately used.</t>
  </si>
  <si>
    <t>9.  [쉐어하우스의 개념] 본 계약은 전,월세 개념이 아닌 방을 나눠서 사용하는 개념으로 월세세액공제에 해당되지 않는다.</t>
  </si>
  <si>
    <t>8. 쉐어하우스 이용자들 사이에서의 금전거래 또는 물품판매, 보험 및 영업활동 일체를 금지하며 걸릴 시 강제 에 동의한다.</t>
  </si>
  <si>
    <t>8. [No business] Money rent, product sales, all business activities are prohibited between sharemates, and consent to forced move out if caught in 1 month time. The operator shall not be responsible for any damage caused by internal transactions between Housemates.</t>
  </si>
  <si>
    <t xml:space="preserve">10. [ 퇴실]  퇴실비 3만원은 고정 청구되며,  퇴실일까지 배정되었던 공간(방-가구,냉장고 화장실 및 사용공간) 일체가 비워져야한다. 짐이 남아있을 경우 짐이 빠질 때까지 공간 사용비가 청구되거나, 청소비 혹은 짐 처리비용이 추가청구된다. 퇴실(중도퇴실) 시, 하우스 단톡방에서도 즉시 퇴실(또는 강퇴처리) 합니다. </t>
  </si>
  <si>
    <t>9. 본 계약은 전,월세 개념이 아닌 방을 나눠서 사용하는 개념으로 월세세액공제에 해당되지 않는다.</t>
  </si>
  <si>
    <t>9. [Sharehouse Concept] This contract is not a monthly rent deduction because it is a room-sharing concept, not a monthly rent concept.</t>
  </si>
  <si>
    <t>11. [전대금지] 이용자에게 대여된 공간은 계약한 당사자에게 한정된 것으로  계약기간동안 계약자 본인만 거주하며, 타인은 계약양도.전전대.렌탈등 숙박이 절대 불가하다. 적발될 경우 계약위반으로 즉시 계약이 해지되며 이에 대한 위약금 청구는 '계약기간 중도해지'와 동일한 기준으로 청구된다.</t>
  </si>
  <si>
    <t>10.   시 배정되었던 공간 일체가 깨끗한 것이 확인된 후 보증금이 반환된다. 혹 이사직후 오염, 이염, 파손 및 이전 세입자의 물건이 있다면 그 즉시 제공자에게 고지해야한다. 미고지로 인하여   시 불이익은 임대인 책임이다.</t>
  </si>
  <si>
    <t>10. [Move in-out] The moving-out fee of 30,000 won will be charged. All spaces that were allocated by the date must be emptied. No garbage left. If the luggage remains, the space usage fee will be charged until the luggage is left out, additional costs will be charged.</t>
  </si>
  <si>
    <t>12. [외부인 출입] 외부인 출입이 있을 경우 미리 제공자 및 하우스메이트에게 고지 후 출입하도록 하며,  수리, 이사인력, 견학시 부모님 대동등 특별한 이유없이 친구, 가족의 출입 및 숙박이 불가하다.</t>
  </si>
  <si>
    <t>11. 계약기간동안 계약자 본인만 거주하며, 타인은 계약양도.전전대.렌탈등 숙박이 절대 불가하다. 적발될 경우 계약위반으로 즉시 계약이 해지되며 이에 대한 위약금 청구는 '계약기간 중도해지'와 동일한 기준으로 청구된다.</t>
  </si>
  <si>
    <t>11. [No sublease] The space rented to the occupants shall be inhabited only by the contracted parties. It is absolutely impossible to transfer or lend a contract to another person. If caught, the contract will be terminated immediately due to a breach of contract, and the penalty claim will be charged on the same basis as the termination of the contract period.</t>
  </si>
  <si>
    <t>13. [개인정보수집] 이용자는 계약을 위한 개인정보수집에 동의하며 제공자는 계약관련 이외에 이용자의 개인정보를 일절 누출하지 않는다</t>
  </si>
  <si>
    <t xml:space="preserve">12. 친가족 보호자와의 계약으로 미성년자 관리에 대한 책임은 친보호자에게 있다. </t>
  </si>
  <si>
    <t>12. [External Access] If there is an external person, the operator and the house mate shall be notified in advance before entering. In addition, friends and family are not allowed to enter and stay without any special reason (eg. repair or help moving)</t>
  </si>
  <si>
    <t>14. [임대의 종료] 임대기간 중 부득이하게 쉐어하우스 측과 해당 부동산 소유주의 계약종료시 운영을 할 수 없는 조건이 되므로 자동으로 쉐어하우스와 이용자간의 계약도 계약기간과 무관하게 종료된다</t>
  </si>
  <si>
    <t>13. 그 외 기타사항의 경우 관례 및 상호협의 하에 따르기로 한다.</t>
  </si>
  <si>
    <t>13. [Personal Information Collection] The occupant agrees to collect personal information for the contract, and the operator will not leak.</t>
  </si>
  <si>
    <t>15. [계약내용] 계약시기, 계약기간, 프로모션에 따라 월세금액이 상이할 수 있다. 주 계약내용 (월세가격등)은 타인과 공유가 불가하며, 이를 어길시 혜택은 즉시 철회되며, 철회된 시점까지 적용된 할인금은 반환하여야 한다.</t>
  </si>
  <si>
    <t>14. 개인정보수집에 동의한다</t>
  </si>
  <si>
    <t>14. [End of Lease] The contract between the sharehouse and the user automatically ends regardless of the contract period because the contract cannot be operated at the end of the contract with the owner of the sharehouse.</t>
  </si>
  <si>
    <t>16. 월세는 지정된 계좌로 매월 1일 납입하며, 월세가 미납될 경우 법정한도 내 0.5%의 이자가 부과된다. 이는 월세날로부터 1일 이후인 매월 2일부터 납부일 전날까지 일할 계산된다. 사전에 제공자와 협의된 경우는 제한다.</t>
  </si>
  <si>
    <t>15. [Content of Contract] The amount of monthly rent may vary depending on the contract period, contract period and promotion. The details of the main contract (monthly rent, etc.) shall not be shared with others, and the benefits shall be withdrawn immediately if they are violated, and the discount applied until the date of withdrawal shall be refunded.</t>
  </si>
  <si>
    <t>17. [그 외] 세부 기타 운영사항의 경우 별지 특약을 따르기로 하며, 그 외 사항은 민법에 따른다.</t>
  </si>
  <si>
    <t>16. If the monthly rent is not paid, 0.5% interest will be charged within the legal limit. This is calculated from the 2nd of each month, one day after the monthly rent date, to the day before the payment date. Cases of consultation with the operator in advance shall be excluded.</t>
  </si>
  <si>
    <t>본 계약의 당사자 이용자와 제공자 모두 위의 계약 사실에 동의하고 각각 날인한다.</t>
  </si>
  <si>
    <t>17. In case of other matters, it shall be followed by low and mutual agreement.</t>
  </si>
  <si>
    <t>Both the tenant and the operator of the parties to this contract agree to the above contract and seal each</t>
  </si>
  <si>
    <t>임차인</t>
  </si>
  <si>
    <t>이름</t>
  </si>
  <si>
    <t>본가주소</t>
  </si>
  <si>
    <t>이용자</t>
  </si>
  <si>
    <t>북구 천지인로 115번길 10 , 101 -1406</t>
  </si>
  <si>
    <t>Tenant</t>
  </si>
  <si>
    <t>Name</t>
  </si>
  <si>
    <t>보호자</t>
  </si>
  <si>
    <t>관계</t>
  </si>
  <si>
    <t>주민등록번호</t>
  </si>
  <si>
    <t>Phone</t>
  </si>
  <si>
    <t>ID number</t>
  </si>
  <si>
    <t>임대인</t>
  </si>
  <si>
    <t>Guardian</t>
  </si>
  <si>
    <t>Relation</t>
  </si>
  <si>
    <t>제공자 정보</t>
  </si>
  <si>
    <t>제공자</t>
  </si>
  <si>
    <t>Operator</t>
  </si>
  <si>
    <t>010 9207 2588</t>
  </si>
  <si>
    <t>901106- 20*****</t>
  </si>
  <si>
    <t xml:space="preserve">쉐어하우스 별지 특약 </t>
  </si>
  <si>
    <t>운영에 관하여 변동이 있을시 제공자는 최소 4주 이전에 고지 의무를 가지기로 서약함</t>
  </si>
  <si>
    <t>제 6항 [포함항목]</t>
  </si>
  <si>
    <t>관리비에 공과금이 포함되며 공동비품 (화장실휴지, 주방세제, 세제, 쌀, 주방용 일반쓰레기봉투)를 지급하고 이는 공동구역에만 지급하는 것으로 개인 사용은 개인이 구매하여 사용하도록 한다.
단 공과금의 합이 20만원을 넘을 시 넘은 공과금 금액은 이용자가 1/N로 부담한다</t>
  </si>
  <si>
    <t>Attached Special Agreement*</t>
  </si>
  <si>
    <t>1. [관리비]</t>
  </si>
  <si>
    <t>관리비는 1인당 10만원 (아파트12만)이며 공용물품, 청소서비스, 가전&amp;가구 수리, 적극적인 하우스 관리및 케어, 하우스 점검 및 관리등에 사용된다</t>
  </si>
  <si>
    <t>2. [공과금]</t>
  </si>
  <si>
    <t>공과금은 관리비에 포함이지만 과도한 비용 발생시 별도 청구 될 수 있으며 부재중이라는 이유로 관리비가 할인 또는 청구되지 않는다 
공실이 발생하는 경우 공실을 제외한 나머지 인원이 공과금 금액에 대하여 부담 하여야 한다</t>
  </si>
  <si>
    <t>1. [Included]</t>
  </si>
  <si>
    <t>The maintenance fee is 100,000 won per person (apartment 120,000 won) and is used for public goods, cleaning services, home appliances &amp; furniture repairs, active house management and care, house inspection and management, etc</t>
  </si>
  <si>
    <t>3. [공용품]</t>
  </si>
  <si>
    <t xml:space="preserve">휴지,세제류,고무장갑,수세미,청소용품, 쓰레기봉투가 공용물품으로 제공되며 추가 물품에 대해서는 하우스 이용자 개별 또는 공동구매 하는 것으로 한다. </t>
  </si>
  <si>
    <t>2. [Utility bills]</t>
  </si>
  <si>
    <t>Utility bills are included in administrative expenses, but may be charged separately in the event of excessive expenses, and administrative expenses are not discounted or charged because they are not present</t>
  </si>
  <si>
    <t>4. [추가시설]</t>
  </si>
  <si>
    <t>기본적으로 생활에 필요한 비품 일체가 구비된 상태며, 추가적으로 개인이 필요한 물품은 개별로 구비해야 한다. 추가 가구, 전자제품은 제공되지 않는 것을 원칙으로 하나, 하우스 특성 상 필요한 경우 건의가 가능하다.</t>
  </si>
  <si>
    <t>포함항목</t>
  </si>
  <si>
    <t xml:space="preserve">
화장실휴지, 주방세제가 지급되며 이외 필요한 공동용품등은 1/N로 구매하거나 기타방법으로 협의하여 결정한다. 협의가
어려운 경우 집유지에 있어 필수 지출 (음식물쓰레기봉투,청소부품등)은 1/n을 기본으로 한다.</t>
  </si>
  <si>
    <t>3. [Public Supplies]</t>
  </si>
  <si>
    <t>Tissue, detergent, rubber gloves, scrubbers, cleaning products, and garbage bags are provided as public goods, and additional goods shall be purchased individually or jointly by the house user.</t>
  </si>
  <si>
    <t>5. [계약]</t>
  </si>
  <si>
    <r>
      <rPr>
        <rFont val="Noto Sans KR"/>
        <color theme="1"/>
        <sz val="11.0"/>
      </rPr>
      <t xml:space="preserve">계약은 법적보호가 되는 전자 계약서로 진행되며, 자체적으로 지속적인 재발행이 가능하다. 이용자는     </t>
    </r>
    <r>
      <rPr>
        <rFont val="Noto Sans KR"/>
        <color rgb="FFFF0000"/>
        <sz val="11.0"/>
      </rPr>
      <t xml:space="preserve">계약서를 읽은 후 동의할 경우 싸인   </t>
    </r>
    <r>
      <rPr>
        <rFont val="Noto Sans KR"/>
        <color theme="1"/>
        <sz val="11.0"/>
      </rPr>
      <t>하기로 한다.</t>
    </r>
  </si>
  <si>
    <t>4. [Additional Facilities]</t>
  </si>
  <si>
    <t>Basically, all supplies necessary for living are provided, and additional items that individuals need should be equipped individually.</t>
  </si>
  <si>
    <t>6. [보호자 개입]</t>
  </si>
  <si>
    <t>제공자는 계약자의 보호자가 아닌 계약자 본인과의 소통을 원칙으로 한다. 이용자는 성인으로서, 사고등 불의의 경우가 아닌 이상 문제가 있을 경우 직접 제공자와 소통하여 해결하도록 한다.</t>
  </si>
  <si>
    <t>5. [Contract]</t>
  </si>
  <si>
    <t>The contract is an electronic contract that is legally protected and can be reissued continuously on its own. An occupant shall sign the contract if he/she agrees after reading it.</t>
  </si>
  <si>
    <t>7. [문제 공유]</t>
  </si>
  <si>
    <t xml:space="preserve">불편사항이나 집 내부에 기계등 문제가 있을 경우 즉시 관리자에게 고지하고 해결책을 상의 하여야 한다. 문제를 고지하지 않을 경우, 관리자는 하우스 내부 사정을 알기가 어려우므로 도움을 주지 못하여, 문제가 악화되거나 불편을 감수하여야 한다. </t>
  </si>
  <si>
    <t>6. [Parental intervention]</t>
  </si>
  <si>
    <t>In principle, the operator shall communicate with the contractor himself/herself, not the guardian of the contractor. An occupant shall, as an adult, communicate directly with the operator and resolve any problem unless he/she has an accident, etc.</t>
  </si>
  <si>
    <t>8. [문제 해결]</t>
  </si>
  <si>
    <r>
      <rPr>
        <rFont val="Noto Sans KR"/>
        <color theme="1"/>
        <sz val="11.0"/>
      </rPr>
      <t xml:space="preserve">이용자는 집에 문제가 있을 경우 빠른 해결을 위하여 사진과 현장점검등의 요청에 협조하며, 제공자는 빠른 해결을 위한 적극적인 태도를 취하기로 약속한다. 단, 현장 출장이 요구될 경우 이용자의 부주의로 인한 문제, 혹은 문제가 없었던 경우 출장비가 청구된다. </t>
    </r>
    <r>
      <rPr>
        <rFont val="Noto Sans KR"/>
        <color rgb="FF999999"/>
        <sz val="8.0"/>
      </rPr>
      <t xml:space="preserve">(예시. 냉장고 코드를 뽑아놓고 냉장고가 고장났다고 한 경우 / 보일러를 꺼두고 온수가 안나온다고 하는 경우 등) </t>
    </r>
  </si>
  <si>
    <t>7. [Problem Sharing]</t>
  </si>
  <si>
    <t>Where there are any inconveniences or problems, such as machinery, etc. Inside the house, he/she shall immediately notify the manager and discuss solutions. If the problem is not notified, the manager can not be able to provide help.</t>
  </si>
  <si>
    <t>9. [당번활동]</t>
  </si>
  <si>
    <t>같이 거주하는 쉐어하우스 일원으로서 하우스의 기본 청소 당번 시스템을 따라야 하며 이를 거부할시 입주가 불가하다.</t>
  </si>
  <si>
    <t>8. [Troubleshoot]</t>
  </si>
  <si>
    <t>If there is a problem with the house, the occupant shall cooperate with the request for photos, on-site inspections, etc. for a quick resolution, and the operator promises to take an active attitude for a quick resolution. However, if a business trip is required, travel expenses will be charged if there is no problem or problem due to carelessness of the user. (Example. If the refrigerator is broken after unplugging the refrigerator/ If the boiler is turned off and hot water is not available, etc.)</t>
  </si>
  <si>
    <t>10. [운영진 권한]</t>
  </si>
  <si>
    <t>집을 운영 관리하는 운영진은 항시 하우스의 출입 비밀번호를 공유받아야하며, 이용자는 운영자의 출입을 통제할 수 없다. 단, 운영진은 항시 출입에 대한 선고지를 의무로 하며, 비상시에만 고지없이 출입이 가능하다.</t>
  </si>
  <si>
    <t xml:space="preserve">9. [Activity on duty] </t>
  </si>
  <si>
    <t>As a member of the share house where you live together, you must follow the house's basic cleaning duty system, and if you refuse it, you cannot move in.</t>
  </si>
  <si>
    <t>11. [협력]</t>
  </si>
  <si>
    <t>이 외, 운영진이 없는 단톡을 만들거나 내부 분란을 만드는 행동, 함께 거주하는 쉐어메이트를 비하하는 언어사용, 등의 논란을 만들지 아니하며 불편이 있을 경우 제공자와 함께 상의하여 해결하도록 한다.</t>
  </si>
  <si>
    <t>10. [co-operation]</t>
  </si>
  <si>
    <t>In addition, it does not create controversy such as creating a group chat without an operator or creating an internal disturbance, using a language disparaging a sharemate living together, and if there is any inconvenience, it shall be discussed and resolved with the operator.</t>
  </si>
  <si>
    <t>12. [전입신고]</t>
  </si>
  <si>
    <t>쉐어하우스는 여러 사람이 방을 소분하여 거주하는 형태로 각각의 세대주가 나눠 줄 수 없기 때문에 전입신고가 불가능 하며 이에 동의합니다</t>
  </si>
  <si>
    <t>I as a family member of Zamzari Sharehouse</t>
  </si>
  <si>
    <t>We promise to cooperate in building a comfortable house together.</t>
  </si>
  <si>
    <t>이용자는 쉐어하우스 일원으로서  / 제공자는 쉐어하우스의 대표로서</t>
  </si>
  <si>
    <t>마음이 편한 집을 '함께' 만들어 가는데 적극 협조할 것을 약속합니다</t>
  </si>
  <si>
    <t xml:space="preserve">* Woori Bank 이효길 Lee Hyo-gil </t>
  </si>
  <si>
    <t>* 보증금  : 2인실 보증금 100 + 추가 100(잔금), 연장계약 사인시 임대료 계좌로 입금
* 계약금 : 보증금 중 50만원은 계약금으로 책정, 1인실 이동 전 계약 취소시 환불불가</t>
  </si>
  <si>
    <t>* Shin Hyup bank 이승민 lee seung min</t>
  </si>
  <si>
    <t>* 카카오뱅크 KAKAOBANK 강연수(Kang yeonsoo)</t>
  </si>
  <si>
    <t>* 카카오뱅크 (KAKAOBANK) 유재훈(jaehoon yoo)</t>
  </si>
  <si>
    <t xml:space="preserve">* Shin han bank 신한은행 100-034-265800 (주)공진 Gongjin </t>
  </si>
  <si>
    <t>* 새마을금고 MG Community Credit Cooperatives 90032408 89025 전경자 (Jeoun kyung ja)</t>
  </si>
  <si>
    <t>* Savings Bank 저축은행(사이다뱅크)  이승민 lee seung min</t>
  </si>
  <si>
    <t>* K-Bank 케이뱅크, 박성운 Park Sung Woon</t>
  </si>
  <si>
    <t>* Kakao bank 3333-12-6297317 이승민 lee seung min</t>
  </si>
  <si>
    <t>* Down payment: 500,000 won of the deposit is set as a down payment,
Refund is not possible if the contract is canceled before moving the house</t>
  </si>
  <si>
    <t xml:space="preserve">회기하우스        관리비계좌        카카오뱅크 박미선 3333-1011-09421        </t>
  </si>
  <si>
    <t xml:space="preserve"> Kakao Bank Park Mi-sun 3333-1011-09421</t>
  </si>
  <si>
    <t>* Shinhan bank 140-014-832673, 나마네 Namane Company</t>
  </si>
  <si>
    <t>공진 이메일 sierra19@naver.com</t>
  </si>
  <si>
    <t>임 대 계 약 서 _ 연장</t>
  </si>
  <si>
    <r>
      <rPr>
        <rFont val="Noto Sans KR"/>
        <color rgb="FF000000"/>
        <sz val="11.0"/>
      </rPr>
      <t xml:space="preserve">을 제외한 월세는 </t>
    </r>
    <r>
      <rPr>
        <rFont val="Noto Sans KR"/>
        <color rgb="FF000000"/>
        <sz val="11.0"/>
      </rPr>
      <t>매월 1일 지정계좌</t>
    </r>
    <r>
      <rPr>
        <rFont val="Noto Sans KR"/>
        <color rgb="FF000000"/>
        <sz val="11.0"/>
      </rPr>
      <t>로 납입한다.</t>
    </r>
  </si>
  <si>
    <r>
      <rPr>
        <rFont val="Noto Sans KR"/>
        <color rgb="FF000000"/>
        <sz val="11.0"/>
      </rPr>
      <t xml:space="preserve">Refund will be made within </t>
    </r>
    <r>
      <rPr>
        <rFont val="Noto Sans KR"/>
        <b/>
        <color rgb="FF000000"/>
        <sz val="11.0"/>
      </rPr>
      <t>7 days</t>
    </r>
    <r>
      <rPr>
        <rFont val="Noto Sans KR"/>
        <color rgb="FF000000"/>
        <sz val="11.0"/>
      </rPr>
      <t xml:space="preserve"> after confirmation of facility and settlement</t>
    </r>
  </si>
  <si>
    <r>
      <rPr>
        <rFont val="Noto Sans KR"/>
        <color rgb="FF000000"/>
        <sz val="11.0"/>
      </rPr>
      <t xml:space="preserve">관리비, 잔금 (보증금-계약금+첫달 입주일~말일-할인) 은 </t>
    </r>
    <r>
      <rPr>
        <rFont val="Noto Sans KR"/>
        <b/>
        <color rgb="FF000000"/>
        <sz val="11.0"/>
      </rPr>
      <t>계약 완료 후 2주이내 입금</t>
    </r>
    <r>
      <rPr>
        <rFont val="Noto Sans KR"/>
        <color rgb="FF000000"/>
        <sz val="11.0"/>
      </rPr>
      <t xml:space="preserve">한다. </t>
    </r>
    <r>
      <rPr>
        <rFont val="Noto Sans KR"/>
        <b/>
        <color rgb="FF000000"/>
        <sz val="11.0"/>
      </rPr>
      <t>( ※ 잔금, 관리비 각 계좌 확인 후 입금!)</t>
    </r>
  </si>
  <si>
    <r>
      <rPr>
        <rFont val="Noto Sans KR"/>
        <color rgb="FF000000"/>
        <sz val="10.0"/>
      </rPr>
      <t>매월 1일 지정계좌로 선불 납입한다.</t>
    </r>
    <r>
      <rPr>
        <rFont val="Noto Sans KR"/>
        <b/>
        <color rgb="FF000000"/>
        <sz val="10.0"/>
      </rPr>
      <t xml:space="preserve">  </t>
    </r>
    <r>
      <rPr>
        <rFont val="Noto Sans KR"/>
        <b/>
        <color rgb="FF000000"/>
        <sz val="11.0"/>
      </rPr>
      <t>K BANK 유재훈 100-166-670094</t>
    </r>
  </si>
  <si>
    <r>
      <rPr>
        <rFont val="Noto Sans KR"/>
        <color rgb="FF000000"/>
        <sz val="11.0"/>
      </rPr>
      <t xml:space="preserve">The balance and administration fee need to paid by </t>
    </r>
    <r>
      <rPr>
        <rFont val="Noto Sans KR"/>
        <b/>
        <color rgb="FF000000"/>
        <sz val="11.0"/>
      </rPr>
      <t>within 2 weeks after signing the contract</t>
    </r>
  </si>
  <si>
    <r>
      <rPr>
        <rFont val="Noto Sans KR"/>
        <color rgb="FF000000"/>
        <sz val="11.0"/>
      </rPr>
      <t xml:space="preserve">pay to every 1st to following account </t>
    </r>
    <r>
      <rPr>
        <rFont val="Noto Sans KR"/>
        <b/>
        <color rgb="FF000000"/>
        <sz val="11.0"/>
      </rPr>
      <t>(  K-BANK 유재훈 100-166-670094 )</t>
    </r>
  </si>
  <si>
    <r>
      <rPr>
        <rFont val="Noto Sans KR"/>
        <color rgb="FF000000"/>
        <sz val="11.0"/>
      </rPr>
      <t>이용자는 임대 계약을 끝낼 시 임대법에 의거하여</t>
    </r>
    <r>
      <rPr>
        <rFont val="Noto Sans KR"/>
        <color rgb="FFFF0000"/>
        <sz val="11.0"/>
      </rPr>
      <t xml:space="preserve"> 8주 이전에 서면 공지</t>
    </r>
    <r>
      <rPr>
        <rFont val="Noto Sans KR"/>
        <color rgb="FF000000"/>
        <sz val="11.0"/>
      </rPr>
      <t>하며, 공지가 없을시 임대법 묵시적갱신 관련조항에 의거하여 자동으로 연장된다. 제공자가 임대 계약을 끝내거나 재계약 월세변동이 있을시, 동일하게 8주 이전에 공지하도록 한다.</t>
    </r>
  </si>
  <si>
    <r>
      <rPr>
        <rFont val="Noto Sans KR"/>
        <color rgb="FF000000"/>
        <sz val="11.0"/>
      </rPr>
      <t xml:space="preserve">계약 종료 후, 이용자는 사용공간을 원상복구 하여야 하며, </t>
    </r>
    <r>
      <rPr>
        <rFont val="Noto Sans KR"/>
        <color rgb="FFFF0000"/>
        <sz val="11.0"/>
      </rPr>
      <t>제공자는 보증금을 7일 이내 반환</t>
    </r>
    <r>
      <rPr>
        <rFont val="Noto Sans KR"/>
        <color rgb="FF000000"/>
        <sz val="11.0"/>
      </rPr>
      <t xml:space="preserve">하여야 한다. 사용공간과 가구, 제공품에 손실이 있었고 관리자와 상의 하에 중도 대체가 안 된 경우 보증금에서 제한다. </t>
    </r>
  </si>
  <si>
    <r>
      <rPr>
        <rFont val="Noto Sans KR"/>
        <color rgb="FF000000"/>
        <sz val="11.0"/>
      </rPr>
      <t xml:space="preserve">Upon completion of the lease, the lease shall be announced </t>
    </r>
    <r>
      <rPr>
        <rFont val="Noto Sans KR"/>
        <color rgb="FFFF0000"/>
        <sz val="11.0"/>
      </rPr>
      <t>8 weeks prior</t>
    </r>
    <r>
      <rPr>
        <rFont val="Noto Sans KR"/>
        <color rgb="FF000000"/>
        <sz val="11.0"/>
      </rPr>
      <t xml:space="preserve"> to the operator's residence under the Lease Act, automatically extended in the absence of notice, and extended to the same monthly rent period under the terms of implied renewal of the Lease Act.</t>
    </r>
  </si>
  <si>
    <r>
      <rPr>
        <rFont val="Noto Sans KR"/>
        <color rgb="FFFF0000"/>
        <sz val="11.0"/>
      </rPr>
      <t>이용료가 2주 이상 지체되거나 연락이 두절될 경우 계약은 즉시 해지</t>
    </r>
    <r>
      <rPr>
        <rFont val="Noto Sans KR"/>
        <color rgb="FF000000"/>
        <sz val="11.0"/>
      </rPr>
      <t>되고 제공자는 별도의 법적인 절차 없이 이용자의 물건을 짐보관 업체에 위탁하고 출입통제가 가능하며, 계약중도해지 위약금이 청구될 수 있다.  이에 이용자는 어떠한 법적 이의도 제기하지 않는 것에 동의한다.</t>
    </r>
  </si>
  <si>
    <r>
      <rPr>
        <rFont val="Noto Sans KR"/>
        <color rgb="FFFF0000"/>
        <sz val="11.0"/>
      </rPr>
      <t>이사직후 사용 공간 (방, 냉장고, 화장실 수납칸등)에 오염, 이염, 파손 및 이전 세입자의 물건이 있다면 그 즉시 제공자에게 고지</t>
    </r>
    <r>
      <rPr>
        <rFont val="Noto Sans KR"/>
        <color rgb="FF000000"/>
        <sz val="11.0"/>
      </rPr>
      <t xml:space="preserve">해야한다. 미고지로 인하여   퇴실시 불이익은 이용자에게 책임이 있다. 입주 이전 청소의 경우 최소한의 청소로만 제공되며, 청소의 기준은 개개인에게 맞춤 제공이 불가능하다. *바닥 물걸레질, 창틀, 냉장고 청소등 </t>
    </r>
  </si>
  <si>
    <r>
      <rPr>
        <rFont val="Noto Sans KR"/>
        <color rgb="FF000000"/>
        <sz val="11.0"/>
      </rPr>
      <t xml:space="preserve">1.  [제공자 의무] 쉐어하우스는 집을 소분하여 임대하는 주거의 형태로 제공자는 임대인과 동일하게 월세 임대 관례에 따라 주거가 가능한 형태로 집을 유지관리할 의무가 있으며, 제공자는 현 거주 시설을 저감시키는 상황이 발생될 경우 최대한 빠르게 복구하도록 하며, 특약으로 재난 혹은 문제가 개인에 있는 것이 아닌 건물의 문제로 인하여 </t>
    </r>
    <r>
      <rPr>
        <rFont val="Noto Sans KR"/>
        <color rgb="FF000000"/>
        <sz val="11.0"/>
      </rPr>
      <t>거주할 수 없는 환경이 24시간 이상 이어질 경우 사용 못하는 날수 만큼 월세 일할계산</t>
    </r>
    <r>
      <rPr>
        <rFont val="Noto Sans KR"/>
        <color rgb="FF000000"/>
        <sz val="11.0"/>
      </rPr>
      <t xml:space="preserve">으로 이용자에게 보상해준다. </t>
    </r>
  </si>
  <si>
    <r>
      <rPr>
        <rFont val="Noto Sans KR"/>
        <color rgb="FF000000"/>
        <sz val="11.0"/>
      </rPr>
      <t xml:space="preserve">3.  </t>
    </r>
    <r>
      <rPr>
        <rFont val="Noto Sans KR"/>
        <color rgb="FF000000"/>
        <sz val="11.0"/>
      </rPr>
      <t xml:space="preserve">[강제 퇴실] </t>
    </r>
    <r>
      <rPr>
        <rFont val="Noto Sans KR"/>
        <color rgb="FF000000"/>
        <sz val="11.0"/>
      </rPr>
      <t xml:space="preserve">애완동물 반입, 흡연, 공동 생활 수칙 미준수, 쉐어메이트 혹은 제공자에게 과도한 불편 혹은 불쾌함을 주거나 이기적인 행동으로 피해를 줄 경우, 타인의 물건을 사전  허락 없이 사용하거나 절도할 경우 경고 또는 강제 퇴실 조치가 취해 질 수 있다. 강제 퇴실 조치 판단은 관리자의 객관적인 판단에 따른다. </t>
    </r>
    <r>
      <rPr>
        <rFont val="Noto Sans KR"/>
        <color rgb="FF000000"/>
        <sz val="11.0"/>
      </rPr>
      <t>위에 명시된 특수 사항으로 강제 퇴실시 이용자는 1주일 이내로  퇴실 해</t>
    </r>
    <r>
      <rPr>
        <rFont val="Noto Sans KR"/>
        <color rgb="FF000000"/>
        <sz val="11.0"/>
      </rPr>
      <t xml:space="preserve">야한다.                                                                                  </t>
    </r>
  </si>
  <si>
    <r>
      <rPr>
        <rFont val="Noto Sans KR"/>
        <color rgb="FF000000"/>
        <sz val="11.0"/>
      </rPr>
      <t>3. [</t>
    </r>
    <r>
      <rPr>
        <rFont val="Noto Sans KR"/>
        <color rgb="FFFF0000"/>
        <sz val="11.0"/>
      </rPr>
      <t>Forced discharge</t>
    </r>
    <r>
      <rPr>
        <rFont val="Noto Sans KR"/>
        <color rgb="FF000000"/>
        <sz val="11.0"/>
      </rPr>
      <t>] Warning or forced discharge may be taken if bring pets, smoked, against living rules, caused excessive inconvenience or discomfort to sharemates or operators, using or steal others without prior permission. The judgment of compulsory exit measures shall be based on the objective judgment of the manager. In case of forced discharge, occupants must leave the room within one week.</t>
    </r>
  </si>
  <si>
    <t>9.  [쉐어하우스의 개념] 이 집은 한명이 사용하는 것이 아닌 다수가 사용하는 것이므로 이용관련 규정과 가이드를 숙지하고 생활하는 것에 동의한다</t>
  </si>
  <si>
    <t>단기 임대 계약서</t>
  </si>
  <si>
    <t>임 대 계 약 서</t>
  </si>
  <si>
    <t>다음과 같이 합의하여 계약을 체결한다</t>
  </si>
  <si>
    <t>제 1 조. 공간의 표시</t>
  </si>
  <si>
    <t>삼선동1가 239번지 301호</t>
  </si>
  <si>
    <t>Hansung 3</t>
  </si>
  <si>
    <t>전용면적</t>
  </si>
  <si>
    <t>40 m2</t>
  </si>
  <si>
    <t>임대면적</t>
  </si>
  <si>
    <t>40m2</t>
  </si>
  <si>
    <t>* Woori Bank Lee Hyo-gil (이효길) 1002180 157701</t>
  </si>
  <si>
    <t>제 1 항 [ 목 적 ] 임대인과 이용자는 합의에 의하여 보증금 및 차임을 아래와 같이 지불하기로 한다.</t>
  </si>
  <si>
    <t>시설물 확인 및 정산 확인 후 퇴실 2일 이내 국내 계좌로 반환 됩니다 (paypal 원할 경우 수수료 개별부담)</t>
  </si>
  <si>
    <t>월세는 매월 지정계좌로 납입한다.  ( 케이뱅크 100 202 536231 유재훈 )</t>
  </si>
  <si>
    <t>인터넷, 공과금 (전기,가스,수도)</t>
  </si>
  <si>
    <t xml:space="preserve">(Sign)      </t>
  </si>
  <si>
    <t xml:space="preserve">유 재 </t>
  </si>
  <si>
    <t>pay to every 1st to following account ( 유재훈 KBANK 100 - 166 - 670094 )</t>
  </si>
  <si>
    <t xml:space="preserve">
</t>
  </si>
  <si>
    <t>* 유재훈 ( jaehoon yoo )</t>
  </si>
  <si>
    <t>제 1 항 [존속기간]</t>
  </si>
  <si>
    <t>본 계약은 [유학]으로 인한 단기사용 목적이며 상기계약 내용을 준수키로 한다. 단기 기간만을 사용할 필요성에 따라 체결된 계약으로서 임대차보호법에 적용되지 아니한다.</t>
  </si>
  <si>
    <t>제 2 항 [기간 한정]</t>
  </si>
  <si>
    <t>2026.2.23</t>
  </si>
  <si>
    <t>2026.6.30</t>
  </si>
  <si>
    <t>까지로 한다.</t>
  </si>
  <si>
    <t>제 3 항 [차임 ]</t>
  </si>
  <si>
    <t xml:space="preserve">차임(월세)은 입주 전 1개월치 선불로 지급 후 2개월차부터 매월 15일까지 지급한다. </t>
  </si>
  <si>
    <t>Upon completion of the lease, the lease shall be announced 8 weeks prior to the operator's residence under the Lease Act, automatically extended in the absence of notice, and extended to the same monthly rent period under the terms of implied renewal of the Lease Act.</t>
  </si>
  <si>
    <t>제 4항 [제공자의 의무]</t>
  </si>
  <si>
    <t>임차인이 차임을 5일 이상 연체하거나, 흡연 소음 등으로 민원이 2회 이상 발생하여 시정되지 않을 경우, 실내흡연 또는 동물 반입이 확인될 경우 임대인은 즉시 계약을 해지하며, 임차인은 즉시 퇴거에 동의한다. 이 경우 보증금은 위약금으로 처리되어 반환되지 않는다.</t>
  </si>
  <si>
    <t>contract that changes depending on the operation situation, the tenant shall be notified at least four weeks in advance</t>
  </si>
  <si>
    <t xml:space="preserve">1.  [보증금 반환] 계약 종료 시 임차인은 임대차 목적물을 원상회복하여 반환한다. 임대인은 공과금(가스, 전기 정산 필요한 경우) 및 퇴실 청소, 기물 파손 여부를 확인한 후 퇴실 2일 이내에 반환한다 (공제되는 금액이 있을 경우 공제 전에 사전 고지 및 영수증 청구)                                            </t>
  </si>
  <si>
    <t>1.[Operator's Duty] Share house is a residential type, and operators are obliged to maintain houses in the same manner as tenants, and operators are required to restore current residential facilities as quickly as possible, and compensate tenants for more than 24 hours.</t>
  </si>
  <si>
    <t>2.  [이용제외 구역] 발코니 우측 파티션 안쪽 공간은 임대인의 개인 공간으로 내부 물건 및 공간 사용이 불가하다</t>
  </si>
  <si>
    <t xml:space="preserve">3.  [관리와 보상] 생활하며 발생되는 집에 대한 관리 유지는 이용자에게 그 의무가 있다. 곰팡이, 동파, 파손, 도난등의 내부 관리가 필요한 항목이 부실하여 생긴 피해에 대하여 관리자는 보상의무가 없으며 이용자는 원복의 의무를 이행해야한다. </t>
  </si>
  <si>
    <t>3. [Forced discharge] Warning or forced discharge may be taken if bring pets, smoked, against living rules, caused excessive inconvenience or discomfort to sharemates or operators, using or steal others without prior permission. The judgment of compulsory exit measures shall be based on the objective judgment of the manager. In case of forced discharge, occupants must leave the room within one week.</t>
  </si>
  <si>
    <t>4. [월세 포함 항목] 가스, 수도, 정수기, 인터넷 요금 ( 전기.가스 월10만원 이상일 경우만 넘는 금액 청구)</t>
  </si>
  <si>
    <t>5. [개인정보수집] 이용자는 계약을 위한 개인정보수집에 동의하며 제공자는 계약관련 이외에 이용자의 개인정보를 일절 누출하지 않는다</t>
  </si>
  <si>
    <t>6. [하자시 조치] ① 난방, 전기, 수도 등 필수 시설의 중대한 하자로 인해 임차인이 24시간 이상 거주할 수 없는 상태가 지속될 경우, 임대인은 이를 즉시 해결해야 한다. ② 수리가 불가능할 경우 임차인은 계약을 해지할 수 있으며, 이 경우 임대인은 잔여 기간의 월세와 보증금 전액을 반환한다. (단, 임차인의 과실로 인한 고장은 제외한다.) 임대인은 화재, 누수 등 긴급한 사유가 발생하거나 시설물의 필수적인 점검이 필요한 경우, 임차인에게 사전 고지 후 해당 주택에 출입할 수 있으며 임차인은 정당한 사유 없이 이를 거절할 수 없다.</t>
  </si>
  <si>
    <t>7. [가전&amp;가구] 세탁기, 건조기, 세탁기, 옷걸이, 온돌난방, 에어컨, 냉장고, 전자레인지,  정수기, 의자 4개가 있는 테이블, 더블 침대 3개, 화장대, 커피포트, 기본적인 주방용품, 식기류, 컵, 와인잔들, 도어락. 임차인은 다음 목록을 집 내부에 구비하며, 임차인이 사용 도중 파손 또는 고장의 경우 수리를 우선하며 원복이 안될 경우 동일제품 구매비용을 변상한다.</t>
  </si>
  <si>
    <t>9. [그 외] 그 외 사항은 민법에 따른다.</t>
  </si>
  <si>
    <t>7.[Luggage] Only carry as much luggage as can be accommodated in the storage space so that the excess baggage does not cause damage to the roommates. Where an individual room is brought in a private room and a multi-person room is not accommodated in the allocated storage space, the paid luggage storage service shall be separately used.</t>
  </si>
  <si>
    <t>임차인 1</t>
  </si>
  <si>
    <t>Tanent</t>
  </si>
  <si>
    <t>여권번호</t>
  </si>
  <si>
    <t>임차인 2</t>
  </si>
  <si>
    <t>강남구 논현로 6길 36-6  4층</t>
  </si>
  <si>
    <t>Operatior</t>
  </si>
  <si>
    <t>010 8682 8299</t>
  </si>
  <si>
    <t>주민번호</t>
  </si>
  <si>
    <t>1월(12월 사용)</t>
  </si>
  <si>
    <t>2월(1월 사용)</t>
  </si>
  <si>
    <t>3월(2월 사용)</t>
  </si>
  <si>
    <t>4월(3월 사용)</t>
  </si>
  <si>
    <t>January</t>
  </si>
  <si>
    <t>(고정) 관리비 maintenance</t>
  </si>
  <si>
    <t>maintenance/staircase</t>
  </si>
  <si>
    <t xml:space="preserve">(고정) 전기 Electricity </t>
  </si>
  <si>
    <t>(고정) 전기 Electricity</t>
  </si>
  <si>
    <t>(고정) 전기 Electricity 예상</t>
  </si>
  <si>
    <t xml:space="preserve">Electricity </t>
  </si>
  <si>
    <t>(고정) 가스 Gas</t>
  </si>
  <si>
    <t>(고정) 가스 Gas 예상</t>
  </si>
  <si>
    <t>Gas</t>
  </si>
  <si>
    <t>Water</t>
  </si>
  <si>
    <t xml:space="preserve">(고정) 인터넷 Internet </t>
  </si>
  <si>
    <t xml:space="preserve">Internet </t>
  </si>
  <si>
    <t xml:space="preserve">(고정) 정수기 Water purifier </t>
  </si>
  <si>
    <t xml:space="preserve">Water purifier </t>
  </si>
  <si>
    <t>그외(청소/수리/쿠팡) Others</t>
  </si>
  <si>
    <t>Others (Cleaning/Repair/Coupang)</t>
  </si>
  <si>
    <t>총합계</t>
  </si>
  <si>
    <t>sum (ⓐ)</t>
  </si>
  <si>
    <t>2명 관리비</t>
  </si>
  <si>
    <t>3명 관리비</t>
  </si>
  <si>
    <t>Management fee for 6 people (ⓑ )</t>
  </si>
  <si>
    <t>운영진 부담</t>
  </si>
  <si>
    <t>Management Support</t>
  </si>
  <si>
    <t>차액</t>
  </si>
  <si>
    <t>difference (ⓐ - ⓑ )</t>
  </si>
  <si>
    <t>1인당 비용 (2명)</t>
  </si>
  <si>
    <t>per person ( 4 )</t>
  </si>
  <si>
    <t>1인당 청구비용 (2명)</t>
  </si>
  <si>
    <t>Charge per person ( 4 )</t>
  </si>
  <si>
    <t>February</t>
  </si>
  <si>
    <t xml:space="preserve">stairway /water/Electricity </t>
  </si>
  <si>
    <t>Gas (Expectations)</t>
  </si>
  <si>
    <t xml:space="preserve">Water </t>
  </si>
  <si>
    <t>ETC</t>
  </si>
  <si>
    <t>Management fee for 4 people (ⓑ )</t>
  </si>
  <si>
    <t>Operator Cost Help</t>
  </si>
  <si>
    <t>per person (4 people )</t>
  </si>
  <si>
    <t>Charge per person (4 people )</t>
  </si>
  <si>
    <t>12월 사용</t>
  </si>
  <si>
    <t>1월 사용</t>
  </si>
  <si>
    <t>2월 사용</t>
  </si>
  <si>
    <t>(고정) 주택보험 housing insurance</t>
  </si>
  <si>
    <t xml:space="preserve">(고정) 관리비 maintenance </t>
  </si>
  <si>
    <t>(고정) 관리비 maintenance _예상</t>
  </si>
  <si>
    <t>(고정) 수도 Water</t>
  </si>
  <si>
    <t>5명 관리비</t>
  </si>
  <si>
    <t>1인당 비용 (5명)</t>
  </si>
  <si>
    <t>1인당 청구비용 (5명)</t>
  </si>
  <si>
    <t>12월 + 1월 + 2월</t>
  </si>
  <si>
    <t xml:space="preserve">전체 공실현황 한눈에 보기 </t>
  </si>
  <si>
    <t xml:space="preserve">  </t>
  </si>
  <si>
    <t xml:space="preserve">* 지정된 계좌와 다른 경우 메모기능을 통해 이력 꼭 기록해두기 ! </t>
  </si>
  <si>
    <t>예시 메모 (클릭)</t>
  </si>
  <si>
    <t>플랫폼</t>
  </si>
  <si>
    <t>룸</t>
  </si>
  <si>
    <t>잠자리월세</t>
  </si>
  <si>
    <t>우주/엔코 월세</t>
  </si>
  <si>
    <t>입주자</t>
  </si>
  <si>
    <t>보증금 입금계좌</t>
  </si>
  <si>
    <t>23.10</t>
  </si>
  <si>
    <t>23.11</t>
  </si>
  <si>
    <t>23.12</t>
  </si>
  <si>
    <t>합계(관리비포함)</t>
  </si>
  <si>
    <t>24.10</t>
  </si>
  <si>
    <t>24.11</t>
  </si>
  <si>
    <t>24.12</t>
  </si>
  <si>
    <t>25.10</t>
  </si>
  <si>
    <t>26.10</t>
  </si>
  <si>
    <t>26.11</t>
  </si>
  <si>
    <t>26.12</t>
  </si>
  <si>
    <t>영동(269호)</t>
  </si>
  <si>
    <t>이승민 신협 132 099 791064</t>
  </si>
  <si>
    <t>신사(271호)</t>
  </si>
  <si>
    <t>유재훈 카카오뱅크  3333-01-0839-846</t>
  </si>
  <si>
    <t>회기(281호)</t>
  </si>
  <si>
    <t xml:space="preserve">박미선 카카오뱅크 3333-2699-22840  </t>
  </si>
  <si>
    <t>한성(319호)</t>
  </si>
  <si>
    <t>동지(308호)</t>
  </si>
  <si>
    <t>C-1)</t>
  </si>
  <si>
    <t>나마네 유재훈 카카오뱅크  3333-01-0839-846</t>
  </si>
  <si>
    <t>동이(호)</t>
  </si>
  <si>
    <t>맘스테이</t>
  </si>
  <si>
    <t xml:space="preserve">D-1) </t>
  </si>
  <si>
    <t>엔코스테이</t>
  </si>
  <si>
    <t>Henneken Maria Katharina (엔코)</t>
  </si>
  <si>
    <t>D-2</t>
  </si>
  <si>
    <t>11/8 입금</t>
  </si>
  <si>
    <t>12/10 입금</t>
  </si>
  <si>
    <t>1/10 입금</t>
  </si>
  <si>
    <t>2/10 입금</t>
  </si>
  <si>
    <t>3/10 입금</t>
  </si>
  <si>
    <t>4/10 입금</t>
  </si>
  <si>
    <t>5/9 입금</t>
  </si>
  <si>
    <t>6/10 입금</t>
  </si>
  <si>
    <t>7/10 입금</t>
  </si>
  <si>
    <t>8/10 입금</t>
  </si>
  <si>
    <t xml:space="preserve"> 1/9 - 3,078,012</t>
  </si>
  <si>
    <t>2/2 - 801,676</t>
  </si>
  <si>
    <t>3/6 - 885,000</t>
  </si>
  <si>
    <t>우주 수수료 계산 양식</t>
  </si>
  <si>
    <t>1/5 - 650,000</t>
  </si>
  <si>
    <t>2/9 - 813,737</t>
  </si>
  <si>
    <t>3/9 - 2,040,000</t>
  </si>
  <si>
    <t>9/10 입금</t>
  </si>
  <si>
    <t>10/10 입금</t>
  </si>
  <si>
    <t>11/7 입금</t>
  </si>
  <si>
    <t>1/15 - 695,000</t>
  </si>
  <si>
    <t>2/9 - 3,926,682</t>
  </si>
  <si>
    <t>3/11 - 830,000</t>
  </si>
  <si>
    <t>1일 기준 임대료: 22667원(소수점 단위의 차이존재)</t>
  </si>
  <si>
    <t>수수료 10%</t>
  </si>
  <si>
    <t>2/19 - 750,000</t>
  </si>
  <si>
    <t>3/11 - 650,000</t>
  </si>
  <si>
    <t>1일 기준 관리비: 3333원(소수점 단위의 차이존재)</t>
  </si>
  <si>
    <t>부가세</t>
  </si>
  <si>
    <t>3/11 - 905,000</t>
  </si>
  <si>
    <t>월세정산</t>
  </si>
  <si>
    <t>정산합계</t>
  </si>
  <si>
    <t>퇴실자 명단</t>
  </si>
  <si>
    <t>D-1)</t>
  </si>
  <si>
    <t>이지윤(우주)</t>
  </si>
  <si>
    <t>E-1)</t>
  </si>
  <si>
    <t>반포(270호)</t>
  </si>
  <si>
    <t>Moa Lindskog(우주)</t>
  </si>
  <si>
    <t>F1 1.5인실 오 (붙)</t>
  </si>
  <si>
    <t>강우주(우주)</t>
  </si>
  <si>
    <t>박성운 케이뱅크 100 169 980138</t>
  </si>
  <si>
    <t>10/29 중도퇴실</t>
  </si>
  <si>
    <t>F2 1.5인실 왼 (행거)</t>
  </si>
  <si>
    <t>하선린(우주)</t>
  </si>
  <si>
    <t xml:space="preserve">E-1) 1.5인실 오 (붙) </t>
  </si>
  <si>
    <t>설네(272호)</t>
  </si>
  <si>
    <t xml:space="preserve">B 1인실 주방오 </t>
  </si>
  <si>
    <t>최유라(우주)</t>
  </si>
  <si>
    <t>박성운 케이뱅크  100 169 980138</t>
  </si>
  <si>
    <t>전수인(우주)</t>
  </si>
  <si>
    <t>유재훈 카카오뱅크  3333-30-2727013</t>
  </si>
  <si>
    <t>구디(273호)</t>
  </si>
  <si>
    <t>D 입구왼쪽(화) 2인실 왼</t>
  </si>
  <si>
    <t>트리(283호)</t>
  </si>
  <si>
    <t>박준희(우주)</t>
  </si>
  <si>
    <t>이준하(우주)</t>
  </si>
  <si>
    <t>동동(276호)</t>
  </si>
  <si>
    <t>B-2)</t>
  </si>
  <si>
    <t>공인선(우주)</t>
  </si>
  <si>
    <t>박예림(우주) 계약중</t>
  </si>
  <si>
    <t>최지연 신한은행  110-028-052468</t>
  </si>
  <si>
    <t>이문(318호)</t>
  </si>
  <si>
    <t>Anne Sophia Paijens(우주)</t>
  </si>
  <si>
    <t>대학(316호)</t>
  </si>
  <si>
    <t xml:space="preserve">C) 1인실 </t>
  </si>
  <si>
    <t>윤수인(우주)</t>
  </si>
  <si>
    <t>Klara Sztefkova(엔코)</t>
  </si>
  <si>
    <t>Laura Nicole W FLORKIN(엔코)</t>
  </si>
  <si>
    <t>Anamaria Diana Lupascu(엔코)</t>
  </si>
  <si>
    <t>Palak Chopra(엔코)</t>
  </si>
  <si>
    <t>퇴실완료</t>
  </si>
  <si>
    <t>Sarah Schmidt(엔코)</t>
  </si>
  <si>
    <t>Florentina Roiciu(엔코)</t>
  </si>
  <si>
    <t>Fuchs Elisabeth Frieda Margarete</t>
  </si>
  <si>
    <t>H-1)</t>
  </si>
  <si>
    <t>Soergel Anne Marlene</t>
  </si>
  <si>
    <t>Vasilena Shekerova(엔코)</t>
  </si>
  <si>
    <t>계약취소</t>
  </si>
  <si>
    <t>동거동락</t>
  </si>
  <si>
    <t>고방(등록)</t>
  </si>
  <si>
    <t>고방(광고중)</t>
  </si>
  <si>
    <t>ㅇ</t>
  </si>
  <si>
    <t>269호</t>
  </si>
  <si>
    <t>270호</t>
  </si>
  <si>
    <t>271호</t>
  </si>
  <si>
    <t>316호</t>
  </si>
  <si>
    <t>317호</t>
  </si>
  <si>
    <t>ㅇ/중지</t>
  </si>
  <si>
    <t>X</t>
  </si>
  <si>
    <t>273호</t>
  </si>
  <si>
    <t>307호</t>
  </si>
  <si>
    <t>318호</t>
  </si>
  <si>
    <t>274호</t>
  </si>
  <si>
    <t>281호</t>
  </si>
  <si>
    <t>ㅇ / 숨김</t>
  </si>
  <si>
    <t>275호</t>
  </si>
  <si>
    <t>305호</t>
  </si>
  <si>
    <t>304호</t>
  </si>
  <si>
    <t>306호</t>
  </si>
  <si>
    <t>319호</t>
  </si>
  <si>
    <t>280호</t>
  </si>
  <si>
    <t>283호</t>
  </si>
  <si>
    <t>308호</t>
  </si>
  <si>
    <t>40000790호</t>
  </si>
  <si>
    <t>276호</t>
  </si>
  <si>
    <t>우주월세</t>
  </si>
  <si>
    <t>E-1</t>
  </si>
  <si>
    <t>설네</t>
  </si>
  <si>
    <t>272호</t>
  </si>
  <si>
    <t xml:space="preserve">강연수 카카오뱅크 3333086259701  </t>
  </si>
  <si>
    <t>입금확인</t>
  </si>
  <si>
    <t>10/5 ok</t>
  </si>
  <si>
    <t>11/2, 11/9 ok</t>
  </si>
  <si>
    <t>12/4 ok</t>
  </si>
  <si>
    <t>1/4 ok</t>
  </si>
  <si>
    <t>2/5 ok</t>
  </si>
  <si>
    <t>3/5 ok</t>
  </si>
  <si>
    <t>4/5 ok</t>
  </si>
  <si>
    <t>5/3 ok</t>
  </si>
  <si>
    <t>6/5 ok</t>
  </si>
  <si>
    <t>7/5 ok</t>
  </si>
  <si>
    <t>8/5 ok</t>
  </si>
  <si>
    <t>9/5 ok</t>
  </si>
  <si>
    <t>10/4 ok</t>
  </si>
  <si>
    <t>11/5 ok</t>
  </si>
  <si>
    <t>우주 최종전달매출</t>
  </si>
  <si>
    <t>합계 차이</t>
  </si>
  <si>
    <t>샘플</t>
  </si>
  <si>
    <t>잠자리 월세</t>
  </si>
  <si>
    <t>우주수수료 10%</t>
  </si>
  <si>
    <t>정산금액</t>
  </si>
  <si>
    <t>월세 차액 1%</t>
  </si>
  <si>
    <t>24.6월까지</t>
  </si>
  <si>
    <t>24.7월부터</t>
  </si>
  <si>
    <t>수수료 부가세</t>
  </si>
  <si>
    <t xml:space="preserve">월세 차액 </t>
  </si>
  <si>
    <t>총수익</t>
  </si>
  <si>
    <t>전체수익</t>
  </si>
  <si>
    <t>월평균</t>
  </si>
  <si>
    <t>아</t>
  </si>
  <si>
    <t>잠</t>
  </si>
  <si>
    <t>공</t>
  </si>
  <si>
    <t>잠자리</t>
  </si>
  <si>
    <t>항목</t>
  </si>
  <si>
    <t>정보</t>
  </si>
  <si>
    <t>가스</t>
  </si>
  <si>
    <t xml:space="preserve">전기 </t>
  </si>
  <si>
    <t>01-0845-0159</t>
  </si>
  <si>
    <t>인터넷</t>
  </si>
  <si>
    <t>확인필요</t>
  </si>
  <si>
    <t>정수기</t>
  </si>
  <si>
    <t>물품 기타비</t>
  </si>
  <si>
    <t>공과금 지출 합계</t>
  </si>
  <si>
    <t>새터산11길 37 / 성원하이츠빌11동202호</t>
  </si>
  <si>
    <t>동선동4가 182 지층 / 동소문로23길 16-11</t>
  </si>
  <si>
    <t>만리재로 20길 28/공덕동 6-38 4층</t>
  </si>
  <si>
    <t>강남구 논현동 104-13 201호</t>
  </si>
  <si>
    <t>동소문로 13나길 71 101호 / 동소문동6가 199</t>
  </si>
  <si>
    <t>동선동 2가 201번지 1층 / 보문로30가길 17-8</t>
  </si>
  <si>
    <t>정릉로 38다길 32 1층</t>
  </si>
  <si>
    <t>영등포구 영등포동 620-134 4층 / 영신로 17</t>
  </si>
  <si>
    <t>당산동1가 440 3층</t>
  </si>
  <si>
    <t>당산동4가 73-6 4층</t>
  </si>
  <si>
    <t>왕십리로31가길 31 4층</t>
  </si>
  <si>
    <t>세무서길 43-13, 1층</t>
  </si>
  <si>
    <t>인터넷 - 포함</t>
  </si>
  <si>
    <t>인터넷 (D브로드)</t>
  </si>
  <si>
    <t>인터넷- 포함</t>
  </si>
  <si>
    <t>전기세 (한전 01-3203-5117)</t>
  </si>
  <si>
    <t>전기세 (01-0763-7932)</t>
  </si>
  <si>
    <t>전기세 (01-0254-0733)</t>
  </si>
  <si>
    <t>전기세 (한전 01-0845-0159)</t>
  </si>
  <si>
    <t>전기세 (한전 고객번호0109273394 )</t>
  </si>
  <si>
    <t>전기세 (한전 고객번호 010762902 )</t>
  </si>
  <si>
    <t>전기세 ( 0107611086 )</t>
  </si>
  <si>
    <t>전기세 (01-1623-7296)</t>
  </si>
  <si>
    <t>전기세 (한전 고객번호 01-02632180)</t>
  </si>
  <si>
    <t>전기세 ( 0102667543)</t>
  </si>
  <si>
    <t>전기세(01-5623-0342)</t>
  </si>
  <si>
    <t>전기세 (한전01-0715-0868)</t>
  </si>
  <si>
    <t>전기세 (한전 0114802349)</t>
  </si>
  <si>
    <t>가스비(60056-03-487)</t>
  </si>
  <si>
    <t>가스비 (yesco1016815368)</t>
  </si>
  <si>
    <t>가스비(10030-32273)</t>
  </si>
  <si>
    <t>가스비 (코원 2323-5558 )</t>
  </si>
  <si>
    <t>가스비 (예스코 고객번호1007627850)</t>
  </si>
  <si>
    <t>가스비 (예스코 고객번호 1016448053)</t>
  </si>
  <si>
    <t>가스비 (예스코1016736400)</t>
  </si>
  <si>
    <t>가스비 (예스코1017070946)</t>
  </si>
  <si>
    <t>가스비 (서울도시가스 6005661519)</t>
  </si>
  <si>
    <t>가스비 ( 60063-49479 )</t>
  </si>
  <si>
    <t>가스(서울6005854994)</t>
  </si>
  <si>
    <t>가스비 (yesco1016863814)</t>
  </si>
  <si>
    <t>가스비 (서울도시가스 6004916265)</t>
  </si>
  <si>
    <t>수도세 - 포함</t>
  </si>
  <si>
    <t>수도세 (026523548)</t>
  </si>
  <si>
    <t>수도세</t>
  </si>
  <si>
    <t>수도세 (관리비포함)</t>
  </si>
  <si>
    <t>수도세 (033347564)</t>
  </si>
  <si>
    <t>수도세(건물1/N)</t>
  </si>
  <si>
    <t>수도세 (034206854)</t>
  </si>
  <si>
    <t>수도세 (건물1/N) - 포함</t>
  </si>
  <si>
    <t>수도세(건물1/N)-포함</t>
  </si>
  <si>
    <t>1/n</t>
  </si>
  <si>
    <t>전기세 (한전 고객번호 0107622902 )</t>
  </si>
  <si>
    <t>가스비 (서울도시가스 11455839)</t>
  </si>
  <si>
    <t>가스비 (yesco10 16863814)</t>
  </si>
  <si>
    <t>수도세 (건물1/N)</t>
  </si>
  <si>
    <t>특별지원</t>
  </si>
  <si>
    <t xml:space="preserve">6월 공과금	</t>
  </si>
  <si>
    <t>명의</t>
  </si>
  <si>
    <t>공진 이승민 외국인 전용 카카오 계좌</t>
  </si>
  <si>
    <t>3333 12 6297317</t>
  </si>
  <si>
    <t>공동투자</t>
  </si>
  <si>
    <t>함민정</t>
  </si>
  <si>
    <t>유재훈+투자</t>
  </si>
  <si>
    <t>왕십</t>
  </si>
  <si>
    <t>전기</t>
  </si>
  <si>
    <t xml:space="preserve">월세 </t>
  </si>
  <si>
    <t>인터넷요금</t>
  </si>
  <si>
    <t>번호</t>
  </si>
  <si>
    <t>개인정보</t>
  </si>
  <si>
    <t>계약만료일</t>
  </si>
  <si>
    <t>지불카드</t>
  </si>
  <si>
    <t>예전자료</t>
  </si>
  <si>
    <t>논현동 139-18 3층</t>
  </si>
  <si>
    <t>https://blog.naver.com/hooniga2/221406603957</t>
  </si>
  <si>
    <t xml:space="preserve">삼성동 119-20 3층 501호 </t>
  </si>
  <si>
    <t>https://blog.naver.com/hooniga2/221637929667</t>
  </si>
  <si>
    <t>사평대로53길 97 유진빌라 C동 3층</t>
  </si>
  <si>
    <t>https://blog.naver.com/hooniga2/221634644284</t>
  </si>
  <si>
    <t xml:space="preserve">코원 </t>
  </si>
  <si>
    <t xml:space="preserve">논현동 16-33 501호 </t>
  </si>
  <si>
    <t>https://blog.naver.com/hooniga2/221755740919</t>
  </si>
  <si>
    <t>https://blog.naver.com/hooniga2/221634644284284</t>
  </si>
  <si>
    <t>서울 전기</t>
  </si>
  <si>
    <t>신림동 1517-8 2-2호</t>
  </si>
  <si>
    <t>https://blog.naver.com/hooniga2/221381840298</t>
  </si>
  <si>
    <t>봉천동 1667-57 1층</t>
  </si>
  <si>
    <t>https://blog.naver.com/hooniga2/222124126586</t>
  </si>
  <si>
    <t>양지길 11 용궁다리원 맞은편 1층 (투명 유리문)</t>
  </si>
  <si>
    <t>조원로6길 41-7 3층</t>
  </si>
  <si>
    <t>https://m.blog.naver.com/hooniga2/222439446535</t>
  </si>
  <si>
    <t>구로중앙로18길 68 신구로현대 1동 1107호</t>
  </si>
  <si>
    <t>https://blog.naver.com/hooniga2/221308564964</t>
  </si>
  <si>
    <t>도림동 820 쌍용플래티넘시티 104동 303호</t>
  </si>
  <si>
    <t>http://www.zamzarishare.com/view/house/detail.html?id=5275</t>
  </si>
  <si>
    <t>이문동 256-214 301호</t>
  </si>
  <si>
    <t>https://blog.naver.com/lovelyheidi/221779132760</t>
  </si>
  <si>
    <t>홍남,홍순</t>
  </si>
  <si>
    <t>강북</t>
  </si>
  <si>
    <t xml:space="preserve">서울시립대로 75 전농미소지움아파트 103동 101호 </t>
  </si>
  <si>
    <t>https://blog.naver.com/hooniga2/221329745451</t>
  </si>
  <si>
    <t>합정동 399-6 태광빌라 201호</t>
  </si>
  <si>
    <t>서울</t>
  </si>
  <si>
    <t xml:space="preserve">창전동 443 서강해모로 107동 102호 </t>
  </si>
  <si>
    <t>http://zamzarishare.com/view/house/detail.html?id=6501</t>
  </si>
  <si>
    <t xml:space="preserve">성산로 376 4층 </t>
  </si>
  <si>
    <t>https://blog.naver.com/hooniga2/221605693634</t>
  </si>
  <si>
    <t>강북 전기</t>
  </si>
  <si>
    <t xml:space="preserve">아리랑로19길45 3층 </t>
  </si>
  <si>
    <t>https://blog.naver.com/lovelyheidi/222972572404</t>
  </si>
  <si>
    <t>성북동 161-18 401호</t>
  </si>
  <si>
    <t>https://blog.naver.com/lovelyheidi?Redirect=Log&amp;logNo=222517570484&amp;from=postView</t>
  </si>
  <si>
    <t>당산로18길 13 3층</t>
  </si>
  <si>
    <t>https://blog.naver.com/hooniga2/221299399780</t>
  </si>
  <si>
    <t>당산로18길 13 2층</t>
  </si>
  <si>
    <t>https://blog.naver.com/hooniga2/222157515328</t>
  </si>
  <si>
    <t xml:space="preserve">당산로 10길 15 4층 </t>
  </si>
  <si>
    <t>https://www.woozoo.kr/houses/156</t>
  </si>
  <si>
    <t xml:space="preserve">당산로 10길 15 5층 </t>
  </si>
  <si>
    <t>https://blog.naver.com/lovelyheidi/222970579369</t>
  </si>
  <si>
    <t>논현동 104-13번지 201호</t>
  </si>
  <si>
    <t>901106-2</t>
  </si>
  <si>
    <t>2021.12.26</t>
  </si>
  <si>
    <t>https://blog.naver.com/lovelyheidi/222972743442</t>
  </si>
  <si>
    <t>홍제동 247-15 1층</t>
  </si>
  <si>
    <t>KT</t>
  </si>
  <si>
    <t>OPEN계약</t>
  </si>
  <si>
    <t>https://blog.naver.com/lovelyheidi/222972746999</t>
  </si>
  <si>
    <t>왕십리로 31가길 31 4층</t>
  </si>
  <si>
    <t>딜라이브</t>
  </si>
  <si>
    <t>2021.8.19</t>
  </si>
  <si>
    <t>https://blog.naver.com/lovelyheidi/222970549301</t>
  </si>
  <si>
    <t>동소문로23길 16-11 지층</t>
  </si>
  <si>
    <t>정예은</t>
  </si>
  <si>
    <t>010-3560-7163</t>
  </si>
  <si>
    <t>900711-2</t>
  </si>
  <si>
    <t>LGU+</t>
  </si>
  <si>
    <t>https://blog.naver.com/lovelyheidi/222970536796</t>
  </si>
  <si>
    <t>동소문동6가199 101호</t>
  </si>
  <si>
    <t>2021.11.20</t>
  </si>
  <si>
    <t>https://blog.naver.com/lovelyheidi/222970569401</t>
  </si>
  <si>
    <t>동선동3가 212-1번지/보문로 34다길 31 3층</t>
  </si>
  <si>
    <t>2026.3.25</t>
  </si>
  <si>
    <t>신한 에어 4150</t>
  </si>
  <si>
    <t>* 안진아에서 변경함</t>
  </si>
  <si>
    <t>https://blog.naver.com/lovelyheidi/222970531153</t>
  </si>
  <si>
    <t>동선동2가 201번지 1층</t>
  </si>
  <si>
    <t>010-9832-1789</t>
  </si>
  <si>
    <t>901217-2</t>
  </si>
  <si>
    <t>KT??</t>
  </si>
  <si>
    <t>* 안진아에서 광주에 쓰던 LGU+이전설치로 진행</t>
  </si>
  <si>
    <t>https://blog.naver.com/hooniga2/221319236852</t>
  </si>
  <si>
    <t>정릉로38다길 32 1층</t>
  </si>
  <si>
    <t>2021.11.21</t>
  </si>
  <si>
    <t>https://blog.naver.com/hooniga2/221484691351</t>
  </si>
  <si>
    <t>영등포동 620-134 4층</t>
  </si>
  <si>
    <t>SKT</t>
  </si>
  <si>
    <t>https://blog.naver.com/lovelyheidi/222731770614</t>
  </si>
  <si>
    <t>당산로 16길 5-10 3층</t>
  </si>
  <si>
    <t>2024.9.26</t>
  </si>
  <si>
    <t>http://www.zamzarishare.com/view/house/detail.html?id=4451</t>
  </si>
  <si>
    <t>당산동 4가 73-6번지 401호</t>
  </si>
  <si>
    <t>2025.5.30</t>
  </si>
  <si>
    <t>https://blog.naver.com/lovelyheidi/222517570484</t>
  </si>
  <si>
    <t>마포구 공덕동 6-38번지 4층</t>
  </si>
  <si>
    <t>2023.2.20</t>
  </si>
  <si>
    <t>1644-1100</t>
  </si>
  <si>
    <t>https://www.woozoo.kr/houses/160</t>
  </si>
  <si>
    <t xml:space="preserve">봉천동 1686-14 </t>
  </si>
  <si>
    <t>전농로38길 76-5 2층</t>
  </si>
  <si>
    <t>https://blog.naver.com/hooniga2/221440521851</t>
  </si>
  <si>
    <t>이문동 331-4 2층</t>
  </si>
  <si>
    <t>http://www.zamzarishare.com/view/house/detail.html?id=5502</t>
  </si>
  <si>
    <t xml:space="preserve">휘경동 281-30 401호 </t>
  </si>
  <si>
    <t>https://www.woozoo.kr/houses/195</t>
  </si>
  <si>
    <t>당산동1가 408번지 4층</t>
  </si>
  <si>
    <t>https://blog.naver.com/hooniga2/222155399245</t>
  </si>
  <si>
    <t>용산구 원효로3가 249 1-2층</t>
  </si>
  <si>
    <t>용산구 원효로3가 249 지층</t>
  </si>
  <si>
    <t>장충동2가 193-229 동광빌라 제지하층 제비01호</t>
  </si>
  <si>
    <t>https://www.woozoo.kr/houses/154</t>
  </si>
  <si>
    <t>장충동2가 193-229 동광빌라 제1층 제 101호</t>
  </si>
  <si>
    <t>https://www.woozoo.kr/houses/159</t>
  </si>
  <si>
    <t>장충동2가 193-229 동광빌라 제2층 제 201호</t>
  </si>
  <si>
    <t>https://www.woozoo.kr/houses/175</t>
  </si>
  <si>
    <t>장충동2가 193-229 동광빌라 제 3층, 301호</t>
  </si>
  <si>
    <t xml:space="preserve">장충동2가 193-37, 태양빌라 제1층 제103호 </t>
  </si>
  <si>
    <t>가스 23235558 코원</t>
  </si>
  <si>
    <t>강남구 도산대로54길 48-15</t>
  </si>
  <si>
    <t>공과금 확인</t>
  </si>
  <si>
    <t>가스 : 예스코 6 / 코원 1 - 카톡, 나머지- 문자</t>
  </si>
  <si>
    <t>수도-건물주</t>
  </si>
  <si>
    <t>전기 : 스마트 한전, 나머지 - 문자</t>
  </si>
  <si>
    <t>그린하우스(홍4)</t>
  </si>
  <si>
    <t>서대문구 세무서길 43-13</t>
  </si>
  <si>
    <t>전기 01-1480-2349</t>
  </si>
  <si>
    <t>가스 1016863814</t>
  </si>
  <si>
    <t>성동구 왕십리로 31가길 31</t>
  </si>
  <si>
    <t>예스코</t>
  </si>
  <si>
    <t>전기 01-0715-0868</t>
  </si>
  <si>
    <t>성북구 동소문로23길 16-11 지층</t>
  </si>
  <si>
    <t>전기 01-0763-7932</t>
  </si>
  <si>
    <t>성북구 동소문로13나길 71</t>
  </si>
  <si>
    <t>전기 01-0927-3394</t>
  </si>
  <si>
    <t>?</t>
  </si>
  <si>
    <t>성북구 보문로34다길 31</t>
  </si>
  <si>
    <t>전기 01-0762-2902</t>
  </si>
  <si>
    <t>수도-관리비</t>
  </si>
  <si>
    <t>성북구 보문로30가길 17-8</t>
  </si>
  <si>
    <t>James Anthony Soria</t>
  </si>
  <si>
    <t>전기 01-0761-1086</t>
  </si>
  <si>
    <t>수도+관리비</t>
  </si>
  <si>
    <t>성북구 정릉로38다길 32 1층</t>
  </si>
  <si>
    <t>전기 01-1623-7296</t>
  </si>
  <si>
    <t>영등포구 영신로 17</t>
  </si>
  <si>
    <t>전기 01-0263-2180</t>
  </si>
  <si>
    <t>샤샤하우스(서울도시가스 6006349479)</t>
  </si>
  <si>
    <t>영등포구 당산동1가 440</t>
  </si>
  <si>
    <t>전기 - 문자 01-0266-7543</t>
  </si>
  <si>
    <t>수도- 건물주</t>
  </si>
  <si>
    <t>영등포구 국회대로29길 12 401</t>
  </si>
  <si>
    <t>전기 01-5623-0342</t>
  </si>
  <si>
    <t>수도-아리수 034206854</t>
  </si>
  <si>
    <t>남부수도사업소</t>
  </si>
  <si>
    <t>034206854</t>
  </si>
  <si>
    <t>관악,동작,영등포,금천</t>
  </si>
  <si>
    <t>숙녀하우스(서울도시가스 60061-07723)</t>
  </si>
  <si>
    <t>마포구 만리재로20길 28</t>
  </si>
  <si>
    <t>전기 - 문자 01-0254-0733</t>
  </si>
  <si>
    <t>02-3146-3500</t>
  </si>
  <si>
    <t>수도-아리수 026523548</t>
  </si>
  <si>
    <t>서부수도사업소</t>
  </si>
  <si>
    <t>026523548</t>
  </si>
  <si>
    <t>마포,은평,서대</t>
  </si>
  <si>
    <t>우리마네</t>
  </si>
  <si>
    <t>전기 (법인 통장으로 지출중)</t>
  </si>
  <si>
    <t>관리비 국민 467701 01 120482</t>
  </si>
  <si>
    <t xml:space="preserve">서울시 동대문구 서울시립대로 75 전농미소지움아파트 103동 101호 </t>
  </si>
  <si>
    <t>우리은행</t>
  </si>
  <si>
    <t>가스(예스코)</t>
  </si>
  <si>
    <t xml:space="preserve">비데 2대 </t>
  </si>
  <si>
    <t>청정기</t>
  </si>
  <si>
    <t>청소비</t>
  </si>
  <si>
    <t>관리비 하나 379 910008 19805</t>
  </si>
  <si>
    <t>가스(서울도시가스)</t>
  </si>
  <si>
    <t>가스(코원?- 내역?)</t>
  </si>
  <si>
    <t>전기 (전기앱) 01-02662405</t>
  </si>
  <si>
    <t>가스 (가스앱) 60058-55010 자동이체중</t>
  </si>
  <si>
    <t>수도 (한달에 4층 5층 각 2만)</t>
  </si>
  <si>
    <t>전기 (전기앱) 01-02662361</t>
  </si>
  <si>
    <t>가스 (가스앱) 60059-47171 자동이체중</t>
  </si>
  <si>
    <t>설네하우스(박성운)</t>
  </si>
  <si>
    <t>전기 (19일 ~ 18일)</t>
  </si>
  <si>
    <t>가스 (26일 ~ 25일)</t>
  </si>
  <si>
    <t>대학하우스(박성운)</t>
  </si>
  <si>
    <t xml:space="preserve">전기 (22일 ~ 21일) </t>
  </si>
  <si>
    <t>이번달X</t>
  </si>
  <si>
    <t>왕십하우스</t>
  </si>
  <si>
    <t>샛별하우스</t>
  </si>
  <si>
    <t>대현하우스</t>
  </si>
  <si>
    <t>아파트 관리비</t>
  </si>
  <si>
    <t>계단+수도</t>
  </si>
  <si>
    <t>동대문구 이문2동 256-214 301호</t>
  </si>
  <si>
    <t>동대문구 신이문로8길 10 301호</t>
  </si>
  <si>
    <t>주식회사공진</t>
  </si>
  <si>
    <t>계단</t>
  </si>
  <si>
    <t>관악구 조원로6길 41-7 3층</t>
  </si>
  <si>
    <t>구디하우스(서울도시가스 60010-00889)</t>
  </si>
  <si>
    <t>우리하우스</t>
  </si>
  <si>
    <t>아파트 관리비 국민 046 01 0280 544</t>
  </si>
  <si>
    <t>가스 (가스앱확인/자동이체)</t>
  </si>
  <si>
    <t>쌍용하우스(이효길)</t>
  </si>
  <si>
    <t>주택화재보험</t>
  </si>
  <si>
    <t>레미하우스(이효길)</t>
  </si>
  <si>
    <t>선릉하우스(이효길)</t>
  </si>
  <si>
    <t>영남하우스(이효길)</t>
  </si>
  <si>
    <t>동지하우스</t>
  </si>
  <si>
    <t>물품 기타비 (청소포함)</t>
  </si>
  <si>
    <t>동일하우스</t>
  </si>
  <si>
    <t>동이하우스</t>
  </si>
  <si>
    <t>동삼하우스</t>
  </si>
  <si>
    <t>동동하우스</t>
  </si>
  <si>
    <t>삼성하우스</t>
  </si>
  <si>
    <t>샤로하우스</t>
  </si>
  <si>
    <t>벤처하우스</t>
  </si>
  <si>
    <t>전체</t>
  </si>
  <si>
    <t>아띠하우스계</t>
  </si>
  <si>
    <t>(3월)</t>
  </si>
  <si>
    <t>(4월)</t>
  </si>
  <si>
    <t>(5월)</t>
  </si>
  <si>
    <t>(5.6월)</t>
  </si>
  <si>
    <t>(7월)</t>
  </si>
  <si>
    <t>토스뱅크</t>
  </si>
  <si>
    <t>하우스이름</t>
  </si>
  <si>
    <t>공12</t>
  </si>
  <si>
    <t>ㅇㅏ12</t>
  </si>
  <si>
    <t>잠21</t>
  </si>
  <si>
    <t>공동 보증금 (완)</t>
  </si>
  <si>
    <t>공법</t>
  </si>
  <si>
    <t>아띠 바우</t>
  </si>
  <si>
    <t>쉐어</t>
  </si>
  <si>
    <t>곰곰쉐어</t>
  </si>
  <si>
    <t>묵시적 갱신중</t>
  </si>
  <si>
    <t>영영하우스1 (4층)</t>
  </si>
  <si>
    <t>영영하우스2 (5층)</t>
  </si>
  <si>
    <t>4층 보증금으로</t>
  </si>
  <si>
    <t>나마네 쉐어 법인</t>
  </si>
  <si>
    <t>* 계약서 1개로 계약 동지동일동이동삼</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</si>
</sst>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월 관리비"/>
    <numFmt numFmtId="165" formatCode="[$₩-412]#,##0"/>
    <numFmt numFmtId="166" formatCode="yyyy. M. d"/>
    <numFmt numFmtId="167" formatCode="yyyy. m. d"/>
    <numFmt numFmtId="168" formatCode="[$₩-412]#,##0.00"/>
    <numFmt numFmtId="169" formatCode="yyyy-mm-dd"/>
    <numFmt numFmtId="170" formatCode="yy&quot;. &quot;m&quot;. &quot;d&quot;.&quot;ddd"/>
    <numFmt numFmtId="171" formatCode="m/d"/>
    <numFmt numFmtId="172" formatCode="#&quot;월 공과금&quot;"/>
    <numFmt numFmtId="173" formatCode="&quot;$&quot;#,##0"/>
  </numFmts>
  <fonts count="131">
    <font>
      <sz val="10.0"/>
      <color rgb="FF000000"/>
      <name val="Arial"/>
      <scheme val="minor"/>
    </font>
    <font>
      <color theme="1"/>
      <name val="Arial"/>
    </font>
    <font>
      <b/>
      <color rgb="FF666666"/>
      <name val="Nanum Gothic"/>
    </font>
    <font>
      <b/>
      <color rgb="FF999999"/>
      <name val="Nanum Gothic"/>
    </font>
    <font>
      <color rgb="FF666666"/>
      <name val="Nanum Gothic"/>
    </font>
    <font>
      <color rgb="FF999999"/>
      <name val="Nanum Gothic"/>
    </font>
    <font>
      <color rgb="FFCC4125"/>
      <name val="Nanum Gothic"/>
    </font>
    <font>
      <sz val="9.0"/>
      <color rgb="FF434343"/>
      <name val="Nanum Gothic"/>
    </font>
    <font>
      <color theme="1"/>
      <name val="Nanum Gothic"/>
    </font>
    <font>
      <color rgb="FFFF0000"/>
      <name val="Nanum Gothic"/>
    </font>
    <font>
      <b/>
      <color rgb="FFFF0000"/>
      <name val="Nanum Gothic"/>
    </font>
    <font>
      <sz val="11.0"/>
      <color rgb="FF1F1F1F"/>
      <name val="Google Sans"/>
    </font>
    <font>
      <sz val="9.0"/>
      <color rgb="FF434343"/>
      <name val="Noto Sans KR"/>
    </font>
    <font>
      <b/>
      <sz val="9.0"/>
      <color rgb="FF434343"/>
      <name val="Noto Sans KR"/>
    </font>
    <font>
      <color theme="1"/>
      <name val="Noto Sans KR"/>
    </font>
    <font>
      <b/>
      <sz val="10.0"/>
      <color rgb="FF434343"/>
      <name val="Noto Sans KR"/>
    </font>
    <font>
      <b/>
      <sz val="9.0"/>
      <color rgb="FFFF0000"/>
      <name val="Noto Sans KR"/>
    </font>
    <font>
      <sz val="9.0"/>
      <color theme="1"/>
      <name val="Noto Sans KR"/>
    </font>
    <font>
      <sz val="9.0"/>
      <color rgb="FFFF0000"/>
      <name val="Noto Sans KR"/>
    </font>
    <font>
      <sz val="9.0"/>
      <color rgb="FF000000"/>
      <name val="Noto Sans KR"/>
    </font>
    <font>
      <sz val="10.0"/>
      <color theme="1"/>
      <name val="Arial"/>
    </font>
    <font>
      <b/>
      <sz val="11.0"/>
      <color rgb="FF666666"/>
      <name val="Noto Sans KR"/>
    </font>
    <font>
      <sz val="8.0"/>
      <color rgb="FFD9D9D9"/>
      <name val="Noto Sans KR"/>
    </font>
    <font>
      <sz val="10.0"/>
      <color rgb="FF666666"/>
      <name val="Noto Sans KR"/>
    </font>
    <font>
      <color rgb="FF666666"/>
      <name val="Noto Sans KR"/>
    </font>
    <font>
      <color theme="1"/>
      <name val="Arial"/>
      <scheme val="minor"/>
    </font>
    <font>
      <color rgb="FF434343"/>
      <name val="Noto Sans KR"/>
    </font>
    <font>
      <sz val="10.0"/>
      <color rgb="FF999999"/>
      <name val="Noto Sans KR"/>
    </font>
    <font>
      <sz val="10.0"/>
      <color rgb="FFCC4125"/>
      <name val="Noto Sans KR"/>
    </font>
    <font>
      <sz val="11.0"/>
      <color theme="1"/>
      <name val="Noto Sans KR"/>
    </font>
    <font>
      <b/>
      <sz val="12.0"/>
      <color theme="1"/>
      <name val="Arial"/>
    </font>
    <font>
      <color rgb="FFCCCCCC"/>
      <name val="Arial"/>
      <scheme val="minor"/>
    </font>
    <font>
      <color rgb="FF434343"/>
      <name val="Roboto"/>
    </font>
    <font>
      <b/>
      <color theme="1"/>
      <name val="Arial"/>
      <scheme val="minor"/>
    </font>
    <font>
      <color rgb="FF434343"/>
      <name val="Arial"/>
    </font>
    <font>
      <sz val="11.0"/>
      <color rgb="FF000000"/>
      <name val="Noto Sans KR"/>
    </font>
    <font>
      <sz val="11.0"/>
      <color rgb="FFFFFFFF"/>
      <name val="Noto Sans KR"/>
    </font>
    <font>
      <b/>
      <sz val="18.0"/>
      <color rgb="FF000000"/>
      <name val="Noto Sans KR"/>
    </font>
    <font>
      <b/>
      <sz val="11.0"/>
      <color rgb="FF000000"/>
      <name val="Noto Sans KR"/>
    </font>
    <font/>
    <font>
      <b/>
      <sz val="11.0"/>
      <color rgb="FF0000FF"/>
      <name val="Noto Sans KR"/>
    </font>
    <font>
      <sz val="10.0"/>
      <color rgb="FF000000"/>
      <name val="Noto Sans KR"/>
    </font>
    <font>
      <color rgb="FF000000"/>
      <name val="Noto Sans KR"/>
    </font>
    <font>
      <b/>
      <sz val="9.0"/>
      <color rgb="FF000000"/>
      <name val="Noto Sans KR"/>
    </font>
    <font>
      <sz val="11.0"/>
      <color rgb="FFFF0000"/>
      <name val="Noto Sans KR"/>
    </font>
    <font>
      <sz val="10.0"/>
      <color theme="1"/>
      <name val="Noto Sans KR"/>
    </font>
    <font>
      <b/>
      <sz val="14.0"/>
      <color theme="1"/>
      <name val="Noto Sans KR"/>
    </font>
    <font>
      <b/>
      <color theme="1"/>
      <name val="Noto Sans KR"/>
    </font>
    <font>
      <color rgb="FFFFFFFF"/>
      <name val="Noto Sans KR"/>
    </font>
    <font>
      <sz val="11.0"/>
      <color rgb="FF000000"/>
      <name val="Malgun Gothic"/>
    </font>
    <font>
      <sz val="11.0"/>
      <color rgb="FFFFFFFF"/>
      <name val="Malgun Gothic"/>
    </font>
    <font>
      <sz val="11.0"/>
      <color rgb="FF000000"/>
      <name val="Arial"/>
    </font>
    <font>
      <sz val="10.0"/>
      <color rgb="FF000000"/>
      <name val="Malgun Gothic"/>
    </font>
    <font>
      <b/>
      <sz val="18.0"/>
      <color rgb="FF000000"/>
      <name val="Malgun Gothic"/>
    </font>
    <font>
      <b/>
      <sz val="11.0"/>
      <color rgb="FF000000"/>
      <name val="Malgun Gothic"/>
    </font>
    <font>
      <sz val="11.0"/>
      <color rgb="FF0000FF"/>
      <name val="Malgun Gothic"/>
    </font>
    <font>
      <sz val="11.0"/>
      <color rgb="FFFF0000"/>
      <name val="Malgun Gothic"/>
    </font>
    <font>
      <color theme="1"/>
      <name val="Malgun Gothic"/>
    </font>
    <font>
      <sz val="11.0"/>
      <color theme="1"/>
      <name val="&quot;Malgun Gothic&quot;"/>
    </font>
    <font>
      <sz val="11.0"/>
      <color theme="1"/>
      <name val="Malgun Gothic"/>
    </font>
    <font>
      <b/>
      <color theme="1"/>
      <name val="Nanum Gothic"/>
    </font>
    <font>
      <b/>
      <sz val="11.0"/>
      <color theme="1"/>
      <name val="Nanum Gothic"/>
    </font>
    <font>
      <sz val="11.0"/>
      <color theme="1"/>
      <name val="Nanum Gothic"/>
    </font>
    <font>
      <sz val="12.0"/>
      <color theme="1"/>
      <name val="Noto Sans KR"/>
    </font>
    <font>
      <b/>
      <sz val="11.0"/>
      <color theme="1"/>
      <name val="Noto Sans KR"/>
    </font>
    <font>
      <b/>
      <sz val="10.0"/>
      <color theme="1"/>
      <name val="Noto Sans KR"/>
    </font>
    <font>
      <sz val="10.0"/>
      <color rgb="FF434343"/>
      <name val="Noto Sans KR"/>
    </font>
    <font>
      <b/>
      <sz val="12.0"/>
      <color theme="1"/>
      <name val="Noto Sans KR"/>
    </font>
    <font>
      <sz val="11.0"/>
      <color rgb="FF444444"/>
      <name val="&quot;system-ui&quot;"/>
    </font>
    <font>
      <sz val="25.0"/>
      <color theme="1"/>
      <name val="Noto Sans KR"/>
    </font>
    <font>
      <sz val="8.0"/>
      <color theme="1"/>
      <name val="Arial"/>
      <scheme val="minor"/>
    </font>
    <font>
      <b/>
      <sz val="9.0"/>
      <color theme="1"/>
      <name val="Nanum Gothic"/>
    </font>
    <font>
      <b/>
      <sz val="8.0"/>
      <color theme="1"/>
      <name val="Nanum Gothic"/>
    </font>
    <font>
      <sz val="9.0"/>
      <color theme="1"/>
      <name val="Nanum Gothic"/>
    </font>
    <font>
      <b/>
      <color theme="1"/>
      <name val="Arial"/>
    </font>
    <font>
      <b/>
      <sz val="9.0"/>
      <color rgb="FF434343"/>
      <name val="&quot;Nanum Gothic&quot;"/>
    </font>
    <font>
      <b/>
      <sz val="9.0"/>
      <color rgb="FF434343"/>
      <name val="Nanum Gothic"/>
    </font>
    <font>
      <sz val="9.0"/>
      <color rgb="FF434343"/>
      <name val="&quot;Nanum Gothic&quot;"/>
    </font>
    <font>
      <sz val="11.0"/>
      <color theme="1"/>
      <name val="Arial"/>
      <scheme val="minor"/>
    </font>
    <font>
      <sz val="18.0"/>
      <color rgb="FFF3F3F3"/>
      <name val="&quot;맑은 고딕&quot;"/>
    </font>
    <font>
      <sz val="10.0"/>
      <color rgb="FF687887"/>
      <name val="&quot;맑은 고딕&quot;"/>
    </font>
    <font>
      <sz val="13.0"/>
      <color rgb="FFFFFFFF"/>
      <name val="&quot;맑은 고딕&quot;"/>
    </font>
    <font>
      <sz val="14.0"/>
      <color rgb="FFF3F3F3"/>
      <name val="&quot;맑은 고딕&quot;"/>
    </font>
    <font>
      <sz val="14.0"/>
      <color rgb="FFFFFFFF"/>
      <name val="&quot;맑은 고딕&quot;"/>
    </font>
    <font>
      <sz val="14.0"/>
      <color rgb="FFFFFFFF"/>
      <name val="Malgun Gothic"/>
    </font>
    <font>
      <sz val="14.0"/>
      <color theme="1"/>
      <name val="Arial"/>
      <scheme val="minor"/>
    </font>
    <font>
      <sz val="11.0"/>
      <color rgb="FF434343"/>
      <name val="Nanum Gothic"/>
    </font>
    <font>
      <b/>
      <sz val="11.0"/>
      <color rgb="FF434343"/>
      <name val="Nanum Gothic"/>
    </font>
    <font>
      <b/>
      <sz val="11.0"/>
      <color rgb="FFDD7E6B"/>
      <name val="Nanum Gothic"/>
    </font>
    <font>
      <b/>
      <color rgb="FF76A5AF"/>
      <name val="Arial"/>
      <scheme val="minor"/>
    </font>
    <font>
      <b/>
      <sz val="11.0"/>
      <color rgb="FF76A5AF"/>
      <name val="Nanum Gothic"/>
    </font>
    <font>
      <sz val="9.0"/>
      <color theme="1"/>
      <name val="Arial"/>
      <scheme val="minor"/>
    </font>
    <font>
      <b/>
      <sz val="11.0"/>
      <color rgb="FF000000"/>
      <name val="Arial"/>
      <scheme val="minor"/>
    </font>
    <font>
      <sz val="9.0"/>
      <color rgb="FF000000"/>
      <name val="Arial"/>
      <scheme val="minor"/>
    </font>
    <font>
      <sz val="9.0"/>
      <color rgb="FF000000"/>
      <name val="Arial"/>
    </font>
    <font>
      <sz val="13.0"/>
      <color rgb="FFFFFFFF"/>
      <name val="&quot;Malgun Gothic&quot;"/>
    </font>
    <font>
      <sz val="13.0"/>
      <color rgb="FFFFFFFF"/>
      <name val="Arial"/>
    </font>
    <font>
      <sz val="8.0"/>
      <color rgb="FF1F497D"/>
      <name val="Arial"/>
    </font>
    <font>
      <sz val="8.0"/>
      <color rgb="FF000000"/>
      <name val="Arial"/>
    </font>
    <font>
      <b/>
      <sz val="11.0"/>
      <color rgb="FF1F497D"/>
      <name val="Arial"/>
    </font>
    <font>
      <color rgb="FF000000"/>
      <name val="Arial"/>
    </font>
    <font>
      <b/>
      <sz val="10.0"/>
      <color rgb="FF000000"/>
      <name val="Arial"/>
    </font>
    <font>
      <b/>
      <sz val="11.0"/>
      <color rgb="FF000000"/>
      <name val="Arial"/>
    </font>
    <font>
      <sz val="10.0"/>
      <color rgb="FF000000"/>
      <name val="Arial"/>
    </font>
    <font>
      <sz val="9.0"/>
      <color theme="1"/>
      <name val="Arial"/>
    </font>
    <font>
      <b/>
      <color rgb="FFFFFFFF"/>
      <name val="Arial"/>
    </font>
    <font>
      <u/>
      <color rgb="FF1155CC"/>
      <name val="Arial"/>
    </font>
    <font>
      <u/>
      <color rgb="FF0000FF"/>
    </font>
    <font>
      <u/>
      <color rgb="FF0000FF"/>
      <name val="Arial"/>
    </font>
    <font>
      <u/>
      <color rgb="FF0000FF"/>
      <name val="Arial"/>
    </font>
    <font>
      <u/>
      <color rgb="FF0000FF"/>
    </font>
    <font>
      <color rgb="FFCC0000"/>
      <name val="Arial"/>
    </font>
    <font>
      <u/>
      <color rgb="FF1155CC"/>
      <name val="Arial"/>
    </font>
    <font>
      <color rgb="FFCC4125"/>
      <name val="Arial"/>
    </font>
    <font>
      <u/>
      <color rgb="FF1155CC"/>
      <name val="Arial"/>
    </font>
    <font>
      <color rgb="FFDD7E6B"/>
      <name val="Arial"/>
    </font>
    <font>
      <color rgb="FFDD7E6B"/>
      <name val="Arial"/>
      <scheme val="minor"/>
    </font>
    <font>
      <u/>
      <sz val="11.0"/>
      <color rgb="FF0000FF"/>
      <name val="Arial"/>
    </font>
    <font>
      <color rgb="FF674EA7"/>
      <name val="Arial"/>
    </font>
    <font>
      <u/>
      <color rgb="FF0000FF"/>
    </font>
    <font>
      <u/>
      <color rgb="FF1155CC"/>
      <name val="Arial"/>
    </font>
    <font>
      <color rgb="FF434343"/>
      <name val="&quot;Nanum Gothic&quot;"/>
    </font>
    <font>
      <sz val="18.0"/>
      <color rgb="FFF3F3F3"/>
      <name val="Noto Sans KR"/>
    </font>
    <font>
      <sz val="10.0"/>
      <color rgb="FF687887"/>
      <name val="Noto Sans KR"/>
    </font>
    <font>
      <sz val="13.0"/>
      <color rgb="FFFFFFFF"/>
      <name val="Noto Sans KR"/>
    </font>
    <font>
      <sz val="11.0"/>
      <color rgb="FFB7B7B7"/>
      <name val="Noto Sans KR"/>
    </font>
    <font>
      <sz val="14.0"/>
      <color rgb="FFF3F3F3"/>
      <name val="Noto Sans KR"/>
    </font>
    <font>
      <sz val="14.0"/>
      <color rgb="FFFFFFFF"/>
      <name val="Noto Sans KR"/>
    </font>
    <font>
      <sz val="14.0"/>
      <color theme="1"/>
      <name val="Noto Sans KR"/>
    </font>
    <font>
      <sz val="11.0"/>
      <color rgb="FF434343"/>
      <name val="Noto Sans KR"/>
    </font>
    <font>
      <b/>
      <sz val="11.0"/>
      <color rgb="FF434343"/>
      <name val="Noto Sans KR"/>
    </font>
  </fonts>
  <fills count="3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999999"/>
        <bgColor rgb="FF999999"/>
      </patternFill>
    </fill>
    <fill>
      <patternFill patternType="solid">
        <fgColor rgb="FFFCE5CD"/>
        <bgColor rgb="FFFCE5CD"/>
      </patternFill>
    </fill>
    <fill>
      <patternFill patternType="solid">
        <fgColor rgb="FFF3F3F3"/>
        <bgColor rgb="FFF3F3F3"/>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F8F9FA"/>
        <bgColor rgb="FFF8F9FA"/>
      </patternFill>
    </fill>
    <fill>
      <patternFill patternType="solid">
        <fgColor rgb="FF1F497D"/>
        <bgColor rgb="FF1F497D"/>
      </patternFill>
    </fill>
    <fill>
      <patternFill patternType="solid">
        <fgColor rgb="FFEFEFEF"/>
        <bgColor rgb="FFEFEFEF"/>
      </patternFill>
    </fill>
    <fill>
      <patternFill patternType="solid">
        <fgColor theme="0"/>
        <bgColor theme="0"/>
      </patternFill>
    </fill>
    <fill>
      <patternFill patternType="solid">
        <fgColor rgb="FFFFF2CC"/>
        <bgColor rgb="FFFFF2CC"/>
      </patternFill>
    </fill>
    <fill>
      <patternFill patternType="solid">
        <fgColor rgb="FFFF9900"/>
        <bgColor rgb="FFFF9900"/>
      </patternFill>
    </fill>
    <fill>
      <patternFill patternType="solid">
        <fgColor rgb="FFF4CCCC"/>
        <bgColor rgb="FFF4CCCC"/>
      </patternFill>
    </fill>
    <fill>
      <patternFill patternType="solid">
        <fgColor rgb="FFFFE599"/>
        <bgColor rgb="FFFFE599"/>
      </patternFill>
    </fill>
    <fill>
      <patternFill patternType="solid">
        <fgColor rgb="FFCFE2F3"/>
        <bgColor rgb="FFCFE2F3"/>
      </patternFill>
    </fill>
    <fill>
      <patternFill patternType="solid">
        <fgColor rgb="FFE6B8AF"/>
        <bgColor rgb="FFE6B8AF"/>
      </patternFill>
    </fill>
    <fill>
      <patternFill patternType="solid">
        <fgColor rgb="FFDD7E6B"/>
        <bgColor rgb="FFDD7E6B"/>
      </patternFill>
    </fill>
    <fill>
      <patternFill patternType="solid">
        <fgColor rgb="FFF3F2F6"/>
        <bgColor rgb="FFF3F2F6"/>
      </patternFill>
    </fill>
    <fill>
      <patternFill patternType="solid">
        <fgColor rgb="FF00FFFF"/>
        <bgColor rgb="FF00FFFF"/>
      </patternFill>
    </fill>
    <fill>
      <patternFill patternType="solid">
        <fgColor rgb="FF948A54"/>
        <bgColor rgb="FF948A54"/>
      </patternFill>
    </fill>
    <fill>
      <patternFill patternType="solid">
        <fgColor rgb="FF46BDC6"/>
        <bgColor rgb="FF46BDC6"/>
      </patternFill>
    </fill>
    <fill>
      <patternFill patternType="solid">
        <fgColor rgb="FF6FA8DC"/>
        <bgColor rgb="FF6FA8DC"/>
      </patternFill>
    </fill>
    <fill>
      <patternFill patternType="solid">
        <fgColor rgb="FF783F04"/>
        <bgColor rgb="FF783F04"/>
      </patternFill>
    </fill>
    <fill>
      <patternFill patternType="solid">
        <fgColor rgb="FF0B5394"/>
        <bgColor rgb="FF0B5394"/>
      </patternFill>
    </fill>
    <fill>
      <patternFill patternType="solid">
        <fgColor theme="7"/>
        <bgColor theme="7"/>
      </patternFill>
    </fill>
    <fill>
      <patternFill patternType="solid">
        <fgColor rgb="FF328B4A"/>
        <bgColor rgb="FF328B4A"/>
      </patternFill>
    </fill>
    <fill>
      <patternFill patternType="solid">
        <fgColor rgb="FFE69138"/>
        <bgColor rgb="FFE69138"/>
      </patternFill>
    </fill>
    <fill>
      <patternFill patternType="solid">
        <fgColor rgb="FFD9E1F2"/>
        <bgColor rgb="FFD9E1F2"/>
      </patternFill>
    </fill>
    <fill>
      <patternFill patternType="solid">
        <fgColor rgb="FFD0E0E3"/>
        <bgColor rgb="FFD0E0E3"/>
      </patternFill>
    </fill>
    <fill>
      <patternFill patternType="solid">
        <fgColor rgb="FF9FC5E8"/>
        <bgColor rgb="FF9FC5E8"/>
      </patternFill>
    </fill>
    <fill>
      <patternFill patternType="solid">
        <fgColor rgb="FFD9EAD3"/>
        <bgColor rgb="FFD9EAD3"/>
      </patternFill>
    </fill>
    <fill>
      <patternFill patternType="solid">
        <fgColor rgb="FF00FF00"/>
        <bgColor rgb="FF00FF00"/>
      </patternFill>
    </fill>
    <fill>
      <patternFill patternType="solid">
        <fgColor rgb="FFA4C2F4"/>
        <bgColor rgb="FFA4C2F4"/>
      </patternFill>
    </fill>
  </fills>
  <borders count="93">
    <border/>
    <border>
      <left style="medium">
        <color rgb="FF999999"/>
      </left>
      <top style="medium">
        <color rgb="FF999999"/>
      </top>
    </border>
    <border>
      <right style="medium">
        <color rgb="FF999999"/>
      </right>
      <top style="medium">
        <color rgb="FF999999"/>
      </top>
    </border>
    <border>
      <top style="medium">
        <color rgb="FF999999"/>
      </top>
    </border>
    <border>
      <left style="medium">
        <color rgb="FF999999"/>
      </left>
    </border>
    <border>
      <right style="medium">
        <color rgb="FF999999"/>
      </right>
    </border>
    <border>
      <bottom style="medium">
        <color rgb="FF999999"/>
      </bottom>
    </border>
    <border>
      <left style="medium">
        <color rgb="FF999999"/>
      </left>
      <bottom style="medium">
        <color rgb="FF999999"/>
      </bottom>
    </border>
    <border>
      <right style="medium">
        <color rgb="FF999999"/>
      </right>
      <bottom style="medium">
        <color rgb="FF999999"/>
      </bottom>
    </border>
    <border>
      <left style="medium">
        <color rgb="FF666666"/>
      </left>
    </border>
    <border>
      <left style="medium">
        <color rgb="FF666666"/>
      </left>
      <bottom style="medium">
        <color rgb="FF999999"/>
      </bottom>
    </border>
    <border>
      <right style="thick">
        <color rgb="FFB7B7B7"/>
      </right>
    </border>
    <border>
      <left style="thick">
        <color rgb="FFB7B7B7"/>
      </left>
    </border>
    <border>
      <left style="medium">
        <color rgb="FF666666"/>
      </left>
      <top style="medium">
        <color rgb="FF666666"/>
      </top>
      <bottom style="medium">
        <color rgb="FF666666"/>
      </bottom>
    </border>
    <border>
      <top style="medium">
        <color rgb="FF666666"/>
      </top>
      <bottom style="medium">
        <color rgb="FF666666"/>
      </bottom>
    </border>
    <border>
      <right style="medium">
        <color rgb="FF666666"/>
      </right>
      <top style="medium">
        <color rgb="FF666666"/>
      </top>
      <bottom style="medium">
        <color rgb="FF666666"/>
      </bottom>
    </border>
    <border>
      <bottom style="medium">
        <color rgb="FF666666"/>
      </bottom>
    </border>
    <border>
      <bottom style="medium">
        <color rgb="FF000000"/>
      </bottom>
    </border>
    <border>
      <bottom style="thin">
        <color rgb="FFCCCCCC"/>
      </bottom>
    </border>
    <border>
      <left style="thick">
        <color rgb="FFB7B7B7"/>
      </left>
      <top style="thick">
        <color rgb="FFB7B7B7"/>
      </top>
    </border>
    <border>
      <right style="thick">
        <color rgb="FFB7B7B7"/>
      </right>
      <top style="thick">
        <color rgb="FFB7B7B7"/>
      </top>
    </border>
    <border>
      <top style="thick">
        <color rgb="FFB7B7B7"/>
      </top>
    </border>
    <border>
      <left style="thick">
        <color rgb="FFB7B7B7"/>
      </left>
      <bottom style="medium">
        <color rgb="FF999999"/>
      </bottom>
    </border>
    <border>
      <right style="thick">
        <color rgb="FFB7B7B7"/>
      </right>
      <bottom style="medium">
        <color rgb="FF99999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FFFFFF"/>
      </left>
      <right style="thin">
        <color rgb="FFFFFFFF"/>
      </right>
      <top style="thin">
        <color rgb="FFFFFFFF"/>
      </top>
      <bottom style="medium">
        <color rgb="FF000000"/>
      </bottom>
    </border>
    <border>
      <left style="thin">
        <color rgb="FFFFFFFF"/>
      </left>
      <right style="thin">
        <color rgb="FFFFFFFF"/>
      </right>
      <bottom style="thin">
        <color rgb="FFFFFFFF"/>
      </bottom>
    </border>
    <border>
      <bottom style="thick">
        <color rgb="FF000000"/>
      </bottom>
    </border>
    <border>
      <left style="thin">
        <color rgb="FFFFFFFF"/>
      </left>
      <right style="thin">
        <color rgb="FFFFFFFF"/>
      </right>
      <top style="thin">
        <color rgb="FFFFFFFF"/>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left style="thin">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bottom style="thin">
        <color rgb="FF000000"/>
      </bottom>
    </border>
    <border>
      <right style="thin">
        <color rgb="FF000000"/>
      </right>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n">
        <color rgb="FF000000"/>
      </top>
    </border>
    <border>
      <left style="thin">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ck">
        <color rgb="FF000000"/>
      </top>
      <bottom style="thick">
        <color rgb="FF000000"/>
      </bottom>
    </border>
    <border>
      <left style="thin">
        <color rgb="FF000000"/>
      </left>
      <bottom style="thin">
        <color rgb="FF000000"/>
      </bottom>
    </border>
    <border>
      <left style="double">
        <color rgb="FFCCCCCC"/>
      </left>
      <top style="double">
        <color rgb="FFCCCCCC"/>
      </top>
    </border>
    <border>
      <top style="double">
        <color rgb="FFCCCCCC"/>
      </top>
    </border>
    <border>
      <right style="double">
        <color rgb="FFCCCCCC"/>
      </right>
      <top style="double">
        <color rgb="FFCCCCCC"/>
      </top>
    </border>
    <border>
      <left style="double">
        <color rgb="FFCCCCCC"/>
      </left>
    </border>
    <border>
      <right style="double">
        <color rgb="FFCCCCCC"/>
      </right>
    </border>
    <border>
      <left style="double">
        <color rgb="FFCCCCCC"/>
      </left>
      <bottom style="double">
        <color rgb="FFCCCCCC"/>
      </bottom>
    </border>
    <border>
      <bottom style="double">
        <color rgb="FFCCCCCC"/>
      </bottom>
    </border>
    <border>
      <right style="double">
        <color rgb="FFCCCCCC"/>
      </right>
      <bottom style="double">
        <color rgb="FFCCCCCC"/>
      </bottom>
    </border>
    <border>
      <left style="thick">
        <color rgb="FF000000"/>
      </left>
      <right style="thin">
        <color rgb="FF000000"/>
      </right>
      <top style="thick">
        <color rgb="FF000000"/>
      </top>
    </border>
    <border>
      <left style="thin">
        <color rgb="FF000000"/>
      </left>
      <top style="thick">
        <color rgb="FF000000"/>
      </top>
      <bottom style="thin">
        <color rgb="FF000000"/>
      </bottom>
    </border>
    <border>
      <right style="thin">
        <color rgb="FF000000"/>
      </right>
      <top style="thick">
        <color rgb="FF000000"/>
      </top>
      <bottom style="thin">
        <color rgb="FF000000"/>
      </bottom>
    </border>
    <border>
      <top style="thick">
        <color rgb="FF000000"/>
      </top>
      <bottom style="thin">
        <color rgb="FF000000"/>
      </bottom>
    </border>
    <border>
      <left style="thin">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border>
    <border>
      <right style="thick">
        <color rgb="FF000000"/>
      </right>
    </border>
    <border>
      <left style="thick">
        <color rgb="FF000000"/>
      </left>
      <right style="thin">
        <color rgb="FF000000"/>
      </right>
      <top style="thin">
        <color rgb="FF000000"/>
      </top>
    </border>
    <border>
      <left style="thick">
        <color rgb="FF000000"/>
      </left>
      <right style="thin">
        <color rgb="FF000000"/>
      </right>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bottom style="thick">
        <color rgb="FF000000"/>
      </bottom>
    </border>
    <border>
      <right style="thick">
        <color rgb="FF000000"/>
      </right>
      <bottom style="thick">
        <color rgb="FF000000"/>
      </bottom>
    </border>
    <border>
      <left style="thin">
        <color rgb="FF000000"/>
      </left>
      <right style="thin">
        <color rgb="FF000000"/>
      </right>
      <top style="thick">
        <color rgb="FF000000"/>
      </top>
      <bottom style="thin">
        <color rgb="FF000000"/>
      </bottom>
    </border>
    <border>
      <bottom style="double">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ck">
        <color rgb="FFD9D9D9"/>
      </right>
    </border>
    <border>
      <right style="thick">
        <color rgb="FFEFEFEF"/>
      </right>
    </border>
    <border>
      <left style="thick">
        <color rgb="FFD9E1F2"/>
      </left>
    </border>
    <border>
      <left style="dotted">
        <color rgb="FFB7B7B7"/>
      </left>
    </border>
  </borders>
  <cellStyleXfs count="1">
    <xf borderId="0" fillId="0" fontId="0" numFmtId="0" applyAlignment="1" applyFont="1"/>
  </cellStyleXfs>
  <cellXfs count="1337">
    <xf borderId="0" fillId="0" fontId="0" numFmtId="0" xfId="0" applyAlignment="1" applyFont="1">
      <alignment readingOrder="0" shrinkToFit="0" vertical="bottom" wrapText="0"/>
    </xf>
    <xf borderId="0" fillId="2" fontId="1" numFmtId="0" xfId="0" applyFill="1" applyFont="1"/>
    <xf borderId="1" fillId="2" fontId="2" numFmtId="0" xfId="0" applyBorder="1" applyFont="1"/>
    <xf borderId="2" fillId="2" fontId="2" numFmtId="3" xfId="0" applyBorder="1" applyFont="1" applyNumberFormat="1"/>
    <xf borderId="1" fillId="2" fontId="2" numFmtId="3" xfId="0" applyBorder="1" applyFont="1" applyNumberFormat="1"/>
    <xf borderId="3" fillId="2" fontId="2" numFmtId="3" xfId="0" applyBorder="1" applyFont="1" applyNumberFormat="1"/>
    <xf borderId="3" fillId="2" fontId="3" numFmtId="3" xfId="0" applyAlignment="1" applyBorder="1" applyFont="1" applyNumberFormat="1">
      <alignment horizontal="center"/>
    </xf>
    <xf borderId="3" fillId="2" fontId="2" numFmtId="164" xfId="0" applyBorder="1" applyFont="1" applyNumberFormat="1"/>
    <xf borderId="2" fillId="2" fontId="3" numFmtId="0" xfId="0" applyAlignment="1" applyBorder="1" applyFont="1">
      <alignment horizontal="center"/>
    </xf>
    <xf borderId="0" fillId="2" fontId="2" numFmtId="0" xfId="0" applyFont="1"/>
    <xf borderId="4" fillId="2" fontId="4" numFmtId="0" xfId="0" applyBorder="1" applyFont="1"/>
    <xf borderId="5" fillId="2" fontId="4" numFmtId="0" xfId="0" applyBorder="1" applyFont="1"/>
    <xf borderId="4" fillId="2" fontId="4" numFmtId="3" xfId="0" applyAlignment="1" applyBorder="1" applyFont="1" applyNumberFormat="1">
      <alignment shrinkToFit="0" wrapText="0"/>
    </xf>
    <xf borderId="0" fillId="2" fontId="4" numFmtId="3" xfId="0" applyAlignment="1" applyFont="1" applyNumberFormat="1">
      <alignment horizontal="right" shrinkToFit="0" wrapText="0"/>
    </xf>
    <xf borderId="0" fillId="2" fontId="5" numFmtId="3" xfId="0" applyAlignment="1" applyFont="1" applyNumberFormat="1">
      <alignment horizontal="center" shrinkToFit="0" wrapText="0"/>
    </xf>
    <xf borderId="5" fillId="2" fontId="5" numFmtId="0" xfId="0" applyAlignment="1" applyBorder="1" applyFont="1">
      <alignment horizontal="center"/>
    </xf>
    <xf borderId="0" fillId="2" fontId="4" numFmtId="3" xfId="0" applyAlignment="1" applyFont="1" applyNumberFormat="1">
      <alignment shrinkToFit="0" wrapText="0"/>
    </xf>
    <xf borderId="0" fillId="2" fontId="4" numFmtId="0" xfId="0" applyFont="1"/>
    <xf borderId="0" fillId="2" fontId="1" numFmtId="3" xfId="0" applyFont="1" applyNumberFormat="1"/>
    <xf borderId="5" fillId="2" fontId="1" numFmtId="0" xfId="0" applyBorder="1" applyFont="1"/>
    <xf borderId="0" fillId="2" fontId="4" numFmtId="3" xfId="0" applyFont="1" applyNumberFormat="1"/>
    <xf borderId="4" fillId="2" fontId="1" numFmtId="0" xfId="0" applyBorder="1" applyFont="1"/>
    <xf borderId="4" fillId="2" fontId="1" numFmtId="3" xfId="0" applyBorder="1" applyFont="1" applyNumberFormat="1"/>
    <xf borderId="0" fillId="2" fontId="4" numFmtId="3" xfId="0" applyAlignment="1" applyFont="1" applyNumberFormat="1">
      <alignment horizontal="right"/>
    </xf>
    <xf borderId="5" fillId="2" fontId="1" numFmtId="3" xfId="0" applyBorder="1" applyFont="1" applyNumberFormat="1"/>
    <xf borderId="0" fillId="2" fontId="1" numFmtId="3" xfId="0" applyAlignment="1" applyFont="1" applyNumberFormat="1">
      <alignment readingOrder="0"/>
    </xf>
    <xf borderId="4" fillId="2" fontId="4" numFmtId="3" xfId="0" applyBorder="1" applyFont="1" applyNumberFormat="1"/>
    <xf borderId="4" fillId="2" fontId="4" numFmtId="9" xfId="0" applyBorder="1" applyFont="1" applyNumberFormat="1"/>
    <xf borderId="6" fillId="2" fontId="6" numFmtId="9" xfId="0" applyAlignment="1" applyBorder="1" applyFont="1" applyNumberFormat="1">
      <alignment shrinkToFit="0" wrapText="0"/>
    </xf>
    <xf borderId="7" fillId="2" fontId="4" numFmtId="9" xfId="0" applyBorder="1" applyFont="1" applyNumberFormat="1"/>
    <xf borderId="8" fillId="2" fontId="4" numFmtId="0" xfId="0" applyBorder="1" applyFont="1"/>
    <xf borderId="7" fillId="2" fontId="1" numFmtId="3" xfId="0" applyBorder="1" applyFont="1" applyNumberFormat="1"/>
    <xf borderId="6" fillId="2" fontId="4" numFmtId="3" xfId="0" applyAlignment="1" applyBorder="1" applyFont="1" applyNumberFormat="1">
      <alignment horizontal="right"/>
    </xf>
    <xf borderId="6" fillId="2" fontId="1" numFmtId="3" xfId="0" applyBorder="1" applyFont="1" applyNumberFormat="1"/>
    <xf borderId="8" fillId="2" fontId="1" numFmtId="0" xfId="0" applyBorder="1" applyFont="1"/>
    <xf borderId="0" fillId="2" fontId="5" numFmtId="0" xfId="0" applyAlignment="1" applyFont="1">
      <alignment horizontal="center"/>
    </xf>
    <xf borderId="0" fillId="3" fontId="4" numFmtId="0" xfId="0" applyFill="1" applyFont="1"/>
    <xf borderId="4" fillId="3" fontId="4" numFmtId="3" xfId="0" applyAlignment="1" applyBorder="1" applyFont="1" applyNumberFormat="1">
      <alignment shrinkToFit="0" wrapText="0"/>
    </xf>
    <xf borderId="0" fillId="3" fontId="4" numFmtId="3" xfId="0" applyAlignment="1" applyFont="1" applyNumberFormat="1">
      <alignment horizontal="right" shrinkToFit="0" wrapText="0"/>
    </xf>
    <xf borderId="0" fillId="2" fontId="1" numFmtId="9" xfId="0" applyFont="1" applyNumberFormat="1"/>
    <xf borderId="0" fillId="2" fontId="7" numFmtId="0" xfId="0" applyAlignment="1" applyFont="1">
      <alignment shrinkToFit="0" wrapText="0"/>
    </xf>
    <xf borderId="4" fillId="3" fontId="4" numFmtId="0" xfId="0" applyBorder="1" applyFont="1"/>
    <xf borderId="0" fillId="0" fontId="1" numFmtId="3" xfId="0" applyFont="1" applyNumberFormat="1"/>
    <xf borderId="4" fillId="2" fontId="8" numFmtId="0" xfId="0" applyBorder="1" applyFont="1"/>
    <xf borderId="0" fillId="3" fontId="4" numFmtId="3" xfId="0" applyFont="1" applyNumberFormat="1"/>
    <xf borderId="5" fillId="2" fontId="5" numFmtId="0" xfId="0" applyAlignment="1" applyBorder="1" applyFont="1">
      <alignment horizontal="center" readingOrder="0"/>
    </xf>
    <xf borderId="0" fillId="0" fontId="1" numFmtId="0" xfId="0" applyAlignment="1" applyFont="1">
      <alignment vertical="bottom"/>
    </xf>
    <xf borderId="0" fillId="2" fontId="1" numFmtId="3" xfId="0" applyAlignment="1" applyFont="1" applyNumberFormat="1">
      <alignment vertical="bottom"/>
    </xf>
    <xf borderId="0" fillId="2" fontId="1" numFmtId="0" xfId="0" applyAlignment="1" applyFont="1">
      <alignment vertical="bottom"/>
    </xf>
    <xf borderId="0" fillId="2" fontId="4" numFmtId="3" xfId="0" applyAlignment="1" applyFont="1" applyNumberFormat="1">
      <alignment horizontal="right" vertical="bottom"/>
    </xf>
    <xf borderId="0" fillId="2" fontId="5" numFmtId="0" xfId="0" applyAlignment="1" applyFont="1">
      <alignment horizontal="center" vertical="bottom"/>
    </xf>
    <xf borderId="6" fillId="2" fontId="5" numFmtId="3" xfId="0" applyAlignment="1" applyBorder="1" applyFont="1" applyNumberFormat="1">
      <alignment horizontal="center"/>
    </xf>
    <xf borderId="8" fillId="2" fontId="5" numFmtId="0" xfId="0" applyAlignment="1" applyBorder="1" applyFont="1">
      <alignment horizontal="center"/>
    </xf>
    <xf borderId="6" fillId="2" fontId="6" numFmtId="0" xfId="0" applyAlignment="1" applyBorder="1" applyFont="1">
      <alignment shrinkToFit="0" wrapText="0"/>
    </xf>
    <xf borderId="0" fillId="3" fontId="4" numFmtId="3" xfId="0" applyAlignment="1" applyFont="1" applyNumberFormat="1">
      <alignment horizontal="right"/>
    </xf>
    <xf borderId="0" fillId="2" fontId="4" numFmtId="3" xfId="0" applyAlignment="1" applyFont="1" applyNumberFormat="1">
      <alignment horizontal="right" readingOrder="0"/>
    </xf>
    <xf borderId="0" fillId="2" fontId="6" numFmtId="0" xfId="0" applyAlignment="1" applyFont="1">
      <alignment shrinkToFit="0" wrapText="0"/>
    </xf>
    <xf borderId="0" fillId="2" fontId="4" numFmtId="3" xfId="0" applyAlignment="1" applyFont="1" applyNumberFormat="1">
      <alignment vertical="bottom"/>
    </xf>
    <xf borderId="0" fillId="2" fontId="2" numFmtId="3" xfId="0" applyFont="1" applyNumberFormat="1"/>
    <xf quotePrefix="1" borderId="4" fillId="2" fontId="4" numFmtId="0" xfId="0" applyBorder="1" applyFont="1"/>
    <xf borderId="0" fillId="3" fontId="2" numFmtId="3" xfId="0" applyFont="1" applyNumberFormat="1"/>
    <xf borderId="0" fillId="2" fontId="5" numFmtId="3" xfId="0" applyAlignment="1" applyFont="1" applyNumberFormat="1">
      <alignment horizontal="center"/>
    </xf>
    <xf borderId="0" fillId="0" fontId="4" numFmtId="3" xfId="0" applyFont="1" applyNumberFormat="1"/>
    <xf borderId="4" fillId="2" fontId="1" numFmtId="9" xfId="0" applyBorder="1" applyFont="1" applyNumberFormat="1"/>
    <xf borderId="4" fillId="2" fontId="4" numFmtId="9" xfId="0" applyAlignment="1" applyBorder="1" applyFont="1" applyNumberFormat="1">
      <alignment horizontal="right"/>
    </xf>
    <xf borderId="7" fillId="2" fontId="4" numFmtId="9" xfId="0" applyAlignment="1" applyBorder="1" applyFont="1" applyNumberFormat="1">
      <alignment horizontal="right"/>
    </xf>
    <xf borderId="0" fillId="0" fontId="4" numFmtId="3" xfId="0" applyAlignment="1" applyFont="1" applyNumberFormat="1">
      <alignment horizontal="right"/>
    </xf>
    <xf borderId="0" fillId="2" fontId="6" numFmtId="9" xfId="0" applyAlignment="1" applyFont="1" applyNumberFormat="1">
      <alignment shrinkToFit="0" wrapText="0"/>
    </xf>
    <xf borderId="0" fillId="4" fontId="1" numFmtId="0" xfId="0" applyFill="1" applyFont="1"/>
    <xf borderId="4" fillId="4" fontId="4" numFmtId="0" xfId="0" applyBorder="1" applyFont="1"/>
    <xf borderId="5" fillId="4" fontId="4" numFmtId="0" xfId="0" applyBorder="1" applyFont="1"/>
    <xf borderId="0" fillId="4" fontId="4" numFmtId="3" xfId="0" applyFont="1" applyNumberFormat="1"/>
    <xf borderId="0" fillId="4" fontId="4" numFmtId="3" xfId="0" applyAlignment="1" applyFont="1" applyNumberFormat="1">
      <alignment horizontal="right"/>
    </xf>
    <xf borderId="0" fillId="4" fontId="5" numFmtId="0" xfId="0" applyAlignment="1" applyFont="1">
      <alignment horizontal="center"/>
    </xf>
    <xf borderId="5" fillId="4" fontId="5" numFmtId="0" xfId="0" applyAlignment="1" applyBorder="1" applyFont="1">
      <alignment horizontal="center"/>
    </xf>
    <xf borderId="0" fillId="4" fontId="1" numFmtId="3" xfId="0" applyFont="1" applyNumberFormat="1"/>
    <xf borderId="5" fillId="4" fontId="1" numFmtId="0" xfId="0" applyBorder="1" applyFont="1"/>
    <xf borderId="0" fillId="4" fontId="4" numFmtId="0" xfId="0" applyFont="1"/>
    <xf borderId="4" fillId="4" fontId="1" numFmtId="0" xfId="0" applyBorder="1" applyFont="1"/>
    <xf borderId="4" fillId="4" fontId="1" numFmtId="3" xfId="0" applyBorder="1" applyFont="1" applyNumberFormat="1"/>
    <xf borderId="5" fillId="4" fontId="5" numFmtId="3" xfId="0" applyAlignment="1" applyBorder="1" applyFont="1" applyNumberFormat="1">
      <alignment horizontal="center"/>
    </xf>
    <xf borderId="4" fillId="4" fontId="4" numFmtId="3" xfId="0" applyBorder="1" applyFont="1" applyNumberFormat="1"/>
    <xf borderId="0" fillId="4" fontId="5" numFmtId="3" xfId="0" applyAlignment="1" applyFont="1" applyNumberFormat="1">
      <alignment horizontal="center"/>
    </xf>
    <xf borderId="0" fillId="4" fontId="6" numFmtId="0" xfId="0" applyAlignment="1" applyFont="1">
      <alignment shrinkToFit="0" wrapText="0"/>
    </xf>
    <xf borderId="5" fillId="4" fontId="1" numFmtId="3" xfId="0" applyBorder="1" applyFont="1" applyNumberFormat="1"/>
    <xf borderId="0" fillId="4" fontId="1" numFmtId="0" xfId="0" applyAlignment="1" applyFont="1">
      <alignment vertical="bottom"/>
    </xf>
    <xf borderId="4" fillId="4" fontId="4" numFmtId="9" xfId="0" applyBorder="1" applyFont="1" applyNumberFormat="1"/>
    <xf borderId="7" fillId="4" fontId="4" numFmtId="9" xfId="0" applyBorder="1" applyFont="1" applyNumberFormat="1"/>
    <xf borderId="8" fillId="4" fontId="4" numFmtId="0" xfId="0" applyBorder="1" applyFont="1"/>
    <xf borderId="7" fillId="4" fontId="1" numFmtId="3" xfId="0" applyBorder="1" applyFont="1" applyNumberFormat="1"/>
    <xf borderId="6" fillId="4" fontId="4" numFmtId="3" xfId="0" applyAlignment="1" applyBorder="1" applyFont="1" applyNumberFormat="1">
      <alignment horizontal="right"/>
    </xf>
    <xf borderId="6" fillId="4" fontId="1" numFmtId="3" xfId="0" applyBorder="1" applyFont="1" applyNumberFormat="1"/>
    <xf borderId="8" fillId="4" fontId="1" numFmtId="0" xfId="0" applyBorder="1" applyFont="1"/>
    <xf borderId="5" fillId="2" fontId="4" numFmtId="3" xfId="0" applyAlignment="1" applyBorder="1" applyFont="1" applyNumberFormat="1">
      <alignment horizontal="right"/>
    </xf>
    <xf borderId="4" fillId="2" fontId="4" numFmtId="0" xfId="0" applyAlignment="1" applyBorder="1" applyFont="1">
      <alignment readingOrder="0"/>
    </xf>
    <xf borderId="0" fillId="2" fontId="9" numFmtId="3" xfId="0" applyAlignment="1" applyFont="1" applyNumberFormat="1">
      <alignment horizontal="right"/>
    </xf>
    <xf borderId="0" fillId="0" fontId="1" numFmtId="3" xfId="0" applyAlignment="1" applyFont="1" applyNumberFormat="1">
      <alignment horizontal="right" vertical="bottom"/>
    </xf>
    <xf borderId="0" fillId="0" fontId="1" numFmtId="3" xfId="0" applyAlignment="1" applyFont="1" applyNumberFormat="1">
      <alignment vertical="bottom"/>
    </xf>
    <xf borderId="5" fillId="2" fontId="5" numFmtId="3" xfId="0" applyAlignment="1" applyBorder="1" applyFont="1" applyNumberFormat="1">
      <alignment horizontal="center"/>
    </xf>
    <xf borderId="9" fillId="2" fontId="4" numFmtId="3" xfId="0" applyBorder="1" applyFont="1" applyNumberFormat="1"/>
    <xf borderId="9" fillId="2" fontId="1" numFmtId="3" xfId="0" applyBorder="1" applyFont="1" applyNumberFormat="1"/>
    <xf borderId="9" fillId="2" fontId="4" numFmtId="3" xfId="0" applyAlignment="1" applyBorder="1" applyFont="1" applyNumberFormat="1">
      <alignment horizontal="right"/>
    </xf>
    <xf borderId="6" fillId="2" fontId="1" numFmtId="0" xfId="0" applyBorder="1" applyFont="1"/>
    <xf borderId="10" fillId="2" fontId="1" numFmtId="3" xfId="0" applyBorder="1" applyFont="1" applyNumberFormat="1"/>
    <xf borderId="4" fillId="0" fontId="1" numFmtId="3" xfId="0" applyAlignment="1" applyBorder="1" applyFont="1" applyNumberFormat="1">
      <alignment vertical="bottom"/>
    </xf>
    <xf borderId="5" fillId="0" fontId="1" numFmtId="0" xfId="0" applyAlignment="1" applyBorder="1" applyFont="1">
      <alignment vertical="bottom"/>
    </xf>
    <xf borderId="0" fillId="0" fontId="1" numFmtId="0" xfId="0" applyFont="1"/>
    <xf borderId="4" fillId="0" fontId="4" numFmtId="9" xfId="0" applyBorder="1" applyFont="1" applyNumberFormat="1"/>
    <xf borderId="5" fillId="0" fontId="4" numFmtId="0" xfId="0" applyBorder="1" applyFont="1"/>
    <xf borderId="0" fillId="0" fontId="5" numFmtId="0" xfId="0" applyAlignment="1" applyFont="1">
      <alignment horizontal="center"/>
    </xf>
    <xf borderId="5" fillId="0" fontId="5" numFmtId="0" xfId="0" applyAlignment="1" applyBorder="1" applyFont="1">
      <alignment horizontal="center"/>
    </xf>
    <xf borderId="5" fillId="0" fontId="1" numFmtId="0" xfId="0" applyBorder="1" applyFont="1"/>
    <xf borderId="0" fillId="0" fontId="4" numFmtId="0" xfId="0" applyFont="1"/>
    <xf borderId="4" fillId="0" fontId="4" numFmtId="0" xfId="0" applyBorder="1" applyFont="1"/>
    <xf borderId="4" fillId="0" fontId="1" numFmtId="0" xfId="0" applyBorder="1" applyFont="1"/>
    <xf borderId="4" fillId="0" fontId="1" numFmtId="3" xfId="0" applyBorder="1" applyFont="1" applyNumberFormat="1"/>
    <xf borderId="5" fillId="0" fontId="4" numFmtId="3" xfId="0" applyAlignment="1" applyBorder="1" applyFont="1" applyNumberFormat="1">
      <alignment horizontal="right"/>
    </xf>
    <xf borderId="0" fillId="0" fontId="6" numFmtId="9" xfId="0" applyAlignment="1" applyFont="1" applyNumberFormat="1">
      <alignment shrinkToFit="0" wrapText="0"/>
    </xf>
    <xf borderId="7" fillId="0" fontId="4" numFmtId="9" xfId="0" applyBorder="1" applyFont="1" applyNumberFormat="1"/>
    <xf borderId="8" fillId="0" fontId="4" numFmtId="0" xfId="0" applyBorder="1" applyFont="1"/>
    <xf borderId="7" fillId="0" fontId="1" numFmtId="3" xfId="0" applyBorder="1" applyFont="1" applyNumberFormat="1"/>
    <xf borderId="6" fillId="0" fontId="4" numFmtId="3" xfId="0" applyAlignment="1" applyBorder="1" applyFont="1" applyNumberFormat="1">
      <alignment horizontal="right"/>
    </xf>
    <xf borderId="6" fillId="0" fontId="1" numFmtId="3" xfId="0" applyBorder="1" applyFont="1" applyNumberFormat="1"/>
    <xf borderId="8" fillId="0" fontId="1" numFmtId="0" xfId="0" applyBorder="1" applyFont="1"/>
    <xf borderId="6" fillId="2" fontId="4" numFmtId="3" xfId="0" applyBorder="1" applyFont="1" applyNumberFormat="1"/>
    <xf borderId="0" fillId="2" fontId="10" numFmtId="3" xfId="0" applyFont="1" applyNumberFormat="1"/>
    <xf borderId="0" fillId="2" fontId="8" numFmtId="3" xfId="0" applyFont="1" applyNumberFormat="1"/>
    <xf borderId="5" fillId="2" fontId="2" numFmtId="0" xfId="0" applyBorder="1" applyFont="1"/>
    <xf borderId="0" fillId="2" fontId="2" numFmtId="3" xfId="0" applyAlignment="1" applyFont="1" applyNumberFormat="1">
      <alignment horizontal="right"/>
    </xf>
    <xf borderId="0" fillId="2" fontId="11" numFmtId="0" xfId="0" applyAlignment="1" applyFont="1">
      <alignment vertical="bottom"/>
    </xf>
    <xf borderId="11" fillId="2" fontId="12" numFmtId="0" xfId="0" applyAlignment="1" applyBorder="1" applyFont="1">
      <alignment vertical="center"/>
    </xf>
    <xf borderId="12" fillId="0" fontId="12" numFmtId="0" xfId="0" applyAlignment="1" applyBorder="1" applyFont="1">
      <alignment horizontal="left" vertical="center"/>
    </xf>
    <xf borderId="0" fillId="5" fontId="12" numFmtId="3" xfId="0" applyAlignment="1" applyFill="1" applyFont="1" applyNumberFormat="1">
      <alignment horizontal="left" readingOrder="0" vertical="center"/>
    </xf>
    <xf borderId="0" fillId="0" fontId="12" numFmtId="0" xfId="0" applyAlignment="1" applyFont="1">
      <alignment horizontal="left" readingOrder="0" vertical="center"/>
    </xf>
    <xf borderId="11" fillId="0" fontId="12" numFmtId="3" xfId="0" applyAlignment="1" applyBorder="1" applyFont="1" applyNumberFormat="1">
      <alignment horizontal="left" vertical="center"/>
    </xf>
    <xf borderId="0" fillId="0" fontId="12" numFmtId="0" xfId="0" applyAlignment="1" applyFont="1">
      <alignment readingOrder="0" vertical="center"/>
    </xf>
    <xf borderId="0" fillId="0" fontId="13" numFmtId="0" xfId="0" applyAlignment="1" applyFont="1">
      <alignment readingOrder="0" vertical="center"/>
    </xf>
    <xf borderId="0" fillId="2" fontId="13" numFmtId="3" xfId="0" applyAlignment="1" applyFont="1" applyNumberFormat="1">
      <alignment horizontal="left" readingOrder="0" vertical="center"/>
    </xf>
    <xf borderId="0" fillId="6" fontId="12" numFmtId="0" xfId="0" applyAlignment="1" applyFill="1" applyFont="1">
      <alignment horizontal="left" readingOrder="0" shrinkToFit="0" vertical="center" wrapText="0"/>
    </xf>
    <xf borderId="0" fillId="6" fontId="12" numFmtId="49" xfId="0" applyAlignment="1" applyFont="1" applyNumberFormat="1">
      <alignment horizontal="left" readingOrder="0" shrinkToFit="0" vertical="center" wrapText="0"/>
    </xf>
    <xf borderId="0" fillId="0" fontId="14" numFmtId="0" xfId="0" applyAlignment="1" applyFont="1">
      <alignment vertical="center"/>
    </xf>
    <xf borderId="0" fillId="0" fontId="12" numFmtId="3" xfId="0" applyAlignment="1" applyFont="1" applyNumberFormat="1">
      <alignment horizontal="left" readingOrder="0" vertical="center"/>
    </xf>
    <xf borderId="0" fillId="0" fontId="12" numFmtId="3" xfId="0" applyAlignment="1" applyFont="1" applyNumberFormat="1">
      <alignment readingOrder="0" vertical="center"/>
    </xf>
    <xf borderId="0" fillId="0" fontId="12" numFmtId="0" xfId="0" applyAlignment="1" applyFont="1">
      <alignment readingOrder="0" shrinkToFit="0" vertical="center" wrapText="0"/>
    </xf>
    <xf borderId="0" fillId="0" fontId="12" numFmtId="3" xfId="0" applyAlignment="1" applyFont="1" applyNumberFormat="1">
      <alignment horizontal="left" readingOrder="0" shrinkToFit="0" vertical="center" wrapText="0"/>
    </xf>
    <xf borderId="0" fillId="0" fontId="12" numFmtId="0" xfId="0" applyAlignment="1" applyFont="1">
      <alignment horizontal="left" readingOrder="0" shrinkToFit="0" vertical="center" wrapText="0"/>
    </xf>
    <xf borderId="0" fillId="0" fontId="12" numFmtId="0" xfId="0" applyAlignment="1" applyFont="1">
      <alignment horizontal="left" shrinkToFit="0" vertical="center" wrapText="0"/>
    </xf>
    <xf borderId="0" fillId="0" fontId="12" numFmtId="0" xfId="0" applyAlignment="1" applyFont="1">
      <alignment horizontal="left" shrinkToFit="0" vertical="center" wrapText="0"/>
    </xf>
    <xf borderId="0" fillId="0" fontId="12" numFmtId="0" xfId="0" applyAlignment="1" applyFont="1">
      <alignment horizontal="left" vertical="center"/>
    </xf>
    <xf borderId="0" fillId="0" fontId="12" numFmtId="0" xfId="0" applyAlignment="1" applyFont="1">
      <alignment horizontal="center" vertical="center"/>
    </xf>
    <xf borderId="11" fillId="0" fontId="12" numFmtId="3" xfId="0" applyAlignment="1" applyBorder="1" applyFont="1" applyNumberFormat="1">
      <alignment vertical="center"/>
    </xf>
    <xf borderId="0" fillId="5" fontId="12" numFmtId="0" xfId="0" applyAlignment="1" applyFont="1">
      <alignment horizontal="left" readingOrder="0" vertical="center"/>
    </xf>
    <xf borderId="0" fillId="0" fontId="12" numFmtId="0" xfId="0" applyAlignment="1" applyFont="1">
      <alignment horizontal="left" readingOrder="0" shrinkToFit="0" vertical="center" wrapText="0"/>
    </xf>
    <xf borderId="11" fillId="2" fontId="12" numFmtId="3" xfId="0" applyAlignment="1" applyBorder="1" applyFont="1" applyNumberFormat="1">
      <alignment horizontal="left" vertical="center"/>
    </xf>
    <xf borderId="0" fillId="2" fontId="12" numFmtId="3" xfId="0" applyAlignment="1" applyFont="1" applyNumberFormat="1">
      <alignment horizontal="left" readingOrder="0" vertical="center"/>
    </xf>
    <xf borderId="0" fillId="2" fontId="12" numFmtId="0" xfId="0" applyAlignment="1" applyFont="1">
      <alignment horizontal="left" readingOrder="0" shrinkToFit="0" vertical="center" wrapText="0"/>
    </xf>
    <xf borderId="0" fillId="2" fontId="12" numFmtId="0" xfId="0" applyAlignment="1" applyFont="1">
      <alignment horizontal="left" readingOrder="0" shrinkToFit="0" vertical="center" wrapText="0"/>
    </xf>
    <xf borderId="0" fillId="2" fontId="12" numFmtId="0" xfId="0" applyAlignment="1" applyFont="1">
      <alignment horizontal="left" shrinkToFit="0" vertical="center" wrapText="0"/>
    </xf>
    <xf borderId="0" fillId="2" fontId="12" numFmtId="3" xfId="0" applyAlignment="1" applyFont="1" applyNumberFormat="1">
      <alignment horizontal="left" vertical="center"/>
    </xf>
    <xf borderId="0" fillId="2" fontId="12" numFmtId="3" xfId="0" applyAlignment="1" applyFont="1" applyNumberFormat="1">
      <alignment readingOrder="0" vertical="center"/>
    </xf>
    <xf borderId="11" fillId="0" fontId="12" numFmtId="3" xfId="0" applyAlignment="1" applyBorder="1" applyFont="1" applyNumberFormat="1">
      <alignment readingOrder="0" vertical="center"/>
    </xf>
    <xf borderId="0" fillId="0" fontId="12" numFmtId="165" xfId="0" applyAlignment="1" applyFont="1" applyNumberFormat="1">
      <alignment horizontal="left" readingOrder="0" vertical="center"/>
    </xf>
    <xf borderId="0" fillId="0" fontId="12" numFmtId="1" xfId="0" applyAlignment="1" applyFont="1" applyNumberFormat="1">
      <alignment horizontal="left" readingOrder="0" shrinkToFit="0" vertical="center" wrapText="0"/>
    </xf>
    <xf borderId="0" fillId="0" fontId="12" numFmtId="165" xfId="0" applyAlignment="1" applyFont="1" applyNumberFormat="1">
      <alignment vertical="center"/>
    </xf>
    <xf borderId="0" fillId="2" fontId="12" numFmtId="0" xfId="0" applyAlignment="1" applyFont="1">
      <alignment horizontal="left" readingOrder="0" shrinkToFit="0" vertical="center" wrapText="0"/>
    </xf>
    <xf borderId="0" fillId="2" fontId="12" numFmtId="0" xfId="0" applyAlignment="1" applyFont="1">
      <alignment horizontal="left" shrinkToFit="0" vertical="center" wrapText="0"/>
    </xf>
    <xf borderId="0" fillId="2" fontId="12" numFmtId="0" xfId="0" applyAlignment="1" applyFont="1">
      <alignment horizontal="left" vertical="center"/>
    </xf>
    <xf borderId="0" fillId="2" fontId="12" numFmtId="0" xfId="0" applyAlignment="1" applyFont="1">
      <alignment vertical="center"/>
    </xf>
    <xf borderId="0" fillId="2" fontId="12" numFmtId="0" xfId="0" applyAlignment="1" applyFont="1">
      <alignment readingOrder="0" shrinkToFit="0" vertical="center" wrapText="0"/>
    </xf>
    <xf borderId="0" fillId="2" fontId="12" numFmtId="0" xfId="0" applyAlignment="1" applyFont="1">
      <alignment horizontal="left" readingOrder="0" shrinkToFit="0" vertical="center" wrapText="0"/>
    </xf>
    <xf borderId="13" fillId="7" fontId="15" numFmtId="0" xfId="0" applyAlignment="1" applyBorder="1" applyFill="1" applyFont="1">
      <alignment horizontal="center" readingOrder="0" vertical="center"/>
    </xf>
    <xf borderId="14" fillId="7" fontId="15" numFmtId="0" xfId="0" applyAlignment="1" applyBorder="1" applyFont="1">
      <alignment horizontal="center" vertical="center"/>
    </xf>
    <xf borderId="14" fillId="7" fontId="15" numFmtId="0" xfId="0" applyAlignment="1" applyBorder="1" applyFont="1">
      <alignment horizontal="center" readingOrder="0" vertical="center"/>
    </xf>
    <xf borderId="15" fillId="7" fontId="15" numFmtId="0" xfId="0" applyAlignment="1" applyBorder="1" applyFont="1">
      <alignment horizontal="center" readingOrder="0" vertical="center"/>
    </xf>
    <xf borderId="0" fillId="7" fontId="15" numFmtId="0" xfId="0" applyAlignment="1" applyFont="1">
      <alignment horizontal="center" readingOrder="0" vertical="center"/>
    </xf>
    <xf borderId="0" fillId="2" fontId="12" numFmtId="0" xfId="0" applyAlignment="1" applyFont="1">
      <alignment horizontal="left" readingOrder="0" vertical="center"/>
    </xf>
    <xf borderId="0" fillId="2" fontId="12" numFmtId="166" xfId="0" applyAlignment="1" applyFont="1" applyNumberFormat="1">
      <alignment horizontal="left" readingOrder="0" vertical="center"/>
    </xf>
    <xf borderId="0" fillId="2" fontId="12" numFmtId="0" xfId="0" applyAlignment="1" applyFont="1">
      <alignment horizontal="center" readingOrder="0" vertical="center"/>
    </xf>
    <xf borderId="0" fillId="6" fontId="12" numFmtId="0" xfId="0" applyAlignment="1" applyFont="1">
      <alignment horizontal="left" readingOrder="0" vertical="center"/>
    </xf>
    <xf borderId="0" fillId="6" fontId="12" numFmtId="3" xfId="0" applyAlignment="1" applyFont="1" applyNumberFormat="1">
      <alignment horizontal="left" readingOrder="0" vertical="center"/>
    </xf>
    <xf borderId="0" fillId="6" fontId="12" numFmtId="0" xfId="0" applyAlignment="1" applyFont="1">
      <alignment horizontal="left" readingOrder="0" shrinkToFit="0" vertical="center" wrapText="0"/>
    </xf>
    <xf borderId="0" fillId="6" fontId="12" numFmtId="167" xfId="0" applyAlignment="1" applyFont="1" applyNumberFormat="1">
      <alignment horizontal="left" readingOrder="0" vertical="center"/>
    </xf>
    <xf borderId="0" fillId="6" fontId="16" numFmtId="0" xfId="0" applyAlignment="1" applyFont="1">
      <alignment horizontal="left" readingOrder="0" vertical="center"/>
    </xf>
    <xf borderId="0" fillId="6" fontId="12" numFmtId="0" xfId="0" applyAlignment="1" applyFont="1">
      <alignment readingOrder="0" vertical="center"/>
    </xf>
    <xf borderId="0" fillId="6" fontId="12" numFmtId="0" xfId="0" applyAlignment="1" applyFont="1">
      <alignment horizontal="center" readingOrder="0" vertical="center"/>
    </xf>
    <xf borderId="0" fillId="2" fontId="12" numFmtId="167" xfId="0" applyAlignment="1" applyFont="1" applyNumberFormat="1">
      <alignment horizontal="left" readingOrder="0" vertical="center"/>
    </xf>
    <xf borderId="0" fillId="2" fontId="12" numFmtId="0" xfId="0" applyAlignment="1" applyFont="1">
      <alignment readingOrder="0" vertical="center"/>
    </xf>
    <xf borderId="16" fillId="6" fontId="12" numFmtId="0" xfId="0" applyAlignment="1" applyBorder="1" applyFont="1">
      <alignment horizontal="left" readingOrder="0" vertical="center"/>
    </xf>
    <xf borderId="16" fillId="6" fontId="12" numFmtId="3" xfId="0" applyAlignment="1" applyBorder="1" applyFont="1" applyNumberFormat="1">
      <alignment horizontal="left" readingOrder="0" vertical="center"/>
    </xf>
    <xf borderId="16" fillId="6" fontId="12" numFmtId="0" xfId="0" applyAlignment="1" applyBorder="1" applyFont="1">
      <alignment horizontal="left" readingOrder="0" shrinkToFit="0" vertical="center" wrapText="0"/>
    </xf>
    <xf borderId="16" fillId="6" fontId="12" numFmtId="167" xfId="0" applyAlignment="1" applyBorder="1" applyFont="1" applyNumberFormat="1">
      <alignment horizontal="left" readingOrder="0" vertical="center"/>
    </xf>
    <xf borderId="16" fillId="6" fontId="17" numFmtId="0" xfId="0" applyAlignment="1" applyBorder="1" applyFont="1">
      <alignment horizontal="left" readingOrder="0" vertical="center"/>
    </xf>
    <xf borderId="17" fillId="6" fontId="12" numFmtId="3" xfId="0" applyAlignment="1" applyBorder="1" applyFont="1" applyNumberFormat="1">
      <alignment horizontal="left" readingOrder="0" vertical="center"/>
    </xf>
    <xf borderId="0" fillId="2" fontId="12" numFmtId="49" xfId="0" applyAlignment="1" applyFont="1" applyNumberFormat="1">
      <alignment horizontal="left" readingOrder="0" shrinkToFit="0" vertical="center" wrapText="0"/>
    </xf>
    <xf borderId="0" fillId="6" fontId="12" numFmtId="0" xfId="0" applyAlignment="1" applyFont="1">
      <alignment horizontal="left" shrinkToFit="0" vertical="center" wrapText="0"/>
    </xf>
    <xf borderId="16" fillId="6" fontId="12" numFmtId="0" xfId="0" applyAlignment="1" applyBorder="1" applyFont="1">
      <alignment horizontal="left" shrinkToFit="0" vertical="center" wrapText="0"/>
    </xf>
    <xf borderId="0" fillId="6" fontId="12" numFmtId="0" xfId="0" applyAlignment="1" applyFont="1">
      <alignment horizontal="left" vertical="center"/>
    </xf>
    <xf borderId="0" fillId="6" fontId="12" numFmtId="3" xfId="0" applyAlignment="1" applyFont="1" applyNumberFormat="1">
      <alignment horizontal="left" vertical="center"/>
    </xf>
    <xf borderId="0" fillId="6" fontId="12" numFmtId="0" xfId="0" applyAlignment="1" applyFont="1">
      <alignment horizontal="left" shrinkToFit="0" vertical="center" wrapText="0"/>
    </xf>
    <xf borderId="0" fillId="6" fontId="12" numFmtId="0" xfId="0" applyAlignment="1" applyFont="1">
      <alignment horizontal="center" vertical="center"/>
    </xf>
    <xf borderId="17" fillId="2" fontId="12" numFmtId="0" xfId="0" applyAlignment="1" applyBorder="1" applyFont="1">
      <alignment horizontal="left" readingOrder="0" vertical="center"/>
    </xf>
    <xf borderId="17" fillId="2" fontId="12" numFmtId="3" xfId="0" applyAlignment="1" applyBorder="1" applyFont="1" applyNumberFormat="1">
      <alignment horizontal="left" readingOrder="0" vertical="center"/>
    </xf>
    <xf borderId="17" fillId="2" fontId="12" numFmtId="0" xfId="0" applyAlignment="1" applyBorder="1" applyFont="1">
      <alignment horizontal="left" readingOrder="0" shrinkToFit="0" vertical="center" wrapText="0"/>
    </xf>
    <xf borderId="17" fillId="2" fontId="12" numFmtId="167" xfId="0" applyAlignment="1" applyBorder="1" applyFont="1" applyNumberFormat="1">
      <alignment horizontal="left" readingOrder="0" vertical="center"/>
    </xf>
    <xf borderId="17" fillId="2" fontId="18" numFmtId="0" xfId="0" applyAlignment="1" applyBorder="1" applyFont="1">
      <alignment horizontal="left" readingOrder="0" vertical="center"/>
    </xf>
    <xf borderId="17" fillId="2" fontId="12" numFmtId="0" xfId="0" applyAlignment="1" applyBorder="1" applyFont="1">
      <alignment horizontal="left" shrinkToFit="0" vertical="center" wrapText="0"/>
    </xf>
    <xf borderId="0" fillId="2" fontId="18" numFmtId="0" xfId="0" applyAlignment="1" applyFont="1">
      <alignment horizontal="left" readingOrder="0" vertical="center"/>
    </xf>
    <xf borderId="0" fillId="6" fontId="12" numFmtId="165" xfId="0" applyAlignment="1" applyFont="1" applyNumberFormat="1">
      <alignment horizontal="left" readingOrder="0" vertical="center"/>
    </xf>
    <xf borderId="0" fillId="2" fontId="12" numFmtId="165" xfId="0" applyAlignment="1" applyFont="1" applyNumberFormat="1">
      <alignment horizontal="left" readingOrder="0" vertical="center"/>
    </xf>
    <xf borderId="16" fillId="2" fontId="12" numFmtId="0" xfId="0" applyAlignment="1" applyBorder="1" applyFont="1">
      <alignment horizontal="left" readingOrder="0" vertical="center"/>
    </xf>
    <xf borderId="16" fillId="2" fontId="12" numFmtId="3" xfId="0" applyAlignment="1" applyBorder="1" applyFont="1" applyNumberFormat="1">
      <alignment horizontal="left" readingOrder="0" vertical="center"/>
    </xf>
    <xf borderId="16" fillId="2" fontId="12" numFmtId="0" xfId="0" applyAlignment="1" applyBorder="1" applyFont="1">
      <alignment horizontal="left" readingOrder="0" shrinkToFit="0" vertical="center" wrapText="0"/>
    </xf>
    <xf borderId="16" fillId="2" fontId="12" numFmtId="167" xfId="0" applyAlignment="1" applyBorder="1" applyFont="1" applyNumberFormat="1">
      <alignment horizontal="left" readingOrder="0" vertical="center"/>
    </xf>
    <xf borderId="16" fillId="2" fontId="12" numFmtId="0" xfId="0" applyAlignment="1" applyBorder="1" applyFont="1">
      <alignment readingOrder="0" vertical="center"/>
    </xf>
    <xf borderId="16" fillId="2" fontId="12" numFmtId="0" xfId="0" applyAlignment="1" applyBorder="1" applyFont="1">
      <alignment horizontal="left" shrinkToFit="0" vertical="center" wrapText="0"/>
    </xf>
    <xf borderId="17" fillId="2" fontId="12" numFmtId="168" xfId="0" applyAlignment="1" applyBorder="1" applyFont="1" applyNumberFormat="1">
      <alignment horizontal="left" readingOrder="0" vertical="center"/>
    </xf>
    <xf borderId="17" fillId="2" fontId="12" numFmtId="0" xfId="0" applyAlignment="1" applyBorder="1" applyFont="1">
      <alignment readingOrder="0" vertical="center"/>
    </xf>
    <xf borderId="17" fillId="2" fontId="12" numFmtId="0" xfId="0" applyAlignment="1" applyBorder="1" applyFont="1">
      <alignment horizontal="center" readingOrder="0" vertical="center"/>
    </xf>
    <xf borderId="0" fillId="2" fontId="12" numFmtId="0" xfId="0" applyAlignment="1" applyFont="1">
      <alignment horizontal="left" vertical="center"/>
    </xf>
    <xf borderId="0" fillId="2" fontId="12" numFmtId="0" xfId="0" applyAlignment="1" applyFont="1">
      <alignment horizontal="center" vertical="center"/>
    </xf>
    <xf borderId="0" fillId="6" fontId="18" numFmtId="165" xfId="0" applyAlignment="1" applyFont="1" applyNumberFormat="1">
      <alignment horizontal="left" readingOrder="0" vertical="center"/>
    </xf>
    <xf borderId="16" fillId="2" fontId="12" numFmtId="165" xfId="0" applyAlignment="1" applyBorder="1" applyFont="1" applyNumberFormat="1">
      <alignment horizontal="left" readingOrder="0" vertical="center"/>
    </xf>
    <xf borderId="16" fillId="2" fontId="12" numFmtId="0" xfId="0" applyAlignment="1" applyBorder="1" applyFont="1">
      <alignment horizontal="center" readingOrder="0" vertical="center"/>
    </xf>
    <xf borderId="0" fillId="6" fontId="12" numFmtId="49" xfId="0" applyAlignment="1" applyFont="1" applyNumberFormat="1">
      <alignment horizontal="left" readingOrder="0" shrinkToFit="0" vertical="center" wrapText="0"/>
    </xf>
    <xf borderId="16" fillId="6" fontId="12" numFmtId="165" xfId="0" applyAlignment="1" applyBorder="1" applyFont="1" applyNumberFormat="1">
      <alignment horizontal="left" readingOrder="0" vertical="center"/>
    </xf>
    <xf borderId="16" fillId="6" fontId="12" numFmtId="0" xfId="0" applyAlignment="1" applyBorder="1" applyFont="1">
      <alignment readingOrder="0" vertical="center"/>
    </xf>
    <xf borderId="0" fillId="2" fontId="12" numFmtId="169" xfId="0" applyAlignment="1" applyFont="1" applyNumberFormat="1">
      <alignment horizontal="left" readingOrder="0" shrinkToFit="0" vertical="center" wrapText="0"/>
    </xf>
    <xf borderId="0" fillId="6" fontId="12" numFmtId="169" xfId="0" applyAlignment="1" applyFont="1" applyNumberFormat="1">
      <alignment horizontal="left" readingOrder="0" shrinkToFit="0" vertical="center" wrapText="0"/>
    </xf>
    <xf borderId="16" fillId="2" fontId="12" numFmtId="169" xfId="0" applyAlignment="1" applyBorder="1" applyFont="1" applyNumberFormat="1">
      <alignment horizontal="left" readingOrder="0" shrinkToFit="0" vertical="center" wrapText="0"/>
    </xf>
    <xf borderId="16" fillId="2" fontId="16" numFmtId="0" xfId="0" applyAlignment="1" applyBorder="1" applyFont="1">
      <alignment horizontal="left" readingOrder="0" vertical="center"/>
    </xf>
    <xf borderId="0" fillId="6" fontId="12" numFmtId="0" xfId="0" applyAlignment="1" applyFont="1">
      <alignment vertical="center"/>
    </xf>
    <xf borderId="0" fillId="2" fontId="12" numFmtId="0" xfId="0" applyAlignment="1" applyFont="1">
      <alignment vertical="center"/>
    </xf>
    <xf borderId="16" fillId="6" fontId="12" numFmtId="49" xfId="0" applyAlignment="1" applyBorder="1" applyFont="1" applyNumberFormat="1">
      <alignment horizontal="left" readingOrder="0" shrinkToFit="0" vertical="center" wrapText="0"/>
    </xf>
    <xf borderId="16" fillId="6" fontId="12" numFmtId="0" xfId="0" applyAlignment="1" applyBorder="1" applyFont="1">
      <alignment horizontal="center" readingOrder="0" vertical="center"/>
    </xf>
    <xf quotePrefix="1" borderId="0" fillId="2" fontId="12" numFmtId="0" xfId="0" applyAlignment="1" applyFont="1">
      <alignment horizontal="left" readingOrder="0" vertical="center"/>
    </xf>
    <xf borderId="16" fillId="2" fontId="12" numFmtId="0" xfId="0" applyAlignment="1" applyBorder="1" applyFont="1">
      <alignment vertical="center"/>
    </xf>
    <xf borderId="0" fillId="6" fontId="12" numFmtId="0" xfId="0" applyAlignment="1" applyFont="1">
      <alignment horizontal="left" vertical="center"/>
    </xf>
    <xf borderId="0" fillId="6" fontId="12" numFmtId="0" xfId="0" applyAlignment="1" applyFont="1">
      <alignment horizontal="left" readingOrder="0" vertical="center"/>
    </xf>
    <xf borderId="0" fillId="2" fontId="12" numFmtId="0" xfId="0" applyAlignment="1" applyFont="1">
      <alignment horizontal="left" vertical="center"/>
    </xf>
    <xf borderId="0" fillId="2" fontId="12" numFmtId="0" xfId="0" applyAlignment="1" applyFont="1">
      <alignment horizontal="left" readingOrder="0" vertical="center"/>
    </xf>
    <xf borderId="16" fillId="2" fontId="12" numFmtId="0" xfId="0" applyAlignment="1" applyBorder="1" applyFont="1">
      <alignment horizontal="left" vertical="center"/>
    </xf>
    <xf borderId="0" fillId="6" fontId="12" numFmtId="166" xfId="0" applyAlignment="1" applyFont="1" applyNumberFormat="1">
      <alignment horizontal="left" readingOrder="0" vertical="center"/>
    </xf>
    <xf borderId="16" fillId="2" fontId="12" numFmtId="166" xfId="0" applyAlignment="1" applyBorder="1" applyFont="1" applyNumberFormat="1">
      <alignment horizontal="left" readingOrder="0" vertical="center"/>
    </xf>
    <xf borderId="0" fillId="6" fontId="19" numFmtId="0" xfId="0" applyAlignment="1" applyFont="1">
      <alignment horizontal="left" readingOrder="0" vertical="center"/>
    </xf>
    <xf borderId="0" fillId="2" fontId="16" numFmtId="0" xfId="0" applyAlignment="1" applyFont="1">
      <alignment horizontal="left" readingOrder="0" vertical="center"/>
    </xf>
    <xf borderId="16" fillId="6" fontId="12" numFmtId="166" xfId="0" applyAlignment="1" applyBorder="1" applyFont="1" applyNumberFormat="1">
      <alignment horizontal="left" readingOrder="0" vertical="center"/>
    </xf>
    <xf borderId="16" fillId="6" fontId="12" numFmtId="169" xfId="0" applyAlignment="1" applyBorder="1" applyFont="1" applyNumberFormat="1">
      <alignment horizontal="left" readingOrder="0" shrinkToFit="0" vertical="center" wrapText="0"/>
    </xf>
    <xf borderId="0" fillId="8" fontId="12" numFmtId="0" xfId="0" applyAlignment="1" applyFill="1" applyFont="1">
      <alignment horizontal="left" readingOrder="0" vertical="center"/>
    </xf>
    <xf borderId="0" fillId="8" fontId="12" numFmtId="3" xfId="0" applyAlignment="1" applyFont="1" applyNumberFormat="1">
      <alignment horizontal="left" readingOrder="0" vertical="center"/>
    </xf>
    <xf borderId="0" fillId="8" fontId="12" numFmtId="0" xfId="0" applyAlignment="1" applyFont="1">
      <alignment horizontal="left" readingOrder="0" shrinkToFit="0" vertical="center" wrapText="0"/>
    </xf>
    <xf borderId="0" fillId="8" fontId="12" numFmtId="167" xfId="0" applyAlignment="1" applyFont="1" applyNumberFormat="1">
      <alignment horizontal="left" readingOrder="0" vertical="center"/>
    </xf>
    <xf borderId="0" fillId="8" fontId="16" numFmtId="0" xfId="0" applyAlignment="1" applyFont="1">
      <alignment horizontal="left" readingOrder="0" vertical="center"/>
    </xf>
    <xf borderId="0" fillId="8" fontId="12" numFmtId="0" xfId="0" applyAlignment="1" applyFont="1">
      <alignment readingOrder="0" vertical="center"/>
    </xf>
    <xf borderId="0" fillId="8" fontId="12" numFmtId="0" xfId="0" applyAlignment="1" applyFont="1">
      <alignment horizontal="left" shrinkToFit="0" vertical="center" wrapText="0"/>
    </xf>
    <xf borderId="0" fillId="8" fontId="12" numFmtId="49" xfId="0" applyAlignment="1" applyFont="1" applyNumberFormat="1">
      <alignment horizontal="left" readingOrder="0" shrinkToFit="0" vertical="center" wrapText="0"/>
    </xf>
    <xf borderId="0" fillId="8" fontId="12" numFmtId="0" xfId="0" applyAlignment="1" applyFont="1">
      <alignment horizontal="center" readingOrder="0" vertical="center"/>
    </xf>
    <xf borderId="0" fillId="8" fontId="12" numFmtId="166" xfId="0" applyAlignment="1" applyFont="1" applyNumberFormat="1">
      <alignment horizontal="left" readingOrder="0" vertical="center"/>
    </xf>
    <xf borderId="16" fillId="8" fontId="12" numFmtId="0" xfId="0" applyAlignment="1" applyBorder="1" applyFont="1">
      <alignment horizontal="left" readingOrder="0" vertical="center"/>
    </xf>
    <xf borderId="16" fillId="8" fontId="12" numFmtId="3" xfId="0" applyAlignment="1" applyBorder="1" applyFont="1" applyNumberFormat="1">
      <alignment horizontal="left" readingOrder="0" vertical="center"/>
    </xf>
    <xf borderId="16" fillId="8" fontId="12" numFmtId="0" xfId="0" applyAlignment="1" applyBorder="1" applyFont="1">
      <alignment horizontal="left" readingOrder="0" shrinkToFit="0" vertical="center" wrapText="0"/>
    </xf>
    <xf borderId="16" fillId="8" fontId="12" numFmtId="167" xfId="0" applyAlignment="1" applyBorder="1" applyFont="1" applyNumberFormat="1">
      <alignment horizontal="left" readingOrder="0" vertical="center"/>
    </xf>
    <xf borderId="16" fillId="8" fontId="16" numFmtId="0" xfId="0" applyAlignment="1" applyBorder="1" applyFont="1">
      <alignment horizontal="left" readingOrder="0" vertical="center"/>
    </xf>
    <xf borderId="16" fillId="8" fontId="12" numFmtId="0" xfId="0" applyAlignment="1" applyBorder="1" applyFont="1">
      <alignment horizontal="left" shrinkToFit="0" vertical="center" wrapText="0"/>
    </xf>
    <xf borderId="17" fillId="6" fontId="12" numFmtId="0" xfId="0" applyAlignment="1" applyBorder="1" applyFont="1">
      <alignment horizontal="left" readingOrder="0" vertical="center"/>
    </xf>
    <xf borderId="17" fillId="6" fontId="12" numFmtId="0" xfId="0" applyAlignment="1" applyBorder="1" applyFont="1">
      <alignment horizontal="left" readingOrder="0" shrinkToFit="0" vertical="center" wrapText="0"/>
    </xf>
    <xf borderId="17" fillId="6" fontId="12" numFmtId="167" xfId="0" applyAlignment="1" applyBorder="1" applyFont="1" applyNumberFormat="1">
      <alignment horizontal="left" readingOrder="0" vertical="center"/>
    </xf>
    <xf borderId="17" fillId="6" fontId="12" numFmtId="0" xfId="0" applyAlignment="1" applyBorder="1" applyFont="1">
      <alignment readingOrder="0" vertical="center"/>
    </xf>
    <xf borderId="17" fillId="6" fontId="16" numFmtId="0" xfId="0" applyAlignment="1" applyBorder="1" applyFont="1">
      <alignment horizontal="left" readingOrder="0" vertical="center"/>
    </xf>
    <xf quotePrefix="1" borderId="16" fillId="6" fontId="12" numFmtId="0" xfId="0" applyAlignment="1" applyBorder="1" applyFont="1">
      <alignment horizontal="left" readingOrder="0" vertical="center"/>
    </xf>
    <xf borderId="16" fillId="2" fontId="12" numFmtId="49" xfId="0" applyAlignment="1" applyBorder="1" applyFont="1" applyNumberFormat="1">
      <alignment horizontal="left" readingOrder="0" shrinkToFit="0" vertical="center" wrapText="0"/>
    </xf>
    <xf borderId="0" fillId="9" fontId="12" numFmtId="0" xfId="0" applyAlignment="1" applyFill="1" applyFont="1">
      <alignment horizontal="left" readingOrder="0" vertical="center"/>
    </xf>
    <xf borderId="0" fillId="9" fontId="12" numFmtId="3" xfId="0" applyAlignment="1" applyFont="1" applyNumberFormat="1">
      <alignment horizontal="left" readingOrder="0" vertical="center"/>
    </xf>
    <xf borderId="0" fillId="9" fontId="12" numFmtId="0" xfId="0" applyAlignment="1" applyFont="1">
      <alignment horizontal="left" readingOrder="0" shrinkToFit="0" vertical="center" wrapText="0"/>
    </xf>
    <xf borderId="0" fillId="9" fontId="12" numFmtId="167" xfId="0" applyAlignment="1" applyFont="1" applyNumberFormat="1">
      <alignment horizontal="left" readingOrder="0" vertical="center"/>
    </xf>
    <xf borderId="0" fillId="9" fontId="12" numFmtId="0" xfId="0" applyAlignment="1" applyFont="1">
      <alignment vertical="center"/>
    </xf>
    <xf borderId="16" fillId="9" fontId="12" numFmtId="0" xfId="0" applyAlignment="1" applyBorder="1" applyFont="1">
      <alignment horizontal="left" readingOrder="0" vertical="center"/>
    </xf>
    <xf borderId="16" fillId="9" fontId="12" numFmtId="3" xfId="0" applyAlignment="1" applyBorder="1" applyFont="1" applyNumberFormat="1">
      <alignment horizontal="left" readingOrder="0" vertical="center"/>
    </xf>
    <xf borderId="16" fillId="9" fontId="12" numFmtId="0" xfId="0" applyAlignment="1" applyBorder="1" applyFont="1">
      <alignment horizontal="left" readingOrder="0" shrinkToFit="0" vertical="center" wrapText="0"/>
    </xf>
    <xf borderId="16" fillId="9" fontId="12" numFmtId="167" xfId="0" applyAlignment="1" applyBorder="1" applyFont="1" applyNumberFormat="1">
      <alignment horizontal="left" readingOrder="0" vertical="center"/>
    </xf>
    <xf borderId="18" fillId="6" fontId="12" numFmtId="167" xfId="0" applyAlignment="1" applyBorder="1" applyFont="1" applyNumberFormat="1">
      <alignment horizontal="left" readingOrder="0" vertical="center"/>
    </xf>
    <xf borderId="18" fillId="2" fontId="12" numFmtId="0" xfId="0" applyAlignment="1" applyBorder="1" applyFont="1">
      <alignment horizontal="left" readingOrder="0" vertical="center"/>
    </xf>
    <xf borderId="18" fillId="2" fontId="12" numFmtId="3" xfId="0" applyAlignment="1" applyBorder="1" applyFont="1" applyNumberFormat="1">
      <alignment horizontal="left" readingOrder="0" vertical="center"/>
    </xf>
    <xf borderId="18" fillId="2" fontId="12" numFmtId="0" xfId="0" applyAlignment="1" applyBorder="1" applyFont="1">
      <alignment horizontal="left" readingOrder="0" shrinkToFit="0" vertical="center" wrapText="0"/>
    </xf>
    <xf borderId="18" fillId="2" fontId="12" numFmtId="167" xfId="0" applyAlignment="1" applyBorder="1" applyFont="1" applyNumberFormat="1">
      <alignment horizontal="left" readingOrder="0" vertical="center"/>
    </xf>
    <xf borderId="18" fillId="2" fontId="12" numFmtId="0" xfId="0" applyAlignment="1" applyBorder="1" applyFont="1">
      <alignment readingOrder="0" vertical="center"/>
    </xf>
    <xf borderId="18" fillId="2" fontId="12" numFmtId="0" xfId="0" applyAlignment="1" applyBorder="1" applyFont="1">
      <alignment horizontal="left" shrinkToFit="0" vertical="center" wrapText="0"/>
    </xf>
    <xf borderId="18" fillId="2" fontId="12" numFmtId="0" xfId="0" applyAlignment="1" applyBorder="1" applyFont="1">
      <alignment horizontal="center" readingOrder="0" vertical="center"/>
    </xf>
    <xf borderId="17" fillId="6" fontId="12" numFmtId="0" xfId="0" applyAlignment="1" applyBorder="1" applyFont="1">
      <alignment horizontal="left" shrinkToFit="0" vertical="center" wrapText="0"/>
    </xf>
    <xf borderId="17" fillId="6" fontId="12" numFmtId="0" xfId="0" applyAlignment="1" applyBorder="1" applyFont="1">
      <alignment horizontal="center" readingOrder="0" vertical="center"/>
    </xf>
    <xf quotePrefix="1" borderId="16" fillId="2" fontId="12" numFmtId="0" xfId="0" applyAlignment="1" applyBorder="1" applyFont="1">
      <alignment horizontal="left" readingOrder="0" vertical="center"/>
    </xf>
    <xf borderId="16" fillId="9" fontId="12" numFmtId="0" xfId="0" applyAlignment="1" applyBorder="1" applyFont="1">
      <alignment vertical="center"/>
    </xf>
    <xf borderId="16" fillId="2" fontId="12" numFmtId="0" xfId="0" applyAlignment="1" applyBorder="1" applyFont="1">
      <alignment shrinkToFit="0" vertical="center" wrapText="0"/>
    </xf>
    <xf borderId="0" fillId="2" fontId="12" numFmtId="0" xfId="0" applyAlignment="1" applyFont="1">
      <alignment horizontal="left" shrinkToFit="0" vertical="center" wrapText="0"/>
    </xf>
    <xf borderId="16" fillId="2" fontId="12" numFmtId="0" xfId="0" applyAlignment="1" applyBorder="1" applyFont="1">
      <alignment horizontal="left" shrinkToFit="0" vertical="center" wrapText="0"/>
    </xf>
    <xf borderId="16" fillId="6" fontId="16" numFmtId="0" xfId="0" applyAlignment="1" applyBorder="1" applyFont="1">
      <alignment horizontal="left" readingOrder="0" vertical="center"/>
    </xf>
    <xf borderId="0" fillId="2" fontId="12" numFmtId="0" xfId="0" applyAlignment="1" applyFont="1">
      <alignment horizontal="center" readingOrder="0" vertical="center"/>
    </xf>
    <xf borderId="0" fillId="0" fontId="20" numFmtId="165" xfId="0" applyAlignment="1" applyFont="1" applyNumberFormat="1">
      <alignment horizontal="center" readingOrder="0" vertical="center"/>
    </xf>
    <xf borderId="19" fillId="2" fontId="21" numFmtId="0" xfId="0" applyAlignment="1" applyBorder="1" applyFont="1">
      <alignment horizontal="left" readingOrder="0" vertical="center"/>
    </xf>
    <xf borderId="20" fillId="2" fontId="21" numFmtId="3" xfId="0" applyAlignment="1" applyBorder="1" applyFont="1" applyNumberFormat="1">
      <alignment horizontal="left" readingOrder="0" vertical="center"/>
    </xf>
    <xf borderId="19" fillId="2" fontId="21" numFmtId="3" xfId="0" applyAlignment="1" applyBorder="1" applyFont="1" applyNumberFormat="1">
      <alignment horizontal="left" readingOrder="0" vertical="center"/>
    </xf>
    <xf borderId="21" fillId="2" fontId="21" numFmtId="3" xfId="0" applyAlignment="1" applyBorder="1" applyFont="1" applyNumberFormat="1">
      <alignment horizontal="left" readingOrder="0" vertical="center"/>
    </xf>
    <xf borderId="20" fillId="2" fontId="21" numFmtId="164" xfId="0" applyAlignment="1" applyBorder="1" applyFont="1" applyNumberFormat="1">
      <alignment horizontal="left" readingOrder="0" vertical="center"/>
    </xf>
    <xf borderId="0" fillId="2" fontId="21" numFmtId="0" xfId="0" applyAlignment="1" applyFont="1">
      <alignment horizontal="left" readingOrder="0" vertical="center"/>
    </xf>
    <xf borderId="0" fillId="2" fontId="22" numFmtId="0" xfId="0" applyAlignment="1" applyFont="1">
      <alignment horizontal="left" readingOrder="0" shrinkToFit="0" textRotation="0" vertical="center" wrapText="0"/>
    </xf>
    <xf borderId="12" fillId="2" fontId="23" numFmtId="0" xfId="0" applyAlignment="1" applyBorder="1" applyFont="1">
      <alignment horizontal="left" vertical="center"/>
    </xf>
    <xf borderId="11" fillId="2" fontId="23" numFmtId="0" xfId="0" applyAlignment="1" applyBorder="1" applyFont="1">
      <alignment horizontal="left" vertical="center"/>
    </xf>
    <xf borderId="12" fillId="2" fontId="24" numFmtId="3" xfId="0" applyAlignment="1" applyBorder="1" applyFont="1" applyNumberFormat="1">
      <alignment shrinkToFit="0" vertical="center" wrapText="0"/>
    </xf>
    <xf borderId="0" fillId="2" fontId="24" numFmtId="3" xfId="0" applyAlignment="1" applyFont="1" applyNumberFormat="1">
      <alignment horizontal="right" shrinkToFit="0" vertical="center" wrapText="0"/>
    </xf>
    <xf borderId="11" fillId="2" fontId="24" numFmtId="3" xfId="0" applyAlignment="1" applyBorder="1" applyFont="1" applyNumberFormat="1">
      <alignment horizontal="right" shrinkToFit="0" vertical="center" wrapText="0"/>
    </xf>
    <xf borderId="12" fillId="2" fontId="24" numFmtId="3" xfId="0" applyAlignment="1" applyBorder="1" applyFont="1" applyNumberFormat="1">
      <alignment readingOrder="0" shrinkToFit="0" vertical="center" wrapText="0"/>
    </xf>
    <xf borderId="12" fillId="2" fontId="23" numFmtId="3" xfId="0" applyAlignment="1" applyBorder="1" applyFont="1" applyNumberFormat="1">
      <alignment horizontal="left" readingOrder="0" shrinkToFit="0" vertical="center" wrapText="0"/>
    </xf>
    <xf borderId="0" fillId="2" fontId="24" numFmtId="3" xfId="0" applyAlignment="1" applyFont="1" applyNumberFormat="1">
      <alignment horizontal="right" readingOrder="0" shrinkToFit="0" vertical="center" wrapText="0"/>
    </xf>
    <xf borderId="12" fillId="3" fontId="23" numFmtId="3" xfId="0" applyAlignment="1" applyBorder="1" applyFont="1" applyNumberFormat="1">
      <alignment horizontal="left" readingOrder="0" shrinkToFit="0" vertical="center" wrapText="0"/>
    </xf>
    <xf borderId="11" fillId="2" fontId="24" numFmtId="3" xfId="0" applyAlignment="1" applyBorder="1" applyFont="1" applyNumberFormat="1">
      <alignment horizontal="right" readingOrder="0" shrinkToFit="0" vertical="center" wrapText="0"/>
    </xf>
    <xf borderId="0" fillId="2" fontId="23" numFmtId="3" xfId="0" applyAlignment="1" applyFont="1" applyNumberFormat="1">
      <alignment horizontal="right" readingOrder="0" shrinkToFit="0" vertical="center" wrapText="0"/>
    </xf>
    <xf borderId="11" fillId="2" fontId="23" numFmtId="3" xfId="0" applyAlignment="1" applyBorder="1" applyFont="1" applyNumberFormat="1">
      <alignment horizontal="right" readingOrder="0" shrinkToFit="0" vertical="center" wrapText="0"/>
    </xf>
    <xf borderId="0" fillId="2" fontId="23" numFmtId="0" xfId="0" applyAlignment="1" applyFont="1">
      <alignment horizontal="left" readingOrder="0" vertical="center"/>
    </xf>
    <xf borderId="12" fillId="2" fontId="23" numFmtId="0" xfId="0" applyAlignment="1" applyBorder="1" applyFont="1">
      <alignment horizontal="left" readingOrder="0" vertical="center"/>
    </xf>
    <xf borderId="11" fillId="3" fontId="24" numFmtId="3" xfId="0" applyAlignment="1" applyBorder="1" applyFont="1" applyNumberFormat="1">
      <alignment horizontal="right" shrinkToFit="0" vertical="center" wrapText="0"/>
    </xf>
    <xf borderId="12" fillId="2" fontId="23" numFmtId="0" xfId="0" applyAlignment="1" applyBorder="1" applyFont="1">
      <alignment horizontal="left" readingOrder="0" shrinkToFit="0" vertical="center" wrapText="0"/>
    </xf>
    <xf borderId="12" fillId="2" fontId="23" numFmtId="3" xfId="0" applyAlignment="1" applyBorder="1" applyFont="1" applyNumberFormat="1">
      <alignment horizontal="left" vertical="center"/>
    </xf>
    <xf borderId="0" fillId="2" fontId="23" numFmtId="3" xfId="0" applyAlignment="1" applyFont="1" applyNumberFormat="1">
      <alignment horizontal="right" readingOrder="0" vertical="center"/>
    </xf>
    <xf borderId="11" fillId="2" fontId="23" numFmtId="3" xfId="0" applyAlignment="1" applyBorder="1" applyFont="1" applyNumberFormat="1">
      <alignment horizontal="right" readingOrder="0" vertical="center"/>
    </xf>
    <xf borderId="0" fillId="2" fontId="23" numFmtId="3" xfId="0" applyAlignment="1" applyFont="1" applyNumberFormat="1">
      <alignment horizontal="right" vertical="center"/>
    </xf>
    <xf borderId="11" fillId="2" fontId="23" numFmtId="3" xfId="0" applyAlignment="1" applyBorder="1" applyFont="1" applyNumberFormat="1">
      <alignment horizontal="right" vertical="center"/>
    </xf>
    <xf borderId="11" fillId="2" fontId="23" numFmtId="0" xfId="0" applyAlignment="1" applyBorder="1" applyFont="1">
      <alignment horizontal="left" readingOrder="0" vertical="center"/>
    </xf>
    <xf borderId="12" fillId="2" fontId="23" numFmtId="3" xfId="0" applyAlignment="1" applyBorder="1" applyFont="1" applyNumberFormat="1">
      <alignment horizontal="left" readingOrder="0" vertical="center"/>
    </xf>
    <xf borderId="12" fillId="2" fontId="23" numFmtId="3" xfId="0" applyAlignment="1" applyBorder="1" applyFont="1" applyNumberFormat="1">
      <alignment horizontal="right" readingOrder="0" vertical="center"/>
    </xf>
    <xf borderId="12" fillId="2" fontId="23" numFmtId="9" xfId="0" applyAlignment="1" applyBorder="1" applyFont="1" applyNumberFormat="1">
      <alignment horizontal="left" readingOrder="0" vertical="center"/>
    </xf>
    <xf borderId="22" fillId="2" fontId="23" numFmtId="9" xfId="0" applyAlignment="1" applyBorder="1" applyFont="1" applyNumberFormat="1">
      <alignment horizontal="left" readingOrder="0" vertical="center"/>
    </xf>
    <xf borderId="23" fillId="2" fontId="23" numFmtId="0" xfId="0" applyAlignment="1" applyBorder="1" applyFont="1">
      <alignment horizontal="left" readingOrder="0" vertical="center"/>
    </xf>
    <xf borderId="22" fillId="2" fontId="23" numFmtId="3" xfId="0" applyAlignment="1" applyBorder="1" applyFont="1" applyNumberFormat="1">
      <alignment horizontal="left" vertical="center"/>
    </xf>
    <xf borderId="6" fillId="2" fontId="23" numFmtId="3" xfId="0" applyAlignment="1" applyBorder="1" applyFont="1" applyNumberFormat="1">
      <alignment horizontal="right" vertical="center"/>
    </xf>
    <xf borderId="23" fillId="2" fontId="23" numFmtId="3" xfId="0" applyAlignment="1" applyBorder="1" applyFont="1" applyNumberFormat="1">
      <alignment horizontal="right" vertical="center"/>
    </xf>
    <xf borderId="12" fillId="2" fontId="24" numFmtId="0" xfId="0" applyAlignment="1" applyBorder="1" applyFont="1">
      <alignment vertical="center"/>
    </xf>
    <xf borderId="0" fillId="2" fontId="24" numFmtId="3" xfId="0" applyAlignment="1" applyFont="1" applyNumberFormat="1">
      <alignment horizontal="right" vertical="center"/>
    </xf>
    <xf borderId="12" fillId="3" fontId="24" numFmtId="0" xfId="0" applyAlignment="1" applyBorder="1" applyFont="1">
      <alignment vertical="center"/>
    </xf>
    <xf borderId="12" fillId="3" fontId="24" numFmtId="0" xfId="0" applyAlignment="1" applyBorder="1" applyFont="1">
      <alignment readingOrder="0" vertical="center"/>
    </xf>
    <xf borderId="11" fillId="2" fontId="23" numFmtId="3" xfId="0" applyAlignment="1" applyBorder="1" applyFont="1" applyNumberFormat="1">
      <alignment horizontal="right" shrinkToFit="0" vertical="center" wrapText="0"/>
    </xf>
    <xf borderId="12" fillId="3" fontId="24" numFmtId="3" xfId="0" applyAlignment="1" applyBorder="1" applyFont="1" applyNumberFormat="1">
      <alignment shrinkToFit="0" vertical="center" wrapText="0"/>
    </xf>
    <xf borderId="12" fillId="3" fontId="24" numFmtId="3" xfId="0" applyAlignment="1" applyBorder="1" applyFont="1" applyNumberFormat="1">
      <alignment readingOrder="0" shrinkToFit="0" vertical="center" wrapText="0"/>
    </xf>
    <xf borderId="12" fillId="2" fontId="24" numFmtId="3" xfId="0" applyAlignment="1" applyBorder="1" applyFont="1" applyNumberFormat="1">
      <alignment vertical="center"/>
    </xf>
    <xf borderId="12" fillId="2" fontId="1" numFmtId="3" xfId="0" applyBorder="1" applyFont="1" applyNumberFormat="1"/>
    <xf borderId="11" fillId="2" fontId="24" numFmtId="3" xfId="0" applyAlignment="1" applyBorder="1" applyFont="1" applyNumberFormat="1">
      <alignment horizontal="right"/>
    </xf>
    <xf borderId="11" fillId="3" fontId="24" numFmtId="3" xfId="0" applyAlignment="1" applyBorder="1" applyFont="1" applyNumberFormat="1">
      <alignment horizontal="right" readingOrder="0" vertical="center"/>
    </xf>
    <xf borderId="11" fillId="2" fontId="24" numFmtId="3" xfId="0" applyAlignment="1" applyBorder="1" applyFont="1" applyNumberFormat="1">
      <alignment horizontal="right" readingOrder="0" vertical="center"/>
    </xf>
    <xf borderId="11" fillId="2" fontId="24" numFmtId="3" xfId="0" applyAlignment="1" applyBorder="1" applyFont="1" applyNumberFormat="1">
      <alignment horizontal="right" vertical="center"/>
    </xf>
    <xf borderId="12" fillId="2" fontId="24" numFmtId="0" xfId="0" applyAlignment="1" applyBorder="1" applyFont="1">
      <alignment readingOrder="0" vertical="center"/>
    </xf>
    <xf borderId="0" fillId="2" fontId="24" numFmtId="3" xfId="0" applyAlignment="1" applyFont="1" applyNumberFormat="1">
      <alignment horizontal="right" readingOrder="0" vertical="center"/>
    </xf>
    <xf borderId="0" fillId="2" fontId="23" numFmtId="3" xfId="0" applyAlignment="1" applyFont="1" applyNumberFormat="1">
      <alignment horizontal="left" readingOrder="0" vertical="center"/>
    </xf>
    <xf borderId="0" fillId="2" fontId="1" numFmtId="3" xfId="0" applyAlignment="1" applyFont="1" applyNumberFormat="1">
      <alignment vertical="center"/>
    </xf>
    <xf borderId="11" fillId="2" fontId="1" numFmtId="3" xfId="0" applyAlignment="1" applyBorder="1" applyFont="1" applyNumberFormat="1">
      <alignment vertical="center"/>
    </xf>
    <xf borderId="11" fillId="3" fontId="24" numFmtId="3" xfId="0" applyAlignment="1" applyBorder="1" applyFont="1" applyNumberFormat="1">
      <alignment horizontal="right" vertical="center"/>
    </xf>
    <xf borderId="12" fillId="2" fontId="24" numFmtId="3" xfId="0" applyAlignment="1" applyBorder="1" applyFont="1" applyNumberFormat="1">
      <alignment readingOrder="0" vertical="center"/>
    </xf>
    <xf borderId="0" fillId="0" fontId="25" numFmtId="0" xfId="0" applyAlignment="1" applyFont="1">
      <alignment vertical="center"/>
    </xf>
    <xf borderId="0" fillId="3" fontId="23" numFmtId="3" xfId="0" applyAlignment="1" applyFont="1" applyNumberFormat="1">
      <alignment horizontal="right" readingOrder="0" vertical="center"/>
    </xf>
    <xf borderId="12" fillId="3" fontId="23" numFmtId="3" xfId="0" applyAlignment="1" applyBorder="1" applyFont="1" applyNumberFormat="1">
      <alignment horizontal="left" readingOrder="0" vertical="center"/>
    </xf>
    <xf borderId="12" fillId="2" fontId="23" numFmtId="0" xfId="0" applyAlignment="1" applyBorder="1" applyFont="1">
      <alignment horizontal="left" readingOrder="0" textRotation="255" vertical="center"/>
    </xf>
    <xf borderId="12" fillId="2" fontId="26" numFmtId="0" xfId="0" applyAlignment="1" applyBorder="1" applyFont="1">
      <alignment readingOrder="0" vertical="center"/>
    </xf>
    <xf borderId="12" fillId="2" fontId="12" numFmtId="0" xfId="0" applyAlignment="1" applyBorder="1" applyFont="1">
      <alignment shrinkToFit="0" vertical="center" wrapText="0"/>
    </xf>
    <xf borderId="12" fillId="2" fontId="12" numFmtId="0" xfId="0" applyAlignment="1" applyBorder="1" applyFont="1">
      <alignment horizontal="left" readingOrder="0" shrinkToFit="0" vertical="center" wrapText="0"/>
    </xf>
    <xf borderId="12" fillId="2" fontId="12" numFmtId="0" xfId="0" applyAlignment="1" applyBorder="1" applyFont="1">
      <alignment readingOrder="0" shrinkToFit="0" vertical="center" wrapText="0"/>
    </xf>
    <xf borderId="12" fillId="2" fontId="12" numFmtId="0" xfId="0" applyAlignment="1" applyBorder="1" applyFont="1">
      <alignment horizontal="left" readingOrder="0" shrinkToFit="0" vertical="center" wrapText="0"/>
    </xf>
    <xf borderId="11" fillId="2" fontId="24" numFmtId="3" xfId="0" applyAlignment="1" applyBorder="1" applyFont="1" applyNumberFormat="1">
      <alignment horizontal="left" readingOrder="0" vertical="center"/>
    </xf>
    <xf borderId="12" fillId="3" fontId="24" numFmtId="3" xfId="0" applyAlignment="1" applyBorder="1" applyFont="1" applyNumberFormat="1">
      <alignment readingOrder="0" vertical="center"/>
    </xf>
    <xf borderId="0" fillId="2" fontId="23" numFmtId="3" xfId="0" applyAlignment="1" applyFont="1" applyNumberFormat="1">
      <alignment horizontal="left" vertical="center"/>
    </xf>
    <xf borderId="11" fillId="2" fontId="24" numFmtId="0" xfId="0" applyAlignment="1" applyBorder="1" applyFont="1">
      <alignment readingOrder="0" vertical="center"/>
    </xf>
    <xf borderId="0" fillId="2" fontId="14" numFmtId="0" xfId="0" applyAlignment="1" applyFont="1">
      <alignment readingOrder="0" vertical="center"/>
    </xf>
    <xf borderId="0" fillId="2" fontId="14" numFmtId="0" xfId="0" applyAlignment="1" applyFont="1">
      <alignment vertical="center"/>
    </xf>
    <xf borderId="12" fillId="2" fontId="14" numFmtId="9" xfId="0" applyAlignment="1" applyBorder="1" applyFont="1" applyNumberFormat="1">
      <alignment vertical="center"/>
    </xf>
    <xf borderId="11" fillId="2" fontId="24" numFmtId="0" xfId="0" applyAlignment="1" applyBorder="1" applyFont="1">
      <alignment vertical="center"/>
    </xf>
    <xf borderId="12" fillId="2" fontId="14" numFmtId="3" xfId="0" applyAlignment="1" applyBorder="1" applyFont="1" applyNumberFormat="1">
      <alignment vertical="center"/>
    </xf>
    <xf borderId="11" fillId="2" fontId="14" numFmtId="3" xfId="0" applyAlignment="1" applyBorder="1" applyFont="1" applyNumberFormat="1">
      <alignment vertical="center"/>
    </xf>
    <xf borderId="12" fillId="2" fontId="24" numFmtId="9" xfId="0" applyAlignment="1" applyBorder="1" applyFont="1" applyNumberFormat="1">
      <alignment vertical="center"/>
    </xf>
    <xf borderId="0" fillId="2" fontId="14" numFmtId="3" xfId="0" applyAlignment="1" applyFont="1" applyNumberFormat="1">
      <alignment vertical="center"/>
    </xf>
    <xf borderId="12" fillId="2" fontId="14" numFmtId="3" xfId="0" applyAlignment="1" applyBorder="1" applyFont="1" applyNumberFormat="1">
      <alignment readingOrder="0" vertical="center"/>
    </xf>
    <xf borderId="11" fillId="2" fontId="14" numFmtId="3" xfId="0" applyAlignment="1" applyBorder="1" applyFont="1" applyNumberFormat="1">
      <alignment readingOrder="0" vertical="center"/>
    </xf>
    <xf borderId="0" fillId="2" fontId="14" numFmtId="3" xfId="0" applyAlignment="1" applyFont="1" applyNumberFormat="1">
      <alignment readingOrder="0" vertical="center"/>
    </xf>
    <xf borderId="12" fillId="2" fontId="24" numFmtId="9" xfId="0" applyAlignment="1" applyBorder="1" applyFont="1" applyNumberFormat="1">
      <alignment readingOrder="0" vertical="center"/>
    </xf>
    <xf borderId="22" fillId="2" fontId="24" numFmtId="9" xfId="0" applyAlignment="1" applyBorder="1" applyFont="1" applyNumberFormat="1">
      <alignment readingOrder="0" vertical="center"/>
    </xf>
    <xf borderId="23" fillId="2" fontId="24" numFmtId="0" xfId="0" applyAlignment="1" applyBorder="1" applyFont="1">
      <alignment vertical="center"/>
    </xf>
    <xf borderId="22" fillId="2" fontId="14" numFmtId="3" xfId="0" applyAlignment="1" applyBorder="1" applyFont="1" applyNumberFormat="1">
      <alignment vertical="center"/>
    </xf>
    <xf borderId="6" fillId="2" fontId="24" numFmtId="3" xfId="0" applyAlignment="1" applyBorder="1" applyFont="1" applyNumberFormat="1">
      <alignment horizontal="right" vertical="center"/>
    </xf>
    <xf borderId="23" fillId="2" fontId="14" numFmtId="3" xfId="0" applyAlignment="1" applyBorder="1" applyFont="1" applyNumberFormat="1">
      <alignment vertical="center"/>
    </xf>
    <xf borderId="12" fillId="2" fontId="23" numFmtId="9" xfId="0" applyAlignment="1" applyBorder="1" applyFont="1" applyNumberFormat="1">
      <alignment horizontal="left" vertical="center"/>
    </xf>
    <xf borderId="11" fillId="2" fontId="23" numFmtId="0" xfId="0" applyAlignment="1" applyBorder="1" applyFont="1">
      <alignment horizontal="left" vertical="center"/>
    </xf>
    <xf borderId="11" fillId="3" fontId="23" numFmtId="3" xfId="0" applyAlignment="1" applyBorder="1" applyFont="1" applyNumberFormat="1">
      <alignment horizontal="right" readingOrder="0" vertical="center"/>
    </xf>
    <xf borderId="0" fillId="2" fontId="27" numFmtId="0" xfId="0" applyAlignment="1" applyFont="1">
      <alignment horizontal="center" readingOrder="0" vertical="center"/>
    </xf>
    <xf borderId="5" fillId="2" fontId="27" numFmtId="0" xfId="0" applyAlignment="1" applyBorder="1" applyFont="1">
      <alignment horizontal="center" readingOrder="0" vertical="center"/>
    </xf>
    <xf borderId="12" fillId="2" fontId="24" numFmtId="3" xfId="0" applyBorder="1" applyFont="1" applyNumberFormat="1"/>
    <xf borderId="0" fillId="2" fontId="24" numFmtId="3" xfId="0" applyAlignment="1" applyFont="1" applyNumberFormat="1">
      <alignment horizontal="right"/>
    </xf>
    <xf borderId="0" fillId="2" fontId="28" numFmtId="0" xfId="0" applyAlignment="1" applyFont="1">
      <alignment horizontal="left" readingOrder="0" shrinkToFit="0" vertical="center" wrapText="0"/>
    </xf>
    <xf borderId="12" fillId="3" fontId="23" numFmtId="0" xfId="0" applyAlignment="1" applyBorder="1" applyFont="1">
      <alignment horizontal="left" readingOrder="0" vertical="center"/>
    </xf>
    <xf borderId="0" fillId="2" fontId="24" numFmtId="3" xfId="0" applyAlignment="1" applyFont="1" applyNumberFormat="1">
      <alignment horizontal="left" readingOrder="0" vertical="center"/>
    </xf>
    <xf borderId="12" fillId="3" fontId="24" numFmtId="3" xfId="0" applyAlignment="1" applyBorder="1" applyFont="1" applyNumberFormat="1">
      <alignment vertical="center"/>
    </xf>
    <xf borderId="12" fillId="0" fontId="14" numFmtId="3" xfId="0" applyAlignment="1" applyBorder="1" applyFont="1" applyNumberFormat="1">
      <alignment vertical="center"/>
    </xf>
    <xf borderId="0" fillId="0" fontId="14" numFmtId="3" xfId="0" applyAlignment="1" applyFont="1" applyNumberFormat="1">
      <alignment vertical="center"/>
    </xf>
    <xf borderId="12" fillId="0" fontId="24" numFmtId="3" xfId="0" applyAlignment="1" applyBorder="1" applyFont="1" applyNumberFormat="1">
      <alignment vertical="center"/>
    </xf>
    <xf borderId="0" fillId="0" fontId="24" numFmtId="3" xfId="0" applyAlignment="1" applyFont="1" applyNumberFormat="1">
      <alignment horizontal="right" vertical="center"/>
    </xf>
    <xf borderId="11" fillId="0" fontId="24" numFmtId="3" xfId="0" applyAlignment="1" applyBorder="1" applyFont="1" applyNumberFormat="1">
      <alignment horizontal="right" vertical="center"/>
    </xf>
    <xf borderId="12" fillId="0" fontId="24" numFmtId="3" xfId="0" applyAlignment="1" applyBorder="1" applyFont="1" applyNumberFormat="1">
      <alignment readingOrder="0" vertical="center"/>
    </xf>
    <xf borderId="12" fillId="0" fontId="23" numFmtId="0" xfId="0" applyAlignment="1" applyBorder="1" applyFont="1">
      <alignment horizontal="left" readingOrder="0" vertical="center"/>
    </xf>
    <xf borderId="0" fillId="0" fontId="23" numFmtId="3" xfId="0" applyAlignment="1" applyFont="1" applyNumberFormat="1">
      <alignment horizontal="right" readingOrder="0" vertical="center"/>
    </xf>
    <xf borderId="11" fillId="0" fontId="23" numFmtId="3" xfId="0" applyAlignment="1" applyBorder="1" applyFont="1" applyNumberFormat="1">
      <alignment horizontal="right" readingOrder="0" vertical="center"/>
    </xf>
    <xf borderId="0" fillId="2" fontId="23" numFmtId="9" xfId="0" applyAlignment="1" applyFont="1" applyNumberFormat="1">
      <alignment horizontal="left" readingOrder="0" vertical="center"/>
    </xf>
    <xf borderId="0" fillId="0" fontId="29" numFmtId="165" xfId="0" applyAlignment="1" applyFont="1" applyNumberFormat="1">
      <alignment horizontal="center"/>
    </xf>
    <xf borderId="0" fillId="0" fontId="29" numFmtId="3" xfId="0" applyAlignment="1" applyFont="1" applyNumberFormat="1">
      <alignment horizontal="center"/>
    </xf>
    <xf borderId="0" fillId="0" fontId="29" numFmtId="0" xfId="0" applyAlignment="1" applyFont="1">
      <alignment horizontal="center"/>
    </xf>
    <xf borderId="0" fillId="0" fontId="29" numFmtId="0" xfId="0" applyFont="1"/>
    <xf borderId="0" fillId="0" fontId="29" numFmtId="3" xfId="0" applyFont="1" applyNumberFormat="1"/>
    <xf borderId="0" fillId="0" fontId="29" numFmtId="3" xfId="0" applyAlignment="1" applyFont="1" applyNumberFormat="1">
      <alignment readingOrder="0"/>
    </xf>
    <xf borderId="0" fillId="0" fontId="29" numFmtId="0" xfId="0" applyAlignment="1" applyFont="1">
      <alignment readingOrder="0"/>
    </xf>
    <xf borderId="0" fillId="2" fontId="30" numFmtId="0" xfId="0" applyAlignment="1" applyFont="1">
      <alignment horizontal="center"/>
    </xf>
    <xf borderId="0" fillId="2" fontId="30" numFmtId="0" xfId="0" applyAlignment="1" applyFont="1">
      <alignment horizontal="left"/>
    </xf>
    <xf borderId="0" fillId="0" fontId="31" numFmtId="0" xfId="0" applyFont="1"/>
    <xf borderId="0" fillId="0" fontId="25" numFmtId="0" xfId="0" applyAlignment="1" applyFont="1">
      <alignment horizontal="left" readingOrder="0" shrinkToFit="0" vertical="center" wrapText="0"/>
    </xf>
    <xf borderId="0" fillId="0" fontId="25" numFmtId="0" xfId="0" applyAlignment="1" applyFont="1">
      <alignment horizontal="left" readingOrder="0" shrinkToFit="0" vertical="center" wrapText="0"/>
    </xf>
    <xf borderId="0" fillId="2" fontId="1" numFmtId="170" xfId="0" applyAlignment="1" applyFont="1" applyNumberFormat="1">
      <alignment vertical="bottom"/>
    </xf>
    <xf borderId="24" fillId="2" fontId="32" numFmtId="166" xfId="0" applyAlignment="1" applyBorder="1" applyFont="1" applyNumberFormat="1">
      <alignment horizontal="right" shrinkToFit="0" vertical="center" wrapText="0"/>
    </xf>
    <xf borderId="25" fillId="2" fontId="32" numFmtId="0" xfId="0" applyAlignment="1" applyBorder="1" applyFont="1">
      <alignment shrinkToFit="0" vertical="center" wrapText="0"/>
    </xf>
    <xf borderId="25" fillId="2" fontId="32" numFmtId="165" xfId="0" applyAlignment="1" applyBorder="1" applyFont="1" applyNumberFormat="1">
      <alignment shrinkToFit="0" vertical="center" wrapText="0"/>
    </xf>
    <xf borderId="25" fillId="2" fontId="32" numFmtId="165" xfId="0" applyAlignment="1" applyBorder="1" applyFont="1" applyNumberFormat="1">
      <alignment horizontal="right" shrinkToFit="0" vertical="center" wrapText="0"/>
    </xf>
    <xf borderId="25" fillId="2" fontId="1" numFmtId="0" xfId="0" applyAlignment="1" applyBorder="1" applyFont="1">
      <alignment shrinkToFit="0" vertical="center" wrapText="0"/>
    </xf>
    <xf borderId="25" fillId="2" fontId="1" numFmtId="3" xfId="0" applyAlignment="1" applyBorder="1" applyFont="1" applyNumberFormat="1">
      <alignment shrinkToFit="0" vertical="center" wrapText="0"/>
    </xf>
    <xf borderId="26" fillId="2" fontId="32" numFmtId="0" xfId="0" applyAlignment="1" applyBorder="1" applyFont="1">
      <alignment horizontal="right" shrinkToFit="0" vertical="center" wrapText="0"/>
    </xf>
    <xf borderId="0" fillId="2" fontId="32" numFmtId="0" xfId="0" applyAlignment="1" applyFont="1">
      <alignment horizontal="right" shrinkToFit="0" vertical="center" wrapText="0"/>
    </xf>
    <xf borderId="27" fillId="10" fontId="32" numFmtId="166" xfId="0" applyAlignment="1" applyBorder="1" applyFill="1" applyFont="1" applyNumberFormat="1">
      <alignment horizontal="right" shrinkToFit="0" vertical="center" wrapText="0"/>
    </xf>
    <xf borderId="28" fillId="10" fontId="32" numFmtId="0" xfId="0" applyAlignment="1" applyBorder="1" applyFont="1">
      <alignment shrinkToFit="0" vertical="center" wrapText="0"/>
    </xf>
    <xf borderId="28" fillId="10" fontId="32" numFmtId="165" xfId="0" applyAlignment="1" applyBorder="1" applyFont="1" applyNumberFormat="1">
      <alignment shrinkToFit="0" vertical="center" wrapText="0"/>
    </xf>
    <xf borderId="28" fillId="10" fontId="32" numFmtId="165" xfId="0" applyAlignment="1" applyBorder="1" applyFont="1" applyNumberFormat="1">
      <alignment horizontal="right" shrinkToFit="0" vertical="center" wrapText="0"/>
    </xf>
    <xf borderId="28" fillId="10" fontId="1" numFmtId="0" xfId="0" applyAlignment="1" applyBorder="1" applyFont="1">
      <alignment shrinkToFit="0" vertical="center" wrapText="0"/>
    </xf>
    <xf borderId="28" fillId="10" fontId="1" numFmtId="3" xfId="0" applyAlignment="1" applyBorder="1" applyFont="1" applyNumberFormat="1">
      <alignment shrinkToFit="0" vertical="center" wrapText="0"/>
    </xf>
    <xf borderId="29" fillId="10" fontId="32" numFmtId="0" xfId="0" applyAlignment="1" applyBorder="1" applyFont="1">
      <alignment horizontal="right" shrinkToFit="0" vertical="center" wrapText="0"/>
    </xf>
    <xf borderId="0" fillId="10" fontId="32" numFmtId="0" xfId="0" applyAlignment="1" applyFont="1">
      <alignment horizontal="right" shrinkToFit="0" vertical="center" wrapText="0"/>
    </xf>
    <xf borderId="25" fillId="2" fontId="1" numFmtId="165" xfId="0" applyAlignment="1" applyBorder="1" applyFont="1" applyNumberFormat="1">
      <alignment shrinkToFit="0" vertical="center" wrapText="0"/>
    </xf>
    <xf borderId="28" fillId="10" fontId="1" numFmtId="165" xfId="0" applyAlignment="1" applyBorder="1" applyFont="1" applyNumberFormat="1">
      <alignment shrinkToFit="0" vertical="center" wrapText="0"/>
    </xf>
    <xf borderId="24" fillId="2" fontId="32" numFmtId="166" xfId="0" applyAlignment="1" applyBorder="1" applyFont="1" applyNumberFormat="1">
      <alignment horizontal="right" readingOrder="0" shrinkToFit="0" vertical="center" wrapText="0"/>
    </xf>
    <xf borderId="28" fillId="10" fontId="1" numFmtId="0" xfId="0" applyAlignment="1" applyBorder="1" applyFont="1">
      <alignment readingOrder="0" shrinkToFit="0" vertical="center" wrapText="0"/>
    </xf>
    <xf borderId="28" fillId="10" fontId="1" numFmtId="165" xfId="0" applyAlignment="1" applyBorder="1" applyFont="1" applyNumberFormat="1">
      <alignment readingOrder="0" shrinkToFit="0" vertical="center" wrapText="0"/>
    </xf>
    <xf borderId="25" fillId="2" fontId="1" numFmtId="165" xfId="0" applyAlignment="1" applyBorder="1" applyFont="1" applyNumberFormat="1">
      <alignment readingOrder="0" shrinkToFit="0" vertical="center" wrapText="0"/>
    </xf>
    <xf borderId="25" fillId="2" fontId="1" numFmtId="0" xfId="0" applyAlignment="1" applyBorder="1" applyFont="1">
      <alignment readingOrder="0" shrinkToFit="0" vertical="center" wrapText="0"/>
    </xf>
    <xf borderId="25" fillId="2" fontId="1" numFmtId="165" xfId="0" applyAlignment="1" applyBorder="1" applyFont="1" applyNumberFormat="1">
      <alignment readingOrder="0" shrinkToFit="0" vertical="center" wrapText="0"/>
    </xf>
    <xf borderId="0" fillId="0" fontId="25" numFmtId="165" xfId="0" applyAlignment="1" applyFont="1" applyNumberFormat="1">
      <alignment readingOrder="0" shrinkToFit="0" vertical="center" wrapText="0"/>
    </xf>
    <xf borderId="0" fillId="2" fontId="1" numFmtId="170" xfId="0" applyAlignment="1" applyFont="1" applyNumberFormat="1">
      <alignment horizontal="center" vertical="bottom"/>
    </xf>
    <xf borderId="0" fillId="0" fontId="25" numFmtId="165" xfId="0" applyAlignment="1" applyFont="1" applyNumberFormat="1">
      <alignment readingOrder="0" shrinkToFit="0" vertical="center" wrapText="0"/>
    </xf>
    <xf borderId="0" fillId="0" fontId="25" numFmtId="165" xfId="0" applyAlignment="1" applyFont="1" applyNumberFormat="1">
      <alignment readingOrder="0" shrinkToFit="0" vertical="center" wrapText="0"/>
    </xf>
    <xf borderId="28" fillId="10" fontId="32" numFmtId="165" xfId="0" applyAlignment="1" applyBorder="1" applyFont="1" applyNumberFormat="1">
      <alignment horizontal="right" readingOrder="0" shrinkToFit="0" vertical="center" wrapText="0"/>
    </xf>
    <xf borderId="0" fillId="0" fontId="25" numFmtId="3" xfId="0" applyAlignment="1" applyFont="1" applyNumberFormat="1">
      <alignment shrinkToFit="0" vertical="center" wrapText="0"/>
    </xf>
    <xf borderId="0" fillId="0" fontId="25" numFmtId="0" xfId="0" applyAlignment="1" applyFont="1">
      <alignment readingOrder="0" shrinkToFit="0" vertical="center" wrapText="0"/>
    </xf>
    <xf borderId="28" fillId="10" fontId="32" numFmtId="0" xfId="0" applyAlignment="1" applyBorder="1" applyFont="1">
      <alignment readingOrder="0" shrinkToFit="0" vertical="center" wrapText="0"/>
    </xf>
    <xf borderId="25" fillId="2" fontId="32" numFmtId="0" xfId="0" applyAlignment="1" applyBorder="1" applyFont="1">
      <alignment shrinkToFit="0" vertical="center" wrapText="0"/>
    </xf>
    <xf borderId="0" fillId="0" fontId="25" numFmtId="0" xfId="0" applyAlignment="1" applyFont="1">
      <alignment readingOrder="0" shrinkToFit="0" vertical="center" wrapText="0"/>
    </xf>
    <xf borderId="28" fillId="10" fontId="1" numFmtId="165" xfId="0" applyAlignment="1" applyBorder="1" applyFont="1" applyNumberFormat="1">
      <alignment readingOrder="0" shrinkToFit="0" vertical="center" wrapText="0"/>
    </xf>
    <xf borderId="28" fillId="10" fontId="1" numFmtId="0" xfId="0" applyAlignment="1" applyBorder="1" applyFont="1">
      <alignment readingOrder="0" shrinkToFit="0" vertical="center" wrapText="0"/>
    </xf>
    <xf borderId="0" fillId="0" fontId="25" numFmtId="0" xfId="0" applyAlignment="1" applyFont="1">
      <alignment readingOrder="0" shrinkToFit="0" vertical="center" wrapText="0"/>
    </xf>
    <xf borderId="0" fillId="0" fontId="25" numFmtId="3" xfId="0" applyAlignment="1" applyFont="1" applyNumberFormat="1">
      <alignment readingOrder="0" shrinkToFit="0" vertical="center" wrapText="0"/>
    </xf>
    <xf borderId="0" fillId="0" fontId="25" numFmtId="166" xfId="0" applyAlignment="1" applyFont="1" applyNumberFormat="1">
      <alignment readingOrder="0" shrinkToFit="0" vertical="center" wrapText="0"/>
    </xf>
    <xf borderId="0" fillId="0" fontId="25" numFmtId="0" xfId="0" applyAlignment="1" applyFont="1">
      <alignment readingOrder="0" shrinkToFit="0" vertical="center" wrapText="0"/>
    </xf>
    <xf borderId="0" fillId="0" fontId="25" numFmtId="165" xfId="0" applyAlignment="1" applyFont="1" applyNumberFormat="1">
      <alignment readingOrder="0" shrinkToFit="0" vertical="center" wrapText="0"/>
    </xf>
    <xf borderId="25" fillId="2" fontId="32" numFmtId="0" xfId="0" applyAlignment="1" applyBorder="1" applyFont="1">
      <alignment readingOrder="0" shrinkToFit="0" vertical="center" wrapText="0"/>
    </xf>
    <xf borderId="25" fillId="2" fontId="32" numFmtId="165" xfId="0" applyAlignment="1" applyBorder="1" applyFont="1" applyNumberFormat="1">
      <alignment readingOrder="0" shrinkToFit="0" vertical="center" wrapText="0"/>
    </xf>
    <xf borderId="17" fillId="0" fontId="25" numFmtId="166" xfId="0" applyAlignment="1" applyBorder="1" applyFont="1" applyNumberFormat="1">
      <alignment readingOrder="0" shrinkToFit="0" vertical="center" wrapText="0"/>
    </xf>
    <xf borderId="17" fillId="0" fontId="25" numFmtId="0" xfId="0" applyAlignment="1" applyBorder="1" applyFont="1">
      <alignment readingOrder="0" shrinkToFit="0" vertical="center" wrapText="0"/>
    </xf>
    <xf borderId="30" fillId="2" fontId="32" numFmtId="0" xfId="0" applyAlignment="1" applyBorder="1" applyFont="1">
      <alignment readingOrder="0" shrinkToFit="0" vertical="center" wrapText="0"/>
    </xf>
    <xf borderId="30" fillId="2" fontId="32" numFmtId="165" xfId="0" applyAlignment="1" applyBorder="1" applyFont="1" applyNumberFormat="1">
      <alignment readingOrder="0" shrinkToFit="0" vertical="center" wrapText="0"/>
    </xf>
    <xf borderId="17" fillId="0" fontId="25" numFmtId="165" xfId="0" applyAlignment="1" applyBorder="1" applyFont="1" applyNumberFormat="1">
      <alignment readingOrder="0" shrinkToFit="0" vertical="center" wrapText="0"/>
    </xf>
    <xf borderId="17" fillId="0" fontId="25" numFmtId="165" xfId="0" applyAlignment="1" applyBorder="1" applyFont="1" applyNumberFormat="1">
      <alignment readingOrder="0" shrinkToFit="0" vertical="center" wrapText="0"/>
    </xf>
    <xf borderId="17" fillId="0" fontId="25" numFmtId="0" xfId="0" applyAlignment="1" applyBorder="1" applyFont="1">
      <alignment readingOrder="0" shrinkToFit="0" vertical="center" wrapText="0"/>
    </xf>
    <xf borderId="17" fillId="0" fontId="25" numFmtId="3" xfId="0" applyAlignment="1" applyBorder="1" applyFont="1" applyNumberFormat="1">
      <alignment shrinkToFit="0" vertical="center" wrapText="0"/>
    </xf>
    <xf borderId="31" fillId="2" fontId="32" numFmtId="0" xfId="0" applyAlignment="1" applyBorder="1" applyFont="1">
      <alignment shrinkToFit="0" vertical="center" wrapText="0"/>
    </xf>
    <xf borderId="31" fillId="2" fontId="32" numFmtId="165" xfId="0" applyAlignment="1" applyBorder="1" applyFont="1" applyNumberFormat="1">
      <alignment shrinkToFit="0" vertical="center" wrapText="0"/>
    </xf>
    <xf borderId="0" fillId="0" fontId="25" numFmtId="0" xfId="0" applyAlignment="1" applyFont="1">
      <alignment readingOrder="0" shrinkToFit="0" vertical="center" wrapText="0"/>
    </xf>
    <xf borderId="28" fillId="10" fontId="32" numFmtId="165" xfId="0" applyAlignment="1" applyBorder="1" applyFont="1" applyNumberFormat="1">
      <alignment readingOrder="0" shrinkToFit="0" vertical="center" wrapText="0"/>
    </xf>
    <xf borderId="0" fillId="3" fontId="33" numFmtId="0" xfId="0" applyAlignment="1" applyFont="1">
      <alignment readingOrder="0" shrinkToFit="0" vertical="center" wrapText="0"/>
    </xf>
    <xf borderId="0" fillId="0" fontId="25" numFmtId="3" xfId="0" applyAlignment="1" applyFont="1" applyNumberFormat="1">
      <alignment shrinkToFit="0" vertical="center" wrapText="0"/>
    </xf>
    <xf borderId="0" fillId="3" fontId="25" numFmtId="0" xfId="0" applyAlignment="1" applyFont="1">
      <alignment readingOrder="0" shrinkToFit="0" vertical="center" wrapText="0"/>
    </xf>
    <xf borderId="0" fillId="0" fontId="25" numFmtId="3" xfId="0" applyAlignment="1" applyFont="1" applyNumberFormat="1">
      <alignment readingOrder="0" shrinkToFit="0" vertical="center" wrapText="0"/>
    </xf>
    <xf borderId="32" fillId="0" fontId="25" numFmtId="166" xfId="0" applyAlignment="1" applyBorder="1" applyFont="1" applyNumberFormat="1">
      <alignment readingOrder="0" shrinkToFit="0" vertical="center" wrapText="0"/>
    </xf>
    <xf borderId="32" fillId="0" fontId="25" numFmtId="0" xfId="0" applyAlignment="1" applyBorder="1" applyFont="1">
      <alignment readingOrder="0" shrinkToFit="0" vertical="center" wrapText="0"/>
    </xf>
    <xf borderId="33" fillId="2" fontId="32" numFmtId="0" xfId="0" applyAlignment="1" applyBorder="1" applyFont="1">
      <alignment shrinkToFit="0" vertical="center" wrapText="0"/>
    </xf>
    <xf borderId="33" fillId="2" fontId="32" numFmtId="165" xfId="0" applyAlignment="1" applyBorder="1" applyFont="1" applyNumberFormat="1">
      <alignment shrinkToFit="0" vertical="center" wrapText="0"/>
    </xf>
    <xf borderId="32" fillId="0" fontId="25" numFmtId="165" xfId="0" applyAlignment="1" applyBorder="1" applyFont="1" applyNumberFormat="1">
      <alignment readingOrder="0" shrinkToFit="0" vertical="center" wrapText="0"/>
    </xf>
    <xf borderId="32" fillId="0" fontId="25" numFmtId="165" xfId="0" applyAlignment="1" applyBorder="1" applyFont="1" applyNumberFormat="1">
      <alignment readingOrder="0" shrinkToFit="0" vertical="center" wrapText="0"/>
    </xf>
    <xf borderId="32" fillId="0" fontId="25" numFmtId="0" xfId="0" applyAlignment="1" applyBorder="1" applyFont="1">
      <alignment readingOrder="0" shrinkToFit="0" vertical="center" wrapText="0"/>
    </xf>
    <xf borderId="32" fillId="0" fontId="25" numFmtId="3" xfId="0" applyAlignment="1" applyBorder="1" applyFont="1" applyNumberFormat="1">
      <alignment shrinkToFit="0" vertical="center" wrapText="0"/>
    </xf>
    <xf borderId="0" fillId="0" fontId="1" numFmtId="165" xfId="0" applyAlignment="1" applyFont="1" applyNumberFormat="1">
      <alignment readingOrder="0" shrinkToFit="0" vertical="bottom" wrapText="0"/>
    </xf>
    <xf borderId="0" fillId="0" fontId="1" numFmtId="165" xfId="0" applyAlignment="1" applyFont="1" applyNumberFormat="1">
      <alignment horizontal="right" shrinkToFit="0" vertical="bottom" wrapText="0"/>
    </xf>
    <xf borderId="0" fillId="0" fontId="34" numFmtId="166" xfId="0" applyAlignment="1" applyFont="1" applyNumberFormat="1">
      <alignment readingOrder="0" shrinkToFit="0" vertical="center" wrapText="0"/>
    </xf>
    <xf borderId="0" fillId="0" fontId="25" numFmtId="0" xfId="0" applyAlignment="1" applyFont="1">
      <alignment shrinkToFit="0" vertical="center" wrapText="0"/>
    </xf>
    <xf borderId="32" fillId="0" fontId="25" numFmtId="0" xfId="0" applyAlignment="1" applyBorder="1" applyFont="1">
      <alignment readingOrder="0" shrinkToFit="0" vertical="center" wrapText="0"/>
    </xf>
    <xf borderId="0" fillId="0" fontId="1" numFmtId="165" xfId="0" applyAlignment="1" applyFont="1" applyNumberFormat="1">
      <alignment shrinkToFit="0" vertical="bottom" wrapText="0"/>
    </xf>
    <xf borderId="25" fillId="2" fontId="1" numFmtId="0" xfId="0" applyAlignment="1" applyBorder="1" applyFont="1">
      <alignment readingOrder="0" shrinkToFit="0" vertical="center" wrapText="0"/>
    </xf>
    <xf borderId="0" fillId="0" fontId="25" numFmtId="166" xfId="0" applyAlignment="1" applyFont="1" applyNumberFormat="1">
      <alignment readingOrder="0" shrinkToFit="0" vertical="center" wrapText="0"/>
    </xf>
    <xf borderId="32" fillId="2" fontId="1" numFmtId="170" xfId="0" applyAlignment="1" applyBorder="1" applyFont="1" applyNumberFormat="1">
      <alignment horizontal="center" vertical="bottom"/>
    </xf>
    <xf borderId="0" fillId="0" fontId="25" numFmtId="0" xfId="0" applyAlignment="1" applyFont="1">
      <alignment readingOrder="0" shrinkToFit="0" vertical="center"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32" fillId="0" fontId="25" numFmtId="0" xfId="0" applyAlignment="1" applyBorder="1" applyFont="1">
      <alignment readingOrder="0" shrinkToFit="0" vertical="center" wrapText="0"/>
    </xf>
    <xf borderId="32" fillId="0" fontId="25" numFmtId="0" xfId="0" applyAlignment="1" applyBorder="1" applyFont="1">
      <alignment shrinkToFit="0" vertical="center" wrapText="0"/>
    </xf>
    <xf borderId="25" fillId="2" fontId="32" numFmtId="0" xfId="0" applyAlignment="1" applyBorder="1" applyFont="1">
      <alignment readingOrder="0" shrinkToFit="0" vertical="center" wrapText="0"/>
    </xf>
    <xf borderId="25" fillId="2" fontId="1" numFmtId="0" xfId="0" applyAlignment="1" applyBorder="1" applyFont="1">
      <alignment shrinkToFit="0" vertical="center" wrapText="0"/>
    </xf>
    <xf borderId="28" fillId="10" fontId="32" numFmtId="0" xfId="0" applyAlignment="1" applyBorder="1" applyFont="1">
      <alignment shrinkToFit="0" vertical="center" wrapText="0"/>
    </xf>
    <xf borderId="28" fillId="10" fontId="32" numFmtId="0" xfId="0" applyAlignment="1" applyBorder="1" applyFont="1">
      <alignment shrinkToFit="0" vertical="center" wrapText="0"/>
    </xf>
    <xf borderId="0" fillId="0" fontId="35" numFmtId="0" xfId="0" applyAlignment="1" applyFont="1">
      <alignment shrinkToFit="0" vertical="center" wrapText="1"/>
    </xf>
    <xf borderId="0" fillId="11" fontId="35" numFmtId="0" xfId="0" applyAlignment="1" applyFill="1" applyFont="1">
      <alignment shrinkToFit="0" vertical="center" wrapText="1"/>
    </xf>
    <xf borderId="0" fillId="11" fontId="36" numFmtId="0" xfId="0" applyAlignment="1" applyFont="1">
      <alignment shrinkToFit="0" vertical="center" wrapText="1"/>
    </xf>
    <xf borderId="0" fillId="2" fontId="35" numFmtId="3" xfId="0" applyAlignment="1" applyFont="1" applyNumberFormat="1">
      <alignment horizontal="center" readingOrder="0" vertical="center"/>
    </xf>
    <xf borderId="0" fillId="11" fontId="35" numFmtId="0" xfId="0" applyAlignment="1" applyFont="1">
      <alignment readingOrder="0" shrinkToFit="0" vertical="center" wrapText="1"/>
    </xf>
    <xf borderId="0" fillId="0" fontId="14" numFmtId="0" xfId="0" applyFont="1"/>
    <xf borderId="34" fillId="0" fontId="35" numFmtId="0" xfId="0" applyAlignment="1" applyBorder="1" applyFont="1">
      <alignment readingOrder="0" shrinkToFit="0" vertical="center" wrapText="1"/>
    </xf>
    <xf borderId="35" fillId="0" fontId="35" numFmtId="0" xfId="0" applyAlignment="1" applyBorder="1" applyFont="1">
      <alignment shrinkToFit="0" vertical="center" wrapText="1"/>
    </xf>
    <xf borderId="36" fillId="0" fontId="35" numFmtId="0" xfId="0" applyAlignment="1" applyBorder="1" applyFont="1">
      <alignment shrinkToFit="0" vertical="center" wrapText="1"/>
    </xf>
    <xf borderId="0" fillId="0" fontId="35" numFmtId="0" xfId="0" applyAlignment="1" applyFont="1">
      <alignment readingOrder="0" shrinkToFit="0" vertical="center" wrapText="1"/>
    </xf>
    <xf borderId="37" fillId="0" fontId="35" numFmtId="0" xfId="0" applyAlignment="1" applyBorder="1" applyFont="1">
      <alignment shrinkToFit="0" vertical="center" wrapText="1"/>
    </xf>
    <xf borderId="0" fillId="0" fontId="37" numFmtId="0" xfId="0" applyAlignment="1" applyFont="1">
      <alignment horizontal="center" readingOrder="0" shrinkToFit="0" vertical="center" wrapText="1"/>
    </xf>
    <xf borderId="38" fillId="0" fontId="35" numFmtId="0" xfId="0" applyAlignment="1" applyBorder="1" applyFont="1">
      <alignment shrinkToFit="0" vertical="center" wrapText="1"/>
    </xf>
    <xf borderId="34" fillId="0" fontId="35" numFmtId="0" xfId="0" applyAlignment="1" applyBorder="1" applyFont="1">
      <alignment shrinkToFit="0" vertical="center" wrapText="1"/>
    </xf>
    <xf borderId="35" fillId="0" fontId="35" numFmtId="171" xfId="0" applyAlignment="1" applyBorder="1" applyFont="1" applyNumberFormat="1">
      <alignment readingOrder="0" shrinkToFit="0" vertical="center" wrapText="1"/>
    </xf>
    <xf borderId="0" fillId="0" fontId="35" numFmtId="0" xfId="0" applyAlignment="1" applyFont="1">
      <alignment horizontal="center" readingOrder="0" shrinkToFit="0" vertical="center" wrapText="1"/>
    </xf>
    <xf borderId="0" fillId="0" fontId="35" numFmtId="0" xfId="0" applyAlignment="1" applyFont="1">
      <alignment horizontal="left" readingOrder="0" shrinkToFit="0" vertical="center" wrapText="1"/>
    </xf>
    <xf borderId="0" fillId="0" fontId="38" numFmtId="0" xfId="0" applyAlignment="1" applyFont="1">
      <alignment horizontal="right" readingOrder="0" shrinkToFit="0" vertical="center" wrapText="1"/>
    </xf>
    <xf borderId="34" fillId="12" fontId="35" numFmtId="0" xfId="0" applyAlignment="1" applyBorder="1" applyFill="1" applyFont="1">
      <alignment horizontal="left" readingOrder="0" shrinkToFit="0" vertical="center" wrapText="1"/>
    </xf>
    <xf borderId="39" fillId="13" fontId="35" numFmtId="0" xfId="0" applyAlignment="1" applyBorder="1" applyFill="1" applyFont="1">
      <alignment horizontal="left" readingOrder="0" shrinkToFit="0" vertical="center" wrapText="1"/>
    </xf>
    <xf borderId="40" fillId="0" fontId="39" numFmtId="0" xfId="0" applyBorder="1" applyFont="1"/>
    <xf borderId="34" fillId="12" fontId="35" numFmtId="0" xfId="0" applyAlignment="1" applyBorder="1" applyFont="1">
      <alignment horizontal="center" readingOrder="0" shrinkToFit="0" vertical="center" wrapText="1"/>
    </xf>
    <xf borderId="34" fillId="13" fontId="35" numFmtId="0" xfId="0" applyAlignment="1" applyBorder="1" applyFont="1">
      <alignment horizontal="left" readingOrder="0" shrinkToFit="0" vertical="center" wrapText="1"/>
    </xf>
    <xf borderId="35" fillId="0" fontId="39" numFmtId="0" xfId="0" applyBorder="1" applyFont="1"/>
    <xf borderId="36" fillId="0" fontId="39" numFmtId="0" xfId="0" applyBorder="1" applyFont="1"/>
    <xf borderId="0" fillId="0" fontId="38" numFmtId="0" xfId="0" applyAlignment="1" applyFont="1">
      <alignment horizontal="left" readingOrder="0" shrinkToFit="0" vertical="center" wrapText="1"/>
    </xf>
    <xf borderId="38" fillId="0" fontId="38" numFmtId="0" xfId="0" applyAlignment="1" applyBorder="1" applyFont="1">
      <alignment horizontal="right" readingOrder="0" shrinkToFit="0" vertical="center" wrapText="1"/>
    </xf>
    <xf borderId="41" fillId="12" fontId="35" numFmtId="0" xfId="0" applyAlignment="1" applyBorder="1" applyFont="1">
      <alignment readingOrder="0" shrinkToFit="0" vertical="center" wrapText="1"/>
    </xf>
    <xf borderId="40" fillId="13" fontId="38" numFmtId="0" xfId="0" applyAlignment="1" applyBorder="1" applyFont="1">
      <alignment horizontal="center" readingOrder="0" shrinkToFit="0" vertical="center" wrapText="1"/>
    </xf>
    <xf borderId="42" fillId="0" fontId="39" numFmtId="0" xfId="0" applyBorder="1" applyFont="1"/>
    <xf borderId="43" fillId="12" fontId="38" numFmtId="0" xfId="0" applyAlignment="1" applyBorder="1" applyFont="1">
      <alignment horizontal="center" readingOrder="0" shrinkToFit="0" vertical="center" wrapText="1"/>
    </xf>
    <xf borderId="44" fillId="13" fontId="38" numFmtId="0" xfId="0" applyAlignment="1" applyBorder="1" applyFont="1">
      <alignment horizontal="left" readingOrder="0" shrinkToFit="0" vertical="center" wrapText="1"/>
    </xf>
    <xf borderId="45" fillId="0" fontId="39" numFmtId="0" xfId="0" applyBorder="1" applyFont="1"/>
    <xf borderId="46" fillId="0" fontId="39" numFmtId="0" xfId="0" applyBorder="1" applyFont="1"/>
    <xf borderId="34" fillId="0" fontId="35" numFmtId="0" xfId="0" applyAlignment="1" applyBorder="1" applyFont="1">
      <alignment horizontal="left" readingOrder="0" shrinkToFit="0" vertical="center" wrapText="1"/>
    </xf>
    <xf borderId="39" fillId="0" fontId="35" numFmtId="0" xfId="0" applyAlignment="1" applyBorder="1" applyFont="1">
      <alignment horizontal="left" readingOrder="0" shrinkToFit="0" vertical="center" wrapText="1"/>
    </xf>
    <xf borderId="40" fillId="0" fontId="35" numFmtId="0" xfId="0" applyAlignment="1" applyBorder="1" applyFont="1">
      <alignment horizontal="left" readingOrder="0" shrinkToFit="0" vertical="center" wrapText="1"/>
    </xf>
    <xf borderId="42" fillId="0" fontId="35" numFmtId="0" xfId="0" applyAlignment="1" applyBorder="1" applyFont="1">
      <alignment horizontal="left" readingOrder="0" shrinkToFit="0" vertical="center" wrapText="1"/>
    </xf>
    <xf borderId="34" fillId="8" fontId="35" numFmtId="0" xfId="0" applyAlignment="1" applyBorder="1" applyFont="1">
      <alignment horizontal="left" readingOrder="0" shrinkToFit="0" vertical="center" wrapText="1"/>
    </xf>
    <xf borderId="35" fillId="0" fontId="35" numFmtId="0" xfId="0" applyAlignment="1" applyBorder="1" applyFont="1">
      <alignment horizontal="left" readingOrder="0" shrinkToFit="0" vertical="center" wrapText="1"/>
    </xf>
    <xf borderId="36" fillId="0" fontId="35" numFmtId="0" xfId="0" applyAlignment="1" applyBorder="1" applyFont="1">
      <alignment horizontal="left" readingOrder="0" shrinkToFit="0" vertical="center" wrapText="1"/>
    </xf>
    <xf borderId="0" fillId="0" fontId="35" numFmtId="0" xfId="0" applyAlignment="1" applyFont="1">
      <alignment horizontal="left" readingOrder="0" shrinkToFit="0" vertical="bottom" wrapText="1"/>
    </xf>
    <xf borderId="0" fillId="0" fontId="40" numFmtId="0" xfId="0" applyAlignment="1" applyFont="1">
      <alignment horizontal="right" readingOrder="0" shrinkToFit="0" vertical="center" wrapText="0"/>
    </xf>
    <xf borderId="41" fillId="0" fontId="35" numFmtId="0" xfId="0" applyAlignment="1" applyBorder="1" applyFont="1">
      <alignment readingOrder="0" shrinkToFit="0" vertical="center" wrapText="1"/>
    </xf>
    <xf borderId="47" fillId="2" fontId="35" numFmtId="0" xfId="0" applyAlignment="1" applyBorder="1" applyFont="1">
      <alignment vertical="center"/>
    </xf>
    <xf borderId="47" fillId="0" fontId="35" numFmtId="0" xfId="0" applyAlignment="1" applyBorder="1" applyFont="1">
      <alignment shrinkToFit="0" vertical="center" wrapText="1"/>
    </xf>
    <xf borderId="47" fillId="0" fontId="35" numFmtId="0" xfId="0" applyAlignment="1" applyBorder="1" applyFont="1">
      <alignment shrinkToFit="0" vertical="center" wrapText="1"/>
    </xf>
    <xf borderId="48" fillId="0" fontId="35" numFmtId="0" xfId="0" applyAlignment="1" applyBorder="1" applyFont="1">
      <alignment shrinkToFit="0" vertical="center" wrapText="1"/>
    </xf>
    <xf borderId="41" fillId="8" fontId="35" numFmtId="0" xfId="0" applyAlignment="1" applyBorder="1" applyFont="1">
      <alignment readingOrder="0" shrinkToFit="0" vertical="center" wrapText="1"/>
    </xf>
    <xf borderId="47" fillId="0" fontId="35" numFmtId="0" xfId="0" applyAlignment="1" applyBorder="1" applyFont="1">
      <alignment readingOrder="0" shrinkToFit="0" vertical="center" wrapText="1"/>
    </xf>
    <xf borderId="49" fillId="12" fontId="35" numFmtId="0" xfId="0" applyAlignment="1" applyBorder="1" applyFont="1">
      <alignment horizontal="center" readingOrder="0" shrinkToFit="0" vertical="center" wrapText="1"/>
    </xf>
    <xf borderId="45" fillId="0" fontId="35" numFmtId="0" xfId="0" applyAlignment="1" applyBorder="1" applyFont="1">
      <alignment readingOrder="0" shrinkToFit="0" vertical="center" wrapText="1"/>
    </xf>
    <xf borderId="0" fillId="2" fontId="38" numFmtId="0" xfId="0" applyAlignment="1" applyFont="1">
      <alignment horizontal="right" readingOrder="0" vertical="center"/>
    </xf>
    <xf borderId="50" fillId="12" fontId="35" numFmtId="0" xfId="0" applyAlignment="1" applyBorder="1" applyFont="1">
      <alignment horizontal="left" readingOrder="0" shrinkToFit="0" vertical="center" wrapText="1"/>
    </xf>
    <xf borderId="50" fillId="13" fontId="35" numFmtId="165" xfId="0" applyAlignment="1" applyBorder="1" applyFont="1" applyNumberFormat="1">
      <alignment horizontal="left" readingOrder="0" shrinkToFit="0" vertical="center" wrapText="1"/>
    </xf>
    <xf borderId="40" fillId="13" fontId="35" numFmtId="0" xfId="0" applyAlignment="1" applyBorder="1" applyFont="1">
      <alignment horizontal="left" readingOrder="0" shrinkToFit="0" vertical="center" wrapText="0"/>
    </xf>
    <xf borderId="35" fillId="0" fontId="35" numFmtId="0" xfId="0" applyAlignment="1" applyBorder="1" applyFont="1">
      <alignment readingOrder="0" shrinkToFit="0" vertical="center" wrapText="0"/>
    </xf>
    <xf borderId="39" fillId="12" fontId="35" numFmtId="0" xfId="0" applyAlignment="1" applyBorder="1" applyFont="1">
      <alignment horizontal="center" readingOrder="0" shrinkToFit="0" vertical="center" wrapText="1"/>
    </xf>
    <xf borderId="40" fillId="0" fontId="38" numFmtId="14" xfId="0" applyAlignment="1" applyBorder="1" applyFont="1" applyNumberFormat="1">
      <alignment horizontal="center" shrinkToFit="0" vertical="center" wrapText="1"/>
    </xf>
    <xf borderId="40" fillId="0" fontId="35" numFmtId="0" xfId="0" applyAlignment="1" applyBorder="1" applyFont="1">
      <alignment horizontal="center" shrinkToFit="0" vertical="center" wrapText="1"/>
    </xf>
    <xf borderId="42" fillId="0" fontId="35" numFmtId="0" xfId="0" applyAlignment="1" applyBorder="1" applyFont="1">
      <alignment horizontal="center" shrinkToFit="0" vertical="center" wrapText="1"/>
    </xf>
    <xf borderId="0" fillId="0" fontId="35" numFmtId="0" xfId="0" applyAlignment="1" applyFont="1">
      <alignment shrinkToFit="0" vertical="center" wrapText="1"/>
    </xf>
    <xf borderId="49" fillId="12" fontId="35" numFmtId="0" xfId="0" applyAlignment="1" applyBorder="1" applyFont="1">
      <alignment horizontal="left" readingOrder="0" shrinkToFit="0" vertical="center" wrapText="1"/>
    </xf>
    <xf borderId="51" fillId="13" fontId="35" numFmtId="165" xfId="0" applyAlignment="1" applyBorder="1" applyFont="1" applyNumberFormat="1">
      <alignment horizontal="left" readingOrder="0" shrinkToFit="0" vertical="center" wrapText="1"/>
    </xf>
    <xf borderId="40" fillId="0" fontId="35" numFmtId="3" xfId="0" applyAlignment="1" applyBorder="1" applyFont="1" applyNumberFormat="1">
      <alignment readingOrder="0" shrinkToFit="0" vertical="center" wrapText="0"/>
    </xf>
    <xf borderId="40" fillId="0" fontId="35" numFmtId="0" xfId="0" applyAlignment="1" applyBorder="1" applyFont="1">
      <alignment horizontal="left" readingOrder="0" shrinkToFit="0" vertical="center" wrapText="0"/>
    </xf>
    <xf borderId="40" fillId="0" fontId="35" numFmtId="0" xfId="0" applyAlignment="1" applyBorder="1" applyFont="1">
      <alignment horizontal="center" readingOrder="0" shrinkToFit="0" vertical="center" wrapText="1"/>
    </xf>
    <xf borderId="40" fillId="2" fontId="35" numFmtId="165" xfId="0" applyAlignment="1" applyBorder="1" applyFont="1" applyNumberFormat="1">
      <alignment horizontal="left" readingOrder="0" shrinkToFit="0" vertical="center" wrapText="0"/>
    </xf>
    <xf borderId="42" fillId="0" fontId="35" numFmtId="0" xfId="0" applyAlignment="1" applyBorder="1" applyFont="1">
      <alignment horizontal="center" readingOrder="0" shrinkToFit="0" vertical="center" wrapText="1"/>
    </xf>
    <xf borderId="50" fillId="0" fontId="35" numFmtId="0" xfId="0" applyAlignment="1" applyBorder="1" applyFont="1">
      <alignment horizontal="left" readingOrder="0" shrinkToFit="0" vertical="center" wrapText="1"/>
    </xf>
    <xf borderId="35" fillId="0" fontId="35" numFmtId="165" xfId="0" applyAlignment="1" applyBorder="1" applyFont="1" applyNumberFormat="1">
      <alignment horizontal="left" readingOrder="0" shrinkToFit="0" vertical="center" wrapText="1"/>
    </xf>
    <xf borderId="41" fillId="8" fontId="35" numFmtId="0" xfId="0" applyAlignment="1" applyBorder="1" applyFont="1">
      <alignment horizontal="left" readingOrder="0" shrinkToFit="0" vertical="center" wrapText="1"/>
    </xf>
    <xf borderId="35" fillId="0" fontId="35" numFmtId="165" xfId="0" applyAlignment="1" applyBorder="1" applyFont="1" applyNumberFormat="1">
      <alignment horizontal="left" readingOrder="0" shrinkToFit="0" vertical="center" wrapText="1"/>
    </xf>
    <xf borderId="35" fillId="0" fontId="35" numFmtId="0" xfId="0" applyAlignment="1" applyBorder="1" applyFont="1">
      <alignment readingOrder="0" shrinkToFit="0" vertical="center" wrapText="1"/>
    </xf>
    <xf borderId="36" fillId="0" fontId="35" numFmtId="0" xfId="0" applyAlignment="1" applyBorder="1" applyFont="1">
      <alignment readingOrder="0" shrinkToFit="0" vertical="center" wrapText="1"/>
    </xf>
    <xf borderId="52" fillId="12" fontId="35" numFmtId="0" xfId="0" applyAlignment="1" applyBorder="1" applyFont="1">
      <alignment horizontal="left" readingOrder="0" shrinkToFit="0" vertical="center" wrapText="1"/>
    </xf>
    <xf borderId="52" fillId="13" fontId="35" numFmtId="165" xfId="0" applyAlignment="1" applyBorder="1" applyFont="1" applyNumberFormat="1">
      <alignment horizontal="left" readingOrder="0" shrinkToFit="0" vertical="center" wrapText="1"/>
    </xf>
    <xf borderId="40" fillId="0" fontId="35" numFmtId="0" xfId="0" applyAlignment="1" applyBorder="1" applyFont="1">
      <alignment shrinkToFit="0" vertical="center" wrapText="1"/>
    </xf>
    <xf borderId="40" fillId="2" fontId="35" numFmtId="0" xfId="0" applyAlignment="1" applyBorder="1" applyFont="1">
      <alignment readingOrder="0" shrinkToFit="0" vertical="center" wrapText="1"/>
    </xf>
    <xf borderId="40" fillId="0" fontId="35" numFmtId="0" xfId="0" applyAlignment="1" applyBorder="1" applyFont="1">
      <alignment horizontal="right" readingOrder="0" shrinkToFit="0" vertical="center" wrapText="1"/>
    </xf>
    <xf borderId="42" fillId="0" fontId="35" numFmtId="0" xfId="0" applyAlignment="1" applyBorder="1" applyFont="1">
      <alignment horizontal="right" readingOrder="0" shrinkToFit="0" vertical="center" wrapText="1"/>
    </xf>
    <xf borderId="53" fillId="0" fontId="35" numFmtId="0" xfId="0" applyAlignment="1" applyBorder="1" applyFont="1">
      <alignment horizontal="left" readingOrder="0" shrinkToFit="0" vertical="center" wrapText="1"/>
    </xf>
    <xf borderId="40" fillId="0" fontId="35" numFmtId="165" xfId="0" applyAlignment="1" applyBorder="1" applyFont="1" applyNumberFormat="1">
      <alignment horizontal="left" readingOrder="0" shrinkToFit="0" vertical="center" wrapText="1"/>
    </xf>
    <xf borderId="47" fillId="0" fontId="35" numFmtId="0" xfId="0" applyAlignment="1" applyBorder="1" applyFont="1">
      <alignment horizontal="left" readingOrder="0" shrinkToFit="0" vertical="center" wrapText="1"/>
    </xf>
    <xf borderId="40" fillId="0" fontId="35" numFmtId="0" xfId="0" applyAlignment="1" applyBorder="1" applyFont="1">
      <alignment readingOrder="0" shrinkToFit="0" vertical="center" wrapText="1"/>
    </xf>
    <xf borderId="40" fillId="0" fontId="35" numFmtId="0" xfId="0" applyAlignment="1" applyBorder="1" applyFont="1">
      <alignment shrinkToFit="0" vertical="center" wrapText="1"/>
    </xf>
    <xf borderId="40" fillId="0" fontId="41" numFmtId="0" xfId="0" applyAlignment="1" applyBorder="1" applyFont="1">
      <alignment readingOrder="0" shrinkToFit="0" vertical="center" wrapText="1"/>
    </xf>
    <xf borderId="42" fillId="0" fontId="39" numFmtId="0" xfId="0" applyBorder="1" applyFont="1"/>
    <xf borderId="40" fillId="0" fontId="35" numFmtId="165" xfId="0" applyAlignment="1" applyBorder="1" applyFont="1" applyNumberFormat="1">
      <alignment horizontal="left" readingOrder="0" shrinkToFit="0" vertical="center" wrapText="1"/>
    </xf>
    <xf borderId="41" fillId="8" fontId="35" numFmtId="0" xfId="0" applyAlignment="1" applyBorder="1" applyFont="1">
      <alignment horizontal="center" readingOrder="0" shrinkToFit="0" vertical="center" wrapText="1"/>
    </xf>
    <xf borderId="40" fillId="2" fontId="36" numFmtId="3" xfId="0" applyAlignment="1" applyBorder="1" applyFont="1" applyNumberFormat="1">
      <alignment readingOrder="0" shrinkToFit="0" vertical="center" wrapText="1"/>
    </xf>
    <xf borderId="40" fillId="0" fontId="41" numFmtId="0" xfId="0" applyAlignment="1" applyBorder="1" applyFont="1">
      <alignment horizontal="right" readingOrder="0" shrinkToFit="0" vertical="center" wrapText="1"/>
    </xf>
    <xf borderId="39" fillId="8" fontId="35" numFmtId="0" xfId="0" applyAlignment="1" applyBorder="1" applyFont="1">
      <alignment horizontal="center" readingOrder="0" shrinkToFit="0" vertical="center" wrapText="1"/>
    </xf>
    <xf borderId="39" fillId="2" fontId="35" numFmtId="165" xfId="0" applyAlignment="1" applyBorder="1" applyFont="1" applyNumberFormat="1">
      <alignment horizontal="center" readingOrder="0" shrinkToFit="0" vertical="center" wrapText="0"/>
    </xf>
    <xf borderId="0" fillId="2" fontId="42" numFmtId="0" xfId="0" applyFont="1"/>
    <xf borderId="0" fillId="0" fontId="42" numFmtId="0" xfId="0" applyFont="1"/>
    <xf borderId="53" fillId="0" fontId="35" numFmtId="0" xfId="0" applyAlignment="1" applyBorder="1" applyFont="1">
      <alignment readingOrder="0" shrinkToFit="0" vertical="center" wrapText="1"/>
    </xf>
    <xf borderId="40" fillId="0" fontId="35" numFmtId="165" xfId="0" applyAlignment="1" applyBorder="1" applyFont="1" applyNumberFormat="1">
      <alignment horizontal="left" shrinkToFit="0" vertical="center" wrapText="1"/>
    </xf>
    <xf borderId="39" fillId="0" fontId="35" numFmtId="0" xfId="0" applyAlignment="1" applyBorder="1" applyFont="1">
      <alignment horizontal="right" readingOrder="0" shrinkToFit="0" vertical="center" wrapText="1"/>
    </xf>
    <xf borderId="40" fillId="0" fontId="35" numFmtId="0" xfId="0" applyAlignment="1" applyBorder="1" applyFont="1">
      <alignment readingOrder="0" shrinkToFit="0" vertical="center" wrapText="0"/>
    </xf>
    <xf borderId="49" fillId="12" fontId="38" numFmtId="0" xfId="0" applyAlignment="1" applyBorder="1" applyFont="1">
      <alignment readingOrder="0" shrinkToFit="0" vertical="center" wrapText="1"/>
    </xf>
    <xf borderId="51" fillId="2" fontId="35" numFmtId="165" xfId="0" applyAlignment="1" applyBorder="1" applyFont="1" applyNumberFormat="1">
      <alignment horizontal="left" readingOrder="0" shrinkToFit="0" vertical="center" wrapText="1"/>
    </xf>
    <xf borderId="35" fillId="13" fontId="35" numFmtId="0" xfId="0" applyAlignment="1" applyBorder="1" applyFont="1">
      <alignment horizontal="left" readingOrder="0" shrinkToFit="0" vertical="center" wrapText="0"/>
    </xf>
    <xf borderId="35" fillId="0" fontId="35" numFmtId="165" xfId="0" applyAlignment="1" applyBorder="1" applyFont="1" applyNumberFormat="1">
      <alignment horizontal="left" readingOrder="0" shrinkToFit="0" vertical="center" wrapText="0"/>
    </xf>
    <xf borderId="36" fillId="0" fontId="35" numFmtId="165" xfId="0" applyAlignment="1" applyBorder="1" applyFont="1" applyNumberFormat="1">
      <alignment horizontal="right" readingOrder="0" shrinkToFit="0" vertical="center" wrapText="0"/>
    </xf>
    <xf borderId="35" fillId="0" fontId="43" numFmtId="0" xfId="0" applyAlignment="1" applyBorder="1" applyFont="1">
      <alignment readingOrder="0" shrinkToFit="0" vertical="center" wrapText="1"/>
    </xf>
    <xf borderId="35" fillId="0" fontId="36" numFmtId="0" xfId="0" applyAlignment="1" applyBorder="1" applyFont="1">
      <alignment horizontal="left" readingOrder="0" shrinkToFit="0" vertical="center" wrapText="1"/>
    </xf>
    <xf borderId="35" fillId="0" fontId="35" numFmtId="0" xfId="0" applyAlignment="1" applyBorder="1" applyFont="1">
      <alignment horizontal="center" readingOrder="0" shrinkToFit="0" vertical="center" wrapText="1"/>
    </xf>
    <xf borderId="35" fillId="0" fontId="35" numFmtId="0" xfId="0" applyAlignment="1" applyBorder="1" applyFont="1">
      <alignment horizontal="right" readingOrder="0" shrinkToFit="0" vertical="center" wrapText="1"/>
    </xf>
    <xf borderId="43" fillId="13" fontId="35" numFmtId="0" xfId="0" applyAlignment="1" applyBorder="1" applyFont="1">
      <alignment horizontal="left" readingOrder="0" shrinkToFit="0" vertical="center" wrapText="0"/>
    </xf>
    <xf borderId="45" fillId="13" fontId="35" numFmtId="0" xfId="0" applyAlignment="1" applyBorder="1" applyFont="1">
      <alignment horizontal="left" readingOrder="0" shrinkToFit="0" vertical="center" wrapText="0"/>
    </xf>
    <xf borderId="54" fillId="0" fontId="39" numFmtId="0" xfId="0" applyBorder="1" applyFont="1"/>
    <xf borderId="45" fillId="2" fontId="35" numFmtId="165" xfId="0" applyAlignment="1" applyBorder="1" applyFont="1" applyNumberFormat="1">
      <alignment horizontal="left" readingOrder="0" shrinkToFit="0" vertical="center" wrapText="0"/>
    </xf>
    <xf borderId="46" fillId="13" fontId="38" numFmtId="0" xfId="0" applyAlignment="1" applyBorder="1" applyFont="1">
      <alignment horizontal="left" readingOrder="0" shrinkToFit="0" vertical="center" wrapText="0"/>
    </xf>
    <xf borderId="47" fillId="0" fontId="35" numFmtId="165" xfId="0" applyAlignment="1" applyBorder="1" applyFont="1" applyNumberFormat="1">
      <alignment horizontal="left" readingOrder="0" shrinkToFit="0" vertical="center" wrapText="1"/>
    </xf>
    <xf borderId="47" fillId="0" fontId="39" numFmtId="0" xfId="0" applyBorder="1" applyFont="1"/>
    <xf borderId="48" fillId="0" fontId="39" numFmtId="0" xfId="0" applyBorder="1" applyFont="1"/>
    <xf borderId="49" fillId="8" fontId="35" numFmtId="0" xfId="0" applyAlignment="1" applyBorder="1" applyFont="1">
      <alignment readingOrder="0" shrinkToFit="0" vertical="center" wrapText="1"/>
    </xf>
    <xf borderId="45" fillId="0" fontId="35" numFmtId="165" xfId="0" applyAlignment="1" applyBorder="1" applyFont="1" applyNumberFormat="1">
      <alignment horizontal="left" readingOrder="0" shrinkToFit="0" vertical="center" wrapText="1"/>
    </xf>
    <xf borderId="47" fillId="0" fontId="40" numFmtId="0" xfId="0" applyAlignment="1" applyBorder="1" applyFont="1">
      <alignment readingOrder="0" shrinkToFit="0" vertical="center" wrapText="1"/>
    </xf>
    <xf borderId="49" fillId="8" fontId="35" numFmtId="0" xfId="0" applyAlignment="1" applyBorder="1" applyFont="1">
      <alignment horizontal="left" readingOrder="0" shrinkToFit="0" vertical="center" wrapText="1"/>
    </xf>
    <xf borderId="44" fillId="0" fontId="35" numFmtId="165" xfId="0" applyAlignment="1" applyBorder="1" applyFont="1" applyNumberFormat="1">
      <alignment horizontal="left" readingOrder="0" shrinkToFit="0" vertical="center" wrapText="1"/>
    </xf>
    <xf borderId="44" fillId="0" fontId="35" numFmtId="0" xfId="0" applyAlignment="1" applyBorder="1" applyFont="1">
      <alignment horizontal="center" readingOrder="0" shrinkToFit="0" vertical="center" wrapText="1"/>
    </xf>
    <xf borderId="49" fillId="8" fontId="35" numFmtId="0" xfId="0" applyAlignment="1" applyBorder="1" applyFont="1">
      <alignment horizontal="center" readingOrder="0" shrinkToFit="0" vertical="center" wrapText="1"/>
    </xf>
    <xf borderId="44" fillId="2" fontId="35" numFmtId="165" xfId="0" applyAlignment="1" applyBorder="1" applyFont="1" applyNumberFormat="1">
      <alignment horizontal="center" readingOrder="0" shrinkToFit="0" vertical="center" wrapText="0"/>
    </xf>
    <xf borderId="34" fillId="12" fontId="35" numFmtId="0" xfId="0" applyAlignment="1" applyBorder="1" applyFont="1">
      <alignment readingOrder="0" shrinkToFit="0" vertical="center" wrapText="1"/>
    </xf>
    <xf borderId="38" fillId="0" fontId="39" numFmtId="0" xfId="0" applyBorder="1" applyFont="1"/>
    <xf borderId="37" fillId="0" fontId="35" numFmtId="0" xfId="0" applyAlignment="1" applyBorder="1" applyFont="1">
      <alignment readingOrder="0" shrinkToFit="0" vertical="center" wrapText="1"/>
    </xf>
    <xf borderId="52" fillId="8" fontId="35" numFmtId="0" xfId="0" applyAlignment="1" applyBorder="1" applyFont="1">
      <alignment horizontal="left" readingOrder="0" shrinkToFit="0" vertical="center" wrapText="1"/>
    </xf>
    <xf borderId="0" fillId="0" fontId="38" numFmtId="14" xfId="0" applyAlignment="1" applyFont="1" applyNumberFormat="1">
      <alignment horizontal="center" readingOrder="0" shrinkToFit="0" vertical="center" wrapText="0"/>
    </xf>
    <xf borderId="0" fillId="0" fontId="38" numFmtId="0" xfId="0" applyAlignment="1" applyFont="1">
      <alignment readingOrder="0" shrinkToFit="0" vertical="center" wrapText="0"/>
    </xf>
    <xf borderId="37" fillId="12" fontId="35" numFmtId="0" xfId="0" applyAlignment="1" applyBorder="1" applyFont="1">
      <alignment readingOrder="0" shrinkToFit="0" vertical="center" wrapText="1"/>
    </xf>
    <xf borderId="0" fillId="0" fontId="44" numFmtId="167" xfId="0" applyAlignment="1" applyFont="1" applyNumberFormat="1">
      <alignment horizontal="center" readingOrder="0" shrinkToFit="0" vertical="center" wrapText="1"/>
    </xf>
    <xf borderId="0" fillId="0" fontId="44" numFmtId="167" xfId="0" applyAlignment="1" applyFont="1" applyNumberFormat="1">
      <alignment readingOrder="0" shrinkToFit="0" vertical="center" wrapText="1"/>
    </xf>
    <xf borderId="37" fillId="12" fontId="35" numFmtId="0" xfId="0" applyAlignment="1" applyBorder="1" applyFont="1">
      <alignment horizontal="left" readingOrder="0" shrinkToFit="0" vertical="center" wrapText="1"/>
    </xf>
    <xf borderId="38" fillId="0" fontId="35" numFmtId="0" xfId="0" applyAlignment="1" applyBorder="1" applyFont="1">
      <alignment horizontal="left" readingOrder="0" shrinkToFit="0" vertical="center" wrapText="1"/>
    </xf>
    <xf borderId="38" fillId="0" fontId="35" numFmtId="0" xfId="0" applyAlignment="1" applyBorder="1" applyFont="1">
      <alignment readingOrder="0" shrinkToFit="0" vertical="center" wrapText="1"/>
    </xf>
    <xf borderId="37" fillId="12" fontId="29" numFmtId="0" xfId="0" applyAlignment="1" applyBorder="1" applyFont="1">
      <alignment readingOrder="0" shrinkToFit="0" vertical="center" wrapText="1"/>
    </xf>
    <xf borderId="37" fillId="0" fontId="35" numFmtId="0" xfId="0" applyAlignment="1" applyBorder="1" applyFont="1">
      <alignment horizontal="left" readingOrder="0" shrinkToFit="0" vertical="center" wrapText="1"/>
    </xf>
    <xf borderId="37" fillId="12" fontId="29" numFmtId="0" xfId="0" applyAlignment="1" applyBorder="1" applyFont="1">
      <alignment horizontal="left" readingOrder="0" shrinkToFit="0" vertical="center" wrapText="1"/>
    </xf>
    <xf borderId="37" fillId="0" fontId="29" numFmtId="0" xfId="0" applyAlignment="1" applyBorder="1" applyFont="1">
      <alignment readingOrder="0" shrinkToFit="0" vertical="center" wrapText="1"/>
    </xf>
    <xf borderId="0" fillId="0" fontId="35" numFmtId="0" xfId="0" applyAlignment="1" applyFont="1">
      <alignment horizontal="left" shrinkToFit="0" vertical="center" wrapText="1"/>
    </xf>
    <xf borderId="37" fillId="0" fontId="29" numFmtId="0" xfId="0" applyAlignment="1" applyBorder="1" applyFont="1">
      <alignment horizontal="left" readingOrder="0" shrinkToFit="0" vertical="center" wrapText="1"/>
    </xf>
    <xf borderId="55" fillId="12" fontId="35" numFmtId="0" xfId="0" applyAlignment="1" applyBorder="1" applyFont="1">
      <alignment horizontal="left" readingOrder="0" shrinkToFit="0" vertical="center" wrapText="1"/>
    </xf>
    <xf borderId="48" fillId="0" fontId="35" numFmtId="0" xfId="0" applyAlignment="1" applyBorder="1" applyFont="1">
      <alignment horizontal="left" readingOrder="0" shrinkToFit="0" vertical="center" wrapText="1"/>
    </xf>
    <xf borderId="0" fillId="0" fontId="42" numFmtId="0" xfId="0" applyAlignment="1" applyFont="1">
      <alignment shrinkToFit="0" vertical="center" wrapText="1"/>
    </xf>
    <xf borderId="55" fillId="0" fontId="35" numFmtId="0" xfId="0" applyAlignment="1" applyBorder="1" applyFont="1">
      <alignment horizontal="left" readingOrder="0" shrinkToFit="0" vertical="center" wrapText="1"/>
    </xf>
    <xf borderId="0" fillId="0" fontId="14" numFmtId="0" xfId="0" applyAlignment="1" applyFont="1">
      <alignment shrinkToFit="0" vertical="center" wrapText="1"/>
    </xf>
    <xf borderId="55" fillId="0" fontId="35" numFmtId="0" xfId="0" applyAlignment="1" applyBorder="1" applyFont="1">
      <alignment shrinkToFit="0" vertical="center" wrapText="1"/>
    </xf>
    <xf borderId="38" fillId="0" fontId="35" numFmtId="0" xfId="0" applyAlignment="1" applyBorder="1" applyFont="1">
      <alignment shrinkToFit="0" vertical="center" wrapText="0"/>
    </xf>
    <xf borderId="0" fillId="0" fontId="29" numFmtId="0" xfId="0" applyAlignment="1" applyFont="1">
      <alignment readingOrder="0" shrinkToFit="0" wrapText="1"/>
    </xf>
    <xf borderId="0" fillId="0" fontId="29" numFmtId="0" xfId="0" applyAlignment="1" applyFont="1">
      <alignment shrinkToFit="0" wrapText="1"/>
    </xf>
    <xf borderId="0" fillId="0" fontId="38" numFmtId="0" xfId="0" applyAlignment="1" applyFont="1">
      <alignment readingOrder="0" shrinkToFit="0" vertical="center" wrapText="1"/>
    </xf>
    <xf borderId="50" fillId="6" fontId="35" numFmtId="0" xfId="0" applyAlignment="1" applyBorder="1" applyFont="1">
      <alignment horizontal="center" readingOrder="0" shrinkToFit="0" vertical="center" wrapText="1"/>
    </xf>
    <xf borderId="39" fillId="6" fontId="35" numFmtId="0" xfId="0" applyAlignment="1" applyBorder="1" applyFont="1">
      <alignment horizontal="center" readingOrder="0" shrinkToFit="0" vertical="center" wrapText="1"/>
    </xf>
    <xf borderId="42" fillId="0" fontId="45" numFmtId="3" xfId="0" applyAlignment="1" applyBorder="1" applyFont="1" applyNumberFormat="1">
      <alignment horizontal="center" readingOrder="0" shrinkToFit="0" vertical="center" wrapText="1"/>
    </xf>
    <xf borderId="42" fillId="6" fontId="35" numFmtId="0" xfId="0" applyAlignment="1" applyBorder="1" applyFont="1">
      <alignment horizontal="center" readingOrder="0" shrinkToFit="0" vertical="center" wrapText="1"/>
    </xf>
    <xf borderId="34" fillId="0" fontId="35" numFmtId="0" xfId="0" applyAlignment="1" applyBorder="1" applyFont="1">
      <alignment horizontal="center" readingOrder="0" shrinkToFit="0" vertical="center" wrapText="1"/>
    </xf>
    <xf borderId="52" fillId="0" fontId="39" numFmtId="0" xfId="0" applyBorder="1" applyFont="1"/>
    <xf borderId="41" fillId="6" fontId="35" numFmtId="0" xfId="0" applyAlignment="1" applyBorder="1" applyFont="1">
      <alignment horizontal="center" readingOrder="0" shrinkToFit="0" vertical="center" wrapText="1"/>
    </xf>
    <xf borderId="37" fillId="0" fontId="39" numFmtId="0" xfId="0" applyBorder="1" applyFont="1"/>
    <xf borderId="40" fillId="0" fontId="35" numFmtId="3" xfId="0" applyAlignment="1" applyBorder="1" applyFont="1" applyNumberFormat="1">
      <alignment horizontal="center" readingOrder="0" shrinkToFit="0" vertical="center" wrapText="1"/>
    </xf>
    <xf borderId="52" fillId="6" fontId="35" numFmtId="0" xfId="0" applyAlignment="1" applyBorder="1" applyFont="1">
      <alignment horizontal="center" readingOrder="0" shrinkToFit="0" vertical="center" wrapText="1"/>
    </xf>
    <xf borderId="55" fillId="0" fontId="39" numFmtId="0" xfId="0" applyBorder="1" applyFont="1"/>
    <xf borderId="40" fillId="0" fontId="35" numFmtId="165" xfId="0" applyAlignment="1" applyBorder="1" applyFont="1" applyNumberFormat="1">
      <alignment horizontal="center" readingOrder="0" shrinkToFit="0" vertical="center" wrapText="1"/>
    </xf>
    <xf borderId="53" fillId="6" fontId="35" numFmtId="0" xfId="0" applyAlignment="1" applyBorder="1" applyFont="1">
      <alignment horizontal="center" readingOrder="0" shrinkToFit="0" vertical="center" wrapText="1"/>
    </xf>
    <xf borderId="40" fillId="0" fontId="35" numFmtId="169" xfId="0" applyAlignment="1" applyBorder="1" applyFont="1" applyNumberFormat="1">
      <alignment horizontal="center" readingOrder="0" shrinkToFit="0" vertical="center" wrapText="1"/>
    </xf>
    <xf borderId="56" fillId="0" fontId="35" numFmtId="0" xfId="0" applyAlignment="1" applyBorder="1" applyFont="1">
      <alignment shrinkToFit="0" vertical="center" wrapText="1"/>
    </xf>
    <xf borderId="57" fillId="0" fontId="46" numFmtId="0" xfId="0" applyAlignment="1" applyBorder="1" applyFont="1">
      <alignment readingOrder="0" vertical="center"/>
    </xf>
    <xf borderId="58" fillId="0" fontId="35" numFmtId="0" xfId="0" applyAlignment="1" applyBorder="1" applyFont="1">
      <alignment shrinkToFit="0" vertical="center" wrapText="1"/>
    </xf>
    <xf borderId="59" fillId="0" fontId="35" numFmtId="0" xfId="0" applyAlignment="1" applyBorder="1" applyFont="1">
      <alignment shrinkToFit="0" vertical="center" wrapText="1"/>
    </xf>
    <xf borderId="0" fillId="0" fontId="46" numFmtId="0" xfId="0" applyAlignment="1" applyFont="1">
      <alignment readingOrder="0" vertical="center"/>
    </xf>
    <xf borderId="60" fillId="0" fontId="35" numFmtId="0" xfId="0" applyAlignment="1" applyBorder="1" applyFont="1">
      <alignment shrinkToFit="0" vertical="center" wrapText="1"/>
    </xf>
    <xf borderId="59" fillId="0" fontId="35" numFmtId="0" xfId="0" applyAlignment="1" applyBorder="1" applyFont="1">
      <alignment shrinkToFit="0" vertical="top" wrapText="1"/>
    </xf>
    <xf borderId="0" fillId="0" fontId="45" numFmtId="0" xfId="0" applyAlignment="1" applyFont="1">
      <alignment readingOrder="0" vertical="top"/>
    </xf>
    <xf borderId="0" fillId="0" fontId="46" numFmtId="0" xfId="0" applyAlignment="1" applyFont="1">
      <alignment readingOrder="0" vertical="top"/>
    </xf>
    <xf borderId="60" fillId="0" fontId="35" numFmtId="0" xfId="0" applyAlignment="1" applyBorder="1" applyFont="1">
      <alignment shrinkToFit="0" vertical="top" wrapText="1"/>
    </xf>
    <xf borderId="0" fillId="0" fontId="35" numFmtId="0" xfId="0" applyAlignment="1" applyFont="1">
      <alignment shrinkToFit="0" vertical="top" wrapText="1"/>
    </xf>
    <xf borderId="0" fillId="0" fontId="29" numFmtId="0" xfId="0" applyAlignment="1" applyFont="1">
      <alignment readingOrder="0" vertical="center"/>
    </xf>
    <xf borderId="0" fillId="0" fontId="29" numFmtId="0" xfId="0" applyAlignment="1" applyFont="1">
      <alignment readingOrder="0" shrinkToFit="0" vertical="center" wrapText="1"/>
    </xf>
    <xf borderId="0" fillId="0" fontId="35" numFmtId="0" xfId="0" applyAlignment="1" applyFont="1">
      <alignment horizontal="left" readingOrder="0" shrinkToFit="0" vertical="top" wrapText="1"/>
    </xf>
    <xf borderId="0" fillId="0" fontId="46" numFmtId="0" xfId="0" applyAlignment="1" applyFont="1">
      <alignment horizontal="center" readingOrder="0" vertical="center"/>
    </xf>
    <xf borderId="0" fillId="0" fontId="46" numFmtId="0" xfId="0" applyAlignment="1" applyFont="1">
      <alignment horizontal="center" readingOrder="0" vertical="bottom"/>
    </xf>
    <xf borderId="61" fillId="0" fontId="35" numFmtId="0" xfId="0" applyAlignment="1" applyBorder="1" applyFont="1">
      <alignment shrinkToFit="0" vertical="center" wrapText="1"/>
    </xf>
    <xf borderId="62" fillId="0" fontId="47" numFmtId="0" xfId="0" applyAlignment="1" applyBorder="1" applyFont="1">
      <alignment readingOrder="0" vertical="center"/>
    </xf>
    <xf borderId="62" fillId="0" fontId="39" numFmtId="0" xfId="0" applyBorder="1" applyFont="1"/>
    <xf borderId="62" fillId="0" fontId="14" numFmtId="0" xfId="0" applyAlignment="1" applyBorder="1" applyFont="1">
      <alignment readingOrder="0" shrinkToFit="0" vertical="center" wrapText="1"/>
    </xf>
    <xf borderId="63" fillId="0" fontId="35" numFmtId="0" xfId="0" applyAlignment="1" applyBorder="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readingOrder="0"/>
    </xf>
    <xf borderId="0" fillId="0" fontId="35" numFmtId="0" xfId="0" applyAlignment="1" applyFont="1">
      <alignment horizontal="right" readingOrder="0" shrinkToFit="0" vertical="center" wrapText="1"/>
    </xf>
    <xf borderId="40" fillId="12" fontId="35" numFmtId="0" xfId="0" applyAlignment="1" applyBorder="1" applyFont="1">
      <alignment horizontal="center" readingOrder="0" shrinkToFit="0" vertical="center" wrapText="1"/>
    </xf>
    <xf borderId="0" fillId="0" fontId="35" numFmtId="0" xfId="0" applyAlignment="1" applyFont="1">
      <alignment horizontal="right" readingOrder="0" shrinkToFit="0" vertical="center" wrapText="0"/>
    </xf>
    <xf borderId="41" fillId="12" fontId="35" numFmtId="0" xfId="0" applyAlignment="1" applyBorder="1" applyFont="1">
      <alignment horizontal="center" readingOrder="0" shrinkToFit="0" vertical="center" wrapText="1"/>
    </xf>
    <xf borderId="41" fillId="12" fontId="35" numFmtId="0" xfId="0" applyAlignment="1" applyBorder="1" applyFont="1">
      <alignment horizontal="left" readingOrder="0" shrinkToFit="0" vertical="center" wrapText="1"/>
    </xf>
    <xf borderId="41" fillId="13" fontId="35" numFmtId="165" xfId="0" applyAlignment="1" applyBorder="1" applyFont="1" applyNumberFormat="1">
      <alignment horizontal="left" readingOrder="0" shrinkToFit="0" vertical="center" wrapText="1"/>
    </xf>
    <xf borderId="40" fillId="0" fontId="38" numFmtId="0" xfId="0" applyAlignment="1" applyBorder="1" applyFont="1">
      <alignment horizontal="center" shrinkToFit="0" vertical="center" wrapText="1"/>
    </xf>
    <xf borderId="47" fillId="2" fontId="48" numFmtId="0" xfId="0" applyBorder="1" applyFont="1"/>
    <xf borderId="41" fillId="2" fontId="35" numFmtId="165" xfId="0" applyAlignment="1" applyBorder="1" applyFont="1" applyNumberFormat="1">
      <alignment horizontal="left" readingOrder="0" shrinkToFit="0" vertical="center" wrapText="1"/>
    </xf>
    <xf borderId="40" fillId="0" fontId="43" numFmtId="0" xfId="0" applyAlignment="1" applyBorder="1" applyFont="1">
      <alignment readingOrder="0" shrinkToFit="0" vertical="center" wrapText="1"/>
    </xf>
    <xf borderId="39" fillId="13" fontId="35" numFmtId="0" xfId="0" applyAlignment="1" applyBorder="1" applyFont="1">
      <alignment horizontal="left" readingOrder="0" shrinkToFit="0" vertical="center" wrapText="0"/>
    </xf>
    <xf borderId="42" fillId="13" fontId="35" numFmtId="0" xfId="0" applyAlignment="1" applyBorder="1" applyFont="1">
      <alignment horizontal="left" readingOrder="0" shrinkToFit="0" vertical="center" wrapText="0"/>
    </xf>
    <xf borderId="39" fillId="0" fontId="35" numFmtId="0" xfId="0" applyAlignment="1" applyBorder="1" applyFont="1">
      <alignment readingOrder="0" shrinkToFit="0" vertical="center" wrapText="1"/>
    </xf>
    <xf borderId="39" fillId="0" fontId="35" numFmtId="165" xfId="0" applyAlignment="1" applyBorder="1" applyFont="1" applyNumberFormat="1">
      <alignment horizontal="left" readingOrder="0" shrinkToFit="0" vertical="center" wrapText="1"/>
    </xf>
    <xf borderId="39" fillId="0" fontId="35" numFmtId="0" xfId="0" applyAlignment="1" applyBorder="1" applyFont="1">
      <alignment horizontal="center" readingOrder="0" shrinkToFit="0" vertical="center" wrapText="1"/>
    </xf>
    <xf borderId="0" fillId="0" fontId="35" numFmtId="14" xfId="0" applyAlignment="1" applyFont="1" applyNumberFormat="1">
      <alignment horizontal="center" readingOrder="0" shrinkToFit="0" vertical="center" wrapText="1"/>
    </xf>
    <xf borderId="42" fillId="0" fontId="29" numFmtId="3" xfId="0" applyAlignment="1" applyBorder="1" applyFont="1" applyNumberFormat="1">
      <alignment horizontal="center" readingOrder="0" shrinkToFit="0" vertical="center" wrapText="1"/>
    </xf>
    <xf borderId="0" fillId="0" fontId="47" numFmtId="0" xfId="0" applyAlignment="1" applyFont="1">
      <alignment readingOrder="0" vertical="center"/>
    </xf>
    <xf borderId="0" fillId="0" fontId="49" numFmtId="0" xfId="0" applyAlignment="1" applyFont="1">
      <alignment shrinkToFit="0" vertical="center" wrapText="1"/>
    </xf>
    <xf borderId="0" fillId="11" fontId="49" numFmtId="0" xfId="0" applyAlignment="1" applyFont="1">
      <alignment shrinkToFit="0" vertical="center" wrapText="1"/>
    </xf>
    <xf borderId="0" fillId="11" fontId="50" numFmtId="0" xfId="0" applyAlignment="1" applyFont="1">
      <alignment shrinkToFit="0" vertical="center" wrapText="1"/>
    </xf>
    <xf borderId="0" fillId="2" fontId="51" numFmtId="0" xfId="0" applyAlignment="1" applyFont="1">
      <alignment horizontal="center" readingOrder="0" vertical="center"/>
    </xf>
    <xf borderId="0" fillId="11" fontId="49" numFmtId="0" xfId="0" applyAlignment="1" applyFont="1">
      <alignment readingOrder="0" shrinkToFit="0" vertical="center" wrapText="1"/>
    </xf>
    <xf borderId="0" fillId="0" fontId="52" numFmtId="0" xfId="0" applyAlignment="1" applyFont="1">
      <alignment readingOrder="0" shrinkToFit="0" vertical="center" wrapText="1"/>
    </xf>
    <xf borderId="0" fillId="0" fontId="49" numFmtId="0" xfId="0" applyAlignment="1" applyFont="1">
      <alignment readingOrder="0" shrinkToFit="0" vertical="center" wrapText="1"/>
    </xf>
    <xf borderId="34" fillId="0" fontId="49" numFmtId="0" xfId="0" applyAlignment="1" applyBorder="1" applyFont="1">
      <alignment shrinkToFit="0" vertical="center" wrapText="1"/>
    </xf>
    <xf borderId="35" fillId="0" fontId="49" numFmtId="0" xfId="0" applyAlignment="1" applyBorder="1" applyFont="1">
      <alignment shrinkToFit="0" vertical="center" wrapText="1"/>
    </xf>
    <xf borderId="36" fillId="0" fontId="49" numFmtId="0" xfId="0" applyAlignment="1" applyBorder="1" applyFont="1">
      <alignment shrinkToFit="0" vertical="center" wrapText="1"/>
    </xf>
    <xf borderId="37" fillId="0" fontId="49" numFmtId="0" xfId="0" applyAlignment="1" applyBorder="1" applyFont="1">
      <alignment shrinkToFit="0" vertical="center" wrapText="1"/>
    </xf>
    <xf borderId="0" fillId="0" fontId="53" numFmtId="0" xfId="0" applyAlignment="1" applyFont="1">
      <alignment horizontal="center" readingOrder="0" shrinkToFit="0" vertical="center" wrapText="1"/>
    </xf>
    <xf borderId="38" fillId="0" fontId="49" numFmtId="0" xfId="0" applyAlignment="1" applyBorder="1" applyFont="1">
      <alignment shrinkToFit="0" vertical="center" wrapText="1"/>
    </xf>
    <xf borderId="0" fillId="0" fontId="49" numFmtId="0" xfId="0" applyAlignment="1" applyFont="1">
      <alignment horizontal="center" readingOrder="0" shrinkToFit="0" vertical="center" wrapText="1"/>
    </xf>
    <xf borderId="0" fillId="0" fontId="49" numFmtId="0" xfId="0" applyAlignment="1" applyFont="1">
      <alignment horizontal="left" readingOrder="0" shrinkToFit="0" vertical="center" wrapText="1"/>
    </xf>
    <xf borderId="0" fillId="0" fontId="54" numFmtId="0" xfId="0" applyAlignment="1" applyFont="1">
      <alignment horizontal="left" readingOrder="0" shrinkToFit="0" vertical="center" wrapText="1"/>
    </xf>
    <xf borderId="34" fillId="12" fontId="49" numFmtId="0" xfId="0" applyAlignment="1" applyBorder="1" applyFont="1">
      <alignment horizontal="left" readingOrder="0" shrinkToFit="0" vertical="center" wrapText="1"/>
    </xf>
    <xf borderId="39" fillId="13" fontId="49" numFmtId="0" xfId="0" applyAlignment="1" applyBorder="1" applyFont="1">
      <alignment horizontal="left" readingOrder="0" shrinkToFit="0" vertical="center" wrapText="1"/>
    </xf>
    <xf borderId="34" fillId="0" fontId="49" numFmtId="0" xfId="0" applyAlignment="1" applyBorder="1" applyFont="1">
      <alignment horizontal="left" readingOrder="0" shrinkToFit="0" vertical="center" wrapText="1"/>
    </xf>
    <xf borderId="39" fillId="0" fontId="49" numFmtId="0" xfId="0" applyAlignment="1" applyBorder="1" applyFont="1">
      <alignment horizontal="left" readingOrder="0" shrinkToFit="0" vertical="center" wrapText="1"/>
    </xf>
    <xf borderId="40" fillId="0" fontId="49" numFmtId="0" xfId="0" applyAlignment="1" applyBorder="1" applyFont="1">
      <alignment horizontal="left" readingOrder="0" shrinkToFit="0" vertical="center" wrapText="1"/>
    </xf>
    <xf borderId="42" fillId="0" fontId="49" numFmtId="0" xfId="0" applyAlignment="1" applyBorder="1" applyFont="1">
      <alignment horizontal="left" readingOrder="0" shrinkToFit="0" vertical="center" wrapText="1"/>
    </xf>
    <xf borderId="34" fillId="8" fontId="49" numFmtId="0" xfId="0" applyAlignment="1" applyBorder="1" applyFont="1">
      <alignment horizontal="left" readingOrder="0" shrinkToFit="0" vertical="center" wrapText="1"/>
    </xf>
    <xf borderId="39" fillId="12" fontId="49" numFmtId="0" xfId="0" applyAlignment="1" applyBorder="1" applyFont="1">
      <alignment horizontal="center" readingOrder="0" shrinkToFit="0" vertical="center" wrapText="1"/>
    </xf>
    <xf borderId="41" fillId="12" fontId="49" numFmtId="0" xfId="0" applyAlignment="1" applyBorder="1" applyFont="1">
      <alignment readingOrder="0" shrinkToFit="0" vertical="center" wrapText="1"/>
    </xf>
    <xf borderId="47" fillId="13" fontId="49" numFmtId="0" xfId="0" applyAlignment="1" applyBorder="1" applyFont="1">
      <alignment readingOrder="0" shrinkToFit="0" vertical="center" wrapText="1"/>
    </xf>
    <xf borderId="41" fillId="0" fontId="49" numFmtId="0" xfId="0" applyAlignment="1" applyBorder="1" applyFont="1">
      <alignment readingOrder="0" shrinkToFit="0" vertical="center" wrapText="1"/>
    </xf>
    <xf borderId="47" fillId="2" fontId="49" numFmtId="0" xfId="0" applyAlignment="1" applyBorder="1" applyFont="1">
      <alignment vertical="center"/>
    </xf>
    <xf borderId="47" fillId="0" fontId="49" numFmtId="0" xfId="0" applyAlignment="1" applyBorder="1" applyFont="1">
      <alignment shrinkToFit="0" vertical="center" wrapText="1"/>
    </xf>
    <xf borderId="47" fillId="0" fontId="49" numFmtId="0" xfId="0" applyAlignment="1" applyBorder="1" applyFont="1">
      <alignment shrinkToFit="0" vertical="center" wrapText="1"/>
    </xf>
    <xf borderId="48" fillId="0" fontId="49" numFmtId="0" xfId="0" applyAlignment="1" applyBorder="1" applyFont="1">
      <alignment shrinkToFit="0" vertical="center" wrapText="1"/>
    </xf>
    <xf borderId="41" fillId="8" fontId="49" numFmtId="0" xfId="0" applyAlignment="1" applyBorder="1" applyFont="1">
      <alignment readingOrder="0" shrinkToFit="0" vertical="center" wrapText="1"/>
    </xf>
    <xf borderId="39" fillId="0" fontId="52" numFmtId="0" xfId="0" applyAlignment="1" applyBorder="1" applyFont="1">
      <alignment horizontal="left" readingOrder="0" shrinkToFit="0" vertical="center" wrapText="1"/>
    </xf>
    <xf borderId="41" fillId="12" fontId="49" numFmtId="0" xfId="0" applyAlignment="1" applyBorder="1" applyFont="1">
      <alignment horizontal="center" readingOrder="0" shrinkToFit="0" vertical="center" wrapText="1"/>
    </xf>
    <xf borderId="0" fillId="0" fontId="49" numFmtId="0" xfId="0" applyAlignment="1" applyFont="1">
      <alignment horizontal="left" readingOrder="0" shrinkToFit="0" vertical="bottom" wrapText="1"/>
    </xf>
    <xf borderId="0" fillId="0" fontId="54" numFmtId="0" xfId="0" applyAlignment="1" applyFont="1">
      <alignment horizontal="right" readingOrder="0" shrinkToFit="0" vertical="center" wrapText="1"/>
    </xf>
    <xf borderId="0" fillId="0" fontId="54" numFmtId="0" xfId="0" applyAlignment="1" applyFont="1">
      <alignment horizontal="left" readingOrder="0" shrinkToFit="0" vertical="bottom" wrapText="1"/>
    </xf>
    <xf borderId="0" fillId="0" fontId="49" numFmtId="0" xfId="0" applyAlignment="1" applyFont="1">
      <alignment shrinkToFit="0" vertical="center" wrapText="1"/>
    </xf>
    <xf borderId="41" fillId="12" fontId="49" numFmtId="0" xfId="0" applyAlignment="1" applyBorder="1" applyFont="1">
      <alignment horizontal="left" readingOrder="0" shrinkToFit="0" vertical="center" wrapText="1"/>
    </xf>
    <xf borderId="41" fillId="13" fontId="49" numFmtId="165" xfId="0" applyAlignment="1" applyBorder="1" applyFont="1" applyNumberFormat="1">
      <alignment horizontal="left" readingOrder="0" shrinkToFit="0" vertical="center" wrapText="1"/>
    </xf>
    <xf borderId="35" fillId="0" fontId="49" numFmtId="0" xfId="0" applyAlignment="1" applyBorder="1" applyFont="1">
      <alignment readingOrder="0" shrinkToFit="0" vertical="center" wrapText="0"/>
    </xf>
    <xf borderId="35" fillId="0" fontId="49" numFmtId="0" xfId="0" applyAlignment="1" applyBorder="1" applyFont="1">
      <alignment horizontal="left" readingOrder="0" shrinkToFit="0" vertical="center" wrapText="1"/>
    </xf>
    <xf borderId="50" fillId="0" fontId="49" numFmtId="0" xfId="0" applyAlignment="1" applyBorder="1" applyFont="1">
      <alignment horizontal="left" readingOrder="0" shrinkToFit="0" vertical="center" wrapText="1"/>
    </xf>
    <xf borderId="35" fillId="0" fontId="49" numFmtId="165" xfId="0" applyAlignment="1" applyBorder="1" applyFont="1" applyNumberFormat="1">
      <alignment horizontal="left" readingOrder="0" shrinkToFit="0" vertical="center" wrapText="1"/>
    </xf>
    <xf borderId="41" fillId="8" fontId="49" numFmtId="0" xfId="0" applyAlignment="1" applyBorder="1" applyFont="1">
      <alignment horizontal="left" readingOrder="0" shrinkToFit="0" vertical="center" wrapText="1"/>
    </xf>
    <xf borderId="35" fillId="0" fontId="49" numFmtId="165" xfId="0" applyAlignment="1" applyBorder="1" applyFont="1" applyNumberFormat="1">
      <alignment horizontal="left" readingOrder="0" shrinkToFit="0" vertical="center" wrapText="1"/>
    </xf>
    <xf borderId="40" fillId="13" fontId="49" numFmtId="0" xfId="0" applyAlignment="1" applyBorder="1" applyFont="1">
      <alignment horizontal="left" readingOrder="0" shrinkToFit="0" vertical="center" wrapText="0"/>
    </xf>
    <xf borderId="53" fillId="0" fontId="49" numFmtId="0" xfId="0" applyAlignment="1" applyBorder="1" applyFont="1">
      <alignment horizontal="left" readingOrder="0" shrinkToFit="0" vertical="center" wrapText="1"/>
    </xf>
    <xf borderId="40" fillId="0" fontId="49" numFmtId="165" xfId="0" applyAlignment="1" applyBorder="1" applyFont="1" applyNumberFormat="1">
      <alignment horizontal="left" readingOrder="0" shrinkToFit="0" vertical="center" wrapText="1"/>
    </xf>
    <xf borderId="47" fillId="0" fontId="49" numFmtId="0" xfId="0" applyAlignment="1" applyBorder="1" applyFont="1">
      <alignment horizontal="left" readingOrder="0" shrinkToFit="0" vertical="center" wrapText="1"/>
    </xf>
    <xf borderId="40" fillId="0" fontId="49" numFmtId="0" xfId="0" applyAlignment="1" applyBorder="1" applyFont="1">
      <alignment readingOrder="0" shrinkToFit="0" vertical="center" wrapText="1"/>
    </xf>
    <xf borderId="40" fillId="0" fontId="49" numFmtId="0" xfId="0" applyAlignment="1" applyBorder="1" applyFont="1">
      <alignment shrinkToFit="0" vertical="center" wrapText="1"/>
    </xf>
    <xf borderId="40" fillId="0" fontId="52" numFmtId="0" xfId="0" applyAlignment="1" applyBorder="1" applyFont="1">
      <alignment readingOrder="0" shrinkToFit="0" vertical="center" wrapText="1"/>
    </xf>
    <xf borderId="40" fillId="0" fontId="49" numFmtId="165" xfId="0" applyAlignment="1" applyBorder="1" applyFont="1" applyNumberFormat="1">
      <alignment horizontal="left" readingOrder="0" shrinkToFit="0" vertical="center" wrapText="1"/>
    </xf>
    <xf borderId="41" fillId="8" fontId="49" numFmtId="0" xfId="0" applyAlignment="1" applyBorder="1" applyFont="1">
      <alignment horizontal="center" readingOrder="0" shrinkToFit="0" vertical="center" wrapText="1"/>
    </xf>
    <xf borderId="40" fillId="0" fontId="52" numFmtId="0" xfId="0" applyAlignment="1" applyBorder="1" applyFont="1">
      <alignment horizontal="right" readingOrder="0" shrinkToFit="0" vertical="center" wrapText="1"/>
    </xf>
    <xf borderId="39" fillId="8" fontId="49" numFmtId="0" xfId="0" applyAlignment="1" applyBorder="1" applyFont="1">
      <alignment horizontal="center" readingOrder="0" shrinkToFit="0" vertical="center" wrapText="1"/>
    </xf>
    <xf borderId="39" fillId="2" fontId="49" numFmtId="165" xfId="0" applyAlignment="1" applyBorder="1" applyFont="1" applyNumberFormat="1">
      <alignment horizontal="left" readingOrder="0" shrinkToFit="0" vertical="center" wrapText="0"/>
    </xf>
    <xf borderId="41" fillId="2" fontId="49" numFmtId="165" xfId="0" applyAlignment="1" applyBorder="1" applyFont="1" applyNumberFormat="1">
      <alignment horizontal="left" readingOrder="0" shrinkToFit="0" vertical="center" wrapText="1"/>
    </xf>
    <xf borderId="53" fillId="0" fontId="49" numFmtId="0" xfId="0" applyAlignment="1" applyBorder="1" applyFont="1">
      <alignment readingOrder="0" shrinkToFit="0" vertical="center" wrapText="1"/>
    </xf>
    <xf borderId="40" fillId="0" fontId="49" numFmtId="165" xfId="0" applyAlignment="1" applyBorder="1" applyFont="1" applyNumberFormat="1">
      <alignment horizontal="left" shrinkToFit="0" vertical="center" wrapText="1"/>
    </xf>
    <xf borderId="40" fillId="0" fontId="49" numFmtId="0" xfId="0" applyAlignment="1" applyBorder="1" applyFont="1">
      <alignment shrinkToFit="0" vertical="center" wrapText="1"/>
    </xf>
    <xf borderId="40" fillId="0" fontId="49" numFmtId="0" xfId="0" applyAlignment="1" applyBorder="1" applyFont="1">
      <alignment horizontal="right" readingOrder="0" shrinkToFit="0" vertical="center" wrapText="1"/>
    </xf>
    <xf borderId="39" fillId="0" fontId="49" numFmtId="0" xfId="0" applyAlignment="1" applyBorder="1" applyFont="1">
      <alignment horizontal="right" readingOrder="0" shrinkToFit="0" vertical="center" wrapText="1"/>
    </xf>
    <xf borderId="50" fillId="8" fontId="49" numFmtId="0" xfId="0" applyAlignment="1" applyBorder="1" applyFont="1">
      <alignment horizontal="center" readingOrder="0" shrinkToFit="0" vertical="center" wrapText="1"/>
    </xf>
    <xf borderId="35" fillId="0" fontId="49" numFmtId="0" xfId="0" applyAlignment="1" applyBorder="1" applyFont="1">
      <alignment readingOrder="0" shrinkToFit="0" vertical="center" wrapText="1"/>
    </xf>
    <xf borderId="35" fillId="0" fontId="49" numFmtId="0" xfId="0" applyAlignment="1" applyBorder="1" applyFont="1">
      <alignment horizontal="right" readingOrder="0" shrinkToFit="0" vertical="center" wrapText="1"/>
    </xf>
    <xf borderId="36" fillId="0" fontId="49" numFmtId="0" xfId="0" applyAlignment="1" applyBorder="1" applyFont="1">
      <alignment horizontal="right" readingOrder="0" shrinkToFit="0" vertical="center" wrapText="1"/>
    </xf>
    <xf borderId="40" fillId="2" fontId="49" numFmtId="0" xfId="0" applyAlignment="1" applyBorder="1" applyFont="1">
      <alignment readingOrder="0" shrinkToFit="0" vertical="center" wrapText="1"/>
    </xf>
    <xf borderId="42" fillId="0" fontId="49" numFmtId="0" xfId="0" applyAlignment="1" applyBorder="1" applyFont="1">
      <alignment horizontal="right" readingOrder="0" shrinkToFit="0" vertical="center" wrapText="1"/>
    </xf>
    <xf borderId="39" fillId="0" fontId="49" numFmtId="0" xfId="0" applyAlignment="1" applyBorder="1" applyFont="1">
      <alignment horizontal="center" readingOrder="0" shrinkToFit="0" vertical="center" wrapText="1"/>
    </xf>
    <xf borderId="40" fillId="0" fontId="49" numFmtId="0" xfId="0" applyAlignment="1" applyBorder="1" applyFont="1">
      <alignment horizontal="center" readingOrder="0" shrinkToFit="0" vertical="center" wrapText="1"/>
    </xf>
    <xf borderId="42" fillId="0" fontId="49" numFmtId="0" xfId="0" applyAlignment="1" applyBorder="1" applyFont="1">
      <alignment horizontal="center" readingOrder="0" shrinkToFit="0" vertical="center" wrapText="1"/>
    </xf>
    <xf borderId="47" fillId="0" fontId="55" numFmtId="0" xfId="0" applyAlignment="1" applyBorder="1" applyFont="1">
      <alignment readingOrder="0" shrinkToFit="0" vertical="center" wrapText="1"/>
    </xf>
    <xf borderId="37" fillId="0" fontId="49" numFmtId="0" xfId="0" applyAlignment="1" applyBorder="1" applyFont="1">
      <alignment readingOrder="0" shrinkToFit="0" vertical="center" wrapText="1"/>
    </xf>
    <xf borderId="0" fillId="0" fontId="49" numFmtId="0" xfId="0" applyAlignment="1" applyFont="1">
      <alignment readingOrder="0" shrinkToFit="0" vertical="center" wrapText="0"/>
    </xf>
    <xf borderId="0" fillId="0" fontId="49" numFmtId="0" xfId="0" applyAlignment="1" applyFont="1">
      <alignment horizontal="left" readingOrder="0" shrinkToFit="0" vertical="center" wrapText="0"/>
    </xf>
    <xf borderId="0" fillId="0" fontId="54" numFmtId="0" xfId="0" applyAlignment="1" applyFont="1">
      <alignment horizontal="left" readingOrder="0" shrinkToFit="0" vertical="center" wrapText="0"/>
    </xf>
    <xf borderId="34" fillId="12" fontId="49" numFmtId="0" xfId="0" applyAlignment="1" applyBorder="1" applyFont="1">
      <alignment readingOrder="0" shrinkToFit="0" vertical="center" wrapText="1"/>
    </xf>
    <xf borderId="34" fillId="0" fontId="49" numFmtId="0" xfId="0" applyAlignment="1" applyBorder="1" applyFont="1">
      <alignment readingOrder="0" shrinkToFit="0" vertical="center" wrapText="1"/>
    </xf>
    <xf borderId="36" fillId="0" fontId="49" numFmtId="0" xfId="0" applyAlignment="1" applyBorder="1" applyFont="1">
      <alignment horizontal="left" readingOrder="0" shrinkToFit="0" vertical="center" wrapText="1"/>
    </xf>
    <xf borderId="37" fillId="12" fontId="49" numFmtId="0" xfId="0" applyAlignment="1" applyBorder="1" applyFont="1">
      <alignment readingOrder="0" shrinkToFit="0" vertical="center" wrapText="1"/>
    </xf>
    <xf borderId="0" fillId="0" fontId="56" numFmtId="0" xfId="0" applyAlignment="1" applyFont="1">
      <alignment horizontal="center" readingOrder="0" shrinkToFit="0" vertical="center" wrapText="1"/>
    </xf>
    <xf borderId="0" fillId="0" fontId="56" numFmtId="0" xfId="0" applyAlignment="1" applyFont="1">
      <alignment readingOrder="0" shrinkToFit="0" vertical="center" wrapText="1"/>
    </xf>
    <xf borderId="38" fillId="0" fontId="49" numFmtId="0" xfId="0" applyAlignment="1" applyBorder="1" applyFont="1">
      <alignment readingOrder="0" shrinkToFit="0" vertical="center" wrapText="1"/>
    </xf>
    <xf borderId="37" fillId="12" fontId="49" numFmtId="0" xfId="0" applyAlignment="1" applyBorder="1" applyFont="1">
      <alignment horizontal="left" readingOrder="0" shrinkToFit="0" vertical="center" wrapText="1"/>
    </xf>
    <xf borderId="38" fillId="0" fontId="49" numFmtId="0" xfId="0" applyAlignment="1" applyBorder="1" applyFont="1">
      <alignment horizontal="left" readingOrder="0" shrinkToFit="0" vertical="center" wrapText="1"/>
    </xf>
    <xf borderId="37" fillId="0" fontId="49" numFmtId="0" xfId="0" applyAlignment="1" applyBorder="1" applyFont="1">
      <alignment horizontal="left" readingOrder="0" shrinkToFit="0" vertical="center" wrapText="1"/>
    </xf>
    <xf borderId="55" fillId="12" fontId="49" numFmtId="0" xfId="0" applyAlignment="1" applyBorder="1" applyFont="1">
      <alignment horizontal="left" readingOrder="0" shrinkToFit="0" vertical="center" wrapText="1"/>
    </xf>
    <xf borderId="48" fillId="0" fontId="49" numFmtId="0" xfId="0" applyAlignment="1" applyBorder="1" applyFont="1">
      <alignment horizontal="left" readingOrder="0" shrinkToFit="0" vertical="center" wrapText="1"/>
    </xf>
    <xf borderId="55" fillId="0" fontId="49" numFmtId="0" xfId="0" applyAlignment="1" applyBorder="1" applyFont="1">
      <alignment horizontal="left" readingOrder="0" shrinkToFit="0" vertical="center" wrapText="1"/>
    </xf>
    <xf borderId="0" fillId="0" fontId="57" numFmtId="0" xfId="0" applyAlignment="1" applyFont="1">
      <alignment shrinkToFit="0" vertical="center" wrapText="1"/>
    </xf>
    <xf borderId="0" fillId="0" fontId="49" numFmtId="0" xfId="0" applyAlignment="1" applyFont="1">
      <alignment horizontal="left" shrinkToFit="0" vertical="center" wrapText="1"/>
    </xf>
    <xf borderId="37" fillId="0" fontId="49" numFmtId="0" xfId="0" applyAlignment="1" applyBorder="1" applyFont="1">
      <alignment horizontal="left" shrinkToFit="0" vertical="center" wrapText="1"/>
    </xf>
    <xf borderId="38" fillId="0" fontId="49" numFmtId="0" xfId="0" applyAlignment="1" applyBorder="1" applyFont="1">
      <alignment horizontal="left" shrinkToFit="0" vertical="center" wrapText="1"/>
    </xf>
    <xf borderId="0" fillId="0" fontId="58" numFmtId="0" xfId="0" applyAlignment="1" applyFont="1">
      <alignment horizontal="left" readingOrder="0" shrinkToFit="0" vertical="center" wrapText="1"/>
    </xf>
    <xf borderId="64" fillId="6" fontId="49" numFmtId="0" xfId="0" applyAlignment="1" applyBorder="1" applyFont="1">
      <alignment horizontal="center" readingOrder="0" shrinkToFit="0" vertical="center" wrapText="1"/>
    </xf>
    <xf borderId="65" fillId="6" fontId="49" numFmtId="0" xfId="0" applyAlignment="1" applyBorder="1" applyFont="1">
      <alignment horizontal="center" readingOrder="0" shrinkToFit="0" vertical="center" wrapText="1"/>
    </xf>
    <xf borderId="66" fillId="0" fontId="39" numFmtId="0" xfId="0" applyBorder="1" applyFont="1"/>
    <xf borderId="67" fillId="0" fontId="59" numFmtId="0" xfId="0" applyAlignment="1" applyBorder="1" applyFont="1">
      <alignment horizontal="center" readingOrder="0" shrinkToFit="0" vertical="center" wrapText="1"/>
    </xf>
    <xf borderId="66" fillId="6" fontId="49" numFmtId="0" xfId="0" applyAlignment="1" applyBorder="1" applyFont="1">
      <alignment horizontal="center" readingOrder="0" shrinkToFit="0" vertical="center" wrapText="1"/>
    </xf>
    <xf borderId="67" fillId="0" fontId="49" numFmtId="0" xfId="0" applyAlignment="1" applyBorder="1" applyFont="1">
      <alignment horizontal="center" readingOrder="0" shrinkToFit="0" vertical="center" wrapText="1"/>
    </xf>
    <xf borderId="66" fillId="0" fontId="49" numFmtId="0" xfId="0" applyAlignment="1" applyBorder="1" applyFont="1">
      <alignment horizontal="center" readingOrder="0" shrinkToFit="0" vertical="center" wrapText="1"/>
    </xf>
    <xf borderId="68" fillId="0" fontId="49" numFmtId="0" xfId="0" applyAlignment="1" applyBorder="1" applyFont="1">
      <alignment horizontal="center" readingOrder="0" shrinkToFit="0" vertical="center" wrapText="1"/>
    </xf>
    <xf borderId="69" fillId="0" fontId="39" numFmtId="0" xfId="0" applyBorder="1" applyFont="1"/>
    <xf borderId="70" fillId="0" fontId="39" numFmtId="0" xfId="0" applyBorder="1" applyFont="1"/>
    <xf borderId="50" fillId="6" fontId="49" numFmtId="0" xfId="0" applyAlignment="1" applyBorder="1" applyFont="1">
      <alignment horizontal="center" readingOrder="0" shrinkToFit="0" vertical="center" wrapText="1"/>
    </xf>
    <xf borderId="39" fillId="6" fontId="49" numFmtId="0" xfId="0" applyAlignment="1" applyBorder="1" applyFont="1">
      <alignment horizontal="center" readingOrder="0" shrinkToFit="0" vertical="center" wrapText="1"/>
    </xf>
    <xf borderId="42" fillId="6" fontId="49" numFmtId="0" xfId="0" applyAlignment="1" applyBorder="1" applyFont="1">
      <alignment horizontal="center" readingOrder="0" shrinkToFit="0" vertical="center" wrapText="1"/>
    </xf>
    <xf borderId="34" fillId="0" fontId="49" numFmtId="0" xfId="0" applyAlignment="1" applyBorder="1" applyFont="1">
      <alignment horizontal="center" readingOrder="0" shrinkToFit="0" vertical="center" wrapText="1"/>
    </xf>
    <xf borderId="71" fillId="0" fontId="39" numFmtId="0" xfId="0" applyBorder="1" applyFont="1"/>
    <xf borderId="40" fillId="0" fontId="59" numFmtId="0" xfId="0" applyAlignment="1" applyBorder="1" applyFont="1">
      <alignment horizontal="center" readingOrder="0" shrinkToFit="0" vertical="center" wrapText="1"/>
    </xf>
    <xf borderId="41" fillId="6" fontId="49" numFmtId="0" xfId="0" applyAlignment="1" applyBorder="1" applyFont="1">
      <alignment horizontal="center" readingOrder="0" shrinkToFit="0" vertical="center" wrapText="1"/>
    </xf>
    <xf borderId="72" fillId="0" fontId="39" numFmtId="0" xfId="0" applyBorder="1" applyFont="1"/>
    <xf borderId="40" fillId="0" fontId="49" numFmtId="165" xfId="0" applyAlignment="1" applyBorder="1" applyFont="1" applyNumberFormat="1">
      <alignment horizontal="center" readingOrder="0" shrinkToFit="0" vertical="center" wrapText="1"/>
    </xf>
    <xf borderId="73" fillId="6" fontId="49" numFmtId="0" xfId="0" applyAlignment="1" applyBorder="1" applyFont="1">
      <alignment horizontal="center" readingOrder="0" shrinkToFit="0" vertical="center" wrapText="1"/>
    </xf>
    <xf borderId="52" fillId="6" fontId="49" numFmtId="0" xfId="0" applyAlignment="1" applyBorder="1" applyFont="1">
      <alignment horizontal="center" readingOrder="0" shrinkToFit="0" vertical="center" wrapText="1"/>
    </xf>
    <xf borderId="42" fillId="0" fontId="49" numFmtId="165" xfId="0" applyAlignment="1" applyBorder="1" applyFont="1" applyNumberFormat="1">
      <alignment horizontal="center" readingOrder="0" shrinkToFit="0" vertical="center" wrapText="1"/>
    </xf>
    <xf borderId="74" fillId="0" fontId="39" numFmtId="0" xfId="0" applyBorder="1" applyFont="1"/>
    <xf borderId="75" fillId="6" fontId="49" numFmtId="0" xfId="0" applyAlignment="1" applyBorder="1" applyFont="1">
      <alignment horizontal="center" readingOrder="0" shrinkToFit="0" vertical="center" wrapText="1"/>
    </xf>
    <xf borderId="76" fillId="0" fontId="39" numFmtId="0" xfId="0" applyBorder="1" applyFont="1"/>
    <xf borderId="77" fillId="0" fontId="59" numFmtId="0" xfId="0" applyAlignment="1" applyBorder="1" applyFont="1">
      <alignment horizontal="center" readingOrder="0" shrinkToFit="0" vertical="center" wrapText="1"/>
    </xf>
    <xf borderId="78" fillId="6" fontId="49" numFmtId="0" xfId="0" applyAlignment="1" applyBorder="1" applyFont="1">
      <alignment horizontal="center" readingOrder="0" shrinkToFit="0" vertical="center" wrapText="1"/>
    </xf>
    <xf borderId="77" fillId="0" fontId="49" numFmtId="0" xfId="0" applyAlignment="1" applyBorder="1" applyFont="1">
      <alignment horizontal="center" readingOrder="0" shrinkToFit="0" vertical="center" wrapText="1"/>
    </xf>
    <xf borderId="76" fillId="0" fontId="49" numFmtId="0" xfId="0" applyAlignment="1" applyBorder="1" applyFont="1">
      <alignment horizontal="center" readingOrder="0" shrinkToFit="0" vertical="center" wrapText="1"/>
    </xf>
    <xf borderId="79" fillId="0" fontId="39" numFmtId="0" xfId="0" applyBorder="1" applyFont="1"/>
    <xf borderId="32" fillId="0" fontId="39" numFmtId="0" xfId="0" applyBorder="1" applyFont="1"/>
    <xf borderId="80" fillId="0" fontId="39" numFmtId="0" xfId="0" applyBorder="1" applyFont="1"/>
    <xf borderId="67" fillId="0" fontId="39" numFmtId="0" xfId="0" applyBorder="1" applyFont="1"/>
    <xf borderId="81" fillId="6" fontId="49" numFmtId="0" xfId="0" applyAlignment="1" applyBorder="1" applyFont="1">
      <alignment horizontal="center" readingOrder="0" shrinkToFit="0" vertical="center" wrapText="1"/>
    </xf>
    <xf borderId="53" fillId="6" fontId="49" numFmtId="0" xfId="0" applyAlignment="1" applyBorder="1" applyFont="1">
      <alignment horizontal="center" readingOrder="0" shrinkToFit="0" vertical="center" wrapText="1"/>
    </xf>
    <xf borderId="77" fillId="0" fontId="39" numFmtId="0" xfId="0" applyBorder="1" applyFont="1"/>
    <xf borderId="55" fillId="0" fontId="49" numFmtId="0" xfId="0" applyAlignment="1" applyBorder="1" applyFont="1">
      <alignment shrinkToFit="0" vertical="center" wrapText="1"/>
    </xf>
    <xf borderId="0" fillId="0" fontId="33" numFmtId="0" xfId="0" applyAlignment="1" applyFont="1">
      <alignment readingOrder="0" vertical="center"/>
    </xf>
    <xf borderId="0" fillId="0" fontId="25" numFmtId="0" xfId="0" applyAlignment="1" applyFont="1">
      <alignment readingOrder="0" shrinkToFit="0" vertical="center" wrapText="1"/>
    </xf>
    <xf borderId="0" fillId="0" fontId="25" numFmtId="0" xfId="0" applyAlignment="1" applyFont="1">
      <alignment readingOrder="0"/>
    </xf>
    <xf borderId="0" fillId="0" fontId="60" numFmtId="0" xfId="0" applyFont="1"/>
    <xf borderId="0" fillId="0" fontId="61" numFmtId="0" xfId="0" applyAlignment="1" applyFont="1">
      <alignment readingOrder="0"/>
    </xf>
    <xf borderId="0" fillId="0" fontId="61" numFmtId="3" xfId="0" applyFont="1" applyNumberFormat="1"/>
    <xf borderId="0" fillId="2" fontId="61" numFmtId="3" xfId="0" applyFont="1" applyNumberFormat="1"/>
    <xf borderId="0" fillId="0" fontId="60" numFmtId="0" xfId="0" applyAlignment="1" applyFont="1">
      <alignment readingOrder="0"/>
    </xf>
    <xf borderId="0" fillId="0" fontId="62" numFmtId="0" xfId="0" applyAlignment="1" applyFont="1">
      <alignment readingOrder="0"/>
    </xf>
    <xf borderId="0" fillId="0" fontId="62" numFmtId="3" xfId="0" applyAlignment="1" applyFont="1" applyNumberFormat="1">
      <alignment readingOrder="0"/>
    </xf>
    <xf borderId="0" fillId="0" fontId="8" numFmtId="0" xfId="0" applyAlignment="1" applyFont="1">
      <alignment readingOrder="0"/>
    </xf>
    <xf borderId="0" fillId="0" fontId="62" numFmtId="3" xfId="0" applyAlignment="1" applyFont="1" applyNumberFormat="1">
      <alignment horizontal="right" readingOrder="0"/>
    </xf>
    <xf borderId="0" fillId="2" fontId="62" numFmtId="0" xfId="0" applyAlignment="1" applyFont="1">
      <alignment readingOrder="0"/>
    </xf>
    <xf borderId="82" fillId="0" fontId="62" numFmtId="0" xfId="0" applyAlignment="1" applyBorder="1" applyFont="1">
      <alignment readingOrder="0"/>
    </xf>
    <xf borderId="82" fillId="0" fontId="62" numFmtId="3" xfId="0" applyAlignment="1" applyBorder="1" applyFont="1" applyNumberFormat="1">
      <alignment readingOrder="0"/>
    </xf>
    <xf borderId="0" fillId="0" fontId="8" numFmtId="0" xfId="0" applyFont="1"/>
    <xf borderId="0" fillId="0" fontId="62" numFmtId="3" xfId="0" applyFont="1" applyNumberFormat="1"/>
    <xf borderId="0" fillId="0" fontId="62" numFmtId="0" xfId="0" applyFont="1"/>
    <xf borderId="0" fillId="14" fontId="61" numFmtId="0" xfId="0" applyAlignment="1" applyFill="1" applyFont="1">
      <alignment readingOrder="0"/>
    </xf>
    <xf borderId="0" fillId="14" fontId="61" numFmtId="3" xfId="0" applyAlignment="1" applyFont="1" applyNumberFormat="1">
      <alignment readingOrder="0"/>
    </xf>
    <xf borderId="0" fillId="14" fontId="61" numFmtId="3" xfId="0" applyFont="1" applyNumberFormat="1"/>
    <xf borderId="0" fillId="3" fontId="61" numFmtId="0" xfId="0" applyAlignment="1" applyFont="1">
      <alignment readingOrder="0"/>
    </xf>
    <xf borderId="0" fillId="3" fontId="61" numFmtId="3" xfId="0" applyAlignment="1" applyFont="1" applyNumberFormat="1">
      <alignment readingOrder="0"/>
    </xf>
    <xf borderId="0" fillId="2" fontId="61" numFmtId="0" xfId="0" applyAlignment="1" applyFont="1">
      <alignment readingOrder="0"/>
    </xf>
    <xf borderId="0" fillId="15" fontId="61" numFmtId="0" xfId="0" applyAlignment="1" applyFill="1" applyFont="1">
      <alignment readingOrder="0"/>
    </xf>
    <xf borderId="0" fillId="15" fontId="61" numFmtId="3" xfId="0" applyAlignment="1" applyFont="1" applyNumberFormat="1">
      <alignment readingOrder="0"/>
    </xf>
    <xf borderId="0" fillId="2" fontId="61" numFmtId="3" xfId="0" applyAlignment="1" applyFont="1" applyNumberFormat="1">
      <alignment readingOrder="0"/>
    </xf>
    <xf borderId="0" fillId="0" fontId="60" numFmtId="168" xfId="0" applyAlignment="1" applyFont="1" applyNumberFormat="1">
      <alignment readingOrder="0"/>
    </xf>
    <xf borderId="0" fillId="0" fontId="60" numFmtId="3" xfId="0" applyAlignment="1" applyFont="1" applyNumberFormat="1">
      <alignment readingOrder="0"/>
    </xf>
    <xf borderId="0" fillId="0" fontId="14" numFmtId="0" xfId="0" applyAlignment="1" applyFont="1">
      <alignment horizontal="left" vertical="center"/>
    </xf>
    <xf borderId="0" fillId="0" fontId="63" numFmtId="0" xfId="0" applyAlignment="1" applyFont="1">
      <alignment horizontal="left" vertical="center"/>
    </xf>
    <xf borderId="0" fillId="0" fontId="63" numFmtId="0" xfId="0" applyAlignment="1" applyFont="1">
      <alignment horizontal="left" readingOrder="0" vertical="center"/>
    </xf>
    <xf borderId="0" fillId="0" fontId="14" numFmtId="0" xfId="0" applyAlignment="1" applyFont="1">
      <alignment horizontal="left" readingOrder="0" vertical="center"/>
    </xf>
    <xf borderId="0" fillId="12" fontId="64" numFmtId="0" xfId="0" applyAlignment="1" applyFont="1">
      <alignment horizontal="left" vertical="center"/>
    </xf>
    <xf borderId="0" fillId="0" fontId="14" numFmtId="166" xfId="0" applyAlignment="1" applyFont="1" applyNumberFormat="1">
      <alignment horizontal="left" vertical="center"/>
    </xf>
    <xf borderId="0" fillId="0" fontId="14" numFmtId="3" xfId="0" applyAlignment="1" applyFont="1" applyNumberFormat="1">
      <alignment horizontal="left" vertical="center"/>
    </xf>
    <xf borderId="0" fillId="0" fontId="65" numFmtId="0" xfId="0" applyAlignment="1" applyFont="1">
      <alignment horizontal="left" vertical="center"/>
    </xf>
    <xf borderId="0" fillId="2" fontId="64" numFmtId="0" xfId="0" applyAlignment="1" applyFont="1">
      <alignment horizontal="left" readingOrder="0" vertical="center"/>
    </xf>
    <xf borderId="0" fillId="2" fontId="65" numFmtId="0" xfId="0" applyAlignment="1" applyFont="1">
      <alignment horizontal="left" vertical="center"/>
    </xf>
    <xf borderId="0" fillId="2" fontId="45" numFmtId="0" xfId="0" applyAlignment="1" applyFont="1">
      <alignment horizontal="left" readingOrder="0" vertical="center"/>
    </xf>
    <xf borderId="0" fillId="2" fontId="65" numFmtId="0" xfId="0" applyAlignment="1" applyFont="1">
      <alignment readingOrder="0" vertical="center"/>
    </xf>
    <xf borderId="0" fillId="2" fontId="45" numFmtId="0" xfId="0" applyAlignment="1" applyFont="1">
      <alignment readingOrder="0"/>
    </xf>
    <xf borderId="0" fillId="16" fontId="65" numFmtId="0" xfId="0" applyAlignment="1" applyFill="1" applyFont="1">
      <alignment readingOrder="0" vertical="center"/>
    </xf>
    <xf borderId="0" fillId="2" fontId="45" numFmtId="0" xfId="0" applyAlignment="1" applyFont="1">
      <alignment horizontal="center" readingOrder="0"/>
    </xf>
    <xf borderId="0" fillId="2" fontId="45" numFmtId="0" xfId="0" applyAlignment="1" applyFont="1">
      <alignment horizontal="right" readingOrder="0"/>
    </xf>
    <xf borderId="0" fillId="0" fontId="45" numFmtId="0" xfId="0" applyFont="1"/>
    <xf borderId="0" fillId="12" fontId="45" numFmtId="0" xfId="0" applyAlignment="1" applyFont="1">
      <alignment readingOrder="0"/>
    </xf>
    <xf borderId="0" fillId="12" fontId="45" numFmtId="0" xfId="0" applyAlignment="1" applyFont="1">
      <alignment horizontal="center" readingOrder="0"/>
    </xf>
    <xf quotePrefix="1" borderId="0" fillId="12" fontId="45" numFmtId="0" xfId="0" applyAlignment="1" applyFont="1">
      <alignment horizontal="center" readingOrder="0"/>
    </xf>
    <xf borderId="0" fillId="12" fontId="45" numFmtId="0" xfId="0" applyAlignment="1" applyFont="1">
      <alignment horizontal="right" readingOrder="0"/>
    </xf>
    <xf borderId="0" fillId="2" fontId="66" numFmtId="3" xfId="0" applyAlignment="1" applyFont="1" applyNumberFormat="1">
      <alignment horizontal="left" readingOrder="0" vertical="center"/>
    </xf>
    <xf borderId="0" fillId="2" fontId="45" numFmtId="3" xfId="0" applyAlignment="1" applyFont="1" applyNumberFormat="1">
      <alignment horizontal="left" readingOrder="0" vertical="center"/>
    </xf>
    <xf borderId="0" fillId="2" fontId="66" numFmtId="167" xfId="0" applyAlignment="1" applyFont="1" applyNumberFormat="1">
      <alignment horizontal="left" readingOrder="0" vertical="center"/>
    </xf>
    <xf borderId="0" fillId="2" fontId="45" numFmtId="0" xfId="0" applyAlignment="1" applyFont="1">
      <alignment horizontal="left" readingOrder="0" shrinkToFit="0" vertical="center" wrapText="0"/>
    </xf>
    <xf borderId="0" fillId="2" fontId="45" numFmtId="3" xfId="0" applyAlignment="1" applyFont="1" applyNumberFormat="1">
      <alignment horizontal="right" readingOrder="0" vertical="center"/>
    </xf>
    <xf borderId="0" fillId="2" fontId="45" numFmtId="3" xfId="0" applyAlignment="1" applyFont="1" applyNumberFormat="1">
      <alignment horizontal="right" readingOrder="0" shrinkToFit="0" vertical="center" wrapText="0"/>
    </xf>
    <xf borderId="0" fillId="2" fontId="66" numFmtId="0" xfId="0" applyFont="1"/>
    <xf borderId="0" fillId="2" fontId="45" numFmtId="0" xfId="0" applyAlignment="1" applyFont="1">
      <alignment horizontal="left" readingOrder="0" vertical="center"/>
    </xf>
    <xf borderId="0" fillId="2" fontId="45" numFmtId="167" xfId="0" applyAlignment="1" applyFont="1" applyNumberFormat="1">
      <alignment horizontal="left" readingOrder="0" vertical="center"/>
    </xf>
    <xf borderId="0" fillId="2" fontId="45" numFmtId="0" xfId="0" applyAlignment="1" applyFont="1">
      <alignment horizontal="left" readingOrder="0" shrinkToFit="0" vertical="center" wrapText="0"/>
    </xf>
    <xf borderId="0" fillId="2" fontId="66" numFmtId="167" xfId="0" applyAlignment="1" applyFont="1" applyNumberFormat="1">
      <alignment horizontal="left" readingOrder="0" vertical="center"/>
    </xf>
    <xf borderId="0" fillId="2" fontId="45" numFmtId="3" xfId="0" applyAlignment="1" applyFont="1" applyNumberFormat="1">
      <alignment horizontal="right" readingOrder="0" vertical="center"/>
    </xf>
    <xf borderId="0" fillId="2" fontId="45" numFmtId="3" xfId="0" applyAlignment="1" applyFont="1" applyNumberFormat="1">
      <alignment horizontal="right" readingOrder="0" shrinkToFit="0" vertical="center" wrapText="0"/>
    </xf>
    <xf borderId="0" fillId="2" fontId="66" numFmtId="0" xfId="0" applyAlignment="1" applyFont="1">
      <alignment horizontal="right" readingOrder="0" vertical="center"/>
    </xf>
    <xf borderId="0" fillId="6" fontId="45" numFmtId="3" xfId="0" applyAlignment="1" applyFont="1" applyNumberFormat="1">
      <alignment horizontal="right" readingOrder="0" shrinkToFit="0" vertical="center" wrapText="0"/>
    </xf>
    <xf borderId="0" fillId="2" fontId="45" numFmtId="3" xfId="0" applyAlignment="1" applyFont="1" applyNumberFormat="1">
      <alignment readingOrder="0"/>
    </xf>
    <xf borderId="0" fillId="2" fontId="45" numFmtId="0" xfId="0" applyFont="1"/>
    <xf borderId="0" fillId="2" fontId="45" numFmtId="3" xfId="0" applyAlignment="1" applyFont="1" applyNumberFormat="1">
      <alignment horizontal="right"/>
    </xf>
    <xf borderId="0" fillId="2" fontId="45" numFmtId="167" xfId="0" applyAlignment="1" applyFont="1" applyNumberFormat="1">
      <alignment horizontal="left" readingOrder="0"/>
    </xf>
    <xf borderId="0" fillId="2" fontId="45" numFmtId="3" xfId="0" applyAlignment="1" applyFont="1" applyNumberFormat="1">
      <alignment horizontal="right" readingOrder="0"/>
    </xf>
    <xf borderId="0" fillId="2" fontId="45" numFmtId="3" xfId="0" applyFont="1" applyNumberFormat="1"/>
    <xf borderId="0" fillId="6" fontId="45" numFmtId="0" xfId="0" applyFont="1"/>
    <xf borderId="0" fillId="2" fontId="45" numFmtId="0" xfId="0" applyAlignment="1" applyFont="1">
      <alignment horizontal="left"/>
    </xf>
    <xf borderId="0" fillId="0" fontId="45" numFmtId="3" xfId="0" applyAlignment="1" applyFont="1" applyNumberFormat="1">
      <alignment readingOrder="0"/>
    </xf>
    <xf borderId="0" fillId="2" fontId="14" numFmtId="0" xfId="0" applyAlignment="1" applyFont="1">
      <alignment readingOrder="0"/>
    </xf>
    <xf borderId="0" fillId="2" fontId="14" numFmtId="0" xfId="0" applyAlignment="1" applyFont="1">
      <alignment readingOrder="0"/>
    </xf>
    <xf borderId="0" fillId="3" fontId="45" numFmtId="3" xfId="0" applyAlignment="1" applyFont="1" applyNumberFormat="1">
      <alignment readingOrder="0"/>
    </xf>
    <xf borderId="0" fillId="0" fontId="45" numFmtId="0" xfId="0" applyAlignment="1" applyFont="1">
      <alignment horizontal="center"/>
    </xf>
    <xf borderId="0" fillId="2" fontId="45" numFmtId="0" xfId="0" applyAlignment="1" applyFont="1">
      <alignment horizontal="center"/>
    </xf>
    <xf borderId="0" fillId="2" fontId="45" numFmtId="3" xfId="0" applyAlignment="1" applyFont="1" applyNumberFormat="1">
      <alignment horizontal="center" readingOrder="0"/>
    </xf>
    <xf borderId="0" fillId="2" fontId="45" numFmtId="3" xfId="0" applyAlignment="1" applyFont="1" applyNumberFormat="1">
      <alignment horizontal="center"/>
    </xf>
    <xf borderId="0" fillId="3" fontId="45" numFmtId="3" xfId="0" applyAlignment="1" applyFont="1" applyNumberFormat="1">
      <alignment horizontal="right" readingOrder="0"/>
    </xf>
    <xf borderId="0" fillId="0" fontId="45" numFmtId="0" xfId="0" applyAlignment="1" applyFont="1">
      <alignment readingOrder="0"/>
    </xf>
    <xf borderId="0" fillId="2" fontId="67" numFmtId="0" xfId="0" applyAlignment="1" applyFont="1">
      <alignment readingOrder="0"/>
    </xf>
    <xf borderId="0" fillId="0" fontId="45" numFmtId="3" xfId="0" applyFont="1" applyNumberFormat="1"/>
    <xf borderId="83" fillId="8" fontId="45" numFmtId="3" xfId="0" applyAlignment="1" applyBorder="1" applyFont="1" applyNumberFormat="1">
      <alignment vertical="bottom"/>
    </xf>
    <xf borderId="70" fillId="2" fontId="45" numFmtId="3" xfId="0" applyAlignment="1" applyBorder="1" applyFont="1" applyNumberFormat="1">
      <alignment readingOrder="0"/>
    </xf>
    <xf borderId="0" fillId="2" fontId="45" numFmtId="3" xfId="0" applyAlignment="1" applyFont="1" applyNumberFormat="1">
      <alignment horizontal="left" readingOrder="0"/>
    </xf>
    <xf borderId="0" fillId="2" fontId="68" numFmtId="0" xfId="0" applyAlignment="1" applyFont="1">
      <alignment readingOrder="0"/>
    </xf>
    <xf borderId="84" fillId="8" fontId="45" numFmtId="3" xfId="0" applyAlignment="1" applyBorder="1" applyFont="1" applyNumberFormat="1">
      <alignment vertical="bottom"/>
    </xf>
    <xf borderId="72" fillId="2" fontId="45" numFmtId="3" xfId="0" applyBorder="1" applyFont="1" applyNumberFormat="1"/>
    <xf borderId="0" fillId="0" fontId="45" numFmtId="1" xfId="0" applyAlignment="1" applyFont="1" applyNumberFormat="1">
      <alignment readingOrder="0"/>
    </xf>
    <xf borderId="84" fillId="8" fontId="45" numFmtId="0" xfId="0" applyAlignment="1" applyBorder="1" applyFont="1">
      <alignment vertical="bottom"/>
    </xf>
    <xf borderId="72" fillId="0" fontId="45" numFmtId="3" xfId="0" applyBorder="1" applyFont="1" applyNumberFormat="1"/>
    <xf borderId="0" fillId="0" fontId="45" numFmtId="3" xfId="0" applyAlignment="1" applyFont="1" applyNumberFormat="1">
      <alignment horizontal="right"/>
    </xf>
    <xf borderId="72" fillId="0" fontId="45" numFmtId="3" xfId="0" applyAlignment="1" applyBorder="1" applyFont="1" applyNumberFormat="1">
      <alignment readingOrder="0"/>
    </xf>
    <xf borderId="0" fillId="0" fontId="45" numFmtId="3" xfId="0" applyAlignment="1" applyFont="1" applyNumberFormat="1">
      <alignment horizontal="right" readingOrder="0"/>
    </xf>
    <xf borderId="85" fillId="8" fontId="45" numFmtId="3" xfId="0" applyAlignment="1" applyBorder="1" applyFont="1" applyNumberFormat="1">
      <alignment vertical="bottom"/>
    </xf>
    <xf borderId="80" fillId="0" fontId="45" numFmtId="3" xfId="0" applyBorder="1" applyFont="1" applyNumberFormat="1"/>
    <xf borderId="0" fillId="0" fontId="45" numFmtId="0" xfId="0" applyAlignment="1" applyFont="1">
      <alignment horizontal="right" readingOrder="0"/>
    </xf>
    <xf borderId="0" fillId="0" fontId="45" numFmtId="0" xfId="0" applyAlignment="1" applyFont="1">
      <alignment horizontal="right"/>
    </xf>
    <xf borderId="0" fillId="0" fontId="45" numFmtId="168" xfId="0" applyFont="1" applyNumberFormat="1"/>
    <xf borderId="0" fillId="0" fontId="69" numFmtId="0" xfId="0" applyAlignment="1" applyFont="1">
      <alignment readingOrder="0"/>
    </xf>
    <xf borderId="0" fillId="2" fontId="45" numFmtId="0" xfId="0" applyFont="1"/>
    <xf borderId="0" fillId="2" fontId="45" numFmtId="0" xfId="0" applyAlignment="1" applyFont="1">
      <alignment horizontal="left" readingOrder="0" vertical="center"/>
    </xf>
    <xf borderId="0" fillId="2" fontId="66" numFmtId="0" xfId="0" applyAlignment="1" applyFont="1">
      <alignment horizontal="left" readingOrder="0" vertical="center"/>
    </xf>
    <xf borderId="0" fillId="2" fontId="45" numFmtId="0" xfId="0" applyAlignment="1" applyFont="1">
      <alignment horizontal="left" shrinkToFit="0" vertical="center" wrapText="0"/>
    </xf>
    <xf borderId="0" fillId="2" fontId="66" numFmtId="0" xfId="0" applyAlignment="1" applyFont="1">
      <alignment readingOrder="0"/>
    </xf>
    <xf borderId="0" fillId="2" fontId="66" numFmtId="0" xfId="0" applyAlignment="1" applyFont="1">
      <alignment horizontal="left" readingOrder="0" shrinkToFit="0" vertical="center" wrapText="0"/>
    </xf>
    <xf borderId="0" fillId="2" fontId="45" numFmtId="3" xfId="0" applyAlignment="1" applyFont="1" applyNumberFormat="1">
      <alignment horizontal="right" shrinkToFit="0" vertical="center" wrapText="0"/>
    </xf>
    <xf borderId="0" fillId="2" fontId="66" numFmtId="0" xfId="0" applyFont="1"/>
    <xf borderId="0" fillId="2" fontId="66" numFmtId="3" xfId="0" applyAlignment="1" applyFont="1" applyNumberFormat="1">
      <alignment readingOrder="0"/>
    </xf>
    <xf borderId="0" fillId="2" fontId="45" numFmtId="0" xfId="0" applyAlignment="1" applyFont="1">
      <alignment readingOrder="0" shrinkToFit="0" wrapText="0"/>
    </xf>
    <xf borderId="0" fillId="2" fontId="66" numFmtId="3" xfId="0" applyAlignment="1" applyFont="1" applyNumberFormat="1">
      <alignment readingOrder="0" vertical="bottom"/>
    </xf>
    <xf borderId="0" fillId="2" fontId="45" numFmtId="0" xfId="0" applyFont="1"/>
    <xf borderId="0" fillId="6" fontId="45" numFmtId="0" xfId="0" applyAlignment="1" applyFont="1">
      <alignment horizontal="left" readingOrder="0" vertical="center"/>
    </xf>
    <xf borderId="0" fillId="2" fontId="1" numFmtId="0" xfId="0" applyFont="1"/>
    <xf borderId="0" fillId="2" fontId="14" numFmtId="0" xfId="0" applyFont="1"/>
    <xf borderId="0" fillId="2" fontId="14" numFmtId="0" xfId="0" applyAlignment="1" applyFont="1">
      <alignment shrinkToFit="0" wrapText="0"/>
    </xf>
    <xf borderId="0" fillId="2" fontId="1" numFmtId="0" xfId="0" applyAlignment="1" applyFont="1">
      <alignment vertical="bottom"/>
    </xf>
    <xf borderId="0" fillId="2" fontId="1" numFmtId="0" xfId="0" applyFont="1"/>
    <xf borderId="0" fillId="3" fontId="45" numFmtId="0" xfId="0" applyAlignment="1" applyFont="1">
      <alignment horizontal="left" readingOrder="0" shrinkToFit="0" vertical="center" wrapText="0"/>
    </xf>
    <xf borderId="0" fillId="2" fontId="45" numFmtId="0" xfId="0" applyAlignment="1" applyFont="1">
      <alignment horizontal="left" readingOrder="0"/>
    </xf>
    <xf borderId="0" fillId="0" fontId="14" numFmtId="0" xfId="0" applyAlignment="1" applyFont="1">
      <alignment horizontal="center"/>
    </xf>
    <xf borderId="0" fillId="12" fontId="67" numFmtId="0" xfId="0" applyAlignment="1" applyFont="1">
      <alignment readingOrder="0"/>
    </xf>
    <xf borderId="0" fillId="12" fontId="67" numFmtId="0" xfId="0" applyAlignment="1" applyFont="1">
      <alignment horizontal="center" readingOrder="0"/>
    </xf>
    <xf borderId="0" fillId="0" fontId="14" numFmtId="0" xfId="0" applyAlignment="1" applyFont="1">
      <alignment horizontal="center" readingOrder="0"/>
    </xf>
    <xf borderId="0" fillId="0" fontId="70" numFmtId="0" xfId="0" applyAlignment="1" applyFont="1">
      <alignment readingOrder="0"/>
    </xf>
    <xf borderId="0" fillId="8" fontId="25" numFmtId="0" xfId="0" applyAlignment="1" applyFont="1">
      <alignment readingOrder="0"/>
    </xf>
    <xf borderId="0" fillId="8" fontId="25" numFmtId="0" xfId="0" applyAlignment="1" applyFont="1">
      <alignment horizontal="center" readingOrder="0"/>
    </xf>
    <xf quotePrefix="1" borderId="0" fillId="8" fontId="25" numFmtId="0" xfId="0" applyAlignment="1" applyFont="1">
      <alignment horizontal="center" readingOrder="0"/>
    </xf>
    <xf borderId="0" fillId="8" fontId="25" numFmtId="0" xfId="0" applyAlignment="1" applyFont="1">
      <alignment horizontal="right" readingOrder="0"/>
    </xf>
    <xf borderId="0" fillId="3" fontId="25" numFmtId="0" xfId="0" applyAlignment="1" applyFont="1">
      <alignment horizontal="center" readingOrder="0"/>
    </xf>
    <xf borderId="0" fillId="2" fontId="71" numFmtId="0" xfId="0" applyAlignment="1" applyFont="1">
      <alignment horizontal="left" readingOrder="0" vertical="center"/>
    </xf>
    <xf borderId="0" fillId="2" fontId="72" numFmtId="0" xfId="0" applyAlignment="1" applyFont="1">
      <alignment horizontal="left" readingOrder="0" vertical="center"/>
    </xf>
    <xf borderId="0" fillId="2" fontId="71" numFmtId="3" xfId="0" applyAlignment="1" applyFont="1" applyNumberFormat="1">
      <alignment horizontal="left" readingOrder="0" vertical="center"/>
    </xf>
    <xf borderId="0" fillId="6" fontId="73" numFmtId="0" xfId="0" applyAlignment="1" applyFont="1">
      <alignment horizontal="left" readingOrder="0" shrinkToFit="0" vertical="center" wrapText="0"/>
    </xf>
    <xf borderId="0" fillId="6" fontId="73" numFmtId="167" xfId="0" applyAlignment="1" applyFont="1" applyNumberFormat="1">
      <alignment horizontal="left" readingOrder="0" vertical="center"/>
    </xf>
    <xf borderId="0" fillId="5" fontId="71" numFmtId="0" xfId="0" applyAlignment="1" applyFont="1">
      <alignment horizontal="left" readingOrder="0" shrinkToFit="0" vertical="center" wrapText="0"/>
    </xf>
    <xf borderId="0" fillId="6" fontId="71" numFmtId="3" xfId="0" applyAlignment="1" applyFont="1" applyNumberFormat="1">
      <alignment horizontal="left" readingOrder="0" vertical="center"/>
    </xf>
    <xf borderId="0" fillId="2" fontId="73" numFmtId="3" xfId="0" applyAlignment="1" applyFont="1" applyNumberFormat="1">
      <alignment horizontal="left" readingOrder="0" vertical="center"/>
    </xf>
    <xf borderId="0" fillId="2" fontId="25" numFmtId="0" xfId="0" applyFont="1"/>
    <xf borderId="0" fillId="2" fontId="73" numFmtId="3" xfId="0" applyAlignment="1" applyFont="1" applyNumberFormat="1">
      <alignment horizontal="right" readingOrder="0" vertical="center"/>
    </xf>
    <xf borderId="0" fillId="2" fontId="73" numFmtId="3" xfId="0" applyAlignment="1" applyFont="1" applyNumberFormat="1">
      <alignment horizontal="right" readingOrder="0" shrinkToFit="0" vertical="center" wrapText="0"/>
    </xf>
    <xf borderId="0" fillId="8" fontId="71" numFmtId="3" xfId="0" applyAlignment="1" applyFont="1" applyNumberFormat="1">
      <alignment horizontal="right" readingOrder="0" shrinkToFit="0" vertical="center" wrapText="0"/>
    </xf>
    <xf borderId="0" fillId="6" fontId="74" numFmtId="0" xfId="0" applyFont="1"/>
    <xf borderId="0" fillId="2" fontId="74" numFmtId="0" xfId="0" applyFont="1"/>
    <xf borderId="0" fillId="2" fontId="75" numFmtId="0" xfId="0" applyFont="1"/>
    <xf borderId="0" fillId="2" fontId="73" numFmtId="0" xfId="0" applyAlignment="1" applyFont="1">
      <alignment horizontal="left" readingOrder="0" vertical="center"/>
    </xf>
    <xf borderId="0" fillId="2" fontId="73" numFmtId="0" xfId="0" applyAlignment="1" applyFont="1">
      <alignment horizontal="left" readingOrder="0" vertical="center"/>
    </xf>
    <xf borderId="0" fillId="2" fontId="76" numFmtId="3" xfId="0" applyAlignment="1" applyFont="1" applyNumberFormat="1">
      <alignment horizontal="left" readingOrder="0" vertical="center"/>
    </xf>
    <xf borderId="0" fillId="2" fontId="73" numFmtId="0" xfId="0" applyAlignment="1" applyFont="1">
      <alignment horizontal="left" readingOrder="0" shrinkToFit="0" vertical="center" wrapText="0"/>
    </xf>
    <xf borderId="0" fillId="2" fontId="7" numFmtId="167" xfId="0" applyAlignment="1" applyFont="1" applyNumberFormat="1">
      <alignment horizontal="left" readingOrder="0" vertical="center"/>
    </xf>
    <xf borderId="0" fillId="6" fontId="77" numFmtId="0" xfId="0" applyFont="1"/>
    <xf borderId="0" fillId="2" fontId="73" numFmtId="167" xfId="0" applyAlignment="1" applyFont="1" applyNumberFormat="1">
      <alignment horizontal="left" readingOrder="0" vertical="center"/>
    </xf>
    <xf borderId="0" fillId="14" fontId="73" numFmtId="3" xfId="0" applyAlignment="1" applyFont="1" applyNumberFormat="1">
      <alignment horizontal="right" readingOrder="0" vertical="center"/>
    </xf>
    <xf borderId="0" fillId="2" fontId="73" numFmtId="3" xfId="0" applyAlignment="1" applyFont="1" applyNumberFormat="1">
      <alignment readingOrder="0"/>
    </xf>
    <xf borderId="0" fillId="2" fontId="71" numFmtId="3" xfId="0" applyAlignment="1" applyFont="1" applyNumberFormat="1">
      <alignment horizontal="right" readingOrder="0" shrinkToFit="0" vertical="center" wrapText="0"/>
    </xf>
    <xf borderId="0" fillId="6" fontId="73" numFmtId="3" xfId="0" applyAlignment="1" applyFont="1" applyNumberFormat="1">
      <alignment horizontal="right" readingOrder="0" vertical="center"/>
    </xf>
    <xf borderId="0" fillId="2" fontId="77" numFmtId="0" xfId="0" applyFont="1"/>
    <xf borderId="0" fillId="3" fontId="76" numFmtId="0" xfId="0" applyAlignment="1" applyFont="1">
      <alignment horizontal="left" readingOrder="0" vertical="center"/>
    </xf>
    <xf borderId="0" fillId="6" fontId="71" numFmtId="0" xfId="0" applyAlignment="1" applyFont="1">
      <alignment horizontal="left" shrinkToFit="0" vertical="center" wrapText="0"/>
    </xf>
    <xf borderId="0" fillId="3" fontId="75" numFmtId="0" xfId="0" applyAlignment="1" applyFont="1">
      <alignment readingOrder="0"/>
    </xf>
    <xf borderId="0" fillId="2" fontId="7" numFmtId="0" xfId="0" applyAlignment="1" applyFont="1">
      <alignment horizontal="left" readingOrder="0" vertical="center"/>
    </xf>
    <xf borderId="0" fillId="14" fontId="71" numFmtId="0" xfId="0" applyAlignment="1" applyFont="1">
      <alignment horizontal="left" readingOrder="0" shrinkToFit="0" vertical="center" wrapText="0"/>
    </xf>
    <xf borderId="0" fillId="2" fontId="7" numFmtId="0" xfId="0" applyAlignment="1" applyFont="1">
      <alignment horizontal="left" readingOrder="0" shrinkToFit="0" vertical="center" wrapText="0"/>
    </xf>
    <xf borderId="0" fillId="2" fontId="7" numFmtId="0" xfId="0" applyFont="1"/>
    <xf borderId="0" fillId="2" fontId="71" numFmtId="0" xfId="0" applyFont="1"/>
    <xf borderId="0" fillId="2" fontId="73" numFmtId="0" xfId="0" applyAlignment="1" applyFont="1">
      <alignment readingOrder="0" shrinkToFit="0" wrapText="0"/>
    </xf>
    <xf borderId="0" fillId="2" fontId="73" numFmtId="3" xfId="0" applyFont="1" applyNumberFormat="1"/>
    <xf borderId="0" fillId="14" fontId="34" numFmtId="3" xfId="0" applyAlignment="1" applyFont="1" applyNumberFormat="1">
      <alignment readingOrder="0" vertical="bottom"/>
    </xf>
    <xf borderId="0" fillId="2" fontId="71" numFmtId="0" xfId="0" applyAlignment="1" applyFont="1">
      <alignment horizontal="left" readingOrder="0" shrinkToFit="0" vertical="center" wrapText="0"/>
    </xf>
    <xf borderId="0" fillId="14" fontId="75" numFmtId="0" xfId="0" applyFont="1"/>
    <xf borderId="0" fillId="14" fontId="73" numFmtId="0" xfId="0" applyAlignment="1" applyFont="1">
      <alignment horizontal="left" readingOrder="0" vertical="center"/>
    </xf>
    <xf borderId="0" fillId="14" fontId="73" numFmtId="0" xfId="0" applyAlignment="1" applyFont="1">
      <alignment horizontal="left" readingOrder="0" vertical="center"/>
    </xf>
    <xf borderId="0" fillId="3" fontId="73" numFmtId="3" xfId="0" applyAlignment="1" applyFont="1" applyNumberFormat="1">
      <alignment horizontal="right" readingOrder="0" shrinkToFit="0" vertical="center" wrapText="0"/>
    </xf>
    <xf borderId="0" fillId="2" fontId="73" numFmtId="3" xfId="0" applyAlignment="1" applyFont="1" applyNumberFormat="1">
      <alignment horizontal="right" shrinkToFit="0" vertical="center" wrapText="0"/>
    </xf>
    <xf borderId="0" fillId="14" fontId="73" numFmtId="3" xfId="0" applyAlignment="1" applyFont="1" applyNumberFormat="1">
      <alignment horizontal="right" readingOrder="0" shrinkToFit="0" vertical="center" wrapText="0"/>
    </xf>
    <xf borderId="0" fillId="2" fontId="74" numFmtId="0" xfId="0" applyFont="1"/>
    <xf borderId="0" fillId="2" fontId="75" numFmtId="0" xfId="0" applyFont="1"/>
    <xf borderId="0" fillId="6" fontId="7" numFmtId="0" xfId="0" applyAlignment="1" applyFont="1">
      <alignment horizontal="left" readingOrder="0" vertical="center"/>
    </xf>
    <xf borderId="0" fillId="6" fontId="7" numFmtId="167" xfId="0" applyAlignment="1" applyFont="1" applyNumberFormat="1">
      <alignment horizontal="left" readingOrder="0" vertical="center"/>
    </xf>
    <xf borderId="0" fillId="6" fontId="73" numFmtId="3" xfId="0" applyAlignment="1" applyFont="1" applyNumberFormat="1">
      <alignment horizontal="right" readingOrder="0" shrinkToFit="0" vertical="center" wrapText="0"/>
    </xf>
    <xf borderId="0" fillId="6" fontId="71" numFmtId="3" xfId="0" applyAlignment="1" applyFont="1" applyNumberFormat="1">
      <alignment horizontal="right" readingOrder="0" shrinkToFit="0" vertical="center" wrapText="0"/>
    </xf>
    <xf borderId="0" fillId="6" fontId="73" numFmtId="0" xfId="0" applyAlignment="1" applyFont="1">
      <alignment horizontal="left" readingOrder="0" vertical="center"/>
    </xf>
    <xf borderId="0" fillId="6" fontId="7" numFmtId="0" xfId="0" applyAlignment="1" applyFont="1">
      <alignment horizontal="left" readingOrder="0" vertical="center"/>
    </xf>
    <xf borderId="0" fillId="2" fontId="7" numFmtId="167" xfId="0" applyAlignment="1" applyFont="1" applyNumberFormat="1">
      <alignment horizontal="left" readingOrder="0" vertical="center"/>
    </xf>
    <xf borderId="0" fillId="2" fontId="76" numFmtId="0" xfId="0" applyAlignment="1" applyFont="1">
      <alignment horizontal="left" readingOrder="0" shrinkToFit="0" vertical="center" wrapText="0"/>
    </xf>
    <xf borderId="0" fillId="12" fontId="71" numFmtId="0" xfId="0" applyAlignment="1" applyFont="1">
      <alignment horizontal="left" readingOrder="0" vertical="center"/>
    </xf>
    <xf borderId="0" fillId="12" fontId="25" numFmtId="0" xfId="0" applyFont="1"/>
    <xf borderId="0" fillId="12" fontId="25" numFmtId="3" xfId="0" applyAlignment="1" applyFont="1" applyNumberFormat="1">
      <alignment horizontal="right"/>
    </xf>
    <xf borderId="0" fillId="0" fontId="70" numFmtId="0" xfId="0" applyFont="1"/>
    <xf borderId="0" fillId="17" fontId="33" numFmtId="3" xfId="0" applyAlignment="1" applyFill="1" applyFont="1" applyNumberFormat="1">
      <alignment readingOrder="0"/>
    </xf>
    <xf borderId="0" fillId="17" fontId="33" numFmtId="3" xfId="0" applyAlignment="1" applyFont="1" applyNumberFormat="1">
      <alignment horizontal="right" readingOrder="0"/>
    </xf>
    <xf borderId="0" fillId="17" fontId="33" numFmtId="3" xfId="0" applyFont="1" applyNumberFormat="1"/>
    <xf borderId="0" fillId="17" fontId="33" numFmtId="0" xfId="0" applyAlignment="1" applyFont="1">
      <alignment horizontal="right" readingOrder="0"/>
    </xf>
    <xf borderId="0" fillId="18" fontId="25" numFmtId="3" xfId="0" applyAlignment="1" applyFill="1" applyFont="1" applyNumberFormat="1">
      <alignment horizontal="left" readingOrder="0"/>
    </xf>
    <xf borderId="0" fillId="18" fontId="25" numFmtId="3" xfId="0" applyFont="1" applyNumberFormat="1"/>
    <xf borderId="0" fillId="18" fontId="25" numFmtId="3" xfId="0" applyAlignment="1" applyFont="1" applyNumberFormat="1">
      <alignment horizontal="right" readingOrder="0"/>
    </xf>
    <xf borderId="0" fillId="18" fontId="25" numFmtId="3" xfId="0" applyAlignment="1" applyFont="1" applyNumberFormat="1">
      <alignment horizontal="right"/>
    </xf>
    <xf borderId="0" fillId="18" fontId="25" numFmtId="3" xfId="0" applyAlignment="1" applyFont="1" applyNumberFormat="1">
      <alignment readingOrder="0"/>
    </xf>
    <xf borderId="0" fillId="0" fontId="25" numFmtId="3" xfId="0" applyAlignment="1" applyFont="1" applyNumberFormat="1">
      <alignment readingOrder="0"/>
    </xf>
    <xf borderId="0" fillId="0" fontId="25" numFmtId="3" xfId="0" applyFont="1" applyNumberFormat="1"/>
    <xf borderId="0" fillId="0" fontId="25" numFmtId="3" xfId="0" applyAlignment="1" applyFont="1" applyNumberFormat="1">
      <alignment horizontal="right" readingOrder="0"/>
    </xf>
    <xf borderId="0" fillId="0" fontId="25" numFmtId="3" xfId="0" applyAlignment="1" applyFont="1" applyNumberFormat="1">
      <alignment horizontal="right"/>
    </xf>
    <xf borderId="0" fillId="8" fontId="1" numFmtId="3" xfId="0" applyAlignment="1" applyFont="1" applyNumberFormat="1">
      <alignment vertical="bottom"/>
    </xf>
    <xf borderId="0" fillId="0" fontId="78" numFmtId="0" xfId="0" applyFont="1"/>
    <xf borderId="0" fillId="3" fontId="25" numFmtId="0" xfId="0" applyAlignment="1" applyFont="1">
      <alignment readingOrder="0"/>
    </xf>
    <xf borderId="0" fillId="8" fontId="1" numFmtId="0" xfId="0" applyAlignment="1" applyFont="1">
      <alignment vertical="bottom"/>
    </xf>
    <xf borderId="0" fillId="0" fontId="78" numFmtId="0" xfId="0" applyAlignment="1" applyFont="1">
      <alignment readingOrder="0"/>
    </xf>
    <xf borderId="0" fillId="3" fontId="25" numFmtId="3" xfId="0" applyFont="1" applyNumberFormat="1"/>
    <xf borderId="0" fillId="3" fontId="78" numFmtId="0" xfId="0" applyAlignment="1" applyFont="1">
      <alignment readingOrder="0" vertical="center"/>
    </xf>
    <xf borderId="0" fillId="2" fontId="25" numFmtId="0" xfId="0" applyAlignment="1" applyFont="1">
      <alignment readingOrder="0"/>
    </xf>
    <xf borderId="0" fillId="0" fontId="25" numFmtId="0" xfId="0" applyAlignment="1" applyFont="1">
      <alignment horizontal="right"/>
    </xf>
    <xf borderId="0" fillId="0" fontId="79" numFmtId="3" xfId="0" applyAlignment="1" applyFont="1" applyNumberFormat="1">
      <alignment horizontal="center" readingOrder="0" shrinkToFit="0" vertical="center" wrapText="0"/>
    </xf>
    <xf borderId="0" fillId="0" fontId="80" numFmtId="3" xfId="0" applyAlignment="1" applyFont="1" applyNumberFormat="1">
      <alignment horizontal="center" readingOrder="0" shrinkToFit="0" vertical="center" wrapText="0"/>
    </xf>
    <xf borderId="0" fillId="0" fontId="81" numFmtId="3" xfId="0" applyAlignment="1" applyFont="1" applyNumberFormat="1">
      <alignment horizontal="center" readingOrder="0" shrinkToFit="0" vertical="center" wrapText="0"/>
    </xf>
    <xf borderId="0" fillId="0" fontId="50" numFmtId="3" xfId="0" applyAlignment="1" applyFont="1" applyNumberFormat="1">
      <alignment horizontal="center" readingOrder="0" shrinkToFit="0" vertical="center" wrapText="0"/>
    </xf>
    <xf borderId="0" fillId="0" fontId="25" numFmtId="3" xfId="0" applyAlignment="1" applyFont="1" applyNumberFormat="1">
      <alignment vertical="center"/>
    </xf>
    <xf borderId="0" fillId="0" fontId="82" numFmtId="3" xfId="0" applyAlignment="1" applyFont="1" applyNumberFormat="1">
      <alignment horizontal="center" readingOrder="0" shrinkToFit="0" vertical="center" wrapText="0"/>
    </xf>
    <xf borderId="86" fillId="19" fontId="83" numFmtId="0" xfId="0" applyAlignment="1" applyBorder="1" applyFill="1" applyFont="1">
      <alignment horizontal="center" readingOrder="0" shrinkToFit="0" vertical="center" wrapText="0"/>
    </xf>
    <xf borderId="86" fillId="19" fontId="83" numFmtId="3" xfId="0" applyAlignment="1" applyBorder="1" applyFont="1" applyNumberFormat="1">
      <alignment horizontal="center" readingOrder="0" shrinkToFit="0" vertical="center" wrapText="0"/>
    </xf>
    <xf borderId="86" fillId="20" fontId="84" numFmtId="3" xfId="0" applyAlignment="1" applyBorder="1" applyFill="1" applyFont="1" applyNumberFormat="1">
      <alignment horizontal="center" readingOrder="0" shrinkToFit="0" vertical="center" wrapText="0"/>
    </xf>
    <xf borderId="0" fillId="0" fontId="85" numFmtId="3" xfId="0" applyAlignment="1" applyFont="1" applyNumberFormat="1">
      <alignment vertical="center"/>
    </xf>
    <xf borderId="0" fillId="0" fontId="86" numFmtId="3" xfId="0" applyAlignment="1" applyFont="1" applyNumberFormat="1">
      <alignment horizontal="center" readingOrder="0" shrinkToFit="0" wrapText="0"/>
    </xf>
    <xf borderId="86" fillId="0" fontId="86" numFmtId="0" xfId="0" applyAlignment="1" applyBorder="1" applyFont="1">
      <alignment horizontal="right" shrinkToFit="0" wrapText="0"/>
    </xf>
    <xf borderId="86" fillId="0" fontId="86" numFmtId="3" xfId="0" applyAlignment="1" applyBorder="1" applyFont="1" applyNumberFormat="1">
      <alignment horizontal="right" readingOrder="0" shrinkToFit="0" wrapText="0"/>
    </xf>
    <xf borderId="86" fillId="21" fontId="86" numFmtId="3" xfId="0" applyAlignment="1" applyBorder="1" applyFill="1" applyFont="1" applyNumberFormat="1">
      <alignment horizontal="right" readingOrder="0" shrinkToFit="0" wrapText="0"/>
    </xf>
    <xf borderId="86" fillId="2" fontId="86" numFmtId="3" xfId="0" applyAlignment="1" applyBorder="1" applyFont="1" applyNumberFormat="1">
      <alignment horizontal="right" readingOrder="0" shrinkToFit="0" wrapText="0"/>
    </xf>
    <xf borderId="0" fillId="0" fontId="86" numFmtId="3" xfId="0" applyFont="1" applyNumberFormat="1"/>
    <xf borderId="86" fillId="0" fontId="86" numFmtId="0" xfId="0" applyAlignment="1" applyBorder="1" applyFont="1">
      <alignment horizontal="right" readingOrder="0" shrinkToFit="0" wrapText="0"/>
    </xf>
    <xf borderId="0" fillId="20" fontId="87" numFmtId="3" xfId="0" applyAlignment="1" applyFont="1" applyNumberFormat="1">
      <alignment horizontal="right" readingOrder="0" shrinkToFit="0" vertical="center" wrapText="0"/>
    </xf>
    <xf borderId="86" fillId="20" fontId="87" numFmtId="0" xfId="0" applyAlignment="1" applyBorder="1" applyFont="1">
      <alignment horizontal="right" readingOrder="0" shrinkToFit="0" vertical="center" wrapText="0"/>
    </xf>
    <xf borderId="86" fillId="20" fontId="87" numFmtId="3" xfId="0" applyAlignment="1" applyBorder="1" applyFont="1" applyNumberFormat="1">
      <alignment horizontal="center" readingOrder="0" shrinkToFit="0" vertical="center" wrapText="0"/>
    </xf>
    <xf borderId="87" fillId="19" fontId="87" numFmtId="3" xfId="0" applyAlignment="1" applyBorder="1" applyFont="1" applyNumberFormat="1">
      <alignment horizontal="center" readingOrder="0" shrinkToFit="0" vertical="center" wrapText="0"/>
    </xf>
    <xf borderId="87" fillId="22" fontId="87" numFmtId="3" xfId="0" applyAlignment="1" applyBorder="1" applyFill="1" applyFont="1" applyNumberFormat="1">
      <alignment horizontal="center" readingOrder="0" shrinkToFit="0" vertical="center" wrapText="0"/>
    </xf>
    <xf borderId="0" fillId="0" fontId="88" numFmtId="3" xfId="0" applyAlignment="1" applyFont="1" applyNumberFormat="1">
      <alignment readingOrder="0" vertical="center"/>
    </xf>
    <xf borderId="0" fillId="0" fontId="88" numFmtId="0" xfId="0" applyAlignment="1" applyFont="1">
      <alignment readingOrder="0" vertical="center"/>
    </xf>
    <xf borderId="0" fillId="0" fontId="88" numFmtId="3" xfId="0" applyAlignment="1" applyFont="1" applyNumberFormat="1">
      <alignment vertical="center"/>
    </xf>
    <xf borderId="88" fillId="6" fontId="88" numFmtId="3" xfId="0" applyAlignment="1" applyBorder="1" applyFont="1" applyNumberFormat="1">
      <alignment vertical="center"/>
    </xf>
    <xf borderId="0" fillId="0" fontId="61" numFmtId="3" xfId="0" applyAlignment="1" applyFont="1" applyNumberFormat="1">
      <alignment readingOrder="0" vertical="center"/>
    </xf>
    <xf borderId="0" fillId="0" fontId="87" numFmtId="3" xfId="0" applyAlignment="1" applyFont="1" applyNumberFormat="1">
      <alignment readingOrder="0" vertical="center"/>
    </xf>
    <xf borderId="0" fillId="0" fontId="87" numFmtId="3" xfId="0" applyAlignment="1" applyFont="1" applyNumberFormat="1">
      <alignment vertical="center"/>
    </xf>
    <xf borderId="88" fillId="6" fontId="87" numFmtId="3" xfId="0" applyAlignment="1" applyBorder="1" applyFont="1" applyNumberFormat="1">
      <alignment vertical="center"/>
    </xf>
    <xf borderId="0" fillId="0" fontId="89" numFmtId="3" xfId="0" applyAlignment="1" applyFont="1" applyNumberFormat="1">
      <alignment readingOrder="0" vertical="center"/>
    </xf>
    <xf borderId="0" fillId="0" fontId="90" numFmtId="3" xfId="0" applyAlignment="1" applyFont="1" applyNumberFormat="1">
      <alignment vertical="center"/>
    </xf>
    <xf borderId="88" fillId="6" fontId="90" numFmtId="3" xfId="0" applyAlignment="1" applyBorder="1" applyFont="1" applyNumberFormat="1">
      <alignment vertical="center"/>
    </xf>
    <xf borderId="0" fillId="0" fontId="89" numFmtId="3" xfId="0" applyAlignment="1" applyFont="1" applyNumberFormat="1">
      <alignment vertical="center"/>
    </xf>
    <xf borderId="0" fillId="0" fontId="91" numFmtId="0" xfId="0" applyAlignment="1" applyFont="1">
      <alignment horizontal="left" readingOrder="0"/>
    </xf>
    <xf borderId="0" fillId="0" fontId="91" numFmtId="3" xfId="0" applyAlignment="1" applyFont="1" applyNumberFormat="1">
      <alignment horizontal="left" readingOrder="0"/>
    </xf>
    <xf borderId="0" fillId="0" fontId="91" numFmtId="3" xfId="0" applyAlignment="1" applyFont="1" applyNumberFormat="1">
      <alignment horizontal="left"/>
    </xf>
    <xf borderId="0" fillId="0" fontId="91" numFmtId="0" xfId="0" applyFont="1"/>
    <xf borderId="0" fillId="0" fontId="91" numFmtId="0" xfId="0" applyAlignment="1" applyFont="1">
      <alignment horizontal="left" readingOrder="0" vertical="center"/>
    </xf>
    <xf borderId="0" fillId="12" fontId="92" numFmtId="0" xfId="0" applyAlignment="1" applyFont="1">
      <alignment horizontal="center" readingOrder="0" vertical="center"/>
    </xf>
    <xf borderId="0" fillId="12" fontId="92" numFmtId="3" xfId="0" applyAlignment="1" applyFont="1" applyNumberFormat="1">
      <alignment horizontal="center" readingOrder="0" vertical="center"/>
    </xf>
    <xf borderId="0" fillId="12" fontId="92" numFmtId="3" xfId="0" applyAlignment="1" applyFont="1" applyNumberFormat="1">
      <alignment horizontal="center" vertical="center"/>
    </xf>
    <xf borderId="0" fillId="0" fontId="91" numFmtId="0" xfId="0" applyAlignment="1" applyFont="1">
      <alignment horizontal="left" vertical="center"/>
    </xf>
    <xf borderId="0" fillId="0" fontId="93" numFmtId="0" xfId="0" applyAlignment="1" applyFont="1">
      <alignment horizontal="left" readingOrder="0"/>
    </xf>
    <xf borderId="0" fillId="0" fontId="93" numFmtId="3" xfId="0" applyAlignment="1" applyFont="1" applyNumberFormat="1">
      <alignment horizontal="left" readingOrder="0"/>
    </xf>
    <xf borderId="0" fillId="0" fontId="93" numFmtId="3" xfId="0" applyAlignment="1" applyFont="1" applyNumberFormat="1">
      <alignment horizontal="left"/>
    </xf>
    <xf borderId="0" fillId="0" fontId="93" numFmtId="0" xfId="0" applyFont="1"/>
    <xf borderId="0" fillId="2" fontId="94" numFmtId="3" xfId="0" applyAlignment="1" applyFont="1" applyNumberFormat="1">
      <alignment horizontal="left" readingOrder="0"/>
    </xf>
    <xf borderId="0" fillId="2" fontId="91" numFmtId="0" xfId="0" applyAlignment="1" applyFont="1">
      <alignment horizontal="left" readingOrder="0"/>
    </xf>
    <xf borderId="0" fillId="2" fontId="93" numFmtId="0" xfId="0" applyAlignment="1" applyFont="1">
      <alignment horizontal="left" readingOrder="0"/>
    </xf>
    <xf borderId="0" fillId="2" fontId="93" numFmtId="3" xfId="0" applyAlignment="1" applyFont="1" applyNumberFormat="1">
      <alignment horizontal="left" readingOrder="0"/>
    </xf>
    <xf borderId="0" fillId="2" fontId="93" numFmtId="3" xfId="0" applyAlignment="1" applyFont="1" applyNumberFormat="1">
      <alignment horizontal="left"/>
    </xf>
    <xf borderId="0" fillId="0" fontId="91" numFmtId="0" xfId="0" applyAlignment="1" applyFont="1">
      <alignment readingOrder="0"/>
    </xf>
    <xf borderId="0" fillId="23" fontId="95" numFmtId="0" xfId="0" applyAlignment="1" applyFill="1" applyFont="1">
      <alignment horizontal="center" readingOrder="0" vertical="center"/>
    </xf>
    <xf borderId="89" fillId="0" fontId="39" numFmtId="0" xfId="0" applyBorder="1" applyFont="1"/>
    <xf borderId="0" fillId="24" fontId="96" numFmtId="3" xfId="0" applyAlignment="1" applyFill="1" applyFont="1" applyNumberFormat="1">
      <alignment horizontal="center" readingOrder="0" vertical="center"/>
    </xf>
    <xf borderId="90" fillId="0" fontId="39" numFmtId="0" xfId="0" applyBorder="1" applyFont="1"/>
    <xf borderId="0" fillId="25" fontId="95" numFmtId="0" xfId="0" applyAlignment="1" applyFill="1" applyFont="1">
      <alignment horizontal="center" readingOrder="0" vertical="center"/>
    </xf>
    <xf borderId="0" fillId="26" fontId="95" numFmtId="0" xfId="0" applyAlignment="1" applyFill="1" applyFont="1">
      <alignment horizontal="center" readingOrder="0" vertical="center"/>
    </xf>
    <xf borderId="0" fillId="27" fontId="96" numFmtId="0" xfId="0" applyAlignment="1" applyFill="1" applyFont="1">
      <alignment horizontal="center" vertical="center"/>
    </xf>
    <xf borderId="0" fillId="28" fontId="95" numFmtId="0" xfId="0" applyAlignment="1" applyFill="1" applyFont="1">
      <alignment horizontal="center" readingOrder="0" vertical="center"/>
    </xf>
    <xf borderId="0" fillId="29" fontId="96" numFmtId="0" xfId="0" applyAlignment="1" applyFill="1" applyFont="1">
      <alignment horizontal="center" vertical="center"/>
    </xf>
    <xf borderId="0" fillId="30" fontId="96" numFmtId="0" xfId="0" applyAlignment="1" applyFill="1" applyFont="1">
      <alignment horizontal="center" readingOrder="0" vertical="center"/>
    </xf>
    <xf borderId="91" fillId="31" fontId="96" numFmtId="0" xfId="0" applyAlignment="1" applyBorder="1" applyFill="1" applyFont="1">
      <alignment horizontal="center" readingOrder="0" vertical="center"/>
    </xf>
    <xf borderId="0" fillId="31" fontId="96" numFmtId="0" xfId="0" applyAlignment="1" applyFont="1">
      <alignment horizontal="center" readingOrder="0" vertical="center"/>
    </xf>
    <xf borderId="0" fillId="32" fontId="97" numFmtId="0" xfId="0" applyAlignment="1" applyFill="1" applyFont="1">
      <alignment horizontal="left" vertical="center"/>
    </xf>
    <xf borderId="0" fillId="32" fontId="98" numFmtId="0" xfId="0" applyAlignment="1" applyFont="1">
      <alignment horizontal="left" readingOrder="0" vertical="center"/>
    </xf>
    <xf borderId="0" fillId="32" fontId="98" numFmtId="0" xfId="0" applyAlignment="1" applyFont="1">
      <alignment horizontal="left" vertical="center"/>
    </xf>
    <xf borderId="0" fillId="32" fontId="97" numFmtId="0" xfId="0" applyAlignment="1" applyFont="1">
      <alignment horizontal="left" readingOrder="0" vertical="center"/>
    </xf>
    <xf borderId="0" fillId="32" fontId="98" numFmtId="3" xfId="0" applyAlignment="1" applyFont="1" applyNumberFormat="1">
      <alignment horizontal="left" vertical="center"/>
    </xf>
    <xf borderId="91" fillId="32" fontId="98" numFmtId="3" xfId="0" applyAlignment="1" applyBorder="1" applyFont="1" applyNumberFormat="1">
      <alignment horizontal="left" vertical="center"/>
    </xf>
    <xf borderId="0" fillId="12" fontId="99" numFmtId="172" xfId="0" applyAlignment="1" applyFont="1" applyNumberFormat="1">
      <alignment horizontal="center" vertical="center"/>
    </xf>
    <xf borderId="0" fillId="12" fontId="99" numFmtId="172" xfId="0" applyAlignment="1" applyFont="1" applyNumberFormat="1">
      <alignment horizontal="center" readingOrder="0" vertical="center"/>
    </xf>
    <xf borderId="91" fillId="12" fontId="99" numFmtId="0" xfId="0" applyAlignment="1" applyBorder="1" applyFont="1">
      <alignment horizontal="center" vertical="center"/>
    </xf>
    <xf borderId="0" fillId="12" fontId="99" numFmtId="0" xfId="0" applyAlignment="1" applyFont="1">
      <alignment horizontal="center" vertical="center"/>
    </xf>
    <xf borderId="0" fillId="0" fontId="94" numFmtId="0" xfId="0" applyAlignment="1" applyFont="1">
      <alignment readingOrder="0" vertical="center"/>
    </xf>
    <xf borderId="89" fillId="8" fontId="100" numFmtId="0" xfId="0" applyAlignment="1" applyBorder="1" applyFont="1">
      <alignment horizontal="right" vertical="center"/>
    </xf>
    <xf borderId="90" fillId="8" fontId="100" numFmtId="0" xfId="0" applyAlignment="1" applyBorder="1" applyFont="1">
      <alignment horizontal="right" vertical="center"/>
    </xf>
    <xf borderId="0" fillId="0" fontId="94" numFmtId="0" xfId="0" applyAlignment="1" applyFont="1">
      <alignment vertical="center"/>
    </xf>
    <xf borderId="0" fillId="8" fontId="100" numFmtId="0" xfId="0" applyAlignment="1" applyFont="1">
      <alignment horizontal="right" readingOrder="0" vertical="center"/>
    </xf>
    <xf borderId="91" fillId="8" fontId="100" numFmtId="0" xfId="0" applyAlignment="1" applyBorder="1" applyFont="1">
      <alignment horizontal="right" vertical="center"/>
    </xf>
    <xf borderId="0" fillId="8" fontId="100" numFmtId="0" xfId="0" applyAlignment="1" applyFont="1">
      <alignment horizontal="right" vertical="center"/>
    </xf>
    <xf borderId="0" fillId="0" fontId="98" numFmtId="0" xfId="0" applyAlignment="1" applyFont="1">
      <alignment readingOrder="0" vertical="center"/>
    </xf>
    <xf borderId="89" fillId="8" fontId="100" numFmtId="0" xfId="0" applyAlignment="1" applyBorder="1" applyFont="1">
      <alignment horizontal="right" readingOrder="0" vertical="center"/>
    </xf>
    <xf borderId="90" fillId="8" fontId="100" numFmtId="0" xfId="0" applyAlignment="1" applyBorder="1" applyFont="1">
      <alignment horizontal="right" readingOrder="0" vertical="center"/>
    </xf>
    <xf borderId="91" fillId="8" fontId="100" numFmtId="0" xfId="0" applyAlignment="1" applyBorder="1" applyFont="1">
      <alignment horizontal="right" readingOrder="0" vertical="center"/>
    </xf>
    <xf borderId="0" fillId="0" fontId="100" numFmtId="0" xfId="0" applyAlignment="1" applyFont="1">
      <alignment vertical="center"/>
    </xf>
    <xf borderId="0" fillId="32" fontId="101" numFmtId="0" xfId="0" applyAlignment="1" applyFont="1">
      <alignment horizontal="right" vertical="center"/>
    </xf>
    <xf borderId="89" fillId="32" fontId="51" numFmtId="3" xfId="0" applyAlignment="1" applyBorder="1" applyFont="1" applyNumberFormat="1">
      <alignment horizontal="right" vertical="center"/>
    </xf>
    <xf borderId="0" fillId="32" fontId="102" numFmtId="0" xfId="0" applyAlignment="1" applyFont="1">
      <alignment vertical="center"/>
    </xf>
    <xf borderId="90" fillId="32" fontId="51" numFmtId="3" xfId="0" applyAlignment="1" applyBorder="1" applyFont="1" applyNumberFormat="1">
      <alignment horizontal="right" vertical="center"/>
    </xf>
    <xf borderId="91" fillId="12" fontId="100" numFmtId="0" xfId="0" applyAlignment="1" applyBorder="1" applyFont="1">
      <alignment horizontal="right" readingOrder="0" vertical="center"/>
    </xf>
    <xf borderId="0" fillId="12" fontId="100" numFmtId="0" xfId="0" applyAlignment="1" applyFont="1">
      <alignment horizontal="right" readingOrder="0" vertical="center"/>
    </xf>
    <xf borderId="0" fillId="23" fontId="103" numFmtId="0" xfId="0" applyAlignment="1" applyFont="1">
      <alignment horizontal="right" readingOrder="0" vertical="center"/>
    </xf>
    <xf borderId="89" fillId="23" fontId="102" numFmtId="3" xfId="0" applyAlignment="1" applyBorder="1" applyFont="1" applyNumberFormat="1">
      <alignment horizontal="right" vertical="center"/>
    </xf>
    <xf borderId="0" fillId="33" fontId="51" numFmtId="0" xfId="0" applyAlignment="1" applyFill="1" applyFont="1">
      <alignment vertical="center"/>
    </xf>
    <xf borderId="90" fillId="33" fontId="102" numFmtId="3" xfId="0" applyAlignment="1" applyBorder="1" applyFont="1" applyNumberFormat="1">
      <alignment horizontal="right" vertical="center"/>
    </xf>
    <xf borderId="0" fillId="18" fontId="51" numFmtId="0" xfId="0" applyAlignment="1" applyFont="1">
      <alignment vertical="center"/>
    </xf>
    <xf borderId="90" fillId="18" fontId="102" numFmtId="3" xfId="0" applyAlignment="1" applyBorder="1" applyFont="1" applyNumberFormat="1">
      <alignment horizontal="right" vertical="center"/>
    </xf>
    <xf borderId="0" fillId="19" fontId="51" numFmtId="0" xfId="0" applyAlignment="1" applyFont="1">
      <alignment vertical="center"/>
    </xf>
    <xf borderId="90" fillId="19" fontId="102" numFmtId="3" xfId="0" applyAlignment="1" applyBorder="1" applyFont="1" applyNumberFormat="1">
      <alignment horizontal="right" vertical="center"/>
    </xf>
    <xf borderId="0" fillId="25" fontId="51" numFmtId="0" xfId="0" applyAlignment="1" applyFont="1">
      <alignment vertical="center"/>
    </xf>
    <xf borderId="90" fillId="25" fontId="102" numFmtId="3" xfId="0" applyAlignment="1" applyBorder="1" applyFont="1" applyNumberFormat="1">
      <alignment horizontal="right" vertical="center"/>
    </xf>
    <xf borderId="0" fillId="34" fontId="51" numFmtId="0" xfId="0" applyAlignment="1" applyFill="1" applyFont="1">
      <alignment vertical="center"/>
    </xf>
    <xf borderId="90" fillId="34" fontId="102" numFmtId="3" xfId="0" applyAlignment="1" applyBorder="1" applyFont="1" applyNumberFormat="1">
      <alignment horizontal="right" vertical="center"/>
    </xf>
    <xf borderId="0" fillId="5" fontId="51" numFmtId="0" xfId="0" applyAlignment="1" applyFont="1">
      <alignment vertical="center"/>
    </xf>
    <xf borderId="0" fillId="5" fontId="102" numFmtId="3" xfId="0" applyAlignment="1" applyFont="1" applyNumberFormat="1">
      <alignment horizontal="right" vertical="center"/>
    </xf>
    <xf borderId="0" fillId="0" fontId="100" numFmtId="0" xfId="0" applyAlignment="1" applyFont="1">
      <alignment readingOrder="0" vertical="center"/>
    </xf>
    <xf borderId="0" fillId="33" fontId="51" numFmtId="171" xfId="0" applyAlignment="1" applyFont="1" applyNumberFormat="1">
      <alignment readingOrder="0" vertical="center"/>
    </xf>
    <xf borderId="0" fillId="18" fontId="51" numFmtId="171" xfId="0" applyAlignment="1" applyFont="1" applyNumberFormat="1">
      <alignment readingOrder="0" vertical="center"/>
    </xf>
    <xf borderId="90" fillId="18" fontId="102" numFmtId="3" xfId="0" applyAlignment="1" applyBorder="1" applyFont="1" applyNumberFormat="1">
      <alignment horizontal="right" readingOrder="0" vertical="center"/>
    </xf>
    <xf borderId="0" fillId="19" fontId="51" numFmtId="171" xfId="0" applyAlignment="1" applyFont="1" applyNumberFormat="1">
      <alignment readingOrder="0" vertical="center"/>
    </xf>
    <xf borderId="0" fillId="25" fontId="51" numFmtId="171" xfId="0" applyAlignment="1" applyFont="1" applyNumberFormat="1">
      <alignment readingOrder="0" vertical="center"/>
    </xf>
    <xf borderId="0" fillId="34" fontId="51" numFmtId="171" xfId="0" applyAlignment="1" applyFont="1" applyNumberFormat="1">
      <alignment readingOrder="0" vertical="center"/>
    </xf>
    <xf borderId="0" fillId="5" fontId="51" numFmtId="171" xfId="0" applyAlignment="1" applyFont="1" applyNumberFormat="1">
      <alignment readingOrder="0" vertical="center"/>
    </xf>
    <xf borderId="0" fillId="32" fontId="51" numFmtId="3" xfId="0" applyAlignment="1" applyFont="1" applyNumberFormat="1">
      <alignment horizontal="right" vertical="center"/>
    </xf>
    <xf borderId="0" fillId="12" fontId="99" numFmtId="0" xfId="0" applyAlignment="1" applyFont="1">
      <alignment horizontal="center" readingOrder="0" vertical="center"/>
    </xf>
    <xf borderId="90" fillId="32" fontId="51" numFmtId="3" xfId="0" applyAlignment="1" applyBorder="1" applyFont="1" applyNumberFormat="1">
      <alignment horizontal="right" readingOrder="0" vertical="center"/>
    </xf>
    <xf borderId="91" fillId="8" fontId="100" numFmtId="3" xfId="0" applyAlignment="1" applyBorder="1" applyFont="1" applyNumberFormat="1">
      <alignment horizontal="right" readingOrder="0" vertical="center"/>
    </xf>
    <xf borderId="90" fillId="25" fontId="102" numFmtId="3" xfId="0" applyAlignment="1" applyBorder="1" applyFont="1" applyNumberFormat="1">
      <alignment horizontal="right" readingOrder="0" vertical="center"/>
    </xf>
    <xf borderId="91" fillId="32" fontId="51" numFmtId="3" xfId="0" applyAlignment="1" applyBorder="1" applyFont="1" applyNumberFormat="1">
      <alignment horizontal="right" vertical="center"/>
    </xf>
    <xf borderId="0" fillId="23" fontId="102" numFmtId="3" xfId="0" applyAlignment="1" applyFont="1" applyNumberFormat="1">
      <alignment horizontal="right" vertical="center"/>
    </xf>
    <xf borderId="0" fillId="33" fontId="102" numFmtId="3" xfId="0" applyAlignment="1" applyFont="1" applyNumberFormat="1">
      <alignment horizontal="right" vertical="center"/>
    </xf>
    <xf borderId="0" fillId="18" fontId="102" numFmtId="3" xfId="0" applyAlignment="1" applyFont="1" applyNumberFormat="1">
      <alignment horizontal="right" vertical="center"/>
    </xf>
    <xf borderId="0" fillId="19" fontId="102" numFmtId="3" xfId="0" applyAlignment="1" applyFont="1" applyNumberFormat="1">
      <alignment horizontal="right" vertical="center"/>
    </xf>
    <xf borderId="0" fillId="25" fontId="102" numFmtId="3" xfId="0" applyAlignment="1" applyFont="1" applyNumberFormat="1">
      <alignment horizontal="right" vertical="center"/>
    </xf>
    <xf borderId="0" fillId="34" fontId="102" numFmtId="3" xfId="0" applyAlignment="1" applyFont="1" applyNumberFormat="1">
      <alignment horizontal="right" vertical="center"/>
    </xf>
    <xf borderId="91" fillId="5" fontId="102" numFmtId="3" xfId="0" applyAlignment="1" applyBorder="1" applyFont="1" applyNumberFormat="1">
      <alignment horizontal="right" vertical="center"/>
    </xf>
    <xf borderId="0" fillId="0" fontId="103" numFmtId="0" xfId="0" applyAlignment="1" applyFont="1">
      <alignment horizontal="right" readingOrder="0" vertical="center"/>
    </xf>
    <xf borderId="0" fillId="0" fontId="102" numFmtId="3" xfId="0" applyAlignment="1" applyFont="1" applyNumberFormat="1">
      <alignment horizontal="right" vertical="center"/>
    </xf>
    <xf borderId="0" fillId="0" fontId="51" numFmtId="0" xfId="0" applyAlignment="1" applyFont="1">
      <alignment vertical="center"/>
    </xf>
    <xf borderId="91" fillId="0" fontId="102" numFmtId="3" xfId="0" applyAlignment="1" applyBorder="1" applyFont="1" applyNumberFormat="1">
      <alignment horizontal="right" vertical="center"/>
    </xf>
    <xf borderId="0" fillId="5" fontId="51" numFmtId="171" xfId="0" applyAlignment="1" applyFont="1" applyNumberFormat="1">
      <alignment vertical="center"/>
    </xf>
    <xf borderId="0" fillId="6" fontId="33" numFmtId="0" xfId="0" applyAlignment="1" applyFont="1">
      <alignment horizontal="center" readingOrder="0" vertical="center"/>
    </xf>
    <xf borderId="0" fillId="2" fontId="104" numFmtId="0" xfId="0" applyAlignment="1" applyFont="1">
      <alignment horizontal="left" readingOrder="0" vertical="center"/>
    </xf>
    <xf borderId="0" fillId="2" fontId="104" numFmtId="0" xfId="0" applyAlignment="1" applyFont="1">
      <alignment horizontal="left" vertical="center"/>
    </xf>
    <xf borderId="0" fillId="2" fontId="104" numFmtId="0" xfId="0" applyAlignment="1" applyFont="1">
      <alignment horizontal="left" vertical="center"/>
    </xf>
    <xf borderId="0" fillId="0" fontId="25" numFmtId="0" xfId="0" applyFont="1"/>
    <xf borderId="0" fillId="0" fontId="25" numFmtId="0" xfId="0" applyAlignment="1" applyFont="1">
      <alignment shrinkToFit="0" wrapText="0"/>
    </xf>
    <xf borderId="0" fillId="0" fontId="25" numFmtId="3" xfId="0" applyAlignment="1" applyFont="1" applyNumberFormat="1">
      <alignment horizontal="center"/>
    </xf>
    <xf borderId="0" fillId="0" fontId="25" numFmtId="0" xfId="0" applyAlignment="1" applyFont="1">
      <alignment horizontal="center"/>
    </xf>
    <xf borderId="0" fillId="6" fontId="33" numFmtId="0" xfId="0" applyAlignment="1" applyFont="1">
      <alignment horizontal="center" readingOrder="0" vertical="center"/>
    </xf>
    <xf borderId="0" fillId="6" fontId="33" numFmtId="0" xfId="0" applyAlignment="1" applyFont="1">
      <alignment horizontal="center" readingOrder="0" shrinkToFit="0" vertical="center" wrapText="0"/>
    </xf>
    <xf borderId="0" fillId="6" fontId="33" numFmtId="3" xfId="0" applyAlignment="1" applyFont="1" applyNumberFormat="1">
      <alignment horizontal="center" readingOrder="0" vertical="center"/>
    </xf>
    <xf borderId="0" fillId="27" fontId="105" numFmtId="3" xfId="0" applyAlignment="1" applyFont="1" applyNumberFormat="1">
      <alignment horizontal="center" readingOrder="0" shrinkToFit="0" vertical="center" wrapText="1"/>
    </xf>
    <xf borderId="92" fillId="27" fontId="105" numFmtId="0" xfId="0" applyAlignment="1" applyBorder="1" applyFont="1">
      <alignment horizontal="center" shrinkToFit="0" vertical="center" wrapText="1"/>
    </xf>
    <xf borderId="0" fillId="27" fontId="105" numFmtId="0" xfId="0" applyAlignment="1" applyFont="1">
      <alignment horizontal="center" shrinkToFit="0" vertical="center" wrapText="1"/>
    </xf>
    <xf borderId="0" fillId="27" fontId="105" numFmtId="0" xfId="0" applyAlignment="1" applyFont="1">
      <alignment horizontal="center" readingOrder="0" shrinkToFit="0" vertical="center" wrapText="1"/>
    </xf>
    <xf borderId="0" fillId="6" fontId="33" numFmtId="0" xfId="0" applyAlignment="1" applyFont="1">
      <alignment horizontal="center" vertical="center"/>
    </xf>
    <xf borderId="0" fillId="0" fontId="33" numFmtId="0" xfId="0" applyAlignment="1" applyFont="1">
      <alignment horizontal="center" readingOrder="0" vertical="center"/>
    </xf>
    <xf borderId="0" fillId="0" fontId="33" numFmtId="0" xfId="0" applyAlignment="1" applyFont="1">
      <alignment horizontal="center" vertical="center"/>
    </xf>
    <xf borderId="0" fillId="0" fontId="25" numFmtId="0" xfId="0" applyAlignment="1" applyFont="1">
      <alignment horizontal="left"/>
    </xf>
    <xf borderId="0" fillId="0" fontId="25" numFmtId="0" xfId="0" applyAlignment="1" applyFont="1">
      <alignment horizontal="left" readingOrder="0"/>
    </xf>
    <xf borderId="0" fillId="2" fontId="1" numFmtId="0" xfId="0" applyAlignment="1" applyFont="1">
      <alignment horizontal="left" readingOrder="0" vertical="center"/>
    </xf>
    <xf borderId="0" fillId="2" fontId="1" numFmtId="173" xfId="0" applyAlignment="1" applyFont="1" applyNumberFormat="1">
      <alignment horizontal="left" readingOrder="0" vertical="center"/>
    </xf>
    <xf borderId="0" fillId="2" fontId="1" numFmtId="0" xfId="0" applyAlignment="1" applyFont="1">
      <alignment readingOrder="0" shrinkToFit="0" vertical="center" wrapText="0"/>
    </xf>
    <xf borderId="0" fillId="0" fontId="25" numFmtId="0" xfId="0" applyAlignment="1" applyFont="1">
      <alignment horizontal="center"/>
    </xf>
    <xf borderId="0" fillId="0" fontId="25" numFmtId="0" xfId="0" applyAlignment="1" applyFont="1">
      <alignment horizontal="left"/>
    </xf>
    <xf borderId="0" fillId="0" fontId="25" numFmtId="3" xfId="0" applyAlignment="1" applyFont="1" applyNumberFormat="1">
      <alignment horizontal="left"/>
    </xf>
    <xf borderId="0" fillId="2" fontId="106" numFmtId="0" xfId="0" applyAlignment="1" applyFont="1">
      <alignment shrinkToFit="0" vertical="center" wrapText="0"/>
    </xf>
    <xf borderId="0" fillId="0" fontId="25" numFmtId="0" xfId="0" applyAlignment="1" applyFont="1">
      <alignment horizontal="left" readingOrder="0"/>
    </xf>
    <xf borderId="0" fillId="0" fontId="107" numFmtId="0" xfId="0" applyAlignment="1" applyFont="1">
      <alignment horizontal="left"/>
    </xf>
    <xf borderId="0" fillId="14" fontId="25" numFmtId="0" xfId="0" applyAlignment="1" applyFont="1">
      <alignment horizontal="left" readingOrder="0"/>
    </xf>
    <xf borderId="0" fillId="14" fontId="1" numFmtId="0" xfId="0" applyAlignment="1" applyFont="1">
      <alignment horizontal="left" readingOrder="0" vertical="center"/>
    </xf>
    <xf borderId="0" fillId="14" fontId="1" numFmtId="173" xfId="0" applyAlignment="1" applyFont="1" applyNumberFormat="1">
      <alignment horizontal="left" readingOrder="0" vertical="center"/>
    </xf>
    <xf borderId="0" fillId="14" fontId="1" numFmtId="0" xfId="0" applyAlignment="1" applyFont="1">
      <alignment readingOrder="0" shrinkToFit="0" vertical="center" wrapText="0"/>
    </xf>
    <xf borderId="0" fillId="2" fontId="1" numFmtId="0" xfId="0" applyAlignment="1" applyFont="1">
      <alignment horizontal="left" vertical="center"/>
    </xf>
    <xf borderId="0" fillId="0" fontId="25" numFmtId="0" xfId="0" applyAlignment="1" applyFont="1">
      <alignment horizontal="left" readingOrder="0" vertical="center"/>
    </xf>
    <xf borderId="0" fillId="2" fontId="100" numFmtId="0" xfId="0" applyAlignment="1" applyFont="1">
      <alignment horizontal="left" readingOrder="0" shrinkToFit="0" wrapText="0"/>
    </xf>
    <xf borderId="0" fillId="0" fontId="1" numFmtId="0" xfId="0" applyAlignment="1" applyFont="1">
      <alignment readingOrder="0" shrinkToFit="0" vertical="center" wrapText="0"/>
    </xf>
    <xf borderId="0" fillId="0" fontId="108" numFmtId="0" xfId="0" applyAlignment="1" applyFont="1">
      <alignment readingOrder="0" shrinkToFit="0" vertical="center" wrapText="0"/>
    </xf>
    <xf borderId="0" fillId="2" fontId="109" numFmtId="0" xfId="0" applyAlignment="1" applyFont="1">
      <alignment readingOrder="0" shrinkToFit="0" vertical="center" wrapText="0"/>
    </xf>
    <xf borderId="0" fillId="14" fontId="25" numFmtId="0" xfId="0" applyAlignment="1" applyFont="1">
      <alignment horizontal="left"/>
    </xf>
    <xf borderId="0" fillId="2" fontId="1" numFmtId="0" xfId="0" applyAlignment="1" applyFont="1">
      <alignment readingOrder="0" shrinkToFit="0" vertical="center" wrapText="0"/>
    </xf>
    <xf borderId="0" fillId="0" fontId="25" numFmtId="3" xfId="0" applyAlignment="1" applyFont="1" applyNumberFormat="1">
      <alignment horizontal="center"/>
    </xf>
    <xf borderId="0" fillId="14" fontId="25" numFmtId="0" xfId="0" applyAlignment="1" applyFont="1">
      <alignment readingOrder="0"/>
    </xf>
    <xf borderId="0" fillId="0" fontId="110" numFmtId="0" xfId="0" applyAlignment="1" applyFont="1">
      <alignment readingOrder="0" shrinkToFit="0" vertical="center" wrapText="0"/>
    </xf>
    <xf borderId="92" fillId="0" fontId="25" numFmtId="0" xfId="0" applyAlignment="1" applyBorder="1" applyFont="1">
      <alignment horizontal="center"/>
    </xf>
    <xf borderId="0" fillId="0" fontId="25" numFmtId="3" xfId="0" applyAlignment="1" applyFont="1" applyNumberFormat="1">
      <alignment horizontal="center" readingOrder="0"/>
    </xf>
    <xf borderId="0" fillId="2" fontId="1" numFmtId="0" xfId="0" applyAlignment="1" applyFont="1">
      <alignment horizontal="left" vertical="center"/>
    </xf>
    <xf borderId="0" fillId="2" fontId="1" numFmtId="3" xfId="0" applyAlignment="1" applyFont="1" applyNumberFormat="1">
      <alignment horizontal="center" vertical="bottom"/>
    </xf>
    <xf borderId="0" fillId="2" fontId="1" numFmtId="0" xfId="0" applyAlignment="1" applyFont="1">
      <alignment horizontal="center" vertical="bottom"/>
    </xf>
    <xf borderId="0" fillId="2" fontId="111" numFmtId="0" xfId="0" applyAlignment="1" applyFont="1">
      <alignment horizontal="center" vertical="bottom"/>
    </xf>
    <xf borderId="0" fillId="2" fontId="112" numFmtId="0" xfId="0" applyAlignment="1" applyFont="1">
      <alignment readingOrder="0" shrinkToFit="0" vertical="center" wrapText="0"/>
    </xf>
    <xf borderId="0" fillId="2" fontId="113" numFmtId="3" xfId="0" applyAlignment="1" applyFont="1" applyNumberFormat="1">
      <alignment horizontal="center" vertical="bottom"/>
    </xf>
    <xf borderId="0" fillId="2" fontId="113" numFmtId="0" xfId="0" applyAlignment="1" applyFont="1">
      <alignment horizontal="center" vertical="bottom"/>
    </xf>
    <xf borderId="0" fillId="0" fontId="114" numFmtId="0" xfId="0" applyAlignment="1" applyFont="1">
      <alignment readingOrder="0" shrinkToFit="0" vertical="center" wrapText="0"/>
    </xf>
    <xf borderId="0" fillId="2" fontId="115" numFmtId="3" xfId="0" applyAlignment="1" applyFont="1" applyNumberFormat="1">
      <alignment horizontal="center" readingOrder="0" vertical="bottom"/>
    </xf>
    <xf borderId="0" fillId="2" fontId="115" numFmtId="0" xfId="0" applyAlignment="1" applyFont="1">
      <alignment horizontal="center" readingOrder="0" vertical="bottom"/>
    </xf>
    <xf borderId="0" fillId="2" fontId="100" numFmtId="0" xfId="0" applyAlignment="1" applyFont="1">
      <alignment horizontal="center" readingOrder="0" vertical="bottom"/>
    </xf>
    <xf borderId="0" fillId="0" fontId="116" numFmtId="3" xfId="0" applyAlignment="1" applyFont="1" applyNumberFormat="1">
      <alignment horizontal="center"/>
    </xf>
    <xf borderId="0" fillId="0" fontId="116" numFmtId="0" xfId="0" applyAlignment="1" applyFont="1">
      <alignment horizontal="center" readingOrder="0"/>
    </xf>
    <xf borderId="0" fillId="0" fontId="116" numFmtId="0" xfId="0" applyAlignment="1" applyFont="1">
      <alignment horizontal="center"/>
    </xf>
    <xf borderId="0" fillId="2" fontId="117" numFmtId="0" xfId="0" applyAlignment="1" applyFont="1">
      <alignment readingOrder="0" shrinkToFit="0" vertical="center" wrapText="0"/>
    </xf>
    <xf borderId="0" fillId="2" fontId="1" numFmtId="0" xfId="0" applyAlignment="1" applyFont="1">
      <alignment horizontal="center" readingOrder="0" vertical="bottom"/>
    </xf>
    <xf borderId="0" fillId="2" fontId="1" numFmtId="0" xfId="0" applyAlignment="1" applyFont="1">
      <alignment horizontal="center"/>
    </xf>
    <xf borderId="0" fillId="2" fontId="1" numFmtId="0" xfId="0" applyAlignment="1" applyFont="1">
      <alignment horizontal="left" readingOrder="0" vertical="center"/>
    </xf>
    <xf borderId="0" fillId="2" fontId="118" numFmtId="3" xfId="0" applyAlignment="1" applyFont="1" applyNumberFormat="1">
      <alignment horizontal="center" vertical="bottom"/>
    </xf>
    <xf borderId="0" fillId="2" fontId="118" numFmtId="0" xfId="0" applyAlignment="1" applyFont="1">
      <alignment horizontal="center" vertical="bottom"/>
    </xf>
    <xf borderId="0" fillId="0" fontId="119" numFmtId="0" xfId="0" applyAlignment="1" applyFont="1">
      <alignment readingOrder="0" shrinkToFit="0" vertical="center" wrapText="0"/>
    </xf>
    <xf borderId="0" fillId="0" fontId="120" numFmtId="0" xfId="0" applyAlignment="1" applyFont="1">
      <alignment shrinkToFit="0" vertical="center" wrapText="0"/>
    </xf>
    <xf borderId="0" fillId="0" fontId="25" numFmtId="0" xfId="0" applyAlignment="1" applyFont="1">
      <alignment readingOrder="0" shrinkToFit="0" wrapText="0"/>
    </xf>
    <xf borderId="0" fillId="0" fontId="25" numFmtId="0" xfId="0" applyAlignment="1" applyFont="1">
      <alignment horizontal="left" readingOrder="0" shrinkToFit="0" wrapText="0"/>
    </xf>
    <xf borderId="0" fillId="16" fontId="25" numFmtId="0" xfId="0" applyAlignment="1" applyFont="1">
      <alignment horizontal="center" readingOrder="0" vertical="center"/>
    </xf>
    <xf borderId="0" fillId="16" fontId="25" numFmtId="3" xfId="0" applyAlignment="1" applyFont="1" applyNumberFormat="1">
      <alignment horizontal="center" readingOrder="0" vertical="center"/>
    </xf>
    <xf borderId="0" fillId="16" fontId="25" numFmtId="3" xfId="0" applyAlignment="1" applyFont="1" applyNumberFormat="1">
      <alignment horizontal="center" vertical="center"/>
    </xf>
    <xf borderId="0" fillId="16" fontId="25" numFmtId="0" xfId="0" applyAlignment="1" applyFont="1">
      <alignment horizontal="center" vertical="center"/>
    </xf>
    <xf borderId="0" fillId="0" fontId="25" numFmtId="3" xfId="0" applyAlignment="1" applyFont="1" applyNumberFormat="1">
      <alignment horizontal="left" readingOrder="0"/>
    </xf>
    <xf borderId="0" fillId="3" fontId="25" numFmtId="3" xfId="0" applyAlignment="1" applyFont="1" applyNumberFormat="1">
      <alignment horizontal="left" readingOrder="0"/>
    </xf>
    <xf borderId="0" fillId="0" fontId="25" numFmtId="3" xfId="0" applyAlignment="1" applyFont="1" applyNumberFormat="1">
      <alignment horizontal="left"/>
    </xf>
    <xf borderId="0" fillId="2" fontId="25" numFmtId="0" xfId="0" applyAlignment="1" applyFont="1">
      <alignment horizontal="left" readingOrder="0"/>
    </xf>
    <xf borderId="0" fillId="2" fontId="25" numFmtId="3" xfId="0" applyAlignment="1" applyFont="1" applyNumberFormat="1">
      <alignment horizontal="left" readingOrder="0"/>
    </xf>
    <xf borderId="0" fillId="2" fontId="25" numFmtId="0" xfId="0" applyAlignment="1" applyFont="1">
      <alignment horizontal="left"/>
    </xf>
    <xf borderId="0" fillId="6" fontId="25" numFmtId="0" xfId="0" applyAlignment="1" applyFont="1">
      <alignment horizontal="left" readingOrder="0"/>
    </xf>
    <xf borderId="0" fillId="6" fontId="25" numFmtId="3" xfId="0" applyAlignment="1" applyFont="1" applyNumberFormat="1">
      <alignment horizontal="left" readingOrder="0"/>
    </xf>
    <xf borderId="0" fillId="6" fontId="25" numFmtId="3" xfId="0" applyAlignment="1" applyFont="1" applyNumberFormat="1">
      <alignment horizontal="left"/>
    </xf>
    <xf borderId="0" fillId="6" fontId="25" numFmtId="0" xfId="0" applyAlignment="1" applyFont="1">
      <alignment horizontal="left"/>
    </xf>
    <xf borderId="0" fillId="3" fontId="25" numFmtId="0" xfId="0" applyAlignment="1" applyFont="1">
      <alignment horizontal="left" readingOrder="0"/>
    </xf>
    <xf borderId="0" fillId="2" fontId="1" numFmtId="3" xfId="0" applyAlignment="1" applyFont="1" applyNumberFormat="1">
      <alignment readingOrder="0" shrinkToFit="0" wrapText="1"/>
    </xf>
    <xf borderId="0" fillId="2" fontId="1" numFmtId="0" xfId="0" applyAlignment="1" applyFont="1">
      <alignment readingOrder="0" shrinkToFit="0" wrapText="1"/>
    </xf>
    <xf borderId="0" fillId="12" fontId="25" numFmtId="0" xfId="0" applyAlignment="1" applyFont="1">
      <alignment horizontal="left" readingOrder="0"/>
    </xf>
    <xf borderId="0" fillId="12" fontId="25" numFmtId="3" xfId="0" applyAlignment="1" applyFont="1" applyNumberFormat="1">
      <alignment horizontal="left" readingOrder="0"/>
    </xf>
    <xf borderId="0" fillId="12" fontId="25" numFmtId="0" xfId="0" applyAlignment="1" applyFont="1">
      <alignment horizontal="left"/>
    </xf>
    <xf borderId="0" fillId="2" fontId="25" numFmtId="3" xfId="0" applyAlignment="1" applyFont="1" applyNumberFormat="1">
      <alignment horizontal="left"/>
    </xf>
    <xf borderId="0" fillId="2" fontId="1" numFmtId="3" xfId="0" applyAlignment="1" applyFont="1" applyNumberFormat="1">
      <alignment shrinkToFit="0" wrapText="1"/>
    </xf>
    <xf borderId="0" fillId="2" fontId="1" numFmtId="0" xfId="0" applyAlignment="1" applyFont="1">
      <alignment shrinkToFit="0" wrapText="1"/>
    </xf>
    <xf quotePrefix="1" borderId="0" fillId="0" fontId="25" numFmtId="0" xfId="0" applyAlignment="1" applyFont="1">
      <alignment horizontal="left" readingOrder="0"/>
    </xf>
    <xf borderId="0" fillId="35" fontId="25" numFmtId="0" xfId="0" applyAlignment="1" applyFill="1" applyFont="1">
      <alignment horizontal="left" readingOrder="0"/>
    </xf>
    <xf borderId="0" fillId="0" fontId="121" numFmtId="0" xfId="0" applyFont="1"/>
    <xf borderId="0" fillId="35" fontId="25" numFmtId="0" xfId="0" applyAlignment="1" applyFont="1">
      <alignment readingOrder="0"/>
    </xf>
    <xf borderId="0" fillId="19" fontId="33" numFmtId="0" xfId="0" applyAlignment="1" applyFont="1">
      <alignment horizontal="left" readingOrder="0" vertical="center"/>
    </xf>
    <xf borderId="0" fillId="19" fontId="33" numFmtId="0" xfId="0" applyAlignment="1" applyFont="1">
      <alignment horizontal="left" vertical="center"/>
    </xf>
    <xf borderId="0" fillId="19" fontId="33" numFmtId="3" xfId="0" applyAlignment="1" applyFont="1" applyNumberFormat="1">
      <alignment horizontal="left" vertical="center"/>
    </xf>
    <xf borderId="0" fillId="0" fontId="25" numFmtId="3" xfId="0" applyAlignment="1" applyFont="1" applyNumberFormat="1">
      <alignment horizontal="left" vertical="center"/>
    </xf>
    <xf borderId="0" fillId="0" fontId="25" numFmtId="0" xfId="0" applyAlignment="1" applyFont="1">
      <alignment horizontal="left" vertical="center"/>
    </xf>
    <xf borderId="0" fillId="0" fontId="25" numFmtId="171" xfId="0" applyAlignment="1" applyFont="1" applyNumberFormat="1">
      <alignment horizontal="left" readingOrder="0"/>
    </xf>
    <xf borderId="0" fillId="16" fontId="25" numFmtId="3" xfId="0" applyFont="1" applyNumberFormat="1"/>
    <xf borderId="0" fillId="0" fontId="25" numFmtId="173" xfId="0" applyAlignment="1" applyFont="1" applyNumberFormat="1">
      <alignment readingOrder="0"/>
    </xf>
    <xf borderId="0" fillId="0" fontId="25" numFmtId="0" xfId="0" applyFont="1"/>
    <xf borderId="0" fillId="0" fontId="122" numFmtId="3" xfId="0" applyAlignment="1" applyFont="1" applyNumberFormat="1">
      <alignment horizontal="center" readingOrder="0" shrinkToFit="0" vertical="center" wrapText="0"/>
    </xf>
    <xf borderId="0" fillId="0" fontId="123" numFmtId="3" xfId="0" applyAlignment="1" applyFont="1" applyNumberFormat="1">
      <alignment horizontal="center" readingOrder="0" shrinkToFit="0" vertical="center" wrapText="0"/>
    </xf>
    <xf borderId="0" fillId="0" fontId="124" numFmtId="3" xfId="0" applyAlignment="1" applyFont="1" applyNumberFormat="1">
      <alignment horizontal="center" readingOrder="0" shrinkToFit="0" vertical="center" wrapText="0"/>
    </xf>
    <xf borderId="0" fillId="0" fontId="125" numFmtId="3" xfId="0" applyAlignment="1" applyFont="1" applyNumberFormat="1">
      <alignment horizontal="center" readingOrder="0" shrinkToFit="0" vertical="center" wrapText="0"/>
    </xf>
    <xf borderId="0" fillId="0" fontId="36" numFmtId="3" xfId="0" applyAlignment="1" applyFont="1" applyNumberFormat="1">
      <alignment horizontal="center" readingOrder="0" shrinkToFit="0" vertical="center" wrapText="0"/>
    </xf>
    <xf borderId="0" fillId="36" fontId="126" numFmtId="3" xfId="0" applyAlignment="1" applyFill="1" applyFont="1" applyNumberFormat="1">
      <alignment horizontal="center" readingOrder="0" shrinkToFit="0" vertical="center" wrapText="0"/>
    </xf>
    <xf borderId="86" fillId="36" fontId="127" numFmtId="0" xfId="0" applyAlignment="1" applyBorder="1" applyFont="1">
      <alignment horizontal="center" readingOrder="0" shrinkToFit="0" vertical="center" wrapText="0"/>
    </xf>
    <xf borderId="86" fillId="36" fontId="127" numFmtId="3" xfId="0" applyAlignment="1" applyBorder="1" applyFont="1" applyNumberFormat="1">
      <alignment horizontal="center" readingOrder="0" shrinkToFit="0" vertical="center" wrapText="0"/>
    </xf>
    <xf borderId="0" fillId="36" fontId="128" numFmtId="3" xfId="0" applyAlignment="1" applyFont="1" applyNumberFormat="1">
      <alignment vertical="center"/>
    </xf>
    <xf borderId="0" fillId="2" fontId="129" numFmtId="3" xfId="0" applyAlignment="1" applyFont="1" applyNumberFormat="1">
      <alignment horizontal="center" vertical="bottom"/>
    </xf>
    <xf borderId="86" fillId="0" fontId="129" numFmtId="0" xfId="0" applyAlignment="1" applyBorder="1" applyFont="1">
      <alignment horizontal="right" readingOrder="0" shrinkToFit="0" wrapText="0"/>
    </xf>
    <xf borderId="86" fillId="0" fontId="129" numFmtId="3" xfId="0" applyAlignment="1" applyBorder="1" applyFont="1" applyNumberFormat="1">
      <alignment horizontal="right" readingOrder="0" shrinkToFit="0" wrapText="0"/>
    </xf>
    <xf borderId="86" fillId="21" fontId="129" numFmtId="3" xfId="0" applyAlignment="1" applyBorder="1" applyFont="1" applyNumberFormat="1">
      <alignment horizontal="right" readingOrder="0" shrinkToFit="0" wrapText="0"/>
    </xf>
    <xf borderId="86" fillId="2" fontId="129" numFmtId="3" xfId="0" applyAlignment="1" applyBorder="1" applyFont="1" applyNumberFormat="1">
      <alignment horizontal="right" readingOrder="0" shrinkToFit="0" wrapText="0"/>
    </xf>
    <xf borderId="0" fillId="0" fontId="129" numFmtId="3" xfId="0" applyFont="1" applyNumberFormat="1"/>
    <xf borderId="86" fillId="0" fontId="129" numFmtId="0" xfId="0" applyAlignment="1" applyBorder="1" applyFont="1">
      <alignment horizontal="right" shrinkToFit="0" wrapText="0"/>
    </xf>
    <xf borderId="0" fillId="0" fontId="129" numFmtId="3" xfId="0" applyAlignment="1" applyFont="1" applyNumberFormat="1">
      <alignment readingOrder="0"/>
    </xf>
    <xf borderId="0" fillId="2" fontId="129" numFmtId="3" xfId="0" applyAlignment="1" applyFont="1" applyNumberFormat="1">
      <alignment horizontal="center" readingOrder="0" vertical="bottom"/>
    </xf>
    <xf borderId="0" fillId="20" fontId="130" numFmtId="3" xfId="0" applyAlignment="1" applyFont="1" applyNumberFormat="1">
      <alignment horizontal="right" readingOrder="0" shrinkToFit="0" vertical="center" wrapText="0"/>
    </xf>
    <xf borderId="86" fillId="20" fontId="130" numFmtId="0" xfId="0" applyAlignment="1" applyBorder="1" applyFont="1">
      <alignment horizontal="right" readingOrder="0" shrinkToFit="0" vertical="center" wrapText="0"/>
    </xf>
    <xf borderId="86" fillId="20" fontId="130" numFmtId="3" xfId="0" applyAlignment="1" applyBorder="1" applyFont="1" applyNumberFormat="1">
      <alignment horizontal="center" readingOrder="0" shrinkToFit="0" vertical="center" wrapText="0"/>
    </xf>
    <xf borderId="86" fillId="22" fontId="130" numFmtId="3" xfId="0" applyAlignment="1" applyBorder="1" applyFont="1" applyNumberFormat="1">
      <alignment horizontal="center" readingOrder="0" shrinkToFit="0" vertical="center" wrapText="0"/>
    </xf>
    <xf borderId="0" fillId="0" fontId="29" numFmtId="3" xfId="0" applyAlignment="1" applyFont="1" applyNumberFormat="1">
      <alignment readingOrder="0" vertical="center"/>
    </xf>
    <xf borderId="0" fillId="0" fontId="129" numFmtId="0" xfId="0" applyAlignment="1" applyFont="1">
      <alignment readingOrder="0" vertical="center"/>
    </xf>
    <xf borderId="0" fillId="0" fontId="129" numFmtId="3" xfId="0" applyAlignment="1" applyFont="1" applyNumberFormat="1">
      <alignment vertical="center"/>
    </xf>
    <xf borderId="86" fillId="10" fontId="129" numFmtId="3" xfId="0" applyAlignment="1" applyBorder="1" applyFont="1" applyNumberFormat="1">
      <alignment horizontal="center" readingOrder="0" shrinkToFit="0" vertical="center" wrapText="0"/>
    </xf>
    <xf borderId="86" fillId="10" fontId="130" numFmtId="3" xfId="0" applyAlignment="1" applyBorder="1" applyFont="1" applyNumberFormat="1">
      <alignment horizontal="center" readingOrder="0" shrinkToFit="0" vertical="center" wrapText="0"/>
    </xf>
    <xf borderId="0" fillId="0" fontId="129" numFmtId="3" xfId="0" applyAlignment="1" applyFont="1" applyNumberFormat="1">
      <alignment readingOrder="0" vertical="center"/>
    </xf>
    <xf borderId="0" fillId="0" fontId="14" numFmtId="3" xfId="0" applyAlignment="1" applyFont="1" applyNumberFormat="1">
      <alignment readingOrder="0" vertical="center"/>
    </xf>
    <xf borderId="41" fillId="19" fontId="25" numFmtId="0" xfId="0" applyBorder="1" applyFont="1"/>
    <xf borderId="41" fillId="19" fontId="25" numFmtId="0" xfId="0" applyAlignment="1" applyBorder="1" applyFont="1">
      <alignment readingOrder="0"/>
    </xf>
    <xf borderId="41" fillId="0" fontId="129" numFmtId="0" xfId="0" applyAlignment="1" applyBorder="1" applyFont="1">
      <alignment horizontal="right" readingOrder="0" shrinkToFit="0" wrapText="0"/>
    </xf>
    <xf borderId="41" fillId="0" fontId="129" numFmtId="3" xfId="0" applyAlignment="1" applyBorder="1" applyFont="1" applyNumberFormat="1">
      <alignment horizontal="right" readingOrder="0" shrinkToFit="0" wrapText="0"/>
    </xf>
    <xf borderId="41" fillId="0" fontId="129" numFmtId="0" xfId="0" applyAlignment="1" applyBorder="1" applyFont="1">
      <alignment horizontal="right" shrinkToFit="0" wrapText="0"/>
    </xf>
    <xf borderId="0" fillId="0" fontId="47" numFmtId="0" xfId="0" applyAlignment="1" applyFont="1">
      <alignment horizontal="left" vertical="center"/>
    </xf>
    <xf borderId="0" fillId="0" fontId="47" numFmtId="0" xfId="0" applyAlignment="1" applyFont="1">
      <alignment horizontal="left" readingOrder="0" vertical="center"/>
    </xf>
    <xf borderId="0" fillId="0" fontId="14" numFmtId="3" xfId="0" applyAlignment="1" applyFont="1" applyNumberFormat="1">
      <alignment horizontal="left" readingOrder="0"/>
    </xf>
    <xf borderId="0" fillId="0" fontId="14" numFmtId="14" xfId="0" applyAlignment="1" applyFont="1" applyNumberFormat="1">
      <alignment horizontal="left" readingOrder="0"/>
    </xf>
    <xf borderId="0" fillId="0" fontId="14" numFmtId="3" xfId="0" applyAlignment="1" applyFont="1" applyNumberFormat="1">
      <alignment horizontal="left"/>
    </xf>
    <xf borderId="0" fillId="0" fontId="14" numFmtId="0" xfId="0" applyAlignment="1" applyFont="1">
      <alignment horizontal="left"/>
    </xf>
  </cellXfs>
  <cellStyles count="1">
    <cellStyle xfId="0" name="Normal" builtinId="0"/>
  </cellStyles>
  <dxfs count="1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356854"/>
          <bgColor rgb="FF356854"/>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FCE5CD"/>
          <bgColor rgb="FFFCE5CD"/>
        </patternFill>
      </fill>
      <border/>
    </dxf>
    <dxf>
      <font/>
      <fill>
        <patternFill patternType="solid">
          <fgColor rgb="FFEA9999"/>
          <bgColor rgb="FFEA9999"/>
        </patternFill>
      </fill>
      <border/>
    </dxf>
    <dxf>
      <font>
        <color rgb="FFFF0000"/>
      </font>
      <fill>
        <patternFill patternType="none"/>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BDBDBD"/>
          <bgColor rgb="FFBDBDBD"/>
        </patternFill>
      </fill>
      <border/>
    </dxf>
    <dxf>
      <font/>
      <fill>
        <patternFill patternType="solid">
          <fgColor rgb="FFB6D7A8"/>
          <bgColor rgb="FFB6D7A8"/>
        </patternFill>
      </fill>
      <border/>
    </dxf>
  </dxfs>
  <tableStyles count="17">
    <tableStyle count="2" pivot="0" name="입주자-style">
      <tableStyleElement dxfId="1" type="firstRowStripe"/>
      <tableStyleElement dxfId="2" type="secondRowStripe"/>
    </tableStyle>
    <tableStyle count="4" pivot="0" name="지출-style">
      <tableStyleElement dxfId="5" type="headerRow"/>
      <tableStyleElement dxfId="1" type="firstRowStripe"/>
      <tableStyleElement dxfId="6" type="secondRowStripe"/>
      <tableStyleElement dxfId="7" size="0" type="wholeTable"/>
    </tableStyle>
    <tableStyle count="2" pivot="0" name="우주외플랫폼-style">
      <tableStyleElement dxfId="1" type="firstRowStripe"/>
      <tableStyleElement dxfId="2" type="secondRowStripe"/>
    </tableStyle>
    <tableStyle count="2" pivot="0" name="우주외플랫폼-style 2">
      <tableStyleElement dxfId="1" type="firstRowStripe"/>
      <tableStyleElement dxfId="2" type="secondRowStripe"/>
    </tableStyle>
    <tableStyle count="2" pivot="0" name="우주외플랫폼-style 3">
      <tableStyleElement dxfId="2" type="firstRowStripe"/>
      <tableStyleElement dxfId="1" type="secondRowStripe"/>
    </tableStyle>
    <tableStyle count="2" pivot="0" name="우주외플랫폼-style 4">
      <tableStyleElement dxfId="1" type="firstRowStripe"/>
      <tableStyleElement dxfId="2" type="secondRowStripe"/>
    </tableStyle>
    <tableStyle count="2" pivot="0" name="우주외플랫폼-style 5">
      <tableStyleElement dxfId="1" type="firstRowStripe"/>
      <tableStyleElement dxfId="2" type="secondRowStripe"/>
    </tableStyle>
    <tableStyle count="2" pivot="0" name="우주외플랫폼-style 6">
      <tableStyleElement dxfId="1" type="firstRowStripe"/>
      <tableStyleElement dxfId="2" type="secondRowStripe"/>
    </tableStyle>
    <tableStyle count="2" pivot="0" name="우주외플랫폼-style 7">
      <tableStyleElement dxfId="2" type="firstRowStripe"/>
      <tableStyleElement dxfId="1" type="secondRowStripe"/>
    </tableStyle>
    <tableStyle count="2" pivot="0" name="우주외플랫폼-style 8">
      <tableStyleElement dxfId="2" type="firstRowStripe"/>
      <tableStyleElement dxfId="1" type="secondRowStripe"/>
    </tableStyle>
    <tableStyle count="2" pivot="0" name="우주외플랫폼-style 9">
      <tableStyleElement dxfId="1" type="firstRowStripe"/>
      <tableStyleElement dxfId="2" type="secondRowStripe"/>
    </tableStyle>
    <tableStyle count="2" pivot="0" name="우주외플랫폼-style 10">
      <tableStyleElement dxfId="1" type="firstRowStripe"/>
      <tableStyleElement dxfId="2" type="secondRowStripe"/>
    </tableStyle>
    <tableStyle count="2" pivot="0" name="우주외플랫폼-style 11">
      <tableStyleElement dxfId="1" type="firstRowStripe"/>
      <tableStyleElement dxfId="2" type="secondRowStripe"/>
    </tableStyle>
    <tableStyle count="2" pivot="0" name="우주외플랫폼-style 12">
      <tableStyleElement dxfId="1" type="firstRowStripe"/>
      <tableStyleElement dxfId="2" type="secondRowStripe"/>
    </tableStyle>
    <tableStyle count="2" pivot="0" name="우주외플랫폼-style 13">
      <tableStyleElement dxfId="1" type="firstRowStripe"/>
      <tableStyleElement dxfId="2" type="secondRowStripe"/>
    </tableStyle>
    <tableStyle count="2" pivot="0" name="우주외플랫폼-style 14">
      <tableStyleElement dxfId="1" type="firstRowStripe"/>
      <tableStyleElement dxfId="2" type="secondRowStripe"/>
    </tableStyle>
    <tableStyle count="3" pivot="0" name="하우스정보-style">
      <tableStyleElement dxfId="14"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N794" sheet="2026정산"/>
  </cacheSource>
  <cacheFields>
    <cacheField name=" " numFmtId="0">
      <sharedItems containsBlank="1">
        <s v="아띠 워너비"/>
        <s v="영동"/>
        <s v="삼중"/>
        <s v="반포"/>
        <s v="신사"/>
        <s v="선릉"/>
        <s v="대학"/>
        <s v="샤네"/>
        <s v="낙성"/>
        <s v="구디"/>
        <s v="쌍용"/>
        <s v="이문"/>
        <s v="빠방"/>
        <s v="청량"/>
        <s v="휘경"/>
        <s v="회기"/>
        <s v="시립"/>
        <s v="외대"/>
        <s v="광흥"/>
        <s v="와이지"/>
        <s v="샛별"/>
        <s v="신촌"/>
        <s v="아현"/>
        <s v="아띠 루프"/>
        <s v="아띠 무드"/>
        <s v="아띠 소녀"/>
        <s v="아띠 허브"/>
        <s v="아띠 단짠"/>
        <s v="아띠 다정"/>
        <s v="아리"/>
        <s v="한성"/>
        <s v="상상"/>
        <s v="아띠 샤샤"/>
        <s v="아띠 브루"/>
        <s v="영삼"/>
        <s v="영이"/>
        <s v="영영1"/>
        <s v="영영2"/>
        <s v="트리"/>
        <s v="당산"/>
        <s v="아띠 숙녀"/>
        <s v="동지"/>
        <s v="동일"/>
        <s v="동이"/>
        <s v="동삼"/>
        <s v="동동"/>
        <m/>
      </sharedItems>
    </cacheField>
    <cacheField name="하우스">
      <sharedItems containsBlank="1" containsMixedTypes="1" containsNumber="1">
        <s v="워너비"/>
        <s v="워너비(강남구 도산대로54길 48-15)"/>
        <m/>
        <s v="없음"/>
        <s v="전기 01-0845-0159"/>
        <s v="코원 23235558"/>
        <s v="건물주"/>
        <n v="0.0"/>
        <n v="1.0"/>
        <s v="영동"/>
        <s v="투자자고지"/>
        <n v="0.7"/>
        <n v="0.3"/>
        <s v="삼중"/>
        <s v="반포"/>
        <s v="신사"/>
        <s v="주인 고지"/>
        <s v="코원 23112899 , 23112902"/>
        <s v="주인고지 (2개월텀)"/>
        <s v="신아"/>
        <s v="선릉"/>
        <s v="고객번호 01-1173-7096"/>
        <n v="2.2683826E7"/>
        <s v="대학"/>
        <s v="01-2710-9332"/>
        <s v="6005573188 서울도시 사용자계약번호"/>
        <s v="투자자"/>
        <s v="샤네"/>
        <s v="01 1527 2178"/>
        <n v="6.004897043E9"/>
        <n v="0.75"/>
        <n v="0.25"/>
        <s v="낙성"/>
        <s v="01 5353 1096"/>
        <n v="6.007620582E9"/>
        <s v="구디"/>
        <s v="구디 (서울시 관악구 조원로6길 41-7 3층)"/>
        <s v="쌍용"/>
        <n v="0.8"/>
        <n v="0.2"/>
        <s v="이문"/>
        <s v="빠방"/>
        <s v="01 2804 7709 "/>
        <s v="예스코 1017555583"/>
        <s v="주인고지"/>
        <s v="청량"/>
        <s v="청량(동대문구 서울시립대로 75 전농미소지움아파트 103동 101호 )"/>
        <s v="관리사무실"/>
        <s v="관리비포함"/>
        <s v="예스코 1016121737"/>
        <s v="휘경"/>
        <s v="회기"/>
        <s v="회기 - 관리X"/>
        <s v="시립"/>
        <s v="시립(서울시 동대문구 망우로12나길 43 B2호)"/>
        <n v="1.14073984E8"/>
        <s v="예스코 1200136866"/>
        <s v="외대"/>
        <s v="[한전-0129657931]고객번호"/>
        <s v="예스코 1002594507"/>
        <s v="광흥"/>
        <s v="관리사무소"/>
        <n v="6.006077482E9"/>
        <s v="SK브로드"/>
        <s v="와이지"/>
        <n v="0.85"/>
        <n v="0.15"/>
        <s v="샛별"/>
        <s v="신촌"/>
        <s v="투자자고지  01 1114 7349"/>
        <s v="아현"/>
        <s v="루프"/>
        <s v="루프(성동구 왕십리로 31가길 31)"/>
        <s v="한전 01-0715-0868"/>
        <s v="예스코 1016863814"/>
        <s v="포함"/>
        <s v="무드"/>
        <s v="무드(성북구 동소문로23길 16-11 지층)"/>
        <s v="한전 01-0763-7932"/>
        <s v="예스코 1016815368"/>
        <n v="0.5"/>
        <s v="소녀"/>
        <s v="소녀(성북구 동소문로13나길 71)"/>
        <s v="한전 0109273394"/>
        <s v="예스코 1007627850"/>
        <s v="허브"/>
        <s v="허브(성북구 보문로34다길 31)"/>
        <s v="한전 01-0762-2902"/>
        <s v="예스코 1016448053"/>
        <s v="단짠"/>
        <s v="단짠(성북구 보문로30가길 17-8)"/>
        <s v="전기 0107611086"/>
        <s v="예스코 1016736400"/>
        <s v="수도"/>
        <s v="다정"/>
        <s v="다정(성북구 정릉로38다길 32 1층)"/>
        <s v="한전 01-1623-7296"/>
        <s v="예스코 1017070946"/>
        <s v="고정"/>
        <s v="아리"/>
        <s v="01-2640-2980"/>
        <s v="예스코  1016606240"/>
        <s v="한성"/>
        <s v="01-0059-8658"/>
        <s v="예스코  1016776703"/>
        <s v="상상"/>
        <s v="상상(성북구 동소문로25-20 301호)"/>
        <s v="샤샤"/>
        <s v="샤샤(영등포구 당산동1가 440)"/>
        <s v="샤샤(영등포구 당산로 16길 5-10 3층)"/>
        <s v="한전 0102667543"/>
        <s v="서울 6006349479"/>
        <s v="건물주 (1년에 한번?;;)"/>
        <s v="브루"/>
        <s v="브루(영등포구 국회대로29길 12 401)"/>
        <s v="한전 01-5623-0342"/>
        <s v="서울 6005854994"/>
        <s v="아리수 034206854"/>
        <s v="영삼"/>
        <s v="01-0266-8819"/>
        <n v="6.005530745E9"/>
        <s v="영이"/>
        <s v=" 01-0266-8837"/>
        <n v="6.005792957E9"/>
        <s v="영영1"/>
        <s v="서울 01-02662405"/>
        <n v="6.00585501E9"/>
        <s v="주인고지(2개월에 한번)"/>
        <s v="현대"/>
        <s v="영영2"/>
        <s v="계단청소"/>
        <s v="서울 01-02662361"/>
        <n v="6.005947171E9"/>
        <s v="트리"/>
        <s v="월세포함"/>
        <s v="01 0266 6385"/>
        <n v="6.006338893E9"/>
        <s v="고정이자"/>
        <s v="당산"/>
        <s v="숙녀"/>
        <s v="숙녀(마포구 만리재로20길 28)"/>
        <s v="한전 01-0254-0733"/>
        <n v="6.006107723E9"/>
        <s v="아리수 026523548"/>
        <n v="0.56"/>
        <n v="0.44"/>
        <s v="동지"/>
        <s v="01 1880 1859"/>
        <s v="예스코 1017550029"/>
        <s v="고객번호 031326502"/>
        <s v="동일"/>
        <s v="01 1880 1831"/>
        <s v="예스코 1017549973"/>
        <s v="고객번호 031326613"/>
        <s v="동이"/>
        <s v="01 1880 1813"/>
        <s v="예스코 1017549972"/>
        <s v="고객번호 031326695"/>
        <s v="동삼"/>
        <s v="01 1880 1797"/>
        <s v="예스코 1017550028"/>
        <s v="고객번호 031326734"/>
        <s v="동동"/>
        <s v="01 5817 5773"/>
        <s v="예스코 1017548878"/>
      </sharedItems>
    </cacheField>
    <cacheField name="구분">
      <sharedItems containsBlank="1" containsMixedTypes="1" containsNumber="1" containsInteger="1">
        <s v="A-1) 1인실 우측"/>
        <s v="B-1) 1인실 좌측"/>
        <s v="C-1) 2인실 오"/>
        <s v="C-2) 2인실 왼 (창가)"/>
        <s v="합계"/>
        <s v="(고정) 월세"/>
        <s v="(고정) 관리비"/>
        <s v="(고정) 전기"/>
        <s v="(고정) 가스"/>
        <s v="(고정) 수도"/>
        <s v="(고정) 인터넷"/>
        <s v="(고정) 정수기"/>
        <s v="그외(청소/수리/쿠팡)"/>
        <s v="순이익"/>
        <s v="투자자"/>
        <s v="운영자"/>
        <s v="A-1) 화장실 옆"/>
        <s v="B-1) 주방 앞"/>
        <s v="C-1) 윗층 왼"/>
        <s v="D-1) 윗층 오"/>
        <s v="E-1) 화장실 우 오른쪽"/>
        <s v="E-2) 화장실 우 왼쪽"/>
        <s v="(고정) 관리비/계단"/>
        <s v="A-1) 미닫이문 오"/>
        <s v="B-1) 거실 오른쪽"/>
        <s v="C-1) 주방 맞은편"/>
        <s v="D-1) 주방 옆 문쪽"/>
        <s v="D-2) 주방 옆 안쪽"/>
        <s v="E-1) 입구방 오른쪽"/>
        <s v="E-2) 입구방 왼쪽"/>
        <s v="F-1) 윗층방 왼쪽"/>
        <s v="F-2) 윗층방 오른쪽"/>
        <s v="(고정) 관리비/수도"/>
        <s v="A-1) (화) 왼"/>
        <s v="B-1) (화) 오"/>
        <s v="C-1) 입구왼"/>
        <s v="D-1) 거실 가벽"/>
        <s v="E-1) (거실화) 왼"/>
        <s v="F-1) (거실화) 오"/>
        <s v="G-1) 2인실 입구오 왼쪽"/>
        <s v="H-1) 2인실 입구오 오른쪽"/>
        <s v="I-1) 2인실 왼"/>
        <s v="J-1) 2인실 오"/>
        <s v="A-1) 1인실 (베) 왼"/>
        <s v="B-1) 1인실 (베) 오"/>
        <s v="C-1) 1인실 거실 왼"/>
        <s v="D-1) 1인실 거실 오"/>
        <s v="E-1) 1.5인실 왼 (행거)"/>
        <s v="E-2) 1.5인실 오 (붙)"/>
        <s v="F-1) 2인실 왼"/>
        <s v="F-2) 2인실 오"/>
        <s v="(고정) 가스 (카드)"/>
        <s v="(고정) 비데"/>
        <s v="A 1인실"/>
        <s v="B 1인실"/>
        <s v="C-1 2인실 (왼)"/>
        <s v="C2- 2인실 (오)"/>
        <s v="(고정) 화재보험"/>
        <s v="A 1인실 입구"/>
        <s v="B 1인실 화장실 오른쪽"/>
        <s v="C 1인실 코너"/>
        <s v="D 1인실 안쪽"/>
        <s v="(고정) 전기 (카드)"/>
        <s v="A-1) 거실 큰방"/>
        <s v="B-1)  주방옆"/>
        <s v="C-1 2인실 왼"/>
        <s v="C-2) 2인실 오"/>
        <s v="A-1"/>
        <s v="B-1 왼"/>
        <s v="B-2 오"/>
        <s v="C-1"/>
        <s v="C-2"/>
        <s v="A-1) 거실 테이블 옆"/>
        <s v="B-1) 옥탑"/>
        <s v="C-1) 입구왼쪽(화) 왼"/>
        <s v="D-1) 입구왼쪽(화) 오"/>
        <s v="E-1) 화장실 왼쪽 좌측"/>
        <s v="F-1) 화장실 왼쪽 우측"/>
        <s v="(고정) 관리비(계단)"/>
        <s v="A 1인실 S1"/>
        <s v="B 1인실 S2"/>
        <s v="C 1인실 M2"/>
        <s v="D 1인실 M1"/>
        <s v="E 1인실 L"/>
        <s v="(고정) 주택보험"/>
        <s v="(고정) 전기(관리비포함)"/>
        <s v="(고정) 수도(관리비포함)"/>
        <s v="A) 1인실 아래층"/>
        <s v="B) 1인실 윗층 오"/>
        <s v="C) 1인실 윗층 왼"/>
        <s v="D-1) 왼쪽"/>
        <s v="D-2) 오른쪽"/>
        <s v="A) 오른쪽 끝 왼쪽"/>
        <s v="B) 오른쪽 끝 정면"/>
        <s v="C) 오른쪽 끝 오른쪽"/>
        <s v="D) 거실욕실 오른쪽"/>
        <s v="E) 주방 맞은편"/>
        <s v="(고정) 전기(카드)"/>
        <s v="A-1) 입구"/>
        <s v="B-1) 주방"/>
        <s v="C-1) 거실 왼"/>
        <s v="D-1) 거실 오"/>
        <s v="E-1) 화장실 옆 왼쪽"/>
        <s v="F-1) 화장실 옆 오른쪽"/>
        <s v="B-1) 주방옆"/>
        <s v="C-1) 거실옆 문쪽"/>
        <s v="C-2) 거실옆 안쪽"/>
        <s v="(고정) 수도/공용전기/계단"/>
        <s v="B-1"/>
        <s v="B-2"/>
        <s v="B-1) 욕실 (오)"/>
        <s v="C-1) 욕실 (왼)"/>
        <s v="D-1) 주방 뒤"/>
        <s v="A-1) 1인실"/>
        <s v="B-1) 1인실"/>
        <s v="C-1) 1인실"/>
        <s v="D-1) 2인실"/>
        <s v="D-2) 2인실"/>
        <s v="B-1) 거실 왼"/>
        <s v="C-1) 거실 오"/>
        <s v="D-1) 주방옆"/>
        <s v="E-1) 2인실 왼"/>
        <s v="E-2) 2인실 오"/>
        <n v="1.0"/>
        <n v="2.0"/>
        <n v="3.0"/>
        <n v="4.0"/>
        <n v="5.0"/>
        <n v="6.0"/>
        <s v="A-1) 제일 안쪽 큰방"/>
        <s v="B-1) 화장실 앞방"/>
        <s v="C-1) 입구 오른쪽방"/>
        <s v="D-1) 입구 왼쪽방"/>
        <s v="A-1) 오른쪽방"/>
        <s v="B-1) 왼쪽방"/>
        <s v="C-1) 코너방"/>
        <s v="D-1) 안쪽방"/>
        <s v="A 큰 1인실"/>
        <s v="B 1인실 입구쪽"/>
        <s v="C1 2인실 왼"/>
        <s v="C2 2인실 오"/>
        <s v="(고정) 정수기 없음"/>
        <s v="C-1) 현관쪽 1인실"/>
        <s v="B-1) 큰2인실 왼"/>
        <s v="B-2) 큰2인실 오"/>
        <s v="A 1인실(다락방)"/>
        <s v="B 1인실 (입구쪽)"/>
        <s v="C 1인실 (복도끝)"/>
        <s v="D1 2인실 오"/>
        <s v="D2 2인실 왼"/>
        <s v="A 1인실 거실옆"/>
        <s v="B 1인실 거실옆"/>
        <s v="A 1인실(미닫이)"/>
        <s v="B 1인실_큰방"/>
        <s v="C1 1인실"/>
        <s v="(고정) 수도(매월3만"/>
        <s v="A -1) 1인실 입구"/>
        <s v="B-1) 2인실큰 왼"/>
        <s v="B-2) 2인실큰 오"/>
        <s v="C-1) 2인실작 왼"/>
        <s v="C-2) 2인실작 오"/>
        <s v="A 1인실 창문방"/>
        <s v="B 1인실 복도방"/>
        <s v="C 1인실 거실방 (베)"/>
        <s v="D1 2인실 왼"/>
        <s v="D2 2인실 오"/>
        <s v="A) 1인실 입구방"/>
        <s v="B) 1인실 거실방"/>
        <s v="C) 1인실 주방옆방"/>
        <s v="D) 1인실 베란다방"/>
        <s v="A-1) 주방"/>
        <s v="C-1) 2인실 왼"/>
        <s v="A-1) 주방쪽"/>
        <s v="B-1) 거실쪽"/>
        <s v="A-1) 화장실 오른쪽"/>
        <s v="B-1) 입구쪽"/>
        <s v="A-1) 입구쪽"/>
        <s v="B-1) 화장실 오른쪽"/>
        <s v="A-1) 거실 오"/>
        <s v="B-1) 주방쪽"/>
        <s v="B-1) 2인실 왼 "/>
        <s v="B-2) 2인실 오"/>
        <s v="(고정) 가스 (카드완)"/>
        <s v="B-1) 입구"/>
        <s v="(고정) 수도 (고정)"/>
        <s v="A-1) 거실옆"/>
        <s v="D-1) 입구"/>
        <s v="(고정) 전기 "/>
        <s v="(고정) 가스 "/>
        <s v="A 1인실 현관코너"/>
        <s v="B 1인실 부엌안쪽"/>
        <s v="C 미닫이"/>
        <s v="A-1 S"/>
        <s v="A-2 S"/>
        <s v="B-1 L"/>
        <s v="B-2 L"/>
        <m/>
      </sharedItems>
    </cacheField>
    <cacheField name="1월 이름">
      <sharedItems containsBlank="1" containsMixedTypes="1" containsNumber="1" containsInteger="1">
        <s v="BILLON Zoe"/>
        <s v="RAMADANTI ALFIYYAH ZAHRA 정아라"/>
        <s v="이은서"/>
        <s v="한찬유"/>
        <m/>
        <s v="Maïa Redonnet(엔코)"/>
        <s v="헤바Heba(우주)"/>
        <s v="진승연 1/9&#10;Adia Arthur(엔코) 1/9"/>
        <s v="정다혜(우주)"/>
        <s v="Laurine BLANCHON(고고) 1/10"/>
        <s v="Cassandra BLANCHON(고고) 1/10"/>
        <s v="최예진"/>
        <s v="MOSSISA AYANTU TESHOME"/>
        <s v="김유미나(엔코)"/>
        <s v="신한나 1/31"/>
        <s v="Gregoratti Greta(엔코)"/>
        <s v="허나겸"/>
        <s v="Caterina Ventrella"/>
        <s v="★"/>
        <s v="김민채"/>
        <s v="서영은"/>
        <s v="조은"/>
        <s v="서민지"/>
        <s v="Adia Arthur(엔코) 1/9&#10;김여원 1/10"/>
        <s v="Elisabeth Frieda Margarete Fuchs(엔코)"/>
        <s v="Soergel Anne Marlene(엔코)"/>
        <s v="Eden Qazi"/>
        <s v="장원영"/>
        <s v="이새롬"/>
        <s v="이채림 1/31"/>
        <s v="김세연"/>
        <s v="진승연"/>
        <s v="정나래 1/25"/>
        <s v="김태희 준오헤어 양재 1호점 1/4"/>
        <s v="이리안(우주)"/>
        <s v="임가람(우주)"/>
        <s v="Fulvia Verna"/>
        <s v="Anamaria Diana Lupascu(엔코) 1/10&#10;권민경 1/10"/>
        <s v="곽은혜"/>
        <s v="최연지"/>
        <s v="최가현"/>
        <s v="Alina Li(우주)"/>
        <s v="유예리"/>
        <s v="이채은"/>
        <s v="이연경"/>
        <s v="이지희"/>
        <s v="정하연 1/31"/>
        <s v="김승은"/>
        <s v="예상"/>
        <s v="김민재"/>
        <s v="Sofiia Futuima"/>
        <s v="강수민"/>
        <s v="오은지"/>
        <s v="Elia Le Guern"/>
        <s v="Dara DOUSSET"/>
        <s v="Kavya Sudesh Kumar"/>
        <s v="Lola Burdin 1/31 "/>
        <s v="장하늘"/>
        <s v="노예서 1/22"/>
        <s v="유수정"/>
        <s v="전수연"/>
        <s v="황채련"/>
        <s v="Desirée Mattioli"/>
        <s v="YEO JING YING(여린)"/>
        <s v="진혜린"/>
        <s v="Improta Vivian Ester"/>
        <s v="서제영"/>
        <s v="김도연"/>
        <s v="Raniya"/>
        <s v="이인영"/>
        <s v="윤석경"/>
        <s v="이영채"/>
        <s v="장미"/>
        <s v="이행진"/>
        <s v="김지원"/>
        <s v="Lisa Burri(Lila) 1/31"/>
        <s v="Sara Federer 1/8"/>
        <s v="신예원"/>
        <s v="김현빈"/>
        <s v="장한비"/>
        <s v="Tam Yuk Mui"/>
        <s v="Stephanie Lindawati"/>
        <s v="정규원(우주)"/>
        <s v="김채연"/>
        <s v="정지원 1/15"/>
        <s v="장유정"/>
        <s v="김예원"/>
        <s v="손재희"/>
        <s v="임세영"/>
        <s v="강가경"/>
        <s v="임지선"/>
        <s v="강경화"/>
        <s v="신민정 위약금2&#10;예서영"/>
        <s v="이정윤"/>
        <s v="이서현"/>
        <s v="Yang venny"/>
        <s v="신유림"/>
        <s v="Nguyen Ngoc Tram 진아"/>
        <s v="치보"/>
        <s v="LEE SZU YING"/>
        <s v="홍유진"/>
        <s v="HOANG MY BICH VAN"/>
        <s v="조세라캠벨"/>
        <s v="손사라"/>
        <s v="이하주"/>
        <s v="노재은"/>
        <s v="야스이 아야네 (Yasui Ayane)"/>
        <s v="12월 94650"/>
        <s v="Jody FAWAZ"/>
        <s v="Kennedi Johnson"/>
        <s v="홍정연"/>
        <s v="이유나"/>
        <s v="-"/>
        <n v="0.0"/>
        <s v="van(12/31~1/10)"/>
        <s v="장수현"/>
        <s v="김다영 1/11&#10;이지윤 1/19"/>
        <s v="김지윤"/>
        <s v="명주영"/>
        <s v="오유정"/>
        <s v="정희원"/>
        <s v="한서아"/>
        <s v="노현진"/>
        <s v="최유민"/>
        <s v="정선민"/>
        <s v="신유빈 위약금"/>
        <s v="김수현"/>
        <s v="윤지민"/>
        <s v="성연우"/>
        <s v="민성현"/>
        <s v="송하늘"/>
        <s v="서효민"/>
        <s v="임승현"/>
        <s v="이연우"/>
        <s v="Stepien Adrianna Joanna"/>
        <s v="Elisa Libert(우주)"/>
        <s v="고현서"/>
        <s v="최영서 1/23&#10;심수빈 1/24"/>
        <s v="박태희 위약금1"/>
        <s v="신혜빈 1/31"/>
        <s v="카이 리온"/>
        <s v="AOKI FUKA 후우카"/>
        <s v="김채영"/>
        <s v="Jerilyn Moya-Hypolite"/>
        <s v="이슭"/>
        <s v="전시현"/>
        <s v="김채영 "/>
        <s v="이가을"/>
        <s v="오현빈"/>
        <s v="황소정"/>
        <s v="조경주"/>
        <s v="최지연"/>
        <s v="이아원  LI YA YUAN"/>
        <s v="김연화 "/>
        <s v="조현아"/>
        <s v="권서현"/>
        <s v="이단비"/>
        <s v="최설화"/>
        <s v="나카무라 마아코"/>
        <s v="양예림"/>
        <s v="차민서"/>
        <s v="이지현"/>
        <s v="하시모토 아야 aya"/>
        <s v="김지연 "/>
        <s v="박진민 1/30"/>
        <s v="박근화"/>
        <s v="구승희"/>
        <s v="Manon"/>
        <s v="Anna Sophie Holzinger"/>
        <s v="김경빈 1/31"/>
        <s v="황주격 HUANG SHUG"/>
        <s v="Riya Mehra(엔코)"/>
        <s v="Arianna Sonda"/>
        <s v="AFFORTIT Estelle(고고)"/>
        <s v="오채영(우주)"/>
        <s v="없음"/>
        <s v="송민영"/>
        <s v="김연우 "/>
        <s v="임설희"/>
        <s v="박설빈 위약금1"/>
        <s v=" "/>
        <s v="최다영"/>
        <s v="김민지(우주) "/>
        <s v="남채영 1/31"/>
        <s v="최승빈"/>
        <s v="이미송"/>
        <s v="김규리"/>
        <s v="서지은"/>
        <s v="전채원"/>
        <s v="김정민"/>
      </sharedItems>
    </cacheField>
    <cacheField name="1월 월세">
      <sharedItems containsBlank="1" containsMixedTypes="1" containsNumber="1">
        <n v="620000.0"/>
        <n v="590000.0"/>
        <n v="470000.0"/>
        <n v="2150000.0"/>
        <n v="950000.0"/>
        <m/>
        <n v="1200000.0"/>
        <n v="0.0"/>
        <n v="700000.0"/>
        <n v="587400.0"/>
        <n v="616774.0"/>
        <n v="507300.0"/>
        <n v="154839.0"/>
        <n v="2721152.0"/>
        <n v="1500000.0"/>
        <n v="1221152.0"/>
        <n v="854806.3999999999"/>
        <n v="366345.6"/>
        <n v="550000.0"/>
        <n v="650000.0"/>
        <n v="420000.0"/>
        <n v="500000.0"/>
        <n v="450000.0"/>
        <n v="4210000.0"/>
        <n v="2900000.0"/>
        <n v="1310000.0"/>
        <n v="917000.0"/>
        <n v="393000.0"/>
        <n v="600000.0"/>
        <n v="570000.0"/>
        <n v="570323.0"/>
        <n v="480000.0"/>
        <n v="410000.0"/>
        <n v="4800323.0"/>
        <n v="2800000.0"/>
        <n v="2000323.0"/>
        <n v="1400226.0999999999"/>
        <n v="600096.9"/>
        <n v="460000.0"/>
        <n v="485196.0"/>
        <n v="469677.0"/>
        <n v="469920.0"/>
        <n v="3654713.0"/>
        <n v="2350000.0"/>
        <n v="1304713.0"/>
        <n v="680000.0"/>
        <n v="609613.0"/>
        <n v="2219613.0"/>
        <n v="1300000.0"/>
        <n v="919613.0"/>
        <n v="643729.1"/>
        <n v="275883.89999999997"/>
        <n v="300000.0"/>
        <n v="462800.0"/>
        <n v="290000.0"/>
        <n v="400000.0"/>
        <n v="1452800.0"/>
        <n v="850000.0"/>
        <n v="602800.0"/>
        <n v="421960.0"/>
        <n v="180840.0"/>
        <n v="510000.0"/>
        <n v="390000.0"/>
        <n v="380000.0"/>
        <n v="1760000.0"/>
        <n v="910000.0"/>
        <n v="682500.0"/>
        <n v="227500.0"/>
        <n v="1650000.0"/>
        <n v="1100000.0"/>
        <n v="1970000.0"/>
        <n v="670000.0"/>
        <n v="468999.99999999994"/>
        <n v="201000.0"/>
        <n v="520000.0"/>
        <n v="490000.0"/>
        <n v="630000.0"/>
        <n v="2910000.0"/>
        <n v="1600000.0"/>
        <n v="1048000.0"/>
        <n v="262000.0"/>
        <n v="580000.0"/>
        <n v="1980000.0"/>
        <n v="1030000.0"/>
        <n v="721000.0"/>
        <n v="309000.0"/>
        <n v="430000.0"/>
        <n v="2280000.0"/>
        <n v="900000.0"/>
        <n v="1380000.0"/>
        <n v="530000.0"/>
        <n v="3240000.0"/>
        <n v="1800000.0"/>
        <n v="1440000.0"/>
        <n v="350000.0"/>
        <n v="1540000.0"/>
        <n v="640000.0"/>
        <n v="448000.0"/>
        <n v="192000.0"/>
        <n v="391600.0"/>
        <n v="370000.0"/>
        <n v="2091600.0"/>
        <n v="1050000.0"/>
        <n v="50000.0"/>
        <n v="991600.0"/>
        <n v="793280.0"/>
        <n v="198320.0"/>
        <n v="360000.0"/>
        <n v="-1200000.0"/>
        <n v="560000.0"/>
        <n v="1170000.0"/>
        <n v="3670000.0"/>
        <n v="1900000.0"/>
        <n v="1770000.0"/>
        <n v="1550000.0"/>
        <n v="1317500.0"/>
        <n v="232500.0"/>
        <n v="3390000.0"/>
        <n v="2290000.0"/>
        <n v="1603000.0"/>
        <n v="687000.0"/>
        <n v="2120000.0"/>
        <n v="820000.0"/>
        <n v="280000.0"/>
        <n v="1780000.0"/>
        <n v="1000000.0"/>
        <s v="-"/>
        <n v="780000.0"/>
        <n v="1154168.0"/>
        <n v="270668.0"/>
        <n v="135334.0"/>
        <n v="650645.0"/>
        <n v="2400645.0"/>
        <n v="870000.0"/>
        <n v="1530645.0"/>
        <n v="1210000.0"/>
        <n v="260000.0"/>
        <n v="1520000.0"/>
        <n v="800000.0"/>
        <n v="720000.0"/>
        <n v="1400000.0"/>
        <n v="250000.0"/>
        <n v="824000.0"/>
        <n v="206000.0"/>
        <n v="436100.0"/>
        <n v="1976100.0"/>
        <n v="1580880.0"/>
        <n v="395220.0"/>
        <n v="464839.0"/>
        <n v="2164839.0"/>
        <n v="1114839.0"/>
        <n v="2040000.0"/>
        <n v="1020000.0"/>
        <n v="1870000.0"/>
        <n v="970000.0"/>
        <n v="750000.0"/>
        <n v="1010000.0"/>
        <n v="707000.0"/>
        <n v="303000.0"/>
        <n v="1460000.0"/>
        <n v="710000.0"/>
        <n v="496999.99999999994"/>
        <n v="213000.0"/>
        <n v="540000.0"/>
        <n v="1890000.0"/>
        <n v="1090000.0"/>
        <n v="782000.0"/>
        <n v="238000.0"/>
        <n v="-62000.0"/>
        <n v="890000.0"/>
        <n v="623000.0"/>
        <n v="267000.0"/>
        <n v="440000.0"/>
        <n v="1860000.0"/>
        <n v="532000.0"/>
        <n v="418000.0"/>
        <n v="293700.0"/>
        <n v="1393700.0"/>
        <n v="343700.0"/>
        <n v="730000.0"/>
        <n v="489500.0"/>
        <n v="1589500.0"/>
        <n v="539500.0"/>
        <n v="270000.0"/>
        <n v="-200000.0"/>
        <n v="-100000.0"/>
      </sharedItems>
    </cacheField>
    <cacheField name="1월 관리비">
      <sharedItems containsBlank="1" containsMixedTypes="1" containsNumber="1" containsInteger="1">
        <n v="100000.0"/>
        <n v="400000.0"/>
        <m/>
        <s v="없음"/>
        <n v="34060.0"/>
        <n v="173590.0"/>
        <n v="60000.0"/>
        <n v="22000.0"/>
        <n v="11000.0"/>
        <n v="63550.0"/>
        <n v="35800.0"/>
        <n v="105714.0"/>
        <n v="32258.0"/>
        <n v="470230.0"/>
        <n v="70000.0"/>
        <n v="139560.0"/>
        <n v="411560.0"/>
        <n v="40000.0"/>
        <n v="174360.0"/>
        <n v="-398250.0"/>
        <n v="150000.0"/>
        <n v="95000.0"/>
        <n v="80000.0"/>
        <n v="1025000.0"/>
        <n v="200390.0"/>
        <n v="805300.0"/>
        <n v="0.0"/>
        <n v="19900.0"/>
        <n v="224910.0"/>
        <n v="-397500.0"/>
        <n v="125000.0"/>
        <n v="125974.0"/>
        <n v="1000974.0"/>
        <n v="130000.0"/>
        <n v="100580.0"/>
        <n v="704940.0"/>
        <s v="관리비 포함"/>
        <n v="270020.0"/>
        <n v="-246466.0"/>
        <n v="74194.0"/>
        <n v="78947.0"/>
        <n v="90323.0"/>
        <n v="643464.0"/>
        <n v="73000.0"/>
        <n v="403130.0"/>
        <n v="28000.0"/>
        <n v="10000.0"/>
        <n v="161130.0"/>
        <n v="-82796.0"/>
        <n v="100974.0"/>
        <n v="32140.0"/>
        <n v="202600.0"/>
        <n v="30000.0"/>
        <n v="23100.0"/>
        <n v="102310.0"/>
        <n v="360000.0"/>
        <n v="27750.0"/>
        <n v="205280.0"/>
        <n v="33000.0"/>
        <n v="19000.0"/>
        <n v="57000.0"/>
        <n v="-12030.0"/>
        <n v="47710.0"/>
        <n v="175100.0"/>
        <n v="25000.0"/>
        <n v="50730.0"/>
        <n v="21460.0"/>
        <n v="49260.0"/>
        <n v="290710.0"/>
        <n v="66520.0"/>
        <n v="-71490.0"/>
        <n v="140000.0"/>
        <n v="120000.0"/>
        <n v="540000.0"/>
        <n v="27600.0"/>
        <n v="321030.0"/>
        <n v="50000.0"/>
        <n v="22869.0"/>
        <n v="28601.0"/>
        <n v="600000.0"/>
        <n v="303920.0"/>
        <s v="관리비포함"/>
        <n v="354040.0"/>
        <n v="85270.0"/>
        <n v="-187330.0"/>
        <n v="45140.0"/>
        <n v="181080.0"/>
        <n v="69290.0"/>
        <n v="61721.0"/>
        <n v="500000.0"/>
        <n v="73400.0"/>
        <n v="269560.0"/>
        <n v="35000.0"/>
        <n v="59990.0"/>
        <n v="26050.0"/>
        <n v="680000.0"/>
        <n v="235650.0"/>
        <n v="297610.0"/>
        <n v="54900.0"/>
        <n v="45840.0"/>
        <n v="85000.0"/>
        <n v="90000.0"/>
        <n v="455000.0"/>
        <n v="44880.0"/>
        <n v="307990.0"/>
        <n v="-80870.0"/>
        <n v="460000.0"/>
        <n v="300000.0"/>
        <n v="52350.0"/>
        <n v="154170.0"/>
        <n v="57920.0"/>
        <n v="-30440.0"/>
        <n v="33640.0"/>
        <n v="-99640.0"/>
        <n v="240000.0"/>
        <n v="880000.0"/>
        <n v="371450.0"/>
        <n v="274970.0"/>
        <n v="131550.0"/>
        <n v="197580.0"/>
        <n v="260000.0"/>
        <n v="12500.0"/>
        <n v="200430.0"/>
        <n v="58340.0"/>
        <n v="-134270.0"/>
        <n v="280000.0"/>
        <n v="80180.0"/>
        <n v="233360.0"/>
        <n v="34000.0"/>
        <n v="18900.0"/>
        <n v="345900.0"/>
        <n v="-432340.0"/>
        <n v="107000.0"/>
        <n v="434000.0"/>
        <n v="91040.0"/>
        <n v="219080.0"/>
        <n v="15000.0"/>
        <n v="12000.0"/>
        <n v="68390.0"/>
        <n v="-21510.0"/>
        <n v="-123920.0"/>
        <s v="-"/>
        <n v="25330.0"/>
        <n v="273690.0"/>
        <n v="62250.0"/>
        <n v="-53270.0"/>
        <n v="48490.0"/>
        <n v="150010.0"/>
        <n v="52000.0"/>
        <n v="-283500.0"/>
        <n v="121935.0"/>
        <n v="521935.0"/>
        <n v="112760.0"/>
        <n v="144820.0"/>
        <n v="36000.0"/>
        <n v="95250.0"/>
        <n v="101105.0"/>
        <n v="105000.0"/>
        <n v="355000.0"/>
        <n v="33280.0"/>
        <n v="222820.0"/>
        <n v="48800.0"/>
        <n v="-71900.0"/>
        <n v="180000.0"/>
        <n v="30310.0"/>
        <n v="-59630.0"/>
        <n v="24570.0"/>
        <n v="198880.0"/>
        <n v="26000.0"/>
        <n v="94240.0"/>
        <n v="-75690.0"/>
        <n v="27990.0"/>
        <n v="195740.0"/>
        <n v="20000.0"/>
        <n v="98010.0"/>
        <n v="-46740.0"/>
        <n v="33120.0"/>
        <n v="236290.0"/>
        <n v="78150.0"/>
        <n v="-27560.0"/>
        <n v="60850.0"/>
        <n v="61790.0"/>
        <n v="20480.0"/>
        <n v="97000.0"/>
        <n v="384000.0"/>
        <n v="52860.0"/>
        <n v="207360.0"/>
        <n v="66210.0"/>
        <n v="5570.0"/>
        <n v="380000.0"/>
        <n v="68320.0"/>
        <n v="206310.0"/>
        <n v="38980.0"/>
        <n v="59000.0"/>
        <n v="-14610.0"/>
        <n v="55190.0"/>
        <n v="143900.0"/>
        <n v="62020.0"/>
        <n v="73890.0"/>
        <n v="164700.0"/>
        <n v="63700.0"/>
        <n v="-63400.0"/>
        <n v="40750.0"/>
        <n v="230250.0"/>
        <n v="77760.0"/>
        <n v="-43760.0"/>
        <n v="41530.0"/>
        <n v="170950.0"/>
        <n v="82500.0"/>
        <n v="-69980.0"/>
        <n v="220000.0"/>
        <n v="43080.0"/>
        <n v="169910.0"/>
        <n v="32000.0"/>
        <n v="44900.0"/>
        <n v="-105890.0"/>
        <n v="30760.0"/>
        <n v="153260.0"/>
        <n v="89860.0"/>
        <n v="52020.0"/>
        <n v="110000.0"/>
        <n v="410000.0"/>
        <n v="69360.0"/>
        <n v="273950.0"/>
        <n v="52490.0"/>
        <n v="90590.0"/>
        <n v="-98390.0"/>
        <n v="127160.0"/>
        <n v="115050.0"/>
        <n v="-63540.0"/>
        <n v="470000.0"/>
        <n v="37670.0"/>
        <n v="256060.0"/>
        <n v="173900.0"/>
        <n v="-73630.0"/>
        <n v="26840.0"/>
        <n v="146910.0"/>
        <n v="-19750.0"/>
        <n v="36120.0"/>
        <n v="278930.0"/>
        <n v="83630.0"/>
        <n v="-114680.0"/>
        <n v="170000.0"/>
        <n v="270000.0"/>
        <n v="25940.0"/>
        <n v="297640.0"/>
        <n v="86930.0"/>
        <n v="-215510.0"/>
      </sharedItems>
    </cacheField>
    <cacheField name="2월 이름">
      <sharedItems containsBlank="1" containsMixedTypes="1" containsNumber="1" containsInteger="1">
        <s v="BILLON Zoe 2/28&#10;柯吟 周 Ko Yin Zhou (엔코) 2/28"/>
        <s v="RAMADANTI ALFIYYAH ZAHRA 정아라"/>
        <s v="이은서"/>
        <s v="한찬유"/>
        <m/>
        <s v="예상"/>
        <s v="Maïa Redonnet(엔코)"/>
        <s v="헤바Heba(우주) 2/28&#10;Maria Katharina Henneken(엔코) 2/28"/>
        <s v="Adia Arthur(엔코)"/>
        <s v="정다혜(우주)"/>
        <s v="★"/>
        <s v="최예진"/>
        <s v="MOSSISA AYANTU TESHOME"/>
        <s v="김유미나(엔코)"/>
        <s v="Gregoratti Greta(엔코)"/>
        <s v="허나겸"/>
        <s v="Caterina Ventrella"/>
        <s v="김민채"/>
        <s v="서영은"/>
        <s v="조은"/>
        <s v="서민지"/>
        <s v="김여원"/>
        <s v="Elisabeth Frieda Margarete Fuchs(엔코)"/>
        <s v="Soergel Anne Marlene(엔코)"/>
        <s v="정세아 2/26"/>
        <s v="Eden Qazi"/>
        <s v="장원영"/>
        <s v="이새롬"/>
        <s v="이정연(Brooklyn) 2/28"/>
        <s v="김세연 2/21&#10;황채원 2/22"/>
        <s v="진승연"/>
        <s v="Nguyen Gia Han(엔코) 2/25"/>
        <s v="구채민 준오헤어 양재 1호점"/>
        <s v="이리안(우주)"/>
        <s v="임가람(우주)"/>
        <s v="Fulvia Verna"/>
        <s v="권민경"/>
        <s v="곽은혜"/>
        <s v="최연지"/>
        <s v="최가현"/>
        <s v="Alina Li(우주) 2/28"/>
        <s v="유예리 2/25"/>
        <s v="이채은 2/28&#10;구서영 2/28"/>
        <s v="이연경 2/25"/>
        <s v="이지희 2/25&#10;유진하 위약금"/>
        <s v="최솔 2/28"/>
        <s v="김승은"/>
        <s v="김민재 2/22&#10;김위 2/22&#10;Shekerova(엔코) 위약금"/>
        <s v="여민서 2/23"/>
        <s v="Sofiia Futuima"/>
        <s v="강수민"/>
        <s v="오은지 2/23&#10;이다현 2/24"/>
        <s v="Elia Le Guern 2/2"/>
        <s v="Dara DOUSSET 2/6"/>
        <s v="Kavya Sudesh Kumar"/>
        <s v="Lola Burdin 1/31 "/>
        <s v="장하늘 2/25&#10;박민영 2/28"/>
        <s v="노예서 위약금"/>
        <s v="유수정"/>
        <s v="전수연"/>
        <s v="황채련"/>
        <s v="Desirée Mattioli"/>
        <s v="YEO JING YING(여린)"/>
        <s v="진혜린"/>
        <s v="Improta Vivian Ester 2/25&#10;Emily(맘스테이) 2/25"/>
        <s v="배서희 2/28"/>
        <s v="서제영 2/25&#10;윤석경 2/26"/>
        <s v="김도연 2/25&#10;양이선 2/28"/>
        <s v="Raniya"/>
        <s v="이인영 2/25"/>
        <s v="윤석경 2/25"/>
        <s v="이영채"/>
        <s v="장미"/>
        <s v="이행진"/>
        <s v="김지원 2/25&#10;황채영 2/26"/>
        <s v="Lisa Burri(Lila) 위약금1&#10;황채영 2/1~2/26&#10;고다언 위약금"/>
        <s v="Sara Federer 위약금1&#10;이신영 2/13"/>
        <s v="신예원 2/28&#10;김나영 위약금&#10;김세진 2/25 "/>
        <s v="김현빈 2/14&#10;이주영 2/18"/>
        <s v="장한비 2/21&#10;박한별 2/24"/>
        <s v="Tam Yuk Mui"/>
        <s v="Stephanie Lindawati"/>
        <s v="정규원(우주)"/>
        <s v="김채연"/>
        <s v="정지원 위약금&#10;송윤서 2/25"/>
        <s v="장유정 2/25&#10;이지원 2/27"/>
        <s v="김예원 2/28&#10;오은채 2/26"/>
        <s v="손재희"/>
        <s v="김민서 2/18"/>
        <s v="임세영 2/18"/>
        <s v="서지희 2/20"/>
        <s v="이채원 2/26"/>
        <s v="강가경"/>
        <s v="임지선"/>
        <s v="강경화"/>
        <s v="예서영"/>
        <s v="이정윤 2/20"/>
        <s v="이서현 2/20&#10;김민지 2/21"/>
        <s v="Yang venny"/>
        <s v="신유림"/>
        <s v="Nguyen Ngoc Tram 진아"/>
        <s v="치보"/>
        <s v="LEE SZU YING"/>
        <s v="홍유진"/>
        <s v="HOANG MY BICH VAN"/>
        <s v="조세라캠벨"/>
        <s v="손사라 2/25&#10;Nilla.stahl(고고) 2/26"/>
        <s v="이하주 2/13"/>
        <s v="노재은"/>
        <s v="야스이 아야네 (Yasui Ayane) 2/25&#10;최은주 2/27"/>
        <s v="박해빈 2/15"/>
        <s v="Komarova Irina 2/10"/>
        <s v="천예은 2/27"/>
        <s v="Jody FAWAZ 2/20"/>
        <s v="Kennedi Johnson 2/25"/>
        <s v="홍정연 2/25"/>
        <s v="이유나 2/28"/>
        <s v="-"/>
        <n v="0.0"/>
        <s v="Vivien(2/23~"/>
        <s v="최형락(1/29~2/4)"/>
        <s v="장수현"/>
        <s v="김다영 위약금&#10;이지윤"/>
        <s v="김지윤 2/25&#10;김기영 2/14"/>
        <s v="명주영 2/28&#10;김나경 2/27"/>
        <s v="오유정 2/25"/>
        <s v="정희원 2/25&#10;김예원 2/25"/>
        <s v="한서아 2/28&#10;이세진 2/28"/>
        <s v="노현진 2/25&#10;박수지 2/28"/>
        <s v="최유민 위약금&#10;박상아 2/24"/>
        <s v="정선민"/>
        <s v="이혜은 2/28"/>
        <s v="김수현"/>
        <s v="윤지민 2/25&#10;이한희 2/28"/>
        <s v="성연우 2/22&#10;임은우 위약금&#10;권민교 2/25"/>
        <s v="조서현 2/25"/>
        <s v="민성현 2/25"/>
        <s v="송하늘"/>
        <s v="권지인 2/28"/>
        <s v="박민정 2/25"/>
        <s v="서효민"/>
        <s v="임승현 2/20&#10;손희진 2/21"/>
        <s v="이연우 2/25&#10;손민주 2/21"/>
        <s v="Stepien Adrianna Joanna"/>
        <s v="Elisa Libert(우주)"/>
        <s v="고현서"/>
        <s v="심수빈"/>
        <s v="박태희 위약금2&#10;이예진 2/24"/>
        <s v="김이영 2/1"/>
        <s v="카이 리온"/>
        <s v="AOKI FUKA 후우카 2/19"/>
        <s v="김채영"/>
        <s v="Jerilyn Moya-Hypolite"/>
        <s v="이슭 2/22"/>
        <s v="전시현"/>
        <s v="김채영 "/>
        <s v="이가을"/>
        <s v="오현빈"/>
        <s v="황소정 2/21"/>
        <s v="조경주"/>
        <s v="최지연"/>
        <s v="이아원  LI YA YUAN"/>
        <s v="김연화 "/>
        <s v="조현아 2/28"/>
        <s v="권서현"/>
        <s v="이단비 2/25&#10;고은주 2/25"/>
        <s v="최설화 2/25"/>
        <s v="나카무라 마아코"/>
        <s v="양예림"/>
        <s v="차민서 2/25"/>
        <s v="이지현"/>
        <s v="하시모토 아야 aya"/>
        <s v="김지연 "/>
        <s v="이소빈 위약금"/>
        <s v="최수현 위약금"/>
        <s v="박근화"/>
        <s v="구승희"/>
        <s v="Manon"/>
        <s v="Anna Sophie Holzinger 2/25&#10;서혜령 위약금&#10;여가은 2/22"/>
        <s v="권수민 2/21"/>
        <s v="황주격 HUANG SHUG"/>
        <s v="Riya Mehra(엔코)"/>
        <s v="권지우 2/21"/>
        <s v="Arianna Sonda"/>
        <s v="AFFORTIT Estelle(고고)"/>
        <s v="오채영(우주)"/>
        <s v="송주은 2/28"/>
        <s v="없음"/>
        <s v="송민영"/>
        <s v="김연우 2/27&#10;김려원 2/28"/>
        <s v="임설희"/>
        <s v="박설빈 위약금2&#10;공채경 2/24"/>
        <s v="최다영 2/25&#10;경종현(경초윤) 2/28"/>
        <s v="김민지(우주) "/>
        <s v="김예림 위약금&#10;김동림 2/28"/>
        <s v="박서인 2/1"/>
        <s v="최승빈 2/28"/>
        <s v="이미송 2/28&#10;김민재 2/28"/>
        <s v="김규리 2/28"/>
        <s v="서지은 2/28"/>
        <s v="전채원"/>
        <s v="김세하 2/20"/>
        <s v="김정민"/>
      </sharedItems>
    </cacheField>
    <cacheField name="2월 월세">
      <sharedItems containsBlank="1" containsMixedTypes="1" containsNumber="1">
        <n v="620000.0"/>
        <n v="590000.0"/>
        <n v="470000.0"/>
        <n v="2150000.0"/>
        <n v="950000.0"/>
        <m/>
        <n v="1200000.0"/>
        <n v="0.0"/>
        <n v="700000.0"/>
        <n v="587400.0"/>
        <n v="600000.0"/>
        <n v="507300.0"/>
        <n v="2394700.0"/>
        <n v="1500000.0"/>
        <n v="894700.0"/>
        <n v="626290.0"/>
        <n v="268410.0"/>
        <n v="550000.0"/>
        <n v="650000.0"/>
        <n v="128333.0"/>
        <n v="420000.0"/>
        <n v="500000.0"/>
        <n v="450000.0"/>
        <n v="3318333.0"/>
        <n v="2900000.0"/>
        <n v="418333.0"/>
        <n v="292833.1"/>
        <n v="125499.9"/>
        <n v="570000.0"/>
        <n v="45000.0"/>
        <n v="480000.0"/>
        <n v="410000.0"/>
        <n v="4825000.0"/>
        <n v="2800000.0"/>
        <n v="2025000.0"/>
        <n v="1417500.0"/>
        <n v="607500.0"/>
        <n v="21429.0"/>
        <n v="812500.0"/>
        <n v="680000.0"/>
        <n v="520000.0"/>
        <n v="469920.0"/>
        <n v="3593769.0"/>
        <n v="2350000.0"/>
        <n v="1243769.0"/>
        <n v="580000.0"/>
        <n v="2190000.0"/>
        <n v="1300000.0"/>
        <n v="890000.0"/>
        <n v="623000.0"/>
        <n v="267000.0"/>
        <n v="300000.0"/>
        <n v="462800.0"/>
        <n v="258929.0"/>
        <n v="415000.0"/>
        <n v="1436729.0"/>
        <n v="850000.0"/>
        <n v="586729.0"/>
        <n v="410710.3"/>
        <n v="176018.69999999998"/>
        <n v="455357.0"/>
        <n v="980000.0"/>
        <n v="15000.0"/>
        <n v="280000.0"/>
        <n v="1730357.0"/>
        <n v="880357.0"/>
        <n v="660267.75"/>
        <n v="220089.25"/>
        <n v="1182838.0"/>
        <n v="96429.0"/>
        <n v="220000.0"/>
        <n v="370004.0"/>
        <n v="2289271.0"/>
        <n v="1100000.0"/>
        <n v="1189271.0"/>
        <n v="123000.0"/>
        <n v="400000.0"/>
        <n v="568000.0"/>
        <n v="-732000.0"/>
        <n v="-512399.99999999994"/>
        <n v="-219600.0"/>
        <n v="537857.0"/>
        <n v="437500.0"/>
        <n v="630000.0"/>
        <n v="2875357.0"/>
        <n v="1600000.0"/>
        <s v=" "/>
        <n v="1275357.0"/>
        <n v="1020285.6000000001"/>
        <n v="255071.40000000002"/>
        <n v="16071.0"/>
        <n v="1996071.0"/>
        <n v="1046071.0"/>
        <n v="732249.7"/>
        <n v="313821.3"/>
        <n v="437857.0"/>
        <n v="460000.0"/>
        <n v="364286.0"/>
        <n v="2232143.0"/>
        <n v="900000.0"/>
        <n v="1332143.0"/>
        <n v="528929.0"/>
        <n v="1476429.0"/>
        <n v="815714.0"/>
        <n v="4531072.0"/>
        <n v="1800000.0"/>
        <n v="2731072.0"/>
        <n v="995714.0"/>
        <n v="426071.0"/>
        <n v="421429.0"/>
        <n v="250000.0"/>
        <n v="2093214.0"/>
        <n v="1193214.0"/>
        <n v="835249.7999999999"/>
        <n v="357964.2"/>
        <n v="391600.0"/>
        <n v="390000.0"/>
        <n v="422857.0"/>
        <n v="396429.0"/>
        <n v="2170886.0"/>
        <n v="1050000.0"/>
        <n v="50000.0"/>
        <n v="1070886.0"/>
        <n v="856708.8"/>
        <n v="214177.2"/>
        <n v="443571.0"/>
        <n v="196429.0"/>
        <n v="349285.0"/>
        <n v="1539285.0"/>
        <n v="839285.0"/>
        <n v="176786.0"/>
        <n v="42857.0"/>
        <n v="219643.0"/>
        <n v="-980357.0"/>
        <n v="560000.0"/>
        <n v="321429.0"/>
        <n v="3071429.0"/>
        <n v="1900000.0"/>
        <n v="1171429.0"/>
        <n v="1550000.0"/>
        <n v="1317500.0"/>
        <n v="232500.0"/>
        <n v="350000.0"/>
        <n v="3390000.0"/>
        <n v="2290000.0"/>
        <n v="1603000.0"/>
        <n v="687000.0"/>
        <n v="596429.0"/>
        <n v="235000.0"/>
        <n v="471786.0"/>
        <n v="1873215.0"/>
        <n v="573215.0"/>
        <n v="339286.0"/>
        <n v="35714.0"/>
        <n v="675000.0"/>
        <n v="312500.0"/>
        <n v="1682500.0"/>
        <n v="1000000.0"/>
        <s v="-"/>
        <n v="682500.0"/>
        <n v="423129.328125"/>
        <n v="585000.0"/>
        <n v="1008129.328125"/>
        <n v="212799.328125"/>
        <n v="106399.6640625"/>
        <n v="925000.0"/>
        <n v="641786.0"/>
        <n v="416842.0"/>
        <n v="345000.0"/>
        <n v="2848628.0"/>
        <n v="870000.0"/>
        <n v="1978628.0"/>
        <n v="541785.0"/>
        <n v="303214.0"/>
        <n v="1148213.0"/>
        <n v="198213.0"/>
        <n v="990714.0"/>
        <n v="20357.0"/>
        <n v="1361071.0"/>
        <n v="800000.0"/>
        <n v="561071.0"/>
        <n v="338929.0"/>
        <n v="1063571.0"/>
        <n v="52857.0"/>
        <n v="1845357.0"/>
        <n v="1145357.0"/>
        <n v="290000.0"/>
        <n v="13214.0"/>
        <n v="1040714.0"/>
        <n v="832571.2000000001"/>
        <n v="208142.80000000002"/>
        <n v="535714.0"/>
        <n v="654286.0"/>
        <n v="436100.0"/>
        <n v="2096100.0"/>
        <n v="1676880.0"/>
        <n v="419220.0"/>
        <n v="563929.0"/>
        <n v="2133929.0"/>
        <n v="1083929.0"/>
        <n v="380000.0"/>
        <n v="430000.0"/>
        <n v="1860000.0"/>
        <n v="1020000.0"/>
        <n v="840000.0"/>
        <n v="370000.0"/>
        <n v="1870000.0"/>
        <n v="970000.0"/>
        <n v="1760000.0"/>
        <n v="750000.0"/>
        <n v="1010000.0"/>
        <n v="707000.0"/>
        <n v="303000.0"/>
        <n v="1280000.0"/>
        <n v="530000.0"/>
        <n v="371000.0"/>
        <n v="159000.0"/>
        <n v="540000.0"/>
        <n v="584286.0"/>
        <n v="1964286.0"/>
        <n v="1164286.0"/>
        <n v="510000.0"/>
        <n v="1310000.0"/>
        <n v="710000.0"/>
        <n v="1520000.0"/>
        <n v="782000.0"/>
        <n v="738000.0"/>
        <n v="438000.0"/>
        <n v="1890000.0"/>
        <n v="1175000.0"/>
        <n v="137143.0"/>
        <n v="440000.0"/>
        <n v="105714.0"/>
        <n v="2227857.0"/>
        <n v="910000.0"/>
        <n v="1317857.0"/>
        <n v="737999.92"/>
        <n v="579857.08"/>
        <n v="293700.0"/>
        <n v="14286.0"/>
        <n v="1407986.0"/>
        <n v="357986.0"/>
        <n v="529643.0"/>
        <n v="425000.0"/>
        <n v="1874643.0"/>
        <n v="824643.0"/>
        <n v="569643.0"/>
        <n v="489500.0"/>
        <n v="215000.0"/>
        <n v="1644143.0"/>
        <n v="594143.0"/>
        <n v="490000.0"/>
        <n v="487857.0"/>
        <n v="270000.0"/>
        <n v="1617857.0"/>
        <n v="567857.0"/>
        <n v="208929.0"/>
        <n v="998929.0"/>
        <n v="-1071.0"/>
        <n v="-535.5"/>
      </sharedItems>
    </cacheField>
    <cacheField name="2월 관리비">
      <sharedItems containsBlank="1" containsMixedTypes="1" containsNumber="1" containsInteger="1">
        <n v="100000.0"/>
        <n v="400000.0"/>
        <m/>
        <s v="없음"/>
        <n v="37920.0"/>
        <n v="168070.0"/>
        <n v="60000.0"/>
        <n v="22000.0"/>
        <n v="11000.0"/>
        <n v="85750.0"/>
        <n v="15260.0"/>
        <n v="70000.0"/>
        <n v="130860.0"/>
        <n v="370520.0"/>
        <n v="40000.0"/>
        <n v="50000.0"/>
        <n v="-294380.0"/>
        <n v="185000.0"/>
        <n v="108343.0"/>
        <n v="80000.0"/>
        <n v="1028343.0"/>
        <n v="150000.0"/>
        <n v="215430.0"/>
        <n v="607570.0"/>
        <n v="0.0"/>
        <n v="19900.0"/>
        <n v="205650.0"/>
        <n v="-192207.0"/>
        <n v="145000.0"/>
        <n v="10714.0"/>
        <n v="1090714.0"/>
        <n v="130000.0"/>
        <n v="115010.0"/>
        <n v="916290.0"/>
        <s v="관리비 포함"/>
        <n v="221090.0"/>
        <n v="-333576.0"/>
        <n v="3571.0"/>
        <n v="190000.0"/>
        <n v="165000.0"/>
        <n v="823571.0"/>
        <n v="125000.0"/>
        <n v="597210.0"/>
        <n v="28000.0"/>
        <n v="10000.0"/>
        <n v="254920.0"/>
        <n v="-242559.0"/>
        <n v="34320.0"/>
        <n v="184570.0"/>
        <n v="30000.0"/>
        <n v="23100.0"/>
        <n v="49610.0"/>
        <n v="89286.0"/>
        <n v="83571.0"/>
        <n v="352857.0"/>
        <n v="29740.0"/>
        <n v="205360.0"/>
        <n v="33000.0"/>
        <n v="19000.0"/>
        <n v="66630.0"/>
        <n v="-30873.0"/>
        <n v="252857.0"/>
        <n v="47710.0"/>
        <n v="235520.0"/>
        <n v="25000.0"/>
        <n v="82750.0"/>
        <n v="-178123.0"/>
        <n v="201971.0"/>
        <n v="21429.0"/>
        <n v="93711.0"/>
        <n v="517111.0"/>
        <n v="52340.0"/>
        <n v="324130.0"/>
        <n v="62990.0"/>
        <n v="12651.0"/>
        <n v="44000.0"/>
        <n v="117000.0"/>
        <n v="213000.0"/>
        <n v="29710.0"/>
        <n v="372800.0"/>
        <n v="22869.0"/>
        <n v="19500.0"/>
        <n v="-291779.0"/>
        <n v="124286.0"/>
        <n v="107143.0"/>
        <n v="120000.0"/>
        <n v="591429.0"/>
        <n v="271530.0"/>
        <s v="관리비포함"/>
        <n v="438460.0"/>
        <n v="-212661.0"/>
        <n v="403571.0"/>
        <n v="56730.0"/>
        <n v="383140.0"/>
        <n v="39570.0"/>
        <n v="81780.0"/>
        <n v="-200418.0"/>
        <n v="103571.0"/>
        <n v="492857.0"/>
        <n v="62100.0"/>
        <n v="186870.0"/>
        <n v="35000.0"/>
        <n v="132887.0"/>
        <n v="132857.0"/>
        <n v="347143.0"/>
        <n v="188571.0"/>
        <n v="988571.0"/>
        <n v="250000.0"/>
        <n v="286930.0"/>
        <n v="63690.0"/>
        <n v="341951.0"/>
        <n v="164286.0"/>
        <n v="114286.0"/>
        <n v="127857.0"/>
        <n v="85000.0"/>
        <n v="491429.0"/>
        <n v="33810.0"/>
        <n v="271300.0"/>
        <n v="51900.0"/>
        <n v="-8581.0"/>
        <n v="481429.0"/>
        <n v="110714.0"/>
        <n v="39286.0"/>
        <n v="75000.0"/>
        <n v="325000.0"/>
        <n v="42040.0"/>
        <n v="191760.0"/>
        <n v="63600.0"/>
        <n v="-38400.0"/>
        <n v="32143.0"/>
        <n v="42857.0"/>
        <n v="160550.0"/>
        <n v="-183693.0"/>
        <n v="115000.0"/>
        <n v="125714.0"/>
        <n v="160000.0"/>
        <n v="850714.0"/>
        <n v="450000.0"/>
        <n v="419720.0"/>
        <n v="111700.0"/>
        <n v="-55006.0"/>
        <n v="260000.0"/>
        <n v="12500.0"/>
        <n v="243870.0"/>
        <n v="-169370.0"/>
        <n v="360000.0"/>
        <n v="80180.0"/>
        <n v="277150.0"/>
        <n v="71905.0"/>
        <n v="34000.0"/>
        <n v="18900.0"/>
        <n v="121650.0"/>
        <n v="-243785.0"/>
        <n v="155000.0"/>
        <n v="121429.0"/>
        <n v="451429.0"/>
        <n v="102260.0"/>
        <n v="352000.0"/>
        <n v="15000.0"/>
        <n v="12000.0"/>
        <n v="75890.0"/>
        <n v="-155721.0"/>
        <n v="67857.0"/>
        <n v="7143.0"/>
        <n v="23900.0"/>
        <n v="35100.0"/>
        <n v="65800.0"/>
        <n v="71429.0"/>
        <n v="337229.0"/>
        <s v="-"/>
        <n v="28200.0"/>
        <n v="233780.0"/>
        <n v="42000.0"/>
        <n v="-18751.0"/>
        <n v="32770.0"/>
        <n v="129560.0"/>
        <n v="-195330.0"/>
        <n v="171429.0"/>
        <n v="153571.0"/>
        <n v="107140.0"/>
        <n v="632140.0"/>
        <n v="161650.0"/>
        <n v="195090.0"/>
        <n v="80690.0"/>
        <n v="162710.0"/>
        <n v="113572.0"/>
        <n v="93571.0"/>
        <n v="113571.0"/>
        <n v="320714.0"/>
        <n v="24280.0"/>
        <n v="217760.0"/>
        <n v="95290.0"/>
        <n v="-138616.0"/>
        <n v="205000.0"/>
        <n v="19290.0"/>
        <n v="159780.0"/>
        <n v="-76070.0"/>
        <n v="92857.0"/>
        <n v="14286.0"/>
        <n v="300000.0"/>
        <n v="27890.0"/>
        <n v="209670.0"/>
        <n v="26000.0"/>
        <n v="-55560.0"/>
        <n v="86429.0"/>
        <n v="334286.0"/>
        <n v="24810.0"/>
        <n v="254180.0"/>
        <n v="20000.0"/>
        <n v="18020.0"/>
        <n v="-42724.0"/>
        <n v="128571.0"/>
        <n v="428571.0"/>
        <n v="36560.0"/>
        <n v="237850.0"/>
        <n v="55000.0"/>
        <n v="19161.0"/>
        <n v="117857.0"/>
        <n v="417857.0"/>
        <n v="48740.0"/>
        <n v="61447.0"/>
        <n v="97000.0"/>
        <n v="132000.0"/>
        <n v="376857.0"/>
        <n v="52860.0"/>
        <n v="302110.0"/>
        <n v="85170.0"/>
        <n v="-115283.0"/>
        <n v="380000.0"/>
        <n v="62660.0"/>
        <n v="306290.0"/>
        <n v="62270.0"/>
        <n v="-73220.0"/>
        <n v="209480.0"/>
        <n v="61700.0"/>
        <n v="1160.0"/>
        <n v="280000.0"/>
        <n v="197000.0"/>
        <n v="53920.0"/>
        <n v="-65920.0"/>
        <n v="394286.0"/>
        <n v="43080.0"/>
        <n v="279210.0"/>
        <n v="86760.0"/>
        <n v="-89764.0"/>
        <n v="50800.0"/>
        <n v="217820.0"/>
        <n v="66600.0"/>
        <n v="-110220.0"/>
        <n v="135000.0"/>
        <n v="45340.0"/>
        <n v="201170.0"/>
        <n v="32000.0"/>
        <n v="40950.0"/>
        <n v="-105460.0"/>
        <n v="34570.0"/>
        <n v="205330.0"/>
        <n v="51000.0"/>
        <n v="-65000.0"/>
        <n v="28571.0"/>
        <n v="562142.0"/>
        <n v="405130.0"/>
        <n v="142750.0"/>
        <n v="-87738.0"/>
        <n v="283571.0"/>
        <n v="33030.0"/>
        <n v="227390.0"/>
        <n v="-94849.0"/>
        <n v="143571.0"/>
        <n v="97857.0"/>
        <n v="531428.0"/>
        <n v="33280.0"/>
        <n v="260720.0"/>
        <n v="106930.0"/>
        <n v="54498.0"/>
        <n v="307142.0"/>
        <n v="23370.0"/>
        <n v="153440.0"/>
        <n v="57900.0"/>
        <n v="-3568.0"/>
        <n v="95000.0"/>
        <n v="98571.0"/>
        <n v="383571.0"/>
        <n v="26990.0"/>
        <n v="235720.0"/>
        <n v="154830.0"/>
        <n v="-109969.0"/>
        <n v="48214.0"/>
        <n v="175000.0"/>
        <n v="323214.0"/>
        <n v="21410.0"/>
        <n v="272160.0"/>
        <n v="10340.0"/>
        <n v="-55696.0"/>
      </sharedItems>
    </cacheField>
    <cacheField name="3월 이름">
      <sharedItems containsBlank="1" containsMixedTypes="1" containsNumber="1" containsInteger="1">
        <s v="柯吟 周 Ko Yin Zhou (엔코)"/>
        <s v="RAMADANTI ALFIYYAH ZAHRA 정아라"/>
        <s v="이은서 3/31"/>
        <s v="한찬유"/>
        <m/>
        <s v="예상"/>
        <s v="Maïa Redonnet(엔코)"/>
        <s v="Maria Katharina Henneken(엔코)"/>
        <s v="Adia Arthur(엔코)"/>
        <s v="정다혜(우주)"/>
        <s v="★"/>
        <s v="최예진"/>
        <s v="차지수 3/21"/>
        <s v="김유미나"/>
        <s v="Dafne Carolina Castillo Normandía(고고) 3/15"/>
        <s v="Gregoratti Greta(엔코)"/>
        <s v="허나겸 3/22"/>
        <s v="Caterina Ventrella"/>
        <s v="김민채 3/31"/>
        <s v="서영은"/>
        <s v="조은"/>
        <s v="서민지"/>
        <s v="김여원"/>
        <s v="Elisabeth Frieda Margarete Fuchs(엔코) 3/2&#10;이서진 3/6-30"/>
        <s v="Soergel Anne Marlene(엔코) 3/2"/>
        <s v="정세아"/>
        <s v="Eden Qazi 3/31"/>
        <s v="장원영"/>
        <s v="이새롬"/>
        <s v="이정연(Brooklyn)"/>
        <s v="황채원"/>
        <s v="진승연"/>
        <s v="Nguyen Gia Han(엔코)"/>
        <s v="구채민 준오헤어 양재 1호점"/>
        <s v="윤서희-준오헤어 양재 1호점"/>
        <s v="이리안(우주)"/>
        <s v="임가람(우주)"/>
        <s v="Fulvia Verna"/>
        <s v="권민경"/>
        <s v="곽은혜 3/31"/>
        <s v="최연지"/>
        <s v="최가현"/>
        <s v="구서영"/>
        <s v="이지희"/>
        <s v="김승은"/>
        <s v="최솔"/>
        <s v="김위"/>
        <s v="여민서"/>
        <s v="Sofiia Futuima"/>
        <s v="강수민"/>
        <s v="이다현"/>
        <s v="Kavya Sudesh Kumar 3/31"/>
        <s v="박민영"/>
        <s v="이수현 3/1"/>
        <s v="유수정"/>
        <s v="전수연"/>
        <s v="황채련"/>
        <s v="Desirée Mattioli"/>
        <s v="YEO JING YING(여린)"/>
        <s v="진혜린"/>
        <s v="Emily(맘스테이)"/>
        <s v="배서희"/>
        <s v="윤석경"/>
        <s v="양이선"/>
        <s v="Raniya"/>
        <s v="임보민 3/1"/>
        <s v="박유현 3/1"/>
        <s v="이영채"/>
        <s v="장미"/>
        <s v="이행진"/>
        <s v="황채영"/>
        <s v="Lisa Burri(Lila) 위약금2&#10;유영서 3/7"/>
        <s v="Sara Federer 위약금2&#10;이신영"/>
        <s v="김세진"/>
        <s v="이주영"/>
        <s v="장한비 위약금&#10;박한별"/>
        <s v="Tam Yuk Mui"/>
        <s v="Stephanie Lindawati"/>
        <s v="정규원(우주)"/>
        <s v="김채연"/>
        <s v="송윤서"/>
        <s v="이지원"/>
        <s v="오은채"/>
        <s v="손재희 3/1&#10;Claybaugh, Genevieve Mary 3/1"/>
        <s v="김민서"/>
        <s v="송지윤 3/1"/>
        <s v="서지희"/>
        <s v="김주원 3/2-15&#10;윤다운 3/15"/>
        <s v="황은우 3/1"/>
        <s v="고사랑 3/1"/>
        <s v="이채원"/>
        <s v="강가경"/>
        <s v="임지선"/>
        <s v="강경화"/>
        <s v="예서영"/>
        <s v="오서영 3/1"/>
        <s v="김민지"/>
        <s v="Yang venny"/>
        <s v="신유림"/>
        <s v="Alice Turchi 3/12"/>
        <s v="Nguyen Ngoc Tram 진아"/>
        <s v="치보"/>
        <s v="LEE SZU YING"/>
        <s v="홍유진"/>
        <s v="HOANG MY BICH VAN"/>
        <s v="조세라캠벨"/>
        <s v="Nilla.stahl(고고)"/>
        <s v="이하주 위약금&#10;심규리 3/1"/>
        <s v="노재은"/>
        <s v="최은주"/>
        <s v="박해빈"/>
        <s v="Komarova Irina"/>
        <s v="천예은"/>
        <s v="-"/>
        <n v="0.0"/>
        <s v="Vivien(2/23~"/>
        <s v="장수현"/>
        <s v="이지윤"/>
        <s v="김기영"/>
        <s v="김나경"/>
        <s v="엄다윤 3/2"/>
        <s v="노현진 2/26"/>
        <s v="김예원"/>
        <s v="이세진"/>
        <s v="박수지"/>
        <s v="박상아"/>
        <s v="정선민"/>
        <s v="이혜은"/>
        <s v="김수현"/>
        <s v="이한희"/>
        <s v="권민교"/>
        <s v="조서현"/>
        <s v="곽지윤 3/2"/>
        <s v="송하늘"/>
        <s v="김은서 위약금&#10;권지인"/>
        <s v="박민정"/>
        <s v="서효민"/>
        <s v="손희진"/>
        <s v="손민주"/>
        <s v="Stepien Adrianna Joanna"/>
        <s v="Elisa Libert(우주)"/>
        <s v="이서현 3/1"/>
        <s v="고현서"/>
        <s v="심수빈"/>
        <s v="이예진"/>
        <s v="김이영"/>
        <s v="카이 리온"/>
        <s v="신유진 3/1"/>
        <s v="김채영"/>
        <s v="Jerilyn Moya-Hypolite"/>
        <s v="이슭 위약금1&#10;한예현 3/6"/>
        <s v="전시현"/>
        <s v="김채영 "/>
        <s v="이가을"/>
        <s v="오현빈"/>
        <s v="김예원 3/1"/>
        <s v="조경주"/>
        <s v="최지연"/>
        <s v="이아원  LI YA YUAN"/>
        <s v="김연화 "/>
        <s v="권서현"/>
        <s v="고은주"/>
        <s v="허브원이엔씨(Phạm Thiên Như Ý) 3/18"/>
        <s v="나카무라 마아코"/>
        <s v="양예림"/>
        <s v="이지현"/>
        <s v="하시모토 아야 aya 3/20"/>
        <s v="김지연 "/>
        <s v="Carine Hobeika Ståhl 3/16"/>
        <s v="정인혜 3/1"/>
        <s v="박근화"/>
        <s v="구승희"/>
        <s v="Manon"/>
        <s v="여가은"/>
        <s v="권수민"/>
        <s v="황주격 HUANG SHUG"/>
        <s v="Riya Mehra(엔코)"/>
        <s v="권지우"/>
        <s v="Arianna Sonda"/>
        <s v="AFFORTIT Estelle(고고)"/>
        <s v="오채영(우주)"/>
        <s v="송주은"/>
        <s v="없음"/>
        <s v="송민영"/>
        <s v="김려원"/>
        <s v="임설희"/>
        <s v="공채경"/>
        <s v="경종현(경초윤)"/>
        <s v="김민지(우주) "/>
        <s v="김동림"/>
        <s v="박서인"/>
        <s v="김규리 3/1"/>
        <s v="김민재"/>
        <s v="정은진 3/1"/>
        <s v="공재희 3/1"/>
        <s v="전채원"/>
        <s v="김세하 (전체)"/>
        <s v="김정민"/>
        <s v="김은서 3/1"/>
      </sharedItems>
    </cacheField>
    <cacheField name="3월 월세">
      <sharedItems containsBlank="1" containsMixedTypes="1" containsNumber="1">
        <n v="680000.0"/>
        <n v="590000.0"/>
        <n v="470000.0"/>
        <n v="2210000.0"/>
        <n v="950000.0"/>
        <m/>
        <n v="1260000.0"/>
        <n v="0.0"/>
        <n v="700000.0"/>
        <n v="600000.0"/>
        <n v="507300.0"/>
        <n v="2507300.0"/>
        <n v="1500000.0"/>
        <n v="1007300.0"/>
        <n v="705110.0"/>
        <n v="302190.0"/>
        <n v="550000.0"/>
        <n v="202258.0"/>
        <n v="480000.0"/>
        <n v="290645.0"/>
        <n v="298065.0"/>
        <n v="500000.0"/>
        <n v="450000.0"/>
        <n v="3320968.0"/>
        <n v="2900000.0"/>
        <n v="420968.0"/>
        <n v="294677.6"/>
        <n v="126290.4"/>
        <n v="650000.0"/>
        <n v="570000.0"/>
        <n v="427581.0"/>
        <n v="25000.0"/>
        <n v="420000.0"/>
        <n v="410000.0"/>
        <n v="4552581.0"/>
        <n v="2800000.0"/>
        <n v="1752581.0"/>
        <n v="1226806.7"/>
        <n v="525774.2999999999"/>
        <n v="620000.0"/>
        <n v="520000.0"/>
        <n v="530000.0"/>
        <n v="469920.0"/>
        <n v="4539840.0"/>
        <n v="2350000.0"/>
        <n v="2189840.0"/>
        <n v="580000.0"/>
        <n v="490000.0"/>
        <n v="2200000.0"/>
        <n v="1300000.0"/>
        <n v="900000.0"/>
        <n v="630000.0"/>
        <n v="270000.0"/>
        <n v="430000.0"/>
        <n v="850000.0"/>
        <n v="510000.0"/>
        <n v="1400000.0"/>
        <n v="412500.0"/>
        <n v="137500.0"/>
        <n v="400000.0"/>
        <n v="2240000.0"/>
        <n v="1100000.0"/>
        <n v="1140000.0"/>
        <n v="370000.0"/>
        <n v="-930000.0"/>
        <n v="-651000.0"/>
        <n v="-279000.0"/>
        <n v="2930000.0"/>
        <n v="1600000.0"/>
        <n v="1330000.0"/>
        <n v="1064000.0"/>
        <n v="266000.0"/>
        <n v="2610000.0"/>
        <n v="1660000.0"/>
        <n v="1162000.0"/>
        <n v="498000.0"/>
        <n v="560000.0"/>
        <n v="460000.0"/>
        <n v="2520000.0"/>
        <n v="1620000.0"/>
        <n v="933226.0"/>
        <n v="980000.0"/>
        <n v="4173226.0"/>
        <n v="1800000.0"/>
        <n v="2373226.0"/>
        <n v="2330000.0"/>
        <n v="1430000.0"/>
        <n v="1000999.9999999999"/>
        <n v="429000.0"/>
        <n v="391600.0"/>
        <n v="2071600.0"/>
        <n v="1050000.0"/>
        <n v="50000.0"/>
        <n v="971600.0"/>
        <n v="777280.0"/>
        <n v="194320.0"/>
        <n v="433340.0"/>
        <n v="2023340.0"/>
        <n v="1323340.0"/>
        <n v="806452.0"/>
        <n v="2646452.0"/>
        <n v="1200000.0"/>
        <n v="1446452.0"/>
        <n v="3280000.0"/>
        <n v="1900000.0"/>
        <n v="1380000.0"/>
        <n v="329032.0"/>
        <n v="1959032.0"/>
        <n v="1665177.2"/>
        <n v="293854.8"/>
        <n v="3510000.0"/>
        <n v="2410000.0"/>
        <n v="1687000.0"/>
        <n v="723000.0"/>
        <n v="1060000.0"/>
        <n v="2760000.0"/>
        <n v="1460000.0"/>
        <n v="1000000.0"/>
        <s v="-"/>
        <n v="-1000000.0"/>
        <n v="2186168.1953125"/>
        <n v="1184808.1953125"/>
        <n v="592404.09765625"/>
        <n v="406452.0"/>
        <n v="2366452.0"/>
        <n v="870000.0"/>
        <n v="1496452.0"/>
        <n v="1720000.0"/>
        <n v="770000.0"/>
        <n v="1590000.0"/>
        <n v="800000.0"/>
        <n v="790000.0"/>
        <n v="1700000.0"/>
        <n v="454839.0"/>
        <n v="350000.0"/>
        <n v="330000.0"/>
        <n v="2374839.0"/>
        <n v="1899871.2000000002"/>
        <n v="474967.80000000005"/>
        <n v="436100.0"/>
        <n v="2296100.0"/>
        <n v="1836880.0"/>
        <n v="459220.0"/>
        <n v="2040000.0"/>
        <n v="990000.0"/>
        <n v="1990000.0"/>
        <n v="1020000.0"/>
        <n v="970000.0"/>
        <n v="1021290.0"/>
        <n v="2311290.0"/>
        <n v="1411290.0"/>
        <n v="1760000.0"/>
        <n v="750000.0"/>
        <n v="1010000.0"/>
        <n v="707000.0"/>
        <n v="303000.0"/>
        <n v="1040000.0"/>
        <n v="290000.0"/>
        <n v="203000.0"/>
        <n v="87000.0"/>
        <n v="540000.0"/>
        <n v="189677.0"/>
        <n v="1669677.0"/>
        <n v="869677.0"/>
        <n v="860000.0"/>
        <n v="260000.0"/>
        <n v="335484.0"/>
        <n v="300000.0"/>
        <n v="1135484.0"/>
        <n v="782000.0"/>
        <n v="353484.0"/>
        <n v="53484.0"/>
        <n v="1890000.0"/>
        <n v="890000.0"/>
        <n v="623000.0"/>
        <n v="267000.0"/>
        <n v="440000.0"/>
        <n v="910000.0"/>
        <n v="744800.0000000001"/>
        <n v="585200.0"/>
        <n v="382700.0"/>
        <n v="1882700.0"/>
        <n v="832700.0"/>
        <n v="1840000.0"/>
        <n v="489500.0"/>
        <n v="1829500.0"/>
        <n v="779500.0"/>
        <n v="1740000.0"/>
        <n v="690000.0"/>
        <n v="2000000.0"/>
      </sharedItems>
    </cacheField>
    <cacheField name="3월 관리비">
      <sharedItems containsBlank="1" containsMixedTypes="1" containsNumber="1" containsInteger="1">
        <n v="100000.0"/>
        <n v="400000.0"/>
        <m/>
        <n v="0.0"/>
        <n v="29860.0"/>
        <n v="149340.0"/>
        <n v="60000.0"/>
        <n v="22000.0"/>
        <n v="11000.0"/>
        <n v="27020.0"/>
        <n v="100780.0"/>
        <n v="70000.0"/>
        <n v="135000.0"/>
        <n v="45056.0"/>
        <n v="124500.0"/>
        <n v="-407556.0"/>
        <n v="35484.0"/>
        <n v="77419.0"/>
        <n v="54839.0"/>
        <n v="110968.0"/>
        <n v="80000.0"/>
        <n v="658710.0"/>
        <n v="150000.0"/>
        <n v="200000.0"/>
        <n v="700000.0"/>
        <n v="19900.0"/>
        <n v="169470.0"/>
        <n v="-602660.0"/>
        <n v="88871.0"/>
        <n v="5000.0"/>
        <n v="893871.0"/>
        <n v="130000.0"/>
        <n v="120000.0"/>
        <n v="900000.0"/>
        <s v="관리비 포함"/>
        <n v="219070.0"/>
        <n v="-517099.0"/>
        <n v="800000.0"/>
        <n v="600000.0"/>
        <n v="40000.0"/>
        <n v="28000.0"/>
        <n v="10000.0"/>
        <n v="43000.0"/>
        <n v="-32000.0"/>
        <n v="35000.0"/>
        <n v="30000.0"/>
        <n v="23100.0"/>
        <n v="9630.0"/>
        <n v="202580.0"/>
        <n v="33000.0"/>
        <n v="19000.0"/>
        <n v="99000.0"/>
        <n v="-213580.0"/>
        <n v="300000.0"/>
        <n v="50000.0"/>
        <n v="231650.0"/>
        <n v="25000.0"/>
        <n v="-46650.0"/>
        <n v="500000.0"/>
        <n v="254730.0"/>
        <n v="17400.0"/>
        <n v="102870.0"/>
        <n v="84020.0"/>
        <n v="22869.0"/>
        <n v="-76789.0"/>
        <s v="관리비포함"/>
        <n v="438810.0"/>
        <n v="58980.0"/>
        <n v="-241890.0"/>
        <n v="450000.0"/>
        <n v="20000.0"/>
        <n v="50090.0"/>
        <n v="-142859.0"/>
        <s v="없음"/>
        <n v="350000.0"/>
        <n v="29480.0"/>
        <n v="-10480.0"/>
        <n v="216774.0"/>
        <n v="240000.0"/>
        <n v="916774.0"/>
        <n v="250000.0"/>
        <n v="288280.0"/>
        <n v="82920.0"/>
        <n v="249574.0"/>
        <n v="28800.0"/>
        <n v="-11800.0"/>
        <n v="460000.0"/>
        <n v="134820.0"/>
        <n v="18540.0"/>
        <n v="180640.0"/>
        <n v="151613.0"/>
        <n v="551613.0"/>
        <n v="241150.0"/>
        <n v="28230.0"/>
        <n v="216233.0"/>
        <n v="720000.0"/>
        <n v="434830.0"/>
        <n v="86540.0"/>
        <n v="-200830.0"/>
        <n v="64516.0"/>
        <n v="364516.0"/>
        <n v="9800.0"/>
        <n v="354716.0"/>
        <n v="34000.0"/>
        <n v="18900.0"/>
        <n v="74460.0"/>
        <n v="272640.0"/>
        <n v="110000.0"/>
        <n v="15000.0"/>
        <n v="12000.0"/>
        <n v="-96800.0"/>
        <n v="69320.0"/>
        <n v="194680.0"/>
        <s v="-"/>
        <n v="17590.0"/>
        <n v="-69590.0"/>
        <n v="29560.0"/>
        <n v="338800.0"/>
        <n v="-401360.0"/>
        <n v="96774.0"/>
        <n v="496774.0"/>
        <n v="63170.0"/>
        <n v="101430.0"/>
        <n v="35730.0"/>
        <n v="264444.0"/>
        <n v="24280.0"/>
        <n v="147330.0"/>
        <n v="31930.0"/>
        <n v="280000.0"/>
        <n v="16870.0"/>
        <n v="124490.0"/>
        <n v="39750.0"/>
        <n v="46890.0"/>
        <n v="26680.0"/>
        <n v="129570.0"/>
        <n v="211750.0"/>
        <n v="49030.0"/>
        <n v="135164.0"/>
        <n v="129580.0"/>
        <n v="52540.0"/>
        <n v="237880.0"/>
        <n v="26000.0"/>
        <n v="35200.0"/>
        <n v="177230.0"/>
        <n v="117000.0"/>
        <n v="417000.0"/>
        <n v="64720.0"/>
        <n v="332740.0"/>
        <n v="36230.0"/>
        <n v="-68690.0"/>
        <n v="183871.0"/>
        <n v="483871.0"/>
        <n v="48490.0"/>
        <n v="311880.0"/>
        <n v="30010.0"/>
        <n v="27630.0"/>
        <n v="43861.0"/>
        <n v="235830.0"/>
        <n v="99170.0"/>
        <n v="252500.0"/>
        <n v="8800.0"/>
        <n v="-156300.0"/>
        <n v="45161.0"/>
        <n v="345161.0"/>
        <n v="45000.0"/>
        <n v="345240.0"/>
        <n v="13490.0"/>
        <n v="-133569.0"/>
        <n v="259790.0"/>
        <n v="12560.0"/>
        <n v="-107350.0"/>
        <n v="114516.0"/>
        <n v="314516.0"/>
        <n v="213940.0"/>
        <n v="32000.0"/>
        <n v="159510.0"/>
        <n v="-171934.0"/>
        <n v="232700.0"/>
        <n v="13980.0"/>
        <n v="44220.0"/>
        <n v="30620.0"/>
        <n v="312940.0"/>
        <n v="46910.0"/>
        <n v="21910.0"/>
        <n v="65620.0"/>
        <n v="163970.0"/>
        <n v="28240.0"/>
        <n v="171790.0"/>
        <n v="169180.0"/>
        <n v="114820.0"/>
        <n v="122280.0"/>
        <n v="241720.0"/>
        <n v="232760.0"/>
        <n v="4900.0"/>
        <n v="51340.0"/>
        <n v="166060.0"/>
        <n v="88490.0"/>
        <n v="160450.0"/>
      </sharedItems>
    </cacheField>
    <cacheField name="4월 이름">
      <sharedItems containsBlank="1" containsMixedTypes="1" containsNumber="1" containsInteger="1">
        <s v="柯吟 周 Ko Yin Zhou (엔코)"/>
        <s v="RAMADANTI ALFIYYAH ZAHRA 정아라"/>
        <s v="유은선 4/1~30"/>
        <s v="한찬유 4/30"/>
        <m/>
        <s v="Maïa Redonnet(엔코)"/>
        <s v="Maria Katharina Henneken(엔코)"/>
        <s v="Adia Arthur(엔코)"/>
        <s v="정다혜(우주)"/>
        <s v="최예진"/>
        <s v="차지수"/>
        <s v="김유미나"/>
        <s v="Dafne Carolina Castillo Normandía(고고)"/>
        <s v="Gregoratti Greta(엔코)"/>
        <s v="나선일 4/4"/>
        <s v="Caterina Ventrella"/>
        <s v="★"/>
        <s v="서영은"/>
        <s v="조은"/>
        <s v="서민지"/>
        <s v="김여원"/>
        <s v="정세아"/>
        <s v="장원영"/>
        <s v="이새롬"/>
        <s v="이정연(Brooklyn)"/>
        <s v="황채원"/>
        <s v="진승연 4/24&#10;이서진 4/12"/>
        <s v="Nguyen Gia Han(엔코)"/>
        <s v="구채민 준오헤어 양재 1호점"/>
        <s v="윤서희-준오헤어 양재 1호점"/>
        <s v="이리안(우주)"/>
        <s v="임가람(우주) 4/30"/>
        <s v="Fulvia Verna"/>
        <s v="권민경"/>
        <s v="최연지"/>
        <s v="최가현"/>
        <s v="구서영"/>
        <s v="이지희"/>
        <s v="김승은"/>
        <s v="최솔"/>
        <s v="김위"/>
        <s v="여민서"/>
        <s v="Sofiia Futuima"/>
        <s v="강수민"/>
        <s v="이다현"/>
        <s v="박민영"/>
        <s v="이수현"/>
        <s v="유수정"/>
        <s v="황채련"/>
        <s v="Desirée Mattioli"/>
        <s v="YEO JING YING(여린)"/>
        <s v="진혜린"/>
        <s v="Emily(맘스테이)"/>
        <s v="배서희"/>
        <s v="윤석경"/>
        <s v="양이선"/>
        <s v="Raniya"/>
        <s v="임보민"/>
        <s v="박유현"/>
        <s v="이영채"/>
        <s v="장미"/>
        <s v="이행진"/>
        <s v="황채영"/>
        <s v="유영서"/>
        <s v="이신영"/>
        <s v="김세진"/>
        <s v="이주영"/>
        <s v="박한별"/>
        <s v="Tam Yuk Mui"/>
        <s v="Stephanie Lindawati"/>
        <s v="정규원(우주)"/>
        <s v="김채연"/>
        <s v="송윤서"/>
        <s v="이지원"/>
        <s v="오은채"/>
        <s v="Claybaugh, Genevieve Mary"/>
        <s v="김민서"/>
        <s v="송지윤"/>
        <s v="서지희"/>
        <s v="김주원 위약금&#10;윤다운"/>
        <s v="황은우"/>
        <s v="고사랑"/>
        <s v="이채원"/>
        <s v="강가경"/>
        <s v="임지선"/>
        <s v="강경화"/>
        <s v="예서영"/>
        <s v="오서영"/>
        <s v="김민지"/>
        <s v="Yang venny"/>
        <s v="신유림"/>
        <s v="Alice Turchi"/>
        <s v="Nguyen Ngoc Tram 진아"/>
        <s v="치보"/>
        <s v="LEE SZU YING"/>
        <s v="홍유진"/>
        <s v="HOANG MY BICH VAN"/>
        <s v="조세라캠벨"/>
        <s v="Nilla.stahl(고고)"/>
        <s v="심규리"/>
        <s v="노재은"/>
        <s v="최은주"/>
        <s v="예상"/>
        <s v="박해빈"/>
        <s v="Komarova Irina"/>
        <s v="천예은"/>
        <s v="-"/>
        <n v="0.0"/>
        <s v="Vivien(2/23~"/>
        <s v="장수현"/>
        <s v="이지윤"/>
        <s v="김기영"/>
        <s v="김나경"/>
        <s v="엄다윤"/>
        <s v="노현진"/>
        <s v="김예원"/>
        <s v="이세진"/>
        <s v="박수지"/>
        <s v="박상아"/>
        <s v="정선민"/>
        <s v="이혜은"/>
        <s v="김수현"/>
        <s v="이한희"/>
        <s v="권민교"/>
        <s v="조서현"/>
        <s v="곽지윤"/>
        <s v="송하늘"/>
        <s v="권지인"/>
        <s v="박민정"/>
        <s v="서효민"/>
        <s v="손희진"/>
        <s v="손민주"/>
        <s v="Stepien Adrianna Joanna"/>
        <s v="Elisa Libert(우주)"/>
        <s v="이서현"/>
        <s v="고현서"/>
        <s v="심수빈"/>
        <s v="이예진"/>
        <s v="김이영"/>
        <s v="카이 리온"/>
        <s v="신유진"/>
        <s v="김채영"/>
        <s v="Jerilyn Moya-Hypolite"/>
        <s v="이슭 위약금2&#10;한예현"/>
        <s v="전시현"/>
        <s v="김채영 "/>
        <s v="이가을"/>
        <s v="오현빈"/>
        <s v="조경주"/>
        <s v="최지연"/>
        <s v="이아원  LI YA YUAN"/>
        <s v="김연화 "/>
        <s v="권서현"/>
        <s v="고은주"/>
        <s v="허브원이엔씨(Phạm Thiên Như Ý)"/>
        <s v="나카무라 마아코"/>
        <s v="양예림"/>
        <s v="이지현"/>
        <s v="김혜연 4/4"/>
        <s v="김지연 "/>
        <s v="Carine Hobeika Ståhl 4/15"/>
        <s v="정인혜"/>
        <s v="박근화"/>
        <s v="구승희"/>
        <s v="Manon"/>
        <s v="여가은 &#10;"/>
        <s v="권수민"/>
        <s v="황주격 HUANG SHUG"/>
        <s v="Riya Mehra(엔코)"/>
        <s v="권지우"/>
        <s v="Arianna Sonda"/>
        <s v="AFFORTIT Estelle(고고)"/>
        <s v="오채영(우주)"/>
        <s v="송주은"/>
        <s v="없음"/>
        <s v="송민영"/>
        <s v="김려원"/>
        <s v="임설희"/>
        <s v="공채경"/>
        <s v="경종현(경초윤)"/>
        <s v="김민지(우주) "/>
        <s v="김동림"/>
        <s v="박서인"/>
        <s v="김규리"/>
        <s v="김민재"/>
        <s v="정은진"/>
        <s v="공재희"/>
        <s v="전채원"/>
        <s v="김세하 (전체)"/>
        <s v="김정민"/>
        <s v="김은서"/>
      </sharedItems>
    </cacheField>
    <cacheField name="4월 월세">
      <sharedItems containsBlank="1" containsMixedTypes="1" containsNumber="1">
        <n v="680000.0"/>
        <n v="590000.0"/>
        <n v="470000.0"/>
        <n v="2210000.0"/>
        <n v="950000.0"/>
        <m/>
        <n v="1260000.0"/>
        <n v="0.0"/>
        <n v="700000.0"/>
        <n v="600000.0"/>
        <n v="507300.0"/>
        <n v="2507300.0"/>
        <n v="1500000.0"/>
        <n v="1007300.0"/>
        <n v="705110.0"/>
        <n v="302190.0"/>
        <n v="550000.0"/>
        <n v="570000.0"/>
        <n v="620000.0"/>
        <n v="530000.0"/>
        <n v="378000.0"/>
        <n v="500000.0"/>
        <n v="3698000.0"/>
        <n v="2900000.0"/>
        <n v="798000.0"/>
        <n v="558600.0"/>
        <n v="239400.0"/>
        <n v="650000.0"/>
        <n v="420000.0"/>
        <n v="410000.0"/>
        <n v="3620000.0"/>
        <n v="2800000.0"/>
        <n v="820000.0"/>
        <n v="574000.0"/>
        <n v="246000.0"/>
        <n v="888667.0"/>
        <n v="520000.0"/>
        <n v="469920.0"/>
        <n v="4808507.0"/>
        <n v="2350000.0"/>
        <n v="2458507.0"/>
        <n v="580000.0"/>
        <n v="490000.0"/>
        <n v="1750000.0"/>
        <n v="1300000.0"/>
        <n v="450000.0"/>
        <n v="315000.0"/>
        <n v="135000.0"/>
        <n v="430000.0"/>
        <n v="850000.0"/>
        <n v="510000.0"/>
        <n v="1400000.0"/>
        <n v="412500.0"/>
        <n v="137500.0"/>
        <n v="400000.0"/>
        <n v="2240000.0"/>
        <n v="1100000.0"/>
        <n v="1140000.0"/>
        <n v="-1300000.0"/>
        <n v="-910000.0"/>
        <n v="-390000.0"/>
        <n v="2300000.0"/>
        <n v="1600000.0"/>
        <n v="560000.0"/>
        <n v="140000.0"/>
        <n v="2610000.0"/>
        <n v="1660000.0"/>
        <n v="1162000.0"/>
        <n v="498000.0"/>
        <n v="460000.0"/>
        <n v="2520000.0"/>
        <n v="900000.0"/>
        <n v="1620000.0"/>
        <n v="3210000.0"/>
        <n v="1800000.0"/>
        <n v="1410000.0"/>
        <n v="1880000.0"/>
        <n v="980000.0"/>
        <n v="686000.0"/>
        <n v="294000.0"/>
        <n v="391600.0"/>
        <n v="370000.0"/>
        <n v="2071600.0"/>
        <n v="1050000.0"/>
        <n v="50000.0"/>
        <n v="971600.0"/>
        <n v="777280.0"/>
        <n v="194320.0"/>
        <n v="433340.0"/>
        <n v="2023340.0"/>
        <n v="1323340.0"/>
        <n v="1000000.0"/>
        <n v="2840000.0"/>
        <n v="1200000.0"/>
        <n v="1640000.0"/>
        <n v="3280000.0"/>
        <n v="1900000.0"/>
        <n v="1380000.0"/>
        <n v="480000.0"/>
        <n v="2140000.0"/>
        <n v="1819000.0"/>
        <n v="321000.0"/>
        <n v="3510000.0"/>
        <n v="2410000.0"/>
        <n v="1687000.0"/>
        <n v="723000.0"/>
        <n v="2200000.0"/>
        <s v="-"/>
        <n v="2115646.640625"/>
        <n v="22000.0"/>
        <n v="11000.0"/>
        <n v="1449646.640625"/>
        <n v="724823.3203125"/>
        <n v="2380000.0"/>
        <n v="870000.0"/>
        <n v="1510000.0"/>
        <n v="1720000.0"/>
        <n v="770000.0"/>
        <n v="1590000.0"/>
        <n v="800000.0"/>
        <n v="790000.0"/>
        <n v="1700000.0"/>
        <n v="350000.0"/>
        <n v="330000.0"/>
        <n v="1890000.0"/>
        <n v="1512000.0"/>
        <n v="436100.0"/>
        <n v="2296100.0"/>
        <n v="1836880.0"/>
        <n v="459220.0"/>
        <n v="2040000.0"/>
        <n v="990000.0"/>
        <n v="1990000.0"/>
        <n v="1020000.0"/>
        <n v="970000.0"/>
        <n v="1110000.0"/>
        <n v="2400000.0"/>
        <n v="1760000.0"/>
        <n v="750000.0"/>
        <n v="1010000.0"/>
        <n v="707000.0"/>
        <n v="303000.0"/>
        <n v="1040000.0"/>
        <n v="290000.0"/>
        <n v="203000.0"/>
        <n v="87000.0"/>
        <n v="540000.0"/>
        <n v="860000.0"/>
        <n v="260000.0"/>
        <n v="405000.0"/>
        <n v="300000.0"/>
        <n v="1205000.0"/>
        <n v="782000.0"/>
        <n v="423000.0"/>
        <n v="123000.0"/>
        <n v="890000.0"/>
        <n v="623000.0"/>
        <n v="267000.0"/>
        <n v="440000.0"/>
        <n v="910000.0"/>
        <n v="1330000.0"/>
        <n v="744800.0000000001"/>
        <n v="585200.0"/>
        <n v="382700.0"/>
        <n v="1882700.0"/>
        <n v="832700.0"/>
        <n v="1840000.0"/>
        <n v="489500.0"/>
        <n v="1829500.0"/>
        <n v="779500.0"/>
        <n v="1740000.0"/>
        <n v="690000.0"/>
        <n v="2000000.0"/>
      </sharedItems>
    </cacheField>
    <cacheField name="4월 관리비">
      <sharedItems containsBlank="1" containsMixedTypes="1" containsNumber="1" containsInteger="1">
        <n v="100000.0"/>
        <n v="400000.0"/>
        <m/>
        <n v="22000.0"/>
        <n v="11000.0"/>
        <n v="0.0"/>
        <n v="367000.0"/>
        <n v="70000.0"/>
        <n v="297000.0"/>
        <n v="90000.0"/>
        <n v="690000.0"/>
        <n v="150000.0"/>
        <n v="19900.0"/>
        <n v="24900.0"/>
        <n v="473200.0"/>
        <n v="700000.0"/>
        <n v="130000.0"/>
        <s v="관리비 포함"/>
        <n v="528100.0"/>
        <n v="143333.0"/>
        <n v="843333.0"/>
        <n v="40000.0"/>
        <n v="28000.0"/>
        <n v="10000.0"/>
        <n v="754333.0"/>
        <n v="300000.0"/>
        <n v="30000.0"/>
        <n v="23100.0"/>
        <n v="200000.0"/>
        <n v="33000.0"/>
        <n v="19000.0"/>
        <n v="118000.0"/>
        <n v="25000.0"/>
        <n v="235000.0"/>
        <n v="500000.0"/>
        <n v="435000.0"/>
        <n v="22869.0"/>
        <n v="-52769.0"/>
        <n v="120000.0"/>
        <n v="480000.0"/>
        <s v="관리비포함"/>
        <n v="435900.0"/>
        <n v="457231.0"/>
        <n v="464000.0"/>
        <n v="654000.0"/>
        <n v="257000.0"/>
        <n v="80000.0"/>
        <n v="460000.0"/>
        <n v="334000.0"/>
        <n v="600000.0"/>
        <n v="534000.0"/>
        <n v="720000.0"/>
        <n v="684000.0"/>
        <n v="34000.0"/>
        <n v="18900.0"/>
        <n v="347100.0"/>
        <n v="50000.0"/>
        <n v="15000.0"/>
        <n v="12000.0"/>
        <n v="323000.0"/>
        <n v="264000.0"/>
        <s v="-"/>
        <n v="-33000.0"/>
        <n v="468000.0"/>
        <n v="60000.0"/>
        <n v="278000.0"/>
        <s v="없음"/>
        <n v="248000.0"/>
        <n v="368000.0"/>
        <n v="20000.0"/>
        <n v="420000.0"/>
        <n v="26000.0"/>
        <n v="342000.0"/>
        <n v="378000.0"/>
        <n v="478000.0"/>
        <n v="335000.0"/>
        <n v="135000.0"/>
        <n v="365000.0"/>
        <n v="165000.0"/>
        <n v="240000.0"/>
        <n v="45000.0"/>
        <n v="32000.0"/>
        <n v="-73000.0"/>
        <n v="325900.0"/>
        <n v="364000.0"/>
        <n v="324000.0"/>
        <n v="450000.0"/>
        <n v="415000.0"/>
      </sharedItems>
    </cacheField>
    <cacheField name="5월 이름">
      <sharedItems containsBlank="1" containsMixedTypes="1" containsNumber="1" containsInteger="1">
        <s v="柯吟 周 Ko Yin Zhou (엔코)"/>
        <s v="RAMADANTI ALFIYYAH ZAHRA 정아라 5/31"/>
        <m/>
        <s v="Maïa Redonnet(엔코) 5/31"/>
        <s v="Maria Katharina Henneken(엔코)"/>
        <s v="Adia Arthur(엔코)"/>
        <s v="정다혜(우주)"/>
        <s v="최예진"/>
        <s v="차지수"/>
        <s v="김유미나"/>
        <s v="Dafne Carolina Castillo Normandía(고고)"/>
        <s v="Gregoratti Greta(엔코)"/>
        <s v="나선일"/>
        <s v="Caterina Ventrella 5/31"/>
        <s v="서영은"/>
        <s v="조은"/>
        <s v="서민지"/>
        <s v="김여원"/>
        <s v="정세아"/>
        <s v="장원영 5/15"/>
        <s v="이새롬 5/31"/>
        <s v="이정연(Brooklyn)"/>
        <s v="황채원"/>
        <s v="이서진"/>
        <s v="Nguyen Gia Han(엔코)"/>
        <s v="구채민 준오헤어 양재 1호점"/>
        <s v="윤서희-준오헤어 양재 1호점"/>
        <s v="이리안(우주)"/>
        <s v="Fulvia Verna 5/31"/>
        <s v="권민경"/>
        <s v="최연지"/>
        <s v="최가현"/>
        <s v="구서영"/>
        <s v="이지희"/>
        <s v="김승은"/>
        <s v="최솔"/>
        <s v="예상"/>
        <s v="김위"/>
        <s v="여민서"/>
        <s v="Sofiia Futuima"/>
        <s v="강수민"/>
        <s v="이다현"/>
        <s v="박민영"/>
        <s v="이수현"/>
        <s v="유수정"/>
        <s v="황채련"/>
        <s v="Desirée Mattioli"/>
        <s v="YEO JING YING(여린)"/>
        <s v="진혜린"/>
        <s v="Emily(맘스테이)"/>
        <s v="배서희"/>
        <s v="윤석경"/>
        <s v="양이선"/>
        <s v="Raniya"/>
        <s v="임보민"/>
        <s v="박유현"/>
        <s v="이영채"/>
        <s v="장미"/>
        <s v="이행진"/>
        <s v="황채영"/>
        <s v="유영서"/>
        <s v="이신영"/>
        <s v="김세진"/>
        <s v="이주영"/>
        <s v="박한별"/>
        <s v="Tam Yuk Mui"/>
        <s v="Stephanie Lindawati"/>
        <s v="정규원(우주)"/>
        <s v="김채연"/>
        <s v="송윤서"/>
        <s v="이지원"/>
        <s v="오은채"/>
        <s v="Claybaugh, Genevieve Mary"/>
        <s v="김민서"/>
        <s v="송지윤"/>
        <s v="서지희"/>
        <s v="윤다운"/>
        <s v="황은우"/>
        <s v="고사랑"/>
        <s v="이채원"/>
        <s v="강가경"/>
        <s v="임지선"/>
        <s v="강경화"/>
        <s v="예서영"/>
        <s v="오서영"/>
        <s v="김민지"/>
        <s v="Yang venny"/>
        <s v="신유림"/>
        <s v="Alice Turchi"/>
        <s v="Nguyen Ngoc Tram 진아"/>
        <s v="치보"/>
        <s v="LEE SZU YING"/>
        <s v="홍유진"/>
        <s v="HOANG MY BICH VAN"/>
        <s v="조세라캠벨"/>
        <s v="Nilla.stahl(고고)"/>
        <s v="심규리"/>
        <s v="노재은"/>
        <s v="최은주"/>
        <s v="박해빈"/>
        <s v="Komarova Irina"/>
        <s v="천예은"/>
        <s v="-"/>
        <n v="0.0"/>
        <s v="Vivien(2/23~"/>
        <s v="장수현"/>
        <s v="이지윤"/>
        <s v="김기영"/>
        <s v="김나경"/>
        <s v="엄다윤"/>
        <s v="노현진"/>
        <s v="김예원"/>
        <s v="이세진"/>
        <s v="박수지"/>
        <s v="박상아"/>
        <s v="정선민"/>
        <s v="이혜은"/>
        <s v="김수현"/>
        <s v="이한희"/>
        <s v="권민교"/>
        <s v="조서현"/>
        <s v="곽지윤"/>
        <s v="송하늘"/>
        <s v="권지인"/>
        <s v="박민정"/>
        <s v="서효민"/>
        <s v="손희진"/>
        <s v="손민주"/>
        <s v="Stepien Adrianna Joanna"/>
        <s v="Elisa Libert(우주)"/>
        <s v="이서현"/>
        <s v="고현서"/>
        <s v="심수빈"/>
        <s v="이예진"/>
        <s v="김이영"/>
        <s v="카이 리온 5/31"/>
        <s v="신유진"/>
        <s v="김채영"/>
        <s v="Jerilyn Moya-Hypolite"/>
        <s v="한예현"/>
        <s v="전시현"/>
        <s v="김채영 "/>
        <s v="이가을"/>
        <s v="오현빈"/>
        <s v="조경주"/>
        <s v="최지연"/>
        <s v="이아원  LI YA YUAN"/>
        <s v="김연화 "/>
        <s v="권서현"/>
        <s v="고은주"/>
        <s v="허브원이엔씨(Phạm Thiên Như Ý)"/>
        <s v="나카무라 마아코 5/25"/>
        <s v="양예림"/>
        <s v="이지현"/>
        <s v="김혜연"/>
        <s v="김지연 "/>
        <s v="정인혜"/>
        <s v="박근화"/>
        <s v="구승희 5/31"/>
        <s v="Manon"/>
        <s v="여가은 &#10;"/>
        <s v="권수민"/>
        <s v="황주격 HUANG SHUG"/>
        <s v="Riya Mehra(엔코)"/>
        <s v="권지우"/>
        <s v="Arianna Sonda"/>
        <s v="AFFORTIT Estelle(고고)"/>
        <s v="오채영(우주)"/>
        <s v="송주은"/>
        <s v="없음"/>
        <s v="송민영"/>
        <s v="김려원"/>
        <s v="임설희"/>
        <s v="공채경"/>
        <s v="경종현(경초윤)"/>
        <s v="김민지(우주) "/>
        <s v="김동림"/>
        <s v="박서인"/>
        <s v="김규리"/>
        <s v="김민재"/>
        <s v="정은진"/>
        <s v="공재희"/>
        <s v="전채원"/>
        <s v="김세하 (전체)"/>
        <s v="김정민"/>
        <s v="김은서"/>
      </sharedItems>
    </cacheField>
    <cacheField name="5월 월세">
      <sharedItems containsBlank="1" containsMixedTypes="1" containsNumber="1">
        <n v="680000.0"/>
        <n v="590000.0"/>
        <m/>
        <n v="1270000.0"/>
        <n v="950000.0"/>
        <n v="320000.0"/>
        <n v="0.0"/>
        <n v="700000.0"/>
        <n v="600000.0"/>
        <n v="507300.0"/>
        <n v="2507300.0"/>
        <n v="1500000.0"/>
        <n v="1007300.0"/>
        <n v="705110.0"/>
        <n v="302190.0"/>
        <n v="550000.0"/>
        <n v="570000.0"/>
        <n v="620000.0"/>
        <n v="530000.0"/>
        <n v="420000.0"/>
        <n v="500000.0"/>
        <n v="3740000.0"/>
        <n v="2900000.0"/>
        <n v="840000.0"/>
        <n v="588000.0"/>
        <n v="252000.0"/>
        <n v="650000.0"/>
        <n v="410000.0"/>
        <n v="3620000.0"/>
        <n v="2800000.0"/>
        <n v="820000.0"/>
        <n v="574000.0"/>
        <n v="246000.0"/>
        <n v="520000.0"/>
        <n v="469920.0"/>
        <n v="4069920.0"/>
        <n v="2350000.0"/>
        <n v="1719920.0"/>
        <n v="580000.0"/>
        <n v="490000.0"/>
        <n v="1750000.0"/>
        <n v="1400000.0"/>
        <n v="350000.0"/>
        <n v="244999.99999999997"/>
        <n v="105000.0"/>
        <n v="430000.0"/>
        <n v="850000.0"/>
        <n v="510000.0"/>
        <n v="470000.0"/>
        <n v="412500.0"/>
        <n v="137500.0"/>
        <n v="450000.0"/>
        <n v="400000.0"/>
        <n v="2240000.0"/>
        <n v="1100000.0"/>
        <n v="1140000.0"/>
        <n v="1300000.0"/>
        <n v="-1300000.0"/>
        <n v="-910000.0"/>
        <n v="-390000.0"/>
        <n v="2300000.0"/>
        <n v="1600000.0"/>
        <n v="560000.0"/>
        <n v="140000.0"/>
        <n v="2610000.0"/>
        <n v="1660000.0"/>
        <n v="1162000.0"/>
        <n v="498000.0"/>
        <n v="460000.0"/>
        <n v="2520000.0"/>
        <n v="900000.0"/>
        <n v="1620000.0"/>
        <n v="3210000.0"/>
        <n v="1800000.0"/>
        <n v="1410000.0"/>
        <n v="1880000.0"/>
        <n v="980000.0"/>
        <n v="686000.0"/>
        <n v="294000.0"/>
        <n v="391600.0"/>
        <n v="370000.0"/>
        <n v="2071600.0"/>
        <n v="1050000.0"/>
        <n v="50000.0"/>
        <n v="971600.0"/>
        <n v="777280.0"/>
        <n v="194320.0"/>
        <n v="433340.0"/>
        <n v="2023340.0"/>
        <n v="1323340.0"/>
        <n v="2340000.0"/>
        <n v="1200000.0"/>
        <n v="3280000.0"/>
        <n v="1900000.0"/>
        <n v="1380000.0"/>
        <n v="480000.0"/>
        <n v="2140000.0"/>
        <n v="1819000.0"/>
        <n v="321000.0"/>
        <n v="3510000.0"/>
        <n v="2410000.0"/>
        <n v="1687000.0"/>
        <n v="723000.0"/>
        <n v="2200000.0"/>
        <s v="-"/>
        <n v="2186168.1953125"/>
        <n v="22000.0"/>
        <n v="11000.0"/>
        <n v="1520168.1953125"/>
        <n v="760084.09765625"/>
        <n v="2380000.0"/>
        <n v="870000.0"/>
        <n v="1510000.0"/>
        <n v="1720000.0"/>
        <n v="770000.0"/>
        <n v="1590000.0"/>
        <n v="800000.0"/>
        <n v="790000.0"/>
        <n v="1700000.0"/>
        <n v="1000000.0"/>
        <n v="330000.0"/>
        <n v="1890000.0"/>
        <n v="1512000.0"/>
        <n v="378000.0"/>
        <n v="436100.0"/>
        <n v="2296100.0"/>
        <n v="1836880.0"/>
        <n v="459220.0"/>
        <n v="2040000.0"/>
        <n v="990000.0"/>
        <n v="1990000.0"/>
        <n v="1020000.0"/>
        <n v="970000.0"/>
        <n v="1840000.0"/>
        <n v="940000.0"/>
        <n v="1760000.0"/>
        <n v="750000.0"/>
        <n v="1010000.0"/>
        <n v="707000.0"/>
        <n v="303000.0"/>
        <n v="1040000.0"/>
        <n v="290000.0"/>
        <n v="203000.0"/>
        <n v="87000.0"/>
        <n v="540000.0"/>
        <n v="860000.0"/>
        <n v="260000.0"/>
        <n v="782000.0"/>
        <n v="168000.0"/>
        <n v="300000.0"/>
        <n v="-132000.0"/>
        <n v="890000.0"/>
        <n v="623000.0"/>
        <n v="267000.0"/>
        <n v="440000.0"/>
        <n v="910000.0"/>
        <n v="1330000.0"/>
        <n v="744800.0000000001"/>
        <n v="585200.0"/>
        <n v="382700.0"/>
        <n v="1882700.0"/>
        <n v="832700.0"/>
        <n v="489500.0"/>
        <n v="1829500.0"/>
        <n v="779500.0"/>
        <n v="1740000.0"/>
        <n v="690000.0"/>
        <n v="2000000.0"/>
      </sharedItems>
    </cacheField>
    <cacheField name="5월 관리비">
      <sharedItems containsBlank="1" containsMixedTypes="1" containsNumber="1" containsInteger="1">
        <n v="100000.0"/>
        <m/>
        <n v="200000.0"/>
        <n v="22000.0"/>
        <n v="11000.0"/>
        <n v="0.0"/>
        <n v="167000.0"/>
        <n v="100040.0"/>
        <n v="400040.0"/>
        <n v="70000.0"/>
        <n v="80000.0"/>
        <n v="217040.0"/>
        <n v="700000.0"/>
        <n v="150000.0"/>
        <n v="19900.0"/>
        <n v="508100.0"/>
        <n v="130000.0"/>
        <n v="528100.0"/>
        <n v="40000.0"/>
        <n v="28000.0"/>
        <n v="10000.0"/>
        <n v="611000.0"/>
        <n v="300000.0"/>
        <n v="23100.0"/>
        <n v="30000.0"/>
        <n v="33000.0"/>
        <n v="19000.0"/>
        <n v="118000.0"/>
        <n v="25000.0"/>
        <n v="235000.0"/>
        <n v="500000.0"/>
        <n v="435000.0"/>
        <n v="22869.0"/>
        <n v="-52769.0"/>
        <n v="120000.0"/>
        <n v="480000.0"/>
        <s v="관리비포함"/>
        <n v="435900.0"/>
        <n v="457231.0"/>
        <n v="464000.0"/>
        <n v="654000.0"/>
        <n v="400000.0"/>
        <n v="257000.0"/>
        <n v="460000.0"/>
        <n v="334000.0"/>
        <n v="434000.0"/>
        <n v="720000.0"/>
        <s v="관리비 포함"/>
        <n v="684000.0"/>
        <n v="34000.0"/>
        <n v="18900.0"/>
        <n v="347100.0"/>
        <n v="50000.0"/>
        <n v="15000.0"/>
        <n v="12000.0"/>
        <n v="323000.0"/>
        <n v="264000.0"/>
        <s v="-"/>
        <n v="-33000.0"/>
        <n v="468000.0"/>
        <n v="60000.0"/>
        <n v="278000.0"/>
        <s v="없음"/>
        <n v="248000.0"/>
        <n v="368000.0"/>
        <n v="20000.0"/>
        <n v="450000.0"/>
        <n v="26000.0"/>
        <n v="342000.0"/>
        <n v="378000.0"/>
        <n v="365000.0"/>
        <n v="165000.0"/>
        <n v="32000.0"/>
        <n v="132000.0"/>
        <n v="355900.0"/>
        <n v="478000.0"/>
        <n v="364000.0"/>
        <n v="324000.0"/>
        <n v="415000.0"/>
      </sharedItems>
    </cacheField>
    <cacheField name="6월 이름">
      <sharedItems containsBlank="1" containsMixedTypes="1" containsNumber="1" containsInteger="1">
        <s v="柯吟 周 Ko Yin Zhou (엔코) 6/22"/>
        <m/>
        <s v="Maria Katharina Henneken(엔코) 6/15"/>
        <s v="Adia Arthur(엔코) 6/27"/>
        <s v="정다혜(우주) 6/30"/>
        <s v="최예진"/>
        <s v="차지수"/>
        <s v="김유미나 6/7"/>
        <s v="Dafne Carolina Castillo Normandía(고고) 6/14"/>
        <s v="Gregoratti Greta(엔코)"/>
        <s v="나선일"/>
        <s v="서영은"/>
        <s v="조은"/>
        <s v="서민지"/>
        <s v="김여원"/>
        <s v="정세아"/>
        <s v="이정연(Brooklyn)"/>
        <s v="황채원"/>
        <s v="이서진"/>
        <s v="Nguyen Gia Han(엔코) 6/22"/>
        <s v="구채민 준오헤어 양재 1호점"/>
        <s v="윤서희-준오헤어 양재 1호점"/>
        <s v="이리안(우주)"/>
        <s v="권민경"/>
        <s v="최가현"/>
        <s v="구서영"/>
        <s v="이지희"/>
        <s v="김승은"/>
        <s v="최솔"/>
        <s v="예상"/>
        <s v="김위"/>
        <s v="여민서"/>
        <s v="Sofiia Futuima"/>
        <s v="강수민"/>
        <s v="이다현"/>
        <s v="박민영"/>
        <s v="이수현"/>
        <s v="유수정"/>
        <s v="황채련"/>
        <s v="Desirée Mattioli"/>
        <s v="YEO JING YING(여린)"/>
        <s v="진혜린"/>
        <s v="Emily(맘스테이)"/>
        <s v="배서희"/>
        <s v="윤석경"/>
        <s v="양이선"/>
        <s v="Raniya"/>
        <s v="임보민"/>
        <s v="박유현"/>
        <s v="이영채"/>
        <s v="장미"/>
        <s v="이행진"/>
        <s v="황채영"/>
        <s v="유영서"/>
        <s v="이신영"/>
        <s v="김세진"/>
        <s v="이주영"/>
        <s v="박한별"/>
        <s v="Tam Yuk Mui"/>
        <s v="Stephanie Lindawati"/>
        <s v="정규원(우주)"/>
        <s v="김채연"/>
        <s v="송윤서"/>
        <s v="이지원"/>
        <s v="오은채"/>
        <s v="Claybaugh, Genevieve Mary"/>
        <s v="김민서"/>
        <s v="송지윤"/>
        <s v="서지희"/>
        <s v="윤다운"/>
        <s v="황은우"/>
        <s v="고사랑"/>
        <s v="이채원"/>
        <s v="강가경"/>
        <s v="임지선"/>
        <s v="강경화"/>
        <s v="예서영"/>
        <s v="오서영"/>
        <s v="김민지"/>
        <s v="Yang venny"/>
        <s v="신유림"/>
        <s v="Alice Turchi"/>
        <s v="Nguyen Ngoc Tram 진아"/>
        <s v="치보"/>
        <s v="LEE SZU YING"/>
        <s v="홍유진"/>
        <s v="HOANG MY BICH VAN"/>
        <s v="조세라캠벨"/>
        <s v="Nilla.stahl(고고)"/>
        <s v="심규리"/>
        <s v="노재은"/>
        <s v="최은주"/>
        <s v="박해빈"/>
        <s v="Komarova Irina"/>
        <s v="천예은"/>
        <s v="-"/>
        <n v="0.0"/>
        <s v="Vivien(7/1퇴실)"/>
        <s v="장수현"/>
        <s v="이지윤"/>
        <s v="김기영"/>
        <s v="김나경"/>
        <s v="엄다윤"/>
        <s v="노현진"/>
        <s v="김예원"/>
        <s v="이세진"/>
        <s v="박수지"/>
        <s v="박상아"/>
        <s v="정선민"/>
        <s v="이혜은"/>
        <s v="김수현"/>
        <s v="이한희"/>
        <s v="권민교"/>
        <s v="조서현"/>
        <s v="곽지윤"/>
        <s v="송하늘"/>
        <s v="권지인"/>
        <s v="박민정"/>
        <s v="서효민"/>
        <s v="손희진"/>
        <s v="손민주"/>
        <s v="Stepien Adrianna Joanna"/>
        <s v="Elisa Libert(우주)"/>
        <s v="이서현"/>
        <s v="고현서"/>
        <s v="심수빈"/>
        <s v="이예진"/>
        <s v="김이영"/>
        <s v="신유진"/>
        <s v="김채영"/>
        <s v="Jerilyn Moya-Hypolite"/>
        <s v="한예현"/>
        <s v="전시현"/>
        <s v="김채영 "/>
        <s v="이가을"/>
        <s v="오현빈"/>
        <s v="조경주"/>
        <s v="최지연"/>
        <s v="이아원  LI YA YUAN"/>
        <s v="김연화 "/>
        <s v="권서현"/>
        <s v="고은주"/>
        <s v="허브원이엔씨(Phạm Thiên Như Ý)"/>
        <s v="양예림"/>
        <s v="이지현"/>
        <s v="김혜연"/>
        <s v="김지연 "/>
        <s v="정인혜"/>
        <s v="박근화"/>
        <s v="Manon"/>
        <s v="여가은 &#10;"/>
        <s v="권수민"/>
        <s v="황주격 HUANG SHUG"/>
        <s v="Riya Mehra(엔코)"/>
        <s v="권지우"/>
        <s v="Arianna Sonda"/>
        <s v="AFFORTIT Estelle(고고)"/>
        <s v="오채영(우주)"/>
        <s v="송주은"/>
        <s v="없음"/>
        <s v="송민영"/>
        <s v="김려원"/>
        <s v="임설희"/>
        <s v="공채경"/>
        <s v="경종현(경초윤)"/>
        <s v="김민지(우주) "/>
        <s v="김동림"/>
        <s v="박서인"/>
        <s v="김규리"/>
        <s v="김민재"/>
        <s v="정은진"/>
        <s v="공재희"/>
        <s v="전채원"/>
        <s v="김세하 (전체)"/>
        <s v="김정민"/>
        <s v="김은서"/>
      </sharedItems>
    </cacheField>
    <cacheField name="6월 월세">
      <sharedItems containsBlank="1" containsMixedTypes="1" containsNumber="1">
        <n v="544024.0"/>
        <m/>
        <n v="950000.0"/>
        <n v="-405976.0"/>
        <n v="0.0"/>
        <n v="395339.0"/>
        <n v="520000.0"/>
        <n v="507300.0"/>
        <n v="1422639.0"/>
        <n v="1500000.0"/>
        <n v="-77361.0"/>
        <n v="-54152.7"/>
        <n v="-23208.3"/>
        <n v="550000.0"/>
        <n v="570000.0"/>
        <n v="144667.0"/>
        <n v="247333.0"/>
        <n v="420000.0"/>
        <n v="2482000.0"/>
        <n v="2900000.0"/>
        <n v="-418000.0"/>
        <n v="-292600.0"/>
        <n v="-125400.0"/>
        <n v="650000.0"/>
        <n v="600000.0"/>
        <n v="2790000.0"/>
        <n v="2800000.0"/>
        <n v="-10000.0"/>
        <n v="-7000.0"/>
        <n v="-3000.0"/>
        <n v="620000.0"/>
        <n v="628694.0"/>
        <n v="530000.0"/>
        <n v="469920.0"/>
        <n v="4018614.0"/>
        <n v="2350000.0"/>
        <n v="1668614.0"/>
        <n v="580000.0"/>
        <n v="1400000.0"/>
        <n v="-820000.0"/>
        <n v="-574000.0"/>
        <n v="-246000.0"/>
        <n v="430000.0"/>
        <n v="850000.0"/>
        <n v="510000.0"/>
        <n v="470000.0"/>
        <n v="412500.0"/>
        <n v="137500.0"/>
        <n v="450000.0"/>
        <n v="400000.0"/>
        <n v="2240000.0"/>
        <n v="1100000.0"/>
        <n v="1140000.0"/>
        <n v="1300000.0"/>
        <n v="-1300000.0"/>
        <n v="-910000.0"/>
        <n v="-390000.0"/>
        <n v="500000.0"/>
        <n v="2300000.0"/>
        <n v="1600000.0"/>
        <n v="700000.0"/>
        <n v="560000.0"/>
        <n v="140000.0"/>
        <n v="2610000.0"/>
        <n v="1660000.0"/>
        <n v="1162000.0"/>
        <n v="498000.0"/>
        <n v="460000.0"/>
        <n v="2520000.0"/>
        <n v="900000.0"/>
        <n v="1620000.0"/>
        <n v="590000.0"/>
        <n v="3210000.0"/>
        <n v="1800000.0"/>
        <n v="1410000.0"/>
        <n v="1880000.0"/>
        <n v="980000.0"/>
        <n v="686000.0"/>
        <n v="294000.0"/>
        <n v="391600.0"/>
        <n v="370000.0"/>
        <n v="2071600.0"/>
        <n v="1050000.0"/>
        <n v="50000.0"/>
        <n v="971600.0"/>
        <n v="777280.0"/>
        <n v="194320.0"/>
        <n v="433340.0"/>
        <n v="2023340.0"/>
        <n v="1323340.0"/>
        <n v="2340000.0"/>
        <n v="1200000.0"/>
        <n v="3280000.0"/>
        <n v="1900000.0"/>
        <n v="1380000.0"/>
        <n v="480000.0"/>
        <n v="2140000.0"/>
        <n v="1819000.0"/>
        <n v="321000.0"/>
        <n v="3510000.0"/>
        <n v="2410000.0"/>
        <n v="1687000.0"/>
        <n v="723000.0"/>
        <n v="2200000.0"/>
        <s v="-"/>
        <n v="2115646.640625"/>
        <n v="22000.0"/>
        <n v="11000.0"/>
        <n v="1449646.640625"/>
        <n v="724823.3203125"/>
        <n v="2380000.0"/>
        <n v="870000.0"/>
        <n v="1510000.0"/>
        <n v="1720000.0"/>
        <n v="770000.0"/>
        <n v="1590000.0"/>
        <n v="800000.0"/>
        <n v="790000.0"/>
        <n v="490000.0"/>
        <n v="1700000.0"/>
        <n v="1000000.0"/>
        <n v="350000.0"/>
        <n v="330000.0"/>
        <n v="1890000.0"/>
        <n v="1512000.0"/>
        <n v="378000.0"/>
        <n v="436100.0"/>
        <n v="2296100.0"/>
        <n v="1836880.0"/>
        <n v="459220.0"/>
        <n v="2040000.0"/>
        <n v="990000.0"/>
        <n v="1020000.0"/>
        <n v="380000.0"/>
        <n v="1840000.0"/>
        <n v="940000.0"/>
        <n v="1760000.0"/>
        <n v="750000.0"/>
        <n v="1010000.0"/>
        <n v="707000.0"/>
        <n v="303000.0"/>
        <n v="1040000.0"/>
        <n v="290000.0"/>
        <n v="203000.0"/>
        <n v="87000.0"/>
        <n v="540000.0"/>
        <n v="1480000.0"/>
        <n v="680000.0"/>
        <n v="860000.0"/>
        <n v="260000.0"/>
        <n v="782000.0"/>
        <n v="168000.0"/>
        <n v="300000.0"/>
        <n v="-132000.0"/>
        <n v="1420000.0"/>
        <n v="126000.0"/>
        <n v="440000.0"/>
        <n v="910000.0"/>
        <n v="1330000.0"/>
        <n v="744800.0000000001"/>
        <n v="585200.0"/>
        <n v="382700.0"/>
        <n v="1882700.0"/>
        <n v="832700.0"/>
        <n v="489500.0"/>
        <n v="1829500.0"/>
        <n v="779500.0"/>
        <n v="1740000.0"/>
        <n v="690000.0"/>
        <n v="2000000.0"/>
      </sharedItems>
    </cacheField>
    <cacheField name="6월 관리비">
      <sharedItems containsBlank="1" containsMixedTypes="1" containsNumber="1" containsInteger="1">
        <n v="80000.0"/>
        <m/>
        <n v="22000.0"/>
        <n v="11000.0"/>
        <n v="0.0"/>
        <n v="47000.0"/>
        <n v="58017.0"/>
        <n v="86684.0"/>
        <n v="100000.0"/>
        <n v="244701.0"/>
        <n v="70000.0"/>
        <n v="141701.0"/>
        <n v="23333.0"/>
        <n v="46667.0"/>
        <n v="470000.0"/>
        <n v="150000.0"/>
        <n v="19900.0"/>
        <n v="278100.0"/>
        <n v="500000.0"/>
        <n v="130000.0"/>
        <n v="328100.0"/>
        <n v="73333.0"/>
        <n v="673333.0"/>
        <n v="40000.0"/>
        <n v="28000.0"/>
        <n v="10000.0"/>
        <n v="584333.0"/>
        <n v="23100.0"/>
        <n v="200000.0"/>
        <n v="30000.0"/>
        <n v="33000.0"/>
        <n v="19000.0"/>
        <n v="118000.0"/>
        <n v="300000.0"/>
        <n v="25000.0"/>
        <n v="235000.0"/>
        <n v="435000.0"/>
        <n v="22869.0"/>
        <n v="-52769.0"/>
        <n v="120000.0"/>
        <n v="480000.0"/>
        <s v="관리비포함"/>
        <n v="435900.0"/>
        <n v="457231.0"/>
        <n v="464000.0"/>
        <n v="700000.0"/>
        <n v="654000.0"/>
        <n v="400000.0"/>
        <n v="257000.0"/>
        <n v="460000.0"/>
        <n v="334000.0"/>
        <n v="720000.0"/>
        <s v="관리비 포함"/>
        <n v="684000.0"/>
        <n v="34000.0"/>
        <n v="18900.0"/>
        <n v="347100.0"/>
        <n v="50000.0"/>
        <n v="15000.0"/>
        <n v="12000.0"/>
        <n v="323000.0"/>
        <n v="264000.0"/>
        <s v="-"/>
        <n v="-33000.0"/>
        <n v="468000.0"/>
        <n v="60000.0"/>
        <n v="278000.0"/>
        <s v="없음"/>
        <n v="248000.0"/>
        <n v="368000.0"/>
        <n v="20000.0"/>
        <n v="450000.0"/>
        <n v="26000.0"/>
        <n v="342000.0"/>
        <n v="378000.0"/>
        <n v="365000.0"/>
        <n v="165000.0"/>
        <n v="265000.0"/>
        <n v="32000.0"/>
        <n v="132000.0"/>
        <n v="255900.0"/>
        <n v="478000.0"/>
        <n v="364000.0"/>
        <n v="415000.0"/>
      </sharedItems>
    </cacheField>
    <cacheField name="7월 이름">
      <sharedItems containsBlank="1" containsMixedTypes="1" containsNumber="1" containsInteger="1">
        <m/>
        <s v="최예진"/>
        <s v="차지수"/>
        <s v="Gregoratti Greta(엔코)"/>
        <s v="나선일"/>
        <s v="서영은 7/31"/>
        <s v="조은"/>
        <s v="서민지 7/31"/>
        <s v="김여원 7/9"/>
        <s v="정세아"/>
        <s v="이정연(Brooklyn)"/>
        <s v="황채원"/>
        <s v="이서진"/>
        <s v="구채민 준오헤어 양재 1호점 7/3"/>
        <s v="윤서희-준오헤어 양재 1호점 7/3"/>
        <s v="이리안(우주)"/>
        <s v="권민경 7/9"/>
        <s v="최가현"/>
        <s v="구서영"/>
        <s v="이지희"/>
        <s v="김승은"/>
        <s v="최솔"/>
        <s v="예상"/>
        <s v="김위"/>
        <s v="여민서"/>
        <s v="강수민"/>
        <s v="이다현"/>
        <s v="박민영"/>
        <s v="이수현"/>
        <s v="유수정"/>
        <s v="황채련"/>
        <s v="Desirée Mattioli"/>
        <s v="YEO JING YING(여린)"/>
        <s v="진혜린"/>
        <s v="Emily(맘스테이)"/>
        <s v="배서희"/>
        <s v="윤석경"/>
        <s v="양이선"/>
        <s v="Raniya"/>
        <s v="임보민"/>
        <s v="박유현"/>
        <s v="이영채"/>
        <s v="장미"/>
        <s v="이행진"/>
        <s v="황채영"/>
        <s v="유영서"/>
        <s v="이신영"/>
        <s v="김세진"/>
        <s v="이주영"/>
        <s v="박한별"/>
        <s v="Tam Yuk Mui"/>
        <s v="Stephanie Lindawati"/>
        <s v="정규원(우주)"/>
        <s v="김채연"/>
        <s v="송윤서"/>
        <s v="이지원"/>
        <s v="오은채"/>
        <s v="Claybaugh, Genevieve Mary"/>
        <s v="김민서"/>
        <s v="송지윤"/>
        <s v="서지희"/>
        <s v="윤다운"/>
        <s v="황은우"/>
        <s v="고사랑"/>
        <s v="이채원"/>
        <s v="강가경"/>
        <s v="임지선"/>
        <s v="강경화"/>
        <s v="예서영"/>
        <s v="오서영"/>
        <s v="김민지"/>
        <s v="Yang venny"/>
        <s v="신유림"/>
        <s v="Alice Turchi"/>
        <s v="Nguyen Ngoc Tram 진아"/>
        <s v="치보"/>
        <s v="LEE SZU YING"/>
        <s v="홍유진"/>
        <s v="HOANG MY BICH VAN"/>
        <s v="조세라캠벨"/>
        <s v="Nilla.stahl(고고)"/>
        <s v="심규리"/>
        <s v="노재은"/>
        <s v="최은주"/>
        <s v="박해빈"/>
        <s v="Komarova Irina"/>
        <s v="천예은"/>
        <s v="-"/>
        <n v="0.0"/>
        <s v="장수현"/>
        <s v="이지윤 7/31"/>
        <s v="김기영"/>
        <s v="김나경"/>
        <s v="엄다윤"/>
        <s v="노현진"/>
        <s v="김예원"/>
        <s v="이세진"/>
        <s v="박수지"/>
        <s v="박상아"/>
        <s v="정선민"/>
        <s v="이혜은"/>
        <s v="김수현"/>
        <s v="이한희"/>
        <s v="권민교"/>
        <s v="조서현"/>
        <s v="곽지윤"/>
        <s v="송하늘"/>
        <s v="권지인 7/31"/>
        <s v="박민정"/>
        <s v="서효민"/>
        <s v="손희진"/>
        <s v="손민주"/>
        <s v="Stepien Adrianna Joanna 7/23"/>
        <s v="Elisa Libert(우주) 7/6"/>
        <s v="이서현"/>
        <s v="고현서"/>
        <s v="심수빈"/>
        <s v="이예진"/>
        <s v="김이영 7/31"/>
        <s v="신유진"/>
        <s v="김채영"/>
        <s v="Jerilyn Moya-Hypolite"/>
        <s v="한예현 7/6"/>
        <s v="전시현"/>
        <s v="김채영 "/>
        <s v="이가을"/>
        <s v="오현빈"/>
        <s v="조경주"/>
        <s v="최지연"/>
        <s v="이아원  LI YA YUAN"/>
        <s v="김연화 7/31"/>
        <s v="권서현"/>
        <s v="고은주"/>
        <s v="허브원이엔씨(Phạm Thiên Như Ý)"/>
        <s v="양예림"/>
        <s v="이지현"/>
        <s v="김혜연"/>
        <s v="김지연 "/>
        <s v="정인혜"/>
        <s v="박근화"/>
        <s v="Manon"/>
        <s v="여가은 &#10;"/>
        <s v="권수민"/>
        <s v="황주격 HUANG SHUG"/>
        <s v="Riya Mehra(엔코)"/>
        <s v="권지우"/>
        <s v="Arianna Sonda"/>
        <s v="AFFORTIT Estelle(고고)"/>
        <s v="오채영(우주)"/>
        <s v="송주은"/>
        <s v="없음"/>
        <s v="송민영"/>
        <s v="김려원"/>
        <s v="임설희"/>
        <s v="공채경"/>
        <s v="경종현(경초윤)"/>
        <s v="김민지(우주) "/>
        <s v="김동림"/>
        <s v="박서인"/>
        <s v="김규리"/>
        <s v="김민재"/>
        <s v="정은진"/>
        <s v="공재희"/>
        <s v="전채원"/>
        <s v="김세하 (전체)"/>
        <s v="김정민"/>
        <s v="김은서"/>
      </sharedItems>
    </cacheField>
    <cacheField name="7월 월세">
      <sharedItems containsBlank="1" containsMixedTypes="1" containsNumber="1">
        <m/>
        <n v="0.0"/>
        <n v="950000.0"/>
        <n v="-950000.0"/>
        <n v="1500000.0"/>
        <n v="-1500000.0"/>
        <n v="-1050000.0"/>
        <n v="-450000.0"/>
        <n v="550000.0"/>
        <n v="570000.0"/>
        <n v="420000.0"/>
        <n v="2090000.0"/>
        <n v="2900000.0"/>
        <n v="-810000.0"/>
        <n v="-567000.0"/>
        <n v="-243000.0"/>
        <n v="650000.0"/>
        <n v="600000.0"/>
        <n v="159677.0"/>
        <n v="2399677.0"/>
        <n v="2800000.0"/>
        <n v="-400323.0"/>
        <n v="-280226.1"/>
        <n v="-120096.9"/>
        <n v="620000.0"/>
        <n v="50323.0"/>
        <n v="51290.0"/>
        <n v="469920.0"/>
        <n v="2441533.0"/>
        <n v="2350000.0"/>
        <n v="91533.0"/>
        <n v="168387.0"/>
        <n v="1400000.0"/>
        <n v="-1231613.0"/>
        <n v="-862129.1"/>
        <n v="-369483.89999999997"/>
        <n v="430000.0"/>
        <n v="850000.0"/>
        <n v="510000.0"/>
        <n v="470000.0"/>
        <n v="412500.0"/>
        <n v="137500.0"/>
        <n v="450000.0"/>
        <n v="400000.0"/>
        <n v="1820000.0"/>
        <n v="1100000.0"/>
        <n v="720000.0"/>
        <n v="1300000.0"/>
        <n v="-1300000.0"/>
        <n v="-910000.0"/>
        <n v="-390000.0"/>
        <n v="500000.0"/>
        <n v="2300000.0"/>
        <n v="1600000.0"/>
        <n v="700000.0"/>
        <n v="560000.0"/>
        <n v="140000.0"/>
        <n v="580000.0"/>
        <n v="530000.0"/>
        <n v="2610000.0"/>
        <n v="1660000.0"/>
        <n v="1162000.0"/>
        <n v="498000.0"/>
        <n v="460000.0"/>
        <n v="2520000.0"/>
        <n v="900000.0"/>
        <n v="1620000.0"/>
        <n v="590000.0"/>
        <n v="3210000.0"/>
        <n v="1800000.0"/>
        <n v="1410000.0"/>
        <n v="1880000.0"/>
        <n v="980000.0"/>
        <n v="686000.0"/>
        <n v="294000.0"/>
        <n v="391600.0"/>
        <n v="370000.0"/>
        <n v="2071600.0"/>
        <n v="1050000.0"/>
        <n v="50000.0"/>
        <n v="971600.0"/>
        <n v="777280.0"/>
        <n v="194320.0"/>
        <n v="433340.0"/>
        <n v="2023340.0"/>
        <n v="1323340.0"/>
        <n v="2340000.0"/>
        <n v="1200000.0"/>
        <n v="1140000.0"/>
        <n v="3280000.0"/>
        <n v="1900000.0"/>
        <n v="1380000.0"/>
        <n v="480000.0"/>
        <n v="2140000.0"/>
        <n v="1819000.0"/>
        <n v="321000.0"/>
        <n v="520000.0"/>
        <n v="3510000.0"/>
        <n v="2410000.0"/>
        <n v="1687000.0"/>
        <n v="723000.0"/>
        <n v="2200000.0"/>
        <s v="-"/>
        <n v="22000.0"/>
        <n v="11000.0"/>
        <n v="-666000.0"/>
        <n v="-333000.0"/>
        <n v="2380000.0"/>
        <n v="870000.0"/>
        <n v="1510000.0"/>
        <n v="1720000.0"/>
        <n v="770000.0"/>
        <n v="1590000.0"/>
        <n v="800000.0"/>
        <n v="790000.0"/>
        <n v="490000.0"/>
        <n v="1700000.0"/>
        <n v="1000000.0"/>
        <n v="350000.0"/>
        <n v="330000.0"/>
        <n v="1890000.0"/>
        <n v="1512000.0"/>
        <n v="378000.0"/>
        <n v="436100.0"/>
        <n v="2296100.0"/>
        <n v="1836880.0"/>
        <n v="459220.0"/>
        <n v="2040000.0"/>
        <n v="990000.0"/>
        <n v="1020000.0"/>
        <n v="380000.0"/>
        <n v="106452.0"/>
        <n v="1396452.0"/>
        <n v="496452.0"/>
        <n v="1760000.0"/>
        <n v="750000.0"/>
        <n v="1010000.0"/>
        <n v="707000.0"/>
        <n v="303000.0"/>
        <n v="1040000.0"/>
        <n v="290000.0"/>
        <n v="203000.0"/>
        <n v="87000.0"/>
        <n v="540000.0"/>
        <n v="1480000.0"/>
        <n v="680000.0"/>
        <n v="860000.0"/>
        <n v="260000.0"/>
        <n v="782000.0"/>
        <n v="168000.0"/>
        <n v="300000.0"/>
        <n v="-132000.0"/>
        <n v="1420000.0"/>
        <n v="126000.0"/>
        <n v="440000.0"/>
        <n v="2240000.0"/>
        <n v="910000.0"/>
        <n v="1330000.0"/>
        <n v="744800.0000000001"/>
        <n v="585200.0"/>
        <n v="382700.0"/>
        <n v="1882700.0"/>
        <n v="832700.0"/>
        <n v="1840000.0"/>
        <n v="489500.0"/>
        <n v="1829500.0"/>
        <n v="779500.0"/>
        <n v="1740000.0"/>
        <n v="690000.0"/>
        <n v="2000000.0"/>
      </sharedItems>
    </cacheField>
    <cacheField name="7월 관리비">
      <sharedItems containsBlank="1" containsMixedTypes="1" containsNumber="1">
        <m/>
        <n v="0.0"/>
        <n v="22000.0"/>
        <n v="11000.0"/>
        <n v="-33000.0"/>
        <n v="70000.0"/>
        <n v="-103000.0"/>
        <n v="100000.0"/>
        <n v="400000.0"/>
        <n v="150000.0"/>
        <n v="19900.0"/>
        <n v="208100.0"/>
        <n v="29032.0"/>
        <n v="429032.0"/>
        <n v="130000.0"/>
        <n v="257132.0"/>
        <n v="9677.0"/>
        <n v="419354.0"/>
        <n v="40000.0"/>
        <n v="28000.0"/>
        <n v="10000.0"/>
        <n v="330354.0"/>
        <n v="23100.0"/>
        <n v="200000.0"/>
        <n v="30000.0"/>
        <n v="33000.0"/>
        <n v="19000.0"/>
        <n v="118000.0"/>
        <n v="300000.0"/>
        <n v="25000.0"/>
        <n v="235000.0"/>
        <n v="335000.0"/>
        <n v="22869.0"/>
        <n v="-52769.0"/>
        <n v="120000.0"/>
        <n v="480000.0"/>
        <s v="관리비포함"/>
        <n v="435900.0"/>
        <n v="500000.0"/>
        <n v="457231.0"/>
        <n v="464000.0"/>
        <n v="700000.0"/>
        <n v="654000.0"/>
        <n v="257000.0"/>
        <n v="80000.0"/>
        <n v="460000.0"/>
        <n v="334000.0"/>
        <n v="720000.0"/>
        <s v="관리비 포함"/>
        <n v="684000.0"/>
        <n v="34000.0"/>
        <n v="18900.0"/>
        <n v="347100.0"/>
        <n v="50000.0"/>
        <n v="15000.0"/>
        <n v="12000.0"/>
        <n v="323000.0"/>
        <n v="264000.0"/>
        <s v="-"/>
        <n v="831961.73828125"/>
        <n v="468000.0"/>
        <n v="60000.0"/>
        <n v="278000.0"/>
        <s v="없음"/>
        <n v="248000.0"/>
        <n v="368000.0"/>
        <n v="20000.0"/>
        <n v="450000.0"/>
        <n v="26000.0"/>
        <n v="342000.0"/>
        <n v="19355.0"/>
        <n v="319355.0"/>
        <n v="297355.0"/>
        <n v="365000.0"/>
        <n v="165000.0"/>
        <n v="265000.0"/>
        <n v="32000.0"/>
        <n v="132000.0"/>
        <n v="255900.0"/>
        <n v="478000.0"/>
        <n v="364000.0"/>
        <n v="415000.0"/>
      </sharedItems>
    </cacheField>
    <cacheField name="8월 이름">
      <sharedItems containsBlank="1" containsMixedTypes="1" containsNumber="1" containsInteger="1">
        <m/>
        <s v="최예진"/>
        <s v="차지수"/>
        <s v="Gregoratti Greta(엔코)"/>
        <s v="나선일"/>
        <s v="조은"/>
        <s v="정세아"/>
        <s v="이정연(Brooklyn)"/>
        <s v="황채원 8/21"/>
        <s v="이서진"/>
        <s v="이리안(우주)"/>
        <s v="최가현"/>
        <s v="구서영"/>
        <s v="이지희"/>
        <s v="김승은"/>
        <s v="최솔 8/25"/>
        <s v="예상"/>
        <s v="김위 8/25"/>
        <s v="여민서 8/23"/>
        <s v="강수민"/>
        <s v="이다현 8/25"/>
        <s v="박민영"/>
        <s v="이수현"/>
        <s v="유수정 8/25"/>
        <s v="황채련"/>
        <s v="Desirée Mattioli"/>
        <s v="YEO JING YING(여린) 8/25"/>
        <s v="진혜린"/>
        <s v="배서희 8/25"/>
        <s v="윤석경"/>
        <s v="양이선"/>
        <s v="Raniya 8/24"/>
        <s v="임보민"/>
        <s v="박유현"/>
        <s v="이영채"/>
        <s v="장미"/>
        <s v="이행진"/>
        <s v="황채영"/>
        <s v="유영서"/>
        <s v="이신영"/>
        <s v="김세진 8/24"/>
        <s v="이주영 8/25"/>
        <s v="박한별 8/31"/>
        <s v="Tam Yuk Mui"/>
        <s v="Stephanie Lindawati 8/25"/>
        <s v="정규원(우주) 8/16"/>
        <s v="김채연"/>
        <s v="송윤서"/>
        <s v="이지원"/>
        <s v="오은채 8/25"/>
        <s v="Claybaugh, Genevieve Mary 8/25"/>
        <s v="김민서"/>
        <s v="송지윤"/>
        <s v="서지희 8/25"/>
        <s v="윤다운 8/25"/>
        <s v="황은우"/>
        <s v="고사랑 8/25"/>
        <s v="이채원"/>
        <s v="강가경 8/25"/>
        <s v="임지선 8/25"/>
        <s v="강경화"/>
        <s v="예서영 8/13"/>
        <s v="오서영"/>
        <s v="김민지"/>
        <s v="Yang venny"/>
        <s v="신유림"/>
        <s v="Alice Turchi 8/29"/>
        <s v="Nguyen Ngoc Tram 진아 8/25"/>
        <s v="치보"/>
        <s v="LEE SZU YING"/>
        <s v="홍유진 8/25"/>
        <s v="HOANG MY BICH VAN"/>
        <s v="조세라캠벨"/>
        <s v="Nilla.stahl(고고) 8/25"/>
        <s v="심규리 8/25"/>
        <s v="노재은 8/25"/>
        <s v="최은주"/>
        <s v="박해빈"/>
        <s v="Komarova Irina"/>
        <s v="천예은"/>
        <s v="-"/>
        <n v="0.0"/>
        <s v="장수현"/>
        <s v="김기영"/>
        <s v="김나경 8/26"/>
        <s v="엄다윤 8/25"/>
        <s v="노현진"/>
        <s v="김예원"/>
        <s v="이세진"/>
        <s v="박수지"/>
        <s v="박상아"/>
        <s v="정선민 8/25"/>
        <s v="이혜은"/>
        <s v="김수현"/>
        <s v="이한희 8/25"/>
        <s v="권민교"/>
        <s v="조서현"/>
        <s v="곽지윤"/>
        <s v="송하늘"/>
        <s v="박민정 8/24"/>
        <s v="서효민"/>
        <s v="손희진"/>
        <s v="손민주"/>
        <s v="이서현 8/25"/>
        <s v="고현서 8/25"/>
        <s v="심수빈"/>
        <s v="이예진"/>
        <s v="신유진"/>
        <s v="김채영"/>
        <s v="Jerilyn Moya-Hypolite"/>
        <s v="전시현"/>
        <s v="김채영 "/>
        <s v="이가을"/>
        <s v="오현빈 8/25"/>
        <s v="김예원 8/25"/>
        <s v="조경주"/>
        <s v="최지연"/>
        <s v="이아원  LI YA YUAN 8/25"/>
        <s v="권서현"/>
        <s v="고은주 8/25"/>
        <s v="허브원이엔씨(Phạm Thiên Như Ý)"/>
        <s v="양예림"/>
        <s v="이지현"/>
        <s v="김혜연"/>
        <s v="김지연 "/>
        <s v="정인혜"/>
        <s v="박근화"/>
        <s v="Manon 8/31"/>
        <s v="여가은 &#10;"/>
        <s v="권수민"/>
        <s v="황주격 HUANG SHUG"/>
        <s v="Riya Mehra(엔코) 8/25"/>
        <s v="권지우"/>
        <s v="Arianna Sonda"/>
        <s v="AFFORTIT Estelle(고고)"/>
        <s v="오채영(우주) 8/25"/>
        <s v="송주은 8/25"/>
        <s v="없음"/>
        <s v="송민영"/>
        <s v="김려원 8/25"/>
        <s v="임설희"/>
        <s v="공채경 8/23"/>
        <s v="경종현(경초윤) 8/25"/>
        <s v="김민지(우주) "/>
        <s v="김동림 8/25"/>
        <s v="박서인"/>
        <s v="김규리"/>
        <s v="김민재"/>
        <s v="정은진"/>
        <s v="공재희"/>
        <s v="전채원"/>
        <s v="김세하 (전체) 8/20"/>
        <s v="김정민"/>
        <s v="김은서 8/25"/>
      </sharedItems>
    </cacheField>
    <cacheField name="8월 월세">
      <sharedItems containsBlank="1" containsMixedTypes="1" containsNumber="1">
        <m/>
        <n v="0.0"/>
        <n v="950000.0"/>
        <n v="-950000.0"/>
        <n v="1500000.0"/>
        <n v="-1500000.0"/>
        <n v="-1050000.0"/>
        <n v="-450000.0"/>
        <n v="550000.0"/>
        <n v="570000.0"/>
        <n v="420000.0"/>
        <n v="2090000.0"/>
        <n v="2900000.0"/>
        <n v="-810000.0"/>
        <n v="-567000.0"/>
        <n v="-243000.0"/>
        <n v="600000.0"/>
        <n v="1020000.0"/>
        <n v="2800000.0"/>
        <n v="-1780000.0"/>
        <n v="-1246000.0"/>
        <n v="-534000.0"/>
        <n v="440323.0"/>
        <n v="620000.0"/>
        <n v="469920.0"/>
        <n v="2130243.0"/>
        <n v="2350000.0"/>
        <n v="-219757.0"/>
        <n v="1400000.0"/>
        <n v="-1400000.0"/>
        <n v="-979999.9999999999"/>
        <n v="-420000.0"/>
        <n v="430000.0"/>
        <n v="850000.0"/>
        <n v="510000.0"/>
        <n v="470000.0"/>
        <n v="412500.0"/>
        <n v="137500.0"/>
        <n v="443548.0"/>
        <n v="450000.0"/>
        <n v="400000.0"/>
        <n v="1713548.0"/>
        <n v="1100000.0"/>
        <n v="613548.0"/>
        <n v="1300000.0"/>
        <n v="-1300000.0"/>
        <n v="-910000.0"/>
        <n v="-390000.0"/>
        <n v="500000.0"/>
        <n v="650000.0"/>
        <n v="2300000.0"/>
        <n v="1600000.0"/>
        <n v="700000.0"/>
        <n v="560000.0"/>
        <n v="140000.0"/>
        <n v="580000.0"/>
        <n v="530000.0"/>
        <n v="2060000.0"/>
        <n v="1110000.0"/>
        <n v="777000.0"/>
        <n v="333000.0"/>
        <n v="460000.0"/>
        <n v="2520000.0"/>
        <n v="900000.0"/>
        <n v="1620000.0"/>
        <n v="590000.0"/>
        <n v="403226.0"/>
        <n v="3113226.0"/>
        <n v="1800000.0"/>
        <n v="1313226.0"/>
        <n v="410323.0"/>
        <n v="1760323.0"/>
        <n v="860323.0"/>
        <n v="602226.1"/>
        <n v="258096.9"/>
        <n v="391600.0"/>
        <n v="370000.0"/>
        <n v="2071600.0"/>
        <n v="1050000.0"/>
        <n v="50000.0"/>
        <n v="971600.0"/>
        <n v="777280.0"/>
        <n v="194320.0"/>
        <n v="433340.0"/>
        <n v="2023340.0"/>
        <n v="1323340.0"/>
        <n v="2340000.0"/>
        <n v="1200000.0"/>
        <n v="1140000.0"/>
        <n v="251613.0"/>
        <n v="2931613.0"/>
        <n v="1900000.0"/>
        <n v="1031613.0"/>
        <n v="480000.0"/>
        <n v="2140000.0"/>
        <n v="1819000.0"/>
        <n v="321000.0"/>
        <n v="520000.0"/>
        <n v="3510000.0"/>
        <n v="2410000.0"/>
        <n v="1687000.0"/>
        <n v="723000.0"/>
        <n v="2103226.0"/>
        <n v="803226.0"/>
        <s v="-"/>
        <n v="-633000.0"/>
        <n v="-316500.0"/>
        <n v="338710.0"/>
        <n v="1748710.0"/>
        <n v="870000.0"/>
        <n v="878710.0"/>
        <n v="1720000.0"/>
        <n v="770000.0"/>
        <n v="1590000.0"/>
        <n v="800000.0"/>
        <n v="790000.0"/>
        <n v="395161.0"/>
        <n v="1605161.0"/>
        <n v="805161.0"/>
        <n v="270968.0"/>
        <n v="330000.0"/>
        <n v="1440968.0"/>
        <n v="1152774.4000000001"/>
        <n v="288193.60000000003"/>
        <n v="1308710.0"/>
        <n v="1046968.0"/>
        <n v="261742.0"/>
        <n v="1490000.0"/>
        <n v="440000.0"/>
        <n v="380000.0"/>
        <n v="1290000.0"/>
        <n v="390000.0"/>
        <n v="1663226.0"/>
        <n v="750000.0"/>
        <n v="913226.0"/>
        <n v="639258.2"/>
        <n v="273967.8"/>
        <n v="-230000.0"/>
        <n v="-161000.0"/>
        <n v="-69000.0"/>
        <n v="540000.0"/>
        <n v="419355.0"/>
        <n v="1379355.0"/>
        <n v="579355.0"/>
        <n v="350000.0"/>
        <n v="860000.0"/>
        <n v="260000.0"/>
        <n v="782000.0"/>
        <n v="168000.0"/>
        <n v="300000.0"/>
        <n v="-132000.0"/>
        <n v="1420000.0"/>
        <n v="1000000.0"/>
        <n v="294000.0"/>
        <n v="126000.0"/>
        <n v="352008.0"/>
        <n v="2152008.0"/>
        <n v="910000.0"/>
        <n v="1242008.0"/>
        <n v="695524.4800000001"/>
        <n v="546483.52"/>
        <n v="382700.0"/>
        <n v="322581.0"/>
        <n v="1805281.0"/>
        <n v="755281.0"/>
        <n v="311613.0"/>
        <n v="1731613.0"/>
        <n v="681613.0"/>
        <n v="489500.0"/>
        <n v="1748210.0"/>
        <n v="698210.0"/>
        <n v="1740000.0"/>
        <n v="690000.0"/>
        <n v="314516.0"/>
        <n v="1864516.0"/>
        <n v="864516.0"/>
        <n v="432258.0"/>
      </sharedItems>
    </cacheField>
    <cacheField name="8월 관리비">
      <sharedItems containsBlank="1" containsMixedTypes="1" containsNumber="1" containsInteger="1">
        <m/>
        <n v="0.0"/>
        <n v="22000.0"/>
        <n v="11000.0"/>
        <n v="-33000.0"/>
        <n v="70000.0"/>
        <n v="-103000.0"/>
        <n v="100000.0"/>
        <n v="400000.0"/>
        <n v="150000.0"/>
        <n v="19900.0"/>
        <n v="208100.0"/>
        <n v="200000.0"/>
        <n v="130000.0"/>
        <n v="28100.0"/>
        <n v="67742.0"/>
        <n v="367742.0"/>
        <n v="28000.0"/>
        <n v="10000.0"/>
        <n v="318742.0"/>
        <n v="23100.0"/>
        <n v="30000.0"/>
        <n v="33000.0"/>
        <n v="19000.0"/>
        <n v="118000.0"/>
        <n v="300000.0"/>
        <n v="25000.0"/>
        <n v="235000.0"/>
        <n v="80645.0"/>
        <n v="380645.0"/>
        <n v="345645.0"/>
        <n v="22869.0"/>
        <n v="-52769.0"/>
        <n v="120000.0"/>
        <n v="480000.0"/>
        <s v="관리비포함"/>
        <n v="435900.0"/>
        <n v="357231.0"/>
        <n v="500000.0"/>
        <n v="464000.0"/>
        <n v="96774.0"/>
        <n v="676774.0"/>
        <n v="630774.0"/>
        <n v="77419.0"/>
        <n v="377419.0"/>
        <n v="234419.0"/>
        <n v="80000.0"/>
        <n v="460000.0"/>
        <n v="334000.0"/>
        <n v="50323.0"/>
        <n v="650323.0"/>
        <s v="관리비 포함"/>
        <n v="614323.0"/>
        <n v="34000.0"/>
        <n v="18900.0"/>
        <n v="347100.0"/>
        <n v="50000.0"/>
        <n v="15000.0"/>
        <n v="12000.0"/>
        <n v="303645.0"/>
        <n v="264000.0"/>
        <s v="-"/>
        <n v="348645.0"/>
        <n v="60000.0"/>
        <n v="278000.0"/>
        <s v="없음"/>
        <n v="248000.0"/>
        <n v="20000.0"/>
        <n v="327419.0"/>
        <n v="280645.0"/>
        <n v="230645.0"/>
        <n v="26000.0"/>
        <n v="242000.0"/>
        <n v="65000.0"/>
        <n v="245645.0"/>
        <n v="165000.0"/>
        <n v="32000.0"/>
        <n v="132000.0"/>
        <n v="255900.0"/>
        <n v="80016.0"/>
        <n v="480016.0"/>
        <n v="458016.0"/>
        <n v="344645.0"/>
        <n v="74194.0"/>
        <n v="374194.0"/>
        <n v="338194.0"/>
        <n v="364000.0"/>
        <n v="430645.0"/>
        <n v="395645.0"/>
      </sharedItems>
    </cacheField>
    <cacheField name="9월 이름">
      <sharedItems containsBlank="1" containsMixedTypes="1" containsNumber="1" containsInteger="1">
        <m/>
        <s v="최예진"/>
        <s v="차지수"/>
        <s v="Gregoratti Greta(엔코)"/>
        <s v="나선일"/>
        <s v="조은"/>
        <s v="정세아"/>
        <s v="이정연(Brooklyn)"/>
        <s v="이서진 9/30"/>
        <s v="이리안(우주)"/>
        <s v="최가현"/>
        <s v="구서영"/>
        <s v="이지희"/>
        <s v="김승은"/>
        <s v="예상"/>
        <s v="강수민"/>
        <s v="박민영"/>
        <s v="이수현"/>
        <s v="황채련"/>
        <s v="Desirée Mattioli"/>
        <s v="진혜린"/>
        <s v="윤석경"/>
        <s v="양이선"/>
        <s v="임보민"/>
        <s v="박유현"/>
        <s v="이영채"/>
        <s v="장미"/>
        <s v="이행진"/>
        <s v="황채영"/>
        <s v="이신영"/>
        <s v="Tam Yuk Mui"/>
        <s v="김채연"/>
        <s v="송윤서"/>
        <s v="이지원"/>
        <s v="김민서"/>
        <s v="송지윤"/>
        <s v="황은우"/>
        <s v="이채원"/>
        <s v="강경화"/>
        <s v="오서영"/>
        <s v="김민지"/>
        <s v="Yang venny"/>
        <s v="신유림"/>
        <s v="치보"/>
        <s v="LEE SZU YING"/>
        <s v="HOANG MY BICH VAN"/>
        <s v="조세라캠벨"/>
        <s v="최은주"/>
        <s v="박해빈"/>
        <s v="Komarova Irina"/>
        <s v="천예은"/>
        <s v="-"/>
        <n v="0.0"/>
        <s v="장수현"/>
        <s v="김기영"/>
        <s v="노현진"/>
        <s v="김예원"/>
        <s v="이세진"/>
        <s v="박수지"/>
        <s v="박상아"/>
        <s v="이혜은"/>
        <s v="김수현"/>
        <s v="권민교"/>
        <s v="조서현"/>
        <s v="곽지윤"/>
        <s v="송하늘"/>
        <s v="★"/>
        <s v="서효민"/>
        <s v="손희진"/>
        <s v="손민주"/>
        <s v="심수빈"/>
        <s v="이예진"/>
        <s v="신유진"/>
        <s v="김채영"/>
        <s v="Jerilyn Moya-Hypolite"/>
        <s v="전시현"/>
        <s v="김채영 "/>
        <s v="이가을 9/30"/>
        <s v="조경주"/>
        <s v="최지연"/>
        <s v="권서현"/>
        <s v="허브원이엔씨(Phạm Thiên Như Ý) 9/17"/>
        <s v="양예림 9/30"/>
        <s v="이지현"/>
        <s v="김혜연"/>
        <s v="김지연 "/>
        <s v="정인혜"/>
        <s v="박근화"/>
        <s v="여가은 &#10;"/>
        <s v="권수민"/>
        <s v="황주격 HUANG SHUG"/>
        <s v="권지우"/>
        <s v="Arianna Sonda"/>
        <s v="AFFORTIT Estelle(고고)"/>
        <s v="없음"/>
        <s v="송민영"/>
        <s v="임설희"/>
        <s v="김민지(우주) "/>
        <s v="박서인"/>
        <s v="김규리"/>
        <s v="김민재"/>
        <s v="정은진"/>
        <s v="공재희"/>
        <s v="전채원"/>
        <s v="김정민"/>
      </sharedItems>
    </cacheField>
    <cacheField name="9월 월세">
      <sharedItems containsBlank="1" containsMixedTypes="1" containsNumber="1">
        <m/>
        <n v="0.0"/>
        <n v="950000.0"/>
        <n v="-950000.0"/>
        <n v="1500000.0"/>
        <n v="-1500000.0"/>
        <n v="-1050000.0"/>
        <n v="-450000.0"/>
        <n v="550000.0"/>
        <n v="570000.0"/>
        <n v="420000.0"/>
        <n v="2090000.0"/>
        <n v="2900000.0"/>
        <n v="-810000.0"/>
        <n v="-567000.0"/>
        <n v="-243000.0"/>
        <n v="600000.0"/>
        <n v="1020000.0"/>
        <n v="2800000.0"/>
        <n v="-1780000.0"/>
        <n v="-1246000.0"/>
        <n v="-534000.0"/>
        <n v="620000.0"/>
        <n v="469920.0"/>
        <n v="1689920.0"/>
        <n v="2350000.0"/>
        <n v="-660080.0"/>
        <n v="1400000.0"/>
        <n v="-1400000.0"/>
        <n v="-979999.9999999999"/>
        <n v="-420000.0"/>
        <n v="430000.0"/>
        <n v="850000.0"/>
        <n v="510000.0"/>
        <n v="470000.0"/>
        <n v="980000.0"/>
        <n v="130000.0"/>
        <n v="97500.0"/>
        <n v="32500.0"/>
        <n v="400000.0"/>
        <n v="1100000.0"/>
        <n v="-700000.0"/>
        <n v="1300000.0"/>
        <n v="-1300000.0"/>
        <n v="-910000.0"/>
        <n v="-390000.0"/>
        <n v="500000.0"/>
        <n v="650000.0"/>
        <n v="1650000.0"/>
        <n v="1600000.0"/>
        <n v="50000.0"/>
        <n v="40000.0"/>
        <n v="10000.0"/>
        <n v="580000.0"/>
        <n v="1080000.0"/>
        <n v="91000.0"/>
        <n v="39000.0"/>
        <n v="560000.0"/>
        <n v="2060000.0"/>
        <n v="900000.0"/>
        <n v="1160000.0"/>
        <n v="590000.0"/>
        <n v="450000.0"/>
        <n v="2710000.0"/>
        <n v="1800000.0"/>
        <n v="910000.0"/>
        <n v="-500000.0"/>
        <n v="-350000.0"/>
        <n v="-150000.0"/>
        <n v="370000.0"/>
        <n v="1110000.0"/>
        <n v="1050000.0"/>
        <n v="8000.0"/>
        <n v="2000.0"/>
        <n v="433340.0"/>
        <n v="933340.0"/>
        <n v="700000.0"/>
        <n v="233340.0"/>
        <n v="870000.0"/>
        <n v="1200000.0"/>
        <n v="-330000.0"/>
        <n v="1900000.0"/>
        <n v="-400000.0"/>
        <n v="1150000.0"/>
        <n v="977500.0"/>
        <n v="172500.0"/>
        <n v="520000.0"/>
        <n v="2990000.0"/>
        <n v="1890000.0"/>
        <n v="1323000.0"/>
        <n v="567000.0"/>
        <n v="480000.0"/>
        <n v="-820000.0"/>
        <s v="-"/>
        <n v="-600000.0"/>
        <n v="-300000.0"/>
        <n v="990000.0"/>
        <n v="120000.0"/>
        <n v="1720000.0"/>
        <n v="770000.0"/>
        <n v="1040000.0"/>
        <n v="800000.0"/>
        <n v="240000.0"/>
        <n v="1210000.0"/>
        <n v="310000.0"/>
        <n v="330000.0"/>
        <n v="1170000.0"/>
        <n v="936000.0"/>
        <n v="234000.0"/>
        <n v="970000.0"/>
        <n v="776000.0"/>
        <n v="194000.0"/>
        <n v="920000.0"/>
        <n v="-130000.0"/>
        <n v="460000.0"/>
        <n v="380000.0"/>
        <n v="1290000.0"/>
        <n v="390000.0"/>
        <n v="740000.0"/>
        <n v="750000.0"/>
        <n v="-10000.0"/>
        <n v="-7000.0"/>
        <n v="-3000.0"/>
        <n v="-750000.0"/>
        <n v="-525000.0"/>
        <n v="-225000.0"/>
        <n v="540000.0"/>
        <n v="238000.0"/>
        <n v="778000.0"/>
        <n v="-22000.0"/>
        <n v="350000.0"/>
        <n v="860000.0"/>
        <n v="260000.0"/>
        <n v="782000.0"/>
        <n v="168000.0"/>
        <n v="300000.0"/>
        <n v="-132000.0"/>
        <n v="1000000.0"/>
        <n v="-30000.0"/>
        <n v="-21000.0"/>
        <n v="-9000.0"/>
        <n v="890000.0"/>
        <n v="498400.00000000006"/>
        <n v="391600.0"/>
        <n v="-180000.0"/>
        <n v="489500.0"/>
        <n v="859500.0"/>
        <n v="-190500.0"/>
        <n v="1740000.0"/>
        <n v="690000.0"/>
        <n v="-100000.0"/>
        <n v="-50000.0"/>
      </sharedItems>
    </cacheField>
    <cacheField name="9월 관리비">
      <sharedItems containsBlank="1" containsMixedTypes="1" containsNumber="1" containsInteger="1">
        <m/>
        <n v="0.0"/>
        <n v="22000.0"/>
        <n v="11000.0"/>
        <n v="-33000.0"/>
        <n v="70000.0"/>
        <n v="-103000.0"/>
        <n v="100000.0"/>
        <n v="400000.0"/>
        <n v="150000.0"/>
        <n v="19900.0"/>
        <n v="208100.0"/>
        <n v="200000.0"/>
        <n v="130000.0"/>
        <n v="28100.0"/>
        <n v="300000.0"/>
        <n v="28000.0"/>
        <n v="10000.0"/>
        <n v="251000.0"/>
        <n v="23100.0"/>
        <n v="30000.0"/>
        <n v="33000.0"/>
        <n v="19000.0"/>
        <n v="118000.0"/>
        <n v="25000.0"/>
        <n v="135000.0"/>
        <n v="45000.0"/>
        <n v="20000.0"/>
        <n v="22869.0"/>
        <n v="-52769.0"/>
        <n v="120000.0"/>
        <n v="360000.0"/>
        <s v="관리비포함"/>
        <n v="315900.0"/>
        <n v="157231.0"/>
        <n v="364000.0"/>
        <n v="580000.0"/>
        <n v="534000.0"/>
        <n v="-43000.0"/>
        <n v="134000.0"/>
        <n v="164000.0"/>
        <s v="관리비 포함"/>
        <n v="324000.0"/>
        <n v="34000.0"/>
        <n v="18900.0"/>
        <n v="247100.0"/>
        <n v="50000.0"/>
        <n v="15000.0"/>
        <n v="12000.0"/>
        <n v="23000.0"/>
        <n v="264000.0"/>
        <s v="-"/>
        <n v="168000.0"/>
        <n v="60000.0"/>
        <n v="278000.0"/>
        <s v="없음"/>
        <n v="148000.0"/>
        <n v="268000.0"/>
        <n v="250000.0"/>
        <n v="26000.0"/>
        <n v="142000.0"/>
        <n v="165000.0"/>
        <n v="-35000.0"/>
        <n v="56667.0"/>
        <n v="156667.0"/>
        <n v="121667.0"/>
        <n v="32000.0"/>
        <n v="132000.0"/>
        <n v="155900.0"/>
        <n v="378000.0"/>
      </sharedItems>
    </cacheField>
    <cacheField name="10월 이름">
      <sharedItems containsBlank="1" containsMixedTypes="1" containsNumber="1" containsInteger="1">
        <m/>
        <s v="최예진"/>
        <s v="차지수"/>
        <s v="Gregoratti Greta(엔코) 10/24"/>
        <s v="나선일"/>
        <s v="조은"/>
        <s v="정세아"/>
        <s v="이정연(Brooklyn)"/>
        <s v="이리안(우주)"/>
        <s v="최가현"/>
        <s v="구서영"/>
        <s v="이지희"/>
        <s v="김승은"/>
        <s v="예상"/>
        <s v="강수민"/>
        <s v="박민영"/>
        <s v="이수현"/>
        <s v="황채련"/>
        <s v="Desirée Mattioli"/>
        <s v="진혜린"/>
        <s v="윤석경"/>
        <s v="양이선"/>
        <s v="임보민"/>
        <s v="박유현"/>
        <s v="이영채"/>
        <s v="장미"/>
        <s v="이행진"/>
        <s v="황채영"/>
        <s v="이신영"/>
        <s v="Tam Yuk Mui"/>
        <s v="김채연"/>
        <s v="송윤서"/>
        <s v="이지원"/>
        <s v="김민서"/>
        <s v="송지윤"/>
        <s v="황은우"/>
        <s v="이채원"/>
        <s v="강경화"/>
        <s v="오서영"/>
        <s v="김민지"/>
        <s v="Yang venny"/>
        <s v="신유림"/>
        <s v="치보"/>
        <s v="LEE SZU YING"/>
        <s v="HOANG MY BICH VAN"/>
        <s v="조세라캠벨"/>
        <s v="최은주"/>
        <s v="박해빈"/>
        <s v="Komarova Irina"/>
        <s v="천예은"/>
        <s v="-"/>
        <n v="0.0"/>
        <s v="장수현"/>
        <s v="김기영"/>
        <s v="노현진"/>
        <s v="김예원"/>
        <s v="이세진"/>
        <s v="박수지"/>
        <s v="박상아"/>
        <s v="이혜은"/>
        <s v="김수현"/>
        <s v="권민교"/>
        <s v="조서현"/>
        <s v="곽지윤"/>
        <s v="송하늘"/>
        <s v="★"/>
        <s v="서효민"/>
        <s v="손희진"/>
        <s v="손민주"/>
        <s v="심수빈"/>
        <s v="이예진"/>
        <s v="신유진"/>
        <s v="김채영"/>
        <s v="Jerilyn Moya-Hypolite"/>
        <s v="전시현"/>
        <s v="김채영 "/>
        <s v="조경주"/>
        <s v="최지연"/>
        <s v="권서현"/>
        <s v="이지현"/>
        <s v="김혜연"/>
        <s v="김지연 "/>
        <s v="정인혜"/>
        <s v="박근화"/>
        <s v="여가은 &#10;"/>
        <s v="권수민"/>
        <s v="황주격 HUANG SHUG"/>
        <s v="권지우"/>
        <s v="Arianna Sonda"/>
        <s v="AFFORTIT Estelle(고고)"/>
        <s v="없음"/>
        <s v="송민영"/>
        <s v="임설희"/>
        <s v="김민지(우주) "/>
        <s v="박서인"/>
        <s v="김규리"/>
        <s v="김민재"/>
        <s v="정은진"/>
        <s v="공재희"/>
        <s v="전채원"/>
        <s v="김정민"/>
      </sharedItems>
    </cacheField>
    <cacheField name="10월 월세">
      <sharedItems containsBlank="1" containsMixedTypes="1" containsNumber="1">
        <m/>
        <n v="0.0"/>
        <n v="950000.0"/>
        <n v="-950000.0"/>
        <n v="1500000.0"/>
        <n v="-1500000.0"/>
        <n v="-1050000.0"/>
        <n v="-450000.0"/>
        <n v="550000.0"/>
        <n v="570000.0"/>
        <n v="128353.0"/>
        <n v="420000.0"/>
        <n v="1668353.0"/>
        <n v="2900000.0"/>
        <n v="-1231647.0"/>
        <n v="-862152.8999999999"/>
        <n v="-369494.1"/>
        <n v="600000.0"/>
        <n v="1020000.0"/>
        <n v="2800000.0"/>
        <n v="-1780000.0"/>
        <n v="-1246000.0"/>
        <n v="-534000.0"/>
        <n v="469920.0"/>
        <n v="1069920.0"/>
        <n v="2350000.0"/>
        <n v="-1280080.0"/>
        <n v="1400000.0"/>
        <n v="-1400000.0"/>
        <n v="-979999.9999999999"/>
        <n v="-420000.0"/>
        <n v="430000.0"/>
        <n v="850000.0"/>
        <n v="510000.0"/>
        <n v="470000.0"/>
        <n v="980000.0"/>
        <n v="130000.0"/>
        <n v="97500.0"/>
        <n v="32500.0"/>
        <n v="400000.0"/>
        <n v="1100000.0"/>
        <n v="-700000.0"/>
        <n v="1300000.0"/>
        <n v="-1300000.0"/>
        <n v="-910000.0"/>
        <n v="-390000.0"/>
        <n v="500000.0"/>
        <n v="650000.0"/>
        <n v="1650000.0"/>
        <n v="1600000.0"/>
        <n v="50000.0"/>
        <n v="40000.0"/>
        <n v="10000.0"/>
        <n v="580000.0"/>
        <n v="1080000.0"/>
        <n v="91000.0"/>
        <n v="39000.0"/>
        <n v="560000.0"/>
        <n v="2060000.0"/>
        <n v="900000.0"/>
        <n v="1160000.0"/>
        <n v="590000.0"/>
        <n v="450000.0"/>
        <n v="2710000.0"/>
        <n v="1800000.0"/>
        <n v="910000.0"/>
        <n v="-500000.0"/>
        <n v="-350000.0"/>
        <n v="-150000.0"/>
        <n v="370000.0"/>
        <n v="1110000.0"/>
        <n v="1050000.0"/>
        <n v="8000.0"/>
        <n v="2000.0"/>
        <n v="433340.0"/>
        <n v="933340.0"/>
        <n v="700000.0"/>
        <n v="233340.0"/>
        <n v="870000.0"/>
        <n v="1200000.0"/>
        <n v="-330000.0"/>
        <n v="1900000.0"/>
        <n v="-400000.0"/>
        <n v="1150000.0"/>
        <n v="977500.0"/>
        <n v="172500.0"/>
        <n v="520000.0"/>
        <n v="2990000.0"/>
        <n v="1890000.0"/>
        <n v="1323000.0"/>
        <n v="567000.0"/>
        <n v="480000.0"/>
        <n v="-820000.0"/>
        <s v="-"/>
        <n v="-633000.0"/>
        <n v="-316500.0"/>
        <n v="990000.0"/>
        <n v="120000.0"/>
        <n v="1720000.0"/>
        <n v="770000.0"/>
        <n v="1040000.0"/>
        <n v="800000.0"/>
        <n v="240000.0"/>
        <n v="1210000.0"/>
        <n v="310000.0"/>
        <n v="330000.0"/>
        <n v="1170000.0"/>
        <n v="936000.0"/>
        <n v="234000.0"/>
        <n v="970000.0"/>
        <n v="776000.0"/>
        <n v="194000.0"/>
        <n v="920000.0"/>
        <n v="-130000.0"/>
        <n v="460000.0"/>
        <n v="380000.0"/>
        <n v="20000.0"/>
        <n v="740000.0"/>
        <n v="750000.0"/>
        <n v="-10000.0"/>
        <n v="-7000.0"/>
        <n v="-3000.0"/>
        <n v="-750000.0"/>
        <n v="-525000.0"/>
        <n v="-225000.0"/>
        <n v="540000.0"/>
        <n v="-260000.0"/>
        <n v="350000.0"/>
        <n v="-250000.0"/>
        <n v="782000.0"/>
        <n v="168000.0"/>
        <n v="300000.0"/>
        <n v="-132000.0"/>
        <n v="1000000.0"/>
        <n v="-30000.0"/>
        <n v="-21000.0"/>
        <n v="-9000.0"/>
        <n v="890000.0"/>
        <n v="498400.00000000006"/>
        <n v="391600.0"/>
        <n v="-180000.0"/>
        <n v="489500.0"/>
        <n v="859500.0"/>
        <n v="-190500.0"/>
        <n v="1740000.0"/>
        <n v="690000.0"/>
        <n v="-100000.0"/>
        <n v="-50000.0"/>
      </sharedItems>
    </cacheField>
    <cacheField name="10월 관리비">
      <sharedItems containsBlank="1" containsMixedTypes="1" containsNumber="1" containsInteger="1">
        <m/>
        <n v="0.0"/>
        <n v="22000.0"/>
        <n v="11000.0"/>
        <n v="-33000.0"/>
        <n v="70000.0"/>
        <n v="-103000.0"/>
        <n v="100000.0"/>
        <n v="23323.0"/>
        <n v="323323.0"/>
        <n v="150000.0"/>
        <n v="19900.0"/>
        <n v="131423.0"/>
        <n v="200000.0"/>
        <n v="130000.0"/>
        <n v="28100.0"/>
        <n v="145000.0"/>
        <n v="28000.0"/>
        <n v="10000.0"/>
        <n v="6000.0"/>
        <n v="23100.0"/>
        <n v="30000.0"/>
        <n v="33000.0"/>
        <n v="19000.0"/>
        <n v="118000.0"/>
        <n v="25000.0"/>
        <n v="135000.0"/>
        <n v="65000.0"/>
        <n v="22869.0"/>
        <n v="-52769.0"/>
        <n v="120000.0"/>
        <n v="360000.0"/>
        <s v="관리비포함"/>
        <n v="315900.0"/>
        <n v="157231.0"/>
        <n v="400000.0"/>
        <n v="364000.0"/>
        <n v="580000.0"/>
        <n v="534000.0"/>
        <n v="-43000.0"/>
        <n v="300000.0"/>
        <n v="134000.0"/>
        <n v="164000.0"/>
        <s v="관리비 포함"/>
        <n v="324000.0"/>
        <n v="34000.0"/>
        <n v="18900.0"/>
        <n v="247100.0"/>
        <n v="50000.0"/>
        <n v="15000.0"/>
        <n v="12000.0"/>
        <n v="23000.0"/>
        <n v="264000.0"/>
        <s v="-"/>
        <n v="168000.0"/>
        <n v="500000.0"/>
        <n v="60000.0"/>
        <n v="378000.0"/>
        <s v="없음"/>
        <n v="148000.0"/>
        <n v="268000.0"/>
        <n v="20000.0"/>
        <n v="250000.0"/>
        <n v="26000.0"/>
        <n v="142000.0"/>
        <n v="278000.0"/>
        <n v="178000.0"/>
        <n v="165000.0"/>
        <n v="-35000.0"/>
        <n v="32000.0"/>
        <n v="132000.0"/>
        <n v="155900.0"/>
      </sharedItems>
    </cacheField>
    <cacheField name="11월 이름">
      <sharedItems containsBlank="1" containsMixedTypes="1" containsNumber="1" containsInteger="1">
        <m/>
        <s v="최예진"/>
        <s v="차지수"/>
        <s v="나선일"/>
        <s v="조은"/>
        <s v="정세아"/>
        <s v="이정연(Brooklyn)"/>
        <s v="이리안(우주) 11/17"/>
        <s v="최가현"/>
        <s v="구서영"/>
        <s v="이지희"/>
        <s v="김승은"/>
        <s v="예상"/>
        <s v="강수민"/>
        <s v="박민영"/>
        <s v="이수현"/>
        <s v="황채련"/>
        <s v="Desirée Mattioli"/>
        <s v="진혜린"/>
        <s v="윤석경"/>
        <s v="양이선"/>
        <s v="임보민"/>
        <s v="박유현"/>
        <s v="이영채 11/14"/>
        <s v="장미"/>
        <s v="이행진"/>
        <s v="황채영"/>
        <s v="이신영"/>
        <s v="Tam Yuk Mui"/>
        <s v="김채연"/>
        <s v="송윤서"/>
        <s v="이지원"/>
        <s v="김민서"/>
        <s v="송지윤"/>
        <s v="황은우"/>
        <s v="이채원"/>
        <s v="강경화"/>
        <s v="오서영"/>
        <s v="김민지"/>
        <s v="Yang venny"/>
        <s v="신유림"/>
        <s v="치보"/>
        <s v="HOANG MY BICH VAN"/>
        <s v="조세라캠벨"/>
        <s v="최은주"/>
        <s v="박해빈"/>
        <s v="Komarova Irina"/>
        <s v="천예은"/>
        <s v="-"/>
        <n v="0.0"/>
        <s v="장수현"/>
        <s v="김기영"/>
        <s v="노현진"/>
        <s v="김예원"/>
        <s v="이세진"/>
        <s v="박수지"/>
        <s v="박상아"/>
        <s v="이혜은"/>
        <s v="김수현"/>
        <s v="권민교"/>
        <s v="조서현"/>
        <s v="곽지윤"/>
        <s v="송하늘"/>
        <s v="★"/>
        <s v="서효민"/>
        <s v="손희진"/>
        <s v="손민주"/>
        <s v="심수빈"/>
        <s v="이예진"/>
        <s v="신유진"/>
        <s v="김채영"/>
        <s v="Jerilyn Moya-Hypolite"/>
        <s v="전시현"/>
        <s v="김채영 "/>
        <s v="조경주"/>
        <s v="최지연"/>
        <s v="권서현"/>
        <s v="이지현"/>
        <s v="김혜연"/>
        <s v="김지연 "/>
        <s v="정인혜"/>
        <s v="박근화"/>
        <s v="여가은 &#10;"/>
        <s v="권수민"/>
        <s v="황주격 HUANG SHUG"/>
        <s v="권지우"/>
        <s v="Arianna Sonda"/>
        <s v="AFFORTIT Estelle(고고)"/>
        <s v="없음"/>
        <s v="송민영"/>
        <s v="임설희"/>
        <s v="김민지(우주) "/>
        <s v="박서인"/>
        <s v="김규리"/>
        <s v="김민재"/>
        <s v="정은진"/>
        <s v="공재희"/>
        <s v="전채원"/>
        <s v="김정민"/>
      </sharedItems>
    </cacheField>
    <cacheField name="11월 월세">
      <sharedItems containsBlank="1" containsMixedTypes="1" containsNumber="1">
        <m/>
        <n v="0.0"/>
        <n v="950000.0"/>
        <n v="-950000.0"/>
        <n v="1500000.0"/>
        <n v="-1500000.0"/>
        <n v="-1050000.0"/>
        <n v="-450000.0"/>
        <n v="550000.0"/>
        <n v="570000.0"/>
        <n v="420000.0"/>
        <n v="1540000.0"/>
        <n v="2900000.0"/>
        <n v="-1360000.0"/>
        <n v="-951999.9999999999"/>
        <n v="-408000.0"/>
        <n v="600000.0"/>
        <n v="1020000.0"/>
        <n v="2800000.0"/>
        <n v="-1780000.0"/>
        <n v="-1246000.0"/>
        <n v="-534000.0"/>
        <n v="469920.0"/>
        <n v="1069920.0"/>
        <n v="2350000.0"/>
        <n v="-1280080.0"/>
        <n v="1400000.0"/>
        <n v="-1400000.0"/>
        <n v="-979999.9999999999"/>
        <n v="-420000.0"/>
        <n v="430000.0"/>
        <n v="850000.0"/>
        <n v="510000.0"/>
        <n v="470000.0"/>
        <n v="980000.0"/>
        <n v="130000.0"/>
        <n v="97500.0"/>
        <n v="32500.0"/>
        <n v="400000.0"/>
        <n v="1100000.0"/>
        <n v="-700000.0"/>
        <n v="1300000.0"/>
        <n v="-1300000.0"/>
        <n v="-910000.0"/>
        <n v="-390000.0"/>
        <n v="500000.0"/>
        <n v="650000.0"/>
        <n v="1650000.0"/>
        <n v="1600000.0"/>
        <n v="50000.0"/>
        <n v="40000.0"/>
        <n v="10000.0"/>
        <n v="580000.0"/>
        <n v="1080000.0"/>
        <n v="91000.0"/>
        <n v="39000.0"/>
        <n v="560000.0"/>
        <n v="2060000.0"/>
        <n v="900000.0"/>
        <n v="1160000.0"/>
        <n v="590000.0"/>
        <n v="450000.0"/>
        <n v="2710000.0"/>
        <n v="1800000.0"/>
        <n v="910000.0"/>
        <n v="-500000.0"/>
        <n v="-350000.0"/>
        <n v="-150000.0"/>
        <n v="370000.0"/>
        <n v="1110000.0"/>
        <n v="1050000.0"/>
        <n v="8000.0"/>
        <n v="2000.0"/>
        <n v="433340.0"/>
        <n v="933340.0"/>
        <n v="700000.0"/>
        <n v="233340.0"/>
        <n v="870000.0"/>
        <n v="1200000.0"/>
        <n v="-330000.0"/>
        <n v="1900000.0"/>
        <n v="-400000.0"/>
        <n v="1150000.0"/>
        <n v="977500.0"/>
        <n v="172500.0"/>
        <n v="2470000.0"/>
        <n v="1370000.0"/>
        <n v="958999.9999999999"/>
        <n v="411000.0"/>
        <n v="480000.0"/>
        <n v="-820000.0"/>
        <s v="-"/>
        <n v="-633000.0"/>
        <n v="-316500.0"/>
        <n v="520000.0"/>
        <n v="990000.0"/>
        <n v="120000.0"/>
        <n v="1720000.0"/>
        <n v="770000.0"/>
        <n v="1040000.0"/>
        <n v="800000.0"/>
        <n v="240000.0"/>
        <n v="1210000.0"/>
        <n v="310000.0"/>
        <n v="330000.0"/>
        <n v="1170000.0"/>
        <n v="936000.0"/>
        <n v="234000.0"/>
        <n v="970000.0"/>
        <n v="776000.0"/>
        <n v="194000.0"/>
        <n v="920000.0"/>
        <n v="-130000.0"/>
        <n v="460000.0"/>
        <n v="380000.0"/>
        <n v="20000.0"/>
        <n v="740000.0"/>
        <n v="750000.0"/>
        <n v="-10000.0"/>
        <n v="-7000.0"/>
        <n v="-3000.0"/>
        <n v="-750000.0"/>
        <n v="-525000.0"/>
        <n v="-225000.0"/>
        <n v="540000.0"/>
        <n v="-260000.0"/>
        <n v="350000.0"/>
        <n v="-250000.0"/>
        <n v="782000.0"/>
        <n v="168000.0"/>
        <n v="300000.0"/>
        <n v="-132000.0"/>
        <n v="1000000.0"/>
        <n v="-30000.0"/>
        <n v="-21000.0"/>
        <n v="-9000.0"/>
        <n v="890000.0"/>
        <n v="498400.00000000006"/>
        <n v="391600.0"/>
        <n v="-180000.0"/>
        <n v="489500.0"/>
        <n v="859500.0"/>
        <n v="-190500.0"/>
        <n v="1740000.0"/>
        <n v="690000.0"/>
        <n v="-100000.0"/>
        <n v="-50000.0"/>
      </sharedItems>
    </cacheField>
    <cacheField name="11월 관리비">
      <sharedItems containsBlank="1" containsMixedTypes="1" containsNumber="1" containsInteger="1">
        <m/>
        <n v="0.0"/>
        <n v="22000.0"/>
        <n v="11000.0"/>
        <n v="-33000.0"/>
        <n v="70000.0"/>
        <n v="-103000.0"/>
        <n v="100000.0"/>
        <n v="300000.0"/>
        <n v="150000.0"/>
        <n v="19900.0"/>
        <n v="108100.0"/>
        <n v="200000.0"/>
        <n v="130000.0"/>
        <n v="28100.0"/>
        <n v="28000.0"/>
        <n v="10000.0"/>
        <n v="151000.0"/>
        <n v="23100.0"/>
        <n v="30000.0"/>
        <n v="33000.0"/>
        <n v="19000.0"/>
        <n v="118000.0"/>
        <n v="25000.0"/>
        <n v="135000.0"/>
        <n v="45000.0"/>
        <n v="20000.0"/>
        <n v="22869.0"/>
        <n v="-52769.0"/>
        <n v="120000.0"/>
        <n v="360000.0"/>
        <s v="관리비포함"/>
        <n v="315900.0"/>
        <n v="157231.0"/>
        <n v="400000.0"/>
        <n v="364000.0"/>
        <n v="580000.0"/>
        <n v="534000.0"/>
        <n v="-43000.0"/>
        <n v="134000.0"/>
        <n v="164000.0"/>
        <s v="관리비 포함"/>
        <n v="324000.0"/>
        <n v="34000.0"/>
        <n v="18900.0"/>
        <n v="147100.0"/>
        <n v="50000.0"/>
        <n v="15000.0"/>
        <n v="12000.0"/>
        <n v="23000.0"/>
        <n v="264000.0"/>
        <s v="-"/>
        <n v="168000.0"/>
        <n v="500000.0"/>
        <n v="60000.0"/>
        <n v="378000.0"/>
        <s v="없음"/>
        <n v="148000.0"/>
        <n v="268000.0"/>
        <n v="250000.0"/>
        <n v="26000.0"/>
        <n v="142000.0"/>
        <n v="278000.0"/>
        <n v="178000.0"/>
        <n v="165000.0"/>
        <n v="-35000.0"/>
        <n v="65000.0"/>
        <n v="32000.0"/>
        <n v="132000.0"/>
        <n v="155900.0"/>
      </sharedItems>
    </cacheField>
    <cacheField name="12월 이름">
      <sharedItems containsBlank="1" containsMixedTypes="1" containsNumber="1" containsInteger="1">
        <m/>
        <s v="최예진"/>
        <s v="차지수"/>
        <s v="나선일"/>
        <s v="조은 12/31"/>
        <s v="정세아"/>
        <s v="이정연(Brooklyn)"/>
        <s v="최가현"/>
        <s v="구서영"/>
        <s v="이지희"/>
        <s v="김승은"/>
        <s v="예상"/>
        <s v="강수민"/>
        <s v="박민영"/>
        <s v="이수현"/>
        <s v="황채련"/>
        <s v="Desirée Mattioli"/>
        <s v="진혜린"/>
        <s v="윤석경"/>
        <s v="양이선"/>
        <s v="임보민"/>
        <s v="박유현"/>
        <s v="장미"/>
        <s v="이행진"/>
        <s v="황채영"/>
        <s v="이신영"/>
        <s v="Tam Yuk Mui"/>
        <s v="김채연"/>
        <s v="송윤서"/>
        <s v="이지원"/>
        <s v="김민서"/>
        <s v="송지윤"/>
        <s v="황은우"/>
        <s v="이채원"/>
        <s v="강경화"/>
        <s v="오서영"/>
        <s v="김민지"/>
        <s v="Yang venny"/>
        <s v="신유림"/>
        <s v="치보"/>
        <s v="HOANG MY BICH VAN"/>
        <s v="조세라캠벨"/>
        <s v="최은주"/>
        <s v="박해빈"/>
        <s v="Komarova Irina"/>
        <s v="천예은"/>
        <s v="-"/>
        <n v="0.0"/>
        <s v="장수현"/>
        <s v="김기영"/>
        <s v="노현진"/>
        <s v="김예원"/>
        <s v="이세진"/>
        <s v="박수지"/>
        <s v="박상아"/>
        <s v="이혜은"/>
        <s v="김수현"/>
        <s v="권민교"/>
        <s v="조서현"/>
        <s v="곽지윤"/>
        <s v="송하늘"/>
        <s v="★"/>
        <s v="서효민"/>
        <s v="손희진"/>
        <s v="손민주"/>
        <s v="심수빈"/>
        <s v="이예진"/>
        <s v="신유진 12/31"/>
        <s v="김채영"/>
        <s v="Jerilyn Moya-Hypolite"/>
        <s v="전시현"/>
        <s v="김채영 "/>
        <s v="조경주"/>
        <s v="최지연"/>
        <s v="권서현"/>
        <s v="이지현"/>
        <s v="김혜연"/>
        <s v="김지연 "/>
        <s v="정인혜"/>
        <s v="박근화"/>
        <s v="여가은 &#10;"/>
        <s v="권수민"/>
        <s v="황주격 HUANG SHUG"/>
        <s v="권지우"/>
        <s v="Arianna Sonda"/>
        <s v="AFFORTIT Estelle(고고)"/>
        <s v="없음"/>
        <s v="송민영"/>
        <s v="임설희"/>
        <s v="김민지(우주) "/>
        <s v="박서인"/>
        <s v="김규리"/>
        <s v="김민재"/>
        <s v="정은진"/>
        <s v="공재희"/>
        <s v="전채원"/>
        <s v="김정민"/>
      </sharedItems>
    </cacheField>
    <cacheField name="12월 월세">
      <sharedItems containsBlank="1" containsMixedTypes="1" containsNumber="1">
        <m/>
        <n v="0.0"/>
        <n v="950000.0"/>
        <n v="-950000.0"/>
        <n v="1500000.0"/>
        <n v="-1500000.0"/>
        <n v="-1050000.0"/>
        <n v="-450000.0"/>
        <n v="550000.0"/>
        <n v="570000.0"/>
        <n v="420000.0"/>
        <n v="1540000.0"/>
        <n v="2900000.0"/>
        <n v="-1360000.0"/>
        <n v="-951999.9999999999"/>
        <n v="-408000.0"/>
        <n v="600000.0"/>
        <n v="1020000.0"/>
        <n v="2800000.0"/>
        <n v="-1780000.0"/>
        <n v="-1246000.0"/>
        <n v="-534000.0"/>
        <n v="2350000.0"/>
        <n v="-1750000.0"/>
        <n v="1400000.0"/>
        <n v="-1400000.0"/>
        <n v="-979999.9999999999"/>
        <n v="-420000.0"/>
        <n v="430000.0"/>
        <n v="850000.0"/>
        <n v="510000.0"/>
        <n v="470000.0"/>
        <n v="980000.0"/>
        <n v="130000.0"/>
        <n v="97500.0"/>
        <n v="32500.0"/>
        <n v="400000.0"/>
        <n v="1100000.0"/>
        <n v="-700000.0"/>
        <n v="1300000.0"/>
        <n v="-1300000.0"/>
        <n v="-910000.0"/>
        <n v="-390000.0"/>
        <n v="500000.0"/>
        <n v="650000.0"/>
        <n v="1650000.0"/>
        <n v="1600000.0"/>
        <n v="50000.0"/>
        <n v="40000.0"/>
        <n v="10000.0"/>
        <n v="580000.0"/>
        <n v="1080000.0"/>
        <n v="91000.0"/>
        <n v="39000.0"/>
        <n v="560000.0"/>
        <n v="2060000.0"/>
        <n v="900000.0"/>
        <n v="1160000.0"/>
        <n v="590000.0"/>
        <n v="450000.0"/>
        <n v="2160000.0"/>
        <n v="1800000.0"/>
        <n v="360000.0"/>
        <n v="-500000.0"/>
        <n v="-350000.0"/>
        <n v="-150000.0"/>
        <n v="370000.0"/>
        <n v="1110000.0"/>
        <n v="1050000.0"/>
        <n v="8000.0"/>
        <n v="2000.0"/>
        <n v="433340.0"/>
        <n v="933340.0"/>
        <n v="700000.0"/>
        <n v="233340.0"/>
        <n v="870000.0"/>
        <n v="1200000.0"/>
        <n v="-330000.0"/>
        <n v="1900000.0"/>
        <n v="-400000.0"/>
        <n v="1150000.0"/>
        <n v="977500.0"/>
        <n v="172500.0"/>
        <n v="2470000.0"/>
        <n v="1370000.0"/>
        <n v="958999.9999999999"/>
        <n v="411000.0"/>
        <n v="480000.0"/>
        <n v="-820000.0"/>
        <s v="-"/>
        <n v="-633000.0"/>
        <n v="-316500.0"/>
        <n v="520000.0"/>
        <n v="990000.0"/>
        <n v="120000.0"/>
        <n v="1720000.0"/>
        <n v="770000.0"/>
        <n v="1040000.0"/>
        <n v="800000.0"/>
        <n v="240000.0"/>
        <n v="1210000.0"/>
        <n v="310000.0"/>
        <n v="330000.0"/>
        <n v="1170000.0"/>
        <n v="936000.0"/>
        <n v="234000.0"/>
        <n v="970000.0"/>
        <n v="776000.0"/>
        <n v="194000.0"/>
        <n v="920000.0"/>
        <n v="-130000.0"/>
        <n v="460000.0"/>
        <n v="380000.0"/>
        <n v="20000.0"/>
        <n v="740000.0"/>
        <n v="750000.0"/>
        <n v="-10000.0"/>
        <n v="-7000.0"/>
        <n v="-3000.0"/>
        <n v="-750000.0"/>
        <n v="-525000.0"/>
        <n v="-225000.0"/>
        <n v="540000.0"/>
        <n v="-260000.0"/>
        <n v="350000.0"/>
        <n v="-250000.0"/>
        <n v="782000.0"/>
        <n v="168000.0"/>
        <n v="300000.0"/>
        <n v="-132000.0"/>
        <n v="1000000.0"/>
        <n v="-30000.0"/>
        <n v="-21000.0"/>
        <n v="-9000.0"/>
        <n v="910000.0"/>
        <n v="890000.0"/>
        <n v="498400.00000000006"/>
        <n v="391600.0"/>
        <n v="-180000.0"/>
        <n v="489500.0"/>
        <n v="859500.0"/>
        <n v="-190500.0"/>
        <n v="1740000.0"/>
        <n v="690000.0"/>
        <n v="-100000.0"/>
        <n v="-50000.0"/>
      </sharedItems>
    </cacheField>
    <cacheField name="12월 관리비">
      <sharedItems containsBlank="1" containsMixedTypes="1" containsNumber="1" containsInteger="1">
        <m/>
        <n v="0.0"/>
        <n v="22000.0"/>
        <n v="11000.0"/>
        <n v="-33000.0"/>
        <n v="70000.0"/>
        <n v="-103000.0"/>
        <n v="100000.0"/>
        <n v="300000.0"/>
        <n v="150000.0"/>
        <n v="19900.0"/>
        <n v="108100.0"/>
        <n v="200000.0"/>
        <n v="130000.0"/>
        <n v="28100.0"/>
        <n v="28000.0"/>
        <n v="10000.0"/>
        <n v="51000.0"/>
        <n v="23100.0"/>
        <n v="30000.0"/>
        <n v="33000.0"/>
        <n v="19000.0"/>
        <n v="118000.0"/>
        <n v="25000.0"/>
        <n v="135000.0"/>
        <n v="65000.0"/>
        <n v="22869.0"/>
        <n v="-52769.0"/>
        <n v="120000.0"/>
        <n v="360000.0"/>
        <s v="관리비포함"/>
        <n v="315900.0"/>
        <n v="157231.0"/>
        <n v="400000.0"/>
        <n v="364000.0"/>
        <n v="480000.0"/>
        <n v="434000.0"/>
        <n v="-43000.0"/>
        <n v="134000.0"/>
        <n v="164000.0"/>
        <s v="관리비 포함"/>
        <n v="324000.0"/>
        <n v="34000.0"/>
        <n v="18900.0"/>
        <n v="147100.0"/>
        <n v="50000.0"/>
        <n v="15000.0"/>
        <n v="12000.0"/>
        <n v="23000.0"/>
        <n v="264000.0"/>
        <s v="-"/>
        <n v="168000.0"/>
        <n v="500000.0"/>
        <n v="60000.0"/>
        <n v="378000.0"/>
        <s v="없음"/>
        <n v="148000.0"/>
        <n v="268000.0"/>
        <n v="20000.0"/>
        <n v="250000.0"/>
        <n v="26000.0"/>
        <n v="142000.0"/>
        <n v="278000.0"/>
        <n v="178000.0"/>
        <n v="165000.0"/>
        <n v="-35000.0"/>
        <n v="32000.0"/>
        <n v="132000.0"/>
        <n v="155900.0"/>
      </sharedItems>
    </cacheField>
    <cacheField name="투자자" numFmtId="0">
      <sharedItems containsBlank="1">
        <s v="강연수"/>
        <s v="이승민"/>
        <s v="유재훈"/>
        <s v="이효길"/>
        <s v="박성운"/>
        <s v="김태화"/>
        <s v="쑤훈공동"/>
        <m/>
        <s v="쑤훈박미선"/>
        <s v="쑤훈공동(법인)"/>
        <s v="이현수"/>
        <s v="전경자"/>
        <s v="최지연"/>
        <s v="양성원"/>
      </sharedItems>
    </cacheField>
    <cacheField name=" 2" numFmtId="0">
      <sharedItems containsBlank="1">
        <m/>
        <s v=" "/>
      </sharedItems>
    </cacheField>
    <cacheField name=" 3" numFmtId="0">
      <sharedItems containsString="0" containsBlank="1" containsNumber="1" containsInteger="1">
        <m/>
        <n v="110000.0"/>
        <n v="147000.0"/>
        <n v="37000.0"/>
      </sharedItems>
    </cacheField>
    <cacheField name=" 4" numFmtId="0">
      <sharedItems containsString="0" containsBlank="1" containsNumber="1">
        <m/>
        <n v="20967.74193548387"/>
        <n v="15806.451612903225"/>
        <n v="4810032.5"/>
        <n v="2061442.5"/>
        <n v="49.0"/>
        <n v="7.0"/>
        <n v="2404880.0"/>
        <n v="601220.0"/>
        <n v="1204000.0"/>
        <n v="516000.0"/>
        <n v="1130000.0"/>
        <n v="1010000.0"/>
        <n v="790000.0"/>
        <n v="420000.0"/>
        <n v="3350000.0"/>
        <n v="1550000.0"/>
        <n v="0.0"/>
        <n v="2314729.1"/>
        <n v="804883.8999999999"/>
      </sharedItems>
    </cacheField>
    <cacheField name=" 5" numFmtId="0">
      <sharedItems containsString="0" containsBlank="1" containsNumber="1">
        <m/>
        <n v="146774.1935483871"/>
        <n v="110645.16129032258"/>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아띠 공과금" cacheId="0" dataCaption="" compact="0" compactData="0">
  <location ref="A1:N56" firstHeaderRow="0" firstDataRow="3" firstDataCol="0"/>
  <pivotFields>
    <pivotField name=" " axis="axisRow" compact="0" outline="0" multipleItemSelectionAllowed="1" showAll="0" sortType="ascending">
      <items>
        <item h="1" x="46"/>
        <item h="1" x="18"/>
        <item h="1" x="9"/>
        <item h="1" x="8"/>
        <item h="1" x="39"/>
        <item h="1" x="6"/>
        <item h="1" x="45"/>
        <item h="1" x="44"/>
        <item h="1" x="43"/>
        <item h="1" x="42"/>
        <item h="1" x="41"/>
        <item h="1" x="3"/>
        <item h="1" x="12"/>
        <item h="1" x="2"/>
        <item h="1" x="31"/>
        <item h="1" x="20"/>
        <item h="1" x="7"/>
        <item h="1" x="5"/>
        <item h="1" x="16"/>
        <item h="1" x="4"/>
        <item h="1" x="21"/>
        <item h="1" x="10"/>
        <item x="28"/>
        <item x="27"/>
        <item x="23"/>
        <item h="1" x="24"/>
        <item x="33"/>
        <item x="32"/>
        <item x="25"/>
        <item x="40"/>
        <item x="0"/>
        <item x="26"/>
        <item h="1" x="29"/>
        <item h="1" x="22"/>
        <item h="1" x="1"/>
        <item h="1" x="34"/>
        <item h="1" x="36"/>
        <item h="1" x="37"/>
        <item h="1" x="35"/>
        <item h="1" x="19"/>
        <item h="1" x="17"/>
        <item h="1" x="11"/>
        <item h="1" x="13"/>
        <item h="1" x="38"/>
        <item h="1" x="30"/>
        <item h="1" x="15"/>
        <item h="1" x="14"/>
        <item t="default"/>
      </items>
    </pivotField>
    <pivotField name="하우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구분" axis="axisRow" compact="0" outline="0" multipleItemSelectionAllowed="1" showAll="0" sortType="ascending">
      <items>
        <item h="1" x="196"/>
        <item h="1" x="123"/>
        <item h="1" x="124"/>
        <item h="1" x="125"/>
        <item h="1" x="126"/>
        <item h="1" x="127"/>
        <item h="1" x="128"/>
        <item x="8"/>
        <item x="188"/>
        <item x="51"/>
        <item x="182"/>
        <item h="1" x="6"/>
        <item h="1" x="78"/>
        <item h="1" x="22"/>
        <item x="32"/>
        <item x="52"/>
        <item x="9"/>
        <item h="1" x="184"/>
        <item x="86"/>
        <item x="155"/>
        <item x="107"/>
        <item h="1" x="5"/>
        <item x="10"/>
        <item x="7"/>
        <item x="187"/>
        <item x="62"/>
        <item x="85"/>
        <item x="97"/>
        <item x="11"/>
        <item x="141"/>
        <item h="1" x="84"/>
        <item h="1" x="57"/>
        <item h="1" x="12"/>
        <item h="1" x="13"/>
        <item h="1" x="15"/>
        <item h="1" x="14"/>
        <item h="1" x="4"/>
        <item h="1" x="156"/>
        <item h="1" x="53"/>
        <item h="1" x="150"/>
        <item h="1" x="58"/>
        <item h="1" x="161"/>
        <item h="1" x="189"/>
        <item h="1" x="79"/>
        <item h="1" x="145"/>
        <item h="1" x="152"/>
        <item h="1" x="137"/>
        <item h="1" x="67"/>
        <item h="1" x="192"/>
        <item h="1" x="33"/>
        <item h="1" x="113"/>
        <item h="1" x="43"/>
        <item h="1" x="0"/>
        <item h="1" x="178"/>
        <item h="1" x="63"/>
        <item h="1" x="72"/>
        <item h="1" x="185"/>
        <item h="1" x="23"/>
        <item h="1" x="133"/>
        <item h="1" x="98"/>
        <item h="1" x="176"/>
        <item h="1" x="129"/>
        <item h="1" x="170"/>
        <item h="1" x="172"/>
        <item h="1" x="16"/>
        <item h="1" x="174"/>
        <item h="1" x="193"/>
        <item h="1" x="87"/>
        <item h="1" x="166"/>
        <item h="1" x="92"/>
        <item h="1" x="54"/>
        <item h="1" x="146"/>
        <item h="1" x="151"/>
        <item h="1" x="162"/>
        <item h="1" x="190"/>
        <item h="1" x="138"/>
        <item h="1" x="59"/>
        <item h="1" x="80"/>
        <item h="1" x="153"/>
        <item h="1" x="108"/>
        <item h="1" x="68"/>
        <item h="1" x="194"/>
        <item h="1" x="64"/>
        <item h="1" x="34"/>
        <item h="1" x="114"/>
        <item h="1" x="44"/>
        <item h="1" x="1"/>
        <item h="1" x="180"/>
        <item h="1" x="157"/>
        <item h="1" x="24"/>
        <item h="1" x="118"/>
        <item h="1" x="173"/>
        <item h="1" x="73"/>
        <item h="1" x="134"/>
        <item h="1" x="110"/>
        <item h="1" x="183"/>
        <item h="1" x="175"/>
        <item h="1" x="99"/>
        <item h="1" x="17"/>
        <item h="1" x="104"/>
        <item h="1" x="179"/>
        <item h="1" x="143"/>
        <item h="1" x="130"/>
        <item h="1" x="177"/>
        <item h="1" x="109"/>
        <item h="1" x="69"/>
        <item h="1" x="195"/>
        <item h="1" x="181"/>
        <item h="1" x="158"/>
        <item h="1" x="144"/>
        <item h="1" x="167"/>
        <item h="1" x="88"/>
        <item h="1" x="93"/>
        <item h="1" x="147"/>
        <item h="1" x="163"/>
        <item h="1" x="60"/>
        <item h="1" x="81"/>
        <item h="1" x="191"/>
        <item h="1" x="70"/>
        <item h="1" x="55"/>
        <item h="1" x="65"/>
        <item h="1" x="115"/>
        <item h="1" x="45"/>
        <item h="1" x="2"/>
        <item h="1" x="171"/>
        <item h="1" x="159"/>
        <item h="1" x="119"/>
        <item h="1" x="100"/>
        <item h="1" x="105"/>
        <item h="1" x="111"/>
        <item h="1" x="18"/>
        <item h="1" x="131"/>
        <item h="1" x="35"/>
        <item h="1" x="74"/>
        <item h="1" x="25"/>
        <item h="1" x="135"/>
        <item h="1" x="142"/>
        <item h="1" x="71"/>
        <item h="1" x="66"/>
        <item h="1" x="3"/>
        <item h="1" x="160"/>
        <item h="1" x="106"/>
        <item h="1" x="89"/>
        <item h="1" x="168"/>
        <item h="1" x="94"/>
        <item h="1" x="154"/>
        <item h="1" x="139"/>
        <item h="1" x="140"/>
        <item h="1" x="56"/>
        <item h="1" x="61"/>
        <item h="1" x="82"/>
        <item h="1" x="46"/>
        <item h="1" x="116"/>
        <item h="1" x="36"/>
        <item h="1" x="101"/>
        <item h="1" x="136"/>
        <item h="1" x="90"/>
        <item h="1" x="19"/>
        <item h="1" x="186"/>
        <item h="1" x="132"/>
        <item h="1" x="75"/>
        <item h="1" x="112"/>
        <item h="1" x="26"/>
        <item h="1" x="120"/>
        <item h="1" x="117"/>
        <item h="1" x="91"/>
        <item h="1" x="27"/>
        <item h="1" x="169"/>
        <item h="1" x="95"/>
        <item h="1" x="148"/>
        <item h="1" x="164"/>
        <item h="1" x="165"/>
        <item h="1" x="149"/>
        <item h="1" x="83"/>
        <item h="1" x="37"/>
        <item h="1" x="47"/>
        <item h="1" x="121"/>
        <item h="1" x="28"/>
        <item h="1" x="102"/>
        <item h="1" x="76"/>
        <item h="1" x="20"/>
        <item h="1" x="48"/>
        <item h="1" x="122"/>
        <item h="1" x="29"/>
        <item h="1" x="21"/>
        <item h="1" x="96"/>
        <item h="1" x="38"/>
        <item h="1" x="49"/>
        <item h="1" x="30"/>
        <item h="1" x="103"/>
        <item h="1" x="77"/>
        <item h="1" x="50"/>
        <item h="1" x="31"/>
        <item h="1" x="39"/>
        <item h="1" x="40"/>
        <item h="1" x="41"/>
        <item h="1" x="42"/>
        <item t="default"/>
      </items>
    </pivotField>
    <pivotField name="1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1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1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2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2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2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3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3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3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4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4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4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5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5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5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6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6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6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7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7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7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8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8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8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9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9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9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10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10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10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11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11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11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12월 이름"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12월 월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12월 관리비"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투자자" compact="0" outline="0" multipleItemSelectionAllowed="1" showAll="0">
      <items>
        <item x="0"/>
        <item x="1"/>
        <item x="2"/>
        <item x="3"/>
        <item x="4"/>
        <item x="5"/>
        <item x="6"/>
        <item x="7"/>
        <item x="8"/>
        <item x="9"/>
        <item x="10"/>
        <item x="11"/>
        <item x="12"/>
        <item x="13"/>
        <item t="default"/>
      </items>
    </pivotField>
    <pivotField name=" 2" compact="0" outline="0" multipleItemSelectionAllowed="1" showAll="0">
      <items>
        <item x="0"/>
        <item x="1"/>
        <item t="default"/>
      </items>
    </pivotField>
    <pivotField name=" 3" compact="0" outline="0" multipleItemSelectionAllowed="1" showAll="0">
      <items>
        <item x="0"/>
        <item x="1"/>
        <item x="2"/>
        <item x="3"/>
        <item t="default"/>
      </items>
    </pivotField>
    <pivotField name=" 4"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5" compact="0" outline="0" multipleItemSelectionAllowed="1" showAll="0">
      <items>
        <item x="0"/>
        <item x="1"/>
        <item x="2"/>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s>
  <rowFields>
    <field x="0"/>
    <field x="2"/>
  </rowFields>
  <colFields>
    <field x="-2"/>
  </colFields>
  <dataFields>
    <dataField name="1월" fld="5" baseField="0"/>
    <dataField name="2월" fld="8" baseField="0"/>
    <dataField name="3월" fld="11" baseField="0"/>
    <dataField name="4월" fld="14" baseField="0"/>
    <dataField name="5월" fld="17" baseField="0"/>
    <dataField name="6월" fld="20" baseField="0"/>
    <dataField name="7월" fld="23" baseField="0"/>
    <dataField name="8월" fld="26" baseField="0"/>
    <dataField name="9월" fld="29" baseField="0"/>
    <dataField name="10월" fld="32" baseField="0"/>
    <dataField name="11월" fld="35" baseField="0"/>
    <dataField name="12월" fld="38" baseField="0"/>
  </dataFields>
</pivotTableDefinition>
</file>

<file path=xl/tables/table1.xml><?xml version="1.0" encoding="utf-8"?>
<table xmlns="http://schemas.openxmlformats.org/spreadsheetml/2006/main" headerRowCount="0" ref="K1:T3"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입주자-style" showColumnStripes="0" showFirstColumn="1" showLastColumn="1" showRowStripes="1"/>
</table>
</file>

<file path=xl/tables/table2.xml><?xml version="1.0" encoding="utf-8"?>
<table xmlns="http://schemas.openxmlformats.org/spreadsheetml/2006/main" ref="B2:K2418" displayName="표1" name="표1" id="2">
  <autoFilter ref="$B$2:$K$2418"/>
  <tableColumns count="10">
    <tableColumn name="날짜" id="1"/>
    <tableColumn name="지점" id="2"/>
    <tableColumn name="종류" id="3"/>
    <tableColumn name="지출내역" id="4"/>
    <tableColumn name="수행" id="5"/>
    <tableColumn name="금액" id="6"/>
    <tableColumn name="1열" id="7"/>
    <tableColumn name="2열" id="8"/>
    <tableColumn name="month" id="9"/>
    <tableColumn name="Column 10" id="10"/>
  </tableColumns>
  <tableStyleInfo name="지출-style" showColumnStripes="0" showFirstColumn="1" showLastColumn="1" showRowStripes="1"/>
</table>
</file>

<file path=xl/tables/table3.xml><?xml version="1.0" encoding="utf-8"?>
<table xmlns="http://schemas.openxmlformats.org/spreadsheetml/2006/main" headerRowCount="0" ref="A3:F4" displayName="Table_2" name="Table_2" id="3">
  <tableColumns count="6">
    <tableColumn name="Column1" id="1"/>
    <tableColumn name="Column2" id="2"/>
    <tableColumn name="Column3" id="3"/>
    <tableColumn name="Column4" id="4"/>
    <tableColumn name="Column5" id="5"/>
    <tableColumn name="Column6" id="6"/>
  </tableColumns>
  <tableStyleInfo name="우주외플랫폼-style" showColumnStripes="0" showFirstColumn="1" showLastColumn="1" showRowStripes="1"/>
</table>
</file>

<file path=xl/tables/table4.xml><?xml version="1.0" encoding="utf-8"?>
<table xmlns="http://schemas.openxmlformats.org/spreadsheetml/2006/main" headerRowCount="0" ref="H3:M4" displayName="Table_3" name="Table_3" id="4">
  <tableColumns count="6">
    <tableColumn name="Column1" id="1"/>
    <tableColumn name="Column2" id="2"/>
    <tableColumn name="Column3" id="3"/>
    <tableColumn name="Column4" id="4"/>
    <tableColumn name="Column5" id="5"/>
    <tableColumn name="Column6" id="6"/>
  </tableColumns>
  <tableStyleInfo name="우주외플랫폼-style 2" showColumnStripes="0" showFirstColumn="1" showLastColumn="1" showRowStripes="1"/>
</table>
</file>

<file path=xl/tables/table5.xml><?xml version="1.0" encoding="utf-8"?>
<table xmlns="http://schemas.openxmlformats.org/spreadsheetml/2006/main" headerRowCount="0" ref="A5:AZ7" displayName="Table_4" name="Table_4" id="5">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우주외플랫폼-style 3" showColumnStripes="0" showFirstColumn="1" showLastColumn="1" showRowStripes="1"/>
</table>
</file>

<file path=xl/tables/table6.xml><?xml version="1.0" encoding="utf-8"?>
<table xmlns="http://schemas.openxmlformats.org/spreadsheetml/2006/main" headerRowCount="0" ref="B18:J21" displayName="Table_5" name="Table_5"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우주외플랫폼-style 4" showColumnStripes="0" showFirstColumn="1" showLastColumn="1" showRowStripes="1"/>
</table>
</file>

<file path=xl/tables/table7.xml><?xml version="1.0" encoding="utf-8"?>
<table xmlns="http://schemas.openxmlformats.org/spreadsheetml/2006/main" headerRowCount="0" ref="B22:K22" displayName="Table_6" name="Table_6"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우주외플랫폼-style 5" showColumnStripes="0" showFirstColumn="1" showLastColumn="1" showRowStripes="1"/>
</table>
</file>

<file path=xl/tables/table8.xml><?xml version="1.0" encoding="utf-8"?>
<table xmlns="http://schemas.openxmlformats.org/spreadsheetml/2006/main" headerRowCount="0" ref="A38:J38" displayName="Table_7" name="Table_7"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우주외플랫폼-style 6" showColumnStripes="0" showFirstColumn="1" showLastColumn="1" showRowStripes="1"/>
</table>
</file>

<file path=xl/tables/table9.xml><?xml version="1.0" encoding="utf-8"?>
<table xmlns="http://schemas.openxmlformats.org/spreadsheetml/2006/main" headerRowCount="0" ref="A44:M44" displayName="Table_8" name="Table_8" id="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우주외플랫폼-style 7" showColumnStripes="0" showFirstColumn="1" showLastColumn="1" showRowStripes="1"/>
</table>
</file>

<file path=xl/tables/table10.xml><?xml version="1.0" encoding="utf-8"?>
<table xmlns="http://schemas.openxmlformats.org/spreadsheetml/2006/main" headerRowCount="0" ref="H45:J45" displayName="Table_9" name="Table_9" id="10">
  <tableColumns count="3">
    <tableColumn name="Column1" id="1"/>
    <tableColumn name="Column2" id="2"/>
    <tableColumn name="Column3" id="3"/>
  </tableColumns>
  <tableStyleInfo name="우주외플랫폼-style 8" showColumnStripes="0" showFirstColumn="1" showLastColumn="1" showRowStripes="1"/>
</table>
</file>

<file path=xl/tables/table11.xml><?xml version="1.0" encoding="utf-8"?>
<table xmlns="http://schemas.openxmlformats.org/spreadsheetml/2006/main" headerRowCount="0" ref="H56:M56" displayName="Table_10" name="Table_10" id="11">
  <tableColumns count="6">
    <tableColumn name="Column1" id="1"/>
    <tableColumn name="Column2" id="2"/>
    <tableColumn name="Column3" id="3"/>
    <tableColumn name="Column4" id="4"/>
    <tableColumn name="Column5" id="5"/>
    <tableColumn name="Column6" id="6"/>
  </tableColumns>
  <tableStyleInfo name="우주외플랫폼-style 9" showColumnStripes="0" showFirstColumn="1" showLastColumn="1" showRowStripes="1"/>
</table>
</file>

<file path=xl/tables/table12.xml><?xml version="1.0" encoding="utf-8"?>
<table xmlns="http://schemas.openxmlformats.org/spreadsheetml/2006/main" headerRowCount="0" ref="J58:M58" displayName="Table_11" name="Table_11" id="12">
  <tableColumns count="4">
    <tableColumn name="Column1" id="1"/>
    <tableColumn name="Column2" id="2"/>
    <tableColumn name="Column3" id="3"/>
    <tableColumn name="Column4" id="4"/>
  </tableColumns>
  <tableStyleInfo name="우주외플랫폼-style 10" showColumnStripes="0" showFirstColumn="1" showLastColumn="1" showRowStripes="1"/>
</table>
</file>

<file path=xl/tables/table13.xml><?xml version="1.0" encoding="utf-8"?>
<table xmlns="http://schemas.openxmlformats.org/spreadsheetml/2006/main" headerRowCount="0" ref="J59:M59" displayName="Table_12" name="Table_12" id="13">
  <tableColumns count="4">
    <tableColumn name="Column1" id="1"/>
    <tableColumn name="Column2" id="2"/>
    <tableColumn name="Column3" id="3"/>
    <tableColumn name="Column4" id="4"/>
  </tableColumns>
  <tableStyleInfo name="우주외플랫폼-style 11" showColumnStripes="0" showFirstColumn="1" showLastColumn="1" showRowStripes="1"/>
</table>
</file>

<file path=xl/tables/table14.xml><?xml version="1.0" encoding="utf-8"?>
<table xmlns="http://schemas.openxmlformats.org/spreadsheetml/2006/main" headerRowCount="0" ref="J62:M62" displayName="Table_13" name="Table_13" id="14">
  <tableColumns count="4">
    <tableColumn name="Column1" id="1"/>
    <tableColumn name="Column2" id="2"/>
    <tableColumn name="Column3" id="3"/>
    <tableColumn name="Column4" id="4"/>
  </tableColumns>
  <tableStyleInfo name="우주외플랫폼-style 12" showColumnStripes="0" showFirstColumn="1" showLastColumn="1" showRowStripes="1"/>
</table>
</file>

<file path=xl/tables/table15.xml><?xml version="1.0" encoding="utf-8"?>
<table xmlns="http://schemas.openxmlformats.org/spreadsheetml/2006/main" headerRowCount="0" ref="A64:F64" displayName="Table_14" name="Table_14" id="15">
  <tableColumns count="6">
    <tableColumn name="Column1" id="1"/>
    <tableColumn name="Column2" id="2"/>
    <tableColumn name="Column3" id="3"/>
    <tableColumn name="Column4" id="4"/>
    <tableColumn name="Column5" id="5"/>
    <tableColumn name="Column6" id="6"/>
  </tableColumns>
  <tableStyleInfo name="우주외플랫폼-style 13" showColumnStripes="0" showFirstColumn="1" showLastColumn="1" showRowStripes="1"/>
</table>
</file>

<file path=xl/tables/table16.xml><?xml version="1.0" encoding="utf-8"?>
<table xmlns="http://schemas.openxmlformats.org/spreadsheetml/2006/main" headerRowCount="0" ref="H64:M64" displayName="Table_15" name="Table_15" id="16">
  <tableColumns count="6">
    <tableColumn name="Column1" id="1"/>
    <tableColumn name="Column2" id="2"/>
    <tableColumn name="Column3" id="3"/>
    <tableColumn name="Column4" id="4"/>
    <tableColumn name="Column5" id="5"/>
    <tableColumn name="Column6" id="6"/>
  </tableColumns>
  <tableStyleInfo name="우주외플랫폼-style 14" showColumnStripes="0" showFirstColumn="1" showLastColumn="1" showRowStripes="1"/>
</table>
</file>

<file path=xl/tables/table17.xml><?xml version="1.0" encoding="utf-8"?>
<table xmlns="http://schemas.openxmlformats.org/spreadsheetml/2006/main" ref="B2:O49" displayName="Table_16" name="Table_16" id="17">
  <tableColumns count="14">
    <tableColumn name="구분" id="1"/>
    <tableColumn name="지역" id="2"/>
    <tableColumn name="하우스" id="3"/>
    <tableColumn name="주소" id="4"/>
    <tableColumn name="월세 " id="5"/>
    <tableColumn name="관리비" id="6"/>
    <tableColumn name="인터넷요금" id="7"/>
    <tableColumn name="명의" id="8"/>
    <tableColumn name="번호" id="9"/>
    <tableColumn name="개인정보" id="10"/>
    <tableColumn name="인터넷" id="11"/>
    <tableColumn name="계약만료일" id="12"/>
    <tableColumn name="지불카드" id="13"/>
    <tableColumn name="기타" id="14"/>
  </tableColumns>
  <tableStyleInfo name="하우스정보-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table" Target="../tables/table5.xml"/><Relationship Id="rId31" Type="http://schemas.openxmlformats.org/officeDocument/2006/relationships/table" Target="../tables/table16.xml"/><Relationship Id="rId30" Type="http://schemas.openxmlformats.org/officeDocument/2006/relationships/table" Target="../tables/table1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 Id="rId26" Type="http://schemas.openxmlformats.org/officeDocument/2006/relationships/table" Target="../tables/table11.xml"/><Relationship Id="rId25" Type="http://schemas.openxmlformats.org/officeDocument/2006/relationships/table" Target="../tables/table10.xml"/><Relationship Id="rId28" Type="http://schemas.openxmlformats.org/officeDocument/2006/relationships/table" Target="../tables/table13.xml"/><Relationship Id="rId27" Type="http://schemas.openxmlformats.org/officeDocument/2006/relationships/table" Target="../tables/table12.xml"/><Relationship Id="rId19" Type="http://schemas.openxmlformats.org/officeDocument/2006/relationships/table" Target="../tables/table4.xml"/><Relationship Id="rId18" Type="http://schemas.openxmlformats.org/officeDocument/2006/relationships/table" Target="../tables/table3.xml"/><Relationship Id="rId29"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6.xml"/><Relationship Id="rId3"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woozoo.kr/houses/175" TargetMode="External"/><Relationship Id="rId20" Type="http://schemas.openxmlformats.org/officeDocument/2006/relationships/hyperlink" Target="https://www.woozoo.kr/houses/156" TargetMode="External"/><Relationship Id="rId42" Type="http://schemas.openxmlformats.org/officeDocument/2006/relationships/vmlDrawing" Target="../drawings/vmlDrawing7.vml"/><Relationship Id="rId41" Type="http://schemas.openxmlformats.org/officeDocument/2006/relationships/drawing" Target="../drawings/drawing18.xml"/><Relationship Id="rId22" Type="http://schemas.openxmlformats.org/officeDocument/2006/relationships/hyperlink" Target="https://blog.naver.com/lovelyheidi/222972743442" TargetMode="External"/><Relationship Id="rId44" Type="http://schemas.openxmlformats.org/officeDocument/2006/relationships/table" Target="../tables/table17.xml"/><Relationship Id="rId21" Type="http://schemas.openxmlformats.org/officeDocument/2006/relationships/hyperlink" Target="https://blog.naver.com/lovelyheidi/222970579369" TargetMode="External"/><Relationship Id="rId24" Type="http://schemas.openxmlformats.org/officeDocument/2006/relationships/hyperlink" Target="https://blog.naver.com/lovelyheidi/222970549301" TargetMode="External"/><Relationship Id="rId23" Type="http://schemas.openxmlformats.org/officeDocument/2006/relationships/hyperlink" Target="https://blog.naver.com/lovelyheidi/222972746999" TargetMode="External"/><Relationship Id="rId1" Type="http://schemas.openxmlformats.org/officeDocument/2006/relationships/comments" Target="../comments7.xml"/><Relationship Id="rId2" Type="http://schemas.openxmlformats.org/officeDocument/2006/relationships/hyperlink" Target="https://blog.naver.com/hooniga2/221406603957" TargetMode="External"/><Relationship Id="rId3" Type="http://schemas.openxmlformats.org/officeDocument/2006/relationships/hyperlink" Target="https://blog.naver.com/hooniga2/221637929667" TargetMode="External"/><Relationship Id="rId4" Type="http://schemas.openxmlformats.org/officeDocument/2006/relationships/hyperlink" Target="https://blog.naver.com/hooniga2/221634644284" TargetMode="External"/><Relationship Id="rId9" Type="http://schemas.openxmlformats.org/officeDocument/2006/relationships/hyperlink" Target="https://m.blog.naver.com/hooniga2/222439446535" TargetMode="External"/><Relationship Id="rId26" Type="http://schemas.openxmlformats.org/officeDocument/2006/relationships/hyperlink" Target="https://blog.naver.com/lovelyheidi/222970569401" TargetMode="External"/><Relationship Id="rId25" Type="http://schemas.openxmlformats.org/officeDocument/2006/relationships/hyperlink" Target="https://blog.naver.com/lovelyheidi/222970536796" TargetMode="External"/><Relationship Id="rId28" Type="http://schemas.openxmlformats.org/officeDocument/2006/relationships/hyperlink" Target="https://blog.naver.com/hooniga2/221319236852" TargetMode="External"/><Relationship Id="rId27" Type="http://schemas.openxmlformats.org/officeDocument/2006/relationships/hyperlink" Target="https://blog.naver.com/lovelyheidi/222970531153" TargetMode="External"/><Relationship Id="rId5" Type="http://schemas.openxmlformats.org/officeDocument/2006/relationships/hyperlink" Target="https://blog.naver.com/hooniga2/221755740919" TargetMode="External"/><Relationship Id="rId6" Type="http://schemas.openxmlformats.org/officeDocument/2006/relationships/hyperlink" Target="https://blog.naver.com/hooniga2/221634644https://blog.naver.com/hooniga2/221634644284284" TargetMode="External"/><Relationship Id="rId29" Type="http://schemas.openxmlformats.org/officeDocument/2006/relationships/hyperlink" Target="https://blog.naver.com/hooniga2/221484691351" TargetMode="External"/><Relationship Id="rId7" Type="http://schemas.openxmlformats.org/officeDocument/2006/relationships/hyperlink" Target="https://blog.naver.com/hooniga2/221381840298" TargetMode="External"/><Relationship Id="rId8" Type="http://schemas.openxmlformats.org/officeDocument/2006/relationships/hyperlink" Target="https://blog.naver.com/hooniga2/222124126586" TargetMode="External"/><Relationship Id="rId31" Type="http://schemas.openxmlformats.org/officeDocument/2006/relationships/hyperlink" Target="http://www.zamzarishare.com/view/house/detail.html?id=4451" TargetMode="External"/><Relationship Id="rId30" Type="http://schemas.openxmlformats.org/officeDocument/2006/relationships/hyperlink" Target="https://blog.naver.com/lovelyheidi/222731770614" TargetMode="External"/><Relationship Id="rId11" Type="http://schemas.openxmlformats.org/officeDocument/2006/relationships/hyperlink" Target="http://www.zamzarishare.com/view/house/detail.html?id=5275" TargetMode="External"/><Relationship Id="rId33" Type="http://schemas.openxmlformats.org/officeDocument/2006/relationships/hyperlink" Target="https://www.woozoo.kr/houses/160" TargetMode="External"/><Relationship Id="rId10" Type="http://schemas.openxmlformats.org/officeDocument/2006/relationships/hyperlink" Target="https://blog.naver.com/hooniga2/221308564964" TargetMode="External"/><Relationship Id="rId32" Type="http://schemas.openxmlformats.org/officeDocument/2006/relationships/hyperlink" Target="https://blog.naver.com/lovelyheidi/222517570484" TargetMode="External"/><Relationship Id="rId13" Type="http://schemas.openxmlformats.org/officeDocument/2006/relationships/hyperlink" Target="https://blog.naver.com/hooniga2/221329745451" TargetMode="External"/><Relationship Id="rId35" Type="http://schemas.openxmlformats.org/officeDocument/2006/relationships/hyperlink" Target="http://www.zamzarishare.com/view/house/detail.html?id=5502" TargetMode="External"/><Relationship Id="rId12" Type="http://schemas.openxmlformats.org/officeDocument/2006/relationships/hyperlink" Target="https://blog.naver.com/lovelyheidi/221779132760" TargetMode="External"/><Relationship Id="rId34" Type="http://schemas.openxmlformats.org/officeDocument/2006/relationships/hyperlink" Target="https://blog.naver.com/hooniga2/221440521851" TargetMode="External"/><Relationship Id="rId15" Type="http://schemas.openxmlformats.org/officeDocument/2006/relationships/hyperlink" Target="https://blog.naver.com/hooniga2/221605693634" TargetMode="External"/><Relationship Id="rId37" Type="http://schemas.openxmlformats.org/officeDocument/2006/relationships/hyperlink" Target="https://blog.naver.com/hooniga2/222155399245" TargetMode="External"/><Relationship Id="rId14" Type="http://schemas.openxmlformats.org/officeDocument/2006/relationships/hyperlink" Target="http://zamzarishare.com/view/house/detail.html?id=6501" TargetMode="External"/><Relationship Id="rId36" Type="http://schemas.openxmlformats.org/officeDocument/2006/relationships/hyperlink" Target="https://www.woozoo.kr/houses/195" TargetMode="External"/><Relationship Id="rId17" Type="http://schemas.openxmlformats.org/officeDocument/2006/relationships/hyperlink" Target="https://blog.naver.com/lovelyheidi?Redirect=Log&amp;logNo=222517570484&amp;from=postView" TargetMode="External"/><Relationship Id="rId39" Type="http://schemas.openxmlformats.org/officeDocument/2006/relationships/hyperlink" Target="https://www.woozoo.kr/houses/156" TargetMode="External"/><Relationship Id="rId16" Type="http://schemas.openxmlformats.org/officeDocument/2006/relationships/hyperlink" Target="https://blog.naver.com/lovelyheidi/222972572404" TargetMode="External"/><Relationship Id="rId38" Type="http://schemas.openxmlformats.org/officeDocument/2006/relationships/hyperlink" Target="https://www.woozoo.kr/houses/154" TargetMode="External"/><Relationship Id="rId19" Type="http://schemas.openxmlformats.org/officeDocument/2006/relationships/hyperlink" Target="https://blog.naver.com/hooniga2/222157515328" TargetMode="External"/><Relationship Id="rId18" Type="http://schemas.openxmlformats.org/officeDocument/2006/relationships/hyperlink" Target="https://blog.naver.com/hooniga2/221299399780"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9.xml"/><Relationship Id="rId3" Type="http://schemas.openxmlformats.org/officeDocument/2006/relationships/vmlDrawing" Target="../drawings/vmlDrawing8.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
      <c r="B1" s="2" t="s">
        <v>0</v>
      </c>
      <c r="C1" s="3" t="s">
        <v>1</v>
      </c>
      <c r="D1" s="4" t="s">
        <v>2</v>
      </c>
      <c r="E1" s="5" t="s">
        <v>3</v>
      </c>
      <c r="F1" s="6" t="b">
        <v>1</v>
      </c>
      <c r="G1" s="7">
        <v>1.0</v>
      </c>
      <c r="H1" s="8" t="b">
        <v>1</v>
      </c>
      <c r="I1" s="4" t="s">
        <v>4</v>
      </c>
      <c r="J1" s="5" t="s">
        <v>5</v>
      </c>
      <c r="K1" s="6" t="b">
        <v>1</v>
      </c>
      <c r="L1" s="7">
        <v>2.0</v>
      </c>
      <c r="M1" s="8" t="b">
        <v>1</v>
      </c>
      <c r="N1" s="4" t="s">
        <v>6</v>
      </c>
      <c r="O1" s="5" t="s">
        <v>7</v>
      </c>
      <c r="P1" s="6" t="b">
        <v>1</v>
      </c>
      <c r="Q1" s="7">
        <v>3.0</v>
      </c>
      <c r="R1" s="8" t="b">
        <v>1</v>
      </c>
      <c r="S1" s="4" t="s">
        <v>8</v>
      </c>
      <c r="T1" s="5" t="s">
        <v>9</v>
      </c>
      <c r="U1" s="6" t="b">
        <v>1</v>
      </c>
      <c r="V1" s="7">
        <v>4.0</v>
      </c>
      <c r="W1" s="8" t="b">
        <v>1</v>
      </c>
      <c r="X1" s="5" t="s">
        <v>10</v>
      </c>
      <c r="Y1" s="5" t="s">
        <v>11</v>
      </c>
      <c r="Z1" s="6" t="b">
        <v>1</v>
      </c>
      <c r="AA1" s="7">
        <v>5.0</v>
      </c>
      <c r="AB1" s="8" t="b">
        <v>1</v>
      </c>
      <c r="AC1" s="5" t="s">
        <v>12</v>
      </c>
      <c r="AD1" s="5" t="s">
        <v>13</v>
      </c>
      <c r="AE1" s="6" t="b">
        <v>1</v>
      </c>
      <c r="AF1" s="7">
        <v>6.0</v>
      </c>
      <c r="AG1" s="8" t="b">
        <v>1</v>
      </c>
      <c r="AH1" s="5" t="s">
        <v>14</v>
      </c>
      <c r="AI1" s="5" t="s">
        <v>15</v>
      </c>
      <c r="AJ1" s="6" t="b">
        <v>1</v>
      </c>
      <c r="AK1" s="7">
        <v>7.0</v>
      </c>
      <c r="AL1" s="8" t="b">
        <v>1</v>
      </c>
      <c r="AM1" s="5" t="s">
        <v>16</v>
      </c>
      <c r="AN1" s="5" t="s">
        <v>17</v>
      </c>
      <c r="AO1" s="6" t="b">
        <v>1</v>
      </c>
      <c r="AP1" s="7">
        <v>8.0</v>
      </c>
      <c r="AQ1" s="8" t="b">
        <v>1</v>
      </c>
      <c r="AR1" s="4" t="s">
        <v>18</v>
      </c>
      <c r="AS1" s="5" t="s">
        <v>19</v>
      </c>
      <c r="AT1" s="6" t="b">
        <v>0</v>
      </c>
      <c r="AU1" s="7">
        <v>9.0</v>
      </c>
      <c r="AV1" s="8" t="b">
        <v>0</v>
      </c>
      <c r="AW1" s="4" t="s">
        <v>20</v>
      </c>
      <c r="AX1" s="5" t="s">
        <v>21</v>
      </c>
      <c r="AY1" s="6" t="b">
        <v>0</v>
      </c>
      <c r="AZ1" s="7">
        <v>10.0</v>
      </c>
      <c r="BA1" s="8" t="b">
        <v>1</v>
      </c>
      <c r="BB1" s="4" t="s">
        <v>22</v>
      </c>
      <c r="BC1" s="5" t="s">
        <v>23</v>
      </c>
      <c r="BD1" s="6" t="b">
        <v>1</v>
      </c>
      <c r="BE1" s="7">
        <v>11.0</v>
      </c>
      <c r="BF1" s="8" t="b">
        <v>1</v>
      </c>
      <c r="BG1" s="4" t="s">
        <v>24</v>
      </c>
      <c r="BH1" s="5" t="s">
        <v>25</v>
      </c>
      <c r="BI1" s="6" t="b">
        <v>1</v>
      </c>
      <c r="BJ1" s="7">
        <v>12.0</v>
      </c>
      <c r="BK1" s="8" t="b">
        <v>1</v>
      </c>
      <c r="BL1" s="4" t="s">
        <v>2</v>
      </c>
      <c r="BM1" s="5" t="s">
        <v>3</v>
      </c>
      <c r="BN1" s="6" t="b">
        <v>1</v>
      </c>
      <c r="BO1" s="7">
        <v>1.0</v>
      </c>
      <c r="BP1" s="8" t="b">
        <v>1</v>
      </c>
      <c r="BQ1" s="9" t="s">
        <v>26</v>
      </c>
      <c r="BR1" s="1"/>
      <c r="BS1" s="1"/>
      <c r="BT1" s="1"/>
      <c r="BU1" s="1"/>
    </row>
    <row r="2">
      <c r="A2" s="1"/>
      <c r="B2" s="10" t="s">
        <v>27</v>
      </c>
      <c r="C2" s="11" t="str">
        <f>'입주자'!C5</f>
        <v>A-1) 1인실 우측</v>
      </c>
      <c r="D2" s="12" t="s">
        <v>28</v>
      </c>
      <c r="E2" s="13">
        <v>610000.0</v>
      </c>
      <c r="F2" s="14" t="b">
        <v>1</v>
      </c>
      <c r="G2" s="13">
        <v>80000.0</v>
      </c>
      <c r="H2" s="15" t="b">
        <v>1</v>
      </c>
      <c r="I2" s="12" t="s">
        <v>28</v>
      </c>
      <c r="J2" s="13">
        <v>610000.0</v>
      </c>
      <c r="K2" s="14" t="b">
        <v>1</v>
      </c>
      <c r="L2" s="13">
        <v>80000.0</v>
      </c>
      <c r="M2" s="15" t="b">
        <v>1</v>
      </c>
      <c r="N2" s="12" t="s">
        <v>29</v>
      </c>
      <c r="O2" s="13">
        <f>19677+640000</f>
        <v>659677</v>
      </c>
      <c r="P2" s="14" t="b">
        <v>1</v>
      </c>
      <c r="Q2" s="13">
        <f>2581+80000</f>
        <v>82581</v>
      </c>
      <c r="R2" s="15" t="b">
        <v>1</v>
      </c>
      <c r="S2" s="12" t="s">
        <v>30</v>
      </c>
      <c r="T2" s="13">
        <v>640000.0</v>
      </c>
      <c r="U2" s="14" t="b">
        <v>1</v>
      </c>
      <c r="V2" s="13">
        <v>80000.0</v>
      </c>
      <c r="W2" s="15" t="b">
        <v>1</v>
      </c>
      <c r="X2" s="12" t="s">
        <v>30</v>
      </c>
      <c r="Y2" s="13">
        <v>640000.0</v>
      </c>
      <c r="Z2" s="14" t="b">
        <v>1</v>
      </c>
      <c r="AA2" s="13">
        <v>80000.0</v>
      </c>
      <c r="AB2" s="14" t="b">
        <v>1</v>
      </c>
      <c r="AC2" s="12" t="s">
        <v>30</v>
      </c>
      <c r="AD2" s="13">
        <v>640000.0</v>
      </c>
      <c r="AE2" s="14" t="b">
        <v>1</v>
      </c>
      <c r="AF2" s="13">
        <v>80000.0</v>
      </c>
      <c r="AG2" s="14" t="b">
        <v>1</v>
      </c>
      <c r="AH2" s="12" t="s">
        <v>30</v>
      </c>
      <c r="AI2" s="13">
        <v>640000.0</v>
      </c>
      <c r="AJ2" s="14" t="b">
        <v>1</v>
      </c>
      <c r="AK2" s="13">
        <v>80000.0</v>
      </c>
      <c r="AL2" s="15" t="b">
        <v>1</v>
      </c>
      <c r="AM2" s="12" t="s">
        <v>31</v>
      </c>
      <c r="AN2" s="13">
        <f>640000+20645</f>
        <v>660645</v>
      </c>
      <c r="AO2" s="14" t="b">
        <v>1</v>
      </c>
      <c r="AP2" s="13">
        <f>80000+2581</f>
        <v>82581</v>
      </c>
      <c r="AQ2" s="15" t="b">
        <v>1</v>
      </c>
      <c r="AR2" s="16" t="s">
        <v>32</v>
      </c>
      <c r="AS2" s="13">
        <v>640000.0</v>
      </c>
      <c r="AT2" s="14" t="b">
        <v>1</v>
      </c>
      <c r="AU2" s="13">
        <v>80000.0</v>
      </c>
      <c r="AV2" s="15" t="b">
        <v>1</v>
      </c>
      <c r="AW2" s="16" t="s">
        <v>32</v>
      </c>
      <c r="AX2" s="13">
        <v>640000.0</v>
      </c>
      <c r="AY2" s="14" t="b">
        <v>1</v>
      </c>
      <c r="AZ2" s="13">
        <v>80000.0</v>
      </c>
      <c r="BA2" s="15" t="b">
        <v>1</v>
      </c>
      <c r="BB2" s="16" t="s">
        <v>32</v>
      </c>
      <c r="BC2" s="13">
        <v>640000.0</v>
      </c>
      <c r="BD2" s="14" t="b">
        <v>1</v>
      </c>
      <c r="BE2" s="13">
        <v>80000.0</v>
      </c>
      <c r="BF2" s="15" t="b">
        <v>1</v>
      </c>
      <c r="BG2" s="16" t="s">
        <v>32</v>
      </c>
      <c r="BH2" s="13">
        <v>640000.0</v>
      </c>
      <c r="BI2" s="14" t="b">
        <v>1</v>
      </c>
      <c r="BJ2" s="13">
        <v>80000.0</v>
      </c>
      <c r="BK2" s="15" t="b">
        <v>1</v>
      </c>
      <c r="BL2" s="16" t="s">
        <v>32</v>
      </c>
      <c r="BM2" s="13">
        <v>640000.0</v>
      </c>
      <c r="BN2" s="14" t="b">
        <v>0</v>
      </c>
      <c r="BO2" s="13">
        <v>80000.0</v>
      </c>
      <c r="BP2" s="15" t="b">
        <v>0</v>
      </c>
      <c r="BQ2" s="17" t="s">
        <v>33</v>
      </c>
      <c r="BR2" s="1"/>
      <c r="BS2" s="1"/>
      <c r="BT2" s="1"/>
      <c r="BU2" s="1"/>
    </row>
    <row r="3">
      <c r="A3" s="1"/>
      <c r="B3" s="10" t="s">
        <v>34</v>
      </c>
      <c r="C3" s="11" t="str">
        <f>'입주자'!C6</f>
        <v>B-1) 1인실 좌측</v>
      </c>
      <c r="D3" s="12" t="s">
        <v>35</v>
      </c>
      <c r="E3" s="13">
        <v>600000.0</v>
      </c>
      <c r="F3" s="14" t="b">
        <v>1</v>
      </c>
      <c r="G3" s="13">
        <v>80000.0</v>
      </c>
      <c r="H3" s="15" t="b">
        <v>1</v>
      </c>
      <c r="I3" s="12" t="s">
        <v>35</v>
      </c>
      <c r="J3" s="13">
        <v>600000.0</v>
      </c>
      <c r="K3" s="14" t="b">
        <v>1</v>
      </c>
      <c r="L3" s="13">
        <v>80000.0</v>
      </c>
      <c r="M3" s="15" t="b">
        <v>1</v>
      </c>
      <c r="N3" s="12" t="s">
        <v>35</v>
      </c>
      <c r="O3" s="13">
        <v>600000.0</v>
      </c>
      <c r="P3" s="14" t="b">
        <v>1</v>
      </c>
      <c r="Q3" s="13">
        <v>80000.0</v>
      </c>
      <c r="R3" s="15" t="b">
        <v>1</v>
      </c>
      <c r="S3" s="12" t="s">
        <v>35</v>
      </c>
      <c r="T3" s="13">
        <v>600000.0</v>
      </c>
      <c r="U3" s="14" t="b">
        <v>1</v>
      </c>
      <c r="V3" s="13">
        <v>80000.0</v>
      </c>
      <c r="W3" s="15" t="b">
        <v>1</v>
      </c>
      <c r="X3" s="12" t="s">
        <v>35</v>
      </c>
      <c r="Y3" s="13">
        <v>600000.0</v>
      </c>
      <c r="Z3" s="14" t="b">
        <v>1</v>
      </c>
      <c r="AA3" s="13">
        <v>80000.0</v>
      </c>
      <c r="AB3" s="14" t="b">
        <v>1</v>
      </c>
      <c r="AC3" s="12" t="s">
        <v>35</v>
      </c>
      <c r="AD3" s="13">
        <v>600000.0</v>
      </c>
      <c r="AE3" s="14" t="b">
        <v>1</v>
      </c>
      <c r="AF3" s="13">
        <v>80000.0</v>
      </c>
      <c r="AG3" s="14" t="b">
        <v>1</v>
      </c>
      <c r="AH3" s="12" t="s">
        <v>35</v>
      </c>
      <c r="AI3" s="13">
        <v>600000.0</v>
      </c>
      <c r="AJ3" s="14" t="b">
        <v>1</v>
      </c>
      <c r="AK3" s="13">
        <v>80000.0</v>
      </c>
      <c r="AL3" s="15" t="b">
        <v>1</v>
      </c>
      <c r="AM3" s="12" t="s">
        <v>35</v>
      </c>
      <c r="AN3" s="13">
        <v>600000.0</v>
      </c>
      <c r="AO3" s="14" t="b">
        <v>1</v>
      </c>
      <c r="AP3" s="13">
        <v>80000.0</v>
      </c>
      <c r="AQ3" s="15" t="b">
        <v>1</v>
      </c>
      <c r="AR3" s="12" t="s">
        <v>35</v>
      </c>
      <c r="AS3" s="13">
        <v>600000.0</v>
      </c>
      <c r="AT3" s="14" t="b">
        <v>1</v>
      </c>
      <c r="AU3" s="13">
        <v>80000.0</v>
      </c>
      <c r="AV3" s="15" t="b">
        <v>1</v>
      </c>
      <c r="AW3" s="12" t="s">
        <v>35</v>
      </c>
      <c r="AX3" s="13">
        <v>600000.0</v>
      </c>
      <c r="AY3" s="14" t="b">
        <v>1</v>
      </c>
      <c r="AZ3" s="13">
        <v>80000.0</v>
      </c>
      <c r="BA3" s="15" t="b">
        <v>1</v>
      </c>
      <c r="BB3" s="12" t="s">
        <v>35</v>
      </c>
      <c r="BC3" s="13">
        <v>600000.0</v>
      </c>
      <c r="BD3" s="14" t="b">
        <v>1</v>
      </c>
      <c r="BE3" s="13">
        <v>80000.0</v>
      </c>
      <c r="BF3" s="15" t="b">
        <v>1</v>
      </c>
      <c r="BG3" s="12" t="s">
        <v>36</v>
      </c>
      <c r="BH3" s="13">
        <v>600000.0</v>
      </c>
      <c r="BI3" s="14" t="b">
        <v>1</v>
      </c>
      <c r="BJ3" s="13">
        <v>80000.0</v>
      </c>
      <c r="BK3" s="15" t="b">
        <v>1</v>
      </c>
      <c r="BL3" s="12" t="s">
        <v>37</v>
      </c>
      <c r="BM3" s="18"/>
      <c r="BN3" s="18"/>
      <c r="BO3" s="18"/>
      <c r="BP3" s="19"/>
      <c r="BQ3" s="17" t="s">
        <v>33</v>
      </c>
      <c r="BR3" s="1"/>
      <c r="BS3" s="1"/>
      <c r="BT3" s="1"/>
      <c r="BU3" s="1"/>
    </row>
    <row r="4">
      <c r="A4" s="1"/>
      <c r="B4" s="10" t="s">
        <v>27</v>
      </c>
      <c r="C4" s="11" t="str">
        <f>'입주자'!C7</f>
        <v>C-1) 2인실 오</v>
      </c>
      <c r="D4" s="20" t="s">
        <v>38</v>
      </c>
      <c r="E4" s="13">
        <v>275806.0</v>
      </c>
      <c r="F4" s="14" t="b">
        <v>1</v>
      </c>
      <c r="G4" s="13">
        <v>49032.0</v>
      </c>
      <c r="H4" s="15" t="b">
        <v>1</v>
      </c>
      <c r="I4" s="20" t="s">
        <v>39</v>
      </c>
      <c r="J4" s="13">
        <v>450000.0</v>
      </c>
      <c r="K4" s="14" t="b">
        <v>1</v>
      </c>
      <c r="L4" s="13">
        <v>80000.0</v>
      </c>
      <c r="M4" s="15" t="b">
        <v>1</v>
      </c>
      <c r="N4" s="20" t="s">
        <v>39</v>
      </c>
      <c r="O4" s="13">
        <v>450000.0</v>
      </c>
      <c r="P4" s="14" t="b">
        <v>1</v>
      </c>
      <c r="Q4" s="13">
        <v>80000.0</v>
      </c>
      <c r="R4" s="15" t="b">
        <v>1</v>
      </c>
      <c r="S4" s="20" t="s">
        <v>39</v>
      </c>
      <c r="T4" s="13">
        <v>450000.0</v>
      </c>
      <c r="U4" s="14" t="b">
        <v>1</v>
      </c>
      <c r="V4" s="13">
        <v>80000.0</v>
      </c>
      <c r="W4" s="15" t="b">
        <v>1</v>
      </c>
      <c r="X4" s="20" t="s">
        <v>39</v>
      </c>
      <c r="Y4" s="13">
        <v>450000.0</v>
      </c>
      <c r="Z4" s="14" t="b">
        <v>1</v>
      </c>
      <c r="AA4" s="13">
        <v>80000.0</v>
      </c>
      <c r="AB4" s="14" t="b">
        <v>1</v>
      </c>
      <c r="AC4" s="20" t="s">
        <v>39</v>
      </c>
      <c r="AD4" s="13">
        <v>450000.0</v>
      </c>
      <c r="AE4" s="14" t="b">
        <v>1</v>
      </c>
      <c r="AF4" s="13">
        <v>80000.0</v>
      </c>
      <c r="AG4" s="14" t="b">
        <v>1</v>
      </c>
      <c r="AH4" s="12" t="s">
        <v>39</v>
      </c>
      <c r="AI4" s="13">
        <v>450000.0</v>
      </c>
      <c r="AJ4" s="14" t="b">
        <v>1</v>
      </c>
      <c r="AK4" s="13">
        <v>80000.0</v>
      </c>
      <c r="AL4" s="15" t="b">
        <v>1</v>
      </c>
      <c r="AM4" s="20" t="s">
        <v>39</v>
      </c>
      <c r="AN4" s="13">
        <v>450000.0</v>
      </c>
      <c r="AO4" s="14" t="b">
        <v>1</v>
      </c>
      <c r="AP4" s="13">
        <v>80000.0</v>
      </c>
      <c r="AQ4" s="15" t="b">
        <v>1</v>
      </c>
      <c r="AR4" s="20" t="s">
        <v>39</v>
      </c>
      <c r="AS4" s="13">
        <v>450000.0</v>
      </c>
      <c r="AT4" s="14" t="b">
        <v>1</v>
      </c>
      <c r="AU4" s="13">
        <v>80000.0</v>
      </c>
      <c r="AV4" s="15" t="b">
        <v>1</v>
      </c>
      <c r="AW4" s="20" t="s">
        <v>39</v>
      </c>
      <c r="AX4" s="13">
        <v>450000.0</v>
      </c>
      <c r="AY4" s="14" t="b">
        <v>1</v>
      </c>
      <c r="AZ4" s="13">
        <v>80000.0</v>
      </c>
      <c r="BA4" s="15" t="b">
        <v>1</v>
      </c>
      <c r="BB4" s="20" t="s">
        <v>39</v>
      </c>
      <c r="BC4" s="13">
        <v>450000.0</v>
      </c>
      <c r="BD4" s="14" t="b">
        <v>1</v>
      </c>
      <c r="BE4" s="13">
        <v>80000.0</v>
      </c>
      <c r="BF4" s="15" t="b">
        <v>1</v>
      </c>
      <c r="BG4" s="20" t="s">
        <v>39</v>
      </c>
      <c r="BH4" s="13">
        <v>450000.0</v>
      </c>
      <c r="BI4" s="14" t="b">
        <v>1</v>
      </c>
      <c r="BJ4" s="13">
        <v>80000.0</v>
      </c>
      <c r="BK4" s="15" t="b">
        <v>1</v>
      </c>
      <c r="BL4" s="20" t="s">
        <v>39</v>
      </c>
      <c r="BM4" s="13">
        <v>450000.0</v>
      </c>
      <c r="BN4" s="14" t="b">
        <v>0</v>
      </c>
      <c r="BO4" s="13">
        <v>80000.0</v>
      </c>
      <c r="BP4" s="15" t="b">
        <v>0</v>
      </c>
      <c r="BQ4" s="17" t="s">
        <v>33</v>
      </c>
      <c r="BR4" s="1"/>
      <c r="BS4" s="1"/>
      <c r="BT4" s="1"/>
      <c r="BU4" s="1"/>
    </row>
    <row r="5">
      <c r="A5" s="1"/>
      <c r="B5" s="10" t="s">
        <v>27</v>
      </c>
      <c r="C5" s="11" t="str">
        <f>'입주자'!C8</f>
        <v>C-2) 2인실 왼 (창가)</v>
      </c>
      <c r="D5" s="12" t="s">
        <v>40</v>
      </c>
      <c r="E5" s="13">
        <v>400000.0</v>
      </c>
      <c r="F5" s="14" t="b">
        <v>1</v>
      </c>
      <c r="G5" s="13">
        <v>80000.0</v>
      </c>
      <c r="H5" s="15" t="b">
        <v>1</v>
      </c>
      <c r="I5" s="12" t="s">
        <v>40</v>
      </c>
      <c r="J5" s="13">
        <v>400000.0</v>
      </c>
      <c r="K5" s="14" t="b">
        <v>1</v>
      </c>
      <c r="L5" s="13">
        <v>80000.0</v>
      </c>
      <c r="M5" s="15" t="b">
        <v>1</v>
      </c>
      <c r="N5" s="12" t="s">
        <v>40</v>
      </c>
      <c r="O5" s="13">
        <v>400000.0</v>
      </c>
      <c r="P5" s="14" t="b">
        <v>1</v>
      </c>
      <c r="Q5" s="13">
        <v>80000.0</v>
      </c>
      <c r="R5" s="15" t="b">
        <v>1</v>
      </c>
      <c r="S5" s="16" t="s">
        <v>40</v>
      </c>
      <c r="T5" s="13">
        <v>400000.0</v>
      </c>
      <c r="U5" s="14" t="b">
        <v>1</v>
      </c>
      <c r="V5" s="13">
        <v>80000.0</v>
      </c>
      <c r="W5" s="15" t="b">
        <v>1</v>
      </c>
      <c r="X5" s="16" t="s">
        <v>40</v>
      </c>
      <c r="Y5" s="13">
        <v>400000.0</v>
      </c>
      <c r="Z5" s="14" t="b">
        <v>1</v>
      </c>
      <c r="AA5" s="13">
        <v>80000.0</v>
      </c>
      <c r="AB5" s="15" t="b">
        <v>1</v>
      </c>
      <c r="AC5" s="16" t="s">
        <v>41</v>
      </c>
      <c r="AD5" s="13">
        <v>400000.0</v>
      </c>
      <c r="AE5" s="14" t="b">
        <v>1</v>
      </c>
      <c r="AF5" s="13">
        <v>80000.0</v>
      </c>
      <c r="AG5" s="14" t="b">
        <v>1</v>
      </c>
      <c r="AH5" s="12" t="s">
        <v>41</v>
      </c>
      <c r="AI5" s="13">
        <v>420000.0</v>
      </c>
      <c r="AJ5" s="14" t="b">
        <v>1</v>
      </c>
      <c r="AK5" s="13">
        <v>80000.0</v>
      </c>
      <c r="AL5" s="15" t="b">
        <v>1</v>
      </c>
      <c r="AM5" s="16" t="s">
        <v>41</v>
      </c>
      <c r="AN5" s="13">
        <v>420000.0</v>
      </c>
      <c r="AO5" s="14" t="b">
        <v>1</v>
      </c>
      <c r="AP5" s="13">
        <v>80000.0</v>
      </c>
      <c r="AQ5" s="15" t="b">
        <v>1</v>
      </c>
      <c r="AR5" s="16" t="s">
        <v>41</v>
      </c>
      <c r="AS5" s="13">
        <v>420000.0</v>
      </c>
      <c r="AT5" s="14" t="b">
        <v>1</v>
      </c>
      <c r="AU5" s="13">
        <v>80000.0</v>
      </c>
      <c r="AV5" s="15" t="b">
        <v>1</v>
      </c>
      <c r="AW5" s="16" t="s">
        <v>41</v>
      </c>
      <c r="AX5" s="13">
        <v>420000.0</v>
      </c>
      <c r="AY5" s="14" t="b">
        <v>1</v>
      </c>
      <c r="AZ5" s="13">
        <v>80000.0</v>
      </c>
      <c r="BA5" s="15" t="b">
        <v>1</v>
      </c>
      <c r="BB5" s="16" t="s">
        <v>41</v>
      </c>
      <c r="BC5" s="13">
        <v>420000.0</v>
      </c>
      <c r="BD5" s="14" t="b">
        <v>1</v>
      </c>
      <c r="BE5" s="13">
        <v>80000.0</v>
      </c>
      <c r="BF5" s="15" t="b">
        <v>1</v>
      </c>
      <c r="BG5" s="16" t="s">
        <v>41</v>
      </c>
      <c r="BH5" s="13">
        <v>420000.0</v>
      </c>
      <c r="BI5" s="14" t="b">
        <v>1</v>
      </c>
      <c r="BJ5" s="13">
        <v>80000.0</v>
      </c>
      <c r="BK5" s="15" t="b">
        <v>1</v>
      </c>
      <c r="BL5" s="16" t="s">
        <v>41</v>
      </c>
      <c r="BM5" s="13">
        <v>420000.0</v>
      </c>
      <c r="BN5" s="14" t="b">
        <v>0</v>
      </c>
      <c r="BO5" s="13">
        <v>80000.0</v>
      </c>
      <c r="BP5" s="15" t="b">
        <v>0</v>
      </c>
      <c r="BQ5" s="17" t="s">
        <v>33</v>
      </c>
      <c r="BR5" s="1"/>
      <c r="BS5" s="1"/>
      <c r="BT5" s="1"/>
      <c r="BU5" s="1"/>
    </row>
    <row r="6">
      <c r="A6" s="1"/>
      <c r="B6" s="21"/>
      <c r="C6" s="11" t="s">
        <v>42</v>
      </c>
      <c r="D6" s="22"/>
      <c r="E6" s="23">
        <f>SUM(E2:E5)</f>
        <v>1885806</v>
      </c>
      <c r="F6" s="18"/>
      <c r="G6" s="23">
        <f>SUM(G2:G5)</f>
        <v>289032</v>
      </c>
      <c r="H6" s="19"/>
      <c r="I6" s="22"/>
      <c r="J6" s="23">
        <f>SUM(J2:J5)</f>
        <v>2060000</v>
      </c>
      <c r="K6" s="18"/>
      <c r="L6" s="23">
        <f>SUM(L2:L5)</f>
        <v>320000</v>
      </c>
      <c r="M6" s="19"/>
      <c r="N6" s="22"/>
      <c r="O6" s="23">
        <f>SUM(O2:O5)</f>
        <v>2109677</v>
      </c>
      <c r="P6" s="18"/>
      <c r="Q6" s="23">
        <f>SUM(Q2:Q5)</f>
        <v>322581</v>
      </c>
      <c r="R6" s="19"/>
      <c r="S6" s="22"/>
      <c r="T6" s="23">
        <f>SUM(T2:T5)</f>
        <v>2090000</v>
      </c>
      <c r="U6" s="18"/>
      <c r="V6" s="23">
        <f>SUM(V2:V5)</f>
        <v>320000</v>
      </c>
      <c r="W6" s="19"/>
      <c r="X6" s="18"/>
      <c r="Y6" s="23">
        <f>SUM(Y2:Y5)</f>
        <v>2090000</v>
      </c>
      <c r="Z6" s="18"/>
      <c r="AA6" s="23">
        <f>SUM(AA2:AA5)</f>
        <v>320000</v>
      </c>
      <c r="AB6" s="19"/>
      <c r="AC6" s="18"/>
      <c r="AD6" s="23">
        <f>SUM(AD2:AD5)</f>
        <v>2090000</v>
      </c>
      <c r="AE6" s="18"/>
      <c r="AF6" s="23">
        <f>SUM(AF2:AF5)</f>
        <v>320000</v>
      </c>
      <c r="AG6" s="19"/>
      <c r="AH6" s="18"/>
      <c r="AI6" s="23">
        <f>SUM(AI2:AI5)</f>
        <v>2110000</v>
      </c>
      <c r="AJ6" s="18"/>
      <c r="AK6" s="23">
        <f>SUM(AK2:AK5)</f>
        <v>320000</v>
      </c>
      <c r="AL6" s="19"/>
      <c r="AM6" s="18"/>
      <c r="AN6" s="23">
        <f>SUM(AN2:AN5)</f>
        <v>2130645</v>
      </c>
      <c r="AO6" s="18"/>
      <c r="AP6" s="23">
        <f>SUM(AP2:AP5)</f>
        <v>322581</v>
      </c>
      <c r="AQ6" s="19"/>
      <c r="AR6" s="22"/>
      <c r="AS6" s="23">
        <f>SUM(AS2:AS5)</f>
        <v>2110000</v>
      </c>
      <c r="AT6" s="18"/>
      <c r="AU6" s="23">
        <f>SUM(AU2:AU5)</f>
        <v>320000</v>
      </c>
      <c r="AV6" s="19"/>
      <c r="AW6" s="22"/>
      <c r="AX6" s="23">
        <f>SUM(AX2:AX5)</f>
        <v>2110000</v>
      </c>
      <c r="AY6" s="18"/>
      <c r="AZ6" s="23">
        <f>SUM(AZ2:AZ5)</f>
        <v>320000</v>
      </c>
      <c r="BA6" s="19"/>
      <c r="BB6" s="22"/>
      <c r="BC6" s="23">
        <f>SUM(BC2:BC5)</f>
        <v>2110000</v>
      </c>
      <c r="BD6" s="18"/>
      <c r="BE6" s="23">
        <f>SUM(BE2:BE5)</f>
        <v>320000</v>
      </c>
      <c r="BF6" s="19"/>
      <c r="BG6" s="22"/>
      <c r="BH6" s="23">
        <f>SUM(BH2:BH5)</f>
        <v>2110000</v>
      </c>
      <c r="BI6" s="18"/>
      <c r="BJ6" s="23">
        <f>SUM(BJ2:BJ5)</f>
        <v>320000</v>
      </c>
      <c r="BK6" s="19"/>
      <c r="BL6" s="22"/>
      <c r="BM6" s="23">
        <f>SUM(BM2:BM5)</f>
        <v>1510000</v>
      </c>
      <c r="BN6" s="18"/>
      <c r="BO6" s="23">
        <f>SUM(BO2:BO5)</f>
        <v>240000</v>
      </c>
      <c r="BP6" s="19"/>
      <c r="BQ6" s="17" t="s">
        <v>33</v>
      </c>
      <c r="BR6" s="1"/>
      <c r="BS6" s="1"/>
      <c r="BT6" s="1"/>
      <c r="BU6" s="1"/>
    </row>
    <row r="7">
      <c r="A7" s="1"/>
      <c r="B7" s="21"/>
      <c r="C7" s="11" t="s">
        <v>43</v>
      </c>
      <c r="D7" s="22"/>
      <c r="E7" s="23">
        <v>950000.0</v>
      </c>
      <c r="F7" s="18"/>
      <c r="G7" s="18"/>
      <c r="H7" s="19"/>
      <c r="I7" s="22"/>
      <c r="J7" s="23">
        <v>950000.0</v>
      </c>
      <c r="K7" s="18"/>
      <c r="L7" s="18"/>
      <c r="M7" s="19"/>
      <c r="N7" s="22"/>
      <c r="O7" s="23">
        <v>950000.0</v>
      </c>
      <c r="P7" s="18"/>
      <c r="Q7" s="18"/>
      <c r="R7" s="19"/>
      <c r="S7" s="22"/>
      <c r="T7" s="23">
        <v>950000.0</v>
      </c>
      <c r="U7" s="18"/>
      <c r="V7" s="18"/>
      <c r="W7" s="19"/>
      <c r="X7" s="18"/>
      <c r="Y7" s="23">
        <v>950000.0</v>
      </c>
      <c r="Z7" s="18"/>
      <c r="AA7" s="18"/>
      <c r="AB7" s="19"/>
      <c r="AC7" s="18"/>
      <c r="AD7" s="23">
        <v>950000.0</v>
      </c>
      <c r="AE7" s="18"/>
      <c r="AF7" s="18"/>
      <c r="AG7" s="19"/>
      <c r="AH7" s="18"/>
      <c r="AI7" s="23">
        <v>950000.0</v>
      </c>
      <c r="AJ7" s="18"/>
      <c r="AK7" s="18"/>
      <c r="AL7" s="19"/>
      <c r="AM7" s="18"/>
      <c r="AN7" s="23">
        <v>950000.0</v>
      </c>
      <c r="AO7" s="18"/>
      <c r="AP7" s="18"/>
      <c r="AQ7" s="19"/>
      <c r="AR7" s="22"/>
      <c r="AS7" s="23">
        <v>950000.0</v>
      </c>
      <c r="AT7" s="18"/>
      <c r="AU7" s="18"/>
      <c r="AV7" s="19"/>
      <c r="AW7" s="22"/>
      <c r="AX7" s="23">
        <v>950000.0</v>
      </c>
      <c r="AY7" s="18"/>
      <c r="AZ7" s="18"/>
      <c r="BA7" s="19"/>
      <c r="BB7" s="22"/>
      <c r="BC7" s="23">
        <v>950000.0</v>
      </c>
      <c r="BD7" s="18"/>
      <c r="BE7" s="18"/>
      <c r="BF7" s="19"/>
      <c r="BG7" s="22"/>
      <c r="BH7" s="23">
        <v>950000.0</v>
      </c>
      <c r="BI7" s="18"/>
      <c r="BJ7" s="18"/>
      <c r="BK7" s="19"/>
      <c r="BL7" s="22"/>
      <c r="BM7" s="23">
        <v>950000.0</v>
      </c>
      <c r="BN7" s="18"/>
      <c r="BO7" s="18"/>
      <c r="BP7" s="19"/>
      <c r="BQ7" s="17" t="s">
        <v>33</v>
      </c>
      <c r="BR7" s="1"/>
      <c r="BS7" s="1"/>
      <c r="BT7" s="1"/>
      <c r="BU7" s="1"/>
    </row>
    <row r="8">
      <c r="A8" s="1"/>
      <c r="B8" s="10" t="s">
        <v>44</v>
      </c>
      <c r="C8" s="11" t="s">
        <v>45</v>
      </c>
      <c r="D8" s="22"/>
      <c r="E8" s="18"/>
      <c r="F8" s="18"/>
      <c r="G8" s="18"/>
      <c r="H8" s="19"/>
      <c r="I8" s="22"/>
      <c r="J8" s="18"/>
      <c r="K8" s="18"/>
      <c r="L8" s="18"/>
      <c r="M8" s="19"/>
      <c r="N8" s="22"/>
      <c r="O8" s="18"/>
      <c r="P8" s="18"/>
      <c r="Q8" s="18"/>
      <c r="R8" s="19"/>
      <c r="S8" s="22"/>
      <c r="T8" s="18"/>
      <c r="U8" s="18"/>
      <c r="V8" s="18"/>
      <c r="W8" s="24"/>
      <c r="X8" s="18"/>
      <c r="Y8" s="18"/>
      <c r="Z8" s="18"/>
      <c r="AA8" s="18"/>
      <c r="AB8" s="24"/>
      <c r="AC8" s="18"/>
      <c r="AD8" s="18"/>
      <c r="AE8" s="18"/>
      <c r="AF8" s="18"/>
      <c r="AG8" s="24"/>
      <c r="AH8" s="18"/>
      <c r="AI8" s="18"/>
      <c r="AJ8" s="18"/>
      <c r="AK8" s="18"/>
      <c r="AL8" s="24"/>
      <c r="AM8" s="18"/>
      <c r="AN8" s="18"/>
      <c r="AO8" s="18"/>
      <c r="AP8" s="18"/>
      <c r="AQ8" s="24"/>
      <c r="AR8" s="18"/>
      <c r="AS8" s="18"/>
      <c r="AT8" s="18"/>
      <c r="AU8" s="18"/>
      <c r="AV8" s="24"/>
      <c r="AW8" s="18"/>
      <c r="AX8" s="18"/>
      <c r="AY8" s="18"/>
      <c r="AZ8" s="18"/>
      <c r="BA8" s="24"/>
      <c r="BB8" s="18"/>
      <c r="BC8" s="18"/>
      <c r="BD8" s="18"/>
      <c r="BE8" s="18"/>
      <c r="BF8" s="24"/>
      <c r="BG8" s="18"/>
      <c r="BH8" s="18"/>
      <c r="BI8" s="18"/>
      <c r="BJ8" s="18"/>
      <c r="BK8" s="19"/>
      <c r="BL8" s="18"/>
      <c r="BM8" s="18"/>
      <c r="BN8" s="18"/>
      <c r="BO8" s="18"/>
      <c r="BP8" s="19"/>
      <c r="BQ8" s="17" t="s">
        <v>33</v>
      </c>
      <c r="BR8" s="1"/>
      <c r="BS8" s="1"/>
      <c r="BT8" s="1"/>
      <c r="BU8" s="1"/>
    </row>
    <row r="9">
      <c r="A9" s="1"/>
      <c r="B9" s="10" t="s">
        <v>46</v>
      </c>
      <c r="C9" s="11" t="s">
        <v>47</v>
      </c>
      <c r="D9" s="22"/>
      <c r="E9" s="18"/>
      <c r="F9" s="18"/>
      <c r="G9" s="23">
        <v>35400.0</v>
      </c>
      <c r="H9" s="19"/>
      <c r="I9" s="22"/>
      <c r="J9" s="18"/>
      <c r="K9" s="18"/>
      <c r="L9" s="23">
        <v>27080.0</v>
      </c>
      <c r="M9" s="19"/>
      <c r="N9" s="22"/>
      <c r="O9" s="18"/>
      <c r="P9" s="18"/>
      <c r="Q9" s="23">
        <v>25400.0</v>
      </c>
      <c r="R9" s="19"/>
      <c r="S9" s="22"/>
      <c r="T9" s="18"/>
      <c r="U9" s="18"/>
      <c r="V9" s="23">
        <v>28610.0</v>
      </c>
      <c r="W9" s="24"/>
      <c r="X9" s="18"/>
      <c r="Y9" s="18"/>
      <c r="Z9" s="18"/>
      <c r="AA9" s="23">
        <v>25560.0</v>
      </c>
      <c r="AB9" s="24"/>
      <c r="AC9" s="18"/>
      <c r="AD9" s="18"/>
      <c r="AE9" s="18"/>
      <c r="AF9" s="23">
        <v>25860.0</v>
      </c>
      <c r="AG9" s="24"/>
      <c r="AH9" s="18"/>
      <c r="AI9" s="18"/>
      <c r="AJ9" s="18"/>
      <c r="AK9" s="23">
        <v>38750.0</v>
      </c>
      <c r="AL9" s="24"/>
      <c r="AM9" s="18"/>
      <c r="AN9" s="18"/>
      <c r="AO9" s="18"/>
      <c r="AP9" s="23">
        <v>50670.0</v>
      </c>
      <c r="AQ9" s="24"/>
      <c r="AR9" s="18"/>
      <c r="AS9" s="18"/>
      <c r="AT9" s="18"/>
      <c r="AU9" s="23">
        <v>51360.0</v>
      </c>
      <c r="AV9" s="24"/>
      <c r="AW9" s="18"/>
      <c r="AX9" s="18"/>
      <c r="AY9" s="18"/>
      <c r="AZ9" s="23">
        <v>59570.0</v>
      </c>
      <c r="BA9" s="24"/>
      <c r="BB9" s="18"/>
      <c r="BC9" s="18"/>
      <c r="BD9" s="18"/>
      <c r="BE9" s="23">
        <v>30900.0</v>
      </c>
      <c r="BF9" s="24"/>
      <c r="BG9" s="18"/>
      <c r="BH9" s="18"/>
      <c r="BI9" s="18"/>
      <c r="BJ9" s="23">
        <v>34470.0</v>
      </c>
      <c r="BK9" s="19"/>
      <c r="BL9" s="18"/>
      <c r="BM9" s="18"/>
      <c r="BN9" s="18"/>
      <c r="BO9" s="18"/>
      <c r="BP9" s="19"/>
      <c r="BQ9" s="17" t="s">
        <v>33</v>
      </c>
      <c r="BR9" s="1"/>
      <c r="BS9" s="1"/>
      <c r="BT9" s="1"/>
      <c r="BU9" s="1"/>
    </row>
    <row r="10">
      <c r="A10" s="1"/>
      <c r="B10" s="10" t="s">
        <v>48</v>
      </c>
      <c r="C10" s="11" t="s">
        <v>49</v>
      </c>
      <c r="D10" s="22"/>
      <c r="E10" s="18"/>
      <c r="F10" s="18"/>
      <c r="G10" s="23">
        <v>144800.0</v>
      </c>
      <c r="H10" s="19"/>
      <c r="I10" s="22"/>
      <c r="J10" s="18"/>
      <c r="K10" s="18"/>
      <c r="L10" s="23">
        <v>139920.0</v>
      </c>
      <c r="M10" s="19"/>
      <c r="N10" s="22"/>
      <c r="O10" s="18"/>
      <c r="P10" s="18"/>
      <c r="Q10" s="23">
        <v>120650.0</v>
      </c>
      <c r="R10" s="19"/>
      <c r="S10" s="22"/>
      <c r="T10" s="18"/>
      <c r="U10" s="18"/>
      <c r="V10" s="23">
        <v>86700.0</v>
      </c>
      <c r="W10" s="24"/>
      <c r="X10" s="18"/>
      <c r="Y10" s="18"/>
      <c r="Z10" s="18"/>
      <c r="AA10" s="23">
        <v>38480.0</v>
      </c>
      <c r="AB10" s="24"/>
      <c r="AC10" s="18"/>
      <c r="AD10" s="18"/>
      <c r="AE10" s="18"/>
      <c r="AF10" s="23">
        <v>27600.0</v>
      </c>
      <c r="AG10" s="24"/>
      <c r="AH10" s="18"/>
      <c r="AI10" s="18"/>
      <c r="AJ10" s="18"/>
      <c r="AK10" s="23">
        <v>20930.0</v>
      </c>
      <c r="AL10" s="24"/>
      <c r="AM10" s="18"/>
      <c r="AN10" s="18"/>
      <c r="AO10" s="18"/>
      <c r="AP10" s="23">
        <v>15610.0</v>
      </c>
      <c r="AQ10" s="24"/>
      <c r="AR10" s="18"/>
      <c r="AS10" s="18"/>
      <c r="AT10" s="18"/>
      <c r="AU10" s="23">
        <v>17030.0</v>
      </c>
      <c r="AV10" s="24"/>
      <c r="AW10" s="18"/>
      <c r="AX10" s="18"/>
      <c r="AY10" s="18"/>
      <c r="AZ10" s="23">
        <v>33710.0</v>
      </c>
      <c r="BA10" s="24"/>
      <c r="BB10" s="18"/>
      <c r="BC10" s="18"/>
      <c r="BD10" s="18"/>
      <c r="BE10" s="23">
        <v>84770.0</v>
      </c>
      <c r="BF10" s="24"/>
      <c r="BG10" s="18"/>
      <c r="BH10" s="18"/>
      <c r="BI10" s="18"/>
      <c r="BJ10" s="23">
        <v>192980.0</v>
      </c>
      <c r="BK10" s="19"/>
      <c r="BL10" s="18"/>
      <c r="BM10" s="18"/>
      <c r="BN10" s="18"/>
      <c r="BO10" s="18"/>
      <c r="BP10" s="19"/>
      <c r="BQ10" s="17" t="s">
        <v>33</v>
      </c>
      <c r="BR10" s="1"/>
      <c r="BS10" s="1"/>
      <c r="BT10" s="1"/>
      <c r="BU10" s="1"/>
    </row>
    <row r="11">
      <c r="A11" s="1"/>
      <c r="B11" s="10" t="s">
        <v>50</v>
      </c>
      <c r="C11" s="11" t="s">
        <v>51</v>
      </c>
      <c r="D11" s="22"/>
      <c r="E11" s="18"/>
      <c r="F11" s="18"/>
      <c r="G11" s="18"/>
      <c r="H11" s="19"/>
      <c r="I11" s="22"/>
      <c r="J11" s="18"/>
      <c r="K11" s="18"/>
      <c r="L11" s="18"/>
      <c r="M11" s="19"/>
      <c r="N11" s="22"/>
      <c r="O11" s="18"/>
      <c r="P11" s="18"/>
      <c r="Q11" s="18"/>
      <c r="R11" s="19"/>
      <c r="S11" s="22"/>
      <c r="T11" s="18"/>
      <c r="U11" s="18"/>
      <c r="V11" s="23">
        <v>60000.0</v>
      </c>
      <c r="W11" s="24"/>
      <c r="X11" s="18"/>
      <c r="Y11" s="18"/>
      <c r="Z11" s="18"/>
      <c r="AA11" s="23">
        <v>68000.0</v>
      </c>
      <c r="AB11" s="24"/>
      <c r="AC11" s="18"/>
      <c r="AD11" s="18"/>
      <c r="AE11" s="18"/>
      <c r="AF11" s="18"/>
      <c r="AG11" s="24"/>
      <c r="AH11" s="18"/>
      <c r="AI11" s="18"/>
      <c r="AJ11" s="18"/>
      <c r="AK11" s="18"/>
      <c r="AL11" s="24"/>
      <c r="AM11" s="18"/>
      <c r="AN11" s="18"/>
      <c r="AO11" s="18"/>
      <c r="AP11" s="23">
        <v>67000.0</v>
      </c>
      <c r="AQ11" s="24"/>
      <c r="AR11" s="18"/>
      <c r="AS11" s="18"/>
      <c r="AT11" s="18"/>
      <c r="AU11" s="18"/>
      <c r="AV11" s="24"/>
      <c r="AW11" s="18"/>
      <c r="AX11" s="18"/>
      <c r="AY11" s="18"/>
      <c r="AZ11" s="25">
        <v>77000.0</v>
      </c>
      <c r="BA11" s="24"/>
      <c r="BB11" s="18"/>
      <c r="BC11" s="18"/>
      <c r="BD11" s="18"/>
      <c r="BE11" s="18"/>
      <c r="BF11" s="24"/>
      <c r="BG11" s="18"/>
      <c r="BH11" s="18"/>
      <c r="BI11" s="18"/>
      <c r="BJ11" s="23">
        <v>77000.0</v>
      </c>
      <c r="BK11" s="19"/>
      <c r="BL11" s="18"/>
      <c r="BM11" s="18"/>
      <c r="BN11" s="18"/>
      <c r="BO11" s="18"/>
      <c r="BP11" s="19"/>
      <c r="BQ11" s="17" t="s">
        <v>33</v>
      </c>
      <c r="BR11" s="1"/>
      <c r="BS11" s="1"/>
      <c r="BT11" s="1"/>
      <c r="BU11" s="1"/>
    </row>
    <row r="12">
      <c r="A12" s="1"/>
      <c r="B12" s="21"/>
      <c r="C12" s="11" t="s">
        <v>52</v>
      </c>
      <c r="D12" s="22"/>
      <c r="E12" s="18"/>
      <c r="F12" s="18"/>
      <c r="G12" s="23">
        <v>22000.0</v>
      </c>
      <c r="H12" s="19"/>
      <c r="I12" s="22"/>
      <c r="J12" s="18"/>
      <c r="K12" s="18"/>
      <c r="L12" s="23">
        <v>22000.0</v>
      </c>
      <c r="M12" s="19"/>
      <c r="N12" s="22"/>
      <c r="O12" s="18"/>
      <c r="P12" s="18"/>
      <c r="Q12" s="23">
        <v>22000.0</v>
      </c>
      <c r="R12" s="19"/>
      <c r="S12" s="22"/>
      <c r="T12" s="18"/>
      <c r="U12" s="18"/>
      <c r="V12" s="23">
        <v>22000.0</v>
      </c>
      <c r="W12" s="19"/>
      <c r="X12" s="22"/>
      <c r="Y12" s="18"/>
      <c r="Z12" s="18"/>
      <c r="AA12" s="23">
        <v>22000.0</v>
      </c>
      <c r="AB12" s="19"/>
      <c r="AC12" s="22"/>
      <c r="AD12" s="18"/>
      <c r="AE12" s="18"/>
      <c r="AF12" s="23">
        <v>22000.0</v>
      </c>
      <c r="AG12" s="19"/>
      <c r="AH12" s="22"/>
      <c r="AI12" s="18"/>
      <c r="AJ12" s="18"/>
      <c r="AK12" s="23">
        <v>22000.0</v>
      </c>
      <c r="AL12" s="19"/>
      <c r="AM12" s="22"/>
      <c r="AN12" s="18"/>
      <c r="AO12" s="18"/>
      <c r="AP12" s="23">
        <v>22000.0</v>
      </c>
      <c r="AQ12" s="19"/>
      <c r="AR12" s="22"/>
      <c r="AS12" s="18"/>
      <c r="AT12" s="18"/>
      <c r="AU12" s="23">
        <v>22000.0</v>
      </c>
      <c r="AV12" s="19"/>
      <c r="AW12" s="22"/>
      <c r="AX12" s="18"/>
      <c r="AY12" s="18"/>
      <c r="AZ12" s="23">
        <v>22000.0</v>
      </c>
      <c r="BA12" s="19"/>
      <c r="BB12" s="22"/>
      <c r="BC12" s="18"/>
      <c r="BD12" s="18"/>
      <c r="BE12" s="23">
        <v>22000.0</v>
      </c>
      <c r="BF12" s="19"/>
      <c r="BG12" s="22"/>
      <c r="BH12" s="18"/>
      <c r="BI12" s="18"/>
      <c r="BJ12" s="23">
        <v>22000.0</v>
      </c>
      <c r="BK12" s="19"/>
      <c r="BL12" s="22"/>
      <c r="BM12" s="18"/>
      <c r="BN12" s="18"/>
      <c r="BO12" s="23">
        <v>22000.0</v>
      </c>
      <c r="BP12" s="19"/>
      <c r="BQ12" s="17" t="s">
        <v>33</v>
      </c>
      <c r="BR12" s="1"/>
      <c r="BS12" s="1"/>
      <c r="BT12" s="1"/>
      <c r="BU12" s="1"/>
    </row>
    <row r="13">
      <c r="A13" s="1"/>
      <c r="B13" s="21"/>
      <c r="C13" s="11" t="s">
        <v>53</v>
      </c>
      <c r="D13" s="22"/>
      <c r="E13" s="18"/>
      <c r="F13" s="18"/>
      <c r="G13" s="23">
        <v>11000.0</v>
      </c>
      <c r="H13" s="19"/>
      <c r="I13" s="22"/>
      <c r="J13" s="18"/>
      <c r="K13" s="18"/>
      <c r="L13" s="23">
        <v>11000.0</v>
      </c>
      <c r="M13" s="19"/>
      <c r="N13" s="22"/>
      <c r="O13" s="18"/>
      <c r="P13" s="18"/>
      <c r="Q13" s="23">
        <v>11000.0</v>
      </c>
      <c r="R13" s="19"/>
      <c r="S13" s="22"/>
      <c r="T13" s="18"/>
      <c r="U13" s="18"/>
      <c r="V13" s="23">
        <v>11000.0</v>
      </c>
      <c r="W13" s="19"/>
      <c r="X13" s="22"/>
      <c r="Y13" s="18"/>
      <c r="Z13" s="18"/>
      <c r="AA13" s="23">
        <v>11000.0</v>
      </c>
      <c r="AB13" s="19"/>
      <c r="AC13" s="22"/>
      <c r="AD13" s="18"/>
      <c r="AE13" s="18"/>
      <c r="AF13" s="23">
        <v>11000.0</v>
      </c>
      <c r="AG13" s="19"/>
      <c r="AH13" s="22"/>
      <c r="AI13" s="18"/>
      <c r="AJ13" s="18"/>
      <c r="AK13" s="23">
        <v>11000.0</v>
      </c>
      <c r="AL13" s="19"/>
      <c r="AM13" s="22"/>
      <c r="AN13" s="18"/>
      <c r="AO13" s="18"/>
      <c r="AP13" s="23">
        <v>11000.0</v>
      </c>
      <c r="AQ13" s="19"/>
      <c r="AR13" s="22"/>
      <c r="AS13" s="18"/>
      <c r="AT13" s="18"/>
      <c r="AU13" s="23">
        <v>11000.0</v>
      </c>
      <c r="AV13" s="19"/>
      <c r="AW13" s="22"/>
      <c r="AX13" s="18"/>
      <c r="AY13" s="18"/>
      <c r="AZ13" s="23">
        <v>11000.0</v>
      </c>
      <c r="BA13" s="19"/>
      <c r="BB13" s="22"/>
      <c r="BC13" s="18"/>
      <c r="BD13" s="18"/>
      <c r="BE13" s="23">
        <v>11000.0</v>
      </c>
      <c r="BF13" s="19"/>
      <c r="BG13" s="22"/>
      <c r="BH13" s="18"/>
      <c r="BI13" s="18"/>
      <c r="BJ13" s="23">
        <v>11000.0</v>
      </c>
      <c r="BK13" s="19"/>
      <c r="BL13" s="22"/>
      <c r="BM13" s="18"/>
      <c r="BN13" s="18"/>
      <c r="BO13" s="23">
        <v>11000.0</v>
      </c>
      <c r="BP13" s="19"/>
      <c r="BQ13" s="17" t="s">
        <v>33</v>
      </c>
      <c r="BR13" s="1"/>
      <c r="BS13" s="1"/>
      <c r="BT13" s="1"/>
      <c r="BU13" s="1"/>
    </row>
    <row r="14">
      <c r="A14" s="1"/>
      <c r="B14" s="21"/>
      <c r="C14" s="11" t="s">
        <v>54</v>
      </c>
      <c r="D14" s="22"/>
      <c r="E14" s="18"/>
      <c r="F14" s="18"/>
      <c r="G14" s="23">
        <f>SUMIFS('지출'!$G$3:$G1000,'지출'!$J$3:$J1000,G$1,'지출'!$C$3:$C1000,"워너비")</f>
        <v>63550</v>
      </c>
      <c r="H14" s="19"/>
      <c r="I14" s="22"/>
      <c r="J14" s="18"/>
      <c r="K14" s="18"/>
      <c r="L14" s="23">
        <f>SUMIFS('지출'!$G$3:$G1000,'지출'!$J$3:$J1000,L$1,'지출'!$C$3:$C1000,"워너비")</f>
        <v>85750</v>
      </c>
      <c r="M14" s="19"/>
      <c r="N14" s="22"/>
      <c r="O14" s="18"/>
      <c r="P14" s="18"/>
      <c r="Q14" s="23">
        <f>SUMIFS('지출'!$G$3:$G1000,'지출'!$J$3:$J1000,Q$1,'지출'!$C$3:$C1000,"워너비")</f>
        <v>27020</v>
      </c>
      <c r="R14" s="19"/>
      <c r="S14" s="26" t="s">
        <v>55</v>
      </c>
      <c r="T14" s="23">
        <v>3289000.0</v>
      </c>
      <c r="U14" s="18"/>
      <c r="V14" s="23">
        <f>SUMIFS('지출'!$G$3:$G1000,'지출'!$J$3:$J1000,V$1,'지출'!$C$3:$C1000,"워너비")</f>
        <v>0</v>
      </c>
      <c r="W14" s="19"/>
      <c r="X14" s="18"/>
      <c r="Y14" s="18"/>
      <c r="Z14" s="18"/>
      <c r="AA14" s="23">
        <f>SUMIFS('지출'!$G$3:$G1000,'지출'!$J$3:$J1000,AA$1,'지출'!$C$3:$C1000,"워너비")</f>
        <v>0</v>
      </c>
      <c r="AB14" s="19"/>
      <c r="AC14" s="18"/>
      <c r="AD14" s="18"/>
      <c r="AE14" s="18"/>
      <c r="AF14" s="23">
        <f>SUMIFS('지출'!$G$3:$G1000,'지출'!$J$3:$J1000,AF$1,'지출'!$C$3:$C1000,"워너비")</f>
        <v>0</v>
      </c>
      <c r="AG14" s="19"/>
      <c r="AH14" s="18"/>
      <c r="AI14" s="18"/>
      <c r="AJ14" s="18"/>
      <c r="AK14" s="23">
        <f>SUMIFS('지출'!$G$3:$G1000,'지출'!$J$3:$J1000,AK$1,'지출'!$C$3:$C1000,"워너비")</f>
        <v>0</v>
      </c>
      <c r="AL14" s="19"/>
      <c r="AM14" s="18"/>
      <c r="AN14" s="18"/>
      <c r="AO14" s="18"/>
      <c r="AP14" s="23">
        <f>SUMIFS('지출'!$G$3:$G1000,'지출'!$J$3:$J1000,AP$1,'지출'!$C$3:$C1000,"워너비")</f>
        <v>0</v>
      </c>
      <c r="AQ14" s="19"/>
      <c r="AR14" s="22"/>
      <c r="AS14" s="18"/>
      <c r="AT14" s="18"/>
      <c r="AU14" s="23">
        <f>SUMIFS('지출'!$G$3:$G1000,'지출'!$J$3:$J1000,AU$1,'지출'!$C$3:$C1000,"워너비")</f>
        <v>0</v>
      </c>
      <c r="AV14" s="19"/>
      <c r="AW14" s="22"/>
      <c r="AX14" s="18"/>
      <c r="AY14" s="18"/>
      <c r="AZ14" s="23">
        <f>SUMIFS('지출'!$G$3:$G1000,'지출'!$J$3:$J1000,AZ$1,'지출'!$C$3:$C1000,"워너비")</f>
        <v>0</v>
      </c>
      <c r="BA14" s="19"/>
      <c r="BB14" s="22"/>
      <c r="BC14" s="18"/>
      <c r="BD14" s="18"/>
      <c r="BE14" s="23">
        <f>SUMIFS('지출'!$G$3:$G1000,'지출'!$J$3:$J1000,BE$1,'지출'!$C$3:$C1000,"워너비")</f>
        <v>0</v>
      </c>
      <c r="BF14" s="19"/>
      <c r="BG14" s="22"/>
      <c r="BH14" s="18"/>
      <c r="BI14" s="18"/>
      <c r="BJ14" s="23">
        <f>SUMIFS('지출'!$G$3:$G1000,'지출'!$J$3:$J1000,BJ$1,'지출'!$C$3:$C1000,"워너비")</f>
        <v>0</v>
      </c>
      <c r="BK14" s="19"/>
      <c r="BL14" s="22"/>
      <c r="BM14" s="18"/>
      <c r="BN14" s="18"/>
      <c r="BO14" s="23">
        <f>SUMIFS('지출'!$G$3:$G1000,'지출'!$J$3:$J1000,BO$1,'지출'!$C$3:$C1000,"워너비")</f>
        <v>63550</v>
      </c>
      <c r="BP14" s="19"/>
      <c r="BQ14" s="17" t="s">
        <v>33</v>
      </c>
      <c r="BR14" s="1"/>
      <c r="BS14" s="1"/>
      <c r="BT14" s="1"/>
      <c r="BU14" s="1"/>
    </row>
    <row r="15">
      <c r="A15" s="1"/>
      <c r="B15" s="21"/>
      <c r="C15" s="11" t="s">
        <v>56</v>
      </c>
      <c r="D15" s="22"/>
      <c r="E15" s="23">
        <f>E6-(SUM(E7:E14))</f>
        <v>935806</v>
      </c>
      <c r="F15" s="18"/>
      <c r="G15" s="23">
        <f>G6-(SUM(G7:G14))</f>
        <v>12282</v>
      </c>
      <c r="H15" s="19"/>
      <c r="I15" s="22"/>
      <c r="J15" s="23">
        <f>J6-(SUM(J7:J14))</f>
        <v>1110000</v>
      </c>
      <c r="K15" s="18"/>
      <c r="L15" s="23">
        <f>L6-(SUM(L7:L14))</f>
        <v>34250</v>
      </c>
      <c r="M15" s="19"/>
      <c r="N15" s="22"/>
      <c r="O15" s="23">
        <f>O6-(SUM(O7:O14))</f>
        <v>1159677</v>
      </c>
      <c r="P15" s="18"/>
      <c r="Q15" s="23">
        <f>Q6-(SUM(Q7:Q14))</f>
        <v>116511</v>
      </c>
      <c r="R15" s="19"/>
      <c r="S15" s="22"/>
      <c r="T15" s="23">
        <f>T6-(SUM(T7:T14))</f>
        <v>-2149000</v>
      </c>
      <c r="U15" s="18"/>
      <c r="V15" s="23">
        <f>V6-(SUM(V7:V14))</f>
        <v>111690</v>
      </c>
      <c r="W15" s="19"/>
      <c r="X15" s="18"/>
      <c r="Y15" s="23">
        <f>Y6-(SUM(Y7:Y14))</f>
        <v>1140000</v>
      </c>
      <c r="Z15" s="18"/>
      <c r="AA15" s="23">
        <f>AA6-(SUM(AA7:AA14))</f>
        <v>154960</v>
      </c>
      <c r="AB15" s="19"/>
      <c r="AC15" s="18"/>
      <c r="AD15" s="23">
        <f>AD6-(SUM(AD7:AD14))</f>
        <v>1140000</v>
      </c>
      <c r="AE15" s="18"/>
      <c r="AF15" s="23">
        <f>AF6-(SUM(AF7:AF14))</f>
        <v>233540</v>
      </c>
      <c r="AG15" s="19"/>
      <c r="AH15" s="18"/>
      <c r="AI15" s="23">
        <f>AI6-(SUM(AI7:AI14))</f>
        <v>1160000</v>
      </c>
      <c r="AJ15" s="18"/>
      <c r="AK15" s="23">
        <f>AK6-(SUM(AK7:AK14))</f>
        <v>227320</v>
      </c>
      <c r="AL15" s="19"/>
      <c r="AM15" s="18"/>
      <c r="AN15" s="23">
        <f>AN6-(SUM(AN7:AN14))</f>
        <v>1180645</v>
      </c>
      <c r="AO15" s="18"/>
      <c r="AP15" s="23">
        <f>AP6-(SUM(AP7:AP14))</f>
        <v>156301</v>
      </c>
      <c r="AQ15" s="19"/>
      <c r="AR15" s="22"/>
      <c r="AS15" s="23">
        <f>AS6-(SUM(AS7:AS14))</f>
        <v>1160000</v>
      </c>
      <c r="AT15" s="18"/>
      <c r="AU15" s="23">
        <f>AU6-(SUM(AU7:AU14))</f>
        <v>218610</v>
      </c>
      <c r="AV15" s="19"/>
      <c r="AW15" s="22"/>
      <c r="AX15" s="23">
        <f>AX6-(SUM(AX7:AX14))</f>
        <v>1160000</v>
      </c>
      <c r="AY15" s="18"/>
      <c r="AZ15" s="23">
        <f>AZ6-(SUM(AZ7:AZ14))</f>
        <v>116720</v>
      </c>
      <c r="BA15" s="19"/>
      <c r="BB15" s="22"/>
      <c r="BC15" s="23">
        <f>BC6-(SUM(BC7:BC14))</f>
        <v>1160000</v>
      </c>
      <c r="BD15" s="18"/>
      <c r="BE15" s="23">
        <f>BE6-(SUM(BE7:BE14))</f>
        <v>171330</v>
      </c>
      <c r="BF15" s="19"/>
      <c r="BG15" s="22"/>
      <c r="BH15" s="23">
        <f>BH6-(SUM(BH7:BH14))</f>
        <v>1160000</v>
      </c>
      <c r="BI15" s="18"/>
      <c r="BJ15" s="23">
        <f>BJ6-(SUM(BJ7:BJ14))</f>
        <v>-17450</v>
      </c>
      <c r="BK15" s="19"/>
      <c r="BL15" s="22"/>
      <c r="BM15" s="23">
        <f>BM6-(SUM(BM7:BM14))</f>
        <v>560000</v>
      </c>
      <c r="BN15" s="18"/>
      <c r="BO15" s="23">
        <f>BO6-(SUM(BO7:BO14))</f>
        <v>143450</v>
      </c>
      <c r="BP15" s="19"/>
      <c r="BQ15" s="17" t="s">
        <v>33</v>
      </c>
      <c r="BR15" s="1"/>
      <c r="BS15" s="1"/>
      <c r="BT15" s="1"/>
      <c r="BU15" s="1"/>
    </row>
    <row r="16">
      <c r="A16" s="1"/>
      <c r="B16" s="27">
        <v>0.0</v>
      </c>
      <c r="C16" s="11" t="s">
        <v>26</v>
      </c>
      <c r="D16" s="22"/>
      <c r="E16" s="23">
        <f>E15*$B16</f>
        <v>0</v>
      </c>
      <c r="F16" s="18"/>
      <c r="G16" s="18"/>
      <c r="H16" s="19"/>
      <c r="I16" s="22"/>
      <c r="J16" s="23">
        <f>J15*$B16</f>
        <v>0</v>
      </c>
      <c r="K16" s="18"/>
      <c r="L16" s="18"/>
      <c r="M16" s="19"/>
      <c r="N16" s="22"/>
      <c r="O16" s="23">
        <f>O15*$B16</f>
        <v>0</v>
      </c>
      <c r="P16" s="18"/>
      <c r="Q16" s="18"/>
      <c r="R16" s="19"/>
      <c r="S16" s="22"/>
      <c r="T16" s="23">
        <f>T15*$B16</f>
        <v>0</v>
      </c>
      <c r="U16" s="18"/>
      <c r="V16" s="18"/>
      <c r="W16" s="19"/>
      <c r="X16" s="18"/>
      <c r="Y16" s="23">
        <f>Y15*$B16</f>
        <v>0</v>
      </c>
      <c r="Z16" s="18"/>
      <c r="AA16" s="18"/>
      <c r="AB16" s="19"/>
      <c r="AC16" s="18"/>
      <c r="AD16" s="23">
        <f>AD15*$B16</f>
        <v>0</v>
      </c>
      <c r="AE16" s="18"/>
      <c r="AF16" s="18"/>
      <c r="AG16" s="19"/>
      <c r="AH16" s="18"/>
      <c r="AI16" s="23">
        <f>AI15*$B16</f>
        <v>0</v>
      </c>
      <c r="AJ16" s="18"/>
      <c r="AK16" s="18"/>
      <c r="AL16" s="19"/>
      <c r="AM16" s="18"/>
      <c r="AN16" s="23">
        <f>AN15*$B16</f>
        <v>0</v>
      </c>
      <c r="AO16" s="18"/>
      <c r="AP16" s="18"/>
      <c r="AQ16" s="19"/>
      <c r="AR16" s="22"/>
      <c r="AS16" s="23">
        <f>AS15*$B16</f>
        <v>0</v>
      </c>
      <c r="AT16" s="18"/>
      <c r="AU16" s="18"/>
      <c r="AV16" s="19"/>
      <c r="AW16" s="22"/>
      <c r="AX16" s="23">
        <f>AX15*$B16</f>
        <v>0</v>
      </c>
      <c r="AY16" s="18"/>
      <c r="AZ16" s="18"/>
      <c r="BA16" s="19"/>
      <c r="BB16" s="22"/>
      <c r="BC16" s="23">
        <f>BC15*$B16</f>
        <v>0</v>
      </c>
      <c r="BD16" s="18"/>
      <c r="BE16" s="18"/>
      <c r="BF16" s="19"/>
      <c r="BG16" s="22"/>
      <c r="BH16" s="23">
        <f>BH15*$B16</f>
        <v>0</v>
      </c>
      <c r="BI16" s="18"/>
      <c r="BJ16" s="18"/>
      <c r="BK16" s="19"/>
      <c r="BL16" s="22"/>
      <c r="BM16" s="23">
        <f>BM15*$B16</f>
        <v>0</v>
      </c>
      <c r="BN16" s="18"/>
      <c r="BO16" s="18"/>
      <c r="BP16" s="19"/>
      <c r="BQ16" s="17" t="s">
        <v>33</v>
      </c>
      <c r="BR16" s="1"/>
      <c r="BS16" s="1"/>
      <c r="BT16" s="1"/>
      <c r="BU16" s="1"/>
    </row>
    <row r="17">
      <c r="A17" s="28" t="str">
        <f>B2</f>
        <v>워너비</v>
      </c>
      <c r="B17" s="29">
        <v>1.0</v>
      </c>
      <c r="C17" s="30" t="s">
        <v>57</v>
      </c>
      <c r="D17" s="31"/>
      <c r="E17" s="32">
        <f>E15*$B17</f>
        <v>935806</v>
      </c>
      <c r="F17" s="33"/>
      <c r="G17" s="33"/>
      <c r="H17" s="34"/>
      <c r="I17" s="31"/>
      <c r="J17" s="32">
        <f>J15*$B17</f>
        <v>1110000</v>
      </c>
      <c r="K17" s="33"/>
      <c r="L17" s="33"/>
      <c r="M17" s="34"/>
      <c r="N17" s="31"/>
      <c r="O17" s="32">
        <f>O15*$B17</f>
        <v>1159677</v>
      </c>
      <c r="P17" s="33"/>
      <c r="Q17" s="33"/>
      <c r="R17" s="34"/>
      <c r="S17" s="31"/>
      <c r="T17" s="32">
        <f>T15*$B17</f>
        <v>-2149000</v>
      </c>
      <c r="U17" s="33"/>
      <c r="V17" s="33"/>
      <c r="W17" s="34"/>
      <c r="X17" s="33"/>
      <c r="Y17" s="32">
        <f>Y15*$B17</f>
        <v>1140000</v>
      </c>
      <c r="Z17" s="33"/>
      <c r="AA17" s="33"/>
      <c r="AB17" s="34"/>
      <c r="AC17" s="33"/>
      <c r="AD17" s="32">
        <f>AD15*$B17</f>
        <v>1140000</v>
      </c>
      <c r="AE17" s="33"/>
      <c r="AF17" s="33"/>
      <c r="AG17" s="34"/>
      <c r="AH17" s="33"/>
      <c r="AI17" s="32">
        <f>AI15*$B17</f>
        <v>1160000</v>
      </c>
      <c r="AJ17" s="33"/>
      <c r="AK17" s="33"/>
      <c r="AL17" s="34"/>
      <c r="AM17" s="33"/>
      <c r="AN17" s="32">
        <f>AN15*$B17</f>
        <v>1180645</v>
      </c>
      <c r="AO17" s="33"/>
      <c r="AP17" s="33"/>
      <c r="AQ17" s="34"/>
      <c r="AR17" s="31"/>
      <c r="AS17" s="32">
        <f>AS15*$B17</f>
        <v>1160000</v>
      </c>
      <c r="AT17" s="33"/>
      <c r="AU17" s="33"/>
      <c r="AV17" s="34"/>
      <c r="AW17" s="31"/>
      <c r="AX17" s="32">
        <f>AX15*$B17</f>
        <v>1160000</v>
      </c>
      <c r="AY17" s="33"/>
      <c r="AZ17" s="33"/>
      <c r="BA17" s="34"/>
      <c r="BB17" s="31"/>
      <c r="BC17" s="32">
        <f>BC15*$B17</f>
        <v>1160000</v>
      </c>
      <c r="BD17" s="33"/>
      <c r="BE17" s="33"/>
      <c r="BF17" s="34"/>
      <c r="BG17" s="31"/>
      <c r="BH17" s="32">
        <f>BH15*$B17</f>
        <v>1160000</v>
      </c>
      <c r="BI17" s="33"/>
      <c r="BJ17" s="33"/>
      <c r="BK17" s="34"/>
      <c r="BL17" s="31"/>
      <c r="BM17" s="32">
        <f>BM15*$B17</f>
        <v>560000</v>
      </c>
      <c r="BN17" s="33"/>
      <c r="BO17" s="33"/>
      <c r="BP17" s="34"/>
      <c r="BQ17" s="17" t="s">
        <v>33</v>
      </c>
      <c r="BR17" s="1"/>
      <c r="BS17" s="1"/>
      <c r="BT17" s="1"/>
      <c r="BU17" s="1"/>
    </row>
    <row r="18">
      <c r="A18" s="1"/>
      <c r="B18" s="10" t="s">
        <v>58</v>
      </c>
      <c r="C18" s="11" t="s">
        <v>59</v>
      </c>
      <c r="D18" s="10" t="s">
        <v>60</v>
      </c>
      <c r="E18" s="23">
        <v>620000.0</v>
      </c>
      <c r="F18" s="35" t="b">
        <v>1</v>
      </c>
      <c r="G18" s="23">
        <v>80000.0</v>
      </c>
      <c r="H18" s="15" t="b">
        <v>1</v>
      </c>
      <c r="I18" s="10" t="s">
        <v>60</v>
      </c>
      <c r="J18" s="23">
        <v>620000.0</v>
      </c>
      <c r="K18" s="35" t="b">
        <v>0</v>
      </c>
      <c r="L18" s="23">
        <v>80000.0</v>
      </c>
      <c r="M18" s="15" t="b">
        <v>1</v>
      </c>
      <c r="N18" s="10" t="s">
        <v>60</v>
      </c>
      <c r="O18" s="23">
        <v>620000.0</v>
      </c>
      <c r="P18" s="35" t="b">
        <v>0</v>
      </c>
      <c r="Q18" s="23">
        <v>80000.0</v>
      </c>
      <c r="R18" s="15" t="b">
        <v>1</v>
      </c>
      <c r="S18" s="17" t="s">
        <v>60</v>
      </c>
      <c r="T18" s="23">
        <v>620000.0</v>
      </c>
      <c r="U18" s="35" t="b">
        <v>0</v>
      </c>
      <c r="V18" s="23">
        <v>80000.0</v>
      </c>
      <c r="W18" s="15" t="b">
        <v>1</v>
      </c>
      <c r="X18" s="17" t="s">
        <v>60</v>
      </c>
      <c r="Y18" s="23">
        <v>620000.0</v>
      </c>
      <c r="Z18" s="35" t="b">
        <v>0</v>
      </c>
      <c r="AA18" s="23">
        <v>80000.0</v>
      </c>
      <c r="AB18" s="15" t="b">
        <v>1</v>
      </c>
      <c r="AC18" s="36" t="s">
        <v>61</v>
      </c>
      <c r="AD18" s="23">
        <f>248000+211500</f>
        <v>459500</v>
      </c>
      <c r="AE18" s="35" t="b">
        <v>0</v>
      </c>
      <c r="AF18" s="23">
        <f>32000+29000</f>
        <v>61000</v>
      </c>
      <c r="AG18" s="15" t="b">
        <v>0</v>
      </c>
      <c r="AH18" s="36" t="s">
        <v>62</v>
      </c>
      <c r="AI18" s="23">
        <v>569600.0</v>
      </c>
      <c r="AJ18" s="14" t="b">
        <v>0</v>
      </c>
      <c r="AK18" s="13">
        <v>80000.0</v>
      </c>
      <c r="AL18" s="15" t="b">
        <v>1</v>
      </c>
      <c r="AM18" s="36" t="s">
        <v>62</v>
      </c>
      <c r="AN18" s="23">
        <v>569600.0</v>
      </c>
      <c r="AO18" s="14" t="b">
        <v>0</v>
      </c>
      <c r="AP18" s="13">
        <v>80000.0</v>
      </c>
      <c r="AQ18" s="15" t="b">
        <v>1</v>
      </c>
      <c r="AR18" s="36" t="s">
        <v>62</v>
      </c>
      <c r="AS18" s="23">
        <v>569600.0</v>
      </c>
      <c r="AT18" s="14" t="b">
        <v>0</v>
      </c>
      <c r="AU18" s="13">
        <v>80000.0</v>
      </c>
      <c r="AV18" s="15" t="b">
        <v>1</v>
      </c>
      <c r="AW18" s="36" t="s">
        <v>62</v>
      </c>
      <c r="AX18" s="23">
        <v>569600.0</v>
      </c>
      <c r="AY18" s="14" t="b">
        <v>0</v>
      </c>
      <c r="AZ18" s="13">
        <v>80000.0</v>
      </c>
      <c r="BA18" s="15" t="b">
        <v>1</v>
      </c>
      <c r="BB18" s="36" t="s">
        <v>62</v>
      </c>
      <c r="BC18" s="23">
        <v>569600.0</v>
      </c>
      <c r="BD18" s="14" t="b">
        <v>0</v>
      </c>
      <c r="BE18" s="13">
        <v>80000.0</v>
      </c>
      <c r="BF18" s="15" t="b">
        <v>1</v>
      </c>
      <c r="BG18" s="36" t="s">
        <v>62</v>
      </c>
      <c r="BH18" s="23">
        <v>569600.0</v>
      </c>
      <c r="BI18" s="14" t="b">
        <v>0</v>
      </c>
      <c r="BJ18" s="13">
        <v>80000.0</v>
      </c>
      <c r="BK18" s="15" t="b">
        <v>0</v>
      </c>
      <c r="BL18" s="36" t="s">
        <v>62</v>
      </c>
      <c r="BM18" s="23">
        <v>569600.0</v>
      </c>
      <c r="BN18" s="14" t="b">
        <v>0</v>
      </c>
      <c r="BO18" s="13">
        <v>80000.0</v>
      </c>
      <c r="BP18" s="15" t="b">
        <v>0</v>
      </c>
      <c r="BQ18" s="17" t="s">
        <v>63</v>
      </c>
      <c r="BR18" s="1"/>
      <c r="BS18" s="1"/>
      <c r="BT18" s="1"/>
      <c r="BU18" s="1"/>
    </row>
    <row r="19">
      <c r="A19" s="1"/>
      <c r="B19" s="10" t="s">
        <v>58</v>
      </c>
      <c r="C19" s="11" t="s">
        <v>64</v>
      </c>
      <c r="D19" s="12" t="s">
        <v>65</v>
      </c>
      <c r="E19" s="13">
        <v>600000.0</v>
      </c>
      <c r="F19" s="14" t="b">
        <v>0</v>
      </c>
      <c r="G19" s="13">
        <v>80000.0</v>
      </c>
      <c r="H19" s="15" t="b">
        <v>1</v>
      </c>
      <c r="I19" s="12" t="s">
        <v>66</v>
      </c>
      <c r="J19" s="13">
        <f>560345+89655</f>
        <v>650000</v>
      </c>
      <c r="K19" s="14" t="b">
        <v>0</v>
      </c>
      <c r="L19" s="13">
        <f>68966+11034</f>
        <v>80000</v>
      </c>
      <c r="M19" s="15" t="b">
        <v>1</v>
      </c>
      <c r="N19" s="12" t="s">
        <v>67</v>
      </c>
      <c r="O19" s="23">
        <v>650000.0</v>
      </c>
      <c r="P19" s="14" t="b">
        <v>0</v>
      </c>
      <c r="Q19" s="13">
        <v>80000.0</v>
      </c>
      <c r="R19" s="15" t="b">
        <v>1</v>
      </c>
      <c r="S19" s="12" t="s">
        <v>67</v>
      </c>
      <c r="T19" s="23">
        <v>650000.0</v>
      </c>
      <c r="U19" s="14" t="b">
        <v>1</v>
      </c>
      <c r="V19" s="13">
        <v>80000.0</v>
      </c>
      <c r="W19" s="15" t="b">
        <v>1</v>
      </c>
      <c r="X19" s="12" t="s">
        <v>68</v>
      </c>
      <c r="Y19" s="23">
        <v>503226.0</v>
      </c>
      <c r="Z19" s="14" t="b">
        <v>0</v>
      </c>
      <c r="AA19" s="13">
        <v>61935.0</v>
      </c>
      <c r="AB19" s="15" t="b">
        <v>1</v>
      </c>
      <c r="AC19" s="16" t="s">
        <v>69</v>
      </c>
      <c r="AD19" s="13">
        <v>40000.0</v>
      </c>
      <c r="AE19" s="14" t="b">
        <v>0</v>
      </c>
      <c r="AF19" s="13">
        <v>5333.0</v>
      </c>
      <c r="AG19" s="15" t="b">
        <v>1</v>
      </c>
      <c r="AH19" s="16" t="s">
        <v>70</v>
      </c>
      <c r="AI19" s="13">
        <v>600000.0</v>
      </c>
      <c r="AJ19" s="14" t="b">
        <v>0</v>
      </c>
      <c r="AK19" s="13">
        <v>80000.0</v>
      </c>
      <c r="AL19" s="15" t="b">
        <v>1</v>
      </c>
      <c r="AM19" s="16" t="s">
        <v>71</v>
      </c>
      <c r="AN19" s="13">
        <v>600000.0</v>
      </c>
      <c r="AO19" s="14" t="b">
        <v>0</v>
      </c>
      <c r="AP19" s="13">
        <v>80000.0</v>
      </c>
      <c r="AQ19" s="15" t="b">
        <v>1</v>
      </c>
      <c r="AR19" s="16" t="s">
        <v>72</v>
      </c>
      <c r="AS19" s="23">
        <v>630000.0</v>
      </c>
      <c r="AT19" s="14" t="b">
        <v>0</v>
      </c>
      <c r="AU19" s="13">
        <v>80000.0</v>
      </c>
      <c r="AV19" s="15" t="b">
        <v>1</v>
      </c>
      <c r="AW19" s="16" t="s">
        <v>73</v>
      </c>
      <c r="AX19" s="23">
        <v>630000.0</v>
      </c>
      <c r="AY19" s="14" t="b">
        <v>0</v>
      </c>
      <c r="AZ19" s="13">
        <v>80000.0</v>
      </c>
      <c r="BA19" s="15" t="b">
        <v>1</v>
      </c>
      <c r="BB19" s="16" t="s">
        <v>73</v>
      </c>
      <c r="BC19" s="23">
        <v>630000.0</v>
      </c>
      <c r="BD19" s="14" t="b">
        <v>0</v>
      </c>
      <c r="BE19" s="13">
        <v>80000.0</v>
      </c>
      <c r="BF19" s="15" t="b">
        <v>1</v>
      </c>
      <c r="BG19" s="16" t="s">
        <v>74</v>
      </c>
      <c r="BH19" s="23">
        <v>630000.0</v>
      </c>
      <c r="BI19" s="14" t="b">
        <v>0</v>
      </c>
      <c r="BJ19" s="13">
        <v>80000.0</v>
      </c>
      <c r="BK19" s="15" t="b">
        <v>1</v>
      </c>
      <c r="BL19" s="12" t="s">
        <v>75</v>
      </c>
      <c r="BM19" s="23">
        <v>265220.0</v>
      </c>
      <c r="BN19" s="14" t="b">
        <v>0</v>
      </c>
      <c r="BO19" s="13">
        <v>36100.0</v>
      </c>
      <c r="BP19" s="15" t="b">
        <v>0</v>
      </c>
      <c r="BQ19" s="17" t="s">
        <v>63</v>
      </c>
      <c r="BR19" s="1"/>
      <c r="BS19" s="1"/>
      <c r="BT19" s="1"/>
      <c r="BU19" s="1"/>
    </row>
    <row r="20">
      <c r="A20" s="1"/>
      <c r="B20" s="10" t="s">
        <v>58</v>
      </c>
      <c r="C20" s="11" t="s">
        <v>76</v>
      </c>
      <c r="D20" s="12" t="s">
        <v>77</v>
      </c>
      <c r="E20" s="13">
        <v>540000.0</v>
      </c>
      <c r="F20" s="14" t="b">
        <v>0</v>
      </c>
      <c r="G20" s="13">
        <v>80000.0</v>
      </c>
      <c r="H20" s="15" t="b">
        <v>1</v>
      </c>
      <c r="I20" s="12" t="s">
        <v>77</v>
      </c>
      <c r="J20" s="13">
        <v>540000.0</v>
      </c>
      <c r="K20" s="14" t="b">
        <v>0</v>
      </c>
      <c r="L20" s="13">
        <v>80000.0</v>
      </c>
      <c r="M20" s="15" t="b">
        <v>1</v>
      </c>
      <c r="N20" s="12" t="s">
        <v>77</v>
      </c>
      <c r="O20" s="13">
        <v>540000.0</v>
      </c>
      <c r="P20" s="14" t="b">
        <v>0</v>
      </c>
      <c r="Q20" s="13">
        <v>80000.0</v>
      </c>
      <c r="R20" s="15" t="b">
        <v>1</v>
      </c>
      <c r="S20" s="12" t="s">
        <v>77</v>
      </c>
      <c r="T20" s="13">
        <v>540000.0</v>
      </c>
      <c r="U20" s="14" t="b">
        <v>0</v>
      </c>
      <c r="V20" s="13">
        <v>80000.0</v>
      </c>
      <c r="W20" s="15" t="b">
        <v>1</v>
      </c>
      <c r="X20" s="16" t="s">
        <v>78</v>
      </c>
      <c r="Y20" s="13">
        <f>540000+18387</f>
        <v>558387</v>
      </c>
      <c r="Z20" s="14" t="b">
        <v>0</v>
      </c>
      <c r="AA20" s="13">
        <f>80000+2581</f>
        <v>82581</v>
      </c>
      <c r="AB20" s="15" t="b">
        <v>1</v>
      </c>
      <c r="AC20" s="16" t="s">
        <v>79</v>
      </c>
      <c r="AD20" s="13">
        <v>570000.0</v>
      </c>
      <c r="AE20" s="14" t="b">
        <v>0</v>
      </c>
      <c r="AF20" s="13">
        <v>80000.0</v>
      </c>
      <c r="AG20" s="15" t="b">
        <v>1</v>
      </c>
      <c r="AH20" s="16" t="s">
        <v>79</v>
      </c>
      <c r="AI20" s="13">
        <v>570000.0</v>
      </c>
      <c r="AJ20" s="14" t="b">
        <v>0</v>
      </c>
      <c r="AK20" s="13">
        <v>80000.0</v>
      </c>
      <c r="AL20" s="15" t="b">
        <v>1</v>
      </c>
      <c r="AM20" s="16" t="s">
        <v>79</v>
      </c>
      <c r="AN20" s="13">
        <v>570000.0</v>
      </c>
      <c r="AO20" s="14" t="b">
        <v>0</v>
      </c>
      <c r="AP20" s="13">
        <v>80000.0</v>
      </c>
      <c r="AQ20" s="15" t="b">
        <v>1</v>
      </c>
      <c r="AR20" s="16" t="s">
        <v>80</v>
      </c>
      <c r="AS20" s="13">
        <v>570000.0</v>
      </c>
      <c r="AT20" s="14" t="b">
        <v>0</v>
      </c>
      <c r="AU20" s="13">
        <v>80000.0</v>
      </c>
      <c r="AV20" s="15" t="b">
        <v>1</v>
      </c>
      <c r="AW20" s="16" t="s">
        <v>79</v>
      </c>
      <c r="AX20" s="13">
        <v>570000.0</v>
      </c>
      <c r="AY20" s="14" t="b">
        <v>0</v>
      </c>
      <c r="AZ20" s="13">
        <v>80000.0</v>
      </c>
      <c r="BA20" s="15" t="b">
        <v>1</v>
      </c>
      <c r="BB20" s="16" t="s">
        <v>81</v>
      </c>
      <c r="BC20" s="13">
        <f>570000+19000</f>
        <v>589000</v>
      </c>
      <c r="BD20" s="14" t="b">
        <v>0</v>
      </c>
      <c r="BE20" s="13">
        <f>80000+2667</f>
        <v>82667</v>
      </c>
      <c r="BF20" s="15" t="b">
        <v>1</v>
      </c>
      <c r="BG20" s="12" t="s">
        <v>82</v>
      </c>
      <c r="BH20" s="13">
        <v>570000.0</v>
      </c>
      <c r="BI20" s="14" t="b">
        <v>0</v>
      </c>
      <c r="BJ20" s="13">
        <v>80000.0</v>
      </c>
      <c r="BK20" s="15" t="b">
        <v>1</v>
      </c>
      <c r="BL20" s="12" t="s">
        <v>82</v>
      </c>
      <c r="BM20" s="13">
        <v>570000.0</v>
      </c>
      <c r="BN20" s="14" t="b">
        <v>0</v>
      </c>
      <c r="BO20" s="13">
        <v>80000.0</v>
      </c>
      <c r="BP20" s="15" t="b">
        <v>0</v>
      </c>
      <c r="BQ20" s="17" t="s">
        <v>63</v>
      </c>
      <c r="BR20" s="1"/>
      <c r="BS20" s="1"/>
      <c r="BT20" s="1"/>
      <c r="BU20" s="1"/>
    </row>
    <row r="21">
      <c r="A21" s="1"/>
      <c r="B21" s="10" t="s">
        <v>58</v>
      </c>
      <c r="C21" s="11" t="s">
        <v>83</v>
      </c>
      <c r="D21" s="37" t="s">
        <v>84</v>
      </c>
      <c r="E21" s="13">
        <f>86400+448200</f>
        <v>534600</v>
      </c>
      <c r="F21" s="14" t="b">
        <v>0</v>
      </c>
      <c r="G21" s="13">
        <f>13000+67000</f>
        <v>80000</v>
      </c>
      <c r="H21" s="15" t="b">
        <v>1</v>
      </c>
      <c r="I21" s="37" t="s">
        <v>85</v>
      </c>
      <c r="J21" s="13">
        <f>594000+534600</f>
        <v>1128600</v>
      </c>
      <c r="K21" s="14" t="b">
        <v>0</v>
      </c>
      <c r="L21" s="13">
        <f>80000+80000</f>
        <v>160000</v>
      </c>
      <c r="M21" s="15" t="b">
        <v>1</v>
      </c>
      <c r="N21" s="37" t="s">
        <v>86</v>
      </c>
      <c r="O21" s="13">
        <v>534600.0</v>
      </c>
      <c r="P21" s="14" t="b">
        <v>0</v>
      </c>
      <c r="Q21" s="38">
        <v>80000.0</v>
      </c>
      <c r="R21" s="15" t="b">
        <v>1</v>
      </c>
      <c r="S21" s="37" t="s">
        <v>86</v>
      </c>
      <c r="T21" s="13">
        <v>534600.0</v>
      </c>
      <c r="U21" s="14" t="b">
        <v>0</v>
      </c>
      <c r="V21" s="13">
        <v>80000.0</v>
      </c>
      <c r="W21" s="15" t="b">
        <v>1</v>
      </c>
      <c r="X21" s="37" t="s">
        <v>86</v>
      </c>
      <c r="Y21" s="13">
        <v>534600.0</v>
      </c>
      <c r="Z21" s="14" t="b">
        <v>0</v>
      </c>
      <c r="AA21" s="13">
        <v>80000.0</v>
      </c>
      <c r="AB21" s="15" t="b">
        <v>1</v>
      </c>
      <c r="AC21" s="37" t="s">
        <v>86</v>
      </c>
      <c r="AD21" s="13">
        <v>534600.0</v>
      </c>
      <c r="AE21" s="14" t="b">
        <v>0</v>
      </c>
      <c r="AF21" s="13">
        <v>80000.0</v>
      </c>
      <c r="AG21" s="15" t="b">
        <v>1</v>
      </c>
      <c r="AH21" s="37" t="s">
        <v>87</v>
      </c>
      <c r="AI21" s="13">
        <f>85440+443220</f>
        <v>528660</v>
      </c>
      <c r="AJ21" s="14" t="b">
        <v>0</v>
      </c>
      <c r="AK21" s="13">
        <f>12900+67100</f>
        <v>80000</v>
      </c>
      <c r="AL21" s="15" t="b">
        <v>1</v>
      </c>
      <c r="AM21" s="37" t="s">
        <v>88</v>
      </c>
      <c r="AN21" s="13">
        <v>528660.0</v>
      </c>
      <c r="AO21" s="14" t="b">
        <v>0</v>
      </c>
      <c r="AP21" s="13">
        <v>80000.0</v>
      </c>
      <c r="AQ21" s="15" t="b">
        <v>1</v>
      </c>
      <c r="AR21" s="37" t="s">
        <v>88</v>
      </c>
      <c r="AS21" s="13">
        <v>528660.0</v>
      </c>
      <c r="AT21" s="14" t="b">
        <v>0</v>
      </c>
      <c r="AU21" s="13">
        <v>80000.0</v>
      </c>
      <c r="AV21" s="15" t="b">
        <v>1</v>
      </c>
      <c r="AW21" s="37" t="s">
        <v>88</v>
      </c>
      <c r="AX21" s="13">
        <v>528660.0</v>
      </c>
      <c r="AY21" s="14" t="b">
        <v>0</v>
      </c>
      <c r="AZ21" s="13">
        <v>80000.0</v>
      </c>
      <c r="BA21" s="15" t="b">
        <v>1</v>
      </c>
      <c r="BB21" s="37" t="s">
        <v>88</v>
      </c>
      <c r="BC21" s="13">
        <v>528660.0</v>
      </c>
      <c r="BD21" s="14" t="b">
        <v>0</v>
      </c>
      <c r="BE21" s="13">
        <v>80000.0</v>
      </c>
      <c r="BF21" s="15" t="b">
        <v>1</v>
      </c>
      <c r="BG21" s="37" t="s">
        <v>88</v>
      </c>
      <c r="BH21" s="13">
        <v>528660.0</v>
      </c>
      <c r="BI21" s="14" t="b">
        <v>0</v>
      </c>
      <c r="BJ21" s="13">
        <v>80000.0</v>
      </c>
      <c r="BK21" s="15" t="b">
        <v>0</v>
      </c>
      <c r="BL21" s="37" t="s">
        <v>88</v>
      </c>
      <c r="BM21" s="13">
        <v>528660.0</v>
      </c>
      <c r="BN21" s="14" t="b">
        <v>0</v>
      </c>
      <c r="BO21" s="13">
        <v>80000.0</v>
      </c>
      <c r="BP21" s="15" t="b">
        <v>0</v>
      </c>
      <c r="BQ21" s="17" t="s">
        <v>63</v>
      </c>
      <c r="BR21" s="1"/>
      <c r="BS21" s="1"/>
      <c r="BT21" s="1"/>
      <c r="BU21" s="1"/>
    </row>
    <row r="22">
      <c r="A22" s="1"/>
      <c r="B22" s="10" t="s">
        <v>58</v>
      </c>
      <c r="C22" s="11" t="s">
        <v>89</v>
      </c>
      <c r="D22" s="37" t="s">
        <v>90</v>
      </c>
      <c r="E22" s="13">
        <v>480000.0</v>
      </c>
      <c r="F22" s="14" t="b">
        <v>0</v>
      </c>
      <c r="G22" s="13">
        <v>80000.0</v>
      </c>
      <c r="H22" s="15" t="b">
        <v>1</v>
      </c>
      <c r="I22" s="37" t="s">
        <v>90</v>
      </c>
      <c r="J22" s="13">
        <v>480000.0</v>
      </c>
      <c r="K22" s="14" t="b">
        <v>0</v>
      </c>
      <c r="L22" s="13">
        <v>80000.0</v>
      </c>
      <c r="M22" s="15" t="b">
        <v>1</v>
      </c>
      <c r="N22" s="37" t="s">
        <v>90</v>
      </c>
      <c r="O22" s="13">
        <v>475200.0</v>
      </c>
      <c r="P22" s="14" t="b">
        <v>0</v>
      </c>
      <c r="Q22" s="38">
        <v>80000.0</v>
      </c>
      <c r="R22" s="15" t="b">
        <v>1</v>
      </c>
      <c r="S22" s="37" t="s">
        <v>90</v>
      </c>
      <c r="T22" s="13">
        <v>475200.0</v>
      </c>
      <c r="U22" s="14" t="b">
        <v>0</v>
      </c>
      <c r="V22" s="13">
        <v>80000.0</v>
      </c>
      <c r="W22" s="15" t="b">
        <v>1</v>
      </c>
      <c r="X22" s="37" t="s">
        <v>90</v>
      </c>
      <c r="Y22" s="13">
        <v>475200.0</v>
      </c>
      <c r="Z22" s="14" t="b">
        <v>0</v>
      </c>
      <c r="AA22" s="13">
        <v>80000.0</v>
      </c>
      <c r="AB22" s="15" t="b">
        <v>1</v>
      </c>
      <c r="AC22" s="37" t="s">
        <v>90</v>
      </c>
      <c r="AD22" s="13">
        <v>475200.0</v>
      </c>
      <c r="AE22" s="14" t="b">
        <v>0</v>
      </c>
      <c r="AF22" s="13">
        <v>80000.0</v>
      </c>
      <c r="AG22" s="15" t="b">
        <v>1</v>
      </c>
      <c r="AH22" s="37" t="s">
        <v>90</v>
      </c>
      <c r="AI22" s="13">
        <v>469920.0</v>
      </c>
      <c r="AJ22" s="14" t="b">
        <v>0</v>
      </c>
      <c r="AK22" s="13">
        <v>80000.0</v>
      </c>
      <c r="AL22" s="15" t="b">
        <v>1</v>
      </c>
      <c r="AM22" s="37" t="s">
        <v>90</v>
      </c>
      <c r="AN22" s="13">
        <v>469920.0</v>
      </c>
      <c r="AO22" s="14" t="b">
        <v>0</v>
      </c>
      <c r="AP22" s="13">
        <v>80000.0</v>
      </c>
      <c r="AQ22" s="15" t="b">
        <v>1</v>
      </c>
      <c r="AR22" s="37" t="s">
        <v>91</v>
      </c>
      <c r="AS22" s="13">
        <v>469920.0</v>
      </c>
      <c r="AT22" s="14" t="b">
        <v>0</v>
      </c>
      <c r="AU22" s="13">
        <v>80000.0</v>
      </c>
      <c r="AV22" s="15" t="b">
        <v>0</v>
      </c>
      <c r="AW22" s="12" t="s">
        <v>37</v>
      </c>
      <c r="AX22" s="18"/>
      <c r="AY22" s="18"/>
      <c r="AZ22" s="18"/>
      <c r="BA22" s="19"/>
      <c r="BB22" s="12" t="s">
        <v>37</v>
      </c>
      <c r="BC22" s="18"/>
      <c r="BD22" s="18"/>
      <c r="BE22" s="18"/>
      <c r="BF22" s="19"/>
      <c r="BG22" s="12" t="s">
        <v>37</v>
      </c>
      <c r="BH22" s="18"/>
      <c r="BI22" s="18"/>
      <c r="BJ22" s="18"/>
      <c r="BK22" s="19"/>
      <c r="BL22" s="22"/>
      <c r="BM22" s="18"/>
      <c r="BN22" s="18"/>
      <c r="BO22" s="18"/>
      <c r="BP22" s="15" t="b">
        <v>0</v>
      </c>
      <c r="BQ22" s="17" t="s">
        <v>63</v>
      </c>
      <c r="BR22" s="1"/>
      <c r="BS22" s="1"/>
      <c r="BT22" s="1"/>
      <c r="BU22" s="1"/>
    </row>
    <row r="23">
      <c r="A23" s="1"/>
      <c r="B23" s="10" t="s">
        <v>58</v>
      </c>
      <c r="C23" s="11" t="s">
        <v>92</v>
      </c>
      <c r="D23" s="12" t="s">
        <v>93</v>
      </c>
      <c r="E23" s="13">
        <v>450000.0</v>
      </c>
      <c r="F23" s="14" t="b">
        <v>0</v>
      </c>
      <c r="G23" s="13">
        <v>80000.0</v>
      </c>
      <c r="H23" s="15" t="b">
        <v>1</v>
      </c>
      <c r="I23" s="12" t="s">
        <v>94</v>
      </c>
      <c r="J23" s="13">
        <v>450000.0</v>
      </c>
      <c r="K23" s="14" t="b">
        <v>0</v>
      </c>
      <c r="L23" s="13">
        <v>80000.0</v>
      </c>
      <c r="M23" s="15" t="b">
        <v>1</v>
      </c>
      <c r="N23" s="12" t="s">
        <v>94</v>
      </c>
      <c r="O23" s="13">
        <v>450000.0</v>
      </c>
      <c r="P23" s="14" t="b">
        <v>0</v>
      </c>
      <c r="Q23" s="13">
        <v>80000.0</v>
      </c>
      <c r="R23" s="15" t="b">
        <v>1</v>
      </c>
      <c r="S23" s="12" t="s">
        <v>94</v>
      </c>
      <c r="T23" s="13">
        <v>450000.0</v>
      </c>
      <c r="U23" s="14" t="b">
        <v>0</v>
      </c>
      <c r="V23" s="13">
        <v>80000.0</v>
      </c>
      <c r="W23" s="15" t="b">
        <v>1</v>
      </c>
      <c r="X23" s="12" t="s">
        <v>94</v>
      </c>
      <c r="Y23" s="13">
        <v>450000.0</v>
      </c>
      <c r="Z23" s="14" t="b">
        <v>0</v>
      </c>
      <c r="AA23" s="13">
        <v>80000.0</v>
      </c>
      <c r="AB23" s="15" t="b">
        <v>1</v>
      </c>
      <c r="AC23" s="12" t="s">
        <v>94</v>
      </c>
      <c r="AD23" s="13">
        <v>450000.0</v>
      </c>
      <c r="AE23" s="14" t="b">
        <v>0</v>
      </c>
      <c r="AF23" s="13">
        <v>80000.0</v>
      </c>
      <c r="AG23" s="15" t="b">
        <v>1</v>
      </c>
      <c r="AH23" s="12" t="s">
        <v>94</v>
      </c>
      <c r="AI23" s="13">
        <v>450000.0</v>
      </c>
      <c r="AJ23" s="14" t="b">
        <v>0</v>
      </c>
      <c r="AK23" s="13">
        <v>80000.0</v>
      </c>
      <c r="AL23" s="15" t="b">
        <v>1</v>
      </c>
      <c r="AM23" s="12" t="s">
        <v>93</v>
      </c>
      <c r="AN23" s="13">
        <v>450000.0</v>
      </c>
      <c r="AO23" s="14" t="b">
        <v>0</v>
      </c>
      <c r="AP23" s="13">
        <v>80000.0</v>
      </c>
      <c r="AQ23" s="15" t="b">
        <v>1</v>
      </c>
      <c r="AR23" s="12" t="s">
        <v>93</v>
      </c>
      <c r="AS23" s="13">
        <v>450000.0</v>
      </c>
      <c r="AT23" s="14" t="b">
        <v>0</v>
      </c>
      <c r="AU23" s="13">
        <v>80000.0</v>
      </c>
      <c r="AV23" s="15" t="b">
        <v>1</v>
      </c>
      <c r="AW23" s="12" t="s">
        <v>93</v>
      </c>
      <c r="AX23" s="13">
        <v>450000.0</v>
      </c>
      <c r="AY23" s="14" t="b">
        <v>0</v>
      </c>
      <c r="AZ23" s="13">
        <v>80000.0</v>
      </c>
      <c r="BA23" s="15" t="b">
        <v>1</v>
      </c>
      <c r="BB23" s="12" t="s">
        <v>93</v>
      </c>
      <c r="BC23" s="13">
        <v>450000.0</v>
      </c>
      <c r="BD23" s="14" t="b">
        <v>0</v>
      </c>
      <c r="BE23" s="13">
        <v>80000.0</v>
      </c>
      <c r="BF23" s="15" t="b">
        <v>1</v>
      </c>
      <c r="BG23" s="12" t="s">
        <v>93</v>
      </c>
      <c r="BH23" s="13">
        <v>450000.0</v>
      </c>
      <c r="BI23" s="14" t="b">
        <v>0</v>
      </c>
      <c r="BJ23" s="13">
        <v>80000.0</v>
      </c>
      <c r="BK23" s="15" t="b">
        <v>1</v>
      </c>
      <c r="BL23" s="12" t="s">
        <v>93</v>
      </c>
      <c r="BM23" s="13">
        <v>450000.0</v>
      </c>
      <c r="BN23" s="14" t="b">
        <v>0</v>
      </c>
      <c r="BO23" s="13">
        <v>80000.0</v>
      </c>
      <c r="BP23" s="15" t="b">
        <v>0</v>
      </c>
      <c r="BQ23" s="17" t="s">
        <v>63</v>
      </c>
      <c r="BR23" s="1"/>
      <c r="BS23" s="1"/>
      <c r="BT23" s="1"/>
      <c r="BU23" s="1"/>
    </row>
    <row r="24">
      <c r="A24" s="1"/>
      <c r="B24" s="21"/>
      <c r="C24" s="11" t="s">
        <v>42</v>
      </c>
      <c r="D24" s="22"/>
      <c r="E24" s="23">
        <f>SUM(E18:E23)</f>
        <v>3224600</v>
      </c>
      <c r="F24" s="18"/>
      <c r="G24" s="23">
        <f>SUM(G18:G23)</f>
        <v>480000</v>
      </c>
      <c r="H24" s="19"/>
      <c r="I24" s="22"/>
      <c r="J24" s="23">
        <f>SUM(J18:J23)</f>
        <v>3868600</v>
      </c>
      <c r="K24" s="18"/>
      <c r="L24" s="23">
        <f>SUM(L18:L23)</f>
        <v>560000</v>
      </c>
      <c r="M24" s="19"/>
      <c r="N24" s="22"/>
      <c r="O24" s="23">
        <f>SUM(O18:O23)</f>
        <v>3269800</v>
      </c>
      <c r="P24" s="18"/>
      <c r="Q24" s="23">
        <f>SUM(Q18:Q23)</f>
        <v>480000</v>
      </c>
      <c r="R24" s="19"/>
      <c r="S24" s="22"/>
      <c r="T24" s="23">
        <f>SUM(T18:T23)</f>
        <v>3269800</v>
      </c>
      <c r="U24" s="18"/>
      <c r="V24" s="23">
        <f>SUM(V18:V23)</f>
        <v>480000</v>
      </c>
      <c r="W24" s="19"/>
      <c r="X24" s="22"/>
      <c r="Y24" s="23">
        <f>SUM(Y18:Y23)</f>
        <v>3141413</v>
      </c>
      <c r="Z24" s="18"/>
      <c r="AA24" s="23">
        <f>SUM(AA18:AA23)</f>
        <v>464516</v>
      </c>
      <c r="AB24" s="19"/>
      <c r="AC24" s="22"/>
      <c r="AD24" s="23">
        <f>SUM(AD18:AD23)</f>
        <v>2529300</v>
      </c>
      <c r="AE24" s="18"/>
      <c r="AF24" s="23">
        <f>SUM(AF18:AF23)</f>
        <v>386333</v>
      </c>
      <c r="AG24" s="19"/>
      <c r="AH24" s="22"/>
      <c r="AI24" s="23">
        <f>SUM(AI18:AI23)</f>
        <v>3188180</v>
      </c>
      <c r="AJ24" s="18"/>
      <c r="AK24" s="23">
        <f>SUM(AK18:AK23)</f>
        <v>480000</v>
      </c>
      <c r="AL24" s="19"/>
      <c r="AM24" s="22"/>
      <c r="AN24" s="23">
        <f>SUM(AN18:AN23)</f>
        <v>3188180</v>
      </c>
      <c r="AO24" s="18"/>
      <c r="AP24" s="23">
        <f>SUM(AP18:AP23)</f>
        <v>480000</v>
      </c>
      <c r="AQ24" s="19"/>
      <c r="AR24" s="22"/>
      <c r="AS24" s="23">
        <f>SUM(AS18:AS23)</f>
        <v>3218180</v>
      </c>
      <c r="AT24" s="18"/>
      <c r="AU24" s="23">
        <f>SUM(AU18:AU23)</f>
        <v>480000</v>
      </c>
      <c r="AV24" s="19"/>
      <c r="AW24" s="22"/>
      <c r="AX24" s="23">
        <f>SUM(AX18:AX23)</f>
        <v>2748260</v>
      </c>
      <c r="AY24" s="18"/>
      <c r="AZ24" s="23">
        <f>SUM(AZ18:AZ23)</f>
        <v>400000</v>
      </c>
      <c r="BA24" s="19"/>
      <c r="BB24" s="22"/>
      <c r="BC24" s="23">
        <f>SUM(BC18:BC23)</f>
        <v>2767260</v>
      </c>
      <c r="BD24" s="18"/>
      <c r="BE24" s="23">
        <f>SUM(BE18:BE23)</f>
        <v>402667</v>
      </c>
      <c r="BF24" s="19"/>
      <c r="BG24" s="22"/>
      <c r="BH24" s="23">
        <f>SUM(BH18:BH23)</f>
        <v>2748260</v>
      </c>
      <c r="BI24" s="18"/>
      <c r="BJ24" s="23">
        <f>SUM(BJ18:BJ23)</f>
        <v>400000</v>
      </c>
      <c r="BK24" s="19"/>
      <c r="BL24" s="22"/>
      <c r="BM24" s="23">
        <f>SUM(BM18:BM23)</f>
        <v>2383480</v>
      </c>
      <c r="BN24" s="18"/>
      <c r="BO24" s="23">
        <f>SUM(BO18:BO23)</f>
        <v>356100</v>
      </c>
      <c r="BP24" s="19"/>
      <c r="BQ24" s="17" t="s">
        <v>63</v>
      </c>
      <c r="BR24" s="1"/>
      <c r="BS24" s="1"/>
      <c r="BT24" s="1"/>
      <c r="BU24" s="1"/>
    </row>
    <row r="25">
      <c r="A25" s="1"/>
      <c r="B25" s="21"/>
      <c r="C25" s="11" t="s">
        <v>43</v>
      </c>
      <c r="D25" s="22"/>
      <c r="E25" s="23">
        <v>1500000.0</v>
      </c>
      <c r="F25" s="18"/>
      <c r="G25" s="18"/>
      <c r="H25" s="19"/>
      <c r="I25" s="22"/>
      <c r="J25" s="23">
        <v>1500000.0</v>
      </c>
      <c r="K25" s="18"/>
      <c r="L25" s="18"/>
      <c r="M25" s="19"/>
      <c r="N25" s="22"/>
      <c r="O25" s="23">
        <v>1500000.0</v>
      </c>
      <c r="P25" s="18"/>
      <c r="Q25" s="18"/>
      <c r="R25" s="19"/>
      <c r="S25" s="22"/>
      <c r="T25" s="23">
        <v>1500000.0</v>
      </c>
      <c r="U25" s="18"/>
      <c r="V25" s="18"/>
      <c r="W25" s="19"/>
      <c r="X25" s="18"/>
      <c r="Y25" s="23">
        <v>1500000.0</v>
      </c>
      <c r="Z25" s="18"/>
      <c r="AA25" s="18"/>
      <c r="AB25" s="19"/>
      <c r="AC25" s="18"/>
      <c r="AD25" s="23">
        <v>1500000.0</v>
      </c>
      <c r="AE25" s="18"/>
      <c r="AF25" s="18"/>
      <c r="AG25" s="19"/>
      <c r="AH25" s="18"/>
      <c r="AI25" s="23">
        <v>1500000.0</v>
      </c>
      <c r="AJ25" s="18"/>
      <c r="AK25" s="18"/>
      <c r="AL25" s="19"/>
      <c r="AM25" s="18"/>
      <c r="AN25" s="23">
        <v>1500000.0</v>
      </c>
      <c r="AO25" s="18"/>
      <c r="AP25" s="18"/>
      <c r="AQ25" s="19"/>
      <c r="AR25" s="22"/>
      <c r="AS25" s="23">
        <v>1500000.0</v>
      </c>
      <c r="AT25" s="18"/>
      <c r="AU25" s="18"/>
      <c r="AV25" s="19"/>
      <c r="AW25" s="22"/>
      <c r="AX25" s="23">
        <v>1500000.0</v>
      </c>
      <c r="AY25" s="18"/>
      <c r="AZ25" s="18"/>
      <c r="BA25" s="19"/>
      <c r="BB25" s="22"/>
      <c r="BC25" s="23">
        <v>1500000.0</v>
      </c>
      <c r="BD25" s="18"/>
      <c r="BE25" s="18"/>
      <c r="BF25" s="19"/>
      <c r="BG25" s="22"/>
      <c r="BH25" s="23">
        <v>1500000.0</v>
      </c>
      <c r="BI25" s="18"/>
      <c r="BJ25" s="18"/>
      <c r="BK25" s="19"/>
      <c r="BL25" s="22"/>
      <c r="BM25" s="23">
        <v>1500000.0</v>
      </c>
      <c r="BN25" s="18"/>
      <c r="BO25" s="18"/>
      <c r="BP25" s="19"/>
      <c r="BQ25" s="17" t="s">
        <v>63</v>
      </c>
      <c r="BR25" s="1"/>
      <c r="BS25" s="1"/>
      <c r="BT25" s="1"/>
      <c r="BU25" s="1"/>
    </row>
    <row r="26">
      <c r="A26" s="1"/>
      <c r="B26" s="10" t="s">
        <v>95</v>
      </c>
      <c r="C26" s="11" t="s">
        <v>96</v>
      </c>
      <c r="D26" s="22"/>
      <c r="E26" s="18"/>
      <c r="F26" s="18"/>
      <c r="G26" s="23">
        <v>70000.0</v>
      </c>
      <c r="H26" s="19"/>
      <c r="I26" s="22"/>
      <c r="J26" s="18"/>
      <c r="K26" s="18"/>
      <c r="L26" s="23">
        <v>70000.0</v>
      </c>
      <c r="M26" s="19"/>
      <c r="N26" s="22"/>
      <c r="O26" s="18"/>
      <c r="P26" s="18"/>
      <c r="Q26" s="23">
        <v>70000.0</v>
      </c>
      <c r="R26" s="19"/>
      <c r="S26" s="22"/>
      <c r="T26" s="18"/>
      <c r="U26" s="18"/>
      <c r="V26" s="23">
        <v>70000.0</v>
      </c>
      <c r="W26" s="19"/>
      <c r="X26" s="22"/>
      <c r="Y26" s="18"/>
      <c r="Z26" s="18"/>
      <c r="AA26" s="23">
        <v>70000.0</v>
      </c>
      <c r="AB26" s="19"/>
      <c r="AC26" s="22"/>
      <c r="AD26" s="18"/>
      <c r="AE26" s="18"/>
      <c r="AF26" s="23">
        <v>70000.0</v>
      </c>
      <c r="AG26" s="19"/>
      <c r="AH26" s="22"/>
      <c r="AI26" s="18"/>
      <c r="AJ26" s="18"/>
      <c r="AK26" s="23">
        <v>70000.0</v>
      </c>
      <c r="AL26" s="19"/>
      <c r="AM26" s="22"/>
      <c r="AN26" s="18"/>
      <c r="AO26" s="18"/>
      <c r="AP26" s="23">
        <v>70000.0</v>
      </c>
      <c r="AQ26" s="19"/>
      <c r="AR26" s="22"/>
      <c r="AS26" s="18"/>
      <c r="AT26" s="18"/>
      <c r="AU26" s="23">
        <v>70000.0</v>
      </c>
      <c r="AV26" s="19"/>
      <c r="AW26" s="22"/>
      <c r="AX26" s="18"/>
      <c r="AY26" s="18"/>
      <c r="AZ26" s="23">
        <v>70000.0</v>
      </c>
      <c r="BA26" s="19"/>
      <c r="BB26" s="22"/>
      <c r="BC26" s="18"/>
      <c r="BD26" s="18"/>
      <c r="BE26" s="23">
        <v>70000.0</v>
      </c>
      <c r="BF26" s="19"/>
      <c r="BG26" s="22"/>
      <c r="BH26" s="18"/>
      <c r="BI26" s="18"/>
      <c r="BJ26" s="23">
        <v>70000.0</v>
      </c>
      <c r="BK26" s="19"/>
      <c r="BL26" s="22"/>
      <c r="BM26" s="18"/>
      <c r="BN26" s="18"/>
      <c r="BO26" s="23">
        <v>70000.0</v>
      </c>
      <c r="BP26" s="19"/>
      <c r="BQ26" s="17" t="s">
        <v>63</v>
      </c>
      <c r="BR26" s="1"/>
      <c r="BS26" s="1"/>
      <c r="BT26" s="1"/>
      <c r="BU26" s="1"/>
    </row>
    <row r="27">
      <c r="A27" s="1"/>
      <c r="B27" s="10" t="s">
        <v>95</v>
      </c>
      <c r="C27" s="11" t="s">
        <v>47</v>
      </c>
      <c r="D27" s="22"/>
      <c r="E27" s="18"/>
      <c r="F27" s="18"/>
      <c r="G27" s="23">
        <v>59570.0</v>
      </c>
      <c r="H27" s="19"/>
      <c r="I27" s="22"/>
      <c r="J27" s="18"/>
      <c r="K27" s="18"/>
      <c r="L27" s="23">
        <v>230630.0</v>
      </c>
      <c r="M27" s="19"/>
      <c r="N27" s="22"/>
      <c r="O27" s="18"/>
      <c r="P27" s="18"/>
      <c r="Q27" s="23">
        <v>222360.0</v>
      </c>
      <c r="R27" s="19"/>
      <c r="S27" s="22"/>
      <c r="T27" s="18"/>
      <c r="U27" s="18"/>
      <c r="V27" s="18"/>
      <c r="W27" s="19"/>
      <c r="X27" s="22"/>
      <c r="Y27" s="18"/>
      <c r="Z27" s="18"/>
      <c r="AA27" s="18"/>
      <c r="AB27" s="19"/>
      <c r="AC27" s="22"/>
      <c r="AD27" s="18"/>
      <c r="AE27" s="18"/>
      <c r="AF27" s="18"/>
      <c r="AG27" s="19"/>
      <c r="AH27" s="22"/>
      <c r="AI27" s="18"/>
      <c r="AJ27" s="18"/>
      <c r="AK27" s="18"/>
      <c r="AL27" s="19"/>
      <c r="AM27" s="22"/>
      <c r="AN27" s="18"/>
      <c r="AO27" s="18"/>
      <c r="AP27" s="18"/>
      <c r="AQ27" s="19"/>
      <c r="AR27" s="22"/>
      <c r="AS27" s="18"/>
      <c r="AT27" s="18"/>
      <c r="AU27" s="18"/>
      <c r="AV27" s="19"/>
      <c r="AW27" s="22"/>
      <c r="AX27" s="18"/>
      <c r="AY27" s="18"/>
      <c r="AZ27" s="18"/>
      <c r="BA27" s="19"/>
      <c r="BB27" s="22"/>
      <c r="BC27" s="18"/>
      <c r="BD27" s="18"/>
      <c r="BE27" s="18"/>
      <c r="BF27" s="19"/>
      <c r="BG27" s="22"/>
      <c r="BH27" s="18"/>
      <c r="BI27" s="18"/>
      <c r="BJ27" s="18"/>
      <c r="BK27" s="19"/>
      <c r="BL27" s="22"/>
      <c r="BM27" s="18"/>
      <c r="BN27" s="18"/>
      <c r="BO27" s="18"/>
      <c r="BP27" s="19"/>
      <c r="BQ27" s="17" t="s">
        <v>63</v>
      </c>
      <c r="BR27" s="1"/>
      <c r="BS27" s="1"/>
      <c r="BT27" s="1"/>
      <c r="BU27" s="1"/>
    </row>
    <row r="28">
      <c r="A28" s="1"/>
      <c r="B28" s="10" t="s">
        <v>95</v>
      </c>
      <c r="C28" s="11" t="s">
        <v>49</v>
      </c>
      <c r="D28" s="22"/>
      <c r="E28" s="18"/>
      <c r="F28" s="18"/>
      <c r="G28" s="23">
        <v>262890.0</v>
      </c>
      <c r="H28" s="19"/>
      <c r="I28" s="22"/>
      <c r="J28" s="18"/>
      <c r="K28" s="18"/>
      <c r="L28" s="23">
        <v>127220.0</v>
      </c>
      <c r="M28" s="19"/>
      <c r="N28" s="22"/>
      <c r="O28" s="18"/>
      <c r="P28" s="18"/>
      <c r="Q28" s="23">
        <v>102090.0</v>
      </c>
      <c r="R28" s="19"/>
      <c r="S28" s="22"/>
      <c r="T28" s="18"/>
      <c r="U28" s="18"/>
      <c r="V28" s="18"/>
      <c r="W28" s="19"/>
      <c r="X28" s="22"/>
      <c r="Y28" s="18"/>
      <c r="Z28" s="18"/>
      <c r="AA28" s="18"/>
      <c r="AB28" s="19"/>
      <c r="AC28" s="22"/>
      <c r="AD28" s="18"/>
      <c r="AE28" s="18"/>
      <c r="AF28" s="18"/>
      <c r="AG28" s="19"/>
      <c r="AH28" s="22"/>
      <c r="AI28" s="18"/>
      <c r="AJ28" s="18"/>
      <c r="AK28" s="18"/>
      <c r="AL28" s="19"/>
      <c r="AM28" s="22"/>
      <c r="AN28" s="18"/>
      <c r="AO28" s="18"/>
      <c r="AP28" s="18"/>
      <c r="AQ28" s="19"/>
      <c r="AR28" s="22"/>
      <c r="AS28" s="18"/>
      <c r="AT28" s="18"/>
      <c r="AU28" s="18"/>
      <c r="AV28" s="19"/>
      <c r="AW28" s="22"/>
      <c r="AX28" s="18"/>
      <c r="AY28" s="18"/>
      <c r="AZ28" s="18"/>
      <c r="BA28" s="19"/>
      <c r="BB28" s="22"/>
      <c r="BC28" s="18"/>
      <c r="BD28" s="18"/>
      <c r="BE28" s="18"/>
      <c r="BF28" s="19"/>
      <c r="BG28" s="22"/>
      <c r="BH28" s="18"/>
      <c r="BI28" s="18"/>
      <c r="BJ28" s="18"/>
      <c r="BK28" s="19"/>
      <c r="BL28" s="22"/>
      <c r="BM28" s="18"/>
      <c r="BN28" s="18"/>
      <c r="BO28" s="18"/>
      <c r="BP28" s="19"/>
      <c r="BQ28" s="17" t="s">
        <v>63</v>
      </c>
      <c r="BR28" s="1"/>
      <c r="BS28" s="1"/>
      <c r="BT28" s="1"/>
      <c r="BU28" s="1"/>
    </row>
    <row r="29">
      <c r="A29" s="1"/>
      <c r="B29" s="10" t="s">
        <v>95</v>
      </c>
      <c r="C29" s="11" t="s">
        <v>51</v>
      </c>
      <c r="D29" s="22"/>
      <c r="E29" s="18"/>
      <c r="F29" s="18"/>
      <c r="G29" s="23">
        <v>0.0</v>
      </c>
      <c r="H29" s="19"/>
      <c r="I29" s="22"/>
      <c r="J29" s="18"/>
      <c r="K29" s="18"/>
      <c r="L29" s="23">
        <v>30912.0</v>
      </c>
      <c r="M29" s="19"/>
      <c r="N29" s="22"/>
      <c r="O29" s="18"/>
      <c r="P29" s="18"/>
      <c r="Q29" s="23">
        <v>0.0</v>
      </c>
      <c r="R29" s="19"/>
      <c r="S29" s="22"/>
      <c r="T29" s="18"/>
      <c r="U29" s="18"/>
      <c r="V29" s="18"/>
      <c r="W29" s="19"/>
      <c r="X29" s="22"/>
      <c r="Y29" s="18"/>
      <c r="Z29" s="18"/>
      <c r="AA29" s="18"/>
      <c r="AB29" s="19"/>
      <c r="AC29" s="22"/>
      <c r="AD29" s="18"/>
      <c r="AE29" s="18"/>
      <c r="AF29" s="18"/>
      <c r="AG29" s="19"/>
      <c r="AH29" s="22"/>
      <c r="AI29" s="18"/>
      <c r="AJ29" s="18"/>
      <c r="AK29" s="18"/>
      <c r="AL29" s="19"/>
      <c r="AM29" s="22"/>
      <c r="AN29" s="18"/>
      <c r="AO29" s="18"/>
      <c r="AP29" s="18"/>
      <c r="AQ29" s="19"/>
      <c r="AR29" s="22"/>
      <c r="AS29" s="18"/>
      <c r="AT29" s="18"/>
      <c r="AU29" s="18"/>
      <c r="AV29" s="19"/>
      <c r="AW29" s="22"/>
      <c r="AX29" s="18"/>
      <c r="AY29" s="18"/>
      <c r="AZ29" s="18"/>
      <c r="BA29" s="19"/>
      <c r="BB29" s="22"/>
      <c r="BC29" s="18"/>
      <c r="BD29" s="18"/>
      <c r="BE29" s="18"/>
      <c r="BF29" s="19"/>
      <c r="BG29" s="22"/>
      <c r="BH29" s="18"/>
      <c r="BI29" s="18"/>
      <c r="BJ29" s="18"/>
      <c r="BK29" s="19"/>
      <c r="BL29" s="22"/>
      <c r="BM29" s="18"/>
      <c r="BN29" s="18"/>
      <c r="BO29" s="18"/>
      <c r="BP29" s="19"/>
      <c r="BQ29" s="17" t="s">
        <v>63</v>
      </c>
      <c r="BR29" s="1"/>
      <c r="BS29" s="1"/>
      <c r="BT29" s="1"/>
      <c r="BU29" s="1"/>
    </row>
    <row r="30">
      <c r="A30" s="1"/>
      <c r="B30" s="10" t="s">
        <v>95</v>
      </c>
      <c r="C30" s="11" t="s">
        <v>52</v>
      </c>
      <c r="D30" s="22"/>
      <c r="E30" s="18"/>
      <c r="F30" s="18"/>
      <c r="G30" s="23">
        <v>22000.0</v>
      </c>
      <c r="H30" s="19"/>
      <c r="I30" s="22"/>
      <c r="J30" s="18"/>
      <c r="K30" s="18"/>
      <c r="L30" s="23">
        <v>22000.0</v>
      </c>
      <c r="M30" s="19"/>
      <c r="N30" s="22"/>
      <c r="O30" s="18"/>
      <c r="P30" s="18"/>
      <c r="Q30" s="23">
        <v>22000.0</v>
      </c>
      <c r="R30" s="19"/>
      <c r="S30" s="22"/>
      <c r="T30" s="18"/>
      <c r="U30" s="18"/>
      <c r="V30" s="23">
        <v>22000.0</v>
      </c>
      <c r="W30" s="19"/>
      <c r="X30" s="22"/>
      <c r="Y30" s="18"/>
      <c r="Z30" s="18"/>
      <c r="AA30" s="23">
        <v>22000.0</v>
      </c>
      <c r="AB30" s="19"/>
      <c r="AC30" s="22"/>
      <c r="AD30" s="18"/>
      <c r="AE30" s="18"/>
      <c r="AF30" s="23">
        <v>22000.0</v>
      </c>
      <c r="AG30" s="19"/>
      <c r="AH30" s="22"/>
      <c r="AI30" s="18"/>
      <c r="AJ30" s="18"/>
      <c r="AK30" s="23">
        <v>22000.0</v>
      </c>
      <c r="AL30" s="19"/>
      <c r="AM30" s="22"/>
      <c r="AN30" s="18"/>
      <c r="AO30" s="18"/>
      <c r="AP30" s="23">
        <v>22000.0</v>
      </c>
      <c r="AQ30" s="19"/>
      <c r="AR30" s="22"/>
      <c r="AS30" s="18"/>
      <c r="AT30" s="18"/>
      <c r="AU30" s="23">
        <v>22000.0</v>
      </c>
      <c r="AV30" s="19"/>
      <c r="AW30" s="22"/>
      <c r="AX30" s="18"/>
      <c r="AY30" s="18"/>
      <c r="AZ30" s="23">
        <v>22000.0</v>
      </c>
      <c r="BA30" s="19"/>
      <c r="BB30" s="22"/>
      <c r="BC30" s="18"/>
      <c r="BD30" s="18"/>
      <c r="BE30" s="23">
        <v>22000.0</v>
      </c>
      <c r="BF30" s="19"/>
      <c r="BG30" s="22"/>
      <c r="BH30" s="18"/>
      <c r="BI30" s="18"/>
      <c r="BJ30" s="23">
        <v>22000.0</v>
      </c>
      <c r="BK30" s="19"/>
      <c r="BL30" s="22"/>
      <c r="BM30" s="18"/>
      <c r="BN30" s="18"/>
      <c r="BO30" s="23">
        <v>22000.0</v>
      </c>
      <c r="BP30" s="19"/>
      <c r="BQ30" s="17" t="s">
        <v>63</v>
      </c>
      <c r="BR30" s="1"/>
      <c r="BS30" s="1"/>
      <c r="BT30" s="1"/>
      <c r="BU30" s="1"/>
    </row>
    <row r="31">
      <c r="A31" s="1"/>
      <c r="B31" s="10" t="s">
        <v>95</v>
      </c>
      <c r="C31" s="11" t="s">
        <v>53</v>
      </c>
      <c r="D31" s="22"/>
      <c r="E31" s="18"/>
      <c r="F31" s="18"/>
      <c r="G31" s="23">
        <v>19900.0</v>
      </c>
      <c r="H31" s="19"/>
      <c r="I31" s="22"/>
      <c r="J31" s="18"/>
      <c r="K31" s="18"/>
      <c r="L31" s="23">
        <v>19900.0</v>
      </c>
      <c r="M31" s="19"/>
      <c r="N31" s="22"/>
      <c r="O31" s="18"/>
      <c r="P31" s="18"/>
      <c r="Q31" s="23">
        <v>19900.0</v>
      </c>
      <c r="R31" s="19"/>
      <c r="S31" s="22"/>
      <c r="T31" s="18"/>
      <c r="U31" s="18"/>
      <c r="V31" s="23">
        <v>19900.0</v>
      </c>
      <c r="W31" s="19"/>
      <c r="X31" s="22"/>
      <c r="Y31" s="18"/>
      <c r="Z31" s="18"/>
      <c r="AA31" s="23">
        <v>19900.0</v>
      </c>
      <c r="AB31" s="19"/>
      <c r="AC31" s="22"/>
      <c r="AD31" s="18"/>
      <c r="AE31" s="18"/>
      <c r="AF31" s="23">
        <v>19900.0</v>
      </c>
      <c r="AG31" s="19"/>
      <c r="AH31" s="22"/>
      <c r="AI31" s="18"/>
      <c r="AJ31" s="18"/>
      <c r="AK31" s="23">
        <v>19900.0</v>
      </c>
      <c r="AL31" s="19"/>
      <c r="AM31" s="22"/>
      <c r="AN31" s="18"/>
      <c r="AO31" s="18"/>
      <c r="AP31" s="23">
        <v>19900.0</v>
      </c>
      <c r="AQ31" s="19"/>
      <c r="AR31" s="22"/>
      <c r="AS31" s="18"/>
      <c r="AT31" s="18"/>
      <c r="AU31" s="23">
        <v>19900.0</v>
      </c>
      <c r="AV31" s="19"/>
      <c r="AW31" s="22"/>
      <c r="AX31" s="18"/>
      <c r="AY31" s="18"/>
      <c r="AZ31" s="23">
        <v>19900.0</v>
      </c>
      <c r="BA31" s="19"/>
      <c r="BB31" s="22"/>
      <c r="BC31" s="18"/>
      <c r="BD31" s="18"/>
      <c r="BE31" s="23">
        <v>19900.0</v>
      </c>
      <c r="BF31" s="19"/>
      <c r="BG31" s="22"/>
      <c r="BH31" s="18"/>
      <c r="BI31" s="18"/>
      <c r="BJ31" s="23">
        <v>19900.0</v>
      </c>
      <c r="BK31" s="19"/>
      <c r="BL31" s="22"/>
      <c r="BM31" s="18"/>
      <c r="BN31" s="18"/>
      <c r="BO31" s="23">
        <v>19900.0</v>
      </c>
      <c r="BP31" s="19"/>
      <c r="BQ31" s="17" t="s">
        <v>63</v>
      </c>
      <c r="BR31" s="1"/>
      <c r="BS31" s="1"/>
      <c r="BT31" s="1"/>
      <c r="BU31" s="1"/>
    </row>
    <row r="32">
      <c r="A32" s="1"/>
      <c r="B32" s="21"/>
      <c r="C32" s="11" t="s">
        <v>54</v>
      </c>
      <c r="D32" s="22"/>
      <c r="E32" s="18"/>
      <c r="F32" s="18"/>
      <c r="G32" s="23">
        <f>SUMIFS('지출'!$G$3:$G1000,'지출'!$J$3:$J1000,G$1,'지출'!$C$3:$C1000,"영동")</f>
        <v>174360</v>
      </c>
      <c r="H32" s="19"/>
      <c r="I32" s="22"/>
      <c r="J32" s="18"/>
      <c r="K32" s="18"/>
      <c r="L32" s="23">
        <f>SUMIFS('지출'!$G$3:$G1000,'지출'!$J$3:$J1000,L$1,'지출'!$C$3:$C1000,"영동")</f>
        <v>50000</v>
      </c>
      <c r="M32" s="19"/>
      <c r="N32" s="22"/>
      <c r="O32" s="18"/>
      <c r="P32" s="18"/>
      <c r="Q32" s="23">
        <f>SUMIFS('지출'!$G$3:$G1000,'지출'!$J$3:$J1000,Q$1,'지출'!$C$3:$C1000,"영동")</f>
        <v>124500</v>
      </c>
      <c r="R32" s="19"/>
      <c r="S32" s="22"/>
      <c r="T32" s="18"/>
      <c r="U32" s="18"/>
      <c r="V32" s="23">
        <f>SUMIFS('지출'!$G$3:$G1000,'지출'!$J$3:$J1000,V$1,'지출'!$C$3:$C1000,"영동")</f>
        <v>0</v>
      </c>
      <c r="W32" s="19"/>
      <c r="X32" s="18"/>
      <c r="Y32" s="18"/>
      <c r="Z32" s="18"/>
      <c r="AA32" s="23">
        <f>SUMIFS('지출'!$G$3:$G1000,'지출'!$J$3:$J1000,AA$1,'지출'!$C$3:$C1000,"영동")</f>
        <v>0</v>
      </c>
      <c r="AB32" s="19"/>
      <c r="AC32" s="18"/>
      <c r="AD32" s="18"/>
      <c r="AE32" s="18"/>
      <c r="AF32" s="23">
        <f>SUMIFS('지출'!$G$3:$G1000,'지출'!$J$3:$J1000,AF$1,'지출'!$C$3:$C1000,"영동")</f>
        <v>0</v>
      </c>
      <c r="AG32" s="19"/>
      <c r="AH32" s="18"/>
      <c r="AI32" s="18"/>
      <c r="AJ32" s="18"/>
      <c r="AK32" s="23">
        <f>SUMIFS('지출'!$G$3:$G1000,'지출'!$J$3:$J1000,AK$1,'지출'!$C$3:$C1000,"영동")</f>
        <v>0</v>
      </c>
      <c r="AL32" s="19"/>
      <c r="AM32" s="18"/>
      <c r="AN32" s="18"/>
      <c r="AO32" s="18"/>
      <c r="AP32" s="23">
        <f>SUMIFS('지출'!$G$3:$G1000,'지출'!$J$3:$J1000,AP$1,'지출'!$C$3:$C1000,"영동")</f>
        <v>0</v>
      </c>
      <c r="AQ32" s="19"/>
      <c r="AR32" s="22"/>
      <c r="AS32" s="18"/>
      <c r="AT32" s="18"/>
      <c r="AU32" s="23">
        <f>SUMIFS('지출'!$G$3:$G1000,'지출'!$J$3:$J1000,AU$1,'지출'!$C$3:$C1000,"영동")</f>
        <v>0</v>
      </c>
      <c r="AV32" s="19"/>
      <c r="AW32" s="22"/>
      <c r="AX32" s="18"/>
      <c r="AY32" s="18"/>
      <c r="AZ32" s="23">
        <f>SUMIFS('지출'!$G$3:$G1000,'지출'!$J$3:$J1000,AZ$1,'지출'!$C$3:$C1000,"영동")</f>
        <v>0</v>
      </c>
      <c r="BA32" s="19"/>
      <c r="BB32" s="22"/>
      <c r="BC32" s="18"/>
      <c r="BD32" s="18"/>
      <c r="BE32" s="23">
        <f>SUMIFS('지출'!$G$3:$G1000,'지출'!$J$3:$J1000,BE$1,'지출'!$C$3:$C1000,"영동")</f>
        <v>0</v>
      </c>
      <c r="BF32" s="19"/>
      <c r="BG32" s="22"/>
      <c r="BH32" s="18"/>
      <c r="BI32" s="18"/>
      <c r="BJ32" s="23">
        <f>SUMIFS('지출'!$G$3:$G1000,'지출'!$J$3:$J1000,BJ$1,'지출'!$C$3:$C1000,"영동")</f>
        <v>0</v>
      </c>
      <c r="BK32" s="19"/>
      <c r="BL32" s="22"/>
      <c r="BM32" s="18"/>
      <c r="BN32" s="18"/>
      <c r="BO32" s="23">
        <f>SUMIFS('지출'!$G$3:$G1000,'지출'!$J$3:$J1000,BO$1,'지출'!$C$3:$C1000,"영동")</f>
        <v>174360</v>
      </c>
      <c r="BP32" s="19"/>
      <c r="BQ32" s="17" t="s">
        <v>63</v>
      </c>
      <c r="BR32" s="1"/>
      <c r="BS32" s="1"/>
      <c r="BT32" s="1"/>
      <c r="BU32" s="1"/>
    </row>
    <row r="33">
      <c r="A33" s="1"/>
      <c r="B33" s="21"/>
      <c r="C33" s="11" t="s">
        <v>56</v>
      </c>
      <c r="D33" s="22"/>
      <c r="E33" s="23">
        <f>E24-(SUM(E25:E32))</f>
        <v>1724600</v>
      </c>
      <c r="F33" s="18"/>
      <c r="G33" s="23">
        <f>G24-(SUM(G25:G32))</f>
        <v>-128720</v>
      </c>
      <c r="H33" s="19"/>
      <c r="I33" s="22"/>
      <c r="J33" s="23">
        <f>J24-(SUM(J25:J32))</f>
        <v>2368600</v>
      </c>
      <c r="K33" s="18"/>
      <c r="L33" s="23">
        <f>L24-(SUM(L25:L32))</f>
        <v>9338</v>
      </c>
      <c r="M33" s="19"/>
      <c r="N33" s="22"/>
      <c r="O33" s="23">
        <f>O24-(SUM(O25:O32))</f>
        <v>1769800</v>
      </c>
      <c r="P33" s="18"/>
      <c r="Q33" s="23">
        <f>Q24-(SUM(Q25:Q32))</f>
        <v>-80850</v>
      </c>
      <c r="R33" s="19"/>
      <c r="S33" s="22"/>
      <c r="T33" s="23">
        <f>T24-(SUM(T25:T32))</f>
        <v>1769800</v>
      </c>
      <c r="U33" s="18"/>
      <c r="V33" s="23">
        <f>V24-(SUM(V25:V32))</f>
        <v>368100</v>
      </c>
      <c r="W33" s="19"/>
      <c r="X33" s="18"/>
      <c r="Y33" s="23">
        <f>Y24-(SUM(Y25:Y32))</f>
        <v>1641413</v>
      </c>
      <c r="Z33" s="18"/>
      <c r="AA33" s="23">
        <f>AA24-(SUM(AA25:AA32))</f>
        <v>352616</v>
      </c>
      <c r="AB33" s="19"/>
      <c r="AC33" s="18"/>
      <c r="AD33" s="23">
        <f>AD24-(SUM(AD25:AD32))</f>
        <v>1029300</v>
      </c>
      <c r="AE33" s="18"/>
      <c r="AF33" s="23">
        <f>AF24-(SUM(AF25:AF32))</f>
        <v>274433</v>
      </c>
      <c r="AG33" s="19"/>
      <c r="AH33" s="18"/>
      <c r="AI33" s="23">
        <f>AI24-(SUM(AI25:AI32))</f>
        <v>1688180</v>
      </c>
      <c r="AJ33" s="18"/>
      <c r="AK33" s="23">
        <f>AK24-(SUM(AK25:AK32))</f>
        <v>368100</v>
      </c>
      <c r="AL33" s="19"/>
      <c r="AM33" s="18"/>
      <c r="AN33" s="23">
        <f>AN24-(SUM(AN25:AN32))</f>
        <v>1688180</v>
      </c>
      <c r="AO33" s="18"/>
      <c r="AP33" s="23">
        <f>AP24-(SUM(AP25:AP32))</f>
        <v>368100</v>
      </c>
      <c r="AQ33" s="19"/>
      <c r="AR33" s="22"/>
      <c r="AS33" s="23">
        <f>AS24-(SUM(AS25:AS32))</f>
        <v>1718180</v>
      </c>
      <c r="AT33" s="18"/>
      <c r="AU33" s="23">
        <f>AU24-(SUM(AU25:AU32))</f>
        <v>368100</v>
      </c>
      <c r="AV33" s="19"/>
      <c r="AW33" s="22"/>
      <c r="AX33" s="23">
        <f>AX24-(SUM(AX25:AX32))</f>
        <v>1248260</v>
      </c>
      <c r="AY33" s="18"/>
      <c r="AZ33" s="23">
        <f>AZ24-(SUM(AZ25:AZ32))</f>
        <v>288100</v>
      </c>
      <c r="BA33" s="19"/>
      <c r="BB33" s="22"/>
      <c r="BC33" s="23">
        <f>BC24-(SUM(BC25:BC32))</f>
        <v>1267260</v>
      </c>
      <c r="BD33" s="18"/>
      <c r="BE33" s="23">
        <f>BE24-(SUM(BE25:BE32))</f>
        <v>290767</v>
      </c>
      <c r="BF33" s="19"/>
      <c r="BG33" s="22"/>
      <c r="BH33" s="23">
        <f>BH24-(SUM(BH25:BH32))</f>
        <v>1248260</v>
      </c>
      <c r="BI33" s="18"/>
      <c r="BJ33" s="23">
        <f>BJ24-(SUM(BJ25:BJ32))</f>
        <v>288100</v>
      </c>
      <c r="BK33" s="19"/>
      <c r="BL33" s="22"/>
      <c r="BM33" s="23">
        <f>BM24-(SUM(BM25:BM32))</f>
        <v>883480</v>
      </c>
      <c r="BN33" s="18"/>
      <c r="BO33" s="23">
        <f>BO24-(SUM(BO25:BO32))</f>
        <v>69840</v>
      </c>
      <c r="BP33" s="19"/>
      <c r="BQ33" s="17" t="s">
        <v>63</v>
      </c>
      <c r="BR33" s="1"/>
      <c r="BS33" s="1"/>
      <c r="BT33" s="1"/>
      <c r="BU33" s="1"/>
    </row>
    <row r="34">
      <c r="A34" s="39"/>
      <c r="B34" s="27">
        <v>0.7</v>
      </c>
      <c r="C34" s="11" t="s">
        <v>26</v>
      </c>
      <c r="D34" s="22"/>
      <c r="E34" s="23">
        <f>E33*$B34</f>
        <v>1207220</v>
      </c>
      <c r="F34" s="18"/>
      <c r="G34" s="18"/>
      <c r="H34" s="19"/>
      <c r="I34" s="22"/>
      <c r="J34" s="23">
        <f>J33*$B34</f>
        <v>1658020</v>
      </c>
      <c r="K34" s="18"/>
      <c r="L34" s="18"/>
      <c r="M34" s="19"/>
      <c r="N34" s="22"/>
      <c r="O34" s="23">
        <f>O33*$B34</f>
        <v>1238860</v>
      </c>
      <c r="P34" s="18"/>
      <c r="Q34" s="18"/>
      <c r="R34" s="19"/>
      <c r="S34" s="22"/>
      <c r="T34" s="23">
        <f>T33*$B34</f>
        <v>1238860</v>
      </c>
      <c r="U34" s="18"/>
      <c r="V34" s="18"/>
      <c r="W34" s="19"/>
      <c r="X34" s="18"/>
      <c r="Y34" s="23">
        <f>Y33*$B34</f>
        <v>1148989.1</v>
      </c>
      <c r="Z34" s="18"/>
      <c r="AA34" s="18"/>
      <c r="AB34" s="19"/>
      <c r="AC34" s="18"/>
      <c r="AD34" s="23">
        <f>AD33*$B34</f>
        <v>720510</v>
      </c>
      <c r="AE34" s="18"/>
      <c r="AF34" s="18"/>
      <c r="AG34" s="19"/>
      <c r="AH34" s="18"/>
      <c r="AI34" s="23">
        <f>AI33*$B34</f>
        <v>1181726</v>
      </c>
      <c r="AJ34" s="18"/>
      <c r="AK34" s="18"/>
      <c r="AL34" s="19"/>
      <c r="AM34" s="18"/>
      <c r="AN34" s="23">
        <f>AN33*$B34</f>
        <v>1181726</v>
      </c>
      <c r="AO34" s="18"/>
      <c r="AP34" s="18"/>
      <c r="AQ34" s="19"/>
      <c r="AR34" s="22"/>
      <c r="AS34" s="23">
        <f>AS33*$B34</f>
        <v>1202726</v>
      </c>
      <c r="AT34" s="18"/>
      <c r="AU34" s="18"/>
      <c r="AV34" s="19"/>
      <c r="AW34" s="22"/>
      <c r="AX34" s="23">
        <f>AX33*$B34</f>
        <v>873782</v>
      </c>
      <c r="AY34" s="18"/>
      <c r="AZ34" s="18"/>
      <c r="BA34" s="19"/>
      <c r="BB34" s="22"/>
      <c r="BC34" s="23">
        <f>BC33*$B34</f>
        <v>887082</v>
      </c>
      <c r="BD34" s="18"/>
      <c r="BE34" s="18"/>
      <c r="BF34" s="19"/>
      <c r="BG34" s="22"/>
      <c r="BH34" s="23">
        <f>BH33*$B34</f>
        <v>873782</v>
      </c>
      <c r="BI34" s="18"/>
      <c r="BJ34" s="18"/>
      <c r="BK34" s="19"/>
      <c r="BL34" s="22"/>
      <c r="BM34" s="23">
        <f>BM33*$B34</f>
        <v>618436</v>
      </c>
      <c r="BN34" s="18"/>
      <c r="BO34" s="18"/>
      <c r="BP34" s="19"/>
      <c r="BQ34" s="17" t="s">
        <v>63</v>
      </c>
      <c r="BR34" s="1"/>
      <c r="BS34" s="1"/>
      <c r="BT34" s="1"/>
      <c r="BU34" s="1"/>
    </row>
    <row r="35">
      <c r="A35" s="28" t="str">
        <f>B18</f>
        <v>영동</v>
      </c>
      <c r="B35" s="29">
        <v>0.3</v>
      </c>
      <c r="C35" s="30" t="s">
        <v>57</v>
      </c>
      <c r="D35" s="31"/>
      <c r="E35" s="32">
        <f>E33*$B35</f>
        <v>517380</v>
      </c>
      <c r="F35" s="33"/>
      <c r="G35" s="33"/>
      <c r="H35" s="34"/>
      <c r="I35" s="31"/>
      <c r="J35" s="32">
        <f>J33*$B35</f>
        <v>710580</v>
      </c>
      <c r="K35" s="33"/>
      <c r="L35" s="33"/>
      <c r="M35" s="34"/>
      <c r="N35" s="31"/>
      <c r="O35" s="32">
        <f>O33*$B35</f>
        <v>530940</v>
      </c>
      <c r="P35" s="33"/>
      <c r="Q35" s="33"/>
      <c r="R35" s="34"/>
      <c r="S35" s="31"/>
      <c r="T35" s="32">
        <f>T33*$B35</f>
        <v>530940</v>
      </c>
      <c r="U35" s="33"/>
      <c r="V35" s="33"/>
      <c r="W35" s="34"/>
      <c r="X35" s="33"/>
      <c r="Y35" s="32">
        <f>Y33*$B35</f>
        <v>492423.9</v>
      </c>
      <c r="Z35" s="33"/>
      <c r="AA35" s="33"/>
      <c r="AB35" s="34"/>
      <c r="AC35" s="33"/>
      <c r="AD35" s="32">
        <f>AD33*$B35</f>
        <v>308790</v>
      </c>
      <c r="AE35" s="33"/>
      <c r="AF35" s="33"/>
      <c r="AG35" s="34"/>
      <c r="AH35" s="33"/>
      <c r="AI35" s="32">
        <f>AI33*$B35</f>
        <v>506454</v>
      </c>
      <c r="AJ35" s="33"/>
      <c r="AK35" s="33"/>
      <c r="AL35" s="34"/>
      <c r="AM35" s="33"/>
      <c r="AN35" s="32">
        <f>AN33*$B35</f>
        <v>506454</v>
      </c>
      <c r="AO35" s="33"/>
      <c r="AP35" s="33"/>
      <c r="AQ35" s="34"/>
      <c r="AR35" s="31"/>
      <c r="AS35" s="32">
        <f>AS33*$B35</f>
        <v>515454</v>
      </c>
      <c r="AT35" s="33"/>
      <c r="AU35" s="33"/>
      <c r="AV35" s="34"/>
      <c r="AW35" s="31"/>
      <c r="AX35" s="32">
        <f>AX33*$B35</f>
        <v>374478</v>
      </c>
      <c r="AY35" s="33"/>
      <c r="AZ35" s="33"/>
      <c r="BA35" s="34"/>
      <c r="BB35" s="31"/>
      <c r="BC35" s="32">
        <f>BC33*$B35</f>
        <v>380178</v>
      </c>
      <c r="BD35" s="33"/>
      <c r="BE35" s="33"/>
      <c r="BF35" s="34"/>
      <c r="BG35" s="31"/>
      <c r="BH35" s="32">
        <f>BH33*$B35</f>
        <v>374478</v>
      </c>
      <c r="BI35" s="33"/>
      <c r="BJ35" s="33"/>
      <c r="BK35" s="34"/>
      <c r="BL35" s="31"/>
      <c r="BM35" s="32">
        <f>BM33*$B35</f>
        <v>265044</v>
      </c>
      <c r="BN35" s="33"/>
      <c r="BO35" s="33"/>
      <c r="BP35" s="34"/>
      <c r="BQ35" s="17" t="s">
        <v>63</v>
      </c>
      <c r="BR35" s="1"/>
      <c r="BS35" s="1"/>
      <c r="BT35" s="1"/>
      <c r="BU35" s="1"/>
    </row>
    <row r="36">
      <c r="A36" s="1"/>
      <c r="B36" s="10" t="s">
        <v>97</v>
      </c>
      <c r="C36" s="11" t="s">
        <v>98</v>
      </c>
      <c r="D36" s="10" t="s">
        <v>99</v>
      </c>
      <c r="E36" s="23">
        <v>600000.0</v>
      </c>
      <c r="F36" s="35" t="b">
        <v>0</v>
      </c>
      <c r="G36" s="23">
        <v>80000.0</v>
      </c>
      <c r="H36" s="15" t="b">
        <v>1</v>
      </c>
      <c r="I36" s="10" t="s">
        <v>100</v>
      </c>
      <c r="J36" s="23">
        <v>600000.0</v>
      </c>
      <c r="K36" s="35" t="b">
        <v>0</v>
      </c>
      <c r="L36" s="23">
        <v>80000.0</v>
      </c>
      <c r="M36" s="15" t="b">
        <v>1</v>
      </c>
      <c r="N36" s="10" t="s">
        <v>101</v>
      </c>
      <c r="O36" s="23">
        <v>600000.0</v>
      </c>
      <c r="P36" s="35" t="b">
        <v>0</v>
      </c>
      <c r="Q36" s="23">
        <f t="shared" ref="Q36:Q38" si="1">80000+70000</f>
        <v>150000</v>
      </c>
      <c r="R36" s="15" t="b">
        <v>1</v>
      </c>
      <c r="S36" s="10" t="s">
        <v>102</v>
      </c>
      <c r="T36" s="23">
        <v>600000.0</v>
      </c>
      <c r="U36" s="35" t="b">
        <v>0</v>
      </c>
      <c r="V36" s="23">
        <v>80000.0</v>
      </c>
      <c r="W36" s="15" t="b">
        <v>1</v>
      </c>
      <c r="X36" s="10" t="s">
        <v>102</v>
      </c>
      <c r="Y36" s="23">
        <v>600000.0</v>
      </c>
      <c r="Z36" s="35" t="b">
        <v>0</v>
      </c>
      <c r="AA36" s="23">
        <v>80000.0</v>
      </c>
      <c r="AB36" s="15" t="b">
        <v>1</v>
      </c>
      <c r="AC36" s="10" t="s">
        <v>102</v>
      </c>
      <c r="AD36" s="23">
        <v>600000.0</v>
      </c>
      <c r="AE36" s="35" t="b">
        <v>0</v>
      </c>
      <c r="AF36" s="23">
        <v>80000.0</v>
      </c>
      <c r="AG36" s="15" t="b">
        <v>1</v>
      </c>
      <c r="AH36" s="10" t="s">
        <v>102</v>
      </c>
      <c r="AI36" s="23">
        <v>600000.0</v>
      </c>
      <c r="AJ36" s="35" t="b">
        <v>0</v>
      </c>
      <c r="AK36" s="23">
        <v>80000.0</v>
      </c>
      <c r="AL36" s="15" t="b">
        <v>1</v>
      </c>
      <c r="AM36" s="10" t="s">
        <v>102</v>
      </c>
      <c r="AN36" s="23">
        <v>600000.0</v>
      </c>
      <c r="AO36" s="35" t="b">
        <v>0</v>
      </c>
      <c r="AP36" s="23">
        <v>80000.0</v>
      </c>
      <c r="AQ36" s="15" t="b">
        <v>1</v>
      </c>
      <c r="AR36" s="10" t="s">
        <v>103</v>
      </c>
      <c r="AS36" s="23">
        <v>600000.0</v>
      </c>
      <c r="AT36" s="35" t="b">
        <v>0</v>
      </c>
      <c r="AU36" s="23">
        <v>80000.0</v>
      </c>
      <c r="AV36" s="15" t="b">
        <v>1</v>
      </c>
      <c r="AW36" s="10" t="s">
        <v>102</v>
      </c>
      <c r="AX36" s="23">
        <v>600000.0</v>
      </c>
      <c r="AY36" s="35" t="b">
        <v>0</v>
      </c>
      <c r="AZ36" s="23">
        <v>80000.0</v>
      </c>
      <c r="BA36" s="15" t="b">
        <v>1</v>
      </c>
      <c r="BB36" s="10" t="s">
        <v>102</v>
      </c>
      <c r="BC36" s="23">
        <v>600000.0</v>
      </c>
      <c r="BD36" s="35" t="b">
        <v>0</v>
      </c>
      <c r="BE36" s="23">
        <v>80000.0</v>
      </c>
      <c r="BF36" s="15" t="b">
        <v>1</v>
      </c>
      <c r="BG36" s="10" t="s">
        <v>102</v>
      </c>
      <c r="BH36" s="23">
        <v>600000.0</v>
      </c>
      <c r="BI36" s="35" t="b">
        <v>0</v>
      </c>
      <c r="BJ36" s="23">
        <v>80000.0</v>
      </c>
      <c r="BK36" s="15" t="b">
        <v>1</v>
      </c>
      <c r="BL36" s="10" t="s">
        <v>102</v>
      </c>
      <c r="BM36" s="23">
        <v>600000.0</v>
      </c>
      <c r="BN36" s="35" t="b">
        <v>0</v>
      </c>
      <c r="BO36" s="23">
        <v>80000.0</v>
      </c>
      <c r="BP36" s="15" t="b">
        <v>0</v>
      </c>
      <c r="BQ36" s="17" t="s">
        <v>63</v>
      </c>
      <c r="BR36" s="1"/>
      <c r="BS36" s="1"/>
      <c r="BT36" s="1"/>
      <c r="BU36" s="1"/>
    </row>
    <row r="37">
      <c r="A37" s="1"/>
      <c r="B37" s="10" t="s">
        <v>97</v>
      </c>
      <c r="C37" s="11" t="s">
        <v>104</v>
      </c>
      <c r="D37" s="10" t="s">
        <v>105</v>
      </c>
      <c r="E37" s="23">
        <v>550000.0</v>
      </c>
      <c r="F37" s="35" t="b">
        <v>0</v>
      </c>
      <c r="G37" s="23">
        <v>80000.0</v>
      </c>
      <c r="H37" s="15" t="b">
        <v>1</v>
      </c>
      <c r="I37" s="10" t="s">
        <v>105</v>
      </c>
      <c r="J37" s="23">
        <v>550000.0</v>
      </c>
      <c r="K37" s="35" t="b">
        <v>0</v>
      </c>
      <c r="L37" s="23">
        <v>80000.0</v>
      </c>
      <c r="M37" s="15" t="b">
        <v>1</v>
      </c>
      <c r="N37" s="10" t="s">
        <v>105</v>
      </c>
      <c r="O37" s="23">
        <v>550000.0</v>
      </c>
      <c r="P37" s="35" t="b">
        <v>0</v>
      </c>
      <c r="Q37" s="23">
        <f t="shared" si="1"/>
        <v>150000</v>
      </c>
      <c r="R37" s="15" t="b">
        <v>1</v>
      </c>
      <c r="S37" s="10" t="s">
        <v>105</v>
      </c>
      <c r="T37" s="23">
        <v>550000.0</v>
      </c>
      <c r="U37" s="35" t="b">
        <v>0</v>
      </c>
      <c r="V37" s="23">
        <v>80000.0</v>
      </c>
      <c r="W37" s="15" t="b">
        <v>1</v>
      </c>
      <c r="X37" s="17" t="s">
        <v>105</v>
      </c>
      <c r="Y37" s="23">
        <v>550000.0</v>
      </c>
      <c r="Z37" s="35" t="b">
        <v>0</v>
      </c>
      <c r="AA37" s="23">
        <v>80000.0</v>
      </c>
      <c r="AB37" s="15" t="b">
        <v>1</v>
      </c>
      <c r="AC37" s="17" t="s">
        <v>105</v>
      </c>
      <c r="AD37" s="23">
        <v>550000.0</v>
      </c>
      <c r="AE37" s="35" t="b">
        <v>0</v>
      </c>
      <c r="AF37" s="23">
        <v>80000.0</v>
      </c>
      <c r="AG37" s="15" t="b">
        <v>1</v>
      </c>
      <c r="AH37" s="17" t="s">
        <v>105</v>
      </c>
      <c r="AI37" s="23">
        <v>550000.0</v>
      </c>
      <c r="AJ37" s="35" t="b">
        <v>0</v>
      </c>
      <c r="AK37" s="23">
        <v>80000.0</v>
      </c>
      <c r="AL37" s="15" t="b">
        <v>1</v>
      </c>
      <c r="AM37" s="17" t="s">
        <v>105</v>
      </c>
      <c r="AN37" s="23">
        <v>550000.0</v>
      </c>
      <c r="AO37" s="35" t="b">
        <v>0</v>
      </c>
      <c r="AP37" s="23">
        <v>80000.0</v>
      </c>
      <c r="AQ37" s="15" t="b">
        <v>1</v>
      </c>
      <c r="AR37" s="10" t="s">
        <v>105</v>
      </c>
      <c r="AS37" s="23">
        <v>550000.0</v>
      </c>
      <c r="AT37" s="35" t="b">
        <v>0</v>
      </c>
      <c r="AU37" s="23">
        <v>80000.0</v>
      </c>
      <c r="AV37" s="15" t="b">
        <v>1</v>
      </c>
      <c r="AW37" s="10" t="s">
        <v>105</v>
      </c>
      <c r="AX37" s="23">
        <v>550000.0</v>
      </c>
      <c r="AY37" s="35" t="b">
        <v>0</v>
      </c>
      <c r="AZ37" s="23">
        <v>80000.0</v>
      </c>
      <c r="BA37" s="15" t="b">
        <v>1</v>
      </c>
      <c r="BB37" s="10" t="s">
        <v>105</v>
      </c>
      <c r="BC37" s="23">
        <v>550000.0</v>
      </c>
      <c r="BD37" s="35" t="b">
        <v>0</v>
      </c>
      <c r="BE37" s="23">
        <v>80000.0</v>
      </c>
      <c r="BF37" s="15" t="b">
        <v>1</v>
      </c>
      <c r="BG37" s="10" t="s">
        <v>105</v>
      </c>
      <c r="BH37" s="23">
        <v>550000.0</v>
      </c>
      <c r="BI37" s="35" t="b">
        <v>0</v>
      </c>
      <c r="BJ37" s="23">
        <v>80000.0</v>
      </c>
      <c r="BK37" s="15" t="b">
        <v>1</v>
      </c>
      <c r="BL37" s="10" t="s">
        <v>105</v>
      </c>
      <c r="BM37" s="23">
        <v>550000.0</v>
      </c>
      <c r="BN37" s="35" t="b">
        <v>0</v>
      </c>
      <c r="BO37" s="23">
        <v>80000.0</v>
      </c>
      <c r="BP37" s="15" t="b">
        <v>0</v>
      </c>
      <c r="BQ37" s="17" t="s">
        <v>63</v>
      </c>
      <c r="BR37" s="1"/>
      <c r="BS37" s="1"/>
      <c r="BT37" s="1"/>
      <c r="BU37" s="1"/>
    </row>
    <row r="38">
      <c r="A38" s="1"/>
      <c r="B38" s="10" t="s">
        <v>97</v>
      </c>
      <c r="C38" s="11" t="s">
        <v>106</v>
      </c>
      <c r="D38" s="10" t="s">
        <v>107</v>
      </c>
      <c r="E38" s="23">
        <v>570000.0</v>
      </c>
      <c r="F38" s="35" t="b">
        <v>0</v>
      </c>
      <c r="G38" s="23">
        <v>80000.0</v>
      </c>
      <c r="H38" s="15" t="b">
        <v>1</v>
      </c>
      <c r="I38" s="10" t="s">
        <v>108</v>
      </c>
      <c r="J38" s="23">
        <f>570000+20690</f>
        <v>590690</v>
      </c>
      <c r="K38" s="35" t="b">
        <v>0</v>
      </c>
      <c r="L38" s="23">
        <f>80000+2759</f>
        <v>82759</v>
      </c>
      <c r="M38" s="15" t="b">
        <v>1</v>
      </c>
      <c r="N38" s="10" t="s">
        <v>109</v>
      </c>
      <c r="O38" s="23">
        <v>600000.0</v>
      </c>
      <c r="P38" s="35" t="b">
        <v>0</v>
      </c>
      <c r="Q38" s="23">
        <f t="shared" si="1"/>
        <v>150000</v>
      </c>
      <c r="R38" s="15" t="b">
        <v>1</v>
      </c>
      <c r="S38" s="10" t="s">
        <v>109</v>
      </c>
      <c r="T38" s="23">
        <v>600000.0</v>
      </c>
      <c r="U38" s="35" t="b">
        <v>0</v>
      </c>
      <c r="V38" s="23">
        <v>80000.0</v>
      </c>
      <c r="W38" s="15" t="b">
        <v>1</v>
      </c>
      <c r="X38" s="10" t="s">
        <v>109</v>
      </c>
      <c r="Y38" s="23">
        <v>600000.0</v>
      </c>
      <c r="Z38" s="35" t="b">
        <v>0</v>
      </c>
      <c r="AA38" s="23">
        <v>80000.0</v>
      </c>
      <c r="AB38" s="15" t="b">
        <v>1</v>
      </c>
      <c r="AC38" s="10" t="s">
        <v>109</v>
      </c>
      <c r="AD38" s="23">
        <v>600000.0</v>
      </c>
      <c r="AE38" s="35" t="b">
        <v>0</v>
      </c>
      <c r="AF38" s="23">
        <v>80000.0</v>
      </c>
      <c r="AG38" s="15" t="b">
        <v>1</v>
      </c>
      <c r="AH38" s="10" t="s">
        <v>109</v>
      </c>
      <c r="AI38" s="23">
        <v>600000.0</v>
      </c>
      <c r="AJ38" s="35" t="b">
        <v>0</v>
      </c>
      <c r="AK38" s="23">
        <v>80000.0</v>
      </c>
      <c r="AL38" s="15" t="b">
        <v>1</v>
      </c>
      <c r="AM38" s="10" t="s">
        <v>110</v>
      </c>
      <c r="AN38" s="23">
        <f>367742+500000+110323+18387</f>
        <v>996452</v>
      </c>
      <c r="AO38" s="35" t="b">
        <v>0</v>
      </c>
      <c r="AP38" s="23">
        <f>49032+15484+2581</f>
        <v>67097</v>
      </c>
      <c r="AQ38" s="15" t="b">
        <v>1</v>
      </c>
      <c r="AR38" s="10" t="s">
        <v>111</v>
      </c>
      <c r="AS38" s="23">
        <v>570000.0</v>
      </c>
      <c r="AT38" s="35" t="b">
        <v>0</v>
      </c>
      <c r="AU38" s="23">
        <v>80000.0</v>
      </c>
      <c r="AV38" s="15" t="b">
        <v>1</v>
      </c>
      <c r="AW38" s="10" t="s">
        <v>111</v>
      </c>
      <c r="AX38" s="23">
        <v>570000.0</v>
      </c>
      <c r="AY38" s="35" t="b">
        <v>0</v>
      </c>
      <c r="AZ38" s="23">
        <v>80000.0</v>
      </c>
      <c r="BA38" s="15" t="b">
        <v>1</v>
      </c>
      <c r="BB38" s="10" t="s">
        <v>111</v>
      </c>
      <c r="BC38" s="23">
        <v>570000.0</v>
      </c>
      <c r="BD38" s="35" t="b">
        <v>0</v>
      </c>
      <c r="BE38" s="23">
        <v>80000.0</v>
      </c>
      <c r="BF38" s="15" t="b">
        <v>1</v>
      </c>
      <c r="BG38" s="10" t="s">
        <v>111</v>
      </c>
      <c r="BH38" s="23">
        <v>570000.0</v>
      </c>
      <c r="BI38" s="35" t="b">
        <v>0</v>
      </c>
      <c r="BJ38" s="23">
        <v>80000.0</v>
      </c>
      <c r="BK38" s="15" t="b">
        <v>1</v>
      </c>
      <c r="BL38" s="10" t="s">
        <v>111</v>
      </c>
      <c r="BM38" s="23">
        <v>570000.0</v>
      </c>
      <c r="BN38" s="35" t="b">
        <v>0</v>
      </c>
      <c r="BO38" s="23">
        <v>80000.0</v>
      </c>
      <c r="BP38" s="15" t="b">
        <v>0</v>
      </c>
      <c r="BQ38" s="17" t="s">
        <v>63</v>
      </c>
      <c r="BR38" s="1"/>
      <c r="BS38" s="1"/>
      <c r="BT38" s="1"/>
      <c r="BU38" s="1"/>
    </row>
    <row r="39">
      <c r="A39" s="1"/>
      <c r="B39" s="10" t="s">
        <v>97</v>
      </c>
      <c r="C39" s="11" t="s">
        <v>112</v>
      </c>
      <c r="D39" s="10" t="s">
        <v>113</v>
      </c>
      <c r="E39" s="23">
        <v>530000.0</v>
      </c>
      <c r="F39" s="35" t="b">
        <v>0</v>
      </c>
      <c r="G39" s="23">
        <v>80000.0</v>
      </c>
      <c r="H39" s="15" t="b">
        <v>1</v>
      </c>
      <c r="I39" s="10" t="s">
        <v>114</v>
      </c>
      <c r="J39" s="23">
        <v>383793.0</v>
      </c>
      <c r="K39" s="35" t="b">
        <v>0</v>
      </c>
      <c r="L39" s="23">
        <v>57931.0</v>
      </c>
      <c r="M39" s="15" t="b">
        <v>1</v>
      </c>
      <c r="N39" s="40" t="s">
        <v>115</v>
      </c>
      <c r="O39" s="23">
        <v>263226.0</v>
      </c>
      <c r="P39" s="35" t="b">
        <v>0</v>
      </c>
      <c r="Q39" s="23">
        <v>43871.0</v>
      </c>
      <c r="R39" s="15" t="b">
        <v>1</v>
      </c>
      <c r="S39" s="40" t="s">
        <v>116</v>
      </c>
      <c r="T39" s="23">
        <v>480000.0</v>
      </c>
      <c r="U39" s="35" t="b">
        <v>0</v>
      </c>
      <c r="V39" s="23">
        <v>80000.0</v>
      </c>
      <c r="W39" s="15" t="b">
        <v>1</v>
      </c>
      <c r="X39" s="40" t="s">
        <v>117</v>
      </c>
      <c r="Y39" s="23">
        <v>480000.0</v>
      </c>
      <c r="Z39" s="35" t="b">
        <v>0</v>
      </c>
      <c r="AA39" s="23">
        <v>80000.0</v>
      </c>
      <c r="AB39" s="15" t="b">
        <v>1</v>
      </c>
      <c r="AC39" s="40" t="s">
        <v>118</v>
      </c>
      <c r="AD39" s="23">
        <v>480000.0</v>
      </c>
      <c r="AE39" s="35" t="b">
        <v>0</v>
      </c>
      <c r="AF39" s="23">
        <v>80000.0</v>
      </c>
      <c r="AG39" s="15" t="b">
        <v>1</v>
      </c>
      <c r="AH39" s="17" t="s">
        <v>119</v>
      </c>
      <c r="AI39" s="23">
        <v>100000.0</v>
      </c>
      <c r="AJ39" s="35" t="b">
        <v>1</v>
      </c>
      <c r="AK39" s="23">
        <v>20000.0</v>
      </c>
      <c r="AL39" s="15" t="b">
        <v>1</v>
      </c>
      <c r="AM39" s="17" t="s">
        <v>120</v>
      </c>
      <c r="AN39" s="23">
        <v>300000.0</v>
      </c>
      <c r="AO39" s="35" t="b">
        <v>1</v>
      </c>
      <c r="AP39" s="23">
        <v>60000.0</v>
      </c>
      <c r="AQ39" s="15" t="b">
        <v>1</v>
      </c>
      <c r="AR39" s="10" t="s">
        <v>121</v>
      </c>
      <c r="AS39" s="23">
        <v>256000.0</v>
      </c>
      <c r="AT39" s="35" t="b">
        <v>0</v>
      </c>
      <c r="AU39" s="23">
        <v>42667.0</v>
      </c>
      <c r="AV39" s="15" t="b">
        <v>1</v>
      </c>
      <c r="AW39" s="10" t="s">
        <v>122</v>
      </c>
      <c r="AX39" s="23">
        <v>480000.0</v>
      </c>
      <c r="AY39" s="35" t="b">
        <v>0</v>
      </c>
      <c r="AZ39" s="23">
        <v>80000.0</v>
      </c>
      <c r="BA39" s="15" t="b">
        <v>1</v>
      </c>
      <c r="BB39" s="10" t="s">
        <v>122</v>
      </c>
      <c r="BC39" s="23">
        <v>480000.0</v>
      </c>
      <c r="BD39" s="35" t="b">
        <v>0</v>
      </c>
      <c r="BE39" s="23">
        <v>80000.0</v>
      </c>
      <c r="BF39" s="15" t="b">
        <v>1</v>
      </c>
      <c r="BG39" s="10" t="s">
        <v>123</v>
      </c>
      <c r="BH39" s="23">
        <f>480000</f>
        <v>480000</v>
      </c>
      <c r="BI39" s="35" t="b">
        <v>0</v>
      </c>
      <c r="BJ39" s="23">
        <f>80000</f>
        <v>80000</v>
      </c>
      <c r="BK39" s="15" t="b">
        <v>1</v>
      </c>
      <c r="BL39" s="10" t="s">
        <v>124</v>
      </c>
      <c r="BM39" s="23">
        <f>480000</f>
        <v>480000</v>
      </c>
      <c r="BN39" s="35" t="b">
        <v>0</v>
      </c>
      <c r="BO39" s="23">
        <f>80000</f>
        <v>80000</v>
      </c>
      <c r="BP39" s="15" t="b">
        <v>1</v>
      </c>
      <c r="BQ39" s="17" t="s">
        <v>63</v>
      </c>
      <c r="BR39" s="1"/>
      <c r="BS39" s="1"/>
      <c r="BT39" s="1"/>
      <c r="BU39" s="1"/>
    </row>
    <row r="40">
      <c r="A40" s="1"/>
      <c r="B40" s="10" t="s">
        <v>97</v>
      </c>
      <c r="C40" s="11" t="s">
        <v>125</v>
      </c>
      <c r="D40" s="10" t="s">
        <v>126</v>
      </c>
      <c r="E40" s="23">
        <v>500000.0</v>
      </c>
      <c r="F40" s="35" t="b">
        <v>0</v>
      </c>
      <c r="G40" s="23">
        <v>80000.0</v>
      </c>
      <c r="H40" s="15" t="b">
        <v>1</v>
      </c>
      <c r="I40" s="10" t="s">
        <v>127</v>
      </c>
      <c r="J40" s="23">
        <v>413793.0</v>
      </c>
      <c r="K40" s="35" t="b">
        <v>0</v>
      </c>
      <c r="L40" s="23">
        <v>66207.0</v>
      </c>
      <c r="M40" s="15" t="b">
        <v>1</v>
      </c>
      <c r="N40" s="10" t="s">
        <v>128</v>
      </c>
      <c r="O40" s="23">
        <v>263226.0</v>
      </c>
      <c r="P40" s="35" t="b">
        <v>0</v>
      </c>
      <c r="Q40" s="23">
        <v>43871.0</v>
      </c>
      <c r="R40" s="15" t="b">
        <v>1</v>
      </c>
      <c r="S40" s="10" t="s">
        <v>129</v>
      </c>
      <c r="T40" s="23">
        <v>480000.0</v>
      </c>
      <c r="U40" s="35" t="b">
        <v>0</v>
      </c>
      <c r="V40" s="23">
        <v>80000.0</v>
      </c>
      <c r="W40" s="15" t="b">
        <v>1</v>
      </c>
      <c r="X40" s="10" t="s">
        <v>129</v>
      </c>
      <c r="Y40" s="23">
        <v>480000.0</v>
      </c>
      <c r="Z40" s="35" t="b">
        <v>0</v>
      </c>
      <c r="AA40" s="23">
        <v>80000.0</v>
      </c>
      <c r="AB40" s="15" t="b">
        <v>1</v>
      </c>
      <c r="AC40" s="10" t="s">
        <v>130</v>
      </c>
      <c r="AD40" s="23">
        <v>480000.0</v>
      </c>
      <c r="AE40" s="35" t="b">
        <v>0</v>
      </c>
      <c r="AF40" s="23">
        <v>80000.0</v>
      </c>
      <c r="AG40" s="15" t="b">
        <v>1</v>
      </c>
      <c r="AH40" s="17" t="s">
        <v>37</v>
      </c>
      <c r="AI40" s="18"/>
      <c r="AJ40" s="1"/>
      <c r="AK40" s="18"/>
      <c r="AL40" s="19"/>
      <c r="AM40" s="17" t="s">
        <v>131</v>
      </c>
      <c r="AN40" s="23">
        <f>300000+201290</f>
        <v>501290</v>
      </c>
      <c r="AO40" s="35" t="b">
        <v>0</v>
      </c>
      <c r="AP40" s="23">
        <f>80000+33548</f>
        <v>113548</v>
      </c>
      <c r="AQ40" s="15" t="b">
        <v>1</v>
      </c>
      <c r="AR40" s="10" t="s">
        <v>132</v>
      </c>
      <c r="AS40" s="23">
        <v>480000.0</v>
      </c>
      <c r="AT40" s="35" t="b">
        <v>0</v>
      </c>
      <c r="AU40" s="23">
        <v>80000.0</v>
      </c>
      <c r="AV40" s="15" t="b">
        <v>1</v>
      </c>
      <c r="AW40" s="10" t="s">
        <v>132</v>
      </c>
      <c r="AX40" s="23">
        <v>480000.0</v>
      </c>
      <c r="AY40" s="35" t="b">
        <v>0</v>
      </c>
      <c r="AZ40" s="23">
        <v>80000.0</v>
      </c>
      <c r="BA40" s="15" t="b">
        <v>1</v>
      </c>
      <c r="BB40" s="10" t="s">
        <v>132</v>
      </c>
      <c r="BC40" s="23">
        <v>480000.0</v>
      </c>
      <c r="BD40" s="35" t="b">
        <v>0</v>
      </c>
      <c r="BE40" s="23">
        <v>80000.0</v>
      </c>
      <c r="BF40" s="15" t="b">
        <v>1</v>
      </c>
      <c r="BG40" s="10" t="s">
        <v>133</v>
      </c>
      <c r="BH40" s="23">
        <v>480000.0</v>
      </c>
      <c r="BI40" s="35" t="b">
        <v>0</v>
      </c>
      <c r="BJ40" s="23">
        <v>80000.0</v>
      </c>
      <c r="BK40" s="15" t="b">
        <v>1</v>
      </c>
      <c r="BL40" s="10" t="s">
        <v>134</v>
      </c>
      <c r="BM40" s="23">
        <v>480000.0</v>
      </c>
      <c r="BN40" s="35" t="b">
        <v>0</v>
      </c>
      <c r="BO40" s="23">
        <v>80000.0</v>
      </c>
      <c r="BP40" s="15" t="b">
        <v>1</v>
      </c>
      <c r="BQ40" s="17" t="s">
        <v>63</v>
      </c>
      <c r="BR40" s="1"/>
      <c r="BS40" s="1"/>
      <c r="BT40" s="1"/>
      <c r="BU40" s="1"/>
    </row>
    <row r="41">
      <c r="A41" s="1"/>
      <c r="B41" s="10" t="s">
        <v>97</v>
      </c>
      <c r="C41" s="11" t="s">
        <v>135</v>
      </c>
      <c r="D41" s="20" t="s">
        <v>37</v>
      </c>
      <c r="E41" s="18"/>
      <c r="F41" s="1"/>
      <c r="G41" s="18"/>
      <c r="H41" s="19"/>
      <c r="I41" s="20" t="s">
        <v>37</v>
      </c>
      <c r="J41" s="18"/>
      <c r="K41" s="1"/>
      <c r="L41" s="18"/>
      <c r="M41" s="19"/>
      <c r="N41" s="10" t="s">
        <v>136</v>
      </c>
      <c r="O41" s="23">
        <v>450000.0</v>
      </c>
      <c r="P41" s="35" t="b">
        <v>0</v>
      </c>
      <c r="Q41" s="23">
        <f>80000+79891
</f>
        <v>159891</v>
      </c>
      <c r="R41" s="15" t="b">
        <v>1</v>
      </c>
      <c r="S41" s="10" t="s">
        <v>137</v>
      </c>
      <c r="T41" s="23">
        <v>450000.0</v>
      </c>
      <c r="U41" s="35" t="b">
        <v>0</v>
      </c>
      <c r="V41" s="23">
        <v>80000.0</v>
      </c>
      <c r="W41" s="15" t="b">
        <v>1</v>
      </c>
      <c r="X41" s="10" t="s">
        <v>137</v>
      </c>
      <c r="Y41" s="23">
        <v>450000.0</v>
      </c>
      <c r="Z41" s="35" t="b">
        <v>0</v>
      </c>
      <c r="AA41" s="23">
        <v>80000.0</v>
      </c>
      <c r="AB41" s="15" t="b">
        <v>1</v>
      </c>
      <c r="AC41" s="10" t="s">
        <v>137</v>
      </c>
      <c r="AD41" s="23">
        <v>450000.0</v>
      </c>
      <c r="AE41" s="35" t="b">
        <v>0</v>
      </c>
      <c r="AF41" s="23">
        <v>80000.0</v>
      </c>
      <c r="AG41" s="15" t="b">
        <v>1</v>
      </c>
      <c r="AH41" s="10" t="s">
        <v>138</v>
      </c>
      <c r="AI41" s="23">
        <v>450000.0</v>
      </c>
      <c r="AJ41" s="35" t="b">
        <v>0</v>
      </c>
      <c r="AK41" s="23">
        <v>80000.0</v>
      </c>
      <c r="AL41" s="15" t="b">
        <v>1</v>
      </c>
      <c r="AM41" s="17" t="s">
        <v>139</v>
      </c>
      <c r="AN41" s="23">
        <v>108387.0</v>
      </c>
      <c r="AO41" s="35" t="b">
        <v>0</v>
      </c>
      <c r="AP41" s="23">
        <v>18065.0</v>
      </c>
      <c r="AQ41" s="15" t="b">
        <v>1</v>
      </c>
      <c r="AR41" s="10" t="s">
        <v>140</v>
      </c>
      <c r="AS41" s="23">
        <v>480000.0</v>
      </c>
      <c r="AT41" s="35" t="b">
        <v>0</v>
      </c>
      <c r="AU41" s="23">
        <v>80000.0</v>
      </c>
      <c r="AV41" s="15" t="b">
        <v>1</v>
      </c>
      <c r="AW41" s="10" t="s">
        <v>140</v>
      </c>
      <c r="AX41" s="23">
        <v>480000.0</v>
      </c>
      <c r="AY41" s="35" t="b">
        <v>0</v>
      </c>
      <c r="AZ41" s="23">
        <v>80000.0</v>
      </c>
      <c r="BA41" s="15" t="b">
        <v>1</v>
      </c>
      <c r="BB41" s="10" t="s">
        <v>140</v>
      </c>
      <c r="BC41" s="23">
        <v>480000.0</v>
      </c>
      <c r="BD41" s="35" t="b">
        <v>0</v>
      </c>
      <c r="BE41" s="23">
        <v>80000.0</v>
      </c>
      <c r="BF41" s="15" t="b">
        <v>1</v>
      </c>
      <c r="BG41" s="41" t="s">
        <v>141</v>
      </c>
      <c r="BH41" s="23">
        <f>240000+195161</f>
        <v>435161</v>
      </c>
      <c r="BI41" s="35" t="b">
        <v>0</v>
      </c>
      <c r="BJ41" s="23">
        <f>40000+28387</f>
        <v>68387</v>
      </c>
      <c r="BK41" s="15" t="b">
        <v>1</v>
      </c>
      <c r="BL41" s="10" t="s">
        <v>142</v>
      </c>
      <c r="BM41" s="23">
        <f>480000+550000</f>
        <v>1030000</v>
      </c>
      <c r="BN41" s="35" t="b">
        <v>1</v>
      </c>
      <c r="BO41" s="23">
        <f>80000+80000</f>
        <v>160000</v>
      </c>
      <c r="BP41" s="15" t="b">
        <v>1</v>
      </c>
      <c r="BQ41" s="17" t="s">
        <v>63</v>
      </c>
      <c r="BR41" s="1"/>
      <c r="BS41" s="1"/>
      <c r="BT41" s="1"/>
      <c r="BU41" s="1"/>
    </row>
    <row r="42">
      <c r="A42" s="1"/>
      <c r="B42" s="10" t="s">
        <v>97</v>
      </c>
      <c r="C42" s="11" t="s">
        <v>143</v>
      </c>
      <c r="D42" s="10" t="s">
        <v>144</v>
      </c>
      <c r="E42" s="23">
        <v>480000.0</v>
      </c>
      <c r="F42" s="35" t="b">
        <v>0</v>
      </c>
      <c r="G42" s="23">
        <v>80000.0</v>
      </c>
      <c r="H42" s="15" t="b">
        <v>1</v>
      </c>
      <c r="I42" s="10" t="s">
        <v>144</v>
      </c>
      <c r="J42" s="23">
        <v>480000.0</v>
      </c>
      <c r="K42" s="35" t="b">
        <v>0</v>
      </c>
      <c r="L42" s="23">
        <v>80000.0</v>
      </c>
      <c r="M42" s="15" t="b">
        <v>1</v>
      </c>
      <c r="N42" s="10" t="s">
        <v>144</v>
      </c>
      <c r="O42" s="23">
        <v>480000.0</v>
      </c>
      <c r="P42" s="35" t="b">
        <v>0</v>
      </c>
      <c r="Q42" s="23">
        <f>80000+70000</f>
        <v>150000</v>
      </c>
      <c r="R42" s="15" t="b">
        <v>1</v>
      </c>
      <c r="S42" s="10" t="s">
        <v>144</v>
      </c>
      <c r="T42" s="23">
        <v>480000.0</v>
      </c>
      <c r="U42" s="35" t="b">
        <v>0</v>
      </c>
      <c r="V42" s="23">
        <v>80000.0</v>
      </c>
      <c r="W42" s="15" t="b">
        <v>1</v>
      </c>
      <c r="X42" s="17" t="s">
        <v>144</v>
      </c>
      <c r="Y42" s="23">
        <v>480000.0</v>
      </c>
      <c r="Z42" s="35" t="b">
        <v>0</v>
      </c>
      <c r="AA42" s="23">
        <v>80000.0</v>
      </c>
      <c r="AB42" s="15" t="b">
        <v>1</v>
      </c>
      <c r="AC42" s="17" t="s">
        <v>144</v>
      </c>
      <c r="AD42" s="23">
        <v>480000.0</v>
      </c>
      <c r="AE42" s="35" t="b">
        <v>0</v>
      </c>
      <c r="AF42" s="23">
        <v>80000.0</v>
      </c>
      <c r="AG42" s="15" t="b">
        <v>1</v>
      </c>
      <c r="AH42" s="17" t="s">
        <v>144</v>
      </c>
      <c r="AI42" s="23">
        <v>480000.0</v>
      </c>
      <c r="AJ42" s="35" t="b">
        <v>0</v>
      </c>
      <c r="AK42" s="23">
        <v>80000.0</v>
      </c>
      <c r="AL42" s="15" t="b">
        <v>1</v>
      </c>
      <c r="AM42" s="17" t="s">
        <v>144</v>
      </c>
      <c r="AN42" s="23">
        <v>480000.0</v>
      </c>
      <c r="AO42" s="35" t="b">
        <v>0</v>
      </c>
      <c r="AP42" s="23">
        <v>80000.0</v>
      </c>
      <c r="AQ42" s="15" t="b">
        <v>1</v>
      </c>
      <c r="AR42" s="17" t="s">
        <v>144</v>
      </c>
      <c r="AS42" s="23">
        <v>470000.0</v>
      </c>
      <c r="AT42" s="35" t="b">
        <v>0</v>
      </c>
      <c r="AU42" s="23">
        <v>80000.0</v>
      </c>
      <c r="AV42" s="15" t="b">
        <v>1</v>
      </c>
      <c r="AW42" s="17" t="s">
        <v>144</v>
      </c>
      <c r="AX42" s="23">
        <v>470000.0</v>
      </c>
      <c r="AY42" s="35" t="b">
        <v>0</v>
      </c>
      <c r="AZ42" s="23">
        <v>80000.0</v>
      </c>
      <c r="BA42" s="15" t="b">
        <v>1</v>
      </c>
      <c r="BB42" s="17" t="s">
        <v>144</v>
      </c>
      <c r="BC42" s="23">
        <v>470000.0</v>
      </c>
      <c r="BD42" s="35" t="b">
        <v>0</v>
      </c>
      <c r="BE42" s="23">
        <v>80000.0</v>
      </c>
      <c r="BF42" s="15" t="b">
        <v>1</v>
      </c>
      <c r="BG42" s="17" t="s">
        <v>144</v>
      </c>
      <c r="BH42" s="23">
        <v>470000.0</v>
      </c>
      <c r="BI42" s="35" t="b">
        <v>0</v>
      </c>
      <c r="BJ42" s="23">
        <v>80000.0</v>
      </c>
      <c r="BK42" s="15" t="b">
        <v>1</v>
      </c>
      <c r="BL42" s="17" t="s">
        <v>144</v>
      </c>
      <c r="BM42" s="23">
        <v>470000.0</v>
      </c>
      <c r="BN42" s="35" t="b">
        <v>0</v>
      </c>
      <c r="BO42" s="23">
        <v>80000.0</v>
      </c>
      <c r="BP42" s="15" t="b">
        <v>0</v>
      </c>
      <c r="BQ42" s="17" t="s">
        <v>63</v>
      </c>
      <c r="BR42" s="1"/>
      <c r="BS42" s="1"/>
      <c r="BT42" s="1"/>
      <c r="BU42" s="1"/>
    </row>
    <row r="43">
      <c r="A43" s="1"/>
      <c r="B43" s="10" t="s">
        <v>97</v>
      </c>
      <c r="C43" s="11" t="s">
        <v>145</v>
      </c>
      <c r="D43" s="20" t="s">
        <v>37</v>
      </c>
      <c r="E43" s="18"/>
      <c r="F43" s="1"/>
      <c r="G43" s="18"/>
      <c r="H43" s="19"/>
      <c r="I43" s="20" t="s">
        <v>37</v>
      </c>
      <c r="J43" s="18"/>
      <c r="K43" s="1"/>
      <c r="L43" s="18"/>
      <c r="M43" s="19"/>
      <c r="N43" s="10" t="s">
        <v>146</v>
      </c>
      <c r="O43" s="23">
        <v>600000.0</v>
      </c>
      <c r="P43" s="35" t="b">
        <v>1</v>
      </c>
      <c r="Q43" s="42"/>
      <c r="R43" s="19"/>
      <c r="S43" s="10" t="s">
        <v>37</v>
      </c>
      <c r="T43" s="18"/>
      <c r="U43" s="1"/>
      <c r="V43" s="18"/>
      <c r="W43" s="19"/>
      <c r="X43" s="10" t="s">
        <v>37</v>
      </c>
      <c r="Y43" s="18"/>
      <c r="Z43" s="1"/>
      <c r="AA43" s="18"/>
      <c r="AB43" s="19"/>
      <c r="AC43" s="10" t="s">
        <v>147</v>
      </c>
      <c r="AD43" s="23">
        <v>272000.0</v>
      </c>
      <c r="AE43" s="35" t="b">
        <v>0</v>
      </c>
      <c r="AF43" s="23">
        <v>45333.0</v>
      </c>
      <c r="AG43" s="15" t="b">
        <v>1</v>
      </c>
      <c r="AH43" s="17" t="s">
        <v>148</v>
      </c>
      <c r="AI43" s="23">
        <v>480000.0</v>
      </c>
      <c r="AJ43" s="35" t="b">
        <v>0</v>
      </c>
      <c r="AK43" s="23">
        <v>80000.0</v>
      </c>
      <c r="AL43" s="15" t="b">
        <v>1</v>
      </c>
      <c r="AM43" s="17" t="s">
        <v>148</v>
      </c>
      <c r="AN43" s="23">
        <v>480000.0</v>
      </c>
      <c r="AO43" s="35" t="b">
        <v>0</v>
      </c>
      <c r="AP43" s="23">
        <v>80000.0</v>
      </c>
      <c r="AQ43" s="15" t="b">
        <v>1</v>
      </c>
      <c r="AR43" s="17" t="s">
        <v>148</v>
      </c>
      <c r="AS43" s="23">
        <v>480000.0</v>
      </c>
      <c r="AT43" s="35" t="b">
        <v>0</v>
      </c>
      <c r="AU43" s="23">
        <v>80000.0</v>
      </c>
      <c r="AV43" s="15" t="b">
        <v>1</v>
      </c>
      <c r="AW43" s="17" t="s">
        <v>148</v>
      </c>
      <c r="AX43" s="23">
        <v>480000.0</v>
      </c>
      <c r="AY43" s="35" t="b">
        <v>0</v>
      </c>
      <c r="AZ43" s="23">
        <v>80000.0</v>
      </c>
      <c r="BA43" s="15" t="b">
        <v>1</v>
      </c>
      <c r="BB43" s="17" t="s">
        <v>148</v>
      </c>
      <c r="BC43" s="23">
        <v>480000.0</v>
      </c>
      <c r="BD43" s="35" t="b">
        <v>0</v>
      </c>
      <c r="BE43" s="23">
        <v>80000.0</v>
      </c>
      <c r="BF43" s="15" t="b">
        <v>1</v>
      </c>
      <c r="BG43" s="17" t="s">
        <v>149</v>
      </c>
      <c r="BH43" s="23">
        <v>201290.0</v>
      </c>
      <c r="BI43" s="35" t="b">
        <v>0</v>
      </c>
      <c r="BJ43" s="23">
        <v>33548.0</v>
      </c>
      <c r="BK43" s="15" t="b">
        <v>1</v>
      </c>
      <c r="BL43" s="20" t="s">
        <v>37</v>
      </c>
      <c r="BM43" s="18"/>
      <c r="BN43" s="1"/>
      <c r="BO43" s="18"/>
      <c r="BP43" s="19"/>
      <c r="BQ43" s="17" t="s">
        <v>63</v>
      </c>
      <c r="BR43" s="1"/>
      <c r="BS43" s="1"/>
      <c r="BT43" s="1"/>
      <c r="BU43" s="1"/>
    </row>
    <row r="44">
      <c r="A44" s="1"/>
      <c r="B44" s="10" t="s">
        <v>97</v>
      </c>
      <c r="C44" s="11" t="s">
        <v>150</v>
      </c>
      <c r="D44" s="10" t="s">
        <v>151</v>
      </c>
      <c r="E44" s="23">
        <v>460000.0</v>
      </c>
      <c r="F44" s="35" t="b">
        <v>0</v>
      </c>
      <c r="G44" s="23">
        <v>80000.0</v>
      </c>
      <c r="H44" s="15" t="b">
        <v>1</v>
      </c>
      <c r="I44" s="10" t="s">
        <v>151</v>
      </c>
      <c r="J44" s="23">
        <v>460000.0</v>
      </c>
      <c r="K44" s="35" t="b">
        <v>0</v>
      </c>
      <c r="L44" s="23">
        <v>80000.0</v>
      </c>
      <c r="M44" s="15" t="b">
        <v>1</v>
      </c>
      <c r="N44" s="10" t="s">
        <v>151</v>
      </c>
      <c r="O44" s="23">
        <v>460000.0</v>
      </c>
      <c r="P44" s="35" t="b">
        <v>0</v>
      </c>
      <c r="Q44" s="23">
        <v>80000.0</v>
      </c>
      <c r="R44" s="15" t="b">
        <v>1</v>
      </c>
      <c r="S44" s="10" t="s">
        <v>151</v>
      </c>
      <c r="T44" s="23">
        <v>460000.0</v>
      </c>
      <c r="U44" s="35" t="b">
        <v>0</v>
      </c>
      <c r="V44" s="23">
        <v>80000.0</v>
      </c>
      <c r="W44" s="15" t="b">
        <v>1</v>
      </c>
      <c r="X44" s="17" t="s">
        <v>151</v>
      </c>
      <c r="Y44" s="23">
        <v>460000.0</v>
      </c>
      <c r="Z44" s="35" t="b">
        <v>0</v>
      </c>
      <c r="AA44" s="23">
        <v>80000.0</v>
      </c>
      <c r="AB44" s="15" t="b">
        <v>1</v>
      </c>
      <c r="AC44" s="17" t="s">
        <v>151</v>
      </c>
      <c r="AD44" s="23">
        <v>460000.0</v>
      </c>
      <c r="AE44" s="35" t="b">
        <v>0</v>
      </c>
      <c r="AF44" s="23">
        <v>80000.0</v>
      </c>
      <c r="AG44" s="15" t="b">
        <v>1</v>
      </c>
      <c r="AH44" s="17" t="s">
        <v>151</v>
      </c>
      <c r="AI44" s="23">
        <v>460000.0</v>
      </c>
      <c r="AJ44" s="35" t="b">
        <v>0</v>
      </c>
      <c r="AK44" s="23">
        <v>80000.0</v>
      </c>
      <c r="AL44" s="15" t="b">
        <v>1</v>
      </c>
      <c r="AM44" s="17" t="s">
        <v>152</v>
      </c>
      <c r="AN44" s="23">
        <f>74194+319355</f>
        <v>393549</v>
      </c>
      <c r="AO44" s="35" t="b">
        <v>0</v>
      </c>
      <c r="AP44" s="23">
        <f>12903+56774</f>
        <v>69677</v>
      </c>
      <c r="AQ44" s="15" t="b">
        <v>1</v>
      </c>
      <c r="AR44" s="10" t="s">
        <v>153</v>
      </c>
      <c r="AS44" s="23">
        <v>450000.0</v>
      </c>
      <c r="AT44" s="35" t="b">
        <v>0</v>
      </c>
      <c r="AU44" s="23">
        <v>80000.0</v>
      </c>
      <c r="AV44" s="15" t="b">
        <v>1</v>
      </c>
      <c r="AW44" s="10" t="s">
        <v>153</v>
      </c>
      <c r="AX44" s="23">
        <v>450000.0</v>
      </c>
      <c r="AY44" s="35" t="b">
        <v>0</v>
      </c>
      <c r="AZ44" s="23">
        <v>80000.0</v>
      </c>
      <c r="BA44" s="15" t="b">
        <v>1</v>
      </c>
      <c r="BB44" s="10" t="s">
        <v>153</v>
      </c>
      <c r="BC44" s="23">
        <v>450000.0</v>
      </c>
      <c r="BD44" s="35" t="b">
        <v>0</v>
      </c>
      <c r="BE44" s="23">
        <v>80000.0</v>
      </c>
      <c r="BF44" s="15" t="b">
        <v>1</v>
      </c>
      <c r="BG44" s="10" t="s">
        <v>153</v>
      </c>
      <c r="BH44" s="23">
        <v>450000.0</v>
      </c>
      <c r="BI44" s="35" t="b">
        <v>0</v>
      </c>
      <c r="BJ44" s="23">
        <v>80000.0</v>
      </c>
      <c r="BK44" s="15" t="b">
        <v>1</v>
      </c>
      <c r="BL44" s="10" t="s">
        <v>153</v>
      </c>
      <c r="BM44" s="23">
        <v>450000.0</v>
      </c>
      <c r="BN44" s="35" t="b">
        <v>0</v>
      </c>
      <c r="BO44" s="23">
        <v>80000.0</v>
      </c>
      <c r="BP44" s="15" t="b">
        <v>0</v>
      </c>
      <c r="BQ44" s="17" t="s">
        <v>63</v>
      </c>
      <c r="BR44" s="1"/>
      <c r="BS44" s="1"/>
      <c r="BT44" s="1"/>
      <c r="BU44" s="1"/>
    </row>
    <row r="45">
      <c r="A45" s="1"/>
      <c r="B45" s="21"/>
      <c r="C45" s="11" t="s">
        <v>42</v>
      </c>
      <c r="D45" s="22"/>
      <c r="E45" s="23">
        <f>SUM(E36:E44)</f>
        <v>3690000</v>
      </c>
      <c r="F45" s="18"/>
      <c r="G45" s="23">
        <f>SUM(G36:G44)</f>
        <v>560000</v>
      </c>
      <c r="H45" s="19"/>
      <c r="I45" s="22"/>
      <c r="J45" s="23">
        <f>SUM(J36:J44)</f>
        <v>3478276</v>
      </c>
      <c r="K45" s="18"/>
      <c r="L45" s="23">
        <f>SUM(L36:L44)</f>
        <v>526897</v>
      </c>
      <c r="M45" s="19"/>
      <c r="N45" s="22"/>
      <c r="O45" s="23">
        <f>SUM(O36:O44)</f>
        <v>4266452</v>
      </c>
      <c r="P45" s="18"/>
      <c r="Q45" s="23">
        <f>SUM(Q36:Q44)</f>
        <v>927633</v>
      </c>
      <c r="R45" s="19"/>
      <c r="S45" s="22"/>
      <c r="T45" s="23">
        <f>SUM(T36:T44)</f>
        <v>4100000</v>
      </c>
      <c r="U45" s="18"/>
      <c r="V45" s="23">
        <f>SUM(V36:V44)</f>
        <v>640000</v>
      </c>
      <c r="W45" s="19"/>
      <c r="X45" s="18"/>
      <c r="Y45" s="23">
        <f>SUM(Y36:Y44)</f>
        <v>4100000</v>
      </c>
      <c r="Z45" s="18"/>
      <c r="AA45" s="23">
        <f>SUM(AA36:AA44)</f>
        <v>640000</v>
      </c>
      <c r="AB45" s="19"/>
      <c r="AC45" s="18"/>
      <c r="AD45" s="23">
        <f>SUM(AD36:AD44)</f>
        <v>4372000</v>
      </c>
      <c r="AE45" s="18"/>
      <c r="AF45" s="23">
        <f>SUM(AF36:AF44)</f>
        <v>685333</v>
      </c>
      <c r="AG45" s="19"/>
      <c r="AH45" s="18"/>
      <c r="AI45" s="23">
        <f>SUM(AI36:AI44)</f>
        <v>3720000</v>
      </c>
      <c r="AJ45" s="18"/>
      <c r="AK45" s="23">
        <f>SUM(AK36:AK44)</f>
        <v>580000</v>
      </c>
      <c r="AL45" s="19"/>
      <c r="AM45" s="18"/>
      <c r="AN45" s="23">
        <f>SUM(AN36:AN44)</f>
        <v>4409678</v>
      </c>
      <c r="AO45" s="18"/>
      <c r="AP45" s="23">
        <f>SUM(AP36:AP44)</f>
        <v>648387</v>
      </c>
      <c r="AQ45" s="19"/>
      <c r="AR45" s="22"/>
      <c r="AS45" s="23">
        <f>SUM(AS36:AS44)</f>
        <v>4336000</v>
      </c>
      <c r="AT45" s="18"/>
      <c r="AU45" s="23">
        <f>SUM(AU36:AU44)</f>
        <v>682667</v>
      </c>
      <c r="AV45" s="19"/>
      <c r="AW45" s="22"/>
      <c r="AX45" s="23">
        <f>SUM(AX36:AX44)</f>
        <v>4560000</v>
      </c>
      <c r="AY45" s="18"/>
      <c r="AZ45" s="23">
        <f>SUM(AZ36:AZ44)</f>
        <v>720000</v>
      </c>
      <c r="BA45" s="19"/>
      <c r="BB45" s="22"/>
      <c r="BC45" s="23">
        <f>SUM(BC36:BC44)</f>
        <v>4560000</v>
      </c>
      <c r="BD45" s="18"/>
      <c r="BE45" s="23">
        <f>SUM(BE36:BE44)</f>
        <v>720000</v>
      </c>
      <c r="BF45" s="19"/>
      <c r="BG45" s="22"/>
      <c r="BH45" s="23">
        <f>SUM(BH36:BH44)</f>
        <v>4236451</v>
      </c>
      <c r="BI45" s="18"/>
      <c r="BJ45" s="23">
        <f>SUM(BJ36:BJ44)</f>
        <v>661935</v>
      </c>
      <c r="BK45" s="19"/>
      <c r="BL45" s="22"/>
      <c r="BM45" s="23">
        <f>SUM(BM36:BM44)</f>
        <v>4630000</v>
      </c>
      <c r="BN45" s="18"/>
      <c r="BO45" s="23">
        <f>SUM(BO36:BO44)</f>
        <v>720000</v>
      </c>
      <c r="BP45" s="19"/>
      <c r="BQ45" s="17" t="s">
        <v>63</v>
      </c>
      <c r="BR45" s="1"/>
      <c r="BS45" s="1"/>
      <c r="BT45" s="1"/>
      <c r="BU45" s="1"/>
    </row>
    <row r="46">
      <c r="A46" s="1"/>
      <c r="B46" s="21"/>
      <c r="C46" s="11" t="s">
        <v>43</v>
      </c>
      <c r="D46" s="22"/>
      <c r="E46" s="23">
        <v>2700000.0</v>
      </c>
      <c r="F46" s="18"/>
      <c r="G46" s="18"/>
      <c r="H46" s="19"/>
      <c r="I46" s="22"/>
      <c r="J46" s="23">
        <v>2700000.0</v>
      </c>
      <c r="K46" s="18"/>
      <c r="L46" s="18"/>
      <c r="M46" s="19"/>
      <c r="N46" s="22"/>
      <c r="O46" s="23">
        <v>2900000.0</v>
      </c>
      <c r="P46" s="18"/>
      <c r="Q46" s="18"/>
      <c r="R46" s="19"/>
      <c r="S46" s="22"/>
      <c r="T46" s="23">
        <v>2900000.0</v>
      </c>
      <c r="U46" s="18"/>
      <c r="V46" s="18"/>
      <c r="W46" s="19"/>
      <c r="X46" s="18"/>
      <c r="Y46" s="23">
        <v>2900000.0</v>
      </c>
      <c r="Z46" s="18"/>
      <c r="AA46" s="18"/>
      <c r="AB46" s="19"/>
      <c r="AC46" s="18"/>
      <c r="AD46" s="23">
        <v>2900000.0</v>
      </c>
      <c r="AE46" s="18"/>
      <c r="AF46" s="18"/>
      <c r="AG46" s="19"/>
      <c r="AH46" s="18"/>
      <c r="AI46" s="23">
        <v>2900000.0</v>
      </c>
      <c r="AJ46" s="18"/>
      <c r="AK46" s="18"/>
      <c r="AL46" s="19"/>
      <c r="AM46" s="18"/>
      <c r="AN46" s="23">
        <v>2900000.0</v>
      </c>
      <c r="AO46" s="18"/>
      <c r="AP46" s="18"/>
      <c r="AQ46" s="19"/>
      <c r="AR46" s="22"/>
      <c r="AS46" s="23">
        <v>2900000.0</v>
      </c>
      <c r="AT46" s="18"/>
      <c r="AU46" s="18"/>
      <c r="AV46" s="19"/>
      <c r="AW46" s="22"/>
      <c r="AX46" s="23">
        <v>2900000.0</v>
      </c>
      <c r="AY46" s="18"/>
      <c r="AZ46" s="18"/>
      <c r="BA46" s="19"/>
      <c r="BB46" s="22"/>
      <c r="BC46" s="23">
        <v>2900000.0</v>
      </c>
      <c r="BD46" s="18"/>
      <c r="BE46" s="18"/>
      <c r="BF46" s="19"/>
      <c r="BG46" s="22"/>
      <c r="BH46" s="23">
        <v>2900000.0</v>
      </c>
      <c r="BI46" s="18"/>
      <c r="BJ46" s="18"/>
      <c r="BK46" s="19"/>
      <c r="BL46" s="22"/>
      <c r="BM46" s="23">
        <v>2900000.0</v>
      </c>
      <c r="BN46" s="18"/>
      <c r="BO46" s="18"/>
      <c r="BP46" s="19"/>
      <c r="BQ46" s="17" t="s">
        <v>63</v>
      </c>
      <c r="BR46" s="1"/>
      <c r="BS46" s="1"/>
      <c r="BT46" s="1"/>
      <c r="BU46" s="1"/>
    </row>
    <row r="47">
      <c r="A47" s="1"/>
      <c r="B47" s="10" t="s">
        <v>95</v>
      </c>
      <c r="C47" s="11" t="s">
        <v>45</v>
      </c>
      <c r="D47" s="22"/>
      <c r="E47" s="18"/>
      <c r="F47" s="18"/>
      <c r="G47" s="23">
        <v>150000.0</v>
      </c>
      <c r="H47" s="19"/>
      <c r="I47" s="22"/>
      <c r="J47" s="18"/>
      <c r="K47" s="18"/>
      <c r="L47" s="23">
        <v>150000.0</v>
      </c>
      <c r="M47" s="19"/>
      <c r="N47" s="22"/>
      <c r="O47" s="18"/>
      <c r="P47" s="18"/>
      <c r="Q47" s="23">
        <v>150000.0</v>
      </c>
      <c r="R47" s="19"/>
      <c r="S47" s="22"/>
      <c r="T47" s="18"/>
      <c r="U47" s="18"/>
      <c r="V47" s="23">
        <v>150000.0</v>
      </c>
      <c r="W47" s="19"/>
      <c r="X47" s="22"/>
      <c r="Y47" s="18"/>
      <c r="Z47" s="18"/>
      <c r="AA47" s="23">
        <v>150000.0</v>
      </c>
      <c r="AB47" s="19"/>
      <c r="AC47" s="22"/>
      <c r="AD47" s="18"/>
      <c r="AE47" s="18"/>
      <c r="AF47" s="23">
        <v>150000.0</v>
      </c>
      <c r="AG47" s="19"/>
      <c r="AH47" s="22"/>
      <c r="AI47" s="18"/>
      <c r="AJ47" s="18"/>
      <c r="AK47" s="23">
        <v>150000.0</v>
      </c>
      <c r="AL47" s="19"/>
      <c r="AM47" s="22"/>
      <c r="AN47" s="18"/>
      <c r="AO47" s="18"/>
      <c r="AP47" s="23">
        <v>150000.0</v>
      </c>
      <c r="AQ47" s="19"/>
      <c r="AR47" s="22"/>
      <c r="AS47" s="18"/>
      <c r="AT47" s="18"/>
      <c r="AU47" s="23">
        <v>150000.0</v>
      </c>
      <c r="AV47" s="19"/>
      <c r="AW47" s="22"/>
      <c r="AX47" s="18"/>
      <c r="AY47" s="18"/>
      <c r="AZ47" s="23">
        <v>150000.0</v>
      </c>
      <c r="BA47" s="19"/>
      <c r="BB47" s="22"/>
      <c r="BC47" s="18"/>
      <c r="BD47" s="18"/>
      <c r="BE47" s="23">
        <v>150000.0</v>
      </c>
      <c r="BF47" s="19"/>
      <c r="BG47" s="22"/>
      <c r="BH47" s="18"/>
      <c r="BI47" s="18"/>
      <c r="BJ47" s="23">
        <v>150000.0</v>
      </c>
      <c r="BK47" s="19"/>
      <c r="BL47" s="22"/>
      <c r="BM47" s="18"/>
      <c r="BN47" s="18"/>
      <c r="BO47" s="23">
        <v>150000.0</v>
      </c>
      <c r="BP47" s="19"/>
      <c r="BQ47" s="17" t="s">
        <v>63</v>
      </c>
      <c r="BR47" s="1"/>
      <c r="BS47" s="1"/>
      <c r="BT47" s="1"/>
      <c r="BU47" s="1"/>
    </row>
    <row r="48">
      <c r="A48" s="1"/>
      <c r="B48" s="10" t="s">
        <v>95</v>
      </c>
      <c r="C48" s="11" t="s">
        <v>47</v>
      </c>
      <c r="D48" s="22"/>
      <c r="E48" s="18"/>
      <c r="F48" s="18"/>
      <c r="G48" s="23">
        <v>252210.0</v>
      </c>
      <c r="H48" s="19"/>
      <c r="I48" s="22"/>
      <c r="J48" s="18"/>
      <c r="K48" s="18"/>
      <c r="L48" s="23">
        <v>231400.0</v>
      </c>
      <c r="M48" s="19"/>
      <c r="N48" s="22"/>
      <c r="O48" s="18"/>
      <c r="P48" s="18"/>
      <c r="Q48" s="23">
        <v>226280.0</v>
      </c>
      <c r="R48" s="19"/>
      <c r="S48" s="22"/>
      <c r="T48" s="18"/>
      <c r="U48" s="18"/>
      <c r="V48" s="18"/>
      <c r="W48" s="19"/>
      <c r="X48" s="22"/>
      <c r="Y48" s="18"/>
      <c r="Z48" s="18"/>
      <c r="AA48" s="18"/>
      <c r="AB48" s="19"/>
      <c r="AC48" s="22"/>
      <c r="AD48" s="18"/>
      <c r="AE48" s="18"/>
      <c r="AF48" s="18"/>
      <c r="AG48" s="19"/>
      <c r="AH48" s="22"/>
      <c r="AI48" s="18"/>
      <c r="AJ48" s="18"/>
      <c r="AK48" s="18"/>
      <c r="AL48" s="19"/>
      <c r="AM48" s="22"/>
      <c r="AN48" s="18"/>
      <c r="AO48" s="18"/>
      <c r="AP48" s="18"/>
      <c r="AQ48" s="19"/>
      <c r="AR48" s="22"/>
      <c r="AS48" s="18"/>
      <c r="AT48" s="18"/>
      <c r="AU48" s="18"/>
      <c r="AV48" s="19"/>
      <c r="AW48" s="22"/>
      <c r="AX48" s="18"/>
      <c r="AY48" s="18"/>
      <c r="AZ48" s="18"/>
      <c r="BA48" s="19"/>
      <c r="BB48" s="22"/>
      <c r="BC48" s="18"/>
      <c r="BD48" s="18"/>
      <c r="BE48" s="18"/>
      <c r="BF48" s="19"/>
      <c r="BG48" s="22"/>
      <c r="BH48" s="18"/>
      <c r="BI48" s="18"/>
      <c r="BJ48" s="18"/>
      <c r="BK48" s="19"/>
      <c r="BL48" s="22"/>
      <c r="BM48" s="18"/>
      <c r="BN48" s="18"/>
      <c r="BO48" s="18"/>
      <c r="BP48" s="19"/>
      <c r="BQ48" s="17" t="s">
        <v>63</v>
      </c>
      <c r="BR48" s="1"/>
      <c r="BS48" s="1"/>
      <c r="BT48" s="1"/>
      <c r="BU48" s="1"/>
    </row>
    <row r="49">
      <c r="A49" s="1"/>
      <c r="B49" s="10" t="s">
        <v>95</v>
      </c>
      <c r="C49" s="11" t="s">
        <v>49</v>
      </c>
      <c r="D49" s="22"/>
      <c r="E49" s="18"/>
      <c r="F49" s="18"/>
      <c r="G49" s="23">
        <v>723390.0</v>
      </c>
      <c r="H49" s="19"/>
      <c r="I49" s="22"/>
      <c r="J49" s="18"/>
      <c r="K49" s="18"/>
      <c r="L49" s="23">
        <v>509870.0</v>
      </c>
      <c r="M49" s="19"/>
      <c r="N49" s="22"/>
      <c r="O49" s="18"/>
      <c r="P49" s="18"/>
      <c r="Q49" s="23">
        <v>589610.0</v>
      </c>
      <c r="R49" s="19"/>
      <c r="S49" s="22"/>
      <c r="T49" s="18"/>
      <c r="U49" s="18"/>
      <c r="V49" s="18"/>
      <c r="W49" s="19"/>
      <c r="X49" s="22"/>
      <c r="Y49" s="18"/>
      <c r="Z49" s="18"/>
      <c r="AA49" s="18"/>
      <c r="AB49" s="19"/>
      <c r="AC49" s="22"/>
      <c r="AD49" s="18"/>
      <c r="AE49" s="18"/>
      <c r="AF49" s="18"/>
      <c r="AG49" s="19"/>
      <c r="AH49" s="22"/>
      <c r="AI49" s="18"/>
      <c r="AJ49" s="18"/>
      <c r="AK49" s="18"/>
      <c r="AL49" s="19"/>
      <c r="AM49" s="22"/>
      <c r="AN49" s="18"/>
      <c r="AO49" s="18"/>
      <c r="AP49" s="18"/>
      <c r="AQ49" s="19"/>
      <c r="AR49" s="22"/>
      <c r="AS49" s="18"/>
      <c r="AT49" s="18"/>
      <c r="AU49" s="18"/>
      <c r="AV49" s="19"/>
      <c r="AW49" s="22"/>
      <c r="AX49" s="18"/>
      <c r="AY49" s="18"/>
      <c r="AZ49" s="18"/>
      <c r="BA49" s="19"/>
      <c r="BB49" s="22"/>
      <c r="BC49" s="18"/>
      <c r="BD49" s="18"/>
      <c r="BE49" s="18"/>
      <c r="BF49" s="19"/>
      <c r="BG49" s="22"/>
      <c r="BH49" s="18"/>
      <c r="BI49" s="18"/>
      <c r="BJ49" s="18"/>
      <c r="BK49" s="19"/>
      <c r="BL49" s="22"/>
      <c r="BM49" s="18"/>
      <c r="BN49" s="18"/>
      <c r="BO49" s="18"/>
      <c r="BP49" s="19"/>
      <c r="BQ49" s="17" t="s">
        <v>63</v>
      </c>
      <c r="BR49" s="1"/>
      <c r="BS49" s="1"/>
      <c r="BT49" s="1"/>
      <c r="BU49" s="1"/>
    </row>
    <row r="50">
      <c r="A50" s="1"/>
      <c r="B50" s="10" t="s">
        <v>95</v>
      </c>
      <c r="C50" s="11" t="s">
        <v>51</v>
      </c>
      <c r="D50" s="22"/>
      <c r="E50" s="18"/>
      <c r="F50" s="18"/>
      <c r="G50" s="23">
        <v>0.0</v>
      </c>
      <c r="H50" s="19"/>
      <c r="I50" s="22"/>
      <c r="J50" s="18"/>
      <c r="K50" s="18"/>
      <c r="L50" s="23">
        <v>0.0</v>
      </c>
      <c r="M50" s="19"/>
      <c r="N50" s="22"/>
      <c r="O50" s="18"/>
      <c r="P50" s="18"/>
      <c r="Q50" s="23">
        <v>0.0</v>
      </c>
      <c r="R50" s="19"/>
      <c r="S50" s="22"/>
      <c r="T50" s="18"/>
      <c r="U50" s="18"/>
      <c r="V50" s="18"/>
      <c r="W50" s="19"/>
      <c r="X50" s="22"/>
      <c r="Y50" s="18"/>
      <c r="Z50" s="18"/>
      <c r="AA50" s="18"/>
      <c r="AB50" s="19"/>
      <c r="AC50" s="22"/>
      <c r="AD50" s="18"/>
      <c r="AE50" s="18"/>
      <c r="AF50" s="18"/>
      <c r="AG50" s="19"/>
      <c r="AH50" s="22"/>
      <c r="AI50" s="18"/>
      <c r="AJ50" s="18"/>
      <c r="AK50" s="18"/>
      <c r="AL50" s="19"/>
      <c r="AM50" s="22"/>
      <c r="AN50" s="18"/>
      <c r="AO50" s="18"/>
      <c r="AP50" s="18"/>
      <c r="AQ50" s="19"/>
      <c r="AR50" s="22"/>
      <c r="AS50" s="18"/>
      <c r="AT50" s="18"/>
      <c r="AU50" s="18"/>
      <c r="AV50" s="19"/>
      <c r="AW50" s="22"/>
      <c r="AX50" s="18"/>
      <c r="AY50" s="18"/>
      <c r="AZ50" s="18"/>
      <c r="BA50" s="19"/>
      <c r="BB50" s="22"/>
      <c r="BC50" s="18"/>
      <c r="BD50" s="18"/>
      <c r="BE50" s="18"/>
      <c r="BF50" s="19"/>
      <c r="BG50" s="22"/>
      <c r="BH50" s="18"/>
      <c r="BI50" s="18"/>
      <c r="BJ50" s="18"/>
      <c r="BK50" s="19"/>
      <c r="BL50" s="22"/>
      <c r="BM50" s="18"/>
      <c r="BN50" s="18"/>
      <c r="BO50" s="18"/>
      <c r="BP50" s="19"/>
      <c r="BQ50" s="17" t="s">
        <v>63</v>
      </c>
      <c r="BR50" s="1"/>
      <c r="BS50" s="1"/>
      <c r="BT50" s="1"/>
      <c r="BU50" s="1"/>
    </row>
    <row r="51">
      <c r="A51" s="1"/>
      <c r="B51" s="10" t="s">
        <v>95</v>
      </c>
      <c r="C51" s="11" t="s">
        <v>52</v>
      </c>
      <c r="D51" s="22"/>
      <c r="E51" s="18"/>
      <c r="F51" s="18"/>
      <c r="G51" s="23">
        <v>22000.0</v>
      </c>
      <c r="H51" s="19"/>
      <c r="I51" s="22"/>
      <c r="J51" s="18"/>
      <c r="K51" s="18"/>
      <c r="L51" s="23">
        <v>22000.0</v>
      </c>
      <c r="M51" s="19"/>
      <c r="N51" s="22"/>
      <c r="O51" s="18"/>
      <c r="P51" s="18"/>
      <c r="Q51" s="23">
        <v>22000.0</v>
      </c>
      <c r="R51" s="19"/>
      <c r="S51" s="22"/>
      <c r="T51" s="18"/>
      <c r="U51" s="18"/>
      <c r="V51" s="23">
        <v>22000.0</v>
      </c>
      <c r="W51" s="19"/>
      <c r="X51" s="22"/>
      <c r="Y51" s="18"/>
      <c r="Z51" s="18"/>
      <c r="AA51" s="23">
        <v>22000.0</v>
      </c>
      <c r="AB51" s="19"/>
      <c r="AC51" s="22"/>
      <c r="AD51" s="18"/>
      <c r="AE51" s="18"/>
      <c r="AF51" s="23">
        <v>22000.0</v>
      </c>
      <c r="AG51" s="19"/>
      <c r="AH51" s="22"/>
      <c r="AI51" s="18"/>
      <c r="AJ51" s="18"/>
      <c r="AK51" s="23">
        <v>22000.0</v>
      </c>
      <c r="AL51" s="19"/>
      <c r="AM51" s="22"/>
      <c r="AN51" s="18"/>
      <c r="AO51" s="18"/>
      <c r="AP51" s="23">
        <v>22000.0</v>
      </c>
      <c r="AQ51" s="19"/>
      <c r="AR51" s="22"/>
      <c r="AS51" s="18"/>
      <c r="AT51" s="18"/>
      <c r="AU51" s="23">
        <v>22000.0</v>
      </c>
      <c r="AV51" s="19"/>
      <c r="AW51" s="22"/>
      <c r="AX51" s="18"/>
      <c r="AY51" s="18"/>
      <c r="AZ51" s="23">
        <v>22000.0</v>
      </c>
      <c r="BA51" s="19"/>
      <c r="BB51" s="22"/>
      <c r="BC51" s="18"/>
      <c r="BD51" s="18"/>
      <c r="BE51" s="23">
        <v>22000.0</v>
      </c>
      <c r="BF51" s="19"/>
      <c r="BG51" s="22"/>
      <c r="BH51" s="18"/>
      <c r="BI51" s="18"/>
      <c r="BJ51" s="23">
        <v>22000.0</v>
      </c>
      <c r="BK51" s="19"/>
      <c r="BL51" s="22"/>
      <c r="BM51" s="18"/>
      <c r="BN51" s="18"/>
      <c r="BO51" s="23">
        <v>22000.0</v>
      </c>
      <c r="BP51" s="19"/>
      <c r="BQ51" s="17" t="s">
        <v>63</v>
      </c>
      <c r="BR51" s="1"/>
      <c r="BS51" s="1"/>
      <c r="BT51" s="1"/>
      <c r="BU51" s="1"/>
    </row>
    <row r="52">
      <c r="A52" s="1"/>
      <c r="B52" s="10" t="s">
        <v>95</v>
      </c>
      <c r="C52" s="11" t="s">
        <v>53</v>
      </c>
      <c r="D52" s="22"/>
      <c r="E52" s="18"/>
      <c r="F52" s="18"/>
      <c r="G52" s="23">
        <v>19900.0</v>
      </c>
      <c r="H52" s="19"/>
      <c r="I52" s="22"/>
      <c r="J52" s="18"/>
      <c r="K52" s="18"/>
      <c r="L52" s="23">
        <v>19900.0</v>
      </c>
      <c r="M52" s="19"/>
      <c r="N52" s="22"/>
      <c r="O52" s="18"/>
      <c r="P52" s="18"/>
      <c r="Q52" s="23">
        <v>19900.0</v>
      </c>
      <c r="R52" s="19"/>
      <c r="S52" s="22"/>
      <c r="T52" s="18"/>
      <c r="U52" s="18"/>
      <c r="V52" s="23">
        <v>19900.0</v>
      </c>
      <c r="W52" s="19"/>
      <c r="X52" s="22"/>
      <c r="Y52" s="18"/>
      <c r="Z52" s="18"/>
      <c r="AA52" s="23">
        <v>19900.0</v>
      </c>
      <c r="AB52" s="19"/>
      <c r="AC52" s="22"/>
      <c r="AD52" s="18"/>
      <c r="AE52" s="18"/>
      <c r="AF52" s="23">
        <v>19900.0</v>
      </c>
      <c r="AG52" s="19"/>
      <c r="AH52" s="22"/>
      <c r="AI52" s="18"/>
      <c r="AJ52" s="18"/>
      <c r="AK52" s="23">
        <v>19900.0</v>
      </c>
      <c r="AL52" s="19"/>
      <c r="AM52" s="22"/>
      <c r="AN52" s="18"/>
      <c r="AO52" s="18"/>
      <c r="AP52" s="23">
        <v>19900.0</v>
      </c>
      <c r="AQ52" s="19"/>
      <c r="AR52" s="22"/>
      <c r="AS52" s="18"/>
      <c r="AT52" s="18"/>
      <c r="AU52" s="23">
        <v>19900.0</v>
      </c>
      <c r="AV52" s="19"/>
      <c r="AW52" s="22"/>
      <c r="AX52" s="18"/>
      <c r="AY52" s="18"/>
      <c r="AZ52" s="23">
        <v>19900.0</v>
      </c>
      <c r="BA52" s="19"/>
      <c r="BB52" s="22"/>
      <c r="BC52" s="18"/>
      <c r="BD52" s="18"/>
      <c r="BE52" s="23">
        <v>19900.0</v>
      </c>
      <c r="BF52" s="19"/>
      <c r="BG52" s="22"/>
      <c r="BH52" s="18"/>
      <c r="BI52" s="18"/>
      <c r="BJ52" s="23">
        <v>19900.0</v>
      </c>
      <c r="BK52" s="19"/>
      <c r="BL52" s="22"/>
      <c r="BM52" s="18"/>
      <c r="BN52" s="18"/>
      <c r="BO52" s="23">
        <v>19900.0</v>
      </c>
      <c r="BP52" s="19"/>
      <c r="BQ52" s="17" t="s">
        <v>63</v>
      </c>
      <c r="BR52" s="1"/>
      <c r="BS52" s="1"/>
      <c r="BT52" s="1"/>
      <c r="BU52" s="1"/>
    </row>
    <row r="53">
      <c r="A53" s="1"/>
      <c r="B53" s="21"/>
      <c r="C53" s="11" t="s">
        <v>54</v>
      </c>
      <c r="D53" s="22"/>
      <c r="E53" s="18"/>
      <c r="F53" s="18"/>
      <c r="G53" s="23">
        <f>SUMIFS('지출'!$G$3:$G1000,'지출'!$J$3:$J1000,G$1,'지출'!$C$3:$C1000,"삼중")</f>
        <v>224910</v>
      </c>
      <c r="H53" s="19"/>
      <c r="I53" s="22"/>
      <c r="J53" s="18"/>
      <c r="K53" s="18"/>
      <c r="L53" s="23">
        <f>SUMIFS('지출'!$G$3:$G1000,'지출'!$J$3:$J1000,L$1,'지출'!$C$3:$C1000,"삼중")</f>
        <v>205650</v>
      </c>
      <c r="M53" s="19"/>
      <c r="N53" s="22"/>
      <c r="O53" s="18"/>
      <c r="P53" s="18"/>
      <c r="Q53" s="23">
        <f>SUMIFS('지출'!$G$3:$G1000,'지출'!$J$3:$J1000,Q$1,'지출'!$C$3:$C1000,"삼중")</f>
        <v>169470</v>
      </c>
      <c r="R53" s="19"/>
      <c r="S53" s="22"/>
      <c r="T53" s="18"/>
      <c r="U53" s="18"/>
      <c r="V53" s="23">
        <f>SUMIFS('지출'!$G$3:$G1000,'지출'!$J$3:$J1000,V$1,'지출'!$C$3:$C1000,"삼중")</f>
        <v>24900</v>
      </c>
      <c r="W53" s="19"/>
      <c r="X53" s="18"/>
      <c r="Y53" s="18"/>
      <c r="Z53" s="18"/>
      <c r="AA53" s="23">
        <f>SUMIFS('지출'!$G$3:$G1000,'지출'!$J$3:$J1000,AA$1,'지출'!$C$3:$C1000,"삼중")</f>
        <v>0</v>
      </c>
      <c r="AB53" s="19"/>
      <c r="AC53" s="18"/>
      <c r="AD53" s="18"/>
      <c r="AE53" s="18"/>
      <c r="AF53" s="23">
        <f>SUMIFS('지출'!$G$3:$G1000,'지출'!$J$3:$J1000,AF$1,'지출'!$C$3:$C1000,"삼중")</f>
        <v>0</v>
      </c>
      <c r="AG53" s="19"/>
      <c r="AH53" s="18"/>
      <c r="AI53" s="18"/>
      <c r="AJ53" s="18"/>
      <c r="AK53" s="23">
        <f>SUMIFS('지출'!$G$3:$G1000,'지출'!$J$3:$J1000,AK$1,'지출'!$C$3:$C1000,"삼중")</f>
        <v>0</v>
      </c>
      <c r="AL53" s="19"/>
      <c r="AM53" s="18"/>
      <c r="AN53" s="18"/>
      <c r="AO53" s="18"/>
      <c r="AP53" s="23">
        <f>SUMIFS('지출'!$G$3:$G1000,'지출'!$J$3:$J1000,AP$1,'지출'!$C$3:$C1000,"삼중")</f>
        <v>0</v>
      </c>
      <c r="AQ53" s="19"/>
      <c r="AR53" s="22"/>
      <c r="AS53" s="18"/>
      <c r="AT53" s="18"/>
      <c r="AU53" s="23">
        <f>SUMIFS('지출'!$G$3:$G1000,'지출'!$J$3:$J1000,AU$1,'지출'!$C$3:$C1000,"삼중")</f>
        <v>0</v>
      </c>
      <c r="AV53" s="19"/>
      <c r="AW53" s="22"/>
      <c r="AX53" s="18"/>
      <c r="AY53" s="18"/>
      <c r="AZ53" s="23">
        <f>SUMIFS('지출'!$G$3:$G1000,'지출'!$J$3:$J1000,AZ$1,'지출'!$C$3:$C1000,"삼중")</f>
        <v>0</v>
      </c>
      <c r="BA53" s="19"/>
      <c r="BB53" s="22"/>
      <c r="BC53" s="18"/>
      <c r="BD53" s="18"/>
      <c r="BE53" s="23">
        <f>SUMIFS('지출'!$G$3:$G1000,'지출'!$J$3:$J1000,BE$1,'지출'!$C$3:$C1000,"삼중")</f>
        <v>0</v>
      </c>
      <c r="BF53" s="19"/>
      <c r="BG53" s="22"/>
      <c r="BH53" s="18"/>
      <c r="BI53" s="18"/>
      <c r="BJ53" s="23">
        <f>SUMIFS('지출'!$G$3:$G1000,'지출'!$J$3:$J1000,BJ$1,'지출'!$C$3:$C1000,"삼중")</f>
        <v>0</v>
      </c>
      <c r="BK53" s="19"/>
      <c r="BL53" s="22"/>
      <c r="BM53" s="18"/>
      <c r="BN53" s="18"/>
      <c r="BO53" s="23">
        <f>SUMIFS('지출'!$G$3:$G1000,'지출'!$J$3:$J1000,BO$1,'지출'!$C$3:$C1000,"삼중")</f>
        <v>224910</v>
      </c>
      <c r="BP53" s="19"/>
      <c r="BQ53" s="17" t="s">
        <v>63</v>
      </c>
      <c r="BR53" s="1"/>
      <c r="BS53" s="1"/>
      <c r="BT53" s="1"/>
      <c r="BU53" s="1"/>
    </row>
    <row r="54">
      <c r="A54" s="1"/>
      <c r="B54" s="21"/>
      <c r="C54" s="11" t="s">
        <v>56</v>
      </c>
      <c r="D54" s="22"/>
      <c r="E54" s="23">
        <f>E45-(SUM(E46:E53))</f>
        <v>990000</v>
      </c>
      <c r="F54" s="18"/>
      <c r="G54" s="23">
        <f>G45-(SUM(G46:G53))</f>
        <v>-832410</v>
      </c>
      <c r="H54" s="19"/>
      <c r="I54" s="22"/>
      <c r="J54" s="23">
        <f>J45-(SUM(J46:J53))</f>
        <v>778276</v>
      </c>
      <c r="K54" s="18"/>
      <c r="L54" s="23">
        <f>L45-(SUM(L46:L53))</f>
        <v>-611923</v>
      </c>
      <c r="M54" s="19"/>
      <c r="N54" s="22"/>
      <c r="O54" s="23">
        <f>O45-(SUM(O46:O53))</f>
        <v>1366452</v>
      </c>
      <c r="P54" s="18"/>
      <c r="Q54" s="23">
        <f>Q45-(SUM(Q46:Q53))</f>
        <v>-249627</v>
      </c>
      <c r="R54" s="19"/>
      <c r="S54" s="22"/>
      <c r="T54" s="23">
        <f>T45-(SUM(T46:T53))</f>
        <v>1200000</v>
      </c>
      <c r="U54" s="18"/>
      <c r="V54" s="23">
        <f>V45-(SUM(V46:V53))</f>
        <v>423200</v>
      </c>
      <c r="W54" s="19"/>
      <c r="X54" s="18"/>
      <c r="Y54" s="23">
        <f>Y45-(SUM(Y46:Y53))</f>
        <v>1200000</v>
      </c>
      <c r="Z54" s="18"/>
      <c r="AA54" s="23">
        <f>AA45-(SUM(AA46:AA53))</f>
        <v>448100</v>
      </c>
      <c r="AB54" s="19"/>
      <c r="AC54" s="18"/>
      <c r="AD54" s="23">
        <f>AD45-(SUM(AD46:AD53))</f>
        <v>1472000</v>
      </c>
      <c r="AE54" s="18"/>
      <c r="AF54" s="23">
        <f>AF45-(SUM(AF46:AF53))</f>
        <v>493433</v>
      </c>
      <c r="AG54" s="19"/>
      <c r="AH54" s="18"/>
      <c r="AI54" s="23">
        <f>AI45-(SUM(AI46:AI53))</f>
        <v>820000</v>
      </c>
      <c r="AJ54" s="18"/>
      <c r="AK54" s="23">
        <f>AK45-(SUM(AK46:AK53))</f>
        <v>388100</v>
      </c>
      <c r="AL54" s="19"/>
      <c r="AM54" s="18"/>
      <c r="AN54" s="23">
        <f>AN45-(SUM(AN46:AN53))</f>
        <v>1509678</v>
      </c>
      <c r="AO54" s="18"/>
      <c r="AP54" s="23">
        <f>AP45-(SUM(AP46:AP53))</f>
        <v>456487</v>
      </c>
      <c r="AQ54" s="19"/>
      <c r="AR54" s="22"/>
      <c r="AS54" s="23">
        <f>AS45-(SUM(AS46:AS53))</f>
        <v>1436000</v>
      </c>
      <c r="AT54" s="18"/>
      <c r="AU54" s="23">
        <f>AU45-(SUM(AU46:AU53))</f>
        <v>490767</v>
      </c>
      <c r="AV54" s="19"/>
      <c r="AW54" s="22"/>
      <c r="AX54" s="23">
        <f>AX45-(SUM(AX46:AX53))</f>
        <v>1660000</v>
      </c>
      <c r="AY54" s="18"/>
      <c r="AZ54" s="23">
        <f>AZ45-(SUM(AZ46:AZ53))</f>
        <v>528100</v>
      </c>
      <c r="BA54" s="19"/>
      <c r="BB54" s="22"/>
      <c r="BC54" s="23">
        <f>BC45-(SUM(BC46:BC53))</f>
        <v>1660000</v>
      </c>
      <c r="BD54" s="18"/>
      <c r="BE54" s="23">
        <f>BE45-(SUM(BE46:BE53))</f>
        <v>528100</v>
      </c>
      <c r="BF54" s="19"/>
      <c r="BG54" s="22"/>
      <c r="BH54" s="23">
        <f>BH45-(SUM(BH46:BH53))</f>
        <v>1336451</v>
      </c>
      <c r="BI54" s="18"/>
      <c r="BJ54" s="23">
        <f>BJ45-(SUM(BJ46:BJ53))</f>
        <v>470035</v>
      </c>
      <c r="BK54" s="19"/>
      <c r="BL54" s="22"/>
      <c r="BM54" s="23">
        <f>BM45-(SUM(BM46:BM53))</f>
        <v>1730000</v>
      </c>
      <c r="BN54" s="18"/>
      <c r="BO54" s="23">
        <f>BO45-(SUM(BO46:BO53))</f>
        <v>303190</v>
      </c>
      <c r="BP54" s="19"/>
      <c r="BQ54" s="17" t="s">
        <v>63</v>
      </c>
      <c r="BR54" s="1"/>
      <c r="BS54" s="1"/>
      <c r="BT54" s="1"/>
      <c r="BU54" s="1"/>
    </row>
    <row r="55">
      <c r="A55" s="39"/>
      <c r="B55" s="27">
        <v>0.7</v>
      </c>
      <c r="C55" s="11" t="s">
        <v>26</v>
      </c>
      <c r="D55" s="22"/>
      <c r="E55" s="23">
        <f>E54*$B55</f>
        <v>693000</v>
      </c>
      <c r="F55" s="18"/>
      <c r="G55" s="18"/>
      <c r="H55" s="19"/>
      <c r="I55" s="22"/>
      <c r="J55" s="23">
        <f>J54*$B55</f>
        <v>544793.2</v>
      </c>
      <c r="K55" s="18"/>
      <c r="L55" s="18"/>
      <c r="M55" s="19"/>
      <c r="N55" s="22"/>
      <c r="O55" s="23">
        <f>O54*$B55</f>
        <v>956516.4</v>
      </c>
      <c r="P55" s="18"/>
      <c r="Q55" s="18"/>
      <c r="R55" s="19"/>
      <c r="S55" s="22"/>
      <c r="T55" s="23">
        <f>T54*$B55</f>
        <v>840000</v>
      </c>
      <c r="U55" s="18"/>
      <c r="V55" s="18"/>
      <c r="W55" s="19"/>
      <c r="X55" s="18"/>
      <c r="Y55" s="23">
        <f>Y54*$B55</f>
        <v>840000</v>
      </c>
      <c r="Z55" s="18"/>
      <c r="AA55" s="18"/>
      <c r="AB55" s="19"/>
      <c r="AC55" s="18"/>
      <c r="AD55" s="23">
        <f>AD54*$B55</f>
        <v>1030400</v>
      </c>
      <c r="AE55" s="18"/>
      <c r="AF55" s="18"/>
      <c r="AG55" s="19"/>
      <c r="AH55" s="18"/>
      <c r="AI55" s="23">
        <f>AI54*$B55</f>
        <v>574000</v>
      </c>
      <c r="AJ55" s="18"/>
      <c r="AK55" s="18"/>
      <c r="AL55" s="19"/>
      <c r="AM55" s="18"/>
      <c r="AN55" s="23">
        <f>AN54*$B55</f>
        <v>1056774.6</v>
      </c>
      <c r="AO55" s="18"/>
      <c r="AP55" s="18"/>
      <c r="AQ55" s="19"/>
      <c r="AR55" s="22"/>
      <c r="AS55" s="23">
        <f>AS54*$B55</f>
        <v>1005200</v>
      </c>
      <c r="AT55" s="18"/>
      <c r="AU55" s="18"/>
      <c r="AV55" s="19"/>
      <c r="AW55" s="22"/>
      <c r="AX55" s="23">
        <f>AX54*$B55</f>
        <v>1162000</v>
      </c>
      <c r="AY55" s="18"/>
      <c r="AZ55" s="18"/>
      <c r="BA55" s="19"/>
      <c r="BB55" s="22"/>
      <c r="BC55" s="23">
        <f>BC54*$B55</f>
        <v>1162000</v>
      </c>
      <c r="BD55" s="18"/>
      <c r="BE55" s="18"/>
      <c r="BF55" s="19"/>
      <c r="BG55" s="22"/>
      <c r="BH55" s="23">
        <f>BH54*$B55</f>
        <v>935515.7</v>
      </c>
      <c r="BI55" s="18"/>
      <c r="BJ55" s="18"/>
      <c r="BK55" s="19"/>
      <c r="BL55" s="22"/>
      <c r="BM55" s="23">
        <f>BM54*$B55</f>
        <v>1211000</v>
      </c>
      <c r="BN55" s="18"/>
      <c r="BO55" s="18"/>
      <c r="BP55" s="19"/>
      <c r="BQ55" s="17" t="s">
        <v>63</v>
      </c>
      <c r="BR55" s="1"/>
      <c r="BS55" s="1"/>
      <c r="BT55" s="1"/>
      <c r="BU55" s="1"/>
    </row>
    <row r="56">
      <c r="A56" s="28" t="str">
        <f>B36</f>
        <v>삼중</v>
      </c>
      <c r="B56" s="29">
        <v>0.3</v>
      </c>
      <c r="C56" s="30" t="s">
        <v>57</v>
      </c>
      <c r="D56" s="31"/>
      <c r="E56" s="32">
        <f>E54*$B56</f>
        <v>297000</v>
      </c>
      <c r="F56" s="33"/>
      <c r="G56" s="33"/>
      <c r="H56" s="34"/>
      <c r="I56" s="31"/>
      <c r="J56" s="32">
        <f>J54*$B56</f>
        <v>233482.8</v>
      </c>
      <c r="K56" s="33"/>
      <c r="L56" s="33"/>
      <c r="M56" s="34"/>
      <c r="N56" s="31"/>
      <c r="O56" s="32">
        <f>O54*$B56</f>
        <v>409935.6</v>
      </c>
      <c r="P56" s="33"/>
      <c r="Q56" s="33"/>
      <c r="R56" s="34"/>
      <c r="S56" s="31"/>
      <c r="T56" s="32">
        <f>T54*$B56</f>
        <v>360000</v>
      </c>
      <c r="U56" s="33"/>
      <c r="V56" s="33"/>
      <c r="W56" s="34"/>
      <c r="X56" s="33"/>
      <c r="Y56" s="32">
        <f>Y54*$B56</f>
        <v>360000</v>
      </c>
      <c r="Z56" s="33"/>
      <c r="AA56" s="33"/>
      <c r="AB56" s="34"/>
      <c r="AC56" s="33"/>
      <c r="AD56" s="32">
        <f>AD54*$B56</f>
        <v>441600</v>
      </c>
      <c r="AE56" s="33"/>
      <c r="AF56" s="33"/>
      <c r="AG56" s="34"/>
      <c r="AH56" s="33"/>
      <c r="AI56" s="32">
        <f>AI54*$B56</f>
        <v>246000</v>
      </c>
      <c r="AJ56" s="33"/>
      <c r="AK56" s="33"/>
      <c r="AL56" s="34"/>
      <c r="AM56" s="33"/>
      <c r="AN56" s="32">
        <f>AN54*$B56</f>
        <v>452903.4</v>
      </c>
      <c r="AO56" s="33"/>
      <c r="AP56" s="33"/>
      <c r="AQ56" s="34"/>
      <c r="AR56" s="31"/>
      <c r="AS56" s="32">
        <f>AS54*$B56</f>
        <v>430800</v>
      </c>
      <c r="AT56" s="33"/>
      <c r="AU56" s="33"/>
      <c r="AV56" s="34"/>
      <c r="AW56" s="31"/>
      <c r="AX56" s="32">
        <f>AX54*$B56</f>
        <v>498000</v>
      </c>
      <c r="AY56" s="33"/>
      <c r="AZ56" s="33"/>
      <c r="BA56" s="34"/>
      <c r="BB56" s="31"/>
      <c r="BC56" s="32">
        <f>BC54*$B56</f>
        <v>498000</v>
      </c>
      <c r="BD56" s="33"/>
      <c r="BE56" s="33"/>
      <c r="BF56" s="34"/>
      <c r="BG56" s="31"/>
      <c r="BH56" s="32">
        <f>BH54*$B56</f>
        <v>400935.3</v>
      </c>
      <c r="BI56" s="33"/>
      <c r="BJ56" s="33"/>
      <c r="BK56" s="34"/>
      <c r="BL56" s="31"/>
      <c r="BM56" s="32">
        <f>BM54*$B56</f>
        <v>519000</v>
      </c>
      <c r="BN56" s="33"/>
      <c r="BO56" s="33"/>
      <c r="BP56" s="34"/>
      <c r="BQ56" s="17" t="s">
        <v>63</v>
      </c>
      <c r="BR56" s="1"/>
      <c r="BS56" s="1"/>
      <c r="BT56" s="1"/>
      <c r="BU56" s="1"/>
    </row>
    <row r="57">
      <c r="A57" s="1"/>
      <c r="B57" s="10" t="s">
        <v>154</v>
      </c>
      <c r="C57" s="11" t="s">
        <v>155</v>
      </c>
      <c r="D57" s="10" t="s">
        <v>156</v>
      </c>
      <c r="E57" s="23">
        <v>550000.0</v>
      </c>
      <c r="F57" s="35" t="b">
        <v>0</v>
      </c>
      <c r="G57" s="23">
        <v>80000.0</v>
      </c>
      <c r="H57" s="15" t="b">
        <v>1</v>
      </c>
      <c r="I57" s="10" t="s">
        <v>157</v>
      </c>
      <c r="J57" s="23">
        <v>550000.0</v>
      </c>
      <c r="K57" s="35" t="b">
        <v>0</v>
      </c>
      <c r="L57" s="23">
        <v>80000.0</v>
      </c>
      <c r="M57" s="15" t="b">
        <v>1</v>
      </c>
      <c r="N57" s="43" t="s">
        <v>158</v>
      </c>
      <c r="O57" s="23">
        <f>600000+377419</f>
        <v>977419</v>
      </c>
      <c r="P57" s="35" t="b">
        <v>0</v>
      </c>
      <c r="Q57" s="23">
        <f>80000+46452</f>
        <v>126452</v>
      </c>
      <c r="R57" s="15" t="b">
        <v>1</v>
      </c>
      <c r="S57" s="10" t="s">
        <v>159</v>
      </c>
      <c r="T57" s="23">
        <v>650000.0</v>
      </c>
      <c r="U57" s="35" t="b">
        <v>0</v>
      </c>
      <c r="V57" s="23">
        <v>80000.0</v>
      </c>
      <c r="W57" s="15" t="b">
        <v>1</v>
      </c>
      <c r="X57" s="17" t="s">
        <v>159</v>
      </c>
      <c r="Y57" s="23">
        <v>650000.0</v>
      </c>
      <c r="Z57" s="35" t="b">
        <v>0</v>
      </c>
      <c r="AA57" s="23">
        <v>80000.0</v>
      </c>
      <c r="AB57" s="15" t="b">
        <v>1</v>
      </c>
      <c r="AC57" s="17" t="s">
        <v>159</v>
      </c>
      <c r="AD57" s="23">
        <v>650000.0</v>
      </c>
      <c r="AE57" s="35" t="b">
        <v>0</v>
      </c>
      <c r="AF57" s="23">
        <v>80000.0</v>
      </c>
      <c r="AG57" s="15" t="b">
        <v>1</v>
      </c>
      <c r="AH57" s="17" t="s">
        <v>159</v>
      </c>
      <c r="AI57" s="23">
        <v>650000.0</v>
      </c>
      <c r="AJ57" s="35" t="b">
        <v>0</v>
      </c>
      <c r="AK57" s="23">
        <v>80000.0</v>
      </c>
      <c r="AL57" s="15" t="b">
        <v>1</v>
      </c>
      <c r="AM57" s="17" t="s">
        <v>159</v>
      </c>
      <c r="AN57" s="23">
        <v>650000.0</v>
      </c>
      <c r="AO57" s="35" t="b">
        <v>0</v>
      </c>
      <c r="AP57" s="23">
        <v>80000.0</v>
      </c>
      <c r="AQ57" s="15" t="b">
        <v>1</v>
      </c>
      <c r="AR57" s="17" t="s">
        <v>159</v>
      </c>
      <c r="AS57" s="23">
        <v>650000.0</v>
      </c>
      <c r="AT57" s="35" t="b">
        <v>0</v>
      </c>
      <c r="AU57" s="23">
        <v>80000.0</v>
      </c>
      <c r="AV57" s="15" t="b">
        <v>1</v>
      </c>
      <c r="AW57" s="17" t="s">
        <v>159</v>
      </c>
      <c r="AX57" s="23">
        <v>650000.0</v>
      </c>
      <c r="AY57" s="35" t="b">
        <v>0</v>
      </c>
      <c r="AZ57" s="23">
        <v>80000.0</v>
      </c>
      <c r="BA57" s="15" t="b">
        <v>1</v>
      </c>
      <c r="BB57" s="17" t="s">
        <v>159</v>
      </c>
      <c r="BC57" s="23">
        <v>650000.0</v>
      </c>
      <c r="BD57" s="35" t="b">
        <v>0</v>
      </c>
      <c r="BE57" s="23">
        <v>80000.0</v>
      </c>
      <c r="BF57" s="15" t="b">
        <v>1</v>
      </c>
      <c r="BG57" s="17" t="s">
        <v>159</v>
      </c>
      <c r="BH57" s="23">
        <v>650000.0</v>
      </c>
      <c r="BI57" s="35" t="b">
        <v>0</v>
      </c>
      <c r="BJ57" s="23">
        <v>80000.0</v>
      </c>
      <c r="BK57" s="15" t="b">
        <v>1</v>
      </c>
      <c r="BL57" s="17" t="s">
        <v>159</v>
      </c>
      <c r="BM57" s="23">
        <v>650000.0</v>
      </c>
      <c r="BN57" s="35" t="b">
        <v>0</v>
      </c>
      <c r="BO57" s="23">
        <v>80000.0</v>
      </c>
      <c r="BP57" s="15" t="b">
        <v>0</v>
      </c>
      <c r="BQ57" s="17" t="s">
        <v>63</v>
      </c>
      <c r="BR57" s="1"/>
      <c r="BS57" s="1"/>
      <c r="BT57" s="1"/>
      <c r="BU57" s="1"/>
    </row>
    <row r="58">
      <c r="A58" s="1"/>
      <c r="B58" s="10" t="s">
        <v>154</v>
      </c>
      <c r="C58" s="11" t="s">
        <v>160</v>
      </c>
      <c r="D58" s="10" t="s">
        <v>161</v>
      </c>
      <c r="E58" s="23">
        <v>600000.0</v>
      </c>
      <c r="F58" s="35" t="b">
        <v>0</v>
      </c>
      <c r="G58" s="23">
        <v>80000.0</v>
      </c>
      <c r="H58" s="15" t="b">
        <v>1</v>
      </c>
      <c r="I58" s="10" t="s">
        <v>161</v>
      </c>
      <c r="J58" s="23">
        <v>600000.0</v>
      </c>
      <c r="K58" s="35" t="b">
        <v>0</v>
      </c>
      <c r="L58" s="23">
        <v>80000.0</v>
      </c>
      <c r="M58" s="15" t="b">
        <v>1</v>
      </c>
      <c r="N58" s="10" t="s">
        <v>161</v>
      </c>
      <c r="O58" s="23">
        <v>600000.0</v>
      </c>
      <c r="P58" s="35" t="b">
        <v>0</v>
      </c>
      <c r="Q58" s="23">
        <v>80000.0</v>
      </c>
      <c r="R58" s="15" t="b">
        <v>1</v>
      </c>
      <c r="S58" s="10" t="s">
        <v>161</v>
      </c>
      <c r="T58" s="23">
        <v>600000.0</v>
      </c>
      <c r="U58" s="35" t="b">
        <v>0</v>
      </c>
      <c r="V58" s="23">
        <v>80000.0</v>
      </c>
      <c r="W58" s="15" t="b">
        <v>1</v>
      </c>
      <c r="X58" s="17" t="s">
        <v>161</v>
      </c>
      <c r="Y58" s="23">
        <v>600000.0</v>
      </c>
      <c r="Z58" s="35" t="b">
        <v>0</v>
      </c>
      <c r="AA58" s="23">
        <v>80000.0</v>
      </c>
      <c r="AB58" s="15" t="b">
        <v>1</v>
      </c>
      <c r="AC58" s="17" t="s">
        <v>161</v>
      </c>
      <c r="AD58" s="23">
        <v>600000.0</v>
      </c>
      <c r="AE58" s="35" t="b">
        <v>0</v>
      </c>
      <c r="AF58" s="23">
        <v>80000.0</v>
      </c>
      <c r="AG58" s="15" t="b">
        <v>1</v>
      </c>
      <c r="AH58" s="17" t="s">
        <v>161</v>
      </c>
      <c r="AI58" s="23">
        <v>600000.0</v>
      </c>
      <c r="AJ58" s="35" t="b">
        <v>0</v>
      </c>
      <c r="AK58" s="23">
        <v>80000.0</v>
      </c>
      <c r="AL58" s="15" t="b">
        <v>1</v>
      </c>
      <c r="AM58" s="17" t="s">
        <v>162</v>
      </c>
      <c r="AN58" s="23">
        <v>600000.0</v>
      </c>
      <c r="AO58" s="35" t="b">
        <v>0</v>
      </c>
      <c r="AP58" s="23">
        <v>80000.0</v>
      </c>
      <c r="AQ58" s="15" t="b">
        <v>1</v>
      </c>
      <c r="AR58" s="10" t="s">
        <v>163</v>
      </c>
      <c r="AS58" s="23">
        <v>630000.0</v>
      </c>
      <c r="AT58" s="35" t="b">
        <v>0</v>
      </c>
      <c r="AU58" s="23">
        <v>80000.0</v>
      </c>
      <c r="AV58" s="15" t="b">
        <v>1</v>
      </c>
      <c r="AW58" s="10" t="s">
        <v>164</v>
      </c>
      <c r="AX58" s="23">
        <v>630000.0</v>
      </c>
      <c r="AY58" s="35" t="b">
        <v>0</v>
      </c>
      <c r="AZ58" s="23">
        <v>80000.0</v>
      </c>
      <c r="BA58" s="15" t="b">
        <v>1</v>
      </c>
      <c r="BB58" s="10" t="s">
        <v>164</v>
      </c>
      <c r="BC58" s="23">
        <v>630000.0</v>
      </c>
      <c r="BD58" s="35" t="b">
        <v>0</v>
      </c>
      <c r="BE58" s="23">
        <v>80000.0</v>
      </c>
      <c r="BF58" s="15" t="b">
        <v>1</v>
      </c>
      <c r="BG58" s="10" t="s">
        <v>164</v>
      </c>
      <c r="BH58" s="23">
        <v>630000.0</v>
      </c>
      <c r="BI58" s="35" t="b">
        <v>0</v>
      </c>
      <c r="BJ58" s="23">
        <v>80000.0</v>
      </c>
      <c r="BK58" s="15" t="b">
        <v>1</v>
      </c>
      <c r="BL58" s="10" t="s">
        <v>164</v>
      </c>
      <c r="BM58" s="23">
        <v>630000.0</v>
      </c>
      <c r="BN58" s="35" t="b">
        <v>0</v>
      </c>
      <c r="BO58" s="23">
        <v>80000.0</v>
      </c>
      <c r="BP58" s="15" t="b">
        <v>0</v>
      </c>
      <c r="BQ58" s="17" t="s">
        <v>63</v>
      </c>
      <c r="BR58" s="1"/>
      <c r="BS58" s="1"/>
      <c r="BT58" s="1"/>
      <c r="BU58" s="1"/>
    </row>
    <row r="59">
      <c r="A59" s="1"/>
      <c r="B59" s="10" t="s">
        <v>154</v>
      </c>
      <c r="C59" s="11" t="s">
        <v>165</v>
      </c>
      <c r="D59" s="10" t="s">
        <v>166</v>
      </c>
      <c r="E59" s="23">
        <v>580000.0</v>
      </c>
      <c r="F59" s="35" t="b">
        <v>0</v>
      </c>
      <c r="G59" s="23">
        <v>80000.0</v>
      </c>
      <c r="H59" s="15" t="b">
        <v>1</v>
      </c>
      <c r="I59" s="10" t="s">
        <v>166</v>
      </c>
      <c r="J59" s="23">
        <v>580000.0</v>
      </c>
      <c r="K59" s="35" t="b">
        <v>0</v>
      </c>
      <c r="L59" s="23">
        <v>80000.0</v>
      </c>
      <c r="M59" s="15" t="b">
        <v>1</v>
      </c>
      <c r="N59" s="10" t="s">
        <v>166</v>
      </c>
      <c r="O59" s="23">
        <v>580000.0</v>
      </c>
      <c r="P59" s="35" t="b">
        <v>0</v>
      </c>
      <c r="Q59" s="23">
        <v>80000.0</v>
      </c>
      <c r="R59" s="15" t="b">
        <v>1</v>
      </c>
      <c r="S59" s="10" t="s">
        <v>166</v>
      </c>
      <c r="T59" s="23">
        <v>580000.0</v>
      </c>
      <c r="U59" s="35" t="b">
        <v>0</v>
      </c>
      <c r="V59" s="23">
        <v>80000.0</v>
      </c>
      <c r="W59" s="15" t="b">
        <v>1</v>
      </c>
      <c r="X59" s="17" t="s">
        <v>166</v>
      </c>
      <c r="Y59" s="23">
        <v>580000.0</v>
      </c>
      <c r="Z59" s="35" t="b">
        <v>0</v>
      </c>
      <c r="AA59" s="23">
        <v>80000.0</v>
      </c>
      <c r="AB59" s="15" t="b">
        <v>1</v>
      </c>
      <c r="AC59" s="17" t="s">
        <v>166</v>
      </c>
      <c r="AD59" s="23">
        <v>580000.0</v>
      </c>
      <c r="AE59" s="35" t="b">
        <v>0</v>
      </c>
      <c r="AF59" s="23">
        <v>80000.0</v>
      </c>
      <c r="AG59" s="15" t="b">
        <v>1</v>
      </c>
      <c r="AH59" s="17" t="s">
        <v>166</v>
      </c>
      <c r="AI59" s="23">
        <v>580000.0</v>
      </c>
      <c r="AJ59" s="35" t="b">
        <v>0</v>
      </c>
      <c r="AK59" s="23">
        <v>80000.0</v>
      </c>
      <c r="AL59" s="15" t="b">
        <v>1</v>
      </c>
      <c r="AM59" s="17" t="s">
        <v>166</v>
      </c>
      <c r="AN59" s="23">
        <v>580000.0</v>
      </c>
      <c r="AO59" s="35" t="b">
        <v>0</v>
      </c>
      <c r="AP59" s="23">
        <v>80000.0</v>
      </c>
      <c r="AQ59" s="15" t="b">
        <v>1</v>
      </c>
      <c r="AR59" s="10" t="s">
        <v>166</v>
      </c>
      <c r="AS59" s="23">
        <v>580000.0</v>
      </c>
      <c r="AT59" s="35" t="b">
        <v>0</v>
      </c>
      <c r="AU59" s="23">
        <v>80000.0</v>
      </c>
      <c r="AV59" s="15" t="b">
        <v>1</v>
      </c>
      <c r="AW59" s="10" t="s">
        <v>166</v>
      </c>
      <c r="AX59" s="23">
        <v>580000.0</v>
      </c>
      <c r="AY59" s="35" t="b">
        <v>0</v>
      </c>
      <c r="AZ59" s="23">
        <v>80000.0</v>
      </c>
      <c r="BA59" s="15" t="b">
        <v>1</v>
      </c>
      <c r="BB59" s="10" t="s">
        <v>166</v>
      </c>
      <c r="BC59" s="23">
        <v>580000.0</v>
      </c>
      <c r="BD59" s="35" t="b">
        <v>0</v>
      </c>
      <c r="BE59" s="23">
        <v>80000.0</v>
      </c>
      <c r="BF59" s="15" t="b">
        <v>1</v>
      </c>
      <c r="BG59" s="10" t="s">
        <v>166</v>
      </c>
      <c r="BH59" s="23">
        <v>580000.0</v>
      </c>
      <c r="BI59" s="35" t="b">
        <v>0</v>
      </c>
      <c r="BJ59" s="23">
        <v>80000.0</v>
      </c>
      <c r="BK59" s="15" t="b">
        <v>1</v>
      </c>
      <c r="BL59" s="10" t="s">
        <v>166</v>
      </c>
      <c r="BM59" s="23">
        <v>580000.0</v>
      </c>
      <c r="BN59" s="35" t="b">
        <v>0</v>
      </c>
      <c r="BO59" s="23">
        <v>80000.0</v>
      </c>
      <c r="BP59" s="15" t="b">
        <v>0</v>
      </c>
      <c r="BQ59" s="17" t="s">
        <v>63</v>
      </c>
      <c r="BR59" s="1"/>
      <c r="BS59" s="1"/>
      <c r="BT59" s="1"/>
      <c r="BU59" s="1"/>
    </row>
    <row r="60">
      <c r="A60" s="1"/>
      <c r="B60" s="10" t="s">
        <v>154</v>
      </c>
      <c r="C60" s="11" t="s">
        <v>167</v>
      </c>
      <c r="D60" s="10" t="s">
        <v>168</v>
      </c>
      <c r="E60" s="23">
        <v>540000.0</v>
      </c>
      <c r="F60" s="35" t="b">
        <v>0</v>
      </c>
      <c r="G60" s="23">
        <v>80000.0</v>
      </c>
      <c r="H60" s="15" t="b">
        <v>1</v>
      </c>
      <c r="I60" s="10" t="s">
        <v>168</v>
      </c>
      <c r="J60" s="23">
        <v>540000.0</v>
      </c>
      <c r="K60" s="35" t="b">
        <v>0</v>
      </c>
      <c r="L60" s="23">
        <v>80000.0</v>
      </c>
      <c r="M60" s="15" t="b">
        <v>1</v>
      </c>
      <c r="N60" s="10" t="s">
        <v>168</v>
      </c>
      <c r="O60" s="23">
        <v>540000.0</v>
      </c>
      <c r="P60" s="35" t="b">
        <v>0</v>
      </c>
      <c r="Q60" s="23">
        <v>80000.0</v>
      </c>
      <c r="R60" s="15" t="b">
        <v>1</v>
      </c>
      <c r="S60" s="10" t="s">
        <v>168</v>
      </c>
      <c r="T60" s="23">
        <v>540000.0</v>
      </c>
      <c r="U60" s="35" t="b">
        <v>0</v>
      </c>
      <c r="V60" s="23">
        <v>80000.0</v>
      </c>
      <c r="W60" s="15" t="b">
        <v>1</v>
      </c>
      <c r="X60" s="36" t="s">
        <v>169</v>
      </c>
      <c r="Y60" s="23">
        <f>540000+86400</f>
        <v>626400</v>
      </c>
      <c r="Z60" s="35" t="b">
        <v>0</v>
      </c>
      <c r="AA60" s="23">
        <f>80000+13000</f>
        <v>93000</v>
      </c>
      <c r="AB60" s="15" t="b">
        <v>1</v>
      </c>
      <c r="AC60" s="41" t="s">
        <v>170</v>
      </c>
      <c r="AD60" s="23">
        <v>535500.0</v>
      </c>
      <c r="AE60" s="35" t="b">
        <v>0</v>
      </c>
      <c r="AF60" s="23">
        <v>80000.0</v>
      </c>
      <c r="AG60" s="15" t="b">
        <v>1</v>
      </c>
      <c r="AH60" s="41" t="s">
        <v>170</v>
      </c>
      <c r="AI60" s="23">
        <v>529550.0</v>
      </c>
      <c r="AJ60" s="35" t="b">
        <v>0</v>
      </c>
      <c r="AK60" s="23">
        <v>80000.0</v>
      </c>
      <c r="AL60" s="15" t="b">
        <v>1</v>
      </c>
      <c r="AM60" s="41" t="s">
        <v>170</v>
      </c>
      <c r="AN60" s="23">
        <v>529550.0</v>
      </c>
      <c r="AO60" s="35" t="b">
        <v>0</v>
      </c>
      <c r="AP60" s="23">
        <v>80000.0</v>
      </c>
      <c r="AQ60" s="15" t="b">
        <v>1</v>
      </c>
      <c r="AR60" s="41" t="s">
        <v>170</v>
      </c>
      <c r="AS60" s="23">
        <v>529550.0</v>
      </c>
      <c r="AT60" s="35" t="b">
        <v>0</v>
      </c>
      <c r="AU60" s="23">
        <v>80000.0</v>
      </c>
      <c r="AV60" s="15" t="b">
        <v>1</v>
      </c>
      <c r="AW60" s="41" t="s">
        <v>170</v>
      </c>
      <c r="AX60" s="23">
        <v>529550.0</v>
      </c>
      <c r="AY60" s="35" t="b">
        <v>0</v>
      </c>
      <c r="AZ60" s="23">
        <v>80000.0</v>
      </c>
      <c r="BA60" s="15" t="b">
        <v>1</v>
      </c>
      <c r="BB60" s="41" t="s">
        <v>171</v>
      </c>
      <c r="BC60" s="23">
        <v>529550.0</v>
      </c>
      <c r="BD60" s="35" t="b">
        <v>0</v>
      </c>
      <c r="BE60" s="23">
        <v>80000.0</v>
      </c>
      <c r="BF60" s="15" t="b">
        <v>0</v>
      </c>
      <c r="BG60" s="10" t="s">
        <v>172</v>
      </c>
      <c r="BH60" s="23">
        <v>540000.0</v>
      </c>
      <c r="BI60" s="35" t="b">
        <v>0</v>
      </c>
      <c r="BJ60" s="23">
        <v>80000.0</v>
      </c>
      <c r="BK60" s="15" t="b">
        <v>1</v>
      </c>
      <c r="BL60" s="10" t="s">
        <v>172</v>
      </c>
      <c r="BM60" s="23">
        <v>540000.0</v>
      </c>
      <c r="BN60" s="35" t="b">
        <v>0</v>
      </c>
      <c r="BO60" s="23">
        <v>80000.0</v>
      </c>
      <c r="BP60" s="15" t="b">
        <v>0</v>
      </c>
      <c r="BQ60" s="17" t="s">
        <v>63</v>
      </c>
      <c r="BR60" s="17">
        <v>756000.0</v>
      </c>
      <c r="BS60" s="1"/>
      <c r="BT60" s="1"/>
      <c r="BU60" s="1"/>
    </row>
    <row r="61">
      <c r="A61" s="1"/>
      <c r="B61" s="10" t="s">
        <v>154</v>
      </c>
      <c r="C61" s="11" t="s">
        <v>173</v>
      </c>
      <c r="D61" s="20" t="s">
        <v>174</v>
      </c>
      <c r="E61" s="23">
        <v>480000.0</v>
      </c>
      <c r="F61" s="35" t="b">
        <v>1</v>
      </c>
      <c r="G61" s="23">
        <v>80000.0</v>
      </c>
      <c r="H61" s="15" t="b">
        <v>1</v>
      </c>
      <c r="I61" s="20" t="s">
        <v>175</v>
      </c>
      <c r="J61" s="23">
        <v>480000.0</v>
      </c>
      <c r="K61" s="35" t="b">
        <v>1</v>
      </c>
      <c r="L61" s="23">
        <v>80000.0</v>
      </c>
      <c r="M61" s="15" t="b">
        <v>1</v>
      </c>
      <c r="N61" s="10" t="s">
        <v>176</v>
      </c>
      <c r="O61" s="23">
        <v>449032.0</v>
      </c>
      <c r="P61" s="35" t="b">
        <v>0</v>
      </c>
      <c r="Q61" s="23">
        <v>74839.0</v>
      </c>
      <c r="R61" s="15" t="b">
        <v>1</v>
      </c>
      <c r="S61" s="10" t="s">
        <v>177</v>
      </c>
      <c r="T61" s="23">
        <v>480000.0</v>
      </c>
      <c r="U61" s="35" t="b">
        <v>0</v>
      </c>
      <c r="V61" s="23">
        <v>80000.0</v>
      </c>
      <c r="W61" s="15" t="b">
        <v>1</v>
      </c>
      <c r="X61" s="10" t="s">
        <v>177</v>
      </c>
      <c r="Y61" s="23">
        <v>480000.0</v>
      </c>
      <c r="Z61" s="35" t="b">
        <v>0</v>
      </c>
      <c r="AA61" s="23">
        <v>80000.0</v>
      </c>
      <c r="AB61" s="15" t="b">
        <v>1</v>
      </c>
      <c r="AC61" s="10" t="s">
        <v>177</v>
      </c>
      <c r="AD61" s="23">
        <v>480000.0</v>
      </c>
      <c r="AE61" s="35" t="b">
        <v>0</v>
      </c>
      <c r="AF61" s="23">
        <v>80000.0</v>
      </c>
      <c r="AG61" s="15" t="b">
        <v>1</v>
      </c>
      <c r="AH61" s="10" t="s">
        <v>177</v>
      </c>
      <c r="AI61" s="23">
        <v>480000.0</v>
      </c>
      <c r="AJ61" s="35" t="b">
        <v>0</v>
      </c>
      <c r="AK61" s="23">
        <v>80000.0</v>
      </c>
      <c r="AL61" s="15" t="b">
        <v>1</v>
      </c>
      <c r="AM61" s="10" t="s">
        <v>177</v>
      </c>
      <c r="AN61" s="23">
        <v>480000.0</v>
      </c>
      <c r="AO61" s="35" t="b">
        <v>0</v>
      </c>
      <c r="AP61" s="23">
        <v>80000.0</v>
      </c>
      <c r="AQ61" s="15" t="b">
        <v>1</v>
      </c>
      <c r="AR61" s="10" t="s">
        <v>177</v>
      </c>
      <c r="AS61" s="23">
        <v>480000.0</v>
      </c>
      <c r="AT61" s="35" t="b">
        <v>0</v>
      </c>
      <c r="AU61" s="23">
        <v>80000.0</v>
      </c>
      <c r="AV61" s="15" t="b">
        <v>1</v>
      </c>
      <c r="AW61" s="10" t="s">
        <v>177</v>
      </c>
      <c r="AX61" s="23">
        <v>480000.0</v>
      </c>
      <c r="AY61" s="35" t="b">
        <v>0</v>
      </c>
      <c r="AZ61" s="23">
        <v>80000.0</v>
      </c>
      <c r="BA61" s="15" t="b">
        <v>1</v>
      </c>
      <c r="BB61" s="10" t="s">
        <v>177</v>
      </c>
      <c r="BC61" s="23">
        <v>480000.0</v>
      </c>
      <c r="BD61" s="35" t="b">
        <v>0</v>
      </c>
      <c r="BE61" s="23">
        <v>80000.0</v>
      </c>
      <c r="BF61" s="15" t="b">
        <v>1</v>
      </c>
      <c r="BG61" s="10" t="s">
        <v>177</v>
      </c>
      <c r="BH61" s="23">
        <v>480000.0</v>
      </c>
      <c r="BI61" s="35" t="b">
        <v>0</v>
      </c>
      <c r="BJ61" s="23">
        <v>80000.0</v>
      </c>
      <c r="BK61" s="15" t="b">
        <v>1</v>
      </c>
      <c r="BL61" s="10" t="s">
        <v>177</v>
      </c>
      <c r="BM61" s="23">
        <v>480000.0</v>
      </c>
      <c r="BN61" s="35" t="b">
        <v>0</v>
      </c>
      <c r="BO61" s="23">
        <v>80000.0</v>
      </c>
      <c r="BP61" s="15" t="b">
        <v>0</v>
      </c>
      <c r="BQ61" s="17" t="s">
        <v>63</v>
      </c>
      <c r="BR61" s="17">
        <v>480000.0</v>
      </c>
      <c r="BS61" s="1"/>
      <c r="BT61" s="1"/>
      <c r="BU61" s="1"/>
    </row>
    <row r="62">
      <c r="A62" s="1"/>
      <c r="B62" s="10" t="s">
        <v>154</v>
      </c>
      <c r="C62" s="11" t="s">
        <v>178</v>
      </c>
      <c r="D62" s="10" t="s">
        <v>179</v>
      </c>
      <c r="E62" s="23">
        <v>480000.0</v>
      </c>
      <c r="F62" s="35" t="b">
        <v>0</v>
      </c>
      <c r="G62" s="23">
        <v>80000.0</v>
      </c>
      <c r="H62" s="15" t="b">
        <v>1</v>
      </c>
      <c r="I62" s="10" t="s">
        <v>180</v>
      </c>
      <c r="J62" s="23">
        <v>480000.0</v>
      </c>
      <c r="K62" s="35" t="b">
        <v>0</v>
      </c>
      <c r="L62" s="23">
        <v>80000.0</v>
      </c>
      <c r="M62" s="15" t="b">
        <v>1</v>
      </c>
      <c r="N62" s="20" t="s">
        <v>37</v>
      </c>
      <c r="O62" s="18"/>
      <c r="P62" s="1"/>
      <c r="Q62" s="18"/>
      <c r="R62" s="19"/>
      <c r="S62" s="10" t="s">
        <v>37</v>
      </c>
      <c r="T62" s="18"/>
      <c r="U62" s="1"/>
      <c r="V62" s="18"/>
      <c r="W62" s="19"/>
      <c r="X62" s="10" t="s">
        <v>181</v>
      </c>
      <c r="Y62" s="23">
        <v>15484.0</v>
      </c>
      <c r="Z62" s="35" t="b">
        <v>0</v>
      </c>
      <c r="AA62" s="23">
        <v>2581.0</v>
      </c>
      <c r="AB62" s="15" t="b">
        <v>1</v>
      </c>
      <c r="AC62" s="10" t="s">
        <v>182</v>
      </c>
      <c r="AD62" s="23">
        <f>112000+368000</f>
        <v>480000</v>
      </c>
      <c r="AE62" s="35" t="b">
        <v>0</v>
      </c>
      <c r="AF62" s="23">
        <f>18667+61333</f>
        <v>80000</v>
      </c>
      <c r="AG62" s="15" t="b">
        <v>1</v>
      </c>
      <c r="AH62" s="17" t="s">
        <v>183</v>
      </c>
      <c r="AI62" s="23">
        <v>480000.0</v>
      </c>
      <c r="AJ62" s="35" t="b">
        <v>0</v>
      </c>
      <c r="AK62" s="23">
        <v>80000.0</v>
      </c>
      <c r="AL62" s="15" t="b">
        <v>1</v>
      </c>
      <c r="AM62" s="17" t="s">
        <v>183</v>
      </c>
      <c r="AN62" s="23">
        <v>480000.0</v>
      </c>
      <c r="AO62" s="35" t="b">
        <v>0</v>
      </c>
      <c r="AP62" s="23">
        <v>80000.0</v>
      </c>
      <c r="AQ62" s="15" t="b">
        <v>1</v>
      </c>
      <c r="AR62" s="17" t="s">
        <v>183</v>
      </c>
      <c r="AS62" s="23">
        <v>480000.0</v>
      </c>
      <c r="AT62" s="35" t="b">
        <v>0</v>
      </c>
      <c r="AU62" s="23">
        <v>80000.0</v>
      </c>
      <c r="AV62" s="15" t="b">
        <v>1</v>
      </c>
      <c r="AW62" s="41" t="s">
        <v>184</v>
      </c>
      <c r="AX62" s="23">
        <f>108387+77419</f>
        <v>185806</v>
      </c>
      <c r="AY62" s="35" t="b">
        <v>0</v>
      </c>
      <c r="AZ62" s="23">
        <f>18065+12903</f>
        <v>30968</v>
      </c>
      <c r="BA62" s="15" t="b">
        <v>1</v>
      </c>
      <c r="BB62" s="10" t="s">
        <v>185</v>
      </c>
      <c r="BC62" s="23">
        <f>480000+17000</f>
        <v>497000</v>
      </c>
      <c r="BD62" s="35" t="b">
        <v>0</v>
      </c>
      <c r="BE62" s="23">
        <f>80000+2667</f>
        <v>82667</v>
      </c>
      <c r="BF62" s="15" t="b">
        <v>1</v>
      </c>
      <c r="BG62" s="10" t="s">
        <v>186</v>
      </c>
      <c r="BH62" s="23">
        <v>510000.0</v>
      </c>
      <c r="BI62" s="35" t="b">
        <v>0</v>
      </c>
      <c r="BJ62" s="23">
        <v>80000.0</v>
      </c>
      <c r="BK62" s="15" t="b">
        <v>1</v>
      </c>
      <c r="BL62" s="10" t="s">
        <v>186</v>
      </c>
      <c r="BM62" s="23">
        <v>510000.0</v>
      </c>
      <c r="BN62" s="35" t="b">
        <v>0</v>
      </c>
      <c r="BO62" s="23">
        <v>80000.0</v>
      </c>
      <c r="BP62" s="15" t="b">
        <v>0</v>
      </c>
      <c r="BQ62" s="17" t="s">
        <v>63</v>
      </c>
      <c r="BR62" s="1"/>
      <c r="BS62" s="1"/>
      <c r="BT62" s="1"/>
      <c r="BU62" s="1"/>
    </row>
    <row r="63">
      <c r="A63" s="1"/>
      <c r="B63" s="10" t="s">
        <v>154</v>
      </c>
      <c r="C63" s="11" t="s">
        <v>187</v>
      </c>
      <c r="D63" s="44" t="s">
        <v>188</v>
      </c>
      <c r="E63" s="23">
        <v>15300.0</v>
      </c>
      <c r="F63" s="35" t="b">
        <v>0</v>
      </c>
      <c r="G63" s="23">
        <v>2600.0</v>
      </c>
      <c r="H63" s="15" t="b">
        <v>1</v>
      </c>
      <c r="I63" s="41" t="s">
        <v>189</v>
      </c>
      <c r="J63" s="23">
        <v>475200.0</v>
      </c>
      <c r="K63" s="35" t="b">
        <v>0</v>
      </c>
      <c r="L63" s="23">
        <v>80000.0</v>
      </c>
      <c r="M63" s="15" t="b">
        <v>1</v>
      </c>
      <c r="N63" s="41" t="s">
        <v>189</v>
      </c>
      <c r="O63" s="23">
        <v>475200.0</v>
      </c>
      <c r="P63" s="35" t="b">
        <v>0</v>
      </c>
      <c r="Q63" s="23">
        <v>80000.0</v>
      </c>
      <c r="R63" s="15" t="b">
        <v>1</v>
      </c>
      <c r="S63" s="41" t="s">
        <v>189</v>
      </c>
      <c r="T63" s="23">
        <v>475200.0</v>
      </c>
      <c r="U63" s="35" t="b">
        <v>0</v>
      </c>
      <c r="V63" s="23">
        <v>80000.0</v>
      </c>
      <c r="W63" s="15" t="b">
        <v>1</v>
      </c>
      <c r="X63" s="41" t="s">
        <v>189</v>
      </c>
      <c r="Y63" s="23">
        <v>475200.0</v>
      </c>
      <c r="Z63" s="35" t="b">
        <v>0</v>
      </c>
      <c r="AA63" s="23">
        <v>80000.0</v>
      </c>
      <c r="AB63" s="15" t="b">
        <v>1</v>
      </c>
      <c r="AC63" s="41" t="s">
        <v>189</v>
      </c>
      <c r="AD63" s="23">
        <v>475200.0</v>
      </c>
      <c r="AE63" s="35" t="b">
        <v>0</v>
      </c>
      <c r="AF63" s="23">
        <v>80000.0</v>
      </c>
      <c r="AG63" s="15" t="b">
        <v>1</v>
      </c>
      <c r="AH63" s="41" t="s">
        <v>190</v>
      </c>
      <c r="AI63" s="23">
        <v>469920.0</v>
      </c>
      <c r="AJ63" s="35" t="b">
        <v>0</v>
      </c>
      <c r="AK63" s="23">
        <v>80000.0</v>
      </c>
      <c r="AL63" s="15" t="b">
        <v>1</v>
      </c>
      <c r="AM63" s="17" t="s">
        <v>191</v>
      </c>
      <c r="AN63" s="23">
        <v>460000.0</v>
      </c>
      <c r="AO63" s="35" t="b">
        <v>0</v>
      </c>
      <c r="AP63" s="23">
        <v>80000.0</v>
      </c>
      <c r="AQ63" s="15" t="b">
        <v>1</v>
      </c>
      <c r="AR63" s="17" t="s">
        <v>192</v>
      </c>
      <c r="AS63" s="23">
        <v>460000.0</v>
      </c>
      <c r="AT63" s="35" t="b">
        <v>0</v>
      </c>
      <c r="AU63" s="23">
        <v>80000.0</v>
      </c>
      <c r="AV63" s="15" t="b">
        <v>1</v>
      </c>
      <c r="AW63" s="17" t="s">
        <v>192</v>
      </c>
      <c r="AX63" s="23">
        <v>460000.0</v>
      </c>
      <c r="AY63" s="35" t="b">
        <v>0</v>
      </c>
      <c r="AZ63" s="23">
        <v>80000.0</v>
      </c>
      <c r="BA63" s="15" t="b">
        <v>1</v>
      </c>
      <c r="BB63" s="17" t="s">
        <v>192</v>
      </c>
      <c r="BC63" s="23">
        <v>460000.0</v>
      </c>
      <c r="BD63" s="35" t="b">
        <v>0</v>
      </c>
      <c r="BE63" s="23">
        <v>80000.0</v>
      </c>
      <c r="BF63" s="15" t="b">
        <v>1</v>
      </c>
      <c r="BG63" s="17" t="s">
        <v>192</v>
      </c>
      <c r="BH63" s="23">
        <v>460000.0</v>
      </c>
      <c r="BI63" s="35" t="b">
        <v>0</v>
      </c>
      <c r="BJ63" s="23">
        <v>80000.0</v>
      </c>
      <c r="BK63" s="15" t="b">
        <v>1</v>
      </c>
      <c r="BL63" s="17" t="s">
        <v>192</v>
      </c>
      <c r="BM63" s="23">
        <v>460000.0</v>
      </c>
      <c r="BN63" s="35" t="b">
        <v>0</v>
      </c>
      <c r="BO63" s="23">
        <v>80000.0</v>
      </c>
      <c r="BP63" s="15" t="b">
        <v>0</v>
      </c>
      <c r="BQ63" s="17" t="s">
        <v>63</v>
      </c>
      <c r="BR63" s="1"/>
      <c r="BS63" s="1"/>
      <c r="BT63" s="1"/>
      <c r="BU63" s="1"/>
    </row>
    <row r="64">
      <c r="A64" s="1"/>
      <c r="B64" s="10" t="s">
        <v>154</v>
      </c>
      <c r="C64" s="11" t="s">
        <v>193</v>
      </c>
      <c r="D64" s="20" t="s">
        <v>37</v>
      </c>
      <c r="E64" s="18"/>
      <c r="F64" s="1"/>
      <c r="G64" s="18"/>
      <c r="H64" s="19"/>
      <c r="I64" s="20" t="s">
        <v>37</v>
      </c>
      <c r="J64" s="18"/>
      <c r="K64" s="1"/>
      <c r="L64" s="1"/>
      <c r="M64" s="19"/>
      <c r="N64" s="20" t="s">
        <v>194</v>
      </c>
      <c r="O64" s="23">
        <v>237419.0</v>
      </c>
      <c r="P64" s="35" t="b">
        <v>0</v>
      </c>
      <c r="Q64" s="23">
        <v>41290.0</v>
      </c>
      <c r="R64" s="15" t="b">
        <v>1</v>
      </c>
      <c r="S64" s="10" t="s">
        <v>195</v>
      </c>
      <c r="T64" s="23">
        <v>460000.0</v>
      </c>
      <c r="U64" s="35" t="b">
        <v>0</v>
      </c>
      <c r="V64" s="23">
        <v>80000.0</v>
      </c>
      <c r="W64" s="15" t="b">
        <v>1</v>
      </c>
      <c r="X64" s="10" t="s">
        <v>195</v>
      </c>
      <c r="Y64" s="23">
        <v>460000.0</v>
      </c>
      <c r="Z64" s="35" t="b">
        <v>0</v>
      </c>
      <c r="AA64" s="23">
        <v>80000.0</v>
      </c>
      <c r="AB64" s="15" t="b">
        <v>1</v>
      </c>
      <c r="AC64" s="10" t="s">
        <v>195</v>
      </c>
      <c r="AD64" s="23">
        <v>460000.0</v>
      </c>
      <c r="AE64" s="35" t="b">
        <v>0</v>
      </c>
      <c r="AF64" s="23">
        <v>80000.0</v>
      </c>
      <c r="AG64" s="15" t="b">
        <v>1</v>
      </c>
      <c r="AH64" s="10" t="s">
        <v>195</v>
      </c>
      <c r="AI64" s="23">
        <v>460000.0</v>
      </c>
      <c r="AJ64" s="35" t="b">
        <v>0</v>
      </c>
      <c r="AK64" s="23">
        <v>80000.0</v>
      </c>
      <c r="AL64" s="15" t="b">
        <v>1</v>
      </c>
      <c r="AM64" s="10" t="s">
        <v>195</v>
      </c>
      <c r="AN64" s="23">
        <v>460000.0</v>
      </c>
      <c r="AO64" s="35" t="b">
        <v>0</v>
      </c>
      <c r="AP64" s="23">
        <v>80000.0</v>
      </c>
      <c r="AQ64" s="15" t="b">
        <v>1</v>
      </c>
      <c r="AR64" s="10" t="s">
        <v>195</v>
      </c>
      <c r="AS64" s="23">
        <v>460000.0</v>
      </c>
      <c r="AT64" s="35" t="b">
        <v>0</v>
      </c>
      <c r="AU64" s="23">
        <v>80000.0</v>
      </c>
      <c r="AV64" s="15" t="b">
        <v>1</v>
      </c>
      <c r="AW64" s="10" t="s">
        <v>195</v>
      </c>
      <c r="AX64" s="23">
        <v>460000.0</v>
      </c>
      <c r="AY64" s="35" t="b">
        <v>0</v>
      </c>
      <c r="AZ64" s="23">
        <v>80000.0</v>
      </c>
      <c r="BA64" s="15" t="b">
        <v>1</v>
      </c>
      <c r="BB64" s="10" t="s">
        <v>195</v>
      </c>
      <c r="BC64" s="23">
        <v>460000.0</v>
      </c>
      <c r="BD64" s="35" t="b">
        <v>0</v>
      </c>
      <c r="BE64" s="23">
        <v>80000.0</v>
      </c>
      <c r="BF64" s="15" t="b">
        <v>1</v>
      </c>
      <c r="BG64" s="10" t="s">
        <v>195</v>
      </c>
      <c r="BH64" s="23">
        <v>460000.0</v>
      </c>
      <c r="BI64" s="35" t="b">
        <v>0</v>
      </c>
      <c r="BJ64" s="23">
        <v>80000.0</v>
      </c>
      <c r="BK64" s="15" t="b">
        <v>1</v>
      </c>
      <c r="BL64" s="10" t="s">
        <v>195</v>
      </c>
      <c r="BM64" s="23">
        <v>460000.0</v>
      </c>
      <c r="BN64" s="35" t="b">
        <v>0</v>
      </c>
      <c r="BO64" s="23">
        <v>80000.0</v>
      </c>
      <c r="BP64" s="15" t="b">
        <v>0</v>
      </c>
      <c r="BQ64" s="17" t="s">
        <v>63</v>
      </c>
      <c r="BR64" s="1"/>
      <c r="BS64" s="1"/>
      <c r="BT64" s="1"/>
      <c r="BU64" s="1"/>
    </row>
    <row r="65">
      <c r="A65" s="1"/>
      <c r="B65" s="10" t="s">
        <v>154</v>
      </c>
      <c r="C65" s="11" t="s">
        <v>196</v>
      </c>
      <c r="D65" s="10" t="s">
        <v>197</v>
      </c>
      <c r="E65" s="23">
        <v>400000.0</v>
      </c>
      <c r="F65" s="35" t="b">
        <v>0</v>
      </c>
      <c r="G65" s="23">
        <v>80000.0</v>
      </c>
      <c r="H65" s="15" t="b">
        <v>1</v>
      </c>
      <c r="I65" s="10" t="s">
        <v>197</v>
      </c>
      <c r="J65" s="23">
        <v>400000.0</v>
      </c>
      <c r="K65" s="35" t="b">
        <v>0</v>
      </c>
      <c r="L65" s="23">
        <v>80000.0</v>
      </c>
      <c r="M65" s="15" t="b">
        <v>1</v>
      </c>
      <c r="N65" s="10" t="s">
        <v>197</v>
      </c>
      <c r="O65" s="23">
        <v>400000.0</v>
      </c>
      <c r="P65" s="35" t="b">
        <v>0</v>
      </c>
      <c r="Q65" s="23">
        <v>80000.0</v>
      </c>
      <c r="R65" s="15" t="b">
        <v>1</v>
      </c>
      <c r="S65" s="10" t="s">
        <v>197</v>
      </c>
      <c r="T65" s="23">
        <v>400000.0</v>
      </c>
      <c r="U65" s="35" t="b">
        <v>0</v>
      </c>
      <c r="V65" s="23">
        <v>80000.0</v>
      </c>
      <c r="W65" s="15" t="b">
        <v>1</v>
      </c>
      <c r="X65" s="17" t="s">
        <v>198</v>
      </c>
      <c r="Y65" s="23">
        <v>400000.0</v>
      </c>
      <c r="Z65" s="35" t="b">
        <v>0</v>
      </c>
      <c r="AA65" s="23">
        <v>80000.0</v>
      </c>
      <c r="AB65" s="15" t="b">
        <v>1</v>
      </c>
      <c r="AC65" s="17" t="s">
        <v>199</v>
      </c>
      <c r="AD65" s="23">
        <v>357667.0</v>
      </c>
      <c r="AE65" s="35" t="b">
        <v>0</v>
      </c>
      <c r="AF65" s="23">
        <v>77333.0</v>
      </c>
      <c r="AG65" s="15" t="b">
        <v>1</v>
      </c>
      <c r="AH65" s="17" t="s">
        <v>200</v>
      </c>
      <c r="AI65" s="23">
        <v>370000.0</v>
      </c>
      <c r="AJ65" s="35" t="b">
        <v>0</v>
      </c>
      <c r="AK65" s="23">
        <v>80000.0</v>
      </c>
      <c r="AL65" s="15" t="b">
        <v>1</v>
      </c>
      <c r="AM65" s="17" t="s">
        <v>200</v>
      </c>
      <c r="AN65" s="23">
        <v>370000.0</v>
      </c>
      <c r="AO65" s="35" t="b">
        <v>0</v>
      </c>
      <c r="AP65" s="23">
        <v>80000.0</v>
      </c>
      <c r="AQ65" s="15" t="b">
        <v>1</v>
      </c>
      <c r="AR65" s="17" t="s">
        <v>200</v>
      </c>
      <c r="AS65" s="23">
        <v>370000.0</v>
      </c>
      <c r="AT65" s="35" t="b">
        <v>0</v>
      </c>
      <c r="AU65" s="23">
        <v>80000.0</v>
      </c>
      <c r="AV65" s="15" t="b">
        <v>1</v>
      </c>
      <c r="AW65" s="17" t="s">
        <v>200</v>
      </c>
      <c r="AX65" s="23">
        <v>370000.0</v>
      </c>
      <c r="AY65" s="35" t="b">
        <v>0</v>
      </c>
      <c r="AZ65" s="23">
        <v>80000.0</v>
      </c>
      <c r="BA65" s="15" t="b">
        <v>1</v>
      </c>
      <c r="BB65" s="17" t="s">
        <v>201</v>
      </c>
      <c r="BC65" s="23">
        <v>370000.0</v>
      </c>
      <c r="BD65" s="35" t="b">
        <v>0</v>
      </c>
      <c r="BE65" s="23">
        <v>80000.0</v>
      </c>
      <c r="BF65" s="15" t="b">
        <v>1</v>
      </c>
      <c r="BG65" s="17" t="s">
        <v>37</v>
      </c>
      <c r="BH65" s="18"/>
      <c r="BI65" s="1"/>
      <c r="BJ65" s="18"/>
      <c r="BK65" s="19"/>
      <c r="BL65" s="21"/>
      <c r="BM65" s="18"/>
      <c r="BN65" s="1"/>
      <c r="BO65" s="18"/>
      <c r="BP65" s="19"/>
      <c r="BQ65" s="17" t="s">
        <v>63</v>
      </c>
      <c r="BR65" s="1"/>
      <c r="BS65" s="1"/>
      <c r="BT65" s="1"/>
      <c r="BU65" s="1"/>
    </row>
    <row r="66">
      <c r="A66" s="1"/>
      <c r="B66" s="10" t="s">
        <v>154</v>
      </c>
      <c r="C66" s="11" t="s">
        <v>202</v>
      </c>
      <c r="D66" s="20" t="s">
        <v>37</v>
      </c>
      <c r="E66" s="18"/>
      <c r="F66" s="1"/>
      <c r="G66" s="18"/>
      <c r="H66" s="19"/>
      <c r="I66" s="20" t="s">
        <v>37</v>
      </c>
      <c r="J66" s="18"/>
      <c r="K66" s="1"/>
      <c r="L66" s="18"/>
      <c r="M66" s="19"/>
      <c r="N66" s="10" t="s">
        <v>203</v>
      </c>
      <c r="O66" s="23">
        <v>241290.0</v>
      </c>
      <c r="P66" s="35" t="b">
        <v>0</v>
      </c>
      <c r="Q66" s="23">
        <v>43871.0</v>
      </c>
      <c r="R66" s="15" t="b">
        <v>1</v>
      </c>
      <c r="S66" s="10" t="s">
        <v>204</v>
      </c>
      <c r="T66" s="23">
        <v>440000.0</v>
      </c>
      <c r="U66" s="35" t="b">
        <v>0</v>
      </c>
      <c r="V66" s="23">
        <v>80000.0</v>
      </c>
      <c r="W66" s="15" t="b">
        <v>1</v>
      </c>
      <c r="X66" s="10" t="s">
        <v>204</v>
      </c>
      <c r="Y66" s="23">
        <v>440000.0</v>
      </c>
      <c r="Z66" s="35" t="b">
        <v>0</v>
      </c>
      <c r="AA66" s="23">
        <v>80000.0</v>
      </c>
      <c r="AB66" s="15" t="b">
        <v>1</v>
      </c>
      <c r="AC66" s="10" t="s">
        <v>205</v>
      </c>
      <c r="AD66" s="23">
        <f>220000+314333</f>
        <v>534333</v>
      </c>
      <c r="AE66" s="35" t="b">
        <v>0</v>
      </c>
      <c r="AF66" s="23">
        <f>40000+61333</f>
        <v>101333</v>
      </c>
      <c r="AG66" s="15" t="b">
        <v>1</v>
      </c>
      <c r="AH66" s="17" t="s">
        <v>206</v>
      </c>
      <c r="AI66" s="23">
        <v>410000.0</v>
      </c>
      <c r="AJ66" s="35" t="b">
        <v>0</v>
      </c>
      <c r="AK66" s="23">
        <v>80000.0</v>
      </c>
      <c r="AL66" s="15" t="b">
        <v>1</v>
      </c>
      <c r="AM66" s="17" t="s">
        <v>206</v>
      </c>
      <c r="AN66" s="23">
        <v>410000.0</v>
      </c>
      <c r="AO66" s="35" t="b">
        <v>0</v>
      </c>
      <c r="AP66" s="23">
        <v>80000.0</v>
      </c>
      <c r="AQ66" s="15" t="b">
        <v>1</v>
      </c>
      <c r="AR66" s="17" t="s">
        <v>206</v>
      </c>
      <c r="AS66" s="23">
        <v>410000.0</v>
      </c>
      <c r="AT66" s="35" t="b">
        <v>0</v>
      </c>
      <c r="AU66" s="23">
        <v>80000.0</v>
      </c>
      <c r="AV66" s="15" t="b">
        <v>1</v>
      </c>
      <c r="AW66" s="17" t="s">
        <v>37</v>
      </c>
      <c r="AX66" s="18"/>
      <c r="AY66" s="1"/>
      <c r="AZ66" s="18"/>
      <c r="BA66" s="19"/>
      <c r="BB66" s="17" t="s">
        <v>37</v>
      </c>
      <c r="BC66" s="18"/>
      <c r="BD66" s="1"/>
      <c r="BE66" s="18"/>
      <c r="BF66" s="19"/>
      <c r="BG66" s="17" t="s">
        <v>37</v>
      </c>
      <c r="BH66" s="18"/>
      <c r="BI66" s="1"/>
      <c r="BJ66" s="18"/>
      <c r="BK66" s="19"/>
      <c r="BL66" s="1"/>
      <c r="BM66" s="18"/>
      <c r="BN66" s="1"/>
      <c r="BO66" s="18"/>
      <c r="BP66" s="19"/>
      <c r="BQ66" s="17" t="s">
        <v>63</v>
      </c>
      <c r="BR66" s="1"/>
      <c r="BS66" s="1"/>
      <c r="BT66" s="1"/>
      <c r="BU66" s="1"/>
    </row>
    <row r="67">
      <c r="A67" s="1"/>
      <c r="B67" s="10" t="s">
        <v>154</v>
      </c>
      <c r="C67" s="11" t="s">
        <v>207</v>
      </c>
      <c r="D67" s="10" t="s">
        <v>208</v>
      </c>
      <c r="E67" s="23">
        <v>380000.0</v>
      </c>
      <c r="F67" s="35" t="b">
        <v>0</v>
      </c>
      <c r="G67" s="23">
        <v>80000.0</v>
      </c>
      <c r="H67" s="15" t="b">
        <v>1</v>
      </c>
      <c r="I67" s="10" t="s">
        <v>208</v>
      </c>
      <c r="J67" s="23">
        <v>380000.0</v>
      </c>
      <c r="K67" s="35" t="b">
        <v>0</v>
      </c>
      <c r="L67" s="23">
        <v>80000.0</v>
      </c>
      <c r="M67" s="15" t="b">
        <v>1</v>
      </c>
      <c r="N67" s="10" t="s">
        <v>208</v>
      </c>
      <c r="O67" s="23">
        <v>380000.0</v>
      </c>
      <c r="P67" s="35" t="b">
        <v>1</v>
      </c>
      <c r="Q67" s="23">
        <v>80000.0</v>
      </c>
      <c r="R67" s="15" t="b">
        <v>1</v>
      </c>
      <c r="S67" s="10" t="s">
        <v>208</v>
      </c>
      <c r="T67" s="23">
        <v>380000.0</v>
      </c>
      <c r="U67" s="35" t="b">
        <v>0</v>
      </c>
      <c r="V67" s="23">
        <v>80000.0</v>
      </c>
      <c r="W67" s="15" t="b">
        <v>1</v>
      </c>
      <c r="X67" s="10" t="s">
        <v>208</v>
      </c>
      <c r="Y67" s="23">
        <v>380000.0</v>
      </c>
      <c r="Z67" s="35" t="b">
        <v>0</v>
      </c>
      <c r="AA67" s="23">
        <v>80000.0</v>
      </c>
      <c r="AB67" s="15" t="b">
        <v>1</v>
      </c>
      <c r="AC67" s="10" t="s">
        <v>208</v>
      </c>
      <c r="AD67" s="23">
        <v>380000.0</v>
      </c>
      <c r="AE67" s="35" t="b">
        <v>0</v>
      </c>
      <c r="AF67" s="23">
        <v>80000.0</v>
      </c>
      <c r="AG67" s="15" t="b">
        <v>1</v>
      </c>
      <c r="AH67" s="10" t="s">
        <v>208</v>
      </c>
      <c r="AI67" s="23">
        <v>380000.0</v>
      </c>
      <c r="AJ67" s="35" t="b">
        <v>0</v>
      </c>
      <c r="AK67" s="23">
        <v>80000.0</v>
      </c>
      <c r="AL67" s="15" t="b">
        <v>1</v>
      </c>
      <c r="AM67" s="10" t="s">
        <v>208</v>
      </c>
      <c r="AN67" s="23">
        <v>380000.0</v>
      </c>
      <c r="AO67" s="35" t="b">
        <v>0</v>
      </c>
      <c r="AP67" s="23">
        <v>80000.0</v>
      </c>
      <c r="AQ67" s="15" t="b">
        <v>1</v>
      </c>
      <c r="AR67" s="10" t="s">
        <v>209</v>
      </c>
      <c r="AS67" s="23">
        <v>380000.0</v>
      </c>
      <c r="AT67" s="35" t="b">
        <v>0</v>
      </c>
      <c r="AU67" s="23">
        <v>80000.0</v>
      </c>
      <c r="AV67" s="15" t="b">
        <v>1</v>
      </c>
      <c r="AW67" s="17" t="s">
        <v>206</v>
      </c>
      <c r="AX67" s="23">
        <v>410000.0</v>
      </c>
      <c r="AY67" s="35" t="b">
        <v>0</v>
      </c>
      <c r="AZ67" s="23">
        <v>80000.0</v>
      </c>
      <c r="BA67" s="15" t="b">
        <v>1</v>
      </c>
      <c r="BB67" s="17" t="s">
        <v>206</v>
      </c>
      <c r="BC67" s="23">
        <v>410000.0</v>
      </c>
      <c r="BD67" s="35" t="b">
        <v>0</v>
      </c>
      <c r="BE67" s="23">
        <v>80000.0</v>
      </c>
      <c r="BF67" s="15" t="b">
        <v>1</v>
      </c>
      <c r="BG67" s="17" t="s">
        <v>206</v>
      </c>
      <c r="BH67" s="23">
        <v>410000.0</v>
      </c>
      <c r="BI67" s="35" t="b">
        <v>0</v>
      </c>
      <c r="BJ67" s="23">
        <v>80000.0</v>
      </c>
      <c r="BK67" s="15" t="b">
        <v>1</v>
      </c>
      <c r="BL67" s="17" t="s">
        <v>206</v>
      </c>
      <c r="BM67" s="23">
        <v>410000.0</v>
      </c>
      <c r="BN67" s="35" t="b">
        <v>0</v>
      </c>
      <c r="BO67" s="23">
        <v>80000.0</v>
      </c>
      <c r="BP67" s="15" t="b">
        <v>0</v>
      </c>
      <c r="BQ67" s="17" t="s">
        <v>63</v>
      </c>
      <c r="BR67" s="1"/>
      <c r="BS67" s="1"/>
      <c r="BT67" s="1"/>
      <c r="BU67" s="1"/>
    </row>
    <row r="68">
      <c r="A68" s="1"/>
      <c r="B68" s="21"/>
      <c r="C68" s="11" t="s">
        <v>42</v>
      </c>
      <c r="D68" s="22"/>
      <c r="E68" s="23">
        <f>SUM(E57:E67)</f>
        <v>4025300</v>
      </c>
      <c r="F68" s="18"/>
      <c r="G68" s="23">
        <f>SUM(G59:G67)</f>
        <v>482600</v>
      </c>
      <c r="H68" s="19"/>
      <c r="I68" s="22"/>
      <c r="J68" s="23">
        <f>SUM(J57:J67)</f>
        <v>4485200</v>
      </c>
      <c r="K68" s="18"/>
      <c r="L68" s="23">
        <f>SUM(L59:L67)</f>
        <v>560000</v>
      </c>
      <c r="M68" s="19"/>
      <c r="N68" s="22"/>
      <c r="O68" s="23">
        <f>SUM(O57:O67)</f>
        <v>4880360</v>
      </c>
      <c r="P68" s="18"/>
      <c r="Q68" s="23">
        <f>SUM(Q59:Q67)</f>
        <v>560000</v>
      </c>
      <c r="R68" s="19"/>
      <c r="S68" s="22"/>
      <c r="T68" s="23">
        <f>SUM(T57:T67)</f>
        <v>5005200</v>
      </c>
      <c r="U68" s="18"/>
      <c r="V68" s="23">
        <f>SUM(V59:V67)</f>
        <v>640000</v>
      </c>
      <c r="W68" s="19"/>
      <c r="X68" s="18"/>
      <c r="Y68" s="23">
        <f>SUM(Y57:Y67)</f>
        <v>5107084</v>
      </c>
      <c r="Z68" s="18"/>
      <c r="AA68" s="23">
        <f>SUM(AA59:AA67)</f>
        <v>655581</v>
      </c>
      <c r="AB68" s="19"/>
      <c r="AC68" s="18"/>
      <c r="AD68" s="23">
        <f>SUM(AD57:AD67)</f>
        <v>5532700</v>
      </c>
      <c r="AE68" s="18"/>
      <c r="AF68" s="23">
        <f>SUM(AF59:AF67)</f>
        <v>738666</v>
      </c>
      <c r="AG68" s="19"/>
      <c r="AH68" s="18"/>
      <c r="AI68" s="23">
        <f>SUM(AI57:AI67)</f>
        <v>5409470</v>
      </c>
      <c r="AJ68" s="18"/>
      <c r="AK68" s="23">
        <f>SUM(AK59:AK67)</f>
        <v>720000</v>
      </c>
      <c r="AL68" s="19"/>
      <c r="AM68" s="18"/>
      <c r="AN68" s="23">
        <f>SUM(AN57:AN67)</f>
        <v>5399550</v>
      </c>
      <c r="AO68" s="18"/>
      <c r="AP68" s="23">
        <f>SUM(AP59:AP67)</f>
        <v>720000</v>
      </c>
      <c r="AQ68" s="19"/>
      <c r="AR68" s="22"/>
      <c r="AS68" s="23">
        <f>SUM(AS57:AS67)</f>
        <v>5429550</v>
      </c>
      <c r="AT68" s="18"/>
      <c r="AU68" s="23">
        <f>SUM(AU59:AU67)</f>
        <v>720000</v>
      </c>
      <c r="AV68" s="19"/>
      <c r="AW68" s="22"/>
      <c r="AX68" s="23">
        <f>SUM(AX57:AX67)</f>
        <v>4755356</v>
      </c>
      <c r="AY68" s="18"/>
      <c r="AZ68" s="23">
        <f>SUM(AZ59:AZ67)</f>
        <v>590968</v>
      </c>
      <c r="BA68" s="19"/>
      <c r="BB68" s="22"/>
      <c r="BC68" s="23">
        <f>SUM(BC57:BC67)</f>
        <v>5066550</v>
      </c>
      <c r="BD68" s="18"/>
      <c r="BE68" s="23">
        <f>SUM(BE59:BE67)</f>
        <v>642667</v>
      </c>
      <c r="BF68" s="19"/>
      <c r="BG68" s="22"/>
      <c r="BH68" s="23">
        <f>SUM(BH57:BH67)</f>
        <v>4720000</v>
      </c>
      <c r="BI68" s="18"/>
      <c r="BJ68" s="23">
        <f>SUM(BJ59:BJ67)</f>
        <v>560000</v>
      </c>
      <c r="BK68" s="19"/>
      <c r="BL68" s="22"/>
      <c r="BM68" s="23">
        <f>SUM(BM57:BM67)</f>
        <v>4720000</v>
      </c>
      <c r="BN68" s="18"/>
      <c r="BO68" s="23">
        <f>SUM(BO59:BO67)</f>
        <v>560000</v>
      </c>
      <c r="BP68" s="19"/>
      <c r="BQ68" s="17" t="s">
        <v>63</v>
      </c>
      <c r="BR68" s="1"/>
      <c r="BS68" s="1"/>
      <c r="BT68" s="1"/>
      <c r="BU68" s="1"/>
    </row>
    <row r="69">
      <c r="A69" s="1"/>
      <c r="B69" s="21"/>
      <c r="C69" s="11" t="s">
        <v>43</v>
      </c>
      <c r="D69" s="22"/>
      <c r="E69" s="23">
        <v>2800000.0</v>
      </c>
      <c r="F69" s="18"/>
      <c r="G69" s="18"/>
      <c r="H69" s="19"/>
      <c r="I69" s="22"/>
      <c r="J69" s="23">
        <v>2800000.0</v>
      </c>
      <c r="K69" s="18"/>
      <c r="L69" s="18"/>
      <c r="M69" s="19"/>
      <c r="N69" s="22"/>
      <c r="O69" s="23">
        <v>2800000.0</v>
      </c>
      <c r="P69" s="18"/>
      <c r="Q69" s="18"/>
      <c r="R69" s="19"/>
      <c r="S69" s="22"/>
      <c r="T69" s="23">
        <v>2800000.0</v>
      </c>
      <c r="U69" s="18"/>
      <c r="V69" s="18"/>
      <c r="W69" s="19"/>
      <c r="X69" s="18"/>
      <c r="Y69" s="23">
        <v>2800000.0</v>
      </c>
      <c r="Z69" s="18"/>
      <c r="AA69" s="18"/>
      <c r="AB69" s="19"/>
      <c r="AC69" s="18"/>
      <c r="AD69" s="23">
        <v>2800000.0</v>
      </c>
      <c r="AE69" s="18"/>
      <c r="AF69" s="18"/>
      <c r="AG69" s="19"/>
      <c r="AH69" s="18"/>
      <c r="AI69" s="23">
        <v>2800000.0</v>
      </c>
      <c r="AJ69" s="18"/>
      <c r="AK69" s="18"/>
      <c r="AL69" s="19"/>
      <c r="AM69" s="18"/>
      <c r="AN69" s="23">
        <v>2800000.0</v>
      </c>
      <c r="AO69" s="18"/>
      <c r="AP69" s="18"/>
      <c r="AQ69" s="19"/>
      <c r="AR69" s="22"/>
      <c r="AS69" s="23">
        <v>2800000.0</v>
      </c>
      <c r="AT69" s="18"/>
      <c r="AU69" s="18"/>
      <c r="AV69" s="19"/>
      <c r="AW69" s="22"/>
      <c r="AX69" s="23">
        <v>2800000.0</v>
      </c>
      <c r="AY69" s="18"/>
      <c r="AZ69" s="18"/>
      <c r="BA69" s="19"/>
      <c r="BB69" s="22"/>
      <c r="BC69" s="23">
        <v>2800000.0</v>
      </c>
      <c r="BD69" s="18"/>
      <c r="BE69" s="18"/>
      <c r="BF69" s="19"/>
      <c r="BG69" s="22"/>
      <c r="BH69" s="23">
        <v>2800000.0</v>
      </c>
      <c r="BI69" s="18"/>
      <c r="BJ69" s="18"/>
      <c r="BK69" s="19"/>
      <c r="BL69" s="22"/>
      <c r="BM69" s="23">
        <v>2800000.0</v>
      </c>
      <c r="BN69" s="18"/>
      <c r="BO69" s="18"/>
      <c r="BP69" s="19"/>
      <c r="BQ69" s="17" t="s">
        <v>63</v>
      </c>
      <c r="BR69" s="1"/>
      <c r="BS69" s="1"/>
      <c r="BT69" s="1"/>
      <c r="BU69" s="1"/>
    </row>
    <row r="70">
      <c r="A70" s="1"/>
      <c r="B70" s="10" t="s">
        <v>95</v>
      </c>
      <c r="C70" s="11" t="s">
        <v>45</v>
      </c>
      <c r="D70" s="22"/>
      <c r="E70" s="18"/>
      <c r="F70" s="18"/>
      <c r="G70" s="23">
        <v>130000.0</v>
      </c>
      <c r="H70" s="19"/>
      <c r="I70" s="22"/>
      <c r="J70" s="18"/>
      <c r="K70" s="18"/>
      <c r="L70" s="23">
        <v>130000.0</v>
      </c>
      <c r="M70" s="19"/>
      <c r="N70" s="22"/>
      <c r="O70" s="18"/>
      <c r="P70" s="18"/>
      <c r="Q70" s="23">
        <v>130000.0</v>
      </c>
      <c r="R70" s="19"/>
      <c r="S70" s="22"/>
      <c r="T70" s="18"/>
      <c r="U70" s="18"/>
      <c r="V70" s="23">
        <v>130000.0</v>
      </c>
      <c r="W70" s="19"/>
      <c r="X70" s="18"/>
      <c r="Y70" s="18"/>
      <c r="Z70" s="18"/>
      <c r="AA70" s="23">
        <v>130000.0</v>
      </c>
      <c r="AB70" s="19"/>
      <c r="AC70" s="18"/>
      <c r="AD70" s="18"/>
      <c r="AE70" s="18"/>
      <c r="AF70" s="23">
        <v>130000.0</v>
      </c>
      <c r="AG70" s="19"/>
      <c r="AH70" s="18"/>
      <c r="AI70" s="18"/>
      <c r="AJ70" s="18"/>
      <c r="AK70" s="23">
        <v>130000.0</v>
      </c>
      <c r="AL70" s="19"/>
      <c r="AM70" s="18"/>
      <c r="AN70" s="18"/>
      <c r="AO70" s="18"/>
      <c r="AP70" s="23">
        <v>130000.0</v>
      </c>
      <c r="AQ70" s="19"/>
      <c r="AR70" s="18"/>
      <c r="AS70" s="18"/>
      <c r="AT70" s="18"/>
      <c r="AU70" s="23">
        <v>130000.0</v>
      </c>
      <c r="AV70" s="19"/>
      <c r="AW70" s="18"/>
      <c r="AX70" s="18"/>
      <c r="AY70" s="18"/>
      <c r="AZ70" s="23">
        <v>130000.0</v>
      </c>
      <c r="BA70" s="19"/>
      <c r="BB70" s="18"/>
      <c r="BC70" s="18"/>
      <c r="BD70" s="18"/>
      <c r="BE70" s="23">
        <v>130000.0</v>
      </c>
      <c r="BF70" s="19"/>
      <c r="BG70" s="18"/>
      <c r="BH70" s="18"/>
      <c r="BI70" s="18"/>
      <c r="BJ70" s="23">
        <v>130000.0</v>
      </c>
      <c r="BK70" s="19"/>
      <c r="BL70" s="18"/>
      <c r="BM70" s="18"/>
      <c r="BN70" s="18"/>
      <c r="BO70" s="23">
        <v>130000.0</v>
      </c>
      <c r="BP70" s="19"/>
      <c r="BQ70" s="17" t="s">
        <v>63</v>
      </c>
      <c r="BR70" s="1"/>
      <c r="BS70" s="1"/>
      <c r="BT70" s="1"/>
      <c r="BU70" s="1"/>
    </row>
    <row r="71">
      <c r="A71" s="1"/>
      <c r="B71" s="10" t="s">
        <v>95</v>
      </c>
      <c r="C71" s="11" t="s">
        <v>47</v>
      </c>
      <c r="D71" s="22"/>
      <c r="E71" s="18"/>
      <c r="F71" s="18"/>
      <c r="G71" s="23">
        <v>61750.0</v>
      </c>
      <c r="H71" s="19"/>
      <c r="I71" s="22"/>
      <c r="J71" s="18"/>
      <c r="K71" s="18"/>
      <c r="L71" s="23">
        <v>59340.0</v>
      </c>
      <c r="M71" s="19"/>
      <c r="N71" s="22"/>
      <c r="O71" s="18"/>
      <c r="P71" s="18"/>
      <c r="Q71" s="23">
        <v>53240.0</v>
      </c>
      <c r="R71" s="19"/>
      <c r="S71" s="22"/>
      <c r="T71" s="18"/>
      <c r="U71" s="18"/>
      <c r="V71" s="18"/>
      <c r="W71" s="19"/>
      <c r="X71" s="18"/>
      <c r="Y71" s="18"/>
      <c r="Z71" s="18"/>
      <c r="AA71" s="18"/>
      <c r="AB71" s="19"/>
      <c r="AC71" s="18"/>
      <c r="AD71" s="18"/>
      <c r="AE71" s="18"/>
      <c r="AF71" s="18"/>
      <c r="AG71" s="19"/>
      <c r="AH71" s="18"/>
      <c r="AI71" s="18"/>
      <c r="AJ71" s="18"/>
      <c r="AK71" s="18"/>
      <c r="AL71" s="19"/>
      <c r="AM71" s="18"/>
      <c r="AN71" s="18"/>
      <c r="AO71" s="18"/>
      <c r="AP71" s="18"/>
      <c r="AQ71" s="19"/>
      <c r="AR71" s="18"/>
      <c r="AS71" s="18"/>
      <c r="AT71" s="18"/>
      <c r="AU71" s="18"/>
      <c r="AV71" s="19"/>
      <c r="AW71" s="18"/>
      <c r="AX71" s="18"/>
      <c r="AY71" s="18"/>
      <c r="AZ71" s="18"/>
      <c r="BA71" s="19"/>
      <c r="BB71" s="18"/>
      <c r="BC71" s="18"/>
      <c r="BD71" s="18"/>
      <c r="BE71" s="18"/>
      <c r="BF71" s="19"/>
      <c r="BG71" s="18"/>
      <c r="BH71" s="18"/>
      <c r="BI71" s="18"/>
      <c r="BJ71" s="18"/>
      <c r="BK71" s="19"/>
      <c r="BL71" s="18"/>
      <c r="BM71" s="18"/>
      <c r="BN71" s="18"/>
      <c r="BO71" s="18"/>
      <c r="BP71" s="19"/>
      <c r="BQ71" s="17" t="s">
        <v>63</v>
      </c>
      <c r="BR71" s="1"/>
      <c r="BS71" s="1"/>
      <c r="BT71" s="1"/>
      <c r="BU71" s="1"/>
    </row>
    <row r="72">
      <c r="A72" s="1"/>
      <c r="B72" s="10" t="s">
        <v>95</v>
      </c>
      <c r="C72" s="11" t="s">
        <v>49</v>
      </c>
      <c r="D72" s="22"/>
      <c r="E72" s="18"/>
      <c r="F72" s="18"/>
      <c r="G72" s="23">
        <v>566680.0</v>
      </c>
      <c r="H72" s="19"/>
      <c r="I72" s="22"/>
      <c r="J72" s="18"/>
      <c r="K72" s="18"/>
      <c r="L72" s="23">
        <v>562030.0</v>
      </c>
      <c r="M72" s="19"/>
      <c r="N72" s="22"/>
      <c r="O72" s="18"/>
      <c r="P72" s="18"/>
      <c r="Q72" s="23">
        <v>288630.0</v>
      </c>
      <c r="R72" s="19"/>
      <c r="S72" s="22"/>
      <c r="T72" s="18"/>
      <c r="U72" s="18"/>
      <c r="V72" s="18"/>
      <c r="W72" s="19"/>
      <c r="X72" s="18"/>
      <c r="Y72" s="18"/>
      <c r="Z72" s="18"/>
      <c r="AA72" s="18"/>
      <c r="AB72" s="19"/>
      <c r="AC72" s="18"/>
      <c r="AD72" s="18"/>
      <c r="AE72" s="18"/>
      <c r="AF72" s="18"/>
      <c r="AG72" s="19"/>
      <c r="AH72" s="18"/>
      <c r="AI72" s="18"/>
      <c r="AJ72" s="18"/>
      <c r="AK72" s="18"/>
      <c r="AL72" s="19"/>
      <c r="AM72" s="18"/>
      <c r="AN72" s="18"/>
      <c r="AO72" s="18"/>
      <c r="AP72" s="18"/>
      <c r="AQ72" s="19"/>
      <c r="AR72" s="18"/>
      <c r="AS72" s="18"/>
      <c r="AT72" s="18"/>
      <c r="AU72" s="18"/>
      <c r="AV72" s="19"/>
      <c r="AW72" s="18"/>
      <c r="AX72" s="18"/>
      <c r="AY72" s="18"/>
      <c r="AZ72" s="18"/>
      <c r="BA72" s="19"/>
      <c r="BB72" s="18"/>
      <c r="BC72" s="18"/>
      <c r="BD72" s="18"/>
      <c r="BE72" s="18"/>
      <c r="BF72" s="19"/>
      <c r="BG72" s="18"/>
      <c r="BH72" s="18"/>
      <c r="BI72" s="18"/>
      <c r="BJ72" s="18"/>
      <c r="BK72" s="19"/>
      <c r="BL72" s="18"/>
      <c r="BM72" s="18"/>
      <c r="BN72" s="18"/>
      <c r="BO72" s="18"/>
      <c r="BP72" s="19"/>
      <c r="BQ72" s="17" t="s">
        <v>63</v>
      </c>
      <c r="BR72" s="1"/>
      <c r="BS72" s="1"/>
      <c r="BT72" s="1"/>
      <c r="BU72" s="1"/>
    </row>
    <row r="73">
      <c r="A73" s="1"/>
      <c r="B73" s="10" t="s">
        <v>95</v>
      </c>
      <c r="C73" s="11" t="s">
        <v>51</v>
      </c>
      <c r="D73" s="22"/>
      <c r="E73" s="18"/>
      <c r="F73" s="18"/>
      <c r="G73" s="18"/>
      <c r="H73" s="19"/>
      <c r="I73" s="22"/>
      <c r="J73" s="18"/>
      <c r="K73" s="18"/>
      <c r="L73" s="18"/>
      <c r="M73" s="19"/>
      <c r="N73" s="22"/>
      <c r="O73" s="18"/>
      <c r="P73" s="18"/>
      <c r="Q73" s="18"/>
      <c r="R73" s="19"/>
      <c r="S73" s="22"/>
      <c r="T73" s="18"/>
      <c r="U73" s="18"/>
      <c r="V73" s="18"/>
      <c r="W73" s="19"/>
      <c r="X73" s="18"/>
      <c r="Y73" s="18"/>
      <c r="Z73" s="18"/>
      <c r="AA73" s="18"/>
      <c r="AB73" s="19"/>
      <c r="AC73" s="18"/>
      <c r="AD73" s="18"/>
      <c r="AE73" s="18"/>
      <c r="AF73" s="18"/>
      <c r="AG73" s="19"/>
      <c r="AH73" s="18"/>
      <c r="AI73" s="18"/>
      <c r="AJ73" s="18"/>
      <c r="AK73" s="18"/>
      <c r="AL73" s="19"/>
      <c r="AM73" s="18"/>
      <c r="AN73" s="18"/>
      <c r="AO73" s="18"/>
      <c r="AP73" s="18"/>
      <c r="AQ73" s="19"/>
      <c r="AR73" s="18"/>
      <c r="AS73" s="18"/>
      <c r="AT73" s="18"/>
      <c r="AU73" s="18"/>
      <c r="AV73" s="19"/>
      <c r="AW73" s="18"/>
      <c r="AX73" s="18"/>
      <c r="AY73" s="18"/>
      <c r="AZ73" s="18"/>
      <c r="BA73" s="19"/>
      <c r="BB73" s="18"/>
      <c r="BC73" s="18"/>
      <c r="BD73" s="18"/>
      <c r="BE73" s="18"/>
      <c r="BF73" s="19"/>
      <c r="BG73" s="18"/>
      <c r="BH73" s="18"/>
      <c r="BI73" s="18"/>
      <c r="BJ73" s="18"/>
      <c r="BK73" s="19"/>
      <c r="BL73" s="18"/>
      <c r="BM73" s="18"/>
      <c r="BN73" s="18"/>
      <c r="BO73" s="18"/>
      <c r="BP73" s="19"/>
      <c r="BQ73" s="17" t="s">
        <v>63</v>
      </c>
      <c r="BR73" s="1"/>
      <c r="BS73" s="1"/>
      <c r="BT73" s="1"/>
      <c r="BU73" s="1"/>
    </row>
    <row r="74">
      <c r="A74" s="1"/>
      <c r="B74" s="10" t="s">
        <v>95</v>
      </c>
      <c r="C74" s="11" t="s">
        <v>52</v>
      </c>
      <c r="D74" s="22"/>
      <c r="E74" s="18"/>
      <c r="F74" s="18"/>
      <c r="G74" s="23">
        <v>22000.0</v>
      </c>
      <c r="H74" s="19"/>
      <c r="I74" s="22"/>
      <c r="J74" s="18"/>
      <c r="K74" s="18"/>
      <c r="L74" s="23">
        <v>22000.0</v>
      </c>
      <c r="M74" s="19"/>
      <c r="N74" s="22"/>
      <c r="O74" s="18"/>
      <c r="P74" s="18"/>
      <c r="Q74" s="23">
        <v>22000.0</v>
      </c>
      <c r="R74" s="19"/>
      <c r="S74" s="22"/>
      <c r="T74" s="18"/>
      <c r="U74" s="18"/>
      <c r="V74" s="23">
        <v>22000.0</v>
      </c>
      <c r="W74" s="19"/>
      <c r="X74" s="18"/>
      <c r="Y74" s="18"/>
      <c r="Z74" s="18"/>
      <c r="AA74" s="23">
        <v>22000.0</v>
      </c>
      <c r="AB74" s="19"/>
      <c r="AC74" s="18"/>
      <c r="AD74" s="18"/>
      <c r="AE74" s="18"/>
      <c r="AF74" s="23">
        <v>22000.0</v>
      </c>
      <c r="AG74" s="19"/>
      <c r="AH74" s="18"/>
      <c r="AI74" s="18"/>
      <c r="AJ74" s="18"/>
      <c r="AK74" s="23">
        <v>22000.0</v>
      </c>
      <c r="AL74" s="19"/>
      <c r="AM74" s="18"/>
      <c r="AN74" s="18"/>
      <c r="AO74" s="18"/>
      <c r="AP74" s="23">
        <v>22000.0</v>
      </c>
      <c r="AQ74" s="19"/>
      <c r="AR74" s="18"/>
      <c r="AS74" s="18"/>
      <c r="AT74" s="18"/>
      <c r="AU74" s="23">
        <v>22000.0</v>
      </c>
      <c r="AV74" s="19"/>
      <c r="AW74" s="18"/>
      <c r="AX74" s="18"/>
      <c r="AY74" s="18"/>
      <c r="AZ74" s="23">
        <v>22000.0</v>
      </c>
      <c r="BA74" s="19"/>
      <c r="BB74" s="18"/>
      <c r="BC74" s="18"/>
      <c r="BD74" s="18"/>
      <c r="BE74" s="23">
        <v>22000.0</v>
      </c>
      <c r="BF74" s="19"/>
      <c r="BG74" s="18"/>
      <c r="BH74" s="18"/>
      <c r="BI74" s="18"/>
      <c r="BJ74" s="23">
        <v>22000.0</v>
      </c>
      <c r="BK74" s="19"/>
      <c r="BL74" s="18"/>
      <c r="BM74" s="18"/>
      <c r="BN74" s="18"/>
      <c r="BO74" s="23">
        <v>22000.0</v>
      </c>
      <c r="BP74" s="19"/>
      <c r="BQ74" s="17" t="s">
        <v>63</v>
      </c>
      <c r="BR74" s="1"/>
      <c r="BS74" s="1"/>
      <c r="BT74" s="1"/>
      <c r="BU74" s="1"/>
    </row>
    <row r="75">
      <c r="A75" s="1"/>
      <c r="B75" s="10" t="s">
        <v>95</v>
      </c>
      <c r="C75" s="11" t="s">
        <v>53</v>
      </c>
      <c r="D75" s="22"/>
      <c r="E75" s="18"/>
      <c r="F75" s="18"/>
      <c r="G75" s="23">
        <v>19900.0</v>
      </c>
      <c r="H75" s="19"/>
      <c r="I75" s="22"/>
      <c r="J75" s="18"/>
      <c r="K75" s="18"/>
      <c r="L75" s="23">
        <v>19900.0</v>
      </c>
      <c r="M75" s="19"/>
      <c r="N75" s="22"/>
      <c r="O75" s="18"/>
      <c r="P75" s="18"/>
      <c r="Q75" s="23">
        <v>19900.0</v>
      </c>
      <c r="R75" s="19"/>
      <c r="S75" s="22"/>
      <c r="T75" s="18"/>
      <c r="U75" s="18"/>
      <c r="V75" s="23">
        <v>19900.0</v>
      </c>
      <c r="W75" s="19"/>
      <c r="X75" s="18"/>
      <c r="Y75" s="18"/>
      <c r="Z75" s="18"/>
      <c r="AA75" s="23">
        <v>19900.0</v>
      </c>
      <c r="AB75" s="19"/>
      <c r="AC75" s="18"/>
      <c r="AD75" s="18"/>
      <c r="AE75" s="18"/>
      <c r="AF75" s="23">
        <v>19900.0</v>
      </c>
      <c r="AG75" s="19"/>
      <c r="AH75" s="18"/>
      <c r="AI75" s="18"/>
      <c r="AJ75" s="18"/>
      <c r="AK75" s="23">
        <v>19900.0</v>
      </c>
      <c r="AL75" s="19"/>
      <c r="AM75" s="18"/>
      <c r="AN75" s="18"/>
      <c r="AO75" s="18"/>
      <c r="AP75" s="23">
        <v>19900.0</v>
      </c>
      <c r="AQ75" s="19"/>
      <c r="AR75" s="18"/>
      <c r="AS75" s="18"/>
      <c r="AT75" s="18"/>
      <c r="AU75" s="23">
        <v>19900.0</v>
      </c>
      <c r="AV75" s="19"/>
      <c r="AW75" s="18"/>
      <c r="AX75" s="18"/>
      <c r="AY75" s="18"/>
      <c r="AZ75" s="23">
        <v>19900.0</v>
      </c>
      <c r="BA75" s="19"/>
      <c r="BB75" s="18"/>
      <c r="BC75" s="18"/>
      <c r="BD75" s="18"/>
      <c r="BE75" s="23">
        <v>19900.0</v>
      </c>
      <c r="BF75" s="19"/>
      <c r="BG75" s="18"/>
      <c r="BH75" s="18"/>
      <c r="BI75" s="18"/>
      <c r="BJ75" s="23">
        <v>19900.0</v>
      </c>
      <c r="BK75" s="19"/>
      <c r="BL75" s="18"/>
      <c r="BM75" s="18"/>
      <c r="BN75" s="18"/>
      <c r="BO75" s="23">
        <v>19900.0</v>
      </c>
      <c r="BP75" s="19"/>
      <c r="BQ75" s="17" t="s">
        <v>63</v>
      </c>
      <c r="BR75" s="1"/>
      <c r="BS75" s="1"/>
      <c r="BT75" s="1"/>
      <c r="BU75" s="1"/>
    </row>
    <row r="76">
      <c r="A76" s="1"/>
      <c r="B76" s="21"/>
      <c r="C76" s="11" t="s">
        <v>54</v>
      </c>
      <c r="D76" s="22"/>
      <c r="E76" s="18"/>
      <c r="F76" s="18"/>
      <c r="G76" s="23">
        <f>SUMIFS('지출'!$G$3:$G1000,'지출'!$J$3:$J1000,G$1,'지출'!$C$3:$C1000,"반포")</f>
        <v>270020</v>
      </c>
      <c r="H76" s="19"/>
      <c r="I76" s="22"/>
      <c r="J76" s="18"/>
      <c r="K76" s="18"/>
      <c r="L76" s="23">
        <f>SUMIFS('지출'!$G$3:$G1000,'지출'!$J$3:$J1000,L$1,'지출'!$C$3:$C1000,"반포")</f>
        <v>221090</v>
      </c>
      <c r="M76" s="24"/>
      <c r="N76" s="18"/>
      <c r="O76" s="18"/>
      <c r="P76" s="18"/>
      <c r="Q76" s="23">
        <f>SUMIFS('지출'!$G$3:$G1000,'지출'!$J$3:$J1000,Q$1,'지출'!$C$3:$C1000,"반포")</f>
        <v>219070</v>
      </c>
      <c r="R76" s="24"/>
      <c r="S76" s="18"/>
      <c r="T76" s="18"/>
      <c r="U76" s="18"/>
      <c r="V76" s="23">
        <f>SUMIFS('지출'!$G$3:$G1000,'지출'!$J$3:$J1000,V$1,'지출'!$C$3:$C1000,"반포")</f>
        <v>0</v>
      </c>
      <c r="W76" s="24"/>
      <c r="X76" s="18"/>
      <c r="Y76" s="18"/>
      <c r="Z76" s="18"/>
      <c r="AA76" s="23">
        <f>SUMIFS('지출'!$G$3:$G1000,'지출'!$J$3:$J1000,AA$1,'지출'!$C$3:$C1000,"반포")</f>
        <v>0</v>
      </c>
      <c r="AB76" s="24"/>
      <c r="AC76" s="18"/>
      <c r="AD76" s="18"/>
      <c r="AE76" s="18"/>
      <c r="AF76" s="23">
        <f>SUMIFS('지출'!$G$3:$G1000,'지출'!$J$3:$J1000,AF$1,'지출'!$C$3:$C1000,"반포")</f>
        <v>0</v>
      </c>
      <c r="AG76" s="24"/>
      <c r="AH76" s="18"/>
      <c r="AI76" s="18"/>
      <c r="AJ76" s="18"/>
      <c r="AK76" s="23">
        <f>SUMIFS('지출'!$G$3:$G1000,'지출'!$J$3:$J1000,AK$1,'지출'!$C$3:$C1000,"반포")</f>
        <v>0</v>
      </c>
      <c r="AL76" s="24"/>
      <c r="AM76" s="18"/>
      <c r="AN76" s="18"/>
      <c r="AO76" s="18"/>
      <c r="AP76" s="23">
        <f>SUMIFS('지출'!$G$3:$G1000,'지출'!$J$3:$J1000,AP$1,'지출'!$C$3:$C1000,"반포")</f>
        <v>0</v>
      </c>
      <c r="AQ76" s="24"/>
      <c r="AR76" s="18"/>
      <c r="AS76" s="18"/>
      <c r="AT76" s="18"/>
      <c r="AU76" s="23">
        <f>SUMIFS('지출'!$G$3:$G1000,'지출'!$J$3:$J1000,AU$1,'지출'!$C$3:$C1000,"반포")</f>
        <v>0</v>
      </c>
      <c r="AV76" s="24"/>
      <c r="AW76" s="18"/>
      <c r="AX76" s="18"/>
      <c r="AY76" s="18"/>
      <c r="AZ76" s="23">
        <f>SUMIFS('지출'!$G$3:$G1000,'지출'!$J$3:$J1000,AZ$1,'지출'!$C$3:$C1000,"반포")</f>
        <v>0</v>
      </c>
      <c r="BA76" s="24"/>
      <c r="BB76" s="18"/>
      <c r="BC76" s="18"/>
      <c r="BD76" s="18"/>
      <c r="BE76" s="23">
        <f>SUMIFS('지출'!$G$3:$G1000,'지출'!$J$3:$J1000,BE$1,'지출'!$C$3:$C1000,"반포")</f>
        <v>0</v>
      </c>
      <c r="BF76" s="24"/>
      <c r="BG76" s="18"/>
      <c r="BH76" s="18"/>
      <c r="BI76" s="18"/>
      <c r="BJ76" s="23">
        <f>SUMIFS('지출'!$G$3:$G1000,'지출'!$J$3:$J1000,BJ$1,'지출'!$C$3:$C1000,"반포")</f>
        <v>0</v>
      </c>
      <c r="BK76" s="19"/>
      <c r="BL76" s="18"/>
      <c r="BM76" s="18"/>
      <c r="BN76" s="18"/>
      <c r="BO76" s="23">
        <f>SUMIFS('지출'!$G$3:$G1000,'지출'!$J$3:$J1000,BO$1,'지출'!$C$3:$C1000,"반포")</f>
        <v>270020</v>
      </c>
      <c r="BP76" s="19"/>
      <c r="BQ76" s="17" t="s">
        <v>63</v>
      </c>
      <c r="BR76" s="1"/>
      <c r="BS76" s="1"/>
      <c r="BT76" s="1"/>
      <c r="BU76" s="1"/>
    </row>
    <row r="77">
      <c r="A77" s="1"/>
      <c r="B77" s="21"/>
      <c r="C77" s="11" t="s">
        <v>56</v>
      </c>
      <c r="D77" s="22"/>
      <c r="E77" s="23">
        <f>E68-(SUM(E69:E76))</f>
        <v>1225300</v>
      </c>
      <c r="F77" s="18"/>
      <c r="G77" s="23">
        <f>G68-(SUM(G69:G76))</f>
        <v>-587750</v>
      </c>
      <c r="H77" s="19"/>
      <c r="I77" s="22"/>
      <c r="J77" s="23">
        <f>J68-(SUM(J69:J76))</f>
        <v>1685200</v>
      </c>
      <c r="K77" s="18"/>
      <c r="L77" s="23">
        <f>L68-(SUM(L69:L76))</f>
        <v>-454360</v>
      </c>
      <c r="M77" s="19"/>
      <c r="N77" s="22"/>
      <c r="O77" s="23">
        <f>O68-(SUM(O69:O76))</f>
        <v>2080360</v>
      </c>
      <c r="P77" s="18"/>
      <c r="Q77" s="23">
        <f>Q68-(SUM(Q69:Q76))</f>
        <v>-172840</v>
      </c>
      <c r="R77" s="19"/>
      <c r="S77" s="22"/>
      <c r="T77" s="23">
        <f>T68-(SUM(T69:T76))</f>
        <v>2205200</v>
      </c>
      <c r="U77" s="18"/>
      <c r="V77" s="23">
        <f>V68-(SUM(V69:V76))</f>
        <v>468100</v>
      </c>
      <c r="W77" s="19"/>
      <c r="X77" s="18"/>
      <c r="Y77" s="23">
        <f>Y68-(SUM(Y69:Y76))</f>
        <v>2307084</v>
      </c>
      <c r="Z77" s="18"/>
      <c r="AA77" s="23">
        <f>AA68-(SUM(AA69:AA76))</f>
        <v>483681</v>
      </c>
      <c r="AB77" s="19"/>
      <c r="AC77" s="18"/>
      <c r="AD77" s="23">
        <f>AD68-(SUM(AD69:AD76))</f>
        <v>2732700</v>
      </c>
      <c r="AE77" s="18"/>
      <c r="AF77" s="23">
        <f>AF68-(SUM(AF69:AF76))</f>
        <v>566766</v>
      </c>
      <c r="AG77" s="19"/>
      <c r="AH77" s="18"/>
      <c r="AI77" s="23">
        <f>AI68-(SUM(AI69:AI76))</f>
        <v>2609470</v>
      </c>
      <c r="AJ77" s="18"/>
      <c r="AK77" s="23">
        <f>AK68-(SUM(AK69:AK76))</f>
        <v>548100</v>
      </c>
      <c r="AL77" s="19"/>
      <c r="AM77" s="18"/>
      <c r="AN77" s="23">
        <f>AN68-(SUM(AN69:AN76))</f>
        <v>2599550</v>
      </c>
      <c r="AO77" s="18"/>
      <c r="AP77" s="23">
        <f>AP68-(SUM(AP69:AP76))</f>
        <v>548100</v>
      </c>
      <c r="AQ77" s="19"/>
      <c r="AR77" s="22"/>
      <c r="AS77" s="23">
        <f>AS68-(SUM(AS69:AS76))</f>
        <v>2629550</v>
      </c>
      <c r="AT77" s="18"/>
      <c r="AU77" s="23">
        <f>AU68-(SUM(AU69:AU76))</f>
        <v>548100</v>
      </c>
      <c r="AV77" s="19"/>
      <c r="AW77" s="22"/>
      <c r="AX77" s="23">
        <f>AX68-(SUM(AX69:AX76))</f>
        <v>1955356</v>
      </c>
      <c r="AY77" s="18"/>
      <c r="AZ77" s="23">
        <f>AZ68-(SUM(AZ69:AZ76))</f>
        <v>419068</v>
      </c>
      <c r="BA77" s="19"/>
      <c r="BB77" s="22"/>
      <c r="BC77" s="23">
        <f>BC68-(SUM(BC69:BC76))</f>
        <v>2266550</v>
      </c>
      <c r="BD77" s="18"/>
      <c r="BE77" s="23">
        <f>BE68-(SUM(BE69:BE76))</f>
        <v>470767</v>
      </c>
      <c r="BF77" s="19"/>
      <c r="BG77" s="22"/>
      <c r="BH77" s="23">
        <f>BH68-(SUM(BH69:BH76))</f>
        <v>1920000</v>
      </c>
      <c r="BI77" s="18"/>
      <c r="BJ77" s="23">
        <f>BJ68-(SUM(BJ69:BJ76))</f>
        <v>388100</v>
      </c>
      <c r="BK77" s="19"/>
      <c r="BL77" s="22"/>
      <c r="BM77" s="23">
        <f>BM68-(SUM(BM69:BM76))</f>
        <v>1920000</v>
      </c>
      <c r="BN77" s="18"/>
      <c r="BO77" s="23">
        <f>BO68-(SUM(BO69:BO76))</f>
        <v>118080</v>
      </c>
      <c r="BP77" s="19"/>
      <c r="BQ77" s="17" t="s">
        <v>63</v>
      </c>
      <c r="BR77" s="1"/>
      <c r="BS77" s="1"/>
      <c r="BT77" s="1"/>
      <c r="BU77" s="1"/>
    </row>
    <row r="78">
      <c r="A78" s="39"/>
      <c r="B78" s="27">
        <v>0.7</v>
      </c>
      <c r="C78" s="11" t="s">
        <v>26</v>
      </c>
      <c r="D78" s="22"/>
      <c r="E78" s="23">
        <f>E77*$B78</f>
        <v>857710</v>
      </c>
      <c r="F78" s="18"/>
      <c r="G78" s="18"/>
      <c r="H78" s="19"/>
      <c r="I78" s="22"/>
      <c r="J78" s="23">
        <f>J77*$B78</f>
        <v>1179640</v>
      </c>
      <c r="K78" s="18"/>
      <c r="L78" s="18"/>
      <c r="M78" s="19"/>
      <c r="N78" s="22"/>
      <c r="O78" s="23">
        <f>O77*$B78</f>
        <v>1456252</v>
      </c>
      <c r="P78" s="18"/>
      <c r="Q78" s="18"/>
      <c r="R78" s="19"/>
      <c r="S78" s="22"/>
      <c r="T78" s="23">
        <f>T77*$B78</f>
        <v>1543640</v>
      </c>
      <c r="U78" s="18"/>
      <c r="V78" s="18"/>
      <c r="W78" s="19"/>
      <c r="X78" s="18"/>
      <c r="Y78" s="23">
        <f>Y77*$B78</f>
        <v>1614958.8</v>
      </c>
      <c r="Z78" s="18"/>
      <c r="AA78" s="18"/>
      <c r="AB78" s="19"/>
      <c r="AC78" s="18"/>
      <c r="AD78" s="23">
        <f>AD77*$B78</f>
        <v>1912890</v>
      </c>
      <c r="AE78" s="18"/>
      <c r="AF78" s="18"/>
      <c r="AG78" s="19"/>
      <c r="AH78" s="18"/>
      <c r="AI78" s="23">
        <f>AI77*$B78</f>
        <v>1826629</v>
      </c>
      <c r="AJ78" s="18"/>
      <c r="AK78" s="18"/>
      <c r="AL78" s="19"/>
      <c r="AM78" s="18"/>
      <c r="AN78" s="23">
        <f>AN77*$B78</f>
        <v>1819685</v>
      </c>
      <c r="AO78" s="18"/>
      <c r="AP78" s="18"/>
      <c r="AQ78" s="19"/>
      <c r="AR78" s="22"/>
      <c r="AS78" s="23">
        <f>AS77*$B78</f>
        <v>1840685</v>
      </c>
      <c r="AT78" s="18"/>
      <c r="AU78" s="18"/>
      <c r="AV78" s="19"/>
      <c r="AW78" s="22"/>
      <c r="AX78" s="23">
        <f>AX77*$B78</f>
        <v>1368749.2</v>
      </c>
      <c r="AY78" s="18"/>
      <c r="AZ78" s="18"/>
      <c r="BA78" s="19"/>
      <c r="BB78" s="22"/>
      <c r="BC78" s="23">
        <f>BC77*$B78</f>
        <v>1586585</v>
      </c>
      <c r="BD78" s="18"/>
      <c r="BE78" s="18"/>
      <c r="BF78" s="19"/>
      <c r="BG78" s="22"/>
      <c r="BH78" s="23">
        <f>BH77*$B78</f>
        <v>1344000</v>
      </c>
      <c r="BI78" s="18"/>
      <c r="BJ78" s="18"/>
      <c r="BK78" s="19"/>
      <c r="BL78" s="22"/>
      <c r="BM78" s="23">
        <f>BM77*$B78</f>
        <v>1344000</v>
      </c>
      <c r="BN78" s="18"/>
      <c r="BO78" s="18"/>
      <c r="BP78" s="19"/>
      <c r="BQ78" s="17" t="s">
        <v>63</v>
      </c>
      <c r="BR78" s="1"/>
      <c r="BS78" s="1"/>
      <c r="BT78" s="1"/>
      <c r="BU78" s="1"/>
    </row>
    <row r="79">
      <c r="A79" s="28" t="str">
        <f>B57</f>
        <v>반포</v>
      </c>
      <c r="B79" s="29">
        <v>0.3</v>
      </c>
      <c r="C79" s="30" t="s">
        <v>57</v>
      </c>
      <c r="D79" s="31"/>
      <c r="E79" s="32">
        <f>E77*$B79</f>
        <v>367590</v>
      </c>
      <c r="F79" s="33"/>
      <c r="G79" s="33"/>
      <c r="H79" s="34"/>
      <c r="I79" s="31"/>
      <c r="J79" s="32">
        <f>J77*$B79</f>
        <v>505560</v>
      </c>
      <c r="K79" s="33"/>
      <c r="L79" s="33"/>
      <c r="M79" s="34"/>
      <c r="N79" s="31"/>
      <c r="O79" s="32">
        <f>O77*$B79</f>
        <v>624108</v>
      </c>
      <c r="P79" s="33"/>
      <c r="Q79" s="33"/>
      <c r="R79" s="34"/>
      <c r="S79" s="31"/>
      <c r="T79" s="32">
        <f>T77*$B79</f>
        <v>661560</v>
      </c>
      <c r="U79" s="33"/>
      <c r="V79" s="33"/>
      <c r="W79" s="34"/>
      <c r="X79" s="33"/>
      <c r="Y79" s="32">
        <f>Y77*$B79</f>
        <v>692125.2</v>
      </c>
      <c r="Z79" s="33"/>
      <c r="AA79" s="33"/>
      <c r="AB79" s="34"/>
      <c r="AC79" s="33"/>
      <c r="AD79" s="32">
        <f>AD77*$B79</f>
        <v>819810</v>
      </c>
      <c r="AE79" s="33"/>
      <c r="AF79" s="33"/>
      <c r="AG79" s="34"/>
      <c r="AH79" s="33"/>
      <c r="AI79" s="32">
        <f>AI77*$B79</f>
        <v>782841</v>
      </c>
      <c r="AJ79" s="33"/>
      <c r="AK79" s="33"/>
      <c r="AL79" s="34"/>
      <c r="AM79" s="33"/>
      <c r="AN79" s="32">
        <f>AN77*$B79</f>
        <v>779865</v>
      </c>
      <c r="AO79" s="33"/>
      <c r="AP79" s="33"/>
      <c r="AQ79" s="34"/>
      <c r="AR79" s="31"/>
      <c r="AS79" s="32">
        <f>AS77*$B79</f>
        <v>788865</v>
      </c>
      <c r="AT79" s="33"/>
      <c r="AU79" s="33"/>
      <c r="AV79" s="34"/>
      <c r="AW79" s="31"/>
      <c r="AX79" s="32">
        <f>AX77*$B79</f>
        <v>586606.8</v>
      </c>
      <c r="AY79" s="33"/>
      <c r="AZ79" s="33"/>
      <c r="BA79" s="34"/>
      <c r="BB79" s="31"/>
      <c r="BC79" s="32">
        <f>BC77*$B79</f>
        <v>679965</v>
      </c>
      <c r="BD79" s="33"/>
      <c r="BE79" s="33"/>
      <c r="BF79" s="34"/>
      <c r="BG79" s="31"/>
      <c r="BH79" s="32">
        <f>BH77*$B79</f>
        <v>576000</v>
      </c>
      <c r="BI79" s="33"/>
      <c r="BJ79" s="33"/>
      <c r="BK79" s="34"/>
      <c r="BL79" s="31"/>
      <c r="BM79" s="32">
        <f>BM77*$B79</f>
        <v>576000</v>
      </c>
      <c r="BN79" s="33"/>
      <c r="BO79" s="33"/>
      <c r="BP79" s="34"/>
      <c r="BQ79" s="17" t="s">
        <v>63</v>
      </c>
      <c r="BR79" s="1"/>
      <c r="BS79" s="1"/>
      <c r="BT79" s="1"/>
      <c r="BU79" s="1"/>
    </row>
    <row r="80">
      <c r="A80" s="1"/>
      <c r="B80" s="10" t="s">
        <v>210</v>
      </c>
      <c r="C80" s="11" t="s">
        <v>211</v>
      </c>
      <c r="D80" s="10" t="s">
        <v>212</v>
      </c>
      <c r="E80" s="23">
        <v>530000.0</v>
      </c>
      <c r="F80" s="35" t="b">
        <v>1</v>
      </c>
      <c r="G80" s="23">
        <v>80000.0</v>
      </c>
      <c r="H80" s="15" t="b">
        <v>1</v>
      </c>
      <c r="I80" s="10" t="s">
        <v>212</v>
      </c>
      <c r="J80" s="23">
        <v>530000.0</v>
      </c>
      <c r="K80" s="35" t="b">
        <v>1</v>
      </c>
      <c r="L80" s="23">
        <v>60000.0</v>
      </c>
      <c r="M80" s="15" t="b">
        <v>1</v>
      </c>
      <c r="N80" s="10" t="s">
        <v>212</v>
      </c>
      <c r="O80" s="23">
        <v>530000.0</v>
      </c>
      <c r="P80" s="35" t="b">
        <v>1</v>
      </c>
      <c r="Q80" s="23">
        <v>80000.0</v>
      </c>
      <c r="R80" s="15" t="b">
        <v>1</v>
      </c>
      <c r="S80" s="10" t="s">
        <v>212</v>
      </c>
      <c r="T80" s="23">
        <v>530000.0</v>
      </c>
      <c r="U80" s="35" t="b">
        <v>1</v>
      </c>
      <c r="V80" s="23">
        <v>80000.0</v>
      </c>
      <c r="W80" s="15" t="b">
        <v>1</v>
      </c>
      <c r="X80" s="10" t="s">
        <v>212</v>
      </c>
      <c r="Y80" s="23">
        <v>530000.0</v>
      </c>
      <c r="Z80" s="35" t="b">
        <v>1</v>
      </c>
      <c r="AA80" s="23">
        <v>80000.0</v>
      </c>
      <c r="AB80" s="15" t="b">
        <v>1</v>
      </c>
      <c r="AC80" s="17" t="s">
        <v>212</v>
      </c>
      <c r="AD80" s="23">
        <v>530000.0</v>
      </c>
      <c r="AE80" s="35" t="b">
        <v>1</v>
      </c>
      <c r="AF80" s="23">
        <v>80000.0</v>
      </c>
      <c r="AG80" s="15" t="b">
        <v>1</v>
      </c>
      <c r="AH80" s="17" t="s">
        <v>212</v>
      </c>
      <c r="AI80" s="23">
        <v>530000.0</v>
      </c>
      <c r="AJ80" s="35" t="b">
        <v>1</v>
      </c>
      <c r="AK80" s="23">
        <v>80000.0</v>
      </c>
      <c r="AL80" s="15" t="b">
        <v>1</v>
      </c>
      <c r="AM80" s="17" t="s">
        <v>212</v>
      </c>
      <c r="AN80" s="23">
        <v>530000.0</v>
      </c>
      <c r="AO80" s="35" t="b">
        <v>1</v>
      </c>
      <c r="AP80" s="23">
        <f>80000+20000</f>
        <v>100000</v>
      </c>
      <c r="AQ80" s="15" t="b">
        <v>1</v>
      </c>
      <c r="AR80" s="10" t="s">
        <v>213</v>
      </c>
      <c r="AS80" s="23">
        <f>630000+21667</f>
        <v>651667</v>
      </c>
      <c r="AT80" s="35" t="b">
        <v>1</v>
      </c>
      <c r="AU80" s="23">
        <f>80000+2667</f>
        <v>82667</v>
      </c>
      <c r="AV80" s="15" t="b">
        <v>1</v>
      </c>
      <c r="AW80" s="10" t="s">
        <v>214</v>
      </c>
      <c r="AX80" s="23">
        <f>650000+373344</f>
        <v>1023344</v>
      </c>
      <c r="AY80" s="35" t="b">
        <v>1</v>
      </c>
      <c r="AZ80" s="23">
        <f>80000+42672</f>
        <v>122672</v>
      </c>
      <c r="BA80" s="15" t="b">
        <v>1</v>
      </c>
      <c r="BB80" s="41" t="s">
        <v>215</v>
      </c>
      <c r="BC80" s="23">
        <v>700000.0</v>
      </c>
      <c r="BD80" s="35" t="b">
        <v>1</v>
      </c>
      <c r="BE80" s="23">
        <v>80000.0</v>
      </c>
      <c r="BF80" s="15" t="b">
        <v>1</v>
      </c>
      <c r="BG80" s="41" t="s">
        <v>215</v>
      </c>
      <c r="BH80" s="23">
        <v>700000.0</v>
      </c>
      <c r="BI80" s="35" t="b">
        <v>1</v>
      </c>
      <c r="BJ80" s="23">
        <v>80000.0</v>
      </c>
      <c r="BK80" s="15" t="b">
        <v>1</v>
      </c>
      <c r="BL80" s="41" t="s">
        <v>215</v>
      </c>
      <c r="BM80" s="23">
        <v>700000.0</v>
      </c>
      <c r="BN80" s="35" t="b">
        <v>0</v>
      </c>
      <c r="BO80" s="23">
        <v>80000.0</v>
      </c>
      <c r="BP80" s="15" t="b">
        <v>0</v>
      </c>
      <c r="BQ80" s="17" t="s">
        <v>216</v>
      </c>
      <c r="BR80" s="1"/>
      <c r="BS80" s="1"/>
      <c r="BT80" s="1"/>
      <c r="BU80" s="1"/>
    </row>
    <row r="81">
      <c r="A81" s="1"/>
      <c r="B81" s="10" t="s">
        <v>210</v>
      </c>
      <c r="C81" s="11" t="s">
        <v>217</v>
      </c>
      <c r="D81" s="10" t="s">
        <v>218</v>
      </c>
      <c r="E81" s="23">
        <v>670000.0</v>
      </c>
      <c r="F81" s="35" t="b">
        <v>1</v>
      </c>
      <c r="G81" s="23">
        <v>80000.0</v>
      </c>
      <c r="H81" s="35" t="b">
        <v>1</v>
      </c>
      <c r="I81" s="10" t="s">
        <v>218</v>
      </c>
      <c r="J81" s="23">
        <v>670000.0</v>
      </c>
      <c r="K81" s="35" t="b">
        <v>1</v>
      </c>
      <c r="L81" s="23">
        <v>60000.0</v>
      </c>
      <c r="M81" s="15" t="b">
        <v>1</v>
      </c>
      <c r="N81" s="10" t="s">
        <v>218</v>
      </c>
      <c r="O81" s="23">
        <v>670000.0</v>
      </c>
      <c r="P81" s="35" t="b">
        <v>1</v>
      </c>
      <c r="Q81" s="23">
        <v>80000.0</v>
      </c>
      <c r="R81" s="15" t="b">
        <v>1</v>
      </c>
      <c r="S81" s="10" t="s">
        <v>218</v>
      </c>
      <c r="T81" s="23">
        <v>670000.0</v>
      </c>
      <c r="U81" s="35" t="b">
        <v>1</v>
      </c>
      <c r="V81" s="23">
        <v>80000.0</v>
      </c>
      <c r="W81" s="15" t="b">
        <v>1</v>
      </c>
      <c r="X81" s="10" t="s">
        <v>219</v>
      </c>
      <c r="Y81" s="23">
        <v>670000.0</v>
      </c>
      <c r="Z81" s="35" t="b">
        <v>1</v>
      </c>
      <c r="AA81" s="23">
        <v>80000.0</v>
      </c>
      <c r="AB81" s="15" t="b">
        <v>1</v>
      </c>
      <c r="AC81" s="17" t="s">
        <v>220</v>
      </c>
      <c r="AD81" s="23">
        <v>620000.0</v>
      </c>
      <c r="AE81" s="35" t="b">
        <v>1</v>
      </c>
      <c r="AF81" s="23">
        <v>80000.0</v>
      </c>
      <c r="AG81" s="15" t="b">
        <v>1</v>
      </c>
      <c r="AH81" s="17" t="s">
        <v>221</v>
      </c>
      <c r="AI81" s="23">
        <v>620000.0</v>
      </c>
      <c r="AJ81" s="35" t="b">
        <v>1</v>
      </c>
      <c r="AK81" s="23">
        <v>80000.0</v>
      </c>
      <c r="AL81" s="15" t="b">
        <v>1</v>
      </c>
      <c r="AM81" s="17" t="s">
        <v>221</v>
      </c>
      <c r="AN81" s="23">
        <v>620000.0</v>
      </c>
      <c r="AO81" s="35" t="b">
        <v>1</v>
      </c>
      <c r="AP81" s="23">
        <f>80000+22175</f>
        <v>102175</v>
      </c>
      <c r="AQ81" s="15" t="b">
        <v>1</v>
      </c>
      <c r="AR81" s="17" t="s">
        <v>221</v>
      </c>
      <c r="AS81" s="23">
        <v>620000.0</v>
      </c>
      <c r="AT81" s="35" t="b">
        <v>1</v>
      </c>
      <c r="AU81" s="23">
        <v>80000.0</v>
      </c>
      <c r="AV81" s="15" t="b">
        <v>1</v>
      </c>
      <c r="AW81" s="17" t="s">
        <v>221</v>
      </c>
      <c r="AX81" s="23">
        <v>620000.0</v>
      </c>
      <c r="AY81" s="35" t="b">
        <v>1</v>
      </c>
      <c r="AZ81" s="23">
        <v>80000.0</v>
      </c>
      <c r="BA81" s="15" t="b">
        <v>1</v>
      </c>
      <c r="BB81" s="17" t="s">
        <v>221</v>
      </c>
      <c r="BC81" s="23">
        <v>620000.0</v>
      </c>
      <c r="BD81" s="35" t="b">
        <v>1</v>
      </c>
      <c r="BE81" s="23">
        <v>80000.0</v>
      </c>
      <c r="BF81" s="15" t="b">
        <v>1</v>
      </c>
      <c r="BG81" s="36" t="s">
        <v>221</v>
      </c>
      <c r="BH81" s="23">
        <v>620000.0</v>
      </c>
      <c r="BI81" s="35" t="b">
        <v>0</v>
      </c>
      <c r="BJ81" s="23">
        <v>80000.0</v>
      </c>
      <c r="BK81" s="45" t="b">
        <v>1</v>
      </c>
      <c r="BL81" s="36" t="s">
        <v>221</v>
      </c>
      <c r="BM81" s="23">
        <v>620000.0</v>
      </c>
      <c r="BN81" s="35" t="b">
        <v>0</v>
      </c>
      <c r="BO81" s="23">
        <v>80000.0</v>
      </c>
      <c r="BP81" s="15" t="b">
        <v>0</v>
      </c>
      <c r="BQ81" s="17" t="s">
        <v>216</v>
      </c>
      <c r="BR81" s="1"/>
      <c r="BS81" s="1"/>
      <c r="BT81" s="1"/>
      <c r="BU81" s="1"/>
    </row>
    <row r="82">
      <c r="A82" s="1"/>
      <c r="B82" s="10" t="s">
        <v>210</v>
      </c>
      <c r="C82" s="11" t="s">
        <v>222</v>
      </c>
      <c r="D82" s="10" t="s">
        <v>223</v>
      </c>
      <c r="E82" s="23">
        <v>600000.0</v>
      </c>
      <c r="F82" s="35" t="b">
        <v>1</v>
      </c>
      <c r="G82" s="23">
        <v>80000.0</v>
      </c>
      <c r="H82" s="35" t="b">
        <v>1</v>
      </c>
      <c r="I82" s="10" t="s">
        <v>223</v>
      </c>
      <c r="J82" s="23">
        <v>600000.0</v>
      </c>
      <c r="K82" s="35" t="b">
        <v>1</v>
      </c>
      <c r="L82" s="23">
        <v>60000.0</v>
      </c>
      <c r="M82" s="15" t="b">
        <v>1</v>
      </c>
      <c r="N82" s="10" t="s">
        <v>223</v>
      </c>
      <c r="O82" s="23">
        <v>600000.0</v>
      </c>
      <c r="P82" s="35" t="b">
        <v>1</v>
      </c>
      <c r="Q82" s="23">
        <v>80000.0</v>
      </c>
      <c r="R82" s="15" t="b">
        <v>1</v>
      </c>
      <c r="S82" s="10" t="s">
        <v>223</v>
      </c>
      <c r="T82" s="23">
        <v>600000.0</v>
      </c>
      <c r="U82" s="35" t="b">
        <v>1</v>
      </c>
      <c r="V82" s="23">
        <v>80000.0</v>
      </c>
      <c r="W82" s="15" t="b">
        <v>1</v>
      </c>
      <c r="X82" s="17" t="s">
        <v>224</v>
      </c>
      <c r="Y82" s="23">
        <f>600000+130968</f>
        <v>730968</v>
      </c>
      <c r="Z82" s="35" t="b">
        <v>1</v>
      </c>
      <c r="AA82" s="23">
        <f>80000+18065</f>
        <v>98065</v>
      </c>
      <c r="AB82" s="15" t="b">
        <v>1</v>
      </c>
      <c r="AC82" s="17" t="s">
        <v>225</v>
      </c>
      <c r="AD82" s="23">
        <v>580000.0</v>
      </c>
      <c r="AE82" s="35" t="b">
        <v>1</v>
      </c>
      <c r="AF82" s="23">
        <v>80000.0</v>
      </c>
      <c r="AG82" s="15" t="b">
        <v>1</v>
      </c>
      <c r="AH82" s="17" t="s">
        <v>225</v>
      </c>
      <c r="AI82" s="23">
        <v>580000.0</v>
      </c>
      <c r="AJ82" s="35" t="b">
        <v>1</v>
      </c>
      <c r="AK82" s="23">
        <v>80000.0</v>
      </c>
      <c r="AL82" s="15" t="b">
        <v>1</v>
      </c>
      <c r="AM82" s="17" t="s">
        <v>225</v>
      </c>
      <c r="AN82" s="23">
        <v>580000.0</v>
      </c>
      <c r="AO82" s="35" t="b">
        <v>1</v>
      </c>
      <c r="AP82" s="23">
        <f t="shared" ref="AP82:AP85" si="2">80000+20000</f>
        <v>100000</v>
      </c>
      <c r="AQ82" s="15" t="b">
        <v>1</v>
      </c>
      <c r="AR82" s="17" t="s">
        <v>225</v>
      </c>
      <c r="AS82" s="23">
        <v>580000.0</v>
      </c>
      <c r="AT82" s="35" t="b">
        <v>1</v>
      </c>
      <c r="AU82" s="23">
        <v>80000.0</v>
      </c>
      <c r="AV82" s="15" t="b">
        <v>1</v>
      </c>
      <c r="AW82" s="17" t="s">
        <v>225</v>
      </c>
      <c r="AX82" s="23">
        <v>580000.0</v>
      </c>
      <c r="AY82" s="35" t="b">
        <v>1</v>
      </c>
      <c r="AZ82" s="23">
        <v>80000.0</v>
      </c>
      <c r="BA82" s="15" t="b">
        <v>1</v>
      </c>
      <c r="BB82" s="17" t="s">
        <v>225</v>
      </c>
      <c r="BC82" s="23">
        <v>580000.0</v>
      </c>
      <c r="BD82" s="35" t="b">
        <v>1</v>
      </c>
      <c r="BE82" s="23">
        <v>80000.0</v>
      </c>
      <c r="BF82" s="15" t="b">
        <v>1</v>
      </c>
      <c r="BG82" s="17" t="s">
        <v>225</v>
      </c>
      <c r="BH82" s="23">
        <v>580000.0</v>
      </c>
      <c r="BI82" s="35" t="b">
        <v>1</v>
      </c>
      <c r="BJ82" s="23">
        <v>80000.0</v>
      </c>
      <c r="BK82" s="15" t="b">
        <v>1</v>
      </c>
      <c r="BL82" s="17" t="s">
        <v>225</v>
      </c>
      <c r="BM82" s="23">
        <v>580000.0</v>
      </c>
      <c r="BN82" s="35" t="b">
        <v>0</v>
      </c>
      <c r="BO82" s="23">
        <v>80000.0</v>
      </c>
      <c r="BP82" s="15" t="b">
        <v>0</v>
      </c>
      <c r="BQ82" s="17" t="s">
        <v>216</v>
      </c>
      <c r="BR82" s="1"/>
      <c r="BS82" s="1"/>
      <c r="BT82" s="1"/>
      <c r="BU82" s="1"/>
    </row>
    <row r="83">
      <c r="A83" s="1"/>
      <c r="B83" s="10" t="s">
        <v>210</v>
      </c>
      <c r="C83" s="11" t="s">
        <v>226</v>
      </c>
      <c r="D83" s="10" t="s">
        <v>227</v>
      </c>
      <c r="E83" s="23">
        <v>600000.0</v>
      </c>
      <c r="F83" s="35" t="b">
        <v>1</v>
      </c>
      <c r="G83" s="23">
        <v>80000.0</v>
      </c>
      <c r="H83" s="35" t="b">
        <v>1</v>
      </c>
      <c r="I83" s="10" t="s">
        <v>227</v>
      </c>
      <c r="J83" s="23">
        <v>600000.0</v>
      </c>
      <c r="K83" s="35" t="b">
        <v>1</v>
      </c>
      <c r="L83" s="23">
        <v>80000.0</v>
      </c>
      <c r="M83" s="15" t="b">
        <v>1</v>
      </c>
      <c r="N83" s="10" t="s">
        <v>227</v>
      </c>
      <c r="O83" s="23">
        <v>600000.0</v>
      </c>
      <c r="P83" s="35" t="b">
        <v>1</v>
      </c>
      <c r="Q83" s="23">
        <v>80000.0</v>
      </c>
      <c r="R83" s="15" t="b">
        <v>1</v>
      </c>
      <c r="S83" s="10" t="s">
        <v>227</v>
      </c>
      <c r="T83" s="23">
        <v>600000.0</v>
      </c>
      <c r="U83" s="35" t="b">
        <v>1</v>
      </c>
      <c r="V83" s="23">
        <v>80000.0</v>
      </c>
      <c r="W83" s="15" t="b">
        <v>1</v>
      </c>
      <c r="X83" s="17" t="s">
        <v>227</v>
      </c>
      <c r="Y83" s="23">
        <v>600000.0</v>
      </c>
      <c r="Z83" s="35" t="b">
        <v>1</v>
      </c>
      <c r="AA83" s="23">
        <v>80000.0</v>
      </c>
      <c r="AB83" s="15" t="b">
        <v>1</v>
      </c>
      <c r="AC83" s="17" t="s">
        <v>228</v>
      </c>
      <c r="AD83" s="23">
        <f>380000+200000</f>
        <v>580000</v>
      </c>
      <c r="AE83" s="35" t="b">
        <v>1</v>
      </c>
      <c r="AF83" s="23">
        <f>50667</f>
        <v>50667</v>
      </c>
      <c r="AG83" s="15" t="b">
        <v>1</v>
      </c>
      <c r="AH83" s="36" t="s">
        <v>229</v>
      </c>
      <c r="AI83" s="23">
        <v>18690.0</v>
      </c>
      <c r="AJ83" s="35" t="b">
        <v>1</v>
      </c>
      <c r="AK83" s="23">
        <v>2600.0</v>
      </c>
      <c r="AL83" s="15" t="b">
        <v>1</v>
      </c>
      <c r="AM83" s="36" t="s">
        <v>230</v>
      </c>
      <c r="AN83" s="23">
        <v>587400.0</v>
      </c>
      <c r="AO83" s="35" t="b">
        <v>0</v>
      </c>
      <c r="AP83" s="23">
        <f t="shared" si="2"/>
        <v>100000</v>
      </c>
      <c r="AQ83" s="15" t="b">
        <v>1</v>
      </c>
      <c r="AR83" s="36" t="s">
        <v>230</v>
      </c>
      <c r="AS83" s="23">
        <v>587400.0</v>
      </c>
      <c r="AT83" s="35" t="b">
        <v>1</v>
      </c>
      <c r="AU83" s="23">
        <v>80000.0</v>
      </c>
      <c r="AV83" s="15" t="b">
        <v>1</v>
      </c>
      <c r="AW83" s="36" t="s">
        <v>230</v>
      </c>
      <c r="AX83" s="23">
        <v>587400.0</v>
      </c>
      <c r="AY83" s="35" t="b">
        <v>1</v>
      </c>
      <c r="AZ83" s="23">
        <v>80000.0</v>
      </c>
      <c r="BA83" s="15" t="b">
        <v>1</v>
      </c>
      <c r="BB83" s="36" t="s">
        <v>230</v>
      </c>
      <c r="BC83" s="23">
        <v>587400.0</v>
      </c>
      <c r="BD83" s="35" t="b">
        <v>1</v>
      </c>
      <c r="BE83" s="23">
        <v>80000.0</v>
      </c>
      <c r="BF83" s="15" t="b">
        <v>1</v>
      </c>
      <c r="BG83" s="36" t="s">
        <v>230</v>
      </c>
      <c r="BH83" s="23">
        <v>587400.0</v>
      </c>
      <c r="BI83" s="35" t="b">
        <v>0</v>
      </c>
      <c r="BJ83" s="23">
        <v>80000.0</v>
      </c>
      <c r="BK83" s="15" t="b">
        <v>0</v>
      </c>
      <c r="BL83" s="36" t="s">
        <v>230</v>
      </c>
      <c r="BM83" s="23">
        <v>587400.0</v>
      </c>
      <c r="BN83" s="35" t="b">
        <v>0</v>
      </c>
      <c r="BO83" s="23">
        <v>80000.0</v>
      </c>
      <c r="BP83" s="15" t="b">
        <v>0</v>
      </c>
      <c r="BQ83" s="17" t="s">
        <v>216</v>
      </c>
      <c r="BR83" s="1"/>
      <c r="BS83" s="1"/>
      <c r="BT83" s="1"/>
      <c r="BU83" s="1"/>
    </row>
    <row r="84">
      <c r="A84" s="1"/>
      <c r="B84" s="10" t="s">
        <v>210</v>
      </c>
      <c r="C84" s="11" t="s">
        <v>231</v>
      </c>
      <c r="D84" s="10" t="s">
        <v>232</v>
      </c>
      <c r="E84" s="23">
        <f>572000+520000</f>
        <v>1092000</v>
      </c>
      <c r="F84" s="35" t="b">
        <v>1</v>
      </c>
      <c r="G84" s="23">
        <v>80000.0</v>
      </c>
      <c r="H84" s="35" t="b">
        <v>1</v>
      </c>
      <c r="I84" s="10" t="s">
        <v>233</v>
      </c>
      <c r="J84" s="23">
        <v>520000.0</v>
      </c>
      <c r="K84" s="35" t="b">
        <v>1</v>
      </c>
      <c r="L84" s="23">
        <v>60000.0</v>
      </c>
      <c r="M84" s="15" t="b">
        <v>1</v>
      </c>
      <c r="N84" s="41" t="s">
        <v>234</v>
      </c>
      <c r="O84" s="23">
        <f>134194+398700</f>
        <v>532894</v>
      </c>
      <c r="P84" s="35" t="b">
        <v>1</v>
      </c>
      <c r="Q84" s="23">
        <f>20645+62000</f>
        <v>82645</v>
      </c>
      <c r="R84" s="15" t="b">
        <v>1</v>
      </c>
      <c r="S84" s="41" t="s">
        <v>235</v>
      </c>
      <c r="T84" s="23">
        <v>514800.0</v>
      </c>
      <c r="U84" s="35" t="b">
        <v>1</v>
      </c>
      <c r="V84" s="23">
        <v>80000.0</v>
      </c>
      <c r="W84" s="15" t="b">
        <v>1</v>
      </c>
      <c r="X84" s="41" t="s">
        <v>235</v>
      </c>
      <c r="Y84" s="23">
        <v>514800.0</v>
      </c>
      <c r="Z84" s="35" t="b">
        <v>0</v>
      </c>
      <c r="AA84" s="23">
        <v>80000.0</v>
      </c>
      <c r="AB84" s="15" t="b">
        <v>0</v>
      </c>
      <c r="AC84" s="41" t="s">
        <v>236</v>
      </c>
      <c r="AD84" s="23">
        <f>514800+34667</f>
        <v>549467</v>
      </c>
      <c r="AE84" s="35" t="b">
        <v>1</v>
      </c>
      <c r="AF84" s="23">
        <f>80000+5333</f>
        <v>85333</v>
      </c>
      <c r="AG84" s="15" t="b">
        <v>1</v>
      </c>
      <c r="AH84" s="17" t="s">
        <v>237</v>
      </c>
      <c r="AI84" s="23">
        <v>520000.0</v>
      </c>
      <c r="AJ84" s="35" t="b">
        <v>1</v>
      </c>
      <c r="AK84" s="23">
        <v>80000.0</v>
      </c>
      <c r="AL84" s="15" t="b">
        <v>1</v>
      </c>
      <c r="AM84" s="17" t="s">
        <v>237</v>
      </c>
      <c r="AN84" s="23">
        <v>520000.0</v>
      </c>
      <c r="AO84" s="35" t="b">
        <v>1</v>
      </c>
      <c r="AP84" s="23">
        <f t="shared" si="2"/>
        <v>100000</v>
      </c>
      <c r="AQ84" s="15" t="b">
        <v>1</v>
      </c>
      <c r="AR84" s="17" t="s">
        <v>237</v>
      </c>
      <c r="AS84" s="23">
        <v>520000.0</v>
      </c>
      <c r="AT84" s="35" t="b">
        <v>1</v>
      </c>
      <c r="AU84" s="23">
        <v>80000.0</v>
      </c>
      <c r="AV84" s="15" t="b">
        <v>1</v>
      </c>
      <c r="AW84" s="17" t="s">
        <v>237</v>
      </c>
      <c r="AX84" s="23">
        <v>520000.0</v>
      </c>
      <c r="AY84" s="35" t="b">
        <v>1</v>
      </c>
      <c r="AZ84" s="23">
        <v>80000.0</v>
      </c>
      <c r="BA84" s="15" t="b">
        <v>1</v>
      </c>
      <c r="BB84" s="17" t="s">
        <v>237</v>
      </c>
      <c r="BC84" s="23">
        <v>520000.0</v>
      </c>
      <c r="BD84" s="35" t="b">
        <v>1</v>
      </c>
      <c r="BE84" s="23">
        <v>80000.0</v>
      </c>
      <c r="BF84" s="15" t="b">
        <v>1</v>
      </c>
      <c r="BG84" s="17" t="s">
        <v>238</v>
      </c>
      <c r="BH84" s="23">
        <v>520000.0</v>
      </c>
      <c r="BI84" s="35" t="b">
        <v>1</v>
      </c>
      <c r="BJ84" s="23">
        <v>80000.0</v>
      </c>
      <c r="BK84" s="15" t="b">
        <v>1</v>
      </c>
      <c r="BL84" s="17" t="s">
        <v>239</v>
      </c>
      <c r="BM84" s="23">
        <v>520000.0</v>
      </c>
      <c r="BN84" s="35" t="b">
        <v>0</v>
      </c>
      <c r="BO84" s="23">
        <v>80000.0</v>
      </c>
      <c r="BP84" s="15" t="b">
        <v>0</v>
      </c>
      <c r="BQ84" s="17" t="s">
        <v>216</v>
      </c>
      <c r="BR84" s="1"/>
      <c r="BS84" s="1"/>
      <c r="BT84" s="1"/>
      <c r="BU84" s="1"/>
    </row>
    <row r="85">
      <c r="A85" s="1"/>
      <c r="B85" s="10" t="s">
        <v>210</v>
      </c>
      <c r="C85" s="11" t="s">
        <v>240</v>
      </c>
      <c r="D85" s="44" t="s">
        <v>241</v>
      </c>
      <c r="E85" s="23">
        <f>55800</f>
        <v>55800</v>
      </c>
      <c r="F85" s="35" t="b">
        <v>1</v>
      </c>
      <c r="G85" s="23">
        <v>7700.0</v>
      </c>
      <c r="H85" s="15" t="b">
        <v>1</v>
      </c>
      <c r="I85" s="44" t="s">
        <v>242</v>
      </c>
      <c r="J85" s="23">
        <v>574200.0</v>
      </c>
      <c r="K85" s="35" t="b">
        <v>0</v>
      </c>
      <c r="L85" s="23">
        <v>80000.0</v>
      </c>
      <c r="M85" s="15" t="b">
        <v>1</v>
      </c>
      <c r="N85" s="44" t="s">
        <v>242</v>
      </c>
      <c r="O85" s="23">
        <v>574200.0</v>
      </c>
      <c r="P85" s="35" t="b">
        <v>1</v>
      </c>
      <c r="Q85" s="23">
        <v>80000.0</v>
      </c>
      <c r="R85" s="15" t="b">
        <v>1</v>
      </c>
      <c r="S85" s="44" t="s">
        <v>242</v>
      </c>
      <c r="T85" s="23">
        <v>574200.0</v>
      </c>
      <c r="U85" s="35" t="b">
        <v>1</v>
      </c>
      <c r="V85" s="23">
        <v>80000.0</v>
      </c>
      <c r="W85" s="15" t="b">
        <v>1</v>
      </c>
      <c r="X85" s="44" t="s">
        <v>242</v>
      </c>
      <c r="Y85" s="23">
        <v>574200.0</v>
      </c>
      <c r="Z85" s="35" t="b">
        <v>0</v>
      </c>
      <c r="AA85" s="23">
        <v>80000.0</v>
      </c>
      <c r="AB85" s="15" t="b">
        <v>0</v>
      </c>
      <c r="AC85" s="44" t="s">
        <v>242</v>
      </c>
      <c r="AD85" s="23">
        <v>574200.0</v>
      </c>
      <c r="AE85" s="35" t="b">
        <v>1</v>
      </c>
      <c r="AF85" s="23">
        <v>80000.0</v>
      </c>
      <c r="AG85" s="15" t="b">
        <v>1</v>
      </c>
      <c r="AH85" s="44" t="s">
        <v>242</v>
      </c>
      <c r="AI85" s="23">
        <v>567820.0</v>
      </c>
      <c r="AJ85" s="35" t="b">
        <v>1</v>
      </c>
      <c r="AK85" s="23">
        <v>80000.0</v>
      </c>
      <c r="AL85" s="15" t="b">
        <v>1</v>
      </c>
      <c r="AM85" s="44" t="s">
        <v>242</v>
      </c>
      <c r="AN85" s="23">
        <v>567820.0</v>
      </c>
      <c r="AO85" s="35" t="b">
        <v>0</v>
      </c>
      <c r="AP85" s="23">
        <f t="shared" si="2"/>
        <v>100000</v>
      </c>
      <c r="AQ85" s="15" t="b">
        <v>1</v>
      </c>
      <c r="AR85" s="44" t="s">
        <v>242</v>
      </c>
      <c r="AS85" s="23">
        <v>567820.0</v>
      </c>
      <c r="AT85" s="35" t="b">
        <v>1</v>
      </c>
      <c r="AU85" s="23">
        <v>80000.0</v>
      </c>
      <c r="AV85" s="15" t="b">
        <v>1</v>
      </c>
      <c r="AW85" s="44" t="s">
        <v>242</v>
      </c>
      <c r="AX85" s="23">
        <v>567820.0</v>
      </c>
      <c r="AY85" s="35" t="b">
        <v>1</v>
      </c>
      <c r="AZ85" s="23">
        <v>80000.0</v>
      </c>
      <c r="BA85" s="15" t="b">
        <v>1</v>
      </c>
      <c r="BB85" s="44" t="s">
        <v>242</v>
      </c>
      <c r="BC85" s="23">
        <v>567820.0</v>
      </c>
      <c r="BD85" s="35" t="b">
        <v>1</v>
      </c>
      <c r="BE85" s="23">
        <v>80000.0</v>
      </c>
      <c r="BF85" s="15" t="b">
        <v>1</v>
      </c>
      <c r="BG85" s="44" t="s">
        <v>242</v>
      </c>
      <c r="BH85" s="23">
        <v>567820.0</v>
      </c>
      <c r="BI85" s="35" t="b">
        <v>0</v>
      </c>
      <c r="BJ85" s="23">
        <v>80000.0</v>
      </c>
      <c r="BK85" s="15" t="b">
        <v>0</v>
      </c>
      <c r="BL85" s="44" t="s">
        <v>242</v>
      </c>
      <c r="BM85" s="23">
        <v>567820.0</v>
      </c>
      <c r="BN85" s="35" t="b">
        <v>0</v>
      </c>
      <c r="BO85" s="23">
        <v>80000.0</v>
      </c>
      <c r="BP85" s="15" t="b">
        <v>0</v>
      </c>
      <c r="BQ85" s="17" t="s">
        <v>216</v>
      </c>
      <c r="BR85" s="1"/>
      <c r="BS85" s="1"/>
      <c r="BT85" s="1"/>
      <c r="BU85" s="1"/>
    </row>
    <row r="86">
      <c r="A86" s="1"/>
      <c r="B86" s="10" t="s">
        <v>210</v>
      </c>
      <c r="C86" s="11" t="s">
        <v>243</v>
      </c>
      <c r="D86" s="10" t="s">
        <v>244</v>
      </c>
      <c r="E86" s="23">
        <v>480000.0</v>
      </c>
      <c r="F86" s="35" t="b">
        <v>1</v>
      </c>
      <c r="G86" s="23">
        <v>80000.0</v>
      </c>
      <c r="H86" s="15" t="b">
        <v>1</v>
      </c>
      <c r="I86" s="10" t="s">
        <v>245</v>
      </c>
      <c r="J86" s="23">
        <f>82800+391034 </f>
        <v>473834</v>
      </c>
      <c r="K86" s="35" t="b">
        <v>1</v>
      </c>
      <c r="L86" s="23">
        <f>13800+74483</f>
        <v>88283</v>
      </c>
      <c r="M86" s="15" t="b">
        <v>1</v>
      </c>
      <c r="N86" s="10" t="s">
        <v>246</v>
      </c>
      <c r="O86" s="23">
        <v>420000.0</v>
      </c>
      <c r="P86" s="35" t="b">
        <v>1</v>
      </c>
      <c r="Q86" s="23">
        <v>80000.0</v>
      </c>
      <c r="R86" s="15" t="b">
        <v>1</v>
      </c>
      <c r="S86" s="10" t="s">
        <v>247</v>
      </c>
      <c r="T86" s="23">
        <v>480000.0</v>
      </c>
      <c r="U86" s="35" t="b">
        <v>1</v>
      </c>
      <c r="V86" s="23">
        <v>80000.0</v>
      </c>
      <c r="W86" s="15" t="b">
        <v>1</v>
      </c>
      <c r="X86" s="17" t="s">
        <v>248</v>
      </c>
      <c r="Y86" s="23">
        <v>480000.0</v>
      </c>
      <c r="Z86" s="35" t="b">
        <v>1</v>
      </c>
      <c r="AA86" s="23">
        <v>80000.0</v>
      </c>
      <c r="AB86" s="15" t="b">
        <v>1</v>
      </c>
      <c r="AC86" s="17" t="s">
        <v>249</v>
      </c>
      <c r="AD86" s="23">
        <v>480000.0</v>
      </c>
      <c r="AE86" s="35" t="b">
        <v>1</v>
      </c>
      <c r="AF86" s="23">
        <v>80000.0</v>
      </c>
      <c r="AG86" s="15" t="b">
        <v>1</v>
      </c>
      <c r="AH86" s="17" t="s">
        <v>37</v>
      </c>
      <c r="AI86" s="18"/>
      <c r="AJ86" s="1"/>
      <c r="AK86" s="18"/>
      <c r="AL86" s="19"/>
      <c r="AM86" s="17" t="s">
        <v>250</v>
      </c>
      <c r="AN86" s="23">
        <v>510000.0</v>
      </c>
      <c r="AO86" s="35" t="b">
        <v>1</v>
      </c>
      <c r="AP86" s="23">
        <v>80000.0</v>
      </c>
      <c r="AQ86" s="15" t="b">
        <v>1</v>
      </c>
      <c r="AR86" s="10" t="s">
        <v>251</v>
      </c>
      <c r="AS86" s="23">
        <v>510000.0</v>
      </c>
      <c r="AT86" s="35" t="b">
        <v>1</v>
      </c>
      <c r="AU86" s="23">
        <v>80000.0</v>
      </c>
      <c r="AV86" s="15" t="b">
        <v>1</v>
      </c>
      <c r="AW86" s="10" t="s">
        <v>251</v>
      </c>
      <c r="AX86" s="23">
        <v>510000.0</v>
      </c>
      <c r="AY86" s="35" t="b">
        <v>1</v>
      </c>
      <c r="AZ86" s="23">
        <v>80000.0</v>
      </c>
      <c r="BA86" s="15" t="b">
        <v>1</v>
      </c>
      <c r="BB86" s="10" t="s">
        <v>251</v>
      </c>
      <c r="BC86" s="23">
        <v>510000.0</v>
      </c>
      <c r="BD86" s="35" t="b">
        <v>1</v>
      </c>
      <c r="BE86" s="23">
        <v>80000.0</v>
      </c>
      <c r="BF86" s="15" t="b">
        <v>1</v>
      </c>
      <c r="BG86" s="10" t="s">
        <v>251</v>
      </c>
      <c r="BH86" s="23">
        <v>510000.0</v>
      </c>
      <c r="BI86" s="35" t="b">
        <v>1</v>
      </c>
      <c r="BJ86" s="23">
        <v>80000.0</v>
      </c>
      <c r="BK86" s="15" t="b">
        <v>1</v>
      </c>
      <c r="BL86" s="10" t="s">
        <v>251</v>
      </c>
      <c r="BM86" s="23">
        <v>510000.0</v>
      </c>
      <c r="BN86" s="35" t="b">
        <v>0</v>
      </c>
      <c r="BO86" s="23">
        <v>80000.0</v>
      </c>
      <c r="BP86" s="15" t="b">
        <v>0</v>
      </c>
      <c r="BQ86" s="17" t="s">
        <v>216</v>
      </c>
      <c r="BR86" s="1"/>
      <c r="BS86" s="1"/>
      <c r="BT86" s="1"/>
      <c r="BU86" s="1"/>
    </row>
    <row r="87">
      <c r="A87" s="1"/>
      <c r="B87" s="10" t="s">
        <v>210</v>
      </c>
      <c r="C87" s="11" t="s">
        <v>252</v>
      </c>
      <c r="D87" s="10" t="s">
        <v>253</v>
      </c>
      <c r="E87" s="23">
        <v>480000.0</v>
      </c>
      <c r="F87" s="35" t="b">
        <v>1</v>
      </c>
      <c r="G87" s="23">
        <v>80000.0</v>
      </c>
      <c r="H87" s="35" t="b">
        <v>1</v>
      </c>
      <c r="I87" s="10" t="s">
        <v>253</v>
      </c>
      <c r="J87" s="23">
        <v>480000.0</v>
      </c>
      <c r="K87" s="35" t="b">
        <v>1</v>
      </c>
      <c r="L87" s="23">
        <v>60000.0</v>
      </c>
      <c r="M87" s="35" t="b">
        <v>0</v>
      </c>
      <c r="N87" s="10" t="s">
        <v>254</v>
      </c>
      <c r="O87" s="23">
        <f>480000+46452</f>
        <v>526452</v>
      </c>
      <c r="P87" s="35" t="b">
        <v>1</v>
      </c>
      <c r="Q87" s="23">
        <f>80000+7742</f>
        <v>87742</v>
      </c>
      <c r="R87" s="15" t="b">
        <v>1</v>
      </c>
      <c r="S87" s="10" t="s">
        <v>221</v>
      </c>
      <c r="T87" s="23">
        <v>480000.0</v>
      </c>
      <c r="U87" s="35" t="b">
        <v>1</v>
      </c>
      <c r="V87" s="23">
        <v>80000.0</v>
      </c>
      <c r="W87" s="15" t="b">
        <v>1</v>
      </c>
      <c r="X87" s="17" t="s">
        <v>255</v>
      </c>
      <c r="Y87" s="23">
        <f>480000+15484</f>
        <v>495484</v>
      </c>
      <c r="Z87" s="35" t="b">
        <v>1</v>
      </c>
      <c r="AA87" s="23">
        <f>80000+2581</f>
        <v>82581</v>
      </c>
      <c r="AB87" s="15" t="b">
        <v>1</v>
      </c>
      <c r="AC87" s="17" t="s">
        <v>256</v>
      </c>
      <c r="AD87" s="23">
        <v>480000.0</v>
      </c>
      <c r="AE87" s="35" t="b">
        <v>1</v>
      </c>
      <c r="AF87" s="23">
        <v>80000.0</v>
      </c>
      <c r="AG87" s="15" t="b">
        <v>1</v>
      </c>
      <c r="AH87" s="17" t="s">
        <v>256</v>
      </c>
      <c r="AI87" s="23">
        <v>480000.0</v>
      </c>
      <c r="AJ87" s="35" t="b">
        <v>1</v>
      </c>
      <c r="AK87" s="23">
        <v>80000.0</v>
      </c>
      <c r="AL87" s="15" t="b">
        <v>1</v>
      </c>
      <c r="AM87" s="17" t="s">
        <v>256</v>
      </c>
      <c r="AN87" s="23">
        <v>480000.0</v>
      </c>
      <c r="AO87" s="35" t="b">
        <v>1</v>
      </c>
      <c r="AP87" s="23">
        <f>80000+20000</f>
        <v>100000</v>
      </c>
      <c r="AQ87" s="15" t="b">
        <v>1</v>
      </c>
      <c r="AR87" s="17" t="s">
        <v>256</v>
      </c>
      <c r="AS87" s="23">
        <v>480000.0</v>
      </c>
      <c r="AT87" s="35" t="b">
        <v>1</v>
      </c>
      <c r="AU87" s="23">
        <v>80000.0</v>
      </c>
      <c r="AV87" s="15" t="b">
        <v>1</v>
      </c>
      <c r="AW87" s="17" t="s">
        <v>256</v>
      </c>
      <c r="AX87" s="23">
        <v>480000.0</v>
      </c>
      <c r="AY87" s="35" t="b">
        <v>1</v>
      </c>
      <c r="AZ87" s="23">
        <v>80000.0</v>
      </c>
      <c r="BA87" s="15" t="b">
        <v>1</v>
      </c>
      <c r="BB87" s="17" t="s">
        <v>256</v>
      </c>
      <c r="BC87" s="23">
        <v>480000.0</v>
      </c>
      <c r="BD87" s="35" t="b">
        <v>1</v>
      </c>
      <c r="BE87" s="23">
        <v>80000.0</v>
      </c>
      <c r="BF87" s="15" t="b">
        <v>1</v>
      </c>
      <c r="BG87" s="17" t="s">
        <v>257</v>
      </c>
      <c r="BH87" s="23">
        <v>480000.0</v>
      </c>
      <c r="BI87" s="35" t="b">
        <v>1</v>
      </c>
      <c r="BJ87" s="23">
        <v>80000.0</v>
      </c>
      <c r="BK87" s="15" t="b">
        <v>1</v>
      </c>
      <c r="BL87" s="36" t="s">
        <v>258</v>
      </c>
      <c r="BM87" s="23">
        <v>469920.0</v>
      </c>
      <c r="BN87" s="35" t="b">
        <v>0</v>
      </c>
      <c r="BO87" s="23">
        <v>80000.0</v>
      </c>
      <c r="BP87" s="15" t="b">
        <v>0</v>
      </c>
      <c r="BQ87" s="17" t="s">
        <v>216</v>
      </c>
      <c r="BR87" s="1"/>
      <c r="BS87" s="1"/>
      <c r="BT87" s="1"/>
      <c r="BU87" s="1"/>
    </row>
    <row r="88">
      <c r="A88" s="1"/>
      <c r="B88" s="21"/>
      <c r="C88" s="11" t="s">
        <v>42</v>
      </c>
      <c r="D88" s="22"/>
      <c r="E88" s="23">
        <f>SUM(E80:E87)</f>
        <v>4507800</v>
      </c>
      <c r="F88" s="18"/>
      <c r="G88" s="23">
        <f>SUM(G80:G87)</f>
        <v>567700</v>
      </c>
      <c r="H88" s="19"/>
      <c r="I88" s="22"/>
      <c r="J88" s="23">
        <f>SUM(J80:J87)</f>
        <v>4448034</v>
      </c>
      <c r="K88" s="18"/>
      <c r="L88" s="23">
        <f>SUM(L80:L87)</f>
        <v>548283</v>
      </c>
      <c r="M88" s="19"/>
      <c r="N88" s="22"/>
      <c r="O88" s="23">
        <f>SUM(O80:O87)</f>
        <v>4453546</v>
      </c>
      <c r="P88" s="18"/>
      <c r="Q88" s="23">
        <f>SUM(Q80:Q87)</f>
        <v>650387</v>
      </c>
      <c r="R88" s="19"/>
      <c r="S88" s="22"/>
      <c r="T88" s="23">
        <f>SUM(T80:T87)</f>
        <v>4449000</v>
      </c>
      <c r="U88" s="18"/>
      <c r="V88" s="23">
        <f>SUM(V80:V87)</f>
        <v>640000</v>
      </c>
      <c r="W88" s="19"/>
      <c r="X88" s="18"/>
      <c r="Y88" s="23">
        <f>SUM(Y80:Y87)</f>
        <v>4595452</v>
      </c>
      <c r="Z88" s="18"/>
      <c r="AA88" s="23">
        <f>SUM(AA80:AA87)</f>
        <v>660646</v>
      </c>
      <c r="AB88" s="19"/>
      <c r="AC88" s="18"/>
      <c r="AD88" s="23">
        <f>SUM(AD80:AD87)</f>
        <v>4393667</v>
      </c>
      <c r="AE88" s="18"/>
      <c r="AF88" s="23">
        <f>SUM(AF80:AF87)</f>
        <v>616000</v>
      </c>
      <c r="AG88" s="19"/>
      <c r="AH88" s="18"/>
      <c r="AI88" s="23">
        <f>SUM(AI80:AI87)</f>
        <v>3316510</v>
      </c>
      <c r="AJ88" s="18"/>
      <c r="AK88" s="23">
        <f>SUM(AK80:AK87)</f>
        <v>482600</v>
      </c>
      <c r="AL88" s="19"/>
      <c r="AM88" s="18"/>
      <c r="AN88" s="23">
        <f>SUM(AN80:AN87)</f>
        <v>4395220</v>
      </c>
      <c r="AO88" s="18"/>
      <c r="AP88" s="23">
        <f>SUM(AP80:AP87)</f>
        <v>782175</v>
      </c>
      <c r="AQ88" s="19"/>
      <c r="AR88" s="22"/>
      <c r="AS88" s="23">
        <f>SUM(AS80:AS87)</f>
        <v>4516887</v>
      </c>
      <c r="AT88" s="18"/>
      <c r="AU88" s="23">
        <f>SUM(AU80:AU87)</f>
        <v>642667</v>
      </c>
      <c r="AV88" s="19"/>
      <c r="AW88" s="22"/>
      <c r="AX88" s="23">
        <f>SUM(AX80:AX87)</f>
        <v>4888564</v>
      </c>
      <c r="AY88" s="18"/>
      <c r="AZ88" s="23">
        <f>SUM(AZ80:AZ87)</f>
        <v>682672</v>
      </c>
      <c r="BA88" s="19"/>
      <c r="BB88" s="22"/>
      <c r="BC88" s="23">
        <f>SUM(BC80:BC87)</f>
        <v>4565220</v>
      </c>
      <c r="BD88" s="18"/>
      <c r="BE88" s="23">
        <f>SUM(BE80:BE87)</f>
        <v>640000</v>
      </c>
      <c r="BF88" s="19"/>
      <c r="BG88" s="22"/>
      <c r="BH88" s="23">
        <f>SUM(BH80:BH87)</f>
        <v>4565220</v>
      </c>
      <c r="BI88" s="18"/>
      <c r="BJ88" s="23">
        <f>SUM(BJ80:BJ87)</f>
        <v>640000</v>
      </c>
      <c r="BK88" s="19"/>
      <c r="BL88" s="22"/>
      <c r="BM88" s="23">
        <f>SUM(BM80:BM87)</f>
        <v>4555140</v>
      </c>
      <c r="BN88" s="18"/>
      <c r="BO88" s="23">
        <f>SUM(BO80:BO87)</f>
        <v>640000</v>
      </c>
      <c r="BP88" s="19"/>
      <c r="BQ88" s="17" t="s">
        <v>216</v>
      </c>
      <c r="BR88" s="1"/>
      <c r="BS88" s="1"/>
      <c r="BT88" s="1"/>
      <c r="BU88" s="1"/>
    </row>
    <row r="89">
      <c r="A89" s="1"/>
      <c r="B89" s="21"/>
      <c r="C89" s="11" t="s">
        <v>43</v>
      </c>
      <c r="D89" s="22"/>
      <c r="E89" s="23">
        <v>2300000.0</v>
      </c>
      <c r="F89" s="18"/>
      <c r="G89" s="18"/>
      <c r="H89" s="19"/>
      <c r="I89" s="22"/>
      <c r="J89" s="23">
        <v>2350000.0</v>
      </c>
      <c r="K89" s="18"/>
      <c r="L89" s="18"/>
      <c r="M89" s="19"/>
      <c r="N89" s="22"/>
      <c r="O89" s="23">
        <v>2350000.0</v>
      </c>
      <c r="P89" s="18"/>
      <c r="Q89" s="18"/>
      <c r="R89" s="19"/>
      <c r="S89" s="22"/>
      <c r="T89" s="23">
        <v>2350000.0</v>
      </c>
      <c r="U89" s="18"/>
      <c r="V89" s="18"/>
      <c r="W89" s="19"/>
      <c r="X89" s="18"/>
      <c r="Y89" s="23">
        <v>2350000.0</v>
      </c>
      <c r="Z89" s="18"/>
      <c r="AA89" s="18"/>
      <c r="AB89" s="19"/>
      <c r="AC89" s="18"/>
      <c r="AD89" s="23">
        <v>2350000.0</v>
      </c>
      <c r="AE89" s="18"/>
      <c r="AF89" s="18"/>
      <c r="AG89" s="19"/>
      <c r="AH89" s="18"/>
      <c r="AI89" s="23">
        <v>2350000.0</v>
      </c>
      <c r="AJ89" s="18"/>
      <c r="AK89" s="18"/>
      <c r="AL89" s="19"/>
      <c r="AM89" s="18"/>
      <c r="AN89" s="23">
        <v>2350000.0</v>
      </c>
      <c r="AO89" s="18"/>
      <c r="AP89" s="18"/>
      <c r="AQ89" s="19"/>
      <c r="AR89" s="22"/>
      <c r="AS89" s="23">
        <v>2350000.0</v>
      </c>
      <c r="AT89" s="18"/>
      <c r="AU89" s="18"/>
      <c r="AV89" s="19"/>
      <c r="AW89" s="22"/>
      <c r="AX89" s="23">
        <v>2350000.0</v>
      </c>
      <c r="AY89" s="18"/>
      <c r="AZ89" s="18"/>
      <c r="BA89" s="19"/>
      <c r="BB89" s="22"/>
      <c r="BC89" s="23">
        <v>2350000.0</v>
      </c>
      <c r="BD89" s="18"/>
      <c r="BE89" s="18"/>
      <c r="BF89" s="19"/>
      <c r="BG89" s="22"/>
      <c r="BH89" s="23">
        <v>2350000.0</v>
      </c>
      <c r="BI89" s="18"/>
      <c r="BJ89" s="18"/>
      <c r="BK89" s="19"/>
      <c r="BL89" s="22"/>
      <c r="BM89" s="23">
        <v>2350000.0</v>
      </c>
      <c r="BN89" s="18"/>
      <c r="BO89" s="18"/>
      <c r="BP89" s="19"/>
      <c r="BQ89" s="17" t="s">
        <v>216</v>
      </c>
      <c r="BR89" s="1"/>
      <c r="BS89" s="1"/>
      <c r="BT89" s="1"/>
      <c r="BU89" s="1"/>
    </row>
    <row r="90">
      <c r="A90" s="1"/>
      <c r="B90" s="21"/>
      <c r="C90" s="11" t="s">
        <v>45</v>
      </c>
      <c r="D90" s="22"/>
      <c r="E90" s="23">
        <v>50000.0</v>
      </c>
      <c r="F90" s="18"/>
      <c r="G90" s="18"/>
      <c r="H90" s="19"/>
      <c r="I90" s="22"/>
      <c r="J90" s="18"/>
      <c r="K90" s="18"/>
      <c r="L90" s="18"/>
      <c r="M90" s="19"/>
      <c r="N90" s="22"/>
      <c r="O90" s="18"/>
      <c r="P90" s="18"/>
      <c r="Q90" s="18"/>
      <c r="R90" s="24"/>
      <c r="S90" s="18"/>
      <c r="T90" s="18"/>
      <c r="U90" s="18"/>
      <c r="V90" s="18"/>
      <c r="W90" s="24"/>
      <c r="X90" s="18"/>
      <c r="Y90" s="18"/>
      <c r="Z90" s="18"/>
      <c r="AA90" s="18"/>
      <c r="AB90" s="24"/>
      <c r="AC90" s="18"/>
      <c r="AD90" s="18"/>
      <c r="AE90" s="18"/>
      <c r="AF90" s="18"/>
      <c r="AG90" s="24"/>
      <c r="AH90" s="18"/>
      <c r="AI90" s="18"/>
      <c r="AJ90" s="18"/>
      <c r="AK90" s="18"/>
      <c r="AL90" s="24"/>
      <c r="AM90" s="18"/>
      <c r="AN90" s="18"/>
      <c r="AO90" s="18"/>
      <c r="AP90" s="18"/>
      <c r="AQ90" s="24"/>
      <c r="AR90" s="18"/>
      <c r="AS90" s="18"/>
      <c r="AT90" s="18"/>
      <c r="AU90" s="18"/>
      <c r="AV90" s="24"/>
      <c r="AW90" s="18"/>
      <c r="AX90" s="18"/>
      <c r="AY90" s="18"/>
      <c r="AZ90" s="18"/>
      <c r="BA90" s="24"/>
      <c r="BB90" s="18"/>
      <c r="BC90" s="18"/>
      <c r="BD90" s="18"/>
      <c r="BE90" s="18"/>
      <c r="BF90" s="24"/>
      <c r="BG90" s="18"/>
      <c r="BH90" s="18"/>
      <c r="BI90" s="18"/>
      <c r="BJ90" s="18"/>
      <c r="BK90" s="19"/>
      <c r="BL90" s="18"/>
      <c r="BM90" s="18"/>
      <c r="BN90" s="18"/>
      <c r="BO90" s="18"/>
      <c r="BP90" s="19"/>
      <c r="BQ90" s="17" t="s">
        <v>216</v>
      </c>
      <c r="BR90" s="1"/>
      <c r="BS90" s="1"/>
      <c r="BT90" s="1"/>
      <c r="BU90" s="1"/>
    </row>
    <row r="91">
      <c r="A91" s="1"/>
      <c r="B91" s="10" t="s">
        <v>259</v>
      </c>
      <c r="C91" s="11" t="s">
        <v>47</v>
      </c>
      <c r="D91" s="22"/>
      <c r="E91" s="18"/>
      <c r="F91" s="18"/>
      <c r="G91" s="23">
        <v>90000.0</v>
      </c>
      <c r="H91" s="19"/>
      <c r="I91" s="22"/>
      <c r="J91" s="18"/>
      <c r="K91" s="18"/>
      <c r="L91" s="23">
        <v>75000.0</v>
      </c>
      <c r="M91" s="19"/>
      <c r="N91" s="22"/>
      <c r="O91" s="18"/>
      <c r="P91" s="18"/>
      <c r="Q91" s="23">
        <v>75000.0</v>
      </c>
      <c r="R91" s="24"/>
      <c r="S91" s="18"/>
      <c r="T91" s="18"/>
      <c r="U91" s="18"/>
      <c r="V91" s="23">
        <v>65000.0</v>
      </c>
      <c r="W91" s="24"/>
      <c r="X91" s="18"/>
      <c r="Y91" s="18"/>
      <c r="Z91" s="18"/>
      <c r="AA91" s="23">
        <v>70000.0</v>
      </c>
      <c r="AB91" s="24"/>
      <c r="AC91" s="18"/>
      <c r="AD91" s="18"/>
      <c r="AE91" s="18"/>
      <c r="AF91" s="23">
        <v>87000.0</v>
      </c>
      <c r="AG91" s="24"/>
      <c r="AH91" s="18"/>
      <c r="AI91" s="18"/>
      <c r="AJ91" s="18"/>
      <c r="AK91" s="23">
        <v>210000.0</v>
      </c>
      <c r="AL91" s="24"/>
      <c r="AM91" s="18"/>
      <c r="AN91" s="18"/>
      <c r="AO91" s="18"/>
      <c r="AP91" s="23">
        <v>250000.0</v>
      </c>
      <c r="AQ91" s="24"/>
      <c r="AR91" s="18"/>
      <c r="AS91" s="18"/>
      <c r="AT91" s="18"/>
      <c r="AU91" s="23">
        <v>542000.0</v>
      </c>
      <c r="AV91" s="24"/>
      <c r="AW91" s="18"/>
      <c r="AX91" s="18"/>
      <c r="AY91" s="18"/>
      <c r="AZ91" s="23">
        <v>170000.0</v>
      </c>
      <c r="BA91" s="24"/>
      <c r="BB91" s="18"/>
      <c r="BC91" s="18"/>
      <c r="BD91" s="18"/>
      <c r="BE91" s="23">
        <v>60000.0</v>
      </c>
      <c r="BF91" s="24"/>
      <c r="BG91" s="18"/>
      <c r="BH91" s="18"/>
      <c r="BI91" s="18"/>
      <c r="BJ91" s="18"/>
      <c r="BK91" s="19"/>
      <c r="BL91" s="18"/>
      <c r="BM91" s="18"/>
      <c r="BN91" s="18"/>
      <c r="BO91" s="18"/>
      <c r="BP91" s="19"/>
      <c r="BQ91" s="17" t="s">
        <v>216</v>
      </c>
      <c r="BR91" s="1"/>
      <c r="BS91" s="1"/>
      <c r="BT91" s="1"/>
      <c r="BU91" s="1"/>
    </row>
    <row r="92">
      <c r="A92" s="1"/>
      <c r="B92" s="10" t="s">
        <v>260</v>
      </c>
      <c r="C92" s="11" t="s">
        <v>261</v>
      </c>
      <c r="D92" s="22"/>
      <c r="E92" s="18"/>
      <c r="F92" s="18"/>
      <c r="G92" s="23">
        <f>230660+174070</f>
        <v>404730</v>
      </c>
      <c r="H92" s="19"/>
      <c r="I92" s="22"/>
      <c r="J92" s="18"/>
      <c r="K92" s="18"/>
      <c r="L92" s="23">
        <f>186810+150700</f>
        <v>337510</v>
      </c>
      <c r="M92" s="19"/>
      <c r="N92" s="22"/>
      <c r="O92" s="18"/>
      <c r="P92" s="18"/>
      <c r="Q92" s="23">
        <f>183120+144030</f>
        <v>327150</v>
      </c>
      <c r="R92" s="24"/>
      <c r="S92" s="18"/>
      <c r="T92" s="46"/>
      <c r="U92" s="18"/>
      <c r="V92" s="23">
        <f>104260+50370</f>
        <v>154630</v>
      </c>
      <c r="W92" s="24"/>
      <c r="X92" s="18"/>
      <c r="Y92" s="18"/>
      <c r="Z92" s="18"/>
      <c r="AA92" s="18"/>
      <c r="AB92" s="24"/>
      <c r="AC92" s="18"/>
      <c r="AD92" s="18"/>
      <c r="AE92" s="18"/>
      <c r="AF92" s="18"/>
      <c r="AG92" s="24"/>
      <c r="AH92" s="18"/>
      <c r="AI92" s="18"/>
      <c r="AJ92" s="18"/>
      <c r="AK92" s="18"/>
      <c r="AL92" s="24"/>
      <c r="AM92" s="18"/>
      <c r="AN92" s="18"/>
      <c r="AO92" s="18"/>
      <c r="AP92" s="18"/>
      <c r="AQ92" s="24"/>
      <c r="AR92" s="18"/>
      <c r="AS92" s="18"/>
      <c r="AT92" s="18"/>
      <c r="AU92" s="18"/>
      <c r="AV92" s="24"/>
      <c r="AW92" s="18"/>
      <c r="AX92" s="18"/>
      <c r="AY92" s="18"/>
      <c r="AZ92" s="18"/>
      <c r="BA92" s="24"/>
      <c r="BB92" s="18"/>
      <c r="BC92" s="46"/>
      <c r="BD92" s="18"/>
      <c r="BE92" s="18"/>
      <c r="BF92" s="24"/>
      <c r="BG92" s="18"/>
      <c r="BH92" s="18"/>
      <c r="BI92" s="18"/>
      <c r="BJ92" s="18"/>
      <c r="BK92" s="19"/>
      <c r="BL92" s="18"/>
      <c r="BM92" s="18"/>
      <c r="BN92" s="18"/>
      <c r="BO92" s="18"/>
      <c r="BP92" s="19"/>
      <c r="BQ92" s="17" t="s">
        <v>216</v>
      </c>
      <c r="BR92" s="1"/>
      <c r="BS92" s="1"/>
      <c r="BT92" s="1"/>
      <c r="BU92" s="1"/>
    </row>
    <row r="93">
      <c r="A93" s="1"/>
      <c r="B93" s="10" t="s">
        <v>262</v>
      </c>
      <c r="C93" s="11" t="s">
        <v>51</v>
      </c>
      <c r="D93" s="22"/>
      <c r="E93" s="18"/>
      <c r="F93" s="18"/>
      <c r="G93" s="23">
        <v>90000.0</v>
      </c>
      <c r="H93" s="19"/>
      <c r="I93" s="22"/>
      <c r="J93" s="18"/>
      <c r="K93" s="18"/>
      <c r="L93" s="18"/>
      <c r="M93" s="19"/>
      <c r="N93" s="22"/>
      <c r="O93" s="18"/>
      <c r="P93" s="18"/>
      <c r="Q93" s="23">
        <v>70000.0</v>
      </c>
      <c r="R93" s="24"/>
      <c r="S93" s="18"/>
      <c r="T93" s="18"/>
      <c r="U93" s="18"/>
      <c r="V93" s="18"/>
      <c r="W93" s="24"/>
      <c r="X93" s="18"/>
      <c r="Y93" s="18"/>
      <c r="Z93" s="18"/>
      <c r="AA93" s="23">
        <v>80000.0</v>
      </c>
      <c r="AB93" s="24"/>
      <c r="AC93" s="18"/>
      <c r="AD93" s="18"/>
      <c r="AE93" s="18"/>
      <c r="AF93" s="18"/>
      <c r="AG93" s="24"/>
      <c r="AH93" s="18"/>
      <c r="AI93" s="18"/>
      <c r="AJ93" s="18"/>
      <c r="AK93" s="18"/>
      <c r="AL93" s="24"/>
      <c r="AM93" s="18"/>
      <c r="AN93" s="18"/>
      <c r="AO93" s="18"/>
      <c r="AP93" s="23">
        <v>100000.0</v>
      </c>
      <c r="AQ93" s="24"/>
      <c r="AR93" s="18"/>
      <c r="AS93" s="18"/>
      <c r="AT93" s="18"/>
      <c r="AU93" s="18"/>
      <c r="AV93" s="24"/>
      <c r="AW93" s="18"/>
      <c r="AX93" s="18"/>
      <c r="AY93" s="18"/>
      <c r="AZ93" s="18"/>
      <c r="BA93" s="24"/>
      <c r="BB93" s="18"/>
      <c r="BC93" s="46"/>
      <c r="BD93" s="18"/>
      <c r="BE93" s="23">
        <v>70000.0</v>
      </c>
      <c r="BF93" s="24"/>
      <c r="BG93" s="18"/>
      <c r="BH93" s="18"/>
      <c r="BI93" s="18"/>
      <c r="BJ93" s="18"/>
      <c r="BK93" s="19"/>
      <c r="BL93" s="18"/>
      <c r="BM93" s="18"/>
      <c r="BN93" s="18"/>
      <c r="BO93" s="18"/>
      <c r="BP93" s="19"/>
      <c r="BQ93" s="17" t="s">
        <v>216</v>
      </c>
      <c r="BR93" s="1"/>
      <c r="BS93" s="1"/>
      <c r="BT93" s="1"/>
      <c r="BU93" s="1"/>
    </row>
    <row r="94">
      <c r="A94" s="1"/>
      <c r="B94" s="21"/>
      <c r="C94" s="11" t="s">
        <v>52</v>
      </c>
      <c r="D94" s="22"/>
      <c r="E94" s="18"/>
      <c r="F94" s="18"/>
      <c r="G94" s="23" t="s">
        <v>263</v>
      </c>
      <c r="H94" s="19"/>
      <c r="I94" s="22"/>
      <c r="J94" s="18"/>
      <c r="K94" s="18"/>
      <c r="L94" s="18"/>
      <c r="M94" s="19"/>
      <c r="N94" s="22"/>
      <c r="O94" s="18"/>
      <c r="P94" s="18"/>
      <c r="Q94" s="18"/>
      <c r="R94" s="24"/>
      <c r="S94" s="18"/>
      <c r="T94" s="18"/>
      <c r="U94" s="18"/>
      <c r="V94" s="18"/>
      <c r="W94" s="24"/>
      <c r="X94" s="18"/>
      <c r="Y94" s="18"/>
      <c r="Z94" s="18"/>
      <c r="AA94" s="18"/>
      <c r="AB94" s="24"/>
      <c r="AC94" s="18"/>
      <c r="AD94" s="18"/>
      <c r="AE94" s="18"/>
      <c r="AF94" s="18"/>
      <c r="AG94" s="24"/>
      <c r="AH94" s="18"/>
      <c r="AI94" s="18"/>
      <c r="AJ94" s="18"/>
      <c r="AK94" s="18"/>
      <c r="AL94" s="24"/>
      <c r="AM94" s="18"/>
      <c r="AN94" s="18"/>
      <c r="AO94" s="18"/>
      <c r="AP94" s="18"/>
      <c r="AQ94" s="24"/>
      <c r="AR94" s="18"/>
      <c r="AS94" s="18"/>
      <c r="AT94" s="18"/>
      <c r="AU94" s="18"/>
      <c r="AV94" s="24"/>
      <c r="AW94" s="18"/>
      <c r="AX94" s="18"/>
      <c r="AY94" s="18"/>
      <c r="AZ94" s="18"/>
      <c r="BA94" s="24"/>
      <c r="BB94" s="18"/>
      <c r="BC94" s="18"/>
      <c r="BD94" s="18"/>
      <c r="BE94" s="18"/>
      <c r="BF94" s="24"/>
      <c r="BG94" s="18"/>
      <c r="BH94" s="18"/>
      <c r="BI94" s="18"/>
      <c r="BJ94" s="18"/>
      <c r="BK94" s="19"/>
      <c r="BL94" s="18"/>
      <c r="BM94" s="18"/>
      <c r="BN94" s="18"/>
      <c r="BO94" s="18"/>
      <c r="BP94" s="19"/>
      <c r="BQ94" s="17" t="s">
        <v>216</v>
      </c>
      <c r="BR94" s="1"/>
      <c r="BS94" s="1"/>
      <c r="BT94" s="1"/>
      <c r="BU94" s="1"/>
    </row>
    <row r="95">
      <c r="A95" s="1"/>
      <c r="B95" s="10" t="s">
        <v>264</v>
      </c>
      <c r="C95" s="11" t="s">
        <v>53</v>
      </c>
      <c r="D95" s="22"/>
      <c r="E95" s="18"/>
      <c r="F95" s="18"/>
      <c r="G95" s="23">
        <v>11000.0</v>
      </c>
      <c r="H95" s="19"/>
      <c r="I95" s="22"/>
      <c r="J95" s="46"/>
      <c r="K95" s="18"/>
      <c r="L95" s="23">
        <v>11000.0</v>
      </c>
      <c r="M95" s="19"/>
      <c r="N95" s="22"/>
      <c r="O95" s="46"/>
      <c r="P95" s="18"/>
      <c r="Q95" s="23">
        <v>11000.0</v>
      </c>
      <c r="R95" s="24"/>
      <c r="S95" s="22"/>
      <c r="T95" s="46"/>
      <c r="U95" s="18"/>
      <c r="V95" s="23">
        <v>11000.0</v>
      </c>
      <c r="W95" s="24"/>
      <c r="X95" s="22"/>
      <c r="Y95" s="46"/>
      <c r="Z95" s="18"/>
      <c r="AA95" s="23">
        <v>11000.0</v>
      </c>
      <c r="AB95" s="24"/>
      <c r="AC95" s="22"/>
      <c r="AD95" s="46"/>
      <c r="AE95" s="18"/>
      <c r="AF95" s="23">
        <v>11000.0</v>
      </c>
      <c r="AG95" s="24"/>
      <c r="AH95" s="22"/>
      <c r="AI95" s="46"/>
      <c r="AJ95" s="18"/>
      <c r="AK95" s="23">
        <v>11000.0</v>
      </c>
      <c r="AL95" s="24"/>
      <c r="AM95" s="22"/>
      <c r="AN95" s="46"/>
      <c r="AO95" s="18"/>
      <c r="AP95" s="23">
        <v>11000.0</v>
      </c>
      <c r="AQ95" s="24"/>
      <c r="AR95" s="22"/>
      <c r="AS95" s="46"/>
      <c r="AT95" s="18"/>
      <c r="AU95" s="23">
        <v>11000.0</v>
      </c>
      <c r="AV95" s="24"/>
      <c r="AW95" s="22"/>
      <c r="AX95" s="46"/>
      <c r="AY95" s="18"/>
      <c r="AZ95" s="23">
        <v>11000.0</v>
      </c>
      <c r="BA95" s="24"/>
      <c r="BB95" s="22"/>
      <c r="BC95" s="46"/>
      <c r="BD95" s="18"/>
      <c r="BE95" s="23">
        <v>11000.0</v>
      </c>
      <c r="BF95" s="24"/>
      <c r="BG95" s="22"/>
      <c r="BH95" s="46"/>
      <c r="BI95" s="18"/>
      <c r="BJ95" s="23">
        <v>11000.0</v>
      </c>
      <c r="BK95" s="24"/>
      <c r="BL95" s="22"/>
      <c r="BM95" s="46"/>
      <c r="BN95" s="18"/>
      <c r="BO95" s="23">
        <v>11000.0</v>
      </c>
      <c r="BP95" s="24"/>
      <c r="BQ95" s="17" t="s">
        <v>216</v>
      </c>
      <c r="BR95" s="1"/>
      <c r="BS95" s="1"/>
      <c r="BT95" s="1"/>
      <c r="BU95" s="1"/>
    </row>
    <row r="96">
      <c r="A96" s="1"/>
      <c r="B96" s="10" t="s">
        <v>264</v>
      </c>
      <c r="C96" s="11" t="s">
        <v>265</v>
      </c>
      <c r="D96" s="22"/>
      <c r="E96" s="18"/>
      <c r="F96" s="18"/>
      <c r="G96" s="23">
        <v>11000.0</v>
      </c>
      <c r="H96" s="19"/>
      <c r="I96" s="22"/>
      <c r="J96" s="46"/>
      <c r="K96" s="18"/>
      <c r="L96" s="23">
        <v>11000.0</v>
      </c>
      <c r="M96" s="24"/>
      <c r="N96" s="18"/>
      <c r="O96" s="46"/>
      <c r="P96" s="18"/>
      <c r="Q96" s="23">
        <v>11000.0</v>
      </c>
      <c r="R96" s="24"/>
      <c r="S96" s="18"/>
      <c r="T96" s="46"/>
      <c r="U96" s="18"/>
      <c r="V96" s="23">
        <v>11000.0</v>
      </c>
      <c r="W96" s="24"/>
      <c r="X96" s="18"/>
      <c r="Y96" s="46"/>
      <c r="Z96" s="18"/>
      <c r="AA96" s="23">
        <v>11000.0</v>
      </c>
      <c r="AB96" s="24"/>
      <c r="AC96" s="18"/>
      <c r="AD96" s="46"/>
      <c r="AE96" s="18"/>
      <c r="AF96" s="23">
        <v>11000.0</v>
      </c>
      <c r="AG96" s="24"/>
      <c r="AH96" s="18"/>
      <c r="AI96" s="46"/>
      <c r="AJ96" s="18"/>
      <c r="AK96" s="23">
        <v>11000.0</v>
      </c>
      <c r="AL96" s="24"/>
      <c r="AM96" s="18"/>
      <c r="AN96" s="46"/>
      <c r="AO96" s="18"/>
      <c r="AP96" s="23">
        <v>11000.0</v>
      </c>
      <c r="AQ96" s="24"/>
      <c r="AR96" s="18"/>
      <c r="AS96" s="46"/>
      <c r="AT96" s="18"/>
      <c r="AU96" s="23">
        <v>11000.0</v>
      </c>
      <c r="AV96" s="24"/>
      <c r="AW96" s="18"/>
      <c r="AX96" s="46"/>
      <c r="AY96" s="18"/>
      <c r="AZ96" s="23">
        <v>11000.0</v>
      </c>
      <c r="BA96" s="24"/>
      <c r="BB96" s="18"/>
      <c r="BC96" s="46"/>
      <c r="BD96" s="18"/>
      <c r="BE96" s="23">
        <v>11000.0</v>
      </c>
      <c r="BF96" s="24"/>
      <c r="BG96" s="18"/>
      <c r="BH96" s="46"/>
      <c r="BI96" s="18"/>
      <c r="BJ96" s="23">
        <v>11000.0</v>
      </c>
      <c r="BK96" s="24"/>
      <c r="BL96" s="18"/>
      <c r="BM96" s="46"/>
      <c r="BN96" s="18"/>
      <c r="BO96" s="23">
        <v>11000.0</v>
      </c>
      <c r="BP96" s="24"/>
      <c r="BQ96" s="1"/>
      <c r="BR96" s="1"/>
      <c r="BS96" s="1"/>
      <c r="BT96" s="1"/>
      <c r="BU96" s="1"/>
    </row>
    <row r="97">
      <c r="A97" s="1"/>
      <c r="B97" s="21"/>
      <c r="C97" s="11" t="s">
        <v>54</v>
      </c>
      <c r="D97" s="22"/>
      <c r="E97" s="18"/>
      <c r="F97" s="18"/>
      <c r="G97" s="23">
        <f>SUMIFS('지출'!$G$3:$G1000,'지출'!$J$3:$J1000,G$1,'지출'!$C$3:$C1000,"신사")</f>
        <v>161130</v>
      </c>
      <c r="H97" s="19"/>
      <c r="I97" s="22"/>
      <c r="J97" s="18"/>
      <c r="K97" s="18"/>
      <c r="L97" s="23">
        <f>SUMIFS('지출'!$G$3:$G1000,'지출'!$J$3:$J1000,L$1,'지출'!$C$3:$C1000,"신사")</f>
        <v>254920</v>
      </c>
      <c r="M97" s="24"/>
      <c r="N97" s="18"/>
      <c r="O97" s="18"/>
      <c r="P97" s="18"/>
      <c r="Q97" s="23">
        <f>SUMIFS('지출'!$G$3:$G1000,'지출'!$J$3:$J1000,Q$1,'지출'!$C$3:$C1000,"신사")</f>
        <v>43000</v>
      </c>
      <c r="R97" s="24"/>
      <c r="S97" s="18"/>
      <c r="T97" s="18"/>
      <c r="U97" s="18"/>
      <c r="V97" s="23">
        <f>SUMIFS('지출'!$G$3:$G1000,'지출'!$J$3:$J1000,V$1,'지출'!$C$3:$C1000,"신사")</f>
        <v>0</v>
      </c>
      <c r="W97" s="24"/>
      <c r="X97" s="18"/>
      <c r="Y97" s="18"/>
      <c r="Z97" s="18"/>
      <c r="AA97" s="23">
        <f>SUMIFS('지출'!$G$3:$G1000,'지출'!$J$3:$J1000,AA$1,'지출'!$C$3:$C1000,"신사")</f>
        <v>0</v>
      </c>
      <c r="AB97" s="24"/>
      <c r="AC97" s="18"/>
      <c r="AD97" s="18"/>
      <c r="AE97" s="18"/>
      <c r="AF97" s="23">
        <f>SUMIFS('지출'!$G$3:$G1000,'지출'!$J$3:$J1000,AF$1,'지출'!$C$3:$C1000,"신사")</f>
        <v>0</v>
      </c>
      <c r="AG97" s="24"/>
      <c r="AH97" s="18"/>
      <c r="AI97" s="18"/>
      <c r="AJ97" s="18"/>
      <c r="AK97" s="23">
        <f>SUMIFS('지출'!$G$3:$G1000,'지출'!$J$3:$J1000,AK$1,'지출'!$C$3:$C1000,"신사")</f>
        <v>0</v>
      </c>
      <c r="AL97" s="24"/>
      <c r="AM97" s="18"/>
      <c r="AN97" s="18"/>
      <c r="AO97" s="18"/>
      <c r="AP97" s="23">
        <f>SUMIFS('지출'!$G$3:$G1000,'지출'!$J$3:$J1000,AP$1,'지출'!$C$3:$C1000,"신사")</f>
        <v>0</v>
      </c>
      <c r="AQ97" s="24"/>
      <c r="AR97" s="18"/>
      <c r="AS97" s="18"/>
      <c r="AT97" s="18"/>
      <c r="AU97" s="23">
        <f>SUMIFS('지출'!$G$3:$G1000,'지출'!$J$3:$J1000,AU$1,'지출'!$C$3:$C1000,"신사")</f>
        <v>0</v>
      </c>
      <c r="AV97" s="24"/>
      <c r="AW97" s="18"/>
      <c r="AX97" s="18"/>
      <c r="AY97" s="18"/>
      <c r="AZ97" s="23">
        <f>SUMIFS('지출'!$G$3:$G1000,'지출'!$J$3:$J1000,AZ$1,'지출'!$C$3:$C1000,"신사")</f>
        <v>0</v>
      </c>
      <c r="BA97" s="24"/>
      <c r="BB97" s="18"/>
      <c r="BC97" s="18"/>
      <c r="BD97" s="18"/>
      <c r="BE97" s="23">
        <f>SUMIFS('지출'!$G$3:$G1000,'지출'!$J$3:$J1000,BE$1,'지출'!$C$3:$C1000,"신사")</f>
        <v>0</v>
      </c>
      <c r="BF97" s="24"/>
      <c r="BG97" s="18"/>
      <c r="BH97" s="18"/>
      <c r="BI97" s="18"/>
      <c r="BJ97" s="23">
        <f>SUMIFS('지출'!$G$3:$G1000,'지출'!$J$3:$J1000,BJ$1,'지출'!$C$3:$C1000,"신사")</f>
        <v>0</v>
      </c>
      <c r="BK97" s="19"/>
      <c r="BL97" s="18"/>
      <c r="BM97" s="18"/>
      <c r="BN97" s="18"/>
      <c r="BO97" s="23">
        <f>SUMIFS('지출'!$G$3:$G1000,'지출'!$J$3:$J1000,BO$1,'지출'!$C$3:$C1000,"신사")</f>
        <v>161130</v>
      </c>
      <c r="BP97" s="19"/>
      <c r="BQ97" s="17" t="s">
        <v>216</v>
      </c>
      <c r="BR97" s="1"/>
      <c r="BS97" s="1"/>
      <c r="BT97" s="1"/>
      <c r="BU97" s="1"/>
    </row>
    <row r="98">
      <c r="A98" s="1"/>
      <c r="B98" s="21"/>
      <c r="C98" s="11" t="s">
        <v>56</v>
      </c>
      <c r="D98" s="22"/>
      <c r="E98" s="23">
        <f>E88-(SUM(E89:E97))</f>
        <v>2157800</v>
      </c>
      <c r="F98" s="18"/>
      <c r="G98" s="23">
        <f>G88-(SUM(G89:G97))</f>
        <v>-200160</v>
      </c>
      <c r="H98" s="19"/>
      <c r="I98" s="22"/>
      <c r="J98" s="23">
        <f>J88-(SUM(J89:J97))</f>
        <v>2098034</v>
      </c>
      <c r="K98" s="18"/>
      <c r="L98" s="23">
        <f>L88-(SUM(L89:L97))</f>
        <v>-141147</v>
      </c>
      <c r="M98" s="19"/>
      <c r="N98" s="22"/>
      <c r="O98" s="23">
        <f>O88-(SUM(O89:O97))</f>
        <v>2103546</v>
      </c>
      <c r="P98" s="18"/>
      <c r="Q98" s="23">
        <f>Q88-(SUM(Q89:Q97))</f>
        <v>113237</v>
      </c>
      <c r="R98" s="19"/>
      <c r="S98" s="22"/>
      <c r="T98" s="23">
        <f>T88-(SUM(T89:T97))</f>
        <v>2099000</v>
      </c>
      <c r="U98" s="18"/>
      <c r="V98" s="23">
        <f>V88-(SUM(V89:V97))</f>
        <v>398370</v>
      </c>
      <c r="W98" s="19"/>
      <c r="X98" s="18"/>
      <c r="Y98" s="23">
        <f>Y88-(SUM(Y89:Y97))</f>
        <v>2245452</v>
      </c>
      <c r="Z98" s="18"/>
      <c r="AA98" s="23">
        <f>AA88-(SUM(AA89:AA97))</f>
        <v>488646</v>
      </c>
      <c r="AB98" s="19"/>
      <c r="AC98" s="18"/>
      <c r="AD98" s="23">
        <f>AD88-(SUM(AD89:AD97))</f>
        <v>2043667</v>
      </c>
      <c r="AE98" s="18"/>
      <c r="AF98" s="23">
        <f>AF88-(SUM(AF89:AF97))</f>
        <v>507000</v>
      </c>
      <c r="AG98" s="19"/>
      <c r="AH98" s="18"/>
      <c r="AI98" s="23">
        <f>AI88-(SUM(AI89:AI97))</f>
        <v>966510</v>
      </c>
      <c r="AJ98" s="18"/>
      <c r="AK98" s="23">
        <f>AK88-(SUM(AK89:AK97))</f>
        <v>250600</v>
      </c>
      <c r="AL98" s="19"/>
      <c r="AM98" s="18"/>
      <c r="AN98" s="23">
        <f>AN88-(SUM(AN89:AN97))</f>
        <v>2045220</v>
      </c>
      <c r="AO98" s="18"/>
      <c r="AP98" s="23">
        <f>AP88-(SUM(AP89:AP97))</f>
        <v>410175</v>
      </c>
      <c r="AQ98" s="19"/>
      <c r="AR98" s="22"/>
      <c r="AS98" s="23">
        <f>AS88-(SUM(AS89:AS97))</f>
        <v>2166887</v>
      </c>
      <c r="AT98" s="18"/>
      <c r="AU98" s="23">
        <f>AU88-(SUM(AU89:AU97))</f>
        <v>78667</v>
      </c>
      <c r="AV98" s="19"/>
      <c r="AW98" s="22"/>
      <c r="AX98" s="23">
        <f>AX88-(SUM(AX89:AX97))</f>
        <v>2538564</v>
      </c>
      <c r="AY98" s="18"/>
      <c r="AZ98" s="23">
        <f>AZ88-(SUM(AZ89:AZ97))</f>
        <v>490672</v>
      </c>
      <c r="BA98" s="19"/>
      <c r="BB98" s="22"/>
      <c r="BC98" s="23">
        <f>BC88-(SUM(BC89:BC97))</f>
        <v>2215220</v>
      </c>
      <c r="BD98" s="18"/>
      <c r="BE98" s="23">
        <f>BE88-(SUM(BE89:BE97))</f>
        <v>488000</v>
      </c>
      <c r="BF98" s="19"/>
      <c r="BG98" s="22"/>
      <c r="BH98" s="23">
        <f>BH88-(SUM(BH89:BH97))</f>
        <v>2215220</v>
      </c>
      <c r="BI98" s="18"/>
      <c r="BJ98" s="23">
        <f>BJ88-(SUM(BJ89:BJ97))</f>
        <v>618000</v>
      </c>
      <c r="BK98" s="19"/>
      <c r="BL98" s="22"/>
      <c r="BM98" s="23">
        <f>BM88-(SUM(BM89:BM97))</f>
        <v>2205140</v>
      </c>
      <c r="BN98" s="18"/>
      <c r="BO98" s="23">
        <f>BO88-(SUM(BO89:BO97))</f>
        <v>456870</v>
      </c>
      <c r="BP98" s="19"/>
      <c r="BQ98" s="17" t="s">
        <v>216</v>
      </c>
      <c r="BR98" s="1"/>
      <c r="BS98" s="1"/>
      <c r="BT98" s="1"/>
      <c r="BU98" s="1"/>
    </row>
    <row r="99">
      <c r="A99" s="39"/>
      <c r="B99" s="27">
        <v>0.0</v>
      </c>
      <c r="C99" s="11" t="s">
        <v>26</v>
      </c>
      <c r="D99" s="22"/>
      <c r="E99" s="23">
        <f>E98*$B99</f>
        <v>0</v>
      </c>
      <c r="F99" s="18"/>
      <c r="G99" s="18"/>
      <c r="H99" s="19"/>
      <c r="I99" s="22"/>
      <c r="J99" s="23">
        <f>J98*$B99</f>
        <v>0</v>
      </c>
      <c r="K99" s="18"/>
      <c r="L99" s="18"/>
      <c r="M99" s="19"/>
      <c r="N99" s="22"/>
      <c r="O99" s="23">
        <f>O98*$B99</f>
        <v>0</v>
      </c>
      <c r="P99" s="18"/>
      <c r="Q99" s="18"/>
      <c r="R99" s="19"/>
      <c r="S99" s="22"/>
      <c r="T99" s="23">
        <f>T98*$B99</f>
        <v>0</v>
      </c>
      <c r="U99" s="18"/>
      <c r="V99" s="18"/>
      <c r="W99" s="19"/>
      <c r="X99" s="18"/>
      <c r="Y99" s="23">
        <f>Y98*$B99</f>
        <v>0</v>
      </c>
      <c r="Z99" s="18"/>
      <c r="AA99" s="18"/>
      <c r="AB99" s="19"/>
      <c r="AC99" s="18"/>
      <c r="AD99" s="23">
        <f>AD98*$B99</f>
        <v>0</v>
      </c>
      <c r="AE99" s="18"/>
      <c r="AF99" s="18"/>
      <c r="AG99" s="19"/>
      <c r="AH99" s="18"/>
      <c r="AI99" s="23">
        <f>AI98*$B99</f>
        <v>0</v>
      </c>
      <c r="AJ99" s="18"/>
      <c r="AK99" s="18"/>
      <c r="AL99" s="19"/>
      <c r="AM99" s="18"/>
      <c r="AN99" s="23">
        <f>AN98*$B99</f>
        <v>0</v>
      </c>
      <c r="AO99" s="18"/>
      <c r="AP99" s="18"/>
      <c r="AQ99" s="19"/>
      <c r="AR99" s="22"/>
      <c r="AS99" s="23">
        <f>AS98*$B99</f>
        <v>0</v>
      </c>
      <c r="AT99" s="18"/>
      <c r="AU99" s="18"/>
      <c r="AV99" s="19"/>
      <c r="AW99" s="22"/>
      <c r="AX99" s="23">
        <f>AX98*$B99</f>
        <v>0</v>
      </c>
      <c r="AY99" s="18"/>
      <c r="AZ99" s="18"/>
      <c r="BA99" s="19"/>
      <c r="BB99" s="22"/>
      <c r="BC99" s="23">
        <f>BC98*$B99</f>
        <v>0</v>
      </c>
      <c r="BD99" s="18"/>
      <c r="BE99" s="18"/>
      <c r="BF99" s="19"/>
      <c r="BG99" s="22"/>
      <c r="BH99" s="23">
        <f>BH98*$B99</f>
        <v>0</v>
      </c>
      <c r="BI99" s="18"/>
      <c r="BJ99" s="18"/>
      <c r="BK99" s="19"/>
      <c r="BL99" s="22"/>
      <c r="BM99" s="23">
        <f>BM98*$B99</f>
        <v>0</v>
      </c>
      <c r="BN99" s="18"/>
      <c r="BO99" s="18"/>
      <c r="BP99" s="19"/>
      <c r="BQ99" s="17" t="s">
        <v>216</v>
      </c>
      <c r="BR99" s="1"/>
      <c r="BS99" s="1"/>
      <c r="BT99" s="1"/>
      <c r="BU99" s="1"/>
    </row>
    <row r="100">
      <c r="A100" s="28" t="str">
        <f>B80</f>
        <v>신사</v>
      </c>
      <c r="B100" s="29">
        <v>1.0</v>
      </c>
      <c r="C100" s="30" t="s">
        <v>57</v>
      </c>
      <c r="D100" s="31"/>
      <c r="E100" s="32">
        <f>E98*$B100</f>
        <v>2157800</v>
      </c>
      <c r="F100" s="33"/>
      <c r="G100" s="33"/>
      <c r="H100" s="34"/>
      <c r="I100" s="31"/>
      <c r="J100" s="32">
        <f>J98*$B100</f>
        <v>2098034</v>
      </c>
      <c r="K100" s="33"/>
      <c r="L100" s="33"/>
      <c r="M100" s="34"/>
      <c r="N100" s="31"/>
      <c r="O100" s="32">
        <f>O98*$B100</f>
        <v>2103546</v>
      </c>
      <c r="P100" s="33"/>
      <c r="Q100" s="33"/>
      <c r="R100" s="34"/>
      <c r="S100" s="31"/>
      <c r="T100" s="32">
        <f>T98*$B100</f>
        <v>2099000</v>
      </c>
      <c r="U100" s="33"/>
      <c r="V100" s="33"/>
      <c r="W100" s="34"/>
      <c r="X100" s="33"/>
      <c r="Y100" s="32">
        <f>Y98*$B100</f>
        <v>2245452</v>
      </c>
      <c r="Z100" s="33"/>
      <c r="AA100" s="33"/>
      <c r="AB100" s="34"/>
      <c r="AC100" s="33"/>
      <c r="AD100" s="32">
        <f>AD98*$B100</f>
        <v>2043667</v>
      </c>
      <c r="AE100" s="33"/>
      <c r="AF100" s="33"/>
      <c r="AG100" s="34"/>
      <c r="AH100" s="33"/>
      <c r="AI100" s="32">
        <f>AI98*$B100</f>
        <v>966510</v>
      </c>
      <c r="AJ100" s="33"/>
      <c r="AK100" s="33"/>
      <c r="AL100" s="34"/>
      <c r="AM100" s="33"/>
      <c r="AN100" s="32">
        <f>AN98*$B100</f>
        <v>2045220</v>
      </c>
      <c r="AO100" s="33"/>
      <c r="AP100" s="33"/>
      <c r="AQ100" s="34"/>
      <c r="AR100" s="31"/>
      <c r="AS100" s="32">
        <f>AS98*$B100</f>
        <v>2166887</v>
      </c>
      <c r="AT100" s="33"/>
      <c r="AU100" s="33"/>
      <c r="AV100" s="34"/>
      <c r="AW100" s="31"/>
      <c r="AX100" s="32">
        <f>AX98*$B100</f>
        <v>2538564</v>
      </c>
      <c r="AY100" s="33"/>
      <c r="AZ100" s="33"/>
      <c r="BA100" s="34"/>
      <c r="BB100" s="31"/>
      <c r="BC100" s="32">
        <f>BC98*$B100</f>
        <v>2215220</v>
      </c>
      <c r="BD100" s="33"/>
      <c r="BE100" s="33"/>
      <c r="BF100" s="34"/>
      <c r="BG100" s="31"/>
      <c r="BH100" s="32">
        <f>BH98*$B100</f>
        <v>2215220</v>
      </c>
      <c r="BI100" s="33"/>
      <c r="BJ100" s="33"/>
      <c r="BK100" s="34"/>
      <c r="BL100" s="31"/>
      <c r="BM100" s="32">
        <f>BM98*$B100</f>
        <v>2205140</v>
      </c>
      <c r="BN100" s="33"/>
      <c r="BO100" s="33"/>
      <c r="BP100" s="34"/>
      <c r="BQ100" s="17" t="s">
        <v>216</v>
      </c>
      <c r="BR100" s="1"/>
      <c r="BS100" s="1"/>
      <c r="BT100" s="1"/>
      <c r="BU100" s="1"/>
    </row>
    <row r="101">
      <c r="A101" s="1"/>
      <c r="B101" s="10" t="s">
        <v>266</v>
      </c>
      <c r="C101" s="11" t="s">
        <v>267</v>
      </c>
      <c r="D101" s="21"/>
      <c r="E101" s="18"/>
      <c r="F101" s="35" t="b">
        <v>0</v>
      </c>
      <c r="G101" s="18"/>
      <c r="H101" s="15" t="b">
        <v>0</v>
      </c>
      <c r="I101" s="18"/>
      <c r="J101" s="18"/>
      <c r="K101" s="35" t="b">
        <v>0</v>
      </c>
      <c r="L101" s="18"/>
      <c r="M101" s="15" t="b">
        <v>0</v>
      </c>
      <c r="N101" s="21"/>
      <c r="O101" s="47"/>
      <c r="P101" s="35" t="b">
        <v>0</v>
      </c>
      <c r="Q101" s="47"/>
      <c r="R101" s="15" t="b">
        <v>0</v>
      </c>
      <c r="S101" s="21"/>
      <c r="T101" s="47"/>
      <c r="U101" s="35" t="b">
        <v>0</v>
      </c>
      <c r="V101" s="47"/>
      <c r="W101" s="15" t="b">
        <v>0</v>
      </c>
      <c r="X101" s="1"/>
      <c r="Y101" s="47"/>
      <c r="Z101" s="35" t="b">
        <v>0</v>
      </c>
      <c r="AA101" s="47"/>
      <c r="AB101" s="15" t="b">
        <v>0</v>
      </c>
      <c r="AC101" s="1"/>
      <c r="AD101" s="47"/>
      <c r="AE101" s="35" t="b">
        <v>0</v>
      </c>
      <c r="AF101" s="47"/>
      <c r="AG101" s="15" t="b">
        <v>0</v>
      </c>
      <c r="AH101" s="1"/>
      <c r="AI101" s="47"/>
      <c r="AJ101" s="35" t="b">
        <v>0</v>
      </c>
      <c r="AK101" s="47"/>
      <c r="AL101" s="15" t="b">
        <v>0</v>
      </c>
      <c r="AM101" s="1"/>
      <c r="AN101" s="47"/>
      <c r="AO101" s="35" t="b">
        <v>0</v>
      </c>
      <c r="AP101" s="47"/>
      <c r="AQ101" s="15" t="b">
        <v>0</v>
      </c>
      <c r="AR101" s="21"/>
      <c r="AS101" s="47"/>
      <c r="AT101" s="35" t="b">
        <v>0</v>
      </c>
      <c r="AU101" s="47"/>
      <c r="AV101" s="15" t="b">
        <v>0</v>
      </c>
      <c r="AW101" s="21"/>
      <c r="AX101" s="47"/>
      <c r="AY101" s="35" t="b">
        <v>0</v>
      </c>
      <c r="AZ101" s="47"/>
      <c r="BA101" s="15" t="b">
        <v>0</v>
      </c>
      <c r="BB101" s="10" t="s">
        <v>37</v>
      </c>
      <c r="BC101" s="47"/>
      <c r="BD101" s="1"/>
      <c r="BE101" s="47"/>
      <c r="BF101" s="19"/>
      <c r="BG101" s="10" t="s">
        <v>37</v>
      </c>
      <c r="BH101" s="47"/>
      <c r="BI101" s="48"/>
      <c r="BJ101" s="47"/>
      <c r="BK101" s="19"/>
      <c r="BL101" s="21"/>
      <c r="BM101" s="47"/>
      <c r="BN101" s="48"/>
      <c r="BO101" s="47"/>
      <c r="BP101" s="19"/>
      <c r="BQ101" s="17" t="s">
        <v>268</v>
      </c>
      <c r="BR101" s="1"/>
      <c r="BS101" s="1"/>
      <c r="BT101" s="1"/>
      <c r="BU101" s="1"/>
    </row>
    <row r="102">
      <c r="A102" s="1"/>
      <c r="B102" s="10" t="s">
        <v>266</v>
      </c>
      <c r="C102" s="11" t="s">
        <v>269</v>
      </c>
      <c r="D102" s="21"/>
      <c r="E102" s="18"/>
      <c r="F102" s="35" t="b">
        <v>0</v>
      </c>
      <c r="G102" s="18"/>
      <c r="H102" s="15" t="b">
        <v>0</v>
      </c>
      <c r="I102" s="18"/>
      <c r="J102" s="18"/>
      <c r="K102" s="35" t="b">
        <v>0</v>
      </c>
      <c r="L102" s="18"/>
      <c r="M102" s="15" t="b">
        <v>0</v>
      </c>
      <c r="N102" s="21"/>
      <c r="O102" s="47"/>
      <c r="P102" s="35" t="b">
        <v>0</v>
      </c>
      <c r="Q102" s="47"/>
      <c r="R102" s="15" t="b">
        <v>0</v>
      </c>
      <c r="S102" s="21"/>
      <c r="T102" s="47"/>
      <c r="U102" s="35" t="b">
        <v>0</v>
      </c>
      <c r="V102" s="47"/>
      <c r="W102" s="15" t="b">
        <v>0</v>
      </c>
      <c r="X102" s="1"/>
      <c r="Y102" s="47"/>
      <c r="Z102" s="35" t="b">
        <v>0</v>
      </c>
      <c r="AA102" s="47"/>
      <c r="AB102" s="15" t="b">
        <v>0</v>
      </c>
      <c r="AC102" s="1"/>
      <c r="AD102" s="47"/>
      <c r="AE102" s="35" t="b">
        <v>0</v>
      </c>
      <c r="AF102" s="47"/>
      <c r="AG102" s="15" t="b">
        <v>0</v>
      </c>
      <c r="AH102" s="1"/>
      <c r="AI102" s="47"/>
      <c r="AJ102" s="35" t="b">
        <v>0</v>
      </c>
      <c r="AK102" s="47"/>
      <c r="AL102" s="15" t="b">
        <v>0</v>
      </c>
      <c r="AM102" s="1"/>
      <c r="AN102" s="47"/>
      <c r="AO102" s="35" t="b">
        <v>0</v>
      </c>
      <c r="AP102" s="47"/>
      <c r="AQ102" s="15" t="b">
        <v>0</v>
      </c>
      <c r="AR102" s="21"/>
      <c r="AS102" s="47"/>
      <c r="AT102" s="35" t="b">
        <v>0</v>
      </c>
      <c r="AU102" s="47"/>
      <c r="AV102" s="15" t="b">
        <v>0</v>
      </c>
      <c r="AW102" s="21"/>
      <c r="AX102" s="47"/>
      <c r="AY102" s="35" t="b">
        <v>0</v>
      </c>
      <c r="AZ102" s="47"/>
      <c r="BA102" s="15" t="b">
        <v>0</v>
      </c>
      <c r="BB102" s="10" t="s">
        <v>37</v>
      </c>
      <c r="BC102" s="47"/>
      <c r="BD102" s="1"/>
      <c r="BE102" s="47"/>
      <c r="BF102" s="19"/>
      <c r="BG102" s="10" t="s">
        <v>270</v>
      </c>
      <c r="BH102" s="49">
        <v>505161.0</v>
      </c>
      <c r="BI102" s="50" t="b">
        <v>0</v>
      </c>
      <c r="BJ102" s="49">
        <v>69677.0</v>
      </c>
      <c r="BK102" s="15" t="b">
        <v>1</v>
      </c>
      <c r="BL102" s="10" t="s">
        <v>271</v>
      </c>
      <c r="BM102" s="49">
        <v>580000.0</v>
      </c>
      <c r="BN102" s="50" t="b">
        <v>0</v>
      </c>
      <c r="BO102" s="49">
        <v>80000.0</v>
      </c>
      <c r="BP102" s="15" t="b">
        <v>0</v>
      </c>
      <c r="BQ102" s="17" t="s">
        <v>268</v>
      </c>
      <c r="BR102" s="1"/>
      <c r="BS102" s="1"/>
      <c r="BT102" s="1"/>
      <c r="BU102" s="1"/>
    </row>
    <row r="103">
      <c r="A103" s="1"/>
      <c r="B103" s="10" t="s">
        <v>266</v>
      </c>
      <c r="C103" s="11" t="s">
        <v>272</v>
      </c>
      <c r="D103" s="21"/>
      <c r="E103" s="18"/>
      <c r="F103" s="35" t="b">
        <v>0</v>
      </c>
      <c r="G103" s="18"/>
      <c r="H103" s="15" t="b">
        <v>0</v>
      </c>
      <c r="I103" s="18"/>
      <c r="J103" s="18"/>
      <c r="K103" s="35" t="b">
        <v>0</v>
      </c>
      <c r="L103" s="18"/>
      <c r="M103" s="15" t="b">
        <v>0</v>
      </c>
      <c r="N103" s="21"/>
      <c r="O103" s="47"/>
      <c r="P103" s="35" t="b">
        <v>0</v>
      </c>
      <c r="Q103" s="47"/>
      <c r="R103" s="15" t="b">
        <v>0</v>
      </c>
      <c r="S103" s="21"/>
      <c r="T103" s="47"/>
      <c r="U103" s="35" t="b">
        <v>0</v>
      </c>
      <c r="V103" s="47"/>
      <c r="W103" s="15" t="b">
        <v>0</v>
      </c>
      <c r="X103" s="1"/>
      <c r="Y103" s="47"/>
      <c r="Z103" s="35" t="b">
        <v>0</v>
      </c>
      <c r="AA103" s="47"/>
      <c r="AB103" s="15" t="b">
        <v>0</v>
      </c>
      <c r="AC103" s="1"/>
      <c r="AD103" s="47"/>
      <c r="AE103" s="35" t="b">
        <v>0</v>
      </c>
      <c r="AF103" s="47"/>
      <c r="AG103" s="15" t="b">
        <v>0</v>
      </c>
      <c r="AH103" s="1"/>
      <c r="AI103" s="47"/>
      <c r="AJ103" s="35" t="b">
        <v>0</v>
      </c>
      <c r="AK103" s="47"/>
      <c r="AL103" s="15" t="b">
        <v>0</v>
      </c>
      <c r="AM103" s="1"/>
      <c r="AN103" s="47"/>
      <c r="AO103" s="35" t="b">
        <v>0</v>
      </c>
      <c r="AP103" s="47"/>
      <c r="AQ103" s="15" t="b">
        <v>0</v>
      </c>
      <c r="AR103" s="21"/>
      <c r="AS103" s="47"/>
      <c r="AT103" s="35" t="b">
        <v>0</v>
      </c>
      <c r="AU103" s="47"/>
      <c r="AV103" s="15" t="b">
        <v>0</v>
      </c>
      <c r="AW103" s="21"/>
      <c r="AX103" s="47"/>
      <c r="AY103" s="35" t="b">
        <v>0</v>
      </c>
      <c r="AZ103" s="47"/>
      <c r="BA103" s="15" t="b">
        <v>0</v>
      </c>
      <c r="BB103" s="10" t="s">
        <v>37</v>
      </c>
      <c r="BC103" s="47"/>
      <c r="BD103" s="1"/>
      <c r="BE103" s="47"/>
      <c r="BF103" s="19"/>
      <c r="BG103" s="10" t="s">
        <v>37</v>
      </c>
      <c r="BH103" s="47"/>
      <c r="BI103" s="48"/>
      <c r="BJ103" s="47"/>
      <c r="BK103" s="19"/>
      <c r="BL103" s="21"/>
      <c r="BM103" s="47"/>
      <c r="BN103" s="48"/>
      <c r="BO103" s="47"/>
      <c r="BP103" s="19"/>
      <c r="BQ103" s="17" t="s">
        <v>268</v>
      </c>
      <c r="BR103" s="1"/>
      <c r="BS103" s="1"/>
      <c r="BT103" s="1"/>
      <c r="BU103" s="1"/>
    </row>
    <row r="104">
      <c r="A104" s="1"/>
      <c r="B104" s="10" t="s">
        <v>266</v>
      </c>
      <c r="C104" s="11" t="s">
        <v>273</v>
      </c>
      <c r="D104" s="21"/>
      <c r="E104" s="18"/>
      <c r="F104" s="35" t="b">
        <v>0</v>
      </c>
      <c r="G104" s="18"/>
      <c r="H104" s="15" t="b">
        <v>0</v>
      </c>
      <c r="I104" s="18"/>
      <c r="J104" s="18"/>
      <c r="K104" s="35" t="b">
        <v>0</v>
      </c>
      <c r="L104" s="18"/>
      <c r="M104" s="15" t="b">
        <v>0</v>
      </c>
      <c r="N104" s="21"/>
      <c r="O104" s="18"/>
      <c r="P104" s="35" t="b">
        <v>0</v>
      </c>
      <c r="Q104" s="47"/>
      <c r="R104" s="15" t="b">
        <v>0</v>
      </c>
      <c r="S104" s="21"/>
      <c r="T104" s="18"/>
      <c r="U104" s="35" t="b">
        <v>0</v>
      </c>
      <c r="V104" s="47"/>
      <c r="W104" s="15" t="b">
        <v>0</v>
      </c>
      <c r="X104" s="1"/>
      <c r="Y104" s="18"/>
      <c r="Z104" s="35" t="b">
        <v>0</v>
      </c>
      <c r="AA104" s="47"/>
      <c r="AB104" s="15" t="b">
        <v>0</v>
      </c>
      <c r="AC104" s="1"/>
      <c r="AD104" s="18"/>
      <c r="AE104" s="35" t="b">
        <v>0</v>
      </c>
      <c r="AF104" s="47"/>
      <c r="AG104" s="15" t="b">
        <v>0</v>
      </c>
      <c r="AH104" s="1"/>
      <c r="AI104" s="18"/>
      <c r="AJ104" s="35" t="b">
        <v>0</v>
      </c>
      <c r="AK104" s="47"/>
      <c r="AL104" s="15" t="b">
        <v>0</v>
      </c>
      <c r="AM104" s="1"/>
      <c r="AN104" s="18"/>
      <c r="AO104" s="35" t="b">
        <v>0</v>
      </c>
      <c r="AP104" s="47"/>
      <c r="AQ104" s="15" t="b">
        <v>0</v>
      </c>
      <c r="AR104" s="21"/>
      <c r="AS104" s="18"/>
      <c r="AT104" s="35" t="b">
        <v>0</v>
      </c>
      <c r="AU104" s="47"/>
      <c r="AV104" s="15" t="b">
        <v>0</v>
      </c>
      <c r="AW104" s="21"/>
      <c r="AX104" s="18"/>
      <c r="AY104" s="35" t="b">
        <v>0</v>
      </c>
      <c r="AZ104" s="47"/>
      <c r="BA104" s="15" t="b">
        <v>0</v>
      </c>
      <c r="BB104" s="21"/>
      <c r="BC104" s="18"/>
      <c r="BD104" s="47"/>
      <c r="BE104" s="47"/>
      <c r="BF104" s="19"/>
      <c r="BG104" s="10" t="s">
        <v>37</v>
      </c>
      <c r="BH104" s="18"/>
      <c r="BI104" s="47"/>
      <c r="BJ104" s="47"/>
      <c r="BK104" s="19"/>
      <c r="BL104" s="21"/>
      <c r="BM104" s="18"/>
      <c r="BN104" s="47"/>
      <c r="BO104" s="47"/>
      <c r="BP104" s="19"/>
      <c r="BQ104" s="17" t="s">
        <v>268</v>
      </c>
      <c r="BR104" s="1"/>
      <c r="BS104" s="1"/>
      <c r="BT104" s="1"/>
      <c r="BU104" s="1"/>
    </row>
    <row r="105">
      <c r="A105" s="1"/>
      <c r="B105" s="21"/>
      <c r="C105" s="11" t="s">
        <v>42</v>
      </c>
      <c r="D105" s="21"/>
      <c r="E105" s="23">
        <f>SUM(E101:E103)</f>
        <v>0</v>
      </c>
      <c r="F105" s="35" t="b">
        <v>0</v>
      </c>
      <c r="G105" s="18"/>
      <c r="H105" s="15" t="b">
        <v>0</v>
      </c>
      <c r="I105" s="18"/>
      <c r="J105" s="23">
        <f>SUM(J101:J103)</f>
        <v>0</v>
      </c>
      <c r="K105" s="35" t="b">
        <v>0</v>
      </c>
      <c r="L105" s="18"/>
      <c r="M105" s="15" t="b">
        <v>0</v>
      </c>
      <c r="N105" s="21"/>
      <c r="O105" s="23">
        <f>SUM(O101:O103)</f>
        <v>0</v>
      </c>
      <c r="P105" s="35" t="b">
        <v>0</v>
      </c>
      <c r="Q105" s="47"/>
      <c r="R105" s="15" t="b">
        <v>0</v>
      </c>
      <c r="S105" s="21"/>
      <c r="T105" s="23">
        <f>SUM(T101:T103)</f>
        <v>0</v>
      </c>
      <c r="U105" s="35" t="b">
        <v>0</v>
      </c>
      <c r="V105" s="47"/>
      <c r="W105" s="15" t="b">
        <v>0</v>
      </c>
      <c r="X105" s="1"/>
      <c r="Y105" s="23">
        <f>SUM(Y101:Y103)</f>
        <v>0</v>
      </c>
      <c r="Z105" s="35" t="b">
        <v>0</v>
      </c>
      <c r="AA105" s="47"/>
      <c r="AB105" s="15" t="b">
        <v>0</v>
      </c>
      <c r="AC105" s="1"/>
      <c r="AD105" s="23">
        <f>SUM(AD101:AD103)</f>
        <v>0</v>
      </c>
      <c r="AE105" s="35" t="b">
        <v>0</v>
      </c>
      <c r="AF105" s="47"/>
      <c r="AG105" s="15" t="b">
        <v>0</v>
      </c>
      <c r="AH105" s="1"/>
      <c r="AI105" s="23">
        <f>SUM(AI101:AI103)</f>
        <v>0</v>
      </c>
      <c r="AJ105" s="35" t="b">
        <v>0</v>
      </c>
      <c r="AK105" s="47"/>
      <c r="AL105" s="15" t="b">
        <v>0</v>
      </c>
      <c r="AM105" s="1"/>
      <c r="AN105" s="23">
        <f>SUM(AN101:AN103)</f>
        <v>0</v>
      </c>
      <c r="AO105" s="35" t="b">
        <v>0</v>
      </c>
      <c r="AP105" s="47"/>
      <c r="AQ105" s="15" t="b">
        <v>0</v>
      </c>
      <c r="AR105" s="21"/>
      <c r="AS105" s="23">
        <f>SUM(AS101:AS103)</f>
        <v>0</v>
      </c>
      <c r="AT105" s="35" t="b">
        <v>0</v>
      </c>
      <c r="AU105" s="47"/>
      <c r="AV105" s="15" t="b">
        <v>0</v>
      </c>
      <c r="AW105" s="21"/>
      <c r="AX105" s="23">
        <f>SUM(AX101:AX103)</f>
        <v>0</v>
      </c>
      <c r="AY105" s="35" t="b">
        <v>0</v>
      </c>
      <c r="AZ105" s="47"/>
      <c r="BA105" s="15" t="b">
        <v>0</v>
      </c>
      <c r="BB105" s="21"/>
      <c r="BC105" s="23">
        <f>SUM(BC101:BC103)</f>
        <v>0</v>
      </c>
      <c r="BD105" s="47"/>
      <c r="BE105" s="47"/>
      <c r="BF105" s="19"/>
      <c r="BG105" s="21"/>
      <c r="BH105" s="23">
        <f>SUM(BH101:BH104)</f>
        <v>505161</v>
      </c>
      <c r="BI105" s="47"/>
      <c r="BJ105" s="47"/>
      <c r="BK105" s="19"/>
      <c r="BL105" s="21"/>
      <c r="BM105" s="23">
        <f>SUM(BM101:BM104)</f>
        <v>580000</v>
      </c>
      <c r="BN105" s="47"/>
      <c r="BO105" s="47"/>
      <c r="BP105" s="19"/>
      <c r="BQ105" s="17" t="s">
        <v>268</v>
      </c>
      <c r="BR105" s="1"/>
      <c r="BS105" s="1"/>
      <c r="BT105" s="1"/>
      <c r="BU105" s="1"/>
    </row>
    <row r="106">
      <c r="A106" s="1"/>
      <c r="B106" s="21"/>
      <c r="C106" s="11" t="s">
        <v>43</v>
      </c>
      <c r="D106" s="21"/>
      <c r="E106" s="23">
        <v>1200000.0</v>
      </c>
      <c r="F106" s="35" t="b">
        <v>0</v>
      </c>
      <c r="G106" s="18"/>
      <c r="H106" s="15" t="b">
        <v>0</v>
      </c>
      <c r="I106" s="18"/>
      <c r="J106" s="23">
        <v>1200000.0</v>
      </c>
      <c r="K106" s="35" t="b">
        <v>0</v>
      </c>
      <c r="L106" s="18"/>
      <c r="M106" s="15" t="b">
        <v>0</v>
      </c>
      <c r="N106" s="21"/>
      <c r="O106" s="23">
        <v>1200000.0</v>
      </c>
      <c r="P106" s="35" t="b">
        <v>0</v>
      </c>
      <c r="Q106" s="47"/>
      <c r="R106" s="15" t="b">
        <v>0</v>
      </c>
      <c r="S106" s="21"/>
      <c r="T106" s="23">
        <v>1200000.0</v>
      </c>
      <c r="U106" s="35" t="b">
        <v>0</v>
      </c>
      <c r="V106" s="47"/>
      <c r="W106" s="15" t="b">
        <v>0</v>
      </c>
      <c r="X106" s="1"/>
      <c r="Y106" s="23">
        <v>1200000.0</v>
      </c>
      <c r="Z106" s="35" t="b">
        <v>0</v>
      </c>
      <c r="AA106" s="47"/>
      <c r="AB106" s="15" t="b">
        <v>0</v>
      </c>
      <c r="AC106" s="1"/>
      <c r="AD106" s="23">
        <v>1200000.0</v>
      </c>
      <c r="AE106" s="35" t="b">
        <v>0</v>
      </c>
      <c r="AF106" s="47"/>
      <c r="AG106" s="15" t="b">
        <v>0</v>
      </c>
      <c r="AH106" s="1"/>
      <c r="AI106" s="23">
        <v>1200000.0</v>
      </c>
      <c r="AJ106" s="35" t="b">
        <v>0</v>
      </c>
      <c r="AK106" s="47"/>
      <c r="AL106" s="15" t="b">
        <v>0</v>
      </c>
      <c r="AM106" s="1"/>
      <c r="AN106" s="23">
        <v>1200000.0</v>
      </c>
      <c r="AO106" s="35" t="b">
        <v>0</v>
      </c>
      <c r="AP106" s="47"/>
      <c r="AQ106" s="15" t="b">
        <v>0</v>
      </c>
      <c r="AR106" s="21"/>
      <c r="AS106" s="23">
        <v>1200000.0</v>
      </c>
      <c r="AT106" s="35" t="b">
        <v>0</v>
      </c>
      <c r="AU106" s="47"/>
      <c r="AV106" s="15" t="b">
        <v>0</v>
      </c>
      <c r="AW106" s="21"/>
      <c r="AX106" s="23">
        <v>1200000.0</v>
      </c>
      <c r="AY106" s="35" t="b">
        <v>0</v>
      </c>
      <c r="AZ106" s="47"/>
      <c r="BA106" s="15" t="b">
        <v>0</v>
      </c>
      <c r="BB106" s="21"/>
      <c r="BC106" s="23">
        <v>1200000.0</v>
      </c>
      <c r="BD106" s="47"/>
      <c r="BE106" s="47"/>
      <c r="BF106" s="19"/>
      <c r="BG106" s="21"/>
      <c r="BH106" s="23">
        <v>1200000.0</v>
      </c>
      <c r="BI106" s="47"/>
      <c r="BJ106" s="47"/>
      <c r="BK106" s="19"/>
      <c r="BL106" s="21"/>
      <c r="BM106" s="23">
        <v>1200000.0</v>
      </c>
      <c r="BN106" s="47"/>
      <c r="BO106" s="47"/>
      <c r="BP106" s="19"/>
      <c r="BQ106" s="17" t="s">
        <v>268</v>
      </c>
      <c r="BR106" s="1"/>
      <c r="BS106" s="1"/>
      <c r="BT106" s="1"/>
      <c r="BU106" s="1"/>
    </row>
    <row r="107">
      <c r="A107" s="1"/>
      <c r="B107" s="21"/>
      <c r="C107" s="11" t="s">
        <v>45</v>
      </c>
      <c r="D107" s="21"/>
      <c r="E107" s="18"/>
      <c r="F107" s="35" t="b">
        <v>0</v>
      </c>
      <c r="G107" s="18"/>
      <c r="H107" s="15" t="b">
        <v>0</v>
      </c>
      <c r="I107" s="18"/>
      <c r="J107" s="18"/>
      <c r="K107" s="35" t="b">
        <v>0</v>
      </c>
      <c r="L107" s="18"/>
      <c r="M107" s="15" t="b">
        <v>0</v>
      </c>
      <c r="N107" s="21"/>
      <c r="O107" s="18"/>
      <c r="P107" s="35" t="b">
        <v>0</v>
      </c>
      <c r="Q107" s="47"/>
      <c r="R107" s="15" t="b">
        <v>0</v>
      </c>
      <c r="S107" s="21"/>
      <c r="T107" s="18"/>
      <c r="U107" s="35" t="b">
        <v>0</v>
      </c>
      <c r="V107" s="47"/>
      <c r="W107" s="15" t="b">
        <v>0</v>
      </c>
      <c r="X107" s="1"/>
      <c r="Y107" s="18"/>
      <c r="Z107" s="35" t="b">
        <v>0</v>
      </c>
      <c r="AA107" s="47"/>
      <c r="AB107" s="15" t="b">
        <v>0</v>
      </c>
      <c r="AC107" s="1"/>
      <c r="AD107" s="18"/>
      <c r="AE107" s="35" t="b">
        <v>0</v>
      </c>
      <c r="AF107" s="47"/>
      <c r="AG107" s="15" t="b">
        <v>0</v>
      </c>
      <c r="AH107" s="1"/>
      <c r="AI107" s="18"/>
      <c r="AJ107" s="35" t="b">
        <v>0</v>
      </c>
      <c r="AK107" s="47"/>
      <c r="AL107" s="15" t="b">
        <v>0</v>
      </c>
      <c r="AM107" s="1"/>
      <c r="AN107" s="18"/>
      <c r="AO107" s="35" t="b">
        <v>0</v>
      </c>
      <c r="AP107" s="47"/>
      <c r="AQ107" s="15" t="b">
        <v>0</v>
      </c>
      <c r="AR107" s="21"/>
      <c r="AS107" s="18"/>
      <c r="AT107" s="35" t="b">
        <v>0</v>
      </c>
      <c r="AU107" s="47"/>
      <c r="AV107" s="15" t="b">
        <v>0</v>
      </c>
      <c r="AW107" s="21"/>
      <c r="AX107" s="18"/>
      <c r="AY107" s="35" t="b">
        <v>0</v>
      </c>
      <c r="AZ107" s="47"/>
      <c r="BA107" s="15" t="b">
        <v>0</v>
      </c>
      <c r="BB107" s="21"/>
      <c r="BC107" s="18"/>
      <c r="BD107" s="18"/>
      <c r="BE107" s="47"/>
      <c r="BF107" s="19"/>
      <c r="BG107" s="21"/>
      <c r="BH107" s="18"/>
      <c r="BI107" s="18"/>
      <c r="BJ107" s="47"/>
      <c r="BK107" s="19"/>
      <c r="BL107" s="21"/>
      <c r="BM107" s="47"/>
      <c r="BN107" s="18"/>
      <c r="BO107" s="47"/>
      <c r="BP107" s="19"/>
      <c r="BQ107" s="17" t="s">
        <v>268</v>
      </c>
      <c r="BR107" s="1"/>
      <c r="BS107" s="1"/>
      <c r="BT107" s="1"/>
      <c r="BU107" s="1"/>
    </row>
    <row r="108">
      <c r="A108" s="1"/>
      <c r="B108" s="21"/>
      <c r="C108" s="11" t="s">
        <v>47</v>
      </c>
      <c r="D108" s="21"/>
      <c r="E108" s="18"/>
      <c r="F108" s="35" t="b">
        <v>0</v>
      </c>
      <c r="G108" s="18"/>
      <c r="H108" s="15" t="b">
        <v>0</v>
      </c>
      <c r="I108" s="18"/>
      <c r="J108" s="18"/>
      <c r="K108" s="35" t="b">
        <v>0</v>
      </c>
      <c r="L108" s="18"/>
      <c r="M108" s="15" t="b">
        <v>0</v>
      </c>
      <c r="N108" s="21"/>
      <c r="O108" s="18"/>
      <c r="P108" s="35" t="b">
        <v>0</v>
      </c>
      <c r="Q108" s="47"/>
      <c r="R108" s="15" t="b">
        <v>0</v>
      </c>
      <c r="S108" s="21"/>
      <c r="T108" s="18"/>
      <c r="U108" s="35" t="b">
        <v>0</v>
      </c>
      <c r="V108" s="47"/>
      <c r="W108" s="15" t="b">
        <v>0</v>
      </c>
      <c r="X108" s="1"/>
      <c r="Y108" s="18"/>
      <c r="Z108" s="35" t="b">
        <v>0</v>
      </c>
      <c r="AA108" s="47"/>
      <c r="AB108" s="15" t="b">
        <v>0</v>
      </c>
      <c r="AC108" s="1"/>
      <c r="AD108" s="18"/>
      <c r="AE108" s="35" t="b">
        <v>0</v>
      </c>
      <c r="AF108" s="47"/>
      <c r="AG108" s="15" t="b">
        <v>0</v>
      </c>
      <c r="AH108" s="1"/>
      <c r="AI108" s="18"/>
      <c r="AJ108" s="35" t="b">
        <v>0</v>
      </c>
      <c r="AK108" s="47"/>
      <c r="AL108" s="15" t="b">
        <v>0</v>
      </c>
      <c r="AM108" s="1"/>
      <c r="AN108" s="18"/>
      <c r="AO108" s="35" t="b">
        <v>0</v>
      </c>
      <c r="AP108" s="47"/>
      <c r="AQ108" s="15" t="b">
        <v>0</v>
      </c>
      <c r="AR108" s="21"/>
      <c r="AS108" s="18"/>
      <c r="AT108" s="35" t="b">
        <v>0</v>
      </c>
      <c r="AU108" s="47"/>
      <c r="AV108" s="15" t="b">
        <v>0</v>
      </c>
      <c r="AW108" s="21"/>
      <c r="AX108" s="18"/>
      <c r="AY108" s="35" t="b">
        <v>0</v>
      </c>
      <c r="AZ108" s="47"/>
      <c r="BA108" s="15" t="b">
        <v>0</v>
      </c>
      <c r="BB108" s="21"/>
      <c r="BC108" s="18"/>
      <c r="BD108" s="18"/>
      <c r="BE108" s="47"/>
      <c r="BF108" s="19"/>
      <c r="BG108" s="21"/>
      <c r="BH108" s="18"/>
      <c r="BI108" s="18"/>
      <c r="BJ108" s="47"/>
      <c r="BK108" s="19"/>
      <c r="BL108" s="21"/>
      <c r="BM108" s="47"/>
      <c r="BN108" s="18"/>
      <c r="BO108" s="47"/>
      <c r="BP108" s="19"/>
      <c r="BQ108" s="17" t="s">
        <v>268</v>
      </c>
      <c r="BR108" s="1"/>
      <c r="BS108" s="1"/>
      <c r="BT108" s="1"/>
      <c r="BU108" s="1"/>
    </row>
    <row r="109">
      <c r="A109" s="1"/>
      <c r="B109" s="21"/>
      <c r="C109" s="11" t="s">
        <v>261</v>
      </c>
      <c r="D109" s="21"/>
      <c r="E109" s="18"/>
      <c r="F109" s="35" t="b">
        <v>0</v>
      </c>
      <c r="G109" s="18"/>
      <c r="H109" s="15" t="b">
        <v>0</v>
      </c>
      <c r="I109" s="18"/>
      <c r="J109" s="18"/>
      <c r="K109" s="35" t="b">
        <v>0</v>
      </c>
      <c r="L109" s="18"/>
      <c r="M109" s="15" t="b">
        <v>0</v>
      </c>
      <c r="N109" s="21"/>
      <c r="O109" s="18"/>
      <c r="P109" s="35" t="b">
        <v>0</v>
      </c>
      <c r="Q109" s="47"/>
      <c r="R109" s="15" t="b">
        <v>0</v>
      </c>
      <c r="S109" s="21"/>
      <c r="T109" s="18"/>
      <c r="U109" s="35" t="b">
        <v>0</v>
      </c>
      <c r="V109" s="47"/>
      <c r="W109" s="15" t="b">
        <v>0</v>
      </c>
      <c r="X109" s="1"/>
      <c r="Y109" s="18"/>
      <c r="Z109" s="35" t="b">
        <v>0</v>
      </c>
      <c r="AA109" s="47"/>
      <c r="AB109" s="15" t="b">
        <v>0</v>
      </c>
      <c r="AC109" s="1"/>
      <c r="AD109" s="18"/>
      <c r="AE109" s="35" t="b">
        <v>0</v>
      </c>
      <c r="AF109" s="47"/>
      <c r="AG109" s="15" t="b">
        <v>0</v>
      </c>
      <c r="AH109" s="1"/>
      <c r="AI109" s="18"/>
      <c r="AJ109" s="35" t="b">
        <v>0</v>
      </c>
      <c r="AK109" s="47"/>
      <c r="AL109" s="15" t="b">
        <v>0</v>
      </c>
      <c r="AM109" s="1"/>
      <c r="AN109" s="18"/>
      <c r="AO109" s="35" t="b">
        <v>0</v>
      </c>
      <c r="AP109" s="47"/>
      <c r="AQ109" s="15" t="b">
        <v>0</v>
      </c>
      <c r="AR109" s="21"/>
      <c r="AS109" s="18"/>
      <c r="AT109" s="35" t="b">
        <v>0</v>
      </c>
      <c r="AU109" s="47"/>
      <c r="AV109" s="15" t="b">
        <v>0</v>
      </c>
      <c r="AW109" s="21"/>
      <c r="AX109" s="18"/>
      <c r="AY109" s="1"/>
      <c r="AZ109" s="47"/>
      <c r="BA109" s="19"/>
      <c r="BB109" s="21"/>
      <c r="BC109" s="18"/>
      <c r="BD109" s="18"/>
      <c r="BE109" s="47"/>
      <c r="BF109" s="19"/>
      <c r="BG109" s="21"/>
      <c r="BH109" s="18"/>
      <c r="BI109" s="18"/>
      <c r="BJ109" s="47"/>
      <c r="BK109" s="19"/>
      <c r="BL109" s="21"/>
      <c r="BM109" s="47"/>
      <c r="BN109" s="18"/>
      <c r="BO109" s="47"/>
      <c r="BP109" s="19"/>
      <c r="BQ109" s="17" t="s">
        <v>268</v>
      </c>
      <c r="BR109" s="1"/>
      <c r="BS109" s="1"/>
      <c r="BT109" s="1"/>
      <c r="BU109" s="1"/>
    </row>
    <row r="110">
      <c r="A110" s="1"/>
      <c r="B110" s="21"/>
      <c r="C110" s="11" t="s">
        <v>51</v>
      </c>
      <c r="D110" s="21"/>
      <c r="E110" s="23">
        <v>40000.0</v>
      </c>
      <c r="F110" s="35" t="b">
        <v>0</v>
      </c>
      <c r="G110" s="18"/>
      <c r="H110" s="15" t="b">
        <v>0</v>
      </c>
      <c r="I110" s="18"/>
      <c r="J110" s="23">
        <v>40000.0</v>
      </c>
      <c r="K110" s="35" t="b">
        <v>0</v>
      </c>
      <c r="L110" s="18"/>
      <c r="M110" s="15" t="b">
        <v>0</v>
      </c>
      <c r="N110" s="21"/>
      <c r="O110" s="23">
        <v>40000.0</v>
      </c>
      <c r="P110" s="35" t="b">
        <v>0</v>
      </c>
      <c r="Q110" s="47"/>
      <c r="R110" s="15" t="b">
        <v>0</v>
      </c>
      <c r="S110" s="21"/>
      <c r="T110" s="23">
        <v>40000.0</v>
      </c>
      <c r="U110" s="35" t="b">
        <v>0</v>
      </c>
      <c r="V110" s="47"/>
      <c r="W110" s="15" t="b">
        <v>0</v>
      </c>
      <c r="X110" s="1"/>
      <c r="Y110" s="23">
        <v>40000.0</v>
      </c>
      <c r="Z110" s="35" t="b">
        <v>0</v>
      </c>
      <c r="AA110" s="47"/>
      <c r="AB110" s="15" t="b">
        <v>0</v>
      </c>
      <c r="AC110" s="1"/>
      <c r="AD110" s="23">
        <v>40000.0</v>
      </c>
      <c r="AE110" s="35" t="b">
        <v>0</v>
      </c>
      <c r="AF110" s="47"/>
      <c r="AG110" s="15" t="b">
        <v>0</v>
      </c>
      <c r="AH110" s="1"/>
      <c r="AI110" s="23">
        <v>40000.0</v>
      </c>
      <c r="AJ110" s="35" t="b">
        <v>0</v>
      </c>
      <c r="AK110" s="47"/>
      <c r="AL110" s="15" t="b">
        <v>0</v>
      </c>
      <c r="AM110" s="1"/>
      <c r="AN110" s="23">
        <v>40000.0</v>
      </c>
      <c r="AO110" s="35" t="b">
        <v>0</v>
      </c>
      <c r="AP110" s="47"/>
      <c r="AQ110" s="15" t="b">
        <v>0</v>
      </c>
      <c r="AR110" s="21"/>
      <c r="AS110" s="23">
        <v>40000.0</v>
      </c>
      <c r="AT110" s="35" t="b">
        <v>0</v>
      </c>
      <c r="AU110" s="47"/>
      <c r="AV110" s="15" t="b">
        <v>0</v>
      </c>
      <c r="AW110" s="21"/>
      <c r="AX110" s="23">
        <v>40000.0</v>
      </c>
      <c r="AY110" s="1"/>
      <c r="AZ110" s="47"/>
      <c r="BA110" s="19"/>
      <c r="BB110" s="21"/>
      <c r="BC110" s="23">
        <v>40000.0</v>
      </c>
      <c r="BD110" s="18"/>
      <c r="BE110" s="47"/>
      <c r="BF110" s="19"/>
      <c r="BG110" s="21"/>
      <c r="BH110" s="23">
        <v>40000.0</v>
      </c>
      <c r="BI110" s="18"/>
      <c r="BJ110" s="47"/>
      <c r="BK110" s="19"/>
      <c r="BL110" s="21"/>
      <c r="BM110" s="47"/>
      <c r="BN110" s="18"/>
      <c r="BO110" s="47"/>
      <c r="BP110" s="19"/>
      <c r="BQ110" s="17" t="s">
        <v>268</v>
      </c>
      <c r="BR110" s="1"/>
      <c r="BS110" s="1"/>
      <c r="BT110" s="1"/>
      <c r="BU110" s="1"/>
    </row>
    <row r="111">
      <c r="A111" s="1"/>
      <c r="B111" s="21"/>
      <c r="C111" s="11" t="s">
        <v>52</v>
      </c>
      <c r="D111" s="21"/>
      <c r="E111" s="23">
        <v>23100.0</v>
      </c>
      <c r="F111" s="35" t="b">
        <v>0</v>
      </c>
      <c r="G111" s="18"/>
      <c r="H111" s="15" t="b">
        <v>0</v>
      </c>
      <c r="I111" s="18"/>
      <c r="J111" s="23">
        <v>23100.0</v>
      </c>
      <c r="K111" s="35" t="b">
        <v>0</v>
      </c>
      <c r="L111" s="18"/>
      <c r="M111" s="15" t="b">
        <v>0</v>
      </c>
      <c r="N111" s="21"/>
      <c r="O111" s="23">
        <v>23100.0</v>
      </c>
      <c r="P111" s="35" t="b">
        <v>0</v>
      </c>
      <c r="Q111" s="47"/>
      <c r="R111" s="15" t="b">
        <v>0</v>
      </c>
      <c r="S111" s="21"/>
      <c r="T111" s="23">
        <v>23100.0</v>
      </c>
      <c r="U111" s="35" t="b">
        <v>0</v>
      </c>
      <c r="V111" s="47"/>
      <c r="W111" s="15" t="b">
        <v>0</v>
      </c>
      <c r="X111" s="1"/>
      <c r="Y111" s="23">
        <v>23100.0</v>
      </c>
      <c r="Z111" s="35" t="b">
        <v>0</v>
      </c>
      <c r="AA111" s="47"/>
      <c r="AB111" s="15" t="b">
        <v>0</v>
      </c>
      <c r="AC111" s="1"/>
      <c r="AD111" s="23">
        <v>23100.0</v>
      </c>
      <c r="AE111" s="35" t="b">
        <v>0</v>
      </c>
      <c r="AF111" s="47"/>
      <c r="AG111" s="15" t="b">
        <v>0</v>
      </c>
      <c r="AH111" s="1"/>
      <c r="AI111" s="23">
        <v>23100.0</v>
      </c>
      <c r="AJ111" s="35" t="b">
        <v>0</v>
      </c>
      <c r="AK111" s="47"/>
      <c r="AL111" s="15" t="b">
        <v>0</v>
      </c>
      <c r="AM111" s="1"/>
      <c r="AN111" s="23">
        <v>23100.0</v>
      </c>
      <c r="AO111" s="35" t="b">
        <v>0</v>
      </c>
      <c r="AP111" s="47"/>
      <c r="AQ111" s="15" t="b">
        <v>0</v>
      </c>
      <c r="AR111" s="21"/>
      <c r="AS111" s="23">
        <v>23100.0</v>
      </c>
      <c r="AT111" s="35" t="b">
        <v>0</v>
      </c>
      <c r="AU111" s="47"/>
      <c r="AV111" s="15" t="b">
        <v>0</v>
      </c>
      <c r="AW111" s="21"/>
      <c r="AX111" s="23">
        <v>23100.0</v>
      </c>
      <c r="AY111" s="1"/>
      <c r="AZ111" s="47"/>
      <c r="BA111" s="19"/>
      <c r="BB111" s="21"/>
      <c r="BC111" s="23">
        <v>23100.0</v>
      </c>
      <c r="BD111" s="18"/>
      <c r="BE111" s="47"/>
      <c r="BF111" s="19"/>
      <c r="BG111" s="21"/>
      <c r="BH111" s="23">
        <v>23100.0</v>
      </c>
      <c r="BI111" s="18"/>
      <c r="BJ111" s="47"/>
      <c r="BK111" s="19"/>
      <c r="BL111" s="21"/>
      <c r="BM111" s="47"/>
      <c r="BN111" s="18"/>
      <c r="BO111" s="47"/>
      <c r="BP111" s="19"/>
      <c r="BQ111" s="17" t="s">
        <v>268</v>
      </c>
      <c r="BR111" s="1"/>
      <c r="BS111" s="1"/>
      <c r="BT111" s="1"/>
      <c r="BU111" s="1"/>
    </row>
    <row r="112">
      <c r="A112" s="1"/>
      <c r="B112" s="10" t="s">
        <v>264</v>
      </c>
      <c r="C112" s="11" t="s">
        <v>53</v>
      </c>
      <c r="D112" s="21"/>
      <c r="E112" s="23">
        <v>10000.0</v>
      </c>
      <c r="F112" s="35" t="b">
        <v>0</v>
      </c>
      <c r="G112" s="18"/>
      <c r="H112" s="15" t="b">
        <v>0</v>
      </c>
      <c r="I112" s="18"/>
      <c r="J112" s="23">
        <v>10000.0</v>
      </c>
      <c r="K112" s="35" t="b">
        <v>0</v>
      </c>
      <c r="L112" s="18"/>
      <c r="M112" s="15" t="b">
        <v>0</v>
      </c>
      <c r="N112" s="21"/>
      <c r="O112" s="23">
        <v>10000.0</v>
      </c>
      <c r="P112" s="35" t="b">
        <v>0</v>
      </c>
      <c r="Q112" s="47"/>
      <c r="R112" s="15" t="b">
        <v>0</v>
      </c>
      <c r="S112" s="21"/>
      <c r="T112" s="23">
        <v>10000.0</v>
      </c>
      <c r="U112" s="35" t="b">
        <v>0</v>
      </c>
      <c r="V112" s="47"/>
      <c r="W112" s="15" t="b">
        <v>0</v>
      </c>
      <c r="X112" s="1"/>
      <c r="Y112" s="23">
        <v>10000.0</v>
      </c>
      <c r="Z112" s="35" t="b">
        <v>0</v>
      </c>
      <c r="AA112" s="47"/>
      <c r="AB112" s="15" t="b">
        <v>0</v>
      </c>
      <c r="AC112" s="1"/>
      <c r="AD112" s="23">
        <v>10000.0</v>
      </c>
      <c r="AE112" s="35" t="b">
        <v>0</v>
      </c>
      <c r="AF112" s="47"/>
      <c r="AG112" s="15" t="b">
        <v>0</v>
      </c>
      <c r="AH112" s="1"/>
      <c r="AI112" s="23">
        <v>10000.0</v>
      </c>
      <c r="AJ112" s="35" t="b">
        <v>0</v>
      </c>
      <c r="AK112" s="47"/>
      <c r="AL112" s="15" t="b">
        <v>0</v>
      </c>
      <c r="AM112" s="1"/>
      <c r="AN112" s="23">
        <v>10000.0</v>
      </c>
      <c r="AO112" s="35" t="b">
        <v>0</v>
      </c>
      <c r="AP112" s="47"/>
      <c r="AQ112" s="15" t="b">
        <v>0</v>
      </c>
      <c r="AR112" s="21"/>
      <c r="AS112" s="23">
        <v>10000.0</v>
      </c>
      <c r="AT112" s="35" t="b">
        <v>0</v>
      </c>
      <c r="AU112" s="47"/>
      <c r="AV112" s="15" t="b">
        <v>0</v>
      </c>
      <c r="AW112" s="21"/>
      <c r="AX112" s="23">
        <v>10000.0</v>
      </c>
      <c r="AY112" s="1"/>
      <c r="AZ112" s="47"/>
      <c r="BA112" s="19"/>
      <c r="BB112" s="21"/>
      <c r="BC112" s="23">
        <v>10000.0</v>
      </c>
      <c r="BD112" s="18"/>
      <c r="BE112" s="47"/>
      <c r="BF112" s="19"/>
      <c r="BG112" s="21"/>
      <c r="BH112" s="23">
        <v>10000.0</v>
      </c>
      <c r="BI112" s="18"/>
      <c r="BJ112" s="47"/>
      <c r="BK112" s="19"/>
      <c r="BL112" s="21"/>
      <c r="BM112" s="47"/>
      <c r="BN112" s="18"/>
      <c r="BO112" s="47"/>
      <c r="BP112" s="19"/>
      <c r="BQ112" s="17" t="s">
        <v>268</v>
      </c>
      <c r="BR112" s="1"/>
      <c r="BS112" s="1"/>
      <c r="BT112" s="1"/>
      <c r="BU112" s="1"/>
    </row>
    <row r="113">
      <c r="A113" s="1"/>
      <c r="B113" s="10" t="s">
        <v>264</v>
      </c>
      <c r="C113" s="11" t="s">
        <v>274</v>
      </c>
      <c r="D113" s="21"/>
      <c r="E113" s="23">
        <v>10000.0</v>
      </c>
      <c r="F113" s="35" t="b">
        <v>0</v>
      </c>
      <c r="G113" s="18"/>
      <c r="H113" s="15" t="b">
        <v>0</v>
      </c>
      <c r="I113" s="18"/>
      <c r="J113" s="23">
        <v>10000.0</v>
      </c>
      <c r="K113" s="35" t="b">
        <v>0</v>
      </c>
      <c r="L113" s="18"/>
      <c r="M113" s="15" t="b">
        <v>0</v>
      </c>
      <c r="N113" s="21"/>
      <c r="O113" s="23">
        <v>10000.0</v>
      </c>
      <c r="P113" s="35" t="b">
        <v>0</v>
      </c>
      <c r="Q113" s="47"/>
      <c r="R113" s="15" t="b">
        <v>0</v>
      </c>
      <c r="S113" s="21"/>
      <c r="T113" s="23">
        <v>10000.0</v>
      </c>
      <c r="U113" s="35" t="b">
        <v>0</v>
      </c>
      <c r="V113" s="47"/>
      <c r="W113" s="15" t="b">
        <v>0</v>
      </c>
      <c r="X113" s="1"/>
      <c r="Y113" s="23">
        <v>10000.0</v>
      </c>
      <c r="Z113" s="35" t="b">
        <v>0</v>
      </c>
      <c r="AA113" s="47"/>
      <c r="AB113" s="15" t="b">
        <v>0</v>
      </c>
      <c r="AC113" s="1"/>
      <c r="AD113" s="23">
        <v>10000.0</v>
      </c>
      <c r="AE113" s="35" t="b">
        <v>0</v>
      </c>
      <c r="AF113" s="47"/>
      <c r="AG113" s="15" t="b">
        <v>0</v>
      </c>
      <c r="AH113" s="1"/>
      <c r="AI113" s="23">
        <v>10000.0</v>
      </c>
      <c r="AJ113" s="35" t="b">
        <v>0</v>
      </c>
      <c r="AK113" s="47"/>
      <c r="AL113" s="15" t="b">
        <v>0</v>
      </c>
      <c r="AM113" s="1"/>
      <c r="AN113" s="23">
        <v>10000.0</v>
      </c>
      <c r="AO113" s="35" t="b">
        <v>0</v>
      </c>
      <c r="AP113" s="47"/>
      <c r="AQ113" s="15" t="b">
        <v>0</v>
      </c>
      <c r="AR113" s="21"/>
      <c r="AS113" s="23">
        <v>10000.0</v>
      </c>
      <c r="AT113" s="35" t="b">
        <v>0</v>
      </c>
      <c r="AU113" s="47"/>
      <c r="AV113" s="15" t="b">
        <v>0</v>
      </c>
      <c r="AW113" s="21"/>
      <c r="AX113" s="23">
        <v>10000.0</v>
      </c>
      <c r="AY113" s="1"/>
      <c r="AZ113" s="47"/>
      <c r="BA113" s="19"/>
      <c r="BB113" s="21"/>
      <c r="BC113" s="23">
        <v>10000.0</v>
      </c>
      <c r="BD113" s="18"/>
      <c r="BE113" s="47"/>
      <c r="BF113" s="19"/>
      <c r="BG113" s="21"/>
      <c r="BH113" s="23">
        <v>10000.0</v>
      </c>
      <c r="BI113" s="18"/>
      <c r="BJ113" s="47"/>
      <c r="BK113" s="19"/>
      <c r="BL113" s="21"/>
      <c r="BM113" s="47"/>
      <c r="BN113" s="18"/>
      <c r="BO113" s="47"/>
      <c r="BP113" s="19"/>
      <c r="BQ113" s="17" t="s">
        <v>268</v>
      </c>
      <c r="BR113" s="1"/>
      <c r="BS113" s="1"/>
      <c r="BT113" s="1"/>
      <c r="BU113" s="1"/>
    </row>
    <row r="114">
      <c r="A114" s="1"/>
      <c r="B114" s="21"/>
      <c r="C114" s="11" t="s">
        <v>54</v>
      </c>
      <c r="D114" s="21"/>
      <c r="E114" s="18"/>
      <c r="F114" s="35" t="b">
        <v>0</v>
      </c>
      <c r="G114" s="18"/>
      <c r="H114" s="15" t="b">
        <v>0</v>
      </c>
      <c r="I114" s="18"/>
      <c r="J114" s="18"/>
      <c r="K114" s="35" t="b">
        <v>0</v>
      </c>
      <c r="L114" s="18"/>
      <c r="M114" s="15" t="b">
        <v>0</v>
      </c>
      <c r="N114" s="21"/>
      <c r="O114" s="47"/>
      <c r="P114" s="35" t="b">
        <v>0</v>
      </c>
      <c r="Q114" s="47"/>
      <c r="R114" s="15" t="b">
        <v>0</v>
      </c>
      <c r="S114" s="21"/>
      <c r="T114" s="47"/>
      <c r="U114" s="35" t="b">
        <v>0</v>
      </c>
      <c r="V114" s="47"/>
      <c r="W114" s="15" t="b">
        <v>0</v>
      </c>
      <c r="X114" s="1"/>
      <c r="Y114" s="47"/>
      <c r="Z114" s="35" t="b">
        <v>0</v>
      </c>
      <c r="AA114" s="47"/>
      <c r="AB114" s="15" t="b">
        <v>0</v>
      </c>
      <c r="AC114" s="1"/>
      <c r="AD114" s="47"/>
      <c r="AE114" s="35" t="b">
        <v>0</v>
      </c>
      <c r="AF114" s="47"/>
      <c r="AG114" s="15" t="b">
        <v>0</v>
      </c>
      <c r="AH114" s="1"/>
      <c r="AI114" s="47"/>
      <c r="AJ114" s="35" t="b">
        <v>0</v>
      </c>
      <c r="AK114" s="47"/>
      <c r="AL114" s="15" t="b">
        <v>0</v>
      </c>
      <c r="AM114" s="1"/>
      <c r="AN114" s="47"/>
      <c r="AO114" s="35" t="b">
        <v>0</v>
      </c>
      <c r="AP114" s="47"/>
      <c r="AQ114" s="15" t="b">
        <v>0</v>
      </c>
      <c r="AR114" s="21"/>
      <c r="AS114" s="47"/>
      <c r="AT114" s="35" t="b">
        <v>0</v>
      </c>
      <c r="AU114" s="47"/>
      <c r="AV114" s="15" t="b">
        <v>0</v>
      </c>
      <c r="AW114" s="21"/>
      <c r="AX114" s="47"/>
      <c r="AY114" s="1"/>
      <c r="AZ114" s="47"/>
      <c r="BA114" s="19"/>
      <c r="BB114" s="21"/>
      <c r="BC114" s="47"/>
      <c r="BD114" s="18"/>
      <c r="BE114" s="47"/>
      <c r="BF114" s="19"/>
      <c r="BG114" s="21"/>
      <c r="BH114" s="47"/>
      <c r="BI114" s="18"/>
      <c r="BJ114" s="47"/>
      <c r="BK114" s="19"/>
      <c r="BL114" s="21"/>
      <c r="BM114" s="47"/>
      <c r="BN114" s="18"/>
      <c r="BO114" s="47"/>
      <c r="BP114" s="19"/>
      <c r="BQ114" s="17" t="s">
        <v>268</v>
      </c>
      <c r="BR114" s="1"/>
      <c r="BS114" s="1"/>
      <c r="BT114" s="1"/>
      <c r="BU114" s="1"/>
    </row>
    <row r="115">
      <c r="A115" s="1"/>
      <c r="B115" s="21"/>
      <c r="C115" s="11" t="s">
        <v>56</v>
      </c>
      <c r="D115" s="21"/>
      <c r="E115" s="18"/>
      <c r="F115" s="35" t="b">
        <v>0</v>
      </c>
      <c r="G115" s="18"/>
      <c r="H115" s="15" t="b">
        <v>0</v>
      </c>
      <c r="I115" s="18"/>
      <c r="J115" s="18"/>
      <c r="K115" s="35" t="b">
        <v>0</v>
      </c>
      <c r="L115" s="18"/>
      <c r="M115" s="15" t="b">
        <v>0</v>
      </c>
      <c r="N115" s="21"/>
      <c r="O115" s="47"/>
      <c r="P115" s="35" t="b">
        <v>0</v>
      </c>
      <c r="Q115" s="47"/>
      <c r="R115" s="15" t="b">
        <v>0</v>
      </c>
      <c r="S115" s="21"/>
      <c r="T115" s="47"/>
      <c r="U115" s="35" t="b">
        <v>0</v>
      </c>
      <c r="V115" s="47"/>
      <c r="W115" s="15" t="b">
        <v>0</v>
      </c>
      <c r="X115" s="1"/>
      <c r="Y115" s="47"/>
      <c r="Z115" s="35" t="b">
        <v>0</v>
      </c>
      <c r="AA115" s="47"/>
      <c r="AB115" s="15" t="b">
        <v>0</v>
      </c>
      <c r="AC115" s="1"/>
      <c r="AD115" s="47"/>
      <c r="AE115" s="35" t="b">
        <v>0</v>
      </c>
      <c r="AF115" s="47"/>
      <c r="AG115" s="15" t="b">
        <v>0</v>
      </c>
      <c r="AH115" s="1"/>
      <c r="AI115" s="47"/>
      <c r="AJ115" s="35" t="b">
        <v>0</v>
      </c>
      <c r="AK115" s="47"/>
      <c r="AL115" s="15" t="b">
        <v>0</v>
      </c>
      <c r="AM115" s="1"/>
      <c r="AN115" s="47"/>
      <c r="AO115" s="35" t="b">
        <v>0</v>
      </c>
      <c r="AP115" s="47"/>
      <c r="AQ115" s="15" t="b">
        <v>0</v>
      </c>
      <c r="AR115" s="21"/>
      <c r="AS115" s="47"/>
      <c r="AT115" s="35" t="b">
        <v>0</v>
      </c>
      <c r="AU115" s="47"/>
      <c r="AV115" s="15" t="b">
        <v>0</v>
      </c>
      <c r="AW115" s="21"/>
      <c r="AX115" s="47"/>
      <c r="AY115" s="1"/>
      <c r="AZ115" s="47"/>
      <c r="BA115" s="19"/>
      <c r="BB115" s="21"/>
      <c r="BC115" s="23">
        <f>BC105-(SUM(BC106:BC114))</f>
        <v>-1283100</v>
      </c>
      <c r="BD115" s="18"/>
      <c r="BE115" s="47"/>
      <c r="BF115" s="19"/>
      <c r="BG115" s="21"/>
      <c r="BH115" s="23">
        <f>BH105-(SUM(BH106:BH114))</f>
        <v>-777939</v>
      </c>
      <c r="BI115" s="18"/>
      <c r="BJ115" s="47"/>
      <c r="BK115" s="19"/>
      <c r="BL115" s="21"/>
      <c r="BM115" s="47"/>
      <c r="BN115" s="18"/>
      <c r="BO115" s="47"/>
      <c r="BP115" s="19"/>
      <c r="BQ115" s="17" t="s">
        <v>268</v>
      </c>
      <c r="BR115" s="1"/>
      <c r="BS115" s="1"/>
      <c r="BT115" s="1"/>
      <c r="BU115" s="1"/>
    </row>
    <row r="116">
      <c r="A116" s="1"/>
      <c r="B116" s="27">
        <v>0.7</v>
      </c>
      <c r="C116" s="11" t="s">
        <v>26</v>
      </c>
      <c r="D116" s="21"/>
      <c r="E116" s="18"/>
      <c r="F116" s="35" t="b">
        <v>0</v>
      </c>
      <c r="G116" s="18"/>
      <c r="H116" s="15" t="b">
        <v>0</v>
      </c>
      <c r="I116" s="18"/>
      <c r="J116" s="18"/>
      <c r="K116" s="35" t="b">
        <v>0</v>
      </c>
      <c r="L116" s="18"/>
      <c r="M116" s="15" t="b">
        <v>0</v>
      </c>
      <c r="N116" s="21"/>
      <c r="O116" s="47"/>
      <c r="P116" s="35" t="b">
        <v>0</v>
      </c>
      <c r="Q116" s="47"/>
      <c r="R116" s="15" t="b">
        <v>0</v>
      </c>
      <c r="S116" s="21"/>
      <c r="T116" s="47"/>
      <c r="U116" s="35" t="b">
        <v>0</v>
      </c>
      <c r="V116" s="47"/>
      <c r="W116" s="15" t="b">
        <v>0</v>
      </c>
      <c r="X116" s="1"/>
      <c r="Y116" s="47"/>
      <c r="Z116" s="35" t="b">
        <v>0</v>
      </c>
      <c r="AA116" s="47"/>
      <c r="AB116" s="15" t="b">
        <v>0</v>
      </c>
      <c r="AC116" s="1"/>
      <c r="AD116" s="47"/>
      <c r="AE116" s="35" t="b">
        <v>0</v>
      </c>
      <c r="AF116" s="47"/>
      <c r="AG116" s="15" t="b">
        <v>0</v>
      </c>
      <c r="AH116" s="1"/>
      <c r="AI116" s="47"/>
      <c r="AJ116" s="35" t="b">
        <v>0</v>
      </c>
      <c r="AK116" s="47"/>
      <c r="AL116" s="15" t="b">
        <v>0</v>
      </c>
      <c r="AM116" s="1"/>
      <c r="AN116" s="47"/>
      <c r="AO116" s="35" t="b">
        <v>0</v>
      </c>
      <c r="AP116" s="47"/>
      <c r="AQ116" s="15" t="b">
        <v>0</v>
      </c>
      <c r="AR116" s="21"/>
      <c r="AS116" s="47"/>
      <c r="AT116" s="35" t="b">
        <v>0</v>
      </c>
      <c r="AU116" s="47"/>
      <c r="AV116" s="15" t="b">
        <v>0</v>
      </c>
      <c r="AW116" s="21"/>
      <c r="AX116" s="47"/>
      <c r="AY116" s="1"/>
      <c r="AZ116" s="47"/>
      <c r="BA116" s="19"/>
      <c r="BB116" s="21"/>
      <c r="BC116" s="23">
        <f>BC115*$B116</f>
        <v>-898170</v>
      </c>
      <c r="BD116" s="18"/>
      <c r="BE116" s="47"/>
      <c r="BF116" s="19"/>
      <c r="BG116" s="21"/>
      <c r="BH116" s="23">
        <f>BH115*$B116</f>
        <v>-544557.3</v>
      </c>
      <c r="BI116" s="18"/>
      <c r="BJ116" s="47"/>
      <c r="BK116" s="19"/>
      <c r="BL116" s="21"/>
      <c r="BM116" s="47"/>
      <c r="BN116" s="18"/>
      <c r="BO116" s="47"/>
      <c r="BP116" s="19"/>
      <c r="BQ116" s="17" t="s">
        <v>268</v>
      </c>
      <c r="BR116" s="1"/>
      <c r="BS116" s="1"/>
      <c r="BT116" s="1"/>
      <c r="BU116" s="1"/>
    </row>
    <row r="117">
      <c r="A117" s="28" t="str">
        <f>B101</f>
        <v>선릉</v>
      </c>
      <c r="B117" s="29">
        <v>0.3</v>
      </c>
      <c r="C117" s="30" t="s">
        <v>57</v>
      </c>
      <c r="D117" s="31"/>
      <c r="E117" s="33"/>
      <c r="F117" s="51" t="b">
        <v>0</v>
      </c>
      <c r="G117" s="33"/>
      <c r="H117" s="52" t="b">
        <v>0</v>
      </c>
      <c r="I117" s="31"/>
      <c r="J117" s="33"/>
      <c r="K117" s="51" t="b">
        <v>0</v>
      </c>
      <c r="L117" s="33"/>
      <c r="M117" s="52" t="b">
        <v>0</v>
      </c>
      <c r="N117" s="31"/>
      <c r="O117" s="33"/>
      <c r="P117" s="51" t="b">
        <v>0</v>
      </c>
      <c r="Q117" s="33"/>
      <c r="R117" s="52" t="b">
        <v>0</v>
      </c>
      <c r="S117" s="31"/>
      <c r="T117" s="33"/>
      <c r="U117" s="51" t="b">
        <v>0</v>
      </c>
      <c r="V117" s="33"/>
      <c r="W117" s="52" t="b">
        <v>0</v>
      </c>
      <c r="X117" s="33"/>
      <c r="Y117" s="33"/>
      <c r="Z117" s="51" t="b">
        <v>0</v>
      </c>
      <c r="AA117" s="33"/>
      <c r="AB117" s="52" t="b">
        <v>0</v>
      </c>
      <c r="AC117" s="33"/>
      <c r="AD117" s="33"/>
      <c r="AE117" s="51" t="b">
        <v>0</v>
      </c>
      <c r="AF117" s="33"/>
      <c r="AG117" s="52" t="b">
        <v>0</v>
      </c>
      <c r="AH117" s="33"/>
      <c r="AI117" s="33"/>
      <c r="AJ117" s="51" t="b">
        <v>0</v>
      </c>
      <c r="AK117" s="33"/>
      <c r="AL117" s="52" t="b">
        <v>0</v>
      </c>
      <c r="AM117" s="33"/>
      <c r="AN117" s="33"/>
      <c r="AO117" s="51" t="b">
        <v>0</v>
      </c>
      <c r="AP117" s="33"/>
      <c r="AQ117" s="52" t="b">
        <v>0</v>
      </c>
      <c r="AR117" s="31"/>
      <c r="AS117" s="33"/>
      <c r="AT117" s="51" t="b">
        <v>0</v>
      </c>
      <c r="AU117" s="33"/>
      <c r="AV117" s="52" t="b">
        <v>0</v>
      </c>
      <c r="AW117" s="31"/>
      <c r="AX117" s="33"/>
      <c r="AY117" s="33"/>
      <c r="AZ117" s="33"/>
      <c r="BA117" s="34"/>
      <c r="BB117" s="31"/>
      <c r="BC117" s="32">
        <f>BC115*$B117</f>
        <v>-384930</v>
      </c>
      <c r="BD117" s="33"/>
      <c r="BE117" s="33"/>
      <c r="BF117" s="34"/>
      <c r="BG117" s="31"/>
      <c r="BH117" s="32">
        <f>BH115*$B117</f>
        <v>-233381.7</v>
      </c>
      <c r="BI117" s="33"/>
      <c r="BJ117" s="33"/>
      <c r="BK117" s="34"/>
      <c r="BL117" s="31"/>
      <c r="BM117" s="33"/>
      <c r="BN117" s="33"/>
      <c r="BO117" s="33"/>
      <c r="BP117" s="34"/>
      <c r="BQ117" s="17" t="s">
        <v>268</v>
      </c>
      <c r="BR117" s="1"/>
      <c r="BS117" s="1"/>
      <c r="BT117" s="1"/>
      <c r="BU117" s="1"/>
    </row>
    <row r="118">
      <c r="A118" s="1"/>
      <c r="B118" s="10" t="s">
        <v>275</v>
      </c>
      <c r="C118" s="11" t="s">
        <v>276</v>
      </c>
      <c r="D118" s="10" t="s">
        <v>277</v>
      </c>
      <c r="E118" s="23">
        <v>520000.0</v>
      </c>
      <c r="F118" s="35" t="b">
        <v>0</v>
      </c>
      <c r="G118" s="23">
        <v>80000.0</v>
      </c>
      <c r="H118" s="15" t="b">
        <v>1</v>
      </c>
      <c r="I118" s="20" t="s">
        <v>278</v>
      </c>
      <c r="J118" s="23">
        <v>165517.0</v>
      </c>
      <c r="K118" s="35" t="b">
        <v>0</v>
      </c>
      <c r="L118" s="23">
        <v>33103.0</v>
      </c>
      <c r="M118" s="15" t="b">
        <v>1</v>
      </c>
      <c r="N118" s="10" t="s">
        <v>279</v>
      </c>
      <c r="O118" s="49">
        <v>400000.0</v>
      </c>
      <c r="P118" s="35" t="b">
        <v>0</v>
      </c>
      <c r="Q118" s="49">
        <v>80000.0</v>
      </c>
      <c r="R118" s="15" t="b">
        <v>1</v>
      </c>
      <c r="S118" s="10" t="s">
        <v>279</v>
      </c>
      <c r="T118" s="49">
        <v>400000.0</v>
      </c>
      <c r="U118" s="35" t="b">
        <v>0</v>
      </c>
      <c r="V118" s="49">
        <v>80000.0</v>
      </c>
      <c r="W118" s="15" t="b">
        <v>1</v>
      </c>
      <c r="X118" s="10" t="s">
        <v>279</v>
      </c>
      <c r="Y118" s="49">
        <v>400000.0</v>
      </c>
      <c r="Z118" s="35" t="b">
        <v>0</v>
      </c>
      <c r="AA118" s="49">
        <v>80000.0</v>
      </c>
      <c r="AB118" s="15" t="b">
        <v>1</v>
      </c>
      <c r="AC118" s="10" t="s">
        <v>279</v>
      </c>
      <c r="AD118" s="49">
        <v>400000.0</v>
      </c>
      <c r="AE118" s="35" t="b">
        <v>0</v>
      </c>
      <c r="AF118" s="49">
        <v>80000.0</v>
      </c>
      <c r="AG118" s="15" t="b">
        <v>1</v>
      </c>
      <c r="AH118" s="10" t="s">
        <v>279</v>
      </c>
      <c r="AI118" s="49">
        <v>400000.0</v>
      </c>
      <c r="AJ118" s="35" t="b">
        <v>0</v>
      </c>
      <c r="AK118" s="49">
        <v>80000.0</v>
      </c>
      <c r="AL118" s="15" t="b">
        <v>1</v>
      </c>
      <c r="AM118" s="10" t="s">
        <v>279</v>
      </c>
      <c r="AN118" s="49">
        <v>400000.0</v>
      </c>
      <c r="AO118" s="35" t="b">
        <v>0</v>
      </c>
      <c r="AP118" s="49">
        <v>80000.0</v>
      </c>
      <c r="AQ118" s="15" t="b">
        <v>1</v>
      </c>
      <c r="AR118" s="10" t="s">
        <v>279</v>
      </c>
      <c r="AS118" s="49">
        <v>400000.0</v>
      </c>
      <c r="AT118" s="35" t="b">
        <v>0</v>
      </c>
      <c r="AU118" s="49">
        <v>80000.0</v>
      </c>
      <c r="AV118" s="15" t="b">
        <v>1</v>
      </c>
      <c r="AW118" s="10" t="s">
        <v>279</v>
      </c>
      <c r="AX118" s="49">
        <v>400000.0</v>
      </c>
      <c r="AY118" s="35" t="b">
        <v>0</v>
      </c>
      <c r="AZ118" s="49">
        <v>80000.0</v>
      </c>
      <c r="BA118" s="15" t="b">
        <v>1</v>
      </c>
      <c r="BB118" s="10" t="s">
        <v>279</v>
      </c>
      <c r="BC118" s="49">
        <v>400000.0</v>
      </c>
      <c r="BD118" s="35" t="b">
        <v>0</v>
      </c>
      <c r="BE118" s="49">
        <v>80000.0</v>
      </c>
      <c r="BF118" s="15" t="b">
        <v>1</v>
      </c>
      <c r="BG118" s="10" t="s">
        <v>279</v>
      </c>
      <c r="BH118" s="49">
        <v>400000.0</v>
      </c>
      <c r="BI118" s="50" t="b">
        <v>0</v>
      </c>
      <c r="BJ118" s="49">
        <v>80000.0</v>
      </c>
      <c r="BK118" s="15" t="b">
        <v>1</v>
      </c>
      <c r="BL118" s="10" t="s">
        <v>279</v>
      </c>
      <c r="BM118" s="49">
        <v>400000.0</v>
      </c>
      <c r="BN118" s="50" t="b">
        <v>0</v>
      </c>
      <c r="BO118" s="49">
        <v>80000.0</v>
      </c>
      <c r="BP118" s="15" t="b">
        <v>0</v>
      </c>
      <c r="BQ118" s="17" t="s">
        <v>280</v>
      </c>
      <c r="BR118" s="1"/>
      <c r="BS118" s="1"/>
      <c r="BT118" s="1"/>
      <c r="BU118" s="1"/>
    </row>
    <row r="119">
      <c r="A119" s="1"/>
      <c r="B119" s="10" t="s">
        <v>275</v>
      </c>
      <c r="C119" s="11" t="s">
        <v>281</v>
      </c>
      <c r="D119" s="20" t="s">
        <v>282</v>
      </c>
      <c r="E119" s="23">
        <v>520000.0</v>
      </c>
      <c r="F119" s="35" t="b">
        <v>1</v>
      </c>
      <c r="G119" s="23">
        <v>80000.0</v>
      </c>
      <c r="H119" s="15" t="b">
        <v>1</v>
      </c>
      <c r="I119" s="20" t="s">
        <v>37</v>
      </c>
      <c r="J119" s="18"/>
      <c r="K119" s="1"/>
      <c r="L119" s="18"/>
      <c r="M119" s="19"/>
      <c r="N119" s="10" t="s">
        <v>283</v>
      </c>
      <c r="O119" s="23">
        <f>420000+251613</f>
        <v>671613</v>
      </c>
      <c r="P119" s="35" t="b">
        <v>0</v>
      </c>
      <c r="Q119" s="23">
        <f>80000+38710</f>
        <v>118710</v>
      </c>
      <c r="R119" s="15" t="b">
        <v>1</v>
      </c>
      <c r="S119" s="43" t="s">
        <v>284</v>
      </c>
      <c r="T119" s="23">
        <f>420000+520000</f>
        <v>940000</v>
      </c>
      <c r="U119" s="35" t="b">
        <v>0</v>
      </c>
      <c r="V119" s="23">
        <f>80000+80000</f>
        <v>160000</v>
      </c>
      <c r="W119" s="15" t="b">
        <v>1</v>
      </c>
      <c r="X119" s="10" t="s">
        <v>285</v>
      </c>
      <c r="Y119" s="23">
        <v>520000.0</v>
      </c>
      <c r="Z119" s="35" t="b">
        <v>0</v>
      </c>
      <c r="AA119" s="23">
        <v>80000.0</v>
      </c>
      <c r="AB119" s="15" t="b">
        <v>1</v>
      </c>
      <c r="AC119" s="10" t="s">
        <v>285</v>
      </c>
      <c r="AD119" s="23">
        <v>520000.0</v>
      </c>
      <c r="AE119" s="35" t="b">
        <v>0</v>
      </c>
      <c r="AF119" s="23">
        <v>80000.0</v>
      </c>
      <c r="AG119" s="15" t="b">
        <v>1</v>
      </c>
      <c r="AH119" s="10" t="s">
        <v>286</v>
      </c>
      <c r="AI119" s="23">
        <v>520000.0</v>
      </c>
      <c r="AJ119" s="35" t="b">
        <v>0</v>
      </c>
      <c r="AK119" s="23">
        <v>80000.0</v>
      </c>
      <c r="AL119" s="15" t="b">
        <v>1</v>
      </c>
      <c r="AM119" s="10" t="s">
        <v>287</v>
      </c>
      <c r="AN119" s="23">
        <v>338710.0</v>
      </c>
      <c r="AO119" s="35" t="b">
        <v>0</v>
      </c>
      <c r="AP119" s="23">
        <v>64516.0</v>
      </c>
      <c r="AQ119" s="15" t="b">
        <v>1</v>
      </c>
      <c r="AR119" s="10" t="s">
        <v>288</v>
      </c>
      <c r="AS119" s="23">
        <v>420000.0</v>
      </c>
      <c r="AT119" s="35" t="b">
        <v>0</v>
      </c>
      <c r="AU119" s="23">
        <v>80000.0</v>
      </c>
      <c r="AV119" s="15" t="b">
        <v>1</v>
      </c>
      <c r="AW119" s="10" t="s">
        <v>288</v>
      </c>
      <c r="AX119" s="23">
        <v>420000.0</v>
      </c>
      <c r="AY119" s="35" t="b">
        <v>0</v>
      </c>
      <c r="AZ119" s="23">
        <v>80000.0</v>
      </c>
      <c r="BA119" s="15" t="b">
        <v>1</v>
      </c>
      <c r="BB119" s="10" t="s">
        <v>288</v>
      </c>
      <c r="BC119" s="23">
        <v>420000.0</v>
      </c>
      <c r="BD119" s="35" t="b">
        <v>0</v>
      </c>
      <c r="BE119" s="23">
        <v>80000.0</v>
      </c>
      <c r="BF119" s="15" t="b">
        <v>1</v>
      </c>
      <c r="BG119" s="10" t="s">
        <v>288</v>
      </c>
      <c r="BH119" s="23">
        <v>420000.0</v>
      </c>
      <c r="BI119" s="50" t="b">
        <v>0</v>
      </c>
      <c r="BJ119" s="23">
        <v>80000.0</v>
      </c>
      <c r="BK119" s="15" t="b">
        <v>1</v>
      </c>
      <c r="BL119" s="10" t="s">
        <v>288</v>
      </c>
      <c r="BM119" s="23">
        <v>420000.0</v>
      </c>
      <c r="BN119" s="50" t="b">
        <v>0</v>
      </c>
      <c r="BO119" s="23">
        <v>80000.0</v>
      </c>
      <c r="BP119" s="15" t="b">
        <v>0</v>
      </c>
      <c r="BQ119" s="17" t="s">
        <v>280</v>
      </c>
      <c r="BR119" s="1"/>
      <c r="BS119" s="1"/>
      <c r="BT119" s="1"/>
      <c r="BU119" s="1"/>
    </row>
    <row r="120">
      <c r="A120" s="1"/>
      <c r="B120" s="10" t="s">
        <v>275</v>
      </c>
      <c r="C120" s="11" t="s">
        <v>289</v>
      </c>
      <c r="D120" s="10" t="s">
        <v>290</v>
      </c>
      <c r="E120" s="23">
        <v>500000.0</v>
      </c>
      <c r="F120" s="35" t="b">
        <v>0</v>
      </c>
      <c r="G120" s="23">
        <v>80000.0</v>
      </c>
      <c r="H120" s="15" t="b">
        <v>1</v>
      </c>
      <c r="I120" s="20" t="s">
        <v>37</v>
      </c>
      <c r="J120" s="18"/>
      <c r="K120" s="1"/>
      <c r="L120" s="18"/>
      <c r="M120" s="19"/>
      <c r="N120" s="10" t="s">
        <v>291</v>
      </c>
      <c r="O120" s="23">
        <v>336774.0</v>
      </c>
      <c r="P120" s="35" t="b">
        <v>0</v>
      </c>
      <c r="Q120" s="23">
        <v>74839.0</v>
      </c>
      <c r="R120" s="15" t="b">
        <v>1</v>
      </c>
      <c r="S120" s="10" t="s">
        <v>292</v>
      </c>
      <c r="T120" s="23">
        <v>360000.0</v>
      </c>
      <c r="U120" s="35" t="b">
        <v>0</v>
      </c>
      <c r="V120" s="23">
        <v>80000.0</v>
      </c>
      <c r="W120" s="15" t="b">
        <v>1</v>
      </c>
      <c r="X120" s="10" t="s">
        <v>292</v>
      </c>
      <c r="Y120" s="23">
        <v>360000.0</v>
      </c>
      <c r="Z120" s="35" t="b">
        <v>0</v>
      </c>
      <c r="AA120" s="23">
        <v>80000.0</v>
      </c>
      <c r="AB120" s="15" t="b">
        <v>1</v>
      </c>
      <c r="AC120" s="10" t="s">
        <v>292</v>
      </c>
      <c r="AD120" s="23">
        <v>360000.0</v>
      </c>
      <c r="AE120" s="35" t="b">
        <v>0</v>
      </c>
      <c r="AF120" s="23">
        <v>80000.0</v>
      </c>
      <c r="AG120" s="15" t="b">
        <v>1</v>
      </c>
      <c r="AH120" s="10" t="s">
        <v>292</v>
      </c>
      <c r="AI120" s="23">
        <v>360000.0</v>
      </c>
      <c r="AJ120" s="35" t="b">
        <v>0</v>
      </c>
      <c r="AK120" s="23">
        <v>80000.0</v>
      </c>
      <c r="AL120" s="15" t="b">
        <v>1</v>
      </c>
      <c r="AM120" s="10" t="s">
        <v>293</v>
      </c>
      <c r="AN120" s="23">
        <v>360000.0</v>
      </c>
      <c r="AO120" s="35" t="b">
        <v>0</v>
      </c>
      <c r="AP120" s="23">
        <v>80000.0</v>
      </c>
      <c r="AQ120" s="15" t="b">
        <v>1</v>
      </c>
      <c r="AR120" s="41" t="s">
        <v>294</v>
      </c>
      <c r="AS120" s="23">
        <f>360000+356000</f>
        <v>716000</v>
      </c>
      <c r="AT120" s="35" t="b">
        <v>0</v>
      </c>
      <c r="AU120" s="23">
        <f>80000+80000</f>
        <v>160000</v>
      </c>
      <c r="AV120" s="15" t="b">
        <v>1</v>
      </c>
      <c r="AW120" s="41" t="s">
        <v>295</v>
      </c>
      <c r="AX120" s="23">
        <v>356000.0</v>
      </c>
      <c r="AY120" s="35" t="b">
        <v>0</v>
      </c>
      <c r="AZ120" s="23">
        <v>80000.0</v>
      </c>
      <c r="BA120" s="15" t="b">
        <v>0</v>
      </c>
      <c r="BB120" s="41" t="s">
        <v>295</v>
      </c>
      <c r="BC120" s="23">
        <v>356000.0</v>
      </c>
      <c r="BD120" s="35" t="b">
        <v>0</v>
      </c>
      <c r="BE120" s="23">
        <v>80000.0</v>
      </c>
      <c r="BF120" s="15" t="b">
        <v>0</v>
      </c>
      <c r="BG120" s="41" t="s">
        <v>295</v>
      </c>
      <c r="BH120" s="23">
        <v>356000.0</v>
      </c>
      <c r="BI120" s="50" t="b">
        <v>0</v>
      </c>
      <c r="BJ120" s="23">
        <v>80000.0</v>
      </c>
      <c r="BK120" s="15" t="b">
        <v>0</v>
      </c>
      <c r="BL120" s="41" t="s">
        <v>295</v>
      </c>
      <c r="BM120" s="23">
        <v>356000.0</v>
      </c>
      <c r="BN120" s="50" t="b">
        <v>0</v>
      </c>
      <c r="BO120" s="23">
        <v>80000.0</v>
      </c>
      <c r="BP120" s="15" t="b">
        <v>0</v>
      </c>
      <c r="BQ120" s="17" t="s">
        <v>280</v>
      </c>
      <c r="BR120" s="1"/>
      <c r="BS120" s="1"/>
      <c r="BT120" s="1"/>
      <c r="BU120" s="1"/>
    </row>
    <row r="121">
      <c r="A121" s="1"/>
      <c r="B121" s="10" t="s">
        <v>275</v>
      </c>
      <c r="C121" s="11" t="s">
        <v>296</v>
      </c>
      <c r="D121" s="20" t="s">
        <v>37</v>
      </c>
      <c r="E121" s="18"/>
      <c r="F121" s="1"/>
      <c r="G121" s="18"/>
      <c r="H121" s="19"/>
      <c r="I121" s="10" t="s">
        <v>297</v>
      </c>
      <c r="J121" s="23">
        <v>179310.0</v>
      </c>
      <c r="K121" s="35" t="b">
        <v>0</v>
      </c>
      <c r="L121" s="23">
        <v>35862.0</v>
      </c>
      <c r="M121" s="15" t="b">
        <v>1</v>
      </c>
      <c r="N121" s="10" t="s">
        <v>298</v>
      </c>
      <c r="O121" s="23">
        <v>400000.0</v>
      </c>
      <c r="P121" s="35" t="b">
        <v>0</v>
      </c>
      <c r="Q121" s="23">
        <v>80000.0</v>
      </c>
      <c r="R121" s="15" t="b">
        <v>1</v>
      </c>
      <c r="S121" s="10" t="s">
        <v>298</v>
      </c>
      <c r="T121" s="23">
        <v>400000.0</v>
      </c>
      <c r="U121" s="35" t="b">
        <v>0</v>
      </c>
      <c r="V121" s="23">
        <v>80000.0</v>
      </c>
      <c r="W121" s="15" t="b">
        <v>1</v>
      </c>
      <c r="X121" s="10" t="s">
        <v>298</v>
      </c>
      <c r="Y121" s="23">
        <v>400000.0</v>
      </c>
      <c r="Z121" s="35" t="b">
        <v>0</v>
      </c>
      <c r="AA121" s="23">
        <v>80000.0</v>
      </c>
      <c r="AB121" s="15" t="b">
        <v>1</v>
      </c>
      <c r="AC121" s="10" t="s">
        <v>298</v>
      </c>
      <c r="AD121" s="23">
        <v>400000.0</v>
      </c>
      <c r="AE121" s="35" t="b">
        <v>0</v>
      </c>
      <c r="AF121" s="23">
        <v>80000.0</v>
      </c>
      <c r="AG121" s="15" t="b">
        <v>1</v>
      </c>
      <c r="AH121" s="10" t="s">
        <v>298</v>
      </c>
      <c r="AI121" s="23">
        <v>400000.0</v>
      </c>
      <c r="AJ121" s="35" t="b">
        <v>0</v>
      </c>
      <c r="AK121" s="23">
        <v>80000.0</v>
      </c>
      <c r="AL121" s="15" t="b">
        <v>1</v>
      </c>
      <c r="AM121" s="10" t="s">
        <v>299</v>
      </c>
      <c r="AN121" s="23">
        <f>400000+77419</f>
        <v>477419</v>
      </c>
      <c r="AO121" s="35" t="b">
        <v>0</v>
      </c>
      <c r="AP121" s="23">
        <f>80000+15484</f>
        <v>95484</v>
      </c>
      <c r="AQ121" s="15" t="b">
        <v>1</v>
      </c>
      <c r="AR121" s="10" t="s">
        <v>300</v>
      </c>
      <c r="AS121" s="23">
        <f>400000*2</f>
        <v>800000</v>
      </c>
      <c r="AT121" s="35" t="b">
        <v>0</v>
      </c>
      <c r="AU121" s="23">
        <f>80000*2</f>
        <v>160000</v>
      </c>
      <c r="AV121" s="15" t="b">
        <v>1</v>
      </c>
      <c r="AW121" s="10" t="s">
        <v>301</v>
      </c>
      <c r="AX121" s="23">
        <v>400000.0</v>
      </c>
      <c r="AY121" s="35" t="b">
        <v>0</v>
      </c>
      <c r="AZ121" s="23">
        <v>80000.0</v>
      </c>
      <c r="BA121" s="15" t="b">
        <v>1</v>
      </c>
      <c r="BB121" s="10" t="s">
        <v>301</v>
      </c>
      <c r="BC121" s="23">
        <v>400000.0</v>
      </c>
      <c r="BD121" s="35" t="b">
        <v>0</v>
      </c>
      <c r="BE121" s="23">
        <v>80000.0</v>
      </c>
      <c r="BF121" s="15" t="b">
        <v>1</v>
      </c>
      <c r="BG121" s="10" t="s">
        <v>301</v>
      </c>
      <c r="BH121" s="23">
        <v>400000.0</v>
      </c>
      <c r="BI121" s="35" t="b">
        <v>0</v>
      </c>
      <c r="BJ121" s="23">
        <v>80000.0</v>
      </c>
      <c r="BK121" s="15" t="b">
        <v>1</v>
      </c>
      <c r="BL121" s="10" t="s">
        <v>301</v>
      </c>
      <c r="BM121" s="23">
        <v>400000.0</v>
      </c>
      <c r="BN121" s="35" t="b">
        <v>0</v>
      </c>
      <c r="BO121" s="23">
        <v>80000.0</v>
      </c>
      <c r="BP121" s="15" t="b">
        <v>0</v>
      </c>
      <c r="BQ121" s="17" t="s">
        <v>280</v>
      </c>
      <c r="BR121" s="1"/>
      <c r="BS121" s="1"/>
      <c r="BT121" s="1"/>
      <c r="BU121" s="1"/>
    </row>
    <row r="122">
      <c r="A122" s="1"/>
      <c r="B122" s="21"/>
      <c r="C122" s="11" t="s">
        <v>42</v>
      </c>
      <c r="D122" s="22"/>
      <c r="E122" s="23">
        <f>SUM(E118:E121)</f>
        <v>1540000</v>
      </c>
      <c r="F122" s="18"/>
      <c r="G122" s="23">
        <f>SUM(G118:G121)</f>
        <v>240000</v>
      </c>
      <c r="H122" s="19"/>
      <c r="I122" s="22"/>
      <c r="J122" s="23">
        <f>SUM(J118:J121)</f>
        <v>344827</v>
      </c>
      <c r="K122" s="18"/>
      <c r="L122" s="23">
        <f>SUM(L118:L121)</f>
        <v>68965</v>
      </c>
      <c r="M122" s="19"/>
      <c r="N122" s="22"/>
      <c r="O122" s="23">
        <f>SUM(O118:O121)</f>
        <v>1808387</v>
      </c>
      <c r="P122" s="18"/>
      <c r="Q122" s="23">
        <f>SUM(Q118:Q121)</f>
        <v>353549</v>
      </c>
      <c r="R122" s="19"/>
      <c r="S122" s="22"/>
      <c r="T122" s="23">
        <f>SUM(T118:T121)</f>
        <v>2100000</v>
      </c>
      <c r="U122" s="18"/>
      <c r="V122" s="23">
        <f>SUM(V118:V121)</f>
        <v>400000</v>
      </c>
      <c r="W122" s="19"/>
      <c r="X122" s="18"/>
      <c r="Y122" s="23">
        <f>SUM(Y118:Y121)</f>
        <v>1680000</v>
      </c>
      <c r="Z122" s="18"/>
      <c r="AA122" s="23">
        <f>SUM(AA118:AA121)</f>
        <v>320000</v>
      </c>
      <c r="AB122" s="19"/>
      <c r="AC122" s="18"/>
      <c r="AD122" s="23">
        <f>SUM(AD118:AD121)</f>
        <v>1680000</v>
      </c>
      <c r="AE122" s="18"/>
      <c r="AF122" s="23">
        <f>SUM(AF118:AF121)</f>
        <v>320000</v>
      </c>
      <c r="AG122" s="19"/>
      <c r="AH122" s="18"/>
      <c r="AI122" s="23">
        <f>SUM(AI118:AI121)</f>
        <v>1680000</v>
      </c>
      <c r="AJ122" s="18"/>
      <c r="AK122" s="23">
        <f>SUM(AK118:AK121)</f>
        <v>320000</v>
      </c>
      <c r="AL122" s="19"/>
      <c r="AM122" s="18"/>
      <c r="AN122" s="23">
        <f>SUM(AN118:AN121)</f>
        <v>1576129</v>
      </c>
      <c r="AO122" s="18"/>
      <c r="AP122" s="23">
        <f>SUM(AP118:AP121)</f>
        <v>320000</v>
      </c>
      <c r="AQ122" s="19"/>
      <c r="AR122" s="22"/>
      <c r="AS122" s="23">
        <f>SUM(AS118:AS121)</f>
        <v>2336000</v>
      </c>
      <c r="AT122" s="18"/>
      <c r="AU122" s="23">
        <f>SUM(AU118:AU121)</f>
        <v>480000</v>
      </c>
      <c r="AV122" s="19"/>
      <c r="AW122" s="22"/>
      <c r="AX122" s="23">
        <f>SUM(AX118:AX121)</f>
        <v>1576000</v>
      </c>
      <c r="AY122" s="18"/>
      <c r="AZ122" s="23">
        <f>SUM(AZ118:AZ121)</f>
        <v>320000</v>
      </c>
      <c r="BA122" s="19"/>
      <c r="BB122" s="22"/>
      <c r="BC122" s="23">
        <f>SUM(BC118:BC121)</f>
        <v>1576000</v>
      </c>
      <c r="BD122" s="18"/>
      <c r="BE122" s="23">
        <f>SUM(BE118:BE121)</f>
        <v>320000</v>
      </c>
      <c r="BF122" s="19"/>
      <c r="BG122" s="22"/>
      <c r="BH122" s="23">
        <f>SUM(BH118:BH121)</f>
        <v>1576000</v>
      </c>
      <c r="BI122" s="18"/>
      <c r="BJ122" s="23">
        <f>SUM(BJ118:BJ121)</f>
        <v>320000</v>
      </c>
      <c r="BK122" s="19"/>
      <c r="BL122" s="22"/>
      <c r="BM122" s="23">
        <f>SUM(BM118:BM121)</f>
        <v>1576000</v>
      </c>
      <c r="BN122" s="18"/>
      <c r="BO122" s="23">
        <f>SUM(BO118:BO121)</f>
        <v>320000</v>
      </c>
      <c r="BP122" s="19"/>
      <c r="BQ122" s="17" t="s">
        <v>280</v>
      </c>
      <c r="BR122" s="1"/>
      <c r="BS122" s="1"/>
      <c r="BT122" s="1"/>
      <c r="BU122" s="1"/>
    </row>
    <row r="123">
      <c r="A123" s="1"/>
      <c r="B123" s="21"/>
      <c r="C123" s="11" t="s">
        <v>43</v>
      </c>
      <c r="D123" s="22"/>
      <c r="E123" s="23">
        <v>750000.0</v>
      </c>
      <c r="F123" s="18"/>
      <c r="G123" s="18"/>
      <c r="H123" s="19"/>
      <c r="I123" s="22"/>
      <c r="J123" s="23">
        <v>750000.0</v>
      </c>
      <c r="K123" s="18"/>
      <c r="L123" s="18"/>
      <c r="M123" s="19"/>
      <c r="N123" s="22"/>
      <c r="O123" s="23">
        <v>750000.0</v>
      </c>
      <c r="P123" s="18"/>
      <c r="Q123" s="18"/>
      <c r="R123" s="19"/>
      <c r="S123" s="22"/>
      <c r="T123" s="23">
        <v>750000.0</v>
      </c>
      <c r="U123" s="18"/>
      <c r="V123" s="18"/>
      <c r="W123" s="19"/>
      <c r="X123" s="18"/>
      <c r="Y123" s="23">
        <v>750000.0</v>
      </c>
      <c r="Z123" s="18"/>
      <c r="AA123" s="18"/>
      <c r="AB123" s="19"/>
      <c r="AC123" s="18"/>
      <c r="AD123" s="23">
        <v>750000.0</v>
      </c>
      <c r="AE123" s="18"/>
      <c r="AF123" s="18"/>
      <c r="AG123" s="19"/>
      <c r="AH123" s="18"/>
      <c r="AI123" s="23">
        <v>750000.0</v>
      </c>
      <c r="AJ123" s="18"/>
      <c r="AK123" s="18"/>
      <c r="AL123" s="19"/>
      <c r="AM123" s="18"/>
      <c r="AN123" s="23">
        <v>750000.0</v>
      </c>
      <c r="AO123" s="18"/>
      <c r="AP123" s="18"/>
      <c r="AQ123" s="19"/>
      <c r="AR123" s="22"/>
      <c r="AS123" s="23">
        <v>750000.0</v>
      </c>
      <c r="AT123" s="18"/>
      <c r="AU123" s="18"/>
      <c r="AV123" s="19"/>
      <c r="AW123" s="22"/>
      <c r="AX123" s="23">
        <v>750000.0</v>
      </c>
      <c r="AY123" s="18"/>
      <c r="AZ123" s="18"/>
      <c r="BA123" s="19"/>
      <c r="BB123" s="22"/>
      <c r="BC123" s="23">
        <v>750000.0</v>
      </c>
      <c r="BD123" s="18"/>
      <c r="BE123" s="18"/>
      <c r="BF123" s="19"/>
      <c r="BG123" s="22"/>
      <c r="BH123" s="23">
        <v>750000.0</v>
      </c>
      <c r="BI123" s="18"/>
      <c r="BJ123" s="18"/>
      <c r="BK123" s="19"/>
      <c r="BL123" s="22"/>
      <c r="BM123" s="23">
        <v>750000.0</v>
      </c>
      <c r="BN123" s="18"/>
      <c r="BO123" s="18"/>
      <c r="BP123" s="19"/>
      <c r="BQ123" s="17" t="s">
        <v>280</v>
      </c>
      <c r="BR123" s="1"/>
      <c r="BS123" s="1"/>
      <c r="BT123" s="1"/>
      <c r="BU123" s="1"/>
    </row>
    <row r="124">
      <c r="A124" s="1"/>
      <c r="B124" s="21"/>
      <c r="C124" s="11" t="s">
        <v>45</v>
      </c>
      <c r="D124" s="22"/>
      <c r="E124" s="18"/>
      <c r="F124" s="18"/>
      <c r="G124" s="18"/>
      <c r="H124" s="19"/>
      <c r="I124" s="22"/>
      <c r="J124" s="18"/>
      <c r="K124" s="18"/>
      <c r="L124" s="18"/>
      <c r="M124" s="19"/>
      <c r="N124" s="22"/>
      <c r="O124" s="18"/>
      <c r="P124" s="18"/>
      <c r="Q124" s="18"/>
      <c r="R124" s="19"/>
      <c r="S124" s="22"/>
      <c r="T124" s="18"/>
      <c r="U124" s="18"/>
      <c r="V124" s="18"/>
      <c r="W124" s="19"/>
      <c r="X124" s="18"/>
      <c r="Y124" s="18"/>
      <c r="Z124" s="18"/>
      <c r="AA124" s="18"/>
      <c r="AB124" s="19"/>
      <c r="AC124" s="18"/>
      <c r="AD124" s="18"/>
      <c r="AE124" s="18"/>
      <c r="AF124" s="18"/>
      <c r="AG124" s="19"/>
      <c r="AH124" s="18"/>
      <c r="AI124" s="18"/>
      <c r="AJ124" s="18"/>
      <c r="AK124" s="18"/>
      <c r="AL124" s="19"/>
      <c r="AM124" s="18"/>
      <c r="AN124" s="18"/>
      <c r="AO124" s="18"/>
      <c r="AP124" s="18"/>
      <c r="AQ124" s="19"/>
      <c r="AR124" s="22"/>
      <c r="AS124" s="18"/>
      <c r="AT124" s="18"/>
      <c r="AU124" s="18"/>
      <c r="AV124" s="19"/>
      <c r="AW124" s="22"/>
      <c r="AX124" s="18"/>
      <c r="AY124" s="18"/>
      <c r="AZ124" s="18"/>
      <c r="BA124" s="19"/>
      <c r="BB124" s="22"/>
      <c r="BC124" s="18"/>
      <c r="BD124" s="18"/>
      <c r="BE124" s="18"/>
      <c r="BF124" s="19"/>
      <c r="BG124" s="22"/>
      <c r="BH124" s="18"/>
      <c r="BI124" s="18"/>
      <c r="BJ124" s="18"/>
      <c r="BK124" s="19"/>
      <c r="BL124" s="22"/>
      <c r="BM124" s="18"/>
      <c r="BN124" s="18"/>
      <c r="BO124" s="18"/>
      <c r="BP124" s="19"/>
      <c r="BQ124" s="17" t="s">
        <v>280</v>
      </c>
      <c r="BR124" s="1"/>
      <c r="BS124" s="1"/>
      <c r="BT124" s="1"/>
      <c r="BU124" s="1"/>
    </row>
    <row r="125">
      <c r="A125" s="1"/>
      <c r="B125" s="10" t="s">
        <v>302</v>
      </c>
      <c r="C125" s="11" t="s">
        <v>303</v>
      </c>
      <c r="D125" s="22"/>
      <c r="E125" s="18"/>
      <c r="F125" s="18"/>
      <c r="G125" s="23">
        <v>26010.0</v>
      </c>
      <c r="H125" s="19"/>
      <c r="I125" s="22"/>
      <c r="J125" s="18"/>
      <c r="K125" s="18"/>
      <c r="L125" s="18"/>
      <c r="M125" s="19"/>
      <c r="N125" s="22"/>
      <c r="O125" s="18"/>
      <c r="P125" s="18"/>
      <c r="Q125" s="18"/>
      <c r="R125" s="19"/>
      <c r="S125" s="22"/>
      <c r="T125" s="18"/>
      <c r="U125" s="18"/>
      <c r="V125" s="18"/>
      <c r="W125" s="19"/>
      <c r="X125" s="18"/>
      <c r="Y125" s="18"/>
      <c r="Z125" s="18"/>
      <c r="AA125" s="18"/>
      <c r="AB125" s="19"/>
      <c r="AC125" s="18"/>
      <c r="AD125" s="18"/>
      <c r="AE125" s="18"/>
      <c r="AF125" s="18"/>
      <c r="AG125" s="19"/>
      <c r="AH125" s="18"/>
      <c r="AI125" s="18"/>
      <c r="AJ125" s="18"/>
      <c r="AK125" s="18"/>
      <c r="AL125" s="19"/>
      <c r="AM125" s="18"/>
      <c r="AN125" s="18"/>
      <c r="AO125" s="18"/>
      <c r="AP125" s="18"/>
      <c r="AQ125" s="19"/>
      <c r="AR125" s="22"/>
      <c r="AS125" s="18"/>
      <c r="AT125" s="18"/>
      <c r="AU125" s="18"/>
      <c r="AV125" s="19"/>
      <c r="AW125" s="22"/>
      <c r="AX125" s="18"/>
      <c r="AY125" s="18"/>
      <c r="AZ125" s="18"/>
      <c r="BA125" s="19"/>
      <c r="BB125" s="22"/>
      <c r="BC125" s="18"/>
      <c r="BD125" s="18"/>
      <c r="BE125" s="18"/>
      <c r="BF125" s="19"/>
      <c r="BG125" s="22"/>
      <c r="BH125" s="18"/>
      <c r="BI125" s="18"/>
      <c r="BJ125" s="18"/>
      <c r="BK125" s="19"/>
      <c r="BL125" s="22"/>
      <c r="BM125" s="18"/>
      <c r="BN125" s="18"/>
      <c r="BO125" s="18"/>
      <c r="BP125" s="19"/>
      <c r="BQ125" s="17" t="s">
        <v>280</v>
      </c>
      <c r="BR125" s="1"/>
      <c r="BS125" s="1"/>
      <c r="BT125" s="1"/>
      <c r="BU125" s="1"/>
    </row>
    <row r="126">
      <c r="A126" s="1"/>
      <c r="B126" s="10" t="s">
        <v>304</v>
      </c>
      <c r="C126" s="11" t="s">
        <v>261</v>
      </c>
      <c r="D126" s="22"/>
      <c r="E126" s="18"/>
      <c r="F126" s="18"/>
      <c r="G126" s="23">
        <v>266740.0</v>
      </c>
      <c r="H126" s="19"/>
      <c r="I126" s="22"/>
      <c r="J126" s="18"/>
      <c r="K126" s="18"/>
      <c r="L126" s="23">
        <v>253090.0</v>
      </c>
      <c r="M126" s="19"/>
      <c r="N126" s="22"/>
      <c r="O126" s="18"/>
      <c r="P126" s="18"/>
      <c r="Q126" s="23">
        <v>140250.0</v>
      </c>
      <c r="R126" s="19"/>
      <c r="S126" s="22"/>
      <c r="T126" s="18"/>
      <c r="U126" s="18"/>
      <c r="V126" s="23">
        <v>143250.0</v>
      </c>
      <c r="W126" s="19"/>
      <c r="X126" s="18"/>
      <c r="Y126" s="18"/>
      <c r="Z126" s="18"/>
      <c r="AA126" s="23">
        <v>111820.0</v>
      </c>
      <c r="AB126" s="19"/>
      <c r="AC126" s="18"/>
      <c r="AD126" s="18"/>
      <c r="AE126" s="18"/>
      <c r="AF126" s="23">
        <v>53930.0</v>
      </c>
      <c r="AG126" s="19"/>
      <c r="AH126" s="18"/>
      <c r="AI126" s="18"/>
      <c r="AJ126" s="18"/>
      <c r="AK126" s="23">
        <v>21780.0</v>
      </c>
      <c r="AL126" s="19"/>
      <c r="AM126" s="18"/>
      <c r="AN126" s="18"/>
      <c r="AO126" s="18"/>
      <c r="AP126" s="23">
        <v>14100.0</v>
      </c>
      <c r="AQ126" s="19"/>
      <c r="AR126" s="22"/>
      <c r="AS126" s="18"/>
      <c r="AT126" s="18"/>
      <c r="AU126" s="23">
        <v>14760.0</v>
      </c>
      <c r="AV126" s="19"/>
      <c r="AW126" s="22"/>
      <c r="AX126" s="18"/>
      <c r="AY126" s="18"/>
      <c r="AZ126" s="23">
        <v>20140.0</v>
      </c>
      <c r="BA126" s="19"/>
      <c r="BB126" s="22"/>
      <c r="BC126" s="18"/>
      <c r="BD126" s="18"/>
      <c r="BE126" s="23">
        <v>92170.0</v>
      </c>
      <c r="BF126" s="19"/>
      <c r="BG126" s="22"/>
      <c r="BH126" s="18"/>
      <c r="BI126" s="18"/>
      <c r="BJ126" s="23">
        <v>164040.0</v>
      </c>
      <c r="BK126" s="19"/>
      <c r="BL126" s="22"/>
      <c r="BM126" s="18"/>
      <c r="BN126" s="18"/>
      <c r="BO126" s="18"/>
      <c r="BP126" s="19"/>
      <c r="BQ126" s="17" t="s">
        <v>280</v>
      </c>
      <c r="BR126" s="1"/>
      <c r="BS126" s="1"/>
      <c r="BT126" s="1"/>
      <c r="BU126" s="1"/>
    </row>
    <row r="127">
      <c r="A127" s="1"/>
      <c r="B127" s="10" t="s">
        <v>26</v>
      </c>
      <c r="C127" s="11" t="s">
        <v>51</v>
      </c>
      <c r="D127" s="22"/>
      <c r="E127" s="18"/>
      <c r="F127" s="18"/>
      <c r="G127" s="18"/>
      <c r="H127" s="19"/>
      <c r="I127" s="22"/>
      <c r="J127" s="18"/>
      <c r="K127" s="18"/>
      <c r="L127" s="18"/>
      <c r="M127" s="19"/>
      <c r="N127" s="22"/>
      <c r="O127" s="18"/>
      <c r="P127" s="18"/>
      <c r="Q127" s="18"/>
      <c r="R127" s="19"/>
      <c r="S127" s="22"/>
      <c r="T127" s="18"/>
      <c r="U127" s="18"/>
      <c r="V127" s="18"/>
      <c r="W127" s="19"/>
      <c r="X127" s="18"/>
      <c r="Y127" s="18"/>
      <c r="Z127" s="18"/>
      <c r="AA127" s="18"/>
      <c r="AB127" s="19"/>
      <c r="AC127" s="18"/>
      <c r="AD127" s="18"/>
      <c r="AE127" s="18"/>
      <c r="AF127" s="18"/>
      <c r="AG127" s="19"/>
      <c r="AH127" s="18"/>
      <c r="AI127" s="18"/>
      <c r="AJ127" s="18"/>
      <c r="AK127" s="18"/>
      <c r="AL127" s="19"/>
      <c r="AM127" s="18"/>
      <c r="AN127" s="18"/>
      <c r="AO127" s="18"/>
      <c r="AP127" s="18"/>
      <c r="AQ127" s="19"/>
      <c r="AR127" s="22"/>
      <c r="AS127" s="18"/>
      <c r="AT127" s="18"/>
      <c r="AU127" s="18"/>
      <c r="AV127" s="19"/>
      <c r="AW127" s="22"/>
      <c r="AX127" s="18"/>
      <c r="AY127" s="18"/>
      <c r="AZ127" s="18"/>
      <c r="BA127" s="19"/>
      <c r="BB127" s="22"/>
      <c r="BC127" s="18"/>
      <c r="BD127" s="18"/>
      <c r="BE127" s="18"/>
      <c r="BF127" s="19"/>
      <c r="BG127" s="22"/>
      <c r="BH127" s="18"/>
      <c r="BI127" s="18"/>
      <c r="BJ127" s="18"/>
      <c r="BK127" s="19"/>
      <c r="BL127" s="22"/>
      <c r="BM127" s="18"/>
      <c r="BN127" s="18"/>
      <c r="BO127" s="18"/>
      <c r="BP127" s="19"/>
      <c r="BQ127" s="17" t="s">
        <v>280</v>
      </c>
      <c r="BR127" s="1"/>
      <c r="BS127" s="1"/>
      <c r="BT127" s="1"/>
      <c r="BU127" s="1"/>
    </row>
    <row r="128">
      <c r="A128" s="1"/>
      <c r="B128" s="21"/>
      <c r="C128" s="11" t="s">
        <v>52</v>
      </c>
      <c r="D128" s="22"/>
      <c r="E128" s="18"/>
      <c r="F128" s="18"/>
      <c r="G128" s="23">
        <v>33000.0</v>
      </c>
      <c r="H128" s="19"/>
      <c r="I128" s="22"/>
      <c r="J128" s="18"/>
      <c r="K128" s="18"/>
      <c r="L128" s="23">
        <v>33000.0</v>
      </c>
      <c r="M128" s="19"/>
      <c r="N128" s="22"/>
      <c r="O128" s="18"/>
      <c r="P128" s="18"/>
      <c r="Q128" s="23">
        <v>33000.0</v>
      </c>
      <c r="R128" s="19"/>
      <c r="S128" s="22"/>
      <c r="T128" s="18"/>
      <c r="U128" s="18"/>
      <c r="V128" s="23">
        <v>33000.0</v>
      </c>
      <c r="W128" s="19"/>
      <c r="X128" s="22"/>
      <c r="Y128" s="18"/>
      <c r="Z128" s="18"/>
      <c r="AA128" s="23">
        <v>33000.0</v>
      </c>
      <c r="AB128" s="19"/>
      <c r="AC128" s="22"/>
      <c r="AD128" s="18"/>
      <c r="AE128" s="18"/>
      <c r="AF128" s="23">
        <v>33000.0</v>
      </c>
      <c r="AG128" s="19"/>
      <c r="AH128" s="22"/>
      <c r="AI128" s="18"/>
      <c r="AJ128" s="18"/>
      <c r="AK128" s="23">
        <v>33000.0</v>
      </c>
      <c r="AL128" s="19"/>
      <c r="AM128" s="22"/>
      <c r="AN128" s="18"/>
      <c r="AO128" s="18"/>
      <c r="AP128" s="23">
        <v>33000.0</v>
      </c>
      <c r="AQ128" s="19"/>
      <c r="AR128" s="22"/>
      <c r="AS128" s="18"/>
      <c r="AT128" s="18"/>
      <c r="AU128" s="23">
        <v>33000.0</v>
      </c>
      <c r="AV128" s="19"/>
      <c r="AW128" s="22"/>
      <c r="AX128" s="18"/>
      <c r="AY128" s="18"/>
      <c r="AZ128" s="23">
        <v>33000.0</v>
      </c>
      <c r="BA128" s="19"/>
      <c r="BB128" s="22"/>
      <c r="BC128" s="18"/>
      <c r="BD128" s="18"/>
      <c r="BE128" s="23">
        <v>33000.0</v>
      </c>
      <c r="BF128" s="19"/>
      <c r="BG128" s="22"/>
      <c r="BH128" s="18"/>
      <c r="BI128" s="18"/>
      <c r="BJ128" s="23">
        <v>33000.0</v>
      </c>
      <c r="BK128" s="19"/>
      <c r="BL128" s="22"/>
      <c r="BM128" s="18"/>
      <c r="BN128" s="18"/>
      <c r="BO128" s="23">
        <v>33000.0</v>
      </c>
      <c r="BP128" s="19"/>
      <c r="BQ128" s="17" t="s">
        <v>280</v>
      </c>
      <c r="BR128" s="1"/>
      <c r="BS128" s="1"/>
      <c r="BT128" s="1"/>
      <c r="BU128" s="1"/>
    </row>
    <row r="129">
      <c r="A129" s="1"/>
      <c r="B129" s="21"/>
      <c r="C129" s="11" t="s">
        <v>53</v>
      </c>
      <c r="D129" s="22"/>
      <c r="E129" s="18"/>
      <c r="F129" s="18"/>
      <c r="G129" s="23">
        <v>19000.0</v>
      </c>
      <c r="H129" s="19"/>
      <c r="I129" s="22"/>
      <c r="J129" s="18"/>
      <c r="K129" s="18"/>
      <c r="L129" s="23">
        <v>19000.0</v>
      </c>
      <c r="M129" s="19"/>
      <c r="N129" s="22"/>
      <c r="O129" s="18"/>
      <c r="P129" s="18"/>
      <c r="Q129" s="23">
        <v>19000.0</v>
      </c>
      <c r="R129" s="19"/>
      <c r="S129" s="22"/>
      <c r="T129" s="18"/>
      <c r="U129" s="18"/>
      <c r="V129" s="23">
        <v>19000.0</v>
      </c>
      <c r="W129" s="19"/>
      <c r="X129" s="22"/>
      <c r="Y129" s="18"/>
      <c r="Z129" s="18"/>
      <c r="AA129" s="23">
        <v>19000.0</v>
      </c>
      <c r="AB129" s="19"/>
      <c r="AC129" s="22"/>
      <c r="AD129" s="18"/>
      <c r="AE129" s="18"/>
      <c r="AF129" s="23">
        <v>19000.0</v>
      </c>
      <c r="AG129" s="19"/>
      <c r="AH129" s="22"/>
      <c r="AI129" s="18"/>
      <c r="AJ129" s="18"/>
      <c r="AK129" s="23">
        <v>19000.0</v>
      </c>
      <c r="AL129" s="19"/>
      <c r="AM129" s="22"/>
      <c r="AN129" s="18"/>
      <c r="AO129" s="18"/>
      <c r="AP129" s="23">
        <v>19000.0</v>
      </c>
      <c r="AQ129" s="19"/>
      <c r="AR129" s="22"/>
      <c r="AS129" s="18"/>
      <c r="AT129" s="18"/>
      <c r="AU129" s="23">
        <v>19000.0</v>
      </c>
      <c r="AV129" s="19"/>
      <c r="AW129" s="22"/>
      <c r="AX129" s="18"/>
      <c r="AY129" s="18"/>
      <c r="AZ129" s="23">
        <v>19000.0</v>
      </c>
      <c r="BA129" s="19"/>
      <c r="BB129" s="22"/>
      <c r="BC129" s="18"/>
      <c r="BD129" s="18"/>
      <c r="BE129" s="23">
        <v>19000.0</v>
      </c>
      <c r="BF129" s="19"/>
      <c r="BG129" s="22"/>
      <c r="BH129" s="18"/>
      <c r="BI129" s="18"/>
      <c r="BJ129" s="23">
        <v>19000.0</v>
      </c>
      <c r="BK129" s="19"/>
      <c r="BL129" s="22"/>
      <c r="BM129" s="18"/>
      <c r="BN129" s="18"/>
      <c r="BO129" s="23">
        <v>19000.0</v>
      </c>
      <c r="BP129" s="19"/>
      <c r="BQ129" s="17" t="s">
        <v>280</v>
      </c>
      <c r="BR129" s="1"/>
      <c r="BS129" s="1"/>
      <c r="BT129" s="1"/>
      <c r="BU129" s="1"/>
    </row>
    <row r="130">
      <c r="A130" s="1"/>
      <c r="B130" s="21"/>
      <c r="C130" s="11" t="s">
        <v>54</v>
      </c>
      <c r="D130" s="22"/>
      <c r="E130" s="18"/>
      <c r="F130" s="18"/>
      <c r="G130" s="23">
        <f>SUMIFS('지출'!$G$3:$G1000,'지출'!$J$3:$J1000,G$1,'지출'!$C$3:$C1000,"대학")</f>
        <v>57000</v>
      </c>
      <c r="H130" s="19"/>
      <c r="I130" s="22"/>
      <c r="J130" s="18"/>
      <c r="K130" s="18"/>
      <c r="L130" s="23">
        <f>SUMIFS('지출'!$G$3:$G1000,'지출'!$J$3:$J1000,L$1,'지출'!$C$3:$C1000,"대학")</f>
        <v>66630</v>
      </c>
      <c r="M130" s="24"/>
      <c r="N130" s="18"/>
      <c r="O130" s="18"/>
      <c r="P130" s="18"/>
      <c r="Q130" s="23">
        <f>SUMIFS('지출'!$G$3:$G1000,'지출'!$J$3:$J1000,Q$1,'지출'!$C$3:$C1000,"대학")</f>
        <v>99000</v>
      </c>
      <c r="R130" s="24"/>
      <c r="S130" s="18"/>
      <c r="T130" s="18"/>
      <c r="U130" s="18"/>
      <c r="V130" s="23">
        <f>SUMIFS('지출'!$G$3:$G1000,'지출'!$J$3:$J1000,V$1,'지출'!$C$3:$C1000,"대학")</f>
        <v>0</v>
      </c>
      <c r="W130" s="24"/>
      <c r="X130" s="18"/>
      <c r="Y130" s="18"/>
      <c r="Z130" s="18"/>
      <c r="AA130" s="23">
        <f>SUMIFS('지출'!$G$3:$G1000,'지출'!$J$3:$J1000,AA$1,'지출'!$C$3:$C1000,"대학")</f>
        <v>0</v>
      </c>
      <c r="AB130" s="24"/>
      <c r="AC130" s="18"/>
      <c r="AD130" s="18"/>
      <c r="AE130" s="18"/>
      <c r="AF130" s="23">
        <f>SUMIFS('지출'!$G$3:$G1000,'지출'!$J$3:$J1000,AF$1,'지출'!$C$3:$C1000,"대학")</f>
        <v>0</v>
      </c>
      <c r="AG130" s="24"/>
      <c r="AH130" s="18"/>
      <c r="AI130" s="18"/>
      <c r="AJ130" s="18"/>
      <c r="AK130" s="23">
        <f>SUMIFS('지출'!$G$3:$G1000,'지출'!$J$3:$J1000,AK$1,'지출'!$C$3:$C1000,"대학")</f>
        <v>0</v>
      </c>
      <c r="AL130" s="24"/>
      <c r="AM130" s="18"/>
      <c r="AN130" s="18"/>
      <c r="AO130" s="18"/>
      <c r="AP130" s="23">
        <f>SUMIFS('지출'!$G$3:$G1000,'지출'!$J$3:$J1000,AP$1,'지출'!$C$3:$C1000,"대학")</f>
        <v>0</v>
      </c>
      <c r="AQ130" s="24"/>
      <c r="AR130" s="18"/>
      <c r="AS130" s="18"/>
      <c r="AT130" s="18"/>
      <c r="AU130" s="23">
        <f>SUMIFS('지출'!$G$3:$G1000,'지출'!$J$3:$J1000,AU$1,'지출'!$C$3:$C1000,"대학")</f>
        <v>0</v>
      </c>
      <c r="AV130" s="24"/>
      <c r="AW130" s="18"/>
      <c r="AX130" s="18"/>
      <c r="AY130" s="18"/>
      <c r="AZ130" s="23">
        <f>SUMIFS('지출'!$G$3:$G1000,'지출'!$J$3:$J1000,AZ$1,'지출'!$C$3:$C1000,"대학")</f>
        <v>0</v>
      </c>
      <c r="BA130" s="24"/>
      <c r="BB130" s="18"/>
      <c r="BC130" s="18"/>
      <c r="BD130" s="18"/>
      <c r="BE130" s="23">
        <f>SUMIFS('지출'!$G$3:$G1000,'지출'!$J$3:$J1000,BE$1,'지출'!$C$3:$C1000,"대학")</f>
        <v>0</v>
      </c>
      <c r="BF130" s="24"/>
      <c r="BG130" s="18"/>
      <c r="BH130" s="18"/>
      <c r="BI130" s="18"/>
      <c r="BJ130" s="23">
        <f>SUMIFS('지출'!$G$3:$G1000,'지출'!$J$3:$J1000,BJ$1,'지출'!$C$3:$C1000,"대학")</f>
        <v>0</v>
      </c>
      <c r="BK130" s="24"/>
      <c r="BL130" s="18"/>
      <c r="BM130" s="18"/>
      <c r="BN130" s="18"/>
      <c r="BO130" s="23">
        <f>SUMIFS('지출'!$G$3:$G1000,'지출'!$J$3:$J1000,BO$1,'지출'!$C$3:$C1000,"대학")</f>
        <v>57000</v>
      </c>
      <c r="BP130" s="24"/>
      <c r="BQ130" s="17" t="s">
        <v>280</v>
      </c>
      <c r="BR130" s="1"/>
      <c r="BS130" s="1"/>
      <c r="BT130" s="1"/>
      <c r="BU130" s="1"/>
    </row>
    <row r="131">
      <c r="A131" s="1"/>
      <c r="B131" s="21"/>
      <c r="C131" s="11" t="s">
        <v>56</v>
      </c>
      <c r="D131" s="22"/>
      <c r="E131" s="23">
        <f>E122-(SUM(E123:E130))</f>
        <v>790000</v>
      </c>
      <c r="F131" s="18"/>
      <c r="G131" s="23">
        <f>G122-(SUM(G123:G130))</f>
        <v>-161750</v>
      </c>
      <c r="H131" s="19"/>
      <c r="I131" s="22"/>
      <c r="J131" s="23">
        <f>J122-(SUM(J123:J130))</f>
        <v>-405173</v>
      </c>
      <c r="K131" s="18"/>
      <c r="L131" s="23">
        <f>L122-(SUM(L123:L130))</f>
        <v>-302755</v>
      </c>
      <c r="M131" s="19"/>
      <c r="N131" s="22"/>
      <c r="O131" s="23">
        <f>O122-(SUM(O123:O130))</f>
        <v>1058387</v>
      </c>
      <c r="P131" s="18"/>
      <c r="Q131" s="23">
        <f>Q122-(SUM(Q123:Q130))</f>
        <v>62299</v>
      </c>
      <c r="R131" s="19"/>
      <c r="S131" s="22"/>
      <c r="T131" s="23">
        <f>T122-(SUM(T123:T130))</f>
        <v>1350000</v>
      </c>
      <c r="U131" s="18"/>
      <c r="V131" s="23">
        <f>V122-(SUM(V123:V130))</f>
        <v>204750</v>
      </c>
      <c r="W131" s="19"/>
      <c r="X131" s="18"/>
      <c r="Y131" s="23">
        <f>Y122-(SUM(Y123:Y130))</f>
        <v>930000</v>
      </c>
      <c r="Z131" s="18"/>
      <c r="AA131" s="23">
        <f>AA122-(SUM(AA123:AA130))</f>
        <v>156180</v>
      </c>
      <c r="AB131" s="19"/>
      <c r="AC131" s="18"/>
      <c r="AD131" s="23">
        <f>AD122-(SUM(AD123:AD130))</f>
        <v>930000</v>
      </c>
      <c r="AE131" s="18"/>
      <c r="AF131" s="23">
        <f>AF122-(SUM(AF123:AF130))</f>
        <v>214070</v>
      </c>
      <c r="AG131" s="19"/>
      <c r="AH131" s="18"/>
      <c r="AI131" s="23">
        <f>AI122-(SUM(AI123:AI130))</f>
        <v>930000</v>
      </c>
      <c r="AJ131" s="18"/>
      <c r="AK131" s="23">
        <f>AK122-(SUM(AK123:AK130))</f>
        <v>246220</v>
      </c>
      <c r="AL131" s="19"/>
      <c r="AM131" s="18"/>
      <c r="AN131" s="23">
        <f>AN122-(SUM(AN123:AN130))</f>
        <v>826129</v>
      </c>
      <c r="AO131" s="18"/>
      <c r="AP131" s="23">
        <f>AP122-(SUM(AP123:AP130))</f>
        <v>253900</v>
      </c>
      <c r="AQ131" s="19"/>
      <c r="AR131" s="22"/>
      <c r="AS131" s="23">
        <f>AS122-(SUM(AS123:AS130))</f>
        <v>1586000</v>
      </c>
      <c r="AT131" s="18"/>
      <c r="AU131" s="23">
        <f>AU122-(SUM(AU123:AU130))</f>
        <v>413240</v>
      </c>
      <c r="AV131" s="19"/>
      <c r="AW131" s="22"/>
      <c r="AX131" s="23">
        <f>AX122-(SUM(AX123:AX130))</f>
        <v>826000</v>
      </c>
      <c r="AY131" s="18"/>
      <c r="AZ131" s="23">
        <f>AZ122-(SUM(AZ123:AZ130))</f>
        <v>247860</v>
      </c>
      <c r="BA131" s="19"/>
      <c r="BB131" s="22"/>
      <c r="BC131" s="23">
        <f>BC122-(SUM(BC123:BC130))</f>
        <v>826000</v>
      </c>
      <c r="BD131" s="18"/>
      <c r="BE131" s="23">
        <f>BE122-(SUM(BE123:BE130))</f>
        <v>175830</v>
      </c>
      <c r="BF131" s="19"/>
      <c r="BG131" s="22"/>
      <c r="BH131" s="23">
        <f>BH122-(SUM(BH123:BH130))</f>
        <v>826000</v>
      </c>
      <c r="BI131" s="18"/>
      <c r="BJ131" s="23">
        <f>BJ122-(SUM(BJ123:BJ130))</f>
        <v>103960</v>
      </c>
      <c r="BK131" s="19"/>
      <c r="BL131" s="22"/>
      <c r="BM131" s="23">
        <f>BM122-(SUM(BM123:BM130))</f>
        <v>826000</v>
      </c>
      <c r="BN131" s="18"/>
      <c r="BO131" s="23">
        <f>BO122-(SUM(BO123:BO130))</f>
        <v>211000</v>
      </c>
      <c r="BP131" s="19"/>
      <c r="BQ131" s="17" t="s">
        <v>280</v>
      </c>
      <c r="BR131" s="1"/>
      <c r="BS131" s="1"/>
      <c r="BT131" s="1"/>
      <c r="BU131" s="1"/>
    </row>
    <row r="132">
      <c r="A132" s="39"/>
      <c r="B132" s="27">
        <v>0.7</v>
      </c>
      <c r="C132" s="11" t="s">
        <v>26</v>
      </c>
      <c r="D132" s="22"/>
      <c r="E132" s="23">
        <f>E131*$B132</f>
        <v>553000</v>
      </c>
      <c r="F132" s="18"/>
      <c r="G132" s="18"/>
      <c r="H132" s="19"/>
      <c r="I132" s="22"/>
      <c r="J132" s="23">
        <f>J131*$B132</f>
        <v>-283621.1</v>
      </c>
      <c r="K132" s="18"/>
      <c r="L132" s="18"/>
      <c r="M132" s="19"/>
      <c r="N132" s="22"/>
      <c r="O132" s="23">
        <f>O131*$B132</f>
        <v>740870.9</v>
      </c>
      <c r="P132" s="18"/>
      <c r="Q132" s="18"/>
      <c r="R132" s="19"/>
      <c r="S132" s="22"/>
      <c r="T132" s="23">
        <f>T131*$B132</f>
        <v>945000</v>
      </c>
      <c r="U132" s="18"/>
      <c r="V132" s="18"/>
      <c r="W132" s="19"/>
      <c r="X132" s="18"/>
      <c r="Y132" s="23">
        <f>Y131*$B132</f>
        <v>651000</v>
      </c>
      <c r="Z132" s="18"/>
      <c r="AA132" s="18"/>
      <c r="AB132" s="19"/>
      <c r="AC132" s="18"/>
      <c r="AD132" s="23">
        <f>AD131*$B132</f>
        <v>651000</v>
      </c>
      <c r="AE132" s="18"/>
      <c r="AF132" s="18"/>
      <c r="AG132" s="19"/>
      <c r="AH132" s="18"/>
      <c r="AI132" s="23">
        <f>AI131*$B132</f>
        <v>651000</v>
      </c>
      <c r="AJ132" s="18"/>
      <c r="AK132" s="18"/>
      <c r="AL132" s="19"/>
      <c r="AM132" s="18"/>
      <c r="AN132" s="23">
        <f>AN131*$B132</f>
        <v>578290.3</v>
      </c>
      <c r="AO132" s="18"/>
      <c r="AP132" s="18"/>
      <c r="AQ132" s="19"/>
      <c r="AR132" s="22"/>
      <c r="AS132" s="23">
        <f>AS131*$B132</f>
        <v>1110200</v>
      </c>
      <c r="AT132" s="18"/>
      <c r="AU132" s="18"/>
      <c r="AV132" s="19"/>
      <c r="AW132" s="22"/>
      <c r="AX132" s="23">
        <f>AX131*$B132</f>
        <v>578200</v>
      </c>
      <c r="AY132" s="18"/>
      <c r="AZ132" s="18"/>
      <c r="BA132" s="19"/>
      <c r="BB132" s="22"/>
      <c r="BC132" s="23">
        <f>BC131*$B132</f>
        <v>578200</v>
      </c>
      <c r="BD132" s="18"/>
      <c r="BE132" s="18"/>
      <c r="BF132" s="19"/>
      <c r="BG132" s="22"/>
      <c r="BH132" s="23">
        <f>BH131*$B132</f>
        <v>578200</v>
      </c>
      <c r="BI132" s="18"/>
      <c r="BJ132" s="18"/>
      <c r="BK132" s="19"/>
      <c r="BL132" s="22"/>
      <c r="BM132" s="23">
        <f>BM131*$B132</f>
        <v>578200</v>
      </c>
      <c r="BN132" s="18"/>
      <c r="BO132" s="18"/>
      <c r="BP132" s="19"/>
      <c r="BQ132" s="17" t="s">
        <v>280</v>
      </c>
      <c r="BR132" s="1"/>
      <c r="BS132" s="1"/>
      <c r="BT132" s="1"/>
      <c r="BU132" s="1"/>
    </row>
    <row r="133">
      <c r="A133" s="28" t="str">
        <f>B118</f>
        <v>대학</v>
      </c>
      <c r="B133" s="29">
        <v>0.3</v>
      </c>
      <c r="C133" s="30" t="s">
        <v>57</v>
      </c>
      <c r="D133" s="31"/>
      <c r="E133" s="32">
        <f>E131*$B133</f>
        <v>237000</v>
      </c>
      <c r="F133" s="33"/>
      <c r="G133" s="33"/>
      <c r="H133" s="34"/>
      <c r="I133" s="31"/>
      <c r="J133" s="32">
        <f>J131*$B133</f>
        <v>-121551.9</v>
      </c>
      <c r="K133" s="33"/>
      <c r="L133" s="33"/>
      <c r="M133" s="34"/>
      <c r="N133" s="31"/>
      <c r="O133" s="32">
        <f>O131*$B133</f>
        <v>317516.1</v>
      </c>
      <c r="P133" s="33"/>
      <c r="Q133" s="33"/>
      <c r="R133" s="34"/>
      <c r="S133" s="31"/>
      <c r="T133" s="32">
        <f>T131*$B133</f>
        <v>405000</v>
      </c>
      <c r="U133" s="33"/>
      <c r="V133" s="33"/>
      <c r="W133" s="34"/>
      <c r="X133" s="33"/>
      <c r="Y133" s="32">
        <f>Y131*$B133</f>
        <v>279000</v>
      </c>
      <c r="Z133" s="33"/>
      <c r="AA133" s="33"/>
      <c r="AB133" s="34"/>
      <c r="AC133" s="33"/>
      <c r="AD133" s="32">
        <f>AD131*$B133</f>
        <v>279000</v>
      </c>
      <c r="AE133" s="33"/>
      <c r="AF133" s="33"/>
      <c r="AG133" s="34"/>
      <c r="AH133" s="33"/>
      <c r="AI133" s="32">
        <f>AI131*$B133</f>
        <v>279000</v>
      </c>
      <c r="AJ133" s="33"/>
      <c r="AK133" s="33"/>
      <c r="AL133" s="34"/>
      <c r="AM133" s="33"/>
      <c r="AN133" s="32">
        <f>AN131*$B133</f>
        <v>247838.7</v>
      </c>
      <c r="AO133" s="33"/>
      <c r="AP133" s="33"/>
      <c r="AQ133" s="34"/>
      <c r="AR133" s="31"/>
      <c r="AS133" s="32">
        <f>AS131*$B133</f>
        <v>475800</v>
      </c>
      <c r="AT133" s="33"/>
      <c r="AU133" s="33"/>
      <c r="AV133" s="34"/>
      <c r="AW133" s="31"/>
      <c r="AX133" s="32">
        <f>AX131*$B133</f>
        <v>247800</v>
      </c>
      <c r="AY133" s="33"/>
      <c r="AZ133" s="33"/>
      <c r="BA133" s="34"/>
      <c r="BB133" s="31"/>
      <c r="BC133" s="32">
        <f>BC131*$B133</f>
        <v>247800</v>
      </c>
      <c r="BD133" s="33"/>
      <c r="BE133" s="33"/>
      <c r="BF133" s="34"/>
      <c r="BG133" s="31"/>
      <c r="BH133" s="32">
        <f>BH131*$B133</f>
        <v>247800</v>
      </c>
      <c r="BI133" s="33"/>
      <c r="BJ133" s="33"/>
      <c r="BK133" s="34"/>
      <c r="BL133" s="31"/>
      <c r="BM133" s="32">
        <f>BM131*$B133</f>
        <v>247800</v>
      </c>
      <c r="BN133" s="33"/>
      <c r="BO133" s="33"/>
      <c r="BP133" s="34"/>
      <c r="BQ133" s="17" t="s">
        <v>280</v>
      </c>
      <c r="BR133" s="1"/>
      <c r="BS133" s="1"/>
      <c r="BT133" s="1"/>
      <c r="BU133" s="1"/>
    </row>
    <row r="134">
      <c r="A134" s="1"/>
      <c r="B134" s="10" t="s">
        <v>305</v>
      </c>
      <c r="C134" s="11" t="s">
        <v>306</v>
      </c>
      <c r="D134" s="10" t="s">
        <v>307</v>
      </c>
      <c r="E134" s="23">
        <v>540000.0</v>
      </c>
      <c r="F134" s="35" t="b">
        <v>0</v>
      </c>
      <c r="G134" s="23">
        <v>80000.0</v>
      </c>
      <c r="H134" s="15" t="b">
        <v>1</v>
      </c>
      <c r="I134" s="10" t="s">
        <v>307</v>
      </c>
      <c r="J134" s="23">
        <v>540000.0</v>
      </c>
      <c r="K134" s="35" t="b">
        <v>0</v>
      </c>
      <c r="L134" s="23">
        <v>80000.0</v>
      </c>
      <c r="M134" s="15" t="b">
        <v>1</v>
      </c>
      <c r="N134" s="10" t="s">
        <v>307</v>
      </c>
      <c r="O134" s="23">
        <v>540000.0</v>
      </c>
      <c r="P134" s="35" t="b">
        <v>0</v>
      </c>
      <c r="Q134" s="23">
        <v>80000.0</v>
      </c>
      <c r="R134" s="15" t="b">
        <v>1</v>
      </c>
      <c r="S134" s="10" t="s">
        <v>307</v>
      </c>
      <c r="T134" s="23">
        <v>540000.0</v>
      </c>
      <c r="U134" s="35" t="b">
        <v>0</v>
      </c>
      <c r="V134" s="23">
        <v>80000.0</v>
      </c>
      <c r="W134" s="15" t="b">
        <v>1</v>
      </c>
      <c r="X134" s="17" t="s">
        <v>307</v>
      </c>
      <c r="Y134" s="23">
        <v>540000.0</v>
      </c>
      <c r="Z134" s="35" t="b">
        <v>0</v>
      </c>
      <c r="AA134" s="23">
        <v>80000.0</v>
      </c>
      <c r="AB134" s="15" t="b">
        <v>1</v>
      </c>
      <c r="AC134" s="17" t="s">
        <v>307</v>
      </c>
      <c r="AD134" s="23">
        <v>540000.0</v>
      </c>
      <c r="AE134" s="35" t="b">
        <v>0</v>
      </c>
      <c r="AF134" s="23">
        <v>80000.0</v>
      </c>
      <c r="AG134" s="15" t="b">
        <v>1</v>
      </c>
      <c r="AH134" s="17" t="s">
        <v>307</v>
      </c>
      <c r="AI134" s="23">
        <v>540000.0</v>
      </c>
      <c r="AJ134" s="35" t="b">
        <v>0</v>
      </c>
      <c r="AK134" s="23">
        <v>80000.0</v>
      </c>
      <c r="AL134" s="15" t="b">
        <v>1</v>
      </c>
      <c r="AM134" s="17" t="s">
        <v>308</v>
      </c>
      <c r="AN134" s="23">
        <f>540000+16774</f>
        <v>556774</v>
      </c>
      <c r="AO134" s="35" t="b">
        <v>0</v>
      </c>
      <c r="AP134" s="23">
        <f>80000+2581</f>
        <v>82581</v>
      </c>
      <c r="AQ134" s="15" t="b">
        <v>1</v>
      </c>
      <c r="AR134" s="10" t="s">
        <v>309</v>
      </c>
      <c r="AS134" s="23">
        <v>520000.0</v>
      </c>
      <c r="AT134" s="35" t="b">
        <v>0</v>
      </c>
      <c r="AU134" s="23">
        <v>80000.0</v>
      </c>
      <c r="AV134" s="15" t="b">
        <v>1</v>
      </c>
      <c r="AW134" s="10" t="s">
        <v>309</v>
      </c>
      <c r="AX134" s="23">
        <v>520000.0</v>
      </c>
      <c r="AY134" s="35" t="b">
        <v>0</v>
      </c>
      <c r="AZ134" s="23">
        <v>80000.0</v>
      </c>
      <c r="BA134" s="15" t="b">
        <v>1</v>
      </c>
      <c r="BB134" s="10" t="s">
        <v>309</v>
      </c>
      <c r="BC134" s="23">
        <v>520000.0</v>
      </c>
      <c r="BD134" s="35" t="b">
        <v>0</v>
      </c>
      <c r="BE134" s="23">
        <v>80000.0</v>
      </c>
      <c r="BF134" s="15" t="b">
        <v>1</v>
      </c>
      <c r="BG134" s="10" t="s">
        <v>309</v>
      </c>
      <c r="BH134" s="23">
        <v>520000.0</v>
      </c>
      <c r="BI134" s="35" t="b">
        <v>0</v>
      </c>
      <c r="BJ134" s="23">
        <v>80000.0</v>
      </c>
      <c r="BK134" s="15" t="b">
        <v>1</v>
      </c>
      <c r="BL134" s="10" t="s">
        <v>309</v>
      </c>
      <c r="BM134" s="23">
        <v>520000.0</v>
      </c>
      <c r="BN134" s="35" t="b">
        <v>0</v>
      </c>
      <c r="BO134" s="23">
        <v>80000.0</v>
      </c>
      <c r="BP134" s="15" t="b">
        <v>0</v>
      </c>
      <c r="BQ134" s="17" t="s">
        <v>310</v>
      </c>
      <c r="BR134" s="1"/>
      <c r="BS134" s="1"/>
      <c r="BT134" s="1"/>
      <c r="BU134" s="1"/>
    </row>
    <row r="135">
      <c r="A135" s="1"/>
      <c r="B135" s="10" t="s">
        <v>305</v>
      </c>
      <c r="C135" s="11" t="s">
        <v>311</v>
      </c>
      <c r="D135" s="10" t="s">
        <v>312</v>
      </c>
      <c r="E135" s="23">
        <v>480000.0</v>
      </c>
      <c r="F135" s="35" t="b">
        <v>0</v>
      </c>
      <c r="G135" s="23">
        <v>80000.0</v>
      </c>
      <c r="H135" s="15" t="b">
        <v>0</v>
      </c>
      <c r="I135" s="10" t="s">
        <v>312</v>
      </c>
      <c r="J135" s="23">
        <v>480000.0</v>
      </c>
      <c r="K135" s="35" t="b">
        <v>0</v>
      </c>
      <c r="L135" s="23">
        <v>80000.0</v>
      </c>
      <c r="M135" s="15" t="b">
        <v>1</v>
      </c>
      <c r="N135" s="10" t="s">
        <v>312</v>
      </c>
      <c r="O135" s="23">
        <v>480000.0</v>
      </c>
      <c r="P135" s="35" t="b">
        <v>0</v>
      </c>
      <c r="Q135" s="23">
        <v>80000.0</v>
      </c>
      <c r="R135" s="15" t="b">
        <v>1</v>
      </c>
      <c r="S135" s="10" t="s">
        <v>312</v>
      </c>
      <c r="T135" s="23">
        <v>480000.0</v>
      </c>
      <c r="U135" s="35" t="b">
        <v>0</v>
      </c>
      <c r="V135" s="23">
        <v>80000.0</v>
      </c>
      <c r="W135" s="15" t="b">
        <v>1</v>
      </c>
      <c r="X135" s="17" t="s">
        <v>312</v>
      </c>
      <c r="Y135" s="23">
        <v>480000.0</v>
      </c>
      <c r="Z135" s="35" t="b">
        <v>0</v>
      </c>
      <c r="AA135" s="23">
        <v>80000.0</v>
      </c>
      <c r="AB135" s="15" t="b">
        <v>1</v>
      </c>
      <c r="AC135" s="17" t="s">
        <v>312</v>
      </c>
      <c r="AD135" s="23">
        <v>480000.0</v>
      </c>
      <c r="AE135" s="35" t="b">
        <v>0</v>
      </c>
      <c r="AF135" s="23">
        <v>80000.0</v>
      </c>
      <c r="AG135" s="15" t="b">
        <v>1</v>
      </c>
      <c r="AH135" s="17" t="s">
        <v>312</v>
      </c>
      <c r="AI135" s="23">
        <v>480000.0</v>
      </c>
      <c r="AJ135" s="35" t="b">
        <v>0</v>
      </c>
      <c r="AK135" s="23">
        <v>80000.0</v>
      </c>
      <c r="AL135" s="15" t="b">
        <v>1</v>
      </c>
      <c r="AM135" s="17" t="s">
        <v>312</v>
      </c>
      <c r="AN135" s="23">
        <v>480000.0</v>
      </c>
      <c r="AO135" s="35" t="b">
        <v>0</v>
      </c>
      <c r="AP135" s="23">
        <v>80000.0</v>
      </c>
      <c r="AQ135" s="15" t="b">
        <v>1</v>
      </c>
      <c r="AR135" s="17" t="s">
        <v>312</v>
      </c>
      <c r="AS135" s="23">
        <v>480000.0</v>
      </c>
      <c r="AT135" s="35" t="b">
        <v>0</v>
      </c>
      <c r="AU135" s="23">
        <v>80000.0</v>
      </c>
      <c r="AV135" s="15" t="b">
        <v>1</v>
      </c>
      <c r="AW135" s="17" t="s">
        <v>312</v>
      </c>
      <c r="AX135" s="23">
        <v>480000.0</v>
      </c>
      <c r="AY135" s="35" t="b">
        <v>0</v>
      </c>
      <c r="AZ135" s="23">
        <v>80000.0</v>
      </c>
      <c r="BA135" s="15" t="b">
        <v>1</v>
      </c>
      <c r="BB135" s="17" t="s">
        <v>312</v>
      </c>
      <c r="BC135" s="23">
        <v>480000.0</v>
      </c>
      <c r="BD135" s="35" t="b">
        <v>0</v>
      </c>
      <c r="BE135" s="23">
        <v>80000.0</v>
      </c>
      <c r="BF135" s="15" t="b">
        <v>1</v>
      </c>
      <c r="BG135" s="17" t="s">
        <v>312</v>
      </c>
      <c r="BH135" s="23">
        <v>480000.0</v>
      </c>
      <c r="BI135" s="35" t="b">
        <v>0</v>
      </c>
      <c r="BJ135" s="23">
        <v>80000.0</v>
      </c>
      <c r="BK135" s="15" t="b">
        <v>1</v>
      </c>
      <c r="BL135" s="17" t="s">
        <v>312</v>
      </c>
      <c r="BM135" s="23">
        <v>480000.0</v>
      </c>
      <c r="BN135" s="35" t="b">
        <v>0</v>
      </c>
      <c r="BO135" s="23">
        <v>80000.0</v>
      </c>
      <c r="BP135" s="15" t="b">
        <v>0</v>
      </c>
      <c r="BQ135" s="17" t="s">
        <v>310</v>
      </c>
      <c r="BR135" s="1"/>
      <c r="BS135" s="1"/>
      <c r="BT135" s="1"/>
      <c r="BU135" s="1"/>
    </row>
    <row r="136">
      <c r="A136" s="1"/>
      <c r="B136" s="10" t="s">
        <v>305</v>
      </c>
      <c r="C136" s="11" t="s">
        <v>313</v>
      </c>
      <c r="D136" s="10" t="s">
        <v>314</v>
      </c>
      <c r="E136" s="23">
        <v>380000.0</v>
      </c>
      <c r="F136" s="35" t="b">
        <v>0</v>
      </c>
      <c r="G136" s="23">
        <v>80000.0</v>
      </c>
      <c r="H136" s="15" t="b">
        <v>1</v>
      </c>
      <c r="I136" s="10" t="s">
        <v>314</v>
      </c>
      <c r="J136" s="23">
        <v>380000.0</v>
      </c>
      <c r="K136" s="35" t="b">
        <v>0</v>
      </c>
      <c r="L136" s="23">
        <v>80000.0</v>
      </c>
      <c r="M136" s="15" t="b">
        <v>1</v>
      </c>
      <c r="N136" s="10" t="s">
        <v>314</v>
      </c>
      <c r="O136" s="23">
        <v>380000.0</v>
      </c>
      <c r="P136" s="35" t="b">
        <v>0</v>
      </c>
      <c r="Q136" s="23">
        <v>80000.0</v>
      </c>
      <c r="R136" s="15" t="b">
        <v>1</v>
      </c>
      <c r="S136" s="10" t="s">
        <v>314</v>
      </c>
      <c r="T136" s="23">
        <v>380000.0</v>
      </c>
      <c r="U136" s="35" t="b">
        <v>0</v>
      </c>
      <c r="V136" s="23">
        <v>80000.0</v>
      </c>
      <c r="W136" s="15" t="b">
        <v>1</v>
      </c>
      <c r="X136" s="17" t="s">
        <v>314</v>
      </c>
      <c r="Y136" s="23">
        <v>380000.0</v>
      </c>
      <c r="Z136" s="35" t="b">
        <v>0</v>
      </c>
      <c r="AA136" s="23">
        <v>80000.0</v>
      </c>
      <c r="AB136" s="15" t="b">
        <v>1</v>
      </c>
      <c r="AC136" s="17" t="s">
        <v>314</v>
      </c>
      <c r="AD136" s="23">
        <v>380000.0</v>
      </c>
      <c r="AE136" s="35" t="b">
        <v>0</v>
      </c>
      <c r="AF136" s="23">
        <v>80000.0</v>
      </c>
      <c r="AG136" s="15" t="b">
        <v>1</v>
      </c>
      <c r="AH136" s="17" t="s">
        <v>314</v>
      </c>
      <c r="AI136" s="23">
        <v>380000.0</v>
      </c>
      <c r="AJ136" s="35" t="b">
        <v>0</v>
      </c>
      <c r="AK136" s="23">
        <v>80000.0</v>
      </c>
      <c r="AL136" s="15" t="b">
        <v>1</v>
      </c>
      <c r="AM136" s="17" t="s">
        <v>315</v>
      </c>
      <c r="AN136" s="23">
        <v>380000.0</v>
      </c>
      <c r="AO136" s="35" t="b">
        <v>0</v>
      </c>
      <c r="AP136" s="23">
        <v>80000.0</v>
      </c>
      <c r="AQ136" s="15" t="b">
        <v>1</v>
      </c>
      <c r="AR136" s="10" t="s">
        <v>37</v>
      </c>
      <c r="AS136" s="18"/>
      <c r="AT136" s="1"/>
      <c r="AU136" s="18"/>
      <c r="AV136" s="19"/>
      <c r="AW136" s="10" t="s">
        <v>37</v>
      </c>
      <c r="AX136" s="18"/>
      <c r="AY136" s="1"/>
      <c r="AZ136" s="18"/>
      <c r="BA136" s="19"/>
      <c r="BB136" s="10" t="s">
        <v>37</v>
      </c>
      <c r="BC136" s="18"/>
      <c r="BD136" s="1"/>
      <c r="BE136" s="18"/>
      <c r="BF136" s="18"/>
      <c r="BG136" s="10" t="s">
        <v>37</v>
      </c>
      <c r="BH136" s="18"/>
      <c r="BI136" s="1"/>
      <c r="BJ136" s="18"/>
      <c r="BK136" s="19"/>
      <c r="BL136" s="10" t="s">
        <v>37</v>
      </c>
      <c r="BM136" s="18"/>
      <c r="BN136" s="1"/>
      <c r="BO136" s="18"/>
      <c r="BP136" s="15" t="b">
        <v>0</v>
      </c>
      <c r="BQ136" s="17" t="s">
        <v>310</v>
      </c>
      <c r="BR136" s="1"/>
      <c r="BS136" s="1"/>
      <c r="BT136" s="1"/>
      <c r="BU136" s="1"/>
    </row>
    <row r="137">
      <c r="A137" s="1"/>
      <c r="B137" s="10" t="s">
        <v>305</v>
      </c>
      <c r="C137" s="11" t="s">
        <v>316</v>
      </c>
      <c r="D137" s="10" t="s">
        <v>317</v>
      </c>
      <c r="E137" s="23">
        <v>380000.0</v>
      </c>
      <c r="F137" s="35" t="b">
        <v>0</v>
      </c>
      <c r="G137" s="23">
        <v>80000.0</v>
      </c>
      <c r="H137" s="15" t="b">
        <v>1</v>
      </c>
      <c r="I137" s="10" t="s">
        <v>317</v>
      </c>
      <c r="J137" s="23">
        <v>380000.0</v>
      </c>
      <c r="K137" s="35" t="b">
        <v>0</v>
      </c>
      <c r="L137" s="23">
        <v>80000.0</v>
      </c>
      <c r="M137" s="15" t="b">
        <v>1</v>
      </c>
      <c r="N137" s="10" t="s">
        <v>317</v>
      </c>
      <c r="O137" s="23">
        <v>380000.0</v>
      </c>
      <c r="P137" s="35" t="b">
        <v>0</v>
      </c>
      <c r="Q137" s="23">
        <v>80000.0</v>
      </c>
      <c r="R137" s="15" t="b">
        <v>1</v>
      </c>
      <c r="S137" s="10" t="s">
        <v>317</v>
      </c>
      <c r="T137" s="23">
        <v>380000.0</v>
      </c>
      <c r="U137" s="35" t="b">
        <v>0</v>
      </c>
      <c r="V137" s="23">
        <v>80000.0</v>
      </c>
      <c r="W137" s="15" t="b">
        <v>1</v>
      </c>
      <c r="X137" s="17" t="s">
        <v>317</v>
      </c>
      <c r="Y137" s="23">
        <v>380000.0</v>
      </c>
      <c r="Z137" s="35" t="b">
        <v>0</v>
      </c>
      <c r="AA137" s="23">
        <v>80000.0</v>
      </c>
      <c r="AB137" s="15" t="b">
        <v>1</v>
      </c>
      <c r="AC137" s="17" t="s">
        <v>317</v>
      </c>
      <c r="AD137" s="23">
        <v>380000.0</v>
      </c>
      <c r="AE137" s="35" t="b">
        <v>0</v>
      </c>
      <c r="AF137" s="23">
        <v>80000.0</v>
      </c>
      <c r="AG137" s="15" t="b">
        <v>1</v>
      </c>
      <c r="AH137" s="17" t="s">
        <v>317</v>
      </c>
      <c r="AI137" s="23">
        <v>380000.0</v>
      </c>
      <c r="AJ137" s="35" t="b">
        <v>0</v>
      </c>
      <c r="AK137" s="23">
        <v>80000.0</v>
      </c>
      <c r="AL137" s="15" t="b">
        <v>1</v>
      </c>
      <c r="AM137" s="17" t="s">
        <v>317</v>
      </c>
      <c r="AN137" s="23">
        <v>380000.0</v>
      </c>
      <c r="AO137" s="35" t="b">
        <v>0</v>
      </c>
      <c r="AP137" s="23">
        <v>80000.0</v>
      </c>
      <c r="AQ137" s="15" t="b">
        <v>1</v>
      </c>
      <c r="AR137" s="17" t="s">
        <v>317</v>
      </c>
      <c r="AS137" s="23">
        <v>380000.0</v>
      </c>
      <c r="AT137" s="35" t="b">
        <v>0</v>
      </c>
      <c r="AU137" s="23">
        <v>80000.0</v>
      </c>
      <c r="AV137" s="15" t="b">
        <v>1</v>
      </c>
      <c r="AW137" s="17" t="s">
        <v>317</v>
      </c>
      <c r="AX137" s="23">
        <v>380000.0</v>
      </c>
      <c r="AY137" s="35" t="b">
        <v>0</v>
      </c>
      <c r="AZ137" s="23">
        <v>80000.0</v>
      </c>
      <c r="BA137" s="15" t="b">
        <v>1</v>
      </c>
      <c r="BB137" s="17" t="s">
        <v>317</v>
      </c>
      <c r="BC137" s="23">
        <v>380000.0</v>
      </c>
      <c r="BD137" s="35" t="b">
        <v>0</v>
      </c>
      <c r="BE137" s="23">
        <v>80000.0</v>
      </c>
      <c r="BF137" s="15" t="b">
        <v>1</v>
      </c>
      <c r="BG137" s="17" t="s">
        <v>317</v>
      </c>
      <c r="BH137" s="23">
        <v>380000.0</v>
      </c>
      <c r="BI137" s="35" t="b">
        <v>0</v>
      </c>
      <c r="BJ137" s="23">
        <v>80000.0</v>
      </c>
      <c r="BK137" s="15" t="b">
        <v>1</v>
      </c>
      <c r="BL137" s="17" t="s">
        <v>317</v>
      </c>
      <c r="BM137" s="23">
        <v>380000.0</v>
      </c>
      <c r="BN137" s="35" t="b">
        <v>0</v>
      </c>
      <c r="BO137" s="23">
        <v>80000.0</v>
      </c>
      <c r="BP137" s="15" t="b">
        <v>0</v>
      </c>
      <c r="BQ137" s="17" t="s">
        <v>310</v>
      </c>
      <c r="BR137" s="1"/>
      <c r="BS137" s="1"/>
      <c r="BT137" s="1"/>
      <c r="BU137" s="1"/>
    </row>
    <row r="138">
      <c r="A138" s="1"/>
      <c r="B138" s="21"/>
      <c r="C138" s="11" t="s">
        <v>42</v>
      </c>
      <c r="D138" s="22"/>
      <c r="E138" s="23">
        <f>SUM(E134:E137)</f>
        <v>1780000</v>
      </c>
      <c r="F138" s="18"/>
      <c r="G138" s="23">
        <f>SUM(G134:G137)</f>
        <v>320000</v>
      </c>
      <c r="H138" s="19"/>
      <c r="I138" s="22"/>
      <c r="J138" s="23">
        <f>SUM(J134:J137)</f>
        <v>1780000</v>
      </c>
      <c r="K138" s="18"/>
      <c r="L138" s="23">
        <f>SUM(L134:L137)</f>
        <v>320000</v>
      </c>
      <c r="M138" s="19"/>
      <c r="N138" s="22"/>
      <c r="O138" s="23">
        <f>SUM(O134:O137)</f>
        <v>1780000</v>
      </c>
      <c r="P138" s="18"/>
      <c r="Q138" s="23">
        <f>SUM(Q134:Q137)</f>
        <v>320000</v>
      </c>
      <c r="R138" s="19"/>
      <c r="S138" s="22"/>
      <c r="T138" s="23">
        <f>SUM(T134:T137)</f>
        <v>1780000</v>
      </c>
      <c r="U138" s="18"/>
      <c r="V138" s="23">
        <f>SUM(V134:V137)</f>
        <v>320000</v>
      </c>
      <c r="W138" s="19"/>
      <c r="X138" s="18"/>
      <c r="Y138" s="23">
        <f>SUM(Y134:Y137)</f>
        <v>1780000</v>
      </c>
      <c r="Z138" s="18"/>
      <c r="AA138" s="23">
        <f>SUM(AA134:AA137)</f>
        <v>320000</v>
      </c>
      <c r="AB138" s="19"/>
      <c r="AC138" s="18"/>
      <c r="AD138" s="23">
        <f>SUM(AD134:AD137)</f>
        <v>1780000</v>
      </c>
      <c r="AE138" s="18"/>
      <c r="AF138" s="23">
        <f>SUM(AF134:AF137)</f>
        <v>320000</v>
      </c>
      <c r="AG138" s="19"/>
      <c r="AH138" s="18"/>
      <c r="AI138" s="23">
        <f>SUM(AI134:AI137)</f>
        <v>1780000</v>
      </c>
      <c r="AJ138" s="18"/>
      <c r="AK138" s="23">
        <f>SUM(AK134:AK137)</f>
        <v>320000</v>
      </c>
      <c r="AL138" s="19"/>
      <c r="AM138" s="18"/>
      <c r="AN138" s="23">
        <f>SUM(AN134:AN137)</f>
        <v>1796774</v>
      </c>
      <c r="AO138" s="18"/>
      <c r="AP138" s="23">
        <f>SUM(AP134:AP137)</f>
        <v>322581</v>
      </c>
      <c r="AQ138" s="19"/>
      <c r="AR138" s="22"/>
      <c r="AS138" s="23">
        <f>SUM(AS134:AS137)</f>
        <v>1380000</v>
      </c>
      <c r="AT138" s="18"/>
      <c r="AU138" s="23">
        <f>SUM(AU134:AU137)</f>
        <v>240000</v>
      </c>
      <c r="AV138" s="19"/>
      <c r="AW138" s="22"/>
      <c r="AX138" s="23">
        <f>SUM(AX134:AX137)</f>
        <v>1380000</v>
      </c>
      <c r="AY138" s="18"/>
      <c r="AZ138" s="23">
        <f>SUM(AZ134:AZ137)</f>
        <v>240000</v>
      </c>
      <c r="BA138" s="19"/>
      <c r="BB138" s="22"/>
      <c r="BC138" s="23">
        <f>SUM(BC134:BC137)</f>
        <v>1380000</v>
      </c>
      <c r="BD138" s="18"/>
      <c r="BE138" s="23">
        <f>SUM(BE134:BE137)</f>
        <v>240000</v>
      </c>
      <c r="BF138" s="19"/>
      <c r="BG138" s="22"/>
      <c r="BH138" s="23">
        <f>SUM(BH134:BH137)</f>
        <v>1380000</v>
      </c>
      <c r="BI138" s="18"/>
      <c r="BJ138" s="23">
        <f>SUM(BJ134:BJ137)</f>
        <v>240000</v>
      </c>
      <c r="BK138" s="19"/>
      <c r="BL138" s="22"/>
      <c r="BM138" s="23">
        <f>SUM(BM134:BM137)</f>
        <v>1380000</v>
      </c>
      <c r="BN138" s="18"/>
      <c r="BO138" s="23">
        <f>SUM(BO134:BO137)</f>
        <v>240000</v>
      </c>
      <c r="BP138" s="19"/>
      <c r="BQ138" s="17" t="s">
        <v>310</v>
      </c>
      <c r="BR138" s="1"/>
      <c r="BS138" s="1"/>
      <c r="BT138" s="1"/>
      <c r="BU138" s="1"/>
    </row>
    <row r="139">
      <c r="A139" s="1"/>
      <c r="B139" s="21"/>
      <c r="C139" s="11" t="s">
        <v>43</v>
      </c>
      <c r="D139" s="22"/>
      <c r="E139" s="23">
        <v>850000.0</v>
      </c>
      <c r="F139" s="18"/>
      <c r="G139" s="18"/>
      <c r="H139" s="19"/>
      <c r="I139" s="22"/>
      <c r="J139" s="23">
        <v>850000.0</v>
      </c>
      <c r="K139" s="18"/>
      <c r="L139" s="18"/>
      <c r="M139" s="19"/>
      <c r="N139" s="22"/>
      <c r="O139" s="23">
        <v>850000.0</v>
      </c>
      <c r="P139" s="18"/>
      <c r="Q139" s="18"/>
      <c r="R139" s="19"/>
      <c r="S139" s="22"/>
      <c r="T139" s="23">
        <v>850000.0</v>
      </c>
      <c r="U139" s="18"/>
      <c r="V139" s="18"/>
      <c r="W139" s="19"/>
      <c r="X139" s="18"/>
      <c r="Y139" s="23">
        <v>850000.0</v>
      </c>
      <c r="Z139" s="18"/>
      <c r="AA139" s="18"/>
      <c r="AB139" s="19"/>
      <c r="AC139" s="18"/>
      <c r="AD139" s="23">
        <v>850000.0</v>
      </c>
      <c r="AE139" s="18"/>
      <c r="AF139" s="18"/>
      <c r="AG139" s="19"/>
      <c r="AH139" s="18"/>
      <c r="AI139" s="23">
        <v>850000.0</v>
      </c>
      <c r="AJ139" s="18"/>
      <c r="AK139" s="18"/>
      <c r="AL139" s="19"/>
      <c r="AM139" s="18"/>
      <c r="AN139" s="23">
        <v>850000.0</v>
      </c>
      <c r="AO139" s="18"/>
      <c r="AP139" s="18"/>
      <c r="AQ139" s="19"/>
      <c r="AR139" s="22"/>
      <c r="AS139" s="23">
        <v>850000.0</v>
      </c>
      <c r="AT139" s="18"/>
      <c r="AU139" s="18"/>
      <c r="AV139" s="19"/>
      <c r="AW139" s="22"/>
      <c r="AX139" s="23">
        <v>850000.0</v>
      </c>
      <c r="AY139" s="18"/>
      <c r="AZ139" s="18"/>
      <c r="BA139" s="19"/>
      <c r="BB139" s="22"/>
      <c r="BC139" s="23">
        <v>850000.0</v>
      </c>
      <c r="BD139" s="18"/>
      <c r="BE139" s="18"/>
      <c r="BF139" s="19"/>
      <c r="BG139" s="22"/>
      <c r="BH139" s="23">
        <v>850000.0</v>
      </c>
      <c r="BI139" s="18"/>
      <c r="BJ139" s="18"/>
      <c r="BK139" s="19"/>
      <c r="BL139" s="22"/>
      <c r="BM139" s="23">
        <v>850000.0</v>
      </c>
      <c r="BN139" s="18"/>
      <c r="BO139" s="18"/>
      <c r="BP139" s="19"/>
      <c r="BQ139" s="17" t="s">
        <v>310</v>
      </c>
      <c r="BR139" s="1"/>
      <c r="BS139" s="1"/>
      <c r="BT139" s="1"/>
      <c r="BU139" s="1"/>
    </row>
    <row r="140">
      <c r="A140" s="1"/>
      <c r="B140" s="21"/>
      <c r="C140" s="11" t="s">
        <v>45</v>
      </c>
      <c r="D140" s="22"/>
      <c r="E140" s="18"/>
      <c r="F140" s="18"/>
      <c r="G140" s="18"/>
      <c r="H140" s="19"/>
      <c r="I140" s="22"/>
      <c r="J140" s="18"/>
      <c r="K140" s="18"/>
      <c r="L140" s="18"/>
      <c r="M140" s="19"/>
      <c r="N140" s="22"/>
      <c r="O140" s="18"/>
      <c r="P140" s="18"/>
      <c r="Q140" s="18"/>
      <c r="R140" s="19"/>
      <c r="S140" s="22"/>
      <c r="T140" s="18"/>
      <c r="U140" s="18"/>
      <c r="V140" s="18"/>
      <c r="W140" s="19"/>
      <c r="X140" s="18"/>
      <c r="Y140" s="18"/>
      <c r="Z140" s="18"/>
      <c r="AA140" s="18"/>
      <c r="AB140" s="19"/>
      <c r="AC140" s="18"/>
      <c r="AD140" s="18"/>
      <c r="AE140" s="18"/>
      <c r="AF140" s="18"/>
      <c r="AG140" s="19"/>
      <c r="AH140" s="18"/>
      <c r="AI140" s="18"/>
      <c r="AJ140" s="18"/>
      <c r="AK140" s="18"/>
      <c r="AL140" s="19"/>
      <c r="AM140" s="18"/>
      <c r="AN140" s="18"/>
      <c r="AO140" s="18"/>
      <c r="AP140" s="18"/>
      <c r="AQ140" s="19"/>
      <c r="AR140" s="22"/>
      <c r="AS140" s="18"/>
      <c r="AT140" s="18"/>
      <c r="AU140" s="18"/>
      <c r="AV140" s="19"/>
      <c r="AW140" s="22"/>
      <c r="AX140" s="18"/>
      <c r="AY140" s="18"/>
      <c r="AZ140" s="18"/>
      <c r="BA140" s="19"/>
      <c r="BB140" s="22"/>
      <c r="BC140" s="18"/>
      <c r="BD140" s="18"/>
      <c r="BE140" s="18"/>
      <c r="BF140" s="19"/>
      <c r="BG140" s="22"/>
      <c r="BH140" s="18"/>
      <c r="BI140" s="18"/>
      <c r="BJ140" s="18"/>
      <c r="BK140" s="19"/>
      <c r="BL140" s="22"/>
      <c r="BM140" s="18"/>
      <c r="BN140" s="18"/>
      <c r="BO140" s="18"/>
      <c r="BP140" s="19"/>
      <c r="BQ140" s="17" t="s">
        <v>310</v>
      </c>
      <c r="BR140" s="1"/>
      <c r="BS140" s="1"/>
      <c r="BT140" s="1"/>
      <c r="BU140" s="1"/>
    </row>
    <row r="141">
      <c r="A141" s="1"/>
      <c r="B141" s="10" t="s">
        <v>318</v>
      </c>
      <c r="C141" s="11" t="s">
        <v>303</v>
      </c>
      <c r="D141" s="22"/>
      <c r="E141" s="18"/>
      <c r="F141" s="18"/>
      <c r="G141" s="18"/>
      <c r="H141" s="19"/>
      <c r="I141" s="22"/>
      <c r="J141" s="18"/>
      <c r="K141" s="18"/>
      <c r="L141" s="18"/>
      <c r="M141" s="19"/>
      <c r="N141" s="22"/>
      <c r="O141" s="18"/>
      <c r="P141" s="18"/>
      <c r="Q141" s="18"/>
      <c r="R141" s="19"/>
      <c r="S141" s="22"/>
      <c r="T141" s="18"/>
      <c r="U141" s="18"/>
      <c r="V141" s="18"/>
      <c r="W141" s="19"/>
      <c r="X141" s="18"/>
      <c r="Y141" s="18"/>
      <c r="Z141" s="18"/>
      <c r="AA141" s="18"/>
      <c r="AB141" s="19"/>
      <c r="AC141" s="18"/>
      <c r="AD141" s="18"/>
      <c r="AE141" s="18"/>
      <c r="AF141" s="18"/>
      <c r="AG141" s="19"/>
      <c r="AH141" s="18"/>
      <c r="AI141" s="18"/>
      <c r="AJ141" s="18"/>
      <c r="AK141" s="18"/>
      <c r="AL141" s="19"/>
      <c r="AM141" s="18"/>
      <c r="AN141" s="18"/>
      <c r="AO141" s="18"/>
      <c r="AP141" s="18"/>
      <c r="AQ141" s="19"/>
      <c r="AR141" s="22"/>
      <c r="AS141" s="18"/>
      <c r="AT141" s="18"/>
      <c r="AU141" s="18"/>
      <c r="AV141" s="19"/>
      <c r="AW141" s="22"/>
      <c r="AX141" s="18"/>
      <c r="AY141" s="18"/>
      <c r="AZ141" s="18"/>
      <c r="BA141" s="19"/>
      <c r="BB141" s="22"/>
      <c r="BC141" s="18"/>
      <c r="BD141" s="18"/>
      <c r="BE141" s="18"/>
      <c r="BF141" s="19"/>
      <c r="BG141" s="22"/>
      <c r="BH141" s="18"/>
      <c r="BI141" s="18"/>
      <c r="BJ141" s="18"/>
      <c r="BK141" s="19"/>
      <c r="BL141" s="22"/>
      <c r="BM141" s="18"/>
      <c r="BN141" s="18"/>
      <c r="BO141" s="18"/>
      <c r="BP141" s="19"/>
      <c r="BQ141" s="17" t="s">
        <v>310</v>
      </c>
      <c r="BR141" s="1"/>
      <c r="BS141" s="1"/>
      <c r="BT141" s="1"/>
      <c r="BU141" s="1"/>
    </row>
    <row r="142">
      <c r="A142" s="1"/>
      <c r="B142" s="10">
        <v>6.004897043E9</v>
      </c>
      <c r="C142" s="11" t="s">
        <v>261</v>
      </c>
      <c r="D142" s="22"/>
      <c r="E142" s="18"/>
      <c r="F142" s="18"/>
      <c r="G142" s="23">
        <v>275290.0</v>
      </c>
      <c r="H142" s="19"/>
      <c r="I142" s="22"/>
      <c r="J142" s="18"/>
      <c r="K142" s="18"/>
      <c r="L142" s="23">
        <v>237480.0</v>
      </c>
      <c r="M142" s="19"/>
      <c r="N142" s="22"/>
      <c r="O142" s="18"/>
      <c r="P142" s="18"/>
      <c r="Q142" s="23">
        <v>271880.0</v>
      </c>
      <c r="R142" s="19"/>
      <c r="S142" s="22"/>
      <c r="T142" s="18"/>
      <c r="U142" s="18"/>
      <c r="V142" s="23">
        <v>217560.0</v>
      </c>
      <c r="W142" s="19"/>
      <c r="X142" s="18"/>
      <c r="Y142" s="18"/>
      <c r="Z142" s="18"/>
      <c r="AA142" s="23">
        <v>109930.0</v>
      </c>
      <c r="AB142" s="19"/>
      <c r="AC142" s="18"/>
      <c r="AD142" s="18"/>
      <c r="AE142" s="18"/>
      <c r="AF142" s="23">
        <v>43270.0</v>
      </c>
      <c r="AG142" s="19"/>
      <c r="AH142" s="18"/>
      <c r="AI142" s="18"/>
      <c r="AJ142" s="18"/>
      <c r="AK142" s="23">
        <v>41230.0</v>
      </c>
      <c r="AL142" s="19"/>
      <c r="AM142" s="18"/>
      <c r="AN142" s="18"/>
      <c r="AO142" s="18"/>
      <c r="AP142" s="23">
        <v>40450.0</v>
      </c>
      <c r="AQ142" s="19"/>
      <c r="AR142" s="22"/>
      <c r="AS142" s="18"/>
      <c r="AT142" s="18"/>
      <c r="AU142" s="23">
        <v>32860.0</v>
      </c>
      <c r="AV142" s="19"/>
      <c r="AW142" s="22"/>
      <c r="AX142" s="18"/>
      <c r="AY142" s="18"/>
      <c r="AZ142" s="23">
        <v>26420.0</v>
      </c>
      <c r="BA142" s="19"/>
      <c r="BB142" s="22"/>
      <c r="BC142" s="18"/>
      <c r="BD142" s="18"/>
      <c r="BE142" s="23">
        <v>29510.0</v>
      </c>
      <c r="BF142" s="19"/>
      <c r="BG142" s="22"/>
      <c r="BH142" s="18"/>
      <c r="BI142" s="18"/>
      <c r="BJ142" s="23">
        <v>149490.0</v>
      </c>
      <c r="BK142" s="19"/>
      <c r="BL142" s="22"/>
      <c r="BM142" s="18"/>
      <c r="BN142" s="18"/>
      <c r="BO142" s="23">
        <v>269850.0</v>
      </c>
      <c r="BP142" s="19"/>
      <c r="BQ142" s="17" t="s">
        <v>310</v>
      </c>
      <c r="BR142" s="1"/>
      <c r="BS142" s="1"/>
      <c r="BT142" s="1"/>
      <c r="BU142" s="1"/>
    </row>
    <row r="143">
      <c r="A143" s="1"/>
      <c r="B143" s="10" t="s">
        <v>26</v>
      </c>
      <c r="C143" s="11" t="s">
        <v>51</v>
      </c>
      <c r="D143" s="22"/>
      <c r="E143" s="18"/>
      <c r="F143" s="18"/>
      <c r="G143" s="18"/>
      <c r="H143" s="19"/>
      <c r="I143" s="22"/>
      <c r="J143" s="18"/>
      <c r="K143" s="18"/>
      <c r="L143" s="18"/>
      <c r="M143" s="19"/>
      <c r="N143" s="22"/>
      <c r="O143" s="18"/>
      <c r="P143" s="18"/>
      <c r="Q143" s="18"/>
      <c r="R143" s="19"/>
      <c r="S143" s="22"/>
      <c r="T143" s="18"/>
      <c r="U143" s="18"/>
      <c r="V143" s="18"/>
      <c r="W143" s="19"/>
      <c r="X143" s="18"/>
      <c r="Y143" s="18"/>
      <c r="Z143" s="18"/>
      <c r="AA143" s="18"/>
      <c r="AB143" s="19"/>
      <c r="AC143" s="18"/>
      <c r="AD143" s="18"/>
      <c r="AE143" s="18"/>
      <c r="AF143" s="18"/>
      <c r="AG143" s="19"/>
      <c r="AH143" s="18"/>
      <c r="AI143" s="18"/>
      <c r="AJ143" s="18"/>
      <c r="AK143" s="18"/>
      <c r="AL143" s="19"/>
      <c r="AM143" s="18"/>
      <c r="AN143" s="18"/>
      <c r="AO143" s="18"/>
      <c r="AP143" s="18"/>
      <c r="AQ143" s="19"/>
      <c r="AR143" s="22"/>
      <c r="AS143" s="18"/>
      <c r="AT143" s="18"/>
      <c r="AU143" s="18"/>
      <c r="AV143" s="19"/>
      <c r="AW143" s="22"/>
      <c r="AX143" s="18"/>
      <c r="AY143" s="18"/>
      <c r="AZ143" s="18"/>
      <c r="BA143" s="19"/>
      <c r="BB143" s="22"/>
      <c r="BC143" s="18"/>
      <c r="BD143" s="18"/>
      <c r="BE143" s="18"/>
      <c r="BF143" s="19"/>
      <c r="BG143" s="22"/>
      <c r="BH143" s="18"/>
      <c r="BI143" s="18"/>
      <c r="BJ143" s="18"/>
      <c r="BK143" s="19"/>
      <c r="BL143" s="22"/>
      <c r="BM143" s="18"/>
      <c r="BN143" s="18"/>
      <c r="BO143" s="18"/>
      <c r="BP143" s="19"/>
      <c r="BQ143" s="17" t="s">
        <v>310</v>
      </c>
      <c r="BR143" s="1"/>
      <c r="BS143" s="1"/>
      <c r="BT143" s="1"/>
      <c r="BU143" s="1"/>
    </row>
    <row r="144">
      <c r="A144" s="1"/>
      <c r="B144" s="21"/>
      <c r="C144" s="11" t="s">
        <v>52</v>
      </c>
      <c r="D144" s="22"/>
      <c r="E144" s="18"/>
      <c r="F144" s="18"/>
      <c r="G144" s="18"/>
      <c r="H144" s="19"/>
      <c r="I144" s="22"/>
      <c r="J144" s="18"/>
      <c r="K144" s="18"/>
      <c r="L144" s="18"/>
      <c r="M144" s="19"/>
      <c r="N144" s="22"/>
      <c r="O144" s="18"/>
      <c r="P144" s="18"/>
      <c r="Q144" s="18"/>
      <c r="R144" s="19"/>
      <c r="S144" s="22"/>
      <c r="T144" s="18"/>
      <c r="U144" s="18"/>
      <c r="V144" s="18"/>
      <c r="W144" s="19"/>
      <c r="X144" s="18"/>
      <c r="Y144" s="18"/>
      <c r="Z144" s="18"/>
      <c r="AA144" s="18"/>
      <c r="AB144" s="19"/>
      <c r="AC144" s="18"/>
      <c r="AD144" s="18"/>
      <c r="AE144" s="18"/>
      <c r="AF144" s="18"/>
      <c r="AG144" s="19"/>
      <c r="AH144" s="18"/>
      <c r="AI144" s="18"/>
      <c r="AJ144" s="18"/>
      <c r="AK144" s="18"/>
      <c r="AL144" s="19"/>
      <c r="AM144" s="18"/>
      <c r="AN144" s="18"/>
      <c r="AO144" s="18"/>
      <c r="AP144" s="18"/>
      <c r="AQ144" s="19"/>
      <c r="AR144" s="22"/>
      <c r="AS144" s="18"/>
      <c r="AT144" s="18"/>
      <c r="AU144" s="18"/>
      <c r="AV144" s="19"/>
      <c r="AW144" s="22"/>
      <c r="AX144" s="18"/>
      <c r="AY144" s="18"/>
      <c r="AZ144" s="18"/>
      <c r="BA144" s="19"/>
      <c r="BB144" s="22"/>
      <c r="BC144" s="18"/>
      <c r="BD144" s="18"/>
      <c r="BE144" s="18"/>
      <c r="BF144" s="19"/>
      <c r="BG144" s="22"/>
      <c r="BH144" s="18"/>
      <c r="BI144" s="18"/>
      <c r="BJ144" s="18"/>
      <c r="BK144" s="19"/>
      <c r="BL144" s="22"/>
      <c r="BM144" s="18"/>
      <c r="BN144" s="18"/>
      <c r="BO144" s="18"/>
      <c r="BP144" s="19"/>
      <c r="BQ144" s="17" t="s">
        <v>310</v>
      </c>
      <c r="BR144" s="1"/>
      <c r="BS144" s="1"/>
      <c r="BT144" s="1"/>
      <c r="BU144" s="1"/>
    </row>
    <row r="145">
      <c r="A145" s="1"/>
      <c r="B145" s="21"/>
      <c r="C145" s="11" t="s">
        <v>53</v>
      </c>
      <c r="D145" s="22"/>
      <c r="E145" s="18"/>
      <c r="F145" s="18"/>
      <c r="G145" s="18"/>
      <c r="H145" s="19"/>
      <c r="I145" s="22"/>
      <c r="J145" s="18"/>
      <c r="K145" s="18"/>
      <c r="L145" s="18"/>
      <c r="M145" s="19"/>
      <c r="N145" s="22"/>
      <c r="O145" s="18"/>
      <c r="P145" s="18"/>
      <c r="Q145" s="18"/>
      <c r="R145" s="19"/>
      <c r="S145" s="22"/>
      <c r="T145" s="18"/>
      <c r="U145" s="18"/>
      <c r="V145" s="18"/>
      <c r="W145" s="19"/>
      <c r="X145" s="18"/>
      <c r="Y145" s="18"/>
      <c r="Z145" s="18"/>
      <c r="AA145" s="18"/>
      <c r="AB145" s="19"/>
      <c r="AC145" s="18"/>
      <c r="AD145" s="18"/>
      <c r="AE145" s="18"/>
      <c r="AF145" s="18"/>
      <c r="AG145" s="19"/>
      <c r="AH145" s="18"/>
      <c r="AI145" s="18"/>
      <c r="AJ145" s="18"/>
      <c r="AK145" s="18"/>
      <c r="AL145" s="19"/>
      <c r="AM145" s="18"/>
      <c r="AN145" s="18"/>
      <c r="AO145" s="18"/>
      <c r="AP145" s="18"/>
      <c r="AQ145" s="19"/>
      <c r="AR145" s="22"/>
      <c r="AS145" s="18"/>
      <c r="AT145" s="18"/>
      <c r="AU145" s="18"/>
      <c r="AV145" s="19"/>
      <c r="AW145" s="22"/>
      <c r="AX145" s="18"/>
      <c r="AY145" s="18"/>
      <c r="AZ145" s="18"/>
      <c r="BA145" s="19"/>
      <c r="BB145" s="22"/>
      <c r="BC145" s="18"/>
      <c r="BD145" s="18"/>
      <c r="BE145" s="18"/>
      <c r="BF145" s="19"/>
      <c r="BG145" s="22"/>
      <c r="BH145" s="18"/>
      <c r="BI145" s="18"/>
      <c r="BJ145" s="18"/>
      <c r="BK145" s="19"/>
      <c r="BL145" s="22"/>
      <c r="BM145" s="18"/>
      <c r="BN145" s="18"/>
      <c r="BO145" s="18"/>
      <c r="BP145" s="19"/>
      <c r="BQ145" s="17" t="s">
        <v>310</v>
      </c>
      <c r="BR145" s="1"/>
      <c r="BS145" s="1"/>
      <c r="BT145" s="1"/>
      <c r="BU145" s="1"/>
    </row>
    <row r="146">
      <c r="A146" s="1"/>
      <c r="B146" s="21"/>
      <c r="C146" s="11" t="s">
        <v>54</v>
      </c>
      <c r="D146" s="22"/>
      <c r="E146" s="18"/>
      <c r="F146" s="18"/>
      <c r="G146" s="23">
        <f>SUMIFS('지출'!$G$3:$G1000,'지출'!$J$3:$J1000,G$1,'지출'!$C$3:$C1000,"샤네")</f>
        <v>50730</v>
      </c>
      <c r="H146" s="19"/>
      <c r="I146" s="22"/>
      <c r="J146" s="18"/>
      <c r="K146" s="18"/>
      <c r="L146" s="23">
        <f>SUMIFS('지출'!$G$3:$G1000,'지출'!$J$3:$J1000,L$1,'지출'!$C$3:$C1000,"샤네")</f>
        <v>82750</v>
      </c>
      <c r="M146" s="24"/>
      <c r="N146" s="18"/>
      <c r="O146" s="18"/>
      <c r="P146" s="18"/>
      <c r="Q146" s="23">
        <f>SUMIFS('지출'!$G$3:$G1000,'지출'!$J$3:$J1000,Q$1,'지출'!$C$3:$C1000,"샤네")</f>
        <v>0</v>
      </c>
      <c r="R146" s="24"/>
      <c r="S146" s="18"/>
      <c r="T146" s="18"/>
      <c r="U146" s="18"/>
      <c r="V146" s="23">
        <f>SUMIFS('지출'!$G$3:$G1000,'지출'!$J$3:$J1000,V$1,'지출'!$C$3:$C1000,"샤네")</f>
        <v>0</v>
      </c>
      <c r="W146" s="24"/>
      <c r="X146" s="18"/>
      <c r="Y146" s="18"/>
      <c r="Z146" s="18"/>
      <c r="AA146" s="23">
        <f>SUMIFS('지출'!$G$3:$G1000,'지출'!$J$3:$J1000,AA$1,'지출'!$C$3:$C1000,"샤네")</f>
        <v>0</v>
      </c>
      <c r="AB146" s="24"/>
      <c r="AC146" s="18"/>
      <c r="AD146" s="18"/>
      <c r="AE146" s="18"/>
      <c r="AF146" s="23">
        <f>SUMIFS('지출'!$G$3:$G1000,'지출'!$J$3:$J1000,AF$1,'지출'!$C$3:$C1000,"샤네")</f>
        <v>0</v>
      </c>
      <c r="AG146" s="24"/>
      <c r="AH146" s="18"/>
      <c r="AI146" s="18"/>
      <c r="AJ146" s="18"/>
      <c r="AK146" s="23">
        <f>SUMIFS('지출'!$G$3:$G1000,'지출'!$J$3:$J1000,AK$1,'지출'!$C$3:$C1000,"샤네")</f>
        <v>0</v>
      </c>
      <c r="AL146" s="24"/>
      <c r="AM146" s="18"/>
      <c r="AN146" s="18"/>
      <c r="AO146" s="18"/>
      <c r="AP146" s="23">
        <f>SUMIFS('지출'!$G$3:$G1000,'지출'!$J$3:$J1000,AP$1,'지출'!$C$3:$C1000,"샤네")</f>
        <v>0</v>
      </c>
      <c r="AQ146" s="24"/>
      <c r="AR146" s="18"/>
      <c r="AS146" s="18"/>
      <c r="AT146" s="18"/>
      <c r="AU146" s="23">
        <f>SUMIFS('지출'!$G$3:$G1000,'지출'!$J$3:$J1000,AU$1,'지출'!$C$3:$C1000,"샤네")</f>
        <v>0</v>
      </c>
      <c r="AV146" s="24"/>
      <c r="AW146" s="18"/>
      <c r="AX146" s="18"/>
      <c r="AY146" s="18"/>
      <c r="AZ146" s="23">
        <f>SUMIFS('지출'!$G$3:$G1000,'지출'!$J$3:$J1000,AZ$1,'지출'!$C$3:$C1000,"샤네")</f>
        <v>0</v>
      </c>
      <c r="BA146" s="24"/>
      <c r="BB146" s="18"/>
      <c r="BC146" s="18"/>
      <c r="BD146" s="18"/>
      <c r="BE146" s="23">
        <f>SUMIFS('지출'!$G$3:$G1000,'지출'!$J$3:$J1000,BE$1,'지출'!$C$3:$C1000,"샤네")</f>
        <v>0</v>
      </c>
      <c r="BF146" s="24"/>
      <c r="BG146" s="18"/>
      <c r="BH146" s="18"/>
      <c r="BI146" s="18"/>
      <c r="BJ146" s="23">
        <f>SUMIFS('지출'!$G$3:$G1000,'지출'!$J$3:$J1000,BJ$1,'지출'!$C$3:$C1000,"샤네")</f>
        <v>0</v>
      </c>
      <c r="BK146" s="19"/>
      <c r="BL146" s="18"/>
      <c r="BM146" s="18"/>
      <c r="BN146" s="18"/>
      <c r="BO146" s="23">
        <f>SUMIFS('지출'!$G$3:$G1000,'지출'!$J$3:$J1000,BO$1,'지출'!$C$3:$C1000,"샤네")</f>
        <v>50730</v>
      </c>
      <c r="BP146" s="19"/>
      <c r="BQ146" s="17" t="s">
        <v>310</v>
      </c>
      <c r="BR146" s="1"/>
      <c r="BS146" s="1"/>
      <c r="BT146" s="1"/>
      <c r="BU146" s="1"/>
    </row>
    <row r="147">
      <c r="A147" s="1"/>
      <c r="B147" s="21"/>
      <c r="C147" s="11" t="s">
        <v>56</v>
      </c>
      <c r="D147" s="22"/>
      <c r="E147" s="23">
        <f>E138-(SUM(E139:E146))</f>
        <v>930000</v>
      </c>
      <c r="F147" s="18"/>
      <c r="G147" s="23">
        <f>G138-(SUM(G139:G146))</f>
        <v>-6020</v>
      </c>
      <c r="H147" s="19"/>
      <c r="I147" s="22"/>
      <c r="J147" s="23">
        <f>J138-(SUM(J139:J146))</f>
        <v>930000</v>
      </c>
      <c r="K147" s="18"/>
      <c r="L147" s="23">
        <f>L138-(SUM(L139:L146))</f>
        <v>-230</v>
      </c>
      <c r="M147" s="19"/>
      <c r="N147" s="22"/>
      <c r="O147" s="23">
        <f>O138-(SUM(O139:O146))</f>
        <v>930000</v>
      </c>
      <c r="P147" s="18"/>
      <c r="Q147" s="23">
        <f>Q138-(SUM(Q139:Q146))</f>
        <v>48120</v>
      </c>
      <c r="R147" s="19"/>
      <c r="S147" s="22"/>
      <c r="T147" s="23">
        <f>T138-(SUM(T139:T146))</f>
        <v>930000</v>
      </c>
      <c r="U147" s="18"/>
      <c r="V147" s="23">
        <f>V138-(SUM(V139:V146))</f>
        <v>102440</v>
      </c>
      <c r="W147" s="19"/>
      <c r="X147" s="18"/>
      <c r="Y147" s="23">
        <f>Y138-(SUM(Y139:Y146))</f>
        <v>930000</v>
      </c>
      <c r="Z147" s="18"/>
      <c r="AA147" s="23">
        <f>AA138-(SUM(AA139:AA146))</f>
        <v>210070</v>
      </c>
      <c r="AB147" s="19"/>
      <c r="AC147" s="18"/>
      <c r="AD147" s="23">
        <f>AD138-(SUM(AD139:AD146))</f>
        <v>930000</v>
      </c>
      <c r="AE147" s="18"/>
      <c r="AF147" s="23">
        <f>AF138-(SUM(AF139:AF146))</f>
        <v>276730</v>
      </c>
      <c r="AG147" s="19"/>
      <c r="AH147" s="18"/>
      <c r="AI147" s="23">
        <f>AI138-(SUM(AI139:AI146))</f>
        <v>930000</v>
      </c>
      <c r="AJ147" s="18"/>
      <c r="AK147" s="23">
        <f>AK138-(SUM(AK139:AK146))</f>
        <v>278770</v>
      </c>
      <c r="AL147" s="19"/>
      <c r="AM147" s="18"/>
      <c r="AN147" s="23">
        <f>AN138-(SUM(AN139:AN146))</f>
        <v>946774</v>
      </c>
      <c r="AO147" s="18"/>
      <c r="AP147" s="23">
        <f>AP138-(SUM(AP139:AP146))</f>
        <v>282131</v>
      </c>
      <c r="AQ147" s="19"/>
      <c r="AR147" s="22"/>
      <c r="AS147" s="23">
        <f>AS138-(SUM(AS139:AS146))</f>
        <v>530000</v>
      </c>
      <c r="AT147" s="18"/>
      <c r="AU147" s="23">
        <f>AU138-(SUM(AU139:AU146))</f>
        <v>207140</v>
      </c>
      <c r="AV147" s="19"/>
      <c r="AW147" s="22"/>
      <c r="AX147" s="23">
        <f>AX138-(SUM(AX139:AX146))</f>
        <v>530000</v>
      </c>
      <c r="AY147" s="18"/>
      <c r="AZ147" s="23">
        <f>AZ138-(SUM(AZ139:AZ146))</f>
        <v>213580</v>
      </c>
      <c r="BA147" s="19"/>
      <c r="BB147" s="22"/>
      <c r="BC147" s="23">
        <f>BC138-(SUM(BC139:BC146))</f>
        <v>530000</v>
      </c>
      <c r="BD147" s="18"/>
      <c r="BE147" s="23">
        <f>BE138-(SUM(BE139:BE146))</f>
        <v>210490</v>
      </c>
      <c r="BF147" s="19"/>
      <c r="BG147" s="22"/>
      <c r="BH147" s="23">
        <f>BH138-(SUM(BH139:BH146))</f>
        <v>530000</v>
      </c>
      <c r="BI147" s="18"/>
      <c r="BJ147" s="23">
        <f>BJ138-(SUM(BJ139:BJ146))</f>
        <v>90510</v>
      </c>
      <c r="BK147" s="19"/>
      <c r="BL147" s="22"/>
      <c r="BM147" s="23">
        <f>BM138-(SUM(BM139:BM146))</f>
        <v>530000</v>
      </c>
      <c r="BN147" s="18"/>
      <c r="BO147" s="23">
        <f>BO138-(SUM(BO139:BO146))</f>
        <v>-80580</v>
      </c>
      <c r="BP147" s="19"/>
      <c r="BQ147" s="17" t="s">
        <v>310</v>
      </c>
      <c r="BR147" s="1"/>
      <c r="BS147" s="1"/>
      <c r="BT147" s="1"/>
      <c r="BU147" s="1"/>
    </row>
    <row r="148">
      <c r="A148" s="39"/>
      <c r="B148" s="27">
        <v>0.75</v>
      </c>
      <c r="C148" s="11" t="s">
        <v>26</v>
      </c>
      <c r="D148" s="22"/>
      <c r="E148" s="23">
        <f>E147*$B148</f>
        <v>697500</v>
      </c>
      <c r="F148" s="18"/>
      <c r="G148" s="18"/>
      <c r="H148" s="19"/>
      <c r="I148" s="22"/>
      <c r="J148" s="23">
        <f>J147*$B148</f>
        <v>697500</v>
      </c>
      <c r="K148" s="18"/>
      <c r="L148" s="18"/>
      <c r="M148" s="19"/>
      <c r="N148" s="22"/>
      <c r="O148" s="23">
        <f>O147*$B148</f>
        <v>697500</v>
      </c>
      <c r="P148" s="18"/>
      <c r="Q148" s="18"/>
      <c r="R148" s="19"/>
      <c r="S148" s="22"/>
      <c r="T148" s="23">
        <f>T147*$B148</f>
        <v>697500</v>
      </c>
      <c r="U148" s="18"/>
      <c r="V148" s="18"/>
      <c r="W148" s="19"/>
      <c r="X148" s="18"/>
      <c r="Y148" s="23">
        <f>Y147*$B148</f>
        <v>697500</v>
      </c>
      <c r="Z148" s="18"/>
      <c r="AA148" s="18"/>
      <c r="AB148" s="19"/>
      <c r="AC148" s="18"/>
      <c r="AD148" s="23">
        <f>AD147*$B148</f>
        <v>697500</v>
      </c>
      <c r="AE148" s="18"/>
      <c r="AF148" s="18"/>
      <c r="AG148" s="19"/>
      <c r="AH148" s="18"/>
      <c r="AI148" s="23">
        <f>AI147*$B148</f>
        <v>697500</v>
      </c>
      <c r="AJ148" s="18"/>
      <c r="AK148" s="18"/>
      <c r="AL148" s="19"/>
      <c r="AM148" s="18"/>
      <c r="AN148" s="23">
        <f>AN147*$B148</f>
        <v>710080.5</v>
      </c>
      <c r="AO148" s="18"/>
      <c r="AP148" s="18"/>
      <c r="AQ148" s="19"/>
      <c r="AR148" s="22"/>
      <c r="AS148" s="23">
        <f>AS147*$B148</f>
        <v>397500</v>
      </c>
      <c r="AT148" s="18"/>
      <c r="AU148" s="18"/>
      <c r="AV148" s="19"/>
      <c r="AW148" s="22"/>
      <c r="AX148" s="23">
        <f>AX147*$B148</f>
        <v>397500</v>
      </c>
      <c r="AY148" s="18"/>
      <c r="AZ148" s="18"/>
      <c r="BA148" s="19"/>
      <c r="BB148" s="22"/>
      <c r="BC148" s="23">
        <f>BC147*$B148</f>
        <v>397500</v>
      </c>
      <c r="BD148" s="18"/>
      <c r="BE148" s="18"/>
      <c r="BF148" s="19"/>
      <c r="BG148" s="22"/>
      <c r="BH148" s="23">
        <f>BH147*$B148</f>
        <v>397500</v>
      </c>
      <c r="BI148" s="18"/>
      <c r="BJ148" s="18"/>
      <c r="BK148" s="19"/>
      <c r="BL148" s="22"/>
      <c r="BM148" s="23">
        <f>BM147*$B148</f>
        <v>397500</v>
      </c>
      <c r="BN148" s="18"/>
      <c r="BO148" s="18"/>
      <c r="BP148" s="19"/>
      <c r="BQ148" s="17" t="s">
        <v>310</v>
      </c>
      <c r="BR148" s="1"/>
      <c r="BS148" s="1"/>
      <c r="BT148" s="1"/>
      <c r="BU148" s="1"/>
    </row>
    <row r="149">
      <c r="A149" s="28" t="str">
        <f>B134</f>
        <v>샤네</v>
      </c>
      <c r="B149" s="29">
        <v>0.25</v>
      </c>
      <c r="C149" s="30" t="s">
        <v>57</v>
      </c>
      <c r="D149" s="31"/>
      <c r="E149" s="32">
        <f>E147*$B149</f>
        <v>232500</v>
      </c>
      <c r="F149" s="33"/>
      <c r="G149" s="33"/>
      <c r="H149" s="34"/>
      <c r="I149" s="31"/>
      <c r="J149" s="32">
        <f>J147*$B149</f>
        <v>232500</v>
      </c>
      <c r="K149" s="33"/>
      <c r="L149" s="33"/>
      <c r="M149" s="34"/>
      <c r="N149" s="31"/>
      <c r="O149" s="32">
        <f>O147*$B149</f>
        <v>232500</v>
      </c>
      <c r="P149" s="33"/>
      <c r="Q149" s="33"/>
      <c r="R149" s="34"/>
      <c r="S149" s="31"/>
      <c r="T149" s="32">
        <f>T147*$B149</f>
        <v>232500</v>
      </c>
      <c r="U149" s="33"/>
      <c r="V149" s="33"/>
      <c r="W149" s="34"/>
      <c r="X149" s="33"/>
      <c r="Y149" s="32">
        <f>Y147*$B149</f>
        <v>232500</v>
      </c>
      <c r="Z149" s="33"/>
      <c r="AA149" s="33"/>
      <c r="AB149" s="34"/>
      <c r="AC149" s="33"/>
      <c r="AD149" s="32">
        <f>AD147*$B149</f>
        <v>232500</v>
      </c>
      <c r="AE149" s="33"/>
      <c r="AF149" s="33"/>
      <c r="AG149" s="34"/>
      <c r="AH149" s="33"/>
      <c r="AI149" s="32">
        <f>AI147*$B149</f>
        <v>232500</v>
      </c>
      <c r="AJ149" s="33"/>
      <c r="AK149" s="33"/>
      <c r="AL149" s="34"/>
      <c r="AM149" s="33"/>
      <c r="AN149" s="32">
        <f>AN147*$B149</f>
        <v>236693.5</v>
      </c>
      <c r="AO149" s="33"/>
      <c r="AP149" s="33"/>
      <c r="AQ149" s="34"/>
      <c r="AR149" s="31"/>
      <c r="AS149" s="32">
        <f>AS147*$B149</f>
        <v>132500</v>
      </c>
      <c r="AT149" s="33"/>
      <c r="AU149" s="33"/>
      <c r="AV149" s="34"/>
      <c r="AW149" s="31"/>
      <c r="AX149" s="32">
        <f>AX147*$B149</f>
        <v>132500</v>
      </c>
      <c r="AY149" s="33"/>
      <c r="AZ149" s="33"/>
      <c r="BA149" s="34"/>
      <c r="BB149" s="31"/>
      <c r="BC149" s="32">
        <f>BC147*$B149</f>
        <v>132500</v>
      </c>
      <c r="BD149" s="33"/>
      <c r="BE149" s="33"/>
      <c r="BF149" s="34"/>
      <c r="BG149" s="31"/>
      <c r="BH149" s="32">
        <f>BH147*$B149</f>
        <v>132500</v>
      </c>
      <c r="BI149" s="33"/>
      <c r="BJ149" s="33"/>
      <c r="BK149" s="34"/>
      <c r="BL149" s="31"/>
      <c r="BM149" s="32">
        <f>BM147*$B149</f>
        <v>132500</v>
      </c>
      <c r="BN149" s="33"/>
      <c r="BO149" s="33"/>
      <c r="BP149" s="34"/>
      <c r="BQ149" s="17" t="s">
        <v>310</v>
      </c>
      <c r="BR149" s="1"/>
      <c r="BS149" s="1"/>
      <c r="BT149" s="1"/>
      <c r="BU149" s="1"/>
    </row>
    <row r="150">
      <c r="A150" s="1"/>
      <c r="B150" s="10" t="s">
        <v>319</v>
      </c>
      <c r="C150" s="11" t="s">
        <v>320</v>
      </c>
      <c r="D150" s="20" t="s">
        <v>37</v>
      </c>
      <c r="E150" s="18"/>
      <c r="F150" s="35" t="b">
        <v>0</v>
      </c>
      <c r="G150" s="18"/>
      <c r="H150" s="15" t="b">
        <v>0</v>
      </c>
      <c r="I150" s="20" t="s">
        <v>37</v>
      </c>
      <c r="J150" s="18"/>
      <c r="K150" s="35" t="b">
        <v>0</v>
      </c>
      <c r="L150" s="18"/>
      <c r="M150" s="15" t="b">
        <v>0</v>
      </c>
      <c r="N150" s="21"/>
      <c r="O150" s="18"/>
      <c r="P150" s="35" t="b">
        <v>0</v>
      </c>
      <c r="Q150" s="18"/>
      <c r="R150" s="15" t="b">
        <v>0</v>
      </c>
      <c r="S150" s="21"/>
      <c r="T150" s="18"/>
      <c r="U150" s="35" t="b">
        <v>0</v>
      </c>
      <c r="V150" s="18"/>
      <c r="W150" s="15" t="b">
        <v>0</v>
      </c>
      <c r="X150" s="21"/>
      <c r="Y150" s="18"/>
      <c r="Z150" s="35" t="b">
        <v>0</v>
      </c>
      <c r="AA150" s="18"/>
      <c r="AB150" s="15" t="b">
        <v>0</v>
      </c>
      <c r="AC150" s="21"/>
      <c r="AD150" s="18"/>
      <c r="AE150" s="35" t="b">
        <v>0</v>
      </c>
      <c r="AF150" s="18"/>
      <c r="AG150" s="15" t="b">
        <v>0</v>
      </c>
      <c r="AH150" s="21"/>
      <c r="AI150" s="18"/>
      <c r="AJ150" s="35" t="b">
        <v>0</v>
      </c>
      <c r="AK150" s="18"/>
      <c r="AL150" s="15" t="b">
        <v>0</v>
      </c>
      <c r="AM150" s="21"/>
      <c r="AN150" s="18"/>
      <c r="AO150" s="35" t="b">
        <v>0</v>
      </c>
      <c r="AP150" s="18"/>
      <c r="AQ150" s="15" t="b">
        <v>0</v>
      </c>
      <c r="AR150" s="21"/>
      <c r="AS150" s="18"/>
      <c r="AT150" s="35" t="b">
        <v>0</v>
      </c>
      <c r="AU150" s="18"/>
      <c r="AV150" s="15" t="b">
        <v>0</v>
      </c>
      <c r="AW150" s="21"/>
      <c r="AX150" s="18"/>
      <c r="AY150" s="35" t="b">
        <v>0</v>
      </c>
      <c r="AZ150" s="18"/>
      <c r="BA150" s="15" t="b">
        <v>0</v>
      </c>
      <c r="BB150" s="21"/>
      <c r="BC150" s="18"/>
      <c r="BD150" s="35" t="b">
        <v>0</v>
      </c>
      <c r="BE150" s="18"/>
      <c r="BF150" s="15" t="b">
        <v>0</v>
      </c>
      <c r="BG150" s="21"/>
      <c r="BH150" s="18"/>
      <c r="BI150" s="35" t="b">
        <v>0</v>
      </c>
      <c r="BJ150" s="18"/>
      <c r="BK150" s="15" t="b">
        <v>0</v>
      </c>
      <c r="BL150" s="21"/>
      <c r="BM150" s="18"/>
      <c r="BN150" s="35" t="b">
        <v>0</v>
      </c>
      <c r="BO150" s="18"/>
      <c r="BP150" s="15" t="b">
        <v>0</v>
      </c>
      <c r="BQ150" s="17" t="s">
        <v>321</v>
      </c>
      <c r="BR150" s="1"/>
      <c r="BS150" s="1"/>
      <c r="BT150" s="1"/>
      <c r="BU150" s="1"/>
    </row>
    <row r="151">
      <c r="A151" s="1"/>
      <c r="B151" s="10" t="s">
        <v>319</v>
      </c>
      <c r="C151" s="11" t="s">
        <v>322</v>
      </c>
      <c r="D151" s="20" t="s">
        <v>37</v>
      </c>
      <c r="E151" s="18"/>
      <c r="F151" s="35" t="b">
        <v>0</v>
      </c>
      <c r="G151" s="18"/>
      <c r="H151" s="15" t="b">
        <v>0</v>
      </c>
      <c r="I151" s="20" t="s">
        <v>37</v>
      </c>
      <c r="J151" s="18"/>
      <c r="K151" s="35" t="b">
        <v>0</v>
      </c>
      <c r="L151" s="18"/>
      <c r="M151" s="15" t="b">
        <v>0</v>
      </c>
      <c r="N151" s="21"/>
      <c r="O151" s="18"/>
      <c r="P151" s="35" t="b">
        <v>0</v>
      </c>
      <c r="Q151" s="18"/>
      <c r="R151" s="15" t="b">
        <v>0</v>
      </c>
      <c r="S151" s="21"/>
      <c r="T151" s="18"/>
      <c r="U151" s="35" t="b">
        <v>0</v>
      </c>
      <c r="V151" s="18"/>
      <c r="W151" s="15" t="b">
        <v>0</v>
      </c>
      <c r="X151" s="1"/>
      <c r="Y151" s="18"/>
      <c r="Z151" s="35" t="b">
        <v>0</v>
      </c>
      <c r="AA151" s="18"/>
      <c r="AB151" s="15" t="b">
        <v>0</v>
      </c>
      <c r="AC151" s="1"/>
      <c r="AD151" s="18"/>
      <c r="AE151" s="35" t="b">
        <v>0</v>
      </c>
      <c r="AF151" s="18"/>
      <c r="AG151" s="15" t="b">
        <v>0</v>
      </c>
      <c r="AH151" s="1"/>
      <c r="AI151" s="18"/>
      <c r="AJ151" s="35" t="b">
        <v>0</v>
      </c>
      <c r="AK151" s="18"/>
      <c r="AL151" s="15" t="b">
        <v>0</v>
      </c>
      <c r="AM151" s="1"/>
      <c r="AN151" s="18"/>
      <c r="AO151" s="35" t="b">
        <v>0</v>
      </c>
      <c r="AP151" s="18"/>
      <c r="AQ151" s="15" t="b">
        <v>0</v>
      </c>
      <c r="AR151" s="21"/>
      <c r="AS151" s="18"/>
      <c r="AT151" s="35" t="b">
        <v>0</v>
      </c>
      <c r="AU151" s="18"/>
      <c r="AV151" s="15" t="b">
        <v>0</v>
      </c>
      <c r="AW151" s="21"/>
      <c r="AX151" s="18"/>
      <c r="AY151" s="35" t="b">
        <v>0</v>
      </c>
      <c r="AZ151" s="18"/>
      <c r="BA151" s="15" t="b">
        <v>0</v>
      </c>
      <c r="BB151" s="21"/>
      <c r="BC151" s="18"/>
      <c r="BD151" s="35" t="b">
        <v>0</v>
      </c>
      <c r="BE151" s="18"/>
      <c r="BF151" s="15" t="b">
        <v>0</v>
      </c>
      <c r="BG151" s="21"/>
      <c r="BH151" s="18"/>
      <c r="BI151" s="35" t="b">
        <v>0</v>
      </c>
      <c r="BJ151" s="18"/>
      <c r="BK151" s="15" t="b">
        <v>0</v>
      </c>
      <c r="BL151" s="21"/>
      <c r="BM151" s="18"/>
      <c r="BN151" s="35" t="b">
        <v>0</v>
      </c>
      <c r="BO151" s="18"/>
      <c r="BP151" s="15" t="b">
        <v>0</v>
      </c>
      <c r="BQ151" s="17" t="s">
        <v>321</v>
      </c>
      <c r="BR151" s="1"/>
      <c r="BS151" s="1"/>
      <c r="BT151" s="1"/>
      <c r="BU151" s="1"/>
    </row>
    <row r="152">
      <c r="A152" s="1"/>
      <c r="B152" s="10" t="s">
        <v>319</v>
      </c>
      <c r="C152" s="11" t="s">
        <v>323</v>
      </c>
      <c r="D152" s="20" t="s">
        <v>37</v>
      </c>
      <c r="E152" s="18"/>
      <c r="F152" s="35" t="b">
        <v>0</v>
      </c>
      <c r="G152" s="18"/>
      <c r="H152" s="15" t="b">
        <v>0</v>
      </c>
      <c r="I152" s="20" t="s">
        <v>37</v>
      </c>
      <c r="J152" s="18"/>
      <c r="K152" s="35" t="b">
        <v>0</v>
      </c>
      <c r="L152" s="18"/>
      <c r="M152" s="15" t="b">
        <v>0</v>
      </c>
      <c r="N152" s="21"/>
      <c r="O152" s="18"/>
      <c r="P152" s="35" t="b">
        <v>0</v>
      </c>
      <c r="Q152" s="18"/>
      <c r="R152" s="15" t="b">
        <v>0</v>
      </c>
      <c r="S152" s="21"/>
      <c r="T152" s="18"/>
      <c r="U152" s="35" t="b">
        <v>0</v>
      </c>
      <c r="V152" s="18"/>
      <c r="W152" s="15" t="b">
        <v>0</v>
      </c>
      <c r="X152" s="1"/>
      <c r="Y152" s="18"/>
      <c r="Z152" s="35" t="b">
        <v>0</v>
      </c>
      <c r="AA152" s="18"/>
      <c r="AB152" s="15" t="b">
        <v>0</v>
      </c>
      <c r="AC152" s="1"/>
      <c r="AD152" s="18"/>
      <c r="AE152" s="35" t="b">
        <v>0</v>
      </c>
      <c r="AF152" s="18"/>
      <c r="AG152" s="15" t="b">
        <v>0</v>
      </c>
      <c r="AH152" s="1"/>
      <c r="AI152" s="18"/>
      <c r="AJ152" s="35" t="b">
        <v>0</v>
      </c>
      <c r="AK152" s="18"/>
      <c r="AL152" s="15" t="b">
        <v>0</v>
      </c>
      <c r="AM152" s="1"/>
      <c r="AN152" s="18"/>
      <c r="AO152" s="35" t="b">
        <v>0</v>
      </c>
      <c r="AP152" s="18"/>
      <c r="AQ152" s="15" t="b">
        <v>0</v>
      </c>
      <c r="AR152" s="21"/>
      <c r="AS152" s="18"/>
      <c r="AT152" s="35" t="b">
        <v>0</v>
      </c>
      <c r="AU152" s="18"/>
      <c r="AV152" s="15" t="b">
        <v>0</v>
      </c>
      <c r="AW152" s="21"/>
      <c r="AX152" s="18"/>
      <c r="AY152" s="35" t="b">
        <v>0</v>
      </c>
      <c r="AZ152" s="18"/>
      <c r="BA152" s="15" t="b">
        <v>0</v>
      </c>
      <c r="BB152" s="21"/>
      <c r="BC152" s="18"/>
      <c r="BD152" s="35" t="b">
        <v>0</v>
      </c>
      <c r="BE152" s="18"/>
      <c r="BF152" s="15" t="b">
        <v>0</v>
      </c>
      <c r="BG152" s="21"/>
      <c r="BH152" s="18"/>
      <c r="BI152" s="35" t="b">
        <v>0</v>
      </c>
      <c r="BJ152" s="18"/>
      <c r="BK152" s="15" t="b">
        <v>0</v>
      </c>
      <c r="BL152" s="21"/>
      <c r="BM152" s="18"/>
      <c r="BN152" s="35" t="b">
        <v>0</v>
      </c>
      <c r="BO152" s="18"/>
      <c r="BP152" s="15" t="b">
        <v>0</v>
      </c>
      <c r="BQ152" s="17" t="s">
        <v>321</v>
      </c>
      <c r="BR152" s="1"/>
      <c r="BS152" s="1"/>
      <c r="BT152" s="1"/>
      <c r="BU152" s="1"/>
    </row>
    <row r="153">
      <c r="A153" s="1"/>
      <c r="B153" s="10" t="s">
        <v>319</v>
      </c>
      <c r="C153" s="11" t="s">
        <v>324</v>
      </c>
      <c r="D153" s="20" t="s">
        <v>37</v>
      </c>
      <c r="E153" s="18"/>
      <c r="F153" s="35" t="b">
        <v>0</v>
      </c>
      <c r="G153" s="18"/>
      <c r="H153" s="15" t="b">
        <v>0</v>
      </c>
      <c r="I153" s="20" t="s">
        <v>37</v>
      </c>
      <c r="J153" s="18"/>
      <c r="K153" s="35" t="b">
        <v>0</v>
      </c>
      <c r="L153" s="18"/>
      <c r="M153" s="15" t="b">
        <v>0</v>
      </c>
      <c r="N153" s="21"/>
      <c r="O153" s="18"/>
      <c r="P153" s="35" t="b">
        <v>0</v>
      </c>
      <c r="Q153" s="18"/>
      <c r="R153" s="15" t="b">
        <v>0</v>
      </c>
      <c r="S153" s="21"/>
      <c r="T153" s="18"/>
      <c r="U153" s="35" t="b">
        <v>0</v>
      </c>
      <c r="V153" s="18"/>
      <c r="W153" s="15" t="b">
        <v>0</v>
      </c>
      <c r="X153" s="1"/>
      <c r="Y153" s="18"/>
      <c r="Z153" s="35" t="b">
        <v>0</v>
      </c>
      <c r="AA153" s="18"/>
      <c r="AB153" s="15" t="b">
        <v>0</v>
      </c>
      <c r="AC153" s="1"/>
      <c r="AD153" s="18"/>
      <c r="AE153" s="35" t="b">
        <v>0</v>
      </c>
      <c r="AF153" s="18"/>
      <c r="AG153" s="15" t="b">
        <v>0</v>
      </c>
      <c r="AH153" s="1"/>
      <c r="AI153" s="18"/>
      <c r="AJ153" s="35" t="b">
        <v>0</v>
      </c>
      <c r="AK153" s="18"/>
      <c r="AL153" s="15" t="b">
        <v>0</v>
      </c>
      <c r="AM153" s="1"/>
      <c r="AN153" s="18"/>
      <c r="AO153" s="35" t="b">
        <v>0</v>
      </c>
      <c r="AP153" s="18"/>
      <c r="AQ153" s="15" t="b">
        <v>0</v>
      </c>
      <c r="AR153" s="21"/>
      <c r="AS153" s="18"/>
      <c r="AT153" s="35" t="b">
        <v>0</v>
      </c>
      <c r="AU153" s="18"/>
      <c r="AV153" s="15" t="b">
        <v>0</v>
      </c>
      <c r="AW153" s="21"/>
      <c r="AX153" s="18"/>
      <c r="AY153" s="35" t="b">
        <v>0</v>
      </c>
      <c r="AZ153" s="18"/>
      <c r="BA153" s="15" t="b">
        <v>0</v>
      </c>
      <c r="BB153" s="21"/>
      <c r="BC153" s="18"/>
      <c r="BD153" s="35" t="b">
        <v>0</v>
      </c>
      <c r="BE153" s="18"/>
      <c r="BF153" s="15" t="b">
        <v>0</v>
      </c>
      <c r="BG153" s="21"/>
      <c r="BH153" s="18"/>
      <c r="BI153" s="35" t="b">
        <v>0</v>
      </c>
      <c r="BJ153" s="18"/>
      <c r="BK153" s="15" t="b">
        <v>0</v>
      </c>
      <c r="BL153" s="21"/>
      <c r="BM153" s="18"/>
      <c r="BN153" s="35" t="b">
        <v>0</v>
      </c>
      <c r="BO153" s="18"/>
      <c r="BP153" s="15" t="b">
        <v>0</v>
      </c>
      <c r="BQ153" s="17" t="s">
        <v>321</v>
      </c>
      <c r="BR153" s="1"/>
      <c r="BS153" s="1"/>
      <c r="BT153" s="1"/>
      <c r="BU153" s="1"/>
    </row>
    <row r="154">
      <c r="A154" s="1"/>
      <c r="B154" s="21"/>
      <c r="C154" s="11" t="s">
        <v>42</v>
      </c>
      <c r="D154" s="22"/>
      <c r="E154" s="23">
        <f>SUM(E150:E153)</f>
        <v>0</v>
      </c>
      <c r="F154" s="18"/>
      <c r="G154" s="23">
        <f>SUM(G150:G153)</f>
        <v>0</v>
      </c>
      <c r="H154" s="19"/>
      <c r="I154" s="22"/>
      <c r="J154" s="23">
        <f>SUM(J150:J153)</f>
        <v>0</v>
      </c>
      <c r="K154" s="18"/>
      <c r="L154" s="23">
        <f>SUM(L150:L153)</f>
        <v>0</v>
      </c>
      <c r="M154" s="19"/>
      <c r="N154" s="22"/>
      <c r="O154" s="23">
        <f>SUM(O150:O153)</f>
        <v>0</v>
      </c>
      <c r="P154" s="18"/>
      <c r="Q154" s="23">
        <f>SUM(Q150:Q153)</f>
        <v>0</v>
      </c>
      <c r="R154" s="19"/>
      <c r="S154" s="22"/>
      <c r="T154" s="23">
        <f>SUM(T150:T153)</f>
        <v>0</v>
      </c>
      <c r="U154" s="18"/>
      <c r="V154" s="23">
        <f>SUM(V150:V153)</f>
        <v>0</v>
      </c>
      <c r="W154" s="19"/>
      <c r="X154" s="18"/>
      <c r="Y154" s="23">
        <f>SUM(Y150:Y153)</f>
        <v>0</v>
      </c>
      <c r="Z154" s="18"/>
      <c r="AA154" s="23">
        <f>SUM(AA150:AA153)</f>
        <v>0</v>
      </c>
      <c r="AB154" s="19"/>
      <c r="AC154" s="18"/>
      <c r="AD154" s="23">
        <f>SUM(AD150:AD153)</f>
        <v>0</v>
      </c>
      <c r="AE154" s="18"/>
      <c r="AF154" s="23">
        <f>SUM(AF150:AF153)</f>
        <v>0</v>
      </c>
      <c r="AG154" s="19"/>
      <c r="AH154" s="18"/>
      <c r="AI154" s="23">
        <f>SUM(AI150:AI153)</f>
        <v>0</v>
      </c>
      <c r="AJ154" s="18"/>
      <c r="AK154" s="23">
        <f>SUM(AK150:AK153)</f>
        <v>0</v>
      </c>
      <c r="AL154" s="19"/>
      <c r="AM154" s="18"/>
      <c r="AN154" s="23">
        <f>SUM(AN150:AN153)</f>
        <v>0</v>
      </c>
      <c r="AO154" s="18"/>
      <c r="AP154" s="23">
        <f>SUM(AP150:AP153)</f>
        <v>0</v>
      </c>
      <c r="AQ154" s="19"/>
      <c r="AR154" s="22"/>
      <c r="AS154" s="23">
        <f>SUM(AS150:AS153)</f>
        <v>0</v>
      </c>
      <c r="AT154" s="18"/>
      <c r="AU154" s="23">
        <f>SUM(AU150:AU153)</f>
        <v>0</v>
      </c>
      <c r="AV154" s="19"/>
      <c r="AW154" s="22"/>
      <c r="AX154" s="23">
        <f>SUM(AX150:AX153)</f>
        <v>0</v>
      </c>
      <c r="AY154" s="18"/>
      <c r="AZ154" s="23">
        <f>SUM(AZ150:AZ153)</f>
        <v>0</v>
      </c>
      <c r="BA154" s="19"/>
      <c r="BB154" s="22"/>
      <c r="BC154" s="23">
        <f>SUM(BC150:BC153)</f>
        <v>0</v>
      </c>
      <c r="BD154" s="18"/>
      <c r="BE154" s="23">
        <f>SUM(BE150:BE153)</f>
        <v>0</v>
      </c>
      <c r="BF154" s="19"/>
      <c r="BG154" s="22"/>
      <c r="BH154" s="23">
        <f>SUM(BH150:BH153)</f>
        <v>0</v>
      </c>
      <c r="BI154" s="18"/>
      <c r="BJ154" s="23">
        <f>SUM(BJ150:BJ153)</f>
        <v>0</v>
      </c>
      <c r="BK154" s="19"/>
      <c r="BL154" s="22"/>
      <c r="BM154" s="23">
        <f>SUM(BM150:BM153)</f>
        <v>0</v>
      </c>
      <c r="BN154" s="18"/>
      <c r="BO154" s="23">
        <f>SUM(BO150:BO153)</f>
        <v>0</v>
      </c>
      <c r="BP154" s="19"/>
      <c r="BQ154" s="17" t="s">
        <v>321</v>
      </c>
      <c r="BR154" s="1"/>
      <c r="BS154" s="1"/>
      <c r="BT154" s="1"/>
      <c r="BU154" s="1"/>
    </row>
    <row r="155">
      <c r="A155" s="1"/>
      <c r="B155" s="21"/>
      <c r="C155" s="11" t="s">
        <v>43</v>
      </c>
      <c r="D155" s="22"/>
      <c r="E155" s="23">
        <v>700000.0</v>
      </c>
      <c r="F155" s="18"/>
      <c r="G155" s="18"/>
      <c r="H155" s="19"/>
      <c r="I155" s="22"/>
      <c r="J155" s="23">
        <v>700000.0</v>
      </c>
      <c r="K155" s="18"/>
      <c r="L155" s="18"/>
      <c r="M155" s="19"/>
      <c r="N155" s="22"/>
      <c r="O155" s="23">
        <v>700000.0</v>
      </c>
      <c r="P155" s="18"/>
      <c r="Q155" s="18"/>
      <c r="R155" s="19"/>
      <c r="S155" s="22"/>
      <c r="T155" s="23">
        <v>0.0</v>
      </c>
      <c r="U155" s="18"/>
      <c r="V155" s="18"/>
      <c r="W155" s="19"/>
      <c r="X155" s="18"/>
      <c r="Y155" s="23">
        <v>0.0</v>
      </c>
      <c r="Z155" s="18"/>
      <c r="AA155" s="18"/>
      <c r="AB155" s="19"/>
      <c r="AC155" s="18"/>
      <c r="AD155" s="23">
        <v>0.0</v>
      </c>
      <c r="AE155" s="18"/>
      <c r="AF155" s="18"/>
      <c r="AG155" s="19"/>
      <c r="AH155" s="18"/>
      <c r="AI155" s="23">
        <v>0.0</v>
      </c>
      <c r="AJ155" s="18"/>
      <c r="AK155" s="18"/>
      <c r="AL155" s="19"/>
      <c r="AM155" s="18"/>
      <c r="AN155" s="23">
        <v>0.0</v>
      </c>
      <c r="AO155" s="18"/>
      <c r="AP155" s="18"/>
      <c r="AQ155" s="19"/>
      <c r="AR155" s="22"/>
      <c r="AS155" s="23">
        <v>0.0</v>
      </c>
      <c r="AT155" s="18"/>
      <c r="AU155" s="18"/>
      <c r="AV155" s="19"/>
      <c r="AW155" s="22"/>
      <c r="AX155" s="23">
        <v>0.0</v>
      </c>
      <c r="AY155" s="18"/>
      <c r="AZ155" s="18"/>
      <c r="BA155" s="19"/>
      <c r="BB155" s="22"/>
      <c r="BC155" s="23">
        <v>0.0</v>
      </c>
      <c r="BD155" s="18"/>
      <c r="BE155" s="18"/>
      <c r="BF155" s="19"/>
      <c r="BG155" s="22"/>
      <c r="BH155" s="23">
        <v>0.0</v>
      </c>
      <c r="BI155" s="18"/>
      <c r="BJ155" s="18"/>
      <c r="BK155" s="19"/>
      <c r="BL155" s="22"/>
      <c r="BM155" s="23">
        <v>0.0</v>
      </c>
      <c r="BN155" s="18"/>
      <c r="BO155" s="18"/>
      <c r="BP155" s="19"/>
      <c r="BQ155" s="17" t="s">
        <v>321</v>
      </c>
      <c r="BR155" s="1"/>
      <c r="BS155" s="1"/>
      <c r="BT155" s="1"/>
      <c r="BU155" s="1"/>
    </row>
    <row r="156">
      <c r="A156" s="1"/>
      <c r="B156" s="21"/>
      <c r="C156" s="11" t="s">
        <v>45</v>
      </c>
      <c r="D156" s="22"/>
      <c r="E156" s="18"/>
      <c r="F156" s="18"/>
      <c r="G156" s="18"/>
      <c r="H156" s="19"/>
      <c r="I156" s="22"/>
      <c r="J156" s="18"/>
      <c r="K156" s="18"/>
      <c r="L156" s="18"/>
      <c r="M156" s="19"/>
      <c r="N156" s="22"/>
      <c r="O156" s="18"/>
      <c r="P156" s="18"/>
      <c r="Q156" s="18"/>
      <c r="R156" s="19"/>
      <c r="S156" s="22"/>
      <c r="T156" s="18"/>
      <c r="U156" s="18"/>
      <c r="V156" s="18"/>
      <c r="W156" s="19"/>
      <c r="X156" s="18"/>
      <c r="Y156" s="18"/>
      <c r="Z156" s="18"/>
      <c r="AA156" s="18"/>
      <c r="AB156" s="19"/>
      <c r="AC156" s="18"/>
      <c r="AD156" s="18"/>
      <c r="AE156" s="18"/>
      <c r="AF156" s="18"/>
      <c r="AG156" s="19"/>
      <c r="AH156" s="18"/>
      <c r="AI156" s="18"/>
      <c r="AJ156" s="18"/>
      <c r="AK156" s="18"/>
      <c r="AL156" s="19"/>
      <c r="AM156" s="18"/>
      <c r="AN156" s="18"/>
      <c r="AO156" s="18"/>
      <c r="AP156" s="18"/>
      <c r="AQ156" s="19"/>
      <c r="AR156" s="22"/>
      <c r="AS156" s="18"/>
      <c r="AT156" s="18"/>
      <c r="AU156" s="18"/>
      <c r="AV156" s="19"/>
      <c r="AW156" s="22"/>
      <c r="AX156" s="18"/>
      <c r="AY156" s="18"/>
      <c r="AZ156" s="18"/>
      <c r="BA156" s="19"/>
      <c r="BB156" s="22"/>
      <c r="BC156" s="18"/>
      <c r="BD156" s="18"/>
      <c r="BE156" s="18"/>
      <c r="BF156" s="19"/>
      <c r="BG156" s="22"/>
      <c r="BH156" s="18"/>
      <c r="BI156" s="18"/>
      <c r="BJ156" s="18"/>
      <c r="BK156" s="19"/>
      <c r="BL156" s="22"/>
      <c r="BM156" s="18"/>
      <c r="BN156" s="18"/>
      <c r="BO156" s="18"/>
      <c r="BP156" s="19"/>
      <c r="BQ156" s="17" t="s">
        <v>321</v>
      </c>
      <c r="BR156" s="1"/>
      <c r="BS156" s="1"/>
      <c r="BT156" s="1"/>
      <c r="BU156" s="1"/>
    </row>
    <row r="157">
      <c r="A157" s="1"/>
      <c r="B157" s="10" t="s">
        <v>325</v>
      </c>
      <c r="C157" s="11" t="s">
        <v>303</v>
      </c>
      <c r="D157" s="22"/>
      <c r="E157" s="18"/>
      <c r="F157" s="18"/>
      <c r="G157" s="18"/>
      <c r="H157" s="19"/>
      <c r="I157" s="22"/>
      <c r="J157" s="18"/>
      <c r="K157" s="18"/>
      <c r="L157" s="18"/>
      <c r="M157" s="19"/>
      <c r="N157" s="22"/>
      <c r="O157" s="18"/>
      <c r="P157" s="18"/>
      <c r="Q157" s="18"/>
      <c r="R157" s="19"/>
      <c r="S157" s="22"/>
      <c r="T157" s="18"/>
      <c r="U157" s="18"/>
      <c r="V157" s="18"/>
      <c r="W157" s="19"/>
      <c r="X157" s="18"/>
      <c r="Y157" s="18"/>
      <c r="Z157" s="18"/>
      <c r="AA157" s="18"/>
      <c r="AB157" s="19"/>
      <c r="AC157" s="18"/>
      <c r="AD157" s="18"/>
      <c r="AE157" s="18"/>
      <c r="AF157" s="18"/>
      <c r="AG157" s="19"/>
      <c r="AH157" s="18"/>
      <c r="AI157" s="18"/>
      <c r="AJ157" s="18"/>
      <c r="AK157" s="18"/>
      <c r="AL157" s="19"/>
      <c r="AM157" s="18"/>
      <c r="AN157" s="18"/>
      <c r="AO157" s="18"/>
      <c r="AP157" s="18"/>
      <c r="AQ157" s="19"/>
      <c r="AR157" s="22"/>
      <c r="AS157" s="18"/>
      <c r="AT157" s="18"/>
      <c r="AU157" s="18"/>
      <c r="AV157" s="19"/>
      <c r="AW157" s="22"/>
      <c r="AX157" s="18"/>
      <c r="AY157" s="18"/>
      <c r="AZ157" s="18"/>
      <c r="BA157" s="19"/>
      <c r="BB157" s="22"/>
      <c r="BC157" s="18"/>
      <c r="BD157" s="18"/>
      <c r="BE157" s="18"/>
      <c r="BF157" s="19"/>
      <c r="BG157" s="22"/>
      <c r="BH157" s="18"/>
      <c r="BI157" s="18"/>
      <c r="BJ157" s="18"/>
      <c r="BK157" s="19"/>
      <c r="BL157" s="22"/>
      <c r="BM157" s="18"/>
      <c r="BN157" s="18"/>
      <c r="BO157" s="18"/>
      <c r="BP157" s="19"/>
      <c r="BQ157" s="17" t="s">
        <v>321</v>
      </c>
      <c r="BR157" s="1"/>
      <c r="BS157" s="1"/>
      <c r="BT157" s="1"/>
      <c r="BU157" s="1"/>
    </row>
    <row r="158">
      <c r="A158" s="1"/>
      <c r="B158" s="10">
        <v>6.006955345E9</v>
      </c>
      <c r="C158" s="11" t="s">
        <v>261</v>
      </c>
      <c r="D158" s="22"/>
      <c r="E158" s="18"/>
      <c r="F158" s="18"/>
      <c r="G158" s="23">
        <v>9250.0</v>
      </c>
      <c r="H158" s="19"/>
      <c r="I158" s="22"/>
      <c r="J158" s="18"/>
      <c r="K158" s="18"/>
      <c r="L158" s="23">
        <v>19000.0</v>
      </c>
      <c r="M158" s="19"/>
      <c r="N158" s="22"/>
      <c r="O158" s="18"/>
      <c r="P158" s="18"/>
      <c r="Q158" s="23">
        <v>17990.0</v>
      </c>
      <c r="R158" s="19"/>
      <c r="S158" s="22"/>
      <c r="T158" s="18"/>
      <c r="U158" s="18"/>
      <c r="V158" s="23">
        <v>9200.0</v>
      </c>
      <c r="W158" s="19"/>
      <c r="X158" s="18"/>
      <c r="Y158" s="18"/>
      <c r="Z158" s="18"/>
      <c r="AA158" s="23">
        <v>32590.0</v>
      </c>
      <c r="AB158" s="19"/>
      <c r="AC158" s="18"/>
      <c r="AD158" s="18"/>
      <c r="AE158" s="18"/>
      <c r="AF158" s="23">
        <v>20830.0</v>
      </c>
      <c r="AG158" s="19"/>
      <c r="AH158" s="18"/>
      <c r="AI158" s="18"/>
      <c r="AJ158" s="18"/>
      <c r="AK158" s="23">
        <v>27680.0</v>
      </c>
      <c r="AL158" s="19"/>
      <c r="AM158" s="18"/>
      <c r="AN158" s="18"/>
      <c r="AO158" s="18"/>
      <c r="AP158" s="23">
        <v>49580.0</v>
      </c>
      <c r="AQ158" s="19"/>
      <c r="AR158" s="22"/>
      <c r="AS158" s="18"/>
      <c r="AT158" s="18"/>
      <c r="AU158" s="23">
        <v>3460.0</v>
      </c>
      <c r="AV158" s="19"/>
      <c r="AW158" s="22"/>
      <c r="AX158" s="18"/>
      <c r="AY158" s="18"/>
      <c r="AZ158" s="23">
        <v>10740.0</v>
      </c>
      <c r="BA158" s="19"/>
      <c r="BB158" s="22"/>
      <c r="BC158" s="18"/>
      <c r="BD158" s="18"/>
      <c r="BE158" s="23">
        <v>31680.0</v>
      </c>
      <c r="BF158" s="19"/>
      <c r="BG158" s="22"/>
      <c r="BH158" s="18"/>
      <c r="BI158" s="18"/>
      <c r="BJ158" s="23">
        <v>77180.0</v>
      </c>
      <c r="BK158" s="19"/>
      <c r="BL158" s="22"/>
      <c r="BM158" s="18"/>
      <c r="BN158" s="18"/>
      <c r="BO158" s="18"/>
      <c r="BP158" s="19"/>
      <c r="BQ158" s="17" t="s">
        <v>321</v>
      </c>
      <c r="BR158" s="1"/>
      <c r="BS158" s="1"/>
      <c r="BT158" s="1"/>
      <c r="BU158" s="1"/>
    </row>
    <row r="159">
      <c r="A159" s="1"/>
      <c r="B159" s="10" t="s">
        <v>326</v>
      </c>
      <c r="C159" s="11" t="s">
        <v>51</v>
      </c>
      <c r="D159" s="22"/>
      <c r="E159" s="18"/>
      <c r="F159" s="18"/>
      <c r="G159" s="18"/>
      <c r="H159" s="19"/>
      <c r="I159" s="22"/>
      <c r="J159" s="18"/>
      <c r="K159" s="18"/>
      <c r="L159" s="23">
        <v>35000.0</v>
      </c>
      <c r="M159" s="19"/>
      <c r="N159" s="22"/>
      <c r="O159" s="18"/>
      <c r="P159" s="18"/>
      <c r="Q159" s="23">
        <v>35000.0</v>
      </c>
      <c r="R159" s="19"/>
      <c r="S159" s="22"/>
      <c r="T159" s="18"/>
      <c r="U159" s="18"/>
      <c r="V159" s="18"/>
      <c r="W159" s="19"/>
      <c r="X159" s="18"/>
      <c r="Y159" s="18"/>
      <c r="Z159" s="18"/>
      <c r="AA159" s="18"/>
      <c r="AB159" s="19"/>
      <c r="AC159" s="18"/>
      <c r="AD159" s="18"/>
      <c r="AE159" s="18"/>
      <c r="AF159" s="18"/>
      <c r="AG159" s="19"/>
      <c r="AH159" s="18"/>
      <c r="AI159" s="18"/>
      <c r="AJ159" s="18"/>
      <c r="AK159" s="18"/>
      <c r="AL159" s="19"/>
      <c r="AM159" s="18"/>
      <c r="AN159" s="18"/>
      <c r="AO159" s="18"/>
      <c r="AP159" s="18"/>
      <c r="AQ159" s="19"/>
      <c r="AR159" s="22"/>
      <c r="AS159" s="18"/>
      <c r="AT159" s="18"/>
      <c r="AU159" s="18"/>
      <c r="AV159" s="19"/>
      <c r="AW159" s="22"/>
      <c r="AX159" s="18"/>
      <c r="AY159" s="18"/>
      <c r="AZ159" s="18"/>
      <c r="BA159" s="19"/>
      <c r="BB159" s="22"/>
      <c r="BC159" s="18"/>
      <c r="BD159" s="18"/>
      <c r="BE159" s="18"/>
      <c r="BF159" s="19"/>
      <c r="BG159" s="22"/>
      <c r="BH159" s="18"/>
      <c r="BI159" s="18"/>
      <c r="BJ159" s="18"/>
      <c r="BK159" s="19"/>
      <c r="BL159" s="22"/>
      <c r="BM159" s="18"/>
      <c r="BN159" s="18"/>
      <c r="BO159" s="18"/>
      <c r="BP159" s="19"/>
      <c r="BQ159" s="17" t="s">
        <v>321</v>
      </c>
      <c r="BR159" s="1"/>
      <c r="BS159" s="1"/>
      <c r="BT159" s="1"/>
      <c r="BU159" s="1"/>
    </row>
    <row r="160">
      <c r="A160" s="1"/>
      <c r="B160" s="21"/>
      <c r="C160" s="11" t="s">
        <v>52</v>
      </c>
      <c r="D160" s="26" t="s">
        <v>327</v>
      </c>
      <c r="E160" s="18"/>
      <c r="F160" s="18"/>
      <c r="G160" s="18"/>
      <c r="H160" s="19"/>
      <c r="I160" s="22"/>
      <c r="J160" s="18"/>
      <c r="K160" s="18"/>
      <c r="L160" s="18"/>
      <c r="M160" s="19"/>
      <c r="N160" s="22"/>
      <c r="O160" s="18"/>
      <c r="P160" s="18"/>
      <c r="Q160" s="18"/>
      <c r="R160" s="19"/>
      <c r="S160" s="22"/>
      <c r="T160" s="18"/>
      <c r="U160" s="18"/>
      <c r="V160" s="18"/>
      <c r="W160" s="19"/>
      <c r="X160" s="18"/>
      <c r="Y160" s="18"/>
      <c r="Z160" s="18"/>
      <c r="AA160" s="18"/>
      <c r="AB160" s="19"/>
      <c r="AC160" s="18"/>
      <c r="AD160" s="18"/>
      <c r="AE160" s="18"/>
      <c r="AF160" s="18"/>
      <c r="AG160" s="19"/>
      <c r="AH160" s="18"/>
      <c r="AI160" s="18"/>
      <c r="AJ160" s="18"/>
      <c r="AK160" s="18"/>
      <c r="AL160" s="19"/>
      <c r="AM160" s="18"/>
      <c r="AN160" s="18"/>
      <c r="AO160" s="18"/>
      <c r="AP160" s="18"/>
      <c r="AQ160" s="19"/>
      <c r="AR160" s="22"/>
      <c r="AS160" s="18"/>
      <c r="AT160" s="18"/>
      <c r="AU160" s="18"/>
      <c r="AV160" s="19"/>
      <c r="AW160" s="22"/>
      <c r="AX160" s="18"/>
      <c r="AY160" s="18"/>
      <c r="AZ160" s="18"/>
      <c r="BA160" s="19"/>
      <c r="BB160" s="22"/>
      <c r="BC160" s="18"/>
      <c r="BD160" s="18"/>
      <c r="BE160" s="18"/>
      <c r="BF160" s="19"/>
      <c r="BG160" s="22"/>
      <c r="BH160" s="18"/>
      <c r="BI160" s="18"/>
      <c r="BJ160" s="18"/>
      <c r="BK160" s="19"/>
      <c r="BL160" s="22"/>
      <c r="BM160" s="18"/>
      <c r="BN160" s="18"/>
      <c r="BO160" s="18"/>
      <c r="BP160" s="19"/>
      <c r="BQ160" s="17" t="s">
        <v>321</v>
      </c>
      <c r="BR160" s="1"/>
      <c r="BS160" s="1"/>
      <c r="BT160" s="1"/>
      <c r="BU160" s="1"/>
    </row>
    <row r="161">
      <c r="A161" s="1"/>
      <c r="B161" s="21"/>
      <c r="C161" s="11" t="s">
        <v>53</v>
      </c>
      <c r="D161" s="26" t="s">
        <v>327</v>
      </c>
      <c r="E161" s="18"/>
      <c r="F161" s="18"/>
      <c r="G161" s="18"/>
      <c r="H161" s="19"/>
      <c r="I161" s="22"/>
      <c r="J161" s="18"/>
      <c r="K161" s="18"/>
      <c r="L161" s="18"/>
      <c r="M161" s="19"/>
      <c r="N161" s="22"/>
      <c r="O161" s="18"/>
      <c r="P161" s="18"/>
      <c r="Q161" s="18"/>
      <c r="R161" s="19"/>
      <c r="S161" s="22"/>
      <c r="T161" s="18"/>
      <c r="U161" s="18"/>
      <c r="V161" s="18"/>
      <c r="W161" s="19"/>
      <c r="X161" s="18"/>
      <c r="Y161" s="18"/>
      <c r="Z161" s="18"/>
      <c r="AA161" s="18"/>
      <c r="AB161" s="19"/>
      <c r="AC161" s="18"/>
      <c r="AD161" s="18"/>
      <c r="AE161" s="18"/>
      <c r="AF161" s="18"/>
      <c r="AG161" s="19"/>
      <c r="AH161" s="18"/>
      <c r="AI161" s="18"/>
      <c r="AJ161" s="18"/>
      <c r="AK161" s="18"/>
      <c r="AL161" s="19"/>
      <c r="AM161" s="18"/>
      <c r="AN161" s="18"/>
      <c r="AO161" s="18"/>
      <c r="AP161" s="18"/>
      <c r="AQ161" s="19"/>
      <c r="AR161" s="22"/>
      <c r="AS161" s="18"/>
      <c r="AT161" s="18"/>
      <c r="AU161" s="18"/>
      <c r="AV161" s="19"/>
      <c r="AW161" s="22"/>
      <c r="AX161" s="18"/>
      <c r="AY161" s="18"/>
      <c r="AZ161" s="18"/>
      <c r="BA161" s="19"/>
      <c r="BB161" s="22"/>
      <c r="BC161" s="18"/>
      <c r="BD161" s="18"/>
      <c r="BE161" s="18"/>
      <c r="BF161" s="19"/>
      <c r="BG161" s="22"/>
      <c r="BH161" s="18"/>
      <c r="BI161" s="18"/>
      <c r="BJ161" s="18"/>
      <c r="BK161" s="19"/>
      <c r="BL161" s="22"/>
      <c r="BM161" s="18"/>
      <c r="BN161" s="18"/>
      <c r="BO161" s="18"/>
      <c r="BP161" s="19"/>
      <c r="BQ161" s="17" t="s">
        <v>321</v>
      </c>
      <c r="BR161" s="1"/>
      <c r="BS161" s="1"/>
      <c r="BT161" s="1"/>
      <c r="BU161" s="1"/>
    </row>
    <row r="162">
      <c r="A162" s="1"/>
      <c r="B162" s="21"/>
      <c r="C162" s="11" t="s">
        <v>54</v>
      </c>
      <c r="D162" s="22"/>
      <c r="E162" s="18"/>
      <c r="F162" s="18"/>
      <c r="G162" s="23">
        <f>SUMIFS('지출'!$G$3:$G1000,'지출'!$J$3:$J1000,G$1,'지출'!$C$3:$C1000,"벤처")</f>
        <v>0</v>
      </c>
      <c r="H162" s="19"/>
      <c r="I162" s="22"/>
      <c r="J162" s="18"/>
      <c r="K162" s="18"/>
      <c r="L162" s="23">
        <f>SUMIFS('지출'!$G$3:$G1000,'지출'!$J$3:$J1000,L$1,'지출'!$C$3:$C1000,"벤처")</f>
        <v>0</v>
      </c>
      <c r="M162" s="24"/>
      <c r="N162" s="18"/>
      <c r="O162" s="18"/>
      <c r="P162" s="18"/>
      <c r="Q162" s="23">
        <f>SUMIFS('지출'!$G$3:$G1000,'지출'!$J$3:$J1000,Q$1,'지출'!$C$3:$C1000,"벤처")</f>
        <v>0</v>
      </c>
      <c r="R162" s="24"/>
      <c r="S162" s="18"/>
      <c r="T162" s="18"/>
      <c r="U162" s="18"/>
      <c r="V162" s="23">
        <f>SUMIFS('지출'!$G$3:$G1000,'지출'!$J$3:$J1000,V$1,'지출'!$C$3:$C1000,"벤처")</f>
        <v>0</v>
      </c>
      <c r="W162" s="24"/>
      <c r="X162" s="18"/>
      <c r="Y162" s="18"/>
      <c r="Z162" s="18"/>
      <c r="AA162" s="23">
        <f>SUMIFS('지출'!$G$3:$G1000,'지출'!$J$3:$J1000,AA$1,'지출'!$C$3:$C1000,"벤처")</f>
        <v>0</v>
      </c>
      <c r="AB162" s="24"/>
      <c r="AC162" s="18"/>
      <c r="AD162" s="18"/>
      <c r="AE162" s="18"/>
      <c r="AF162" s="23">
        <f>SUMIFS('지출'!$G$3:$G1000,'지출'!$J$3:$J1000,AF$1,'지출'!$C$3:$C1000,"벤처")</f>
        <v>0</v>
      </c>
      <c r="AG162" s="24"/>
      <c r="AH162" s="18"/>
      <c r="AI162" s="18"/>
      <c r="AJ162" s="18"/>
      <c r="AK162" s="23">
        <f>SUMIFS('지출'!$G$3:$G1000,'지출'!$J$3:$J1000,AK$1,'지출'!$C$3:$C1000,"벤처")</f>
        <v>0</v>
      </c>
      <c r="AL162" s="24"/>
      <c r="AM162" s="18"/>
      <c r="AN162" s="18"/>
      <c r="AO162" s="18"/>
      <c r="AP162" s="23">
        <f>SUMIFS('지출'!$G$3:$G1000,'지출'!$J$3:$J1000,AP$1,'지출'!$C$3:$C1000,"벤처")</f>
        <v>0</v>
      </c>
      <c r="AQ162" s="24"/>
      <c r="AR162" s="18"/>
      <c r="AS162" s="18"/>
      <c r="AT162" s="18"/>
      <c r="AU162" s="23">
        <f>SUMIFS('지출'!$G$3:$G1000,'지출'!$J$3:$J1000,AU$1,'지출'!$C$3:$C1000,"벤처")</f>
        <v>0</v>
      </c>
      <c r="AV162" s="24"/>
      <c r="AW162" s="18"/>
      <c r="AX162" s="18"/>
      <c r="AY162" s="18"/>
      <c r="AZ162" s="23">
        <f>SUMIFS('지출'!$G$3:$G1000,'지출'!$J$3:$J1000,AZ$1,'지출'!$C$3:$C1000,"벤처")</f>
        <v>0</v>
      </c>
      <c r="BA162" s="24"/>
      <c r="BB162" s="18"/>
      <c r="BC162" s="18"/>
      <c r="BD162" s="18"/>
      <c r="BE162" s="23">
        <f>SUMIFS('지출'!$G$3:$G1000,'지출'!$J$3:$J1000,BE$1,'지출'!$C$3:$C1000,"벤처")</f>
        <v>0</v>
      </c>
      <c r="BF162" s="24"/>
      <c r="BG162" s="18"/>
      <c r="BH162" s="18"/>
      <c r="BI162" s="18"/>
      <c r="BJ162" s="23">
        <f>SUMIFS('지출'!$G$3:$G1000,'지출'!$J$3:$J1000,BJ$1,'지출'!$C$3:$C1000,"벤처")</f>
        <v>0</v>
      </c>
      <c r="BK162" s="19"/>
      <c r="BL162" s="18"/>
      <c r="BM162" s="18"/>
      <c r="BN162" s="18"/>
      <c r="BO162" s="23">
        <f>SUMIFS('지출'!$G$3:$G1000,'지출'!$J$3:$J1000,BO$1,'지출'!$C$3:$C1000,"벤처")</f>
        <v>0</v>
      </c>
      <c r="BP162" s="19"/>
      <c r="BQ162" s="17" t="s">
        <v>321</v>
      </c>
      <c r="BR162" s="1"/>
      <c r="BS162" s="1"/>
      <c r="BT162" s="1"/>
      <c r="BU162" s="1"/>
    </row>
    <row r="163">
      <c r="A163" s="1"/>
      <c r="B163" s="21"/>
      <c r="C163" s="11" t="s">
        <v>56</v>
      </c>
      <c r="D163" s="22"/>
      <c r="E163" s="23">
        <f>E154-(SUM(E155:E162))</f>
        <v>-700000</v>
      </c>
      <c r="F163" s="18"/>
      <c r="G163" s="23">
        <f>G154-(SUM(G155:G162))</f>
        <v>-9250</v>
      </c>
      <c r="H163" s="19"/>
      <c r="I163" s="22"/>
      <c r="J163" s="23">
        <f>J154-(SUM(J155:J162))</f>
        <v>-700000</v>
      </c>
      <c r="K163" s="18"/>
      <c r="L163" s="23">
        <f>L154-(SUM(L155:L162))</f>
        <v>-54000</v>
      </c>
      <c r="M163" s="19"/>
      <c r="N163" s="22"/>
      <c r="O163" s="23">
        <f>O154-(SUM(O155:O162))</f>
        <v>-700000</v>
      </c>
      <c r="P163" s="18"/>
      <c r="Q163" s="23">
        <f>Q154-(SUM(Q155:Q162))</f>
        <v>-52990</v>
      </c>
      <c r="R163" s="19"/>
      <c r="S163" s="22"/>
      <c r="T163" s="23">
        <f>T154-(SUM(T155:T162))</f>
        <v>0</v>
      </c>
      <c r="U163" s="18"/>
      <c r="V163" s="23">
        <f>V154-(SUM(V155:V162))</f>
        <v>-9200</v>
      </c>
      <c r="W163" s="19"/>
      <c r="X163" s="18"/>
      <c r="Y163" s="23">
        <f>Y154-(SUM(Y155:Y162))</f>
        <v>0</v>
      </c>
      <c r="Z163" s="18"/>
      <c r="AA163" s="23">
        <f>AA154-(SUM(AA155:AA162))</f>
        <v>-32590</v>
      </c>
      <c r="AB163" s="19"/>
      <c r="AC163" s="18"/>
      <c r="AD163" s="23">
        <f>AD154-(SUM(AD155:AD162))</f>
        <v>0</v>
      </c>
      <c r="AE163" s="18"/>
      <c r="AF163" s="23">
        <f>AF154-(SUM(AF155:AF162))</f>
        <v>-20830</v>
      </c>
      <c r="AG163" s="19"/>
      <c r="AH163" s="18"/>
      <c r="AI163" s="23">
        <f>AI154-(SUM(AI155:AI162))</f>
        <v>0</v>
      </c>
      <c r="AJ163" s="18"/>
      <c r="AK163" s="23">
        <f>AK154-(SUM(AK155:AK162))</f>
        <v>-27680</v>
      </c>
      <c r="AL163" s="19"/>
      <c r="AM163" s="18"/>
      <c r="AN163" s="23">
        <f>AN154-(SUM(AN155:AN162))</f>
        <v>0</v>
      </c>
      <c r="AO163" s="18"/>
      <c r="AP163" s="23">
        <f>AP154-(SUM(AP155:AP162))</f>
        <v>-49580</v>
      </c>
      <c r="AQ163" s="19"/>
      <c r="AR163" s="22"/>
      <c r="AS163" s="23">
        <f>AS154-(SUM(AS155:AS162))</f>
        <v>0</v>
      </c>
      <c r="AT163" s="18"/>
      <c r="AU163" s="23">
        <f>AU154-(SUM(AU155:AU162))</f>
        <v>-3460</v>
      </c>
      <c r="AV163" s="19"/>
      <c r="AW163" s="22"/>
      <c r="AX163" s="23">
        <f>AX154-(SUM(AX155:AX162))</f>
        <v>0</v>
      </c>
      <c r="AY163" s="18"/>
      <c r="AZ163" s="23">
        <f>AZ154-(SUM(AZ155:AZ162))</f>
        <v>-10740</v>
      </c>
      <c r="BA163" s="19"/>
      <c r="BB163" s="22"/>
      <c r="BC163" s="23">
        <f>BC154-(SUM(BC155:BC162))</f>
        <v>0</v>
      </c>
      <c r="BD163" s="18"/>
      <c r="BE163" s="23">
        <f>BE154-(SUM(BE155:BE162))</f>
        <v>-31680</v>
      </c>
      <c r="BF163" s="19"/>
      <c r="BG163" s="22"/>
      <c r="BH163" s="23">
        <f>BH154-(SUM(BH155:BH162))</f>
        <v>0</v>
      </c>
      <c r="BI163" s="18"/>
      <c r="BJ163" s="23">
        <f>BJ154-(SUM(BJ155:BJ162))</f>
        <v>-77180</v>
      </c>
      <c r="BK163" s="19"/>
      <c r="BL163" s="22"/>
      <c r="BM163" s="23">
        <f>BM154-(SUM(BM155:BM162))</f>
        <v>0</v>
      </c>
      <c r="BN163" s="18"/>
      <c r="BO163" s="23">
        <f>BO154-(SUM(BO155:BO162))</f>
        <v>0</v>
      </c>
      <c r="BP163" s="19"/>
      <c r="BQ163" s="17" t="s">
        <v>321</v>
      </c>
      <c r="BR163" s="1"/>
      <c r="BS163" s="1"/>
      <c r="BT163" s="1"/>
      <c r="BU163" s="1"/>
    </row>
    <row r="164">
      <c r="A164" s="1"/>
      <c r="B164" s="27">
        <v>0.0</v>
      </c>
      <c r="C164" s="11" t="s">
        <v>26</v>
      </c>
      <c r="D164" s="22"/>
      <c r="E164" s="23">
        <f>E163*$B164</f>
        <v>0</v>
      </c>
      <c r="F164" s="18"/>
      <c r="G164" s="18"/>
      <c r="H164" s="19"/>
      <c r="I164" s="22"/>
      <c r="J164" s="23">
        <f>J163*$B164</f>
        <v>0</v>
      </c>
      <c r="K164" s="18"/>
      <c r="L164" s="18"/>
      <c r="M164" s="19"/>
      <c r="N164" s="22"/>
      <c r="O164" s="23">
        <f>O163*$B164</f>
        <v>0</v>
      </c>
      <c r="P164" s="18"/>
      <c r="Q164" s="18"/>
      <c r="R164" s="19"/>
      <c r="S164" s="22"/>
      <c r="T164" s="23">
        <f>T163*$B164</f>
        <v>0</v>
      </c>
      <c r="U164" s="18"/>
      <c r="V164" s="18"/>
      <c r="W164" s="19"/>
      <c r="X164" s="18"/>
      <c r="Y164" s="23">
        <f>Y163*$B164</f>
        <v>0</v>
      </c>
      <c r="Z164" s="18"/>
      <c r="AA164" s="18"/>
      <c r="AB164" s="19"/>
      <c r="AC164" s="18"/>
      <c r="AD164" s="23">
        <f>AD163*$B164</f>
        <v>0</v>
      </c>
      <c r="AE164" s="18"/>
      <c r="AF164" s="18"/>
      <c r="AG164" s="19"/>
      <c r="AH164" s="18"/>
      <c r="AI164" s="23">
        <f>AI163*$B164</f>
        <v>0</v>
      </c>
      <c r="AJ164" s="18"/>
      <c r="AK164" s="18"/>
      <c r="AL164" s="19"/>
      <c r="AM164" s="18"/>
      <c r="AN164" s="23">
        <f>AN163*$B164</f>
        <v>0</v>
      </c>
      <c r="AO164" s="18"/>
      <c r="AP164" s="18"/>
      <c r="AQ164" s="19"/>
      <c r="AR164" s="22"/>
      <c r="AS164" s="23">
        <f>AS163*$B164</f>
        <v>0</v>
      </c>
      <c r="AT164" s="18"/>
      <c r="AU164" s="18"/>
      <c r="AV164" s="19"/>
      <c r="AW164" s="22"/>
      <c r="AX164" s="23">
        <f>AX163*$B164</f>
        <v>0</v>
      </c>
      <c r="AY164" s="18"/>
      <c r="AZ164" s="18"/>
      <c r="BA164" s="19"/>
      <c r="BB164" s="22"/>
      <c r="BC164" s="23">
        <f>BC163*$B164</f>
        <v>0</v>
      </c>
      <c r="BD164" s="18"/>
      <c r="BE164" s="18"/>
      <c r="BF164" s="19"/>
      <c r="BG164" s="22"/>
      <c r="BH164" s="23">
        <f>BH163*$B164</f>
        <v>0</v>
      </c>
      <c r="BI164" s="18"/>
      <c r="BJ164" s="18"/>
      <c r="BK164" s="19"/>
      <c r="BL164" s="22"/>
      <c r="BM164" s="23">
        <f>BM163*$B164</f>
        <v>0</v>
      </c>
      <c r="BN164" s="18"/>
      <c r="BO164" s="18"/>
      <c r="BP164" s="19"/>
      <c r="BQ164" s="17" t="s">
        <v>321</v>
      </c>
      <c r="BR164" s="1"/>
      <c r="BS164" s="1"/>
      <c r="BT164" s="1"/>
      <c r="BU164" s="1"/>
    </row>
    <row r="165">
      <c r="A165" s="53" t="str">
        <f>B150</f>
        <v>벤처</v>
      </c>
      <c r="B165" s="29">
        <v>1.0</v>
      </c>
      <c r="C165" s="30" t="s">
        <v>57</v>
      </c>
      <c r="D165" s="31"/>
      <c r="E165" s="32">
        <f>E163*$B165</f>
        <v>-700000</v>
      </c>
      <c r="F165" s="33"/>
      <c r="G165" s="33"/>
      <c r="H165" s="34"/>
      <c r="I165" s="31"/>
      <c r="J165" s="32">
        <f>J163*$B165</f>
        <v>-700000</v>
      </c>
      <c r="K165" s="33"/>
      <c r="L165" s="33"/>
      <c r="M165" s="34"/>
      <c r="N165" s="31"/>
      <c r="O165" s="32">
        <f>O163*$B165</f>
        <v>-700000</v>
      </c>
      <c r="P165" s="33"/>
      <c r="Q165" s="33"/>
      <c r="R165" s="34"/>
      <c r="S165" s="31"/>
      <c r="T165" s="32">
        <f>T163*$B165</f>
        <v>0</v>
      </c>
      <c r="U165" s="33"/>
      <c r="V165" s="33"/>
      <c r="W165" s="34"/>
      <c r="X165" s="33"/>
      <c r="Y165" s="32">
        <f>Y163*$B165</f>
        <v>0</v>
      </c>
      <c r="Z165" s="33"/>
      <c r="AA165" s="33"/>
      <c r="AB165" s="34"/>
      <c r="AC165" s="33"/>
      <c r="AD165" s="32">
        <f>AD163*$B165</f>
        <v>0</v>
      </c>
      <c r="AE165" s="33"/>
      <c r="AF165" s="33"/>
      <c r="AG165" s="34"/>
      <c r="AH165" s="33"/>
      <c r="AI165" s="32">
        <f>AI163*$B165</f>
        <v>0</v>
      </c>
      <c r="AJ165" s="33"/>
      <c r="AK165" s="33"/>
      <c r="AL165" s="34"/>
      <c r="AM165" s="33"/>
      <c r="AN165" s="32">
        <f>AN163*$B165</f>
        <v>0</v>
      </c>
      <c r="AO165" s="33"/>
      <c r="AP165" s="33"/>
      <c r="AQ165" s="34"/>
      <c r="AR165" s="31"/>
      <c r="AS165" s="32">
        <f>AS163*$B165</f>
        <v>0</v>
      </c>
      <c r="AT165" s="33"/>
      <c r="AU165" s="33"/>
      <c r="AV165" s="34"/>
      <c r="AW165" s="31"/>
      <c r="AX165" s="32">
        <f>AX163*$B165</f>
        <v>0</v>
      </c>
      <c r="AY165" s="33"/>
      <c r="AZ165" s="33"/>
      <c r="BA165" s="34"/>
      <c r="BB165" s="31"/>
      <c r="BC165" s="32">
        <f>BC163*$B165</f>
        <v>0</v>
      </c>
      <c r="BD165" s="33"/>
      <c r="BE165" s="33"/>
      <c r="BF165" s="34"/>
      <c r="BG165" s="31"/>
      <c r="BH165" s="32">
        <f>BH163*$B165</f>
        <v>0</v>
      </c>
      <c r="BI165" s="33"/>
      <c r="BJ165" s="33"/>
      <c r="BK165" s="34"/>
      <c r="BL165" s="31"/>
      <c r="BM165" s="32">
        <f>BM163*$B165</f>
        <v>0</v>
      </c>
      <c r="BN165" s="33"/>
      <c r="BO165" s="33"/>
      <c r="BP165" s="34"/>
      <c r="BQ165" s="17" t="s">
        <v>321</v>
      </c>
      <c r="BR165" s="1"/>
      <c r="BS165" s="1"/>
      <c r="BT165" s="1"/>
      <c r="BU165" s="1"/>
    </row>
    <row r="166">
      <c r="A166" s="1"/>
      <c r="B166" s="10" t="s">
        <v>328</v>
      </c>
      <c r="C166" s="11" t="s">
        <v>320</v>
      </c>
      <c r="D166" s="20" t="s">
        <v>37</v>
      </c>
      <c r="E166" s="18"/>
      <c r="F166" s="35" t="b">
        <v>0</v>
      </c>
      <c r="G166" s="18"/>
      <c r="H166" s="15" t="b">
        <v>0</v>
      </c>
      <c r="I166" s="20" t="s">
        <v>37</v>
      </c>
      <c r="J166" s="18"/>
      <c r="K166" s="35" t="b">
        <v>0</v>
      </c>
      <c r="L166" s="18"/>
      <c r="M166" s="15" t="b">
        <v>0</v>
      </c>
      <c r="N166" s="10" t="s">
        <v>329</v>
      </c>
      <c r="O166" s="23">
        <f>500000+436129</f>
        <v>936129</v>
      </c>
      <c r="P166" s="35" t="b">
        <v>1</v>
      </c>
      <c r="Q166" s="23">
        <v>67097.0</v>
      </c>
      <c r="R166" s="15" t="b">
        <v>1</v>
      </c>
      <c r="S166" s="10" t="s">
        <v>330</v>
      </c>
      <c r="T166" s="23">
        <v>520000.0</v>
      </c>
      <c r="U166" s="35" t="b">
        <v>1</v>
      </c>
      <c r="V166" s="23">
        <v>80000.0</v>
      </c>
      <c r="W166" s="15" t="b">
        <v>1</v>
      </c>
      <c r="X166" s="10" t="s">
        <v>330</v>
      </c>
      <c r="Y166" s="23">
        <v>520000.0</v>
      </c>
      <c r="Z166" s="35" t="b">
        <v>1</v>
      </c>
      <c r="AA166" s="23">
        <v>80000.0</v>
      </c>
      <c r="AB166" s="15" t="b">
        <v>1</v>
      </c>
      <c r="AC166" s="10" t="s">
        <v>330</v>
      </c>
      <c r="AD166" s="23">
        <v>520000.0</v>
      </c>
      <c r="AE166" s="35" t="b">
        <v>1</v>
      </c>
      <c r="AF166" s="23">
        <v>80000.0</v>
      </c>
      <c r="AG166" s="35" t="b">
        <v>1</v>
      </c>
      <c r="AH166" s="10" t="s">
        <v>330</v>
      </c>
      <c r="AI166" s="23">
        <v>520000.0</v>
      </c>
      <c r="AJ166" s="35" t="b">
        <v>1</v>
      </c>
      <c r="AK166" s="23">
        <v>80000.0</v>
      </c>
      <c r="AL166" s="35" t="b">
        <v>1</v>
      </c>
      <c r="AM166" s="10" t="s">
        <v>331</v>
      </c>
      <c r="AN166" s="23">
        <v>520000.0</v>
      </c>
      <c r="AO166" s="35" t="b">
        <v>1</v>
      </c>
      <c r="AP166" s="23">
        <v>80000.0</v>
      </c>
      <c r="AQ166" s="35" t="b">
        <v>1</v>
      </c>
      <c r="AR166" s="10" t="s">
        <v>331</v>
      </c>
      <c r="AS166" s="23">
        <v>520000.0</v>
      </c>
      <c r="AT166" s="35" t="b">
        <v>1</v>
      </c>
      <c r="AU166" s="23">
        <v>80000.0</v>
      </c>
      <c r="AV166" s="15" t="b">
        <v>1</v>
      </c>
      <c r="AW166" s="10" t="s">
        <v>331</v>
      </c>
      <c r="AX166" s="23">
        <v>520000.0</v>
      </c>
      <c r="AY166" s="35" t="b">
        <v>1</v>
      </c>
      <c r="AZ166" s="23">
        <v>80000.0</v>
      </c>
      <c r="BA166" s="15" t="b">
        <v>1</v>
      </c>
      <c r="BB166" s="10" t="s">
        <v>331</v>
      </c>
      <c r="BC166" s="23">
        <v>520000.0</v>
      </c>
      <c r="BD166" s="35" t="b">
        <v>1</v>
      </c>
      <c r="BE166" s="23">
        <v>80000.0</v>
      </c>
      <c r="BF166" s="15" t="b">
        <v>1</v>
      </c>
      <c r="BG166" s="10" t="s">
        <v>331</v>
      </c>
      <c r="BH166" s="23">
        <v>520000.0</v>
      </c>
      <c r="BI166" s="35" t="b">
        <v>1</v>
      </c>
      <c r="BJ166" s="23">
        <v>80000.0</v>
      </c>
      <c r="BK166" s="15" t="b">
        <v>1</v>
      </c>
      <c r="BL166" s="10" t="s">
        <v>331</v>
      </c>
      <c r="BM166" s="23">
        <v>520000.0</v>
      </c>
      <c r="BN166" s="35" t="b">
        <v>0</v>
      </c>
      <c r="BO166" s="23">
        <v>80000.0</v>
      </c>
      <c r="BP166" s="15" t="b">
        <v>0</v>
      </c>
      <c r="BQ166" s="17" t="s">
        <v>321</v>
      </c>
      <c r="BR166" s="1"/>
      <c r="BS166" s="1"/>
      <c r="BT166" s="1"/>
      <c r="BU166" s="1"/>
    </row>
    <row r="167">
      <c r="A167" s="1"/>
      <c r="B167" s="10" t="s">
        <v>328</v>
      </c>
      <c r="C167" s="11" t="s">
        <v>332</v>
      </c>
      <c r="D167" s="20" t="s">
        <v>37</v>
      </c>
      <c r="E167" s="18"/>
      <c r="F167" s="35" t="b">
        <v>0</v>
      </c>
      <c r="G167" s="18"/>
      <c r="H167" s="15" t="b">
        <v>0</v>
      </c>
      <c r="I167" s="20" t="s">
        <v>37</v>
      </c>
      <c r="J167" s="18"/>
      <c r="K167" s="35" t="b">
        <v>0</v>
      </c>
      <c r="L167" s="18"/>
      <c r="M167" s="15" t="b">
        <v>0</v>
      </c>
      <c r="N167" s="20" t="s">
        <v>37</v>
      </c>
      <c r="O167" s="18"/>
      <c r="P167" s="35" t="b">
        <v>0</v>
      </c>
      <c r="Q167" s="18"/>
      <c r="R167" s="15" t="b">
        <v>0</v>
      </c>
      <c r="S167" s="10" t="s">
        <v>333</v>
      </c>
      <c r="T167" s="23">
        <v>322000.0</v>
      </c>
      <c r="U167" s="35" t="b">
        <v>1</v>
      </c>
      <c r="V167" s="23">
        <v>61333.0</v>
      </c>
      <c r="W167" s="15" t="b">
        <v>1</v>
      </c>
      <c r="X167" s="17" t="s">
        <v>334</v>
      </c>
      <c r="Y167" s="23">
        <v>420000.0</v>
      </c>
      <c r="Z167" s="35" t="b">
        <v>1</v>
      </c>
      <c r="AA167" s="23">
        <v>80000.0</v>
      </c>
      <c r="AB167" s="35" t="b">
        <v>1</v>
      </c>
      <c r="AC167" s="17" t="s">
        <v>334</v>
      </c>
      <c r="AD167" s="23">
        <v>420000.0</v>
      </c>
      <c r="AE167" s="35" t="b">
        <v>1</v>
      </c>
      <c r="AF167" s="23">
        <v>80000.0</v>
      </c>
      <c r="AG167" s="35" t="b">
        <v>1</v>
      </c>
      <c r="AH167" s="17" t="s">
        <v>335</v>
      </c>
      <c r="AI167" s="23">
        <v>94839.0</v>
      </c>
      <c r="AJ167" s="35" t="b">
        <v>1</v>
      </c>
      <c r="AK167" s="23">
        <v>18065.0</v>
      </c>
      <c r="AL167" s="35" t="b">
        <v>1</v>
      </c>
      <c r="AM167" s="10" t="s">
        <v>37</v>
      </c>
      <c r="AN167" s="18"/>
      <c r="AO167" s="35" t="b">
        <v>0</v>
      </c>
      <c r="AP167" s="18"/>
      <c r="AQ167" s="15" t="b">
        <v>0</v>
      </c>
      <c r="AR167" s="10" t="s">
        <v>336</v>
      </c>
      <c r="AS167" s="23">
        <v>420000.0</v>
      </c>
      <c r="AT167" s="35" t="b">
        <v>1</v>
      </c>
      <c r="AU167" s="23">
        <v>80000.0</v>
      </c>
      <c r="AV167" s="15" t="b">
        <v>1</v>
      </c>
      <c r="AW167" s="10" t="s">
        <v>337</v>
      </c>
      <c r="AX167" s="23">
        <v>420000.0</v>
      </c>
      <c r="AY167" s="35" t="b">
        <v>1</v>
      </c>
      <c r="AZ167" s="23">
        <v>80000.0</v>
      </c>
      <c r="BA167" s="15" t="b">
        <v>1</v>
      </c>
      <c r="BB167" s="10" t="s">
        <v>337</v>
      </c>
      <c r="BC167" s="23">
        <v>420000.0</v>
      </c>
      <c r="BD167" s="35" t="b">
        <v>1</v>
      </c>
      <c r="BE167" s="23">
        <v>80000.0</v>
      </c>
      <c r="BF167" s="15" t="b">
        <v>1</v>
      </c>
      <c r="BG167" s="10" t="s">
        <v>337</v>
      </c>
      <c r="BH167" s="23">
        <v>420000.0</v>
      </c>
      <c r="BI167" s="35" t="b">
        <v>1</v>
      </c>
      <c r="BJ167" s="23">
        <v>80000.0</v>
      </c>
      <c r="BK167" s="15" t="b">
        <v>1</v>
      </c>
      <c r="BL167" s="10" t="s">
        <v>337</v>
      </c>
      <c r="BM167" s="23">
        <v>420000.0</v>
      </c>
      <c r="BN167" s="35" t="b">
        <v>0</v>
      </c>
      <c r="BO167" s="23">
        <v>80000.0</v>
      </c>
      <c r="BP167" s="15" t="b">
        <v>0</v>
      </c>
      <c r="BQ167" s="17" t="s">
        <v>321</v>
      </c>
      <c r="BR167" s="1"/>
      <c r="BS167" s="1"/>
      <c r="BT167" s="1"/>
      <c r="BU167" s="1"/>
    </row>
    <row r="168">
      <c r="A168" s="1"/>
      <c r="B168" s="10" t="s">
        <v>328</v>
      </c>
      <c r="C168" s="11" t="s">
        <v>338</v>
      </c>
      <c r="D168" s="20" t="s">
        <v>37</v>
      </c>
      <c r="E168" s="18"/>
      <c r="F168" s="35" t="b">
        <v>0</v>
      </c>
      <c r="G168" s="18"/>
      <c r="H168" s="15" t="b">
        <v>0</v>
      </c>
      <c r="I168" s="20" t="s">
        <v>37</v>
      </c>
      <c r="J168" s="18"/>
      <c r="K168" s="35" t="b">
        <v>0</v>
      </c>
      <c r="L168" s="18"/>
      <c r="M168" s="15" t="b">
        <v>0</v>
      </c>
      <c r="N168" s="10" t="s">
        <v>339</v>
      </c>
      <c r="O168" s="23">
        <v>365806.0</v>
      </c>
      <c r="P168" s="35" t="b">
        <v>1</v>
      </c>
      <c r="Q168" s="23">
        <v>69677.0</v>
      </c>
      <c r="R168" s="15" t="b">
        <v>1</v>
      </c>
      <c r="S168" s="10" t="s">
        <v>340</v>
      </c>
      <c r="T168" s="23">
        <v>420000.0</v>
      </c>
      <c r="U168" s="35" t="b">
        <v>1</v>
      </c>
      <c r="V168" s="23">
        <v>80000.0</v>
      </c>
      <c r="W168" s="35" t="b">
        <v>1</v>
      </c>
      <c r="X168" s="10" t="s">
        <v>340</v>
      </c>
      <c r="Y168" s="23">
        <v>420000.0</v>
      </c>
      <c r="Z168" s="35" t="b">
        <v>1</v>
      </c>
      <c r="AA168" s="23">
        <v>80000.0</v>
      </c>
      <c r="AB168" s="35" t="b">
        <v>1</v>
      </c>
      <c r="AC168" s="10" t="s">
        <v>340</v>
      </c>
      <c r="AD168" s="23">
        <v>420000.0</v>
      </c>
      <c r="AE168" s="35" t="b">
        <v>1</v>
      </c>
      <c r="AF168" s="23">
        <v>80000.0</v>
      </c>
      <c r="AG168" s="35" t="b">
        <v>1</v>
      </c>
      <c r="AH168" s="10" t="s">
        <v>340</v>
      </c>
      <c r="AI168" s="23">
        <v>420000.0</v>
      </c>
      <c r="AJ168" s="35" t="b">
        <v>1</v>
      </c>
      <c r="AK168" s="23">
        <v>80000.0</v>
      </c>
      <c r="AL168" s="35" t="b">
        <v>1</v>
      </c>
      <c r="AM168" s="10" t="s">
        <v>341</v>
      </c>
      <c r="AN168" s="23">
        <f>420000+94839</f>
        <v>514839</v>
      </c>
      <c r="AO168" s="35" t="b">
        <v>1</v>
      </c>
      <c r="AP168" s="23">
        <f>80000+18065</f>
        <v>98065</v>
      </c>
      <c r="AQ168" s="15" t="b">
        <v>1</v>
      </c>
      <c r="AR168" s="10" t="s">
        <v>342</v>
      </c>
      <c r="AS168" s="23">
        <v>420000.0</v>
      </c>
      <c r="AT168" s="35" t="b">
        <v>1</v>
      </c>
      <c r="AU168" s="23">
        <v>80000.0</v>
      </c>
      <c r="AV168" s="15" t="b">
        <v>1</v>
      </c>
      <c r="AW168" s="10" t="s">
        <v>343</v>
      </c>
      <c r="AX168" s="23">
        <v>420000.0</v>
      </c>
      <c r="AY168" s="35" t="b">
        <v>1</v>
      </c>
      <c r="AZ168" s="23">
        <v>80000.0</v>
      </c>
      <c r="BA168" s="15" t="b">
        <v>1</v>
      </c>
      <c r="BB168" s="10" t="s">
        <v>344</v>
      </c>
      <c r="BC168" s="23">
        <v>420000.0</v>
      </c>
      <c r="BD168" s="35" t="b">
        <v>1</v>
      </c>
      <c r="BE168" s="23">
        <v>80000.0</v>
      </c>
      <c r="BF168" s="15" t="b">
        <v>1</v>
      </c>
      <c r="BG168" s="10" t="s">
        <v>345</v>
      </c>
      <c r="BH168" s="23">
        <f>420000+379355</f>
        <v>799355</v>
      </c>
      <c r="BI168" s="35" t="b">
        <v>1</v>
      </c>
      <c r="BJ168" s="23">
        <f>80000+72258</f>
        <v>152258</v>
      </c>
      <c r="BK168" s="15" t="b">
        <v>1</v>
      </c>
      <c r="BL168" s="10" t="s">
        <v>346</v>
      </c>
      <c r="BM168" s="23">
        <v>420000.0</v>
      </c>
      <c r="BN168" s="35" t="b">
        <v>0</v>
      </c>
      <c r="BO168" s="23">
        <v>80000.0</v>
      </c>
      <c r="BP168" s="15" t="b">
        <v>0</v>
      </c>
      <c r="BQ168" s="17" t="s">
        <v>321</v>
      </c>
      <c r="BR168" s="1"/>
      <c r="BS168" s="1"/>
      <c r="BT168" s="1"/>
      <c r="BU168" s="1"/>
    </row>
    <row r="169">
      <c r="A169" s="1"/>
      <c r="B169" s="10" t="s">
        <v>328</v>
      </c>
      <c r="C169" s="11" t="s">
        <v>323</v>
      </c>
      <c r="D169" s="20" t="s">
        <v>37</v>
      </c>
      <c r="E169" s="18"/>
      <c r="F169" s="35" t="b">
        <v>0</v>
      </c>
      <c r="G169" s="18"/>
      <c r="H169" s="15" t="b">
        <v>0</v>
      </c>
      <c r="I169" s="20" t="s">
        <v>37</v>
      </c>
      <c r="J169" s="18"/>
      <c r="K169" s="35" t="b">
        <v>0</v>
      </c>
      <c r="L169" s="18"/>
      <c r="M169" s="15" t="b">
        <v>0</v>
      </c>
      <c r="N169" s="10" t="s">
        <v>347</v>
      </c>
      <c r="O169" s="23">
        <f t="shared" ref="O169:O170" si="3">322581-50000</f>
        <v>272581</v>
      </c>
      <c r="P169" s="35" t="b">
        <v>1</v>
      </c>
      <c r="Q169" s="23">
        <v>64516.0</v>
      </c>
      <c r="R169" s="15" t="b">
        <v>1</v>
      </c>
      <c r="S169" s="10" t="s">
        <v>348</v>
      </c>
      <c r="T169" s="23">
        <v>400000.0</v>
      </c>
      <c r="U169" s="35" t="b">
        <v>1</v>
      </c>
      <c r="V169" s="23">
        <v>80000.0</v>
      </c>
      <c r="W169" s="35" t="b">
        <v>1</v>
      </c>
      <c r="X169" s="10" t="s">
        <v>348</v>
      </c>
      <c r="Y169" s="23">
        <v>400000.0</v>
      </c>
      <c r="Z169" s="35" t="b">
        <v>1</v>
      </c>
      <c r="AA169" s="23">
        <v>80000.0</v>
      </c>
      <c r="AB169" s="35" t="b">
        <v>1</v>
      </c>
      <c r="AC169" s="10" t="s">
        <v>348</v>
      </c>
      <c r="AD169" s="23">
        <v>400000.0</v>
      </c>
      <c r="AE169" s="35" t="b">
        <v>1</v>
      </c>
      <c r="AF169" s="23">
        <v>80000.0</v>
      </c>
      <c r="AG169" s="35" t="b">
        <v>1</v>
      </c>
      <c r="AH169" s="10" t="s">
        <v>348</v>
      </c>
      <c r="AI169" s="23">
        <v>400000.0</v>
      </c>
      <c r="AJ169" s="35" t="b">
        <v>1</v>
      </c>
      <c r="AK169" s="23">
        <v>80000.0</v>
      </c>
      <c r="AL169" s="35" t="b">
        <v>1</v>
      </c>
      <c r="AM169" s="10" t="s">
        <v>348</v>
      </c>
      <c r="AN169" s="23">
        <v>400000.0</v>
      </c>
      <c r="AO169" s="35" t="b">
        <v>1</v>
      </c>
      <c r="AP169" s="23">
        <v>80000.0</v>
      </c>
      <c r="AQ169" s="35" t="b">
        <v>1</v>
      </c>
      <c r="AR169" s="10" t="s">
        <v>348</v>
      </c>
      <c r="AS169" s="23">
        <v>400000.0</v>
      </c>
      <c r="AT169" s="35" t="b">
        <v>1</v>
      </c>
      <c r="AU169" s="23">
        <v>80000.0</v>
      </c>
      <c r="AV169" s="15" t="b">
        <v>1</v>
      </c>
      <c r="AW169" s="10" t="s">
        <v>348</v>
      </c>
      <c r="AX169" s="23">
        <v>400000.0</v>
      </c>
      <c r="AY169" s="35" t="b">
        <v>1</v>
      </c>
      <c r="AZ169" s="23">
        <v>80000.0</v>
      </c>
      <c r="BA169" s="15" t="b">
        <v>1</v>
      </c>
      <c r="BB169" s="10" t="s">
        <v>348</v>
      </c>
      <c r="BC169" s="23">
        <v>400000.0</v>
      </c>
      <c r="BD169" s="35" t="b">
        <v>1</v>
      </c>
      <c r="BE169" s="23">
        <v>80000.0</v>
      </c>
      <c r="BF169" s="15" t="b">
        <v>1</v>
      </c>
      <c r="BG169" s="10" t="s">
        <v>348</v>
      </c>
      <c r="BH169" s="23">
        <v>400000.0</v>
      </c>
      <c r="BI169" s="35" t="b">
        <v>1</v>
      </c>
      <c r="BJ169" s="23">
        <v>80000.0</v>
      </c>
      <c r="BK169" s="35" t="b">
        <v>1</v>
      </c>
      <c r="BL169" s="10" t="s">
        <v>348</v>
      </c>
      <c r="BM169" s="23">
        <v>400000.0</v>
      </c>
      <c r="BN169" s="35" t="b">
        <v>0</v>
      </c>
      <c r="BO169" s="23">
        <v>80000.0</v>
      </c>
      <c r="BP169" s="15" t="b">
        <v>0</v>
      </c>
      <c r="BQ169" s="17" t="s">
        <v>321</v>
      </c>
      <c r="BR169" s="1"/>
      <c r="BS169" s="1"/>
      <c r="BT169" s="1"/>
      <c r="BU169" s="1"/>
    </row>
    <row r="170">
      <c r="A170" s="1"/>
      <c r="B170" s="10" t="s">
        <v>328</v>
      </c>
      <c r="C170" s="11" t="s">
        <v>349</v>
      </c>
      <c r="D170" s="20" t="s">
        <v>37</v>
      </c>
      <c r="E170" s="18"/>
      <c r="F170" s="35" t="b">
        <v>0</v>
      </c>
      <c r="G170" s="18"/>
      <c r="H170" s="15" t="b">
        <v>0</v>
      </c>
      <c r="I170" s="20" t="s">
        <v>37</v>
      </c>
      <c r="J170" s="18"/>
      <c r="K170" s="35" t="b">
        <v>0</v>
      </c>
      <c r="L170" s="18"/>
      <c r="M170" s="15" t="b">
        <v>0</v>
      </c>
      <c r="N170" s="10" t="s">
        <v>350</v>
      </c>
      <c r="O170" s="23">
        <f t="shared" si="3"/>
        <v>272581</v>
      </c>
      <c r="P170" s="35" t="b">
        <v>1</v>
      </c>
      <c r="Q170" s="23">
        <v>64516.0</v>
      </c>
      <c r="R170" s="15" t="b">
        <v>1</v>
      </c>
      <c r="S170" s="10" t="s">
        <v>351</v>
      </c>
      <c r="T170" s="23">
        <v>400000.0</v>
      </c>
      <c r="U170" s="35" t="b">
        <v>1</v>
      </c>
      <c r="V170" s="23">
        <v>80000.0</v>
      </c>
      <c r="W170" s="35" t="b">
        <v>1</v>
      </c>
      <c r="X170" s="10" t="s">
        <v>351</v>
      </c>
      <c r="Y170" s="23">
        <v>400000.0</v>
      </c>
      <c r="Z170" s="35" t="b">
        <v>1</v>
      </c>
      <c r="AA170" s="23">
        <v>80000.0</v>
      </c>
      <c r="AB170" s="35" t="b">
        <v>1</v>
      </c>
      <c r="AC170" s="10" t="s">
        <v>351</v>
      </c>
      <c r="AD170" s="23">
        <v>400000.0</v>
      </c>
      <c r="AE170" s="35" t="b">
        <v>1</v>
      </c>
      <c r="AF170" s="23">
        <v>80000.0</v>
      </c>
      <c r="AG170" s="35" t="b">
        <v>1</v>
      </c>
      <c r="AH170" s="10" t="s">
        <v>351</v>
      </c>
      <c r="AI170" s="23">
        <v>400000.0</v>
      </c>
      <c r="AJ170" s="35" t="b">
        <v>1</v>
      </c>
      <c r="AK170" s="23">
        <v>80000.0</v>
      </c>
      <c r="AL170" s="35" t="b">
        <v>1</v>
      </c>
      <c r="AM170" s="10" t="s">
        <v>351</v>
      </c>
      <c r="AN170" s="23">
        <v>400000.0</v>
      </c>
      <c r="AO170" s="35" t="b">
        <v>1</v>
      </c>
      <c r="AP170" s="23">
        <v>80000.0</v>
      </c>
      <c r="AQ170" s="35" t="b">
        <v>1</v>
      </c>
      <c r="AR170" s="10" t="s">
        <v>351</v>
      </c>
      <c r="AS170" s="23">
        <v>400000.0</v>
      </c>
      <c r="AT170" s="35" t="b">
        <v>1</v>
      </c>
      <c r="AU170" s="23">
        <v>80000.0</v>
      </c>
      <c r="AV170" s="15" t="b">
        <v>1</v>
      </c>
      <c r="AW170" s="10" t="s">
        <v>351</v>
      </c>
      <c r="AX170" s="23">
        <v>400000.0</v>
      </c>
      <c r="AY170" s="35" t="b">
        <v>1</v>
      </c>
      <c r="AZ170" s="23">
        <v>80000.0</v>
      </c>
      <c r="BA170" s="15" t="b">
        <v>1</v>
      </c>
      <c r="BB170" s="10" t="s">
        <v>351</v>
      </c>
      <c r="BC170" s="23">
        <v>400000.0</v>
      </c>
      <c r="BD170" s="35" t="b">
        <v>1</v>
      </c>
      <c r="BE170" s="23">
        <v>80000.0</v>
      </c>
      <c r="BF170" s="15" t="b">
        <v>1</v>
      </c>
      <c r="BG170" s="10" t="s">
        <v>351</v>
      </c>
      <c r="BH170" s="23">
        <v>400000.0</v>
      </c>
      <c r="BI170" s="35" t="b">
        <v>1</v>
      </c>
      <c r="BJ170" s="23">
        <v>80000.0</v>
      </c>
      <c r="BK170" s="35" t="b">
        <v>1</v>
      </c>
      <c r="BL170" s="10" t="s">
        <v>351</v>
      </c>
      <c r="BM170" s="23">
        <v>400000.0</v>
      </c>
      <c r="BN170" s="35" t="b">
        <v>0</v>
      </c>
      <c r="BO170" s="23">
        <v>80000.0</v>
      </c>
      <c r="BP170" s="15" t="b">
        <v>0</v>
      </c>
      <c r="BQ170" s="17" t="s">
        <v>321</v>
      </c>
      <c r="BR170" s="1"/>
      <c r="BS170" s="1"/>
      <c r="BT170" s="1"/>
      <c r="BU170" s="1"/>
    </row>
    <row r="171">
      <c r="A171" s="1"/>
      <c r="B171" s="21"/>
      <c r="C171" s="11" t="s">
        <v>42</v>
      </c>
      <c r="D171" s="22"/>
      <c r="E171" s="23">
        <f>SUM(E166:E170)</f>
        <v>0</v>
      </c>
      <c r="F171" s="18"/>
      <c r="G171" s="23">
        <f>SUM(G166:G170)</f>
        <v>0</v>
      </c>
      <c r="H171" s="19"/>
      <c r="I171" s="22"/>
      <c r="J171" s="23">
        <f>SUM(J166:J170)</f>
        <v>0</v>
      </c>
      <c r="K171" s="18"/>
      <c r="L171" s="23">
        <f>SUM(L166:L170)</f>
        <v>0</v>
      </c>
      <c r="M171" s="19"/>
      <c r="N171" s="22"/>
      <c r="O171" s="23">
        <f>SUM(O166:O170)</f>
        <v>1847097</v>
      </c>
      <c r="P171" s="18"/>
      <c r="Q171" s="23">
        <f>SUM(Q166:Q170)</f>
        <v>265806</v>
      </c>
      <c r="R171" s="19"/>
      <c r="S171" s="22"/>
      <c r="T171" s="23">
        <f>SUM(T166:T170)</f>
        <v>2062000</v>
      </c>
      <c r="U171" s="18"/>
      <c r="V171" s="23">
        <f>SUM(V166:V170)</f>
        <v>381333</v>
      </c>
      <c r="W171" s="19"/>
      <c r="X171" s="18"/>
      <c r="Y171" s="23">
        <f>SUM(Y166:Y170)</f>
        <v>2160000</v>
      </c>
      <c r="Z171" s="18"/>
      <c r="AA171" s="23">
        <f>SUM(AA166:AA170)</f>
        <v>400000</v>
      </c>
      <c r="AB171" s="19"/>
      <c r="AC171" s="18"/>
      <c r="AD171" s="23">
        <f>SUM(AD166:AD170)</f>
        <v>2160000</v>
      </c>
      <c r="AE171" s="18"/>
      <c r="AF171" s="23">
        <f>SUM(AF166:AF170)</f>
        <v>400000</v>
      </c>
      <c r="AG171" s="19"/>
      <c r="AH171" s="18"/>
      <c r="AI171" s="23">
        <f>SUM(AI166:AI170)</f>
        <v>1834839</v>
      </c>
      <c r="AJ171" s="18"/>
      <c r="AK171" s="23">
        <f>SUM(AK166:AK170)</f>
        <v>338065</v>
      </c>
      <c r="AL171" s="19"/>
      <c r="AM171" s="18"/>
      <c r="AN171" s="23">
        <f>SUM(AN166:AN170)</f>
        <v>1834839</v>
      </c>
      <c r="AO171" s="18"/>
      <c r="AP171" s="23">
        <f>SUM(AP166:AP170)</f>
        <v>338065</v>
      </c>
      <c r="AQ171" s="19"/>
      <c r="AR171" s="22"/>
      <c r="AS171" s="23">
        <f>SUM(AS166:AS170)</f>
        <v>2160000</v>
      </c>
      <c r="AT171" s="18"/>
      <c r="AU171" s="23">
        <f>SUM(AU166:AU170)</f>
        <v>400000</v>
      </c>
      <c r="AV171" s="19"/>
      <c r="AW171" s="22"/>
      <c r="AX171" s="23">
        <f>SUM(AX166:AX170)</f>
        <v>2160000</v>
      </c>
      <c r="AY171" s="18"/>
      <c r="AZ171" s="23">
        <f>SUM(AZ166:AZ170)</f>
        <v>400000</v>
      </c>
      <c r="BA171" s="19"/>
      <c r="BB171" s="22"/>
      <c r="BC171" s="23">
        <f>SUM(BC166:BC170)</f>
        <v>2160000</v>
      </c>
      <c r="BD171" s="18"/>
      <c r="BE171" s="23">
        <f>SUM(BE166:BE170)</f>
        <v>400000</v>
      </c>
      <c r="BF171" s="19"/>
      <c r="BG171" s="22"/>
      <c r="BH171" s="23">
        <f>SUM(BH166:BH170)</f>
        <v>2539355</v>
      </c>
      <c r="BI171" s="18"/>
      <c r="BJ171" s="23">
        <f>SUM(BJ166:BJ170)</f>
        <v>472258</v>
      </c>
      <c r="BK171" s="19"/>
      <c r="BL171" s="22"/>
      <c r="BM171" s="23">
        <f>SUM(BM166:BM170)</f>
        <v>2160000</v>
      </c>
      <c r="BN171" s="18"/>
      <c r="BO171" s="23">
        <f>SUM(BO166:BO170)</f>
        <v>400000</v>
      </c>
      <c r="BP171" s="19"/>
      <c r="BQ171" s="17" t="s">
        <v>321</v>
      </c>
      <c r="BR171" s="1"/>
      <c r="BS171" s="1"/>
      <c r="BT171" s="1"/>
      <c r="BU171" s="1"/>
    </row>
    <row r="172">
      <c r="A172" s="1"/>
      <c r="B172" s="21"/>
      <c r="C172" s="11" t="s">
        <v>43</v>
      </c>
      <c r="D172" s="22"/>
      <c r="E172" s="23">
        <v>0.0</v>
      </c>
      <c r="F172" s="18"/>
      <c r="G172" s="18"/>
      <c r="H172" s="19"/>
      <c r="I172" s="22"/>
      <c r="J172" s="23">
        <v>0.0</v>
      </c>
      <c r="K172" s="18"/>
      <c r="L172" s="18"/>
      <c r="M172" s="19"/>
      <c r="N172" s="22"/>
      <c r="O172" s="23">
        <v>1100000.0</v>
      </c>
      <c r="P172" s="18"/>
      <c r="Q172" s="18"/>
      <c r="R172" s="19"/>
      <c r="S172" s="22"/>
      <c r="T172" s="23">
        <v>1100000.0</v>
      </c>
      <c r="U172" s="18"/>
      <c r="V172" s="18"/>
      <c r="W172" s="19"/>
      <c r="X172" s="18"/>
      <c r="Y172" s="23">
        <v>1100000.0</v>
      </c>
      <c r="Z172" s="18"/>
      <c r="AA172" s="18"/>
      <c r="AB172" s="19"/>
      <c r="AC172" s="18"/>
      <c r="AD172" s="23">
        <v>1100000.0</v>
      </c>
      <c r="AE172" s="18"/>
      <c r="AF172" s="18"/>
      <c r="AG172" s="19"/>
      <c r="AH172" s="18"/>
      <c r="AI172" s="23">
        <v>1100000.0</v>
      </c>
      <c r="AJ172" s="18"/>
      <c r="AK172" s="18"/>
      <c r="AL172" s="19"/>
      <c r="AM172" s="18"/>
      <c r="AN172" s="23">
        <v>1100000.0</v>
      </c>
      <c r="AO172" s="18"/>
      <c r="AP172" s="18"/>
      <c r="AQ172" s="19"/>
      <c r="AR172" s="22"/>
      <c r="AS172" s="23">
        <v>1100000.0</v>
      </c>
      <c r="AT172" s="18"/>
      <c r="AU172" s="18"/>
      <c r="AV172" s="19"/>
      <c r="AW172" s="22"/>
      <c r="AX172" s="23">
        <v>1100000.0</v>
      </c>
      <c r="AY172" s="18"/>
      <c r="AZ172" s="18"/>
      <c r="BA172" s="19"/>
      <c r="BB172" s="22"/>
      <c r="BC172" s="23">
        <v>1100000.0</v>
      </c>
      <c r="BD172" s="18"/>
      <c r="BE172" s="18"/>
      <c r="BF172" s="19"/>
      <c r="BG172" s="22"/>
      <c r="BH172" s="23">
        <v>1100000.0</v>
      </c>
      <c r="BI172" s="18"/>
      <c r="BJ172" s="18"/>
      <c r="BK172" s="19"/>
      <c r="BL172" s="22"/>
      <c r="BM172" s="23">
        <v>1100000.0</v>
      </c>
      <c r="BN172" s="18"/>
      <c r="BO172" s="18"/>
      <c r="BP172" s="19"/>
      <c r="BQ172" s="17" t="s">
        <v>321</v>
      </c>
      <c r="BR172" s="1"/>
      <c r="BS172" s="1"/>
      <c r="BT172" s="1"/>
      <c r="BU172" s="1"/>
    </row>
    <row r="173">
      <c r="A173" s="1"/>
      <c r="B173" s="21"/>
      <c r="C173" s="11" t="s">
        <v>45</v>
      </c>
      <c r="D173" s="22"/>
      <c r="E173" s="18"/>
      <c r="F173" s="18"/>
      <c r="G173" s="18"/>
      <c r="H173" s="19"/>
      <c r="I173" s="22"/>
      <c r="J173" s="18"/>
      <c r="K173" s="18"/>
      <c r="L173" s="18"/>
      <c r="M173" s="19"/>
      <c r="N173" s="22"/>
      <c r="O173" s="18"/>
      <c r="P173" s="18"/>
      <c r="Q173" s="18"/>
      <c r="R173" s="19"/>
      <c r="S173" s="22"/>
      <c r="T173" s="18"/>
      <c r="U173" s="18"/>
      <c r="V173" s="18"/>
      <c r="W173" s="19"/>
      <c r="X173" s="18"/>
      <c r="Y173" s="18"/>
      <c r="Z173" s="18"/>
      <c r="AA173" s="18"/>
      <c r="AB173" s="19"/>
      <c r="AC173" s="18"/>
      <c r="AD173" s="18"/>
      <c r="AE173" s="18"/>
      <c r="AF173" s="18"/>
      <c r="AG173" s="19"/>
      <c r="AH173" s="18"/>
      <c r="AI173" s="18"/>
      <c r="AJ173" s="18"/>
      <c r="AK173" s="18"/>
      <c r="AL173" s="19"/>
      <c r="AM173" s="18"/>
      <c r="AN173" s="18"/>
      <c r="AO173" s="18"/>
      <c r="AP173" s="18"/>
      <c r="AQ173" s="19"/>
      <c r="AR173" s="22"/>
      <c r="AS173" s="18"/>
      <c r="AT173" s="18"/>
      <c r="AU173" s="18"/>
      <c r="AV173" s="19"/>
      <c r="AW173" s="22"/>
      <c r="AX173" s="18"/>
      <c r="AY173" s="18"/>
      <c r="AZ173" s="18"/>
      <c r="BA173" s="19"/>
      <c r="BB173" s="22"/>
      <c r="BC173" s="18"/>
      <c r="BD173" s="18"/>
      <c r="BE173" s="18"/>
      <c r="BF173" s="19"/>
      <c r="BG173" s="22"/>
      <c r="BH173" s="18"/>
      <c r="BI173" s="18"/>
      <c r="BJ173" s="18"/>
      <c r="BK173" s="19"/>
      <c r="BL173" s="22"/>
      <c r="BM173" s="18"/>
      <c r="BN173" s="18"/>
      <c r="BO173" s="18"/>
      <c r="BP173" s="19"/>
      <c r="BQ173" s="17" t="s">
        <v>321</v>
      </c>
      <c r="BR173" s="1"/>
      <c r="BS173" s="1"/>
      <c r="BT173" s="1"/>
      <c r="BU173" s="1"/>
    </row>
    <row r="174">
      <c r="A174" s="1"/>
      <c r="B174" s="10" t="s">
        <v>352</v>
      </c>
      <c r="C174" s="11" t="s">
        <v>303</v>
      </c>
      <c r="D174" s="22"/>
      <c r="E174" s="18"/>
      <c r="F174" s="18"/>
      <c r="G174" s="18"/>
      <c r="H174" s="19"/>
      <c r="I174" s="22"/>
      <c r="J174" s="18"/>
      <c r="K174" s="18"/>
      <c r="L174" s="18"/>
      <c r="M174" s="19"/>
      <c r="N174" s="22"/>
      <c r="O174" s="18"/>
      <c r="P174" s="18"/>
      <c r="Q174" s="18"/>
      <c r="R174" s="19"/>
      <c r="S174" s="22"/>
      <c r="T174" s="18"/>
      <c r="U174" s="18"/>
      <c r="V174" s="18"/>
      <c r="W174" s="19"/>
      <c r="X174" s="18"/>
      <c r="Y174" s="18"/>
      <c r="Z174" s="18"/>
      <c r="AA174" s="18"/>
      <c r="AB174" s="19"/>
      <c r="AC174" s="18"/>
      <c r="AD174" s="18"/>
      <c r="AE174" s="18"/>
      <c r="AF174" s="18"/>
      <c r="AG174" s="19"/>
      <c r="AH174" s="18"/>
      <c r="AI174" s="18"/>
      <c r="AJ174" s="18"/>
      <c r="AK174" s="18"/>
      <c r="AL174" s="19"/>
      <c r="AM174" s="18"/>
      <c r="AN174" s="18"/>
      <c r="AO174" s="18"/>
      <c r="AP174" s="18"/>
      <c r="AQ174" s="19"/>
      <c r="AR174" s="22"/>
      <c r="AS174" s="18"/>
      <c r="AT174" s="18"/>
      <c r="AU174" s="18"/>
      <c r="AV174" s="19"/>
      <c r="AW174" s="22"/>
      <c r="AX174" s="18"/>
      <c r="AY174" s="18"/>
      <c r="AZ174" s="18"/>
      <c r="BA174" s="19"/>
      <c r="BB174" s="22"/>
      <c r="BC174" s="18"/>
      <c r="BD174" s="18"/>
      <c r="BE174" s="18"/>
      <c r="BF174" s="19"/>
      <c r="BG174" s="22"/>
      <c r="BH174" s="18"/>
      <c r="BI174" s="18"/>
      <c r="BJ174" s="18"/>
      <c r="BK174" s="19"/>
      <c r="BL174" s="22"/>
      <c r="BM174" s="18"/>
      <c r="BN174" s="18"/>
      <c r="BO174" s="18"/>
      <c r="BP174" s="19"/>
      <c r="BQ174" s="17" t="s">
        <v>321</v>
      </c>
      <c r="BR174" s="1"/>
      <c r="BS174" s="1"/>
      <c r="BT174" s="1"/>
      <c r="BU174" s="1"/>
    </row>
    <row r="175">
      <c r="A175" s="1"/>
      <c r="B175" s="10">
        <v>6.007620582E9</v>
      </c>
      <c r="C175" s="11" t="s">
        <v>261</v>
      </c>
      <c r="D175" s="22"/>
      <c r="E175" s="18"/>
      <c r="F175" s="18"/>
      <c r="G175" s="23">
        <v>0.0</v>
      </c>
      <c r="H175" s="19"/>
      <c r="I175" s="22"/>
      <c r="J175" s="18"/>
      <c r="K175" s="18"/>
      <c r="L175" s="23">
        <v>84620.0</v>
      </c>
      <c r="M175" s="19"/>
      <c r="N175" s="22"/>
      <c r="O175" s="18"/>
      <c r="P175" s="18"/>
      <c r="Q175" s="23">
        <v>138250.0</v>
      </c>
      <c r="R175" s="19"/>
      <c r="S175" s="22"/>
      <c r="T175" s="18"/>
      <c r="U175" s="18"/>
      <c r="V175" s="23">
        <v>106970.0</v>
      </c>
      <c r="W175" s="19"/>
      <c r="X175" s="18"/>
      <c r="Y175" s="18"/>
      <c r="Z175" s="18"/>
      <c r="AA175" s="23">
        <v>61890.0</v>
      </c>
      <c r="AB175" s="19"/>
      <c r="AC175" s="18"/>
      <c r="AD175" s="18"/>
      <c r="AE175" s="18"/>
      <c r="AF175" s="23">
        <v>50030.0</v>
      </c>
      <c r="AG175" s="19"/>
      <c r="AH175" s="18"/>
      <c r="AI175" s="18"/>
      <c r="AJ175" s="18"/>
      <c r="AK175" s="23">
        <v>48110.0</v>
      </c>
      <c r="AL175" s="19"/>
      <c r="AM175" s="18"/>
      <c r="AN175" s="18"/>
      <c r="AO175" s="18"/>
      <c r="AP175" s="23">
        <v>42080.0</v>
      </c>
      <c r="AQ175" s="19"/>
      <c r="AR175" s="22"/>
      <c r="AS175" s="18"/>
      <c r="AT175" s="18"/>
      <c r="AU175" s="23">
        <v>49440.0</v>
      </c>
      <c r="AV175" s="19"/>
      <c r="AW175" s="22"/>
      <c r="AX175" s="18"/>
      <c r="AY175" s="18"/>
      <c r="AZ175" s="23">
        <v>32620.0</v>
      </c>
      <c r="BA175" s="19"/>
      <c r="BB175" s="22"/>
      <c r="BC175" s="18"/>
      <c r="BD175" s="18"/>
      <c r="BE175" s="23">
        <v>61980.0</v>
      </c>
      <c r="BF175" s="19"/>
      <c r="BG175" s="22"/>
      <c r="BH175" s="18"/>
      <c r="BI175" s="18"/>
      <c r="BJ175" s="23">
        <v>155810.0</v>
      </c>
      <c r="BK175" s="19"/>
      <c r="BL175" s="22"/>
      <c r="BM175" s="18"/>
      <c r="BN175" s="18"/>
      <c r="BO175" s="18"/>
      <c r="BP175" s="19"/>
      <c r="BQ175" s="17" t="s">
        <v>321</v>
      </c>
      <c r="BR175" s="1"/>
      <c r="BS175" s="1"/>
      <c r="BT175" s="1"/>
      <c r="BU175" s="1"/>
    </row>
    <row r="176">
      <c r="A176" s="1"/>
      <c r="B176" s="21"/>
      <c r="C176" s="11" t="s">
        <v>51</v>
      </c>
      <c r="D176" s="22"/>
      <c r="E176" s="18"/>
      <c r="F176" s="18"/>
      <c r="G176" s="18"/>
      <c r="H176" s="19"/>
      <c r="I176" s="22"/>
      <c r="J176" s="18"/>
      <c r="K176" s="18"/>
      <c r="L176" s="18"/>
      <c r="M176" s="19"/>
      <c r="N176" s="22"/>
      <c r="O176" s="18"/>
      <c r="P176" s="18"/>
      <c r="Q176" s="18"/>
      <c r="R176" s="19"/>
      <c r="S176" s="22"/>
      <c r="T176" s="18"/>
      <c r="U176" s="18"/>
      <c r="V176" s="18"/>
      <c r="W176" s="19"/>
      <c r="X176" s="18"/>
      <c r="Y176" s="18"/>
      <c r="Z176" s="18"/>
      <c r="AA176" s="18"/>
      <c r="AB176" s="19"/>
      <c r="AC176" s="18"/>
      <c r="AD176" s="18"/>
      <c r="AE176" s="18"/>
      <c r="AF176" s="18"/>
      <c r="AG176" s="19"/>
      <c r="AH176" s="18"/>
      <c r="AI176" s="18"/>
      <c r="AJ176" s="18"/>
      <c r="AK176" s="23">
        <v>45000.0</v>
      </c>
      <c r="AL176" s="19"/>
      <c r="AM176" s="18"/>
      <c r="AN176" s="18"/>
      <c r="AO176" s="18"/>
      <c r="AP176" s="18"/>
      <c r="AQ176" s="19"/>
      <c r="AR176" s="22"/>
      <c r="AS176" s="18"/>
      <c r="AT176" s="18"/>
      <c r="AU176" s="18"/>
      <c r="AV176" s="19"/>
      <c r="AW176" s="22"/>
      <c r="AX176" s="18"/>
      <c r="AY176" s="18"/>
      <c r="AZ176" s="18"/>
      <c r="BA176" s="19"/>
      <c r="BB176" s="22"/>
      <c r="BC176" s="18"/>
      <c r="BD176" s="18"/>
      <c r="BE176" s="23">
        <v>45000.0</v>
      </c>
      <c r="BF176" s="19"/>
      <c r="BG176" s="22"/>
      <c r="BH176" s="18"/>
      <c r="BI176" s="18"/>
      <c r="BJ176" s="18"/>
      <c r="BK176" s="19"/>
      <c r="BL176" s="22"/>
      <c r="BM176" s="18"/>
      <c r="BN176" s="18"/>
      <c r="BO176" s="18"/>
      <c r="BP176" s="19"/>
      <c r="BQ176" s="17" t="s">
        <v>321</v>
      </c>
      <c r="BR176" s="1"/>
      <c r="BS176" s="1"/>
      <c r="BT176" s="1"/>
      <c r="BU176" s="1"/>
    </row>
    <row r="177">
      <c r="A177" s="1"/>
      <c r="B177" s="21"/>
      <c r="C177" s="11" t="s">
        <v>52</v>
      </c>
      <c r="D177" s="22"/>
      <c r="E177" s="18"/>
      <c r="F177" s="18"/>
      <c r="G177" s="18"/>
      <c r="H177" s="19"/>
      <c r="I177" s="22"/>
      <c r="J177" s="18"/>
      <c r="K177" s="18"/>
      <c r="L177" s="18"/>
      <c r="M177" s="19"/>
      <c r="N177" s="22"/>
      <c r="O177" s="18"/>
      <c r="P177" s="18"/>
      <c r="Q177" s="18"/>
      <c r="R177" s="19"/>
      <c r="S177" s="22"/>
      <c r="T177" s="18"/>
      <c r="U177" s="18"/>
      <c r="V177" s="18"/>
      <c r="W177" s="19"/>
      <c r="X177" s="18"/>
      <c r="Y177" s="18"/>
      <c r="Z177" s="18"/>
      <c r="AA177" s="18"/>
      <c r="AB177" s="19"/>
      <c r="AC177" s="18"/>
      <c r="AD177" s="18"/>
      <c r="AE177" s="18"/>
      <c r="AF177" s="18"/>
      <c r="AG177" s="19"/>
      <c r="AH177" s="18"/>
      <c r="AI177" s="18"/>
      <c r="AJ177" s="18"/>
      <c r="AK177" s="18"/>
      <c r="AL177" s="19"/>
      <c r="AM177" s="18"/>
      <c r="AN177" s="18"/>
      <c r="AO177" s="18"/>
      <c r="AP177" s="18"/>
      <c r="AQ177" s="19"/>
      <c r="AR177" s="22"/>
      <c r="AS177" s="18"/>
      <c r="AT177" s="18"/>
      <c r="AU177" s="18"/>
      <c r="AV177" s="19"/>
      <c r="AW177" s="22"/>
      <c r="AX177" s="18"/>
      <c r="AY177" s="18"/>
      <c r="AZ177" s="18"/>
      <c r="BA177" s="19"/>
      <c r="BB177" s="22"/>
      <c r="BC177" s="18"/>
      <c r="BD177" s="18"/>
      <c r="BE177" s="18"/>
      <c r="BF177" s="19"/>
      <c r="BG177" s="22"/>
      <c r="BH177" s="18"/>
      <c r="BI177" s="18"/>
      <c r="BJ177" s="18"/>
      <c r="BK177" s="19"/>
      <c r="BL177" s="22"/>
      <c r="BM177" s="18"/>
      <c r="BN177" s="18"/>
      <c r="BO177" s="18"/>
      <c r="BP177" s="19"/>
      <c r="BQ177" s="17" t="s">
        <v>321</v>
      </c>
      <c r="BR177" s="1"/>
      <c r="BS177" s="1"/>
      <c r="BT177" s="1"/>
      <c r="BU177" s="1"/>
    </row>
    <row r="178">
      <c r="A178" s="1"/>
      <c r="B178" s="21"/>
      <c r="C178" s="11" t="s">
        <v>53</v>
      </c>
      <c r="D178" s="22"/>
      <c r="E178" s="18"/>
      <c r="F178" s="18"/>
      <c r="G178" s="18"/>
      <c r="H178" s="19"/>
      <c r="I178" s="22"/>
      <c r="J178" s="18"/>
      <c r="K178" s="18"/>
      <c r="L178" s="18"/>
      <c r="M178" s="19"/>
      <c r="N178" s="22"/>
      <c r="O178" s="18"/>
      <c r="P178" s="18"/>
      <c r="Q178" s="18"/>
      <c r="R178" s="19"/>
      <c r="S178" s="22"/>
      <c r="T178" s="18"/>
      <c r="U178" s="18"/>
      <c r="V178" s="18"/>
      <c r="W178" s="19"/>
      <c r="X178" s="18"/>
      <c r="Y178" s="18"/>
      <c r="Z178" s="18"/>
      <c r="AA178" s="18"/>
      <c r="AB178" s="19"/>
      <c r="AC178" s="18"/>
      <c r="AD178" s="18"/>
      <c r="AE178" s="18"/>
      <c r="AF178" s="18"/>
      <c r="AG178" s="19"/>
      <c r="AH178" s="18"/>
      <c r="AI178" s="18"/>
      <c r="AJ178" s="18"/>
      <c r="AK178" s="18"/>
      <c r="AL178" s="19"/>
      <c r="AM178" s="18"/>
      <c r="AN178" s="18"/>
      <c r="AO178" s="18"/>
      <c r="AP178" s="18"/>
      <c r="AQ178" s="19"/>
      <c r="AR178" s="22"/>
      <c r="AS178" s="18"/>
      <c r="AT178" s="18"/>
      <c r="AU178" s="18"/>
      <c r="AV178" s="19"/>
      <c r="AW178" s="22"/>
      <c r="AX178" s="18"/>
      <c r="AY178" s="18"/>
      <c r="AZ178" s="18"/>
      <c r="BA178" s="19"/>
      <c r="BB178" s="22"/>
      <c r="BC178" s="18"/>
      <c r="BD178" s="18"/>
      <c r="BE178" s="18"/>
      <c r="BF178" s="19"/>
      <c r="BG178" s="22"/>
      <c r="BH178" s="18"/>
      <c r="BI178" s="18"/>
      <c r="BJ178" s="18"/>
      <c r="BK178" s="19"/>
      <c r="BL178" s="22"/>
      <c r="BM178" s="18"/>
      <c r="BN178" s="18"/>
      <c r="BO178" s="18"/>
      <c r="BP178" s="19"/>
      <c r="BQ178" s="17" t="s">
        <v>321</v>
      </c>
      <c r="BR178" s="1"/>
      <c r="BS178" s="1"/>
      <c r="BT178" s="1"/>
      <c r="BU178" s="1"/>
    </row>
    <row r="179">
      <c r="A179" s="1"/>
      <c r="B179" s="21"/>
      <c r="C179" s="11" t="s">
        <v>54</v>
      </c>
      <c r="D179" s="22"/>
      <c r="E179" s="18"/>
      <c r="F179" s="18"/>
      <c r="G179" s="23">
        <f>SUMIFS('지출'!$G$3:$G1000,'지출'!$J$3:$J1000,G$1,'지출'!$C$3:$C1000,"벤처")</f>
        <v>0</v>
      </c>
      <c r="H179" s="19"/>
      <c r="I179" s="22"/>
      <c r="J179" s="18"/>
      <c r="K179" s="18"/>
      <c r="L179" s="23">
        <f>SUMIFS('지출'!$G$3:$G1000,'지출'!$J$3:$J1000,L$1,'지출'!$C$3:$C1000,"벤처")</f>
        <v>0</v>
      </c>
      <c r="M179" s="24"/>
      <c r="N179" s="18"/>
      <c r="O179" s="18"/>
      <c r="P179" s="18"/>
      <c r="Q179" s="23">
        <f>SUMIFS('지출'!$G$3:$G1000,'지출'!$J$3:$J1000,Q$1,'지출'!$C$3:$C1000,"벤처")</f>
        <v>0</v>
      </c>
      <c r="R179" s="24"/>
      <c r="S179" s="18"/>
      <c r="T179" s="18"/>
      <c r="U179" s="18"/>
      <c r="V179" s="23">
        <f>SUMIFS('지출'!$G$3:$G1000,'지출'!$J$3:$J1000,V$1,'지출'!$C$3:$C1000,"벤처")</f>
        <v>0</v>
      </c>
      <c r="W179" s="24"/>
      <c r="X179" s="18"/>
      <c r="Y179" s="18"/>
      <c r="Z179" s="18"/>
      <c r="AA179" s="23">
        <f>SUMIFS('지출'!$G$3:$G1000,'지출'!$J$3:$J1000,AA$1,'지출'!$C$3:$C1000,"벤처")</f>
        <v>0</v>
      </c>
      <c r="AB179" s="24"/>
      <c r="AC179" s="18"/>
      <c r="AD179" s="18"/>
      <c r="AE179" s="18"/>
      <c r="AF179" s="23">
        <f>SUMIFS('지출'!$G$3:$G1000,'지출'!$J$3:$J1000,AF$1,'지출'!$C$3:$C1000,"벤처")</f>
        <v>0</v>
      </c>
      <c r="AG179" s="24"/>
      <c r="AH179" s="18"/>
      <c r="AI179" s="18"/>
      <c r="AJ179" s="18"/>
      <c r="AK179" s="23">
        <f>SUMIFS('지출'!$G$3:$G1000,'지출'!$J$3:$J1000,AK$1,'지출'!$C$3:$C1000,"벤처")</f>
        <v>0</v>
      </c>
      <c r="AL179" s="24"/>
      <c r="AM179" s="18"/>
      <c r="AN179" s="18"/>
      <c r="AO179" s="18"/>
      <c r="AP179" s="23">
        <f>SUMIFS('지출'!$G$3:$G1000,'지출'!$J$3:$J1000,AP$1,'지출'!$C$3:$C1000,"벤처")</f>
        <v>0</v>
      </c>
      <c r="AQ179" s="24"/>
      <c r="AR179" s="18"/>
      <c r="AS179" s="18"/>
      <c r="AT179" s="18"/>
      <c r="AU179" s="23">
        <f>SUMIFS('지출'!$G$3:$G1000,'지출'!$J$3:$J1000,AU$1,'지출'!$C$3:$C1000,"벤처")</f>
        <v>0</v>
      </c>
      <c r="AV179" s="24"/>
      <c r="AW179" s="18"/>
      <c r="AX179" s="18"/>
      <c r="AY179" s="18"/>
      <c r="AZ179" s="23">
        <f>SUMIFS('지출'!$G$3:$G1000,'지출'!$J$3:$J1000,AZ$1,'지출'!$C$3:$C1000,"벤처")</f>
        <v>0</v>
      </c>
      <c r="BA179" s="24"/>
      <c r="BB179" s="18"/>
      <c r="BC179" s="18"/>
      <c r="BD179" s="18"/>
      <c r="BE179" s="23">
        <f>SUMIFS('지출'!$G$3:$G1000,'지출'!$J$3:$J1000,BE$1,'지출'!$C$3:$C1000,"벤처")</f>
        <v>0</v>
      </c>
      <c r="BF179" s="24"/>
      <c r="BG179" s="18"/>
      <c r="BH179" s="18"/>
      <c r="BI179" s="18"/>
      <c r="BJ179" s="23">
        <f>SUMIFS('지출'!$G$3:$G1000,'지출'!$J$3:$J1000,BJ$1,'지출'!$C$3:$C1000,"벤처")</f>
        <v>0</v>
      </c>
      <c r="BK179" s="19"/>
      <c r="BL179" s="18"/>
      <c r="BM179" s="18"/>
      <c r="BN179" s="18"/>
      <c r="BO179" s="23">
        <f>SUMIFS('지출'!$G$3:$G1000,'지출'!$J$3:$J1000,BO$1,'지출'!$C$3:$C1000,"벤처")</f>
        <v>0</v>
      </c>
      <c r="BP179" s="19"/>
      <c r="BQ179" s="17" t="s">
        <v>321</v>
      </c>
      <c r="BR179" s="1"/>
      <c r="BS179" s="1"/>
      <c r="BT179" s="1"/>
      <c r="BU179" s="1"/>
    </row>
    <row r="180">
      <c r="A180" s="1"/>
      <c r="B180" s="21"/>
      <c r="C180" s="11" t="s">
        <v>56</v>
      </c>
      <c r="D180" s="22"/>
      <c r="E180" s="23">
        <f>E171-(SUM(E172:E179))</f>
        <v>0</v>
      </c>
      <c r="F180" s="18"/>
      <c r="G180" s="23">
        <f>G171-(SUM(G172:G179))</f>
        <v>0</v>
      </c>
      <c r="H180" s="19"/>
      <c r="I180" s="22"/>
      <c r="J180" s="23">
        <f>J171-(SUM(J172:J179))</f>
        <v>0</v>
      </c>
      <c r="K180" s="18"/>
      <c r="L180" s="23">
        <f>L171-(SUM(L172:L179))</f>
        <v>-84620</v>
      </c>
      <c r="M180" s="19"/>
      <c r="N180" s="22"/>
      <c r="O180" s="23">
        <f>O171-(SUM(O172:O179))</f>
        <v>747097</v>
      </c>
      <c r="P180" s="18"/>
      <c r="Q180" s="23">
        <f>Q171-(SUM(Q172:Q179))</f>
        <v>127556</v>
      </c>
      <c r="R180" s="19"/>
      <c r="S180" s="22"/>
      <c r="T180" s="23">
        <f>T171-(SUM(T172:T179))</f>
        <v>962000</v>
      </c>
      <c r="U180" s="18"/>
      <c r="V180" s="23">
        <f>V171-(SUM(V172:V179))</f>
        <v>274363</v>
      </c>
      <c r="W180" s="19"/>
      <c r="X180" s="18"/>
      <c r="Y180" s="23">
        <f>Y171-(SUM(Y172:Y179))</f>
        <v>1060000</v>
      </c>
      <c r="Z180" s="18"/>
      <c r="AA180" s="23">
        <f>AA171-(SUM(AA172:AA179))</f>
        <v>338110</v>
      </c>
      <c r="AB180" s="19"/>
      <c r="AC180" s="18"/>
      <c r="AD180" s="23">
        <f>AD171-(SUM(AD172:AD179))</f>
        <v>1060000</v>
      </c>
      <c r="AE180" s="18"/>
      <c r="AF180" s="23">
        <f>AF171-(SUM(AF172:AF179))</f>
        <v>349970</v>
      </c>
      <c r="AG180" s="19"/>
      <c r="AH180" s="18"/>
      <c r="AI180" s="23">
        <f>AI171-(SUM(AI172:AI179))</f>
        <v>734839</v>
      </c>
      <c r="AJ180" s="18"/>
      <c r="AK180" s="23">
        <f>AK171-(SUM(AK172:AK179))</f>
        <v>244955</v>
      </c>
      <c r="AL180" s="19"/>
      <c r="AM180" s="18"/>
      <c r="AN180" s="23">
        <f>AN171-(SUM(AN172:AN179))</f>
        <v>734839</v>
      </c>
      <c r="AO180" s="18"/>
      <c r="AP180" s="23">
        <f>AP171-(SUM(AP172:AP179))</f>
        <v>295985</v>
      </c>
      <c r="AQ180" s="19"/>
      <c r="AR180" s="22"/>
      <c r="AS180" s="23">
        <f>AS171-(SUM(AS172:AS179))</f>
        <v>1060000</v>
      </c>
      <c r="AT180" s="18"/>
      <c r="AU180" s="23">
        <f>AU171-(SUM(AU172:AU179))</f>
        <v>350560</v>
      </c>
      <c r="AV180" s="19"/>
      <c r="AW180" s="22"/>
      <c r="AX180" s="23">
        <f>AX171-(SUM(AX172:AX179))</f>
        <v>1060000</v>
      </c>
      <c r="AY180" s="18"/>
      <c r="AZ180" s="23">
        <f>AZ171-(SUM(AZ172:AZ179))</f>
        <v>367380</v>
      </c>
      <c r="BA180" s="19"/>
      <c r="BB180" s="22"/>
      <c r="BC180" s="23">
        <f>BC171-(SUM(BC172:BC179))</f>
        <v>1060000</v>
      </c>
      <c r="BD180" s="18"/>
      <c r="BE180" s="23">
        <f>BE171-(SUM(BE172:BE179))</f>
        <v>293020</v>
      </c>
      <c r="BF180" s="19"/>
      <c r="BG180" s="22"/>
      <c r="BH180" s="23">
        <f>BH171-(SUM(BH172:BH179))</f>
        <v>1439355</v>
      </c>
      <c r="BI180" s="18"/>
      <c r="BJ180" s="23">
        <f>BJ171-(SUM(BJ172:BJ179))</f>
        <v>316448</v>
      </c>
      <c r="BK180" s="19"/>
      <c r="BL180" s="22"/>
      <c r="BM180" s="23">
        <f>BM171-(SUM(BM172:BM179))</f>
        <v>1060000</v>
      </c>
      <c r="BN180" s="18"/>
      <c r="BO180" s="23">
        <f>BO171-(SUM(BO172:BO179))</f>
        <v>400000</v>
      </c>
      <c r="BP180" s="19"/>
      <c r="BQ180" s="17" t="s">
        <v>321</v>
      </c>
      <c r="BR180" s="1"/>
      <c r="BS180" s="1"/>
      <c r="BT180" s="1"/>
      <c r="BU180" s="1"/>
    </row>
    <row r="181">
      <c r="A181" s="1"/>
      <c r="B181" s="27">
        <v>0.0</v>
      </c>
      <c r="C181" s="11" t="s">
        <v>26</v>
      </c>
      <c r="D181" s="22"/>
      <c r="E181" s="23">
        <f>E180*$B181</f>
        <v>0</v>
      </c>
      <c r="F181" s="18"/>
      <c r="G181" s="18"/>
      <c r="H181" s="19"/>
      <c r="I181" s="22"/>
      <c r="J181" s="23">
        <f>J180*$B181</f>
        <v>0</v>
      </c>
      <c r="K181" s="18"/>
      <c r="L181" s="18"/>
      <c r="M181" s="19"/>
      <c r="N181" s="22"/>
      <c r="O181" s="23">
        <f>O180*$B181</f>
        <v>0</v>
      </c>
      <c r="P181" s="18"/>
      <c r="Q181" s="18"/>
      <c r="R181" s="19"/>
      <c r="S181" s="22"/>
      <c r="T181" s="23">
        <f>T180*$B181</f>
        <v>0</v>
      </c>
      <c r="U181" s="18"/>
      <c r="V181" s="18"/>
      <c r="W181" s="19"/>
      <c r="X181" s="18"/>
      <c r="Y181" s="23">
        <f>Y180*$B181</f>
        <v>0</v>
      </c>
      <c r="Z181" s="18"/>
      <c r="AA181" s="18"/>
      <c r="AB181" s="19"/>
      <c r="AC181" s="18"/>
      <c r="AD181" s="23">
        <f>AD180*$B181</f>
        <v>0</v>
      </c>
      <c r="AE181" s="18"/>
      <c r="AF181" s="18"/>
      <c r="AG181" s="19"/>
      <c r="AH181" s="18"/>
      <c r="AI181" s="23">
        <f>AI180*$B181</f>
        <v>0</v>
      </c>
      <c r="AJ181" s="18"/>
      <c r="AK181" s="18"/>
      <c r="AL181" s="19"/>
      <c r="AM181" s="18"/>
      <c r="AN181" s="23">
        <f>AN180*$B181</f>
        <v>0</v>
      </c>
      <c r="AO181" s="18"/>
      <c r="AP181" s="18"/>
      <c r="AQ181" s="19"/>
      <c r="AR181" s="22"/>
      <c r="AS181" s="23">
        <f>AS180*$B181</f>
        <v>0</v>
      </c>
      <c r="AT181" s="18"/>
      <c r="AU181" s="18"/>
      <c r="AV181" s="19"/>
      <c r="AW181" s="22"/>
      <c r="AX181" s="23">
        <f>AX180*$B181</f>
        <v>0</v>
      </c>
      <c r="AY181" s="18"/>
      <c r="AZ181" s="18"/>
      <c r="BA181" s="19"/>
      <c r="BB181" s="22"/>
      <c r="BC181" s="23">
        <f>BC180*$B181</f>
        <v>0</v>
      </c>
      <c r="BD181" s="18"/>
      <c r="BE181" s="18"/>
      <c r="BF181" s="19"/>
      <c r="BG181" s="22"/>
      <c r="BH181" s="23">
        <f>BH180*$B181</f>
        <v>0</v>
      </c>
      <c r="BI181" s="18"/>
      <c r="BJ181" s="18"/>
      <c r="BK181" s="19"/>
      <c r="BL181" s="22"/>
      <c r="BM181" s="23">
        <f>BM180*$B181</f>
        <v>0</v>
      </c>
      <c r="BN181" s="18"/>
      <c r="BO181" s="18"/>
      <c r="BP181" s="19"/>
      <c r="BQ181" s="17" t="s">
        <v>321</v>
      </c>
      <c r="BR181" s="1"/>
      <c r="BS181" s="1"/>
      <c r="BT181" s="1"/>
      <c r="BU181" s="1"/>
    </row>
    <row r="182">
      <c r="A182" s="53" t="str">
        <f>B166</f>
        <v>낙성</v>
      </c>
      <c r="B182" s="29">
        <v>1.0</v>
      </c>
      <c r="C182" s="30" t="s">
        <v>57</v>
      </c>
      <c r="D182" s="31"/>
      <c r="E182" s="32">
        <f>E180*$B182</f>
        <v>0</v>
      </c>
      <c r="F182" s="33"/>
      <c r="G182" s="33"/>
      <c r="H182" s="34"/>
      <c r="I182" s="31"/>
      <c r="J182" s="32">
        <f>J180*$B182</f>
        <v>0</v>
      </c>
      <c r="K182" s="33"/>
      <c r="L182" s="33"/>
      <c r="M182" s="34"/>
      <c r="N182" s="31"/>
      <c r="O182" s="32">
        <f>O180*$B182</f>
        <v>747097</v>
      </c>
      <c r="P182" s="33"/>
      <c r="Q182" s="33"/>
      <c r="R182" s="34"/>
      <c r="S182" s="31"/>
      <c r="T182" s="32">
        <f>T180*$B182</f>
        <v>962000</v>
      </c>
      <c r="U182" s="33"/>
      <c r="V182" s="33"/>
      <c r="W182" s="34"/>
      <c r="X182" s="33"/>
      <c r="Y182" s="32">
        <f>Y180*$B182</f>
        <v>1060000</v>
      </c>
      <c r="Z182" s="33"/>
      <c r="AA182" s="33"/>
      <c r="AB182" s="34"/>
      <c r="AC182" s="33"/>
      <c r="AD182" s="32">
        <f>AD180*$B182</f>
        <v>1060000</v>
      </c>
      <c r="AE182" s="33"/>
      <c r="AF182" s="33"/>
      <c r="AG182" s="34"/>
      <c r="AH182" s="33"/>
      <c r="AI182" s="32">
        <f>AI180*$B182</f>
        <v>734839</v>
      </c>
      <c r="AJ182" s="33"/>
      <c r="AK182" s="33"/>
      <c r="AL182" s="34"/>
      <c r="AM182" s="33"/>
      <c r="AN182" s="32">
        <f>AN180*$B182</f>
        <v>734839</v>
      </c>
      <c r="AO182" s="33"/>
      <c r="AP182" s="33"/>
      <c r="AQ182" s="34"/>
      <c r="AR182" s="31"/>
      <c r="AS182" s="32">
        <f>AS180*$B182</f>
        <v>1060000</v>
      </c>
      <c r="AT182" s="33"/>
      <c r="AU182" s="33"/>
      <c r="AV182" s="34"/>
      <c r="AW182" s="31"/>
      <c r="AX182" s="32">
        <f>AX180*$B182</f>
        <v>1060000</v>
      </c>
      <c r="AY182" s="33"/>
      <c r="AZ182" s="33"/>
      <c r="BA182" s="34"/>
      <c r="BB182" s="31"/>
      <c r="BC182" s="32">
        <f>BC180*$B182</f>
        <v>1060000</v>
      </c>
      <c r="BD182" s="33"/>
      <c r="BE182" s="33"/>
      <c r="BF182" s="34"/>
      <c r="BG182" s="31"/>
      <c r="BH182" s="32">
        <f>BH180*$B182</f>
        <v>1439355</v>
      </c>
      <c r="BI182" s="33"/>
      <c r="BJ182" s="33"/>
      <c r="BK182" s="34"/>
      <c r="BL182" s="31"/>
      <c r="BM182" s="32">
        <f>BM180*$B182</f>
        <v>1060000</v>
      </c>
      <c r="BN182" s="33"/>
      <c r="BO182" s="33"/>
      <c r="BP182" s="34"/>
      <c r="BQ182" s="17" t="s">
        <v>321</v>
      </c>
      <c r="BR182" s="1"/>
      <c r="BS182" s="1"/>
      <c r="BT182" s="1"/>
      <c r="BU182" s="1"/>
    </row>
    <row r="183">
      <c r="A183" s="1"/>
      <c r="B183" s="10" t="s">
        <v>353</v>
      </c>
      <c r="C183" s="11" t="s">
        <v>320</v>
      </c>
      <c r="D183" s="20" t="s">
        <v>37</v>
      </c>
      <c r="E183" s="18"/>
      <c r="F183" s="1"/>
      <c r="G183" s="18"/>
      <c r="H183" s="19"/>
      <c r="I183" s="10" t="s">
        <v>354</v>
      </c>
      <c r="J183" s="23">
        <v>100000.0</v>
      </c>
      <c r="K183" s="35" t="b">
        <v>0</v>
      </c>
      <c r="L183" s="23">
        <v>17241.0</v>
      </c>
      <c r="M183" s="15" t="b">
        <v>1</v>
      </c>
      <c r="N183" s="10" t="s">
        <v>355</v>
      </c>
      <c r="O183" s="23">
        <v>580000.0</v>
      </c>
      <c r="P183" s="35" t="b">
        <v>0</v>
      </c>
      <c r="Q183" s="23">
        <v>100000.0</v>
      </c>
      <c r="R183" s="15" t="b">
        <v>1</v>
      </c>
      <c r="S183" s="10" t="s">
        <v>355</v>
      </c>
      <c r="T183" s="23">
        <v>580000.0</v>
      </c>
      <c r="U183" s="35" t="b">
        <v>0</v>
      </c>
      <c r="V183" s="23">
        <v>100000.0</v>
      </c>
      <c r="W183" s="15" t="b">
        <v>1</v>
      </c>
      <c r="X183" s="10" t="s">
        <v>356</v>
      </c>
      <c r="Y183" s="23">
        <v>580000.0</v>
      </c>
      <c r="Z183" s="35" t="b">
        <v>0</v>
      </c>
      <c r="AA183" s="23">
        <v>100000.0</v>
      </c>
      <c r="AB183" s="15" t="b">
        <v>1</v>
      </c>
      <c r="AC183" s="10" t="s">
        <v>37</v>
      </c>
      <c r="AD183" s="18"/>
      <c r="AE183" s="1"/>
      <c r="AF183" s="18"/>
      <c r="AG183" s="19"/>
      <c r="AH183" s="10" t="s">
        <v>37</v>
      </c>
      <c r="AI183" s="18"/>
      <c r="AJ183" s="1"/>
      <c r="AK183" s="18"/>
      <c r="AL183" s="19"/>
      <c r="AM183" s="10" t="s">
        <v>37</v>
      </c>
      <c r="AN183" s="18"/>
      <c r="AO183" s="1"/>
      <c r="AP183" s="18"/>
      <c r="AQ183" s="19"/>
      <c r="AR183" s="20" t="s">
        <v>37</v>
      </c>
      <c r="AS183" s="18"/>
      <c r="AT183" s="1"/>
      <c r="AU183" s="18"/>
      <c r="AV183" s="19"/>
      <c r="AW183" s="10" t="s">
        <v>37</v>
      </c>
      <c r="AX183" s="18"/>
      <c r="AY183" s="1"/>
      <c r="AZ183" s="18"/>
      <c r="BA183" s="19"/>
      <c r="BB183" s="10" t="s">
        <v>37</v>
      </c>
      <c r="BC183" s="18"/>
      <c r="BD183" s="1"/>
      <c r="BE183" s="18"/>
      <c r="BF183" s="19"/>
      <c r="BG183" s="10" t="s">
        <v>37</v>
      </c>
      <c r="BH183" s="18"/>
      <c r="BI183" s="1"/>
      <c r="BJ183" s="18"/>
      <c r="BK183" s="19"/>
      <c r="BL183" s="21"/>
      <c r="BM183" s="18"/>
      <c r="BN183" s="1"/>
      <c r="BO183" s="18"/>
      <c r="BP183" s="19"/>
      <c r="BQ183" s="17" t="s">
        <v>357</v>
      </c>
      <c r="BR183" s="17" t="s">
        <v>358</v>
      </c>
      <c r="BS183" s="1"/>
      <c r="BT183" s="1"/>
      <c r="BU183" s="1"/>
    </row>
    <row r="184">
      <c r="A184" s="1"/>
      <c r="B184" s="10" t="s">
        <v>353</v>
      </c>
      <c r="C184" s="11" t="s">
        <v>322</v>
      </c>
      <c r="D184" s="20" t="s">
        <v>37</v>
      </c>
      <c r="E184" s="18"/>
      <c r="F184" s="1"/>
      <c r="G184" s="18"/>
      <c r="H184" s="19"/>
      <c r="I184" s="20" t="s">
        <v>37</v>
      </c>
      <c r="J184" s="18"/>
      <c r="K184" s="1"/>
      <c r="L184" s="18"/>
      <c r="M184" s="19"/>
      <c r="N184" s="10" t="s">
        <v>359</v>
      </c>
      <c r="O184" s="23">
        <v>336774.0</v>
      </c>
      <c r="P184" s="35" t="b">
        <v>0</v>
      </c>
      <c r="Q184" s="23">
        <v>58065.0</v>
      </c>
      <c r="R184" s="15" t="b">
        <v>1</v>
      </c>
      <c r="S184" s="10" t="s">
        <v>360</v>
      </c>
      <c r="T184" s="23">
        <v>580000.0</v>
      </c>
      <c r="U184" s="35" t="b">
        <v>0</v>
      </c>
      <c r="V184" s="23">
        <v>100000.0</v>
      </c>
      <c r="W184" s="15" t="b">
        <v>1</v>
      </c>
      <c r="X184" s="10" t="s">
        <v>360</v>
      </c>
      <c r="Y184" s="23">
        <v>580000.0</v>
      </c>
      <c r="Z184" s="35" t="b">
        <v>0</v>
      </c>
      <c r="AA184" s="23">
        <v>100000.0</v>
      </c>
      <c r="AB184" s="15" t="b">
        <v>1</v>
      </c>
      <c r="AC184" s="10" t="s">
        <v>360</v>
      </c>
      <c r="AD184" s="23">
        <v>580000.0</v>
      </c>
      <c r="AE184" s="35" t="b">
        <v>0</v>
      </c>
      <c r="AF184" s="23">
        <v>100000.0</v>
      </c>
      <c r="AG184" s="15" t="b">
        <v>1</v>
      </c>
      <c r="AH184" s="10" t="s">
        <v>360</v>
      </c>
      <c r="AI184" s="23">
        <v>580000.0</v>
      </c>
      <c r="AJ184" s="35" t="b">
        <v>0</v>
      </c>
      <c r="AK184" s="23">
        <v>100000.0</v>
      </c>
      <c r="AL184" s="15" t="b">
        <v>1</v>
      </c>
      <c r="AM184" s="10" t="s">
        <v>361</v>
      </c>
      <c r="AN184" s="23">
        <f>580000+17097</f>
        <v>597097</v>
      </c>
      <c r="AO184" s="35" t="b">
        <v>0</v>
      </c>
      <c r="AP184" s="23">
        <f>100000+3226</f>
        <v>103226</v>
      </c>
      <c r="AQ184" s="15" t="b">
        <v>1</v>
      </c>
      <c r="AR184" s="10" t="s">
        <v>362</v>
      </c>
      <c r="AS184" s="23">
        <v>530000.0</v>
      </c>
      <c r="AT184" s="35" t="b">
        <v>0</v>
      </c>
      <c r="AU184" s="23">
        <v>100000.0</v>
      </c>
      <c r="AV184" s="15" t="b">
        <v>1</v>
      </c>
      <c r="AW184" s="10" t="s">
        <v>362</v>
      </c>
      <c r="AX184" s="23">
        <v>530000.0</v>
      </c>
      <c r="AY184" s="35" t="b">
        <v>0</v>
      </c>
      <c r="AZ184" s="23">
        <v>100000.0</v>
      </c>
      <c r="BA184" s="15" t="b">
        <v>1</v>
      </c>
      <c r="BB184" s="10" t="s">
        <v>362</v>
      </c>
      <c r="BC184" s="23">
        <v>530000.0</v>
      </c>
      <c r="BD184" s="35" t="b">
        <v>0</v>
      </c>
      <c r="BE184" s="23">
        <v>100000.0</v>
      </c>
      <c r="BF184" s="15" t="b">
        <v>1</v>
      </c>
      <c r="BG184" s="10" t="s">
        <v>363</v>
      </c>
      <c r="BH184" s="23">
        <v>530000.0</v>
      </c>
      <c r="BI184" s="35" t="b">
        <v>0</v>
      </c>
      <c r="BJ184" s="23">
        <v>100000.0</v>
      </c>
      <c r="BK184" s="15" t="b">
        <v>1</v>
      </c>
      <c r="BL184" s="21"/>
      <c r="BM184" s="18"/>
      <c r="BN184" s="1"/>
      <c r="BO184" s="18"/>
      <c r="BP184" s="19"/>
      <c r="BQ184" s="17" t="s">
        <v>357</v>
      </c>
      <c r="BR184" s="1"/>
      <c r="BS184" s="1"/>
      <c r="BT184" s="1"/>
      <c r="BU184" s="1"/>
    </row>
    <row r="185">
      <c r="A185" s="1"/>
      <c r="B185" s="10" t="s">
        <v>353</v>
      </c>
      <c r="C185" s="11" t="s">
        <v>364</v>
      </c>
      <c r="D185" s="20" t="s">
        <v>37</v>
      </c>
      <c r="E185" s="18"/>
      <c r="F185" s="1"/>
      <c r="G185" s="18"/>
      <c r="H185" s="19"/>
      <c r="I185" s="20" t="s">
        <v>37</v>
      </c>
      <c r="J185" s="18"/>
      <c r="K185" s="1"/>
      <c r="L185" s="18"/>
      <c r="M185" s="19"/>
      <c r="N185" s="10" t="s">
        <v>37</v>
      </c>
      <c r="O185" s="18"/>
      <c r="P185" s="1"/>
      <c r="Q185" s="18"/>
      <c r="R185" s="19"/>
      <c r="S185" s="10" t="s">
        <v>37</v>
      </c>
      <c r="T185" s="18"/>
      <c r="U185" s="1"/>
      <c r="V185" s="18"/>
      <c r="W185" s="19"/>
      <c r="X185" s="10" t="s">
        <v>37</v>
      </c>
      <c r="Y185" s="18"/>
      <c r="Z185" s="1"/>
      <c r="AA185" s="18"/>
      <c r="AB185" s="19"/>
      <c r="AC185" s="10" t="s">
        <v>365</v>
      </c>
      <c r="AD185" s="23">
        <v>15000.0</v>
      </c>
      <c r="AE185" s="35" t="b">
        <v>0</v>
      </c>
      <c r="AF185" s="23">
        <v>3333.0</v>
      </c>
      <c r="AG185" s="15" t="b">
        <v>1</v>
      </c>
      <c r="AH185" s="10" t="s">
        <v>366</v>
      </c>
      <c r="AI185" s="23">
        <v>450000.0</v>
      </c>
      <c r="AJ185" s="35" t="b">
        <v>0</v>
      </c>
      <c r="AK185" s="23">
        <v>100000.0</v>
      </c>
      <c r="AL185" s="15" t="b">
        <v>1</v>
      </c>
      <c r="AM185" s="10" t="s">
        <v>366</v>
      </c>
      <c r="AN185" s="23">
        <v>450000.0</v>
      </c>
      <c r="AO185" s="35" t="b">
        <v>0</v>
      </c>
      <c r="AP185" s="23">
        <v>100000.0</v>
      </c>
      <c r="AQ185" s="15" t="b">
        <v>1</v>
      </c>
      <c r="AR185" s="10" t="s">
        <v>366</v>
      </c>
      <c r="AS185" s="23">
        <v>450000.0</v>
      </c>
      <c r="AT185" s="35" t="b">
        <v>0</v>
      </c>
      <c r="AU185" s="23">
        <v>100000.0</v>
      </c>
      <c r="AV185" s="15" t="b">
        <v>1</v>
      </c>
      <c r="AW185" s="10" t="s">
        <v>366</v>
      </c>
      <c r="AX185" s="23">
        <v>450000.0</v>
      </c>
      <c r="AY185" s="35" t="b">
        <v>0</v>
      </c>
      <c r="AZ185" s="23">
        <v>100000.0</v>
      </c>
      <c r="BA185" s="15" t="b">
        <v>1</v>
      </c>
      <c r="BB185" s="10" t="s">
        <v>366</v>
      </c>
      <c r="BC185" s="23">
        <v>450000.0</v>
      </c>
      <c r="BD185" s="35" t="b">
        <v>0</v>
      </c>
      <c r="BE185" s="23">
        <v>100000.0</v>
      </c>
      <c r="BF185" s="15" t="b">
        <v>1</v>
      </c>
      <c r="BG185" s="10" t="s">
        <v>367</v>
      </c>
      <c r="BH185" s="23">
        <v>450000.0</v>
      </c>
      <c r="BI185" s="35" t="b">
        <v>0</v>
      </c>
      <c r="BJ185" s="23">
        <v>100000.0</v>
      </c>
      <c r="BK185" s="15" t="b">
        <v>1</v>
      </c>
      <c r="BL185" s="21"/>
      <c r="BM185" s="18"/>
      <c r="BN185" s="1"/>
      <c r="BO185" s="18"/>
      <c r="BP185" s="19"/>
      <c r="BQ185" s="17" t="s">
        <v>357</v>
      </c>
      <c r="BR185" s="1"/>
      <c r="BS185" s="1"/>
      <c r="BT185" s="1"/>
      <c r="BU185" s="1"/>
    </row>
    <row r="186">
      <c r="A186" s="1"/>
      <c r="B186" s="10" t="s">
        <v>353</v>
      </c>
      <c r="C186" s="11" t="s">
        <v>368</v>
      </c>
      <c r="D186" s="10" t="s">
        <v>369</v>
      </c>
      <c r="E186" s="23">
        <v>430000.0</v>
      </c>
      <c r="F186" s="35" t="b">
        <v>0</v>
      </c>
      <c r="G186" s="23">
        <v>100000.0</v>
      </c>
      <c r="H186" s="15" t="b">
        <v>1</v>
      </c>
      <c r="I186" s="10" t="s">
        <v>369</v>
      </c>
      <c r="J186" s="23">
        <v>430000.0</v>
      </c>
      <c r="K186" s="35" t="b">
        <v>0</v>
      </c>
      <c r="L186" s="23">
        <v>100000.0</v>
      </c>
      <c r="M186" s="15" t="b">
        <v>1</v>
      </c>
      <c r="N186" s="10" t="s">
        <v>369</v>
      </c>
      <c r="O186" s="23">
        <v>430000.0</v>
      </c>
      <c r="P186" s="35" t="b">
        <v>0</v>
      </c>
      <c r="Q186" s="23">
        <v>100000.0</v>
      </c>
      <c r="R186" s="15" t="b">
        <v>1</v>
      </c>
      <c r="S186" s="10" t="s">
        <v>369</v>
      </c>
      <c r="T186" s="23">
        <v>430000.0</v>
      </c>
      <c r="U186" s="35" t="b">
        <v>0</v>
      </c>
      <c r="V186" s="23">
        <v>100000.0</v>
      </c>
      <c r="W186" s="15" t="b">
        <v>1</v>
      </c>
      <c r="X186" s="10" t="s">
        <v>369</v>
      </c>
      <c r="Y186" s="23">
        <v>430000.0</v>
      </c>
      <c r="Z186" s="35" t="b">
        <v>0</v>
      </c>
      <c r="AA186" s="23">
        <v>100000.0</v>
      </c>
      <c r="AB186" s="15" t="b">
        <v>1</v>
      </c>
      <c r="AC186" s="10" t="s">
        <v>369</v>
      </c>
      <c r="AD186" s="23">
        <v>430000.0</v>
      </c>
      <c r="AE186" s="35" t="b">
        <v>0</v>
      </c>
      <c r="AF186" s="23">
        <v>100000.0</v>
      </c>
      <c r="AG186" s="15" t="b">
        <v>1</v>
      </c>
      <c r="AH186" s="10" t="s">
        <v>369</v>
      </c>
      <c r="AI186" s="23">
        <v>430000.0</v>
      </c>
      <c r="AJ186" s="35" t="b">
        <v>0</v>
      </c>
      <c r="AK186" s="23">
        <v>100000.0</v>
      </c>
      <c r="AL186" s="15" t="b">
        <v>1</v>
      </c>
      <c r="AM186" s="10" t="s">
        <v>370</v>
      </c>
      <c r="AN186" s="23">
        <v>430000.0</v>
      </c>
      <c r="AO186" s="35" t="b">
        <v>0</v>
      </c>
      <c r="AP186" s="23">
        <v>100000.0</v>
      </c>
      <c r="AQ186" s="15" t="b">
        <v>1</v>
      </c>
      <c r="AR186" s="10" t="s">
        <v>371</v>
      </c>
      <c r="AS186" s="23">
        <v>430000.0</v>
      </c>
      <c r="AT186" s="35" t="b">
        <v>0</v>
      </c>
      <c r="AU186" s="23">
        <v>100000.0</v>
      </c>
      <c r="AV186" s="15" t="b">
        <v>1</v>
      </c>
      <c r="AW186" s="10" t="s">
        <v>372</v>
      </c>
      <c r="AX186" s="23">
        <v>430000.0</v>
      </c>
      <c r="AY186" s="35" t="b">
        <v>0</v>
      </c>
      <c r="AZ186" s="23">
        <v>100000.0</v>
      </c>
      <c r="BA186" s="15" t="b">
        <v>1</v>
      </c>
      <c r="BB186" s="10" t="s">
        <v>37</v>
      </c>
      <c r="BC186" s="18"/>
      <c r="BD186" s="1"/>
      <c r="BE186" s="18"/>
      <c r="BF186" s="19"/>
      <c r="BG186" s="10" t="s">
        <v>37</v>
      </c>
      <c r="BH186" s="18"/>
      <c r="BI186" s="1"/>
      <c r="BJ186" s="18"/>
      <c r="BK186" s="19"/>
      <c r="BL186" s="21"/>
      <c r="BM186" s="18"/>
      <c r="BN186" s="1"/>
      <c r="BO186" s="18"/>
      <c r="BP186" s="19"/>
      <c r="BQ186" s="17" t="s">
        <v>357</v>
      </c>
      <c r="BR186" s="1"/>
      <c r="BS186" s="1"/>
      <c r="BT186" s="1"/>
      <c r="BU186" s="1"/>
    </row>
    <row r="187">
      <c r="A187" s="1"/>
      <c r="B187" s="21"/>
      <c r="C187" s="11" t="s">
        <v>42</v>
      </c>
      <c r="D187" s="22"/>
      <c r="E187" s="23">
        <f>SUM(E183:E186)</f>
        <v>430000</v>
      </c>
      <c r="F187" s="18"/>
      <c r="G187" s="23">
        <f>SUM(G183:G186)</f>
        <v>100000</v>
      </c>
      <c r="H187" s="19"/>
      <c r="I187" s="22"/>
      <c r="J187" s="23">
        <f>SUM(J183:J186)</f>
        <v>530000</v>
      </c>
      <c r="K187" s="18"/>
      <c r="L187" s="23">
        <f>SUM(L183:L186)</f>
        <v>117241</v>
      </c>
      <c r="M187" s="19"/>
      <c r="N187" s="22"/>
      <c r="O187" s="23">
        <f>SUM(O183:O186)</f>
        <v>1346774</v>
      </c>
      <c r="P187" s="18"/>
      <c r="Q187" s="23">
        <f>SUM(Q183:Q186)</f>
        <v>258065</v>
      </c>
      <c r="R187" s="19"/>
      <c r="S187" s="22"/>
      <c r="T187" s="23">
        <f>SUM(T183:T186)</f>
        <v>1590000</v>
      </c>
      <c r="U187" s="18"/>
      <c r="V187" s="23">
        <f>SUM(V183:V186)</f>
        <v>300000</v>
      </c>
      <c r="W187" s="19"/>
      <c r="X187" s="18"/>
      <c r="Y187" s="23">
        <f>SUM(Y183:Y186)</f>
        <v>1590000</v>
      </c>
      <c r="Z187" s="18"/>
      <c r="AA187" s="23">
        <f>SUM(AA183:AA186)</f>
        <v>300000</v>
      </c>
      <c r="AB187" s="19"/>
      <c r="AC187" s="18"/>
      <c r="AD187" s="23">
        <f>SUM(AD183:AD186)</f>
        <v>1025000</v>
      </c>
      <c r="AE187" s="18"/>
      <c r="AF187" s="23">
        <f>SUM(AF183:AF186)</f>
        <v>203333</v>
      </c>
      <c r="AG187" s="19"/>
      <c r="AH187" s="18"/>
      <c r="AI187" s="23">
        <f>SUM(AI183:AI186)</f>
        <v>1460000</v>
      </c>
      <c r="AJ187" s="18"/>
      <c r="AK187" s="23">
        <f>SUM(AK183:AK186)</f>
        <v>300000</v>
      </c>
      <c r="AL187" s="19"/>
      <c r="AM187" s="18"/>
      <c r="AN187" s="23">
        <f>SUM(AN183:AN186)</f>
        <v>1477097</v>
      </c>
      <c r="AO187" s="18"/>
      <c r="AP187" s="23">
        <f>SUM(AP183:AP186)</f>
        <v>303226</v>
      </c>
      <c r="AQ187" s="19"/>
      <c r="AR187" s="22"/>
      <c r="AS187" s="23">
        <f>SUM(AS183:AS186)</f>
        <v>1410000</v>
      </c>
      <c r="AT187" s="18"/>
      <c r="AU187" s="23">
        <f>SUM(AU183:AU186)</f>
        <v>300000</v>
      </c>
      <c r="AV187" s="19"/>
      <c r="AW187" s="22"/>
      <c r="AX187" s="23">
        <f>SUM(AX183:AX186)</f>
        <v>1410000</v>
      </c>
      <c r="AY187" s="18"/>
      <c r="AZ187" s="23">
        <f>SUM(AZ183:AZ186)</f>
        <v>300000</v>
      </c>
      <c r="BA187" s="19"/>
      <c r="BB187" s="21"/>
      <c r="BC187" s="23">
        <f>SUM(BC183:BC186)</f>
        <v>980000</v>
      </c>
      <c r="BD187" s="18"/>
      <c r="BE187" s="23">
        <f>SUM(BE183:BE186)</f>
        <v>200000</v>
      </c>
      <c r="BF187" s="19"/>
      <c r="BG187" s="21"/>
      <c r="BH187" s="23">
        <f>SUM(BH183:BH186)</f>
        <v>980000</v>
      </c>
      <c r="BI187" s="18"/>
      <c r="BJ187" s="23">
        <f>SUM(BJ183:BJ186)</f>
        <v>200000</v>
      </c>
      <c r="BK187" s="19"/>
      <c r="BL187" s="21"/>
      <c r="BM187" s="18"/>
      <c r="BN187" s="18"/>
      <c r="BO187" s="18"/>
      <c r="BP187" s="19"/>
      <c r="BQ187" s="17" t="s">
        <v>357</v>
      </c>
      <c r="BR187" s="1"/>
      <c r="BS187" s="1"/>
      <c r="BT187" s="1"/>
      <c r="BU187" s="1"/>
    </row>
    <row r="188">
      <c r="A188" s="1"/>
      <c r="B188" s="21"/>
      <c r="C188" s="11" t="s">
        <v>43</v>
      </c>
      <c r="D188" s="22"/>
      <c r="E188" s="18"/>
      <c r="F188" s="18"/>
      <c r="G188" s="18"/>
      <c r="H188" s="19"/>
      <c r="I188" s="22"/>
      <c r="J188" s="18"/>
      <c r="K188" s="18"/>
      <c r="L188" s="18"/>
      <c r="M188" s="19"/>
      <c r="N188" s="22"/>
      <c r="O188" s="18"/>
      <c r="P188" s="18"/>
      <c r="Q188" s="18"/>
      <c r="R188" s="19"/>
      <c r="S188" s="22"/>
      <c r="T188" s="18"/>
      <c r="U188" s="18"/>
      <c r="V188" s="18"/>
      <c r="W188" s="19"/>
      <c r="X188" s="18"/>
      <c r="Y188" s="18"/>
      <c r="Z188" s="18"/>
      <c r="AA188" s="18"/>
      <c r="AB188" s="19"/>
      <c r="AC188" s="18"/>
      <c r="AD188" s="18"/>
      <c r="AE188" s="18"/>
      <c r="AF188" s="18"/>
      <c r="AG188" s="19"/>
      <c r="AH188" s="18"/>
      <c r="AI188" s="18"/>
      <c r="AJ188" s="18"/>
      <c r="AK188" s="18"/>
      <c r="AL188" s="19"/>
      <c r="AM188" s="18"/>
      <c r="AN188" s="18"/>
      <c r="AO188" s="18"/>
      <c r="AP188" s="18"/>
      <c r="AQ188" s="19"/>
      <c r="AR188" s="22"/>
      <c r="AS188" s="18"/>
      <c r="AT188" s="18"/>
      <c r="AU188" s="18"/>
      <c r="AV188" s="19"/>
      <c r="AW188" s="22"/>
      <c r="AX188" s="18"/>
      <c r="AY188" s="18"/>
      <c r="AZ188" s="18"/>
      <c r="BA188" s="19"/>
      <c r="BB188" s="22"/>
      <c r="BC188" s="18"/>
      <c r="BD188" s="18"/>
      <c r="BE188" s="18"/>
      <c r="BF188" s="19"/>
      <c r="BG188" s="22"/>
      <c r="BH188" s="18"/>
      <c r="BI188" s="18"/>
      <c r="BJ188" s="18"/>
      <c r="BK188" s="19"/>
      <c r="BL188" s="22"/>
      <c r="BM188" s="18"/>
      <c r="BN188" s="18"/>
      <c r="BO188" s="18"/>
      <c r="BP188" s="19"/>
      <c r="BQ188" s="17" t="s">
        <v>357</v>
      </c>
      <c r="BR188" s="1"/>
      <c r="BS188" s="1"/>
      <c r="BT188" s="1"/>
      <c r="BU188" s="1"/>
    </row>
    <row r="189">
      <c r="A189" s="1"/>
      <c r="B189" s="10" t="s">
        <v>373</v>
      </c>
      <c r="C189" s="11" t="s">
        <v>45</v>
      </c>
      <c r="D189" s="22"/>
      <c r="E189" s="18"/>
      <c r="F189" s="18"/>
      <c r="G189" s="18"/>
      <c r="H189" s="19"/>
      <c r="I189" s="22"/>
      <c r="J189" s="18"/>
      <c r="K189" s="18"/>
      <c r="L189" s="18"/>
      <c r="M189" s="19"/>
      <c r="N189" s="22"/>
      <c r="O189" s="18"/>
      <c r="P189" s="18"/>
      <c r="Q189" s="18"/>
      <c r="R189" s="19"/>
      <c r="S189" s="22"/>
      <c r="T189" s="18"/>
      <c r="U189" s="18"/>
      <c r="V189" s="18"/>
      <c r="W189" s="19"/>
      <c r="X189" s="18"/>
      <c r="Y189" s="18"/>
      <c r="Z189" s="18"/>
      <c r="AA189" s="18"/>
      <c r="AB189" s="19"/>
      <c r="AC189" s="18"/>
      <c r="AD189" s="18"/>
      <c r="AE189" s="18"/>
      <c r="AF189" s="18"/>
      <c r="AG189" s="19"/>
      <c r="AH189" s="18"/>
      <c r="AI189" s="18"/>
      <c r="AJ189" s="18"/>
      <c r="AK189" s="18"/>
      <c r="AL189" s="19"/>
      <c r="AM189" s="18"/>
      <c r="AN189" s="18"/>
      <c r="AO189" s="18"/>
      <c r="AP189" s="18"/>
      <c r="AQ189" s="19"/>
      <c r="AR189" s="22"/>
      <c r="AS189" s="18"/>
      <c r="AT189" s="18"/>
      <c r="AU189" s="18"/>
      <c r="AV189" s="19"/>
      <c r="AW189" s="22"/>
      <c r="AX189" s="18"/>
      <c r="AY189" s="18"/>
      <c r="AZ189" s="18"/>
      <c r="BA189" s="19"/>
      <c r="BB189" s="22"/>
      <c r="BC189" s="18"/>
      <c r="BD189" s="18"/>
      <c r="BE189" s="18"/>
      <c r="BF189" s="19"/>
      <c r="BG189" s="22"/>
      <c r="BH189" s="18"/>
      <c r="BI189" s="18"/>
      <c r="BJ189" s="18"/>
      <c r="BK189" s="19"/>
      <c r="BL189" s="22"/>
      <c r="BM189" s="18"/>
      <c r="BN189" s="18"/>
      <c r="BO189" s="18"/>
      <c r="BP189" s="19"/>
      <c r="BQ189" s="17" t="s">
        <v>357</v>
      </c>
      <c r="BR189" s="1"/>
      <c r="BS189" s="1"/>
      <c r="BT189" s="1"/>
      <c r="BU189" s="1"/>
    </row>
    <row r="190">
      <c r="A190" s="1"/>
      <c r="B190" s="10" t="s">
        <v>373</v>
      </c>
      <c r="C190" s="11" t="s">
        <v>47</v>
      </c>
      <c r="D190" s="22"/>
      <c r="E190" s="18"/>
      <c r="F190" s="18"/>
      <c r="G190" s="18"/>
      <c r="H190" s="19"/>
      <c r="I190" s="22"/>
      <c r="J190" s="18"/>
      <c r="K190" s="18"/>
      <c r="L190" s="18"/>
      <c r="M190" s="19"/>
      <c r="N190" s="22"/>
      <c r="O190" s="18"/>
      <c r="P190" s="18"/>
      <c r="Q190" s="18"/>
      <c r="R190" s="19"/>
      <c r="S190" s="22"/>
      <c r="T190" s="18"/>
      <c r="U190" s="18"/>
      <c r="V190" s="18"/>
      <c r="W190" s="19"/>
      <c r="X190" s="18"/>
      <c r="Y190" s="18"/>
      <c r="Z190" s="18"/>
      <c r="AA190" s="18"/>
      <c r="AB190" s="19"/>
      <c r="AC190" s="18"/>
      <c r="AD190" s="18"/>
      <c r="AE190" s="18"/>
      <c r="AF190" s="18"/>
      <c r="AG190" s="19"/>
      <c r="AH190" s="18"/>
      <c r="AI190" s="18"/>
      <c r="AJ190" s="18"/>
      <c r="AK190" s="18"/>
      <c r="AL190" s="19"/>
      <c r="AM190" s="18"/>
      <c r="AN190" s="18"/>
      <c r="AO190" s="18"/>
      <c r="AP190" s="18"/>
      <c r="AQ190" s="19"/>
      <c r="AR190" s="22"/>
      <c r="AS190" s="18"/>
      <c r="AT190" s="18"/>
      <c r="AU190" s="18"/>
      <c r="AV190" s="19"/>
      <c r="AW190" s="22"/>
      <c r="AX190" s="18"/>
      <c r="AY190" s="18"/>
      <c r="AZ190" s="18"/>
      <c r="BA190" s="19"/>
      <c r="BB190" s="22"/>
      <c r="BC190" s="18"/>
      <c r="BD190" s="18"/>
      <c r="BE190" s="18"/>
      <c r="BF190" s="19"/>
      <c r="BG190" s="22"/>
      <c r="BH190" s="18"/>
      <c r="BI190" s="18"/>
      <c r="BJ190" s="18"/>
      <c r="BK190" s="19"/>
      <c r="BL190" s="22"/>
      <c r="BM190" s="18"/>
      <c r="BN190" s="18"/>
      <c r="BO190" s="18"/>
      <c r="BP190" s="19"/>
      <c r="BQ190" s="17" t="s">
        <v>357</v>
      </c>
      <c r="BR190" s="1"/>
      <c r="BS190" s="1"/>
      <c r="BT190" s="1"/>
      <c r="BU190" s="1"/>
    </row>
    <row r="191">
      <c r="A191" s="1"/>
      <c r="B191" s="10" t="s">
        <v>373</v>
      </c>
      <c r="C191" s="11" t="s">
        <v>49</v>
      </c>
      <c r="D191" s="22"/>
      <c r="E191" s="18"/>
      <c r="F191" s="18"/>
      <c r="G191" s="18"/>
      <c r="H191" s="19"/>
      <c r="I191" s="22"/>
      <c r="J191" s="18"/>
      <c r="K191" s="18"/>
      <c r="L191" s="18"/>
      <c r="M191" s="19"/>
      <c r="N191" s="22"/>
      <c r="O191" s="18"/>
      <c r="P191" s="18"/>
      <c r="Q191" s="18"/>
      <c r="R191" s="19"/>
      <c r="S191" s="22"/>
      <c r="T191" s="18"/>
      <c r="U191" s="18"/>
      <c r="V191" s="18"/>
      <c r="W191" s="19"/>
      <c r="X191" s="18"/>
      <c r="Y191" s="18"/>
      <c r="Z191" s="18"/>
      <c r="AA191" s="18"/>
      <c r="AB191" s="19"/>
      <c r="AC191" s="18"/>
      <c r="AD191" s="18"/>
      <c r="AE191" s="18"/>
      <c r="AF191" s="18"/>
      <c r="AG191" s="19"/>
      <c r="AH191" s="18"/>
      <c r="AI191" s="18"/>
      <c r="AJ191" s="18"/>
      <c r="AK191" s="18"/>
      <c r="AL191" s="19"/>
      <c r="AM191" s="18"/>
      <c r="AN191" s="18"/>
      <c r="AO191" s="18"/>
      <c r="AP191" s="18"/>
      <c r="AQ191" s="19"/>
      <c r="AR191" s="22"/>
      <c r="AS191" s="18"/>
      <c r="AT191" s="18"/>
      <c r="AU191" s="18"/>
      <c r="AV191" s="19"/>
      <c r="AW191" s="22"/>
      <c r="AX191" s="18"/>
      <c r="AY191" s="18"/>
      <c r="AZ191" s="18"/>
      <c r="BA191" s="19"/>
      <c r="BB191" s="22"/>
      <c r="BC191" s="18"/>
      <c r="BD191" s="18"/>
      <c r="BE191" s="18"/>
      <c r="BF191" s="19"/>
      <c r="BG191" s="22"/>
      <c r="BH191" s="18"/>
      <c r="BI191" s="18"/>
      <c r="BJ191" s="18"/>
      <c r="BK191" s="19"/>
      <c r="BL191" s="22"/>
      <c r="BM191" s="18"/>
      <c r="BN191" s="18"/>
      <c r="BO191" s="18"/>
      <c r="BP191" s="19"/>
      <c r="BQ191" s="17" t="s">
        <v>357</v>
      </c>
      <c r="BR191" s="1"/>
      <c r="BS191" s="1"/>
      <c r="BT191" s="1"/>
      <c r="BU191" s="1"/>
    </row>
    <row r="192">
      <c r="A192" s="1"/>
      <c r="B192" s="10" t="s">
        <v>373</v>
      </c>
      <c r="C192" s="11" t="s">
        <v>51</v>
      </c>
      <c r="D192" s="22"/>
      <c r="E192" s="18"/>
      <c r="F192" s="18"/>
      <c r="G192" s="18"/>
      <c r="H192" s="19"/>
      <c r="I192" s="22"/>
      <c r="J192" s="18"/>
      <c r="K192" s="18"/>
      <c r="L192" s="18"/>
      <c r="M192" s="19"/>
      <c r="N192" s="22"/>
      <c r="O192" s="18"/>
      <c r="P192" s="18"/>
      <c r="Q192" s="18"/>
      <c r="R192" s="19"/>
      <c r="S192" s="22"/>
      <c r="T192" s="18"/>
      <c r="U192" s="18"/>
      <c r="V192" s="18"/>
      <c r="W192" s="19"/>
      <c r="X192" s="18"/>
      <c r="Y192" s="18"/>
      <c r="Z192" s="18"/>
      <c r="AA192" s="18"/>
      <c r="AB192" s="19"/>
      <c r="AC192" s="18"/>
      <c r="AD192" s="18"/>
      <c r="AE192" s="18"/>
      <c r="AF192" s="18"/>
      <c r="AG192" s="19"/>
      <c r="AH192" s="18"/>
      <c r="AI192" s="18"/>
      <c r="AJ192" s="18"/>
      <c r="AK192" s="18"/>
      <c r="AL192" s="19"/>
      <c r="AM192" s="18"/>
      <c r="AN192" s="18"/>
      <c r="AO192" s="18"/>
      <c r="AP192" s="18"/>
      <c r="AQ192" s="19"/>
      <c r="AR192" s="22"/>
      <c r="AS192" s="18"/>
      <c r="AT192" s="18"/>
      <c r="AU192" s="18"/>
      <c r="AV192" s="19"/>
      <c r="AW192" s="22"/>
      <c r="AX192" s="18"/>
      <c r="AY192" s="18"/>
      <c r="AZ192" s="18"/>
      <c r="BA192" s="19"/>
      <c r="BB192" s="22"/>
      <c r="BC192" s="18"/>
      <c r="BD192" s="18"/>
      <c r="BE192" s="18"/>
      <c r="BF192" s="19"/>
      <c r="BG192" s="22"/>
      <c r="BH192" s="18"/>
      <c r="BI192" s="18"/>
      <c r="BJ192" s="18"/>
      <c r="BK192" s="19"/>
      <c r="BL192" s="22"/>
      <c r="BM192" s="18"/>
      <c r="BN192" s="18"/>
      <c r="BO192" s="18"/>
      <c r="BP192" s="19"/>
      <c r="BQ192" s="17" t="s">
        <v>357</v>
      </c>
      <c r="BR192" s="1"/>
      <c r="BS192" s="1"/>
      <c r="BT192" s="1"/>
      <c r="BU192" s="1"/>
    </row>
    <row r="193">
      <c r="A193" s="1"/>
      <c r="B193" s="10" t="s">
        <v>373</v>
      </c>
      <c r="C193" s="11" t="s">
        <v>52</v>
      </c>
      <c r="D193" s="22"/>
      <c r="E193" s="18"/>
      <c r="F193" s="18"/>
      <c r="G193" s="18"/>
      <c r="H193" s="19"/>
      <c r="I193" s="22"/>
      <c r="J193" s="18"/>
      <c r="K193" s="18"/>
      <c r="L193" s="18"/>
      <c r="M193" s="19"/>
      <c r="N193" s="22"/>
      <c r="O193" s="18"/>
      <c r="P193" s="18"/>
      <c r="Q193" s="18"/>
      <c r="R193" s="19"/>
      <c r="S193" s="22"/>
      <c r="T193" s="18"/>
      <c r="U193" s="18"/>
      <c r="V193" s="18"/>
      <c r="W193" s="19"/>
      <c r="X193" s="18"/>
      <c r="Y193" s="18"/>
      <c r="Z193" s="18"/>
      <c r="AA193" s="18"/>
      <c r="AB193" s="19"/>
      <c r="AC193" s="18"/>
      <c r="AD193" s="18"/>
      <c r="AE193" s="18"/>
      <c r="AF193" s="18"/>
      <c r="AG193" s="19"/>
      <c r="AH193" s="18"/>
      <c r="AI193" s="18"/>
      <c r="AJ193" s="18"/>
      <c r="AK193" s="18"/>
      <c r="AL193" s="19"/>
      <c r="AM193" s="18"/>
      <c r="AN193" s="18"/>
      <c r="AO193" s="18"/>
      <c r="AP193" s="18"/>
      <c r="AQ193" s="19"/>
      <c r="AR193" s="22"/>
      <c r="AS193" s="18"/>
      <c r="AT193" s="18"/>
      <c r="AU193" s="18"/>
      <c r="AV193" s="19"/>
      <c r="AW193" s="22"/>
      <c r="AX193" s="18"/>
      <c r="AY193" s="18"/>
      <c r="AZ193" s="18"/>
      <c r="BA193" s="19"/>
      <c r="BB193" s="22"/>
      <c r="BC193" s="18"/>
      <c r="BD193" s="18"/>
      <c r="BE193" s="18"/>
      <c r="BF193" s="19"/>
      <c r="BG193" s="22"/>
      <c r="BH193" s="18"/>
      <c r="BI193" s="18"/>
      <c r="BJ193" s="18"/>
      <c r="BK193" s="19"/>
      <c r="BL193" s="22"/>
      <c r="BM193" s="18"/>
      <c r="BN193" s="18"/>
      <c r="BO193" s="18"/>
      <c r="BP193" s="19"/>
      <c r="BQ193" s="17" t="s">
        <v>357</v>
      </c>
      <c r="BR193" s="1"/>
      <c r="BS193" s="1"/>
      <c r="BT193" s="1"/>
      <c r="BU193" s="1"/>
    </row>
    <row r="194">
      <c r="A194" s="1"/>
      <c r="B194" s="10" t="s">
        <v>373</v>
      </c>
      <c r="C194" s="11" t="s">
        <v>53</v>
      </c>
      <c r="D194" s="22"/>
      <c r="E194" s="18"/>
      <c r="F194" s="18"/>
      <c r="G194" s="18"/>
      <c r="H194" s="19"/>
      <c r="I194" s="22"/>
      <c r="J194" s="18"/>
      <c r="K194" s="18"/>
      <c r="L194" s="18"/>
      <c r="M194" s="19"/>
      <c r="N194" s="22"/>
      <c r="O194" s="18"/>
      <c r="P194" s="18"/>
      <c r="Q194" s="18"/>
      <c r="R194" s="19"/>
      <c r="S194" s="22"/>
      <c r="T194" s="18"/>
      <c r="U194" s="18"/>
      <c r="V194" s="18"/>
      <c r="W194" s="19"/>
      <c r="X194" s="18"/>
      <c r="Y194" s="18"/>
      <c r="Z194" s="18"/>
      <c r="AA194" s="18"/>
      <c r="AB194" s="19"/>
      <c r="AC194" s="18"/>
      <c r="AD194" s="18"/>
      <c r="AE194" s="18"/>
      <c r="AF194" s="18"/>
      <c r="AG194" s="19"/>
      <c r="AH194" s="18"/>
      <c r="AI194" s="18"/>
      <c r="AJ194" s="18"/>
      <c r="AK194" s="18"/>
      <c r="AL194" s="19"/>
      <c r="AM194" s="18"/>
      <c r="AN194" s="18"/>
      <c r="AO194" s="18"/>
      <c r="AP194" s="18"/>
      <c r="AQ194" s="19"/>
      <c r="AR194" s="22"/>
      <c r="AS194" s="18"/>
      <c r="AT194" s="18"/>
      <c r="AU194" s="18"/>
      <c r="AV194" s="19"/>
      <c r="AW194" s="22"/>
      <c r="AX194" s="18"/>
      <c r="AY194" s="18"/>
      <c r="AZ194" s="18"/>
      <c r="BA194" s="19"/>
      <c r="BB194" s="22"/>
      <c r="BC194" s="18"/>
      <c r="BD194" s="18"/>
      <c r="BE194" s="18"/>
      <c r="BF194" s="19"/>
      <c r="BG194" s="22"/>
      <c r="BH194" s="18"/>
      <c r="BI194" s="18"/>
      <c r="BJ194" s="18"/>
      <c r="BK194" s="19"/>
      <c r="BL194" s="22"/>
      <c r="BM194" s="18"/>
      <c r="BN194" s="18"/>
      <c r="BO194" s="18"/>
      <c r="BP194" s="19"/>
      <c r="BQ194" s="17" t="s">
        <v>357</v>
      </c>
      <c r="BR194" s="1"/>
      <c r="BS194" s="1"/>
      <c r="BT194" s="1"/>
      <c r="BU194" s="1"/>
    </row>
    <row r="195">
      <c r="A195" s="1"/>
      <c r="B195" s="21"/>
      <c r="C195" s="11" t="s">
        <v>54</v>
      </c>
      <c r="D195" s="22"/>
      <c r="E195" s="18"/>
      <c r="F195" s="18"/>
      <c r="G195" s="23">
        <f>SUMIFS('지출'!$G$3:$G1000,'지출'!$J$3:$J1000,G$1,'지출'!$C$3:$C1000,"대현")</f>
        <v>0</v>
      </c>
      <c r="H195" s="19"/>
      <c r="I195" s="22"/>
      <c r="J195" s="18"/>
      <c r="K195" s="18"/>
      <c r="L195" s="23">
        <f>SUMIFS('지출'!$G$3:$G1000,'지출'!$J$3:$J1000,L$1,'지출'!$C$3:$C1000,"대현")</f>
        <v>0</v>
      </c>
      <c r="M195" s="24"/>
      <c r="N195" s="18"/>
      <c r="O195" s="18"/>
      <c r="P195" s="18"/>
      <c r="Q195" s="23">
        <f>SUMIFS('지출'!$G$3:$G1000,'지출'!$J$3:$J1000,Q$1,'지출'!$C$3:$C1000,"대현")</f>
        <v>0</v>
      </c>
      <c r="R195" s="24"/>
      <c r="S195" s="18"/>
      <c r="T195" s="18"/>
      <c r="U195" s="18"/>
      <c r="V195" s="23">
        <f>SUMIFS('지출'!$G$3:$G1000,'지출'!$J$3:$J1000,V$1,'지출'!$C$3:$C1000,"대현")</f>
        <v>0</v>
      </c>
      <c r="W195" s="24"/>
      <c r="X195" s="18"/>
      <c r="Y195" s="18"/>
      <c r="Z195" s="18"/>
      <c r="AA195" s="23">
        <f>SUMIFS('지출'!$G$3:$G1000,'지출'!$J$3:$J1000,AA$1,'지출'!$C$3:$C1000,"대현")</f>
        <v>0</v>
      </c>
      <c r="AB195" s="24"/>
      <c r="AC195" s="18"/>
      <c r="AD195" s="18"/>
      <c r="AE195" s="18"/>
      <c r="AF195" s="23">
        <f>SUMIFS('지출'!$G$3:$G1000,'지출'!$J$3:$J1000,AF$1,'지출'!$C$3:$C1000,"대현")</f>
        <v>0</v>
      </c>
      <c r="AG195" s="24"/>
      <c r="AH195" s="18"/>
      <c r="AI195" s="18"/>
      <c r="AJ195" s="18"/>
      <c r="AK195" s="23">
        <f>SUMIFS('지출'!$G$3:$G1000,'지출'!$J$3:$J1000,AK$1,'지출'!$C$3:$C1000,"대현")</f>
        <v>0</v>
      </c>
      <c r="AL195" s="24"/>
      <c r="AM195" s="18"/>
      <c r="AN195" s="18"/>
      <c r="AO195" s="18"/>
      <c r="AP195" s="23">
        <f>SUMIFS('지출'!$G$3:$G1000,'지출'!$J$3:$J1000,AP$1,'지출'!$C$3:$C1000,"대현")</f>
        <v>0</v>
      </c>
      <c r="AQ195" s="24"/>
      <c r="AR195" s="18"/>
      <c r="AS195" s="18"/>
      <c r="AT195" s="18"/>
      <c r="AU195" s="23">
        <f>SUMIFS('지출'!$G$3:$G1000,'지출'!$J$3:$J1000,AU$1,'지출'!$C$3:$C1000,"대현")</f>
        <v>0</v>
      </c>
      <c r="AV195" s="24"/>
      <c r="AW195" s="18"/>
      <c r="AX195" s="18"/>
      <c r="AY195" s="18"/>
      <c r="AZ195" s="23">
        <f>SUMIFS('지출'!$G$3:$G1000,'지출'!$J$3:$J1000,AZ$1,'지출'!$C$3:$C1000,"대현")</f>
        <v>0</v>
      </c>
      <c r="BA195" s="24"/>
      <c r="BB195" s="18"/>
      <c r="BC195" s="18"/>
      <c r="BD195" s="18"/>
      <c r="BE195" s="23">
        <f>SUMIFS('지출'!$G$3:$G1000,'지출'!$J$3:$J1000,BE$1,'지출'!$C$3:$C1000,"대현")</f>
        <v>0</v>
      </c>
      <c r="BF195" s="24"/>
      <c r="BG195" s="18"/>
      <c r="BH195" s="18"/>
      <c r="BI195" s="18"/>
      <c r="BJ195" s="23">
        <f>SUMIFS('지출'!$G$3:$G1000,'지출'!$J$3:$J1000,BJ$1,'지출'!$C$3:$C1000,"대현")</f>
        <v>0</v>
      </c>
      <c r="BK195" s="19"/>
      <c r="BL195" s="18"/>
      <c r="BM195" s="18"/>
      <c r="BN195" s="18"/>
      <c r="BO195" s="18"/>
      <c r="BP195" s="19"/>
      <c r="BQ195" s="17" t="s">
        <v>357</v>
      </c>
      <c r="BR195" s="1"/>
      <c r="BS195" s="1"/>
      <c r="BT195" s="1"/>
      <c r="BU195" s="1"/>
    </row>
    <row r="196">
      <c r="A196" s="1"/>
      <c r="B196" s="21"/>
      <c r="C196" s="11" t="s">
        <v>56</v>
      </c>
      <c r="D196" s="22"/>
      <c r="E196" s="23">
        <f>E187-(SUM(E188:E195))</f>
        <v>430000</v>
      </c>
      <c r="F196" s="18"/>
      <c r="G196" s="23">
        <f>G187-(SUM(G188:G195))</f>
        <v>100000</v>
      </c>
      <c r="H196" s="19"/>
      <c r="I196" s="22"/>
      <c r="J196" s="23">
        <f>J187-(SUM(J188:J195))</f>
        <v>530000</v>
      </c>
      <c r="K196" s="18"/>
      <c r="L196" s="23">
        <f>L187-(SUM(L188:L195))</f>
        <v>117241</v>
      </c>
      <c r="M196" s="19"/>
      <c r="N196" s="22"/>
      <c r="O196" s="23">
        <f>O187-(SUM(O188:O195))</f>
        <v>1346774</v>
      </c>
      <c r="P196" s="18"/>
      <c r="Q196" s="23">
        <f>Q187-(SUM(Q188:Q195))</f>
        <v>258065</v>
      </c>
      <c r="R196" s="19"/>
      <c r="S196" s="22"/>
      <c r="T196" s="23">
        <f>T187-(SUM(T188:T195))</f>
        <v>1590000</v>
      </c>
      <c r="U196" s="18"/>
      <c r="V196" s="23">
        <f>V187-(SUM(V188:V195))</f>
        <v>300000</v>
      </c>
      <c r="W196" s="19"/>
      <c r="X196" s="18"/>
      <c r="Y196" s="23">
        <f>Y187-(SUM(Y188:Y195))</f>
        <v>1590000</v>
      </c>
      <c r="Z196" s="18"/>
      <c r="AA196" s="23">
        <f>AA187-(SUM(AA188:AA195))</f>
        <v>300000</v>
      </c>
      <c r="AB196" s="19"/>
      <c r="AC196" s="18"/>
      <c r="AD196" s="23">
        <f>AD187-(SUM(AD188:AD195))</f>
        <v>1025000</v>
      </c>
      <c r="AE196" s="18"/>
      <c r="AF196" s="23">
        <f>AF187-(SUM(AF188:AF195))</f>
        <v>203333</v>
      </c>
      <c r="AG196" s="19"/>
      <c r="AH196" s="18"/>
      <c r="AI196" s="23">
        <f>AI187-(SUM(AI188:AI195))</f>
        <v>1460000</v>
      </c>
      <c r="AJ196" s="18"/>
      <c r="AK196" s="23">
        <f>AK187-(SUM(AK188:AK195))</f>
        <v>300000</v>
      </c>
      <c r="AL196" s="19"/>
      <c r="AM196" s="18"/>
      <c r="AN196" s="23">
        <f>AN187-(SUM(AN188:AN195))</f>
        <v>1477097</v>
      </c>
      <c r="AO196" s="18"/>
      <c r="AP196" s="23">
        <f>AP187-(SUM(AP188:AP195))</f>
        <v>303226</v>
      </c>
      <c r="AQ196" s="19"/>
      <c r="AR196" s="22"/>
      <c r="AS196" s="23">
        <f>AS187-(SUM(AS188:AS195))</f>
        <v>1410000</v>
      </c>
      <c r="AT196" s="18"/>
      <c r="AU196" s="23">
        <f>AU187-(SUM(AU188:AU195))</f>
        <v>300000</v>
      </c>
      <c r="AV196" s="19"/>
      <c r="AW196" s="22"/>
      <c r="AX196" s="23">
        <f>AX187-(SUM(AX188:AX195))</f>
        <v>1410000</v>
      </c>
      <c r="AY196" s="18"/>
      <c r="AZ196" s="23">
        <f>AZ187-(SUM(AZ188:AZ195))</f>
        <v>300000</v>
      </c>
      <c r="BA196" s="19"/>
      <c r="BB196" s="22"/>
      <c r="BC196" s="23">
        <f>BC187-(SUM(BC188:BC195))</f>
        <v>980000</v>
      </c>
      <c r="BD196" s="18"/>
      <c r="BE196" s="23">
        <f>BE187-(SUM(BE188:BE195))</f>
        <v>200000</v>
      </c>
      <c r="BF196" s="19"/>
      <c r="BG196" s="22"/>
      <c r="BH196" s="23">
        <f>BH187-(SUM(BH188:BH195))</f>
        <v>980000</v>
      </c>
      <c r="BI196" s="18"/>
      <c r="BJ196" s="23">
        <f>BJ187-(SUM(BJ188:BJ195))</f>
        <v>200000</v>
      </c>
      <c r="BK196" s="19"/>
      <c r="BL196" s="22"/>
      <c r="BM196" s="18"/>
      <c r="BN196" s="18"/>
      <c r="BO196" s="18"/>
      <c r="BP196" s="19"/>
      <c r="BQ196" s="17" t="s">
        <v>357</v>
      </c>
      <c r="BR196" s="1"/>
      <c r="BS196" s="1"/>
      <c r="BT196" s="1"/>
      <c r="BU196" s="1"/>
    </row>
    <row r="197">
      <c r="A197" s="1"/>
      <c r="B197" s="27">
        <v>0.85</v>
      </c>
      <c r="C197" s="11" t="s">
        <v>26</v>
      </c>
      <c r="D197" s="22"/>
      <c r="E197" s="23">
        <f>E196*$B197</f>
        <v>365500</v>
      </c>
      <c r="F197" s="18"/>
      <c r="G197" s="18"/>
      <c r="H197" s="19"/>
      <c r="I197" s="22"/>
      <c r="J197" s="23">
        <f>J196*$B197</f>
        <v>450500</v>
      </c>
      <c r="K197" s="18"/>
      <c r="L197" s="18"/>
      <c r="M197" s="19"/>
      <c r="N197" s="22"/>
      <c r="O197" s="23">
        <f>O196*$B197</f>
        <v>1144757.9</v>
      </c>
      <c r="P197" s="18"/>
      <c r="Q197" s="18"/>
      <c r="R197" s="19"/>
      <c r="S197" s="22"/>
      <c r="T197" s="23">
        <f>T196*$B197</f>
        <v>1351500</v>
      </c>
      <c r="U197" s="18"/>
      <c r="V197" s="18"/>
      <c r="W197" s="19"/>
      <c r="X197" s="18"/>
      <c r="Y197" s="23">
        <f>Y196*$B197</f>
        <v>1351500</v>
      </c>
      <c r="Z197" s="18"/>
      <c r="AA197" s="18"/>
      <c r="AB197" s="19"/>
      <c r="AC197" s="18"/>
      <c r="AD197" s="23">
        <f>AD196*$B197</f>
        <v>871250</v>
      </c>
      <c r="AE197" s="18"/>
      <c r="AF197" s="18"/>
      <c r="AG197" s="19"/>
      <c r="AH197" s="18"/>
      <c r="AI197" s="23">
        <f>AI196*$B197</f>
        <v>1241000</v>
      </c>
      <c r="AJ197" s="18"/>
      <c r="AK197" s="18"/>
      <c r="AL197" s="19"/>
      <c r="AM197" s="18"/>
      <c r="AN197" s="23">
        <f>AN196*$B197</f>
        <v>1255532.45</v>
      </c>
      <c r="AO197" s="18"/>
      <c r="AP197" s="18"/>
      <c r="AQ197" s="19"/>
      <c r="AR197" s="22"/>
      <c r="AS197" s="23">
        <f>AS196*$B197</f>
        <v>1198500</v>
      </c>
      <c r="AT197" s="18"/>
      <c r="AU197" s="18"/>
      <c r="AV197" s="19"/>
      <c r="AW197" s="22"/>
      <c r="AX197" s="23">
        <f>AX196*$B197</f>
        <v>1198500</v>
      </c>
      <c r="AY197" s="18"/>
      <c r="AZ197" s="18"/>
      <c r="BA197" s="19"/>
      <c r="BB197" s="22"/>
      <c r="BC197" s="23">
        <f>BC196*$B197</f>
        <v>833000</v>
      </c>
      <c r="BD197" s="18"/>
      <c r="BE197" s="18"/>
      <c r="BF197" s="19"/>
      <c r="BG197" s="22"/>
      <c r="BH197" s="23">
        <f>BH196*$B197</f>
        <v>833000</v>
      </c>
      <c r="BI197" s="18"/>
      <c r="BJ197" s="18"/>
      <c r="BK197" s="19"/>
      <c r="BL197" s="22"/>
      <c r="BM197" s="18"/>
      <c r="BN197" s="18"/>
      <c r="BO197" s="18"/>
      <c r="BP197" s="19"/>
      <c r="BQ197" s="17" t="s">
        <v>357</v>
      </c>
      <c r="BR197" s="1"/>
      <c r="BS197" s="1"/>
      <c r="BT197" s="1"/>
      <c r="BU197" s="1"/>
    </row>
    <row r="198">
      <c r="A198" s="53" t="str">
        <f>B183</f>
        <v>대현</v>
      </c>
      <c r="B198" s="29">
        <v>0.15</v>
      </c>
      <c r="C198" s="30" t="s">
        <v>57</v>
      </c>
      <c r="D198" s="31"/>
      <c r="E198" s="32">
        <f>E196*$B198</f>
        <v>64500</v>
      </c>
      <c r="F198" s="33"/>
      <c r="G198" s="33"/>
      <c r="H198" s="34"/>
      <c r="I198" s="31"/>
      <c r="J198" s="32">
        <f>J196*$B198</f>
        <v>79500</v>
      </c>
      <c r="K198" s="33"/>
      <c r="L198" s="33"/>
      <c r="M198" s="34"/>
      <c r="N198" s="31"/>
      <c r="O198" s="32">
        <f>O196*$B198</f>
        <v>202016.1</v>
      </c>
      <c r="P198" s="33"/>
      <c r="Q198" s="33"/>
      <c r="R198" s="34"/>
      <c r="S198" s="31"/>
      <c r="T198" s="32">
        <f>T196*$B198</f>
        <v>238500</v>
      </c>
      <c r="U198" s="33"/>
      <c r="V198" s="33"/>
      <c r="W198" s="34"/>
      <c r="X198" s="33"/>
      <c r="Y198" s="32">
        <f>Y196*$B198</f>
        <v>238500</v>
      </c>
      <c r="Z198" s="33"/>
      <c r="AA198" s="33"/>
      <c r="AB198" s="34"/>
      <c r="AC198" s="33"/>
      <c r="AD198" s="32">
        <f>AD196*$B198</f>
        <v>153750</v>
      </c>
      <c r="AE198" s="33"/>
      <c r="AF198" s="33"/>
      <c r="AG198" s="34"/>
      <c r="AH198" s="33"/>
      <c r="AI198" s="32">
        <f>AI196*$B198</f>
        <v>219000</v>
      </c>
      <c r="AJ198" s="33"/>
      <c r="AK198" s="33"/>
      <c r="AL198" s="34"/>
      <c r="AM198" s="33"/>
      <c r="AN198" s="32">
        <f>AN196*$B198</f>
        <v>221564.55</v>
      </c>
      <c r="AO198" s="33"/>
      <c r="AP198" s="33"/>
      <c r="AQ198" s="34"/>
      <c r="AR198" s="31"/>
      <c r="AS198" s="32">
        <f>AS196*$B198</f>
        <v>211500</v>
      </c>
      <c r="AT198" s="33"/>
      <c r="AU198" s="33"/>
      <c r="AV198" s="34"/>
      <c r="AW198" s="31"/>
      <c r="AX198" s="32">
        <f>AX196*$B198</f>
        <v>211500</v>
      </c>
      <c r="AY198" s="33"/>
      <c r="AZ198" s="33"/>
      <c r="BA198" s="34"/>
      <c r="BB198" s="31"/>
      <c r="BC198" s="32">
        <f>BC196*$B198</f>
        <v>147000</v>
      </c>
      <c r="BD198" s="33"/>
      <c r="BE198" s="33"/>
      <c r="BF198" s="34"/>
      <c r="BG198" s="31"/>
      <c r="BH198" s="32">
        <f>BH196*$B198</f>
        <v>147000</v>
      </c>
      <c r="BI198" s="33"/>
      <c r="BJ198" s="33"/>
      <c r="BK198" s="34"/>
      <c r="BL198" s="31"/>
      <c r="BM198" s="33"/>
      <c r="BN198" s="33"/>
      <c r="BO198" s="33"/>
      <c r="BP198" s="34"/>
      <c r="BQ198" s="17" t="s">
        <v>357</v>
      </c>
      <c r="BR198" s="1"/>
      <c r="BS198" s="1"/>
      <c r="BT198" s="1"/>
      <c r="BU198" s="1"/>
    </row>
    <row r="199">
      <c r="A199" s="1"/>
      <c r="B199" s="10" t="s">
        <v>374</v>
      </c>
      <c r="C199" s="11" t="s">
        <v>375</v>
      </c>
      <c r="D199" s="20" t="s">
        <v>376</v>
      </c>
      <c r="E199" s="23">
        <f>530000+16774</f>
        <v>546774</v>
      </c>
      <c r="F199" s="35" t="b">
        <v>0</v>
      </c>
      <c r="G199" s="23">
        <f>80000+2581</f>
        <v>82581</v>
      </c>
      <c r="H199" s="15" t="b">
        <v>1</v>
      </c>
      <c r="I199" s="20" t="s">
        <v>377</v>
      </c>
      <c r="J199" s="23">
        <v>520000.0</v>
      </c>
      <c r="K199" s="35" t="b">
        <v>0</v>
      </c>
      <c r="L199" s="23">
        <v>80000.0</v>
      </c>
      <c r="M199" s="15" t="b">
        <v>1</v>
      </c>
      <c r="N199" s="20" t="s">
        <v>377</v>
      </c>
      <c r="O199" s="23">
        <v>520000.0</v>
      </c>
      <c r="P199" s="35" t="b">
        <v>0</v>
      </c>
      <c r="Q199" s="23">
        <v>80000.0</v>
      </c>
      <c r="R199" s="15" t="b">
        <v>1</v>
      </c>
      <c r="S199" s="20" t="s">
        <v>378</v>
      </c>
      <c r="T199" s="23">
        <v>520000.0</v>
      </c>
      <c r="U199" s="35" t="b">
        <v>0</v>
      </c>
      <c r="V199" s="23">
        <v>80000.0</v>
      </c>
      <c r="W199" s="15" t="b">
        <v>1</v>
      </c>
      <c r="X199" s="10" t="s">
        <v>37</v>
      </c>
      <c r="Y199" s="18"/>
      <c r="Z199" s="1"/>
      <c r="AA199" s="18"/>
      <c r="AB199" s="19"/>
      <c r="AC199" s="20" t="s">
        <v>37</v>
      </c>
      <c r="AD199" s="18"/>
      <c r="AE199" s="1"/>
      <c r="AF199" s="18"/>
      <c r="AG199" s="19"/>
      <c r="AH199" s="20" t="s">
        <v>37</v>
      </c>
      <c r="AI199" s="18"/>
      <c r="AJ199" s="1"/>
      <c r="AK199" s="18"/>
      <c r="AL199" s="19"/>
      <c r="AM199" s="20" t="s">
        <v>37</v>
      </c>
      <c r="AN199" s="18"/>
      <c r="AO199" s="1"/>
      <c r="AP199" s="18"/>
      <c r="AQ199" s="19"/>
      <c r="AR199" s="20" t="s">
        <v>379</v>
      </c>
      <c r="AS199" s="23">
        <v>104000.0</v>
      </c>
      <c r="AT199" s="35" t="b">
        <v>0</v>
      </c>
      <c r="AU199" s="23">
        <v>16000.0</v>
      </c>
      <c r="AV199" s="15" t="b">
        <v>1</v>
      </c>
      <c r="AW199" s="40" t="s">
        <v>380</v>
      </c>
      <c r="AX199" s="23">
        <v>520000.0</v>
      </c>
      <c r="AY199" s="35" t="b">
        <v>0</v>
      </c>
      <c r="AZ199" s="23">
        <v>80000.0</v>
      </c>
      <c r="BA199" s="15" t="b">
        <v>1</v>
      </c>
      <c r="BB199" s="40" t="s">
        <v>380</v>
      </c>
      <c r="BC199" s="23">
        <v>520000.0</v>
      </c>
      <c r="BD199" s="35" t="b">
        <v>0</v>
      </c>
      <c r="BE199" s="23">
        <v>80000.0</v>
      </c>
      <c r="BF199" s="15" t="b">
        <v>1</v>
      </c>
      <c r="BG199" s="40" t="s">
        <v>380</v>
      </c>
      <c r="BH199" s="23">
        <v>520000.0</v>
      </c>
      <c r="BI199" s="35" t="b">
        <v>0</v>
      </c>
      <c r="BJ199" s="23">
        <v>80000.0</v>
      </c>
      <c r="BK199" s="15" t="b">
        <v>1</v>
      </c>
      <c r="BL199" s="40" t="s">
        <v>380</v>
      </c>
      <c r="BM199" s="23">
        <v>520000.0</v>
      </c>
      <c r="BN199" s="35" t="b">
        <v>0</v>
      </c>
      <c r="BO199" s="23">
        <v>80000.0</v>
      </c>
      <c r="BP199" s="15" t="b">
        <v>0</v>
      </c>
      <c r="BQ199" s="17" t="s">
        <v>63</v>
      </c>
      <c r="BR199" s="1"/>
      <c r="BS199" s="1"/>
      <c r="BT199" s="1"/>
      <c r="BU199" s="1"/>
    </row>
    <row r="200">
      <c r="A200" s="1"/>
      <c r="B200" s="10" t="s">
        <v>381</v>
      </c>
      <c r="C200" s="11" t="s">
        <v>382</v>
      </c>
      <c r="D200" s="20" t="s">
        <v>383</v>
      </c>
      <c r="E200" s="23">
        <v>550000.0</v>
      </c>
      <c r="F200" s="35" t="b">
        <v>0</v>
      </c>
      <c r="G200" s="23">
        <v>80000.0</v>
      </c>
      <c r="H200" s="15" t="b">
        <v>1</v>
      </c>
      <c r="I200" s="20" t="s">
        <v>384</v>
      </c>
      <c r="J200" s="23">
        <v>600000.0</v>
      </c>
      <c r="K200" s="35" t="b">
        <v>0</v>
      </c>
      <c r="L200" s="23">
        <v>80000.0</v>
      </c>
      <c r="M200" s="15" t="b">
        <v>1</v>
      </c>
      <c r="N200" s="20" t="s">
        <v>385</v>
      </c>
      <c r="O200" s="23">
        <v>600000.0</v>
      </c>
      <c r="P200" s="35" t="b">
        <v>0</v>
      </c>
      <c r="Q200" s="23">
        <v>80000.0</v>
      </c>
      <c r="R200" s="15" t="b">
        <v>1</v>
      </c>
      <c r="S200" s="20" t="s">
        <v>385</v>
      </c>
      <c r="T200" s="23">
        <v>600000.0</v>
      </c>
      <c r="U200" s="35" t="b">
        <v>0</v>
      </c>
      <c r="V200" s="23">
        <v>80000.0</v>
      </c>
      <c r="W200" s="15" t="b">
        <v>1</v>
      </c>
      <c r="X200" s="20" t="s">
        <v>385</v>
      </c>
      <c r="Y200" s="23">
        <v>600000.0</v>
      </c>
      <c r="Z200" s="35" t="b">
        <v>0</v>
      </c>
      <c r="AA200" s="23">
        <v>80000.0</v>
      </c>
      <c r="AB200" s="15" t="b">
        <v>1</v>
      </c>
      <c r="AC200" s="20" t="s">
        <v>385</v>
      </c>
      <c r="AD200" s="23">
        <v>600000.0</v>
      </c>
      <c r="AE200" s="35" t="b">
        <v>0</v>
      </c>
      <c r="AF200" s="23">
        <v>80000.0</v>
      </c>
      <c r="AG200" s="15" t="b">
        <v>1</v>
      </c>
      <c r="AH200" s="20" t="s">
        <v>386</v>
      </c>
      <c r="AI200" s="23">
        <v>600000.0</v>
      </c>
      <c r="AJ200" s="35" t="b">
        <v>0</v>
      </c>
      <c r="AK200" s="23">
        <v>80000.0</v>
      </c>
      <c r="AL200" s="15" t="b">
        <v>1</v>
      </c>
      <c r="AM200" s="20" t="s">
        <v>387</v>
      </c>
      <c r="AN200" s="23">
        <f>600000+212903</f>
        <v>812903</v>
      </c>
      <c r="AO200" s="35" t="b">
        <v>0</v>
      </c>
      <c r="AP200" s="23">
        <f>80000+30968</f>
        <v>110968</v>
      </c>
      <c r="AQ200" s="15" t="b">
        <v>1</v>
      </c>
      <c r="AR200" s="20" t="s">
        <v>388</v>
      </c>
      <c r="AS200" s="23">
        <f>600000+550000</f>
        <v>1150000</v>
      </c>
      <c r="AT200" s="35" t="b">
        <v>0</v>
      </c>
      <c r="AU200" s="23">
        <f>80000+80000</f>
        <v>160000</v>
      </c>
      <c r="AV200" s="15" t="b">
        <v>1</v>
      </c>
      <c r="AW200" s="20" t="s">
        <v>389</v>
      </c>
      <c r="AX200" s="23">
        <f>550000</f>
        <v>550000</v>
      </c>
      <c r="AY200" s="35" t="b">
        <v>0</v>
      </c>
      <c r="AZ200" s="23">
        <v>80000.0</v>
      </c>
      <c r="BA200" s="15" t="b">
        <v>1</v>
      </c>
      <c r="BB200" s="20" t="s">
        <v>389</v>
      </c>
      <c r="BC200" s="23">
        <f>550000</f>
        <v>550000</v>
      </c>
      <c r="BD200" s="35" t="b">
        <v>0</v>
      </c>
      <c r="BE200" s="23">
        <v>80000.0</v>
      </c>
      <c r="BF200" s="15" t="b">
        <v>1</v>
      </c>
      <c r="BG200" s="20" t="s">
        <v>37</v>
      </c>
      <c r="BH200" s="18"/>
      <c r="BI200" s="1"/>
      <c r="BJ200" s="18"/>
      <c r="BK200" s="19"/>
      <c r="BL200" s="20" t="s">
        <v>390</v>
      </c>
      <c r="BM200" s="23">
        <v>390000.0</v>
      </c>
      <c r="BN200" s="35" t="b">
        <v>0</v>
      </c>
      <c r="BO200" s="23">
        <v>60000.0</v>
      </c>
      <c r="BP200" s="15" t="b">
        <v>0</v>
      </c>
      <c r="BQ200" s="17" t="s">
        <v>63</v>
      </c>
      <c r="BR200" s="1"/>
      <c r="BS200" s="1"/>
      <c r="BT200" s="1"/>
      <c r="BU200" s="1"/>
    </row>
    <row r="201">
      <c r="A201" s="1"/>
      <c r="B201" s="10" t="s">
        <v>374</v>
      </c>
      <c r="C201" s="11" t="s">
        <v>391</v>
      </c>
      <c r="D201" s="20" t="s">
        <v>392</v>
      </c>
      <c r="E201" s="23">
        <v>400000.0</v>
      </c>
      <c r="F201" s="35" t="b">
        <v>0</v>
      </c>
      <c r="G201" s="23">
        <v>80000.0</v>
      </c>
      <c r="H201" s="15" t="b">
        <v>1</v>
      </c>
      <c r="I201" s="20" t="s">
        <v>392</v>
      </c>
      <c r="J201" s="23">
        <v>400000.0</v>
      </c>
      <c r="K201" s="35" t="b">
        <v>0</v>
      </c>
      <c r="L201" s="23">
        <v>80000.0</v>
      </c>
      <c r="M201" s="15" t="b">
        <v>1</v>
      </c>
      <c r="N201" s="20" t="s">
        <v>392</v>
      </c>
      <c r="O201" s="23">
        <v>400000.0</v>
      </c>
      <c r="P201" s="35" t="b">
        <v>0</v>
      </c>
      <c r="Q201" s="23">
        <v>80000.0</v>
      </c>
      <c r="R201" s="15" t="b">
        <v>1</v>
      </c>
      <c r="S201" s="20" t="s">
        <v>392</v>
      </c>
      <c r="T201" s="23">
        <v>400000.0</v>
      </c>
      <c r="U201" s="35" t="b">
        <v>0</v>
      </c>
      <c r="V201" s="23">
        <v>80000.0</v>
      </c>
      <c r="W201" s="15" t="b">
        <v>1</v>
      </c>
      <c r="X201" s="20" t="s">
        <v>392</v>
      </c>
      <c r="Y201" s="23">
        <v>400000.0</v>
      </c>
      <c r="Z201" s="35" t="b">
        <v>0</v>
      </c>
      <c r="AA201" s="23">
        <v>80000.0</v>
      </c>
      <c r="AB201" s="15" t="b">
        <v>1</v>
      </c>
      <c r="AC201" s="20" t="s">
        <v>392</v>
      </c>
      <c r="AD201" s="23">
        <v>400000.0</v>
      </c>
      <c r="AE201" s="35" t="b">
        <v>0</v>
      </c>
      <c r="AF201" s="23">
        <v>80000.0</v>
      </c>
      <c r="AG201" s="15" t="b">
        <v>1</v>
      </c>
      <c r="AH201" s="20" t="s">
        <v>392</v>
      </c>
      <c r="AI201" s="23">
        <v>400000.0</v>
      </c>
      <c r="AJ201" s="35" t="b">
        <v>0</v>
      </c>
      <c r="AK201" s="23">
        <v>80000.0</v>
      </c>
      <c r="AL201" s="15" t="b">
        <v>1</v>
      </c>
      <c r="AM201" s="20" t="s">
        <v>393</v>
      </c>
      <c r="AN201" s="23">
        <v>400000.0</v>
      </c>
      <c r="AO201" s="35" t="b">
        <v>0</v>
      </c>
      <c r="AP201" s="23">
        <v>80000.0</v>
      </c>
      <c r="AQ201" s="15" t="b">
        <v>1</v>
      </c>
      <c r="AR201" s="20" t="s">
        <v>394</v>
      </c>
      <c r="AS201" s="23">
        <v>293333.0</v>
      </c>
      <c r="AT201" s="35" t="b">
        <v>0</v>
      </c>
      <c r="AU201" s="23">
        <v>58667.0</v>
      </c>
      <c r="AV201" s="15" t="b">
        <v>1</v>
      </c>
      <c r="AW201" s="20" t="s">
        <v>37</v>
      </c>
      <c r="AX201" s="18"/>
      <c r="AY201" s="1"/>
      <c r="AZ201" s="18"/>
      <c r="BA201" s="19"/>
      <c r="BB201" s="20" t="s">
        <v>37</v>
      </c>
      <c r="BC201" s="18"/>
      <c r="BD201" s="1"/>
      <c r="BE201" s="18"/>
      <c r="BF201" s="19"/>
      <c r="BG201" s="20" t="s">
        <v>389</v>
      </c>
      <c r="BH201" s="23">
        <v>400000.0</v>
      </c>
      <c r="BI201" s="35" t="b">
        <v>0</v>
      </c>
      <c r="BJ201" s="23">
        <v>80000.0</v>
      </c>
      <c r="BK201" s="15" t="b">
        <v>1</v>
      </c>
      <c r="BL201" s="20" t="s">
        <v>389</v>
      </c>
      <c r="BM201" s="23">
        <v>400000.0</v>
      </c>
      <c r="BN201" s="35" t="b">
        <v>0</v>
      </c>
      <c r="BO201" s="23">
        <v>80000.0</v>
      </c>
      <c r="BP201" s="15" t="b">
        <v>0</v>
      </c>
      <c r="BQ201" s="17" t="s">
        <v>63</v>
      </c>
      <c r="BR201" s="1"/>
      <c r="BS201" s="1"/>
      <c r="BT201" s="1"/>
      <c r="BU201" s="1"/>
    </row>
    <row r="202">
      <c r="A202" s="1"/>
      <c r="B202" s="10" t="s">
        <v>374</v>
      </c>
      <c r="C202" s="11" t="s">
        <v>395</v>
      </c>
      <c r="D202" s="44" t="s">
        <v>396</v>
      </c>
      <c r="E202" s="23">
        <v>396000.0</v>
      </c>
      <c r="F202" s="35" t="b">
        <v>0</v>
      </c>
      <c r="G202" s="23">
        <v>80000.0</v>
      </c>
      <c r="H202" s="15" t="b">
        <v>1</v>
      </c>
      <c r="I202" s="44" t="s">
        <v>396</v>
      </c>
      <c r="J202" s="23">
        <v>396000.0</v>
      </c>
      <c r="K202" s="35" t="b">
        <v>0</v>
      </c>
      <c r="L202" s="23">
        <v>80000.0</v>
      </c>
      <c r="M202" s="15" t="b">
        <v>1</v>
      </c>
      <c r="N202" s="44" t="s">
        <v>396</v>
      </c>
      <c r="O202" s="23">
        <v>396000.0</v>
      </c>
      <c r="P202" s="35" t="b">
        <v>0</v>
      </c>
      <c r="Q202" s="54">
        <v>80000.0</v>
      </c>
      <c r="R202" s="15" t="b">
        <v>1</v>
      </c>
      <c r="S202" s="44" t="s">
        <v>396</v>
      </c>
      <c r="T202" s="23">
        <v>396000.0</v>
      </c>
      <c r="U202" s="35" t="b">
        <v>0</v>
      </c>
      <c r="V202" s="23">
        <v>80000.0</v>
      </c>
      <c r="W202" s="15" t="b">
        <v>1</v>
      </c>
      <c r="X202" s="44" t="s">
        <v>396</v>
      </c>
      <c r="Y202" s="23">
        <v>396000.0</v>
      </c>
      <c r="Z202" s="35" t="b">
        <v>0</v>
      </c>
      <c r="AA202" s="23">
        <v>80000.0</v>
      </c>
      <c r="AB202" s="15" t="b">
        <v>1</v>
      </c>
      <c r="AC202" s="44" t="s">
        <v>397</v>
      </c>
      <c r="AD202" s="23">
        <f>53100+346667</f>
        <v>399767</v>
      </c>
      <c r="AE202" s="35" t="b">
        <v>0</v>
      </c>
      <c r="AF202" s="23">
        <f>11000+69333</f>
        <v>80333</v>
      </c>
      <c r="AG202" s="15" t="b">
        <v>1</v>
      </c>
      <c r="AH202" s="20" t="s">
        <v>398</v>
      </c>
      <c r="AI202" s="23">
        <v>400000.0</v>
      </c>
      <c r="AJ202" s="35" t="b">
        <v>0</v>
      </c>
      <c r="AK202" s="23">
        <v>80000.0</v>
      </c>
      <c r="AL202" s="15" t="b">
        <v>1</v>
      </c>
      <c r="AM202" s="20" t="s">
        <v>398</v>
      </c>
      <c r="AN202" s="23">
        <v>400000.0</v>
      </c>
      <c r="AO202" s="35" t="b">
        <v>0</v>
      </c>
      <c r="AP202" s="23">
        <v>80000.0</v>
      </c>
      <c r="AQ202" s="15" t="b">
        <v>1</v>
      </c>
      <c r="AR202" s="20" t="s">
        <v>399</v>
      </c>
      <c r="AS202" s="23">
        <f>53333+377000</f>
        <v>430333</v>
      </c>
      <c r="AT202" s="35" t="b">
        <v>0</v>
      </c>
      <c r="AU202" s="23">
        <f>10667+77333</f>
        <v>88000</v>
      </c>
      <c r="AV202" s="15" t="b">
        <v>1</v>
      </c>
      <c r="AW202" s="20" t="s">
        <v>400</v>
      </c>
      <c r="AX202" s="23">
        <v>390000.0</v>
      </c>
      <c r="AY202" s="35" t="b">
        <v>0</v>
      </c>
      <c r="AZ202" s="23">
        <v>80000.0</v>
      </c>
      <c r="BA202" s="15" t="b">
        <v>1</v>
      </c>
      <c r="BB202" s="20" t="s">
        <v>400</v>
      </c>
      <c r="BC202" s="23">
        <v>390000.0</v>
      </c>
      <c r="BD202" s="35" t="b">
        <v>0</v>
      </c>
      <c r="BE202" s="23">
        <v>80000.0</v>
      </c>
      <c r="BF202" s="15" t="b">
        <v>1</v>
      </c>
      <c r="BG202" s="20" t="s">
        <v>401</v>
      </c>
      <c r="BH202" s="23">
        <v>390000.0</v>
      </c>
      <c r="BI202" s="35" t="b">
        <v>0</v>
      </c>
      <c r="BJ202" s="23">
        <v>80000.0</v>
      </c>
      <c r="BK202" s="15" t="b">
        <v>1</v>
      </c>
      <c r="BL202" s="20" t="s">
        <v>37</v>
      </c>
      <c r="BM202" s="18"/>
      <c r="BN202" s="1"/>
      <c r="BO202" s="18"/>
      <c r="BP202" s="19"/>
      <c r="BQ202" s="17" t="s">
        <v>63</v>
      </c>
      <c r="BR202" s="1"/>
      <c r="BS202" s="1"/>
      <c r="BT202" s="1"/>
      <c r="BU202" s="1"/>
    </row>
    <row r="203">
      <c r="A203" s="1"/>
      <c r="B203" s="10" t="s">
        <v>374</v>
      </c>
      <c r="C203" s="11" t="s">
        <v>402</v>
      </c>
      <c r="D203" s="44" t="s">
        <v>403</v>
      </c>
      <c r="E203" s="23">
        <v>396000.0</v>
      </c>
      <c r="F203" s="35" t="b">
        <v>0</v>
      </c>
      <c r="G203" s="23">
        <v>80000.0</v>
      </c>
      <c r="H203" s="15" t="b">
        <v>1</v>
      </c>
      <c r="I203" s="44" t="s">
        <v>404</v>
      </c>
      <c r="J203" s="23">
        <v>396000.0</v>
      </c>
      <c r="K203" s="35" t="b">
        <v>0</v>
      </c>
      <c r="L203" s="23">
        <v>80000.0</v>
      </c>
      <c r="M203" s="15" t="b">
        <v>1</v>
      </c>
      <c r="N203" s="44" t="s">
        <v>405</v>
      </c>
      <c r="O203" s="23">
        <v>14200.0</v>
      </c>
      <c r="P203" s="35" t="b">
        <v>1</v>
      </c>
      <c r="Q203" s="23">
        <v>2590.0</v>
      </c>
      <c r="R203" s="15" t="b">
        <v>1</v>
      </c>
      <c r="S203" s="20" t="s">
        <v>37</v>
      </c>
      <c r="T203" s="18"/>
      <c r="U203" s="1"/>
      <c r="V203" s="18"/>
      <c r="W203" s="19"/>
      <c r="X203" s="20" t="s">
        <v>406</v>
      </c>
      <c r="Y203" s="23">
        <v>400000.0</v>
      </c>
      <c r="Z203" s="35" t="b">
        <v>0</v>
      </c>
      <c r="AA203" s="23">
        <v>80000.0</v>
      </c>
      <c r="AB203" s="15" t="b">
        <v>1</v>
      </c>
      <c r="AC203" s="20" t="s">
        <v>377</v>
      </c>
      <c r="AD203" s="23">
        <v>400000.0</v>
      </c>
      <c r="AE203" s="35" t="b">
        <v>0</v>
      </c>
      <c r="AF203" s="23">
        <v>80000.0</v>
      </c>
      <c r="AG203" s="15" t="b">
        <v>1</v>
      </c>
      <c r="AH203" s="20" t="s">
        <v>407</v>
      </c>
      <c r="AI203" s="23">
        <v>400000.0</v>
      </c>
      <c r="AJ203" s="35" t="b">
        <v>0</v>
      </c>
      <c r="AK203" s="23">
        <v>80000.0</v>
      </c>
      <c r="AL203" s="15" t="b">
        <v>1</v>
      </c>
      <c r="AM203" s="20" t="s">
        <v>37</v>
      </c>
      <c r="AN203" s="18"/>
      <c r="AO203" s="1"/>
      <c r="AP203" s="18"/>
      <c r="AQ203" s="19"/>
      <c r="AR203" s="17" t="s">
        <v>408</v>
      </c>
      <c r="AS203" s="23">
        <v>80000.0</v>
      </c>
      <c r="AT203" s="35" t="b">
        <v>0</v>
      </c>
      <c r="AU203" s="23">
        <v>16000.0</v>
      </c>
      <c r="AV203" s="15" t="b">
        <v>1</v>
      </c>
      <c r="AW203" s="17" t="s">
        <v>409</v>
      </c>
      <c r="AX203" s="23">
        <v>400000.0</v>
      </c>
      <c r="AY203" s="35" t="b">
        <v>0</v>
      </c>
      <c r="AZ203" s="23">
        <v>80000.0</v>
      </c>
      <c r="BA203" s="15" t="b">
        <v>1</v>
      </c>
      <c r="BB203" s="17" t="s">
        <v>409</v>
      </c>
      <c r="BC203" s="23">
        <v>400000.0</v>
      </c>
      <c r="BD203" s="35" t="b">
        <v>0</v>
      </c>
      <c r="BE203" s="23">
        <v>80000.0</v>
      </c>
      <c r="BF203" s="15" t="b">
        <v>1</v>
      </c>
      <c r="BG203" s="17" t="s">
        <v>409</v>
      </c>
      <c r="BH203" s="23">
        <v>400000.0</v>
      </c>
      <c r="BI203" s="35" t="b">
        <v>0</v>
      </c>
      <c r="BJ203" s="23">
        <v>80000.0</v>
      </c>
      <c r="BK203" s="15" t="b">
        <v>1</v>
      </c>
      <c r="BL203" s="17" t="s">
        <v>409</v>
      </c>
      <c r="BM203" s="23">
        <v>400000.0</v>
      </c>
      <c r="BN203" s="35" t="b">
        <v>0</v>
      </c>
      <c r="BO203" s="23">
        <v>80000.0</v>
      </c>
      <c r="BP203" s="15" t="b">
        <v>0</v>
      </c>
      <c r="BQ203" s="17" t="s">
        <v>63</v>
      </c>
      <c r="BR203" s="1"/>
      <c r="BS203" s="1"/>
      <c r="BT203" s="1"/>
      <c r="BU203" s="1"/>
    </row>
    <row r="204">
      <c r="A204" s="1"/>
      <c r="B204" s="10" t="s">
        <v>374</v>
      </c>
      <c r="C204" s="11" t="s">
        <v>410</v>
      </c>
      <c r="D204" s="20" t="s">
        <v>37</v>
      </c>
      <c r="E204" s="18"/>
      <c r="F204" s="1"/>
      <c r="G204" s="18"/>
      <c r="H204" s="19"/>
      <c r="I204" s="20" t="s">
        <v>37</v>
      </c>
      <c r="J204" s="18"/>
      <c r="K204" s="1"/>
      <c r="L204" s="18"/>
      <c r="M204" s="19"/>
      <c r="N204" s="20" t="s">
        <v>37</v>
      </c>
      <c r="O204" s="18"/>
      <c r="P204" s="1"/>
      <c r="Q204" s="18"/>
      <c r="R204" s="19"/>
      <c r="S204" s="20" t="s">
        <v>37</v>
      </c>
      <c r="T204" s="18"/>
      <c r="U204" s="1"/>
      <c r="V204" s="18"/>
      <c r="W204" s="19"/>
      <c r="X204" s="10" t="s">
        <v>37</v>
      </c>
      <c r="Y204" s="18"/>
      <c r="Z204" s="1"/>
      <c r="AA204" s="18"/>
      <c r="AB204" s="19"/>
      <c r="AC204" s="20" t="s">
        <v>37</v>
      </c>
      <c r="AD204" s="18"/>
      <c r="AE204" s="1"/>
      <c r="AF204" s="18"/>
      <c r="AG204" s="19"/>
      <c r="AH204" s="20" t="s">
        <v>37</v>
      </c>
      <c r="AI204" s="18"/>
      <c r="AJ204" s="1"/>
      <c r="AK204" s="18"/>
      <c r="AL204" s="19"/>
      <c r="AM204" s="20" t="s">
        <v>411</v>
      </c>
      <c r="AN204" s="23">
        <v>400000.0</v>
      </c>
      <c r="AO204" s="35" t="b">
        <v>0</v>
      </c>
      <c r="AP204" s="23">
        <v>80000.0</v>
      </c>
      <c r="AQ204" s="15" t="b">
        <v>1</v>
      </c>
      <c r="AR204" s="17" t="s">
        <v>412</v>
      </c>
      <c r="AS204" s="23">
        <v>80000.0</v>
      </c>
      <c r="AT204" s="35" t="b">
        <v>0</v>
      </c>
      <c r="AU204" s="23">
        <v>16000.0</v>
      </c>
      <c r="AV204" s="15" t="b">
        <v>1</v>
      </c>
      <c r="AW204" s="17" t="s">
        <v>413</v>
      </c>
      <c r="AX204" s="23">
        <v>400000.0</v>
      </c>
      <c r="AY204" s="35" t="b">
        <v>0</v>
      </c>
      <c r="AZ204" s="23">
        <v>80000.0</v>
      </c>
      <c r="BA204" s="15" t="b">
        <v>1</v>
      </c>
      <c r="BB204" s="17" t="s">
        <v>413</v>
      </c>
      <c r="BC204" s="23">
        <v>400000.0</v>
      </c>
      <c r="BD204" s="35" t="b">
        <v>0</v>
      </c>
      <c r="BE204" s="23">
        <v>80000.0</v>
      </c>
      <c r="BF204" s="15" t="b">
        <v>1</v>
      </c>
      <c r="BG204" s="17" t="s">
        <v>413</v>
      </c>
      <c r="BH204" s="23">
        <v>400000.0</v>
      </c>
      <c r="BI204" s="35" t="b">
        <v>0</v>
      </c>
      <c r="BJ204" s="23">
        <v>80000.0</v>
      </c>
      <c r="BK204" s="15" t="b">
        <v>1</v>
      </c>
      <c r="BL204" s="17" t="s">
        <v>413</v>
      </c>
      <c r="BM204" s="23">
        <v>400000.0</v>
      </c>
      <c r="BN204" s="35" t="b">
        <v>0</v>
      </c>
      <c r="BO204" s="23">
        <v>80000.0</v>
      </c>
      <c r="BP204" s="15" t="b">
        <v>0</v>
      </c>
      <c r="BQ204" s="17" t="s">
        <v>63</v>
      </c>
      <c r="BR204" s="1"/>
      <c r="BS204" s="1"/>
      <c r="BT204" s="1"/>
      <c r="BU204" s="1"/>
    </row>
    <row r="205">
      <c r="A205" s="1"/>
      <c r="B205" s="21"/>
      <c r="C205" s="11" t="s">
        <v>42</v>
      </c>
      <c r="D205" s="22"/>
      <c r="E205" s="23">
        <f>SUM(E199:E204)</f>
        <v>2288774</v>
      </c>
      <c r="F205" s="18"/>
      <c r="G205" s="23">
        <f>SUM(G199:G204)</f>
        <v>402581</v>
      </c>
      <c r="H205" s="19"/>
      <c r="I205" s="22"/>
      <c r="J205" s="23">
        <f>SUM(J199:J204)</f>
        <v>2312000</v>
      </c>
      <c r="K205" s="18"/>
      <c r="L205" s="23">
        <f>SUM(L199:L204)</f>
        <v>400000</v>
      </c>
      <c r="M205" s="19"/>
      <c r="N205" s="22"/>
      <c r="O205" s="23">
        <f>SUM(O199:O204)</f>
        <v>1930200</v>
      </c>
      <c r="P205" s="18"/>
      <c r="Q205" s="23">
        <f>SUM(Q199:Q204)</f>
        <v>322590</v>
      </c>
      <c r="R205" s="19"/>
      <c r="S205" s="22"/>
      <c r="T205" s="23">
        <f>SUM(T199:T204)</f>
        <v>1916000</v>
      </c>
      <c r="U205" s="18"/>
      <c r="V205" s="23">
        <f>SUM(V199:V204)</f>
        <v>320000</v>
      </c>
      <c r="W205" s="19"/>
      <c r="X205" s="18"/>
      <c r="Y205" s="23">
        <f>SUM(Y199:Y204)</f>
        <v>1796000</v>
      </c>
      <c r="Z205" s="18"/>
      <c r="AA205" s="23">
        <f>SUM(AA199:AA204)</f>
        <v>320000</v>
      </c>
      <c r="AB205" s="19"/>
      <c r="AC205" s="18"/>
      <c r="AD205" s="23">
        <f>SUM(AD199:AD204)</f>
        <v>1799767</v>
      </c>
      <c r="AE205" s="18"/>
      <c r="AF205" s="23">
        <f>SUM(AF199:AF204)</f>
        <v>320333</v>
      </c>
      <c r="AG205" s="19"/>
      <c r="AH205" s="18"/>
      <c r="AI205" s="23">
        <f>SUM(AI199:AI204)</f>
        <v>1800000</v>
      </c>
      <c r="AJ205" s="18"/>
      <c r="AK205" s="23">
        <f>SUM(AK199:AK204)</f>
        <v>320000</v>
      </c>
      <c r="AL205" s="19"/>
      <c r="AM205" s="18"/>
      <c r="AN205" s="23">
        <f>SUM(AN199:AN204)</f>
        <v>2012903</v>
      </c>
      <c r="AO205" s="18"/>
      <c r="AP205" s="23">
        <f>SUM(AP199:AP204)</f>
        <v>350968</v>
      </c>
      <c r="AQ205" s="19"/>
      <c r="AR205" s="22"/>
      <c r="AS205" s="23">
        <f>SUM(AS199:AS204)</f>
        <v>2137666</v>
      </c>
      <c r="AT205" s="18"/>
      <c r="AU205" s="23">
        <f>SUM(AU199:AU204)</f>
        <v>354667</v>
      </c>
      <c r="AV205" s="19"/>
      <c r="AW205" s="22"/>
      <c r="AX205" s="23">
        <f>SUM(AX199:AX204)</f>
        <v>2260000</v>
      </c>
      <c r="AY205" s="18"/>
      <c r="AZ205" s="23">
        <f>SUM(AZ199:AZ204)</f>
        <v>400000</v>
      </c>
      <c r="BA205" s="19"/>
      <c r="BB205" s="22"/>
      <c r="BC205" s="23">
        <f>SUM(BC199:BC204)</f>
        <v>2260000</v>
      </c>
      <c r="BD205" s="18"/>
      <c r="BE205" s="23">
        <f>SUM(BE199:BE204)</f>
        <v>400000</v>
      </c>
      <c r="BF205" s="19"/>
      <c r="BG205" s="22"/>
      <c r="BH205" s="23">
        <f>SUM(BH199:BH204)</f>
        <v>2110000</v>
      </c>
      <c r="BI205" s="18"/>
      <c r="BJ205" s="23">
        <f>SUM(BJ199:BJ204)</f>
        <v>400000</v>
      </c>
      <c r="BK205" s="19"/>
      <c r="BL205" s="22"/>
      <c r="BM205" s="23">
        <f>SUM(BM199:BM204)</f>
        <v>2110000</v>
      </c>
      <c r="BN205" s="18"/>
      <c r="BO205" s="23">
        <f>SUM(BO199:BO204)</f>
        <v>380000</v>
      </c>
      <c r="BP205" s="19"/>
      <c r="BQ205" s="17" t="s">
        <v>63</v>
      </c>
      <c r="BR205" s="1"/>
      <c r="BS205" s="1"/>
      <c r="BT205" s="1"/>
      <c r="BU205" s="1"/>
    </row>
    <row r="206">
      <c r="A206" s="1"/>
      <c r="B206" s="21"/>
      <c r="C206" s="11" t="s">
        <v>43</v>
      </c>
      <c r="D206" s="22"/>
      <c r="E206" s="23">
        <v>1200000.0</v>
      </c>
      <c r="F206" s="18"/>
      <c r="G206" s="18"/>
      <c r="H206" s="19"/>
      <c r="I206" s="22"/>
      <c r="J206" s="23">
        <v>1200000.0</v>
      </c>
      <c r="K206" s="18"/>
      <c r="L206" s="18"/>
      <c r="M206" s="19"/>
      <c r="N206" s="22"/>
      <c r="O206" s="23">
        <v>1200000.0</v>
      </c>
      <c r="P206" s="18"/>
      <c r="Q206" s="18"/>
      <c r="R206" s="19"/>
      <c r="S206" s="22"/>
      <c r="T206" s="23">
        <v>1200000.0</v>
      </c>
      <c r="U206" s="18"/>
      <c r="V206" s="18"/>
      <c r="W206" s="19"/>
      <c r="X206" s="18"/>
      <c r="Y206" s="23">
        <v>1200000.0</v>
      </c>
      <c r="Z206" s="18"/>
      <c r="AA206" s="18"/>
      <c r="AB206" s="19"/>
      <c r="AC206" s="18"/>
      <c r="AD206" s="23">
        <v>1200000.0</v>
      </c>
      <c r="AE206" s="18"/>
      <c r="AF206" s="18"/>
      <c r="AG206" s="19"/>
      <c r="AH206" s="18"/>
      <c r="AI206" s="23">
        <v>1200000.0</v>
      </c>
      <c r="AJ206" s="18"/>
      <c r="AK206" s="18"/>
      <c r="AL206" s="19"/>
      <c r="AM206" s="18"/>
      <c r="AN206" s="23">
        <v>1200000.0</v>
      </c>
      <c r="AO206" s="18"/>
      <c r="AP206" s="18"/>
      <c r="AQ206" s="19"/>
      <c r="AR206" s="22"/>
      <c r="AS206" s="23">
        <v>1200000.0</v>
      </c>
      <c r="AT206" s="18"/>
      <c r="AU206" s="18"/>
      <c r="AV206" s="19"/>
      <c r="AW206" s="22"/>
      <c r="AX206" s="23">
        <v>1200000.0</v>
      </c>
      <c r="AY206" s="18"/>
      <c r="AZ206" s="18"/>
      <c r="BA206" s="19"/>
      <c r="BB206" s="22"/>
      <c r="BC206" s="23">
        <v>1200000.0</v>
      </c>
      <c r="BD206" s="18"/>
      <c r="BE206" s="18"/>
      <c r="BF206" s="19"/>
      <c r="BG206" s="22"/>
      <c r="BH206" s="23">
        <v>1200000.0</v>
      </c>
      <c r="BI206" s="18"/>
      <c r="BJ206" s="18"/>
      <c r="BK206" s="19"/>
      <c r="BL206" s="22"/>
      <c r="BM206" s="23">
        <v>1200000.0</v>
      </c>
      <c r="BN206" s="18"/>
      <c r="BO206" s="18"/>
      <c r="BP206" s="19"/>
      <c r="BQ206" s="17" t="s">
        <v>63</v>
      </c>
      <c r="BR206" s="1"/>
      <c r="BS206" s="1"/>
      <c r="BT206" s="1"/>
      <c r="BU206" s="1"/>
    </row>
    <row r="207">
      <c r="A207" s="1"/>
      <c r="B207" s="10" t="s">
        <v>95</v>
      </c>
      <c r="C207" s="11" t="s">
        <v>414</v>
      </c>
      <c r="D207" s="22"/>
      <c r="E207" s="18"/>
      <c r="F207" s="18"/>
      <c r="G207" s="23">
        <v>10000.0</v>
      </c>
      <c r="H207" s="19"/>
      <c r="I207" s="22"/>
      <c r="J207" s="18"/>
      <c r="K207" s="18"/>
      <c r="L207" s="23">
        <v>10000.0</v>
      </c>
      <c r="M207" s="19"/>
      <c r="N207" s="22"/>
      <c r="O207" s="18"/>
      <c r="P207" s="18"/>
      <c r="Q207" s="23">
        <v>10000.0</v>
      </c>
      <c r="R207" s="19"/>
      <c r="S207" s="22"/>
      <c r="T207" s="18"/>
      <c r="U207" s="18"/>
      <c r="V207" s="23">
        <v>10000.0</v>
      </c>
      <c r="W207" s="19"/>
      <c r="X207" s="18"/>
      <c r="Y207" s="18"/>
      <c r="Z207" s="18"/>
      <c r="AA207" s="23">
        <v>10000.0</v>
      </c>
      <c r="AB207" s="19"/>
      <c r="AC207" s="18"/>
      <c r="AD207" s="18"/>
      <c r="AE207" s="18"/>
      <c r="AF207" s="23">
        <v>10000.0</v>
      </c>
      <c r="AG207" s="19"/>
      <c r="AH207" s="18"/>
      <c r="AI207" s="18"/>
      <c r="AJ207" s="18"/>
      <c r="AK207" s="23">
        <v>10000.0</v>
      </c>
      <c r="AL207" s="19"/>
      <c r="AM207" s="18"/>
      <c r="AN207" s="18"/>
      <c r="AO207" s="18"/>
      <c r="AP207" s="23">
        <v>10000.0</v>
      </c>
      <c r="AQ207" s="19"/>
      <c r="AR207" s="18"/>
      <c r="AS207" s="18"/>
      <c r="AT207" s="18"/>
      <c r="AU207" s="23">
        <v>10000.0</v>
      </c>
      <c r="AV207" s="19"/>
      <c r="AW207" s="18"/>
      <c r="AX207" s="18"/>
      <c r="AY207" s="18"/>
      <c r="AZ207" s="23">
        <v>10000.0</v>
      </c>
      <c r="BA207" s="19"/>
      <c r="BB207" s="18"/>
      <c r="BC207" s="18"/>
      <c r="BD207" s="18"/>
      <c r="BE207" s="23">
        <v>10000.0</v>
      </c>
      <c r="BF207" s="19"/>
      <c r="BG207" s="18"/>
      <c r="BH207" s="18"/>
      <c r="BI207" s="18"/>
      <c r="BJ207" s="23">
        <v>10000.0</v>
      </c>
      <c r="BK207" s="19"/>
      <c r="BL207" s="18"/>
      <c r="BM207" s="18"/>
      <c r="BN207" s="18"/>
      <c r="BO207" s="23">
        <v>10000.0</v>
      </c>
      <c r="BP207" s="19"/>
      <c r="BQ207" s="17" t="s">
        <v>63</v>
      </c>
      <c r="BR207" s="1"/>
      <c r="BS207" s="1"/>
      <c r="BT207" s="1"/>
      <c r="BU207" s="1"/>
    </row>
    <row r="208">
      <c r="A208" s="1"/>
      <c r="B208" s="10" t="s">
        <v>95</v>
      </c>
      <c r="C208" s="11" t="s">
        <v>47</v>
      </c>
      <c r="D208" s="22"/>
      <c r="E208" s="18"/>
      <c r="F208" s="18"/>
      <c r="G208" s="23">
        <v>118870.0</v>
      </c>
      <c r="H208" s="19"/>
      <c r="I208" s="22"/>
      <c r="J208" s="18"/>
      <c r="K208" s="18"/>
      <c r="L208" s="23">
        <v>100970.0</v>
      </c>
      <c r="M208" s="19"/>
      <c r="N208" s="22"/>
      <c r="O208" s="18"/>
      <c r="P208" s="18"/>
      <c r="Q208" s="23">
        <v>136780.0</v>
      </c>
      <c r="R208" s="19"/>
      <c r="S208" s="22"/>
      <c r="T208" s="18"/>
      <c r="U208" s="18"/>
      <c r="V208" s="18"/>
      <c r="W208" s="19"/>
      <c r="X208" s="18"/>
      <c r="Y208" s="18"/>
      <c r="Z208" s="18"/>
      <c r="AA208" s="18"/>
      <c r="AB208" s="19"/>
      <c r="AC208" s="18"/>
      <c r="AD208" s="18"/>
      <c r="AE208" s="18"/>
      <c r="AF208" s="18"/>
      <c r="AG208" s="19"/>
      <c r="AH208" s="18"/>
      <c r="AI208" s="18"/>
      <c r="AJ208" s="18"/>
      <c r="AK208" s="18"/>
      <c r="AL208" s="19"/>
      <c r="AM208" s="18"/>
      <c r="AN208" s="18"/>
      <c r="AO208" s="18"/>
      <c r="AP208" s="46"/>
      <c r="AQ208" s="19"/>
      <c r="AR208" s="18"/>
      <c r="AS208" s="18"/>
      <c r="AT208" s="18"/>
      <c r="AU208" s="18"/>
      <c r="AV208" s="19"/>
      <c r="AW208" s="18"/>
      <c r="AX208" s="18"/>
      <c r="AY208" s="18"/>
      <c r="AZ208" s="18"/>
      <c r="BA208" s="19"/>
      <c r="BB208" s="18"/>
      <c r="BC208" s="18"/>
      <c r="BD208" s="18"/>
      <c r="BE208" s="18"/>
      <c r="BF208" s="19"/>
      <c r="BG208" s="18"/>
      <c r="BH208" s="18"/>
      <c r="BI208" s="18"/>
      <c r="BJ208" s="18"/>
      <c r="BK208" s="19"/>
      <c r="BL208" s="18"/>
      <c r="BM208" s="18"/>
      <c r="BN208" s="18"/>
      <c r="BO208" s="18"/>
      <c r="BP208" s="19"/>
      <c r="BQ208" s="17" t="s">
        <v>63</v>
      </c>
      <c r="BR208" s="1"/>
      <c r="BS208" s="1"/>
      <c r="BT208" s="1"/>
      <c r="BU208" s="1"/>
    </row>
    <row r="209">
      <c r="A209" s="1"/>
      <c r="B209" s="10" t="s">
        <v>95</v>
      </c>
      <c r="C209" s="11" t="s">
        <v>49</v>
      </c>
      <c r="D209" s="22"/>
      <c r="E209" s="18"/>
      <c r="F209" s="18"/>
      <c r="G209" s="23">
        <v>375760.0</v>
      </c>
      <c r="H209" s="19"/>
      <c r="I209" s="22"/>
      <c r="J209" s="18"/>
      <c r="K209" s="18"/>
      <c r="L209" s="23">
        <v>360580.0</v>
      </c>
      <c r="M209" s="19"/>
      <c r="N209" s="22"/>
      <c r="O209" s="18"/>
      <c r="P209" s="18"/>
      <c r="Q209" s="23">
        <v>305060.0</v>
      </c>
      <c r="R209" s="19"/>
      <c r="S209" s="22"/>
      <c r="T209" s="18"/>
      <c r="U209" s="18"/>
      <c r="V209" s="23">
        <v>226820.0</v>
      </c>
      <c r="W209" s="19"/>
      <c r="X209" s="18"/>
      <c r="Y209" s="18"/>
      <c r="Z209" s="18"/>
      <c r="AA209" s="23">
        <v>72500.0</v>
      </c>
      <c r="AB209" s="19"/>
      <c r="AC209" s="18"/>
      <c r="AD209" s="18"/>
      <c r="AE209" s="18"/>
      <c r="AF209" s="23">
        <v>34300.0</v>
      </c>
      <c r="AG209" s="19"/>
      <c r="AH209" s="18"/>
      <c r="AI209" s="18"/>
      <c r="AJ209" s="18"/>
      <c r="AK209" s="23">
        <v>29040.0</v>
      </c>
      <c r="AL209" s="19"/>
      <c r="AM209" s="18"/>
      <c r="AN209" s="18"/>
      <c r="AO209" s="18"/>
      <c r="AP209" s="23">
        <v>16300.0</v>
      </c>
      <c r="AQ209" s="19"/>
      <c r="AR209" s="18"/>
      <c r="AS209" s="18"/>
      <c r="AT209" s="18"/>
      <c r="AU209" s="23">
        <v>13400.0</v>
      </c>
      <c r="AV209" s="19"/>
      <c r="AW209" s="18"/>
      <c r="AX209" s="18"/>
      <c r="AY209" s="18"/>
      <c r="AZ209" s="23">
        <v>9060.0</v>
      </c>
      <c r="BA209" s="19"/>
      <c r="BB209" s="18"/>
      <c r="BC209" s="18"/>
      <c r="BD209" s="18"/>
      <c r="BE209" s="23">
        <v>12330.0</v>
      </c>
      <c r="BF209" s="19"/>
      <c r="BG209" s="18"/>
      <c r="BH209" s="18"/>
      <c r="BI209" s="18"/>
      <c r="BJ209" s="55">
        <v>384670.0</v>
      </c>
      <c r="BK209" s="19"/>
      <c r="BL209" s="18"/>
      <c r="BM209" s="18"/>
      <c r="BN209" s="18"/>
      <c r="BO209" s="23">
        <v>384670.0</v>
      </c>
      <c r="BP209" s="19"/>
      <c r="BQ209" s="17" t="s">
        <v>63</v>
      </c>
      <c r="BR209" s="1"/>
      <c r="BS209" s="1"/>
      <c r="BT209" s="1"/>
      <c r="BU209" s="1"/>
    </row>
    <row r="210">
      <c r="A210" s="1"/>
      <c r="B210" s="10" t="s">
        <v>95</v>
      </c>
      <c r="C210" s="11" t="s">
        <v>51</v>
      </c>
      <c r="D210" s="22"/>
      <c r="E210" s="18"/>
      <c r="F210" s="18"/>
      <c r="G210" s="23">
        <v>100000.0</v>
      </c>
      <c r="H210" s="19"/>
      <c r="I210" s="22"/>
      <c r="J210" s="18"/>
      <c r="K210" s="18"/>
      <c r="L210" s="23">
        <v>0.0</v>
      </c>
      <c r="M210" s="19"/>
      <c r="N210" s="22"/>
      <c r="O210" s="18"/>
      <c r="P210" s="18"/>
      <c r="Q210" s="23">
        <v>0.0</v>
      </c>
      <c r="R210" s="19"/>
      <c r="S210" s="22"/>
      <c r="T210" s="18"/>
      <c r="U210" s="18"/>
      <c r="V210" s="18"/>
      <c r="W210" s="19"/>
      <c r="X210" s="18"/>
      <c r="Y210" s="18"/>
      <c r="Z210" s="18"/>
      <c r="AA210" s="18"/>
      <c r="AB210" s="19"/>
      <c r="AC210" s="18"/>
      <c r="AD210" s="18"/>
      <c r="AE210" s="18"/>
      <c r="AF210" s="18"/>
      <c r="AG210" s="19"/>
      <c r="AH210" s="18"/>
      <c r="AI210" s="18"/>
      <c r="AJ210" s="18"/>
      <c r="AK210" s="18"/>
      <c r="AL210" s="19"/>
      <c r="AM210" s="18"/>
      <c r="AN210" s="18"/>
      <c r="AO210" s="18"/>
      <c r="AP210" s="18"/>
      <c r="AQ210" s="19"/>
      <c r="AR210" s="18"/>
      <c r="AS210" s="18"/>
      <c r="AT210" s="18"/>
      <c r="AU210" s="18"/>
      <c r="AV210" s="19"/>
      <c r="AW210" s="18"/>
      <c r="AX210" s="18"/>
      <c r="AY210" s="18"/>
      <c r="AZ210" s="18"/>
      <c r="BA210" s="19"/>
      <c r="BB210" s="18"/>
      <c r="BC210" s="18"/>
      <c r="BD210" s="18"/>
      <c r="BE210" s="18"/>
      <c r="BF210" s="19"/>
      <c r="BG210" s="18"/>
      <c r="BH210" s="18"/>
      <c r="BI210" s="18"/>
      <c r="BJ210" s="18"/>
      <c r="BK210" s="19"/>
      <c r="BL210" s="18"/>
      <c r="BM210" s="18"/>
      <c r="BN210" s="18"/>
      <c r="BO210" s="18"/>
      <c r="BP210" s="19"/>
      <c r="BQ210" s="17" t="s">
        <v>63</v>
      </c>
      <c r="BR210" s="1"/>
      <c r="BS210" s="1"/>
      <c r="BT210" s="1"/>
      <c r="BU210" s="1"/>
    </row>
    <row r="211">
      <c r="A211" s="1"/>
      <c r="B211" s="10" t="s">
        <v>95</v>
      </c>
      <c r="C211" s="11" t="s">
        <v>52</v>
      </c>
      <c r="D211" s="22"/>
      <c r="E211" s="18"/>
      <c r="F211" s="18"/>
      <c r="G211" s="23">
        <v>22869.0</v>
      </c>
      <c r="H211" s="19"/>
      <c r="I211" s="22"/>
      <c r="J211" s="18"/>
      <c r="K211" s="18"/>
      <c r="L211" s="23">
        <v>22869.0</v>
      </c>
      <c r="M211" s="19"/>
      <c r="N211" s="22"/>
      <c r="O211" s="18"/>
      <c r="P211" s="18"/>
      <c r="Q211" s="23">
        <v>22869.0</v>
      </c>
      <c r="R211" s="19"/>
      <c r="S211" s="22"/>
      <c r="T211" s="18"/>
      <c r="U211" s="18"/>
      <c r="V211" s="23">
        <v>22869.0</v>
      </c>
      <c r="W211" s="19"/>
      <c r="X211" s="18"/>
      <c r="Y211" s="18"/>
      <c r="Z211" s="18"/>
      <c r="AA211" s="23">
        <v>22869.0</v>
      </c>
      <c r="AB211" s="19"/>
      <c r="AC211" s="18"/>
      <c r="AD211" s="18"/>
      <c r="AE211" s="18"/>
      <c r="AF211" s="23">
        <v>22869.0</v>
      </c>
      <c r="AG211" s="19"/>
      <c r="AH211" s="18"/>
      <c r="AI211" s="18"/>
      <c r="AJ211" s="18"/>
      <c r="AK211" s="23">
        <v>22869.0</v>
      </c>
      <c r="AL211" s="19"/>
      <c r="AM211" s="18"/>
      <c r="AN211" s="18"/>
      <c r="AO211" s="18"/>
      <c r="AP211" s="23">
        <v>22869.0</v>
      </c>
      <c r="AQ211" s="19"/>
      <c r="AR211" s="18"/>
      <c r="AS211" s="18"/>
      <c r="AT211" s="18"/>
      <c r="AU211" s="23">
        <v>22869.0</v>
      </c>
      <c r="AV211" s="19"/>
      <c r="AW211" s="18"/>
      <c r="AX211" s="18"/>
      <c r="AY211" s="18"/>
      <c r="AZ211" s="23">
        <v>22869.0</v>
      </c>
      <c r="BA211" s="19"/>
      <c r="BB211" s="18"/>
      <c r="BC211" s="18"/>
      <c r="BD211" s="18"/>
      <c r="BE211" s="23">
        <v>22869.0</v>
      </c>
      <c r="BF211" s="19"/>
      <c r="BG211" s="18"/>
      <c r="BH211" s="18"/>
      <c r="BI211" s="18"/>
      <c r="BJ211" s="23">
        <v>22869.0</v>
      </c>
      <c r="BK211" s="19"/>
      <c r="BL211" s="18"/>
      <c r="BM211" s="18"/>
      <c r="BN211" s="18"/>
      <c r="BO211" s="23">
        <v>22869.0</v>
      </c>
      <c r="BP211" s="19"/>
      <c r="BQ211" s="17" t="s">
        <v>63</v>
      </c>
      <c r="BR211" s="1"/>
      <c r="BS211" s="1"/>
      <c r="BT211" s="1"/>
      <c r="BU211" s="1"/>
    </row>
    <row r="212">
      <c r="A212" s="1"/>
      <c r="B212" s="10" t="s">
        <v>95</v>
      </c>
      <c r="C212" s="11" t="s">
        <v>53</v>
      </c>
      <c r="D212" s="22"/>
      <c r="E212" s="18"/>
      <c r="F212" s="18"/>
      <c r="G212" s="18"/>
      <c r="H212" s="19"/>
      <c r="I212" s="22"/>
      <c r="J212" s="18"/>
      <c r="K212" s="18"/>
      <c r="L212" s="18"/>
      <c r="M212" s="19"/>
      <c r="N212" s="22"/>
      <c r="O212" s="18"/>
      <c r="P212" s="18"/>
      <c r="Q212" s="23">
        <v>19900.0</v>
      </c>
      <c r="R212" s="19"/>
      <c r="S212" s="22"/>
      <c r="T212" s="18"/>
      <c r="U212" s="18"/>
      <c r="V212" s="23">
        <v>19900.0</v>
      </c>
      <c r="W212" s="19"/>
      <c r="X212" s="18"/>
      <c r="Y212" s="18"/>
      <c r="Z212" s="18"/>
      <c r="AA212" s="23">
        <v>19900.0</v>
      </c>
      <c r="AB212" s="19"/>
      <c r="AC212" s="18"/>
      <c r="AD212" s="18"/>
      <c r="AE212" s="18"/>
      <c r="AF212" s="23">
        <v>19900.0</v>
      </c>
      <c r="AG212" s="19"/>
      <c r="AH212" s="18"/>
      <c r="AI212" s="18"/>
      <c r="AJ212" s="18"/>
      <c r="AK212" s="23">
        <v>19900.0</v>
      </c>
      <c r="AL212" s="19"/>
      <c r="AM212" s="18"/>
      <c r="AN212" s="18"/>
      <c r="AO212" s="18"/>
      <c r="AP212" s="23">
        <v>19900.0</v>
      </c>
      <c r="AQ212" s="19"/>
      <c r="AR212" s="18"/>
      <c r="AS212" s="18"/>
      <c r="AT212" s="18"/>
      <c r="AU212" s="23">
        <v>19900.0</v>
      </c>
      <c r="AV212" s="19"/>
      <c r="AW212" s="18"/>
      <c r="AX212" s="18"/>
      <c r="AY212" s="18"/>
      <c r="AZ212" s="23">
        <v>19900.0</v>
      </c>
      <c r="BA212" s="19"/>
      <c r="BB212" s="18"/>
      <c r="BC212" s="18"/>
      <c r="BD212" s="18"/>
      <c r="BE212" s="23">
        <v>19900.0</v>
      </c>
      <c r="BF212" s="19"/>
      <c r="BG212" s="18"/>
      <c r="BH212" s="18"/>
      <c r="BI212" s="18"/>
      <c r="BJ212" s="23">
        <v>19900.0</v>
      </c>
      <c r="BK212" s="19"/>
      <c r="BL212" s="18"/>
      <c r="BM212" s="18"/>
      <c r="BN212" s="18"/>
      <c r="BO212" s="23">
        <v>19900.0</v>
      </c>
      <c r="BP212" s="19"/>
      <c r="BQ212" s="17" t="s">
        <v>63</v>
      </c>
      <c r="BR212" s="1"/>
      <c r="BS212" s="1"/>
      <c r="BT212" s="1"/>
      <c r="BU212" s="1"/>
    </row>
    <row r="213">
      <c r="A213" s="1"/>
      <c r="B213" s="21"/>
      <c r="C213" s="11" t="s">
        <v>54</v>
      </c>
      <c r="D213" s="22"/>
      <c r="E213" s="18"/>
      <c r="F213" s="18"/>
      <c r="G213" s="23">
        <f>SUMIFS('지출'!$G$3:$G1000,'지출'!$J$3:$J1000,G$1,'지출'!$C$3:$C1000,"구디")</f>
        <v>60000</v>
      </c>
      <c r="H213" s="19"/>
      <c r="I213" s="22"/>
      <c r="J213" s="18"/>
      <c r="K213" s="18"/>
      <c r="L213" s="23">
        <f>SUMIFS('지출'!$G$3:$G1000,'지출'!$J$3:$J1000,L$1,'지출'!$C$3:$C1000,"구디")</f>
        <v>19500</v>
      </c>
      <c r="M213" s="24"/>
      <c r="N213" s="18"/>
      <c r="O213" s="18"/>
      <c r="P213" s="18"/>
      <c r="Q213" s="23">
        <f>SUMIFS('지출'!$G$3:$G1000,'지출'!$J$3:$J1000,Q$1,'지출'!$C$3:$C1000,"구디")</f>
        <v>0</v>
      </c>
      <c r="R213" s="24"/>
      <c r="S213" s="18"/>
      <c r="T213" s="18"/>
      <c r="U213" s="18"/>
      <c r="V213" s="23">
        <f>SUMIFS('지출'!$G$3:$G1000,'지출'!$J$3:$J1000,V$1,'지출'!$C$3:$C1000,"구디")</f>
        <v>0</v>
      </c>
      <c r="W213" s="24"/>
      <c r="X213" s="18"/>
      <c r="Y213" s="18"/>
      <c r="Z213" s="18"/>
      <c r="AA213" s="23">
        <f>SUMIFS('지출'!$G$3:$G1000,'지출'!$J$3:$J1000,AA$1,'지출'!$C$3:$C1000,"구디")</f>
        <v>0</v>
      </c>
      <c r="AB213" s="24"/>
      <c r="AC213" s="18"/>
      <c r="AD213" s="18"/>
      <c r="AE213" s="18"/>
      <c r="AF213" s="23">
        <f>SUMIFS('지출'!$G$3:$G1000,'지출'!$J$3:$J1000,AF$1,'지출'!$C$3:$C1000,"구디")</f>
        <v>0</v>
      </c>
      <c r="AG213" s="24"/>
      <c r="AH213" s="18"/>
      <c r="AI213" s="18"/>
      <c r="AJ213" s="18"/>
      <c r="AK213" s="23">
        <f>SUMIFS('지출'!$G$3:$G1000,'지출'!$J$3:$J1000,AK$1,'지출'!$C$3:$C1000,"구디")</f>
        <v>0</v>
      </c>
      <c r="AL213" s="24"/>
      <c r="AM213" s="18"/>
      <c r="AN213" s="18"/>
      <c r="AO213" s="18"/>
      <c r="AP213" s="23">
        <f>SUMIFS('지출'!$G$3:$G1000,'지출'!$J$3:$J1000,AP$1,'지출'!$C$3:$C1000,"구디")</f>
        <v>0</v>
      </c>
      <c r="AQ213" s="24"/>
      <c r="AR213" s="18"/>
      <c r="AS213" s="18"/>
      <c r="AT213" s="18"/>
      <c r="AU213" s="23">
        <f>SUMIFS('지출'!$G$3:$G1000,'지출'!$J$3:$J1000,AU$1,'지출'!$C$3:$C1000,"구디")</f>
        <v>0</v>
      </c>
      <c r="AV213" s="24"/>
      <c r="AW213" s="18"/>
      <c r="AX213" s="18"/>
      <c r="AY213" s="18"/>
      <c r="AZ213" s="23">
        <f>SUMIFS('지출'!$G$3:$G1000,'지출'!$J$3:$J1000,AZ$1,'지출'!$C$3:$C1000,"구디")</f>
        <v>0</v>
      </c>
      <c r="BA213" s="24"/>
      <c r="BB213" s="18"/>
      <c r="BC213" s="18"/>
      <c r="BD213" s="18"/>
      <c r="BE213" s="23">
        <f>SUMIFS('지출'!$G$3:$G1000,'지출'!$J$3:$J1000,BE$1,'지출'!$C$3:$C1000,"구디")</f>
        <v>0</v>
      </c>
      <c r="BF213" s="24"/>
      <c r="BG213" s="18"/>
      <c r="BH213" s="18"/>
      <c r="BI213" s="18"/>
      <c r="BJ213" s="23">
        <f>SUMIFS('지출'!$G$3:$G1000,'지출'!$J$3:$J1000,BJ$1,'지출'!$C$3:$C1000,"구디")</f>
        <v>0</v>
      </c>
      <c r="BK213" s="24"/>
      <c r="BL213" s="18"/>
      <c r="BM213" s="18"/>
      <c r="BN213" s="18"/>
      <c r="BO213" s="23">
        <f>SUMIFS('지출'!$G$3:$G1000,'지출'!$J$3:$J1000,BO$1,'지출'!$C$3:$C1000,"구디")</f>
        <v>60000</v>
      </c>
      <c r="BP213" s="24"/>
      <c r="BQ213" s="17" t="s">
        <v>63</v>
      </c>
      <c r="BR213" s="1"/>
      <c r="BS213" s="1"/>
      <c r="BT213" s="1"/>
      <c r="BU213" s="1"/>
    </row>
    <row r="214">
      <c r="A214" s="1"/>
      <c r="B214" s="21"/>
      <c r="C214" s="11" t="s">
        <v>56</v>
      </c>
      <c r="D214" s="22"/>
      <c r="E214" s="23">
        <f>E205-(SUM(E206:E213))</f>
        <v>1088774</v>
      </c>
      <c r="F214" s="18"/>
      <c r="G214" s="23">
        <f>G205-(SUM(G206:G213))</f>
        <v>-284918</v>
      </c>
      <c r="H214" s="19"/>
      <c r="I214" s="22"/>
      <c r="J214" s="23">
        <f>J205-(SUM(J206:J213))</f>
        <v>1112000</v>
      </c>
      <c r="K214" s="18"/>
      <c r="L214" s="23">
        <f>L205-(SUM(L206:L213))</f>
        <v>-113919</v>
      </c>
      <c r="M214" s="19"/>
      <c r="N214" s="22"/>
      <c r="O214" s="23">
        <f>O205-(SUM(O206:O213))</f>
        <v>730200</v>
      </c>
      <c r="P214" s="18"/>
      <c r="Q214" s="23">
        <f>Q205-(SUM(Q206:Q213))</f>
        <v>-172019</v>
      </c>
      <c r="R214" s="19"/>
      <c r="S214" s="22"/>
      <c r="T214" s="23">
        <f>T205-(SUM(T206:T213))</f>
        <v>716000</v>
      </c>
      <c r="U214" s="18"/>
      <c r="V214" s="23">
        <f>V205-(SUM(V206:V213))</f>
        <v>40411</v>
      </c>
      <c r="W214" s="19"/>
      <c r="X214" s="18"/>
      <c r="Y214" s="23">
        <f>Y205-(SUM(Y206:Y213))</f>
        <v>596000</v>
      </c>
      <c r="Z214" s="18"/>
      <c r="AA214" s="23">
        <f>AA205-(SUM(AA206:AA213))</f>
        <v>194731</v>
      </c>
      <c r="AB214" s="19"/>
      <c r="AC214" s="18"/>
      <c r="AD214" s="23">
        <f>AD205-(SUM(AD206:AD213))</f>
        <v>599767</v>
      </c>
      <c r="AE214" s="18"/>
      <c r="AF214" s="23">
        <f>AF205-(SUM(AF206:AF213))</f>
        <v>233264</v>
      </c>
      <c r="AG214" s="19"/>
      <c r="AH214" s="18"/>
      <c r="AI214" s="23">
        <f>AI205-(SUM(AI206:AI213))</f>
        <v>600000</v>
      </c>
      <c r="AJ214" s="18"/>
      <c r="AK214" s="23">
        <f>AK205-(SUM(AK206:AK213))</f>
        <v>238191</v>
      </c>
      <c r="AL214" s="19"/>
      <c r="AM214" s="18"/>
      <c r="AN214" s="23">
        <f>AN205-(SUM(AN206:AN213))</f>
        <v>812903</v>
      </c>
      <c r="AO214" s="18"/>
      <c r="AP214" s="23">
        <f>AP205-(SUM(AP206:AP213))</f>
        <v>281899</v>
      </c>
      <c r="AQ214" s="19"/>
      <c r="AR214" s="22"/>
      <c r="AS214" s="23">
        <f>AS205-(SUM(AS206:AS213))</f>
        <v>937666</v>
      </c>
      <c r="AT214" s="18"/>
      <c r="AU214" s="23">
        <f>AU205-(SUM(AU206:AU213))</f>
        <v>288498</v>
      </c>
      <c r="AV214" s="19"/>
      <c r="AW214" s="22"/>
      <c r="AX214" s="23">
        <f>AX205-(SUM(AX206:AX213))</f>
        <v>1060000</v>
      </c>
      <c r="AY214" s="18"/>
      <c r="AZ214" s="23">
        <f>AZ205-(SUM(AZ206:AZ213))</f>
        <v>338171</v>
      </c>
      <c r="BA214" s="19"/>
      <c r="BB214" s="22"/>
      <c r="BC214" s="23">
        <f>BC205-(SUM(BC206:BC213))</f>
        <v>1060000</v>
      </c>
      <c r="BD214" s="18"/>
      <c r="BE214" s="23">
        <f>BE205-(SUM(BE206:BE213))</f>
        <v>334901</v>
      </c>
      <c r="BF214" s="19"/>
      <c r="BG214" s="22"/>
      <c r="BH214" s="23">
        <f>BH205-(SUM(BH206:BH213))</f>
        <v>910000</v>
      </c>
      <c r="BI214" s="18"/>
      <c r="BJ214" s="23">
        <f>BJ205-(SUM(BJ206:BJ213))</f>
        <v>-37439</v>
      </c>
      <c r="BK214" s="19"/>
      <c r="BL214" s="22"/>
      <c r="BM214" s="23">
        <f>BM205-(SUM(BM206:BM213))</f>
        <v>910000</v>
      </c>
      <c r="BN214" s="18"/>
      <c r="BO214" s="23">
        <f>BO205-(SUM(BO206:BO213))</f>
        <v>-117439</v>
      </c>
      <c r="BP214" s="19"/>
      <c r="BQ214" s="17" t="s">
        <v>63</v>
      </c>
      <c r="BR214" s="1"/>
      <c r="BS214" s="1"/>
      <c r="BT214" s="1"/>
      <c r="BU214" s="1"/>
    </row>
    <row r="215">
      <c r="A215" s="1"/>
      <c r="B215" s="27">
        <v>0.7</v>
      </c>
      <c r="C215" s="11" t="s">
        <v>26</v>
      </c>
      <c r="D215" s="22"/>
      <c r="E215" s="23">
        <f>E214*$B215</f>
        <v>762141.8</v>
      </c>
      <c r="F215" s="18"/>
      <c r="G215" s="18"/>
      <c r="H215" s="19"/>
      <c r="I215" s="22"/>
      <c r="J215" s="23">
        <f>J214*$B215</f>
        <v>778400</v>
      </c>
      <c r="K215" s="18"/>
      <c r="L215" s="18"/>
      <c r="M215" s="19"/>
      <c r="N215" s="22"/>
      <c r="O215" s="23">
        <f>O214*$B215</f>
        <v>511140</v>
      </c>
      <c r="P215" s="18"/>
      <c r="Q215" s="18"/>
      <c r="R215" s="19"/>
      <c r="S215" s="22"/>
      <c r="T215" s="23">
        <f>T214*$B215</f>
        <v>501200</v>
      </c>
      <c r="U215" s="18"/>
      <c r="V215" s="18"/>
      <c r="W215" s="19"/>
      <c r="X215" s="18"/>
      <c r="Y215" s="23">
        <f>Y214*$B215</f>
        <v>417200</v>
      </c>
      <c r="Z215" s="18"/>
      <c r="AA215" s="18"/>
      <c r="AB215" s="19"/>
      <c r="AC215" s="18"/>
      <c r="AD215" s="23">
        <f>AD214*$B215</f>
        <v>419836.9</v>
      </c>
      <c r="AE215" s="18"/>
      <c r="AF215" s="18"/>
      <c r="AG215" s="19"/>
      <c r="AH215" s="18"/>
      <c r="AI215" s="23">
        <f>AI214*$B215</f>
        <v>420000</v>
      </c>
      <c r="AJ215" s="18"/>
      <c r="AK215" s="18"/>
      <c r="AL215" s="19"/>
      <c r="AM215" s="18"/>
      <c r="AN215" s="23">
        <f>AN214*$B215</f>
        <v>569032.1</v>
      </c>
      <c r="AO215" s="18"/>
      <c r="AP215" s="18"/>
      <c r="AQ215" s="19"/>
      <c r="AR215" s="22"/>
      <c r="AS215" s="23">
        <f>AS214*$B215</f>
        <v>656366.2</v>
      </c>
      <c r="AT215" s="18"/>
      <c r="AU215" s="18"/>
      <c r="AV215" s="19"/>
      <c r="AW215" s="22"/>
      <c r="AX215" s="23">
        <f>AX214*$B215</f>
        <v>742000</v>
      </c>
      <c r="AY215" s="18"/>
      <c r="AZ215" s="18"/>
      <c r="BA215" s="19"/>
      <c r="BB215" s="22"/>
      <c r="BC215" s="23">
        <f>BC214*$B215</f>
        <v>742000</v>
      </c>
      <c r="BD215" s="18"/>
      <c r="BE215" s="18"/>
      <c r="BF215" s="19"/>
      <c r="BG215" s="22"/>
      <c r="BH215" s="23">
        <f>BH214*$B215</f>
        <v>637000</v>
      </c>
      <c r="BI215" s="18"/>
      <c r="BJ215" s="18"/>
      <c r="BK215" s="19"/>
      <c r="BL215" s="22"/>
      <c r="BM215" s="23">
        <f>BM214*$B215</f>
        <v>637000</v>
      </c>
      <c r="BN215" s="18"/>
      <c r="BO215" s="18"/>
      <c r="BP215" s="19"/>
      <c r="BQ215" s="17" t="s">
        <v>63</v>
      </c>
      <c r="BR215" s="1"/>
      <c r="BS215" s="1"/>
      <c r="BT215" s="1"/>
      <c r="BU215" s="1"/>
    </row>
    <row r="216">
      <c r="A216" s="56" t="str">
        <f>B199</f>
        <v>구디</v>
      </c>
      <c r="B216" s="29">
        <v>0.3</v>
      </c>
      <c r="C216" s="30" t="s">
        <v>57</v>
      </c>
      <c r="D216" s="31"/>
      <c r="E216" s="32">
        <f>E214*$B216</f>
        <v>326632.2</v>
      </c>
      <c r="F216" s="33"/>
      <c r="G216" s="33"/>
      <c r="H216" s="34"/>
      <c r="I216" s="31"/>
      <c r="J216" s="32">
        <f>J214*$B216</f>
        <v>333600</v>
      </c>
      <c r="K216" s="33"/>
      <c r="L216" s="33"/>
      <c r="M216" s="34"/>
      <c r="N216" s="31"/>
      <c r="O216" s="32">
        <f>O214*$B216</f>
        <v>219060</v>
      </c>
      <c r="P216" s="33"/>
      <c r="Q216" s="33"/>
      <c r="R216" s="34"/>
      <c r="S216" s="31"/>
      <c r="T216" s="32">
        <f>T214*$B216</f>
        <v>214800</v>
      </c>
      <c r="U216" s="33"/>
      <c r="V216" s="33"/>
      <c r="W216" s="34"/>
      <c r="X216" s="33"/>
      <c r="Y216" s="32">
        <f>Y214*$B216</f>
        <v>178800</v>
      </c>
      <c r="Z216" s="33"/>
      <c r="AA216" s="33"/>
      <c r="AB216" s="34"/>
      <c r="AC216" s="33"/>
      <c r="AD216" s="32">
        <f>AD214*$B216</f>
        <v>179930.1</v>
      </c>
      <c r="AE216" s="33"/>
      <c r="AF216" s="33"/>
      <c r="AG216" s="34"/>
      <c r="AH216" s="33"/>
      <c r="AI216" s="32">
        <f>AI214*$B216</f>
        <v>180000</v>
      </c>
      <c r="AJ216" s="33"/>
      <c r="AK216" s="33"/>
      <c r="AL216" s="34"/>
      <c r="AM216" s="33"/>
      <c r="AN216" s="32">
        <f>AN214*$B216</f>
        <v>243870.9</v>
      </c>
      <c r="AO216" s="33"/>
      <c r="AP216" s="33"/>
      <c r="AQ216" s="34"/>
      <c r="AR216" s="31"/>
      <c r="AS216" s="32">
        <f>AS214*$B216</f>
        <v>281299.8</v>
      </c>
      <c r="AT216" s="33"/>
      <c r="AU216" s="33"/>
      <c r="AV216" s="34"/>
      <c r="AW216" s="31"/>
      <c r="AX216" s="32">
        <f>AX214*$B216</f>
        <v>318000</v>
      </c>
      <c r="AY216" s="33"/>
      <c r="AZ216" s="33"/>
      <c r="BA216" s="34"/>
      <c r="BB216" s="31"/>
      <c r="BC216" s="32">
        <f>BC214*$B216</f>
        <v>318000</v>
      </c>
      <c r="BD216" s="33"/>
      <c r="BE216" s="33"/>
      <c r="BF216" s="34"/>
      <c r="BG216" s="31"/>
      <c r="BH216" s="32">
        <f>BH214*$B216</f>
        <v>273000</v>
      </c>
      <c r="BI216" s="33"/>
      <c r="BJ216" s="33"/>
      <c r="BK216" s="34"/>
      <c r="BL216" s="31"/>
      <c r="BM216" s="32">
        <f>BM214*$B216</f>
        <v>273000</v>
      </c>
      <c r="BN216" s="33"/>
      <c r="BO216" s="33"/>
      <c r="BP216" s="34"/>
      <c r="BQ216" s="17" t="s">
        <v>63</v>
      </c>
      <c r="BR216" s="1"/>
      <c r="BS216" s="1"/>
      <c r="BT216" s="1"/>
      <c r="BU216" s="1"/>
    </row>
    <row r="217">
      <c r="A217" s="1"/>
      <c r="B217" s="10" t="s">
        <v>415</v>
      </c>
      <c r="C217" s="11" t="s">
        <v>416</v>
      </c>
      <c r="D217" s="20" t="s">
        <v>37</v>
      </c>
      <c r="E217" s="18"/>
      <c r="F217" s="1"/>
      <c r="G217" s="18"/>
      <c r="H217" s="19"/>
      <c r="I217" s="20" t="s">
        <v>417</v>
      </c>
      <c r="J217" s="23">
        <v>439310.0</v>
      </c>
      <c r="K217" s="35" t="b">
        <v>0</v>
      </c>
      <c r="L217" s="23">
        <v>89655.0</v>
      </c>
      <c r="M217" s="15" t="b">
        <v>1</v>
      </c>
      <c r="N217" s="20" t="s">
        <v>418</v>
      </c>
      <c r="O217" s="23">
        <v>490000.0</v>
      </c>
      <c r="P217" s="35" t="b">
        <v>0</v>
      </c>
      <c r="Q217" s="23">
        <v>100000.0</v>
      </c>
      <c r="R217" s="15" t="b">
        <v>1</v>
      </c>
      <c r="S217" s="20" t="s">
        <v>418</v>
      </c>
      <c r="T217" s="23">
        <v>490000.0</v>
      </c>
      <c r="U217" s="35" t="b">
        <v>0</v>
      </c>
      <c r="V217" s="23">
        <v>100000.0</v>
      </c>
      <c r="W217" s="15" t="b">
        <v>1</v>
      </c>
      <c r="X217" s="20" t="s">
        <v>418</v>
      </c>
      <c r="Y217" s="23">
        <v>490000.0</v>
      </c>
      <c r="Z217" s="35" t="b">
        <v>0</v>
      </c>
      <c r="AA217" s="23">
        <v>100000.0</v>
      </c>
      <c r="AB217" s="15" t="b">
        <v>1</v>
      </c>
      <c r="AC217" s="20" t="s">
        <v>418</v>
      </c>
      <c r="AD217" s="23">
        <v>490000.0</v>
      </c>
      <c r="AE217" s="35" t="b">
        <v>0</v>
      </c>
      <c r="AF217" s="23">
        <v>100000.0</v>
      </c>
      <c r="AG217" s="15" t="b">
        <v>1</v>
      </c>
      <c r="AH217" s="20" t="s">
        <v>418</v>
      </c>
      <c r="AI217" s="23">
        <v>490000.0</v>
      </c>
      <c r="AJ217" s="35" t="b">
        <v>0</v>
      </c>
      <c r="AK217" s="23">
        <v>100000.0</v>
      </c>
      <c r="AL217" s="15" t="b">
        <v>1</v>
      </c>
      <c r="AM217" s="20" t="s">
        <v>419</v>
      </c>
      <c r="AN217" s="23">
        <v>490000.0</v>
      </c>
      <c r="AO217" s="35" t="b">
        <v>0</v>
      </c>
      <c r="AP217" s="23">
        <v>100000.0</v>
      </c>
      <c r="AQ217" s="15" t="b">
        <v>1</v>
      </c>
      <c r="AR217" s="20" t="s">
        <v>420</v>
      </c>
      <c r="AS217" s="23">
        <v>490000.0</v>
      </c>
      <c r="AT217" s="35" t="b">
        <v>0</v>
      </c>
      <c r="AU217" s="23">
        <v>100000.0</v>
      </c>
      <c r="AV217" s="15" t="b">
        <v>1</v>
      </c>
      <c r="AW217" s="40" t="s">
        <v>421</v>
      </c>
      <c r="AX217" s="23">
        <v>490000.0</v>
      </c>
      <c r="AY217" s="35" t="b">
        <v>0</v>
      </c>
      <c r="AZ217" s="23">
        <v>100000.0</v>
      </c>
      <c r="BA217" s="15" t="b">
        <v>1</v>
      </c>
      <c r="BB217" s="40" t="s">
        <v>421</v>
      </c>
      <c r="BC217" s="23">
        <v>490000.0</v>
      </c>
      <c r="BD217" s="35" t="b">
        <v>0</v>
      </c>
      <c r="BE217" s="23">
        <v>100000.0</v>
      </c>
      <c r="BF217" s="15" t="b">
        <v>1</v>
      </c>
      <c r="BG217" s="40" t="s">
        <v>421</v>
      </c>
      <c r="BH217" s="23">
        <v>490000.0</v>
      </c>
      <c r="BI217" s="35" t="b">
        <v>0</v>
      </c>
      <c r="BJ217" s="23">
        <v>100000.0</v>
      </c>
      <c r="BK217" s="15" t="b">
        <v>1</v>
      </c>
      <c r="BL217" s="40" t="s">
        <v>421</v>
      </c>
      <c r="BM217" s="23">
        <v>490000.0</v>
      </c>
      <c r="BN217" s="35" t="b">
        <v>0</v>
      </c>
      <c r="BO217" s="23">
        <v>100000.0</v>
      </c>
      <c r="BP217" s="15" t="b">
        <v>0</v>
      </c>
      <c r="BQ217" s="17" t="s">
        <v>268</v>
      </c>
      <c r="BR217" s="1"/>
      <c r="BS217" s="1"/>
      <c r="BT217" s="1"/>
      <c r="BU217" s="1"/>
    </row>
    <row r="218">
      <c r="A218" s="1"/>
      <c r="B218" s="10" t="s">
        <v>415</v>
      </c>
      <c r="C218" s="11" t="s">
        <v>422</v>
      </c>
      <c r="D218" s="20" t="s">
        <v>423</v>
      </c>
      <c r="E218" s="23">
        <v>520000.0</v>
      </c>
      <c r="F218" s="35" t="b">
        <v>0</v>
      </c>
      <c r="G218" s="23">
        <v>100000.0</v>
      </c>
      <c r="H218" s="15" t="b">
        <v>1</v>
      </c>
      <c r="I218" s="20" t="s">
        <v>423</v>
      </c>
      <c r="J218" s="23">
        <v>520000.0</v>
      </c>
      <c r="K218" s="35" t="b">
        <v>0</v>
      </c>
      <c r="L218" s="23">
        <v>100000.0</v>
      </c>
      <c r="M218" s="15" t="b">
        <v>1</v>
      </c>
      <c r="N218" s="20" t="s">
        <v>423</v>
      </c>
      <c r="O218" s="23">
        <v>520000.0</v>
      </c>
      <c r="P218" s="35" t="b">
        <v>0</v>
      </c>
      <c r="Q218" s="23">
        <v>100000.0</v>
      </c>
      <c r="R218" s="15" t="b">
        <v>1</v>
      </c>
      <c r="S218" s="20" t="s">
        <v>423</v>
      </c>
      <c r="T218" s="23">
        <v>520000.0</v>
      </c>
      <c r="U218" s="35" t="b">
        <v>0</v>
      </c>
      <c r="V218" s="23">
        <v>100000.0</v>
      </c>
      <c r="W218" s="15" t="b">
        <v>1</v>
      </c>
      <c r="X218" s="20" t="s">
        <v>423</v>
      </c>
      <c r="Y218" s="23">
        <v>520000.0</v>
      </c>
      <c r="Z218" s="35" t="b">
        <v>0</v>
      </c>
      <c r="AA218" s="23">
        <v>100000.0</v>
      </c>
      <c r="AB218" s="15" t="b">
        <v>1</v>
      </c>
      <c r="AC218" s="20" t="s">
        <v>423</v>
      </c>
      <c r="AD218" s="23">
        <v>520000.0</v>
      </c>
      <c r="AE218" s="35" t="b">
        <v>0</v>
      </c>
      <c r="AF218" s="23">
        <v>100000.0</v>
      </c>
      <c r="AG218" s="15" t="b">
        <v>1</v>
      </c>
      <c r="AH218" s="20" t="s">
        <v>423</v>
      </c>
      <c r="AI218" s="23">
        <v>520000.0</v>
      </c>
      <c r="AJ218" s="35" t="b">
        <v>0</v>
      </c>
      <c r="AK218" s="23">
        <v>100000.0</v>
      </c>
      <c r="AL218" s="15" t="b">
        <v>1</v>
      </c>
      <c r="AM218" s="20" t="s">
        <v>423</v>
      </c>
      <c r="AN218" s="23">
        <v>520000.0</v>
      </c>
      <c r="AO218" s="35" t="b">
        <v>0</v>
      </c>
      <c r="AP218" s="23">
        <v>100000.0</v>
      </c>
      <c r="AQ218" s="15" t="b">
        <v>1</v>
      </c>
      <c r="AR218" s="20" t="s">
        <v>423</v>
      </c>
      <c r="AS218" s="23">
        <v>520000.0</v>
      </c>
      <c r="AT218" s="35" t="b">
        <v>0</v>
      </c>
      <c r="AU218" s="23">
        <v>100000.0</v>
      </c>
      <c r="AV218" s="15" t="b">
        <v>1</v>
      </c>
      <c r="AW218" s="20" t="s">
        <v>423</v>
      </c>
      <c r="AX218" s="23">
        <v>520000.0</v>
      </c>
      <c r="AY218" s="35" t="b">
        <v>0</v>
      </c>
      <c r="AZ218" s="23">
        <v>100000.0</v>
      </c>
      <c r="BA218" s="15" t="b">
        <v>1</v>
      </c>
      <c r="BB218" s="20" t="s">
        <v>423</v>
      </c>
      <c r="BC218" s="23">
        <v>520000.0</v>
      </c>
      <c r="BD218" s="35" t="b">
        <v>0</v>
      </c>
      <c r="BE218" s="23">
        <v>100000.0</v>
      </c>
      <c r="BF218" s="15" t="b">
        <v>1</v>
      </c>
      <c r="BG218" s="20" t="s">
        <v>423</v>
      </c>
      <c r="BH218" s="23">
        <v>520000.0</v>
      </c>
      <c r="BI218" s="35" t="b">
        <v>0</v>
      </c>
      <c r="BJ218" s="23">
        <v>100000.0</v>
      </c>
      <c r="BK218" s="15" t="b">
        <v>1</v>
      </c>
      <c r="BL218" s="20" t="s">
        <v>423</v>
      </c>
      <c r="BM218" s="23">
        <v>520000.0</v>
      </c>
      <c r="BN218" s="35" t="b">
        <v>0</v>
      </c>
      <c r="BO218" s="23">
        <v>100000.0</v>
      </c>
      <c r="BP218" s="15" t="b">
        <v>0</v>
      </c>
      <c r="BQ218" s="17" t="s">
        <v>268</v>
      </c>
      <c r="BR218" s="1"/>
      <c r="BS218" s="1"/>
      <c r="BT218" s="1"/>
      <c r="BU218" s="1"/>
    </row>
    <row r="219">
      <c r="A219" s="1"/>
      <c r="B219" s="10" t="s">
        <v>415</v>
      </c>
      <c r="C219" s="11" t="s">
        <v>424</v>
      </c>
      <c r="D219" s="20" t="s">
        <v>37</v>
      </c>
      <c r="E219" s="18"/>
      <c r="F219" s="1"/>
      <c r="G219" s="18"/>
      <c r="H219" s="19"/>
      <c r="I219" s="20" t="s">
        <v>37</v>
      </c>
      <c r="J219" s="18"/>
      <c r="K219" s="1"/>
      <c r="L219" s="18"/>
      <c r="M219" s="19"/>
      <c r="N219" s="20" t="s">
        <v>425</v>
      </c>
      <c r="O219" s="23">
        <v>600000.0</v>
      </c>
      <c r="P219" s="35" t="b">
        <v>0</v>
      </c>
      <c r="Q219" s="23">
        <v>100000.0</v>
      </c>
      <c r="R219" s="15" t="b">
        <v>1</v>
      </c>
      <c r="S219" s="20" t="s">
        <v>426</v>
      </c>
      <c r="T219" s="23">
        <v>600000.0</v>
      </c>
      <c r="U219" s="35" t="b">
        <v>0</v>
      </c>
      <c r="V219" s="23">
        <v>100000.0</v>
      </c>
      <c r="W219" s="15" t="b">
        <v>1</v>
      </c>
      <c r="X219" s="20" t="s">
        <v>426</v>
      </c>
      <c r="Y219" s="23">
        <v>600000.0</v>
      </c>
      <c r="Z219" s="35" t="b">
        <v>0</v>
      </c>
      <c r="AA219" s="23">
        <v>100000.0</v>
      </c>
      <c r="AB219" s="15" t="b">
        <v>1</v>
      </c>
      <c r="AC219" s="20" t="s">
        <v>426</v>
      </c>
      <c r="AD219" s="23">
        <v>600000.0</v>
      </c>
      <c r="AE219" s="35" t="b">
        <v>0</v>
      </c>
      <c r="AF219" s="23">
        <v>100000.0</v>
      </c>
      <c r="AG219" s="15" t="b">
        <v>1</v>
      </c>
      <c r="AH219" s="20" t="s">
        <v>426</v>
      </c>
      <c r="AI219" s="23">
        <v>600000.0</v>
      </c>
      <c r="AJ219" s="35" t="b">
        <v>0</v>
      </c>
      <c r="AK219" s="23">
        <v>100000.0</v>
      </c>
      <c r="AL219" s="15" t="b">
        <v>1</v>
      </c>
      <c r="AM219" s="20" t="s">
        <v>427</v>
      </c>
      <c r="AN219" s="23">
        <v>600000.0</v>
      </c>
      <c r="AO219" s="35" t="b">
        <v>0</v>
      </c>
      <c r="AP219" s="23">
        <v>100000.0</v>
      </c>
      <c r="AQ219" s="15" t="b">
        <v>1</v>
      </c>
      <c r="AR219" s="20" t="s">
        <v>428</v>
      </c>
      <c r="AS219" s="23">
        <f t="shared" ref="AS219:AS220" si="4">100000+600000</f>
        <v>700000</v>
      </c>
      <c r="AT219" s="35" t="b">
        <v>0</v>
      </c>
      <c r="AU219" s="23">
        <v>100000.0</v>
      </c>
      <c r="AV219" s="15" t="b">
        <v>1</v>
      </c>
      <c r="AW219" s="20" t="s">
        <v>429</v>
      </c>
      <c r="AX219" s="23">
        <v>600000.0</v>
      </c>
      <c r="AY219" s="35" t="b">
        <v>0</v>
      </c>
      <c r="AZ219" s="23">
        <v>100000.0</v>
      </c>
      <c r="BA219" s="15" t="b">
        <v>1</v>
      </c>
      <c r="BB219" s="20" t="s">
        <v>429</v>
      </c>
      <c r="BC219" s="23">
        <v>600000.0</v>
      </c>
      <c r="BD219" s="35" t="b">
        <v>0</v>
      </c>
      <c r="BE219" s="23">
        <v>100000.0</v>
      </c>
      <c r="BF219" s="15" t="b">
        <v>1</v>
      </c>
      <c r="BG219" s="20" t="s">
        <v>429</v>
      </c>
      <c r="BH219" s="23">
        <v>600000.0</v>
      </c>
      <c r="BI219" s="35" t="b">
        <v>0</v>
      </c>
      <c r="BJ219" s="23">
        <v>100000.0</v>
      </c>
      <c r="BK219" s="15" t="b">
        <v>1</v>
      </c>
      <c r="BL219" s="20" t="s">
        <v>429</v>
      </c>
      <c r="BM219" s="23">
        <v>600000.0</v>
      </c>
      <c r="BN219" s="35" t="b">
        <v>0</v>
      </c>
      <c r="BO219" s="23">
        <v>100000.0</v>
      </c>
      <c r="BP219" s="15" t="b">
        <v>0</v>
      </c>
      <c r="BQ219" s="17" t="s">
        <v>268</v>
      </c>
      <c r="BR219" s="1"/>
      <c r="BS219" s="1"/>
      <c r="BT219" s="1"/>
      <c r="BU219" s="1"/>
    </row>
    <row r="220">
      <c r="A220" s="1"/>
      <c r="B220" s="10" t="s">
        <v>415</v>
      </c>
      <c r="C220" s="11" t="s">
        <v>430</v>
      </c>
      <c r="D220" s="20" t="s">
        <v>37</v>
      </c>
      <c r="E220" s="18"/>
      <c r="F220" s="1"/>
      <c r="G220" s="18"/>
      <c r="H220" s="19"/>
      <c r="I220" s="20" t="s">
        <v>431</v>
      </c>
      <c r="J220" s="23">
        <v>530690.0</v>
      </c>
      <c r="K220" s="35" t="b">
        <v>0</v>
      </c>
      <c r="L220" s="23">
        <v>93103.0</v>
      </c>
      <c r="M220" s="15" t="b">
        <v>1</v>
      </c>
      <c r="N220" s="20" t="s">
        <v>432</v>
      </c>
      <c r="O220" s="23">
        <v>600000.0</v>
      </c>
      <c r="P220" s="35" t="b">
        <v>0</v>
      </c>
      <c r="Q220" s="23">
        <v>100000.0</v>
      </c>
      <c r="R220" s="15" t="b">
        <v>1</v>
      </c>
      <c r="S220" s="20" t="s">
        <v>433</v>
      </c>
      <c r="T220" s="23">
        <v>600000.0</v>
      </c>
      <c r="U220" s="35" t="b">
        <v>0</v>
      </c>
      <c r="V220" s="23">
        <v>100000.0</v>
      </c>
      <c r="W220" s="15" t="b">
        <v>1</v>
      </c>
      <c r="X220" s="20" t="s">
        <v>433</v>
      </c>
      <c r="Y220" s="23">
        <v>600000.0</v>
      </c>
      <c r="Z220" s="35" t="b">
        <v>0</v>
      </c>
      <c r="AA220" s="23">
        <v>100000.0</v>
      </c>
      <c r="AB220" s="15" t="b">
        <v>1</v>
      </c>
      <c r="AC220" s="20" t="s">
        <v>433</v>
      </c>
      <c r="AD220" s="23">
        <v>600000.0</v>
      </c>
      <c r="AE220" s="35" t="b">
        <v>0</v>
      </c>
      <c r="AF220" s="23">
        <v>100000.0</v>
      </c>
      <c r="AG220" s="15" t="b">
        <v>1</v>
      </c>
      <c r="AH220" s="20" t="s">
        <v>433</v>
      </c>
      <c r="AI220" s="23">
        <v>600000.0</v>
      </c>
      <c r="AJ220" s="35" t="b">
        <v>0</v>
      </c>
      <c r="AK220" s="23">
        <v>100000.0</v>
      </c>
      <c r="AL220" s="15" t="b">
        <v>1</v>
      </c>
      <c r="AM220" s="20" t="s">
        <v>434</v>
      </c>
      <c r="AN220" s="23">
        <v>600000.0</v>
      </c>
      <c r="AO220" s="35" t="b">
        <v>0</v>
      </c>
      <c r="AP220" s="23">
        <v>100000.0</v>
      </c>
      <c r="AQ220" s="15" t="b">
        <v>1</v>
      </c>
      <c r="AR220" s="20" t="s">
        <v>435</v>
      </c>
      <c r="AS220" s="23">
        <f t="shared" si="4"/>
        <v>700000</v>
      </c>
      <c r="AT220" s="35" t="b">
        <v>0</v>
      </c>
      <c r="AU220" s="23">
        <v>100000.0</v>
      </c>
      <c r="AV220" s="15" t="b">
        <v>1</v>
      </c>
      <c r="AW220" s="20" t="s">
        <v>436</v>
      </c>
      <c r="AX220" s="23">
        <v>600000.0</v>
      </c>
      <c r="AY220" s="35" t="b">
        <v>0</v>
      </c>
      <c r="AZ220" s="23">
        <v>100000.0</v>
      </c>
      <c r="BA220" s="15" t="b">
        <v>1</v>
      </c>
      <c r="BB220" s="20" t="s">
        <v>436</v>
      </c>
      <c r="BC220" s="23">
        <v>600000.0</v>
      </c>
      <c r="BD220" s="35" t="b">
        <v>0</v>
      </c>
      <c r="BE220" s="23">
        <v>100000.0</v>
      </c>
      <c r="BF220" s="15" t="b">
        <v>1</v>
      </c>
      <c r="BG220" s="20" t="s">
        <v>436</v>
      </c>
      <c r="BH220" s="23">
        <v>600000.0</v>
      </c>
      <c r="BI220" s="35" t="b">
        <v>0</v>
      </c>
      <c r="BJ220" s="23">
        <v>100000.0</v>
      </c>
      <c r="BK220" s="15" t="b">
        <v>1</v>
      </c>
      <c r="BL220" s="20" t="s">
        <v>436</v>
      </c>
      <c r="BM220" s="23">
        <v>600000.0</v>
      </c>
      <c r="BN220" s="35" t="b">
        <v>0</v>
      </c>
      <c r="BO220" s="23">
        <v>100000.0</v>
      </c>
      <c r="BP220" s="15" t="b">
        <v>0</v>
      </c>
      <c r="BQ220" s="17" t="s">
        <v>268</v>
      </c>
      <c r="BR220" s="1"/>
      <c r="BS220" s="1"/>
      <c r="BT220" s="1"/>
      <c r="BU220" s="1"/>
    </row>
    <row r="221">
      <c r="A221" s="1"/>
      <c r="B221" s="10" t="s">
        <v>415</v>
      </c>
      <c r="C221" s="11" t="s">
        <v>437</v>
      </c>
      <c r="D221" s="20" t="s">
        <v>438</v>
      </c>
      <c r="E221" s="23">
        <v>640000.0</v>
      </c>
      <c r="F221" s="35" t="b">
        <v>0</v>
      </c>
      <c r="G221" s="23">
        <v>100000.0</v>
      </c>
      <c r="H221" s="15" t="b">
        <v>1</v>
      </c>
      <c r="I221" s="20" t="s">
        <v>439</v>
      </c>
      <c r="J221" s="23">
        <v>640000.0</v>
      </c>
      <c r="K221" s="35" t="b">
        <v>0</v>
      </c>
      <c r="L221" s="23">
        <v>100000.0</v>
      </c>
      <c r="M221" s="15" t="b">
        <v>1</v>
      </c>
      <c r="N221" s="20" t="s">
        <v>440</v>
      </c>
      <c r="O221" s="23">
        <v>650000.0</v>
      </c>
      <c r="P221" s="35" t="b">
        <v>0</v>
      </c>
      <c r="Q221" s="23">
        <v>100000.0</v>
      </c>
      <c r="R221" s="15" t="b">
        <v>1</v>
      </c>
      <c r="S221" s="20" t="s">
        <v>441</v>
      </c>
      <c r="T221" s="23">
        <v>650000.0</v>
      </c>
      <c r="U221" s="35" t="b">
        <v>0</v>
      </c>
      <c r="V221" s="23">
        <v>100000.0</v>
      </c>
      <c r="W221" s="15" t="b">
        <v>1</v>
      </c>
      <c r="X221" s="20" t="s">
        <v>441</v>
      </c>
      <c r="Y221" s="23">
        <v>650000.0</v>
      </c>
      <c r="Z221" s="35" t="b">
        <v>0</v>
      </c>
      <c r="AA221" s="23">
        <v>100000.0</v>
      </c>
      <c r="AB221" s="15" t="b">
        <v>1</v>
      </c>
      <c r="AC221" s="20" t="s">
        <v>441</v>
      </c>
      <c r="AD221" s="23">
        <v>650000.0</v>
      </c>
      <c r="AE221" s="35" t="b">
        <v>0</v>
      </c>
      <c r="AF221" s="23">
        <v>100000.0</v>
      </c>
      <c r="AG221" s="15" t="b">
        <v>1</v>
      </c>
      <c r="AH221" s="20" t="s">
        <v>442</v>
      </c>
      <c r="AI221" s="23">
        <v>650000.0</v>
      </c>
      <c r="AJ221" s="35" t="b">
        <v>0</v>
      </c>
      <c r="AK221" s="23">
        <v>100000.0</v>
      </c>
      <c r="AL221" s="15" t="b">
        <v>1</v>
      </c>
      <c r="AM221" s="20" t="s">
        <v>443</v>
      </c>
      <c r="AN221" s="23">
        <v>350968.0</v>
      </c>
      <c r="AO221" s="35" t="b">
        <v>0</v>
      </c>
      <c r="AP221" s="23">
        <v>51613.0</v>
      </c>
      <c r="AQ221" s="15" t="b">
        <v>1</v>
      </c>
      <c r="AR221" s="20" t="s">
        <v>444</v>
      </c>
      <c r="AS221" s="23">
        <v>680000.0</v>
      </c>
      <c r="AT221" s="35" t="b">
        <v>0</v>
      </c>
      <c r="AU221" s="23">
        <v>100000.0</v>
      </c>
      <c r="AV221" s="15" t="b">
        <v>1</v>
      </c>
      <c r="AW221" s="20" t="s">
        <v>444</v>
      </c>
      <c r="AX221" s="23">
        <v>680000.0</v>
      </c>
      <c r="AY221" s="35" t="b">
        <v>0</v>
      </c>
      <c r="AZ221" s="23">
        <v>100000.0</v>
      </c>
      <c r="BA221" s="15" t="b">
        <v>1</v>
      </c>
      <c r="BB221" s="20" t="s">
        <v>444</v>
      </c>
      <c r="BC221" s="23">
        <v>680000.0</v>
      </c>
      <c r="BD221" s="35" t="b">
        <v>0</v>
      </c>
      <c r="BE221" s="23">
        <v>100000.0</v>
      </c>
      <c r="BF221" s="15" t="b">
        <v>1</v>
      </c>
      <c r="BG221" s="20" t="s">
        <v>444</v>
      </c>
      <c r="BH221" s="23">
        <v>680000.0</v>
      </c>
      <c r="BI221" s="35" t="b">
        <v>0</v>
      </c>
      <c r="BJ221" s="23">
        <v>100000.0</v>
      </c>
      <c r="BK221" s="15" t="b">
        <v>1</v>
      </c>
      <c r="BL221" s="20" t="s">
        <v>444</v>
      </c>
      <c r="BM221" s="23">
        <v>680000.0</v>
      </c>
      <c r="BN221" s="35" t="b">
        <v>0</v>
      </c>
      <c r="BO221" s="23">
        <v>100000.0</v>
      </c>
      <c r="BP221" s="15" t="b">
        <v>1</v>
      </c>
      <c r="BQ221" s="17" t="s">
        <v>268</v>
      </c>
      <c r="BR221" s="1"/>
      <c r="BS221" s="1"/>
      <c r="BT221" s="1"/>
      <c r="BU221" s="1"/>
    </row>
    <row r="222">
      <c r="A222" s="1"/>
      <c r="B222" s="21"/>
      <c r="C222" s="11" t="s">
        <v>42</v>
      </c>
      <c r="D222" s="22"/>
      <c r="E222" s="23">
        <f>SUM(E217:E221)</f>
        <v>1160000</v>
      </c>
      <c r="F222" s="18"/>
      <c r="G222" s="23">
        <f>SUM(G217:G221)</f>
        <v>200000</v>
      </c>
      <c r="H222" s="19"/>
      <c r="I222" s="22"/>
      <c r="J222" s="23">
        <f>SUM(J217:J221)</f>
        <v>2130000</v>
      </c>
      <c r="K222" s="18"/>
      <c r="L222" s="23">
        <f>SUM(L217:L221)</f>
        <v>382758</v>
      </c>
      <c r="M222" s="19"/>
      <c r="N222" s="22"/>
      <c r="O222" s="23">
        <f>SUM(O217:O221)</f>
        <v>2860000</v>
      </c>
      <c r="P222" s="18"/>
      <c r="Q222" s="23">
        <f>SUM(Q217:Q221)</f>
        <v>500000</v>
      </c>
      <c r="R222" s="19"/>
      <c r="S222" s="22"/>
      <c r="T222" s="23">
        <f>SUM(T217:T221)</f>
        <v>2860000</v>
      </c>
      <c r="U222" s="18"/>
      <c r="V222" s="23">
        <f>SUM(V217:V221)</f>
        <v>500000</v>
      </c>
      <c r="W222" s="19"/>
      <c r="X222" s="18"/>
      <c r="Y222" s="23">
        <f>SUM(Y217:Y221)</f>
        <v>2860000</v>
      </c>
      <c r="Z222" s="18"/>
      <c r="AA222" s="23">
        <f>SUM(AA217:AA221)</f>
        <v>500000</v>
      </c>
      <c r="AB222" s="19"/>
      <c r="AC222" s="18"/>
      <c r="AD222" s="23">
        <f>SUM(AD217:AD221)</f>
        <v>2860000</v>
      </c>
      <c r="AE222" s="18"/>
      <c r="AF222" s="23">
        <f>SUM(AF217:AF221)</f>
        <v>500000</v>
      </c>
      <c r="AG222" s="19"/>
      <c r="AH222" s="18"/>
      <c r="AI222" s="23">
        <f>SUM(AI217:AI221)</f>
        <v>2860000</v>
      </c>
      <c r="AJ222" s="18"/>
      <c r="AK222" s="23">
        <f>SUM(AK217:AK221)</f>
        <v>500000</v>
      </c>
      <c r="AL222" s="19"/>
      <c r="AM222" s="18"/>
      <c r="AN222" s="23">
        <f>SUM(AN217:AN221)</f>
        <v>2560968</v>
      </c>
      <c r="AO222" s="18"/>
      <c r="AP222" s="23">
        <f>SUM(AP217:AP221)</f>
        <v>451613</v>
      </c>
      <c r="AQ222" s="19"/>
      <c r="AR222" s="22"/>
      <c r="AS222" s="23">
        <f>SUM(AS217:AS221)</f>
        <v>3090000</v>
      </c>
      <c r="AT222" s="18"/>
      <c r="AU222" s="23">
        <f>SUM(AU217:AU221)</f>
        <v>500000</v>
      </c>
      <c r="AV222" s="19"/>
      <c r="AW222" s="22"/>
      <c r="AX222" s="23">
        <f>SUM(AX217:AX221)</f>
        <v>2890000</v>
      </c>
      <c r="AY222" s="18"/>
      <c r="AZ222" s="23">
        <f>SUM(AZ217:AZ221)</f>
        <v>500000</v>
      </c>
      <c r="BA222" s="19"/>
      <c r="BB222" s="22"/>
      <c r="BC222" s="23">
        <f>SUM(BC217:BC221)</f>
        <v>2890000</v>
      </c>
      <c r="BD222" s="18"/>
      <c r="BE222" s="23">
        <f>SUM(BE217:BE221)</f>
        <v>500000</v>
      </c>
      <c r="BF222" s="19"/>
      <c r="BG222" s="22"/>
      <c r="BH222" s="23">
        <f>SUM(BH217:BH221)</f>
        <v>2890000</v>
      </c>
      <c r="BI222" s="18"/>
      <c r="BJ222" s="23">
        <f>SUM(BJ217:BJ221)</f>
        <v>500000</v>
      </c>
      <c r="BK222" s="19"/>
      <c r="BL222" s="22"/>
      <c r="BM222" s="23">
        <f>SUM(BM217:BM221)</f>
        <v>2890000</v>
      </c>
      <c r="BN222" s="18"/>
      <c r="BO222" s="23">
        <f>SUM(BO217:BO221)</f>
        <v>500000</v>
      </c>
      <c r="BP222" s="19"/>
      <c r="BQ222" s="17" t="s">
        <v>268</v>
      </c>
      <c r="BR222" s="1"/>
      <c r="BS222" s="1"/>
      <c r="BT222" s="1"/>
      <c r="BU222" s="1"/>
    </row>
    <row r="223">
      <c r="A223" s="1"/>
      <c r="B223" s="21"/>
      <c r="C223" s="11" t="s">
        <v>43</v>
      </c>
      <c r="D223" s="22"/>
      <c r="E223" s="23">
        <v>1600000.0</v>
      </c>
      <c r="F223" s="18"/>
      <c r="G223" s="18"/>
      <c r="H223" s="19"/>
      <c r="I223" s="22"/>
      <c r="J223" s="23">
        <v>1600000.0</v>
      </c>
      <c r="K223" s="18"/>
      <c r="L223" s="18"/>
      <c r="M223" s="19"/>
      <c r="N223" s="22"/>
      <c r="O223" s="23">
        <v>1600000.0</v>
      </c>
      <c r="P223" s="18"/>
      <c r="Q223" s="18"/>
      <c r="R223" s="19"/>
      <c r="S223" s="22"/>
      <c r="T223" s="23">
        <v>1600000.0</v>
      </c>
      <c r="U223" s="18"/>
      <c r="V223" s="18"/>
      <c r="W223" s="19"/>
      <c r="X223" s="18"/>
      <c r="Y223" s="23">
        <v>1600000.0</v>
      </c>
      <c r="Z223" s="18"/>
      <c r="AA223" s="18"/>
      <c r="AB223" s="19"/>
      <c r="AC223" s="18"/>
      <c r="AD223" s="23">
        <v>1600000.0</v>
      </c>
      <c r="AE223" s="18"/>
      <c r="AF223" s="18"/>
      <c r="AG223" s="19"/>
      <c r="AH223" s="18"/>
      <c r="AI223" s="23">
        <v>1600000.0</v>
      </c>
      <c r="AJ223" s="18"/>
      <c r="AK223" s="18"/>
      <c r="AL223" s="19"/>
      <c r="AM223" s="18"/>
      <c r="AN223" s="23">
        <v>1600000.0</v>
      </c>
      <c r="AO223" s="18"/>
      <c r="AP223" s="18"/>
      <c r="AQ223" s="19"/>
      <c r="AR223" s="22"/>
      <c r="AS223" s="23">
        <v>1600000.0</v>
      </c>
      <c r="AT223" s="18"/>
      <c r="AU223" s="18"/>
      <c r="AV223" s="19"/>
      <c r="AW223" s="22"/>
      <c r="AX223" s="23">
        <v>1600000.0</v>
      </c>
      <c r="AY223" s="18"/>
      <c r="AZ223" s="18"/>
      <c r="BA223" s="19"/>
      <c r="BB223" s="22"/>
      <c r="BC223" s="23">
        <v>1600000.0</v>
      </c>
      <c r="BD223" s="18"/>
      <c r="BE223" s="18"/>
      <c r="BF223" s="19"/>
      <c r="BG223" s="22"/>
      <c r="BH223" s="23">
        <v>1600000.0</v>
      </c>
      <c r="BI223" s="18"/>
      <c r="BJ223" s="18"/>
      <c r="BK223" s="19"/>
      <c r="BL223" s="22"/>
      <c r="BM223" s="23">
        <v>1600000.0</v>
      </c>
      <c r="BN223" s="18"/>
      <c r="BO223" s="18"/>
      <c r="BP223" s="19"/>
      <c r="BQ223" s="17" t="s">
        <v>268</v>
      </c>
      <c r="BR223" s="1"/>
      <c r="BS223" s="1"/>
      <c r="BT223" s="1"/>
      <c r="BU223" s="1"/>
    </row>
    <row r="224">
      <c r="A224" s="1"/>
      <c r="B224" s="10" t="s">
        <v>95</v>
      </c>
      <c r="C224" s="11" t="s">
        <v>45</v>
      </c>
      <c r="D224" s="22"/>
      <c r="E224" s="18"/>
      <c r="F224" s="18"/>
      <c r="G224" s="18"/>
      <c r="H224" s="19"/>
      <c r="I224" s="22"/>
      <c r="J224" s="18"/>
      <c r="K224" s="18"/>
      <c r="L224" s="46"/>
      <c r="M224" s="19"/>
      <c r="N224" s="46"/>
      <c r="O224" s="46"/>
      <c r="P224" s="46"/>
      <c r="Q224" s="46"/>
      <c r="R224" s="46"/>
      <c r="S224" s="22"/>
      <c r="T224" s="18"/>
      <c r="U224" s="18"/>
      <c r="V224" s="18"/>
      <c r="W224" s="19"/>
      <c r="X224" s="18"/>
      <c r="Y224" s="18"/>
      <c r="Z224" s="18"/>
      <c r="AA224" s="18"/>
      <c r="AB224" s="19"/>
      <c r="AC224" s="18"/>
      <c r="AD224" s="18"/>
      <c r="AE224" s="18"/>
      <c r="AF224" s="18"/>
      <c r="AG224" s="19"/>
      <c r="AH224" s="18"/>
      <c r="AI224" s="18"/>
      <c r="AJ224" s="18"/>
      <c r="AK224" s="18"/>
      <c r="AL224" s="19"/>
      <c r="AM224" s="18"/>
      <c r="AN224" s="18"/>
      <c r="AO224" s="18"/>
      <c r="AP224" s="18"/>
      <c r="AQ224" s="19"/>
      <c r="AR224" s="22"/>
      <c r="AS224" s="18"/>
      <c r="AT224" s="18"/>
      <c r="AU224" s="18"/>
      <c r="AV224" s="19"/>
      <c r="AW224" s="22"/>
      <c r="AX224" s="18"/>
      <c r="AY224" s="18"/>
      <c r="AZ224" s="18"/>
      <c r="BA224" s="19"/>
      <c r="BB224" s="22"/>
      <c r="BC224" s="18"/>
      <c r="BD224" s="18"/>
      <c r="BE224" s="18"/>
      <c r="BF224" s="19"/>
      <c r="BG224" s="22"/>
      <c r="BH224" s="18"/>
      <c r="BI224" s="18"/>
      <c r="BJ224" s="18"/>
      <c r="BK224" s="19"/>
      <c r="BL224" s="22"/>
      <c r="BM224" s="18"/>
      <c r="BN224" s="18"/>
      <c r="BO224" s="18"/>
      <c r="BP224" s="19"/>
      <c r="BQ224" s="17" t="s">
        <v>268</v>
      </c>
      <c r="BR224" s="1"/>
      <c r="BS224" s="1"/>
      <c r="BT224" s="1"/>
      <c r="BU224" s="1"/>
    </row>
    <row r="225">
      <c r="A225" s="1"/>
      <c r="B225" s="10" t="s">
        <v>95</v>
      </c>
      <c r="C225" s="11" t="s">
        <v>445</v>
      </c>
      <c r="D225" s="22"/>
      <c r="E225" s="18"/>
      <c r="F225" s="18"/>
      <c r="G225" s="57" t="s">
        <v>446</v>
      </c>
      <c r="H225" s="19"/>
      <c r="I225" s="22"/>
      <c r="J225" s="18"/>
      <c r="K225" s="18"/>
      <c r="L225" s="57" t="s">
        <v>446</v>
      </c>
      <c r="M225" s="19"/>
      <c r="N225" s="22"/>
      <c r="O225" s="18"/>
      <c r="P225" s="18"/>
      <c r="Q225" s="57" t="s">
        <v>446</v>
      </c>
      <c r="R225" s="19"/>
      <c r="S225" s="22"/>
      <c r="T225" s="18"/>
      <c r="U225" s="18"/>
      <c r="V225" s="57" t="s">
        <v>446</v>
      </c>
      <c r="W225" s="19"/>
      <c r="X225" s="22"/>
      <c r="Y225" s="18"/>
      <c r="Z225" s="18"/>
      <c r="AA225" s="57" t="s">
        <v>446</v>
      </c>
      <c r="AB225" s="19"/>
      <c r="AC225" s="22"/>
      <c r="AD225" s="18"/>
      <c r="AE225" s="18"/>
      <c r="AF225" s="57" t="s">
        <v>446</v>
      </c>
      <c r="AG225" s="19"/>
      <c r="AH225" s="22"/>
      <c r="AI225" s="18"/>
      <c r="AJ225" s="18"/>
      <c r="AK225" s="57" t="s">
        <v>446</v>
      </c>
      <c r="AL225" s="19"/>
      <c r="AM225" s="22"/>
      <c r="AN225" s="18"/>
      <c r="AO225" s="18"/>
      <c r="AP225" s="57" t="s">
        <v>446</v>
      </c>
      <c r="AQ225" s="19"/>
      <c r="AR225" s="22"/>
      <c r="AS225" s="18"/>
      <c r="AT225" s="18"/>
      <c r="AU225" s="57" t="s">
        <v>446</v>
      </c>
      <c r="AV225" s="19"/>
      <c r="AW225" s="22"/>
      <c r="AX225" s="18"/>
      <c r="AY225" s="18"/>
      <c r="AZ225" s="57" t="s">
        <v>446</v>
      </c>
      <c r="BA225" s="19"/>
      <c r="BB225" s="22"/>
      <c r="BC225" s="18"/>
      <c r="BD225" s="18"/>
      <c r="BE225" s="57" t="s">
        <v>446</v>
      </c>
      <c r="BF225" s="19"/>
      <c r="BG225" s="22"/>
      <c r="BH225" s="18"/>
      <c r="BI225" s="18"/>
      <c r="BJ225" s="57" t="s">
        <v>446</v>
      </c>
      <c r="BK225" s="19"/>
      <c r="BL225" s="22"/>
      <c r="BM225" s="18"/>
      <c r="BN225" s="18"/>
      <c r="BO225" s="57" t="s">
        <v>446</v>
      </c>
      <c r="BP225" s="19"/>
      <c r="BQ225" s="17" t="s">
        <v>268</v>
      </c>
      <c r="BR225" s="1"/>
      <c r="BS225" s="1"/>
      <c r="BT225" s="1"/>
      <c r="BU225" s="1"/>
    </row>
    <row r="226">
      <c r="A226" s="1"/>
      <c r="B226" s="21"/>
      <c r="C226" s="11" t="s">
        <v>261</v>
      </c>
      <c r="D226" s="22"/>
      <c r="E226" s="18"/>
      <c r="F226" s="18"/>
      <c r="G226" s="18"/>
      <c r="H226" s="19"/>
      <c r="I226" s="22"/>
      <c r="J226" s="18"/>
      <c r="K226" s="18"/>
      <c r="L226" s="18"/>
      <c r="M226" s="19"/>
      <c r="N226" s="22"/>
      <c r="O226" s="18"/>
      <c r="P226" s="18"/>
      <c r="Q226" s="18"/>
      <c r="R226" s="19"/>
      <c r="S226" s="22"/>
      <c r="T226" s="18"/>
      <c r="U226" s="18"/>
      <c r="V226" s="18"/>
      <c r="W226" s="19"/>
      <c r="X226" s="22"/>
      <c r="Y226" s="18"/>
      <c r="Z226" s="18"/>
      <c r="AA226" s="18"/>
      <c r="AB226" s="19"/>
      <c r="AC226" s="22"/>
      <c r="AD226" s="18"/>
      <c r="AE226" s="18"/>
      <c r="AF226" s="18"/>
      <c r="AG226" s="19"/>
      <c r="AH226" s="22"/>
      <c r="AI226" s="18"/>
      <c r="AJ226" s="18"/>
      <c r="AK226" s="18"/>
      <c r="AL226" s="19"/>
      <c r="AM226" s="22"/>
      <c r="AN226" s="18"/>
      <c r="AO226" s="18"/>
      <c r="AP226" s="18"/>
      <c r="AQ226" s="19"/>
      <c r="AR226" s="22"/>
      <c r="AS226" s="18"/>
      <c r="AT226" s="18"/>
      <c r="AU226" s="18"/>
      <c r="AV226" s="19"/>
      <c r="AW226" s="22"/>
      <c r="AX226" s="18"/>
      <c r="AY226" s="18"/>
      <c r="AZ226" s="18"/>
      <c r="BA226" s="19"/>
      <c r="BB226" s="22"/>
      <c r="BC226" s="18"/>
      <c r="BD226" s="18"/>
      <c r="BE226" s="18"/>
      <c r="BF226" s="19"/>
      <c r="BG226" s="22"/>
      <c r="BH226" s="18"/>
      <c r="BI226" s="18"/>
      <c r="BJ226" s="18"/>
      <c r="BK226" s="19"/>
      <c r="BL226" s="22"/>
      <c r="BM226" s="18"/>
      <c r="BN226" s="18"/>
      <c r="BO226" s="18"/>
      <c r="BP226" s="19"/>
      <c r="BQ226" s="17" t="s">
        <v>268</v>
      </c>
      <c r="BR226" s="1"/>
      <c r="BS226" s="1"/>
      <c r="BT226" s="1"/>
      <c r="BU226" s="1"/>
    </row>
    <row r="227">
      <c r="A227" s="1"/>
      <c r="B227" s="10" t="s">
        <v>95</v>
      </c>
      <c r="C227" s="11" t="s">
        <v>447</v>
      </c>
      <c r="D227" s="22"/>
      <c r="E227" s="18"/>
      <c r="F227" s="18"/>
      <c r="G227" s="57" t="s">
        <v>446</v>
      </c>
      <c r="H227" s="19"/>
      <c r="I227" s="22"/>
      <c r="J227" s="18"/>
      <c r="K227" s="18"/>
      <c r="L227" s="57" t="s">
        <v>446</v>
      </c>
      <c r="M227" s="19"/>
      <c r="N227" s="22"/>
      <c r="O227" s="18"/>
      <c r="P227" s="18"/>
      <c r="Q227" s="57" t="s">
        <v>446</v>
      </c>
      <c r="R227" s="19"/>
      <c r="S227" s="22"/>
      <c r="T227" s="18"/>
      <c r="U227" s="18"/>
      <c r="V227" s="57" t="s">
        <v>446</v>
      </c>
      <c r="W227" s="19"/>
      <c r="X227" s="22"/>
      <c r="Y227" s="18"/>
      <c r="Z227" s="18"/>
      <c r="AA227" s="57" t="s">
        <v>446</v>
      </c>
      <c r="AB227" s="19"/>
      <c r="AC227" s="22"/>
      <c r="AD227" s="18"/>
      <c r="AE227" s="18"/>
      <c r="AF227" s="57" t="s">
        <v>446</v>
      </c>
      <c r="AG227" s="19"/>
      <c r="AH227" s="22"/>
      <c r="AI227" s="18"/>
      <c r="AJ227" s="18"/>
      <c r="AK227" s="57" t="s">
        <v>446</v>
      </c>
      <c r="AL227" s="19"/>
      <c r="AM227" s="22"/>
      <c r="AN227" s="18"/>
      <c r="AO227" s="18"/>
      <c r="AP227" s="57" t="s">
        <v>446</v>
      </c>
      <c r="AQ227" s="19"/>
      <c r="AR227" s="22"/>
      <c r="AS227" s="18"/>
      <c r="AT227" s="18"/>
      <c r="AU227" s="57" t="s">
        <v>446</v>
      </c>
      <c r="AV227" s="19"/>
      <c r="AW227" s="22"/>
      <c r="AX227" s="18"/>
      <c r="AY227" s="18"/>
      <c r="AZ227" s="57" t="s">
        <v>446</v>
      </c>
      <c r="BA227" s="19"/>
      <c r="BB227" s="22"/>
      <c r="BC227" s="18"/>
      <c r="BD227" s="18"/>
      <c r="BE227" s="57" t="s">
        <v>446</v>
      </c>
      <c r="BF227" s="19"/>
      <c r="BG227" s="22"/>
      <c r="BH227" s="18"/>
      <c r="BI227" s="18"/>
      <c r="BJ227" s="57" t="s">
        <v>446</v>
      </c>
      <c r="BK227" s="19"/>
      <c r="BL227" s="22"/>
      <c r="BM227" s="18"/>
      <c r="BN227" s="18"/>
      <c r="BO227" s="57" t="s">
        <v>446</v>
      </c>
      <c r="BP227" s="19"/>
      <c r="BQ227" s="17" t="s">
        <v>268</v>
      </c>
      <c r="BR227" s="1"/>
      <c r="BS227" s="1"/>
      <c r="BT227" s="1"/>
      <c r="BU227" s="1"/>
    </row>
    <row r="228">
      <c r="A228" s="1"/>
      <c r="B228" s="10" t="s">
        <v>95</v>
      </c>
      <c r="C228" s="11" t="s">
        <v>52</v>
      </c>
      <c r="D228" s="22"/>
      <c r="E228" s="18"/>
      <c r="F228" s="18"/>
      <c r="G228" s="18"/>
      <c r="H228" s="19"/>
      <c r="I228" s="22"/>
      <c r="J228" s="18"/>
      <c r="K228" s="18"/>
      <c r="L228" s="18"/>
      <c r="M228" s="19"/>
      <c r="N228" s="22"/>
      <c r="O228" s="18"/>
      <c r="P228" s="18"/>
      <c r="Q228" s="18"/>
      <c r="R228" s="19"/>
      <c r="S228" s="22"/>
      <c r="T228" s="18"/>
      <c r="U228" s="18"/>
      <c r="V228" s="18"/>
      <c r="W228" s="19"/>
      <c r="X228" s="18"/>
      <c r="Y228" s="18"/>
      <c r="Z228" s="18"/>
      <c r="AA228" s="18"/>
      <c r="AB228" s="19"/>
      <c r="AC228" s="18"/>
      <c r="AD228" s="18"/>
      <c r="AE228" s="18"/>
      <c r="AF228" s="18"/>
      <c r="AG228" s="19"/>
      <c r="AH228" s="18"/>
      <c r="AI228" s="18"/>
      <c r="AJ228" s="18"/>
      <c r="AK228" s="18"/>
      <c r="AL228" s="19"/>
      <c r="AM228" s="18"/>
      <c r="AN228" s="18"/>
      <c r="AO228" s="18"/>
      <c r="AP228" s="18"/>
      <c r="AQ228" s="19"/>
      <c r="AR228" s="22"/>
      <c r="AS228" s="18"/>
      <c r="AT228" s="18"/>
      <c r="AU228" s="18"/>
      <c r="AV228" s="19"/>
      <c r="AW228" s="22"/>
      <c r="AX228" s="18"/>
      <c r="AY228" s="18"/>
      <c r="AZ228" s="18"/>
      <c r="BA228" s="19"/>
      <c r="BB228" s="22"/>
      <c r="BC228" s="18"/>
      <c r="BD228" s="18"/>
      <c r="BE228" s="18"/>
      <c r="BF228" s="19"/>
      <c r="BG228" s="22"/>
      <c r="BH228" s="18"/>
      <c r="BI228" s="18"/>
      <c r="BJ228" s="18"/>
      <c r="BK228" s="19"/>
      <c r="BL228" s="22"/>
      <c r="BM228" s="18"/>
      <c r="BN228" s="18"/>
      <c r="BO228" s="18"/>
      <c r="BP228" s="19"/>
      <c r="BQ228" s="17" t="s">
        <v>268</v>
      </c>
      <c r="BR228" s="1"/>
      <c r="BS228" s="1"/>
      <c r="BT228" s="1"/>
      <c r="BU228" s="1"/>
    </row>
    <row r="229">
      <c r="A229" s="1"/>
      <c r="B229" s="10" t="s">
        <v>95</v>
      </c>
      <c r="C229" s="11" t="s">
        <v>53</v>
      </c>
      <c r="D229" s="22"/>
      <c r="E229" s="18"/>
      <c r="F229" s="18"/>
      <c r="G229" s="18"/>
      <c r="H229" s="19"/>
      <c r="I229" s="22"/>
      <c r="J229" s="18"/>
      <c r="K229" s="18"/>
      <c r="L229" s="18"/>
      <c r="M229" s="19"/>
      <c r="N229" s="22"/>
      <c r="O229" s="18"/>
      <c r="P229" s="18"/>
      <c r="Q229" s="18"/>
      <c r="R229" s="19"/>
      <c r="S229" s="22"/>
      <c r="T229" s="18"/>
      <c r="U229" s="18"/>
      <c r="V229" s="18"/>
      <c r="W229" s="19"/>
      <c r="X229" s="18"/>
      <c r="Y229" s="18"/>
      <c r="Z229" s="18"/>
      <c r="AA229" s="18"/>
      <c r="AB229" s="19"/>
      <c r="AC229" s="18"/>
      <c r="AD229" s="18"/>
      <c r="AE229" s="18"/>
      <c r="AF229" s="18"/>
      <c r="AG229" s="19"/>
      <c r="AH229" s="18"/>
      <c r="AI229" s="18"/>
      <c r="AJ229" s="18"/>
      <c r="AK229" s="18"/>
      <c r="AL229" s="19"/>
      <c r="AM229" s="18"/>
      <c r="AN229" s="18"/>
      <c r="AO229" s="18"/>
      <c r="AP229" s="18"/>
      <c r="AQ229" s="19"/>
      <c r="AR229" s="22"/>
      <c r="AS229" s="18"/>
      <c r="AT229" s="18"/>
      <c r="AU229" s="18"/>
      <c r="AV229" s="19"/>
      <c r="AW229" s="22"/>
      <c r="AX229" s="18"/>
      <c r="AY229" s="18"/>
      <c r="AZ229" s="18"/>
      <c r="BA229" s="19"/>
      <c r="BB229" s="22"/>
      <c r="BC229" s="18"/>
      <c r="BD229" s="18"/>
      <c r="BE229" s="18"/>
      <c r="BF229" s="19"/>
      <c r="BG229" s="22"/>
      <c r="BH229" s="18"/>
      <c r="BI229" s="18"/>
      <c r="BJ229" s="18"/>
      <c r="BK229" s="19"/>
      <c r="BL229" s="22"/>
      <c r="BM229" s="18"/>
      <c r="BN229" s="18"/>
      <c r="BO229" s="18"/>
      <c r="BP229" s="19"/>
      <c r="BQ229" s="17" t="s">
        <v>268</v>
      </c>
      <c r="BR229" s="1"/>
      <c r="BS229" s="1"/>
      <c r="BT229" s="1"/>
      <c r="BU229" s="1"/>
    </row>
    <row r="230">
      <c r="A230" s="1"/>
      <c r="B230" s="21"/>
      <c r="C230" s="11" t="s">
        <v>54</v>
      </c>
      <c r="D230" s="22"/>
      <c r="E230" s="18"/>
      <c r="F230" s="18"/>
      <c r="G230" s="23">
        <f>SUMIFS('지출'!$G$3:$G1000,'지출'!$J$3:$J1000,G$1,'지출'!$C$3:$C1000,"쌍용")</f>
        <v>85270</v>
      </c>
      <c r="H230" s="19"/>
      <c r="I230" s="22"/>
      <c r="J230" s="18"/>
      <c r="K230" s="18"/>
      <c r="L230" s="23">
        <f>SUMIFS('지출'!$G$3:$G1000,'지출'!$J$3:$J1000,L$1,'지출'!$C$3:$C1000,"쌍용")</f>
        <v>50000</v>
      </c>
      <c r="M230" s="24"/>
      <c r="N230" s="18"/>
      <c r="O230" s="18"/>
      <c r="P230" s="18"/>
      <c r="Q230" s="23">
        <f>SUMIFS('지출'!$G$3:$G1000,'지출'!$J$3:$J1000,Q$1,'지출'!$C$3:$C1000,"쌍용")</f>
        <v>58980</v>
      </c>
      <c r="R230" s="24"/>
      <c r="S230" s="18"/>
      <c r="T230" s="18"/>
      <c r="U230" s="18"/>
      <c r="V230" s="23">
        <f>SUMIFS('지출'!$G$3:$G1000,'지출'!$J$3:$J1000,V$1,'지출'!$C$3:$C1000,"쌍용")</f>
        <v>0</v>
      </c>
      <c r="W230" s="24"/>
      <c r="X230" s="18"/>
      <c r="Y230" s="18"/>
      <c r="Z230" s="18"/>
      <c r="AA230" s="23">
        <f>SUMIFS('지출'!$G$3:$G1000,'지출'!$J$3:$J1000,AA$1,'지출'!$C$3:$C1000,"쌍용")</f>
        <v>0</v>
      </c>
      <c r="AB230" s="24"/>
      <c r="AC230" s="18"/>
      <c r="AD230" s="18"/>
      <c r="AE230" s="18"/>
      <c r="AF230" s="23">
        <f>SUMIFS('지출'!$G$3:$G1000,'지출'!$J$3:$J1000,AF$1,'지출'!$C$3:$C1000,"쌍용")</f>
        <v>0</v>
      </c>
      <c r="AG230" s="24"/>
      <c r="AH230" s="18"/>
      <c r="AI230" s="18"/>
      <c r="AJ230" s="18"/>
      <c r="AK230" s="23">
        <f>SUMIFS('지출'!$G$3:$G1000,'지출'!$J$3:$J1000,AK$1,'지출'!$C$3:$C1000,"쌍용")</f>
        <v>0</v>
      </c>
      <c r="AL230" s="24"/>
      <c r="AM230" s="18"/>
      <c r="AN230" s="18"/>
      <c r="AO230" s="18"/>
      <c r="AP230" s="23">
        <f>SUMIFS('지출'!$G$3:$G1000,'지출'!$J$3:$J1000,AP$1,'지출'!$C$3:$C1000,"쌍용")</f>
        <v>0</v>
      </c>
      <c r="AQ230" s="24"/>
      <c r="AR230" s="18"/>
      <c r="AS230" s="18"/>
      <c r="AT230" s="18"/>
      <c r="AU230" s="23">
        <f>SUMIFS('지출'!$G$3:$G1000,'지출'!$J$3:$J1000,AU$1,'지출'!$C$3:$C1000,"쌍용")</f>
        <v>0</v>
      </c>
      <c r="AV230" s="24"/>
      <c r="AW230" s="18"/>
      <c r="AX230" s="18"/>
      <c r="AY230" s="18"/>
      <c r="AZ230" s="23">
        <f>SUMIFS('지출'!$G$3:$G1000,'지출'!$J$3:$J1000,AZ$1,'지출'!$C$3:$C1000,"쌍용")</f>
        <v>0</v>
      </c>
      <c r="BA230" s="24"/>
      <c r="BB230" s="18"/>
      <c r="BC230" s="18"/>
      <c r="BD230" s="18"/>
      <c r="BE230" s="23">
        <f>SUMIFS('지출'!$G$3:$G1000,'지출'!$J$3:$J1000,BE$1,'지출'!$C$3:$C1000,"쌍용")</f>
        <v>0</v>
      </c>
      <c r="BF230" s="24"/>
      <c r="BG230" s="18"/>
      <c r="BH230" s="18"/>
      <c r="BI230" s="18"/>
      <c r="BJ230" s="23">
        <f>SUMIFS('지출'!$G$3:$G1000,'지출'!$J$3:$J1000,BJ$1,'지출'!$C$3:$C1000,"쌍용")</f>
        <v>0</v>
      </c>
      <c r="BK230" s="19"/>
      <c r="BL230" s="18"/>
      <c r="BM230" s="18"/>
      <c r="BN230" s="18"/>
      <c r="BO230" s="23">
        <f>SUMIFS('지출'!$G$3:$G1000,'지출'!$J$3:$J1000,BO$1,'지출'!$C$3:$C1000,"쌍용")</f>
        <v>85270</v>
      </c>
      <c r="BP230" s="19"/>
      <c r="BQ230" s="17" t="s">
        <v>268</v>
      </c>
      <c r="BR230" s="1"/>
      <c r="BS230" s="1"/>
      <c r="BT230" s="1"/>
      <c r="BU230" s="1"/>
    </row>
    <row r="231">
      <c r="A231" s="1"/>
      <c r="B231" s="21"/>
      <c r="C231" s="11" t="s">
        <v>56</v>
      </c>
      <c r="D231" s="22"/>
      <c r="E231" s="23">
        <f>E222-(SUM(E223:E230))</f>
        <v>-440000</v>
      </c>
      <c r="F231" s="18"/>
      <c r="G231" s="23">
        <f>G222-(SUM(G223:G230))</f>
        <v>114730</v>
      </c>
      <c r="H231" s="19"/>
      <c r="I231" s="22"/>
      <c r="J231" s="23">
        <f>J222-(SUM(J223:J230))</f>
        <v>530000</v>
      </c>
      <c r="K231" s="18"/>
      <c r="L231" s="23">
        <f>L222-(SUM(L223:L230))</f>
        <v>332758</v>
      </c>
      <c r="M231" s="19"/>
      <c r="N231" s="22"/>
      <c r="O231" s="23">
        <f>O222-(SUM(O223:O230))</f>
        <v>1260000</v>
      </c>
      <c r="P231" s="18"/>
      <c r="Q231" s="23">
        <f>Q222-(SUM(Q223:Q230))</f>
        <v>441020</v>
      </c>
      <c r="R231" s="19"/>
      <c r="S231" s="22"/>
      <c r="T231" s="23">
        <f>T222-(SUM(T223:T230))</f>
        <v>1260000</v>
      </c>
      <c r="U231" s="18"/>
      <c r="V231" s="23">
        <f>V222-(SUM(V223:V230))</f>
        <v>500000</v>
      </c>
      <c r="W231" s="19"/>
      <c r="X231" s="18"/>
      <c r="Y231" s="23">
        <f>Y222-(SUM(Y223:Y230))</f>
        <v>1260000</v>
      </c>
      <c r="Z231" s="18"/>
      <c r="AA231" s="23">
        <f>AA222-(SUM(AA223:AA230))</f>
        <v>500000</v>
      </c>
      <c r="AB231" s="19"/>
      <c r="AC231" s="18"/>
      <c r="AD231" s="23">
        <f>AD222-(SUM(AD223:AD230))</f>
        <v>1260000</v>
      </c>
      <c r="AE231" s="18"/>
      <c r="AF231" s="23">
        <f>AF222-(SUM(AF223:AF230))</f>
        <v>500000</v>
      </c>
      <c r="AG231" s="19"/>
      <c r="AH231" s="18"/>
      <c r="AI231" s="23">
        <f>AI222-(SUM(AI223:AI230))</f>
        <v>1260000</v>
      </c>
      <c r="AJ231" s="18"/>
      <c r="AK231" s="23">
        <f>AK222-(SUM(AK223:AK230))</f>
        <v>500000</v>
      </c>
      <c r="AL231" s="19"/>
      <c r="AM231" s="18"/>
      <c r="AN231" s="23">
        <f>AN222-(SUM(AN223:AN230))</f>
        <v>960968</v>
      </c>
      <c r="AO231" s="18"/>
      <c r="AP231" s="23">
        <f>AP222-(SUM(AP223:AP230))</f>
        <v>451613</v>
      </c>
      <c r="AQ231" s="19"/>
      <c r="AR231" s="22"/>
      <c r="AS231" s="23">
        <f>AS222-(SUM(AS223:AS230))</f>
        <v>1490000</v>
      </c>
      <c r="AT231" s="18"/>
      <c r="AU231" s="23">
        <f>AU222-(SUM(AU223:AU230))</f>
        <v>500000</v>
      </c>
      <c r="AV231" s="19"/>
      <c r="AW231" s="22"/>
      <c r="AX231" s="23">
        <f>AX222-(SUM(AX223:AX230))</f>
        <v>1290000</v>
      </c>
      <c r="AY231" s="18"/>
      <c r="AZ231" s="23">
        <f>AZ222-(SUM(AZ223:AZ230))</f>
        <v>500000</v>
      </c>
      <c r="BA231" s="19"/>
      <c r="BB231" s="22"/>
      <c r="BC231" s="23">
        <f>BC222-(SUM(BC223:BC230))</f>
        <v>1290000</v>
      </c>
      <c r="BD231" s="18"/>
      <c r="BE231" s="23">
        <f>BE222-(SUM(BE223:BE230))</f>
        <v>500000</v>
      </c>
      <c r="BF231" s="19"/>
      <c r="BG231" s="22"/>
      <c r="BH231" s="23">
        <f>BH222-(SUM(BH223:BH230))</f>
        <v>1290000</v>
      </c>
      <c r="BI231" s="18"/>
      <c r="BJ231" s="23">
        <f>BJ222-(SUM(BJ223:BJ230))</f>
        <v>500000</v>
      </c>
      <c r="BK231" s="19"/>
      <c r="BL231" s="22"/>
      <c r="BM231" s="23">
        <f>BM222-(SUM(BM223:BM230))</f>
        <v>1290000</v>
      </c>
      <c r="BN231" s="18"/>
      <c r="BO231" s="23">
        <f>BO222-(SUM(BO223:BO230))</f>
        <v>414730</v>
      </c>
      <c r="BP231" s="19"/>
      <c r="BQ231" s="17" t="s">
        <v>268</v>
      </c>
      <c r="BR231" s="1"/>
      <c r="BS231" s="1"/>
      <c r="BT231" s="1"/>
      <c r="BU231" s="1"/>
    </row>
    <row r="232">
      <c r="A232" s="1"/>
      <c r="B232" s="27">
        <v>0.8</v>
      </c>
      <c r="C232" s="11" t="s">
        <v>26</v>
      </c>
      <c r="D232" s="22"/>
      <c r="E232" s="23">
        <f>E231*$B232</f>
        <v>-352000</v>
      </c>
      <c r="F232" s="18"/>
      <c r="G232" s="18"/>
      <c r="H232" s="19"/>
      <c r="I232" s="22"/>
      <c r="J232" s="23">
        <f>J231*$B232</f>
        <v>424000</v>
      </c>
      <c r="K232" s="18"/>
      <c r="L232" s="18"/>
      <c r="M232" s="19"/>
      <c r="N232" s="22"/>
      <c r="O232" s="23">
        <f>O231*$B232</f>
        <v>1008000</v>
      </c>
      <c r="P232" s="18"/>
      <c r="Q232" s="18"/>
      <c r="R232" s="19"/>
      <c r="S232" s="22"/>
      <c r="T232" s="23">
        <f>T231*$B232</f>
        <v>1008000</v>
      </c>
      <c r="U232" s="18"/>
      <c r="V232" s="18"/>
      <c r="W232" s="19"/>
      <c r="X232" s="18"/>
      <c r="Y232" s="23">
        <f>Y231*$B232</f>
        <v>1008000</v>
      </c>
      <c r="Z232" s="18"/>
      <c r="AA232" s="18"/>
      <c r="AB232" s="19"/>
      <c r="AC232" s="18"/>
      <c r="AD232" s="23">
        <f>AD231*$B232</f>
        <v>1008000</v>
      </c>
      <c r="AE232" s="18"/>
      <c r="AF232" s="18"/>
      <c r="AG232" s="19"/>
      <c r="AH232" s="18"/>
      <c r="AI232" s="23">
        <f>AI231*$B232</f>
        <v>1008000</v>
      </c>
      <c r="AJ232" s="18"/>
      <c r="AK232" s="18"/>
      <c r="AL232" s="19"/>
      <c r="AM232" s="18"/>
      <c r="AN232" s="23">
        <f>AN231*$B232</f>
        <v>768774.4</v>
      </c>
      <c r="AO232" s="18"/>
      <c r="AP232" s="18"/>
      <c r="AQ232" s="19"/>
      <c r="AR232" s="22"/>
      <c r="AS232" s="23">
        <f>AS231*$B232</f>
        <v>1192000</v>
      </c>
      <c r="AT232" s="18"/>
      <c r="AU232" s="18"/>
      <c r="AV232" s="19"/>
      <c r="AW232" s="22"/>
      <c r="AX232" s="23">
        <f>AX231*$B232</f>
        <v>1032000</v>
      </c>
      <c r="AY232" s="18"/>
      <c r="AZ232" s="18"/>
      <c r="BA232" s="19"/>
      <c r="BB232" s="22"/>
      <c r="BC232" s="23">
        <f>BC231*$B232</f>
        <v>1032000</v>
      </c>
      <c r="BD232" s="18"/>
      <c r="BE232" s="18"/>
      <c r="BF232" s="19"/>
      <c r="BG232" s="22"/>
      <c r="BH232" s="23">
        <f>BH231*$B232</f>
        <v>1032000</v>
      </c>
      <c r="BI232" s="18"/>
      <c r="BJ232" s="18"/>
      <c r="BK232" s="19"/>
      <c r="BL232" s="22"/>
      <c r="BM232" s="23">
        <f>BM231*$B232</f>
        <v>1032000</v>
      </c>
      <c r="BN232" s="18"/>
      <c r="BO232" s="18"/>
      <c r="BP232" s="19"/>
      <c r="BQ232" s="17" t="s">
        <v>268</v>
      </c>
      <c r="BR232" s="1"/>
      <c r="BS232" s="1"/>
      <c r="BT232" s="1"/>
      <c r="BU232" s="1"/>
    </row>
    <row r="233">
      <c r="A233" s="56" t="str">
        <f>B217</f>
        <v>쌍용</v>
      </c>
      <c r="B233" s="29">
        <v>0.2</v>
      </c>
      <c r="C233" s="30" t="s">
        <v>57</v>
      </c>
      <c r="D233" s="31"/>
      <c r="E233" s="32">
        <f>E231*$B233</f>
        <v>-88000</v>
      </c>
      <c r="F233" s="33"/>
      <c r="G233" s="33"/>
      <c r="H233" s="34"/>
      <c r="I233" s="31"/>
      <c r="J233" s="32">
        <f>J231*$B233</f>
        <v>106000</v>
      </c>
      <c r="K233" s="33"/>
      <c r="L233" s="33"/>
      <c r="M233" s="34"/>
      <c r="N233" s="31"/>
      <c r="O233" s="32">
        <f>O231*$B233</f>
        <v>252000</v>
      </c>
      <c r="P233" s="33"/>
      <c r="Q233" s="33"/>
      <c r="R233" s="34"/>
      <c r="S233" s="31"/>
      <c r="T233" s="32">
        <f>T231*$B233</f>
        <v>252000</v>
      </c>
      <c r="U233" s="33"/>
      <c r="V233" s="33"/>
      <c r="W233" s="34"/>
      <c r="X233" s="33"/>
      <c r="Y233" s="32">
        <f>Y231*$B233</f>
        <v>252000</v>
      </c>
      <c r="Z233" s="33"/>
      <c r="AA233" s="33"/>
      <c r="AB233" s="34"/>
      <c r="AC233" s="33"/>
      <c r="AD233" s="32">
        <f>AD231*$B233</f>
        <v>252000</v>
      </c>
      <c r="AE233" s="33"/>
      <c r="AF233" s="33"/>
      <c r="AG233" s="34"/>
      <c r="AH233" s="33"/>
      <c r="AI233" s="32">
        <f>AI231*$B233</f>
        <v>252000</v>
      </c>
      <c r="AJ233" s="33"/>
      <c r="AK233" s="33"/>
      <c r="AL233" s="34"/>
      <c r="AM233" s="33"/>
      <c r="AN233" s="32">
        <f>AN231*$B233</f>
        <v>192193.6</v>
      </c>
      <c r="AO233" s="33"/>
      <c r="AP233" s="33"/>
      <c r="AQ233" s="34"/>
      <c r="AR233" s="31"/>
      <c r="AS233" s="32">
        <f>AS231*$B233</f>
        <v>298000</v>
      </c>
      <c r="AT233" s="33"/>
      <c r="AU233" s="33"/>
      <c r="AV233" s="34"/>
      <c r="AW233" s="31"/>
      <c r="AX233" s="32">
        <f>AX231*$B233</f>
        <v>258000</v>
      </c>
      <c r="AY233" s="33"/>
      <c r="AZ233" s="33"/>
      <c r="BA233" s="34"/>
      <c r="BB233" s="31"/>
      <c r="BC233" s="32">
        <f>BC231*$B233</f>
        <v>258000</v>
      </c>
      <c r="BD233" s="33"/>
      <c r="BE233" s="33"/>
      <c r="BF233" s="34"/>
      <c r="BG233" s="31"/>
      <c r="BH233" s="32">
        <f>BH231*$B233</f>
        <v>258000</v>
      </c>
      <c r="BI233" s="33"/>
      <c r="BJ233" s="33"/>
      <c r="BK233" s="34"/>
      <c r="BL233" s="31"/>
      <c r="BM233" s="32">
        <f>BM231*$B233</f>
        <v>258000</v>
      </c>
      <c r="BN233" s="33"/>
      <c r="BO233" s="33"/>
      <c r="BP233" s="34"/>
      <c r="BQ233" s="17" t="s">
        <v>268</v>
      </c>
      <c r="BR233" s="1"/>
      <c r="BS233" s="20">
        <f>BH116+BH232+BH680</f>
        <v>1082442.7</v>
      </c>
      <c r="BT233" s="1"/>
      <c r="BU233" s="1"/>
    </row>
    <row r="234">
      <c r="A234" s="1"/>
      <c r="B234" s="10" t="s">
        <v>448</v>
      </c>
      <c r="C234" s="11" t="s">
        <v>449</v>
      </c>
      <c r="D234" s="20" t="s">
        <v>450</v>
      </c>
      <c r="E234" s="23">
        <v>520000.0</v>
      </c>
      <c r="F234" s="35" t="b">
        <v>0</v>
      </c>
      <c r="G234" s="23">
        <v>80000.0</v>
      </c>
      <c r="H234" s="15" t="b">
        <v>1</v>
      </c>
      <c r="I234" s="20" t="s">
        <v>450</v>
      </c>
      <c r="J234" s="23">
        <v>520000.0</v>
      </c>
      <c r="K234" s="35" t="b">
        <v>0</v>
      </c>
      <c r="L234" s="23">
        <v>80000.0</v>
      </c>
      <c r="M234" s="15" t="b">
        <v>1</v>
      </c>
      <c r="N234" s="20" t="s">
        <v>450</v>
      </c>
      <c r="O234" s="23">
        <v>520000.0</v>
      </c>
      <c r="P234" s="35" t="b">
        <v>0</v>
      </c>
      <c r="Q234" s="23">
        <v>80000.0</v>
      </c>
      <c r="R234" s="15" t="b">
        <v>1</v>
      </c>
      <c r="S234" s="20" t="s">
        <v>450</v>
      </c>
      <c r="T234" s="23">
        <v>520000.0</v>
      </c>
      <c r="U234" s="35" t="b">
        <v>0</v>
      </c>
      <c r="V234" s="23">
        <v>80000.0</v>
      </c>
      <c r="W234" s="15" t="b">
        <v>1</v>
      </c>
      <c r="X234" s="20" t="s">
        <v>450</v>
      </c>
      <c r="Y234" s="23">
        <v>520000.0</v>
      </c>
      <c r="Z234" s="35" t="b">
        <v>0</v>
      </c>
      <c r="AA234" s="23">
        <v>80000.0</v>
      </c>
      <c r="AB234" s="15" t="b">
        <v>1</v>
      </c>
      <c r="AC234" s="20" t="s">
        <v>450</v>
      </c>
      <c r="AD234" s="23">
        <v>520000.0</v>
      </c>
      <c r="AE234" s="35" t="b">
        <v>0</v>
      </c>
      <c r="AF234" s="23">
        <v>80000.0</v>
      </c>
      <c r="AG234" s="15" t="b">
        <v>1</v>
      </c>
      <c r="AH234" s="20" t="s">
        <v>450</v>
      </c>
      <c r="AI234" s="23">
        <v>520000.0</v>
      </c>
      <c r="AJ234" s="35" t="b">
        <v>0</v>
      </c>
      <c r="AK234" s="23">
        <v>80000.0</v>
      </c>
      <c r="AL234" s="15" t="b">
        <v>1</v>
      </c>
      <c r="AM234" s="20" t="s">
        <v>451</v>
      </c>
      <c r="AN234" s="23">
        <v>469677.0</v>
      </c>
      <c r="AO234" s="35" t="b">
        <v>0</v>
      </c>
      <c r="AP234" s="23">
        <v>72258.0</v>
      </c>
      <c r="AQ234" s="15" t="b">
        <v>1</v>
      </c>
      <c r="AR234" s="20" t="s">
        <v>452</v>
      </c>
      <c r="AS234" s="23">
        <v>520000.0</v>
      </c>
      <c r="AT234" s="35" t="b">
        <v>0</v>
      </c>
      <c r="AU234" s="23">
        <v>80000.0</v>
      </c>
      <c r="AV234" s="15" t="b">
        <v>1</v>
      </c>
      <c r="AW234" s="20" t="s">
        <v>452</v>
      </c>
      <c r="AX234" s="23">
        <v>520000.0</v>
      </c>
      <c r="AY234" s="35" t="b">
        <v>0</v>
      </c>
      <c r="AZ234" s="23">
        <v>80000.0</v>
      </c>
      <c r="BA234" s="15" t="b">
        <v>1</v>
      </c>
      <c r="BB234" s="20" t="s">
        <v>452</v>
      </c>
      <c r="BC234" s="23">
        <v>520000.0</v>
      </c>
      <c r="BD234" s="35" t="b">
        <v>0</v>
      </c>
      <c r="BE234" s="23">
        <v>80000.0</v>
      </c>
      <c r="BF234" s="15" t="b">
        <v>1</v>
      </c>
      <c r="BG234" s="20" t="s">
        <v>452</v>
      </c>
      <c r="BH234" s="23">
        <v>520000.0</v>
      </c>
      <c r="BI234" s="35" t="b">
        <v>0</v>
      </c>
      <c r="BJ234" s="23">
        <v>80000.0</v>
      </c>
      <c r="BK234" s="15" t="b">
        <v>1</v>
      </c>
      <c r="BL234" s="20" t="s">
        <v>452</v>
      </c>
      <c r="BM234" s="23">
        <v>520000.0</v>
      </c>
      <c r="BN234" s="35" t="b">
        <v>0</v>
      </c>
      <c r="BO234" s="23">
        <v>80000.0</v>
      </c>
      <c r="BP234" s="15" t="b">
        <v>0</v>
      </c>
      <c r="BQ234" s="17" t="s">
        <v>63</v>
      </c>
      <c r="BR234" s="1"/>
      <c r="BS234" s="1"/>
      <c r="BT234" s="1"/>
      <c r="BU234" s="1"/>
    </row>
    <row r="235">
      <c r="A235" s="1"/>
      <c r="B235" s="10" t="s">
        <v>453</v>
      </c>
      <c r="C235" s="11" t="s">
        <v>454</v>
      </c>
      <c r="D235" s="20" t="s">
        <v>455</v>
      </c>
      <c r="E235" s="23">
        <v>500000.0</v>
      </c>
      <c r="F235" s="35" t="b">
        <v>0</v>
      </c>
      <c r="G235" s="23">
        <v>80000.0</v>
      </c>
      <c r="H235" s="15" t="b">
        <v>1</v>
      </c>
      <c r="I235" s="20" t="s">
        <v>455</v>
      </c>
      <c r="J235" s="23">
        <v>500000.0</v>
      </c>
      <c r="K235" s="35" t="b">
        <v>0</v>
      </c>
      <c r="L235" s="23">
        <v>80000.0</v>
      </c>
      <c r="M235" s="15" t="b">
        <v>1</v>
      </c>
      <c r="N235" s="20" t="s">
        <v>455</v>
      </c>
      <c r="O235" s="23">
        <v>490000.0</v>
      </c>
      <c r="P235" s="35" t="b">
        <v>0</v>
      </c>
      <c r="Q235" s="23">
        <v>80000.0</v>
      </c>
      <c r="R235" s="15" t="b">
        <v>1</v>
      </c>
      <c r="S235" s="20" t="s">
        <v>455</v>
      </c>
      <c r="T235" s="23">
        <v>490000.0</v>
      </c>
      <c r="U235" s="35" t="b">
        <v>0</v>
      </c>
      <c r="V235" s="23">
        <v>80000.0</v>
      </c>
      <c r="W235" s="15" t="b">
        <v>1</v>
      </c>
      <c r="X235" s="20" t="s">
        <v>455</v>
      </c>
      <c r="Y235" s="23">
        <v>490000.0</v>
      </c>
      <c r="Z235" s="35" t="b">
        <v>0</v>
      </c>
      <c r="AA235" s="23">
        <v>80000.0</v>
      </c>
      <c r="AB235" s="15" t="b">
        <v>1</v>
      </c>
      <c r="AC235" s="20" t="s">
        <v>455</v>
      </c>
      <c r="AD235" s="23">
        <v>490000.0</v>
      </c>
      <c r="AE235" s="35" t="b">
        <v>0</v>
      </c>
      <c r="AF235" s="23">
        <v>80000.0</v>
      </c>
      <c r="AG235" s="15" t="b">
        <v>1</v>
      </c>
      <c r="AH235" s="20" t="s">
        <v>455</v>
      </c>
      <c r="AI235" s="23">
        <v>490000.0</v>
      </c>
      <c r="AJ235" s="35" t="b">
        <v>0</v>
      </c>
      <c r="AK235" s="23">
        <v>80000.0</v>
      </c>
      <c r="AL235" s="15" t="b">
        <v>1</v>
      </c>
      <c r="AM235" s="20" t="s">
        <v>455</v>
      </c>
      <c r="AN235" s="23">
        <v>490000.0</v>
      </c>
      <c r="AO235" s="35" t="b">
        <v>0</v>
      </c>
      <c r="AP235" s="23">
        <v>80000.0</v>
      </c>
      <c r="AQ235" s="15" t="b">
        <v>1</v>
      </c>
      <c r="AR235" s="20" t="s">
        <v>455</v>
      </c>
      <c r="AS235" s="23">
        <v>490000.0</v>
      </c>
      <c r="AT235" s="35" t="b">
        <v>0</v>
      </c>
      <c r="AU235" s="23">
        <v>80000.0</v>
      </c>
      <c r="AV235" s="15" t="b">
        <v>1</v>
      </c>
      <c r="AW235" s="20" t="s">
        <v>455</v>
      </c>
      <c r="AX235" s="23">
        <v>490000.0</v>
      </c>
      <c r="AY235" s="35" t="b">
        <v>0</v>
      </c>
      <c r="AZ235" s="23">
        <v>80000.0</v>
      </c>
      <c r="BA235" s="15" t="b">
        <v>1</v>
      </c>
      <c r="BB235" s="20" t="s">
        <v>455</v>
      </c>
      <c r="BC235" s="23">
        <v>490000.0</v>
      </c>
      <c r="BD235" s="35" t="b">
        <v>0</v>
      </c>
      <c r="BE235" s="23">
        <v>80000.0</v>
      </c>
      <c r="BF235" s="15" t="b">
        <v>1</v>
      </c>
      <c r="BG235" s="20" t="s">
        <v>455</v>
      </c>
      <c r="BH235" s="23">
        <v>490000.0</v>
      </c>
      <c r="BI235" s="35" t="b">
        <v>0</v>
      </c>
      <c r="BJ235" s="23">
        <v>80000.0</v>
      </c>
      <c r="BK235" s="15" t="b">
        <v>1</v>
      </c>
      <c r="BL235" s="20" t="s">
        <v>455</v>
      </c>
      <c r="BM235" s="23">
        <v>490000.0</v>
      </c>
      <c r="BN235" s="35" t="b">
        <v>0</v>
      </c>
      <c r="BO235" s="23">
        <v>80000.0</v>
      </c>
      <c r="BP235" s="15" t="b">
        <v>0</v>
      </c>
      <c r="BQ235" s="17" t="s">
        <v>63</v>
      </c>
      <c r="BR235" s="1"/>
      <c r="BS235" s="1"/>
      <c r="BT235" s="1"/>
      <c r="BU235" s="1"/>
    </row>
    <row r="236">
      <c r="A236" s="1"/>
      <c r="B236" s="10" t="s">
        <v>448</v>
      </c>
      <c r="C236" s="11" t="s">
        <v>456</v>
      </c>
      <c r="D236" s="20" t="s">
        <v>457</v>
      </c>
      <c r="E236" s="23">
        <v>490000.0</v>
      </c>
      <c r="F236" s="35" t="b">
        <v>0</v>
      </c>
      <c r="G236" s="23">
        <v>80000.0</v>
      </c>
      <c r="H236" s="15" t="b">
        <v>1</v>
      </c>
      <c r="I236" s="20" t="s">
        <v>457</v>
      </c>
      <c r="J236" s="23">
        <v>490000.0</v>
      </c>
      <c r="K236" s="35" t="b">
        <v>1</v>
      </c>
      <c r="L236" s="23">
        <v>80000.0</v>
      </c>
      <c r="M236" s="15" t="b">
        <v>1</v>
      </c>
      <c r="N236" s="20" t="s">
        <v>457</v>
      </c>
      <c r="O236" s="23">
        <v>490000.0</v>
      </c>
      <c r="P236" s="35" t="b">
        <v>0</v>
      </c>
      <c r="Q236" s="23">
        <v>80000.0</v>
      </c>
      <c r="R236" s="15" t="b">
        <v>1</v>
      </c>
      <c r="S236" s="20" t="s">
        <v>457</v>
      </c>
      <c r="T236" s="23">
        <v>490000.0</v>
      </c>
      <c r="U236" s="35" t="b">
        <v>0</v>
      </c>
      <c r="V236" s="23">
        <v>80000.0</v>
      </c>
      <c r="W236" s="15" t="b">
        <v>1</v>
      </c>
      <c r="X236" s="20" t="s">
        <v>457</v>
      </c>
      <c r="Y236" s="23">
        <v>490000.0</v>
      </c>
      <c r="Z236" s="35" t="b">
        <v>0</v>
      </c>
      <c r="AA236" s="23">
        <v>80000.0</v>
      </c>
      <c r="AB236" s="15" t="b">
        <v>1</v>
      </c>
      <c r="AC236" s="20" t="s">
        <v>457</v>
      </c>
      <c r="AD236" s="23">
        <v>490000.0</v>
      </c>
      <c r="AE236" s="35" t="b">
        <v>0</v>
      </c>
      <c r="AF236" s="23">
        <v>80000.0</v>
      </c>
      <c r="AG236" s="15" t="b">
        <v>1</v>
      </c>
      <c r="AH236" s="20" t="s">
        <v>457</v>
      </c>
      <c r="AI236" s="23">
        <v>490000.0</v>
      </c>
      <c r="AJ236" s="35" t="b">
        <v>0</v>
      </c>
      <c r="AK236" s="23">
        <v>80000.0</v>
      </c>
      <c r="AL236" s="15" t="b">
        <v>1</v>
      </c>
      <c r="AM236" s="58" t="s">
        <v>458</v>
      </c>
      <c r="AN236" s="23">
        <f>490000+134194</f>
        <v>624194</v>
      </c>
      <c r="AO236" s="35" t="b">
        <v>0</v>
      </c>
      <c r="AP236" s="23">
        <f>80000+20645</f>
        <v>100645</v>
      </c>
      <c r="AQ236" s="15" t="b">
        <v>1</v>
      </c>
      <c r="AR236" s="44" t="s">
        <v>459</v>
      </c>
      <c r="AS236" s="23">
        <v>598080.0</v>
      </c>
      <c r="AT236" s="35" t="b">
        <v>0</v>
      </c>
      <c r="AU236" s="23">
        <v>80000.0</v>
      </c>
      <c r="AV236" s="15" t="b">
        <v>1</v>
      </c>
      <c r="AW236" s="44" t="s">
        <v>459</v>
      </c>
      <c r="AX236" s="23">
        <v>598080.0</v>
      </c>
      <c r="AY236" s="35" t="b">
        <v>0</v>
      </c>
      <c r="AZ236" s="23">
        <v>80000.0</v>
      </c>
      <c r="BA236" s="15" t="b">
        <v>1</v>
      </c>
      <c r="BB236" s="44" t="s">
        <v>460</v>
      </c>
      <c r="BC236" s="23">
        <v>598080.0</v>
      </c>
      <c r="BD236" s="35" t="b">
        <v>0</v>
      </c>
      <c r="BE236" s="23">
        <v>80000.0</v>
      </c>
      <c r="BF236" s="15" t="b">
        <v>1</v>
      </c>
      <c r="BG236" s="44" t="s">
        <v>461</v>
      </c>
      <c r="BH236" s="23">
        <v>598080.0</v>
      </c>
      <c r="BI236" s="35" t="b">
        <v>0</v>
      </c>
      <c r="BJ236" s="23">
        <v>80000.0</v>
      </c>
      <c r="BK236" s="15" t="b">
        <v>0</v>
      </c>
      <c r="BL236" s="20" t="s">
        <v>37</v>
      </c>
      <c r="BM236" s="18"/>
      <c r="BN236" s="1"/>
      <c r="BO236" s="18"/>
      <c r="BP236" s="19"/>
      <c r="BQ236" s="17" t="s">
        <v>63</v>
      </c>
      <c r="BR236" s="1"/>
      <c r="BS236" s="1"/>
      <c r="BT236" s="1"/>
      <c r="BU236" s="1"/>
    </row>
    <row r="237">
      <c r="A237" s="1"/>
      <c r="B237" s="10" t="s">
        <v>448</v>
      </c>
      <c r="C237" s="11" t="s">
        <v>462</v>
      </c>
      <c r="D237" s="20" t="s">
        <v>463</v>
      </c>
      <c r="E237" s="23">
        <v>400000.0</v>
      </c>
      <c r="F237" s="35" t="b">
        <v>1</v>
      </c>
      <c r="G237" s="23">
        <v>80000.0</v>
      </c>
      <c r="H237" s="15" t="b">
        <v>1</v>
      </c>
      <c r="I237" s="20" t="s">
        <v>463</v>
      </c>
      <c r="J237" s="23">
        <v>400000.0</v>
      </c>
      <c r="K237" s="35" t="b">
        <v>0</v>
      </c>
      <c r="L237" s="23">
        <v>80000.0</v>
      </c>
      <c r="M237" s="15" t="b">
        <v>1</v>
      </c>
      <c r="N237" s="20" t="s">
        <v>463</v>
      </c>
      <c r="O237" s="23">
        <v>400000.0</v>
      </c>
      <c r="P237" s="35" t="b">
        <v>0</v>
      </c>
      <c r="Q237" s="23">
        <v>80000.0</v>
      </c>
      <c r="R237" s="15" t="b">
        <v>1</v>
      </c>
      <c r="S237" s="20" t="s">
        <v>463</v>
      </c>
      <c r="T237" s="23">
        <v>400000.0</v>
      </c>
      <c r="U237" s="35" t="b">
        <v>0</v>
      </c>
      <c r="V237" s="23">
        <v>80000.0</v>
      </c>
      <c r="W237" s="15" t="b">
        <v>1</v>
      </c>
      <c r="X237" s="20" t="s">
        <v>463</v>
      </c>
      <c r="Y237" s="23">
        <v>400000.0</v>
      </c>
      <c r="Z237" s="35" t="b">
        <v>0</v>
      </c>
      <c r="AA237" s="23">
        <v>80000.0</v>
      </c>
      <c r="AB237" s="15" t="b">
        <v>1</v>
      </c>
      <c r="AC237" s="20" t="s">
        <v>463</v>
      </c>
      <c r="AD237" s="23">
        <v>400000.0</v>
      </c>
      <c r="AE237" s="35" t="b">
        <v>0</v>
      </c>
      <c r="AF237" s="23">
        <v>80000.0</v>
      </c>
      <c r="AG237" s="15" t="b">
        <v>1</v>
      </c>
      <c r="AH237" s="20" t="s">
        <v>463</v>
      </c>
      <c r="AI237" s="23">
        <v>400000.0</v>
      </c>
      <c r="AJ237" s="35" t="b">
        <v>0</v>
      </c>
      <c r="AK237" s="23">
        <v>80000.0</v>
      </c>
      <c r="AL237" s="15" t="b">
        <v>1</v>
      </c>
      <c r="AM237" s="20" t="s">
        <v>464</v>
      </c>
      <c r="AN237" s="23">
        <f>116129+319355</f>
        <v>435484</v>
      </c>
      <c r="AO237" s="35" t="b">
        <v>0</v>
      </c>
      <c r="AP237" s="23">
        <f>23226+56774</f>
        <v>80000</v>
      </c>
      <c r="AQ237" s="15" t="b">
        <v>1</v>
      </c>
      <c r="AR237" s="20" t="s">
        <v>465</v>
      </c>
      <c r="AS237" s="23">
        <v>450000.0</v>
      </c>
      <c r="AT237" s="35" t="b">
        <v>0</v>
      </c>
      <c r="AU237" s="23">
        <v>80000.0</v>
      </c>
      <c r="AV237" s="15" t="b">
        <v>1</v>
      </c>
      <c r="AW237" s="20" t="s">
        <v>465</v>
      </c>
      <c r="AX237" s="23">
        <v>450000.0</v>
      </c>
      <c r="AY237" s="35" t="b">
        <v>0</v>
      </c>
      <c r="AZ237" s="23">
        <v>80000.0</v>
      </c>
      <c r="BA237" s="15" t="b">
        <v>1</v>
      </c>
      <c r="BB237" s="20" t="s">
        <v>465</v>
      </c>
      <c r="BC237" s="23">
        <v>450000.0</v>
      </c>
      <c r="BD237" s="35" t="b">
        <v>0</v>
      </c>
      <c r="BE237" s="23">
        <v>80000.0</v>
      </c>
      <c r="BF237" s="15" t="b">
        <v>1</v>
      </c>
      <c r="BG237" s="20" t="s">
        <v>465</v>
      </c>
      <c r="BH237" s="23">
        <v>450000.0</v>
      </c>
      <c r="BI237" s="35" t="b">
        <v>0</v>
      </c>
      <c r="BJ237" s="23">
        <v>80000.0</v>
      </c>
      <c r="BK237" s="15" t="b">
        <v>1</v>
      </c>
      <c r="BL237" s="20" t="s">
        <v>466</v>
      </c>
      <c r="BM237" s="23">
        <v>145161.0</v>
      </c>
      <c r="BN237" s="35" t="b">
        <v>0</v>
      </c>
      <c r="BO237" s="23">
        <v>25806.0</v>
      </c>
      <c r="BP237" s="15" t="b">
        <v>0</v>
      </c>
      <c r="BQ237" s="17" t="s">
        <v>63</v>
      </c>
      <c r="BR237" s="1"/>
      <c r="BS237" s="1"/>
      <c r="BT237" s="1"/>
      <c r="BU237" s="1"/>
    </row>
    <row r="238">
      <c r="A238" s="1"/>
      <c r="B238" s="10" t="s">
        <v>448</v>
      </c>
      <c r="C238" s="11" t="s">
        <v>467</v>
      </c>
      <c r="D238" s="20" t="s">
        <v>468</v>
      </c>
      <c r="E238" s="23">
        <v>13793.0</v>
      </c>
      <c r="F238" s="35" t="b">
        <v>0</v>
      </c>
      <c r="G238" s="23">
        <v>2759.0</v>
      </c>
      <c r="H238" s="15" t="b">
        <v>1</v>
      </c>
      <c r="I238" s="20" t="s">
        <v>469</v>
      </c>
      <c r="J238" s="23">
        <v>400000.0</v>
      </c>
      <c r="K238" s="35" t="b">
        <v>1</v>
      </c>
      <c r="L238" s="23">
        <v>80000.0</v>
      </c>
      <c r="M238" s="15" t="b">
        <v>1</v>
      </c>
      <c r="N238" s="20" t="s">
        <v>469</v>
      </c>
      <c r="O238" s="23">
        <v>400000.0</v>
      </c>
      <c r="P238" s="35" t="b">
        <v>0</v>
      </c>
      <c r="Q238" s="23">
        <v>80000.0</v>
      </c>
      <c r="R238" s="15" t="b">
        <v>1</v>
      </c>
      <c r="S238" s="20" t="s">
        <v>469</v>
      </c>
      <c r="T238" s="23">
        <v>400000.0</v>
      </c>
      <c r="U238" s="35" t="b">
        <v>0</v>
      </c>
      <c r="V238" s="23">
        <v>80000.0</v>
      </c>
      <c r="W238" s="15" t="b">
        <v>1</v>
      </c>
      <c r="X238" s="20" t="s">
        <v>469</v>
      </c>
      <c r="Y238" s="23">
        <v>400000.0</v>
      </c>
      <c r="Z238" s="35" t="b">
        <v>0</v>
      </c>
      <c r="AA238" s="23">
        <v>80000.0</v>
      </c>
      <c r="AB238" s="15" t="b">
        <v>1</v>
      </c>
      <c r="AC238" s="20" t="s">
        <v>469</v>
      </c>
      <c r="AD238" s="23">
        <v>400000.0</v>
      </c>
      <c r="AE238" s="35" t="b">
        <v>0</v>
      </c>
      <c r="AF238" s="23">
        <v>80000.0</v>
      </c>
      <c r="AG238" s="15" t="b">
        <v>1</v>
      </c>
      <c r="AH238" s="20" t="s">
        <v>469</v>
      </c>
      <c r="AI238" s="23">
        <v>400000.0</v>
      </c>
      <c r="AJ238" s="35" t="b">
        <v>0</v>
      </c>
      <c r="AK238" s="23">
        <v>80000.0</v>
      </c>
      <c r="AL238" s="15" t="b">
        <v>1</v>
      </c>
      <c r="AM238" s="20" t="s">
        <v>470</v>
      </c>
      <c r="AN238" s="23">
        <f>400000</f>
        <v>400000</v>
      </c>
      <c r="AO238" s="35" t="b">
        <v>0</v>
      </c>
      <c r="AP238" s="23">
        <f>80000</f>
        <v>80000</v>
      </c>
      <c r="AQ238" s="15" t="b">
        <v>1</v>
      </c>
      <c r="AR238" s="20" t="s">
        <v>37</v>
      </c>
      <c r="AS238" s="18"/>
      <c r="AT238" s="1"/>
      <c r="AU238" s="18"/>
      <c r="AV238" s="19"/>
      <c r="AW238" s="20" t="s">
        <v>37</v>
      </c>
      <c r="AX238" s="18"/>
      <c r="AY238" s="1"/>
      <c r="AZ238" s="18"/>
      <c r="BA238" s="19"/>
      <c r="BB238" s="20" t="s">
        <v>471</v>
      </c>
      <c r="BC238" s="23">
        <v>86000.0</v>
      </c>
      <c r="BD238" s="35" t="b">
        <v>0</v>
      </c>
      <c r="BE238" s="23">
        <v>16000.0</v>
      </c>
      <c r="BF238" s="15" t="b">
        <v>1</v>
      </c>
      <c r="BG238" s="20" t="s">
        <v>472</v>
      </c>
      <c r="BH238" s="23">
        <v>430000.0</v>
      </c>
      <c r="BI238" s="35" t="b">
        <v>0</v>
      </c>
      <c r="BJ238" s="23">
        <v>80000.0</v>
      </c>
      <c r="BK238" s="15" t="b">
        <v>1</v>
      </c>
      <c r="BL238" s="20" t="s">
        <v>472</v>
      </c>
      <c r="BM238" s="23">
        <v>430000.0</v>
      </c>
      <c r="BN238" s="35" t="b">
        <v>0</v>
      </c>
      <c r="BO238" s="23">
        <v>80000.0</v>
      </c>
      <c r="BP238" s="15" t="b">
        <v>0</v>
      </c>
      <c r="BQ238" s="17" t="s">
        <v>63</v>
      </c>
      <c r="BR238" s="1"/>
      <c r="BS238" s="1"/>
      <c r="BT238" s="1"/>
      <c r="BU238" s="1"/>
    </row>
    <row r="239">
      <c r="A239" s="1"/>
      <c r="B239" s="21"/>
      <c r="C239" s="11" t="s">
        <v>42</v>
      </c>
      <c r="D239" s="22"/>
      <c r="E239" s="23">
        <f>SUM(E234:E238)</f>
        <v>1923793</v>
      </c>
      <c r="F239" s="18"/>
      <c r="G239" s="23">
        <f>SUM(G234:G238)</f>
        <v>322759</v>
      </c>
      <c r="H239" s="19"/>
      <c r="I239" s="22"/>
      <c r="J239" s="23">
        <f>SUM(J234:J238)</f>
        <v>2310000</v>
      </c>
      <c r="K239" s="18"/>
      <c r="L239" s="23">
        <f>SUM(L234:L238)</f>
        <v>400000</v>
      </c>
      <c r="M239" s="19"/>
      <c r="N239" s="22"/>
      <c r="O239" s="23">
        <f>SUM(O234:O238)</f>
        <v>2300000</v>
      </c>
      <c r="P239" s="18"/>
      <c r="Q239" s="23">
        <f>SUM(Q234:Q238)</f>
        <v>400000</v>
      </c>
      <c r="R239" s="19"/>
      <c r="S239" s="22"/>
      <c r="T239" s="23">
        <f>SUM(T234:T238)</f>
        <v>2300000</v>
      </c>
      <c r="U239" s="18"/>
      <c r="V239" s="23">
        <f>SUM(V234:V238)</f>
        <v>400000</v>
      </c>
      <c r="W239" s="19"/>
      <c r="X239" s="18"/>
      <c r="Y239" s="23">
        <f>SUM(Y234:Y238)</f>
        <v>2300000</v>
      </c>
      <c r="Z239" s="18"/>
      <c r="AA239" s="23">
        <f>SUM(AA234:AA238)</f>
        <v>400000</v>
      </c>
      <c r="AB239" s="19"/>
      <c r="AC239" s="18"/>
      <c r="AD239" s="23">
        <f>SUM(AD234:AD238)</f>
        <v>2300000</v>
      </c>
      <c r="AE239" s="18"/>
      <c r="AF239" s="23">
        <f>SUM(AF234:AF238)</f>
        <v>400000</v>
      </c>
      <c r="AG239" s="19"/>
      <c r="AH239" s="18"/>
      <c r="AI239" s="23">
        <f>SUM(AI234:AI238)</f>
        <v>2300000</v>
      </c>
      <c r="AJ239" s="18"/>
      <c r="AK239" s="23">
        <f>SUM(AK234:AK238)</f>
        <v>400000</v>
      </c>
      <c r="AL239" s="19"/>
      <c r="AM239" s="18"/>
      <c r="AN239" s="23">
        <f>SUM(AN234:AN238)</f>
        <v>2419355</v>
      </c>
      <c r="AO239" s="18"/>
      <c r="AP239" s="23">
        <f>SUM(AP234:AP238)</f>
        <v>412903</v>
      </c>
      <c r="AQ239" s="19"/>
      <c r="AR239" s="22"/>
      <c r="AS239" s="23">
        <f>SUM(AS234:AS238)</f>
        <v>2058080</v>
      </c>
      <c r="AT239" s="18"/>
      <c r="AU239" s="23">
        <f>SUM(AU234:AU238)</f>
        <v>320000</v>
      </c>
      <c r="AV239" s="19"/>
      <c r="AW239" s="22"/>
      <c r="AX239" s="23">
        <f>SUM(AX234:AX238)</f>
        <v>2058080</v>
      </c>
      <c r="AY239" s="18"/>
      <c r="AZ239" s="23">
        <f>SUM(AZ234:AZ238)</f>
        <v>320000</v>
      </c>
      <c r="BA239" s="19"/>
      <c r="BB239" s="22"/>
      <c r="BC239" s="23">
        <f>SUM(BC234:BC238)</f>
        <v>2144080</v>
      </c>
      <c r="BD239" s="18"/>
      <c r="BE239" s="23">
        <f>SUM(BE234:BE238)</f>
        <v>336000</v>
      </c>
      <c r="BF239" s="19"/>
      <c r="BG239" s="22"/>
      <c r="BH239" s="23">
        <f>SUM(BH234:BH238)</f>
        <v>2488080</v>
      </c>
      <c r="BI239" s="18"/>
      <c r="BJ239" s="23">
        <f>SUM(BJ234:BJ238)</f>
        <v>400000</v>
      </c>
      <c r="BK239" s="19"/>
      <c r="BL239" s="22"/>
      <c r="BM239" s="23">
        <f>SUM(BM234:BM238)</f>
        <v>1585161</v>
      </c>
      <c r="BN239" s="18"/>
      <c r="BO239" s="23">
        <f>SUM(BO234:BO238)</f>
        <v>265806</v>
      </c>
      <c r="BP239" s="19"/>
      <c r="BQ239" s="17" t="s">
        <v>63</v>
      </c>
      <c r="BR239" s="1"/>
      <c r="BS239" s="1"/>
      <c r="BT239" s="1"/>
      <c r="BU239" s="1"/>
    </row>
    <row r="240">
      <c r="A240" s="1"/>
      <c r="B240" s="21"/>
      <c r="C240" s="11" t="s">
        <v>43</v>
      </c>
      <c r="D240" s="22"/>
      <c r="E240" s="23">
        <v>950000.0</v>
      </c>
      <c r="F240" s="18"/>
      <c r="G240" s="18"/>
      <c r="H240" s="19"/>
      <c r="I240" s="22"/>
      <c r="J240" s="23">
        <v>950000.0</v>
      </c>
      <c r="K240" s="18"/>
      <c r="L240" s="18"/>
      <c r="M240" s="19"/>
      <c r="N240" s="22"/>
      <c r="O240" s="23">
        <v>950000.0</v>
      </c>
      <c r="P240" s="18"/>
      <c r="Q240" s="18"/>
      <c r="R240" s="19"/>
      <c r="S240" s="22"/>
      <c r="T240" s="23">
        <v>950000.0</v>
      </c>
      <c r="U240" s="18"/>
      <c r="V240" s="18"/>
      <c r="W240" s="19"/>
      <c r="X240" s="18"/>
      <c r="Y240" s="23">
        <v>950000.0</v>
      </c>
      <c r="Z240" s="18"/>
      <c r="AA240" s="18"/>
      <c r="AB240" s="19"/>
      <c r="AC240" s="18"/>
      <c r="AD240" s="23">
        <v>950000.0</v>
      </c>
      <c r="AE240" s="18"/>
      <c r="AF240" s="18"/>
      <c r="AG240" s="19"/>
      <c r="AH240" s="18"/>
      <c r="AI240" s="23">
        <v>950000.0</v>
      </c>
      <c r="AJ240" s="18"/>
      <c r="AK240" s="18"/>
      <c r="AL240" s="19"/>
      <c r="AM240" s="18"/>
      <c r="AN240" s="23">
        <v>950000.0</v>
      </c>
      <c r="AO240" s="18"/>
      <c r="AP240" s="18"/>
      <c r="AQ240" s="19"/>
      <c r="AR240" s="22"/>
      <c r="AS240" s="23">
        <v>950000.0</v>
      </c>
      <c r="AT240" s="18"/>
      <c r="AU240" s="18"/>
      <c r="AV240" s="19"/>
      <c r="AW240" s="22"/>
      <c r="AX240" s="23">
        <v>950000.0</v>
      </c>
      <c r="AY240" s="18"/>
      <c r="AZ240" s="18"/>
      <c r="BA240" s="19"/>
      <c r="BB240" s="22"/>
      <c r="BC240" s="23">
        <v>950000.0</v>
      </c>
      <c r="BD240" s="18"/>
      <c r="BE240" s="18"/>
      <c r="BF240" s="19"/>
      <c r="BG240" s="22"/>
      <c r="BH240" s="23">
        <v>950000.0</v>
      </c>
      <c r="BI240" s="18"/>
      <c r="BJ240" s="18"/>
      <c r="BK240" s="19"/>
      <c r="BL240" s="22"/>
      <c r="BM240" s="23">
        <v>950000.0</v>
      </c>
      <c r="BN240" s="18"/>
      <c r="BO240" s="18"/>
      <c r="BP240" s="19"/>
      <c r="BQ240" s="17" t="s">
        <v>63</v>
      </c>
      <c r="BR240" s="1"/>
      <c r="BS240" s="1"/>
      <c r="BT240" s="1"/>
      <c r="BU240" s="1"/>
    </row>
    <row r="241">
      <c r="A241" s="1"/>
      <c r="B241" s="10" t="s">
        <v>95</v>
      </c>
      <c r="C241" s="11" t="s">
        <v>45</v>
      </c>
      <c r="D241" s="22"/>
      <c r="E241" s="18"/>
      <c r="F241" s="18"/>
      <c r="G241" s="18"/>
      <c r="H241" s="19"/>
      <c r="I241" s="22"/>
      <c r="J241" s="18"/>
      <c r="K241" s="18"/>
      <c r="L241" s="18"/>
      <c r="M241" s="19"/>
      <c r="N241" s="22"/>
      <c r="O241" s="18"/>
      <c r="P241" s="18"/>
      <c r="Q241" s="18"/>
      <c r="R241" s="19"/>
      <c r="S241" s="22"/>
      <c r="T241" s="18"/>
      <c r="U241" s="18"/>
      <c r="V241" s="18"/>
      <c r="W241" s="19"/>
      <c r="X241" s="18"/>
      <c r="Y241" s="18"/>
      <c r="Z241" s="18"/>
      <c r="AA241" s="18"/>
      <c r="AB241" s="19"/>
      <c r="AC241" s="18"/>
      <c r="AD241" s="18"/>
      <c r="AE241" s="18"/>
      <c r="AF241" s="18"/>
      <c r="AG241" s="19"/>
      <c r="AH241" s="18"/>
      <c r="AI241" s="18"/>
      <c r="AJ241" s="18"/>
      <c r="AK241" s="18"/>
      <c r="AL241" s="19"/>
      <c r="AM241" s="18"/>
      <c r="AN241" s="18"/>
      <c r="AO241" s="18"/>
      <c r="AP241" s="18"/>
      <c r="AQ241" s="19"/>
      <c r="AR241" s="22"/>
      <c r="AS241" s="18"/>
      <c r="AT241" s="18"/>
      <c r="AU241" s="18"/>
      <c r="AV241" s="19"/>
      <c r="AW241" s="22"/>
      <c r="AX241" s="18"/>
      <c r="AY241" s="18"/>
      <c r="AZ241" s="18"/>
      <c r="BA241" s="19"/>
      <c r="BB241" s="22"/>
      <c r="BC241" s="18"/>
      <c r="BD241" s="18"/>
      <c r="BE241" s="18"/>
      <c r="BF241" s="19"/>
      <c r="BG241" s="22"/>
      <c r="BH241" s="18"/>
      <c r="BI241" s="18"/>
      <c r="BJ241" s="18"/>
      <c r="BK241" s="19"/>
      <c r="BL241" s="22"/>
      <c r="BM241" s="18"/>
      <c r="BN241" s="18"/>
      <c r="BO241" s="18"/>
      <c r="BP241" s="19"/>
      <c r="BQ241" s="17" t="s">
        <v>63</v>
      </c>
      <c r="BR241" s="1"/>
      <c r="BS241" s="1"/>
      <c r="BT241" s="1"/>
      <c r="BU241" s="1"/>
    </row>
    <row r="242">
      <c r="A242" s="1"/>
      <c r="B242" s="10" t="s">
        <v>95</v>
      </c>
      <c r="C242" s="11" t="s">
        <v>47</v>
      </c>
      <c r="D242" s="22"/>
      <c r="E242" s="18"/>
      <c r="F242" s="18"/>
      <c r="G242" s="23">
        <v>75690.0</v>
      </c>
      <c r="H242" s="19"/>
      <c r="I242" s="22"/>
      <c r="J242" s="18"/>
      <c r="K242" s="18"/>
      <c r="L242" s="23">
        <v>69450.0</v>
      </c>
      <c r="M242" s="19"/>
      <c r="N242" s="22"/>
      <c r="O242" s="18"/>
      <c r="P242" s="18"/>
      <c r="Q242" s="23">
        <v>60350.0</v>
      </c>
      <c r="R242" s="19"/>
      <c r="S242" s="22"/>
      <c r="T242" s="18"/>
      <c r="U242" s="18"/>
      <c r="V242" s="18"/>
      <c r="W242" s="19"/>
      <c r="X242" s="18"/>
      <c r="Y242" s="18"/>
      <c r="Z242" s="18"/>
      <c r="AA242" s="18"/>
      <c r="AB242" s="19"/>
      <c r="AC242" s="18"/>
      <c r="AD242" s="18"/>
      <c r="AE242" s="18"/>
      <c r="AF242" s="18"/>
      <c r="AG242" s="19"/>
      <c r="AH242" s="18"/>
      <c r="AI242" s="18"/>
      <c r="AJ242" s="18"/>
      <c r="AK242" s="18"/>
      <c r="AL242" s="19"/>
      <c r="AM242" s="18"/>
      <c r="AN242" s="18"/>
      <c r="AO242" s="18"/>
      <c r="AP242" s="18"/>
      <c r="AQ242" s="19"/>
      <c r="AR242" s="22"/>
      <c r="AS242" s="18"/>
      <c r="AT242" s="18"/>
      <c r="AU242" s="18"/>
      <c r="AV242" s="19"/>
      <c r="AW242" s="22"/>
      <c r="AX242" s="18"/>
      <c r="AY242" s="18"/>
      <c r="AZ242" s="18"/>
      <c r="BA242" s="19"/>
      <c r="BB242" s="22"/>
      <c r="BC242" s="18"/>
      <c r="BD242" s="18"/>
      <c r="BE242" s="18"/>
      <c r="BF242" s="19"/>
      <c r="BG242" s="22"/>
      <c r="BH242" s="18"/>
      <c r="BI242" s="18"/>
      <c r="BJ242" s="18"/>
      <c r="BK242" s="19"/>
      <c r="BL242" s="22"/>
      <c r="BM242" s="18"/>
      <c r="BN242" s="18"/>
      <c r="BO242" s="18"/>
      <c r="BP242" s="19"/>
      <c r="BQ242" s="17" t="s">
        <v>63</v>
      </c>
      <c r="BR242" s="1"/>
      <c r="BS242" s="1"/>
      <c r="BT242" s="1"/>
      <c r="BU242" s="1"/>
    </row>
    <row r="243">
      <c r="A243" s="1"/>
      <c r="B243" s="10" t="s">
        <v>95</v>
      </c>
      <c r="C243" s="11" t="s">
        <v>49</v>
      </c>
      <c r="D243" s="22"/>
      <c r="E243" s="18"/>
      <c r="F243" s="18"/>
      <c r="G243" s="23">
        <v>363360.0</v>
      </c>
      <c r="H243" s="19"/>
      <c r="I243" s="22"/>
      <c r="J243" s="18"/>
      <c r="K243" s="18"/>
      <c r="L243" s="23" t="s">
        <v>473</v>
      </c>
      <c r="M243" s="19"/>
      <c r="N243" s="22"/>
      <c r="O243" s="18"/>
      <c r="P243" s="18"/>
      <c r="Q243" s="23">
        <v>183430.0</v>
      </c>
      <c r="R243" s="19"/>
      <c r="S243" s="22"/>
      <c r="T243" s="18"/>
      <c r="U243" s="18"/>
      <c r="V243" s="18"/>
      <c r="W243" s="19"/>
      <c r="X243" s="18"/>
      <c r="Y243" s="18"/>
      <c r="Z243" s="18"/>
      <c r="AA243" s="18"/>
      <c r="AB243" s="19"/>
      <c r="AC243" s="18"/>
      <c r="AD243" s="18"/>
      <c r="AE243" s="18"/>
      <c r="AF243" s="18"/>
      <c r="AG243" s="19"/>
      <c r="AH243" s="18"/>
      <c r="AI243" s="18"/>
      <c r="AJ243" s="18"/>
      <c r="AK243" s="18"/>
      <c r="AL243" s="19"/>
      <c r="AM243" s="18"/>
      <c r="AN243" s="23">
        <v>500000.0</v>
      </c>
      <c r="AO243" s="18"/>
      <c r="AP243" s="18"/>
      <c r="AQ243" s="19"/>
      <c r="AR243" s="22"/>
      <c r="AS243" s="18"/>
      <c r="AT243" s="18"/>
      <c r="AU243" s="18"/>
      <c r="AV243" s="19"/>
      <c r="AW243" s="22"/>
      <c r="AX243" s="18"/>
      <c r="AY243" s="18"/>
      <c r="AZ243" s="18"/>
      <c r="BA243" s="19"/>
      <c r="BB243" s="22"/>
      <c r="BC243" s="18"/>
      <c r="BD243" s="18"/>
      <c r="BE243" s="18"/>
      <c r="BF243" s="19"/>
      <c r="BG243" s="22"/>
      <c r="BH243" s="18"/>
      <c r="BI243" s="18"/>
      <c r="BJ243" s="18"/>
      <c r="BK243" s="19"/>
      <c r="BL243" s="22"/>
      <c r="BM243" s="18"/>
      <c r="BN243" s="18"/>
      <c r="BO243" s="18"/>
      <c r="BP243" s="19"/>
      <c r="BQ243" s="17" t="s">
        <v>63</v>
      </c>
      <c r="BR243" s="1"/>
      <c r="BS243" s="1"/>
      <c r="BT243" s="1"/>
      <c r="BU243" s="1"/>
    </row>
    <row r="244">
      <c r="A244" s="1"/>
      <c r="B244" s="10" t="s">
        <v>95</v>
      </c>
      <c r="C244" s="11" t="s">
        <v>51</v>
      </c>
      <c r="D244" s="22"/>
      <c r="E244" s="18"/>
      <c r="F244" s="18"/>
      <c r="G244" s="18"/>
      <c r="H244" s="19"/>
      <c r="I244" s="22"/>
      <c r="J244" s="18"/>
      <c r="K244" s="18"/>
      <c r="L244" s="18"/>
      <c r="M244" s="19"/>
      <c r="N244" s="22"/>
      <c r="O244" s="18"/>
      <c r="P244" s="18"/>
      <c r="Q244" s="18"/>
      <c r="R244" s="19"/>
      <c r="S244" s="22"/>
      <c r="T244" s="18"/>
      <c r="U244" s="18"/>
      <c r="V244" s="18"/>
      <c r="W244" s="19"/>
      <c r="X244" s="18"/>
      <c r="Y244" s="18"/>
      <c r="Z244" s="18"/>
      <c r="AA244" s="18"/>
      <c r="AB244" s="19"/>
      <c r="AC244" s="18"/>
      <c r="AD244" s="18"/>
      <c r="AE244" s="18"/>
      <c r="AF244" s="18"/>
      <c r="AG244" s="19"/>
      <c r="AH244" s="18"/>
      <c r="AI244" s="18"/>
      <c r="AJ244" s="18"/>
      <c r="AK244" s="18"/>
      <c r="AL244" s="19"/>
      <c r="AM244" s="18"/>
      <c r="AN244" s="23">
        <v>112903.0</v>
      </c>
      <c r="AO244" s="18"/>
      <c r="AP244" s="18"/>
      <c r="AQ244" s="19"/>
      <c r="AR244" s="22"/>
      <c r="AS244" s="18"/>
      <c r="AT244" s="18"/>
      <c r="AU244" s="18"/>
      <c r="AV244" s="19"/>
      <c r="AW244" s="22"/>
      <c r="AX244" s="18"/>
      <c r="AY244" s="18"/>
      <c r="AZ244" s="18"/>
      <c r="BA244" s="19"/>
      <c r="BB244" s="22"/>
      <c r="BC244" s="18"/>
      <c r="BD244" s="18"/>
      <c r="BE244" s="18"/>
      <c r="BF244" s="19"/>
      <c r="BG244" s="22"/>
      <c r="BH244" s="18"/>
      <c r="BI244" s="18"/>
      <c r="BJ244" s="18"/>
      <c r="BK244" s="19"/>
      <c r="BL244" s="22"/>
      <c r="BM244" s="18"/>
      <c r="BN244" s="18"/>
      <c r="BO244" s="18"/>
      <c r="BP244" s="19"/>
      <c r="BQ244" s="17" t="s">
        <v>63</v>
      </c>
      <c r="BR244" s="1"/>
      <c r="BS244" s="1"/>
      <c r="BT244" s="1"/>
      <c r="BU244" s="1"/>
    </row>
    <row r="245">
      <c r="A245" s="1"/>
      <c r="B245" s="10" t="s">
        <v>95</v>
      </c>
      <c r="C245" s="11" t="s">
        <v>52</v>
      </c>
      <c r="D245" s="22"/>
      <c r="E245" s="18"/>
      <c r="F245" s="18"/>
      <c r="G245" s="23">
        <v>22869.0</v>
      </c>
      <c r="H245" s="19"/>
      <c r="I245" s="22"/>
      <c r="J245" s="18"/>
      <c r="K245" s="18"/>
      <c r="L245" s="23">
        <v>22869.0</v>
      </c>
      <c r="M245" s="19"/>
      <c r="N245" s="22"/>
      <c r="O245" s="18"/>
      <c r="P245" s="18"/>
      <c r="Q245" s="23">
        <v>22869.0</v>
      </c>
      <c r="R245" s="19"/>
      <c r="S245" s="22"/>
      <c r="T245" s="18"/>
      <c r="U245" s="18"/>
      <c r="V245" s="18"/>
      <c r="W245" s="19"/>
      <c r="X245" s="18"/>
      <c r="Y245" s="18"/>
      <c r="Z245" s="18"/>
      <c r="AA245" s="18"/>
      <c r="AB245" s="19"/>
      <c r="AC245" s="18"/>
      <c r="AD245" s="18"/>
      <c r="AE245" s="18"/>
      <c r="AF245" s="18"/>
      <c r="AG245" s="19"/>
      <c r="AH245" s="18"/>
      <c r="AI245" s="18"/>
      <c r="AJ245" s="18"/>
      <c r="AK245" s="18"/>
      <c r="AL245" s="19"/>
      <c r="AM245" s="18"/>
      <c r="AN245" s="23">
        <v>1500000.0</v>
      </c>
      <c r="AO245" s="18"/>
      <c r="AP245" s="18"/>
      <c r="AQ245" s="19"/>
      <c r="AR245" s="22"/>
      <c r="AS245" s="18"/>
      <c r="AT245" s="18"/>
      <c r="AU245" s="18"/>
      <c r="AV245" s="19"/>
      <c r="AW245" s="22"/>
      <c r="AX245" s="18"/>
      <c r="AY245" s="18"/>
      <c r="AZ245" s="18"/>
      <c r="BA245" s="19"/>
      <c r="BB245" s="22"/>
      <c r="BC245" s="18"/>
      <c r="BD245" s="18"/>
      <c r="BE245" s="18"/>
      <c r="BF245" s="19"/>
      <c r="BG245" s="22"/>
      <c r="BH245" s="18"/>
      <c r="BI245" s="18"/>
      <c r="BJ245" s="18"/>
      <c r="BK245" s="19"/>
      <c r="BL245" s="22"/>
      <c r="BM245" s="18"/>
      <c r="BN245" s="18"/>
      <c r="BO245" s="18"/>
      <c r="BP245" s="19"/>
      <c r="BQ245" s="17" t="s">
        <v>63</v>
      </c>
      <c r="BR245" s="1"/>
      <c r="BS245" s="1"/>
      <c r="BT245" s="1"/>
      <c r="BU245" s="1"/>
    </row>
    <row r="246">
      <c r="A246" s="1"/>
      <c r="B246" s="10" t="s">
        <v>95</v>
      </c>
      <c r="C246" s="11" t="s">
        <v>53</v>
      </c>
      <c r="D246" s="22"/>
      <c r="E246" s="18"/>
      <c r="F246" s="18"/>
      <c r="G246" s="23">
        <v>19900.0</v>
      </c>
      <c r="H246" s="19"/>
      <c r="I246" s="22"/>
      <c r="J246" s="18"/>
      <c r="K246" s="18"/>
      <c r="L246" s="23">
        <v>19900.0</v>
      </c>
      <c r="M246" s="19"/>
      <c r="N246" s="22"/>
      <c r="O246" s="18"/>
      <c r="P246" s="18"/>
      <c r="Q246" s="23">
        <v>19900.0</v>
      </c>
      <c r="R246" s="19"/>
      <c r="S246" s="22"/>
      <c r="T246" s="18"/>
      <c r="U246" s="18"/>
      <c r="V246" s="18"/>
      <c r="W246" s="19"/>
      <c r="X246" s="18"/>
      <c r="Y246" s="18"/>
      <c r="Z246" s="18"/>
      <c r="AA246" s="18"/>
      <c r="AB246" s="19"/>
      <c r="AC246" s="18"/>
      <c r="AD246" s="18"/>
      <c r="AE246" s="18"/>
      <c r="AF246" s="18"/>
      <c r="AG246" s="19"/>
      <c r="AH246" s="18"/>
      <c r="AI246" s="18"/>
      <c r="AJ246" s="18"/>
      <c r="AK246" s="18"/>
      <c r="AL246" s="19"/>
      <c r="AM246" s="18"/>
      <c r="AN246" s="23">
        <f>SUM(AN243:AN245)</f>
        <v>2112903</v>
      </c>
      <c r="AO246" s="18"/>
      <c r="AP246" s="18"/>
      <c r="AQ246" s="19"/>
      <c r="AR246" s="22"/>
      <c r="AS246" s="18"/>
      <c r="AT246" s="18"/>
      <c r="AU246" s="18"/>
      <c r="AV246" s="19"/>
      <c r="AW246" s="22"/>
      <c r="AX246" s="18"/>
      <c r="AY246" s="18"/>
      <c r="AZ246" s="18"/>
      <c r="BA246" s="19"/>
      <c r="BB246" s="22"/>
      <c r="BC246" s="18"/>
      <c r="BD246" s="18"/>
      <c r="BE246" s="18"/>
      <c r="BF246" s="19"/>
      <c r="BG246" s="22"/>
      <c r="BH246" s="18"/>
      <c r="BI246" s="18"/>
      <c r="BJ246" s="18"/>
      <c r="BK246" s="19"/>
      <c r="BL246" s="22"/>
      <c r="BM246" s="18"/>
      <c r="BN246" s="18"/>
      <c r="BO246" s="18"/>
      <c r="BP246" s="19"/>
      <c r="BQ246" s="17" t="s">
        <v>63</v>
      </c>
      <c r="BR246" s="1"/>
      <c r="BS246" s="1"/>
      <c r="BT246" s="1"/>
      <c r="BU246" s="1"/>
    </row>
    <row r="247">
      <c r="A247" s="1"/>
      <c r="B247" s="21"/>
      <c r="C247" s="11" t="s">
        <v>54</v>
      </c>
      <c r="D247" s="22"/>
      <c r="E247" s="18"/>
      <c r="F247" s="18"/>
      <c r="G247" s="23">
        <f>SUMIFS('지출'!$G$3:$G1000,'지출'!$J$3:$J1000,G$1,'지출'!$C$3:$C1000,"이문")</f>
        <v>69290</v>
      </c>
      <c r="H247" s="19"/>
      <c r="I247" s="22"/>
      <c r="J247" s="18"/>
      <c r="K247" s="18"/>
      <c r="L247" s="23">
        <f>SUMIFS('지출'!$G$3:$G1000,'지출'!$J$3:$J1000,L$1,'지출'!$C$3:$C1000,"이문")</f>
        <v>81780</v>
      </c>
      <c r="M247" s="24"/>
      <c r="N247" s="18"/>
      <c r="O247" s="18"/>
      <c r="P247" s="18"/>
      <c r="Q247" s="23">
        <f>SUMIFS('지출'!$G$3:$G1000,'지출'!$J$3:$J1000,Q$1,'지출'!$C$3:$C1000,"이문")</f>
        <v>50090</v>
      </c>
      <c r="R247" s="24"/>
      <c r="S247" s="18"/>
      <c r="T247" s="18"/>
      <c r="U247" s="18"/>
      <c r="V247" s="23">
        <f>SUMIFS('지출'!$G$3:$G1000,'지출'!$J$3:$J1000,V$1,'지출'!$C$3:$C1000,"이문")</f>
        <v>0</v>
      </c>
      <c r="W247" s="24"/>
      <c r="X247" s="18"/>
      <c r="Y247" s="18"/>
      <c r="Z247" s="18"/>
      <c r="AA247" s="23">
        <f>SUMIFS('지출'!$G$3:$G1000,'지출'!$J$3:$J1000,AA$1,'지출'!$C$3:$C1000,"이문")</f>
        <v>0</v>
      </c>
      <c r="AB247" s="24"/>
      <c r="AC247" s="18"/>
      <c r="AD247" s="18"/>
      <c r="AE247" s="18"/>
      <c r="AF247" s="23">
        <f>SUMIFS('지출'!$G$3:$G1000,'지출'!$J$3:$J1000,AF$1,'지출'!$C$3:$C1000,"이문")</f>
        <v>0</v>
      </c>
      <c r="AG247" s="24"/>
      <c r="AH247" s="18"/>
      <c r="AI247" s="18"/>
      <c r="AJ247" s="18"/>
      <c r="AK247" s="23">
        <f>SUMIFS('지출'!$G$3:$G1000,'지출'!$J$3:$J1000,AK$1,'지출'!$C$3:$C1000,"이문")</f>
        <v>0</v>
      </c>
      <c r="AL247" s="24"/>
      <c r="AM247" s="18"/>
      <c r="AN247" s="18"/>
      <c r="AO247" s="18"/>
      <c r="AP247" s="23">
        <f>SUMIFS('지출'!$G$3:$G1000,'지출'!$J$3:$J1000,AP$1,'지출'!$C$3:$C1000,"이문")</f>
        <v>0</v>
      </c>
      <c r="AQ247" s="24"/>
      <c r="AR247" s="18"/>
      <c r="AS247" s="18"/>
      <c r="AT247" s="18"/>
      <c r="AU247" s="23">
        <f>SUMIFS('지출'!$G$3:$G1000,'지출'!$J$3:$J1000,AU$1,'지출'!$C$3:$C1000,"이문")</f>
        <v>0</v>
      </c>
      <c r="AV247" s="24"/>
      <c r="AW247" s="18"/>
      <c r="AX247" s="18"/>
      <c r="AY247" s="18"/>
      <c r="AZ247" s="23">
        <f>SUMIFS('지출'!$G$3:$G1000,'지출'!$J$3:$J1000,AZ$1,'지출'!$C$3:$C1000,"이문")</f>
        <v>0</v>
      </c>
      <c r="BA247" s="24"/>
      <c r="BB247" s="18"/>
      <c r="BC247" s="18"/>
      <c r="BD247" s="18"/>
      <c r="BE247" s="23">
        <f>SUMIFS('지출'!$G$3:$G1000,'지출'!$J$3:$J1000,BE$1,'지출'!$C$3:$C1000,"이문")</f>
        <v>0</v>
      </c>
      <c r="BF247" s="24"/>
      <c r="BG247" s="18"/>
      <c r="BH247" s="18"/>
      <c r="BI247" s="18"/>
      <c r="BJ247" s="23">
        <f>SUMIFS('지출'!$G$3:$G1000,'지출'!$J$3:$J1000,BJ$1,'지출'!$C$3:$C1000,"이문")</f>
        <v>0</v>
      </c>
      <c r="BK247" s="19"/>
      <c r="BL247" s="18"/>
      <c r="BM247" s="18"/>
      <c r="BN247" s="18"/>
      <c r="BO247" s="23">
        <f>SUMIFS('지출'!$G$3:$G1000,'지출'!$J$3:$J1000,BO$1,'지출'!$C$3:$C1000,"이문")</f>
        <v>69290</v>
      </c>
      <c r="BP247" s="19"/>
      <c r="BQ247" s="17" t="s">
        <v>63</v>
      </c>
      <c r="BR247" s="1"/>
      <c r="BS247" s="1"/>
      <c r="BT247" s="1"/>
      <c r="BU247" s="1"/>
    </row>
    <row r="248">
      <c r="A248" s="1"/>
      <c r="B248" s="21"/>
      <c r="C248" s="11" t="s">
        <v>56</v>
      </c>
      <c r="D248" s="22"/>
      <c r="E248" s="23">
        <f>E239-(SUM(E240:E247))</f>
        <v>973793</v>
      </c>
      <c r="F248" s="18"/>
      <c r="G248" s="23">
        <f>G239-(SUM(G240:G247))</f>
        <v>-228350</v>
      </c>
      <c r="H248" s="19"/>
      <c r="I248" s="22"/>
      <c r="J248" s="23">
        <f>J239-(SUM(J240:J247))</f>
        <v>1360000</v>
      </c>
      <c r="K248" s="18"/>
      <c r="L248" s="23">
        <f>L239-(SUM(L240:L247))</f>
        <v>206001</v>
      </c>
      <c r="M248" s="19"/>
      <c r="N248" s="22"/>
      <c r="O248" s="23">
        <f>O239-(SUM(O240:O247))</f>
        <v>1350000</v>
      </c>
      <c r="P248" s="18"/>
      <c r="Q248" s="23">
        <f>Q239-(SUM(Q240:Q247))</f>
        <v>63361</v>
      </c>
      <c r="R248" s="19"/>
      <c r="S248" s="22"/>
      <c r="T248" s="23">
        <f>T239-(SUM(T240:T247))</f>
        <v>1350000</v>
      </c>
      <c r="U248" s="18"/>
      <c r="V248" s="23">
        <f>V239-(SUM(V240:V247))</f>
        <v>400000</v>
      </c>
      <c r="W248" s="19"/>
      <c r="X248" s="18"/>
      <c r="Y248" s="23">
        <f>Y239-(SUM(Y240:Y247))</f>
        <v>1350000</v>
      </c>
      <c r="Z248" s="18"/>
      <c r="AA248" s="23">
        <f>AA239-(SUM(AA240:AA247))</f>
        <v>400000</v>
      </c>
      <c r="AB248" s="19"/>
      <c r="AC248" s="18"/>
      <c r="AD248" s="23">
        <f>AD239-(SUM(AD240:AD247))</f>
        <v>1350000</v>
      </c>
      <c r="AE248" s="18"/>
      <c r="AF248" s="23">
        <f>AF239-(SUM(AF240:AF247))</f>
        <v>400000</v>
      </c>
      <c r="AG248" s="19"/>
      <c r="AH248" s="18"/>
      <c r="AI248" s="23">
        <f>AI239-(SUM(AI240:AI247))</f>
        <v>1350000</v>
      </c>
      <c r="AJ248" s="18"/>
      <c r="AK248" s="23">
        <f>AK239-(SUM(AK240:AK247))</f>
        <v>400000</v>
      </c>
      <c r="AL248" s="19"/>
      <c r="AM248" s="18"/>
      <c r="AN248" s="23">
        <f>AN239-(SUM(AN240:AN247))</f>
        <v>-2756451</v>
      </c>
      <c r="AO248" s="18"/>
      <c r="AP248" s="23">
        <f>AP239-(SUM(AP240:AP247))</f>
        <v>412903</v>
      </c>
      <c r="AQ248" s="19"/>
      <c r="AR248" s="22"/>
      <c r="AS248" s="23">
        <f>AS239-(SUM(AS240:AS247))</f>
        <v>1108080</v>
      </c>
      <c r="AT248" s="18"/>
      <c r="AU248" s="23">
        <f>AU239-(SUM(AU240:AU247))</f>
        <v>320000</v>
      </c>
      <c r="AV248" s="19"/>
      <c r="AW248" s="22"/>
      <c r="AX248" s="23">
        <f>AX239-(SUM(AX240:AX247))</f>
        <v>1108080</v>
      </c>
      <c r="AY248" s="18"/>
      <c r="AZ248" s="23">
        <f>AZ239-(SUM(AZ240:AZ247))</f>
        <v>320000</v>
      </c>
      <c r="BA248" s="19"/>
      <c r="BB248" s="22"/>
      <c r="BC248" s="23">
        <f>BC239-(SUM(BC240:BC247))</f>
        <v>1194080</v>
      </c>
      <c r="BD248" s="18"/>
      <c r="BE248" s="23">
        <f>BE239-(SUM(BE240:BE247))</f>
        <v>336000</v>
      </c>
      <c r="BF248" s="19"/>
      <c r="BG248" s="22"/>
      <c r="BH248" s="23">
        <f>BH239-(SUM(BH240:BH247))</f>
        <v>1538080</v>
      </c>
      <c r="BI248" s="18"/>
      <c r="BJ248" s="23">
        <f>BJ239-(SUM(BJ240:BJ247))</f>
        <v>400000</v>
      </c>
      <c r="BK248" s="19"/>
      <c r="BL248" s="22"/>
      <c r="BM248" s="23">
        <f>BM239-(SUM(BM240:BM247))</f>
        <v>635161</v>
      </c>
      <c r="BN248" s="18"/>
      <c r="BO248" s="23">
        <f>BO239-(SUM(BO240:BO247))</f>
        <v>196516</v>
      </c>
      <c r="BP248" s="19"/>
      <c r="BQ248" s="17" t="s">
        <v>63</v>
      </c>
      <c r="BR248" s="1"/>
      <c r="BS248" s="1"/>
      <c r="BT248" s="1"/>
      <c r="BU248" s="1"/>
    </row>
    <row r="249">
      <c r="A249" s="1"/>
      <c r="B249" s="27">
        <v>0.8</v>
      </c>
      <c r="C249" s="11" t="s">
        <v>26</v>
      </c>
      <c r="D249" s="22"/>
      <c r="E249" s="23">
        <f>E248*$B249</f>
        <v>779034.4</v>
      </c>
      <c r="F249" s="18"/>
      <c r="G249" s="18"/>
      <c r="H249" s="19"/>
      <c r="I249" s="22"/>
      <c r="J249" s="23">
        <f>J248*$B249</f>
        <v>1088000</v>
      </c>
      <c r="K249" s="18"/>
      <c r="L249" s="18"/>
      <c r="M249" s="19"/>
      <c r="N249" s="22"/>
      <c r="O249" s="23">
        <f>O248*$B249</f>
        <v>1080000</v>
      </c>
      <c r="P249" s="18"/>
      <c r="Q249" s="18"/>
      <c r="R249" s="19"/>
      <c r="S249" s="22"/>
      <c r="T249" s="23">
        <f>T248*$B249</f>
        <v>1080000</v>
      </c>
      <c r="U249" s="18"/>
      <c r="V249" s="18"/>
      <c r="W249" s="19"/>
      <c r="X249" s="18"/>
      <c r="Y249" s="23">
        <f>Y248*$B249</f>
        <v>1080000</v>
      </c>
      <c r="Z249" s="18"/>
      <c r="AA249" s="18"/>
      <c r="AB249" s="19"/>
      <c r="AC249" s="18"/>
      <c r="AD249" s="23">
        <f>AD248*$B249</f>
        <v>1080000</v>
      </c>
      <c r="AE249" s="18"/>
      <c r="AF249" s="18"/>
      <c r="AG249" s="19"/>
      <c r="AH249" s="18"/>
      <c r="AI249" s="23">
        <f>AI248*$B249</f>
        <v>1080000</v>
      </c>
      <c r="AJ249" s="18"/>
      <c r="AK249" s="18"/>
      <c r="AL249" s="19"/>
      <c r="AM249" s="18"/>
      <c r="AN249" s="23">
        <f>AN248*$B249</f>
        <v>-2205160.8</v>
      </c>
      <c r="AO249" s="18"/>
      <c r="AP249" s="18"/>
      <c r="AQ249" s="19"/>
      <c r="AR249" s="22"/>
      <c r="AS249" s="23">
        <f>AS248*$B249</f>
        <v>886464</v>
      </c>
      <c r="AT249" s="18"/>
      <c r="AU249" s="18"/>
      <c r="AV249" s="19"/>
      <c r="AW249" s="22"/>
      <c r="AX249" s="23">
        <f>AX248*$B249</f>
        <v>886464</v>
      </c>
      <c r="AY249" s="18"/>
      <c r="AZ249" s="18"/>
      <c r="BA249" s="19"/>
      <c r="BB249" s="22"/>
      <c r="BC249" s="23">
        <f>BC248*$B249</f>
        <v>955264</v>
      </c>
      <c r="BD249" s="18"/>
      <c r="BE249" s="18"/>
      <c r="BF249" s="19"/>
      <c r="BG249" s="22"/>
      <c r="BH249" s="23">
        <f>BH248*$B249</f>
        <v>1230464</v>
      </c>
      <c r="BI249" s="18"/>
      <c r="BJ249" s="18"/>
      <c r="BK249" s="19"/>
      <c r="BL249" s="22"/>
      <c r="BM249" s="23">
        <f>BM248*$B249</f>
        <v>508128.8</v>
      </c>
      <c r="BN249" s="18"/>
      <c r="BO249" s="18"/>
      <c r="BP249" s="19"/>
      <c r="BQ249" s="17" t="s">
        <v>63</v>
      </c>
      <c r="BR249" s="1"/>
      <c r="BS249" s="1"/>
      <c r="BT249" s="1"/>
      <c r="BU249" s="1"/>
    </row>
    <row r="250">
      <c r="A250" s="56" t="str">
        <f>B234</f>
        <v>이문</v>
      </c>
      <c r="B250" s="29">
        <v>0.3</v>
      </c>
      <c r="C250" s="30" t="s">
        <v>57</v>
      </c>
      <c r="D250" s="31"/>
      <c r="E250" s="32">
        <f>E248*$B250</f>
        <v>292137.9</v>
      </c>
      <c r="F250" s="33"/>
      <c r="G250" s="33"/>
      <c r="H250" s="34"/>
      <c r="I250" s="31"/>
      <c r="J250" s="32">
        <f>J248*$B250</f>
        <v>408000</v>
      </c>
      <c r="K250" s="33"/>
      <c r="L250" s="33"/>
      <c r="M250" s="34"/>
      <c r="N250" s="31"/>
      <c r="O250" s="32">
        <f>O248*$B250</f>
        <v>405000</v>
      </c>
      <c r="P250" s="33"/>
      <c r="Q250" s="33"/>
      <c r="R250" s="34"/>
      <c r="S250" s="31"/>
      <c r="T250" s="32">
        <f>T248*$B250</f>
        <v>405000</v>
      </c>
      <c r="U250" s="33"/>
      <c r="V250" s="33"/>
      <c r="W250" s="34"/>
      <c r="X250" s="33"/>
      <c r="Y250" s="32">
        <f>Y248*$B250</f>
        <v>405000</v>
      </c>
      <c r="Z250" s="33"/>
      <c r="AA250" s="33"/>
      <c r="AB250" s="34"/>
      <c r="AC250" s="33"/>
      <c r="AD250" s="32">
        <f>AD248*$B250</f>
        <v>405000</v>
      </c>
      <c r="AE250" s="33"/>
      <c r="AF250" s="33"/>
      <c r="AG250" s="34"/>
      <c r="AH250" s="33"/>
      <c r="AI250" s="32">
        <f>AI248*$B250</f>
        <v>405000</v>
      </c>
      <c r="AJ250" s="33"/>
      <c r="AK250" s="33"/>
      <c r="AL250" s="34"/>
      <c r="AM250" s="33"/>
      <c r="AN250" s="32">
        <f>AN248*$B250</f>
        <v>-826935.3</v>
      </c>
      <c r="AO250" s="33"/>
      <c r="AP250" s="33"/>
      <c r="AQ250" s="34"/>
      <c r="AR250" s="31"/>
      <c r="AS250" s="32">
        <f>AS248*$B250</f>
        <v>332424</v>
      </c>
      <c r="AT250" s="33"/>
      <c r="AU250" s="33"/>
      <c r="AV250" s="34"/>
      <c r="AW250" s="31"/>
      <c r="AX250" s="32">
        <f>AX248*$B250</f>
        <v>332424</v>
      </c>
      <c r="AY250" s="33"/>
      <c r="AZ250" s="33"/>
      <c r="BA250" s="34"/>
      <c r="BB250" s="31"/>
      <c r="BC250" s="32">
        <f>BC248*$B250</f>
        <v>358224</v>
      </c>
      <c r="BD250" s="33"/>
      <c r="BE250" s="33"/>
      <c r="BF250" s="34"/>
      <c r="BG250" s="31"/>
      <c r="BH250" s="32">
        <f>BH248*$B250</f>
        <v>461424</v>
      </c>
      <c r="BI250" s="33"/>
      <c r="BJ250" s="33"/>
      <c r="BK250" s="34"/>
      <c r="BL250" s="31"/>
      <c r="BM250" s="32">
        <f>BM248*$B250</f>
        <v>190548.3</v>
      </c>
      <c r="BN250" s="33"/>
      <c r="BO250" s="33"/>
      <c r="BP250" s="34"/>
      <c r="BQ250" s="17" t="s">
        <v>63</v>
      </c>
      <c r="BR250" s="1"/>
      <c r="BS250" s="1"/>
      <c r="BT250" s="1"/>
      <c r="BU250" s="1"/>
    </row>
    <row r="251">
      <c r="A251" s="1"/>
      <c r="B251" s="10" t="s">
        <v>474</v>
      </c>
      <c r="C251" s="11" t="s">
        <v>475</v>
      </c>
      <c r="D251" s="20" t="s">
        <v>476</v>
      </c>
      <c r="E251" s="23">
        <v>550000.0</v>
      </c>
      <c r="F251" s="35" t="b">
        <v>1</v>
      </c>
      <c r="G251" s="23">
        <v>80000.0</v>
      </c>
      <c r="H251" s="15" t="b">
        <v>1</v>
      </c>
      <c r="I251" s="20" t="s">
        <v>477</v>
      </c>
      <c r="J251" s="23">
        <v>360345.0</v>
      </c>
      <c r="K251" s="35" t="b">
        <v>1</v>
      </c>
      <c r="L251" s="23">
        <v>52414.0</v>
      </c>
      <c r="M251" s="15" t="b">
        <v>1</v>
      </c>
      <c r="N251" s="20" t="s">
        <v>478</v>
      </c>
      <c r="O251" s="23">
        <v>550000.0</v>
      </c>
      <c r="P251" s="35" t="b">
        <v>1</v>
      </c>
      <c r="Q251" s="23">
        <v>80000.0</v>
      </c>
      <c r="R251" s="15" t="b">
        <v>1</v>
      </c>
      <c r="S251" s="20" t="s">
        <v>479</v>
      </c>
      <c r="T251" s="23">
        <v>550000.0</v>
      </c>
      <c r="U251" s="35" t="b">
        <v>1</v>
      </c>
      <c r="V251" s="23">
        <v>80000.0</v>
      </c>
      <c r="W251" s="15" t="b">
        <v>1</v>
      </c>
      <c r="X251" s="20" t="s">
        <v>479</v>
      </c>
      <c r="Y251" s="23">
        <v>550000.0</v>
      </c>
      <c r="Z251" s="35" t="b">
        <v>1</v>
      </c>
      <c r="AA251" s="23">
        <v>80000.0</v>
      </c>
      <c r="AB251" s="15" t="b">
        <v>1</v>
      </c>
      <c r="AC251" s="20" t="s">
        <v>479</v>
      </c>
      <c r="AD251" s="23">
        <v>550000.0</v>
      </c>
      <c r="AE251" s="35" t="b">
        <v>1</v>
      </c>
      <c r="AF251" s="23">
        <v>80000.0</v>
      </c>
      <c r="AG251" s="15" t="b">
        <v>1</v>
      </c>
      <c r="AH251" s="20" t="s">
        <v>479</v>
      </c>
      <c r="AI251" s="23">
        <v>550000.0</v>
      </c>
      <c r="AJ251" s="35" t="b">
        <v>1</v>
      </c>
      <c r="AK251" s="23">
        <v>80000.0</v>
      </c>
      <c r="AL251" s="15" t="b">
        <v>1</v>
      </c>
      <c r="AM251" s="20" t="s">
        <v>479</v>
      </c>
      <c r="AN251" s="23">
        <v>550000.0</v>
      </c>
      <c r="AO251" s="35" t="b">
        <v>1</v>
      </c>
      <c r="AP251" s="23">
        <v>80000.0</v>
      </c>
      <c r="AQ251" s="15" t="b">
        <v>1</v>
      </c>
      <c r="AR251" s="20" t="s">
        <v>479</v>
      </c>
      <c r="AS251" s="23">
        <v>550000.0</v>
      </c>
      <c r="AT251" s="35" t="b">
        <v>1</v>
      </c>
      <c r="AU251" s="23">
        <v>80000.0</v>
      </c>
      <c r="AV251" s="15" t="b">
        <v>1</v>
      </c>
      <c r="AW251" s="20" t="s">
        <v>479</v>
      </c>
      <c r="AX251" s="23">
        <v>550000.0</v>
      </c>
      <c r="AY251" s="35" t="b">
        <v>1</v>
      </c>
      <c r="AZ251" s="23">
        <v>80000.0</v>
      </c>
      <c r="BA251" s="15" t="b">
        <v>1</v>
      </c>
      <c r="BB251" s="20" t="s">
        <v>479</v>
      </c>
      <c r="BC251" s="23">
        <v>550000.0</v>
      </c>
      <c r="BD251" s="35" t="b">
        <v>1</v>
      </c>
      <c r="BE251" s="23">
        <v>80000.0</v>
      </c>
      <c r="BF251" s="15" t="b">
        <v>1</v>
      </c>
      <c r="BG251" s="20" t="s">
        <v>479</v>
      </c>
      <c r="BH251" s="23">
        <v>550000.0</v>
      </c>
      <c r="BI251" s="35" t="b">
        <v>1</v>
      </c>
      <c r="BJ251" s="23">
        <v>80000.0</v>
      </c>
      <c r="BK251" s="15" t="b">
        <v>1</v>
      </c>
      <c r="BL251" s="20" t="s">
        <v>479</v>
      </c>
      <c r="BM251" s="23">
        <v>550000.0</v>
      </c>
      <c r="BN251" s="35" t="b">
        <v>0</v>
      </c>
      <c r="BO251" s="23">
        <v>80000.0</v>
      </c>
      <c r="BP251" s="15" t="b">
        <v>0</v>
      </c>
      <c r="BQ251" s="17" t="s">
        <v>321</v>
      </c>
      <c r="BR251" s="1"/>
      <c r="BS251" s="1"/>
      <c r="BT251" s="1"/>
      <c r="BU251" s="1"/>
    </row>
    <row r="252">
      <c r="A252" s="1"/>
      <c r="B252" s="10" t="s">
        <v>474</v>
      </c>
      <c r="C252" s="11" t="s">
        <v>480</v>
      </c>
      <c r="D252" s="20" t="s">
        <v>481</v>
      </c>
      <c r="E252" s="23">
        <v>500000.0</v>
      </c>
      <c r="F252" s="35" t="b">
        <v>1</v>
      </c>
      <c r="G252" s="23">
        <v>80000.0</v>
      </c>
      <c r="H252" s="15" t="b">
        <v>1</v>
      </c>
      <c r="I252" s="20" t="s">
        <v>482</v>
      </c>
      <c r="J252" s="23">
        <f>500000+103448</f>
        <v>603448</v>
      </c>
      <c r="K252" s="35" t="b">
        <v>1</v>
      </c>
      <c r="L252" s="23">
        <f>80000+16552</f>
        <v>96552</v>
      </c>
      <c r="M252" s="15" t="b">
        <v>1</v>
      </c>
      <c r="N252" s="20" t="s">
        <v>483</v>
      </c>
      <c r="O252" s="23">
        <v>500000.0</v>
      </c>
      <c r="P252" s="35" t="b">
        <v>1</v>
      </c>
      <c r="Q252" s="23">
        <v>80000.0</v>
      </c>
      <c r="R252" s="15" t="b">
        <v>1</v>
      </c>
      <c r="S252" s="20" t="s">
        <v>483</v>
      </c>
      <c r="T252" s="23">
        <v>500000.0</v>
      </c>
      <c r="U252" s="35" t="b">
        <v>1</v>
      </c>
      <c r="V252" s="23">
        <v>80000.0</v>
      </c>
      <c r="W252" s="15" t="b">
        <v>1</v>
      </c>
      <c r="X252" s="20" t="s">
        <v>483</v>
      </c>
      <c r="Y252" s="23">
        <v>500000.0</v>
      </c>
      <c r="Z252" s="35" t="b">
        <v>1</v>
      </c>
      <c r="AA252" s="23">
        <v>80000.0</v>
      </c>
      <c r="AB252" s="15" t="b">
        <v>1</v>
      </c>
      <c r="AC252" s="20" t="s">
        <v>483</v>
      </c>
      <c r="AD252" s="23">
        <v>500000.0</v>
      </c>
      <c r="AE252" s="35" t="b">
        <v>1</v>
      </c>
      <c r="AF252" s="23">
        <v>80000.0</v>
      </c>
      <c r="AG252" s="15" t="b">
        <v>1</v>
      </c>
      <c r="AH252" s="20" t="s">
        <v>483</v>
      </c>
      <c r="AI252" s="23">
        <v>500000.0</v>
      </c>
      <c r="AJ252" s="35" t="b">
        <v>1</v>
      </c>
      <c r="AK252" s="23">
        <v>80000.0</v>
      </c>
      <c r="AL252" s="15" t="b">
        <v>1</v>
      </c>
      <c r="AM252" s="20" t="s">
        <v>483</v>
      </c>
      <c r="AN252" s="23">
        <v>500000.0</v>
      </c>
      <c r="AO252" s="35" t="b">
        <v>1</v>
      </c>
      <c r="AP252" s="23">
        <v>80000.0</v>
      </c>
      <c r="AQ252" s="15" t="b">
        <v>1</v>
      </c>
      <c r="AR252" s="20" t="s">
        <v>483</v>
      </c>
      <c r="AS252" s="23">
        <v>500000.0</v>
      </c>
      <c r="AT252" s="35" t="b">
        <v>1</v>
      </c>
      <c r="AU252" s="23">
        <v>80000.0</v>
      </c>
      <c r="AV252" s="15" t="b">
        <v>1</v>
      </c>
      <c r="AW252" s="20" t="s">
        <v>483</v>
      </c>
      <c r="AX252" s="23">
        <v>500000.0</v>
      </c>
      <c r="AY252" s="35" t="b">
        <v>1</v>
      </c>
      <c r="AZ252" s="23">
        <v>80000.0</v>
      </c>
      <c r="BA252" s="15" t="b">
        <v>1</v>
      </c>
      <c r="BB252" s="20" t="s">
        <v>483</v>
      </c>
      <c r="BC252" s="23">
        <v>500000.0</v>
      </c>
      <c r="BD252" s="35" t="b">
        <v>1</v>
      </c>
      <c r="BE252" s="23">
        <v>80000.0</v>
      </c>
      <c r="BF252" s="15" t="b">
        <v>1</v>
      </c>
      <c r="BG252" s="20" t="s">
        <v>483</v>
      </c>
      <c r="BH252" s="23">
        <v>500000.0</v>
      </c>
      <c r="BI252" s="35" t="b">
        <v>1</v>
      </c>
      <c r="BJ252" s="23">
        <v>80000.0</v>
      </c>
      <c r="BK252" s="15" t="b">
        <v>1</v>
      </c>
      <c r="BL252" s="20" t="s">
        <v>483</v>
      </c>
      <c r="BM252" s="23">
        <v>500000.0</v>
      </c>
      <c r="BN252" s="35" t="b">
        <v>0</v>
      </c>
      <c r="BO252" s="23">
        <v>80000.0</v>
      </c>
      <c r="BP252" s="15" t="b">
        <v>0</v>
      </c>
      <c r="BQ252" s="17" t="s">
        <v>321</v>
      </c>
      <c r="BR252" s="1"/>
      <c r="BS252" s="1"/>
      <c r="BT252" s="1"/>
      <c r="BU252" s="1"/>
    </row>
    <row r="253">
      <c r="A253" s="1"/>
      <c r="B253" s="10" t="s">
        <v>474</v>
      </c>
      <c r="C253" s="11" t="s">
        <v>484</v>
      </c>
      <c r="D253" s="20" t="s">
        <v>37</v>
      </c>
      <c r="E253" s="18"/>
      <c r="F253" s="1"/>
      <c r="G253" s="18"/>
      <c r="H253" s="19"/>
      <c r="I253" s="20" t="s">
        <v>485</v>
      </c>
      <c r="J253" s="23">
        <v>127931.0</v>
      </c>
      <c r="K253" s="35" t="b">
        <v>1</v>
      </c>
      <c r="L253" s="23">
        <v>19310.0</v>
      </c>
      <c r="M253" s="15" t="b">
        <v>1</v>
      </c>
      <c r="N253" s="20" t="s">
        <v>486</v>
      </c>
      <c r="O253" s="23">
        <v>530000.0</v>
      </c>
      <c r="P253" s="35" t="b">
        <v>1</v>
      </c>
      <c r="Q253" s="23">
        <v>80000.0</v>
      </c>
      <c r="R253" s="15" t="b">
        <v>1</v>
      </c>
      <c r="S253" s="20" t="s">
        <v>486</v>
      </c>
      <c r="T253" s="23">
        <v>530000.0</v>
      </c>
      <c r="U253" s="35" t="b">
        <v>1</v>
      </c>
      <c r="V253" s="23">
        <v>80000.0</v>
      </c>
      <c r="W253" s="15" t="b">
        <v>1</v>
      </c>
      <c r="X253" s="20" t="s">
        <v>486</v>
      </c>
      <c r="Y253" s="23">
        <v>530000.0</v>
      </c>
      <c r="Z253" s="35" t="b">
        <v>1</v>
      </c>
      <c r="AA253" s="23">
        <v>80000.0</v>
      </c>
      <c r="AB253" s="15" t="b">
        <v>1</v>
      </c>
      <c r="AC253" s="20" t="s">
        <v>486</v>
      </c>
      <c r="AD253" s="23">
        <v>530000.0</v>
      </c>
      <c r="AE253" s="35" t="b">
        <v>1</v>
      </c>
      <c r="AF253" s="23">
        <v>80000.0</v>
      </c>
      <c r="AG253" s="15" t="b">
        <v>1</v>
      </c>
      <c r="AH253" s="20" t="s">
        <v>486</v>
      </c>
      <c r="AI253" s="23">
        <v>530000.0</v>
      </c>
      <c r="AJ253" s="35" t="b">
        <v>1</v>
      </c>
      <c r="AK253" s="23">
        <v>80000.0</v>
      </c>
      <c r="AL253" s="15" t="b">
        <v>1</v>
      </c>
      <c r="AM253" s="20" t="s">
        <v>487</v>
      </c>
      <c r="AN253" s="23">
        <f>530000+112903</f>
        <v>642903</v>
      </c>
      <c r="AO253" s="35" t="b">
        <v>1</v>
      </c>
      <c r="AP253" s="23">
        <f>80000+18065</f>
        <v>98065</v>
      </c>
      <c r="AQ253" s="15" t="b">
        <v>1</v>
      </c>
      <c r="AR253" s="20" t="s">
        <v>488</v>
      </c>
      <c r="AS253" s="23">
        <v>500000.0</v>
      </c>
      <c r="AT253" s="35" t="b">
        <v>1</v>
      </c>
      <c r="AU253" s="23">
        <v>80000.0</v>
      </c>
      <c r="AV253" s="15" t="b">
        <v>1</v>
      </c>
      <c r="AW253" s="20" t="s">
        <v>488</v>
      </c>
      <c r="AX253" s="23">
        <v>500000.0</v>
      </c>
      <c r="AY253" s="35" t="b">
        <v>1</v>
      </c>
      <c r="AZ253" s="23">
        <v>80000.0</v>
      </c>
      <c r="BA253" s="15" t="b">
        <v>1</v>
      </c>
      <c r="BB253" s="20" t="s">
        <v>488</v>
      </c>
      <c r="BC253" s="23">
        <v>500000.0</v>
      </c>
      <c r="BD253" s="35" t="b">
        <v>1</v>
      </c>
      <c r="BE253" s="23">
        <v>80000.0</v>
      </c>
      <c r="BF253" s="15" t="b">
        <v>1</v>
      </c>
      <c r="BG253" s="20" t="s">
        <v>488</v>
      </c>
      <c r="BH253" s="23">
        <v>500000.0</v>
      </c>
      <c r="BI253" s="35" t="b">
        <v>1</v>
      </c>
      <c r="BJ253" s="23">
        <v>80000.0</v>
      </c>
      <c r="BK253" s="15" t="b">
        <v>1</v>
      </c>
      <c r="BL253" s="20" t="s">
        <v>488</v>
      </c>
      <c r="BM253" s="23">
        <v>500000.0</v>
      </c>
      <c r="BN253" s="35" t="b">
        <v>0</v>
      </c>
      <c r="BO253" s="23">
        <v>80000.0</v>
      </c>
      <c r="BP253" s="15" t="b">
        <v>0</v>
      </c>
      <c r="BQ253" s="17" t="s">
        <v>321</v>
      </c>
      <c r="BR253" s="1"/>
      <c r="BS253" s="1"/>
      <c r="BT253" s="1"/>
      <c r="BU253" s="1"/>
    </row>
    <row r="254">
      <c r="A254" s="1"/>
      <c r="B254" s="10" t="s">
        <v>474</v>
      </c>
      <c r="C254" s="11" t="s">
        <v>489</v>
      </c>
      <c r="D254" s="20" t="s">
        <v>37</v>
      </c>
      <c r="E254" s="18"/>
      <c r="F254" s="1"/>
      <c r="G254" s="18"/>
      <c r="H254" s="19"/>
      <c r="I254" s="20" t="s">
        <v>37</v>
      </c>
      <c r="J254" s="18"/>
      <c r="K254" s="1"/>
      <c r="L254" s="18"/>
      <c r="M254" s="19"/>
      <c r="N254" s="20" t="s">
        <v>490</v>
      </c>
      <c r="O254" s="23">
        <v>483871.0</v>
      </c>
      <c r="P254" s="35" t="b">
        <v>1</v>
      </c>
      <c r="Q254" s="23">
        <v>77419.0</v>
      </c>
      <c r="R254" s="15" t="b">
        <v>1</v>
      </c>
      <c r="S254" s="20" t="s">
        <v>491</v>
      </c>
      <c r="T254" s="23">
        <v>500000.0</v>
      </c>
      <c r="U254" s="35" t="b">
        <v>1</v>
      </c>
      <c r="V254" s="23">
        <v>80000.0</v>
      </c>
      <c r="W254" s="15" t="b">
        <v>1</v>
      </c>
      <c r="X254" s="20" t="s">
        <v>491</v>
      </c>
      <c r="Y254" s="23">
        <v>500000.0</v>
      </c>
      <c r="Z254" s="35" t="b">
        <v>1</v>
      </c>
      <c r="AA254" s="23">
        <v>80000.0</v>
      </c>
      <c r="AB254" s="15" t="b">
        <v>1</v>
      </c>
      <c r="AC254" s="20" t="s">
        <v>492</v>
      </c>
      <c r="AD254" s="23">
        <v>500000.0</v>
      </c>
      <c r="AE254" s="35" t="b">
        <v>1</v>
      </c>
      <c r="AF254" s="23">
        <v>80000.0</v>
      </c>
      <c r="AG254" s="15" t="b">
        <v>1</v>
      </c>
      <c r="AH254" s="20" t="s">
        <v>493</v>
      </c>
      <c r="AI254" s="23">
        <v>500000.0</v>
      </c>
      <c r="AJ254" s="35" t="b">
        <v>1</v>
      </c>
      <c r="AK254" s="23">
        <v>0.0</v>
      </c>
      <c r="AL254" s="15" t="b">
        <v>1</v>
      </c>
      <c r="AM254" s="20" t="s">
        <v>494</v>
      </c>
      <c r="AN254" s="23">
        <f>403226+153871</f>
        <v>557097</v>
      </c>
      <c r="AO254" s="35" t="b">
        <v>1</v>
      </c>
      <c r="AP254" s="23">
        <v>23226.0</v>
      </c>
      <c r="AQ254" s="15" t="b">
        <v>1</v>
      </c>
      <c r="AR254" s="20" t="s">
        <v>495</v>
      </c>
      <c r="AS254" s="23">
        <v>530000.0</v>
      </c>
      <c r="AT254" s="35" t="b">
        <v>1</v>
      </c>
      <c r="AU254" s="23">
        <v>80000.0</v>
      </c>
      <c r="AV254" s="15" t="b">
        <v>1</v>
      </c>
      <c r="AW254" s="20" t="s">
        <v>495</v>
      </c>
      <c r="AX254" s="23">
        <v>530000.0</v>
      </c>
      <c r="AY254" s="35" t="b">
        <v>1</v>
      </c>
      <c r="AZ254" s="23">
        <v>80000.0</v>
      </c>
      <c r="BA254" s="15" t="b">
        <v>1</v>
      </c>
      <c r="BB254" s="20" t="s">
        <v>495</v>
      </c>
      <c r="BC254" s="23">
        <v>530000.0</v>
      </c>
      <c r="BD254" s="35" t="b">
        <v>1</v>
      </c>
      <c r="BE254" s="23">
        <v>80000.0</v>
      </c>
      <c r="BF254" s="15" t="b">
        <v>1</v>
      </c>
      <c r="BG254" s="20" t="s">
        <v>495</v>
      </c>
      <c r="BH254" s="23">
        <v>530000.0</v>
      </c>
      <c r="BI254" s="35" t="b">
        <v>1</v>
      </c>
      <c r="BJ254" s="23">
        <v>80000.0</v>
      </c>
      <c r="BK254" s="15" t="b">
        <v>1</v>
      </c>
      <c r="BL254" s="20" t="s">
        <v>495</v>
      </c>
      <c r="BM254" s="23">
        <v>530000.0</v>
      </c>
      <c r="BN254" s="35" t="b">
        <v>0</v>
      </c>
      <c r="BO254" s="23">
        <v>80000.0</v>
      </c>
      <c r="BP254" s="15" t="b">
        <v>0</v>
      </c>
      <c r="BQ254" s="17" t="s">
        <v>321</v>
      </c>
      <c r="BR254" s="1"/>
      <c r="BS254" s="1"/>
      <c r="BT254" s="1"/>
      <c r="BU254" s="1"/>
    </row>
    <row r="255">
      <c r="A255" s="1"/>
      <c r="B255" s="10" t="s">
        <v>474</v>
      </c>
      <c r="C255" s="11" t="s">
        <v>496</v>
      </c>
      <c r="D255" s="20" t="s">
        <v>497</v>
      </c>
      <c r="E255" s="23">
        <v>550000.0</v>
      </c>
      <c r="F255" s="35" t="b">
        <v>1</v>
      </c>
      <c r="G255" s="23">
        <v>80000.0</v>
      </c>
      <c r="H255" s="15" t="b">
        <v>1</v>
      </c>
      <c r="I255" s="20" t="s">
        <v>498</v>
      </c>
      <c r="J255" s="23">
        <f>550000+36552</f>
        <v>586552</v>
      </c>
      <c r="K255" s="35" t="b">
        <v>1</v>
      </c>
      <c r="L255" s="23">
        <f>80000+5517</f>
        <v>85517</v>
      </c>
      <c r="M255" s="15" t="b">
        <v>1</v>
      </c>
      <c r="N255" s="20" t="s">
        <v>499</v>
      </c>
      <c r="O255" s="23">
        <v>530000.0</v>
      </c>
      <c r="P255" s="35" t="b">
        <v>1</v>
      </c>
      <c r="Q255" s="23">
        <v>80000.0</v>
      </c>
      <c r="R255" s="15" t="b">
        <v>1</v>
      </c>
      <c r="S255" s="20" t="s">
        <v>499</v>
      </c>
      <c r="T255" s="23">
        <v>530000.0</v>
      </c>
      <c r="U255" s="35" t="b">
        <v>1</v>
      </c>
      <c r="V255" s="23">
        <v>80000.0</v>
      </c>
      <c r="W255" s="35" t="b">
        <v>1</v>
      </c>
      <c r="X255" s="20" t="s">
        <v>499</v>
      </c>
      <c r="Y255" s="23">
        <v>530000.0</v>
      </c>
      <c r="Z255" s="35" t="b">
        <v>1</v>
      </c>
      <c r="AA255" s="23">
        <v>80000.0</v>
      </c>
      <c r="AB255" s="15" t="b">
        <v>1</v>
      </c>
      <c r="AC255" s="20" t="s">
        <v>499</v>
      </c>
      <c r="AD255" s="23">
        <v>530000.0</v>
      </c>
      <c r="AE255" s="35" t="b">
        <v>1</v>
      </c>
      <c r="AF255" s="23">
        <v>80000.0</v>
      </c>
      <c r="AG255" s="15" t="b">
        <v>1</v>
      </c>
      <c r="AH255" s="20" t="s">
        <v>499</v>
      </c>
      <c r="AI255" s="23">
        <v>530000.0</v>
      </c>
      <c r="AJ255" s="35" t="b">
        <v>1</v>
      </c>
      <c r="AK255" s="23">
        <v>80000.0</v>
      </c>
      <c r="AL255" s="15" t="b">
        <v>1</v>
      </c>
      <c r="AM255" s="20" t="s">
        <v>500</v>
      </c>
      <c r="AN255" s="23">
        <f>530000+112903</f>
        <v>642903</v>
      </c>
      <c r="AO255" s="35" t="b">
        <v>1</v>
      </c>
      <c r="AP255" s="23">
        <f>80000+18065</f>
        <v>98065</v>
      </c>
      <c r="AQ255" s="15" t="b">
        <v>1</v>
      </c>
      <c r="AR255" s="20" t="s">
        <v>501</v>
      </c>
      <c r="AS255" s="23">
        <v>500000.0</v>
      </c>
      <c r="AT255" s="35" t="b">
        <v>1</v>
      </c>
      <c r="AU255" s="23">
        <v>80000.0</v>
      </c>
      <c r="AV255" s="15" t="b">
        <v>1</v>
      </c>
      <c r="AW255" s="20" t="s">
        <v>501</v>
      </c>
      <c r="AX255" s="23">
        <v>500000.0</v>
      </c>
      <c r="AY255" s="35" t="b">
        <v>1</v>
      </c>
      <c r="AZ255" s="23">
        <v>80000.0</v>
      </c>
      <c r="BA255" s="15" t="b">
        <v>1</v>
      </c>
      <c r="BB255" s="20" t="s">
        <v>501</v>
      </c>
      <c r="BC255" s="23">
        <v>500000.0</v>
      </c>
      <c r="BD255" s="35" t="b">
        <v>1</v>
      </c>
      <c r="BE255" s="23">
        <v>80000.0</v>
      </c>
      <c r="BF255" s="15" t="b">
        <v>1</v>
      </c>
      <c r="BG255" s="20" t="s">
        <v>501</v>
      </c>
      <c r="BH255" s="23">
        <v>500000.0</v>
      </c>
      <c r="BI255" s="35" t="b">
        <v>1</v>
      </c>
      <c r="BJ255" s="23">
        <v>80000.0</v>
      </c>
      <c r="BK255" s="15" t="b">
        <v>1</v>
      </c>
      <c r="BL255" s="20" t="s">
        <v>501</v>
      </c>
      <c r="BM255" s="23">
        <v>500000.0</v>
      </c>
      <c r="BN255" s="35" t="b">
        <v>0</v>
      </c>
      <c r="BO255" s="23">
        <v>80000.0</v>
      </c>
      <c r="BP255" s="15" t="b">
        <v>0</v>
      </c>
      <c r="BQ255" s="17" t="s">
        <v>321</v>
      </c>
      <c r="BR255" s="1"/>
      <c r="BS255" s="1"/>
      <c r="BT255" s="1"/>
      <c r="BU255" s="1"/>
    </row>
    <row r="256">
      <c r="A256" s="1"/>
      <c r="B256" s="21"/>
      <c r="C256" s="11" t="s">
        <v>42</v>
      </c>
      <c r="D256" s="22"/>
      <c r="E256" s="23">
        <f>SUM(E251:E255)</f>
        <v>1600000</v>
      </c>
      <c r="F256" s="18"/>
      <c r="G256" s="23">
        <f>SUM(G251:G255)</f>
        <v>240000</v>
      </c>
      <c r="H256" s="19"/>
      <c r="I256" s="22"/>
      <c r="J256" s="23">
        <f>SUM(J251:J255)</f>
        <v>1678276</v>
      </c>
      <c r="K256" s="18"/>
      <c r="L256" s="23">
        <f>SUM(L251:L255)</f>
        <v>253793</v>
      </c>
      <c r="M256" s="19"/>
      <c r="N256" s="22"/>
      <c r="O256" s="23">
        <f>SUM(O251:O255)</f>
        <v>2593871</v>
      </c>
      <c r="P256" s="18"/>
      <c r="Q256" s="23">
        <f>SUM(Q251:Q255)</f>
        <v>397419</v>
      </c>
      <c r="R256" s="19"/>
      <c r="S256" s="22"/>
      <c r="T256" s="23">
        <f>SUM(T251:T255)</f>
        <v>2610000</v>
      </c>
      <c r="U256" s="18"/>
      <c r="V256" s="23">
        <f>SUM(V251:V255)</f>
        <v>400000</v>
      </c>
      <c r="W256" s="19"/>
      <c r="X256" s="18"/>
      <c r="Y256" s="23">
        <f>SUM(Y251:Y255)</f>
        <v>2610000</v>
      </c>
      <c r="Z256" s="18"/>
      <c r="AA256" s="23">
        <f>SUM(AA251:AA255)</f>
        <v>400000</v>
      </c>
      <c r="AB256" s="19"/>
      <c r="AC256" s="18"/>
      <c r="AD256" s="23">
        <f>SUM(AD251:AD255)</f>
        <v>2610000</v>
      </c>
      <c r="AE256" s="18"/>
      <c r="AF256" s="23">
        <f>SUM(AF251:AF255)</f>
        <v>400000</v>
      </c>
      <c r="AG256" s="19"/>
      <c r="AH256" s="18"/>
      <c r="AI256" s="23">
        <f>SUM(AI251:AI255)</f>
        <v>2610000</v>
      </c>
      <c r="AJ256" s="18"/>
      <c r="AK256" s="23">
        <f>SUM(AK251:AK255)</f>
        <v>320000</v>
      </c>
      <c r="AL256" s="19"/>
      <c r="AM256" s="18"/>
      <c r="AN256" s="23">
        <f>SUM(AN251:AN255)</f>
        <v>2892903</v>
      </c>
      <c r="AO256" s="18"/>
      <c r="AP256" s="23">
        <f>SUM(AP251:AP255)</f>
        <v>379356</v>
      </c>
      <c r="AQ256" s="19"/>
      <c r="AR256" s="22"/>
      <c r="AS256" s="23">
        <f>SUM(AS251:AS255)</f>
        <v>2580000</v>
      </c>
      <c r="AT256" s="18"/>
      <c r="AU256" s="23">
        <f>SUM(AU251:AU255)</f>
        <v>400000</v>
      </c>
      <c r="AV256" s="19"/>
      <c r="AW256" s="22"/>
      <c r="AX256" s="23">
        <f>SUM(AX251:AX255)</f>
        <v>2580000</v>
      </c>
      <c r="AY256" s="18"/>
      <c r="AZ256" s="23">
        <f>SUM(AZ251:AZ255)</f>
        <v>400000</v>
      </c>
      <c r="BA256" s="19"/>
      <c r="BB256" s="22"/>
      <c r="BC256" s="23">
        <f>SUM(BC251:BC255)</f>
        <v>2580000</v>
      </c>
      <c r="BD256" s="18"/>
      <c r="BE256" s="23">
        <f>SUM(BE251:BE255)</f>
        <v>400000</v>
      </c>
      <c r="BF256" s="19"/>
      <c r="BG256" s="22"/>
      <c r="BH256" s="23">
        <f>SUM(BH251:BH255)</f>
        <v>2580000</v>
      </c>
      <c r="BI256" s="18"/>
      <c r="BJ256" s="23">
        <f>SUM(BJ251:BJ255)</f>
        <v>400000</v>
      </c>
      <c r="BK256" s="19"/>
      <c r="BL256" s="22"/>
      <c r="BM256" s="23">
        <f>SUM(BM251:BM255)</f>
        <v>2580000</v>
      </c>
      <c r="BN256" s="18"/>
      <c r="BO256" s="23">
        <f>SUM(BO251:BO255)</f>
        <v>400000</v>
      </c>
      <c r="BP256" s="19"/>
      <c r="BQ256" s="17" t="s">
        <v>321</v>
      </c>
      <c r="BR256" s="1"/>
      <c r="BS256" s="1"/>
      <c r="BT256" s="1"/>
      <c r="BU256" s="1"/>
    </row>
    <row r="257">
      <c r="A257" s="1"/>
      <c r="B257" s="21"/>
      <c r="C257" s="11" t="s">
        <v>43</v>
      </c>
      <c r="D257" s="22"/>
      <c r="E257" s="23">
        <v>900000.0</v>
      </c>
      <c r="F257" s="18"/>
      <c r="G257" s="18"/>
      <c r="H257" s="19"/>
      <c r="I257" s="22"/>
      <c r="J257" s="23">
        <v>900000.0</v>
      </c>
      <c r="K257" s="18"/>
      <c r="L257" s="18"/>
      <c r="M257" s="19"/>
      <c r="N257" s="22"/>
      <c r="O257" s="23">
        <v>900000.0</v>
      </c>
      <c r="P257" s="18"/>
      <c r="Q257" s="18"/>
      <c r="R257" s="19"/>
      <c r="S257" s="22"/>
      <c r="T257" s="23">
        <v>900000.0</v>
      </c>
      <c r="U257" s="18"/>
      <c r="V257" s="18"/>
      <c r="W257" s="19"/>
      <c r="X257" s="18"/>
      <c r="Y257" s="23">
        <v>900000.0</v>
      </c>
      <c r="Z257" s="18"/>
      <c r="AA257" s="18"/>
      <c r="AB257" s="19"/>
      <c r="AC257" s="18"/>
      <c r="AD257" s="23">
        <v>900000.0</v>
      </c>
      <c r="AE257" s="18"/>
      <c r="AF257" s="18"/>
      <c r="AG257" s="19"/>
      <c r="AH257" s="18"/>
      <c r="AI257" s="23">
        <v>900000.0</v>
      </c>
      <c r="AJ257" s="18"/>
      <c r="AK257" s="18"/>
      <c r="AL257" s="19"/>
      <c r="AM257" s="18"/>
      <c r="AN257" s="23">
        <v>900000.0</v>
      </c>
      <c r="AO257" s="18"/>
      <c r="AP257" s="18"/>
      <c r="AQ257" s="19"/>
      <c r="AR257" s="22"/>
      <c r="AS257" s="23">
        <v>900000.0</v>
      </c>
      <c r="AT257" s="18"/>
      <c r="AU257" s="18"/>
      <c r="AV257" s="19"/>
      <c r="AW257" s="22"/>
      <c r="AX257" s="23">
        <v>900000.0</v>
      </c>
      <c r="AY257" s="18"/>
      <c r="AZ257" s="18"/>
      <c r="BA257" s="19"/>
      <c r="BB257" s="22"/>
      <c r="BC257" s="23">
        <v>900000.0</v>
      </c>
      <c r="BD257" s="18"/>
      <c r="BE257" s="18"/>
      <c r="BF257" s="19"/>
      <c r="BG257" s="22"/>
      <c r="BH257" s="23">
        <v>900000.0</v>
      </c>
      <c r="BI257" s="18"/>
      <c r="BJ257" s="18"/>
      <c r="BK257" s="19"/>
      <c r="BL257" s="22"/>
      <c r="BM257" s="23">
        <v>900000.0</v>
      </c>
      <c r="BN257" s="18"/>
      <c r="BO257" s="18"/>
      <c r="BP257" s="19"/>
      <c r="BQ257" s="17" t="s">
        <v>321</v>
      </c>
      <c r="BR257" s="1"/>
      <c r="BS257" s="1"/>
      <c r="BT257" s="1"/>
      <c r="BU257" s="1"/>
    </row>
    <row r="258">
      <c r="A258" s="1"/>
      <c r="B258" s="21"/>
      <c r="C258" s="11" t="s">
        <v>45</v>
      </c>
      <c r="D258" s="22"/>
      <c r="E258" s="23" t="s">
        <v>44</v>
      </c>
      <c r="F258" s="18"/>
      <c r="G258" s="18"/>
      <c r="H258" s="19"/>
      <c r="I258" s="22"/>
      <c r="J258" s="18"/>
      <c r="K258" s="18"/>
      <c r="L258" s="18"/>
      <c r="M258" s="19"/>
      <c r="N258" s="22"/>
      <c r="O258" s="18"/>
      <c r="P258" s="18"/>
      <c r="Q258" s="18"/>
      <c r="R258" s="19"/>
      <c r="S258" s="22"/>
      <c r="T258" s="18"/>
      <c r="U258" s="18"/>
      <c r="V258" s="18"/>
      <c r="W258" s="19"/>
      <c r="X258" s="18"/>
      <c r="Y258" s="18"/>
      <c r="Z258" s="18"/>
      <c r="AA258" s="18"/>
      <c r="AB258" s="19"/>
      <c r="AC258" s="18"/>
      <c r="AD258" s="18"/>
      <c r="AE258" s="18"/>
      <c r="AF258" s="18"/>
      <c r="AG258" s="19"/>
      <c r="AH258" s="18"/>
      <c r="AI258" s="18"/>
      <c r="AJ258" s="18"/>
      <c r="AK258" s="18"/>
      <c r="AL258" s="19"/>
      <c r="AM258" s="18"/>
      <c r="AN258" s="18"/>
      <c r="AO258" s="18"/>
      <c r="AP258" s="18"/>
      <c r="AQ258" s="19"/>
      <c r="AR258" s="22"/>
      <c r="AS258" s="18"/>
      <c r="AT258" s="18"/>
      <c r="AU258" s="18"/>
      <c r="AV258" s="19"/>
      <c r="AW258" s="22"/>
      <c r="AX258" s="18"/>
      <c r="AY258" s="18"/>
      <c r="AZ258" s="18"/>
      <c r="BA258" s="19"/>
      <c r="BB258" s="22"/>
      <c r="BC258" s="18"/>
      <c r="BD258" s="18"/>
      <c r="BE258" s="18"/>
      <c r="BF258" s="19"/>
      <c r="BG258" s="22"/>
      <c r="BH258" s="18"/>
      <c r="BI258" s="18"/>
      <c r="BJ258" s="18"/>
      <c r="BK258" s="19"/>
      <c r="BL258" s="22"/>
      <c r="BM258" s="18"/>
      <c r="BN258" s="18"/>
      <c r="BO258" s="18"/>
      <c r="BP258" s="19"/>
      <c r="BQ258" s="17" t="s">
        <v>321</v>
      </c>
      <c r="BR258" s="1"/>
      <c r="BS258" s="1"/>
      <c r="BT258" s="1"/>
      <c r="BU258" s="1"/>
    </row>
    <row r="259">
      <c r="A259" s="1"/>
      <c r="B259" s="59" t="s">
        <v>502</v>
      </c>
      <c r="C259" s="11" t="s">
        <v>503</v>
      </c>
      <c r="D259" s="22"/>
      <c r="E259" s="18"/>
      <c r="F259" s="18"/>
      <c r="G259" s="18"/>
      <c r="H259" s="19"/>
      <c r="I259" s="22"/>
      <c r="J259" s="18"/>
      <c r="K259" s="18"/>
      <c r="L259" s="18"/>
      <c r="M259" s="19"/>
      <c r="N259" s="22"/>
      <c r="O259" s="18"/>
      <c r="P259" s="18"/>
      <c r="Q259" s="18"/>
      <c r="R259" s="19"/>
      <c r="S259" s="22"/>
      <c r="T259" s="18"/>
      <c r="U259" s="18"/>
      <c r="V259" s="18"/>
      <c r="W259" s="19"/>
      <c r="X259" s="18"/>
      <c r="Y259" s="18"/>
      <c r="Z259" s="18"/>
      <c r="AA259" s="18"/>
      <c r="AB259" s="19"/>
      <c r="AC259" s="18"/>
      <c r="AD259" s="18"/>
      <c r="AE259" s="18"/>
      <c r="AF259" s="18"/>
      <c r="AG259" s="19"/>
      <c r="AH259" s="18"/>
      <c r="AI259" s="18"/>
      <c r="AJ259" s="18"/>
      <c r="AK259" s="18"/>
      <c r="AL259" s="19"/>
      <c r="AM259" s="18"/>
      <c r="AN259" s="18"/>
      <c r="AO259" s="18"/>
      <c r="AP259" s="18"/>
      <c r="AQ259" s="19"/>
      <c r="AR259" s="22"/>
      <c r="AS259" s="18"/>
      <c r="AT259" s="18"/>
      <c r="AU259" s="18"/>
      <c r="AV259" s="19"/>
      <c r="AW259" s="22"/>
      <c r="AX259" s="18"/>
      <c r="AY259" s="18"/>
      <c r="AZ259" s="18"/>
      <c r="BA259" s="19"/>
      <c r="BB259" s="22"/>
      <c r="BC259" s="18"/>
      <c r="BD259" s="18"/>
      <c r="BE259" s="18"/>
      <c r="BF259" s="19"/>
      <c r="BG259" s="22"/>
      <c r="BH259" s="18"/>
      <c r="BI259" s="18"/>
      <c r="BJ259" s="18"/>
      <c r="BK259" s="19"/>
      <c r="BL259" s="22"/>
      <c r="BM259" s="18"/>
      <c r="BN259" s="18"/>
      <c r="BO259" s="18"/>
      <c r="BP259" s="19"/>
      <c r="BQ259" s="17" t="s">
        <v>321</v>
      </c>
      <c r="BR259" s="1"/>
      <c r="BS259" s="1"/>
      <c r="BT259" s="1"/>
      <c r="BU259" s="1"/>
    </row>
    <row r="260">
      <c r="A260" s="1"/>
      <c r="B260" s="10" t="s">
        <v>504</v>
      </c>
      <c r="C260" s="11" t="s">
        <v>49</v>
      </c>
      <c r="D260" s="22"/>
      <c r="E260" s="18"/>
      <c r="F260" s="18"/>
      <c r="G260" s="23">
        <v>193840.0</v>
      </c>
      <c r="H260" s="19"/>
      <c r="I260" s="22"/>
      <c r="J260" s="18"/>
      <c r="K260" s="18"/>
      <c r="L260" s="23">
        <v>190850.0</v>
      </c>
      <c r="M260" s="19"/>
      <c r="N260" s="22"/>
      <c r="O260" s="18"/>
      <c r="P260" s="18"/>
      <c r="Q260" s="23">
        <v>99200.0</v>
      </c>
      <c r="R260" s="19"/>
      <c r="S260" s="22"/>
      <c r="T260" s="18"/>
      <c r="U260" s="18"/>
      <c r="V260" s="23">
        <v>58150.0</v>
      </c>
      <c r="W260" s="19"/>
      <c r="X260" s="18"/>
      <c r="Y260" s="18"/>
      <c r="Z260" s="18"/>
      <c r="AA260" s="23">
        <v>21810.0</v>
      </c>
      <c r="AB260" s="19"/>
      <c r="AC260" s="18"/>
      <c r="AD260" s="18"/>
      <c r="AE260" s="18"/>
      <c r="AF260" s="23">
        <v>17880.0</v>
      </c>
      <c r="AG260" s="19"/>
      <c r="AH260" s="18"/>
      <c r="AI260" s="18"/>
      <c r="AJ260" s="18"/>
      <c r="AK260" s="23">
        <v>17040.0</v>
      </c>
      <c r="AL260" s="19"/>
      <c r="AM260" s="18"/>
      <c r="AN260" s="18"/>
      <c r="AO260" s="18"/>
      <c r="AP260" s="23">
        <v>10630.0</v>
      </c>
      <c r="AQ260" s="19"/>
      <c r="AR260" s="22"/>
      <c r="AS260" s="18"/>
      <c r="AT260" s="18"/>
      <c r="AU260" s="23">
        <v>27480.0</v>
      </c>
      <c r="AV260" s="19"/>
      <c r="AW260" s="22"/>
      <c r="AX260" s="18"/>
      <c r="AY260" s="18"/>
      <c r="AZ260" s="23">
        <v>43130.0</v>
      </c>
      <c r="BA260" s="19"/>
      <c r="BB260" s="22"/>
      <c r="BC260" s="18"/>
      <c r="BD260" s="18"/>
      <c r="BE260" s="23">
        <v>129580.0</v>
      </c>
      <c r="BF260" s="19"/>
      <c r="BG260" s="22"/>
      <c r="BH260" s="18"/>
      <c r="BI260" s="18"/>
      <c r="BJ260" s="25">
        <v>278200.0</v>
      </c>
      <c r="BK260" s="19"/>
      <c r="BL260" s="22"/>
      <c r="BM260" s="18"/>
      <c r="BN260" s="18"/>
      <c r="BO260" s="18"/>
      <c r="BP260" s="19"/>
      <c r="BQ260" s="17" t="s">
        <v>321</v>
      </c>
      <c r="BR260" s="1"/>
      <c r="BS260" s="1"/>
      <c r="BT260" s="1"/>
      <c r="BU260" s="1"/>
    </row>
    <row r="261">
      <c r="A261" s="1"/>
      <c r="B261" s="10" t="s">
        <v>373</v>
      </c>
      <c r="C261" s="11" t="s">
        <v>51</v>
      </c>
      <c r="D261" s="22"/>
      <c r="E261" s="18"/>
      <c r="F261" s="18"/>
      <c r="G261" s="18"/>
      <c r="H261" s="19"/>
      <c r="I261" s="22"/>
      <c r="J261" s="18"/>
      <c r="K261" s="18"/>
      <c r="L261" s="18"/>
      <c r="M261" s="19"/>
      <c r="N261" s="22"/>
      <c r="O261" s="18"/>
      <c r="P261" s="18"/>
      <c r="Q261" s="23">
        <v>65000.0</v>
      </c>
      <c r="R261" s="19"/>
      <c r="S261" s="22"/>
      <c r="T261" s="46"/>
      <c r="U261" s="18"/>
      <c r="V261" s="23">
        <v>46250.0</v>
      </c>
      <c r="W261" s="19"/>
      <c r="X261" s="18"/>
      <c r="Y261" s="18"/>
      <c r="Z261" s="18"/>
      <c r="AA261" s="18"/>
      <c r="AB261" s="19"/>
      <c r="AC261" s="18"/>
      <c r="AD261" s="18"/>
      <c r="AE261" s="18"/>
      <c r="AF261" s="23">
        <v>65000.0</v>
      </c>
      <c r="AG261" s="19"/>
      <c r="AH261" s="18"/>
      <c r="AI261" s="18"/>
      <c r="AJ261" s="18"/>
      <c r="AK261" s="18"/>
      <c r="AL261" s="19"/>
      <c r="AM261" s="18"/>
      <c r="AN261" s="18"/>
      <c r="AO261" s="18"/>
      <c r="AP261" s="23">
        <v>64500.0</v>
      </c>
      <c r="AQ261" s="19"/>
      <c r="AR261" s="22"/>
      <c r="AS261" s="18"/>
      <c r="AT261" s="18"/>
      <c r="AU261" s="18"/>
      <c r="AV261" s="19"/>
      <c r="AW261" s="22"/>
      <c r="AX261" s="18"/>
      <c r="AY261" s="18"/>
      <c r="AZ261" s="18"/>
      <c r="BA261" s="19"/>
      <c r="BB261" s="22"/>
      <c r="BC261" s="18"/>
      <c r="BD261" s="18"/>
      <c r="BE261" s="18"/>
      <c r="BF261" s="19"/>
      <c r="BG261" s="22"/>
      <c r="BH261" s="18"/>
      <c r="BI261" s="18"/>
      <c r="BJ261" s="18"/>
      <c r="BK261" s="19"/>
      <c r="BL261" s="22"/>
      <c r="BM261" s="18"/>
      <c r="BN261" s="18"/>
      <c r="BO261" s="18"/>
      <c r="BP261" s="19"/>
      <c r="BQ261" s="17" t="s">
        <v>321</v>
      </c>
      <c r="BR261" s="1"/>
      <c r="BS261" s="1"/>
      <c r="BT261" s="1"/>
      <c r="BU261" s="1"/>
    </row>
    <row r="262">
      <c r="A262" s="1"/>
      <c r="B262" s="21"/>
      <c r="C262" s="11" t="s">
        <v>52</v>
      </c>
      <c r="D262" s="22"/>
      <c r="E262" s="18"/>
      <c r="F262" s="18"/>
      <c r="G262" s="23" t="s">
        <v>263</v>
      </c>
      <c r="H262" s="19"/>
      <c r="I262" s="22"/>
      <c r="J262" s="18"/>
      <c r="K262" s="18"/>
      <c r="L262" s="18"/>
      <c r="M262" s="24"/>
      <c r="N262" s="18"/>
      <c r="O262" s="18"/>
      <c r="P262" s="18"/>
      <c r="Q262" s="18"/>
      <c r="R262" s="24"/>
      <c r="S262" s="18"/>
      <c r="T262" s="18"/>
      <c r="U262" s="18"/>
      <c r="V262" s="18"/>
      <c r="W262" s="24"/>
      <c r="X262" s="18"/>
      <c r="Y262" s="18"/>
      <c r="Z262" s="18"/>
      <c r="AA262" s="18"/>
      <c r="AB262" s="24"/>
      <c r="AC262" s="18"/>
      <c r="AD262" s="18"/>
      <c r="AE262" s="18"/>
      <c r="AF262" s="18"/>
      <c r="AG262" s="24"/>
      <c r="AH262" s="18"/>
      <c r="AI262" s="18"/>
      <c r="AJ262" s="18"/>
      <c r="AK262" s="18"/>
      <c r="AL262" s="24"/>
      <c r="AM262" s="18"/>
      <c r="AN262" s="18"/>
      <c r="AO262" s="18"/>
      <c r="AP262" s="18"/>
      <c r="AQ262" s="24"/>
      <c r="AR262" s="18"/>
      <c r="AS262" s="18"/>
      <c r="AT262" s="18"/>
      <c r="AU262" s="18"/>
      <c r="AV262" s="24"/>
      <c r="AW262" s="18"/>
      <c r="AX262" s="18"/>
      <c r="AY262" s="18"/>
      <c r="AZ262" s="18"/>
      <c r="BA262" s="24"/>
      <c r="BB262" s="18"/>
      <c r="BC262" s="18"/>
      <c r="BD262" s="18"/>
      <c r="BE262" s="18"/>
      <c r="BF262" s="24"/>
      <c r="BG262" s="18"/>
      <c r="BH262" s="18"/>
      <c r="BI262" s="18"/>
      <c r="BJ262" s="18"/>
      <c r="BK262" s="19"/>
      <c r="BL262" s="18"/>
      <c r="BM262" s="18"/>
      <c r="BN262" s="18"/>
      <c r="BO262" s="18"/>
      <c r="BP262" s="19"/>
      <c r="BQ262" s="17" t="s">
        <v>321</v>
      </c>
      <c r="BR262" s="1"/>
      <c r="BS262" s="1"/>
      <c r="BT262" s="1"/>
      <c r="BU262" s="1"/>
    </row>
    <row r="263">
      <c r="A263" s="1"/>
      <c r="B263" s="10" t="s">
        <v>264</v>
      </c>
      <c r="C263" s="11" t="s">
        <v>53</v>
      </c>
      <c r="D263" s="22"/>
      <c r="E263" s="18"/>
      <c r="F263" s="18"/>
      <c r="G263" s="23">
        <v>11000.0</v>
      </c>
      <c r="H263" s="19"/>
      <c r="I263" s="22"/>
      <c r="J263" s="18"/>
      <c r="K263" s="18"/>
      <c r="L263" s="23">
        <v>11000.0</v>
      </c>
      <c r="M263" s="19"/>
      <c r="N263" s="22"/>
      <c r="O263" s="18"/>
      <c r="P263" s="18"/>
      <c r="Q263" s="23">
        <v>11000.0</v>
      </c>
      <c r="R263" s="19"/>
      <c r="S263" s="22"/>
      <c r="T263" s="18"/>
      <c r="U263" s="18"/>
      <c r="V263" s="23">
        <v>11000.0</v>
      </c>
      <c r="W263" s="19"/>
      <c r="X263" s="22"/>
      <c r="Y263" s="18"/>
      <c r="Z263" s="18"/>
      <c r="AA263" s="23">
        <v>11000.0</v>
      </c>
      <c r="AB263" s="19"/>
      <c r="AC263" s="22"/>
      <c r="AD263" s="18"/>
      <c r="AE263" s="18"/>
      <c r="AF263" s="23">
        <v>11000.0</v>
      </c>
      <c r="AG263" s="19"/>
      <c r="AH263" s="22"/>
      <c r="AI263" s="18"/>
      <c r="AJ263" s="18"/>
      <c r="AK263" s="23">
        <v>11000.0</v>
      </c>
      <c r="AL263" s="19"/>
      <c r="AM263" s="22"/>
      <c r="AN263" s="18"/>
      <c r="AO263" s="18"/>
      <c r="AP263" s="23">
        <v>11000.0</v>
      </c>
      <c r="AQ263" s="19"/>
      <c r="AR263" s="22"/>
      <c r="AS263" s="18"/>
      <c r="AT263" s="18"/>
      <c r="AU263" s="23">
        <v>11000.0</v>
      </c>
      <c r="AV263" s="19"/>
      <c r="AW263" s="22"/>
      <c r="AX263" s="18"/>
      <c r="AY263" s="18"/>
      <c r="AZ263" s="23">
        <v>11000.0</v>
      </c>
      <c r="BA263" s="19"/>
      <c r="BB263" s="22"/>
      <c r="BC263" s="18"/>
      <c r="BD263" s="18"/>
      <c r="BE263" s="23">
        <v>11000.0</v>
      </c>
      <c r="BF263" s="19"/>
      <c r="BG263" s="22"/>
      <c r="BH263" s="18"/>
      <c r="BI263" s="18"/>
      <c r="BJ263" s="23">
        <v>11000.0</v>
      </c>
      <c r="BK263" s="19"/>
      <c r="BL263" s="22"/>
      <c r="BM263" s="18"/>
      <c r="BN263" s="18"/>
      <c r="BO263" s="23">
        <v>11000.0</v>
      </c>
      <c r="BP263" s="19"/>
      <c r="BQ263" s="17" t="s">
        <v>321</v>
      </c>
      <c r="BR263" s="1"/>
      <c r="BS263" s="1"/>
      <c r="BT263" s="1"/>
      <c r="BU263" s="1"/>
    </row>
    <row r="264">
      <c r="A264" s="1"/>
      <c r="B264" s="21"/>
      <c r="C264" s="11" t="s">
        <v>54</v>
      </c>
      <c r="D264" s="22"/>
      <c r="E264" s="18"/>
      <c r="F264" s="18"/>
      <c r="G264" s="23">
        <f>SUMIFS('지출'!$G$3:$G1000,'지출'!$J$3:$J1000,G$1,'지출'!$C$3:$C1000,"빠방")</f>
        <v>59990</v>
      </c>
      <c r="H264" s="19"/>
      <c r="I264" s="22"/>
      <c r="J264" s="18"/>
      <c r="K264" s="18"/>
      <c r="L264" s="23">
        <f>SUMIFS('지출'!$G$3:$G1000,'지출'!$J$3:$J1000,L$1,'지출'!$C$3:$C1000,"빠방")</f>
        <v>40000</v>
      </c>
      <c r="M264" s="24"/>
      <c r="N264" s="18"/>
      <c r="O264" s="18"/>
      <c r="P264" s="18"/>
      <c r="Q264" s="23">
        <f>SUMIFS('지출'!$G$3:$G1000,'지출'!$J$3:$J1000,Q$1,'지출'!$C$3:$C1000,"빠방")</f>
        <v>29480</v>
      </c>
      <c r="R264" s="24"/>
      <c r="S264" s="18"/>
      <c r="T264" s="18"/>
      <c r="U264" s="18"/>
      <c r="V264" s="23">
        <f>SUMIFS('지출'!$G$3:$G1000,'지출'!$J$3:$J1000,V$1,'지출'!$C$3:$C1000,"빠방")</f>
        <v>0</v>
      </c>
      <c r="W264" s="24"/>
      <c r="X264" s="18"/>
      <c r="Y264" s="18"/>
      <c r="Z264" s="18"/>
      <c r="AA264" s="23">
        <f>SUMIFS('지출'!$G$3:$G1000,'지출'!$J$3:$J1000,AA$1,'지출'!$C$3:$C1000,"빠방")</f>
        <v>0</v>
      </c>
      <c r="AB264" s="24"/>
      <c r="AC264" s="18"/>
      <c r="AD264" s="18"/>
      <c r="AE264" s="18"/>
      <c r="AF264" s="23">
        <f>SUMIFS('지출'!$G$3:$G1000,'지출'!$J$3:$J1000,AF$1,'지출'!$C$3:$C1000,"빠방")</f>
        <v>0</v>
      </c>
      <c r="AG264" s="24"/>
      <c r="AH264" s="18"/>
      <c r="AI264" s="18"/>
      <c r="AJ264" s="18"/>
      <c r="AK264" s="23">
        <f>SUMIFS('지출'!$G$3:$G1000,'지출'!$J$3:$J1000,AK$1,'지출'!$C$3:$C1000,"빠방")</f>
        <v>0</v>
      </c>
      <c r="AL264" s="24"/>
      <c r="AM264" s="18"/>
      <c r="AN264" s="18"/>
      <c r="AO264" s="18"/>
      <c r="AP264" s="23">
        <f>SUMIFS('지출'!$G$3:$G1000,'지출'!$J$3:$J1000,AP$1,'지출'!$C$3:$C1000,"빠방")</f>
        <v>0</v>
      </c>
      <c r="AQ264" s="24"/>
      <c r="AR264" s="18"/>
      <c r="AS264" s="18"/>
      <c r="AT264" s="18"/>
      <c r="AU264" s="23">
        <f>SUMIFS('지출'!$G$3:$G1000,'지출'!$J$3:$J1000,AU$1,'지출'!$C$3:$C1000,"빠방")</f>
        <v>0</v>
      </c>
      <c r="AV264" s="24"/>
      <c r="AW264" s="18"/>
      <c r="AX264" s="18"/>
      <c r="AY264" s="18"/>
      <c r="AZ264" s="23">
        <f>SUMIFS('지출'!$G$3:$G1000,'지출'!$J$3:$J1000,AZ$1,'지출'!$C$3:$C1000,"빠방")</f>
        <v>0</v>
      </c>
      <c r="BA264" s="24"/>
      <c r="BB264" s="18"/>
      <c r="BC264" s="18"/>
      <c r="BD264" s="18"/>
      <c r="BE264" s="23">
        <f>SUMIFS('지출'!$G$3:$G1000,'지출'!$J$3:$J1000,BE$1,'지출'!$C$3:$C1000,"빠방")</f>
        <v>0</v>
      </c>
      <c r="BF264" s="24"/>
      <c r="BG264" s="18"/>
      <c r="BH264" s="18"/>
      <c r="BI264" s="18"/>
      <c r="BJ264" s="23">
        <f>SUMIFS('지출'!$G$3:$G1000,'지출'!$J$3:$J1000,BJ$1,'지출'!$C$3:$C1000,"빠방")</f>
        <v>0</v>
      </c>
      <c r="BK264" s="19"/>
      <c r="BL264" s="18"/>
      <c r="BM264" s="18"/>
      <c r="BN264" s="18"/>
      <c r="BO264" s="23">
        <f>SUMIFS('지출'!$G$3:$G1000,'지출'!$J$3:$J1000,BO$1,'지출'!$C$3:$C1000,"빠방")</f>
        <v>59990</v>
      </c>
      <c r="BP264" s="19"/>
      <c r="BQ264" s="17" t="s">
        <v>321</v>
      </c>
      <c r="BR264" s="1"/>
      <c r="BS264" s="1"/>
      <c r="BT264" s="1"/>
      <c r="BU264" s="1"/>
    </row>
    <row r="265">
      <c r="A265" s="1"/>
      <c r="B265" s="21"/>
      <c r="C265" s="11" t="s">
        <v>56</v>
      </c>
      <c r="D265" s="22"/>
      <c r="E265" s="23">
        <f>E256-(SUM(E257:E264))</f>
        <v>700000</v>
      </c>
      <c r="F265" s="18"/>
      <c r="G265" s="23">
        <f>G256-(SUM(G257:G264))</f>
        <v>-24830</v>
      </c>
      <c r="H265" s="19"/>
      <c r="I265" s="22"/>
      <c r="J265" s="23">
        <f>J256-(SUM(J257:J264))</f>
        <v>778276</v>
      </c>
      <c r="K265" s="18"/>
      <c r="L265" s="23">
        <f>L256-(SUM(L257:L264))</f>
        <v>11943</v>
      </c>
      <c r="M265" s="19"/>
      <c r="N265" s="22"/>
      <c r="O265" s="23">
        <f>O256-(SUM(O257:O264))</f>
        <v>1693871</v>
      </c>
      <c r="P265" s="18"/>
      <c r="Q265" s="23">
        <f>Q256-(SUM(Q257:Q264))</f>
        <v>192739</v>
      </c>
      <c r="R265" s="19"/>
      <c r="S265" s="22"/>
      <c r="T265" s="23">
        <f>T256-(SUM(T257:T264))</f>
        <v>1710000</v>
      </c>
      <c r="U265" s="18"/>
      <c r="V265" s="23">
        <f>V256-(SUM(V257:V264))</f>
        <v>284600</v>
      </c>
      <c r="W265" s="19"/>
      <c r="X265" s="18"/>
      <c r="Y265" s="23">
        <f>Y256-(SUM(Y257:Y264))</f>
        <v>1710000</v>
      </c>
      <c r="Z265" s="18"/>
      <c r="AA265" s="23">
        <f>AA256-(SUM(AA257:AA264))</f>
        <v>367190</v>
      </c>
      <c r="AB265" s="19"/>
      <c r="AC265" s="18"/>
      <c r="AD265" s="23">
        <f>AD256-(SUM(AD257:AD264))</f>
        <v>1710000</v>
      </c>
      <c r="AE265" s="18"/>
      <c r="AF265" s="23">
        <f>AF256-(SUM(AF257:AF264))</f>
        <v>306120</v>
      </c>
      <c r="AG265" s="19"/>
      <c r="AH265" s="18"/>
      <c r="AI265" s="23">
        <f>AI256-(SUM(AI257:AI264))</f>
        <v>1710000</v>
      </c>
      <c r="AJ265" s="18"/>
      <c r="AK265" s="23">
        <f>AK256-(SUM(AK257:AK264))</f>
        <v>291960</v>
      </c>
      <c r="AL265" s="19"/>
      <c r="AM265" s="18"/>
      <c r="AN265" s="23">
        <f>AN256-(SUM(AN257:AN264))</f>
        <v>1992903</v>
      </c>
      <c r="AO265" s="18"/>
      <c r="AP265" s="23">
        <f>AP256-(SUM(AP257:AP264))</f>
        <v>293226</v>
      </c>
      <c r="AQ265" s="19"/>
      <c r="AR265" s="22"/>
      <c r="AS265" s="23">
        <f>AS256-(SUM(AS257:AS264))</f>
        <v>1680000</v>
      </c>
      <c r="AT265" s="18"/>
      <c r="AU265" s="23">
        <f>AU256-(SUM(AU257:AU264))</f>
        <v>361520</v>
      </c>
      <c r="AV265" s="19"/>
      <c r="AW265" s="22"/>
      <c r="AX265" s="23">
        <f>AX256-(SUM(AX257:AX264))</f>
        <v>1680000</v>
      </c>
      <c r="AY265" s="18"/>
      <c r="AZ265" s="23">
        <f>AZ256-(SUM(AZ257:AZ264))</f>
        <v>345870</v>
      </c>
      <c r="BA265" s="19"/>
      <c r="BB265" s="22"/>
      <c r="BC265" s="23">
        <f>BC256-(SUM(BC257:BC264))</f>
        <v>1680000</v>
      </c>
      <c r="BD265" s="18"/>
      <c r="BE265" s="23">
        <f>BE256-(SUM(BE257:BE264))</f>
        <v>259420</v>
      </c>
      <c r="BF265" s="19"/>
      <c r="BG265" s="22"/>
      <c r="BH265" s="23">
        <f>BH256-(SUM(BH257:BH264))</f>
        <v>1680000</v>
      </c>
      <c r="BI265" s="18"/>
      <c r="BJ265" s="23">
        <f>BJ256-(SUM(BJ257:BJ264))</f>
        <v>110800</v>
      </c>
      <c r="BK265" s="19"/>
      <c r="BL265" s="22"/>
      <c r="BM265" s="23">
        <f>BM256-(SUM(BM257:BM264))</f>
        <v>1680000</v>
      </c>
      <c r="BN265" s="18"/>
      <c r="BO265" s="23">
        <f>BO256-(SUM(BO257:BO264))</f>
        <v>329010</v>
      </c>
      <c r="BP265" s="19"/>
      <c r="BQ265" s="17" t="s">
        <v>321</v>
      </c>
      <c r="BR265" s="1"/>
      <c r="BS265" s="1"/>
      <c r="BT265" s="1"/>
      <c r="BU265" s="1"/>
    </row>
    <row r="266">
      <c r="A266" s="1"/>
      <c r="B266" s="27">
        <v>0.0</v>
      </c>
      <c r="C266" s="11" t="s">
        <v>26</v>
      </c>
      <c r="D266" s="22"/>
      <c r="E266" s="23">
        <f>E265*$B266</f>
        <v>0</v>
      </c>
      <c r="F266" s="18"/>
      <c r="G266" s="18"/>
      <c r="H266" s="19"/>
      <c r="I266" s="22"/>
      <c r="J266" s="23">
        <f>J265*$B266</f>
        <v>0</v>
      </c>
      <c r="K266" s="18"/>
      <c r="L266" s="18"/>
      <c r="M266" s="19"/>
      <c r="N266" s="22"/>
      <c r="O266" s="23">
        <f>O265*$B266</f>
        <v>0</v>
      </c>
      <c r="P266" s="18"/>
      <c r="Q266" s="18"/>
      <c r="R266" s="19"/>
      <c r="S266" s="22"/>
      <c r="T266" s="23">
        <f>T265*$B266</f>
        <v>0</v>
      </c>
      <c r="U266" s="18"/>
      <c r="V266" s="18"/>
      <c r="W266" s="19"/>
      <c r="X266" s="18"/>
      <c r="Y266" s="23">
        <f>Y265*$B266</f>
        <v>0</v>
      </c>
      <c r="Z266" s="18"/>
      <c r="AA266" s="18"/>
      <c r="AB266" s="19"/>
      <c r="AC266" s="18"/>
      <c r="AD266" s="23">
        <f>AD265*$B266</f>
        <v>0</v>
      </c>
      <c r="AE266" s="18"/>
      <c r="AF266" s="18"/>
      <c r="AG266" s="19"/>
      <c r="AH266" s="18"/>
      <c r="AI266" s="23">
        <f>AI265*$B266</f>
        <v>0</v>
      </c>
      <c r="AJ266" s="18"/>
      <c r="AK266" s="18"/>
      <c r="AL266" s="19"/>
      <c r="AM266" s="18"/>
      <c r="AN266" s="23">
        <f>AN265*$B266</f>
        <v>0</v>
      </c>
      <c r="AO266" s="18"/>
      <c r="AP266" s="18"/>
      <c r="AQ266" s="19"/>
      <c r="AR266" s="22"/>
      <c r="AS266" s="23">
        <f>AS265*$B266</f>
        <v>0</v>
      </c>
      <c r="AT266" s="18"/>
      <c r="AU266" s="18"/>
      <c r="AV266" s="19"/>
      <c r="AW266" s="22"/>
      <c r="AX266" s="23">
        <f>AX265*$B266</f>
        <v>0</v>
      </c>
      <c r="AY266" s="18"/>
      <c r="AZ266" s="18"/>
      <c r="BA266" s="19"/>
      <c r="BB266" s="22"/>
      <c r="BC266" s="23">
        <f>BC265*$B266</f>
        <v>0</v>
      </c>
      <c r="BD266" s="18"/>
      <c r="BE266" s="18"/>
      <c r="BF266" s="19"/>
      <c r="BG266" s="22"/>
      <c r="BH266" s="23">
        <f>BH265*$B266</f>
        <v>0</v>
      </c>
      <c r="BI266" s="18"/>
      <c r="BJ266" s="18"/>
      <c r="BK266" s="19"/>
      <c r="BL266" s="22"/>
      <c r="BM266" s="23">
        <f>BM265*$B266</f>
        <v>0</v>
      </c>
      <c r="BN266" s="18"/>
      <c r="BO266" s="18"/>
      <c r="BP266" s="19"/>
      <c r="BQ266" s="17" t="s">
        <v>321</v>
      </c>
      <c r="BR266" s="1"/>
      <c r="BS266" s="1"/>
      <c r="BT266" s="1"/>
      <c r="BU266" s="1"/>
    </row>
    <row r="267">
      <c r="A267" s="56" t="str">
        <f>B251</f>
        <v>빠방</v>
      </c>
      <c r="B267" s="29">
        <v>1.0</v>
      </c>
      <c r="C267" s="30" t="s">
        <v>57</v>
      </c>
      <c r="D267" s="31"/>
      <c r="E267" s="32">
        <f>E265*$B267</f>
        <v>700000</v>
      </c>
      <c r="F267" s="33"/>
      <c r="G267" s="33"/>
      <c r="H267" s="34"/>
      <c r="I267" s="31"/>
      <c r="J267" s="32">
        <f>J265*$B267</f>
        <v>778276</v>
      </c>
      <c r="K267" s="33"/>
      <c r="L267" s="33"/>
      <c r="M267" s="34"/>
      <c r="N267" s="31"/>
      <c r="O267" s="32">
        <f>O265*$B267</f>
        <v>1693871</v>
      </c>
      <c r="P267" s="33"/>
      <c r="Q267" s="33"/>
      <c r="R267" s="34"/>
      <c r="S267" s="31"/>
      <c r="T267" s="32">
        <f>T265*$B267</f>
        <v>1710000</v>
      </c>
      <c r="U267" s="33"/>
      <c r="V267" s="33"/>
      <c r="W267" s="34"/>
      <c r="X267" s="33"/>
      <c r="Y267" s="32">
        <f>Y265*$B267</f>
        <v>1710000</v>
      </c>
      <c r="Z267" s="33"/>
      <c r="AA267" s="33"/>
      <c r="AB267" s="34"/>
      <c r="AC267" s="33"/>
      <c r="AD267" s="32">
        <f>AD265*$B267</f>
        <v>1710000</v>
      </c>
      <c r="AE267" s="33"/>
      <c r="AF267" s="33"/>
      <c r="AG267" s="34"/>
      <c r="AH267" s="33"/>
      <c r="AI267" s="32">
        <f>AI265*$B267</f>
        <v>1710000</v>
      </c>
      <c r="AJ267" s="33"/>
      <c r="AK267" s="33"/>
      <c r="AL267" s="34"/>
      <c r="AM267" s="33"/>
      <c r="AN267" s="32">
        <f>AN265*$B267</f>
        <v>1992903</v>
      </c>
      <c r="AO267" s="33"/>
      <c r="AP267" s="33"/>
      <c r="AQ267" s="34"/>
      <c r="AR267" s="31"/>
      <c r="AS267" s="32">
        <f>AS265*$B267</f>
        <v>1680000</v>
      </c>
      <c r="AT267" s="33"/>
      <c r="AU267" s="33"/>
      <c r="AV267" s="34"/>
      <c r="AW267" s="31"/>
      <c r="AX267" s="32">
        <f>AX265*$B267</f>
        <v>1680000</v>
      </c>
      <c r="AY267" s="33"/>
      <c r="AZ267" s="33"/>
      <c r="BA267" s="34"/>
      <c r="BB267" s="31"/>
      <c r="BC267" s="32">
        <f>BC265*$B267</f>
        <v>1680000</v>
      </c>
      <c r="BD267" s="33"/>
      <c r="BE267" s="33"/>
      <c r="BF267" s="34"/>
      <c r="BG267" s="31"/>
      <c r="BH267" s="32">
        <f>BH265*$B267</f>
        <v>1680000</v>
      </c>
      <c r="BI267" s="33"/>
      <c r="BJ267" s="33"/>
      <c r="BK267" s="34"/>
      <c r="BL267" s="31"/>
      <c r="BM267" s="32">
        <f>BM265*$B267</f>
        <v>1680000</v>
      </c>
      <c r="BN267" s="33"/>
      <c r="BO267" s="33"/>
      <c r="BP267" s="34"/>
      <c r="BQ267" s="17" t="s">
        <v>321</v>
      </c>
      <c r="BR267" s="1"/>
      <c r="BS267" s="1"/>
      <c r="BT267" s="1"/>
      <c r="BU267" s="1"/>
    </row>
    <row r="268">
      <c r="A268" s="1"/>
      <c r="B268" s="10" t="s">
        <v>505</v>
      </c>
      <c r="C268" s="11" t="s">
        <v>506</v>
      </c>
      <c r="D268" s="20" t="s">
        <v>507</v>
      </c>
      <c r="E268" s="23">
        <v>520000.0</v>
      </c>
      <c r="F268" s="35" t="b">
        <v>1</v>
      </c>
      <c r="G268" s="23">
        <v>100000.0</v>
      </c>
      <c r="H268" s="15" t="b">
        <v>1</v>
      </c>
      <c r="I268" s="20" t="s">
        <v>507</v>
      </c>
      <c r="J268" s="23">
        <v>520000.0</v>
      </c>
      <c r="K268" s="35" t="b">
        <v>1</v>
      </c>
      <c r="L268" s="23">
        <v>100000.0</v>
      </c>
      <c r="M268" s="15" t="b">
        <v>1</v>
      </c>
      <c r="N268" s="20" t="s">
        <v>507</v>
      </c>
      <c r="O268" s="23">
        <v>550000.0</v>
      </c>
      <c r="P268" s="35" t="b">
        <v>1</v>
      </c>
      <c r="Q268" s="23">
        <v>100000.0</v>
      </c>
      <c r="R268" s="15" t="b">
        <v>1</v>
      </c>
      <c r="S268" s="20" t="s">
        <v>507</v>
      </c>
      <c r="T268" s="23">
        <v>550000.0</v>
      </c>
      <c r="U268" s="35" t="b">
        <v>1</v>
      </c>
      <c r="V268" s="23">
        <v>100000.0</v>
      </c>
      <c r="W268" s="15" t="b">
        <v>1</v>
      </c>
      <c r="X268" s="20" t="s">
        <v>507</v>
      </c>
      <c r="Y268" s="23">
        <v>550000.0</v>
      </c>
      <c r="Z268" s="35" t="b">
        <v>1</v>
      </c>
      <c r="AA268" s="23">
        <v>100000.0</v>
      </c>
      <c r="AB268" s="15" t="b">
        <v>1</v>
      </c>
      <c r="AC268" s="20" t="s">
        <v>508</v>
      </c>
      <c r="AD268" s="23">
        <v>550000.0</v>
      </c>
      <c r="AE268" s="35" t="b">
        <v>1</v>
      </c>
      <c r="AF268" s="23">
        <v>100000.0</v>
      </c>
      <c r="AG268" s="15" t="b">
        <v>1</v>
      </c>
      <c r="AH268" s="20" t="s">
        <v>507</v>
      </c>
      <c r="AI268" s="23">
        <v>550000.0</v>
      </c>
      <c r="AJ268" s="35" t="b">
        <v>1</v>
      </c>
      <c r="AK268" s="23">
        <v>100000.0</v>
      </c>
      <c r="AL268" s="15" t="b">
        <v>1</v>
      </c>
      <c r="AM268" s="20" t="s">
        <v>509</v>
      </c>
      <c r="AN268" s="23">
        <v>550000.0</v>
      </c>
      <c r="AO268" s="35" t="b">
        <v>1</v>
      </c>
      <c r="AP268" s="23">
        <v>100000.0</v>
      </c>
      <c r="AQ268" s="15" t="b">
        <v>1</v>
      </c>
      <c r="AR268" s="20" t="s">
        <v>510</v>
      </c>
      <c r="AS268" s="23">
        <v>402000.0</v>
      </c>
      <c r="AT268" s="35" t="b">
        <v>1</v>
      </c>
      <c r="AU268" s="23">
        <v>60000.0</v>
      </c>
      <c r="AV268" s="15" t="b">
        <v>1</v>
      </c>
      <c r="AW268" s="20" t="s">
        <v>511</v>
      </c>
      <c r="AX268" s="23">
        <v>670000.0</v>
      </c>
      <c r="AY268" s="35" t="b">
        <v>1</v>
      </c>
      <c r="AZ268" s="23">
        <v>100000.0</v>
      </c>
      <c r="BA268" s="15" t="b">
        <v>1</v>
      </c>
      <c r="BB268" s="20" t="s">
        <v>511</v>
      </c>
      <c r="BC268" s="23">
        <v>670000.0</v>
      </c>
      <c r="BD268" s="35" t="b">
        <v>1</v>
      </c>
      <c r="BE268" s="23">
        <v>100000.0</v>
      </c>
      <c r="BF268" s="15" t="b">
        <v>1</v>
      </c>
      <c r="BG268" s="20" t="s">
        <v>511</v>
      </c>
      <c r="BH268" s="23">
        <v>670000.0</v>
      </c>
      <c r="BI268" s="35" t="b">
        <v>1</v>
      </c>
      <c r="BJ268" s="23">
        <v>100000.0</v>
      </c>
      <c r="BK268" s="15" t="b">
        <v>1</v>
      </c>
      <c r="BL268" s="20" t="s">
        <v>511</v>
      </c>
      <c r="BM268" s="23">
        <v>670000.0</v>
      </c>
      <c r="BN268" s="35" t="b">
        <v>0</v>
      </c>
      <c r="BO268" s="23">
        <v>100000.0</v>
      </c>
      <c r="BP268" s="15" t="b">
        <v>0</v>
      </c>
      <c r="BQ268" s="17" t="s">
        <v>216</v>
      </c>
      <c r="BR268" s="1"/>
      <c r="BS268" s="1"/>
      <c r="BT268" s="1"/>
      <c r="BU268" s="1"/>
    </row>
    <row r="269">
      <c r="A269" s="1"/>
      <c r="B269" s="10" t="s">
        <v>512</v>
      </c>
      <c r="C269" s="11" t="s">
        <v>513</v>
      </c>
      <c r="D269" s="20" t="s">
        <v>514</v>
      </c>
      <c r="E269" s="23">
        <v>640000.0</v>
      </c>
      <c r="F269" s="35" t="b">
        <v>1</v>
      </c>
      <c r="G269" s="23">
        <v>100000.0</v>
      </c>
      <c r="H269" s="15" t="b">
        <v>1</v>
      </c>
      <c r="I269" s="20" t="s">
        <v>515</v>
      </c>
      <c r="J269" s="23">
        <f>640000+124138</f>
        <v>764138</v>
      </c>
      <c r="K269" s="35" t="b">
        <v>1</v>
      </c>
      <c r="L269" s="23">
        <f>100000+20690</f>
        <v>120690</v>
      </c>
      <c r="M269" s="15" t="b">
        <v>1</v>
      </c>
      <c r="N269" s="20" t="s">
        <v>516</v>
      </c>
      <c r="O269" s="23">
        <v>600000.0</v>
      </c>
      <c r="P269" s="35" t="b">
        <v>1</v>
      </c>
      <c r="Q269" s="23">
        <v>100000.0</v>
      </c>
      <c r="R269" s="15" t="b">
        <v>1</v>
      </c>
      <c r="S269" s="20" t="s">
        <v>516</v>
      </c>
      <c r="T269" s="23">
        <v>600000.0</v>
      </c>
      <c r="U269" s="35" t="b">
        <v>1</v>
      </c>
      <c r="V269" s="23">
        <v>100000.0</v>
      </c>
      <c r="W269" s="15" t="b">
        <v>1</v>
      </c>
      <c r="X269" s="20" t="s">
        <v>516</v>
      </c>
      <c r="Y269" s="23">
        <v>600000.0</v>
      </c>
      <c r="Z269" s="35" t="b">
        <v>1</v>
      </c>
      <c r="AA269" s="23">
        <v>100000.0</v>
      </c>
      <c r="AB269" s="15" t="b">
        <v>1</v>
      </c>
      <c r="AC269" s="20" t="s">
        <v>516</v>
      </c>
      <c r="AD269" s="23">
        <v>600000.0</v>
      </c>
      <c r="AE269" s="35" t="b">
        <v>1</v>
      </c>
      <c r="AF269" s="23">
        <v>100000.0</v>
      </c>
      <c r="AG269" s="15" t="b">
        <v>1</v>
      </c>
      <c r="AH269" s="20" t="s">
        <v>516</v>
      </c>
      <c r="AI269" s="23">
        <v>600000.0</v>
      </c>
      <c r="AJ269" s="35" t="b">
        <v>1</v>
      </c>
      <c r="AK269" s="23">
        <v>100000.0</v>
      </c>
      <c r="AL269" s="15" t="b">
        <v>1</v>
      </c>
      <c r="AM269" s="20" t="s">
        <v>516</v>
      </c>
      <c r="AN269" s="23">
        <v>600000.0</v>
      </c>
      <c r="AO269" s="35" t="b">
        <v>1</v>
      </c>
      <c r="AP269" s="23">
        <v>100000.0</v>
      </c>
      <c r="AQ269" s="15" t="b">
        <v>1</v>
      </c>
      <c r="AR269" s="20" t="s">
        <v>516</v>
      </c>
      <c r="AS269" s="23">
        <v>600000.0</v>
      </c>
      <c r="AT269" s="35" t="b">
        <v>1</v>
      </c>
      <c r="AU269" s="23">
        <v>100000.0</v>
      </c>
      <c r="AV269" s="15" t="b">
        <v>1</v>
      </c>
      <c r="AW269" s="20" t="s">
        <v>516</v>
      </c>
      <c r="AX269" s="23">
        <v>600000.0</v>
      </c>
      <c r="AY269" s="35" t="b">
        <v>1</v>
      </c>
      <c r="AZ269" s="23">
        <v>100000.0</v>
      </c>
      <c r="BA269" s="15" t="b">
        <v>1</v>
      </c>
      <c r="BB269" s="20" t="s">
        <v>516</v>
      </c>
      <c r="BC269" s="23">
        <v>600000.0</v>
      </c>
      <c r="BD269" s="35" t="b">
        <v>1</v>
      </c>
      <c r="BE269" s="23">
        <v>100000.0</v>
      </c>
      <c r="BF269" s="15" t="b">
        <v>1</v>
      </c>
      <c r="BG269" s="20" t="s">
        <v>517</v>
      </c>
      <c r="BH269" s="23">
        <f>600000</f>
        <v>600000</v>
      </c>
      <c r="BI269" s="35" t="b">
        <v>1</v>
      </c>
      <c r="BJ269" s="23">
        <v>100000.0</v>
      </c>
      <c r="BK269" s="15" t="b">
        <v>1</v>
      </c>
      <c r="BL269" s="20" t="s">
        <v>518</v>
      </c>
      <c r="BM269" s="23">
        <v>600000.0</v>
      </c>
      <c r="BN269" s="35" t="b">
        <v>1</v>
      </c>
      <c r="BO269" s="23">
        <v>100000.0</v>
      </c>
      <c r="BP269" s="15" t="b">
        <v>1</v>
      </c>
      <c r="BQ269" s="17" t="s">
        <v>216</v>
      </c>
      <c r="BR269" s="1"/>
      <c r="BS269" s="1"/>
      <c r="BT269" s="1"/>
      <c r="BU269" s="1"/>
    </row>
    <row r="270">
      <c r="A270" s="1"/>
      <c r="B270" s="10" t="s">
        <v>505</v>
      </c>
      <c r="C270" s="11" t="s">
        <v>519</v>
      </c>
      <c r="D270" s="20" t="s">
        <v>520</v>
      </c>
      <c r="E270" s="23">
        <v>600000.0</v>
      </c>
      <c r="F270" s="35" t="b">
        <v>1</v>
      </c>
      <c r="G270" s="23">
        <v>100000.0</v>
      </c>
      <c r="H270" s="15" t="b">
        <v>1</v>
      </c>
      <c r="I270" s="20" t="s">
        <v>37</v>
      </c>
      <c r="J270" s="18"/>
      <c r="K270" s="1"/>
      <c r="L270" s="18"/>
      <c r="M270" s="19"/>
      <c r="N270" s="20" t="s">
        <v>521</v>
      </c>
      <c r="O270" s="23">
        <v>630000.0</v>
      </c>
      <c r="P270" s="35" t="b">
        <v>1</v>
      </c>
      <c r="Q270" s="23">
        <v>100000.0</v>
      </c>
      <c r="R270" s="15" t="b">
        <v>1</v>
      </c>
      <c r="S270" s="20" t="s">
        <v>522</v>
      </c>
      <c r="T270" s="23">
        <v>630000.0</v>
      </c>
      <c r="U270" s="35" t="b">
        <v>1</v>
      </c>
      <c r="V270" s="23">
        <v>100000.0</v>
      </c>
      <c r="W270" s="15" t="b">
        <v>1</v>
      </c>
      <c r="X270" s="20" t="s">
        <v>522</v>
      </c>
      <c r="Y270" s="23">
        <v>630000.0</v>
      </c>
      <c r="Z270" s="35" t="b">
        <v>1</v>
      </c>
      <c r="AA270" s="23">
        <v>100000.0</v>
      </c>
      <c r="AB270" s="15" t="b">
        <v>1</v>
      </c>
      <c r="AC270" s="20" t="s">
        <v>522</v>
      </c>
      <c r="AD270" s="23">
        <v>630000.0</v>
      </c>
      <c r="AE270" s="35" t="b">
        <v>1</v>
      </c>
      <c r="AF270" s="23">
        <v>100000.0</v>
      </c>
      <c r="AG270" s="15" t="b">
        <v>1</v>
      </c>
      <c r="AH270" s="20" t="s">
        <v>522</v>
      </c>
      <c r="AI270" s="23">
        <v>630000.0</v>
      </c>
      <c r="AJ270" s="35" t="b">
        <v>1</v>
      </c>
      <c r="AK270" s="23">
        <v>100000.0</v>
      </c>
      <c r="AL270" s="15" t="b">
        <v>1</v>
      </c>
      <c r="AM270" s="20" t="s">
        <v>523</v>
      </c>
      <c r="AN270" s="23">
        <f>630000+19355</f>
        <v>649355</v>
      </c>
      <c r="AO270" s="35" t="b">
        <v>1</v>
      </c>
      <c r="AP270" s="23">
        <f>100000+3226</f>
        <v>103226</v>
      </c>
      <c r="AQ270" s="15" t="b">
        <v>1</v>
      </c>
      <c r="AR270" s="20" t="s">
        <v>524</v>
      </c>
      <c r="AS270" s="23">
        <v>600000.0</v>
      </c>
      <c r="AT270" s="35" t="b">
        <v>1</v>
      </c>
      <c r="AU270" s="23">
        <v>100000.0</v>
      </c>
      <c r="AV270" s="15" t="b">
        <v>1</v>
      </c>
      <c r="AW270" s="20" t="s">
        <v>524</v>
      </c>
      <c r="AX270" s="23">
        <v>600000.0</v>
      </c>
      <c r="AY270" s="35" t="b">
        <v>1</v>
      </c>
      <c r="AZ270" s="23">
        <v>100000.0</v>
      </c>
      <c r="BA270" s="15" t="b">
        <v>1</v>
      </c>
      <c r="BB270" s="20" t="s">
        <v>524</v>
      </c>
      <c r="BC270" s="23">
        <v>600000.0</v>
      </c>
      <c r="BD270" s="35" t="b">
        <v>1</v>
      </c>
      <c r="BE270" s="23">
        <v>100000.0</v>
      </c>
      <c r="BF270" s="15" t="b">
        <v>1</v>
      </c>
      <c r="BG270" s="20" t="s">
        <v>524</v>
      </c>
      <c r="BH270" s="23">
        <v>600000.0</v>
      </c>
      <c r="BI270" s="35" t="b">
        <v>1</v>
      </c>
      <c r="BJ270" s="23">
        <v>100000.0</v>
      </c>
      <c r="BK270" s="15" t="b">
        <v>1</v>
      </c>
      <c r="BL270" s="20" t="s">
        <v>524</v>
      </c>
      <c r="BM270" s="23">
        <v>600000.0</v>
      </c>
      <c r="BN270" s="35" t="b">
        <v>0</v>
      </c>
      <c r="BO270" s="23">
        <v>100000.0</v>
      </c>
      <c r="BP270" s="15" t="b">
        <v>0</v>
      </c>
      <c r="BQ270" s="17" t="s">
        <v>216</v>
      </c>
      <c r="BR270" s="1"/>
      <c r="BS270" s="1"/>
      <c r="BT270" s="1"/>
      <c r="BU270" s="1"/>
    </row>
    <row r="271">
      <c r="A271" s="1"/>
      <c r="B271" s="10" t="s">
        <v>505</v>
      </c>
      <c r="C271" s="11" t="s">
        <v>525</v>
      </c>
      <c r="D271" s="20" t="s">
        <v>526</v>
      </c>
      <c r="E271" s="23">
        <v>570000.0</v>
      </c>
      <c r="F271" s="35" t="b">
        <v>1</v>
      </c>
      <c r="G271" s="23">
        <v>100000.0</v>
      </c>
      <c r="H271" s="15" t="b">
        <v>1</v>
      </c>
      <c r="I271" s="20" t="s">
        <v>527</v>
      </c>
      <c r="J271" s="23">
        <v>570000.0</v>
      </c>
      <c r="K271" s="35" t="b">
        <v>1</v>
      </c>
      <c r="L271" s="23">
        <v>100000.0</v>
      </c>
      <c r="M271" s="15" t="b">
        <v>1</v>
      </c>
      <c r="N271" s="20" t="s">
        <v>528</v>
      </c>
      <c r="O271" s="23">
        <f>570000+500000+570000</f>
        <v>1640000</v>
      </c>
      <c r="P271" s="35" t="b">
        <v>1</v>
      </c>
      <c r="Q271" s="23">
        <f>100000</f>
        <v>100000</v>
      </c>
      <c r="R271" s="15" t="b">
        <v>1</v>
      </c>
      <c r="S271" s="20" t="s">
        <v>529</v>
      </c>
      <c r="T271" s="23">
        <f>570000</f>
        <v>570000</v>
      </c>
      <c r="U271" s="35" t="b">
        <v>1</v>
      </c>
      <c r="V271" s="23">
        <f>100000</f>
        <v>100000</v>
      </c>
      <c r="W271" s="15" t="b">
        <v>1</v>
      </c>
      <c r="X271" s="20" t="s">
        <v>529</v>
      </c>
      <c r="Y271" s="23">
        <f>570000</f>
        <v>570000</v>
      </c>
      <c r="Z271" s="35" t="b">
        <v>1</v>
      </c>
      <c r="AA271" s="23">
        <f>100000</f>
        <v>100000</v>
      </c>
      <c r="AB271" s="15" t="b">
        <v>1</v>
      </c>
      <c r="AC271" s="20" t="s">
        <v>529</v>
      </c>
      <c r="AD271" s="23">
        <f>570000</f>
        <v>570000</v>
      </c>
      <c r="AE271" s="35" t="b">
        <v>1</v>
      </c>
      <c r="AF271" s="23">
        <f>100000</f>
        <v>100000</v>
      </c>
      <c r="AG271" s="15" t="b">
        <v>1</v>
      </c>
      <c r="AH271" s="20" t="s">
        <v>529</v>
      </c>
      <c r="AI271" s="23">
        <f>570000</f>
        <v>570000</v>
      </c>
      <c r="AJ271" s="35" t="b">
        <v>1</v>
      </c>
      <c r="AK271" s="23">
        <v>100000.0</v>
      </c>
      <c r="AL271" s="15" t="b">
        <v>1</v>
      </c>
      <c r="AM271" s="20" t="s">
        <v>529</v>
      </c>
      <c r="AN271" s="23">
        <f>570000</f>
        <v>570000</v>
      </c>
      <c r="AO271" s="35" t="b">
        <v>1</v>
      </c>
      <c r="AP271" s="23">
        <v>100000.0</v>
      </c>
      <c r="AQ271" s="15" t="b">
        <v>1</v>
      </c>
      <c r="AR271" s="20" t="s">
        <v>529</v>
      </c>
      <c r="AS271" s="23">
        <f>570000</f>
        <v>570000</v>
      </c>
      <c r="AT271" s="35" t="b">
        <v>1</v>
      </c>
      <c r="AU271" s="23">
        <f t="shared" ref="AU271:AU273" si="5">100000</f>
        <v>100000</v>
      </c>
      <c r="AV271" s="15" t="b">
        <v>1</v>
      </c>
      <c r="AW271" s="20" t="s">
        <v>529</v>
      </c>
      <c r="AX271" s="23">
        <f>570000</f>
        <v>570000</v>
      </c>
      <c r="AY271" s="35" t="b">
        <v>1</v>
      </c>
      <c r="AZ271" s="23">
        <v>100000.0</v>
      </c>
      <c r="BA271" s="15" t="b">
        <v>1</v>
      </c>
      <c r="BB271" s="20" t="s">
        <v>529</v>
      </c>
      <c r="BC271" s="23">
        <f>570000</f>
        <v>570000</v>
      </c>
      <c r="BD271" s="35" t="b">
        <v>1</v>
      </c>
      <c r="BE271" s="23">
        <f t="shared" ref="BE271:BE273" si="6">100000</f>
        <v>100000</v>
      </c>
      <c r="BF271" s="15" t="b">
        <v>1</v>
      </c>
      <c r="BG271" s="20" t="s">
        <v>529</v>
      </c>
      <c r="BH271" s="23">
        <f>570000</f>
        <v>570000</v>
      </c>
      <c r="BI271" s="35" t="b">
        <v>1</v>
      </c>
      <c r="BJ271" s="23">
        <f t="shared" ref="BJ271:BJ273" si="7">100000</f>
        <v>100000</v>
      </c>
      <c r="BK271" s="15" t="b">
        <v>1</v>
      </c>
      <c r="BL271" s="20" t="s">
        <v>529</v>
      </c>
      <c r="BM271" s="23">
        <f>570000</f>
        <v>570000</v>
      </c>
      <c r="BN271" s="35" t="b">
        <v>0</v>
      </c>
      <c r="BO271" s="23">
        <f>100000</f>
        <v>100000</v>
      </c>
      <c r="BP271" s="15" t="b">
        <v>0</v>
      </c>
      <c r="BQ271" s="17" t="s">
        <v>216</v>
      </c>
      <c r="BR271" s="1"/>
      <c r="BS271" s="1"/>
      <c r="BT271" s="1"/>
      <c r="BU271" s="1"/>
    </row>
    <row r="272">
      <c r="A272" s="1"/>
      <c r="B272" s="10" t="s">
        <v>505</v>
      </c>
      <c r="C272" s="11" t="s">
        <v>530</v>
      </c>
      <c r="D272" s="20" t="s">
        <v>531</v>
      </c>
      <c r="E272" s="23">
        <v>450000.0</v>
      </c>
      <c r="F272" s="35" t="b">
        <v>1</v>
      </c>
      <c r="G272" s="23">
        <v>100000.0</v>
      </c>
      <c r="H272" s="15" t="b">
        <v>1</v>
      </c>
      <c r="I272" s="20" t="s">
        <v>532</v>
      </c>
      <c r="J272" s="23">
        <v>450000.0</v>
      </c>
      <c r="K272" s="35" t="b">
        <v>1</v>
      </c>
      <c r="L272" s="23">
        <v>100000.0</v>
      </c>
      <c r="M272" s="15" t="b">
        <v>1</v>
      </c>
      <c r="N272" s="20" t="s">
        <v>533</v>
      </c>
      <c r="O272" s="23">
        <v>500000.0</v>
      </c>
      <c r="P272" s="35" t="b">
        <v>1</v>
      </c>
      <c r="Q272" s="23">
        <v>100000.0</v>
      </c>
      <c r="R272" s="15" t="b">
        <v>1</v>
      </c>
      <c r="S272" s="20" t="s">
        <v>534</v>
      </c>
      <c r="T272" s="23">
        <v>500000.0</v>
      </c>
      <c r="U272" s="35" t="b">
        <v>1</v>
      </c>
      <c r="V272" s="23">
        <v>100000.0</v>
      </c>
      <c r="W272" s="15" t="b">
        <v>1</v>
      </c>
      <c r="X272" s="20" t="s">
        <v>534</v>
      </c>
      <c r="Y272" s="23">
        <v>500000.0</v>
      </c>
      <c r="Z272" s="35" t="b">
        <v>1</v>
      </c>
      <c r="AA272" s="23">
        <v>100000.0</v>
      </c>
      <c r="AB272" s="15" t="b">
        <v>1</v>
      </c>
      <c r="AC272" s="20" t="s">
        <v>535</v>
      </c>
      <c r="AD272" s="23">
        <v>500000.0</v>
      </c>
      <c r="AE272" s="35" t="b">
        <v>1</v>
      </c>
      <c r="AF272" s="23">
        <v>100000.0</v>
      </c>
      <c r="AG272" s="15" t="b">
        <v>1</v>
      </c>
      <c r="AH272" s="20" t="s">
        <v>536</v>
      </c>
      <c r="AI272" s="23">
        <v>500000.0</v>
      </c>
      <c r="AJ272" s="35" t="b">
        <v>1</v>
      </c>
      <c r="AK272" s="23">
        <v>100000.0</v>
      </c>
      <c r="AL272" s="15" t="b">
        <v>1</v>
      </c>
      <c r="AM272" s="20" t="s">
        <v>537</v>
      </c>
      <c r="AN272" s="23">
        <v>500000.0</v>
      </c>
      <c r="AO272" s="35" t="b">
        <v>1</v>
      </c>
      <c r="AP272" s="23">
        <v>100000.0</v>
      </c>
      <c r="AQ272" s="15" t="b">
        <v>1</v>
      </c>
      <c r="AR272" s="20" t="s">
        <v>538</v>
      </c>
      <c r="AS272" s="23">
        <v>420000.0</v>
      </c>
      <c r="AT272" s="35" t="b">
        <v>1</v>
      </c>
      <c r="AU272" s="23">
        <f t="shared" si="5"/>
        <v>100000</v>
      </c>
      <c r="AV272" s="15" t="b">
        <v>1</v>
      </c>
      <c r="AW272" s="20" t="s">
        <v>539</v>
      </c>
      <c r="AX272" s="23">
        <v>420000.0</v>
      </c>
      <c r="AY272" s="35" t="b">
        <v>1</v>
      </c>
      <c r="AZ272" s="23">
        <v>100000.0</v>
      </c>
      <c r="BA272" s="15" t="b">
        <v>1</v>
      </c>
      <c r="BB272" s="20" t="s">
        <v>540</v>
      </c>
      <c r="BC272" s="23">
        <v>420000.0</v>
      </c>
      <c r="BD272" s="35" t="b">
        <v>1</v>
      </c>
      <c r="BE272" s="23">
        <f t="shared" si="6"/>
        <v>100000</v>
      </c>
      <c r="BF272" s="15" t="b">
        <v>1</v>
      </c>
      <c r="BG272" s="20" t="s">
        <v>541</v>
      </c>
      <c r="BH272" s="23">
        <v>420000.0</v>
      </c>
      <c r="BI272" s="35" t="b">
        <v>1</v>
      </c>
      <c r="BJ272" s="23">
        <f t="shared" si="7"/>
        <v>100000</v>
      </c>
      <c r="BK272" s="15" t="b">
        <v>1</v>
      </c>
      <c r="BL272" s="20" t="s">
        <v>37</v>
      </c>
      <c r="BM272" s="18"/>
      <c r="BN272" s="1"/>
      <c r="BO272" s="18"/>
      <c r="BP272" s="19"/>
      <c r="BQ272" s="17" t="s">
        <v>216</v>
      </c>
      <c r="BR272" s="1"/>
      <c r="BS272" s="1"/>
      <c r="BT272" s="1"/>
      <c r="BU272" s="1"/>
    </row>
    <row r="273">
      <c r="A273" s="1"/>
      <c r="B273" s="10" t="s">
        <v>505</v>
      </c>
      <c r="C273" s="11" t="s">
        <v>542</v>
      </c>
      <c r="D273" s="20" t="s">
        <v>543</v>
      </c>
      <c r="E273" s="23">
        <v>550000.0</v>
      </c>
      <c r="F273" s="35" t="b">
        <v>1</v>
      </c>
      <c r="G273" s="23">
        <v>100000.0</v>
      </c>
      <c r="H273" s="15" t="b">
        <v>1</v>
      </c>
      <c r="I273" s="20" t="s">
        <v>543</v>
      </c>
      <c r="J273" s="23">
        <v>550000.0</v>
      </c>
      <c r="K273" s="35" t="b">
        <v>1</v>
      </c>
      <c r="L273" s="23">
        <v>100000.0</v>
      </c>
      <c r="M273" s="15" t="b">
        <v>1</v>
      </c>
      <c r="N273" s="20" t="s">
        <v>543</v>
      </c>
      <c r="O273" s="23">
        <v>550000.0</v>
      </c>
      <c r="P273" s="35" t="b">
        <v>1</v>
      </c>
      <c r="Q273" s="23">
        <v>100000.0</v>
      </c>
      <c r="R273" s="15" t="b">
        <v>1</v>
      </c>
      <c r="S273" s="20" t="s">
        <v>543</v>
      </c>
      <c r="T273" s="23">
        <v>550000.0</v>
      </c>
      <c r="U273" s="35" t="b">
        <v>1</v>
      </c>
      <c r="V273" s="23">
        <v>100000.0</v>
      </c>
      <c r="W273" s="15" t="b">
        <v>1</v>
      </c>
      <c r="X273" s="20" t="s">
        <v>544</v>
      </c>
      <c r="Y273" s="23">
        <v>550000.0</v>
      </c>
      <c r="Z273" s="35" t="b">
        <v>1</v>
      </c>
      <c r="AA273" s="23">
        <v>100000.0</v>
      </c>
      <c r="AB273" s="15" t="b">
        <v>1</v>
      </c>
      <c r="AC273" s="20" t="s">
        <v>545</v>
      </c>
      <c r="AD273" s="23">
        <v>500000.0</v>
      </c>
      <c r="AE273" s="35" t="b">
        <v>1</v>
      </c>
      <c r="AF273" s="23">
        <v>100000.0</v>
      </c>
      <c r="AG273" s="15" t="b">
        <v>1</v>
      </c>
      <c r="AH273" s="20" t="s">
        <v>546</v>
      </c>
      <c r="AI273" s="23">
        <v>500000.0</v>
      </c>
      <c r="AJ273" s="35" t="b">
        <v>1</v>
      </c>
      <c r="AK273" s="23">
        <v>100000.0</v>
      </c>
      <c r="AL273" s="15" t="b">
        <v>1</v>
      </c>
      <c r="AM273" s="20" t="s">
        <v>547</v>
      </c>
      <c r="AN273" s="23">
        <v>403226.0</v>
      </c>
      <c r="AO273" s="35" t="b">
        <v>1</v>
      </c>
      <c r="AP273" s="23">
        <v>80645.0</v>
      </c>
      <c r="AQ273" s="15" t="b">
        <v>1</v>
      </c>
      <c r="AR273" s="20" t="s">
        <v>548</v>
      </c>
      <c r="AS273" s="23">
        <v>600000.0</v>
      </c>
      <c r="AT273" s="35" t="b">
        <v>1</v>
      </c>
      <c r="AU273" s="23">
        <f t="shared" si="5"/>
        <v>100000</v>
      </c>
      <c r="AV273" s="15" t="b">
        <v>1</v>
      </c>
      <c r="AW273" s="20" t="s">
        <v>549</v>
      </c>
      <c r="AX273" s="23">
        <v>600000.0</v>
      </c>
      <c r="AY273" s="35" t="b">
        <v>1</v>
      </c>
      <c r="AZ273" s="23">
        <v>100000.0</v>
      </c>
      <c r="BA273" s="15" t="b">
        <v>1</v>
      </c>
      <c r="BB273" s="20" t="s">
        <v>549</v>
      </c>
      <c r="BC273" s="23">
        <v>600000.0</v>
      </c>
      <c r="BD273" s="35" t="b">
        <v>1</v>
      </c>
      <c r="BE273" s="23">
        <f t="shared" si="6"/>
        <v>100000</v>
      </c>
      <c r="BF273" s="15" t="b">
        <v>1</v>
      </c>
      <c r="BG273" s="20" t="s">
        <v>550</v>
      </c>
      <c r="BH273" s="23">
        <v>600000.0</v>
      </c>
      <c r="BI273" s="35" t="b">
        <v>1</v>
      </c>
      <c r="BJ273" s="23">
        <f t="shared" si="7"/>
        <v>100000</v>
      </c>
      <c r="BK273" s="15" t="b">
        <v>1</v>
      </c>
      <c r="BL273" s="20" t="s">
        <v>37</v>
      </c>
      <c r="BM273" s="18"/>
      <c r="BN273" s="1"/>
      <c r="BO273" s="18"/>
      <c r="BP273" s="19"/>
      <c r="BQ273" s="17" t="s">
        <v>216</v>
      </c>
      <c r="BR273" s="1"/>
      <c r="BS273" s="1"/>
      <c r="BT273" s="1"/>
      <c r="BU273" s="1"/>
    </row>
    <row r="274">
      <c r="A274" s="1"/>
      <c r="B274" s="21"/>
      <c r="C274" s="11" t="s">
        <v>42</v>
      </c>
      <c r="D274" s="22"/>
      <c r="E274" s="23">
        <f>SUM(E268:E273)</f>
        <v>3330000</v>
      </c>
      <c r="F274" s="18"/>
      <c r="G274" s="23">
        <f>SUM(G268:G273)</f>
        <v>600000</v>
      </c>
      <c r="H274" s="19"/>
      <c r="I274" s="22"/>
      <c r="J274" s="23">
        <f>SUM(J268:J273)</f>
        <v>2854138</v>
      </c>
      <c r="K274" s="18"/>
      <c r="L274" s="23">
        <f>SUM(L268:L273)</f>
        <v>520690</v>
      </c>
      <c r="M274" s="19"/>
      <c r="N274" s="22"/>
      <c r="O274" s="23">
        <f>SUM(O268:O273)</f>
        <v>4470000</v>
      </c>
      <c r="P274" s="18"/>
      <c r="Q274" s="23">
        <f>SUM(Q268:Q273)</f>
        <v>600000</v>
      </c>
      <c r="R274" s="19"/>
      <c r="S274" s="22"/>
      <c r="T274" s="23">
        <f>SUM(T268:T273)</f>
        <v>3400000</v>
      </c>
      <c r="U274" s="18"/>
      <c r="V274" s="23">
        <f>SUM(V268:V273)</f>
        <v>600000</v>
      </c>
      <c r="W274" s="19"/>
      <c r="X274" s="18"/>
      <c r="Y274" s="23">
        <f>SUM(Y268:Y273)</f>
        <v>3400000</v>
      </c>
      <c r="Z274" s="18"/>
      <c r="AA274" s="23">
        <f>SUM(AA268:AA273)</f>
        <v>600000</v>
      </c>
      <c r="AB274" s="19"/>
      <c r="AC274" s="18"/>
      <c r="AD274" s="23">
        <f>SUM(AD268:AD273)</f>
        <v>3350000</v>
      </c>
      <c r="AE274" s="18"/>
      <c r="AF274" s="23">
        <f>SUM(AF268:AF273)</f>
        <v>600000</v>
      </c>
      <c r="AG274" s="19"/>
      <c r="AH274" s="18"/>
      <c r="AI274" s="23">
        <f>SUM(AI268:AI273)</f>
        <v>3350000</v>
      </c>
      <c r="AJ274" s="18"/>
      <c r="AK274" s="23">
        <f>SUM(AK268:AK273)</f>
        <v>600000</v>
      </c>
      <c r="AL274" s="19"/>
      <c r="AM274" s="18"/>
      <c r="AN274" s="23">
        <f>SUM(AN268:AN273)</f>
        <v>3272581</v>
      </c>
      <c r="AO274" s="18"/>
      <c r="AP274" s="23">
        <f>SUM(AP268:AP273)</f>
        <v>583871</v>
      </c>
      <c r="AQ274" s="19"/>
      <c r="AR274" s="22"/>
      <c r="AS274" s="23">
        <f>SUM(AS268:AS273)</f>
        <v>3192000</v>
      </c>
      <c r="AT274" s="18"/>
      <c r="AU274" s="23">
        <f>SUM(AU268:AU273)</f>
        <v>560000</v>
      </c>
      <c r="AV274" s="19"/>
      <c r="AW274" s="22"/>
      <c r="AX274" s="23">
        <f>SUM(AX268:AX273)</f>
        <v>3460000</v>
      </c>
      <c r="AY274" s="18"/>
      <c r="AZ274" s="23">
        <f>SUM(AZ268:AZ273)</f>
        <v>600000</v>
      </c>
      <c r="BA274" s="19"/>
      <c r="BB274" s="22"/>
      <c r="BC274" s="23">
        <f>SUM(BC268:BC273)</f>
        <v>3460000</v>
      </c>
      <c r="BD274" s="18"/>
      <c r="BE274" s="23">
        <f>SUM(BE268:BE273)</f>
        <v>600000</v>
      </c>
      <c r="BF274" s="19"/>
      <c r="BG274" s="22"/>
      <c r="BH274" s="23">
        <f>SUM(BH268:BH273)</f>
        <v>3460000</v>
      </c>
      <c r="BI274" s="18"/>
      <c r="BJ274" s="23">
        <f>SUM(BJ268:BJ273)</f>
        <v>600000</v>
      </c>
      <c r="BK274" s="19"/>
      <c r="BL274" s="22"/>
      <c r="BM274" s="23">
        <f>SUM(BM268:BM273)</f>
        <v>2440000</v>
      </c>
      <c r="BN274" s="18"/>
      <c r="BO274" s="23">
        <f>SUM(BO268:BO273)</f>
        <v>400000</v>
      </c>
      <c r="BP274" s="19"/>
      <c r="BQ274" s="17" t="s">
        <v>216</v>
      </c>
      <c r="BR274" s="1"/>
      <c r="BS274" s="1"/>
      <c r="BT274" s="1"/>
      <c r="BU274" s="1"/>
    </row>
    <row r="275">
      <c r="A275" s="1"/>
      <c r="B275" s="21"/>
      <c r="C275" s="11" t="s">
        <v>43</v>
      </c>
      <c r="D275" s="22"/>
      <c r="E275" s="23">
        <v>1800000.0</v>
      </c>
      <c r="F275" s="18"/>
      <c r="G275" s="18"/>
      <c r="H275" s="19"/>
      <c r="I275" s="22"/>
      <c r="J275" s="23">
        <v>1800000.0</v>
      </c>
      <c r="K275" s="18"/>
      <c r="L275" s="18"/>
      <c r="M275" s="19"/>
      <c r="N275" s="22"/>
      <c r="O275" s="23">
        <v>1800000.0</v>
      </c>
      <c r="P275" s="18"/>
      <c r="Q275" s="18"/>
      <c r="R275" s="19"/>
      <c r="S275" s="22"/>
      <c r="T275" s="23">
        <v>1800000.0</v>
      </c>
      <c r="U275" s="18"/>
      <c r="V275" s="18"/>
      <c r="W275" s="19"/>
      <c r="X275" s="18"/>
      <c r="Y275" s="23">
        <v>1800000.0</v>
      </c>
      <c r="Z275" s="18"/>
      <c r="AA275" s="18"/>
      <c r="AB275" s="19"/>
      <c r="AC275" s="18"/>
      <c r="AD275" s="23">
        <v>1800000.0</v>
      </c>
      <c r="AE275" s="18"/>
      <c r="AF275" s="18"/>
      <c r="AG275" s="19"/>
      <c r="AH275" s="18"/>
      <c r="AI275" s="23">
        <v>1800000.0</v>
      </c>
      <c r="AJ275" s="18"/>
      <c r="AK275" s="18"/>
      <c r="AL275" s="19"/>
      <c r="AM275" s="18"/>
      <c r="AN275" s="23">
        <v>1800000.0</v>
      </c>
      <c r="AO275" s="18"/>
      <c r="AP275" s="18"/>
      <c r="AQ275" s="19"/>
      <c r="AR275" s="22"/>
      <c r="AS275" s="23">
        <v>1800000.0</v>
      </c>
      <c r="AT275" s="18"/>
      <c r="AU275" s="18"/>
      <c r="AV275" s="19"/>
      <c r="AW275" s="22"/>
      <c r="AX275" s="23">
        <v>1800000.0</v>
      </c>
      <c r="AY275" s="18"/>
      <c r="AZ275" s="18"/>
      <c r="BA275" s="19"/>
      <c r="BB275" s="22"/>
      <c r="BC275" s="23">
        <v>1800000.0</v>
      </c>
      <c r="BD275" s="18"/>
      <c r="BE275" s="18"/>
      <c r="BF275" s="19"/>
      <c r="BG275" s="22"/>
      <c r="BH275" s="23">
        <v>1800000.0</v>
      </c>
      <c r="BI275" s="18"/>
      <c r="BJ275" s="18"/>
      <c r="BK275" s="19"/>
      <c r="BL275" s="22"/>
      <c r="BM275" s="23">
        <v>1800000.0</v>
      </c>
      <c r="BN275" s="18"/>
      <c r="BO275" s="18"/>
      <c r="BP275" s="19"/>
      <c r="BQ275" s="17" t="s">
        <v>216</v>
      </c>
      <c r="BR275" s="1"/>
      <c r="BS275" s="1"/>
      <c r="BT275" s="1"/>
      <c r="BU275" s="1"/>
    </row>
    <row r="276">
      <c r="A276" s="1"/>
      <c r="B276" s="10" t="s">
        <v>551</v>
      </c>
      <c r="C276" s="11" t="s">
        <v>45</v>
      </c>
      <c r="D276" s="22"/>
      <c r="E276" s="18"/>
      <c r="F276" s="18"/>
      <c r="G276" s="23">
        <v>262600.0</v>
      </c>
      <c r="H276" s="19"/>
      <c r="I276" s="22"/>
      <c r="J276" s="18"/>
      <c r="K276" s="18"/>
      <c r="L276" s="23">
        <v>243840.0</v>
      </c>
      <c r="M276" s="19"/>
      <c r="N276" s="22"/>
      <c r="O276" s="18"/>
      <c r="P276" s="18"/>
      <c r="Q276" s="23">
        <v>188740.0</v>
      </c>
      <c r="R276" s="19"/>
      <c r="S276" s="18"/>
      <c r="T276" s="18"/>
      <c r="U276" s="18"/>
      <c r="V276" s="23">
        <v>242310.0</v>
      </c>
      <c r="W276" s="24"/>
      <c r="X276" s="18"/>
      <c r="Y276" s="18"/>
      <c r="Z276" s="18"/>
      <c r="AA276" s="23">
        <v>235930.0</v>
      </c>
      <c r="AB276" s="24"/>
      <c r="AC276" s="18"/>
      <c r="AD276" s="18"/>
      <c r="AE276" s="18"/>
      <c r="AF276" s="23">
        <v>242800.0</v>
      </c>
      <c r="AG276" s="24"/>
      <c r="AH276" s="18"/>
      <c r="AI276" s="18"/>
      <c r="AJ276" s="18"/>
      <c r="AK276" s="23">
        <v>274720.0</v>
      </c>
      <c r="AL276" s="24"/>
      <c r="AM276" s="18"/>
      <c r="AN276" s="18"/>
      <c r="AO276" s="18"/>
      <c r="AP276" s="23">
        <v>275120.0</v>
      </c>
      <c r="AQ276" s="24"/>
      <c r="AR276" s="18"/>
      <c r="AS276" s="18"/>
      <c r="AT276" s="18"/>
      <c r="AU276" s="18"/>
      <c r="AV276" s="24"/>
      <c r="AW276" s="18"/>
      <c r="AX276" s="18"/>
      <c r="AY276" s="18"/>
      <c r="AZ276" s="18"/>
      <c r="BA276" s="24"/>
      <c r="BB276" s="18"/>
      <c r="BC276" s="18"/>
      <c r="BD276" s="18"/>
      <c r="BE276" s="18"/>
      <c r="BF276" s="24"/>
      <c r="BG276" s="18"/>
      <c r="BH276" s="18"/>
      <c r="BI276" s="18"/>
      <c r="BJ276" s="18"/>
      <c r="BK276" s="19"/>
      <c r="BL276" s="18"/>
      <c r="BM276" s="18"/>
      <c r="BN276" s="18"/>
      <c r="BO276" s="18"/>
      <c r="BP276" s="19"/>
      <c r="BQ276" s="17" t="s">
        <v>216</v>
      </c>
      <c r="BR276" s="1"/>
      <c r="BS276" s="1"/>
      <c r="BT276" s="1"/>
      <c r="BU276" s="1"/>
    </row>
    <row r="277">
      <c r="A277" s="1"/>
      <c r="B277" s="10" t="s">
        <v>446</v>
      </c>
      <c r="C277" s="11" t="s">
        <v>47</v>
      </c>
      <c r="D277" s="22"/>
      <c r="E277" s="18"/>
      <c r="F277" s="18"/>
      <c r="G277" s="23" t="s">
        <v>446</v>
      </c>
      <c r="H277" s="19"/>
      <c r="I277" s="22"/>
      <c r="J277" s="18"/>
      <c r="K277" s="18"/>
      <c r="L277" s="23" t="s">
        <v>446</v>
      </c>
      <c r="M277" s="19"/>
      <c r="N277" s="22"/>
      <c r="O277" s="18"/>
      <c r="P277" s="18"/>
      <c r="Q277" s="23" t="s">
        <v>446</v>
      </c>
      <c r="R277" s="24"/>
      <c r="S277" s="18"/>
      <c r="T277" s="18"/>
      <c r="U277" s="18"/>
      <c r="V277" s="23" t="s">
        <v>446</v>
      </c>
      <c r="W277" s="24"/>
      <c r="X277" s="18"/>
      <c r="Y277" s="18"/>
      <c r="Z277" s="18"/>
      <c r="AA277" s="23" t="s">
        <v>446</v>
      </c>
      <c r="AB277" s="24"/>
      <c r="AC277" s="18"/>
      <c r="AD277" s="18"/>
      <c r="AE277" s="18"/>
      <c r="AF277" s="23" t="s">
        <v>446</v>
      </c>
      <c r="AG277" s="24"/>
      <c r="AH277" s="18"/>
      <c r="AI277" s="18"/>
      <c r="AJ277" s="18"/>
      <c r="AK277" s="23" t="s">
        <v>446</v>
      </c>
      <c r="AL277" s="24"/>
      <c r="AM277" s="18"/>
      <c r="AN277" s="18"/>
      <c r="AO277" s="18"/>
      <c r="AP277" s="23" t="s">
        <v>446</v>
      </c>
      <c r="AQ277" s="24"/>
      <c r="AR277" s="18"/>
      <c r="AS277" s="18"/>
      <c r="AT277" s="18"/>
      <c r="AU277" s="23" t="s">
        <v>446</v>
      </c>
      <c r="AV277" s="24"/>
      <c r="AW277" s="18"/>
      <c r="AX277" s="18"/>
      <c r="AY277" s="18"/>
      <c r="AZ277" s="23" t="s">
        <v>446</v>
      </c>
      <c r="BA277" s="24"/>
      <c r="BB277" s="18"/>
      <c r="BC277" s="18"/>
      <c r="BD277" s="18"/>
      <c r="BE277" s="23" t="s">
        <v>446</v>
      </c>
      <c r="BF277" s="24"/>
      <c r="BG277" s="18"/>
      <c r="BH277" s="18"/>
      <c r="BI277" s="18"/>
      <c r="BJ277" s="23" t="s">
        <v>446</v>
      </c>
      <c r="BK277" s="24"/>
      <c r="BL277" s="18"/>
      <c r="BM277" s="18"/>
      <c r="BN277" s="18"/>
      <c r="BO277" s="23" t="s">
        <v>446</v>
      </c>
      <c r="BP277" s="24"/>
      <c r="BQ277" s="17" t="s">
        <v>216</v>
      </c>
      <c r="BR277" s="1"/>
      <c r="BS277" s="1"/>
      <c r="BT277" s="1"/>
      <c r="BU277" s="1"/>
    </row>
    <row r="278">
      <c r="A278" s="1"/>
      <c r="B278" s="10" t="s">
        <v>552</v>
      </c>
      <c r="C278" s="11" t="s">
        <v>49</v>
      </c>
      <c r="D278" s="22"/>
      <c r="E278" s="18"/>
      <c r="F278" s="18"/>
      <c r="G278" s="23">
        <v>183420.0</v>
      </c>
      <c r="H278" s="19"/>
      <c r="I278" s="22"/>
      <c r="J278" s="18"/>
      <c r="K278" s="18"/>
      <c r="L278" s="23">
        <v>185980.0</v>
      </c>
      <c r="M278" s="19"/>
      <c r="N278" s="22"/>
      <c r="O278" s="18"/>
      <c r="P278" s="18"/>
      <c r="Q278" s="23">
        <v>140290.0</v>
      </c>
      <c r="R278" s="24"/>
      <c r="S278" s="18"/>
      <c r="T278" s="18"/>
      <c r="U278" s="18"/>
      <c r="V278" s="23">
        <v>88480.0</v>
      </c>
      <c r="W278" s="24"/>
      <c r="X278" s="18"/>
      <c r="Y278" s="18"/>
      <c r="Z278" s="18"/>
      <c r="AA278" s="23">
        <v>59760.0</v>
      </c>
      <c r="AB278" s="24"/>
      <c r="AC278" s="18"/>
      <c r="AD278" s="18"/>
      <c r="AE278" s="18"/>
      <c r="AF278" s="23">
        <v>54770.0</v>
      </c>
      <c r="AG278" s="24"/>
      <c r="AH278" s="18"/>
      <c r="AI278" s="18"/>
      <c r="AJ278" s="18"/>
      <c r="AK278" s="23">
        <v>36660.0</v>
      </c>
      <c r="AL278" s="24"/>
      <c r="AM278" s="18"/>
      <c r="AN278" s="18"/>
      <c r="AO278" s="18"/>
      <c r="AP278" s="23">
        <v>34230.0</v>
      </c>
      <c r="AQ278" s="24"/>
      <c r="AR278" s="18"/>
      <c r="AS278" s="18"/>
      <c r="AT278" s="18"/>
      <c r="AU278" s="23">
        <v>32690.0</v>
      </c>
      <c r="AV278" s="24"/>
      <c r="AW278" s="18"/>
      <c r="AX278" s="18"/>
      <c r="AY278" s="18"/>
      <c r="AZ278" s="23">
        <v>46280.0</v>
      </c>
      <c r="BA278" s="24"/>
      <c r="BB278" s="18"/>
      <c r="BC278" s="18"/>
      <c r="BD278" s="18"/>
      <c r="BE278" s="23">
        <v>115960.0</v>
      </c>
      <c r="BF278" s="24"/>
      <c r="BG278" s="18"/>
      <c r="BH278" s="18"/>
      <c r="BI278" s="18"/>
      <c r="BJ278" s="23">
        <v>227020.0</v>
      </c>
      <c r="BK278" s="24"/>
      <c r="BL278" s="18"/>
      <c r="BM278" s="18"/>
      <c r="BN278" s="18"/>
      <c r="BO278" s="18"/>
      <c r="BP278" s="24"/>
      <c r="BQ278" s="17" t="s">
        <v>216</v>
      </c>
      <c r="BR278" s="1"/>
      <c r="BS278" s="1"/>
      <c r="BT278" s="1"/>
      <c r="BU278" s="1"/>
    </row>
    <row r="279">
      <c r="A279" s="1"/>
      <c r="B279" s="10" t="s">
        <v>446</v>
      </c>
      <c r="C279" s="11" t="s">
        <v>51</v>
      </c>
      <c r="D279" s="22"/>
      <c r="E279" s="18"/>
      <c r="F279" s="18"/>
      <c r="G279" s="23" t="s">
        <v>446</v>
      </c>
      <c r="H279" s="19"/>
      <c r="I279" s="22"/>
      <c r="J279" s="18"/>
      <c r="K279" s="18"/>
      <c r="L279" s="23" t="s">
        <v>446</v>
      </c>
      <c r="M279" s="19"/>
      <c r="N279" s="22"/>
      <c r="O279" s="18"/>
      <c r="P279" s="18"/>
      <c r="Q279" s="23" t="s">
        <v>446</v>
      </c>
      <c r="R279" s="24"/>
      <c r="S279" s="18"/>
      <c r="T279" s="18"/>
      <c r="U279" s="18"/>
      <c r="V279" s="23" t="s">
        <v>446</v>
      </c>
      <c r="W279" s="24"/>
      <c r="X279" s="18"/>
      <c r="Y279" s="18"/>
      <c r="Z279" s="18"/>
      <c r="AA279" s="23" t="s">
        <v>446</v>
      </c>
      <c r="AB279" s="24"/>
      <c r="AC279" s="18"/>
      <c r="AD279" s="18"/>
      <c r="AE279" s="18"/>
      <c r="AF279" s="23" t="s">
        <v>446</v>
      </c>
      <c r="AG279" s="24"/>
      <c r="AH279" s="18"/>
      <c r="AI279" s="18"/>
      <c r="AJ279" s="18"/>
      <c r="AK279" s="23" t="s">
        <v>446</v>
      </c>
      <c r="AL279" s="24"/>
      <c r="AM279" s="18"/>
      <c r="AN279" s="18"/>
      <c r="AO279" s="18"/>
      <c r="AP279" s="23" t="s">
        <v>446</v>
      </c>
      <c r="AQ279" s="24"/>
      <c r="AR279" s="18"/>
      <c r="AS279" s="18"/>
      <c r="AT279" s="18"/>
      <c r="AU279" s="23" t="s">
        <v>446</v>
      </c>
      <c r="AV279" s="24"/>
      <c r="AW279" s="18"/>
      <c r="AX279" s="18"/>
      <c r="AY279" s="18"/>
      <c r="AZ279" s="23" t="s">
        <v>446</v>
      </c>
      <c r="BA279" s="24"/>
      <c r="BB279" s="18"/>
      <c r="BC279" s="18"/>
      <c r="BD279" s="18"/>
      <c r="BE279" s="23" t="s">
        <v>446</v>
      </c>
      <c r="BF279" s="24"/>
      <c r="BG279" s="18"/>
      <c r="BH279" s="18"/>
      <c r="BI279" s="18"/>
      <c r="BJ279" s="23" t="s">
        <v>446</v>
      </c>
      <c r="BK279" s="24"/>
      <c r="BL279" s="18"/>
      <c r="BM279" s="18"/>
      <c r="BN279" s="18"/>
      <c r="BO279" s="23" t="s">
        <v>446</v>
      </c>
      <c r="BP279" s="24"/>
      <c r="BQ279" s="17" t="s">
        <v>216</v>
      </c>
      <c r="BR279" s="1"/>
      <c r="BS279" s="1"/>
      <c r="BT279" s="1"/>
      <c r="BU279" s="1"/>
    </row>
    <row r="280">
      <c r="A280" s="1"/>
      <c r="B280" s="21"/>
      <c r="C280" s="11" t="s">
        <v>52</v>
      </c>
      <c r="D280" s="22"/>
      <c r="E280" s="18"/>
      <c r="F280" s="18"/>
      <c r="G280" s="23" t="s">
        <v>263</v>
      </c>
      <c r="H280" s="19"/>
      <c r="I280" s="22"/>
      <c r="J280" s="18"/>
      <c r="K280" s="18"/>
      <c r="L280" s="18"/>
      <c r="M280" s="19"/>
      <c r="N280" s="22"/>
      <c r="O280" s="18"/>
      <c r="P280" s="18"/>
      <c r="Q280" s="18"/>
      <c r="R280" s="24"/>
      <c r="S280" s="18"/>
      <c r="T280" s="18"/>
      <c r="U280" s="18"/>
      <c r="V280" s="18"/>
      <c r="W280" s="24"/>
      <c r="X280" s="18"/>
      <c r="Y280" s="18"/>
      <c r="Z280" s="18"/>
      <c r="AA280" s="18"/>
      <c r="AB280" s="24"/>
      <c r="AC280" s="18"/>
      <c r="AD280" s="18"/>
      <c r="AE280" s="18"/>
      <c r="AF280" s="18"/>
      <c r="AG280" s="24"/>
      <c r="AH280" s="18"/>
      <c r="AI280" s="18"/>
      <c r="AJ280" s="18"/>
      <c r="AK280" s="18"/>
      <c r="AL280" s="24"/>
      <c r="AM280" s="18"/>
      <c r="AN280" s="18"/>
      <c r="AO280" s="18"/>
      <c r="AP280" s="18"/>
      <c r="AQ280" s="24"/>
      <c r="AR280" s="18"/>
      <c r="AS280" s="18"/>
      <c r="AT280" s="18"/>
      <c r="AU280" s="18"/>
      <c r="AV280" s="24"/>
      <c r="AW280" s="18"/>
      <c r="AX280" s="18"/>
      <c r="AY280" s="18"/>
      <c r="AZ280" s="18"/>
      <c r="BA280" s="24"/>
      <c r="BB280" s="18"/>
      <c r="BC280" s="18"/>
      <c r="BD280" s="18"/>
      <c r="BE280" s="18"/>
      <c r="BF280" s="24"/>
      <c r="BG280" s="18"/>
      <c r="BH280" s="18"/>
      <c r="BI280" s="18"/>
      <c r="BJ280" s="18"/>
      <c r="BK280" s="19"/>
      <c r="BL280" s="18"/>
      <c r="BM280" s="18"/>
      <c r="BN280" s="18"/>
      <c r="BO280" s="18"/>
      <c r="BP280" s="19"/>
      <c r="BQ280" s="17" t="s">
        <v>216</v>
      </c>
      <c r="BR280" s="1"/>
      <c r="BS280" s="1"/>
      <c r="BT280" s="1"/>
      <c r="BU280" s="1"/>
    </row>
    <row r="281">
      <c r="A281" s="1"/>
      <c r="B281" s="10" t="s">
        <v>264</v>
      </c>
      <c r="C281" s="11" t="s">
        <v>53</v>
      </c>
      <c r="D281" s="22"/>
      <c r="E281" s="18"/>
      <c r="F281" s="18"/>
      <c r="G281" s="23">
        <v>11000.0</v>
      </c>
      <c r="H281" s="19"/>
      <c r="I281" s="22"/>
      <c r="J281" s="18"/>
      <c r="K281" s="18"/>
      <c r="L281" s="23">
        <v>11000.0</v>
      </c>
      <c r="M281" s="19"/>
      <c r="N281" s="22"/>
      <c r="O281" s="18"/>
      <c r="P281" s="18"/>
      <c r="Q281" s="23">
        <v>11000.0</v>
      </c>
      <c r="R281" s="19"/>
      <c r="S281" s="22"/>
      <c r="T281" s="18"/>
      <c r="U281" s="18"/>
      <c r="V281" s="23">
        <v>11000.0</v>
      </c>
      <c r="W281" s="19"/>
      <c r="X281" s="22"/>
      <c r="Y281" s="18"/>
      <c r="Z281" s="18"/>
      <c r="AA281" s="23">
        <v>11000.0</v>
      </c>
      <c r="AB281" s="19"/>
      <c r="AC281" s="22"/>
      <c r="AD281" s="18"/>
      <c r="AE281" s="18"/>
      <c r="AF281" s="23">
        <v>11000.0</v>
      </c>
      <c r="AG281" s="19"/>
      <c r="AH281" s="22"/>
      <c r="AI281" s="18"/>
      <c r="AJ281" s="18"/>
      <c r="AK281" s="23">
        <v>11000.0</v>
      </c>
      <c r="AL281" s="19"/>
      <c r="AM281" s="22"/>
      <c r="AN281" s="18"/>
      <c r="AO281" s="18"/>
      <c r="AP281" s="23">
        <v>11000.0</v>
      </c>
      <c r="AQ281" s="19"/>
      <c r="AR281" s="22"/>
      <c r="AS281" s="18"/>
      <c r="AT281" s="18"/>
      <c r="AU281" s="23">
        <v>11000.0</v>
      </c>
      <c r="AV281" s="19"/>
      <c r="AW281" s="22"/>
      <c r="AX281" s="18"/>
      <c r="AY281" s="18"/>
      <c r="AZ281" s="23">
        <v>11000.0</v>
      </c>
      <c r="BA281" s="19"/>
      <c r="BB281" s="22"/>
      <c r="BC281" s="18"/>
      <c r="BD281" s="18"/>
      <c r="BE281" s="23">
        <v>11000.0</v>
      </c>
      <c r="BF281" s="19"/>
      <c r="BG281" s="22"/>
      <c r="BH281" s="18"/>
      <c r="BI281" s="18"/>
      <c r="BJ281" s="23">
        <v>11000.0</v>
      </c>
      <c r="BK281" s="19"/>
      <c r="BL281" s="22"/>
      <c r="BM281" s="18"/>
      <c r="BN281" s="18"/>
      <c r="BO281" s="23">
        <v>11000.0</v>
      </c>
      <c r="BP281" s="19"/>
      <c r="BQ281" s="17" t="s">
        <v>216</v>
      </c>
      <c r="BR281" s="1"/>
      <c r="BS281" s="1"/>
      <c r="BT281" s="1"/>
      <c r="BU281" s="1"/>
    </row>
    <row r="282">
      <c r="A282" s="1"/>
      <c r="B282" s="10" t="s">
        <v>264</v>
      </c>
      <c r="C282" s="11" t="s">
        <v>265</v>
      </c>
      <c r="D282" s="22"/>
      <c r="E282" s="18"/>
      <c r="F282" s="18"/>
      <c r="G282" s="23" t="s">
        <v>263</v>
      </c>
      <c r="H282" s="19"/>
      <c r="I282" s="22"/>
      <c r="J282" s="18"/>
      <c r="K282" s="18"/>
      <c r="L282" s="18"/>
      <c r="M282" s="24"/>
      <c r="N282" s="18"/>
      <c r="O282" s="18"/>
      <c r="P282" s="18"/>
      <c r="Q282" s="18"/>
      <c r="R282" s="24"/>
      <c r="S282" s="18"/>
      <c r="T282" s="18"/>
      <c r="U282" s="18"/>
      <c r="V282" s="18"/>
      <c r="W282" s="24"/>
      <c r="X282" s="18"/>
      <c r="Y282" s="18"/>
      <c r="Z282" s="18"/>
      <c r="AA282" s="18"/>
      <c r="AB282" s="24"/>
      <c r="AC282" s="18"/>
      <c r="AD282" s="18"/>
      <c r="AE282" s="18"/>
      <c r="AF282" s="18"/>
      <c r="AG282" s="24"/>
      <c r="AH282" s="18"/>
      <c r="AI282" s="18"/>
      <c r="AJ282" s="18"/>
      <c r="AK282" s="18"/>
      <c r="AL282" s="24"/>
      <c r="AM282" s="18"/>
      <c r="AN282" s="18"/>
      <c r="AO282" s="18"/>
      <c r="AP282" s="18"/>
      <c r="AQ282" s="24"/>
      <c r="AR282" s="18"/>
      <c r="AS282" s="18"/>
      <c r="AT282" s="18"/>
      <c r="AU282" s="18"/>
      <c r="AV282" s="24"/>
      <c r="AW282" s="18"/>
      <c r="AX282" s="18"/>
      <c r="AY282" s="18"/>
      <c r="AZ282" s="18"/>
      <c r="BA282" s="24"/>
      <c r="BB282" s="18"/>
      <c r="BC282" s="18"/>
      <c r="BD282" s="18"/>
      <c r="BE282" s="18"/>
      <c r="BF282" s="24"/>
      <c r="BG282" s="18"/>
      <c r="BH282" s="18"/>
      <c r="BI282" s="18"/>
      <c r="BJ282" s="18"/>
      <c r="BK282" s="19"/>
      <c r="BL282" s="18"/>
      <c r="BM282" s="18"/>
      <c r="BN282" s="18"/>
      <c r="BO282" s="18"/>
      <c r="BP282" s="19"/>
      <c r="BQ282" s="1"/>
      <c r="BR282" s="1"/>
      <c r="BS282" s="1"/>
      <c r="BT282" s="1"/>
      <c r="BU282" s="1"/>
    </row>
    <row r="283">
      <c r="A283" s="1"/>
      <c r="B283" s="21"/>
      <c r="C283" s="11" t="s">
        <v>54</v>
      </c>
      <c r="D283" s="22"/>
      <c r="E283" s="18"/>
      <c r="F283" s="18"/>
      <c r="G283" s="23">
        <f>SUMIFS('지출'!$G$3:$G1000,'지출'!$J$3:$J1000,G$1,'지출'!$C$3:$C1000,"청량")</f>
        <v>54900</v>
      </c>
      <c r="H283" s="19"/>
      <c r="I283" s="22"/>
      <c r="J283" s="18"/>
      <c r="K283" s="18"/>
      <c r="L283" s="23">
        <f>SUMIFS('지출'!$G$3:$G1000,'지출'!$J$3:$J1000,L$1,'지출'!$C$3:$C1000,"청량")</f>
        <v>63690</v>
      </c>
      <c r="M283" s="24"/>
      <c r="N283" s="18"/>
      <c r="O283" s="18"/>
      <c r="P283" s="18"/>
      <c r="Q283" s="23">
        <f>SUMIFS('지출'!$G$3:$G1000,'지출'!$J$3:$J1000,Q$1,'지출'!$C$3:$C1000,"청량")</f>
        <v>82920</v>
      </c>
      <c r="R283" s="24"/>
      <c r="S283" s="18"/>
      <c r="T283" s="18"/>
      <c r="U283" s="18"/>
      <c r="V283" s="23">
        <f>SUMIFS('지출'!$G$3:$G1000,'지출'!$J$3:$J1000,V$1,'지출'!$C$3:$C1000,"청량")</f>
        <v>0</v>
      </c>
      <c r="W283" s="24"/>
      <c r="X283" s="18"/>
      <c r="Y283" s="18"/>
      <c r="Z283" s="18"/>
      <c r="AA283" s="23">
        <f>SUMIFS('지출'!$G$3:$G1000,'지출'!$J$3:$J1000,AA$1,'지출'!$C$3:$C1000,"청량")</f>
        <v>0</v>
      </c>
      <c r="AB283" s="24"/>
      <c r="AC283" s="18"/>
      <c r="AD283" s="18"/>
      <c r="AE283" s="18"/>
      <c r="AF283" s="23">
        <f>SUMIFS('지출'!$G$3:$G1000,'지출'!$J$3:$J1000,AF$1,'지출'!$C$3:$C1000,"청량")</f>
        <v>0</v>
      </c>
      <c r="AG283" s="24"/>
      <c r="AH283" s="18"/>
      <c r="AI283" s="18"/>
      <c r="AJ283" s="18"/>
      <c r="AK283" s="23">
        <f>SUMIFS('지출'!$G$3:$G1000,'지출'!$J$3:$J1000,AK$1,'지출'!$C$3:$C1000,"청량")</f>
        <v>0</v>
      </c>
      <c r="AL283" s="24"/>
      <c r="AM283" s="18"/>
      <c r="AN283" s="18"/>
      <c r="AO283" s="18"/>
      <c r="AP283" s="23">
        <f>SUMIFS('지출'!$G$3:$G1000,'지출'!$J$3:$J1000,AP$1,'지출'!$C$3:$C1000,"청량")</f>
        <v>0</v>
      </c>
      <c r="AQ283" s="24"/>
      <c r="AR283" s="18"/>
      <c r="AS283" s="18"/>
      <c r="AT283" s="18"/>
      <c r="AU283" s="23">
        <f>SUMIFS('지출'!$G$3:$G1000,'지출'!$J$3:$J1000,AU$1,'지출'!$C$3:$C1000,"청량")</f>
        <v>0</v>
      </c>
      <c r="AV283" s="24"/>
      <c r="AW283" s="18"/>
      <c r="AX283" s="18"/>
      <c r="AY283" s="18"/>
      <c r="AZ283" s="23">
        <f>SUMIFS('지출'!$G$3:$G1000,'지출'!$J$3:$J1000,AZ$1,'지출'!$C$3:$C1000,"청량")</f>
        <v>0</v>
      </c>
      <c r="BA283" s="24"/>
      <c r="BB283" s="18"/>
      <c r="BC283" s="18"/>
      <c r="BD283" s="18"/>
      <c r="BE283" s="23">
        <f>SUMIFS('지출'!$G$3:$G1000,'지출'!$J$3:$J1000,BE$1,'지출'!$C$3:$C1000,"청량")</f>
        <v>0</v>
      </c>
      <c r="BF283" s="24"/>
      <c r="BG283" s="18"/>
      <c r="BH283" s="18"/>
      <c r="BI283" s="18"/>
      <c r="BJ283" s="23">
        <f>SUMIFS('지출'!$G$3:$G1000,'지출'!$J$3:$J1000,BJ$1,'지출'!$C$3:$C1000,"청량")</f>
        <v>0</v>
      </c>
      <c r="BK283" s="19"/>
      <c r="BL283" s="18"/>
      <c r="BM283" s="18"/>
      <c r="BN283" s="18"/>
      <c r="BO283" s="23">
        <f>SUMIFS('지출'!$G$3:$G1000,'지출'!$J$3:$J1000,BO$1,'지출'!$C$3:$C1000,"청량")</f>
        <v>54900</v>
      </c>
      <c r="BP283" s="19"/>
      <c r="BQ283" s="17" t="s">
        <v>216</v>
      </c>
      <c r="BR283" s="1"/>
      <c r="BS283" s="1"/>
      <c r="BT283" s="1"/>
      <c r="BU283" s="1"/>
    </row>
    <row r="284">
      <c r="A284" s="1"/>
      <c r="B284" s="21"/>
      <c r="C284" s="11" t="s">
        <v>56</v>
      </c>
      <c r="D284" s="22"/>
      <c r="E284" s="23">
        <f>E274-(SUM(E275:E283))</f>
        <v>1530000</v>
      </c>
      <c r="F284" s="18"/>
      <c r="G284" s="23">
        <f>G274-(SUM(G275:G283))</f>
        <v>88080</v>
      </c>
      <c r="H284" s="19"/>
      <c r="I284" s="22"/>
      <c r="J284" s="23">
        <f>J274-(SUM(J275:J283))</f>
        <v>1054138</v>
      </c>
      <c r="K284" s="18"/>
      <c r="L284" s="23">
        <f>L274-(SUM(L275:L283))</f>
        <v>16180</v>
      </c>
      <c r="M284" s="19"/>
      <c r="N284" s="22"/>
      <c r="O284" s="23">
        <f>O274-(SUM(O275:O283))</f>
        <v>2670000</v>
      </c>
      <c r="P284" s="18"/>
      <c r="Q284" s="23">
        <f>Q274-(SUM(Q275:Q283))</f>
        <v>177050</v>
      </c>
      <c r="R284" s="19"/>
      <c r="S284" s="22"/>
      <c r="T284" s="23">
        <f>T274-(SUM(T275:T283))</f>
        <v>1600000</v>
      </c>
      <c r="U284" s="18"/>
      <c r="V284" s="23">
        <f>V274-(SUM(V275:V283))</f>
        <v>258210</v>
      </c>
      <c r="W284" s="19"/>
      <c r="X284" s="18"/>
      <c r="Y284" s="23">
        <f>Y274-(SUM(Y275:Y283))</f>
        <v>1600000</v>
      </c>
      <c r="Z284" s="18"/>
      <c r="AA284" s="23">
        <f>AA274-(SUM(AA275:AA283))</f>
        <v>293310</v>
      </c>
      <c r="AB284" s="19"/>
      <c r="AC284" s="18"/>
      <c r="AD284" s="23">
        <f>AD274-(SUM(AD275:AD283))</f>
        <v>1550000</v>
      </c>
      <c r="AE284" s="18"/>
      <c r="AF284" s="23">
        <f>AF274-(SUM(AF275:AF283))</f>
        <v>291430</v>
      </c>
      <c r="AG284" s="19"/>
      <c r="AH284" s="18"/>
      <c r="AI284" s="23">
        <f>AI274-(SUM(AI275:AI283))</f>
        <v>1550000</v>
      </c>
      <c r="AJ284" s="18"/>
      <c r="AK284" s="23">
        <f>AK274-(SUM(AK275:AK283))</f>
        <v>277620</v>
      </c>
      <c r="AL284" s="19"/>
      <c r="AM284" s="18"/>
      <c r="AN284" s="23">
        <f>AN274-(SUM(AN275:AN283))</f>
        <v>1472581</v>
      </c>
      <c r="AO284" s="18"/>
      <c r="AP284" s="23">
        <f>AP274-(SUM(AP275:AP283))</f>
        <v>263521</v>
      </c>
      <c r="AQ284" s="19"/>
      <c r="AR284" s="22"/>
      <c r="AS284" s="23">
        <f>AS274-(SUM(AS275:AS283))</f>
        <v>1392000</v>
      </c>
      <c r="AT284" s="18"/>
      <c r="AU284" s="23">
        <f>AU274-(SUM(AU275:AU283))</f>
        <v>516310</v>
      </c>
      <c r="AV284" s="19"/>
      <c r="AW284" s="22"/>
      <c r="AX284" s="23">
        <f>AX274-(SUM(AX275:AX283))</f>
        <v>1660000</v>
      </c>
      <c r="AY284" s="18"/>
      <c r="AZ284" s="23">
        <f>AZ274-(SUM(AZ275:AZ283))</f>
        <v>542720</v>
      </c>
      <c r="BA284" s="19"/>
      <c r="BB284" s="22"/>
      <c r="BC284" s="23">
        <f>BC274-(SUM(BC275:BC283))</f>
        <v>1660000</v>
      </c>
      <c r="BD284" s="18"/>
      <c r="BE284" s="23">
        <f>BE274-(SUM(BE275:BE283))</f>
        <v>473040</v>
      </c>
      <c r="BF284" s="19"/>
      <c r="BG284" s="22"/>
      <c r="BH284" s="23">
        <f>BH274-(SUM(BH275:BH283))</f>
        <v>1660000</v>
      </c>
      <c r="BI284" s="18"/>
      <c r="BJ284" s="23">
        <f>BJ274-(SUM(BJ275:BJ283))</f>
        <v>361980</v>
      </c>
      <c r="BK284" s="19"/>
      <c r="BL284" s="22"/>
      <c r="BM284" s="23">
        <f>BM274-(SUM(BM275:BM283))</f>
        <v>640000</v>
      </c>
      <c r="BN284" s="18"/>
      <c r="BO284" s="23">
        <f>BO274-(SUM(BO275:BO283))</f>
        <v>334100</v>
      </c>
      <c r="BP284" s="19"/>
      <c r="BQ284" s="17" t="s">
        <v>216</v>
      </c>
      <c r="BR284" s="1"/>
      <c r="BS284" s="1"/>
      <c r="BT284" s="1"/>
      <c r="BU284" s="1"/>
    </row>
    <row r="285">
      <c r="A285" s="1"/>
      <c r="B285" s="27">
        <v>0.0</v>
      </c>
      <c r="C285" s="11" t="s">
        <v>26</v>
      </c>
      <c r="D285" s="22"/>
      <c r="E285" s="23">
        <f>E284*$B285</f>
        <v>0</v>
      </c>
      <c r="F285" s="18"/>
      <c r="G285" s="18"/>
      <c r="H285" s="19"/>
      <c r="I285" s="22"/>
      <c r="J285" s="23">
        <f>J284*$B285</f>
        <v>0</v>
      </c>
      <c r="K285" s="18"/>
      <c r="L285" s="18"/>
      <c r="M285" s="19"/>
      <c r="N285" s="22"/>
      <c r="O285" s="23">
        <f>O284*$B285</f>
        <v>0</v>
      </c>
      <c r="P285" s="18"/>
      <c r="Q285" s="18"/>
      <c r="R285" s="19"/>
      <c r="S285" s="22"/>
      <c r="T285" s="23">
        <f>T284*$B285</f>
        <v>0</v>
      </c>
      <c r="U285" s="18"/>
      <c r="V285" s="18"/>
      <c r="W285" s="19"/>
      <c r="X285" s="18"/>
      <c r="Y285" s="23">
        <f>Y284*$B285</f>
        <v>0</v>
      </c>
      <c r="Z285" s="18"/>
      <c r="AA285" s="18"/>
      <c r="AB285" s="19"/>
      <c r="AC285" s="18"/>
      <c r="AD285" s="23">
        <f>AD284*$B285</f>
        <v>0</v>
      </c>
      <c r="AE285" s="18"/>
      <c r="AF285" s="18"/>
      <c r="AG285" s="19"/>
      <c r="AH285" s="18"/>
      <c r="AI285" s="23">
        <f>AI284*$B285</f>
        <v>0</v>
      </c>
      <c r="AJ285" s="18"/>
      <c r="AK285" s="18"/>
      <c r="AL285" s="19"/>
      <c r="AM285" s="18"/>
      <c r="AN285" s="23">
        <f>AN284*$B285</f>
        <v>0</v>
      </c>
      <c r="AO285" s="18"/>
      <c r="AP285" s="18"/>
      <c r="AQ285" s="19"/>
      <c r="AR285" s="22"/>
      <c r="AS285" s="23">
        <f>AS284*$B285</f>
        <v>0</v>
      </c>
      <c r="AT285" s="18"/>
      <c r="AU285" s="18"/>
      <c r="AV285" s="19"/>
      <c r="AW285" s="22"/>
      <c r="AX285" s="23">
        <f>AX284*$B285</f>
        <v>0</v>
      </c>
      <c r="AY285" s="18"/>
      <c r="AZ285" s="18"/>
      <c r="BA285" s="19"/>
      <c r="BB285" s="22"/>
      <c r="BC285" s="23">
        <f>BC284*$B285</f>
        <v>0</v>
      </c>
      <c r="BD285" s="18"/>
      <c r="BE285" s="18"/>
      <c r="BF285" s="19"/>
      <c r="BG285" s="22"/>
      <c r="BH285" s="23">
        <f>BH284*$B285</f>
        <v>0</v>
      </c>
      <c r="BI285" s="18"/>
      <c r="BJ285" s="18"/>
      <c r="BK285" s="19"/>
      <c r="BL285" s="22"/>
      <c r="BM285" s="23">
        <f>BM284*$B285</f>
        <v>0</v>
      </c>
      <c r="BN285" s="18"/>
      <c r="BO285" s="18"/>
      <c r="BP285" s="19"/>
      <c r="BQ285" s="17" t="s">
        <v>216</v>
      </c>
      <c r="BR285" s="1"/>
      <c r="BS285" s="1"/>
      <c r="BT285" s="1"/>
      <c r="BU285" s="1"/>
    </row>
    <row r="286">
      <c r="A286" s="56" t="str">
        <f>B268</f>
        <v>청량</v>
      </c>
      <c r="B286" s="29">
        <v>1.0</v>
      </c>
      <c r="C286" s="30" t="s">
        <v>57</v>
      </c>
      <c r="D286" s="31"/>
      <c r="E286" s="32">
        <f>E284*$B286</f>
        <v>1530000</v>
      </c>
      <c r="F286" s="33"/>
      <c r="G286" s="33"/>
      <c r="H286" s="34"/>
      <c r="I286" s="31"/>
      <c r="J286" s="32">
        <f>J284*$B286</f>
        <v>1054138</v>
      </c>
      <c r="K286" s="33"/>
      <c r="L286" s="33"/>
      <c r="M286" s="34"/>
      <c r="N286" s="31"/>
      <c r="O286" s="32">
        <f>O284*$B286</f>
        <v>2670000</v>
      </c>
      <c r="P286" s="33"/>
      <c r="Q286" s="33"/>
      <c r="R286" s="34"/>
      <c r="S286" s="31"/>
      <c r="T286" s="32">
        <f>T284*$B286</f>
        <v>1600000</v>
      </c>
      <c r="U286" s="33"/>
      <c r="V286" s="33"/>
      <c r="W286" s="34"/>
      <c r="X286" s="33"/>
      <c r="Y286" s="32">
        <f>Y284*$B286</f>
        <v>1600000</v>
      </c>
      <c r="Z286" s="33"/>
      <c r="AA286" s="33"/>
      <c r="AB286" s="34"/>
      <c r="AC286" s="33"/>
      <c r="AD286" s="32">
        <f>AD284*$B286</f>
        <v>1550000</v>
      </c>
      <c r="AE286" s="33"/>
      <c r="AF286" s="33"/>
      <c r="AG286" s="34"/>
      <c r="AH286" s="33"/>
      <c r="AI286" s="32">
        <f>AI284*$B286</f>
        <v>1550000</v>
      </c>
      <c r="AJ286" s="33"/>
      <c r="AK286" s="33"/>
      <c r="AL286" s="34"/>
      <c r="AM286" s="33"/>
      <c r="AN286" s="32">
        <f>AN284*$B286</f>
        <v>1472581</v>
      </c>
      <c r="AO286" s="33"/>
      <c r="AP286" s="33"/>
      <c r="AQ286" s="34"/>
      <c r="AR286" s="31"/>
      <c r="AS286" s="32">
        <f>AS284*$B286</f>
        <v>1392000</v>
      </c>
      <c r="AT286" s="33"/>
      <c r="AU286" s="33"/>
      <c r="AV286" s="34"/>
      <c r="AW286" s="31"/>
      <c r="AX286" s="32">
        <f>AX284*$B286</f>
        <v>1660000</v>
      </c>
      <c r="AY286" s="33"/>
      <c r="AZ286" s="33"/>
      <c r="BA286" s="34"/>
      <c r="BB286" s="31"/>
      <c r="BC286" s="32">
        <f>BC284*$B286</f>
        <v>1660000</v>
      </c>
      <c r="BD286" s="33"/>
      <c r="BE286" s="33"/>
      <c r="BF286" s="34"/>
      <c r="BG286" s="31"/>
      <c r="BH286" s="32">
        <f>BH284*$B286</f>
        <v>1660000</v>
      </c>
      <c r="BI286" s="33"/>
      <c r="BJ286" s="33"/>
      <c r="BK286" s="34"/>
      <c r="BL286" s="31"/>
      <c r="BM286" s="32">
        <f>BM284*$B286</f>
        <v>640000</v>
      </c>
      <c r="BN286" s="33"/>
      <c r="BO286" s="33"/>
      <c r="BP286" s="34"/>
      <c r="BQ286" s="17" t="s">
        <v>216</v>
      </c>
      <c r="BR286" s="1"/>
      <c r="BS286" s="1"/>
      <c r="BT286" s="1"/>
      <c r="BU286" s="1"/>
    </row>
    <row r="287">
      <c r="A287" s="1"/>
      <c r="B287" s="10" t="s">
        <v>553</v>
      </c>
      <c r="C287" s="11" t="s">
        <v>506</v>
      </c>
      <c r="D287" s="20" t="s">
        <v>554</v>
      </c>
      <c r="E287" s="23">
        <v>520000.0</v>
      </c>
      <c r="F287" s="35" t="b">
        <v>0</v>
      </c>
      <c r="G287" s="23">
        <v>80000.0</v>
      </c>
      <c r="H287" s="15" t="b">
        <v>1</v>
      </c>
      <c r="I287" s="20" t="s">
        <v>554</v>
      </c>
      <c r="J287" s="23">
        <v>520000.0</v>
      </c>
      <c r="K287" s="35" t="b">
        <v>0</v>
      </c>
      <c r="L287" s="23">
        <v>80000.0</v>
      </c>
      <c r="M287" s="15" t="b">
        <v>1</v>
      </c>
      <c r="N287" s="20" t="s">
        <v>554</v>
      </c>
      <c r="O287" s="23">
        <v>520000.0</v>
      </c>
      <c r="P287" s="35" t="b">
        <v>0</v>
      </c>
      <c r="Q287" s="23">
        <v>80000.0</v>
      </c>
      <c r="R287" s="15" t="b">
        <v>1</v>
      </c>
      <c r="S287" s="20" t="s">
        <v>554</v>
      </c>
      <c r="T287" s="23">
        <v>520000.0</v>
      </c>
      <c r="U287" s="35" t="b">
        <v>0</v>
      </c>
      <c r="V287" s="23">
        <v>80000.0</v>
      </c>
      <c r="W287" s="15" t="b">
        <v>1</v>
      </c>
      <c r="X287" s="20" t="s">
        <v>554</v>
      </c>
      <c r="Y287" s="23">
        <v>520000.0</v>
      </c>
      <c r="Z287" s="35" t="b">
        <v>0</v>
      </c>
      <c r="AA287" s="23">
        <v>80000.0</v>
      </c>
      <c r="AB287" s="15" t="b">
        <v>1</v>
      </c>
      <c r="AC287" s="20" t="s">
        <v>554</v>
      </c>
      <c r="AD287" s="23">
        <v>520000.0</v>
      </c>
      <c r="AE287" s="35" t="b">
        <v>0</v>
      </c>
      <c r="AF287" s="23">
        <v>80000.0</v>
      </c>
      <c r="AG287" s="15" t="b">
        <v>1</v>
      </c>
      <c r="AH287" s="20" t="s">
        <v>554</v>
      </c>
      <c r="AI287" s="23">
        <v>520000.0</v>
      </c>
      <c r="AJ287" s="35" t="b">
        <v>0</v>
      </c>
      <c r="AK287" s="23">
        <v>80000.0</v>
      </c>
      <c r="AL287" s="15" t="b">
        <v>1</v>
      </c>
      <c r="AM287" s="20" t="s">
        <v>555</v>
      </c>
      <c r="AN287" s="23">
        <f>452903+91935</f>
        <v>544838</v>
      </c>
      <c r="AO287" s="35" t="b">
        <v>0</v>
      </c>
      <c r="AP287" s="23">
        <f>69677+12903</f>
        <v>82580</v>
      </c>
      <c r="AQ287" s="15" t="b">
        <v>1</v>
      </c>
      <c r="AR287" s="20" t="s">
        <v>556</v>
      </c>
      <c r="AS287" s="23">
        <v>570000.0</v>
      </c>
      <c r="AT287" s="35" t="b">
        <v>0</v>
      </c>
      <c r="AU287" s="23">
        <v>80000.0</v>
      </c>
      <c r="AV287" s="15" t="b">
        <v>1</v>
      </c>
      <c r="AW287" s="20" t="s">
        <v>556</v>
      </c>
      <c r="AX287" s="23">
        <v>570000.0</v>
      </c>
      <c r="AY287" s="35" t="b">
        <v>0</v>
      </c>
      <c r="AZ287" s="23">
        <v>80000.0</v>
      </c>
      <c r="BA287" s="15" t="b">
        <v>1</v>
      </c>
      <c r="BB287" s="20" t="s">
        <v>556</v>
      </c>
      <c r="BC287" s="23">
        <v>570000.0</v>
      </c>
      <c r="BD287" s="35" t="b">
        <v>0</v>
      </c>
      <c r="BE287" s="23">
        <v>80000.0</v>
      </c>
      <c r="BF287" s="15" t="b">
        <v>1</v>
      </c>
      <c r="BG287" s="20" t="s">
        <v>556</v>
      </c>
      <c r="BH287" s="23">
        <v>570000.0</v>
      </c>
      <c r="BI287" s="35" t="b">
        <v>0</v>
      </c>
      <c r="BJ287" s="23">
        <v>80000.0</v>
      </c>
      <c r="BK287" s="15" t="b">
        <v>1</v>
      </c>
      <c r="BL287" s="20" t="s">
        <v>556</v>
      </c>
      <c r="BM287" s="23">
        <v>570000.0</v>
      </c>
      <c r="BN287" s="35" t="b">
        <v>0</v>
      </c>
      <c r="BO287" s="23">
        <v>80000.0</v>
      </c>
      <c r="BP287" s="15" t="b">
        <v>0</v>
      </c>
      <c r="BQ287" s="17" t="s">
        <v>63</v>
      </c>
      <c r="BR287" s="1"/>
      <c r="BS287" s="1"/>
      <c r="BT287" s="1"/>
      <c r="BU287" s="1"/>
    </row>
    <row r="288">
      <c r="A288" s="1"/>
      <c r="B288" s="10" t="s">
        <v>553</v>
      </c>
      <c r="C288" s="11" t="s">
        <v>557</v>
      </c>
      <c r="D288" s="20" t="s">
        <v>558</v>
      </c>
      <c r="E288" s="23">
        <v>570000.0</v>
      </c>
      <c r="F288" s="35" t="b">
        <v>0</v>
      </c>
      <c r="G288" s="23">
        <v>80000.0</v>
      </c>
      <c r="H288" s="15" t="b">
        <v>1</v>
      </c>
      <c r="I288" s="20" t="s">
        <v>558</v>
      </c>
      <c r="J288" s="23">
        <v>570000.0</v>
      </c>
      <c r="K288" s="35" t="b">
        <v>0</v>
      </c>
      <c r="L288" s="23">
        <v>80000.0</v>
      </c>
      <c r="M288" s="15" t="b">
        <v>1</v>
      </c>
      <c r="N288" s="20" t="s">
        <v>558</v>
      </c>
      <c r="O288" s="23">
        <v>570000.0</v>
      </c>
      <c r="P288" s="35" t="b">
        <v>0</v>
      </c>
      <c r="Q288" s="23">
        <v>80000.0</v>
      </c>
      <c r="R288" s="15" t="b">
        <v>1</v>
      </c>
      <c r="S288" s="20" t="s">
        <v>558</v>
      </c>
      <c r="T288" s="23">
        <v>570000.0</v>
      </c>
      <c r="U288" s="35" t="b">
        <v>0</v>
      </c>
      <c r="V288" s="23">
        <v>80000.0</v>
      </c>
      <c r="W288" s="15" t="b">
        <v>1</v>
      </c>
      <c r="X288" s="20" t="s">
        <v>559</v>
      </c>
      <c r="Y288" s="23">
        <v>570000.0</v>
      </c>
      <c r="Z288" s="35" t="b">
        <v>0</v>
      </c>
      <c r="AA288" s="23">
        <v>80000.0</v>
      </c>
      <c r="AB288" s="15" t="b">
        <v>1</v>
      </c>
      <c r="AC288" s="20" t="s">
        <v>560</v>
      </c>
      <c r="AD288" s="23">
        <v>570000.0</v>
      </c>
      <c r="AE288" s="35" t="b">
        <v>0</v>
      </c>
      <c r="AF288" s="23">
        <v>80000.0</v>
      </c>
      <c r="AG288" s="15" t="b">
        <v>1</v>
      </c>
      <c r="AH288" s="20" t="s">
        <v>561</v>
      </c>
      <c r="AI288" s="23">
        <v>570000.0</v>
      </c>
      <c r="AJ288" s="35" t="b">
        <v>0</v>
      </c>
      <c r="AK288" s="23">
        <v>80000.0</v>
      </c>
      <c r="AL288" s="15" t="b">
        <v>1</v>
      </c>
      <c r="AM288" s="20" t="s">
        <v>562</v>
      </c>
      <c r="AN288" s="23">
        <v>184516.0</v>
      </c>
      <c r="AO288" s="35" t="b">
        <v>0</v>
      </c>
      <c r="AP288" s="23">
        <v>28387.0</v>
      </c>
      <c r="AQ288" s="15" t="b">
        <v>1</v>
      </c>
      <c r="AR288" s="20" t="s">
        <v>563</v>
      </c>
      <c r="AS288" s="23">
        <v>520000.0</v>
      </c>
      <c r="AT288" s="35" t="b">
        <v>0</v>
      </c>
      <c r="AU288" s="23">
        <v>80000.0</v>
      </c>
      <c r="AV288" s="15" t="b">
        <v>1</v>
      </c>
      <c r="AW288" s="20" t="s">
        <v>563</v>
      </c>
      <c r="AX288" s="23">
        <v>520000.0</v>
      </c>
      <c r="AY288" s="35" t="b">
        <v>0</v>
      </c>
      <c r="AZ288" s="23">
        <v>80000.0</v>
      </c>
      <c r="BA288" s="15" t="b">
        <v>1</v>
      </c>
      <c r="BB288" s="20" t="s">
        <v>563</v>
      </c>
      <c r="BC288" s="23">
        <v>520000.0</v>
      </c>
      <c r="BD288" s="35" t="b">
        <v>0</v>
      </c>
      <c r="BE288" s="23">
        <v>80000.0</v>
      </c>
      <c r="BF288" s="15" t="b">
        <v>1</v>
      </c>
      <c r="BG288" s="20" t="s">
        <v>563</v>
      </c>
      <c r="BH288" s="23">
        <v>520000.0</v>
      </c>
      <c r="BI288" s="35" t="b">
        <v>0</v>
      </c>
      <c r="BJ288" s="23">
        <v>80000.0</v>
      </c>
      <c r="BK288" s="15" t="b">
        <v>1</v>
      </c>
      <c r="BL288" s="20" t="s">
        <v>563</v>
      </c>
      <c r="BM288" s="23">
        <v>520000.0</v>
      </c>
      <c r="BN288" s="35" t="b">
        <v>0</v>
      </c>
      <c r="BO288" s="23">
        <v>80000.0</v>
      </c>
      <c r="BP288" s="15" t="b">
        <v>0</v>
      </c>
      <c r="BQ288" s="17" t="s">
        <v>63</v>
      </c>
      <c r="BR288" s="1"/>
      <c r="BS288" s="1"/>
      <c r="BT288" s="1"/>
      <c r="BU288" s="1"/>
    </row>
    <row r="289">
      <c r="A289" s="1"/>
      <c r="B289" s="10" t="s">
        <v>553</v>
      </c>
      <c r="C289" s="11" t="s">
        <v>564</v>
      </c>
      <c r="D289" s="20" t="s">
        <v>565</v>
      </c>
      <c r="E289" s="23">
        <v>450000.0</v>
      </c>
      <c r="F289" s="35" t="b">
        <v>0</v>
      </c>
      <c r="G289" s="23">
        <v>80000.0</v>
      </c>
      <c r="H289" s="15" t="b">
        <v>1</v>
      </c>
      <c r="I289" s="20" t="s">
        <v>566</v>
      </c>
      <c r="J289" s="23">
        <f>450000+15517</f>
        <v>465517</v>
      </c>
      <c r="K289" s="35" t="b">
        <v>0</v>
      </c>
      <c r="L289" s="23">
        <f>80000+2759</f>
        <v>82759</v>
      </c>
      <c r="M289" s="15" t="b">
        <v>1</v>
      </c>
      <c r="N289" s="20" t="s">
        <v>567</v>
      </c>
      <c r="O289" s="23">
        <v>450000.0</v>
      </c>
      <c r="P289" s="35" t="b">
        <v>0</v>
      </c>
      <c r="Q289" s="23">
        <v>80000.0</v>
      </c>
      <c r="R289" s="15" t="b">
        <v>1</v>
      </c>
      <c r="S289" s="20" t="s">
        <v>567</v>
      </c>
      <c r="T289" s="23">
        <v>450000.0</v>
      </c>
      <c r="U289" s="35" t="b">
        <v>0</v>
      </c>
      <c r="V289" s="23">
        <v>80000.0</v>
      </c>
      <c r="W289" s="15" t="b">
        <v>1</v>
      </c>
      <c r="X289" s="20" t="s">
        <v>567</v>
      </c>
      <c r="Y289" s="23">
        <v>450000.0</v>
      </c>
      <c r="Z289" s="35" t="b">
        <v>0</v>
      </c>
      <c r="AA289" s="23">
        <v>80000.0</v>
      </c>
      <c r="AB289" s="15" t="b">
        <v>1</v>
      </c>
      <c r="AC289" s="20" t="s">
        <v>567</v>
      </c>
      <c r="AD289" s="23">
        <v>450000.0</v>
      </c>
      <c r="AE289" s="35" t="b">
        <v>0</v>
      </c>
      <c r="AF289" s="23">
        <v>80000.0</v>
      </c>
      <c r="AG289" s="15" t="b">
        <v>1</v>
      </c>
      <c r="AH289" s="20" t="s">
        <v>567</v>
      </c>
      <c r="AI289" s="23">
        <v>450000.0</v>
      </c>
      <c r="AJ289" s="35" t="b">
        <v>0</v>
      </c>
      <c r="AK289" s="23">
        <v>80000.0</v>
      </c>
      <c r="AL289" s="15" t="b">
        <v>1</v>
      </c>
      <c r="AM289" s="20" t="s">
        <v>568</v>
      </c>
      <c r="AN289" s="23">
        <f>362903+43548</f>
        <v>406451</v>
      </c>
      <c r="AO289" s="35" t="b">
        <v>0</v>
      </c>
      <c r="AP289" s="23">
        <f>64516+7742</f>
        <v>72258</v>
      </c>
      <c r="AQ289" s="15" t="b">
        <v>1</v>
      </c>
      <c r="AR289" s="20" t="s">
        <v>569</v>
      </c>
      <c r="AS289" s="23">
        <v>450000.0</v>
      </c>
      <c r="AT289" s="35" t="b">
        <v>0</v>
      </c>
      <c r="AU289" s="23">
        <v>80000.0</v>
      </c>
      <c r="AV289" s="15" t="b">
        <v>1</v>
      </c>
      <c r="AW289" s="20" t="s">
        <v>569</v>
      </c>
      <c r="AX289" s="23">
        <v>450000.0</v>
      </c>
      <c r="AY289" s="35" t="b">
        <v>0</v>
      </c>
      <c r="AZ289" s="23">
        <v>80000.0</v>
      </c>
      <c r="BA289" s="15" t="b">
        <v>1</v>
      </c>
      <c r="BB289" s="20" t="s">
        <v>569</v>
      </c>
      <c r="BC289" s="23">
        <v>450000.0</v>
      </c>
      <c r="BD289" s="35" t="b">
        <v>0</v>
      </c>
      <c r="BE289" s="23">
        <v>80000.0</v>
      </c>
      <c r="BF289" s="15" t="b">
        <v>1</v>
      </c>
      <c r="BG289" s="20" t="s">
        <v>569</v>
      </c>
      <c r="BH289" s="23">
        <v>450000.0</v>
      </c>
      <c r="BI289" s="35" t="b">
        <v>0</v>
      </c>
      <c r="BJ289" s="23">
        <v>80000.0</v>
      </c>
      <c r="BK289" s="15" t="b">
        <v>1</v>
      </c>
      <c r="BL289" s="20" t="s">
        <v>569</v>
      </c>
      <c r="BM289" s="23">
        <v>450000.0</v>
      </c>
      <c r="BN289" s="35" t="b">
        <v>0</v>
      </c>
      <c r="BO289" s="23">
        <v>80000.0</v>
      </c>
      <c r="BP289" s="15" t="b">
        <v>0</v>
      </c>
      <c r="BQ289" s="17" t="s">
        <v>63</v>
      </c>
      <c r="BR289" s="1"/>
      <c r="BS289" s="20">
        <f t="shared" ref="BS289:BS290" si="8">BC301+BC249+BC215+BC78+BC55+BC34</f>
        <v>6095931</v>
      </c>
      <c r="BT289" s="1"/>
      <c r="BU289" s="1"/>
    </row>
    <row r="290">
      <c r="A290" s="1"/>
      <c r="B290" s="10" t="s">
        <v>553</v>
      </c>
      <c r="C290" s="11" t="s">
        <v>570</v>
      </c>
      <c r="D290" s="20" t="s">
        <v>571</v>
      </c>
      <c r="E290" s="23">
        <v>500000.0</v>
      </c>
      <c r="F290" s="35" t="b">
        <v>0</v>
      </c>
      <c r="G290" s="23">
        <v>80000.0</v>
      </c>
      <c r="H290" s="15" t="b">
        <v>1</v>
      </c>
      <c r="I290" s="20" t="s">
        <v>571</v>
      </c>
      <c r="J290" s="23">
        <v>500000.0</v>
      </c>
      <c r="K290" s="35" t="b">
        <v>0</v>
      </c>
      <c r="L290" s="23">
        <v>80000.0</v>
      </c>
      <c r="M290" s="15" t="b">
        <v>1</v>
      </c>
      <c r="N290" s="20" t="s">
        <v>571</v>
      </c>
      <c r="O290" s="23">
        <v>550000.0</v>
      </c>
      <c r="P290" s="35" t="b">
        <v>0</v>
      </c>
      <c r="Q290" s="23">
        <v>80000.0</v>
      </c>
      <c r="R290" s="15" t="b">
        <v>1</v>
      </c>
      <c r="S290" s="20" t="s">
        <v>571</v>
      </c>
      <c r="T290" s="23">
        <v>550000.0</v>
      </c>
      <c r="U290" s="35" t="b">
        <v>0</v>
      </c>
      <c r="V290" s="23">
        <v>80000.0</v>
      </c>
      <c r="W290" s="15" t="b">
        <v>1</v>
      </c>
      <c r="X290" s="20" t="s">
        <v>572</v>
      </c>
      <c r="Y290" s="23">
        <f>550000+58065</f>
        <v>608065</v>
      </c>
      <c r="Z290" s="35" t="b">
        <v>0</v>
      </c>
      <c r="AA290" s="23">
        <f>80000+10323</f>
        <v>90323</v>
      </c>
      <c r="AB290" s="15" t="b">
        <v>1</v>
      </c>
      <c r="AC290" s="20" t="s">
        <v>573</v>
      </c>
      <c r="AD290" s="23">
        <f>550000+450000</f>
        <v>1000000</v>
      </c>
      <c r="AE290" s="35" t="b">
        <v>0</v>
      </c>
      <c r="AF290" s="23">
        <f>80000+80000</f>
        <v>160000</v>
      </c>
      <c r="AG290" s="15" t="b">
        <v>1</v>
      </c>
      <c r="AH290" s="20" t="s">
        <v>574</v>
      </c>
      <c r="AI290" s="23">
        <v>450000.0</v>
      </c>
      <c r="AJ290" s="35" t="b">
        <v>0</v>
      </c>
      <c r="AK290" s="23">
        <v>80000.0</v>
      </c>
      <c r="AL290" s="15" t="b">
        <v>1</v>
      </c>
      <c r="AM290" s="20" t="s">
        <v>575</v>
      </c>
      <c r="AN290" s="23">
        <v>450000.0</v>
      </c>
      <c r="AO290" s="35" t="b">
        <v>0</v>
      </c>
      <c r="AP290" s="23">
        <v>80000.0</v>
      </c>
      <c r="AQ290" s="15" t="b">
        <v>1</v>
      </c>
      <c r="AR290" s="20" t="s">
        <v>575</v>
      </c>
      <c r="AS290" s="23">
        <v>450000.0</v>
      </c>
      <c r="AT290" s="35" t="b">
        <v>0</v>
      </c>
      <c r="AU290" s="23">
        <v>80000.0</v>
      </c>
      <c r="AV290" s="15" t="b">
        <v>1</v>
      </c>
      <c r="AW290" s="20" t="s">
        <v>575</v>
      </c>
      <c r="AX290" s="23">
        <v>450000.0</v>
      </c>
      <c r="AY290" s="35" t="b">
        <v>0</v>
      </c>
      <c r="AZ290" s="23">
        <v>80000.0</v>
      </c>
      <c r="BA290" s="15" t="b">
        <v>1</v>
      </c>
      <c r="BB290" s="20" t="s">
        <v>575</v>
      </c>
      <c r="BC290" s="23">
        <v>450000.0</v>
      </c>
      <c r="BD290" s="35" t="b">
        <v>0</v>
      </c>
      <c r="BE290" s="23">
        <v>80000.0</v>
      </c>
      <c r="BF290" s="15" t="b">
        <v>1</v>
      </c>
      <c r="BG290" s="20" t="s">
        <v>575</v>
      </c>
      <c r="BH290" s="23">
        <v>450000.0</v>
      </c>
      <c r="BI290" s="35" t="b">
        <v>0</v>
      </c>
      <c r="BJ290" s="23">
        <v>80000.0</v>
      </c>
      <c r="BK290" s="15" t="b">
        <v>1</v>
      </c>
      <c r="BL290" s="20" t="s">
        <v>575</v>
      </c>
      <c r="BM290" s="23">
        <v>450000.0</v>
      </c>
      <c r="BN290" s="35" t="b">
        <v>0</v>
      </c>
      <c r="BO290" s="23">
        <v>80000.0</v>
      </c>
      <c r="BP290" s="15" t="b">
        <v>0</v>
      </c>
      <c r="BQ290" s="17" t="s">
        <v>63</v>
      </c>
      <c r="BR290" s="1"/>
      <c r="BS290" s="20">
        <f t="shared" si="8"/>
        <v>2561367</v>
      </c>
      <c r="BT290" s="1"/>
      <c r="BU290" s="1"/>
    </row>
    <row r="291">
      <c r="A291" s="1"/>
      <c r="B291" s="21"/>
      <c r="C291" s="11" t="s">
        <v>42</v>
      </c>
      <c r="D291" s="22"/>
      <c r="E291" s="23">
        <f>SUM(E287:E290)</f>
        <v>2040000</v>
      </c>
      <c r="F291" s="18"/>
      <c r="G291" s="23">
        <f>SUM(G287:G290)</f>
        <v>320000</v>
      </c>
      <c r="H291" s="19"/>
      <c r="I291" s="22"/>
      <c r="J291" s="23">
        <f>SUM(J287:J290)</f>
        <v>2055517</v>
      </c>
      <c r="K291" s="18"/>
      <c r="L291" s="23">
        <f>SUM(L287:L290)</f>
        <v>322759</v>
      </c>
      <c r="M291" s="19"/>
      <c r="N291" s="22"/>
      <c r="O291" s="23">
        <f>SUM(O287:O290)</f>
        <v>2090000</v>
      </c>
      <c r="P291" s="18"/>
      <c r="Q291" s="23">
        <f>SUM(Q287:Q290)</f>
        <v>320000</v>
      </c>
      <c r="R291" s="19"/>
      <c r="S291" s="22"/>
      <c r="T291" s="23">
        <f>SUM(T287:T290)</f>
        <v>2090000</v>
      </c>
      <c r="U291" s="18"/>
      <c r="V291" s="23">
        <f>SUM(V287:V290)</f>
        <v>320000</v>
      </c>
      <c r="W291" s="19"/>
      <c r="X291" s="18"/>
      <c r="Y291" s="23">
        <f>SUM(Y287:Y290)</f>
        <v>2148065</v>
      </c>
      <c r="Z291" s="18"/>
      <c r="AA291" s="23">
        <f>SUM(AA287:AA290)</f>
        <v>330323</v>
      </c>
      <c r="AB291" s="19"/>
      <c r="AC291" s="18"/>
      <c r="AD291" s="23">
        <f>SUM(AD287:AD290)</f>
        <v>2540000</v>
      </c>
      <c r="AE291" s="18"/>
      <c r="AF291" s="23">
        <f>SUM(AF287:AF290)</f>
        <v>400000</v>
      </c>
      <c r="AG291" s="19"/>
      <c r="AH291" s="18"/>
      <c r="AI291" s="23">
        <f>SUM(AI287:AI290)</f>
        <v>1990000</v>
      </c>
      <c r="AJ291" s="18"/>
      <c r="AK291" s="23">
        <f>SUM(AK287:AK290)</f>
        <v>320000</v>
      </c>
      <c r="AL291" s="19"/>
      <c r="AM291" s="18"/>
      <c r="AN291" s="23">
        <f>SUM(AN287:AN290)</f>
        <v>1585805</v>
      </c>
      <c r="AO291" s="18"/>
      <c r="AP291" s="23">
        <f>SUM(AP287:AP290)</f>
        <v>263225</v>
      </c>
      <c r="AQ291" s="19"/>
      <c r="AR291" s="22"/>
      <c r="AS291" s="23">
        <f>SUM(AS287:AS290)</f>
        <v>1990000</v>
      </c>
      <c r="AT291" s="18"/>
      <c r="AU291" s="23">
        <f>SUM(AU287:AU290)</f>
        <v>320000</v>
      </c>
      <c r="AV291" s="19"/>
      <c r="AW291" s="22"/>
      <c r="AX291" s="23">
        <f>SUM(AX287:AX290)</f>
        <v>1990000</v>
      </c>
      <c r="AY291" s="18"/>
      <c r="AZ291" s="23">
        <f>SUM(AZ287:AZ290)</f>
        <v>320000</v>
      </c>
      <c r="BA291" s="19"/>
      <c r="BB291" s="22"/>
      <c r="BC291" s="23">
        <f>SUM(BC287:BC290)</f>
        <v>1990000</v>
      </c>
      <c r="BD291" s="18"/>
      <c r="BE291" s="23">
        <f>SUM(BE287:BE290)</f>
        <v>320000</v>
      </c>
      <c r="BF291" s="19"/>
      <c r="BG291" s="22"/>
      <c r="BH291" s="23">
        <f>SUM(BH287:BH290)</f>
        <v>1990000</v>
      </c>
      <c r="BI291" s="18"/>
      <c r="BJ291" s="23">
        <f>SUM(BJ287:BJ290)</f>
        <v>320000</v>
      </c>
      <c r="BK291" s="19"/>
      <c r="BL291" s="22"/>
      <c r="BM291" s="23">
        <f>SUM(BM287:BM290)</f>
        <v>1990000</v>
      </c>
      <c r="BN291" s="18"/>
      <c r="BO291" s="23">
        <f>SUM(BO287:BO290)</f>
        <v>320000</v>
      </c>
      <c r="BP291" s="19"/>
      <c r="BQ291" s="17" t="s">
        <v>63</v>
      </c>
      <c r="BR291" s="1"/>
      <c r="BS291" s="1"/>
      <c r="BT291" s="1"/>
      <c r="BU291" s="1"/>
    </row>
    <row r="292">
      <c r="A292" s="1"/>
      <c r="B292" s="21"/>
      <c r="C292" s="11" t="s">
        <v>43</v>
      </c>
      <c r="D292" s="22"/>
      <c r="E292" s="23">
        <v>900000.0</v>
      </c>
      <c r="F292" s="18"/>
      <c r="G292" s="18"/>
      <c r="H292" s="19"/>
      <c r="I292" s="22"/>
      <c r="J292" s="23">
        <v>900000.0</v>
      </c>
      <c r="K292" s="18"/>
      <c r="L292" s="18"/>
      <c r="M292" s="19"/>
      <c r="N292" s="22"/>
      <c r="O292" s="23">
        <v>900000.0</v>
      </c>
      <c r="P292" s="18"/>
      <c r="Q292" s="18"/>
      <c r="R292" s="19"/>
      <c r="S292" s="22"/>
      <c r="T292" s="23">
        <v>900000.0</v>
      </c>
      <c r="U292" s="18"/>
      <c r="V292" s="18"/>
      <c r="W292" s="19"/>
      <c r="X292" s="18"/>
      <c r="Y292" s="23">
        <v>900000.0</v>
      </c>
      <c r="Z292" s="18"/>
      <c r="AA292" s="18"/>
      <c r="AB292" s="19"/>
      <c r="AC292" s="18"/>
      <c r="AD292" s="23">
        <v>900000.0</v>
      </c>
      <c r="AE292" s="18"/>
      <c r="AF292" s="18"/>
      <c r="AG292" s="19"/>
      <c r="AH292" s="18"/>
      <c r="AI292" s="23">
        <v>900000.0</v>
      </c>
      <c r="AJ292" s="18"/>
      <c r="AK292" s="18"/>
      <c r="AL292" s="19"/>
      <c r="AM292" s="18"/>
      <c r="AN292" s="23">
        <v>900000.0</v>
      </c>
      <c r="AO292" s="18"/>
      <c r="AP292" s="18"/>
      <c r="AQ292" s="19"/>
      <c r="AR292" s="22"/>
      <c r="AS292" s="23">
        <v>900000.0</v>
      </c>
      <c r="AT292" s="18"/>
      <c r="AU292" s="18"/>
      <c r="AV292" s="19"/>
      <c r="AW292" s="22"/>
      <c r="AX292" s="23">
        <v>900000.0</v>
      </c>
      <c r="AY292" s="18"/>
      <c r="AZ292" s="18"/>
      <c r="BA292" s="19"/>
      <c r="BB292" s="22"/>
      <c r="BC292" s="23">
        <v>900000.0</v>
      </c>
      <c r="BD292" s="18"/>
      <c r="BE292" s="18"/>
      <c r="BF292" s="19"/>
      <c r="BG292" s="22"/>
      <c r="BH292" s="23">
        <v>900000.0</v>
      </c>
      <c r="BI292" s="18"/>
      <c r="BJ292" s="18"/>
      <c r="BK292" s="19"/>
      <c r="BL292" s="22"/>
      <c r="BM292" s="23">
        <v>900000.0</v>
      </c>
      <c r="BN292" s="18"/>
      <c r="BO292" s="18"/>
      <c r="BP292" s="19"/>
      <c r="BQ292" s="17" t="s">
        <v>63</v>
      </c>
      <c r="BR292" s="1"/>
      <c r="BS292" s="1"/>
      <c r="BT292" s="1"/>
      <c r="BU292" s="1"/>
    </row>
    <row r="293">
      <c r="A293" s="1"/>
      <c r="B293" s="10" t="s">
        <v>95</v>
      </c>
      <c r="C293" s="11" t="s">
        <v>45</v>
      </c>
      <c r="D293" s="22"/>
      <c r="E293" s="18"/>
      <c r="F293" s="18"/>
      <c r="G293" s="18"/>
      <c r="H293" s="19"/>
      <c r="I293" s="22"/>
      <c r="J293" s="18"/>
      <c r="K293" s="18"/>
      <c r="L293" s="18"/>
      <c r="M293" s="19"/>
      <c r="N293" s="22"/>
      <c r="O293" s="18"/>
      <c r="P293" s="18"/>
      <c r="Q293" s="18"/>
      <c r="R293" s="19"/>
      <c r="S293" s="22"/>
      <c r="T293" s="18"/>
      <c r="U293" s="18"/>
      <c r="V293" s="18"/>
      <c r="W293" s="19"/>
      <c r="X293" s="18"/>
      <c r="Y293" s="18"/>
      <c r="Z293" s="18"/>
      <c r="AA293" s="18"/>
      <c r="AB293" s="19"/>
      <c r="AC293" s="18"/>
      <c r="AD293" s="18"/>
      <c r="AE293" s="18"/>
      <c r="AF293" s="18"/>
      <c r="AG293" s="19"/>
      <c r="AH293" s="18"/>
      <c r="AI293" s="18"/>
      <c r="AJ293" s="18"/>
      <c r="AK293" s="18"/>
      <c r="AL293" s="19"/>
      <c r="AM293" s="18"/>
      <c r="AN293" s="18"/>
      <c r="AO293" s="18"/>
      <c r="AP293" s="18"/>
      <c r="AQ293" s="19"/>
      <c r="AR293" s="22"/>
      <c r="AS293" s="18"/>
      <c r="AT293" s="18"/>
      <c r="AU293" s="18"/>
      <c r="AV293" s="19"/>
      <c r="AW293" s="22"/>
      <c r="AX293" s="18"/>
      <c r="AY293" s="18"/>
      <c r="AZ293" s="18"/>
      <c r="BA293" s="19"/>
      <c r="BB293" s="22"/>
      <c r="BC293" s="18"/>
      <c r="BD293" s="18"/>
      <c r="BE293" s="18"/>
      <c r="BF293" s="19"/>
      <c r="BG293" s="22"/>
      <c r="BH293" s="18"/>
      <c r="BI293" s="18"/>
      <c r="BJ293" s="18"/>
      <c r="BK293" s="19"/>
      <c r="BL293" s="22"/>
      <c r="BM293" s="18"/>
      <c r="BN293" s="18"/>
      <c r="BO293" s="18"/>
      <c r="BP293" s="19"/>
      <c r="BQ293" s="17" t="s">
        <v>63</v>
      </c>
      <c r="BR293" s="1"/>
      <c r="BS293" s="1"/>
      <c r="BT293" s="1"/>
      <c r="BU293" s="1"/>
    </row>
    <row r="294">
      <c r="A294" s="1"/>
      <c r="B294" s="10" t="s">
        <v>95</v>
      </c>
      <c r="C294" s="11" t="s">
        <v>47</v>
      </c>
      <c r="D294" s="22"/>
      <c r="E294" s="18"/>
      <c r="F294" s="18"/>
      <c r="G294" s="23">
        <v>38380.0</v>
      </c>
      <c r="H294" s="19"/>
      <c r="I294" s="22"/>
      <c r="J294" s="18"/>
      <c r="K294" s="18"/>
      <c r="L294" s="23">
        <v>29410.0</v>
      </c>
      <c r="M294" s="19"/>
      <c r="N294" s="22"/>
      <c r="O294" s="18"/>
      <c r="P294" s="18"/>
      <c r="Q294" s="23">
        <v>38150.0</v>
      </c>
      <c r="R294" s="19"/>
      <c r="S294" s="22"/>
      <c r="T294" s="18"/>
      <c r="U294" s="18"/>
      <c r="V294" s="18"/>
      <c r="W294" s="19"/>
      <c r="X294" s="18"/>
      <c r="Y294" s="18"/>
      <c r="Z294" s="18"/>
      <c r="AA294" s="18"/>
      <c r="AB294" s="19"/>
      <c r="AC294" s="18"/>
      <c r="AD294" s="18"/>
      <c r="AE294" s="18"/>
      <c r="AF294" s="18"/>
      <c r="AG294" s="19"/>
      <c r="AH294" s="18"/>
      <c r="AI294" s="18"/>
      <c r="AJ294" s="18"/>
      <c r="AK294" s="18"/>
      <c r="AL294" s="19"/>
      <c r="AM294" s="18"/>
      <c r="AN294" s="18"/>
      <c r="AO294" s="18"/>
      <c r="AP294" s="18"/>
      <c r="AQ294" s="19"/>
      <c r="AR294" s="22"/>
      <c r="AS294" s="18"/>
      <c r="AT294" s="18"/>
      <c r="AU294" s="18"/>
      <c r="AV294" s="19"/>
      <c r="AW294" s="22"/>
      <c r="AX294" s="18"/>
      <c r="AY294" s="18"/>
      <c r="AZ294" s="18"/>
      <c r="BA294" s="19"/>
      <c r="BB294" s="22"/>
      <c r="BC294" s="18"/>
      <c r="BD294" s="18"/>
      <c r="BE294" s="18"/>
      <c r="BF294" s="19"/>
      <c r="BG294" s="22"/>
      <c r="BH294" s="18"/>
      <c r="BI294" s="18"/>
      <c r="BJ294" s="18"/>
      <c r="BK294" s="19"/>
      <c r="BL294" s="22"/>
      <c r="BM294" s="18"/>
      <c r="BN294" s="18"/>
      <c r="BO294" s="18"/>
      <c r="BP294" s="19"/>
      <c r="BQ294" s="17" t="s">
        <v>63</v>
      </c>
      <c r="BR294" s="1"/>
      <c r="BS294" s="1"/>
      <c r="BT294" s="1"/>
      <c r="BU294" s="1"/>
    </row>
    <row r="295">
      <c r="A295" s="1"/>
      <c r="B295" s="10" t="s">
        <v>95</v>
      </c>
      <c r="C295" s="11" t="s">
        <v>49</v>
      </c>
      <c r="D295" s="22"/>
      <c r="E295" s="18"/>
      <c r="F295" s="18"/>
      <c r="G295" s="23">
        <v>307730.0</v>
      </c>
      <c r="H295" s="19"/>
      <c r="I295" s="22"/>
      <c r="J295" s="18"/>
      <c r="K295" s="18"/>
      <c r="L295" s="23">
        <v>244590.0</v>
      </c>
      <c r="M295" s="19"/>
      <c r="N295" s="22"/>
      <c r="O295" s="18"/>
      <c r="P295" s="18"/>
      <c r="Q295" s="23">
        <v>154960.0</v>
      </c>
      <c r="R295" s="19"/>
      <c r="S295" s="22"/>
      <c r="T295" s="18"/>
      <c r="U295" s="18"/>
      <c r="V295" s="18"/>
      <c r="W295" s="19"/>
      <c r="X295" s="18"/>
      <c r="Y295" s="18"/>
      <c r="Z295" s="18"/>
      <c r="AA295" s="18"/>
      <c r="AB295" s="19"/>
      <c r="AC295" s="18"/>
      <c r="AD295" s="18"/>
      <c r="AE295" s="18"/>
      <c r="AF295" s="18"/>
      <c r="AG295" s="19"/>
      <c r="AH295" s="18"/>
      <c r="AI295" s="18"/>
      <c r="AJ295" s="18"/>
      <c r="AK295" s="18"/>
      <c r="AL295" s="19"/>
      <c r="AM295" s="18"/>
      <c r="AN295" s="18"/>
      <c r="AO295" s="18"/>
      <c r="AP295" s="18"/>
      <c r="AQ295" s="19"/>
      <c r="AR295" s="22"/>
      <c r="AS295" s="18"/>
      <c r="AT295" s="18"/>
      <c r="AU295" s="18"/>
      <c r="AV295" s="19"/>
      <c r="AW295" s="22"/>
      <c r="AX295" s="18"/>
      <c r="AY295" s="18"/>
      <c r="AZ295" s="18"/>
      <c r="BA295" s="19"/>
      <c r="BB295" s="22"/>
      <c r="BC295" s="18"/>
      <c r="BD295" s="18"/>
      <c r="BE295" s="18"/>
      <c r="BF295" s="19"/>
      <c r="BG295" s="22"/>
      <c r="BH295" s="18"/>
      <c r="BI295" s="18"/>
      <c r="BJ295" s="18"/>
      <c r="BK295" s="19"/>
      <c r="BL295" s="22"/>
      <c r="BM295" s="18"/>
      <c r="BN295" s="18"/>
      <c r="BO295" s="18"/>
      <c r="BP295" s="19"/>
      <c r="BQ295" s="17" t="s">
        <v>63</v>
      </c>
      <c r="BR295" s="1"/>
      <c r="BS295" s="1"/>
      <c r="BT295" s="1"/>
      <c r="BU295" s="1"/>
    </row>
    <row r="296">
      <c r="A296" s="1"/>
      <c r="B296" s="10" t="s">
        <v>95</v>
      </c>
      <c r="C296" s="11" t="s">
        <v>576</v>
      </c>
      <c r="D296" s="22"/>
      <c r="E296" s="18"/>
      <c r="F296" s="18"/>
      <c r="G296" s="23">
        <v>100000.0</v>
      </c>
      <c r="H296" s="19"/>
      <c r="I296" s="22"/>
      <c r="J296" s="18"/>
      <c r="K296" s="18"/>
      <c r="L296" s="23">
        <v>100000.0</v>
      </c>
      <c r="M296" s="19"/>
      <c r="N296" s="22"/>
      <c r="O296" s="18"/>
      <c r="P296" s="18"/>
      <c r="Q296" s="23">
        <v>100000.0</v>
      </c>
      <c r="R296" s="19"/>
      <c r="S296" s="22"/>
      <c r="T296" s="18"/>
      <c r="U296" s="18"/>
      <c r="V296" s="23">
        <v>100000.0</v>
      </c>
      <c r="W296" s="19"/>
      <c r="X296" s="22"/>
      <c r="Y296" s="18"/>
      <c r="Z296" s="18"/>
      <c r="AA296" s="23">
        <v>100000.0</v>
      </c>
      <c r="AB296" s="19"/>
      <c r="AC296" s="22"/>
      <c r="AD296" s="18"/>
      <c r="AE296" s="18"/>
      <c r="AF296" s="23">
        <v>100000.0</v>
      </c>
      <c r="AG296" s="19"/>
      <c r="AH296" s="22"/>
      <c r="AI296" s="18"/>
      <c r="AJ296" s="18"/>
      <c r="AK296" s="23">
        <v>100000.0</v>
      </c>
      <c r="AL296" s="19"/>
      <c r="AM296" s="22"/>
      <c r="AN296" s="18"/>
      <c r="AO296" s="18"/>
      <c r="AP296" s="23">
        <v>100000.0</v>
      </c>
      <c r="AQ296" s="19"/>
      <c r="AR296" s="22"/>
      <c r="AS296" s="18"/>
      <c r="AT296" s="18"/>
      <c r="AU296" s="23">
        <v>100000.0</v>
      </c>
      <c r="AV296" s="19"/>
      <c r="AW296" s="22"/>
      <c r="AX296" s="18"/>
      <c r="AY296" s="18"/>
      <c r="AZ296" s="23">
        <v>100000.0</v>
      </c>
      <c r="BA296" s="19"/>
      <c r="BB296" s="22"/>
      <c r="BC296" s="18"/>
      <c r="BD296" s="18"/>
      <c r="BE296" s="23">
        <v>100000.0</v>
      </c>
      <c r="BF296" s="19"/>
      <c r="BG296" s="22"/>
      <c r="BH296" s="18"/>
      <c r="BI296" s="18"/>
      <c r="BJ296" s="23">
        <v>100000.0</v>
      </c>
      <c r="BK296" s="19"/>
      <c r="BL296" s="22"/>
      <c r="BM296" s="18"/>
      <c r="BN296" s="18"/>
      <c r="BO296" s="23">
        <v>100000.0</v>
      </c>
      <c r="BP296" s="19"/>
      <c r="BQ296" s="17" t="s">
        <v>63</v>
      </c>
      <c r="BR296" s="1"/>
      <c r="BS296" s="1"/>
      <c r="BT296" s="1"/>
      <c r="BU296" s="1"/>
    </row>
    <row r="297">
      <c r="A297" s="1"/>
      <c r="B297" s="10" t="s">
        <v>95</v>
      </c>
      <c r="C297" s="11" t="s">
        <v>52</v>
      </c>
      <c r="D297" s="22"/>
      <c r="E297" s="18"/>
      <c r="F297" s="18"/>
      <c r="G297" s="23">
        <v>23100.0</v>
      </c>
      <c r="H297" s="19"/>
      <c r="I297" s="22"/>
      <c r="J297" s="18"/>
      <c r="K297" s="18"/>
      <c r="L297" s="23">
        <v>23100.0</v>
      </c>
      <c r="M297" s="19"/>
      <c r="N297" s="22"/>
      <c r="O297" s="18"/>
      <c r="P297" s="18"/>
      <c r="Q297" s="23">
        <v>23100.0</v>
      </c>
      <c r="R297" s="19"/>
      <c r="S297" s="22"/>
      <c r="T297" s="18"/>
      <c r="U297" s="18"/>
      <c r="V297" s="23">
        <v>23100.0</v>
      </c>
      <c r="W297" s="19"/>
      <c r="X297" s="22"/>
      <c r="Y297" s="18"/>
      <c r="Z297" s="18"/>
      <c r="AA297" s="23">
        <v>23100.0</v>
      </c>
      <c r="AB297" s="19"/>
      <c r="AC297" s="22"/>
      <c r="AD297" s="18"/>
      <c r="AE297" s="18"/>
      <c r="AF297" s="23">
        <v>23100.0</v>
      </c>
      <c r="AG297" s="19"/>
      <c r="AH297" s="22"/>
      <c r="AI297" s="18"/>
      <c r="AJ297" s="18"/>
      <c r="AK297" s="23">
        <v>23100.0</v>
      </c>
      <c r="AL297" s="19"/>
      <c r="AM297" s="22"/>
      <c r="AN297" s="18"/>
      <c r="AO297" s="18"/>
      <c r="AP297" s="23">
        <v>23100.0</v>
      </c>
      <c r="AQ297" s="19"/>
      <c r="AR297" s="22"/>
      <c r="AS297" s="18"/>
      <c r="AT297" s="18"/>
      <c r="AU297" s="23">
        <v>23100.0</v>
      </c>
      <c r="AV297" s="19"/>
      <c r="AW297" s="22"/>
      <c r="AX297" s="18"/>
      <c r="AY297" s="18"/>
      <c r="AZ297" s="23">
        <v>23100.0</v>
      </c>
      <c r="BA297" s="19"/>
      <c r="BB297" s="22"/>
      <c r="BC297" s="18"/>
      <c r="BD297" s="18"/>
      <c r="BE297" s="23">
        <v>23100.0</v>
      </c>
      <c r="BF297" s="19"/>
      <c r="BG297" s="22"/>
      <c r="BH297" s="18"/>
      <c r="BI297" s="18"/>
      <c r="BJ297" s="23">
        <v>23100.0</v>
      </c>
      <c r="BK297" s="19"/>
      <c r="BL297" s="22"/>
      <c r="BM297" s="18"/>
      <c r="BN297" s="18"/>
      <c r="BO297" s="23">
        <v>23100.0</v>
      </c>
      <c r="BP297" s="19"/>
      <c r="BQ297" s="17" t="s">
        <v>63</v>
      </c>
      <c r="BR297" s="1"/>
      <c r="BS297" s="1"/>
      <c r="BT297" s="1"/>
      <c r="BU297" s="1"/>
    </row>
    <row r="298">
      <c r="A298" s="1"/>
      <c r="B298" s="10" t="s">
        <v>95</v>
      </c>
      <c r="C298" s="11" t="s">
        <v>53</v>
      </c>
      <c r="D298" s="22"/>
      <c r="E298" s="18"/>
      <c r="F298" s="18"/>
      <c r="G298" s="23">
        <v>19900.0</v>
      </c>
      <c r="H298" s="19"/>
      <c r="I298" s="22"/>
      <c r="J298" s="18"/>
      <c r="K298" s="18"/>
      <c r="L298" s="23">
        <v>19900.0</v>
      </c>
      <c r="M298" s="19"/>
      <c r="N298" s="22"/>
      <c r="O298" s="18"/>
      <c r="P298" s="18"/>
      <c r="Q298" s="23">
        <v>19900.0</v>
      </c>
      <c r="R298" s="19"/>
      <c r="S298" s="22"/>
      <c r="T298" s="18"/>
      <c r="U298" s="18"/>
      <c r="V298" s="23">
        <v>19900.0</v>
      </c>
      <c r="W298" s="19"/>
      <c r="X298" s="22"/>
      <c r="Y298" s="18"/>
      <c r="Z298" s="18"/>
      <c r="AA298" s="23">
        <v>19900.0</v>
      </c>
      <c r="AB298" s="19"/>
      <c r="AC298" s="22"/>
      <c r="AD298" s="18"/>
      <c r="AE298" s="18"/>
      <c r="AF298" s="23">
        <v>19900.0</v>
      </c>
      <c r="AG298" s="19"/>
      <c r="AH298" s="22"/>
      <c r="AI298" s="18"/>
      <c r="AJ298" s="18"/>
      <c r="AK298" s="23">
        <v>19900.0</v>
      </c>
      <c r="AL298" s="19"/>
      <c r="AM298" s="22"/>
      <c r="AN298" s="18"/>
      <c r="AO298" s="18"/>
      <c r="AP298" s="23">
        <v>19900.0</v>
      </c>
      <c r="AQ298" s="19"/>
      <c r="AR298" s="22"/>
      <c r="AS298" s="18"/>
      <c r="AT298" s="18"/>
      <c r="AU298" s="23">
        <v>19900.0</v>
      </c>
      <c r="AV298" s="19"/>
      <c r="AW298" s="22"/>
      <c r="AX298" s="18"/>
      <c r="AY298" s="18"/>
      <c r="AZ298" s="23">
        <v>19900.0</v>
      </c>
      <c r="BA298" s="19"/>
      <c r="BB298" s="22"/>
      <c r="BC298" s="18"/>
      <c r="BD298" s="18"/>
      <c r="BE298" s="23">
        <v>19900.0</v>
      </c>
      <c r="BF298" s="19"/>
      <c r="BG298" s="22"/>
      <c r="BH298" s="18"/>
      <c r="BI298" s="18"/>
      <c r="BJ298" s="23">
        <v>19900.0</v>
      </c>
      <c r="BK298" s="19"/>
      <c r="BL298" s="22"/>
      <c r="BM298" s="18"/>
      <c r="BN298" s="18"/>
      <c r="BO298" s="23">
        <v>19900.0</v>
      </c>
      <c r="BP298" s="19"/>
      <c r="BQ298" s="17" t="s">
        <v>63</v>
      </c>
      <c r="BR298" s="1"/>
      <c r="BS298" s="1"/>
      <c r="BT298" s="1"/>
      <c r="BU298" s="1"/>
    </row>
    <row r="299">
      <c r="A299" s="1"/>
      <c r="B299" s="21"/>
      <c r="C299" s="11" t="s">
        <v>54</v>
      </c>
      <c r="D299" s="22"/>
      <c r="E299" s="18"/>
      <c r="F299" s="18"/>
      <c r="G299" s="23">
        <v>125000.0</v>
      </c>
      <c r="H299" s="19"/>
      <c r="I299" s="22"/>
      <c r="J299" s="18"/>
      <c r="K299" s="18"/>
      <c r="L299" s="23">
        <f>SUMIFS('지출'!$G$3:$G1000,'지출'!$J$3:$J1000,L$1,'지출'!$C$3:$C1000,"휘경")</f>
        <v>51900</v>
      </c>
      <c r="M299" s="24"/>
      <c r="N299" s="18"/>
      <c r="O299" s="18"/>
      <c r="P299" s="18"/>
      <c r="Q299" s="23">
        <f>SUMIFS('지출'!$G$3:$G1000,'지출'!$J$3:$J1000,Q$1,'지출'!$C$3:$C1000,"휘경")</f>
        <v>28800</v>
      </c>
      <c r="R299" s="24"/>
      <c r="S299" s="18"/>
      <c r="T299" s="18"/>
      <c r="U299" s="18"/>
      <c r="V299" s="23">
        <f>SUMIFS('지출'!$G$3:$G1000,'지출'!$J$3:$J1000,V$1,'지출'!$C$3:$C1000,"휘경")</f>
        <v>0</v>
      </c>
      <c r="W299" s="24"/>
      <c r="X299" s="18"/>
      <c r="Y299" s="18"/>
      <c r="Z299" s="18"/>
      <c r="AA299" s="23">
        <f>SUMIFS('지출'!$G$3:$G1000,'지출'!$J$3:$J1000,AA$1,'지출'!$C$3:$C1000,"휘경")</f>
        <v>0</v>
      </c>
      <c r="AB299" s="24"/>
      <c r="AC299" s="18"/>
      <c r="AD299" s="18"/>
      <c r="AE299" s="18"/>
      <c r="AF299" s="23">
        <f>SUMIFS('지출'!$G$3:$G1000,'지출'!$J$3:$J1000,AF$1,'지출'!$C$3:$C1000,"휘경")</f>
        <v>0</v>
      </c>
      <c r="AG299" s="24"/>
      <c r="AH299" s="18"/>
      <c r="AI299" s="18"/>
      <c r="AJ299" s="18"/>
      <c r="AK299" s="23">
        <f>SUMIFS('지출'!$G$3:$G1000,'지출'!$J$3:$J1000,AK$1,'지출'!$C$3:$C1000,"휘경")</f>
        <v>0</v>
      </c>
      <c r="AL299" s="24"/>
      <c r="AM299" s="18"/>
      <c r="AN299" s="18"/>
      <c r="AO299" s="18"/>
      <c r="AP299" s="23">
        <f>SUMIFS('지출'!$G$3:$G1000,'지출'!$J$3:$J1000,AP$1,'지출'!$C$3:$C1000,"휘경")</f>
        <v>0</v>
      </c>
      <c r="AQ299" s="24"/>
      <c r="AR299" s="18"/>
      <c r="AS299" s="18"/>
      <c r="AT299" s="18"/>
      <c r="AU299" s="23">
        <f>SUMIFS('지출'!$G$3:$G1000,'지출'!$J$3:$J1000,AU$1,'지출'!$C$3:$C1000,"휘경")</f>
        <v>0</v>
      </c>
      <c r="AV299" s="24"/>
      <c r="AW299" s="18"/>
      <c r="AX299" s="18"/>
      <c r="AY299" s="18"/>
      <c r="AZ299" s="23">
        <f>SUMIFS('지출'!$G$3:$G1000,'지출'!$J$3:$J1000,AZ$1,'지출'!$C$3:$C1000,"휘경")</f>
        <v>0</v>
      </c>
      <c r="BA299" s="24"/>
      <c r="BB299" s="18"/>
      <c r="BC299" s="18"/>
      <c r="BD299" s="18"/>
      <c r="BE299" s="23">
        <f>SUMIFS('지출'!$G$3:$G1000,'지출'!$J$3:$J1000,BE$1,'지출'!$C$3:$C1000,"휘경")</f>
        <v>0</v>
      </c>
      <c r="BF299" s="24"/>
      <c r="BG299" s="18"/>
      <c r="BH299" s="18"/>
      <c r="BI299" s="18"/>
      <c r="BJ299" s="23">
        <f>SUMIFS('지출'!$G$3:$G1000,'지출'!$J$3:$J1000,BJ$1,'지출'!$C$3:$C1000,"휘경")</f>
        <v>0</v>
      </c>
      <c r="BK299" s="19"/>
      <c r="BL299" s="18"/>
      <c r="BM299" s="18"/>
      <c r="BN299" s="18"/>
      <c r="BO299" s="23">
        <f>SUMIFS('지출'!$G$3:$G1000,'지출'!$J$3:$J1000,BO$1,'지출'!$C$3:$C1000,"휘경")</f>
        <v>40000</v>
      </c>
      <c r="BP299" s="19"/>
      <c r="BQ299" s="17" t="s">
        <v>63</v>
      </c>
      <c r="BR299" s="1"/>
      <c r="BS299" s="1"/>
      <c r="BT299" s="1"/>
      <c r="BU299" s="1"/>
    </row>
    <row r="300">
      <c r="A300" s="1"/>
      <c r="B300" s="21"/>
      <c r="C300" s="11" t="s">
        <v>56</v>
      </c>
      <c r="D300" s="22"/>
      <c r="E300" s="23">
        <f>E291-(SUM(E292:E299))</f>
        <v>1140000</v>
      </c>
      <c r="F300" s="18"/>
      <c r="G300" s="23">
        <f>G291-(SUM(G292:G299))</f>
        <v>-294110</v>
      </c>
      <c r="H300" s="19"/>
      <c r="I300" s="22"/>
      <c r="J300" s="23">
        <f>J291-(SUM(J292:J299))</f>
        <v>1155517</v>
      </c>
      <c r="K300" s="18"/>
      <c r="L300" s="23">
        <f>L291-(SUM(L292:L299))</f>
        <v>-146141</v>
      </c>
      <c r="M300" s="19"/>
      <c r="N300" s="22"/>
      <c r="O300" s="23">
        <f>O291-(SUM(O292:O299))</f>
        <v>1190000</v>
      </c>
      <c r="P300" s="18"/>
      <c r="Q300" s="23">
        <f>Q291-(SUM(Q292:Q299))</f>
        <v>-44910</v>
      </c>
      <c r="R300" s="19"/>
      <c r="S300" s="22"/>
      <c r="T300" s="23">
        <f>T291-(SUM(T292:T299))</f>
        <v>1190000</v>
      </c>
      <c r="U300" s="18"/>
      <c r="V300" s="23">
        <f>V291-(SUM(V292:V299))</f>
        <v>177000</v>
      </c>
      <c r="W300" s="19"/>
      <c r="X300" s="18"/>
      <c r="Y300" s="23">
        <f>Y291-(SUM(Y292:Y299))</f>
        <v>1248065</v>
      </c>
      <c r="Z300" s="18"/>
      <c r="AA300" s="23">
        <f>AA291-(SUM(AA292:AA299))</f>
        <v>187323</v>
      </c>
      <c r="AB300" s="19"/>
      <c r="AC300" s="18"/>
      <c r="AD300" s="23">
        <f>AD291-(SUM(AD292:AD299))</f>
        <v>1640000</v>
      </c>
      <c r="AE300" s="18"/>
      <c r="AF300" s="23">
        <f>AF291-(SUM(AF292:AF299))</f>
        <v>257000</v>
      </c>
      <c r="AG300" s="19"/>
      <c r="AH300" s="18"/>
      <c r="AI300" s="23">
        <f>AI291-(SUM(AI292:AI299))</f>
        <v>1090000</v>
      </c>
      <c r="AJ300" s="18"/>
      <c r="AK300" s="23">
        <f>AK291-(SUM(AK292:AK299))</f>
        <v>177000</v>
      </c>
      <c r="AL300" s="19"/>
      <c r="AM300" s="18"/>
      <c r="AN300" s="23">
        <f>AN291-(SUM(AN292:AN299))</f>
        <v>685805</v>
      </c>
      <c r="AO300" s="18"/>
      <c r="AP300" s="23">
        <f>AP291-(SUM(AP292:AP299))</f>
        <v>120225</v>
      </c>
      <c r="AQ300" s="19"/>
      <c r="AR300" s="22"/>
      <c r="AS300" s="23">
        <f>AS291-(SUM(AS292:AS299))</f>
        <v>1090000</v>
      </c>
      <c r="AT300" s="18"/>
      <c r="AU300" s="23">
        <f>AU291-(SUM(AU292:AU299))</f>
        <v>177000</v>
      </c>
      <c r="AV300" s="19"/>
      <c r="AW300" s="22"/>
      <c r="AX300" s="23">
        <f>AX291-(SUM(AX292:AX299))</f>
        <v>1090000</v>
      </c>
      <c r="AY300" s="18"/>
      <c r="AZ300" s="23">
        <f>AZ291-(SUM(AZ292:AZ299))</f>
        <v>177000</v>
      </c>
      <c r="BA300" s="19"/>
      <c r="BB300" s="22"/>
      <c r="BC300" s="23">
        <f>BC291-(SUM(BC292:BC299))</f>
        <v>1090000</v>
      </c>
      <c r="BD300" s="18"/>
      <c r="BE300" s="23">
        <f>BE291-(SUM(BE292:BE299))</f>
        <v>177000</v>
      </c>
      <c r="BF300" s="19"/>
      <c r="BG300" s="22"/>
      <c r="BH300" s="23">
        <f>BH291-(SUM(BH292:BH299))</f>
        <v>1090000</v>
      </c>
      <c r="BI300" s="18"/>
      <c r="BJ300" s="23">
        <f>BJ291-(SUM(BJ292:BJ299))</f>
        <v>177000</v>
      </c>
      <c r="BK300" s="19"/>
      <c r="BL300" s="22"/>
      <c r="BM300" s="23">
        <f>BM291-(SUM(BM292:BM299))</f>
        <v>1090000</v>
      </c>
      <c r="BN300" s="18"/>
      <c r="BO300" s="23">
        <f>BO291-(SUM(BO292:BO299))</f>
        <v>137000</v>
      </c>
      <c r="BP300" s="19"/>
      <c r="BQ300" s="17" t="s">
        <v>63</v>
      </c>
      <c r="BR300" s="1"/>
      <c r="BS300" s="1"/>
      <c r="BT300" s="1"/>
      <c r="BU300" s="1"/>
    </row>
    <row r="301">
      <c r="A301" s="1"/>
      <c r="B301" s="27">
        <v>0.7</v>
      </c>
      <c r="C301" s="11" t="s">
        <v>26</v>
      </c>
      <c r="D301" s="22"/>
      <c r="E301" s="23">
        <f>E300*$B301</f>
        <v>798000</v>
      </c>
      <c r="F301" s="18"/>
      <c r="G301" s="18"/>
      <c r="H301" s="19"/>
      <c r="I301" s="22"/>
      <c r="J301" s="23">
        <f>J300*$B301</f>
        <v>808861.9</v>
      </c>
      <c r="K301" s="18"/>
      <c r="L301" s="18"/>
      <c r="M301" s="19"/>
      <c r="N301" s="22"/>
      <c r="O301" s="23">
        <f>O300*$B301</f>
        <v>833000</v>
      </c>
      <c r="P301" s="18"/>
      <c r="Q301" s="18"/>
      <c r="R301" s="19"/>
      <c r="S301" s="22"/>
      <c r="T301" s="23">
        <f>T300*$B301</f>
        <v>833000</v>
      </c>
      <c r="U301" s="18"/>
      <c r="V301" s="18"/>
      <c r="W301" s="19"/>
      <c r="X301" s="18"/>
      <c r="Y301" s="23">
        <f>Y300*$B301</f>
        <v>873645.5</v>
      </c>
      <c r="Z301" s="18"/>
      <c r="AA301" s="18"/>
      <c r="AB301" s="19"/>
      <c r="AC301" s="18"/>
      <c r="AD301" s="23">
        <f>AD300*$B301</f>
        <v>1148000</v>
      </c>
      <c r="AE301" s="18"/>
      <c r="AF301" s="18"/>
      <c r="AG301" s="19"/>
      <c r="AH301" s="18"/>
      <c r="AI301" s="23">
        <f>AI300*$B301</f>
        <v>763000</v>
      </c>
      <c r="AJ301" s="18"/>
      <c r="AK301" s="18"/>
      <c r="AL301" s="19"/>
      <c r="AM301" s="18"/>
      <c r="AN301" s="23">
        <f>AN300*$B301</f>
        <v>480063.5</v>
      </c>
      <c r="AO301" s="18"/>
      <c r="AP301" s="18"/>
      <c r="AQ301" s="19"/>
      <c r="AR301" s="22"/>
      <c r="AS301" s="23">
        <f>AS300*$B301</f>
        <v>763000</v>
      </c>
      <c r="AT301" s="18"/>
      <c r="AU301" s="18"/>
      <c r="AV301" s="19"/>
      <c r="AW301" s="26">
        <f t="shared" ref="AW301:AW302" si="9">AX301+AX249+AX215+AX78+AX55+AX34</f>
        <v>5795995.2</v>
      </c>
      <c r="AX301" s="23">
        <f>AX300*$B301</f>
        <v>763000</v>
      </c>
      <c r="AY301" s="18"/>
      <c r="AZ301" s="18"/>
      <c r="BA301" s="19"/>
      <c r="BB301" s="22"/>
      <c r="BC301" s="23">
        <f>BC300*$B301</f>
        <v>763000</v>
      </c>
      <c r="BD301" s="18"/>
      <c r="BE301" s="18"/>
      <c r="BF301" s="19"/>
      <c r="BG301" s="22"/>
      <c r="BH301" s="23">
        <f>BH300*$B301</f>
        <v>763000</v>
      </c>
      <c r="BI301" s="18"/>
      <c r="BJ301" s="18"/>
      <c r="BK301" s="19"/>
      <c r="BL301" s="22"/>
      <c r="BM301" s="23">
        <f>BM300*$B301</f>
        <v>763000</v>
      </c>
      <c r="BN301" s="18"/>
      <c r="BO301" s="18"/>
      <c r="BP301" s="19"/>
      <c r="BQ301" s="17" t="s">
        <v>63</v>
      </c>
      <c r="BR301" s="1"/>
      <c r="BS301" s="1"/>
      <c r="BT301" s="1"/>
      <c r="BU301" s="1"/>
    </row>
    <row r="302">
      <c r="A302" s="56" t="str">
        <f>B287</f>
        <v>휘경</v>
      </c>
      <c r="B302" s="29">
        <v>0.3</v>
      </c>
      <c r="C302" s="30" t="s">
        <v>57</v>
      </c>
      <c r="D302" s="31"/>
      <c r="E302" s="32">
        <f>E300*$B302</f>
        <v>342000</v>
      </c>
      <c r="F302" s="33"/>
      <c r="G302" s="33"/>
      <c r="H302" s="34"/>
      <c r="I302" s="31"/>
      <c r="J302" s="32">
        <f>J300*$B302</f>
        <v>346655.1</v>
      </c>
      <c r="K302" s="33"/>
      <c r="L302" s="33"/>
      <c r="M302" s="34"/>
      <c r="N302" s="31"/>
      <c r="O302" s="32">
        <f>O300*$B302</f>
        <v>357000</v>
      </c>
      <c r="P302" s="33"/>
      <c r="Q302" s="33"/>
      <c r="R302" s="34"/>
      <c r="S302" s="31"/>
      <c r="T302" s="32">
        <f>T300*$B302</f>
        <v>357000</v>
      </c>
      <c r="U302" s="33"/>
      <c r="V302" s="33"/>
      <c r="W302" s="34"/>
      <c r="X302" s="33"/>
      <c r="Y302" s="32">
        <f>Y300*$B302</f>
        <v>374419.5</v>
      </c>
      <c r="Z302" s="33"/>
      <c r="AA302" s="33"/>
      <c r="AB302" s="34"/>
      <c r="AC302" s="33"/>
      <c r="AD302" s="32">
        <f>AD300*$B302</f>
        <v>492000</v>
      </c>
      <c r="AE302" s="33"/>
      <c r="AF302" s="33"/>
      <c r="AG302" s="34"/>
      <c r="AH302" s="33"/>
      <c r="AI302" s="32">
        <f>AI300*$B302</f>
        <v>327000</v>
      </c>
      <c r="AJ302" s="33"/>
      <c r="AK302" s="33"/>
      <c r="AL302" s="34"/>
      <c r="AM302" s="33"/>
      <c r="AN302" s="32">
        <f>AN300*$B302</f>
        <v>205741.5</v>
      </c>
      <c r="AO302" s="33"/>
      <c r="AP302" s="33"/>
      <c r="AQ302" s="34"/>
      <c r="AR302" s="31"/>
      <c r="AS302" s="32">
        <f>AS300*$B302</f>
        <v>327000</v>
      </c>
      <c r="AT302" s="33"/>
      <c r="AU302" s="33"/>
      <c r="AV302" s="34"/>
      <c r="AW302" s="26">
        <f t="shared" si="9"/>
        <v>2436508.8</v>
      </c>
      <c r="AX302" s="32">
        <f>AX300*$B302</f>
        <v>327000</v>
      </c>
      <c r="AY302" s="33"/>
      <c r="AZ302" s="33"/>
      <c r="BA302" s="34"/>
      <c r="BB302" s="31"/>
      <c r="BC302" s="32">
        <f>BC300*$B302</f>
        <v>327000</v>
      </c>
      <c r="BD302" s="33"/>
      <c r="BE302" s="33"/>
      <c r="BF302" s="34"/>
      <c r="BG302" s="31"/>
      <c r="BH302" s="32">
        <f>BH300*$B302</f>
        <v>327000</v>
      </c>
      <c r="BI302" s="33"/>
      <c r="BJ302" s="33"/>
      <c r="BK302" s="34"/>
      <c r="BL302" s="31"/>
      <c r="BM302" s="32">
        <f>BM300*$B302</f>
        <v>327000</v>
      </c>
      <c r="BN302" s="33"/>
      <c r="BO302" s="33"/>
      <c r="BP302" s="34"/>
      <c r="BQ302" s="17" t="s">
        <v>63</v>
      </c>
      <c r="BR302" s="1"/>
      <c r="BS302" s="1"/>
      <c r="BT302" s="1"/>
      <c r="BU302" s="1"/>
    </row>
    <row r="303">
      <c r="A303" s="1"/>
      <c r="B303" s="10" t="s">
        <v>577</v>
      </c>
      <c r="C303" s="11" t="s">
        <v>320</v>
      </c>
      <c r="D303" s="20" t="s">
        <v>578</v>
      </c>
      <c r="E303" s="23">
        <v>570000.0</v>
      </c>
      <c r="F303" s="35" t="b">
        <v>0</v>
      </c>
      <c r="G303" s="23">
        <v>80000.0</v>
      </c>
      <c r="H303" s="15" t="b">
        <v>0</v>
      </c>
      <c r="I303" s="20" t="s">
        <v>578</v>
      </c>
      <c r="J303" s="23">
        <v>570000.0</v>
      </c>
      <c r="K303" s="35" t="b">
        <v>0</v>
      </c>
      <c r="L303" s="23">
        <v>80000.0</v>
      </c>
      <c r="M303" s="15" t="b">
        <v>0</v>
      </c>
      <c r="N303" s="20" t="s">
        <v>578</v>
      </c>
      <c r="O303" s="23">
        <v>570000.0</v>
      </c>
      <c r="P303" s="35" t="b">
        <v>0</v>
      </c>
      <c r="Q303" s="23">
        <v>80000.0</v>
      </c>
      <c r="R303" s="15" t="b">
        <v>0</v>
      </c>
      <c r="S303" s="20" t="s">
        <v>578</v>
      </c>
      <c r="T303" s="23">
        <v>570000.0</v>
      </c>
      <c r="U303" s="1"/>
      <c r="V303" s="23">
        <v>80000.0</v>
      </c>
      <c r="W303" s="19"/>
      <c r="X303" s="20" t="s">
        <v>578</v>
      </c>
      <c r="Y303" s="23">
        <v>570000.0</v>
      </c>
      <c r="Z303" s="35" t="b">
        <v>0</v>
      </c>
      <c r="AA303" s="23">
        <v>80000.0</v>
      </c>
      <c r="AB303" s="15" t="b">
        <v>0</v>
      </c>
      <c r="AC303" s="20" t="s">
        <v>578</v>
      </c>
      <c r="AD303" s="23">
        <v>570000.0</v>
      </c>
      <c r="AE303" s="35" t="b">
        <v>0</v>
      </c>
      <c r="AF303" s="23">
        <v>80000.0</v>
      </c>
      <c r="AG303" s="15" t="b">
        <v>0</v>
      </c>
      <c r="AH303" s="20" t="s">
        <v>578</v>
      </c>
      <c r="AI303" s="23">
        <v>570000.0</v>
      </c>
      <c r="AJ303" s="35" t="b">
        <v>0</v>
      </c>
      <c r="AK303" s="23">
        <v>80000.0</v>
      </c>
      <c r="AL303" s="15" t="b">
        <v>0</v>
      </c>
      <c r="AM303" s="20" t="s">
        <v>578</v>
      </c>
      <c r="AN303" s="23">
        <v>570000.0</v>
      </c>
      <c r="AO303" s="35" t="b">
        <v>0</v>
      </c>
      <c r="AP303" s="23">
        <v>80000.0</v>
      </c>
      <c r="AQ303" s="15" t="b">
        <v>0</v>
      </c>
      <c r="AR303" s="20" t="s">
        <v>578</v>
      </c>
      <c r="AS303" s="23">
        <v>570000.0</v>
      </c>
      <c r="AT303" s="35" t="b">
        <v>0</v>
      </c>
      <c r="AU303" s="23">
        <v>80000.0</v>
      </c>
      <c r="AV303" s="15" t="b">
        <v>0</v>
      </c>
      <c r="AW303" s="20" t="s">
        <v>578</v>
      </c>
      <c r="AX303" s="23">
        <v>570000.0</v>
      </c>
      <c r="AY303" s="35" t="b">
        <v>0</v>
      </c>
      <c r="AZ303" s="23">
        <v>80000.0</v>
      </c>
      <c r="BA303" s="15" t="b">
        <v>0</v>
      </c>
      <c r="BB303" s="20" t="s">
        <v>578</v>
      </c>
      <c r="BC303" s="23">
        <v>570000.0</v>
      </c>
      <c r="BD303" s="35" t="b">
        <v>0</v>
      </c>
      <c r="BE303" s="23">
        <v>80000.0</v>
      </c>
      <c r="BF303" s="15" t="b">
        <v>0</v>
      </c>
      <c r="BG303" s="20" t="s">
        <v>578</v>
      </c>
      <c r="BH303" s="23">
        <v>570000.0</v>
      </c>
      <c r="BI303" s="35" t="b">
        <v>0</v>
      </c>
      <c r="BJ303" s="23">
        <v>80000.0</v>
      </c>
      <c r="BK303" s="15" t="b">
        <v>0</v>
      </c>
      <c r="BL303" s="20" t="s">
        <v>578</v>
      </c>
      <c r="BM303" s="23">
        <v>570000.0</v>
      </c>
      <c r="BN303" s="35" t="b">
        <v>0</v>
      </c>
      <c r="BO303" s="23">
        <v>80000.0</v>
      </c>
      <c r="BP303" s="15" t="b">
        <v>0</v>
      </c>
      <c r="BQ303" s="17" t="s">
        <v>579</v>
      </c>
      <c r="BR303" s="1"/>
      <c r="BS303" s="1"/>
      <c r="BT303" s="1"/>
      <c r="BU303" s="1"/>
    </row>
    <row r="304">
      <c r="A304" s="1"/>
      <c r="B304" s="10" t="s">
        <v>580</v>
      </c>
      <c r="C304" s="11" t="s">
        <v>322</v>
      </c>
      <c r="D304" s="44" t="s">
        <v>581</v>
      </c>
      <c r="E304" s="23">
        <v>396000.0</v>
      </c>
      <c r="F304" s="35" t="b">
        <v>0</v>
      </c>
      <c r="G304" s="23">
        <v>80000.0</v>
      </c>
      <c r="H304" s="15" t="b">
        <v>0</v>
      </c>
      <c r="I304" s="44" t="s">
        <v>581</v>
      </c>
      <c r="J304" s="23">
        <v>396000.0</v>
      </c>
      <c r="K304" s="35" t="b">
        <v>0</v>
      </c>
      <c r="L304" s="23">
        <v>80000.0</v>
      </c>
      <c r="M304" s="15" t="b">
        <v>0</v>
      </c>
      <c r="N304" s="44" t="s">
        <v>581</v>
      </c>
      <c r="O304" s="23">
        <v>396000.0</v>
      </c>
      <c r="P304" s="35" t="b">
        <v>0</v>
      </c>
      <c r="Q304" s="23">
        <v>80000.0</v>
      </c>
      <c r="R304" s="15" t="b">
        <v>0</v>
      </c>
      <c r="S304" s="44" t="s">
        <v>581</v>
      </c>
      <c r="T304" s="23">
        <v>396000.0</v>
      </c>
      <c r="U304" s="35" t="b">
        <v>0</v>
      </c>
      <c r="V304" s="23">
        <v>80000.0</v>
      </c>
      <c r="W304" s="15" t="b">
        <v>0</v>
      </c>
      <c r="X304" s="44" t="s">
        <v>581</v>
      </c>
      <c r="Y304" s="23">
        <v>396000.0</v>
      </c>
      <c r="Z304" s="35" t="b">
        <v>0</v>
      </c>
      <c r="AA304" s="23">
        <v>80000.0</v>
      </c>
      <c r="AB304" s="15" t="b">
        <v>0</v>
      </c>
      <c r="AC304" s="44" t="s">
        <v>581</v>
      </c>
      <c r="AD304" s="23">
        <v>396000.0</v>
      </c>
      <c r="AE304" s="35" t="b">
        <v>0</v>
      </c>
      <c r="AF304" s="23">
        <v>80000.0</v>
      </c>
      <c r="AG304" s="15" t="b">
        <v>0</v>
      </c>
      <c r="AH304" s="60" t="s">
        <v>581</v>
      </c>
      <c r="AI304" s="23">
        <v>391600.0</v>
      </c>
      <c r="AJ304" s="35" t="b">
        <v>0</v>
      </c>
      <c r="AK304" s="23">
        <v>80000.0</v>
      </c>
      <c r="AL304" s="15" t="b">
        <v>0</v>
      </c>
      <c r="AM304" s="60" t="s">
        <v>581</v>
      </c>
      <c r="AN304" s="23">
        <v>391600.0</v>
      </c>
      <c r="AO304" s="35" t="b">
        <v>0</v>
      </c>
      <c r="AP304" s="23">
        <v>80000.0</v>
      </c>
      <c r="AQ304" s="15" t="b">
        <v>0</v>
      </c>
      <c r="AR304" s="60" t="s">
        <v>581</v>
      </c>
      <c r="AS304" s="23">
        <v>391600.0</v>
      </c>
      <c r="AT304" s="35" t="b">
        <v>0</v>
      </c>
      <c r="AU304" s="23">
        <v>80000.0</v>
      </c>
      <c r="AV304" s="15" t="b">
        <v>0</v>
      </c>
      <c r="AW304" s="60" t="s">
        <v>581</v>
      </c>
      <c r="AX304" s="23">
        <v>391600.0</v>
      </c>
      <c r="AY304" s="35" t="b">
        <v>0</v>
      </c>
      <c r="AZ304" s="23">
        <v>80000.0</v>
      </c>
      <c r="BA304" s="15" t="b">
        <v>0</v>
      </c>
      <c r="BB304" s="60" t="s">
        <v>581</v>
      </c>
      <c r="BC304" s="23">
        <v>391600.0</v>
      </c>
      <c r="BD304" s="35" t="b">
        <v>0</v>
      </c>
      <c r="BE304" s="23">
        <v>80000.0</v>
      </c>
      <c r="BF304" s="15" t="b">
        <v>0</v>
      </c>
      <c r="BG304" s="60" t="s">
        <v>581</v>
      </c>
      <c r="BH304" s="23">
        <v>391600.0</v>
      </c>
      <c r="BI304" s="35" t="b">
        <v>0</v>
      </c>
      <c r="BJ304" s="23">
        <v>80000.0</v>
      </c>
      <c r="BK304" s="15" t="b">
        <v>0</v>
      </c>
      <c r="BL304" s="60" t="s">
        <v>581</v>
      </c>
      <c r="BM304" s="23">
        <v>391600.0</v>
      </c>
      <c r="BN304" s="35" t="b">
        <v>0</v>
      </c>
      <c r="BO304" s="23">
        <v>80000.0</v>
      </c>
      <c r="BP304" s="15" t="b">
        <v>0</v>
      </c>
      <c r="BQ304" s="17" t="s">
        <v>579</v>
      </c>
      <c r="BR304" s="1"/>
      <c r="BS304" s="1"/>
      <c r="BT304" s="1"/>
      <c r="BU304" s="1"/>
    </row>
    <row r="305">
      <c r="A305" s="1"/>
      <c r="B305" s="10" t="s">
        <v>580</v>
      </c>
      <c r="C305" s="11" t="s">
        <v>582</v>
      </c>
      <c r="D305" s="20" t="s">
        <v>583</v>
      </c>
      <c r="E305" s="23">
        <v>73548.0</v>
      </c>
      <c r="F305" s="35" t="b">
        <v>0</v>
      </c>
      <c r="G305" s="23">
        <v>15484.0</v>
      </c>
      <c r="H305" s="15" t="b">
        <v>0</v>
      </c>
      <c r="I305" s="20" t="s">
        <v>584</v>
      </c>
      <c r="J305" s="23">
        <v>68966.0</v>
      </c>
      <c r="K305" s="35" t="b">
        <v>0</v>
      </c>
      <c r="L305" s="23">
        <v>13793.0</v>
      </c>
      <c r="M305" s="15" t="b">
        <v>0</v>
      </c>
      <c r="N305" s="20" t="s">
        <v>585</v>
      </c>
      <c r="O305" s="23">
        <v>400000.0</v>
      </c>
      <c r="P305" s="35" t="b">
        <v>0</v>
      </c>
      <c r="Q305" s="23">
        <v>80000.0</v>
      </c>
      <c r="R305" s="15" t="b">
        <v>0</v>
      </c>
      <c r="S305" s="20" t="s">
        <v>585</v>
      </c>
      <c r="T305" s="23">
        <v>400000.0</v>
      </c>
      <c r="U305" s="1"/>
      <c r="V305" s="23">
        <v>80000.0</v>
      </c>
      <c r="W305" s="19"/>
      <c r="X305" s="20" t="s">
        <v>585</v>
      </c>
      <c r="Y305" s="23">
        <v>400000.0</v>
      </c>
      <c r="Z305" s="35" t="b">
        <v>0</v>
      </c>
      <c r="AA305" s="23">
        <v>80000.0</v>
      </c>
      <c r="AB305" s="15" t="b">
        <v>0</v>
      </c>
      <c r="AC305" s="20" t="s">
        <v>585</v>
      </c>
      <c r="AD305" s="23">
        <v>400000.0</v>
      </c>
      <c r="AE305" s="35" t="b">
        <v>0</v>
      </c>
      <c r="AF305" s="23">
        <v>80000.0</v>
      </c>
      <c r="AG305" s="15" t="b">
        <v>0</v>
      </c>
      <c r="AH305" s="20" t="s">
        <v>585</v>
      </c>
      <c r="AI305" s="23">
        <v>400000.0</v>
      </c>
      <c r="AJ305" s="35" t="b">
        <v>0</v>
      </c>
      <c r="AK305" s="23">
        <v>80000.0</v>
      </c>
      <c r="AL305" s="15" t="b">
        <v>0</v>
      </c>
      <c r="AM305" s="20" t="s">
        <v>586</v>
      </c>
      <c r="AN305" s="23">
        <f>129032+283871</f>
        <v>412903</v>
      </c>
      <c r="AO305" s="35" t="b">
        <v>0</v>
      </c>
      <c r="AP305" s="23">
        <f>25806+56774</f>
        <v>82580</v>
      </c>
      <c r="AQ305" s="15" t="b">
        <v>0</v>
      </c>
      <c r="AR305" s="17" t="s">
        <v>587</v>
      </c>
      <c r="AS305" s="23">
        <v>400000.0</v>
      </c>
      <c r="AT305" s="35" t="b">
        <v>0</v>
      </c>
      <c r="AU305" s="23">
        <v>80000.0</v>
      </c>
      <c r="AV305" s="15" t="b">
        <v>0</v>
      </c>
      <c r="AW305" s="17" t="s">
        <v>587</v>
      </c>
      <c r="AX305" s="23">
        <v>400000.0</v>
      </c>
      <c r="AY305" s="35" t="b">
        <v>0</v>
      </c>
      <c r="AZ305" s="23">
        <v>80000.0</v>
      </c>
      <c r="BA305" s="15" t="b">
        <v>0</v>
      </c>
      <c r="BB305" s="17" t="s">
        <v>587</v>
      </c>
      <c r="BC305" s="23">
        <v>400000.0</v>
      </c>
      <c r="BD305" s="35" t="b">
        <v>0</v>
      </c>
      <c r="BE305" s="23">
        <v>80000.0</v>
      </c>
      <c r="BF305" s="15" t="b">
        <v>0</v>
      </c>
      <c r="BG305" s="17" t="s">
        <v>587</v>
      </c>
      <c r="BH305" s="23">
        <v>400000.0</v>
      </c>
      <c r="BI305" s="35" t="b">
        <v>0</v>
      </c>
      <c r="BJ305" s="23">
        <v>80000.0</v>
      </c>
      <c r="BK305" s="15" t="b">
        <v>0</v>
      </c>
      <c r="BL305" s="17" t="s">
        <v>587</v>
      </c>
      <c r="BM305" s="23">
        <v>400000.0</v>
      </c>
      <c r="BN305" s="35" t="b">
        <v>0</v>
      </c>
      <c r="BO305" s="23">
        <v>80000.0</v>
      </c>
      <c r="BP305" s="15" t="b">
        <v>0</v>
      </c>
      <c r="BQ305" s="17" t="s">
        <v>579</v>
      </c>
      <c r="BR305" s="1"/>
      <c r="BS305" s="1"/>
      <c r="BT305" s="1"/>
      <c r="BU305" s="1"/>
    </row>
    <row r="306">
      <c r="A306" s="1"/>
      <c r="B306" s="10" t="s">
        <v>580</v>
      </c>
      <c r="C306" s="11" t="s">
        <v>323</v>
      </c>
      <c r="D306" s="20" t="s">
        <v>588</v>
      </c>
      <c r="E306" s="23">
        <v>370000.0</v>
      </c>
      <c r="F306" s="35" t="b">
        <v>0</v>
      </c>
      <c r="G306" s="23">
        <v>80000.0</v>
      </c>
      <c r="H306" s="15" t="b">
        <v>0</v>
      </c>
      <c r="I306" s="20" t="s">
        <v>589</v>
      </c>
      <c r="J306" s="23">
        <v>130345.0</v>
      </c>
      <c r="K306" s="35" t="b">
        <v>0</v>
      </c>
      <c r="L306" s="23">
        <v>24828.0</v>
      </c>
      <c r="M306" s="15" t="b">
        <v>0</v>
      </c>
      <c r="N306" s="20" t="s">
        <v>590</v>
      </c>
      <c r="O306" s="23">
        <v>367742.0</v>
      </c>
      <c r="P306" s="35" t="b">
        <v>0</v>
      </c>
      <c r="Q306" s="23">
        <v>77419.0</v>
      </c>
      <c r="R306" s="15" t="b">
        <v>0</v>
      </c>
      <c r="S306" s="20" t="s">
        <v>591</v>
      </c>
      <c r="T306" s="23">
        <v>380000.0</v>
      </c>
      <c r="U306" s="1"/>
      <c r="V306" s="23">
        <v>80000.0</v>
      </c>
      <c r="W306" s="19"/>
      <c r="X306" s="20" t="s">
        <v>591</v>
      </c>
      <c r="Y306" s="23">
        <v>380000.0</v>
      </c>
      <c r="Z306" s="35" t="b">
        <v>0</v>
      </c>
      <c r="AA306" s="23">
        <v>80000.0</v>
      </c>
      <c r="AB306" s="15" t="b">
        <v>0</v>
      </c>
      <c r="AC306" s="20" t="s">
        <v>592</v>
      </c>
      <c r="AD306" s="23">
        <v>380000.0</v>
      </c>
      <c r="AE306" s="35" t="b">
        <v>0</v>
      </c>
      <c r="AF306" s="23">
        <v>80000.0</v>
      </c>
      <c r="AG306" s="15" t="b">
        <v>0</v>
      </c>
      <c r="AH306" s="20" t="s">
        <v>593</v>
      </c>
      <c r="AI306" s="23">
        <f>380000+500000</f>
        <v>880000</v>
      </c>
      <c r="AJ306" s="35" t="b">
        <v>0</v>
      </c>
      <c r="AK306" s="23">
        <v>80000.0</v>
      </c>
      <c r="AL306" s="15" t="b">
        <v>0</v>
      </c>
      <c r="AM306" s="20" t="s">
        <v>594</v>
      </c>
      <c r="AN306" s="23">
        <v>123871.0</v>
      </c>
      <c r="AO306" s="35" t="b">
        <v>0</v>
      </c>
      <c r="AP306" s="23">
        <v>20645.0</v>
      </c>
      <c r="AQ306" s="15" t="b">
        <v>0</v>
      </c>
      <c r="AR306" s="17" t="s">
        <v>595</v>
      </c>
      <c r="AS306" s="23">
        <v>480000.0</v>
      </c>
      <c r="AT306" s="35" t="b">
        <v>0</v>
      </c>
      <c r="AU306" s="23">
        <v>80000.0</v>
      </c>
      <c r="AV306" s="15" t="b">
        <v>0</v>
      </c>
      <c r="AW306" s="17" t="s">
        <v>595</v>
      </c>
      <c r="AX306" s="23">
        <v>480000.0</v>
      </c>
      <c r="AY306" s="35" t="b">
        <v>0</v>
      </c>
      <c r="AZ306" s="23">
        <v>80000.0</v>
      </c>
      <c r="BA306" s="15" t="b">
        <v>0</v>
      </c>
      <c r="BB306" s="17" t="s">
        <v>595</v>
      </c>
      <c r="BC306" s="23">
        <v>480000.0</v>
      </c>
      <c r="BD306" s="35" t="b">
        <v>0</v>
      </c>
      <c r="BE306" s="23">
        <v>80000.0</v>
      </c>
      <c r="BF306" s="15" t="b">
        <v>0</v>
      </c>
      <c r="BG306" s="17" t="s">
        <v>596</v>
      </c>
      <c r="BH306" s="23">
        <v>480000.0</v>
      </c>
      <c r="BI306" s="35" t="b">
        <v>0</v>
      </c>
      <c r="BJ306" s="23">
        <v>80000.0</v>
      </c>
      <c r="BK306" s="15" t="b">
        <v>0</v>
      </c>
      <c r="BL306" s="20" t="s">
        <v>37</v>
      </c>
      <c r="BM306" s="18"/>
      <c r="BN306" s="1"/>
      <c r="BO306" s="18"/>
      <c r="BP306" s="19"/>
      <c r="BQ306" s="17" t="s">
        <v>579</v>
      </c>
      <c r="BR306" s="1"/>
      <c r="BS306" s="1"/>
      <c r="BT306" s="1"/>
      <c r="BU306" s="1"/>
    </row>
    <row r="307">
      <c r="A307" s="1"/>
      <c r="B307" s="10" t="s">
        <v>580</v>
      </c>
      <c r="C307" s="11" t="s">
        <v>349</v>
      </c>
      <c r="D307" s="20" t="s">
        <v>597</v>
      </c>
      <c r="E307" s="23">
        <v>380000.0</v>
      </c>
      <c r="F307" s="35" t="b">
        <v>0</v>
      </c>
      <c r="G307" s="23">
        <v>80000.0</v>
      </c>
      <c r="H307" s="15" t="b">
        <v>0</v>
      </c>
      <c r="I307" s="20" t="s">
        <v>597</v>
      </c>
      <c r="J307" s="23">
        <v>380000.0</v>
      </c>
      <c r="K307" s="35" t="b">
        <v>0</v>
      </c>
      <c r="L307" s="23">
        <v>80000.0</v>
      </c>
      <c r="M307" s="15" t="b">
        <v>0</v>
      </c>
      <c r="N307" s="20" t="s">
        <v>597</v>
      </c>
      <c r="O307" s="23">
        <v>380000.0</v>
      </c>
      <c r="P307" s="35" t="b">
        <v>0</v>
      </c>
      <c r="Q307" s="23">
        <v>80000.0</v>
      </c>
      <c r="R307" s="15" t="b">
        <v>0</v>
      </c>
      <c r="S307" s="20" t="s">
        <v>597</v>
      </c>
      <c r="T307" s="23">
        <v>380000.0</v>
      </c>
      <c r="U307" s="1"/>
      <c r="V307" s="23">
        <v>80000.0</v>
      </c>
      <c r="W307" s="19"/>
      <c r="X307" s="20" t="s">
        <v>597</v>
      </c>
      <c r="Y307" s="23">
        <v>380000.0</v>
      </c>
      <c r="Z307" s="35" t="b">
        <v>0</v>
      </c>
      <c r="AA307" s="23">
        <v>80000.0</v>
      </c>
      <c r="AB307" s="15" t="b">
        <v>0</v>
      </c>
      <c r="AC307" s="20" t="s">
        <v>597</v>
      </c>
      <c r="AD307" s="23">
        <v>380000.0</v>
      </c>
      <c r="AE307" s="35" t="b">
        <v>0</v>
      </c>
      <c r="AF307" s="23">
        <v>80000.0</v>
      </c>
      <c r="AG307" s="15" t="b">
        <v>0</v>
      </c>
      <c r="AH307" s="20" t="s">
        <v>597</v>
      </c>
      <c r="AI307" s="23">
        <v>380000.0</v>
      </c>
      <c r="AJ307" s="35" t="b">
        <v>0</v>
      </c>
      <c r="AK307" s="23">
        <v>80000.0</v>
      </c>
      <c r="AL307" s="15" t="b">
        <v>0</v>
      </c>
      <c r="AM307" s="20" t="s">
        <v>597</v>
      </c>
      <c r="AN307" s="23">
        <v>380000.0</v>
      </c>
      <c r="AO307" s="35" t="b">
        <v>0</v>
      </c>
      <c r="AP307" s="23">
        <v>80000.0</v>
      </c>
      <c r="AQ307" s="15" t="b">
        <v>0</v>
      </c>
      <c r="AR307" s="20" t="s">
        <v>597</v>
      </c>
      <c r="AS307" s="23">
        <v>380000.0</v>
      </c>
      <c r="AT307" s="35" t="b">
        <v>0</v>
      </c>
      <c r="AU307" s="23">
        <v>80000.0</v>
      </c>
      <c r="AV307" s="15" t="b">
        <v>0</v>
      </c>
      <c r="AW307" s="20" t="s">
        <v>597</v>
      </c>
      <c r="AX307" s="23">
        <v>380000.0</v>
      </c>
      <c r="AY307" s="35" t="b">
        <v>0</v>
      </c>
      <c r="AZ307" s="23">
        <v>80000.0</v>
      </c>
      <c r="BA307" s="15" t="b">
        <v>0</v>
      </c>
      <c r="BB307" s="20" t="s">
        <v>597</v>
      </c>
      <c r="BC307" s="23">
        <v>380000.0</v>
      </c>
      <c r="BD307" s="35" t="b">
        <v>0</v>
      </c>
      <c r="BE307" s="23">
        <v>80000.0</v>
      </c>
      <c r="BF307" s="15" t="b">
        <v>0</v>
      </c>
      <c r="BG307" s="20" t="s">
        <v>597</v>
      </c>
      <c r="BH307" s="23">
        <v>380000.0</v>
      </c>
      <c r="BI307" s="35" t="b">
        <v>0</v>
      </c>
      <c r="BJ307" s="23">
        <v>80000.0</v>
      </c>
      <c r="BK307" s="15" t="b">
        <v>0</v>
      </c>
      <c r="BL307" s="20" t="s">
        <v>597</v>
      </c>
      <c r="BM307" s="23">
        <v>380000.0</v>
      </c>
      <c r="BN307" s="35" t="b">
        <v>0</v>
      </c>
      <c r="BO307" s="23">
        <v>80000.0</v>
      </c>
      <c r="BP307" s="15" t="b">
        <v>0</v>
      </c>
      <c r="BQ307" s="17" t="s">
        <v>579</v>
      </c>
      <c r="BR307" s="1"/>
      <c r="BS307" s="1"/>
      <c r="BT307" s="1"/>
      <c r="BU307" s="1"/>
    </row>
    <row r="308">
      <c r="A308" s="1"/>
      <c r="B308" s="21"/>
      <c r="C308" s="11" t="s">
        <v>42</v>
      </c>
      <c r="D308" s="22"/>
      <c r="E308" s="23">
        <f>SUM(E303:E307)</f>
        <v>1789548</v>
      </c>
      <c r="F308" s="18"/>
      <c r="G308" s="23">
        <f>SUM(G303:G307)</f>
        <v>335484</v>
      </c>
      <c r="H308" s="19"/>
      <c r="I308" s="22"/>
      <c r="J308" s="23">
        <f>SUM(J303:J307)</f>
        <v>1545311</v>
      </c>
      <c r="K308" s="18"/>
      <c r="L308" s="23">
        <f>SUM(L303:L307)</f>
        <v>278621</v>
      </c>
      <c r="M308" s="19"/>
      <c r="N308" s="22"/>
      <c r="O308" s="23">
        <f>SUM(O303:O307)</f>
        <v>2113742</v>
      </c>
      <c r="P308" s="18"/>
      <c r="Q308" s="23">
        <f>SUM(Q303:Q307)</f>
        <v>397419</v>
      </c>
      <c r="R308" s="19"/>
      <c r="S308" s="22"/>
      <c r="T308" s="23">
        <f>SUM(T303:T307)</f>
        <v>2126000</v>
      </c>
      <c r="U308" s="18"/>
      <c r="V308" s="23">
        <f>SUM(V303:V307)</f>
        <v>400000</v>
      </c>
      <c r="W308" s="19"/>
      <c r="X308" s="18"/>
      <c r="Y308" s="23">
        <f>SUM(Y303:Y307)</f>
        <v>2126000</v>
      </c>
      <c r="Z308" s="18"/>
      <c r="AA308" s="23">
        <f>SUM(AA303:AA307)</f>
        <v>400000</v>
      </c>
      <c r="AB308" s="19"/>
      <c r="AC308" s="18"/>
      <c r="AD308" s="23">
        <f>SUM(AD303:AD307)</f>
        <v>2126000</v>
      </c>
      <c r="AE308" s="18"/>
      <c r="AF308" s="23">
        <f>SUM(AF303:AF307)</f>
        <v>400000</v>
      </c>
      <c r="AG308" s="19"/>
      <c r="AH308" s="18"/>
      <c r="AI308" s="23">
        <f>SUM(AI303:AI307)</f>
        <v>2621600</v>
      </c>
      <c r="AJ308" s="18"/>
      <c r="AK308" s="23">
        <f>SUM(AK303:AK307)</f>
        <v>400000</v>
      </c>
      <c r="AL308" s="19"/>
      <c r="AM308" s="18"/>
      <c r="AN308" s="23">
        <f>SUM(AN303:AN307)</f>
        <v>1878374</v>
      </c>
      <c r="AO308" s="18"/>
      <c r="AP308" s="23">
        <f>SUM(AP303:AP307)</f>
        <v>343225</v>
      </c>
      <c r="AQ308" s="19"/>
      <c r="AR308" s="22"/>
      <c r="AS308" s="23">
        <f>SUM(AS303:AS307)</f>
        <v>2221600</v>
      </c>
      <c r="AT308" s="18"/>
      <c r="AU308" s="23">
        <f>SUM(AU303:AU307)</f>
        <v>400000</v>
      </c>
      <c r="AV308" s="19"/>
      <c r="AW308" s="22"/>
      <c r="AX308" s="23">
        <f>SUM(AX303:AX307)</f>
        <v>2221600</v>
      </c>
      <c r="AY308" s="18"/>
      <c r="AZ308" s="23">
        <f>SUM(AZ303:AZ307)</f>
        <v>400000</v>
      </c>
      <c r="BA308" s="19"/>
      <c r="BB308" s="22"/>
      <c r="BC308" s="23">
        <f>SUM(BC303:BC307)</f>
        <v>2221600</v>
      </c>
      <c r="BD308" s="18"/>
      <c r="BE308" s="23">
        <f>SUM(BE303:BE307)</f>
        <v>400000</v>
      </c>
      <c r="BF308" s="19"/>
      <c r="BG308" s="22"/>
      <c r="BH308" s="23">
        <f>SUM(BH303:BH307)</f>
        <v>2221600</v>
      </c>
      <c r="BI308" s="18"/>
      <c r="BJ308" s="23">
        <f>SUM(BJ303:BJ307)</f>
        <v>400000</v>
      </c>
      <c r="BK308" s="19"/>
      <c r="BL308" s="22"/>
      <c r="BM308" s="23">
        <f>SUM(BM303:BM307)</f>
        <v>1741600</v>
      </c>
      <c r="BN308" s="18"/>
      <c r="BO308" s="23">
        <f>SUM(BO303:BO307)</f>
        <v>320000</v>
      </c>
      <c r="BP308" s="19"/>
      <c r="BQ308" s="17" t="s">
        <v>579</v>
      </c>
      <c r="BR308" s="1"/>
      <c r="BS308" s="1"/>
      <c r="BT308" s="1"/>
      <c r="BU308" s="1"/>
    </row>
    <row r="309">
      <c r="A309" s="1"/>
      <c r="B309" s="21"/>
      <c r="C309" s="11" t="s">
        <v>43</v>
      </c>
      <c r="D309" s="22"/>
      <c r="E309" s="23">
        <v>1050000.0</v>
      </c>
      <c r="F309" s="18"/>
      <c r="G309" s="18"/>
      <c r="H309" s="19"/>
      <c r="I309" s="22"/>
      <c r="J309" s="23">
        <v>1050000.0</v>
      </c>
      <c r="K309" s="18"/>
      <c r="L309" s="18"/>
      <c r="M309" s="19"/>
      <c r="N309" s="22"/>
      <c r="O309" s="23">
        <v>1050000.0</v>
      </c>
      <c r="P309" s="18"/>
      <c r="Q309" s="18"/>
      <c r="R309" s="19"/>
      <c r="S309" s="22"/>
      <c r="T309" s="23">
        <v>1050000.0</v>
      </c>
      <c r="U309" s="18"/>
      <c r="V309" s="18"/>
      <c r="W309" s="19"/>
      <c r="X309" s="18"/>
      <c r="Y309" s="23">
        <v>1050000.0</v>
      </c>
      <c r="Z309" s="18"/>
      <c r="AA309" s="18"/>
      <c r="AB309" s="19"/>
      <c r="AC309" s="18"/>
      <c r="AD309" s="23">
        <v>1050000.0</v>
      </c>
      <c r="AE309" s="18"/>
      <c r="AF309" s="18"/>
      <c r="AG309" s="19"/>
      <c r="AH309" s="18"/>
      <c r="AI309" s="23">
        <v>1050000.0</v>
      </c>
      <c r="AJ309" s="18"/>
      <c r="AK309" s="18"/>
      <c r="AL309" s="19"/>
      <c r="AM309" s="18"/>
      <c r="AN309" s="23">
        <v>1050000.0</v>
      </c>
      <c r="AO309" s="18"/>
      <c r="AP309" s="18"/>
      <c r="AQ309" s="19"/>
      <c r="AR309" s="22"/>
      <c r="AS309" s="23">
        <v>1050000.0</v>
      </c>
      <c r="AT309" s="18"/>
      <c r="AU309" s="18"/>
      <c r="AV309" s="19"/>
      <c r="AW309" s="22"/>
      <c r="AX309" s="23">
        <v>1050000.0</v>
      </c>
      <c r="AY309" s="18"/>
      <c r="AZ309" s="18"/>
      <c r="BA309" s="19"/>
      <c r="BB309" s="22"/>
      <c r="BC309" s="23">
        <v>1050000.0</v>
      </c>
      <c r="BD309" s="18"/>
      <c r="BE309" s="18"/>
      <c r="BF309" s="19"/>
      <c r="BG309" s="22"/>
      <c r="BH309" s="23">
        <v>1050000.0</v>
      </c>
      <c r="BI309" s="18"/>
      <c r="BJ309" s="18"/>
      <c r="BK309" s="19"/>
      <c r="BL309" s="22"/>
      <c r="BM309" s="23">
        <v>1050000.0</v>
      </c>
      <c r="BN309" s="18"/>
      <c r="BO309" s="18"/>
      <c r="BP309" s="19"/>
      <c r="BQ309" s="17" t="s">
        <v>579</v>
      </c>
      <c r="BR309" s="1"/>
      <c r="BS309" s="1"/>
      <c r="BT309" s="1"/>
      <c r="BU309" s="1"/>
    </row>
    <row r="310">
      <c r="A310" s="1"/>
      <c r="B310" s="10" t="s">
        <v>95</v>
      </c>
      <c r="C310" s="11" t="s">
        <v>45</v>
      </c>
      <c r="D310" s="22"/>
      <c r="E310" s="23">
        <v>50000.0</v>
      </c>
      <c r="F310" s="18"/>
      <c r="G310" s="18"/>
      <c r="H310" s="19"/>
      <c r="I310" s="22"/>
      <c r="J310" s="23">
        <v>50000.0</v>
      </c>
      <c r="K310" s="18"/>
      <c r="L310" s="18"/>
      <c r="M310" s="19"/>
      <c r="N310" s="22"/>
      <c r="O310" s="23">
        <v>50000.0</v>
      </c>
      <c r="P310" s="18"/>
      <c r="Q310" s="18"/>
      <c r="R310" s="19"/>
      <c r="S310" s="22"/>
      <c r="T310" s="23">
        <v>50000.0</v>
      </c>
      <c r="U310" s="18"/>
      <c r="V310" s="18"/>
      <c r="W310" s="19"/>
      <c r="X310" s="18"/>
      <c r="Y310" s="23">
        <v>50000.0</v>
      </c>
      <c r="Z310" s="18"/>
      <c r="AA310" s="18"/>
      <c r="AB310" s="19"/>
      <c r="AC310" s="18"/>
      <c r="AD310" s="23">
        <v>50000.0</v>
      </c>
      <c r="AE310" s="18"/>
      <c r="AF310" s="18"/>
      <c r="AG310" s="19"/>
      <c r="AH310" s="18"/>
      <c r="AI310" s="23">
        <v>50000.0</v>
      </c>
      <c r="AJ310" s="18"/>
      <c r="AK310" s="18"/>
      <c r="AL310" s="19"/>
      <c r="AM310" s="18"/>
      <c r="AN310" s="23">
        <v>50000.0</v>
      </c>
      <c r="AO310" s="18"/>
      <c r="AP310" s="18"/>
      <c r="AQ310" s="19"/>
      <c r="AR310" s="22"/>
      <c r="AS310" s="23">
        <v>50000.0</v>
      </c>
      <c r="AT310" s="18"/>
      <c r="AU310" s="18"/>
      <c r="AV310" s="19"/>
      <c r="AW310" s="22"/>
      <c r="AX310" s="23">
        <v>50000.0</v>
      </c>
      <c r="AY310" s="18"/>
      <c r="AZ310" s="18"/>
      <c r="BA310" s="19"/>
      <c r="BB310" s="22"/>
      <c r="BC310" s="23">
        <v>50000.0</v>
      </c>
      <c r="BD310" s="18"/>
      <c r="BE310" s="18"/>
      <c r="BF310" s="19"/>
      <c r="BG310" s="22"/>
      <c r="BH310" s="23">
        <v>50000.0</v>
      </c>
      <c r="BI310" s="18"/>
      <c r="BJ310" s="18"/>
      <c r="BK310" s="19"/>
      <c r="BL310" s="22"/>
      <c r="BM310" s="23">
        <v>50000.0</v>
      </c>
      <c r="BN310" s="18"/>
      <c r="BO310" s="18"/>
      <c r="BP310" s="19"/>
      <c r="BQ310" s="17" t="s">
        <v>579</v>
      </c>
      <c r="BR310" s="1"/>
      <c r="BS310" s="1"/>
      <c r="BT310" s="1"/>
      <c r="BU310" s="1"/>
    </row>
    <row r="311">
      <c r="A311" s="1"/>
      <c r="B311" s="10" t="s">
        <v>95</v>
      </c>
      <c r="C311" s="11" t="s">
        <v>47</v>
      </c>
      <c r="D311" s="22"/>
      <c r="E311" s="18"/>
      <c r="F311" s="18"/>
      <c r="G311" s="18"/>
      <c r="H311" s="19"/>
      <c r="I311" s="22"/>
      <c r="J311" s="18"/>
      <c r="K311" s="18"/>
      <c r="L311" s="18"/>
      <c r="M311" s="19"/>
      <c r="N311" s="22"/>
      <c r="O311" s="18"/>
      <c r="P311" s="18"/>
      <c r="Q311" s="18"/>
      <c r="R311" s="19"/>
      <c r="S311" s="22"/>
      <c r="T311" s="18"/>
      <c r="U311" s="18"/>
      <c r="V311" s="18"/>
      <c r="W311" s="19"/>
      <c r="X311" s="18"/>
      <c r="Y311" s="18"/>
      <c r="Z311" s="18"/>
      <c r="AA311" s="18"/>
      <c r="AB311" s="19"/>
      <c r="AC311" s="18"/>
      <c r="AD311" s="18"/>
      <c r="AE311" s="18"/>
      <c r="AF311" s="18"/>
      <c r="AG311" s="19"/>
      <c r="AH311" s="18"/>
      <c r="AI311" s="18"/>
      <c r="AJ311" s="18"/>
      <c r="AK311" s="18"/>
      <c r="AL311" s="19"/>
      <c r="AM311" s="18"/>
      <c r="AN311" s="18"/>
      <c r="AO311" s="18"/>
      <c r="AP311" s="18"/>
      <c r="AQ311" s="19"/>
      <c r="AR311" s="22"/>
      <c r="AS311" s="18"/>
      <c r="AT311" s="18"/>
      <c r="AU311" s="18"/>
      <c r="AV311" s="19"/>
      <c r="AW311" s="22"/>
      <c r="AX311" s="18"/>
      <c r="AY311" s="18"/>
      <c r="AZ311" s="18"/>
      <c r="BA311" s="19"/>
      <c r="BB311" s="22"/>
      <c r="BC311" s="18"/>
      <c r="BD311" s="18"/>
      <c r="BE311" s="18"/>
      <c r="BF311" s="19"/>
      <c r="BG311" s="22"/>
      <c r="BH311" s="18"/>
      <c r="BI311" s="18"/>
      <c r="BJ311" s="18"/>
      <c r="BK311" s="19"/>
      <c r="BL311" s="22"/>
      <c r="BM311" s="18"/>
      <c r="BN311" s="18"/>
      <c r="BO311" s="18"/>
      <c r="BP311" s="19"/>
      <c r="BQ311" s="17" t="s">
        <v>579</v>
      </c>
      <c r="BR311" s="1"/>
      <c r="BS311" s="1"/>
      <c r="BT311" s="1"/>
      <c r="BU311" s="1"/>
    </row>
    <row r="312">
      <c r="A312" s="1"/>
      <c r="B312" s="10" t="s">
        <v>95</v>
      </c>
      <c r="C312" s="11" t="s">
        <v>49</v>
      </c>
      <c r="D312" s="22"/>
      <c r="E312" s="18"/>
      <c r="F312" s="18"/>
      <c r="G312" s="18"/>
      <c r="H312" s="19"/>
      <c r="I312" s="22"/>
      <c r="J312" s="18"/>
      <c r="K312" s="18"/>
      <c r="L312" s="18"/>
      <c r="M312" s="19"/>
      <c r="N312" s="22"/>
      <c r="O312" s="18"/>
      <c r="P312" s="18"/>
      <c r="Q312" s="18"/>
      <c r="R312" s="19"/>
      <c r="S312" s="22"/>
      <c r="T312" s="18"/>
      <c r="U312" s="18"/>
      <c r="V312" s="18"/>
      <c r="W312" s="19"/>
      <c r="X312" s="18"/>
      <c r="Y312" s="18"/>
      <c r="Z312" s="18"/>
      <c r="AA312" s="18"/>
      <c r="AB312" s="19"/>
      <c r="AC312" s="18"/>
      <c r="AD312" s="18"/>
      <c r="AE312" s="18"/>
      <c r="AF312" s="18"/>
      <c r="AG312" s="19"/>
      <c r="AH312" s="18"/>
      <c r="AI312" s="18"/>
      <c r="AJ312" s="18"/>
      <c r="AK312" s="18"/>
      <c r="AL312" s="19"/>
      <c r="AM312" s="18"/>
      <c r="AN312" s="18"/>
      <c r="AO312" s="18"/>
      <c r="AP312" s="18"/>
      <c r="AQ312" s="19"/>
      <c r="AR312" s="22"/>
      <c r="AS312" s="18"/>
      <c r="AT312" s="18"/>
      <c r="AU312" s="18"/>
      <c r="AV312" s="19"/>
      <c r="AW312" s="22"/>
      <c r="AX312" s="18"/>
      <c r="AY312" s="18"/>
      <c r="AZ312" s="18"/>
      <c r="BA312" s="19"/>
      <c r="BB312" s="22"/>
      <c r="BC312" s="18"/>
      <c r="BD312" s="18"/>
      <c r="BE312" s="18"/>
      <c r="BF312" s="19"/>
      <c r="BG312" s="22"/>
      <c r="BH312" s="18"/>
      <c r="BI312" s="18"/>
      <c r="BJ312" s="18"/>
      <c r="BK312" s="19"/>
      <c r="BL312" s="22"/>
      <c r="BM312" s="18"/>
      <c r="BN312" s="18"/>
      <c r="BO312" s="18"/>
      <c r="BP312" s="19"/>
      <c r="BQ312" s="17" t="s">
        <v>579</v>
      </c>
      <c r="BR312" s="1"/>
      <c r="BS312" s="1"/>
      <c r="BT312" s="1"/>
      <c r="BU312" s="1"/>
    </row>
    <row r="313">
      <c r="A313" s="1"/>
      <c r="B313" s="10" t="s">
        <v>95</v>
      </c>
      <c r="C313" s="11" t="s">
        <v>51</v>
      </c>
      <c r="D313" s="22"/>
      <c r="E313" s="18"/>
      <c r="F313" s="18"/>
      <c r="G313" s="18"/>
      <c r="H313" s="19"/>
      <c r="I313" s="22"/>
      <c r="J313" s="18"/>
      <c r="K313" s="18"/>
      <c r="L313" s="18"/>
      <c r="M313" s="19"/>
      <c r="N313" s="22"/>
      <c r="O313" s="18"/>
      <c r="P313" s="18"/>
      <c r="Q313" s="18"/>
      <c r="R313" s="19"/>
      <c r="S313" s="22"/>
      <c r="T313" s="18"/>
      <c r="U313" s="18"/>
      <c r="V313" s="18"/>
      <c r="W313" s="19"/>
      <c r="X313" s="18"/>
      <c r="Y313" s="18"/>
      <c r="Z313" s="18"/>
      <c r="AA313" s="18"/>
      <c r="AB313" s="19"/>
      <c r="AC313" s="18"/>
      <c r="AD313" s="18"/>
      <c r="AE313" s="18"/>
      <c r="AF313" s="18"/>
      <c r="AG313" s="19"/>
      <c r="AH313" s="18"/>
      <c r="AI313" s="18"/>
      <c r="AJ313" s="18"/>
      <c r="AK313" s="18"/>
      <c r="AL313" s="19"/>
      <c r="AM313" s="18"/>
      <c r="AN313" s="18"/>
      <c r="AO313" s="18"/>
      <c r="AP313" s="18"/>
      <c r="AQ313" s="19"/>
      <c r="AR313" s="22"/>
      <c r="AS313" s="18"/>
      <c r="AT313" s="18"/>
      <c r="AU313" s="18"/>
      <c r="AV313" s="19"/>
      <c r="AW313" s="22"/>
      <c r="AX313" s="18"/>
      <c r="AY313" s="18"/>
      <c r="AZ313" s="18"/>
      <c r="BA313" s="19"/>
      <c r="BB313" s="22"/>
      <c r="BC313" s="18"/>
      <c r="BD313" s="18"/>
      <c r="BE313" s="18"/>
      <c r="BF313" s="19"/>
      <c r="BG313" s="22"/>
      <c r="BH313" s="18"/>
      <c r="BI313" s="18"/>
      <c r="BJ313" s="18"/>
      <c r="BK313" s="19"/>
      <c r="BL313" s="22"/>
      <c r="BM313" s="18"/>
      <c r="BN313" s="18"/>
      <c r="BO313" s="18"/>
      <c r="BP313" s="19"/>
      <c r="BQ313" s="17" t="s">
        <v>579</v>
      </c>
      <c r="BR313" s="1"/>
      <c r="BS313" s="1"/>
      <c r="BT313" s="1"/>
      <c r="BU313" s="1"/>
    </row>
    <row r="314">
      <c r="A314" s="1"/>
      <c r="B314" s="10" t="s">
        <v>95</v>
      </c>
      <c r="C314" s="11" t="s">
        <v>52</v>
      </c>
      <c r="D314" s="22"/>
      <c r="E314" s="18"/>
      <c r="F314" s="18"/>
      <c r="G314" s="18"/>
      <c r="H314" s="19"/>
      <c r="I314" s="22"/>
      <c r="J314" s="18"/>
      <c r="K314" s="18"/>
      <c r="L314" s="18"/>
      <c r="M314" s="19"/>
      <c r="N314" s="22"/>
      <c r="O314" s="18"/>
      <c r="P314" s="18"/>
      <c r="Q314" s="18"/>
      <c r="R314" s="19"/>
      <c r="S314" s="22"/>
      <c r="T314" s="18"/>
      <c r="U314" s="18"/>
      <c r="V314" s="18"/>
      <c r="W314" s="19"/>
      <c r="X314" s="18"/>
      <c r="Y314" s="18"/>
      <c r="Z314" s="18"/>
      <c r="AA314" s="18"/>
      <c r="AB314" s="19"/>
      <c r="AC314" s="18"/>
      <c r="AD314" s="18"/>
      <c r="AE314" s="18"/>
      <c r="AF314" s="18"/>
      <c r="AG314" s="19"/>
      <c r="AH314" s="18"/>
      <c r="AI314" s="18"/>
      <c r="AJ314" s="18"/>
      <c r="AK314" s="18"/>
      <c r="AL314" s="19"/>
      <c r="AM314" s="18"/>
      <c r="AN314" s="18"/>
      <c r="AO314" s="18"/>
      <c r="AP314" s="18"/>
      <c r="AQ314" s="19"/>
      <c r="AR314" s="22"/>
      <c r="AS314" s="18"/>
      <c r="AT314" s="18"/>
      <c r="AU314" s="18"/>
      <c r="AV314" s="19"/>
      <c r="AW314" s="22"/>
      <c r="AX314" s="18"/>
      <c r="AY314" s="18"/>
      <c r="AZ314" s="18"/>
      <c r="BA314" s="19"/>
      <c r="BB314" s="22"/>
      <c r="BC314" s="18"/>
      <c r="BD314" s="18"/>
      <c r="BE314" s="18"/>
      <c r="BF314" s="19"/>
      <c r="BG314" s="22"/>
      <c r="BH314" s="18"/>
      <c r="BI314" s="18"/>
      <c r="BJ314" s="18"/>
      <c r="BK314" s="19"/>
      <c r="BL314" s="22"/>
      <c r="BM314" s="18"/>
      <c r="BN314" s="18"/>
      <c r="BO314" s="18"/>
      <c r="BP314" s="19"/>
      <c r="BQ314" s="17" t="s">
        <v>579</v>
      </c>
      <c r="BR314" s="1"/>
      <c r="BS314" s="1"/>
      <c r="BT314" s="1"/>
      <c r="BU314" s="1"/>
    </row>
    <row r="315">
      <c r="A315" s="1"/>
      <c r="B315" s="10" t="s">
        <v>95</v>
      </c>
      <c r="C315" s="11" t="s">
        <v>53</v>
      </c>
      <c r="D315" s="22"/>
      <c r="E315" s="18"/>
      <c r="F315" s="18"/>
      <c r="G315" s="18"/>
      <c r="H315" s="19"/>
      <c r="I315" s="22"/>
      <c r="J315" s="18"/>
      <c r="K315" s="18"/>
      <c r="L315" s="18"/>
      <c r="M315" s="19"/>
      <c r="N315" s="22"/>
      <c r="O315" s="18"/>
      <c r="P315" s="18"/>
      <c r="Q315" s="18"/>
      <c r="R315" s="19"/>
      <c r="S315" s="22"/>
      <c r="T315" s="18"/>
      <c r="U315" s="18"/>
      <c r="V315" s="18"/>
      <c r="W315" s="19"/>
      <c r="X315" s="18"/>
      <c r="Y315" s="18"/>
      <c r="Z315" s="18"/>
      <c r="AA315" s="18"/>
      <c r="AB315" s="19"/>
      <c r="AC315" s="18"/>
      <c r="AD315" s="18"/>
      <c r="AE315" s="18"/>
      <c r="AF315" s="18"/>
      <c r="AG315" s="19"/>
      <c r="AH315" s="18"/>
      <c r="AI315" s="18"/>
      <c r="AJ315" s="18"/>
      <c r="AK315" s="18"/>
      <c r="AL315" s="19"/>
      <c r="AM315" s="18"/>
      <c r="AN315" s="18"/>
      <c r="AO315" s="18"/>
      <c r="AP315" s="18"/>
      <c r="AQ315" s="19"/>
      <c r="AR315" s="22"/>
      <c r="AS315" s="18"/>
      <c r="AT315" s="18"/>
      <c r="AU315" s="18"/>
      <c r="AV315" s="19"/>
      <c r="AW315" s="22"/>
      <c r="AX315" s="18"/>
      <c r="AY315" s="18"/>
      <c r="AZ315" s="18"/>
      <c r="BA315" s="19"/>
      <c r="BB315" s="22"/>
      <c r="BC315" s="18"/>
      <c r="BD315" s="18"/>
      <c r="BE315" s="18"/>
      <c r="BF315" s="19"/>
      <c r="BG315" s="22"/>
      <c r="BH315" s="18"/>
      <c r="BI315" s="18"/>
      <c r="BJ315" s="18"/>
      <c r="BK315" s="19"/>
      <c r="BL315" s="22"/>
      <c r="BM315" s="18"/>
      <c r="BN315" s="18"/>
      <c r="BO315" s="18"/>
      <c r="BP315" s="19"/>
      <c r="BQ315" s="17" t="s">
        <v>579</v>
      </c>
      <c r="BR315" s="1"/>
      <c r="BS315" s="1"/>
      <c r="BT315" s="1"/>
      <c r="BU315" s="1"/>
    </row>
    <row r="316">
      <c r="A316" s="1"/>
      <c r="B316" s="21"/>
      <c r="C316" s="11" t="s">
        <v>54</v>
      </c>
      <c r="D316" s="22"/>
      <c r="E316" s="18"/>
      <c r="F316" s="18"/>
      <c r="G316" s="23">
        <f>SUMIFS('지출'!$G$3:$G1000,'지출'!$J$3:$J1000,G$1,'지출'!$C$3:$C1000,"회기")</f>
        <v>0</v>
      </c>
      <c r="H316" s="19"/>
      <c r="I316" s="22"/>
      <c r="J316" s="18"/>
      <c r="K316" s="18"/>
      <c r="L316" s="23">
        <f>SUMIFS('지출'!$G$3:$G1000,'지출'!$J$3:$J1000,L$1,'지출'!$C$3:$C1000,"회기")</f>
        <v>0</v>
      </c>
      <c r="M316" s="24"/>
      <c r="N316" s="18"/>
      <c r="O316" s="18"/>
      <c r="P316" s="18"/>
      <c r="Q316" s="23">
        <f>SUMIFS('지출'!$G$3:$G1000,'지출'!$J$3:$J1000,Q$1,'지출'!$C$3:$C1000,"회기")</f>
        <v>0</v>
      </c>
      <c r="R316" s="24"/>
      <c r="S316" s="18"/>
      <c r="T316" s="18"/>
      <c r="U316" s="18"/>
      <c r="V316" s="23">
        <f>SUMIFS('지출'!$G$3:$G1000,'지출'!$J$3:$J1000,V$1,'지출'!$C$3:$C1000,"회기")</f>
        <v>0</v>
      </c>
      <c r="W316" s="24"/>
      <c r="X316" s="18"/>
      <c r="Y316" s="18"/>
      <c r="Z316" s="18"/>
      <c r="AA316" s="23">
        <f>SUMIFS('지출'!$G$3:$G1000,'지출'!$J$3:$J1000,AA$1,'지출'!$C$3:$C1000,"회기")</f>
        <v>0</v>
      </c>
      <c r="AB316" s="24"/>
      <c r="AC316" s="18"/>
      <c r="AD316" s="18"/>
      <c r="AE316" s="18"/>
      <c r="AF316" s="23">
        <f>SUMIFS('지출'!$G$3:$G1000,'지출'!$J$3:$J1000,AF$1,'지출'!$C$3:$C1000,"회기")</f>
        <v>0</v>
      </c>
      <c r="AG316" s="24"/>
      <c r="AH316" s="18"/>
      <c r="AI316" s="18"/>
      <c r="AJ316" s="18"/>
      <c r="AK316" s="23">
        <f>SUMIFS('지출'!$G$3:$G1000,'지출'!$J$3:$J1000,AK$1,'지출'!$C$3:$C1000,"회기")</f>
        <v>0</v>
      </c>
      <c r="AL316" s="24"/>
      <c r="AM316" s="18"/>
      <c r="AN316" s="18"/>
      <c r="AO316" s="18"/>
      <c r="AP316" s="23">
        <f>SUMIFS('지출'!$G$3:$G1000,'지출'!$J$3:$J1000,AP$1,'지출'!$C$3:$C1000,"회기")</f>
        <v>0</v>
      </c>
      <c r="AQ316" s="24"/>
      <c r="AR316" s="18"/>
      <c r="AS316" s="18"/>
      <c r="AT316" s="18"/>
      <c r="AU316" s="23">
        <f>SUMIFS('지출'!$G$3:$G1000,'지출'!$J$3:$J1000,AU$1,'지출'!$C$3:$C1000,"회기")</f>
        <v>0</v>
      </c>
      <c r="AV316" s="24"/>
      <c r="AW316" s="18"/>
      <c r="AX316" s="18"/>
      <c r="AY316" s="18"/>
      <c r="AZ316" s="23">
        <f>SUMIFS('지출'!$G$3:$G1000,'지출'!$J$3:$J1000,AZ$1,'지출'!$C$3:$C1000,"회기")</f>
        <v>0</v>
      </c>
      <c r="BA316" s="24"/>
      <c r="BB316" s="18"/>
      <c r="BC316" s="18"/>
      <c r="BD316" s="18"/>
      <c r="BE316" s="23">
        <f>SUMIFS('지출'!$G$3:$G1000,'지출'!$J$3:$J1000,BE$1,'지출'!$C$3:$C1000,"회기")</f>
        <v>0</v>
      </c>
      <c r="BF316" s="24"/>
      <c r="BG316" s="18"/>
      <c r="BH316" s="18"/>
      <c r="BI316" s="18"/>
      <c r="BJ316" s="23">
        <f>SUMIFS('지출'!$G$3:$G1000,'지출'!$J$3:$J1000,BJ$1,'지출'!$C$3:$C1000,"회기")</f>
        <v>0</v>
      </c>
      <c r="BK316" s="19"/>
      <c r="BL316" s="18"/>
      <c r="BM316" s="18"/>
      <c r="BN316" s="18"/>
      <c r="BO316" s="23">
        <f>SUMIFS('지출'!$G$3:$G1000,'지출'!$J$3:$J1000,BO$1,'지출'!$C$3:$C1000,"회기")</f>
        <v>0</v>
      </c>
      <c r="BP316" s="19"/>
      <c r="BQ316" s="17" t="s">
        <v>579</v>
      </c>
      <c r="BR316" s="1"/>
      <c r="BS316" s="1"/>
      <c r="BT316" s="1"/>
      <c r="BU316" s="1"/>
    </row>
    <row r="317">
      <c r="A317" s="1"/>
      <c r="B317" s="21"/>
      <c r="C317" s="11" t="s">
        <v>56</v>
      </c>
      <c r="D317" s="22"/>
      <c r="E317" s="23">
        <f>E308-(SUM(E309:E316))</f>
        <v>689548</v>
      </c>
      <c r="F317" s="18"/>
      <c r="G317" s="23">
        <f>G308-(SUM(G309:G316))</f>
        <v>335484</v>
      </c>
      <c r="H317" s="19"/>
      <c r="I317" s="22"/>
      <c r="J317" s="23">
        <f>J308-(SUM(J309:J316))</f>
        <v>445311</v>
      </c>
      <c r="K317" s="18"/>
      <c r="L317" s="23">
        <f>L308-(SUM(L309:L316))</f>
        <v>278621</v>
      </c>
      <c r="M317" s="19"/>
      <c r="N317" s="22"/>
      <c r="O317" s="23">
        <f>O308-(SUM(O309:O316))</f>
        <v>1013742</v>
      </c>
      <c r="P317" s="18"/>
      <c r="Q317" s="23">
        <f>Q308-(SUM(Q309:Q316))</f>
        <v>397419</v>
      </c>
      <c r="R317" s="19"/>
      <c r="S317" s="22"/>
      <c r="T317" s="23">
        <f>T308-(SUM(T309:T316))</f>
        <v>1026000</v>
      </c>
      <c r="U317" s="18"/>
      <c r="V317" s="23">
        <f>V308-(SUM(V309:V316))</f>
        <v>400000</v>
      </c>
      <c r="W317" s="19"/>
      <c r="X317" s="18"/>
      <c r="Y317" s="23">
        <f>Y308-(SUM(Y309:Y316))</f>
        <v>1026000</v>
      </c>
      <c r="Z317" s="18"/>
      <c r="AA317" s="23">
        <f>AA308-(SUM(AA309:AA316))</f>
        <v>400000</v>
      </c>
      <c r="AB317" s="19"/>
      <c r="AC317" s="18"/>
      <c r="AD317" s="23">
        <f>AD308-(SUM(AD309:AD316))</f>
        <v>1026000</v>
      </c>
      <c r="AE317" s="18"/>
      <c r="AF317" s="23">
        <f>AF308-(SUM(AF309:AF316))</f>
        <v>400000</v>
      </c>
      <c r="AG317" s="19"/>
      <c r="AH317" s="18"/>
      <c r="AI317" s="23">
        <f>AI308-(SUM(AI309:AI316))</f>
        <v>1521600</v>
      </c>
      <c r="AJ317" s="18"/>
      <c r="AK317" s="23">
        <f>AK308-(SUM(AK309:AK316))</f>
        <v>400000</v>
      </c>
      <c r="AL317" s="19"/>
      <c r="AM317" s="18"/>
      <c r="AN317" s="23">
        <f>AN308-(SUM(AN309:AN316))</f>
        <v>778374</v>
      </c>
      <c r="AO317" s="18"/>
      <c r="AP317" s="23">
        <f>AP308-(SUM(AP309:AP316))</f>
        <v>343225</v>
      </c>
      <c r="AQ317" s="19"/>
      <c r="AR317" s="22"/>
      <c r="AS317" s="23">
        <f>AS308-(SUM(AS309:AS316))</f>
        <v>1121600</v>
      </c>
      <c r="AT317" s="18"/>
      <c r="AU317" s="23">
        <f>AU308-(SUM(AU309:AU316))</f>
        <v>400000</v>
      </c>
      <c r="AV317" s="19"/>
      <c r="AW317" s="22"/>
      <c r="AX317" s="23">
        <f>AX308-(SUM(AX309:AX316))</f>
        <v>1121600</v>
      </c>
      <c r="AY317" s="18"/>
      <c r="AZ317" s="23">
        <f>AZ308-(SUM(AZ309:AZ316))</f>
        <v>400000</v>
      </c>
      <c r="BA317" s="19"/>
      <c r="BB317" s="22"/>
      <c r="BC317" s="23">
        <f>BC308-(SUM(BC309:BC316))</f>
        <v>1121600</v>
      </c>
      <c r="BD317" s="18"/>
      <c r="BE317" s="23">
        <f>BE308-(SUM(BE309:BE316))</f>
        <v>400000</v>
      </c>
      <c r="BF317" s="19"/>
      <c r="BG317" s="22"/>
      <c r="BH317" s="23">
        <f>BH308-(SUM(BH309:BH316))</f>
        <v>1121600</v>
      </c>
      <c r="BI317" s="18"/>
      <c r="BJ317" s="23">
        <f>BJ308-(SUM(BJ309:BJ316))</f>
        <v>400000</v>
      </c>
      <c r="BK317" s="19"/>
      <c r="BL317" s="22"/>
      <c r="BM317" s="23">
        <f>BM308-(SUM(BM309:BM316))</f>
        <v>641600</v>
      </c>
      <c r="BN317" s="18"/>
      <c r="BO317" s="23">
        <f>BO308-(SUM(BO309:BO316))</f>
        <v>320000</v>
      </c>
      <c r="BP317" s="19"/>
      <c r="BQ317" s="17" t="s">
        <v>579</v>
      </c>
      <c r="BR317" s="1"/>
      <c r="BS317" s="1"/>
      <c r="BT317" s="1"/>
      <c r="BU317" s="1"/>
    </row>
    <row r="318">
      <c r="A318" s="1"/>
      <c r="B318" s="27">
        <v>0.7</v>
      </c>
      <c r="C318" s="11" t="s">
        <v>26</v>
      </c>
      <c r="D318" s="22"/>
      <c r="E318" s="23">
        <f>E317*$B318</f>
        <v>482683.6</v>
      </c>
      <c r="F318" s="18"/>
      <c r="G318" s="18"/>
      <c r="H318" s="19"/>
      <c r="I318" s="22"/>
      <c r="J318" s="23">
        <f>J317*$B318</f>
        <v>311717.7</v>
      </c>
      <c r="K318" s="18"/>
      <c r="L318" s="18"/>
      <c r="M318" s="19"/>
      <c r="N318" s="22"/>
      <c r="O318" s="23">
        <f>O317*$B318</f>
        <v>709619.4</v>
      </c>
      <c r="P318" s="18"/>
      <c r="Q318" s="18"/>
      <c r="R318" s="19"/>
      <c r="S318" s="22"/>
      <c r="T318" s="23">
        <f>T317*$B318</f>
        <v>718200</v>
      </c>
      <c r="U318" s="18"/>
      <c r="V318" s="18"/>
      <c r="W318" s="19"/>
      <c r="X318" s="18"/>
      <c r="Y318" s="23">
        <f>Y317*$B318</f>
        <v>718200</v>
      </c>
      <c r="Z318" s="18"/>
      <c r="AA318" s="18"/>
      <c r="AB318" s="19"/>
      <c r="AC318" s="18"/>
      <c r="AD318" s="23">
        <f>AD317*$B318</f>
        <v>718200</v>
      </c>
      <c r="AE318" s="18"/>
      <c r="AF318" s="18"/>
      <c r="AG318" s="19"/>
      <c r="AH318" s="18"/>
      <c r="AI318" s="23">
        <f>AI317*$B318</f>
        <v>1065120</v>
      </c>
      <c r="AJ318" s="18"/>
      <c r="AK318" s="18"/>
      <c r="AL318" s="19"/>
      <c r="AM318" s="18"/>
      <c r="AN318" s="23">
        <f>AN317*$B318</f>
        <v>544861.8</v>
      </c>
      <c r="AO318" s="18"/>
      <c r="AP318" s="18"/>
      <c r="AQ318" s="19"/>
      <c r="AR318" s="22"/>
      <c r="AS318" s="23">
        <f>AS317*$B318</f>
        <v>785120</v>
      </c>
      <c r="AT318" s="18"/>
      <c r="AU318" s="18"/>
      <c r="AV318" s="19"/>
      <c r="AW318" s="22"/>
      <c r="AX318" s="23">
        <f>AX317*$B318</f>
        <v>785120</v>
      </c>
      <c r="AY318" s="18"/>
      <c r="AZ318" s="18"/>
      <c r="BA318" s="19"/>
      <c r="BB318" s="22"/>
      <c r="BC318" s="23">
        <f>BC317*$B318</f>
        <v>785120</v>
      </c>
      <c r="BD318" s="18"/>
      <c r="BE318" s="18"/>
      <c r="BF318" s="19"/>
      <c r="BG318" s="22"/>
      <c r="BH318" s="23">
        <f>BH317*$B318</f>
        <v>785120</v>
      </c>
      <c r="BI318" s="18"/>
      <c r="BJ318" s="18"/>
      <c r="BK318" s="19"/>
      <c r="BL318" s="22"/>
      <c r="BM318" s="23">
        <f>BM317*$B318</f>
        <v>449120</v>
      </c>
      <c r="BN318" s="18"/>
      <c r="BO318" s="18"/>
      <c r="BP318" s="19"/>
      <c r="BQ318" s="17" t="s">
        <v>579</v>
      </c>
      <c r="BR318" s="1"/>
      <c r="BS318" s="1"/>
      <c r="BT318" s="1"/>
      <c r="BU318" s="1"/>
    </row>
    <row r="319">
      <c r="A319" s="56" t="str">
        <f>B303</f>
        <v>회기</v>
      </c>
      <c r="B319" s="29">
        <v>0.2</v>
      </c>
      <c r="C319" s="30" t="s">
        <v>57</v>
      </c>
      <c r="D319" s="31"/>
      <c r="E319" s="32">
        <f>E317*$B319</f>
        <v>137909.6</v>
      </c>
      <c r="F319" s="33"/>
      <c r="G319" s="33"/>
      <c r="H319" s="34"/>
      <c r="I319" s="31"/>
      <c r="J319" s="32">
        <f>J317*$B319</f>
        <v>89062.2</v>
      </c>
      <c r="K319" s="33"/>
      <c r="L319" s="33"/>
      <c r="M319" s="34"/>
      <c r="N319" s="31"/>
      <c r="O319" s="32">
        <f>O317*$B319</f>
        <v>202748.4</v>
      </c>
      <c r="P319" s="33"/>
      <c r="Q319" s="33"/>
      <c r="R319" s="34"/>
      <c r="S319" s="31"/>
      <c r="T319" s="32">
        <f>T317*$B319</f>
        <v>205200</v>
      </c>
      <c r="U319" s="33"/>
      <c r="V319" s="33"/>
      <c r="W319" s="34"/>
      <c r="X319" s="33"/>
      <c r="Y319" s="32">
        <f>Y317*$B319</f>
        <v>205200</v>
      </c>
      <c r="Z319" s="33"/>
      <c r="AA319" s="33"/>
      <c r="AB319" s="34"/>
      <c r="AC319" s="33"/>
      <c r="AD319" s="32">
        <f>AD317*$B319</f>
        <v>205200</v>
      </c>
      <c r="AE319" s="33"/>
      <c r="AF319" s="33"/>
      <c r="AG319" s="34"/>
      <c r="AH319" s="33"/>
      <c r="AI319" s="32">
        <f>AI317*$B319</f>
        <v>304320</v>
      </c>
      <c r="AJ319" s="33"/>
      <c r="AK319" s="33"/>
      <c r="AL319" s="34"/>
      <c r="AM319" s="33"/>
      <c r="AN319" s="32">
        <f>AN317*$B319</f>
        <v>155674.8</v>
      </c>
      <c r="AO319" s="33"/>
      <c r="AP319" s="33"/>
      <c r="AQ319" s="34"/>
      <c r="AR319" s="31"/>
      <c r="AS319" s="32">
        <f>AS317*$B319</f>
        <v>224320</v>
      </c>
      <c r="AT319" s="33"/>
      <c r="AU319" s="33"/>
      <c r="AV319" s="34"/>
      <c r="AW319" s="31"/>
      <c r="AX319" s="32">
        <f>AX317*$B319</f>
        <v>224320</v>
      </c>
      <c r="AY319" s="33"/>
      <c r="AZ319" s="33"/>
      <c r="BA319" s="34"/>
      <c r="BB319" s="31"/>
      <c r="BC319" s="32">
        <f>BC317*$B319</f>
        <v>224320</v>
      </c>
      <c r="BD319" s="33"/>
      <c r="BE319" s="33"/>
      <c r="BF319" s="34"/>
      <c r="BG319" s="31"/>
      <c r="BH319" s="32">
        <f>BH317*$B319</f>
        <v>224320</v>
      </c>
      <c r="BI319" s="33"/>
      <c r="BJ319" s="33"/>
      <c r="BK319" s="34"/>
      <c r="BL319" s="31"/>
      <c r="BM319" s="32">
        <f>BM317*$B319</f>
        <v>128320</v>
      </c>
      <c r="BN319" s="33"/>
      <c r="BO319" s="33"/>
      <c r="BP319" s="34"/>
      <c r="BQ319" s="17" t="s">
        <v>579</v>
      </c>
      <c r="BR319" s="1"/>
      <c r="BS319" s="1"/>
      <c r="BT319" s="1"/>
      <c r="BU319" s="1"/>
    </row>
    <row r="320">
      <c r="A320" s="1"/>
      <c r="B320" s="10" t="s">
        <v>598</v>
      </c>
      <c r="C320" s="11" t="s">
        <v>506</v>
      </c>
      <c r="D320" s="18"/>
      <c r="E320" s="18"/>
      <c r="F320" s="18"/>
      <c r="G320" s="18"/>
      <c r="H320" s="19"/>
      <c r="I320" s="18"/>
      <c r="J320" s="18"/>
      <c r="K320" s="18"/>
      <c r="L320" s="18"/>
      <c r="M320" s="19"/>
      <c r="N320" s="18"/>
      <c r="O320" s="18"/>
      <c r="P320" s="18"/>
      <c r="Q320" s="18"/>
      <c r="R320" s="19"/>
      <c r="S320" s="18"/>
      <c r="T320" s="18"/>
      <c r="U320" s="18"/>
      <c r="V320" s="18"/>
      <c r="W320" s="19"/>
      <c r="X320" s="18"/>
      <c r="Y320" s="18"/>
      <c r="Z320" s="18"/>
      <c r="AA320" s="18"/>
      <c r="AB320" s="19"/>
      <c r="AC320" s="18"/>
      <c r="AD320" s="18"/>
      <c r="AE320" s="18"/>
      <c r="AF320" s="18"/>
      <c r="AG320" s="19"/>
      <c r="AH320" s="18"/>
      <c r="AI320" s="18"/>
      <c r="AJ320" s="18"/>
      <c r="AK320" s="18"/>
      <c r="AL320" s="19"/>
      <c r="AM320" s="18"/>
      <c r="AN320" s="18"/>
      <c r="AO320" s="18"/>
      <c r="AP320" s="18"/>
      <c r="AQ320" s="19"/>
      <c r="AR320" s="20" t="s">
        <v>599</v>
      </c>
      <c r="AS320" s="23">
        <v>500000.0</v>
      </c>
      <c r="AT320" s="61" t="b">
        <v>1</v>
      </c>
      <c r="AU320" s="23">
        <v>80000.0</v>
      </c>
      <c r="AV320" s="15" t="b">
        <v>1</v>
      </c>
      <c r="AW320" s="20" t="s">
        <v>600</v>
      </c>
      <c r="AX320" s="23">
        <v>500000.0</v>
      </c>
      <c r="AY320" s="61" t="b">
        <v>1</v>
      </c>
      <c r="AZ320" s="23">
        <v>80000.0</v>
      </c>
      <c r="BA320" s="15" t="b">
        <v>1</v>
      </c>
      <c r="BB320" s="20" t="s">
        <v>600</v>
      </c>
      <c r="BC320" s="23">
        <v>500000.0</v>
      </c>
      <c r="BD320" s="61" t="b">
        <v>1</v>
      </c>
      <c r="BE320" s="23">
        <v>80000.0</v>
      </c>
      <c r="BF320" s="15" t="b">
        <v>1</v>
      </c>
      <c r="BG320" s="20" t="s">
        <v>600</v>
      </c>
      <c r="BH320" s="23">
        <v>500000.0</v>
      </c>
      <c r="BI320" s="61" t="b">
        <v>1</v>
      </c>
      <c r="BJ320" s="23">
        <v>80000.0</v>
      </c>
      <c r="BK320" s="15" t="b">
        <v>1</v>
      </c>
      <c r="BL320" s="20" t="s">
        <v>600</v>
      </c>
      <c r="BM320" s="23">
        <v>500000.0</v>
      </c>
      <c r="BN320" s="61" t="b">
        <v>0</v>
      </c>
      <c r="BO320" s="23">
        <v>80000.0</v>
      </c>
      <c r="BP320" s="15" t="b">
        <v>0</v>
      </c>
      <c r="BQ320" s="17" t="s">
        <v>321</v>
      </c>
      <c r="BR320" s="1"/>
      <c r="BS320" s="1"/>
      <c r="BT320" s="1"/>
      <c r="BU320" s="1"/>
    </row>
    <row r="321">
      <c r="A321" s="1"/>
      <c r="B321" s="10" t="s">
        <v>598</v>
      </c>
      <c r="C321" s="11" t="s">
        <v>601</v>
      </c>
      <c r="D321" s="18"/>
      <c r="E321" s="18"/>
      <c r="F321" s="18"/>
      <c r="G321" s="18"/>
      <c r="H321" s="19"/>
      <c r="I321" s="18"/>
      <c r="J321" s="18"/>
      <c r="K321" s="18"/>
      <c r="L321" s="18"/>
      <c r="M321" s="19"/>
      <c r="N321" s="18"/>
      <c r="O321" s="18"/>
      <c r="P321" s="18"/>
      <c r="Q321" s="18"/>
      <c r="R321" s="19"/>
      <c r="S321" s="18"/>
      <c r="T321" s="18"/>
      <c r="U321" s="18"/>
      <c r="V321" s="18"/>
      <c r="W321" s="19"/>
      <c r="X321" s="18"/>
      <c r="Y321" s="18"/>
      <c r="Z321" s="18"/>
      <c r="AA321" s="18"/>
      <c r="AB321" s="19"/>
      <c r="AC321" s="18"/>
      <c r="AD321" s="18"/>
      <c r="AE321" s="18"/>
      <c r="AF321" s="18"/>
      <c r="AG321" s="19"/>
      <c r="AH321" s="18"/>
      <c r="AI321" s="18"/>
      <c r="AJ321" s="18"/>
      <c r="AK321" s="18"/>
      <c r="AL321" s="19"/>
      <c r="AM321" s="20" t="s">
        <v>602</v>
      </c>
      <c r="AN321" s="23">
        <v>18387.0</v>
      </c>
      <c r="AO321" s="61" t="b">
        <v>1</v>
      </c>
      <c r="AP321" s="23">
        <v>2581.0</v>
      </c>
      <c r="AQ321" s="15" t="b">
        <v>1</v>
      </c>
      <c r="AR321" s="20" t="s">
        <v>565</v>
      </c>
      <c r="AS321" s="23">
        <v>570000.0</v>
      </c>
      <c r="AT321" s="61" t="b">
        <v>1</v>
      </c>
      <c r="AU321" s="23">
        <v>80000.0</v>
      </c>
      <c r="AV321" s="15" t="b">
        <v>1</v>
      </c>
      <c r="AW321" s="20" t="s">
        <v>565</v>
      </c>
      <c r="AX321" s="23">
        <v>570000.0</v>
      </c>
      <c r="AY321" s="61" t="b">
        <v>1</v>
      </c>
      <c r="AZ321" s="23">
        <v>80000.0</v>
      </c>
      <c r="BA321" s="15" t="b">
        <v>1</v>
      </c>
      <c r="BB321" s="20" t="s">
        <v>565</v>
      </c>
      <c r="BC321" s="23">
        <v>570000.0</v>
      </c>
      <c r="BD321" s="61" t="b">
        <v>1</v>
      </c>
      <c r="BE321" s="23">
        <v>80000.0</v>
      </c>
      <c r="BF321" s="15" t="b">
        <v>1</v>
      </c>
      <c r="BG321" s="20" t="s">
        <v>565</v>
      </c>
      <c r="BH321" s="23">
        <v>570000.0</v>
      </c>
      <c r="BI321" s="61" t="b">
        <v>1</v>
      </c>
      <c r="BJ321" s="23">
        <v>80000.0</v>
      </c>
      <c r="BK321" s="15" t="b">
        <v>1</v>
      </c>
      <c r="BL321" s="20" t="s">
        <v>565</v>
      </c>
      <c r="BM321" s="23">
        <v>570000.0</v>
      </c>
      <c r="BN321" s="61" t="b">
        <v>0</v>
      </c>
      <c r="BO321" s="23">
        <v>80000.0</v>
      </c>
      <c r="BP321" s="15" t="b">
        <v>0</v>
      </c>
      <c r="BQ321" s="17" t="s">
        <v>321</v>
      </c>
      <c r="BR321" s="1"/>
      <c r="BS321" s="1"/>
      <c r="BT321" s="1"/>
      <c r="BU321" s="1"/>
    </row>
    <row r="322">
      <c r="A322" s="1"/>
      <c r="B322" s="10" t="s">
        <v>598</v>
      </c>
      <c r="C322" s="11" t="s">
        <v>603</v>
      </c>
      <c r="D322" s="18"/>
      <c r="E322" s="18"/>
      <c r="F322" s="18"/>
      <c r="G322" s="18"/>
      <c r="H322" s="19"/>
      <c r="I322" s="18"/>
      <c r="J322" s="18"/>
      <c r="K322" s="18"/>
      <c r="L322" s="18"/>
      <c r="M322" s="19"/>
      <c r="N322" s="18"/>
      <c r="O322" s="18"/>
      <c r="P322" s="18"/>
      <c r="Q322" s="18"/>
      <c r="R322" s="19"/>
      <c r="S322" s="18"/>
      <c r="T322" s="18"/>
      <c r="U322" s="18"/>
      <c r="V322" s="18"/>
      <c r="W322" s="19"/>
      <c r="X322" s="18"/>
      <c r="Y322" s="18"/>
      <c r="Z322" s="18"/>
      <c r="AA322" s="18"/>
      <c r="AB322" s="19"/>
      <c r="AC322" s="18"/>
      <c r="AD322" s="18"/>
      <c r="AE322" s="18"/>
      <c r="AF322" s="18"/>
      <c r="AG322" s="19"/>
      <c r="AH322" s="18"/>
      <c r="AI322" s="18"/>
      <c r="AJ322" s="18"/>
      <c r="AK322" s="18"/>
      <c r="AL322" s="19"/>
      <c r="AM322" s="18"/>
      <c r="AN322" s="18"/>
      <c r="AO322" s="18"/>
      <c r="AP322" s="18"/>
      <c r="AQ322" s="19"/>
      <c r="AR322" s="62" t="s">
        <v>604</v>
      </c>
      <c r="AS322" s="23">
        <v>328667.0</v>
      </c>
      <c r="AT322" s="61" t="b">
        <v>1</v>
      </c>
      <c r="AU322" s="23">
        <v>45333.0</v>
      </c>
      <c r="AV322" s="15" t="b">
        <v>1</v>
      </c>
      <c r="AW322" s="20" t="s">
        <v>605</v>
      </c>
      <c r="AX322" s="23">
        <v>580000.0</v>
      </c>
      <c r="AY322" s="61" t="b">
        <v>1</v>
      </c>
      <c r="AZ322" s="23">
        <v>80000.0</v>
      </c>
      <c r="BA322" s="15" t="b">
        <v>1</v>
      </c>
      <c r="BB322" s="20" t="s">
        <v>605</v>
      </c>
      <c r="BC322" s="23">
        <v>580000.0</v>
      </c>
      <c r="BD322" s="61" t="b">
        <v>1</v>
      </c>
      <c r="BE322" s="23">
        <v>80000.0</v>
      </c>
      <c r="BF322" s="15" t="b">
        <v>1</v>
      </c>
      <c r="BG322" s="20" t="s">
        <v>605</v>
      </c>
      <c r="BH322" s="23">
        <v>580000.0</v>
      </c>
      <c r="BI322" s="61" t="b">
        <v>1</v>
      </c>
      <c r="BJ322" s="23">
        <v>80000.0</v>
      </c>
      <c r="BK322" s="15" t="b">
        <v>1</v>
      </c>
      <c r="BL322" s="20" t="s">
        <v>605</v>
      </c>
      <c r="BM322" s="23">
        <v>580000.0</v>
      </c>
      <c r="BN322" s="61" t="b">
        <v>0</v>
      </c>
      <c r="BO322" s="23">
        <v>80000.0</v>
      </c>
      <c r="BP322" s="15" t="b">
        <v>0</v>
      </c>
      <c r="BQ322" s="17" t="s">
        <v>321</v>
      </c>
      <c r="BR322" s="1"/>
      <c r="BS322" s="1"/>
      <c r="BT322" s="1"/>
      <c r="BU322" s="1"/>
    </row>
    <row r="323">
      <c r="A323" s="1"/>
      <c r="B323" s="10" t="s">
        <v>598</v>
      </c>
      <c r="C323" s="11" t="s">
        <v>606</v>
      </c>
      <c r="D323" s="18"/>
      <c r="E323" s="18"/>
      <c r="F323" s="18"/>
      <c r="G323" s="18"/>
      <c r="H323" s="19"/>
      <c r="I323" s="18"/>
      <c r="J323" s="18"/>
      <c r="K323" s="18"/>
      <c r="L323" s="18"/>
      <c r="M323" s="19"/>
      <c r="N323" s="18"/>
      <c r="O323" s="18"/>
      <c r="P323" s="18"/>
      <c r="Q323" s="18"/>
      <c r="R323" s="19"/>
      <c r="S323" s="18"/>
      <c r="T323" s="18"/>
      <c r="U323" s="18"/>
      <c r="V323" s="18"/>
      <c r="W323" s="19"/>
      <c r="X323" s="18"/>
      <c r="Y323" s="18"/>
      <c r="Z323" s="18"/>
      <c r="AA323" s="18"/>
      <c r="AB323" s="19"/>
      <c r="AC323" s="18"/>
      <c r="AD323" s="18"/>
      <c r="AE323" s="18"/>
      <c r="AF323" s="18"/>
      <c r="AG323" s="19"/>
      <c r="AH323" s="18"/>
      <c r="AI323" s="18"/>
      <c r="AJ323" s="18"/>
      <c r="AK323" s="18"/>
      <c r="AL323" s="19"/>
      <c r="AM323" s="18"/>
      <c r="AN323" s="18"/>
      <c r="AO323" s="18"/>
      <c r="AP323" s="18"/>
      <c r="AQ323" s="19"/>
      <c r="AR323" s="20" t="s">
        <v>607</v>
      </c>
      <c r="AS323" s="23">
        <v>313333.0</v>
      </c>
      <c r="AT323" s="61" t="b">
        <v>1</v>
      </c>
      <c r="AU323" s="23">
        <v>53333.0</v>
      </c>
      <c r="AV323" s="15" t="b">
        <v>1</v>
      </c>
      <c r="AW323" s="20" t="s">
        <v>608</v>
      </c>
      <c r="AX323" s="23">
        <v>470000.0</v>
      </c>
      <c r="AY323" s="61" t="b">
        <v>1</v>
      </c>
      <c r="AZ323" s="23">
        <v>80000.0</v>
      </c>
      <c r="BA323" s="15" t="b">
        <v>1</v>
      </c>
      <c r="BB323" s="20" t="s">
        <v>608</v>
      </c>
      <c r="BC323" s="23">
        <v>470000.0</v>
      </c>
      <c r="BD323" s="61" t="b">
        <v>1</v>
      </c>
      <c r="BE323" s="23">
        <v>80000.0</v>
      </c>
      <c r="BF323" s="15" t="b">
        <v>1</v>
      </c>
      <c r="BG323" s="20" t="s">
        <v>608</v>
      </c>
      <c r="BH323" s="23">
        <v>470000.0</v>
      </c>
      <c r="BI323" s="61" t="b">
        <v>1</v>
      </c>
      <c r="BJ323" s="23">
        <v>80000.0</v>
      </c>
      <c r="BK323" s="15" t="b">
        <v>1</v>
      </c>
      <c r="BL323" s="20" t="s">
        <v>608</v>
      </c>
      <c r="BM323" s="23">
        <v>470000.0</v>
      </c>
      <c r="BN323" s="61" t="b">
        <v>0</v>
      </c>
      <c r="BO323" s="23">
        <v>80000.0</v>
      </c>
      <c r="BP323" s="15" t="b">
        <v>0</v>
      </c>
      <c r="BQ323" s="17" t="s">
        <v>321</v>
      </c>
      <c r="BR323" s="1"/>
      <c r="BS323" s="1"/>
      <c r="BT323" s="1"/>
      <c r="BU323" s="1"/>
    </row>
    <row r="324">
      <c r="A324" s="1"/>
      <c r="B324" s="63"/>
      <c r="C324" s="11" t="s">
        <v>42</v>
      </c>
      <c r="D324" s="22"/>
      <c r="E324" s="18"/>
      <c r="F324" s="18"/>
      <c r="G324" s="23">
        <f>SUM(G320:G323)</f>
        <v>0</v>
      </c>
      <c r="H324" s="19"/>
      <c r="I324" s="22"/>
      <c r="J324" s="23">
        <f>SUM(J320:J323)</f>
        <v>0</v>
      </c>
      <c r="K324" s="18"/>
      <c r="L324" s="23">
        <f>SUM(L320:L323)</f>
        <v>0</v>
      </c>
      <c r="M324" s="19"/>
      <c r="N324" s="22"/>
      <c r="O324" s="23">
        <f>SUM(O320:O323)</f>
        <v>0</v>
      </c>
      <c r="P324" s="18"/>
      <c r="Q324" s="23">
        <f>SUM(Q320:Q323)</f>
        <v>0</v>
      </c>
      <c r="R324" s="19"/>
      <c r="S324" s="22"/>
      <c r="T324" s="23">
        <f>SUM(T320:T323)</f>
        <v>0</v>
      </c>
      <c r="U324" s="18"/>
      <c r="V324" s="23">
        <f>SUM(V320:V323)</f>
        <v>0</v>
      </c>
      <c r="W324" s="19"/>
      <c r="X324" s="22"/>
      <c r="Y324" s="23">
        <f>SUM(Y320:Y323)</f>
        <v>0</v>
      </c>
      <c r="Z324" s="18"/>
      <c r="AA324" s="23">
        <f>SUM(AA320:AA323)</f>
        <v>0</v>
      </c>
      <c r="AB324" s="19"/>
      <c r="AC324" s="22"/>
      <c r="AD324" s="23">
        <f>SUM(AD320:AD323)</f>
        <v>0</v>
      </c>
      <c r="AE324" s="18"/>
      <c r="AF324" s="23">
        <f>SUM(AF320:AF323)</f>
        <v>0</v>
      </c>
      <c r="AG324" s="19"/>
      <c r="AH324" s="22"/>
      <c r="AI324" s="23">
        <f>SUM(AI320:AI323)</f>
        <v>0</v>
      </c>
      <c r="AJ324" s="18"/>
      <c r="AK324" s="23">
        <f>SUM(AK320:AK323)</f>
        <v>0</v>
      </c>
      <c r="AL324" s="19"/>
      <c r="AM324" s="22"/>
      <c r="AN324" s="23">
        <f>SUM(AN320:AN323)</f>
        <v>18387</v>
      </c>
      <c r="AO324" s="18"/>
      <c r="AP324" s="23">
        <f>SUM(AP320:AP323)</f>
        <v>2581</v>
      </c>
      <c r="AQ324" s="19"/>
      <c r="AR324" s="22"/>
      <c r="AS324" s="23">
        <f>SUM(AS320:AS323)</f>
        <v>1712000</v>
      </c>
      <c r="AT324" s="18"/>
      <c r="AU324" s="23">
        <f>SUM(AU320:AU323)</f>
        <v>258666</v>
      </c>
      <c r="AV324" s="19"/>
      <c r="AW324" s="22"/>
      <c r="AX324" s="23">
        <f>SUM(AX320:AX323)</f>
        <v>2120000</v>
      </c>
      <c r="AY324" s="18"/>
      <c r="AZ324" s="23">
        <f>SUM(AZ320:AZ323)</f>
        <v>320000</v>
      </c>
      <c r="BA324" s="19"/>
      <c r="BB324" s="22"/>
      <c r="BC324" s="23">
        <f>SUM(BC320:BC323)</f>
        <v>2120000</v>
      </c>
      <c r="BD324" s="18"/>
      <c r="BE324" s="23">
        <f>SUM(BE320:BE323)</f>
        <v>320000</v>
      </c>
      <c r="BF324" s="19"/>
      <c r="BG324" s="22"/>
      <c r="BH324" s="23">
        <f>SUM(BH320:BH323)</f>
        <v>2120000</v>
      </c>
      <c r="BI324" s="18"/>
      <c r="BJ324" s="23">
        <f>SUM(BJ320:BJ323)</f>
        <v>320000</v>
      </c>
      <c r="BK324" s="19"/>
      <c r="BL324" s="22"/>
      <c r="BM324" s="23">
        <f>SUM(BM320:BM323)</f>
        <v>2120000</v>
      </c>
      <c r="BN324" s="18"/>
      <c r="BO324" s="23">
        <f>SUM(BO320:BO323)</f>
        <v>320000</v>
      </c>
      <c r="BP324" s="19"/>
      <c r="BQ324" s="17" t="s">
        <v>321</v>
      </c>
      <c r="BR324" s="1"/>
      <c r="BS324" s="1"/>
      <c r="BT324" s="1"/>
      <c r="BU324" s="1"/>
    </row>
    <row r="325">
      <c r="A325" s="1"/>
      <c r="B325" s="63"/>
      <c r="C325" s="11" t="s">
        <v>43</v>
      </c>
      <c r="D325" s="22"/>
      <c r="E325" s="18"/>
      <c r="F325" s="18"/>
      <c r="G325" s="18"/>
      <c r="H325" s="19"/>
      <c r="I325" s="22"/>
      <c r="J325" s="18"/>
      <c r="K325" s="18"/>
      <c r="L325" s="18"/>
      <c r="M325" s="19"/>
      <c r="N325" s="22"/>
      <c r="O325" s="18"/>
      <c r="P325" s="18"/>
      <c r="Q325" s="18"/>
      <c r="R325" s="19"/>
      <c r="S325" s="22"/>
      <c r="T325" s="18"/>
      <c r="U325" s="18"/>
      <c r="V325" s="18"/>
      <c r="W325" s="19"/>
      <c r="X325" s="22"/>
      <c r="Y325" s="18"/>
      <c r="Z325" s="18"/>
      <c r="AA325" s="18"/>
      <c r="AB325" s="19"/>
      <c r="AC325" s="22"/>
      <c r="AD325" s="18"/>
      <c r="AE325" s="18"/>
      <c r="AF325" s="18"/>
      <c r="AG325" s="19"/>
      <c r="AH325" s="22"/>
      <c r="AI325" s="18"/>
      <c r="AJ325" s="18"/>
      <c r="AK325" s="18"/>
      <c r="AL325" s="19"/>
      <c r="AM325" s="22"/>
      <c r="AN325" s="23">
        <v>700000.0</v>
      </c>
      <c r="AO325" s="18"/>
      <c r="AP325" s="18"/>
      <c r="AQ325" s="19"/>
      <c r="AR325" s="22"/>
      <c r="AS325" s="23">
        <v>700000.0</v>
      </c>
      <c r="AT325" s="18"/>
      <c r="AU325" s="18"/>
      <c r="AV325" s="19"/>
      <c r="AW325" s="22"/>
      <c r="AX325" s="23">
        <v>700000.0</v>
      </c>
      <c r="AY325" s="18"/>
      <c r="AZ325" s="18"/>
      <c r="BA325" s="19"/>
      <c r="BB325" s="22"/>
      <c r="BC325" s="23">
        <v>700000.0</v>
      </c>
      <c r="BD325" s="18"/>
      <c r="BE325" s="18"/>
      <c r="BF325" s="19"/>
      <c r="BG325" s="22"/>
      <c r="BH325" s="23">
        <v>700000.0</v>
      </c>
      <c r="BI325" s="18"/>
      <c r="BJ325" s="18"/>
      <c r="BK325" s="19"/>
      <c r="BL325" s="22"/>
      <c r="BM325" s="23">
        <v>700000.0</v>
      </c>
      <c r="BN325" s="18"/>
      <c r="BO325" s="18"/>
      <c r="BP325" s="19"/>
      <c r="BQ325" s="17" t="s">
        <v>321</v>
      </c>
      <c r="BR325" s="1"/>
      <c r="BS325" s="1"/>
      <c r="BT325" s="1"/>
      <c r="BU325" s="1"/>
    </row>
    <row r="326">
      <c r="A326" s="1"/>
      <c r="B326" s="63"/>
      <c r="C326" s="11" t="s">
        <v>45</v>
      </c>
      <c r="D326" s="22"/>
      <c r="E326" s="18"/>
      <c r="F326" s="18"/>
      <c r="G326" s="18"/>
      <c r="H326" s="19"/>
      <c r="I326" s="22"/>
      <c r="J326" s="18"/>
      <c r="K326" s="18"/>
      <c r="L326" s="18"/>
      <c r="M326" s="19"/>
      <c r="N326" s="22"/>
      <c r="O326" s="18"/>
      <c r="P326" s="18"/>
      <c r="Q326" s="18"/>
      <c r="R326" s="19"/>
      <c r="S326" s="22"/>
      <c r="T326" s="18"/>
      <c r="U326" s="18"/>
      <c r="V326" s="18"/>
      <c r="W326" s="19"/>
      <c r="X326" s="22"/>
      <c r="Y326" s="18"/>
      <c r="Z326" s="18"/>
      <c r="AA326" s="18"/>
      <c r="AB326" s="19"/>
      <c r="AC326" s="22"/>
      <c r="AD326" s="18"/>
      <c r="AE326" s="18"/>
      <c r="AF326" s="18"/>
      <c r="AG326" s="19"/>
      <c r="AH326" s="22"/>
      <c r="AI326" s="18"/>
      <c r="AJ326" s="18"/>
      <c r="AK326" s="18"/>
      <c r="AL326" s="19"/>
      <c r="AM326" s="22"/>
      <c r="AN326" s="18"/>
      <c r="AO326" s="18"/>
      <c r="AP326" s="18"/>
      <c r="AQ326" s="19"/>
      <c r="AR326" s="22"/>
      <c r="AS326" s="18"/>
      <c r="AT326" s="18"/>
      <c r="AU326" s="18"/>
      <c r="AV326" s="19"/>
      <c r="AW326" s="22"/>
      <c r="AX326" s="18"/>
      <c r="AY326" s="18"/>
      <c r="AZ326" s="18"/>
      <c r="BA326" s="19"/>
      <c r="BB326" s="22"/>
      <c r="BC326" s="18"/>
      <c r="BD326" s="18"/>
      <c r="BE326" s="18"/>
      <c r="BF326" s="19"/>
      <c r="BG326" s="22"/>
      <c r="BH326" s="18"/>
      <c r="BI326" s="18"/>
      <c r="BJ326" s="18"/>
      <c r="BK326" s="19"/>
      <c r="BL326" s="22"/>
      <c r="BM326" s="18"/>
      <c r="BN326" s="18"/>
      <c r="BO326" s="18"/>
      <c r="BP326" s="19"/>
      <c r="BQ326" s="17" t="s">
        <v>321</v>
      </c>
      <c r="BR326" s="1"/>
      <c r="BS326" s="1"/>
      <c r="BT326" s="1"/>
      <c r="BU326" s="1"/>
    </row>
    <row r="327">
      <c r="A327" s="1"/>
      <c r="B327" s="63"/>
      <c r="C327" s="11" t="s">
        <v>47</v>
      </c>
      <c r="D327" s="22"/>
      <c r="E327" s="18"/>
      <c r="F327" s="18"/>
      <c r="G327" s="18"/>
      <c r="H327" s="19"/>
      <c r="I327" s="22"/>
      <c r="J327" s="18"/>
      <c r="K327" s="18"/>
      <c r="L327" s="18"/>
      <c r="M327" s="19"/>
      <c r="N327" s="22"/>
      <c r="O327" s="18"/>
      <c r="P327" s="18"/>
      <c r="Q327" s="18"/>
      <c r="R327" s="19"/>
      <c r="S327" s="22"/>
      <c r="T327" s="18"/>
      <c r="U327" s="18"/>
      <c r="V327" s="18"/>
      <c r="W327" s="19"/>
      <c r="X327" s="18"/>
      <c r="Y327" s="18"/>
      <c r="Z327" s="18"/>
      <c r="AA327" s="18"/>
      <c r="AB327" s="19"/>
      <c r="AC327" s="18"/>
      <c r="AD327" s="18"/>
      <c r="AE327" s="18"/>
      <c r="AF327" s="18"/>
      <c r="AG327" s="19"/>
      <c r="AH327" s="18"/>
      <c r="AI327" s="18"/>
      <c r="AJ327" s="18"/>
      <c r="AK327" s="18"/>
      <c r="AL327" s="19"/>
      <c r="AM327" s="18"/>
      <c r="AN327" s="18"/>
      <c r="AO327" s="18"/>
      <c r="AP327" s="18"/>
      <c r="AQ327" s="19"/>
      <c r="AR327" s="22"/>
      <c r="AS327" s="18"/>
      <c r="AT327" s="18"/>
      <c r="AU327" s="18"/>
      <c r="AV327" s="19"/>
      <c r="AW327" s="22"/>
      <c r="AX327" s="18"/>
      <c r="AY327" s="18"/>
      <c r="AZ327" s="18"/>
      <c r="BA327" s="19"/>
      <c r="BB327" s="22"/>
      <c r="BC327" s="18"/>
      <c r="BD327" s="18"/>
      <c r="BE327" s="18"/>
      <c r="BF327" s="19"/>
      <c r="BG327" s="22"/>
      <c r="BH327" s="18"/>
      <c r="BI327" s="18"/>
      <c r="BJ327" s="18"/>
      <c r="BK327" s="19"/>
      <c r="BL327" s="22"/>
      <c r="BM327" s="18"/>
      <c r="BN327" s="18"/>
      <c r="BO327" s="18"/>
      <c r="BP327" s="19"/>
      <c r="BQ327" s="17" t="s">
        <v>321</v>
      </c>
      <c r="BR327" s="1"/>
      <c r="BS327" s="1"/>
      <c r="BT327" s="1"/>
      <c r="BU327" s="1"/>
    </row>
    <row r="328">
      <c r="A328" s="1"/>
      <c r="B328" s="10" t="s">
        <v>609</v>
      </c>
      <c r="C328" s="11" t="s">
        <v>49</v>
      </c>
      <c r="D328" s="22"/>
      <c r="E328" s="18"/>
      <c r="F328" s="18"/>
      <c r="G328" s="18"/>
      <c r="H328" s="19"/>
      <c r="I328" s="22"/>
      <c r="J328" s="18"/>
      <c r="K328" s="18"/>
      <c r="L328" s="18"/>
      <c r="M328" s="19"/>
      <c r="N328" s="22"/>
      <c r="O328" s="18"/>
      <c r="P328" s="18"/>
      <c r="Q328" s="18"/>
      <c r="R328" s="19"/>
      <c r="S328" s="22"/>
      <c r="T328" s="18"/>
      <c r="U328" s="18"/>
      <c r="V328" s="18"/>
      <c r="W328" s="19"/>
      <c r="X328" s="18"/>
      <c r="Y328" s="18"/>
      <c r="Z328" s="18"/>
      <c r="AA328" s="18"/>
      <c r="AB328" s="19"/>
      <c r="AC328" s="18"/>
      <c r="AD328" s="18"/>
      <c r="AE328" s="18"/>
      <c r="AF328" s="18"/>
      <c r="AG328" s="19"/>
      <c r="AH328" s="18"/>
      <c r="AI328" s="18"/>
      <c r="AJ328" s="18"/>
      <c r="AK328" s="18"/>
      <c r="AL328" s="19"/>
      <c r="AM328" s="18"/>
      <c r="AN328" s="18"/>
      <c r="AO328" s="18"/>
      <c r="AP328" s="18"/>
      <c r="AQ328" s="19"/>
      <c r="AR328" s="22"/>
      <c r="AS328" s="18"/>
      <c r="AT328" s="18"/>
      <c r="AU328" s="18"/>
      <c r="AV328" s="19"/>
      <c r="AW328" s="22"/>
      <c r="AX328" s="18"/>
      <c r="AY328" s="18"/>
      <c r="AZ328" s="18"/>
      <c r="BA328" s="19"/>
      <c r="BB328" s="22"/>
      <c r="BC328" s="18"/>
      <c r="BD328" s="18"/>
      <c r="BE328" s="23">
        <v>42060.0</v>
      </c>
      <c r="BF328" s="19"/>
      <c r="BG328" s="18"/>
      <c r="BH328" s="18"/>
      <c r="BI328" s="18"/>
      <c r="BJ328" s="23">
        <v>175630.0</v>
      </c>
      <c r="BK328" s="19"/>
      <c r="BL328" s="22"/>
      <c r="BM328" s="18"/>
      <c r="BN328" s="18"/>
      <c r="BO328" s="18"/>
      <c r="BP328" s="19"/>
      <c r="BQ328" s="17" t="s">
        <v>321</v>
      </c>
      <c r="BR328" s="1"/>
      <c r="BS328" s="1"/>
      <c r="BT328" s="1"/>
      <c r="BU328" s="1"/>
    </row>
    <row r="329">
      <c r="A329" s="1"/>
      <c r="B329" s="63"/>
      <c r="C329" s="11" t="s">
        <v>51</v>
      </c>
      <c r="D329" s="22"/>
      <c r="E329" s="18"/>
      <c r="F329" s="18"/>
      <c r="G329" s="18"/>
      <c r="H329" s="19"/>
      <c r="I329" s="22"/>
      <c r="J329" s="18"/>
      <c r="K329" s="18"/>
      <c r="L329" s="18"/>
      <c r="M329" s="19"/>
      <c r="N329" s="22"/>
      <c r="O329" s="18"/>
      <c r="P329" s="18"/>
      <c r="Q329" s="18"/>
      <c r="R329" s="19"/>
      <c r="S329" s="22"/>
      <c r="T329" s="18"/>
      <c r="U329" s="18"/>
      <c r="V329" s="18"/>
      <c r="W329" s="19"/>
      <c r="X329" s="18"/>
      <c r="Y329" s="18"/>
      <c r="Z329" s="18"/>
      <c r="AA329" s="18"/>
      <c r="AB329" s="19"/>
      <c r="AC329" s="18"/>
      <c r="AD329" s="18"/>
      <c r="AE329" s="18"/>
      <c r="AF329" s="18"/>
      <c r="AG329" s="19"/>
      <c r="AH329" s="18"/>
      <c r="AI329" s="18"/>
      <c r="AJ329" s="18"/>
      <c r="AK329" s="18"/>
      <c r="AL329" s="19"/>
      <c r="AM329" s="18"/>
      <c r="AN329" s="18"/>
      <c r="AO329" s="18"/>
      <c r="AP329" s="18"/>
      <c r="AQ329" s="19"/>
      <c r="AR329" s="22"/>
      <c r="AS329" s="18"/>
      <c r="AT329" s="18"/>
      <c r="AU329" s="18"/>
      <c r="AV329" s="19"/>
      <c r="AW329" s="22"/>
      <c r="AX329" s="18"/>
      <c r="AY329" s="18"/>
      <c r="AZ329" s="18"/>
      <c r="BA329" s="19"/>
      <c r="BB329" s="22"/>
      <c r="BC329" s="18"/>
      <c r="BD329" s="18"/>
      <c r="BE329" s="18"/>
      <c r="BF329" s="19"/>
      <c r="BG329" s="22"/>
      <c r="BH329" s="18"/>
      <c r="BI329" s="18"/>
      <c r="BJ329" s="18"/>
      <c r="BK329" s="19"/>
      <c r="BL329" s="22"/>
      <c r="BM329" s="18"/>
      <c r="BN329" s="18"/>
      <c r="BO329" s="18"/>
      <c r="BP329" s="19"/>
      <c r="BQ329" s="17" t="s">
        <v>321</v>
      </c>
      <c r="BR329" s="1"/>
      <c r="BS329" s="1"/>
      <c r="BT329" s="1"/>
      <c r="BU329" s="1"/>
    </row>
    <row r="330">
      <c r="A330" s="1"/>
      <c r="B330" s="63"/>
      <c r="C330" s="11" t="s">
        <v>52</v>
      </c>
      <c r="D330" s="22"/>
      <c r="E330" s="18"/>
      <c r="F330" s="18"/>
      <c r="G330" s="18"/>
      <c r="H330" s="19"/>
      <c r="I330" s="22"/>
      <c r="J330" s="18"/>
      <c r="K330" s="18"/>
      <c r="L330" s="18"/>
      <c r="M330" s="19"/>
      <c r="N330" s="22"/>
      <c r="O330" s="18"/>
      <c r="P330" s="18"/>
      <c r="Q330" s="18"/>
      <c r="R330" s="19"/>
      <c r="S330" s="22"/>
      <c r="T330" s="18"/>
      <c r="U330" s="18"/>
      <c r="V330" s="18"/>
      <c r="W330" s="19"/>
      <c r="X330" s="18"/>
      <c r="Y330" s="18"/>
      <c r="Z330" s="18"/>
      <c r="AA330" s="18"/>
      <c r="AB330" s="19"/>
      <c r="AC330" s="18"/>
      <c r="AD330" s="18"/>
      <c r="AE330" s="18"/>
      <c r="AF330" s="18"/>
      <c r="AG330" s="19"/>
      <c r="AH330" s="18"/>
      <c r="AI330" s="18"/>
      <c r="AJ330" s="18"/>
      <c r="AK330" s="18"/>
      <c r="AL330" s="19"/>
      <c r="AM330" s="18"/>
      <c r="AN330" s="18"/>
      <c r="AO330" s="18"/>
      <c r="AP330" s="18"/>
      <c r="AQ330" s="19"/>
      <c r="AR330" s="22"/>
      <c r="AS330" s="18"/>
      <c r="AT330" s="18"/>
      <c r="AU330" s="18"/>
      <c r="AV330" s="19"/>
      <c r="AW330" s="22"/>
      <c r="AX330" s="18"/>
      <c r="AY330" s="18"/>
      <c r="AZ330" s="18"/>
      <c r="BA330" s="19"/>
      <c r="BB330" s="22"/>
      <c r="BC330" s="18"/>
      <c r="BD330" s="18"/>
      <c r="BE330" s="18"/>
      <c r="BF330" s="19"/>
      <c r="BG330" s="22"/>
      <c r="BH330" s="18"/>
      <c r="BI330" s="18"/>
      <c r="BJ330" s="18"/>
      <c r="BK330" s="19"/>
      <c r="BL330" s="22"/>
      <c r="BM330" s="18"/>
      <c r="BN330" s="18"/>
      <c r="BO330" s="18"/>
      <c r="BP330" s="19"/>
      <c r="BQ330" s="17" t="s">
        <v>321</v>
      </c>
      <c r="BR330" s="1"/>
      <c r="BS330" s="1"/>
      <c r="BT330" s="1"/>
      <c r="BU330" s="1"/>
    </row>
    <row r="331">
      <c r="A331" s="1"/>
      <c r="B331" s="63"/>
      <c r="C331" s="11" t="s">
        <v>53</v>
      </c>
      <c r="D331" s="22"/>
      <c r="E331" s="18"/>
      <c r="F331" s="18"/>
      <c r="G331" s="18"/>
      <c r="H331" s="19"/>
      <c r="I331" s="22"/>
      <c r="J331" s="18"/>
      <c r="K331" s="18"/>
      <c r="L331" s="18"/>
      <c r="M331" s="19"/>
      <c r="N331" s="22"/>
      <c r="O331" s="18"/>
      <c r="P331" s="18"/>
      <c r="Q331" s="18"/>
      <c r="R331" s="19"/>
      <c r="S331" s="22"/>
      <c r="T331" s="18"/>
      <c r="U331" s="18"/>
      <c r="V331" s="18"/>
      <c r="W331" s="19"/>
      <c r="X331" s="18"/>
      <c r="Y331" s="18"/>
      <c r="Z331" s="18"/>
      <c r="AA331" s="18"/>
      <c r="AB331" s="19"/>
      <c r="AC331" s="18"/>
      <c r="AD331" s="18"/>
      <c r="AE331" s="18"/>
      <c r="AF331" s="18"/>
      <c r="AG331" s="19"/>
      <c r="AH331" s="18"/>
      <c r="AI331" s="18"/>
      <c r="AJ331" s="18"/>
      <c r="AK331" s="18"/>
      <c r="AL331" s="19"/>
      <c r="AM331" s="18"/>
      <c r="AN331" s="18"/>
      <c r="AO331" s="18"/>
      <c r="AP331" s="18"/>
      <c r="AQ331" s="19"/>
      <c r="AR331" s="22"/>
      <c r="AS331" s="18"/>
      <c r="AT331" s="18"/>
      <c r="AU331" s="18"/>
      <c r="AV331" s="19"/>
      <c r="AW331" s="22"/>
      <c r="AX331" s="18"/>
      <c r="AY331" s="18"/>
      <c r="AZ331" s="18"/>
      <c r="BA331" s="19"/>
      <c r="BB331" s="22"/>
      <c r="BC331" s="18"/>
      <c r="BD331" s="18"/>
      <c r="BE331" s="18"/>
      <c r="BF331" s="19"/>
      <c r="BG331" s="22"/>
      <c r="BH331" s="18"/>
      <c r="BI331" s="18"/>
      <c r="BJ331" s="18"/>
      <c r="BK331" s="19"/>
      <c r="BL331" s="22"/>
      <c r="BM331" s="18"/>
      <c r="BN331" s="18"/>
      <c r="BO331" s="18"/>
      <c r="BP331" s="19"/>
      <c r="BQ331" s="17" t="s">
        <v>321</v>
      </c>
      <c r="BR331" s="1"/>
      <c r="BS331" s="1"/>
      <c r="BT331" s="1"/>
      <c r="BU331" s="1"/>
    </row>
    <row r="332">
      <c r="A332" s="1"/>
      <c r="B332" s="63"/>
      <c r="C332" s="11" t="s">
        <v>54</v>
      </c>
      <c r="D332" s="22"/>
      <c r="E332" s="18"/>
      <c r="F332" s="18"/>
      <c r="G332" s="23">
        <f>SUMIFS('지출'!$G$3:$G1000,'지출'!$J$3:$J1000,G$1,'지출'!$C$3:$C1000,"회기")</f>
        <v>0</v>
      </c>
      <c r="H332" s="19"/>
      <c r="I332" s="22"/>
      <c r="J332" s="18"/>
      <c r="K332" s="18"/>
      <c r="L332" s="23">
        <f>SUMIFS('지출'!$G$3:$G1000,'지출'!$J$3:$J1000,L$1,'지출'!$C$3:$C1000,"회기")</f>
        <v>0</v>
      </c>
      <c r="M332" s="24"/>
      <c r="N332" s="18"/>
      <c r="O332" s="18"/>
      <c r="P332" s="18"/>
      <c r="Q332" s="23">
        <f>SUMIFS('지출'!$G$3:$G1000,'지출'!$J$3:$J1000,Q$1,'지출'!$C$3:$C1000,"회기")</f>
        <v>0</v>
      </c>
      <c r="R332" s="24"/>
      <c r="S332" s="18"/>
      <c r="T332" s="18"/>
      <c r="U332" s="18"/>
      <c r="V332" s="23">
        <f>SUMIFS('지출'!$G$3:$G1000,'지출'!$J$3:$J1000,V$1,'지출'!$C$3:$C1000,"회기")</f>
        <v>0</v>
      </c>
      <c r="W332" s="24"/>
      <c r="X332" s="18"/>
      <c r="Y332" s="18"/>
      <c r="Z332" s="18"/>
      <c r="AA332" s="23">
        <f>SUMIFS('지출'!$G$3:$G1000,'지출'!$J$3:$J1000,AA$1,'지출'!$C$3:$C1000,"회기")</f>
        <v>0</v>
      </c>
      <c r="AB332" s="24"/>
      <c r="AC332" s="18"/>
      <c r="AD332" s="18"/>
      <c r="AE332" s="18"/>
      <c r="AF332" s="23">
        <f>SUMIFS('지출'!$G$3:$G1000,'지출'!$J$3:$J1000,AF$1,'지출'!$C$3:$C1000,"회기")</f>
        <v>0</v>
      </c>
      <c r="AG332" s="24"/>
      <c r="AH332" s="18"/>
      <c r="AI332" s="18"/>
      <c r="AJ332" s="18"/>
      <c r="AK332" s="23">
        <f>SUMIFS('지출'!$G$3:$G1000,'지출'!$J$3:$J1000,AK$1,'지출'!$C$3:$C1000,"회기")</f>
        <v>0</v>
      </c>
      <c r="AL332" s="24"/>
      <c r="AM332" s="18"/>
      <c r="AN332" s="18"/>
      <c r="AO332" s="18"/>
      <c r="AP332" s="23">
        <f>SUMIFS('지출'!$G$3:$G1000,'지출'!$J$3:$J1000,AP$1,'지출'!$C$3:$C1000,"회기")</f>
        <v>0</v>
      </c>
      <c r="AQ332" s="24"/>
      <c r="AR332" s="18"/>
      <c r="AS332" s="18"/>
      <c r="AT332" s="18"/>
      <c r="AU332" s="23">
        <f>SUMIFS('지출'!$G$3:$G1000,'지출'!$J$3:$J1000,AU$1,'지출'!$C$3:$C1000,"회기")</f>
        <v>0</v>
      </c>
      <c r="AV332" s="24"/>
      <c r="AW332" s="18"/>
      <c r="AX332" s="18"/>
      <c r="AY332" s="18"/>
      <c r="AZ332" s="23">
        <f>SUMIFS('지출'!$G$3:$G1000,'지출'!$J$3:$J1000,AZ$1,'지출'!$C$3:$C1000,"회기")</f>
        <v>0</v>
      </c>
      <c r="BA332" s="24"/>
      <c r="BB332" s="18"/>
      <c r="BC332" s="18"/>
      <c r="BD332" s="18"/>
      <c r="BE332" s="23">
        <f>SUMIFS('지출'!$G$3:$G1000,'지출'!$J$3:$J1000,BE$1,'지출'!$C$3:$C1000,"회기")</f>
        <v>0</v>
      </c>
      <c r="BF332" s="24"/>
      <c r="BG332" s="18"/>
      <c r="BH332" s="18"/>
      <c r="BI332" s="18"/>
      <c r="BJ332" s="23">
        <f>SUMIFS('지출'!$G$3:$G1000,'지출'!$J$3:$J1000,BJ$1,'지출'!$C$3:$C1000,"회기")</f>
        <v>0</v>
      </c>
      <c r="BK332" s="19"/>
      <c r="BL332" s="18"/>
      <c r="BM332" s="18"/>
      <c r="BN332" s="18"/>
      <c r="BO332" s="23">
        <f>SUMIFS('지출'!$G$3:$G1000,'지출'!$J$3:$J1000,BO$1,'지출'!$C$3:$C1000,"회기")</f>
        <v>0</v>
      </c>
      <c r="BP332" s="19"/>
      <c r="BQ332" s="17" t="s">
        <v>321</v>
      </c>
      <c r="BR332" s="1"/>
      <c r="BS332" s="1"/>
      <c r="BT332" s="1"/>
      <c r="BU332" s="1"/>
    </row>
    <row r="333">
      <c r="A333" s="1"/>
      <c r="B333" s="63"/>
      <c r="C333" s="11" t="s">
        <v>56</v>
      </c>
      <c r="D333" s="22"/>
      <c r="E333" s="23">
        <f>E324-(SUM(E325:E332))</f>
        <v>0</v>
      </c>
      <c r="F333" s="18"/>
      <c r="G333" s="23">
        <f>G324-(SUM(G325:G332))</f>
        <v>0</v>
      </c>
      <c r="H333" s="19"/>
      <c r="I333" s="22"/>
      <c r="J333" s="23">
        <f>J324-(SUM(J325:J332))</f>
        <v>0</v>
      </c>
      <c r="K333" s="18"/>
      <c r="L333" s="23">
        <f>L324-(SUM(L325:L332))</f>
        <v>0</v>
      </c>
      <c r="M333" s="19"/>
      <c r="N333" s="22"/>
      <c r="O333" s="23">
        <f>O324-(SUM(O325:O332))</f>
        <v>0</v>
      </c>
      <c r="P333" s="18"/>
      <c r="Q333" s="23">
        <f>Q324-(SUM(Q325:Q332))</f>
        <v>0</v>
      </c>
      <c r="R333" s="19"/>
      <c r="S333" s="22"/>
      <c r="T333" s="23">
        <f>T324-(SUM(T325:T332))</f>
        <v>0</v>
      </c>
      <c r="U333" s="18"/>
      <c r="V333" s="23">
        <f>V324-(SUM(V325:V332))</f>
        <v>0</v>
      </c>
      <c r="W333" s="19"/>
      <c r="X333" s="18"/>
      <c r="Y333" s="23">
        <f>Y324-(SUM(Y325:Y332))</f>
        <v>0</v>
      </c>
      <c r="Z333" s="18"/>
      <c r="AA333" s="23">
        <f>AA324-(SUM(AA325:AA332))</f>
        <v>0</v>
      </c>
      <c r="AB333" s="19"/>
      <c r="AC333" s="18"/>
      <c r="AD333" s="23">
        <f>AD324-(SUM(AD325:AD332))</f>
        <v>0</v>
      </c>
      <c r="AE333" s="18"/>
      <c r="AF333" s="23">
        <f>AF324-(SUM(AF325:AF332))</f>
        <v>0</v>
      </c>
      <c r="AG333" s="19"/>
      <c r="AH333" s="18"/>
      <c r="AI333" s="23">
        <f>AI324-(SUM(AI325:AI332))</f>
        <v>0</v>
      </c>
      <c r="AJ333" s="18"/>
      <c r="AK333" s="23">
        <f>AK324-(SUM(AK325:AK332))</f>
        <v>0</v>
      </c>
      <c r="AL333" s="19"/>
      <c r="AM333" s="18"/>
      <c r="AN333" s="23">
        <f>AN324-(SUM(AN325:AN332))</f>
        <v>-681613</v>
      </c>
      <c r="AO333" s="18"/>
      <c r="AP333" s="23">
        <f>AP324-(SUM(AP325:AP332))</f>
        <v>2581</v>
      </c>
      <c r="AQ333" s="19"/>
      <c r="AR333" s="22"/>
      <c r="AS333" s="23">
        <f>AS324-(SUM(AS325:AS332))</f>
        <v>1012000</v>
      </c>
      <c r="AT333" s="18"/>
      <c r="AU333" s="23">
        <f>AU324-(SUM(AU325:AU332))</f>
        <v>258666</v>
      </c>
      <c r="AV333" s="19"/>
      <c r="AW333" s="22"/>
      <c r="AX333" s="23">
        <f>AX324-(SUM(AX325:AX332))</f>
        <v>1420000</v>
      </c>
      <c r="AY333" s="18"/>
      <c r="AZ333" s="23">
        <f>AZ324-(SUM(AZ325:AZ332))</f>
        <v>320000</v>
      </c>
      <c r="BA333" s="19"/>
      <c r="BB333" s="22"/>
      <c r="BC333" s="23">
        <f>BC324-(SUM(BC325:BC332))</f>
        <v>1420000</v>
      </c>
      <c r="BD333" s="18"/>
      <c r="BE333" s="23">
        <f>BE324-(SUM(BE325:BE332))</f>
        <v>277940</v>
      </c>
      <c r="BF333" s="19"/>
      <c r="BG333" s="22"/>
      <c r="BH333" s="23">
        <f>BH324-(SUM(BH325:BH332))</f>
        <v>1420000</v>
      </c>
      <c r="BI333" s="18"/>
      <c r="BJ333" s="23">
        <f>BJ324-(SUM(BJ325:BJ332))</f>
        <v>144370</v>
      </c>
      <c r="BK333" s="19"/>
      <c r="BL333" s="22"/>
      <c r="BM333" s="23">
        <f>BM324-(SUM(BM325:BM332))</f>
        <v>1420000</v>
      </c>
      <c r="BN333" s="18"/>
      <c r="BO333" s="23">
        <f>BO324-(SUM(BO325:BO332))</f>
        <v>320000</v>
      </c>
      <c r="BP333" s="19"/>
      <c r="BQ333" s="17" t="s">
        <v>321</v>
      </c>
      <c r="BR333" s="1"/>
      <c r="BS333" s="1"/>
      <c r="BT333" s="1"/>
      <c r="BU333" s="1"/>
    </row>
    <row r="334">
      <c r="A334" s="1"/>
      <c r="B334" s="64">
        <v>0.0</v>
      </c>
      <c r="C334" s="11" t="s">
        <v>26</v>
      </c>
      <c r="D334" s="22"/>
      <c r="E334" s="23">
        <f>E333*$B334</f>
        <v>0</v>
      </c>
      <c r="F334" s="18"/>
      <c r="G334" s="18"/>
      <c r="H334" s="19"/>
      <c r="I334" s="22"/>
      <c r="J334" s="23">
        <f>J333*$B334</f>
        <v>0</v>
      </c>
      <c r="K334" s="18"/>
      <c r="L334" s="18"/>
      <c r="M334" s="19"/>
      <c r="N334" s="22"/>
      <c r="O334" s="23">
        <f>O333*$B334</f>
        <v>0</v>
      </c>
      <c r="P334" s="18"/>
      <c r="Q334" s="18"/>
      <c r="R334" s="19"/>
      <c r="S334" s="22"/>
      <c r="T334" s="23">
        <f>T333*$B334</f>
        <v>0</v>
      </c>
      <c r="U334" s="18"/>
      <c r="V334" s="18"/>
      <c r="W334" s="19"/>
      <c r="X334" s="18"/>
      <c r="Y334" s="23">
        <f>Y333*$B334</f>
        <v>0</v>
      </c>
      <c r="Z334" s="18"/>
      <c r="AA334" s="18"/>
      <c r="AB334" s="19"/>
      <c r="AC334" s="18"/>
      <c r="AD334" s="23">
        <f>AD333*$B334</f>
        <v>0</v>
      </c>
      <c r="AE334" s="18"/>
      <c r="AF334" s="18"/>
      <c r="AG334" s="19"/>
      <c r="AH334" s="18"/>
      <c r="AI334" s="23">
        <f>AI333*$B334</f>
        <v>0</v>
      </c>
      <c r="AJ334" s="18"/>
      <c r="AK334" s="18"/>
      <c r="AL334" s="19"/>
      <c r="AM334" s="18"/>
      <c r="AN334" s="23">
        <f>AN333*$B334</f>
        <v>0</v>
      </c>
      <c r="AO334" s="18"/>
      <c r="AP334" s="18"/>
      <c r="AQ334" s="19"/>
      <c r="AR334" s="22"/>
      <c r="AS334" s="23">
        <f>AS333*$B334</f>
        <v>0</v>
      </c>
      <c r="AT334" s="18"/>
      <c r="AU334" s="18"/>
      <c r="AV334" s="19"/>
      <c r="AW334" s="22"/>
      <c r="AX334" s="23">
        <f>AX333*$B334</f>
        <v>0</v>
      </c>
      <c r="AY334" s="18"/>
      <c r="AZ334" s="18"/>
      <c r="BA334" s="19"/>
      <c r="BB334" s="22"/>
      <c r="BC334" s="23">
        <f>BC333*$B334</f>
        <v>0</v>
      </c>
      <c r="BD334" s="18"/>
      <c r="BE334" s="18"/>
      <c r="BF334" s="19"/>
      <c r="BG334" s="22"/>
      <c r="BH334" s="23">
        <f>BH333*$B334</f>
        <v>0</v>
      </c>
      <c r="BI334" s="18"/>
      <c r="BJ334" s="18"/>
      <c r="BK334" s="19"/>
      <c r="BL334" s="22"/>
      <c r="BM334" s="23">
        <f>BM333*$B334</f>
        <v>0</v>
      </c>
      <c r="BN334" s="18"/>
      <c r="BO334" s="18"/>
      <c r="BP334" s="19"/>
      <c r="BQ334" s="17" t="s">
        <v>321</v>
      </c>
      <c r="BR334" s="1"/>
      <c r="BS334" s="1"/>
      <c r="BT334" s="1"/>
      <c r="BU334" s="1"/>
    </row>
    <row r="335">
      <c r="A335" s="56" t="str">
        <f>B320</f>
        <v>시립</v>
      </c>
      <c r="B335" s="65">
        <v>1.0</v>
      </c>
      <c r="C335" s="30" t="s">
        <v>57</v>
      </c>
      <c r="D335" s="31"/>
      <c r="E335" s="32">
        <f>E333*$B335</f>
        <v>0</v>
      </c>
      <c r="F335" s="33"/>
      <c r="G335" s="33"/>
      <c r="H335" s="34"/>
      <c r="I335" s="31"/>
      <c r="J335" s="32">
        <f>J333*$B335</f>
        <v>0</v>
      </c>
      <c r="K335" s="33"/>
      <c r="L335" s="33"/>
      <c r="M335" s="34"/>
      <c r="N335" s="31"/>
      <c r="O335" s="32">
        <f>O333*$B335</f>
        <v>0</v>
      </c>
      <c r="P335" s="33"/>
      <c r="Q335" s="33"/>
      <c r="R335" s="34"/>
      <c r="S335" s="31"/>
      <c r="T335" s="32">
        <f>T333*$B335</f>
        <v>0</v>
      </c>
      <c r="U335" s="33"/>
      <c r="V335" s="33"/>
      <c r="W335" s="34"/>
      <c r="X335" s="33"/>
      <c r="Y335" s="32">
        <f>Y333*$B335</f>
        <v>0</v>
      </c>
      <c r="Z335" s="33"/>
      <c r="AA335" s="33"/>
      <c r="AB335" s="34"/>
      <c r="AC335" s="33"/>
      <c r="AD335" s="32">
        <f>AD333*$B335</f>
        <v>0</v>
      </c>
      <c r="AE335" s="33"/>
      <c r="AF335" s="33"/>
      <c r="AG335" s="34"/>
      <c r="AH335" s="33"/>
      <c r="AI335" s="32">
        <f>AI333*$B335</f>
        <v>0</v>
      </c>
      <c r="AJ335" s="33"/>
      <c r="AK335" s="33"/>
      <c r="AL335" s="34"/>
      <c r="AM335" s="33"/>
      <c r="AN335" s="32">
        <f>AN333*$B335</f>
        <v>-681613</v>
      </c>
      <c r="AO335" s="33"/>
      <c r="AP335" s="33"/>
      <c r="AQ335" s="34"/>
      <c r="AR335" s="31"/>
      <c r="AS335" s="32">
        <f>AS333*$B335</f>
        <v>1012000</v>
      </c>
      <c r="AT335" s="33"/>
      <c r="AU335" s="33"/>
      <c r="AV335" s="34"/>
      <c r="AW335" s="31"/>
      <c r="AX335" s="32">
        <f>AX333*$B335</f>
        <v>1420000</v>
      </c>
      <c r="AY335" s="33"/>
      <c r="AZ335" s="33"/>
      <c r="BA335" s="34"/>
      <c r="BB335" s="31"/>
      <c r="BC335" s="32">
        <f>BC333*$B335</f>
        <v>1420000</v>
      </c>
      <c r="BD335" s="33"/>
      <c r="BE335" s="33"/>
      <c r="BF335" s="34"/>
      <c r="BG335" s="31"/>
      <c r="BH335" s="32">
        <f>BH333*$B335</f>
        <v>1420000</v>
      </c>
      <c r="BI335" s="33"/>
      <c r="BJ335" s="33"/>
      <c r="BK335" s="34"/>
      <c r="BL335" s="31"/>
      <c r="BM335" s="32">
        <f>BM333*$B335</f>
        <v>1420000</v>
      </c>
      <c r="BN335" s="33"/>
      <c r="BO335" s="33"/>
      <c r="BP335" s="34"/>
      <c r="BQ335" s="17" t="s">
        <v>321</v>
      </c>
      <c r="BR335" s="1"/>
      <c r="BS335" s="1"/>
      <c r="BT335" s="1"/>
      <c r="BU335" s="1"/>
    </row>
    <row r="336">
      <c r="A336" s="1"/>
      <c r="B336" s="10" t="s">
        <v>610</v>
      </c>
      <c r="C336" s="11" t="s">
        <v>506</v>
      </c>
      <c r="D336" s="20" t="s">
        <v>611</v>
      </c>
      <c r="E336" s="23">
        <v>640000.0</v>
      </c>
      <c r="F336" s="35" t="b">
        <v>1</v>
      </c>
      <c r="G336" s="23">
        <v>100000.0</v>
      </c>
      <c r="H336" s="15" t="b">
        <v>1</v>
      </c>
      <c r="I336" s="20" t="s">
        <v>612</v>
      </c>
      <c r="J336" s="23">
        <f>100000+400000+132414</f>
        <v>632414</v>
      </c>
      <c r="K336" s="35" t="b">
        <v>1</v>
      </c>
      <c r="L336" s="23">
        <v>20690.0</v>
      </c>
      <c r="M336" s="15" t="b">
        <v>1</v>
      </c>
      <c r="N336" s="20" t="s">
        <v>613</v>
      </c>
      <c r="O336" s="23">
        <f>640000</f>
        <v>640000</v>
      </c>
      <c r="P336" s="35" t="b">
        <v>1</v>
      </c>
      <c r="Q336" s="23">
        <v>100000.0</v>
      </c>
      <c r="R336" s="15" t="b">
        <v>1</v>
      </c>
      <c r="S336" s="20" t="s">
        <v>613</v>
      </c>
      <c r="T336" s="23">
        <f>640000</f>
        <v>640000</v>
      </c>
      <c r="U336" s="35" t="b">
        <v>1</v>
      </c>
      <c r="V336" s="23">
        <v>100000.0</v>
      </c>
      <c r="W336" s="15" t="b">
        <v>1</v>
      </c>
      <c r="X336" s="20" t="s">
        <v>613</v>
      </c>
      <c r="Y336" s="23">
        <f>640000</f>
        <v>640000</v>
      </c>
      <c r="Z336" s="35" t="b">
        <v>1</v>
      </c>
      <c r="AA336" s="23">
        <v>100000.0</v>
      </c>
      <c r="AB336" s="15" t="b">
        <v>1</v>
      </c>
      <c r="AC336" s="20" t="s">
        <v>613</v>
      </c>
      <c r="AD336" s="23">
        <f>640000</f>
        <v>640000</v>
      </c>
      <c r="AE336" s="35" t="b">
        <v>1</v>
      </c>
      <c r="AF336" s="23">
        <v>100000.0</v>
      </c>
      <c r="AG336" s="15" t="b">
        <v>1</v>
      </c>
      <c r="AH336" s="20" t="s">
        <v>613</v>
      </c>
      <c r="AI336" s="23">
        <f>640000</f>
        <v>640000</v>
      </c>
      <c r="AJ336" s="35" t="b">
        <v>1</v>
      </c>
      <c r="AK336" s="23">
        <v>100000.0</v>
      </c>
      <c r="AL336" s="15" t="b">
        <v>1</v>
      </c>
      <c r="AM336" s="20" t="s">
        <v>613</v>
      </c>
      <c r="AN336" s="23">
        <f>640000</f>
        <v>640000</v>
      </c>
      <c r="AO336" s="35" t="b">
        <v>1</v>
      </c>
      <c r="AP336" s="23">
        <v>100000.0</v>
      </c>
      <c r="AQ336" s="15" t="b">
        <v>1</v>
      </c>
      <c r="AR336" s="20" t="s">
        <v>613</v>
      </c>
      <c r="AS336" s="23">
        <f>640000</f>
        <v>640000</v>
      </c>
      <c r="AT336" s="35" t="b">
        <v>1</v>
      </c>
      <c r="AU336" s="23">
        <v>100000.0</v>
      </c>
      <c r="AV336" s="15" t="b">
        <v>1</v>
      </c>
      <c r="AW336" s="20" t="s">
        <v>613</v>
      </c>
      <c r="AX336" s="23">
        <f>640000</f>
        <v>640000</v>
      </c>
      <c r="AY336" s="35" t="b">
        <v>1</v>
      </c>
      <c r="AZ336" s="23">
        <v>100000.0</v>
      </c>
      <c r="BA336" s="15" t="b">
        <v>1</v>
      </c>
      <c r="BB336" s="20" t="s">
        <v>613</v>
      </c>
      <c r="BC336" s="23">
        <f>640000</f>
        <v>640000</v>
      </c>
      <c r="BD336" s="35" t="b">
        <v>1</v>
      </c>
      <c r="BE336" s="23">
        <v>100000.0</v>
      </c>
      <c r="BF336" s="15" t="b">
        <v>1</v>
      </c>
      <c r="BG336" s="20" t="s">
        <v>613</v>
      </c>
      <c r="BH336" s="23">
        <f>640000</f>
        <v>640000</v>
      </c>
      <c r="BI336" s="35" t="b">
        <v>1</v>
      </c>
      <c r="BJ336" s="23">
        <v>100000.0</v>
      </c>
      <c r="BK336" s="15" t="b">
        <v>1</v>
      </c>
      <c r="BL336" s="20" t="s">
        <v>613</v>
      </c>
      <c r="BM336" s="23">
        <f>640000</f>
        <v>640000</v>
      </c>
      <c r="BN336" s="35" t="b">
        <v>0</v>
      </c>
      <c r="BO336" s="23">
        <v>100000.0</v>
      </c>
      <c r="BP336" s="15" t="b">
        <v>0</v>
      </c>
      <c r="BQ336" s="17" t="s">
        <v>216</v>
      </c>
      <c r="BR336" s="1"/>
      <c r="BS336" s="1"/>
      <c r="BT336" s="1"/>
      <c r="BU336" s="1"/>
    </row>
    <row r="337">
      <c r="A337" s="1"/>
      <c r="B337" s="10" t="s">
        <v>610</v>
      </c>
      <c r="C337" s="11" t="s">
        <v>614</v>
      </c>
      <c r="D337" s="20" t="s">
        <v>615</v>
      </c>
      <c r="E337" s="23">
        <v>650000.0</v>
      </c>
      <c r="F337" s="35" t="b">
        <v>1</v>
      </c>
      <c r="G337" s="23">
        <v>100000.0</v>
      </c>
      <c r="H337" s="15" t="b">
        <v>1</v>
      </c>
      <c r="I337" s="20" t="s">
        <v>37</v>
      </c>
      <c r="J337" s="18"/>
      <c r="K337" s="1"/>
      <c r="L337" s="18"/>
      <c r="M337" s="19"/>
      <c r="N337" s="20" t="s">
        <v>616</v>
      </c>
      <c r="O337" s="23">
        <v>600000.0</v>
      </c>
      <c r="P337" s="35" t="b">
        <v>1</v>
      </c>
      <c r="Q337" s="23">
        <v>100000.0</v>
      </c>
      <c r="R337" s="15" t="b">
        <v>1</v>
      </c>
      <c r="S337" s="20" t="s">
        <v>617</v>
      </c>
      <c r="T337" s="23">
        <v>600000.0</v>
      </c>
      <c r="U337" s="35" t="b">
        <v>1</v>
      </c>
      <c r="V337" s="23">
        <v>100000.0</v>
      </c>
      <c r="W337" s="15" t="b">
        <v>1</v>
      </c>
      <c r="X337" s="20" t="s">
        <v>617</v>
      </c>
      <c r="Y337" s="23">
        <v>600000.0</v>
      </c>
      <c r="Z337" s="35" t="b">
        <v>1</v>
      </c>
      <c r="AA337" s="23">
        <v>100000.0</v>
      </c>
      <c r="AB337" s="15" t="b">
        <v>1</v>
      </c>
      <c r="AC337" s="20" t="s">
        <v>617</v>
      </c>
      <c r="AD337" s="23">
        <v>600000.0</v>
      </c>
      <c r="AE337" s="35" t="b">
        <v>1</v>
      </c>
      <c r="AF337" s="23">
        <v>100000.0</v>
      </c>
      <c r="AG337" s="15" t="b">
        <v>1</v>
      </c>
      <c r="AH337" s="20" t="s">
        <v>617</v>
      </c>
      <c r="AI337" s="23">
        <v>600000.0</v>
      </c>
      <c r="AJ337" s="35" t="b">
        <v>1</v>
      </c>
      <c r="AK337" s="23">
        <v>100000.0</v>
      </c>
      <c r="AL337" s="15" t="b">
        <v>1</v>
      </c>
      <c r="AM337" s="20" t="s">
        <v>617</v>
      </c>
      <c r="AN337" s="23">
        <v>600000.0</v>
      </c>
      <c r="AO337" s="35" t="b">
        <v>1</v>
      </c>
      <c r="AP337" s="23">
        <v>100000.0</v>
      </c>
      <c r="AQ337" s="15" t="b">
        <v>1</v>
      </c>
      <c r="AR337" s="20" t="s">
        <v>617</v>
      </c>
      <c r="AS337" s="23">
        <v>580000.0</v>
      </c>
      <c r="AT337" s="35" t="b">
        <v>1</v>
      </c>
      <c r="AU337" s="23">
        <v>100000.0</v>
      </c>
      <c r="AV337" s="15" t="b">
        <v>1</v>
      </c>
      <c r="AW337" s="20" t="s">
        <v>617</v>
      </c>
      <c r="AX337" s="23">
        <v>580000.0</v>
      </c>
      <c r="AY337" s="35" t="b">
        <v>1</v>
      </c>
      <c r="AZ337" s="23">
        <v>100000.0</v>
      </c>
      <c r="BA337" s="15" t="b">
        <v>1</v>
      </c>
      <c r="BB337" s="20" t="s">
        <v>617</v>
      </c>
      <c r="BC337" s="23">
        <v>580000.0</v>
      </c>
      <c r="BD337" s="35" t="b">
        <v>1</v>
      </c>
      <c r="BE337" s="23">
        <v>100000.0</v>
      </c>
      <c r="BF337" s="15" t="b">
        <v>1</v>
      </c>
      <c r="BG337" s="20" t="s">
        <v>617</v>
      </c>
      <c r="BH337" s="23">
        <v>580000.0</v>
      </c>
      <c r="BI337" s="35" t="b">
        <v>1</v>
      </c>
      <c r="BJ337" s="23">
        <v>100000.0</v>
      </c>
      <c r="BK337" s="15" t="b">
        <v>1</v>
      </c>
      <c r="BL337" s="20" t="s">
        <v>617</v>
      </c>
      <c r="BM337" s="23">
        <v>580000.0</v>
      </c>
      <c r="BN337" s="35" t="b">
        <v>0</v>
      </c>
      <c r="BO337" s="23">
        <v>100000.0</v>
      </c>
      <c r="BP337" s="15" t="b">
        <v>0</v>
      </c>
      <c r="BQ337" s="17" t="s">
        <v>216</v>
      </c>
      <c r="BR337" s="1"/>
      <c r="BS337" s="1"/>
      <c r="BT337" s="1"/>
      <c r="BU337" s="1"/>
    </row>
    <row r="338">
      <c r="A338" s="1"/>
      <c r="B338" s="10" t="s">
        <v>610</v>
      </c>
      <c r="C338" s="11" t="s">
        <v>618</v>
      </c>
      <c r="D338" s="20" t="s">
        <v>619</v>
      </c>
      <c r="E338" s="23">
        <v>620000.0</v>
      </c>
      <c r="F338" s="35" t="b">
        <v>0</v>
      </c>
      <c r="G338" s="23">
        <v>100000.0</v>
      </c>
      <c r="H338" s="15" t="b">
        <v>1</v>
      </c>
      <c r="I338" s="20" t="s">
        <v>619</v>
      </c>
      <c r="J338" s="23">
        <v>620000.0</v>
      </c>
      <c r="K338" s="35" t="b">
        <v>1</v>
      </c>
      <c r="L338" s="23">
        <v>100000.0</v>
      </c>
      <c r="M338" s="15" t="b">
        <v>1</v>
      </c>
      <c r="N338" s="20" t="s">
        <v>619</v>
      </c>
      <c r="O338" s="23">
        <v>620000.0</v>
      </c>
      <c r="P338" s="35" t="b">
        <v>1</v>
      </c>
      <c r="Q338" s="23">
        <v>100000.0</v>
      </c>
      <c r="R338" s="15" t="b">
        <v>1</v>
      </c>
      <c r="S338" s="20" t="s">
        <v>619</v>
      </c>
      <c r="T338" s="23">
        <v>620000.0</v>
      </c>
      <c r="U338" s="35" t="b">
        <v>1</v>
      </c>
      <c r="V338" s="23">
        <v>100000.0</v>
      </c>
      <c r="W338" s="15" t="b">
        <v>1</v>
      </c>
      <c r="X338" s="20" t="s">
        <v>619</v>
      </c>
      <c r="Y338" s="23">
        <v>620000.0</v>
      </c>
      <c r="Z338" s="35" t="b">
        <v>1</v>
      </c>
      <c r="AA338" s="23">
        <v>100000.0</v>
      </c>
      <c r="AB338" s="15" t="b">
        <v>1</v>
      </c>
      <c r="AC338" s="20" t="s">
        <v>619</v>
      </c>
      <c r="AD338" s="23">
        <v>620000.0</v>
      </c>
      <c r="AE338" s="35" t="b">
        <v>1</v>
      </c>
      <c r="AF338" s="23">
        <v>100000.0</v>
      </c>
      <c r="AG338" s="15" t="b">
        <v>1</v>
      </c>
      <c r="AH338" s="20" t="s">
        <v>619</v>
      </c>
      <c r="AI338" s="23">
        <v>620000.0</v>
      </c>
      <c r="AJ338" s="35" t="b">
        <v>1</v>
      </c>
      <c r="AK338" s="23">
        <v>100000.0</v>
      </c>
      <c r="AL338" s="15" t="b">
        <v>1</v>
      </c>
      <c r="AM338" s="20" t="s">
        <v>619</v>
      </c>
      <c r="AN338" s="23">
        <v>620000.0</v>
      </c>
      <c r="AO338" s="35" t="b">
        <v>1</v>
      </c>
      <c r="AP338" s="23">
        <v>100000.0</v>
      </c>
      <c r="AQ338" s="15" t="b">
        <v>1</v>
      </c>
      <c r="AR338" s="20" t="s">
        <v>619</v>
      </c>
      <c r="AS338" s="23">
        <v>620000.0</v>
      </c>
      <c r="AT338" s="35" t="b">
        <v>1</v>
      </c>
      <c r="AU338" s="23">
        <v>100000.0</v>
      </c>
      <c r="AV338" s="15" t="b">
        <v>1</v>
      </c>
      <c r="AW338" s="20" t="s">
        <v>619</v>
      </c>
      <c r="AX338" s="23">
        <v>620000.0</v>
      </c>
      <c r="AY338" s="35" t="b">
        <v>1</v>
      </c>
      <c r="AZ338" s="23">
        <v>100000.0</v>
      </c>
      <c r="BA338" s="15" t="b">
        <v>1</v>
      </c>
      <c r="BB338" s="20" t="s">
        <v>619</v>
      </c>
      <c r="BC338" s="23">
        <v>620000.0</v>
      </c>
      <c r="BD338" s="35" t="b">
        <v>1</v>
      </c>
      <c r="BE338" s="23">
        <v>100000.0</v>
      </c>
      <c r="BF338" s="15" t="b">
        <v>1</v>
      </c>
      <c r="BG338" s="20" t="s">
        <v>619</v>
      </c>
      <c r="BH338" s="23">
        <v>620000.0</v>
      </c>
      <c r="BI338" s="35" t="b">
        <v>1</v>
      </c>
      <c r="BJ338" s="23">
        <v>100000.0</v>
      </c>
      <c r="BK338" s="15" t="b">
        <v>1</v>
      </c>
      <c r="BL338" s="20" t="s">
        <v>619</v>
      </c>
      <c r="BM338" s="23">
        <v>620000.0</v>
      </c>
      <c r="BN338" s="35" t="b">
        <v>0</v>
      </c>
      <c r="BO338" s="23">
        <v>100000.0</v>
      </c>
      <c r="BP338" s="15" t="b">
        <v>0</v>
      </c>
      <c r="BQ338" s="17" t="s">
        <v>216</v>
      </c>
      <c r="BR338" s="1"/>
      <c r="BS338" s="1"/>
      <c r="BT338" s="1"/>
      <c r="BU338" s="1"/>
    </row>
    <row r="339">
      <c r="A339" s="1"/>
      <c r="B339" s="10" t="s">
        <v>610</v>
      </c>
      <c r="C339" s="11" t="s">
        <v>620</v>
      </c>
      <c r="D339" s="20" t="s">
        <v>621</v>
      </c>
      <c r="E339" s="23">
        <v>600000.0</v>
      </c>
      <c r="F339" s="35" t="b">
        <v>1</v>
      </c>
      <c r="G339" s="23">
        <v>100000.0</v>
      </c>
      <c r="H339" s="15" t="b">
        <v>1</v>
      </c>
      <c r="I339" s="20" t="s">
        <v>621</v>
      </c>
      <c r="J339" s="23">
        <v>600000.0</v>
      </c>
      <c r="K339" s="35" t="b">
        <v>1</v>
      </c>
      <c r="L339" s="23">
        <v>100000.0</v>
      </c>
      <c r="M339" s="15" t="b">
        <v>1</v>
      </c>
      <c r="N339" s="20" t="s">
        <v>621</v>
      </c>
      <c r="O339" s="23">
        <v>600000.0</v>
      </c>
      <c r="P339" s="35" t="b">
        <v>1</v>
      </c>
      <c r="Q339" s="23">
        <v>100000.0</v>
      </c>
      <c r="R339" s="15" t="b">
        <v>1</v>
      </c>
      <c r="S339" s="20" t="s">
        <v>621</v>
      </c>
      <c r="T339" s="23">
        <v>600000.0</v>
      </c>
      <c r="U339" s="35" t="b">
        <v>1</v>
      </c>
      <c r="V339" s="23">
        <v>100000.0</v>
      </c>
      <c r="W339" s="15" t="b">
        <v>1</v>
      </c>
      <c r="X339" s="20" t="s">
        <v>621</v>
      </c>
      <c r="Y339" s="23">
        <v>600000.0</v>
      </c>
      <c r="Z339" s="35" t="b">
        <v>1</v>
      </c>
      <c r="AA339" s="23">
        <v>100000.0</v>
      </c>
      <c r="AB339" s="15" t="b">
        <v>1</v>
      </c>
      <c r="AC339" s="20" t="s">
        <v>621</v>
      </c>
      <c r="AD339" s="23">
        <v>600000.0</v>
      </c>
      <c r="AE339" s="35" t="b">
        <v>1</v>
      </c>
      <c r="AF339" s="23">
        <v>100000.0</v>
      </c>
      <c r="AG339" s="15" t="b">
        <v>1</v>
      </c>
      <c r="AH339" s="20" t="s">
        <v>621</v>
      </c>
      <c r="AI339" s="23">
        <v>600000.0</v>
      </c>
      <c r="AJ339" s="35" t="b">
        <v>1</v>
      </c>
      <c r="AK339" s="23">
        <v>100000.0</v>
      </c>
      <c r="AL339" s="15" t="b">
        <v>1</v>
      </c>
      <c r="AM339" s="20" t="s">
        <v>621</v>
      </c>
      <c r="AN339" s="23">
        <v>600000.0</v>
      </c>
      <c r="AO339" s="35" t="b">
        <v>1</v>
      </c>
      <c r="AP339" s="23">
        <v>100000.0</v>
      </c>
      <c r="AQ339" s="15" t="b">
        <v>1</v>
      </c>
      <c r="AR339" s="20" t="s">
        <v>621</v>
      </c>
      <c r="AS339" s="23">
        <v>600000.0</v>
      </c>
      <c r="AT339" s="35" t="b">
        <v>1</v>
      </c>
      <c r="AU339" s="23">
        <v>100000.0</v>
      </c>
      <c r="AV339" s="15" t="b">
        <v>1</v>
      </c>
      <c r="AW339" s="20" t="s">
        <v>621</v>
      </c>
      <c r="AX339" s="23">
        <v>600000.0</v>
      </c>
      <c r="AY339" s="35" t="b">
        <v>1</v>
      </c>
      <c r="AZ339" s="23">
        <v>100000.0</v>
      </c>
      <c r="BA339" s="15" t="b">
        <v>1</v>
      </c>
      <c r="BB339" s="20" t="s">
        <v>621</v>
      </c>
      <c r="BC339" s="23">
        <v>600000.0</v>
      </c>
      <c r="BD339" s="35" t="b">
        <v>1</v>
      </c>
      <c r="BE339" s="23">
        <v>100000.0</v>
      </c>
      <c r="BF339" s="15" t="b">
        <v>1</v>
      </c>
      <c r="BG339" s="20" t="s">
        <v>621</v>
      </c>
      <c r="BH339" s="23">
        <v>600000.0</v>
      </c>
      <c r="BI339" s="35" t="b">
        <v>1</v>
      </c>
      <c r="BJ339" s="23">
        <v>100000.0</v>
      </c>
      <c r="BK339" s="15" t="b">
        <v>1</v>
      </c>
      <c r="BL339" s="20" t="s">
        <v>621</v>
      </c>
      <c r="BM339" s="23">
        <v>600000.0</v>
      </c>
      <c r="BN339" s="35" t="b">
        <v>0</v>
      </c>
      <c r="BO339" s="23">
        <v>100000.0</v>
      </c>
      <c r="BP339" s="15" t="b">
        <v>0</v>
      </c>
      <c r="BQ339" s="17" t="s">
        <v>216</v>
      </c>
      <c r="BR339" s="1"/>
      <c r="BS339" s="1"/>
      <c r="BT339" s="1"/>
      <c r="BU339" s="1"/>
    </row>
    <row r="340">
      <c r="A340" s="1"/>
      <c r="B340" s="10" t="s">
        <v>610</v>
      </c>
      <c r="C340" s="11" t="s">
        <v>622</v>
      </c>
      <c r="D340" s="20" t="s">
        <v>623</v>
      </c>
      <c r="E340" s="23">
        <v>700000.0</v>
      </c>
      <c r="F340" s="35" t="b">
        <v>1</v>
      </c>
      <c r="G340" s="23">
        <v>150000.0</v>
      </c>
      <c r="H340" s="15" t="b">
        <v>1</v>
      </c>
      <c r="I340" s="20" t="s">
        <v>624</v>
      </c>
      <c r="J340" s="23">
        <f>700000+700000</f>
        <v>1400000</v>
      </c>
      <c r="K340" s="35" t="b">
        <v>1</v>
      </c>
      <c r="L340" s="23">
        <f>150000*2</f>
        <v>300000</v>
      </c>
      <c r="M340" s="15" t="b">
        <v>1</v>
      </c>
      <c r="N340" s="20" t="s">
        <v>615</v>
      </c>
      <c r="O340" s="23">
        <v>700000.0</v>
      </c>
      <c r="P340" s="35" t="b">
        <v>1</v>
      </c>
      <c r="Q340" s="23">
        <v>150000.0</v>
      </c>
      <c r="R340" s="15" t="b">
        <v>1</v>
      </c>
      <c r="S340" s="20" t="s">
        <v>615</v>
      </c>
      <c r="T340" s="23">
        <v>700000.0</v>
      </c>
      <c r="U340" s="35" t="b">
        <v>1</v>
      </c>
      <c r="V340" s="23">
        <v>150000.0</v>
      </c>
      <c r="W340" s="15" t="b">
        <v>1</v>
      </c>
      <c r="X340" s="20" t="s">
        <v>615</v>
      </c>
      <c r="Y340" s="23">
        <v>700000.0</v>
      </c>
      <c r="Z340" s="35" t="b">
        <v>1</v>
      </c>
      <c r="AA340" s="23">
        <v>100000.0</v>
      </c>
      <c r="AB340" s="15" t="b">
        <v>1</v>
      </c>
      <c r="AC340" s="20" t="s">
        <v>615</v>
      </c>
      <c r="AD340" s="23">
        <v>700000.0</v>
      </c>
      <c r="AE340" s="35" t="b">
        <v>1</v>
      </c>
      <c r="AF340" s="23">
        <v>150000.0</v>
      </c>
      <c r="AG340" s="15" t="b">
        <v>1</v>
      </c>
      <c r="AH340" s="20" t="s">
        <v>615</v>
      </c>
      <c r="AI340" s="23">
        <v>700000.0</v>
      </c>
      <c r="AJ340" s="35" t="b">
        <v>1</v>
      </c>
      <c r="AK340" s="23">
        <v>150000.0</v>
      </c>
      <c r="AL340" s="15" t="b">
        <v>1</v>
      </c>
      <c r="AM340" s="20" t="s">
        <v>615</v>
      </c>
      <c r="AN340" s="23">
        <v>700000.0</v>
      </c>
      <c r="AO340" s="35" t="b">
        <v>1</v>
      </c>
      <c r="AP340" s="23">
        <v>150000.0</v>
      </c>
      <c r="AQ340" s="15" t="b">
        <v>1</v>
      </c>
      <c r="AR340" s="20" t="s">
        <v>615</v>
      </c>
      <c r="AS340" s="23">
        <v>700000.0</v>
      </c>
      <c r="AT340" s="35" t="b">
        <v>1</v>
      </c>
      <c r="AU340" s="23">
        <v>150000.0</v>
      </c>
      <c r="AV340" s="15" t="b">
        <v>1</v>
      </c>
      <c r="AW340" s="20" t="s">
        <v>615</v>
      </c>
      <c r="AX340" s="23">
        <v>700000.0</v>
      </c>
      <c r="AY340" s="35" t="b">
        <v>1</v>
      </c>
      <c r="AZ340" s="23">
        <v>100000.0</v>
      </c>
      <c r="BA340" s="15" t="b">
        <v>1</v>
      </c>
      <c r="BB340" s="20" t="s">
        <v>615</v>
      </c>
      <c r="BC340" s="23">
        <v>700000.0</v>
      </c>
      <c r="BD340" s="35" t="b">
        <v>1</v>
      </c>
      <c r="BE340" s="23">
        <v>150000.0</v>
      </c>
      <c r="BF340" s="15" t="b">
        <v>1</v>
      </c>
      <c r="BG340" s="20" t="s">
        <v>615</v>
      </c>
      <c r="BH340" s="23">
        <v>700000.0</v>
      </c>
      <c r="BI340" s="35" t="b">
        <v>1</v>
      </c>
      <c r="BJ340" s="23">
        <v>150000.0</v>
      </c>
      <c r="BK340" s="15" t="b">
        <v>1</v>
      </c>
      <c r="BL340" s="20" t="s">
        <v>615</v>
      </c>
      <c r="BM340" s="23">
        <v>700000.0</v>
      </c>
      <c r="BN340" s="35" t="b">
        <v>0</v>
      </c>
      <c r="BO340" s="23">
        <v>150000.0</v>
      </c>
      <c r="BP340" s="15" t="b">
        <v>0</v>
      </c>
      <c r="BQ340" s="17" t="s">
        <v>216</v>
      </c>
      <c r="BR340" s="1"/>
      <c r="BS340" s="1"/>
      <c r="BT340" s="1"/>
      <c r="BU340" s="1"/>
    </row>
    <row r="341">
      <c r="A341" s="1"/>
      <c r="B341" s="10" t="s">
        <v>610</v>
      </c>
      <c r="C341" s="11" t="s">
        <v>625</v>
      </c>
      <c r="D341" s="18"/>
      <c r="E341" s="18"/>
      <c r="F341" s="18"/>
      <c r="G341" s="18"/>
      <c r="H341" s="19"/>
      <c r="I341" s="18"/>
      <c r="J341" s="18"/>
      <c r="K341" s="18"/>
      <c r="L341" s="18"/>
      <c r="M341" s="19"/>
      <c r="N341" s="18"/>
      <c r="O341" s="18"/>
      <c r="P341" s="18"/>
      <c r="Q341" s="18"/>
      <c r="R341" s="19"/>
      <c r="S341" s="18"/>
      <c r="T341" s="18"/>
      <c r="U341" s="18"/>
      <c r="V341" s="18"/>
      <c r="W341" s="19"/>
      <c r="X341" s="18"/>
      <c r="Y341" s="18"/>
      <c r="Z341" s="18"/>
      <c r="AA341" s="18"/>
      <c r="AB341" s="19"/>
      <c r="AC341" s="18"/>
      <c r="AD341" s="18"/>
      <c r="AE341" s="18"/>
      <c r="AF341" s="18"/>
      <c r="AG341" s="19"/>
      <c r="AH341" s="18"/>
      <c r="AI341" s="18"/>
      <c r="AJ341" s="18"/>
      <c r="AK341" s="18"/>
      <c r="AL341" s="19"/>
      <c r="AM341" s="18"/>
      <c r="AN341" s="18"/>
      <c r="AO341" s="18"/>
      <c r="AP341" s="18"/>
      <c r="AQ341" s="19"/>
      <c r="AR341" s="18"/>
      <c r="AS341" s="18"/>
      <c r="AT341" s="18"/>
      <c r="AU341" s="18"/>
      <c r="AV341" s="19"/>
      <c r="AW341" s="18"/>
      <c r="AX341" s="18"/>
      <c r="AY341" s="18"/>
      <c r="AZ341" s="18"/>
      <c r="BA341" s="19"/>
      <c r="BB341" s="18"/>
      <c r="BC341" s="18"/>
      <c r="BD341" s="18"/>
      <c r="BE341" s="18"/>
      <c r="BF341" s="19"/>
      <c r="BG341" s="18"/>
      <c r="BH341" s="18"/>
      <c r="BI341" s="18"/>
      <c r="BJ341" s="18"/>
      <c r="BK341" s="19"/>
      <c r="BL341" s="18"/>
      <c r="BM341" s="18"/>
      <c r="BN341" s="18"/>
      <c r="BO341" s="18"/>
      <c r="BP341" s="19"/>
      <c r="BQ341" s="17" t="s">
        <v>216</v>
      </c>
      <c r="BR341" s="1"/>
      <c r="BS341" s="1"/>
      <c r="BT341" s="1"/>
      <c r="BU341" s="1"/>
    </row>
    <row r="342">
      <c r="A342" s="1"/>
      <c r="B342" s="21"/>
      <c r="C342" s="11" t="s">
        <v>42</v>
      </c>
      <c r="D342" s="22"/>
      <c r="E342" s="23">
        <f>SUM(E336:E341)</f>
        <v>3210000</v>
      </c>
      <c r="F342" s="18"/>
      <c r="G342" s="23">
        <f>SUM(G336:G341)</f>
        <v>550000</v>
      </c>
      <c r="H342" s="19"/>
      <c r="I342" s="22"/>
      <c r="J342" s="23">
        <f>SUM(J336:J341)</f>
        <v>3252414</v>
      </c>
      <c r="K342" s="18"/>
      <c r="L342" s="23">
        <f>SUM(L336:L341)</f>
        <v>520690</v>
      </c>
      <c r="M342" s="19"/>
      <c r="N342" s="22"/>
      <c r="O342" s="23">
        <f>SUM(O336:O341)</f>
        <v>3160000</v>
      </c>
      <c r="P342" s="18"/>
      <c r="Q342" s="23">
        <f>SUM(Q336:Q341)</f>
        <v>550000</v>
      </c>
      <c r="R342" s="19"/>
      <c r="S342" s="22"/>
      <c r="T342" s="23">
        <f>SUM(T336:T341)</f>
        <v>3160000</v>
      </c>
      <c r="U342" s="18"/>
      <c r="V342" s="23">
        <f>SUM(V336:V341)</f>
        <v>550000</v>
      </c>
      <c r="W342" s="19"/>
      <c r="X342" s="18"/>
      <c r="Y342" s="23">
        <f>SUM(Y336:Y341)</f>
        <v>3160000</v>
      </c>
      <c r="Z342" s="18"/>
      <c r="AA342" s="23">
        <f>SUM(AA336:AA341)</f>
        <v>500000</v>
      </c>
      <c r="AB342" s="19"/>
      <c r="AC342" s="18"/>
      <c r="AD342" s="23">
        <f>SUM(AD336:AD341)</f>
        <v>3160000</v>
      </c>
      <c r="AE342" s="18"/>
      <c r="AF342" s="23">
        <f>SUM(AF336:AF341)</f>
        <v>550000</v>
      </c>
      <c r="AG342" s="19"/>
      <c r="AH342" s="18"/>
      <c r="AI342" s="23">
        <f>SUM(AI336:AI341)</f>
        <v>3160000</v>
      </c>
      <c r="AJ342" s="18"/>
      <c r="AK342" s="23">
        <f>SUM(AK336:AK341)</f>
        <v>550000</v>
      </c>
      <c r="AL342" s="19"/>
      <c r="AM342" s="18"/>
      <c r="AN342" s="23">
        <f>SUM(AN336:AN341)</f>
        <v>3160000</v>
      </c>
      <c r="AO342" s="18"/>
      <c r="AP342" s="23">
        <f>SUM(AP336:AP341)</f>
        <v>550000</v>
      </c>
      <c r="AQ342" s="19"/>
      <c r="AR342" s="22"/>
      <c r="AS342" s="23">
        <f>SUM(AS336:AS341)</f>
        <v>3140000</v>
      </c>
      <c r="AT342" s="18"/>
      <c r="AU342" s="23">
        <f>SUM(AU336:AU341)</f>
        <v>550000</v>
      </c>
      <c r="AV342" s="19"/>
      <c r="AW342" s="22"/>
      <c r="AX342" s="23">
        <f>SUM(AX336:AX341)</f>
        <v>3140000</v>
      </c>
      <c r="AY342" s="18"/>
      <c r="AZ342" s="23">
        <f>SUM(AZ336:AZ341)</f>
        <v>500000</v>
      </c>
      <c r="BA342" s="19"/>
      <c r="BB342" s="22"/>
      <c r="BC342" s="23">
        <f>SUM(BC336:BC341)</f>
        <v>3140000</v>
      </c>
      <c r="BD342" s="18"/>
      <c r="BE342" s="23">
        <f>SUM(BE336:BE341)</f>
        <v>550000</v>
      </c>
      <c r="BF342" s="19"/>
      <c r="BG342" s="22"/>
      <c r="BH342" s="23">
        <f>SUM(BH336:BH341)</f>
        <v>3140000</v>
      </c>
      <c r="BI342" s="18"/>
      <c r="BJ342" s="23">
        <f>SUM(BJ336:BJ341)</f>
        <v>550000</v>
      </c>
      <c r="BK342" s="19"/>
      <c r="BL342" s="22"/>
      <c r="BM342" s="23">
        <f>SUM(BM336:BM341)</f>
        <v>3140000</v>
      </c>
      <c r="BN342" s="18"/>
      <c r="BO342" s="23">
        <f>SUM(BO336:BO341)</f>
        <v>550000</v>
      </c>
      <c r="BP342" s="19"/>
      <c r="BQ342" s="17" t="s">
        <v>216</v>
      </c>
      <c r="BR342" s="1"/>
      <c r="BS342" s="1"/>
      <c r="BT342" s="1"/>
      <c r="BU342" s="1"/>
    </row>
    <row r="343">
      <c r="A343" s="1"/>
      <c r="B343" s="21"/>
      <c r="C343" s="11" t="s">
        <v>43</v>
      </c>
      <c r="D343" s="22"/>
      <c r="E343" s="23">
        <v>1900000.0</v>
      </c>
      <c r="F343" s="18"/>
      <c r="G343" s="18"/>
      <c r="H343" s="19"/>
      <c r="I343" s="22"/>
      <c r="J343" s="23">
        <v>1900000.0</v>
      </c>
      <c r="K343" s="18"/>
      <c r="L343" s="18"/>
      <c r="M343" s="19"/>
      <c r="N343" s="22"/>
      <c r="O343" s="23">
        <v>1900000.0</v>
      </c>
      <c r="P343" s="18"/>
      <c r="Q343" s="18"/>
      <c r="R343" s="19"/>
      <c r="S343" s="22"/>
      <c r="T343" s="23">
        <v>1900000.0</v>
      </c>
      <c r="U343" s="18"/>
      <c r="V343" s="18"/>
      <c r="W343" s="19"/>
      <c r="X343" s="18"/>
      <c r="Y343" s="23">
        <v>1900000.0</v>
      </c>
      <c r="Z343" s="18"/>
      <c r="AA343" s="18"/>
      <c r="AB343" s="19"/>
      <c r="AC343" s="18"/>
      <c r="AD343" s="23">
        <v>1900000.0</v>
      </c>
      <c r="AE343" s="18"/>
      <c r="AF343" s="18"/>
      <c r="AG343" s="19"/>
      <c r="AH343" s="18"/>
      <c r="AI343" s="23">
        <v>1900000.0</v>
      </c>
      <c r="AJ343" s="18"/>
      <c r="AK343" s="18"/>
      <c r="AL343" s="19"/>
      <c r="AM343" s="18"/>
      <c r="AN343" s="23">
        <v>1900000.0</v>
      </c>
      <c r="AO343" s="18"/>
      <c r="AP343" s="18"/>
      <c r="AQ343" s="19"/>
      <c r="AR343" s="22"/>
      <c r="AS343" s="23">
        <v>1900000.0</v>
      </c>
      <c r="AT343" s="18"/>
      <c r="AU343" s="18"/>
      <c r="AV343" s="19"/>
      <c r="AW343" s="22"/>
      <c r="AX343" s="23">
        <v>1900000.0</v>
      </c>
      <c r="AY343" s="18"/>
      <c r="AZ343" s="18"/>
      <c r="BA343" s="19"/>
      <c r="BB343" s="22"/>
      <c r="BC343" s="23">
        <v>1900000.0</v>
      </c>
      <c r="BD343" s="18"/>
      <c r="BE343" s="18"/>
      <c r="BF343" s="19"/>
      <c r="BG343" s="22"/>
      <c r="BH343" s="23">
        <v>1900000.0</v>
      </c>
      <c r="BI343" s="18"/>
      <c r="BJ343" s="18"/>
      <c r="BK343" s="19"/>
      <c r="BL343" s="22"/>
      <c r="BM343" s="23">
        <v>1900000.0</v>
      </c>
      <c r="BN343" s="18"/>
      <c r="BO343" s="18"/>
      <c r="BP343" s="19"/>
      <c r="BQ343" s="17" t="s">
        <v>216</v>
      </c>
      <c r="BR343" s="1"/>
      <c r="BS343" s="1"/>
      <c r="BT343" s="1"/>
      <c r="BU343" s="1"/>
    </row>
    <row r="344">
      <c r="A344" s="1"/>
      <c r="B344" s="10" t="s">
        <v>626</v>
      </c>
      <c r="C344" s="11" t="s">
        <v>45</v>
      </c>
      <c r="D344" s="22"/>
      <c r="E344" s="18"/>
      <c r="F344" s="18"/>
      <c r="G344" s="23">
        <v>335180.0</v>
      </c>
      <c r="H344" s="19"/>
      <c r="I344" s="22"/>
      <c r="J344" s="18"/>
      <c r="K344" s="18"/>
      <c r="L344" s="23">
        <v>347010.0</v>
      </c>
      <c r="M344" s="19"/>
      <c r="N344" s="22"/>
      <c r="O344" s="18"/>
      <c r="P344" s="18"/>
      <c r="Q344" s="23">
        <v>302920.0</v>
      </c>
      <c r="R344" s="24"/>
      <c r="S344" s="18"/>
      <c r="T344" s="18"/>
      <c r="U344" s="18"/>
      <c r="V344" s="23">
        <v>322270.0</v>
      </c>
      <c r="W344" s="24"/>
      <c r="X344" s="18"/>
      <c r="Y344" s="18"/>
      <c r="Z344" s="18"/>
      <c r="AA344" s="23">
        <v>308320.0</v>
      </c>
      <c r="AB344" s="24"/>
      <c r="AC344" s="18"/>
      <c r="AD344" s="18"/>
      <c r="AE344" s="18"/>
      <c r="AF344" s="23">
        <v>317140.0</v>
      </c>
      <c r="AG344" s="24"/>
      <c r="AH344" s="18"/>
      <c r="AI344" s="18"/>
      <c r="AJ344" s="18"/>
      <c r="AK344" s="23">
        <v>346130.0</v>
      </c>
      <c r="AL344" s="24"/>
      <c r="AM344" s="18"/>
      <c r="AN344" s="18"/>
      <c r="AO344" s="18"/>
      <c r="AP344" s="23">
        <v>386140.0</v>
      </c>
      <c r="AQ344" s="24"/>
      <c r="AR344" s="18"/>
      <c r="AS344" s="18"/>
      <c r="AT344" s="18"/>
      <c r="AU344" s="18"/>
      <c r="AV344" s="24"/>
      <c r="AW344" s="18"/>
      <c r="AX344" s="18"/>
      <c r="AY344" s="18"/>
      <c r="AZ344" s="18"/>
      <c r="BA344" s="24"/>
      <c r="BB344" s="18"/>
      <c r="BC344" s="18"/>
      <c r="BD344" s="18"/>
      <c r="BE344" s="18"/>
      <c r="BF344" s="24"/>
      <c r="BG344" s="18"/>
      <c r="BH344" s="18"/>
      <c r="BI344" s="18"/>
      <c r="BJ344" s="18"/>
      <c r="BK344" s="19"/>
      <c r="BL344" s="18"/>
      <c r="BM344" s="18"/>
      <c r="BN344" s="18"/>
      <c r="BO344" s="18"/>
      <c r="BP344" s="19"/>
      <c r="BQ344" s="17" t="s">
        <v>216</v>
      </c>
      <c r="BR344" s="1"/>
      <c r="BS344" s="1"/>
      <c r="BT344" s="1"/>
      <c r="BU344" s="1"/>
    </row>
    <row r="345">
      <c r="A345" s="1"/>
      <c r="B345" s="10" t="s">
        <v>446</v>
      </c>
      <c r="C345" s="11" t="s">
        <v>47</v>
      </c>
      <c r="D345" s="22"/>
      <c r="E345" s="18"/>
      <c r="F345" s="18"/>
      <c r="G345" s="23" t="s">
        <v>627</v>
      </c>
      <c r="H345" s="19"/>
      <c r="I345" s="22"/>
      <c r="J345" s="18"/>
      <c r="K345" s="18"/>
      <c r="L345" s="23" t="s">
        <v>627</v>
      </c>
      <c r="M345" s="19"/>
      <c r="N345" s="22"/>
      <c r="O345" s="18"/>
      <c r="P345" s="18"/>
      <c r="Q345" s="23" t="s">
        <v>627</v>
      </c>
      <c r="R345" s="24"/>
      <c r="S345" s="22"/>
      <c r="T345" s="18"/>
      <c r="U345" s="18"/>
      <c r="V345" s="23" t="s">
        <v>627</v>
      </c>
      <c r="W345" s="24"/>
      <c r="X345" s="18"/>
      <c r="Y345" s="18"/>
      <c r="Z345" s="18"/>
      <c r="AA345" s="23" t="s">
        <v>627</v>
      </c>
      <c r="AB345" s="24"/>
      <c r="AC345" s="18"/>
      <c r="AD345" s="18"/>
      <c r="AE345" s="18"/>
      <c r="AF345" s="23" t="s">
        <v>627</v>
      </c>
      <c r="AG345" s="24"/>
      <c r="AH345" s="18"/>
      <c r="AI345" s="18"/>
      <c r="AJ345" s="18"/>
      <c r="AK345" s="23" t="s">
        <v>627</v>
      </c>
      <c r="AL345" s="24"/>
      <c r="AM345" s="18"/>
      <c r="AN345" s="18"/>
      <c r="AO345" s="18"/>
      <c r="AP345" s="23" t="s">
        <v>627</v>
      </c>
      <c r="AQ345" s="24"/>
      <c r="AR345" s="18"/>
      <c r="AS345" s="18"/>
      <c r="AT345" s="18"/>
      <c r="AU345" s="23" t="s">
        <v>627</v>
      </c>
      <c r="AV345" s="24"/>
      <c r="AW345" s="18"/>
      <c r="AX345" s="18"/>
      <c r="AY345" s="18"/>
      <c r="AZ345" s="23" t="s">
        <v>627</v>
      </c>
      <c r="BA345" s="24"/>
      <c r="BB345" s="18"/>
      <c r="BC345" s="18"/>
      <c r="BD345" s="18"/>
      <c r="BE345" s="23" t="s">
        <v>627</v>
      </c>
      <c r="BF345" s="24"/>
      <c r="BG345" s="18"/>
      <c r="BH345" s="18"/>
      <c r="BI345" s="18"/>
      <c r="BJ345" s="23" t="s">
        <v>627</v>
      </c>
      <c r="BK345" s="24"/>
      <c r="BL345" s="18"/>
      <c r="BM345" s="18"/>
      <c r="BN345" s="18"/>
      <c r="BO345" s="23" t="s">
        <v>627</v>
      </c>
      <c r="BP345" s="24"/>
      <c r="BQ345" s="17" t="s">
        <v>216</v>
      </c>
      <c r="BR345" s="1"/>
      <c r="BS345" s="1"/>
      <c r="BT345" s="1"/>
      <c r="BU345" s="1"/>
    </row>
    <row r="346">
      <c r="A346" s="1"/>
      <c r="B346" s="10">
        <v>6.006077482E9</v>
      </c>
      <c r="C346" s="11" t="s">
        <v>261</v>
      </c>
      <c r="D346" s="22"/>
      <c r="E346" s="18"/>
      <c r="F346" s="18"/>
      <c r="G346" s="23">
        <v>285740.0</v>
      </c>
      <c r="H346" s="19"/>
      <c r="I346" s="22"/>
      <c r="J346" s="18"/>
      <c r="K346" s="18"/>
      <c r="L346" s="23">
        <v>393310.0</v>
      </c>
      <c r="M346" s="19"/>
      <c r="N346" s="22"/>
      <c r="O346" s="18"/>
      <c r="P346" s="18"/>
      <c r="Q346" s="23">
        <v>350770.0</v>
      </c>
      <c r="R346" s="24"/>
      <c r="S346" s="18"/>
      <c r="T346" s="18"/>
      <c r="U346" s="18"/>
      <c r="V346" s="23">
        <v>303610.0</v>
      </c>
      <c r="W346" s="24"/>
      <c r="X346" s="18"/>
      <c r="Y346" s="18"/>
      <c r="Z346" s="18"/>
      <c r="AA346" s="23">
        <v>186230.0</v>
      </c>
      <c r="AB346" s="24"/>
      <c r="AC346" s="18"/>
      <c r="AD346" s="18"/>
      <c r="AE346" s="18"/>
      <c r="AF346" s="23">
        <v>133930.0</v>
      </c>
      <c r="AG346" s="24"/>
      <c r="AH346" s="18"/>
      <c r="AI346" s="18"/>
      <c r="AJ346" s="18"/>
      <c r="AK346" s="23">
        <v>59720.0</v>
      </c>
      <c r="AL346" s="24"/>
      <c r="AM346" s="18"/>
      <c r="AN346" s="18"/>
      <c r="AO346" s="18"/>
      <c r="AP346" s="23">
        <v>29690.0</v>
      </c>
      <c r="AQ346" s="24"/>
      <c r="AR346" s="18"/>
      <c r="AS346" s="18"/>
      <c r="AT346" s="18"/>
      <c r="AU346" s="23">
        <v>23650.0</v>
      </c>
      <c r="AV346" s="24"/>
      <c r="AW346" s="18"/>
      <c r="AX346" s="18"/>
      <c r="AY346" s="18"/>
      <c r="AZ346" s="23">
        <v>20160.0</v>
      </c>
      <c r="BA346" s="24"/>
      <c r="BB346" s="18"/>
      <c r="BC346" s="18"/>
      <c r="BD346" s="18"/>
      <c r="BE346" s="23">
        <v>40960.0</v>
      </c>
      <c r="BF346" s="24"/>
      <c r="BG346" s="18"/>
      <c r="BH346" s="18"/>
      <c r="BI346" s="18"/>
      <c r="BJ346" s="23">
        <v>179810.0</v>
      </c>
      <c r="BK346" s="24"/>
      <c r="BL346" s="18"/>
      <c r="BM346" s="18"/>
      <c r="BN346" s="18"/>
      <c r="BO346" s="23">
        <v>300140.0</v>
      </c>
      <c r="BP346" s="24"/>
      <c r="BQ346" s="17" t="s">
        <v>216</v>
      </c>
      <c r="BR346" s="1"/>
      <c r="BS346" s="1"/>
      <c r="BT346" s="1"/>
      <c r="BU346" s="1"/>
    </row>
    <row r="347">
      <c r="A347" s="1"/>
      <c r="B347" s="21"/>
      <c r="C347" s="11" t="s">
        <v>51</v>
      </c>
      <c r="D347" s="22"/>
      <c r="E347" s="18"/>
      <c r="F347" s="18"/>
      <c r="G347" s="23" t="s">
        <v>627</v>
      </c>
      <c r="H347" s="19"/>
      <c r="I347" s="22"/>
      <c r="J347" s="18"/>
      <c r="K347" s="18"/>
      <c r="L347" s="23" t="s">
        <v>627</v>
      </c>
      <c r="M347" s="19"/>
      <c r="N347" s="22"/>
      <c r="O347" s="18"/>
      <c r="P347" s="18"/>
      <c r="Q347" s="23" t="s">
        <v>627</v>
      </c>
      <c r="R347" s="24"/>
      <c r="S347" s="18"/>
      <c r="T347" s="18"/>
      <c r="U347" s="18"/>
      <c r="V347" s="23" t="s">
        <v>627</v>
      </c>
      <c r="W347" s="24"/>
      <c r="X347" s="18"/>
      <c r="Y347" s="18"/>
      <c r="Z347" s="18"/>
      <c r="AA347" s="23" t="s">
        <v>627</v>
      </c>
      <c r="AB347" s="24"/>
      <c r="AC347" s="18"/>
      <c r="AD347" s="18"/>
      <c r="AE347" s="18"/>
      <c r="AF347" s="23" t="s">
        <v>627</v>
      </c>
      <c r="AG347" s="24"/>
      <c r="AH347" s="18"/>
      <c r="AI347" s="18"/>
      <c r="AJ347" s="18"/>
      <c r="AK347" s="23" t="s">
        <v>627</v>
      </c>
      <c r="AL347" s="24"/>
      <c r="AM347" s="18"/>
      <c r="AN347" s="18"/>
      <c r="AO347" s="18"/>
      <c r="AP347" s="23" t="s">
        <v>627</v>
      </c>
      <c r="AQ347" s="24"/>
      <c r="AR347" s="18"/>
      <c r="AS347" s="18"/>
      <c r="AT347" s="18"/>
      <c r="AU347" s="23" t="s">
        <v>627</v>
      </c>
      <c r="AV347" s="24"/>
      <c r="AW347" s="18"/>
      <c r="AX347" s="18"/>
      <c r="AY347" s="18"/>
      <c r="AZ347" s="23" t="s">
        <v>627</v>
      </c>
      <c r="BA347" s="24"/>
      <c r="BB347" s="18"/>
      <c r="BC347" s="18"/>
      <c r="BD347" s="18"/>
      <c r="BE347" s="23" t="s">
        <v>627</v>
      </c>
      <c r="BF347" s="24"/>
      <c r="BG347" s="18"/>
      <c r="BH347" s="18"/>
      <c r="BI347" s="18"/>
      <c r="BJ347" s="23" t="s">
        <v>627</v>
      </c>
      <c r="BK347" s="24"/>
      <c r="BL347" s="18"/>
      <c r="BM347" s="18"/>
      <c r="BN347" s="18"/>
      <c r="BO347" s="23" t="s">
        <v>627</v>
      </c>
      <c r="BP347" s="24"/>
      <c r="BQ347" s="17" t="s">
        <v>216</v>
      </c>
      <c r="BR347" s="1"/>
      <c r="BS347" s="1"/>
      <c r="BT347" s="1"/>
      <c r="BU347" s="1"/>
    </row>
    <row r="348">
      <c r="A348" s="1"/>
      <c r="B348" s="10" t="s">
        <v>628</v>
      </c>
      <c r="C348" s="11" t="s">
        <v>52</v>
      </c>
      <c r="D348" s="22"/>
      <c r="E348" s="18"/>
      <c r="F348" s="18"/>
      <c r="G348" s="23" t="s">
        <v>263</v>
      </c>
      <c r="H348" s="19"/>
      <c r="I348" s="22"/>
      <c r="J348" s="18"/>
      <c r="K348" s="18"/>
      <c r="L348" s="18"/>
      <c r="M348" s="19"/>
      <c r="N348" s="22"/>
      <c r="O348" s="18"/>
      <c r="P348" s="18"/>
      <c r="Q348" s="18"/>
      <c r="R348" s="24"/>
      <c r="S348" s="18"/>
      <c r="T348" s="18"/>
      <c r="U348" s="18"/>
      <c r="V348" s="18"/>
      <c r="W348" s="24"/>
      <c r="X348" s="18"/>
      <c r="Y348" s="18"/>
      <c r="Z348" s="18"/>
      <c r="AA348" s="18"/>
      <c r="AB348" s="24"/>
      <c r="AC348" s="18"/>
      <c r="AD348" s="18"/>
      <c r="AE348" s="18"/>
      <c r="AF348" s="18"/>
      <c r="AG348" s="24"/>
      <c r="AH348" s="18"/>
      <c r="AI348" s="18"/>
      <c r="AJ348" s="18"/>
      <c r="AK348" s="18"/>
      <c r="AL348" s="24"/>
      <c r="AM348" s="18"/>
      <c r="AN348" s="18"/>
      <c r="AO348" s="18"/>
      <c r="AP348" s="18"/>
      <c r="AQ348" s="24"/>
      <c r="AR348" s="18"/>
      <c r="AS348" s="18"/>
      <c r="AT348" s="18"/>
      <c r="AU348" s="18"/>
      <c r="AV348" s="24"/>
      <c r="AW348" s="18"/>
      <c r="AX348" s="18"/>
      <c r="AY348" s="18"/>
      <c r="AZ348" s="18"/>
      <c r="BA348" s="24"/>
      <c r="BB348" s="18"/>
      <c r="BC348" s="18"/>
      <c r="BD348" s="18"/>
      <c r="BE348" s="18"/>
      <c r="BF348" s="24"/>
      <c r="BG348" s="18"/>
      <c r="BH348" s="18"/>
      <c r="BI348" s="18"/>
      <c r="BJ348" s="18"/>
      <c r="BK348" s="19"/>
      <c r="BL348" s="18"/>
      <c r="BM348" s="18"/>
      <c r="BN348" s="18"/>
      <c r="BO348" s="18"/>
      <c r="BP348" s="19"/>
      <c r="BQ348" s="17" t="s">
        <v>216</v>
      </c>
      <c r="BR348" s="1"/>
      <c r="BS348" s="1"/>
      <c r="BT348" s="1"/>
      <c r="BU348" s="1"/>
    </row>
    <row r="349">
      <c r="A349" s="1"/>
      <c r="B349" s="10" t="s">
        <v>264</v>
      </c>
      <c r="C349" s="11" t="s">
        <v>53</v>
      </c>
      <c r="D349" s="22"/>
      <c r="E349" s="18"/>
      <c r="F349" s="18"/>
      <c r="G349" s="23">
        <v>11000.0</v>
      </c>
      <c r="H349" s="19"/>
      <c r="I349" s="22"/>
      <c r="J349" s="18"/>
      <c r="K349" s="18"/>
      <c r="L349" s="23">
        <v>11000.0</v>
      </c>
      <c r="M349" s="19"/>
      <c r="N349" s="22"/>
      <c r="O349" s="18"/>
      <c r="P349" s="18"/>
      <c r="Q349" s="23">
        <v>11000.0</v>
      </c>
      <c r="R349" s="19"/>
      <c r="S349" s="22"/>
      <c r="T349" s="18"/>
      <c r="U349" s="18"/>
      <c r="V349" s="23">
        <v>11000.0</v>
      </c>
      <c r="W349" s="19"/>
      <c r="X349" s="22"/>
      <c r="Y349" s="18"/>
      <c r="Z349" s="18"/>
      <c r="AA349" s="23">
        <v>11000.0</v>
      </c>
      <c r="AB349" s="19"/>
      <c r="AC349" s="22"/>
      <c r="AD349" s="18"/>
      <c r="AE349" s="18"/>
      <c r="AF349" s="23">
        <v>11000.0</v>
      </c>
      <c r="AG349" s="19"/>
      <c r="AH349" s="22"/>
      <c r="AI349" s="18"/>
      <c r="AJ349" s="18"/>
      <c r="AK349" s="23">
        <v>11000.0</v>
      </c>
      <c r="AL349" s="19"/>
      <c r="AM349" s="22"/>
      <c r="AN349" s="18"/>
      <c r="AO349" s="18"/>
      <c r="AP349" s="23">
        <v>11000.0</v>
      </c>
      <c r="AQ349" s="19"/>
      <c r="AR349" s="22"/>
      <c r="AS349" s="18"/>
      <c r="AT349" s="18"/>
      <c r="AU349" s="23">
        <v>11000.0</v>
      </c>
      <c r="AV349" s="19"/>
      <c r="AW349" s="22"/>
      <c r="AX349" s="18"/>
      <c r="AY349" s="18"/>
      <c r="AZ349" s="23">
        <v>11000.0</v>
      </c>
      <c r="BA349" s="19"/>
      <c r="BB349" s="22"/>
      <c r="BC349" s="18"/>
      <c r="BD349" s="18"/>
      <c r="BE349" s="23">
        <v>11000.0</v>
      </c>
      <c r="BF349" s="19"/>
      <c r="BG349" s="22"/>
      <c r="BH349" s="18"/>
      <c r="BI349" s="18"/>
      <c r="BJ349" s="23">
        <v>11000.0</v>
      </c>
      <c r="BK349" s="19"/>
      <c r="BL349" s="22"/>
      <c r="BM349" s="18"/>
      <c r="BN349" s="18"/>
      <c r="BO349" s="23">
        <v>11000.0</v>
      </c>
      <c r="BP349" s="19"/>
      <c r="BQ349" s="17" t="s">
        <v>216</v>
      </c>
      <c r="BR349" s="1"/>
      <c r="BS349" s="1"/>
      <c r="BT349" s="1"/>
      <c r="BU349" s="1"/>
    </row>
    <row r="350">
      <c r="A350" s="1"/>
      <c r="B350" s="10" t="s">
        <v>264</v>
      </c>
      <c r="C350" s="11" t="s">
        <v>265</v>
      </c>
      <c r="D350" s="22"/>
      <c r="E350" s="18"/>
      <c r="F350" s="18"/>
      <c r="G350" s="23" t="s">
        <v>263</v>
      </c>
      <c r="H350" s="19"/>
      <c r="I350" s="22"/>
      <c r="J350" s="18"/>
      <c r="K350" s="18"/>
      <c r="L350" s="18"/>
      <c r="M350" s="19"/>
      <c r="N350" s="22"/>
      <c r="O350" s="18"/>
      <c r="P350" s="18"/>
      <c r="Q350" s="18"/>
      <c r="R350" s="24"/>
      <c r="S350" s="18"/>
      <c r="T350" s="18"/>
      <c r="U350" s="18"/>
      <c r="V350" s="18"/>
      <c r="W350" s="24"/>
      <c r="X350" s="18"/>
      <c r="Y350" s="18"/>
      <c r="Z350" s="18"/>
      <c r="AA350" s="18"/>
      <c r="AB350" s="24"/>
      <c r="AC350" s="18"/>
      <c r="AD350" s="18"/>
      <c r="AE350" s="18"/>
      <c r="AF350" s="18"/>
      <c r="AG350" s="24"/>
      <c r="AH350" s="18"/>
      <c r="AI350" s="18"/>
      <c r="AJ350" s="18"/>
      <c r="AK350" s="18"/>
      <c r="AL350" s="24"/>
      <c r="AM350" s="18"/>
      <c r="AN350" s="18"/>
      <c r="AO350" s="18"/>
      <c r="AP350" s="18"/>
      <c r="AQ350" s="24"/>
      <c r="AR350" s="18"/>
      <c r="AS350" s="18"/>
      <c r="AT350" s="18"/>
      <c r="AU350" s="18"/>
      <c r="AV350" s="24"/>
      <c r="AW350" s="18"/>
      <c r="AX350" s="18"/>
      <c r="AY350" s="18"/>
      <c r="AZ350" s="18"/>
      <c r="BA350" s="24"/>
      <c r="BB350" s="18"/>
      <c r="BC350" s="18"/>
      <c r="BD350" s="18"/>
      <c r="BE350" s="18"/>
      <c r="BF350" s="24"/>
      <c r="BG350" s="18"/>
      <c r="BH350" s="18"/>
      <c r="BI350" s="18"/>
      <c r="BJ350" s="18"/>
      <c r="BK350" s="19"/>
      <c r="BL350" s="18"/>
      <c r="BM350" s="18"/>
      <c r="BN350" s="18"/>
      <c r="BO350" s="18"/>
      <c r="BP350" s="19"/>
      <c r="BQ350" s="1"/>
      <c r="BR350" s="1"/>
      <c r="BS350" s="1"/>
      <c r="BT350" s="1"/>
      <c r="BU350" s="1"/>
    </row>
    <row r="351">
      <c r="A351" s="1"/>
      <c r="B351" s="21"/>
      <c r="C351" s="11" t="s">
        <v>54</v>
      </c>
      <c r="D351" s="22"/>
      <c r="E351" s="18"/>
      <c r="F351" s="18"/>
      <c r="G351" s="23">
        <f>SUMIFS('지출'!$G$3:$G1000,'지출'!$J$3:$J1000,G$1,'지출'!$C$3:$C1000,"광흥")</f>
        <v>131550</v>
      </c>
      <c r="H351" s="19"/>
      <c r="I351" s="22"/>
      <c r="J351" s="18"/>
      <c r="K351" s="18"/>
      <c r="L351" s="23">
        <f>SUMIFS('지출'!$G$3:$G1000,'지출'!$J$3:$J1000,L$1,'지출'!$C$3:$C1000,"광흥")</f>
        <v>111700</v>
      </c>
      <c r="M351" s="24"/>
      <c r="N351" s="18"/>
      <c r="O351" s="18"/>
      <c r="P351" s="18"/>
      <c r="Q351" s="23">
        <f>SUMIFS('지출'!$G$3:$G1000,'지출'!$J$3:$J1000,Q$1,'지출'!$C$3:$C1000,"광흥")</f>
        <v>86540</v>
      </c>
      <c r="R351" s="24"/>
      <c r="S351" s="18"/>
      <c r="T351" s="18"/>
      <c r="U351" s="18"/>
      <c r="V351" s="23">
        <f>SUMIFS('지출'!$G$3:$G1000,'지출'!$J$3:$J1000,V$1,'지출'!$C$3:$C1000,"광흥")</f>
        <v>0</v>
      </c>
      <c r="W351" s="24"/>
      <c r="X351" s="18"/>
      <c r="Y351" s="18"/>
      <c r="Z351" s="18"/>
      <c r="AA351" s="23">
        <f>SUMIFS('지출'!$G$3:$G1000,'지출'!$J$3:$J1000,AA$1,'지출'!$C$3:$C1000,"광흥")</f>
        <v>0</v>
      </c>
      <c r="AB351" s="24"/>
      <c r="AC351" s="18"/>
      <c r="AD351" s="18"/>
      <c r="AE351" s="18"/>
      <c r="AF351" s="23">
        <f>SUMIFS('지출'!$G$3:$G1000,'지출'!$J$3:$J1000,AF$1,'지출'!$C$3:$C1000,"광흥")</f>
        <v>0</v>
      </c>
      <c r="AG351" s="24"/>
      <c r="AH351" s="18"/>
      <c r="AI351" s="18"/>
      <c r="AJ351" s="18"/>
      <c r="AK351" s="23">
        <f>SUMIFS('지출'!$G$3:$G1000,'지출'!$J$3:$J1000,AK$1,'지출'!$C$3:$C1000,"광흥")</f>
        <v>0</v>
      </c>
      <c r="AL351" s="24"/>
      <c r="AM351" s="18"/>
      <c r="AN351" s="18"/>
      <c r="AO351" s="18"/>
      <c r="AP351" s="23">
        <f>SUMIFS('지출'!$G$3:$G1000,'지출'!$J$3:$J1000,AP$1,'지출'!$C$3:$C1000,"광흥")</f>
        <v>0</v>
      </c>
      <c r="AQ351" s="24"/>
      <c r="AR351" s="18"/>
      <c r="AS351" s="18"/>
      <c r="AT351" s="18"/>
      <c r="AU351" s="23">
        <f>SUMIFS('지출'!$G$3:$G1000,'지출'!$J$3:$J1000,AU$1,'지출'!$C$3:$C1000,"광흥")</f>
        <v>0</v>
      </c>
      <c r="AV351" s="24"/>
      <c r="AW351" s="18"/>
      <c r="AX351" s="18"/>
      <c r="AY351" s="18"/>
      <c r="AZ351" s="23">
        <f>SUMIFS('지출'!$G$3:$G1000,'지출'!$J$3:$J1000,AZ$1,'지출'!$C$3:$C1000,"광흥")</f>
        <v>0</v>
      </c>
      <c r="BA351" s="24"/>
      <c r="BB351" s="18"/>
      <c r="BC351" s="18"/>
      <c r="BD351" s="18"/>
      <c r="BE351" s="23">
        <f>SUMIFS('지출'!$G$3:$G1000,'지출'!$J$3:$J1000,BE$1,'지출'!$C$3:$C1000,"광흥")</f>
        <v>0</v>
      </c>
      <c r="BF351" s="24"/>
      <c r="BG351" s="18"/>
      <c r="BH351" s="18"/>
      <c r="BI351" s="18"/>
      <c r="BJ351" s="23">
        <f>SUMIFS('지출'!$G$3:$G1000,'지출'!$J$3:$J1000,BJ$1,'지출'!$C$3:$C1000,"광흥")</f>
        <v>0</v>
      </c>
      <c r="BK351" s="19"/>
      <c r="BL351" s="18"/>
      <c r="BM351" s="18"/>
      <c r="BN351" s="18"/>
      <c r="BO351" s="23">
        <f>SUMIFS('지출'!$G$3:$G1000,'지출'!$J$3:$J1000,BO$1,'지출'!$C$3:$C1000,"광흥")</f>
        <v>131550</v>
      </c>
      <c r="BP351" s="19"/>
      <c r="BQ351" s="1"/>
      <c r="BR351" s="1"/>
      <c r="BS351" s="1"/>
      <c r="BT351" s="1"/>
      <c r="BU351" s="1"/>
    </row>
    <row r="352">
      <c r="A352" s="1"/>
      <c r="B352" s="21"/>
      <c r="C352" s="11" t="s">
        <v>56</v>
      </c>
      <c r="D352" s="22"/>
      <c r="E352" s="23">
        <f>E342-(SUM(E343:E349))</f>
        <v>1310000</v>
      </c>
      <c r="F352" s="18"/>
      <c r="G352" s="23">
        <f>G342-(SUM(G343:G349))</f>
        <v>-81920</v>
      </c>
      <c r="H352" s="19"/>
      <c r="I352" s="22"/>
      <c r="J352" s="23">
        <f>J342-(SUM(J343:J349))</f>
        <v>1352414</v>
      </c>
      <c r="K352" s="18"/>
      <c r="L352" s="23">
        <f>L342-(SUM(L343:L349))</f>
        <v>-230630</v>
      </c>
      <c r="M352" s="19"/>
      <c r="N352" s="22"/>
      <c r="O352" s="23">
        <f>O342-(SUM(O343:O349))</f>
        <v>1260000</v>
      </c>
      <c r="P352" s="18"/>
      <c r="Q352" s="23">
        <f>Q342-(SUM(Q343:Q349))</f>
        <v>-114690</v>
      </c>
      <c r="R352" s="19"/>
      <c r="S352" s="22"/>
      <c r="T352" s="23">
        <f>T342-(SUM(T343:T349))</f>
        <v>1260000</v>
      </c>
      <c r="U352" s="18"/>
      <c r="V352" s="23">
        <f>V342-(SUM(V343:V349))</f>
        <v>-86880</v>
      </c>
      <c r="W352" s="19"/>
      <c r="X352" s="18"/>
      <c r="Y352" s="23">
        <f>Y342-(SUM(Y343:Y349))</f>
        <v>1260000</v>
      </c>
      <c r="Z352" s="18"/>
      <c r="AA352" s="23">
        <f>AA342-(SUM(AA343:AA349))</f>
        <v>-5550</v>
      </c>
      <c r="AB352" s="19"/>
      <c r="AC352" s="18"/>
      <c r="AD352" s="23">
        <f>AD342-(SUM(AD343:AD349))</f>
        <v>1260000</v>
      </c>
      <c r="AE352" s="18"/>
      <c r="AF352" s="23">
        <f>AF342-(SUM(AF343:AF349))</f>
        <v>87930</v>
      </c>
      <c r="AG352" s="19"/>
      <c r="AH352" s="18"/>
      <c r="AI352" s="23">
        <f>AI342-(SUM(AI343:AI349))</f>
        <v>1260000</v>
      </c>
      <c r="AJ352" s="18"/>
      <c r="AK352" s="23">
        <f>AK342-(SUM(AK343:AK349))</f>
        <v>133150</v>
      </c>
      <c r="AL352" s="19"/>
      <c r="AM352" s="18"/>
      <c r="AN352" s="23">
        <f>AN342-(SUM(AN343:AN349))</f>
        <v>1260000</v>
      </c>
      <c r="AO352" s="18"/>
      <c r="AP352" s="23">
        <f>AP342-(SUM(AP343:AP349))</f>
        <v>123170</v>
      </c>
      <c r="AQ352" s="19"/>
      <c r="AR352" s="22"/>
      <c r="AS352" s="23">
        <f>AS342-(SUM(AS343:AS349))</f>
        <v>1240000</v>
      </c>
      <c r="AT352" s="18"/>
      <c r="AU352" s="23">
        <f>AU342-(SUM(AU343:AU349))</f>
        <v>515350</v>
      </c>
      <c r="AV352" s="19"/>
      <c r="AW352" s="22"/>
      <c r="AX352" s="23">
        <f>AX342-(SUM(AX343:AX349))</f>
        <v>1240000</v>
      </c>
      <c r="AY352" s="18"/>
      <c r="AZ352" s="23">
        <f>AZ342-(SUM(AZ343:AZ349))</f>
        <v>468840</v>
      </c>
      <c r="BA352" s="19"/>
      <c r="BB352" s="22"/>
      <c r="BC352" s="23">
        <f>BC342-(SUM(BC343:BC349))</f>
        <v>1240000</v>
      </c>
      <c r="BD352" s="18"/>
      <c r="BE352" s="23">
        <f>BE342-(SUM(BE343:BE349))</f>
        <v>498040</v>
      </c>
      <c r="BF352" s="19"/>
      <c r="BG352" s="22"/>
      <c r="BH352" s="23">
        <f>BH342-(SUM(BH343:BH349))</f>
        <v>1240000</v>
      </c>
      <c r="BI352" s="18"/>
      <c r="BJ352" s="23">
        <f>BJ342-(SUM(BJ343:BJ349))</f>
        <v>359190</v>
      </c>
      <c r="BK352" s="19"/>
      <c r="BL352" s="22"/>
      <c r="BM352" s="23">
        <f>BM342-(SUM(BM343:BM349))</f>
        <v>1240000</v>
      </c>
      <c r="BN352" s="18"/>
      <c r="BO352" s="23">
        <f>BO342-(SUM(BO343:BO349))</f>
        <v>238860</v>
      </c>
      <c r="BP352" s="19"/>
      <c r="BQ352" s="17" t="s">
        <v>216</v>
      </c>
      <c r="BR352" s="1"/>
      <c r="BS352" s="1"/>
      <c r="BT352" s="1"/>
      <c r="BU352" s="1"/>
    </row>
    <row r="353">
      <c r="A353" s="1"/>
      <c r="B353" s="27">
        <v>0.0</v>
      </c>
      <c r="C353" s="11" t="s">
        <v>26</v>
      </c>
      <c r="D353" s="22"/>
      <c r="E353" s="23">
        <f>E352*$B353</f>
        <v>0</v>
      </c>
      <c r="F353" s="18"/>
      <c r="G353" s="18"/>
      <c r="H353" s="19"/>
      <c r="I353" s="22"/>
      <c r="J353" s="23">
        <f>J352*$B353</f>
        <v>0</v>
      </c>
      <c r="K353" s="18"/>
      <c r="L353" s="18"/>
      <c r="M353" s="19"/>
      <c r="N353" s="22"/>
      <c r="O353" s="23">
        <f>O352*$B353</f>
        <v>0</v>
      </c>
      <c r="P353" s="18"/>
      <c r="Q353" s="18"/>
      <c r="R353" s="19"/>
      <c r="S353" s="22"/>
      <c r="T353" s="23">
        <f>T352*$B353</f>
        <v>0</v>
      </c>
      <c r="U353" s="18"/>
      <c r="V353" s="18"/>
      <c r="W353" s="19"/>
      <c r="X353" s="18"/>
      <c r="Y353" s="23">
        <f>Y352*$B353</f>
        <v>0</v>
      </c>
      <c r="Z353" s="18"/>
      <c r="AA353" s="18"/>
      <c r="AB353" s="19"/>
      <c r="AC353" s="18"/>
      <c r="AD353" s="23">
        <f>AD352*$B353</f>
        <v>0</v>
      </c>
      <c r="AE353" s="18"/>
      <c r="AF353" s="18"/>
      <c r="AG353" s="19"/>
      <c r="AH353" s="18"/>
      <c r="AI353" s="23">
        <f>AI352*$B353</f>
        <v>0</v>
      </c>
      <c r="AJ353" s="18"/>
      <c r="AK353" s="18"/>
      <c r="AL353" s="19"/>
      <c r="AM353" s="18"/>
      <c r="AN353" s="23">
        <f>AN352*$B353</f>
        <v>0</v>
      </c>
      <c r="AO353" s="18"/>
      <c r="AP353" s="18"/>
      <c r="AQ353" s="19"/>
      <c r="AR353" s="22"/>
      <c r="AS353" s="23">
        <f>AS352*$B353</f>
        <v>0</v>
      </c>
      <c r="AT353" s="18"/>
      <c r="AU353" s="18"/>
      <c r="AV353" s="19"/>
      <c r="AW353" s="22"/>
      <c r="AX353" s="23">
        <f>AX352*$B353</f>
        <v>0</v>
      </c>
      <c r="AY353" s="18"/>
      <c r="AZ353" s="18"/>
      <c r="BA353" s="19"/>
      <c r="BB353" s="22"/>
      <c r="BC353" s="23">
        <f>BC352*$B353</f>
        <v>0</v>
      </c>
      <c r="BD353" s="18"/>
      <c r="BE353" s="18"/>
      <c r="BF353" s="19"/>
      <c r="BG353" s="22"/>
      <c r="BH353" s="23">
        <f>BH352*$B353</f>
        <v>0</v>
      </c>
      <c r="BI353" s="18"/>
      <c r="BJ353" s="18"/>
      <c r="BK353" s="19"/>
      <c r="BL353" s="22"/>
      <c r="BM353" s="23">
        <f>BM352*$B353</f>
        <v>0</v>
      </c>
      <c r="BN353" s="18"/>
      <c r="BO353" s="18"/>
      <c r="BP353" s="19"/>
      <c r="BQ353" s="17" t="s">
        <v>216</v>
      </c>
      <c r="BR353" s="1"/>
      <c r="BS353" s="1"/>
      <c r="BT353" s="1"/>
      <c r="BU353" s="1"/>
    </row>
    <row r="354">
      <c r="A354" s="56" t="str">
        <f>B336</f>
        <v>광흥</v>
      </c>
      <c r="B354" s="29">
        <v>1.0</v>
      </c>
      <c r="C354" s="30" t="s">
        <v>57</v>
      </c>
      <c r="D354" s="31"/>
      <c r="E354" s="32">
        <f>E352*$B354</f>
        <v>1310000</v>
      </c>
      <c r="F354" s="33"/>
      <c r="G354" s="33"/>
      <c r="H354" s="34"/>
      <c r="I354" s="31"/>
      <c r="J354" s="32">
        <f>J352*$B354</f>
        <v>1352414</v>
      </c>
      <c r="K354" s="33"/>
      <c r="L354" s="33"/>
      <c r="M354" s="34"/>
      <c r="N354" s="31"/>
      <c r="O354" s="32">
        <f>O352*$B354</f>
        <v>1260000</v>
      </c>
      <c r="P354" s="33"/>
      <c r="Q354" s="33"/>
      <c r="R354" s="34"/>
      <c r="S354" s="31"/>
      <c r="T354" s="32">
        <f>T352*$B354</f>
        <v>1260000</v>
      </c>
      <c r="U354" s="33"/>
      <c r="V354" s="33"/>
      <c r="W354" s="34"/>
      <c r="X354" s="33"/>
      <c r="Y354" s="32">
        <f>Y352*$B354</f>
        <v>1260000</v>
      </c>
      <c r="Z354" s="33"/>
      <c r="AA354" s="33"/>
      <c r="AB354" s="34"/>
      <c r="AC354" s="33"/>
      <c r="AD354" s="32">
        <f>AD352*$B354</f>
        <v>1260000</v>
      </c>
      <c r="AE354" s="33"/>
      <c r="AF354" s="33"/>
      <c r="AG354" s="34"/>
      <c r="AH354" s="33"/>
      <c r="AI354" s="32">
        <f>AI352*$B354</f>
        <v>1260000</v>
      </c>
      <c r="AJ354" s="33"/>
      <c r="AK354" s="33"/>
      <c r="AL354" s="34"/>
      <c r="AM354" s="33"/>
      <c r="AN354" s="32">
        <f>AN352*$B354</f>
        <v>1260000</v>
      </c>
      <c r="AO354" s="33"/>
      <c r="AP354" s="33"/>
      <c r="AQ354" s="34"/>
      <c r="AR354" s="31"/>
      <c r="AS354" s="32">
        <f>AS352*$B354</f>
        <v>1240000</v>
      </c>
      <c r="AT354" s="33"/>
      <c r="AU354" s="33"/>
      <c r="AV354" s="34"/>
      <c r="AW354" s="31"/>
      <c r="AX354" s="32">
        <f>AX352*$B354</f>
        <v>1240000</v>
      </c>
      <c r="AY354" s="33"/>
      <c r="AZ354" s="33"/>
      <c r="BA354" s="34"/>
      <c r="BB354" s="31"/>
      <c r="BC354" s="32">
        <f>BC352*$B354</f>
        <v>1240000</v>
      </c>
      <c r="BD354" s="33"/>
      <c r="BE354" s="33"/>
      <c r="BF354" s="34"/>
      <c r="BG354" s="31"/>
      <c r="BH354" s="32">
        <f>BH352*$B354</f>
        <v>1240000</v>
      </c>
      <c r="BI354" s="33"/>
      <c r="BJ354" s="33"/>
      <c r="BK354" s="34"/>
      <c r="BL354" s="31"/>
      <c r="BM354" s="32">
        <f>BM352*$B354</f>
        <v>1240000</v>
      </c>
      <c r="BN354" s="33"/>
      <c r="BO354" s="33"/>
      <c r="BP354" s="34"/>
      <c r="BQ354" s="17" t="s">
        <v>216</v>
      </c>
      <c r="BR354" s="1"/>
      <c r="BS354" s="1"/>
      <c r="BT354" s="1"/>
      <c r="BU354" s="1"/>
    </row>
    <row r="355">
      <c r="A355" s="1"/>
      <c r="B355" s="27" t="s">
        <v>629</v>
      </c>
      <c r="C355" s="11" t="s">
        <v>320</v>
      </c>
      <c r="D355" s="20" t="s">
        <v>630</v>
      </c>
      <c r="E355" s="23">
        <v>600000.0</v>
      </c>
      <c r="F355" s="35" t="b">
        <v>0</v>
      </c>
      <c r="G355" s="23">
        <v>80000.0</v>
      </c>
      <c r="H355" s="15" t="b">
        <v>1</v>
      </c>
      <c r="I355" s="20" t="s">
        <v>630</v>
      </c>
      <c r="J355" s="23">
        <v>600000.0</v>
      </c>
      <c r="K355" s="35" t="b">
        <v>0</v>
      </c>
      <c r="L355" s="23">
        <v>80000.0</v>
      </c>
      <c r="M355" s="15" t="b">
        <v>1</v>
      </c>
      <c r="N355" s="20" t="s">
        <v>630</v>
      </c>
      <c r="O355" s="23">
        <v>600000.0</v>
      </c>
      <c r="P355" s="35" t="b">
        <v>0</v>
      </c>
      <c r="Q355" s="23">
        <v>80000.0</v>
      </c>
      <c r="R355" s="15" t="b">
        <v>1</v>
      </c>
      <c r="S355" s="20" t="s">
        <v>630</v>
      </c>
      <c r="T355" s="23">
        <v>600000.0</v>
      </c>
      <c r="U355" s="35" t="b">
        <v>0</v>
      </c>
      <c r="V355" s="23">
        <v>80000.0</v>
      </c>
      <c r="W355" s="15" t="b">
        <v>1</v>
      </c>
      <c r="X355" s="20" t="s">
        <v>630</v>
      </c>
      <c r="Y355" s="23">
        <v>600000.0</v>
      </c>
      <c r="Z355" s="35" t="b">
        <v>0</v>
      </c>
      <c r="AA355" s="23">
        <v>80000.0</v>
      </c>
      <c r="AB355" s="15" t="b">
        <v>1</v>
      </c>
      <c r="AC355" s="20" t="s">
        <v>630</v>
      </c>
      <c r="AD355" s="23">
        <v>600000.0</v>
      </c>
      <c r="AE355" s="35" t="b">
        <v>0</v>
      </c>
      <c r="AF355" s="23">
        <v>80000.0</v>
      </c>
      <c r="AG355" s="15" t="b">
        <v>1</v>
      </c>
      <c r="AH355" s="20" t="s">
        <v>630</v>
      </c>
      <c r="AI355" s="23">
        <v>600000.0</v>
      </c>
      <c r="AJ355" s="35" t="b">
        <v>0</v>
      </c>
      <c r="AK355" s="23">
        <v>80000.0</v>
      </c>
      <c r="AL355" s="15" t="b">
        <v>1</v>
      </c>
      <c r="AM355" s="20" t="s">
        <v>631</v>
      </c>
      <c r="AN355" s="23">
        <v>600000.0</v>
      </c>
      <c r="AO355" s="35" t="b">
        <v>0</v>
      </c>
      <c r="AP355" s="23">
        <v>80000.0</v>
      </c>
      <c r="AQ355" s="15" t="b">
        <v>1</v>
      </c>
      <c r="AR355" s="20" t="s">
        <v>631</v>
      </c>
      <c r="AS355" s="23">
        <v>600000.0</v>
      </c>
      <c r="AT355" s="35" t="b">
        <v>0</v>
      </c>
      <c r="AU355" s="23">
        <v>80000.0</v>
      </c>
      <c r="AV355" s="15" t="b">
        <v>1</v>
      </c>
      <c r="AW355" s="20" t="s">
        <v>631</v>
      </c>
      <c r="AX355" s="23">
        <v>600000.0</v>
      </c>
      <c r="AY355" s="35" t="b">
        <v>0</v>
      </c>
      <c r="AZ355" s="23">
        <v>80000.0</v>
      </c>
      <c r="BA355" s="15" t="b">
        <v>1</v>
      </c>
      <c r="BB355" s="20" t="s">
        <v>631</v>
      </c>
      <c r="BC355" s="23">
        <v>600000.0</v>
      </c>
      <c r="BD355" s="35" t="b">
        <v>0</v>
      </c>
      <c r="BE355" s="23">
        <v>80000.0</v>
      </c>
      <c r="BF355" s="15" t="b">
        <v>1</v>
      </c>
      <c r="BG355" s="20" t="s">
        <v>631</v>
      </c>
      <c r="BH355" s="23">
        <v>600000.0</v>
      </c>
      <c r="BI355" s="35" t="b">
        <v>0</v>
      </c>
      <c r="BJ355" s="23">
        <v>80000.0</v>
      </c>
      <c r="BK355" s="15" t="b">
        <v>1</v>
      </c>
      <c r="BL355" s="20" t="s">
        <v>631</v>
      </c>
      <c r="BM355" s="23">
        <v>600000.0</v>
      </c>
      <c r="BN355" s="35" t="b">
        <v>0</v>
      </c>
      <c r="BO355" s="23">
        <v>80000.0</v>
      </c>
      <c r="BP355" s="15" t="b">
        <v>0</v>
      </c>
      <c r="BQ355" s="17" t="s">
        <v>357</v>
      </c>
      <c r="BR355" s="1"/>
      <c r="BS355" s="1"/>
      <c r="BT355" s="1"/>
      <c r="BU355" s="1"/>
    </row>
    <row r="356">
      <c r="A356" s="1"/>
      <c r="B356" s="27" t="s">
        <v>629</v>
      </c>
      <c r="C356" s="11" t="s">
        <v>322</v>
      </c>
      <c r="D356" s="20" t="s">
        <v>632</v>
      </c>
      <c r="E356" s="23">
        <v>600000.0</v>
      </c>
      <c r="F356" s="35" t="b">
        <v>0</v>
      </c>
      <c r="G356" s="23">
        <v>80000.0</v>
      </c>
      <c r="H356" s="15" t="b">
        <v>1</v>
      </c>
      <c r="I356" s="20" t="s">
        <v>633</v>
      </c>
      <c r="J356" s="23">
        <v>579310.0</v>
      </c>
      <c r="K356" s="35" t="b">
        <v>0</v>
      </c>
      <c r="L356" s="23">
        <v>77241.0</v>
      </c>
      <c r="M356" s="15" t="b">
        <v>1</v>
      </c>
      <c r="N356" s="20" t="s">
        <v>634</v>
      </c>
      <c r="O356" s="23">
        <v>600000.0</v>
      </c>
      <c r="P356" s="35" t="b">
        <v>0</v>
      </c>
      <c r="Q356" s="23">
        <v>80000.0</v>
      </c>
      <c r="R356" s="15" t="b">
        <v>1</v>
      </c>
      <c r="S356" s="20" t="s">
        <v>635</v>
      </c>
      <c r="T356" s="23">
        <v>600000.0</v>
      </c>
      <c r="U356" s="35" t="b">
        <v>0</v>
      </c>
      <c r="V356" s="23">
        <v>80000.0</v>
      </c>
      <c r="W356" s="15" t="b">
        <v>1</v>
      </c>
      <c r="X356" s="20" t="s">
        <v>636</v>
      </c>
      <c r="Y356" s="23">
        <v>600000.0</v>
      </c>
      <c r="Z356" s="35" t="b">
        <v>0</v>
      </c>
      <c r="AA356" s="23">
        <v>80000.0</v>
      </c>
      <c r="AB356" s="15" t="b">
        <v>1</v>
      </c>
      <c r="AC356" s="20" t="s">
        <v>636</v>
      </c>
      <c r="AD356" s="23">
        <v>600000.0</v>
      </c>
      <c r="AE356" s="35" t="b">
        <v>0</v>
      </c>
      <c r="AF356" s="23">
        <v>80000.0</v>
      </c>
      <c r="AG356" s="15" t="b">
        <v>1</v>
      </c>
      <c r="AH356" s="20" t="s">
        <v>636</v>
      </c>
      <c r="AI356" s="23">
        <v>600000.0</v>
      </c>
      <c r="AJ356" s="35" t="b">
        <v>0</v>
      </c>
      <c r="AK356" s="23">
        <v>80000.0</v>
      </c>
      <c r="AL356" s="15" t="b">
        <v>1</v>
      </c>
      <c r="AM356" s="20" t="s">
        <v>637</v>
      </c>
      <c r="AN356" s="23">
        <f>600000+19355</f>
        <v>619355</v>
      </c>
      <c r="AO356" s="35" t="b">
        <v>0</v>
      </c>
      <c r="AP356" s="23">
        <f>80000+2581</f>
        <v>82581</v>
      </c>
      <c r="AQ356" s="15" t="b">
        <v>1</v>
      </c>
      <c r="AR356" s="20" t="s">
        <v>638</v>
      </c>
      <c r="AS356" s="23">
        <v>600000.0</v>
      </c>
      <c r="AT356" s="35" t="b">
        <v>0</v>
      </c>
      <c r="AU356" s="23">
        <v>80000.0</v>
      </c>
      <c r="AV356" s="15" t="b">
        <v>1</v>
      </c>
      <c r="AW356" s="20" t="s">
        <v>638</v>
      </c>
      <c r="AX356" s="23">
        <v>600000.0</v>
      </c>
      <c r="AY356" s="35" t="b">
        <v>0</v>
      </c>
      <c r="AZ356" s="23">
        <v>80000.0</v>
      </c>
      <c r="BA356" s="15" t="b">
        <v>1</v>
      </c>
      <c r="BB356" s="20" t="s">
        <v>638</v>
      </c>
      <c r="BC356" s="23">
        <v>600000.0</v>
      </c>
      <c r="BD356" s="35" t="b">
        <v>0</v>
      </c>
      <c r="BE356" s="23">
        <v>80000.0</v>
      </c>
      <c r="BF356" s="15" t="b">
        <v>1</v>
      </c>
      <c r="BG356" s="20" t="s">
        <v>638</v>
      </c>
      <c r="BH356" s="23">
        <v>600000.0</v>
      </c>
      <c r="BI356" s="35" t="b">
        <v>0</v>
      </c>
      <c r="BJ356" s="23">
        <v>80000.0</v>
      </c>
      <c r="BK356" s="15" t="b">
        <v>1</v>
      </c>
      <c r="BL356" s="20" t="s">
        <v>638</v>
      </c>
      <c r="BM356" s="23">
        <v>600000.0</v>
      </c>
      <c r="BN356" s="35" t="b">
        <v>0</v>
      </c>
      <c r="BO356" s="23">
        <v>80000.0</v>
      </c>
      <c r="BP356" s="15" t="b">
        <v>0</v>
      </c>
      <c r="BQ356" s="17" t="s">
        <v>357</v>
      </c>
      <c r="BR356" s="1"/>
      <c r="BS356" s="1"/>
      <c r="BT356" s="1"/>
      <c r="BU356" s="1"/>
    </row>
    <row r="357">
      <c r="A357" s="1"/>
      <c r="B357" s="27" t="s">
        <v>629</v>
      </c>
      <c r="C357" s="11" t="s">
        <v>323</v>
      </c>
      <c r="D357" s="20" t="s">
        <v>639</v>
      </c>
      <c r="E357" s="23">
        <v>325161.0</v>
      </c>
      <c r="F357" s="35" t="b">
        <v>1</v>
      </c>
      <c r="G357" s="23">
        <v>54194.0</v>
      </c>
      <c r="H357" s="15" t="b">
        <v>1</v>
      </c>
      <c r="I357" s="20" t="s">
        <v>640</v>
      </c>
      <c r="J357" s="23">
        <f>480000+500000+33103</f>
        <v>1013103</v>
      </c>
      <c r="K357" s="35" t="b">
        <v>0</v>
      </c>
      <c r="L357" s="66">
        <f>80000+5517</f>
        <v>85517</v>
      </c>
      <c r="M357" s="15" t="b">
        <v>1</v>
      </c>
      <c r="N357" s="20" t="s">
        <v>641</v>
      </c>
      <c r="O357" s="23">
        <v>480000.0</v>
      </c>
      <c r="P357" s="35" t="b">
        <v>0</v>
      </c>
      <c r="Q357" s="23">
        <v>80000.0</v>
      </c>
      <c r="R357" s="15" t="b">
        <v>1</v>
      </c>
      <c r="S357" s="20" t="s">
        <v>641</v>
      </c>
      <c r="T357" s="23">
        <v>480000.0</v>
      </c>
      <c r="U357" s="35" t="b">
        <v>0</v>
      </c>
      <c r="V357" s="23">
        <v>80000.0</v>
      </c>
      <c r="W357" s="15" t="b">
        <v>1</v>
      </c>
      <c r="X357" s="20" t="s">
        <v>641</v>
      </c>
      <c r="Y357" s="23">
        <v>480000.0</v>
      </c>
      <c r="Z357" s="35" t="b">
        <v>0</v>
      </c>
      <c r="AA357" s="23">
        <v>80000.0</v>
      </c>
      <c r="AB357" s="15" t="b">
        <v>1</v>
      </c>
      <c r="AC357" s="20" t="s">
        <v>641</v>
      </c>
      <c r="AD357" s="23">
        <v>480000.0</v>
      </c>
      <c r="AE357" s="35" t="b">
        <v>0</v>
      </c>
      <c r="AF357" s="23">
        <v>80000.0</v>
      </c>
      <c r="AG357" s="15" t="b">
        <v>1</v>
      </c>
      <c r="AH357" s="20" t="s">
        <v>526</v>
      </c>
      <c r="AI357" s="23">
        <v>480000.0</v>
      </c>
      <c r="AJ357" s="35" t="b">
        <v>0</v>
      </c>
      <c r="AK357" s="23">
        <v>80000.0</v>
      </c>
      <c r="AL357" s="15" t="b">
        <v>1</v>
      </c>
      <c r="AM357" s="20" t="s">
        <v>526</v>
      </c>
      <c r="AN357" s="23">
        <v>480000.0</v>
      </c>
      <c r="AO357" s="35" t="b">
        <v>0</v>
      </c>
      <c r="AP357" s="23">
        <v>80000.0</v>
      </c>
      <c r="AQ357" s="15" t="b">
        <v>1</v>
      </c>
      <c r="AR357" s="20" t="s">
        <v>526</v>
      </c>
      <c r="AS357" s="23">
        <v>480000.0</v>
      </c>
      <c r="AT357" s="35" t="b">
        <v>0</v>
      </c>
      <c r="AU357" s="23">
        <v>80000.0</v>
      </c>
      <c r="AV357" s="15" t="b">
        <v>1</v>
      </c>
      <c r="AW357" s="20" t="s">
        <v>526</v>
      </c>
      <c r="AX357" s="23">
        <v>480000.0</v>
      </c>
      <c r="AY357" s="35" t="b">
        <v>0</v>
      </c>
      <c r="AZ357" s="23">
        <v>80000.0</v>
      </c>
      <c r="BA357" s="15" t="b">
        <v>1</v>
      </c>
      <c r="BB357" s="20" t="s">
        <v>526</v>
      </c>
      <c r="BC357" s="23">
        <v>480000.0</v>
      </c>
      <c r="BD357" s="35" t="b">
        <v>0</v>
      </c>
      <c r="BE357" s="23">
        <v>80000.0</v>
      </c>
      <c r="BF357" s="15" t="b">
        <v>1</v>
      </c>
      <c r="BG357" s="20" t="s">
        <v>526</v>
      </c>
      <c r="BH357" s="23">
        <v>480000.0</v>
      </c>
      <c r="BI357" s="35" t="b">
        <v>0</v>
      </c>
      <c r="BJ357" s="23">
        <v>80000.0</v>
      </c>
      <c r="BK357" s="15" t="b">
        <v>1</v>
      </c>
      <c r="BL357" s="20" t="s">
        <v>526</v>
      </c>
      <c r="BM357" s="23">
        <v>480000.0</v>
      </c>
      <c r="BN357" s="35" t="b">
        <v>0</v>
      </c>
      <c r="BO357" s="23">
        <v>80000.0</v>
      </c>
      <c r="BP357" s="15" t="b">
        <v>0</v>
      </c>
      <c r="BQ357" s="17" t="s">
        <v>357</v>
      </c>
      <c r="BR357" s="18"/>
      <c r="BS357" s="1"/>
      <c r="BT357" s="18"/>
      <c r="BU357" s="19"/>
    </row>
    <row r="358">
      <c r="A358" s="1"/>
      <c r="B358" s="27" t="s">
        <v>629</v>
      </c>
      <c r="C358" s="11" t="s">
        <v>349</v>
      </c>
      <c r="D358" s="20" t="s">
        <v>642</v>
      </c>
      <c r="E358" s="23">
        <v>480000.0</v>
      </c>
      <c r="F358" s="35" t="b">
        <v>0</v>
      </c>
      <c r="G358" s="23">
        <v>80000.0</v>
      </c>
      <c r="H358" s="15" t="b">
        <v>1</v>
      </c>
      <c r="I358" s="20" t="s">
        <v>642</v>
      </c>
      <c r="J358" s="23">
        <v>480000.0</v>
      </c>
      <c r="K358" s="35" t="b">
        <v>0</v>
      </c>
      <c r="L358" s="23">
        <v>80000.0</v>
      </c>
      <c r="M358" s="15" t="b">
        <v>1</v>
      </c>
      <c r="N358" s="20" t="s">
        <v>642</v>
      </c>
      <c r="O358" s="23">
        <v>480000.0</v>
      </c>
      <c r="P358" s="35" t="b">
        <v>0</v>
      </c>
      <c r="Q358" s="23">
        <v>80000.0</v>
      </c>
      <c r="R358" s="15" t="b">
        <v>1</v>
      </c>
      <c r="S358" s="20" t="s">
        <v>642</v>
      </c>
      <c r="T358" s="23">
        <v>480000.0</v>
      </c>
      <c r="U358" s="35" t="b">
        <v>0</v>
      </c>
      <c r="V358" s="23">
        <v>80000.0</v>
      </c>
      <c r="W358" s="15" t="b">
        <v>1</v>
      </c>
      <c r="X358" s="20" t="s">
        <v>642</v>
      </c>
      <c r="Y358" s="23">
        <v>480000.0</v>
      </c>
      <c r="Z358" s="35" t="b">
        <v>0</v>
      </c>
      <c r="AA358" s="23">
        <v>80000.0</v>
      </c>
      <c r="AB358" s="15" t="b">
        <v>1</v>
      </c>
      <c r="AC358" s="20" t="s">
        <v>642</v>
      </c>
      <c r="AD358" s="23">
        <v>480000.0</v>
      </c>
      <c r="AE358" s="35" t="b">
        <v>0</v>
      </c>
      <c r="AF358" s="23">
        <v>80000.0</v>
      </c>
      <c r="AG358" s="15" t="b">
        <v>1</v>
      </c>
      <c r="AH358" s="20" t="s">
        <v>642</v>
      </c>
      <c r="AI358" s="23">
        <v>480000.0</v>
      </c>
      <c r="AJ358" s="35" t="b">
        <v>0</v>
      </c>
      <c r="AK358" s="23">
        <v>80000.0</v>
      </c>
      <c r="AL358" s="15" t="b">
        <v>1</v>
      </c>
      <c r="AM358" s="20" t="s">
        <v>642</v>
      </c>
      <c r="AN358" s="23">
        <v>480000.0</v>
      </c>
      <c r="AO358" s="35" t="b">
        <v>0</v>
      </c>
      <c r="AP358" s="23">
        <v>80000.0</v>
      </c>
      <c r="AQ358" s="15" t="b">
        <v>1</v>
      </c>
      <c r="AR358" s="20" t="s">
        <v>642</v>
      </c>
      <c r="AS358" s="23">
        <v>480000.0</v>
      </c>
      <c r="AT358" s="35" t="b">
        <v>0</v>
      </c>
      <c r="AU358" s="23">
        <v>80000.0</v>
      </c>
      <c r="AV358" s="15" t="b">
        <v>1</v>
      </c>
      <c r="AW358" s="20" t="s">
        <v>642</v>
      </c>
      <c r="AX358" s="23">
        <v>480000.0</v>
      </c>
      <c r="AY358" s="35" t="b">
        <v>0</v>
      </c>
      <c r="AZ358" s="23">
        <v>80000.0</v>
      </c>
      <c r="BA358" s="15" t="b">
        <v>1</v>
      </c>
      <c r="BB358" s="20" t="s">
        <v>642</v>
      </c>
      <c r="BC358" s="23">
        <v>480000.0</v>
      </c>
      <c r="BD358" s="35" t="b">
        <v>0</v>
      </c>
      <c r="BE358" s="23">
        <v>80000.0</v>
      </c>
      <c r="BF358" s="15" t="b">
        <v>1</v>
      </c>
      <c r="BG358" s="20" t="s">
        <v>642</v>
      </c>
      <c r="BH358" s="23">
        <v>480000.0</v>
      </c>
      <c r="BI358" s="35" t="b">
        <v>0</v>
      </c>
      <c r="BJ358" s="23">
        <v>80000.0</v>
      </c>
      <c r="BK358" s="15" t="b">
        <v>1</v>
      </c>
      <c r="BL358" s="20" t="s">
        <v>642</v>
      </c>
      <c r="BM358" s="23">
        <v>480000.0</v>
      </c>
      <c r="BN358" s="35" t="b">
        <v>0</v>
      </c>
      <c r="BO358" s="23">
        <v>80000.0</v>
      </c>
      <c r="BP358" s="15" t="b">
        <v>0</v>
      </c>
      <c r="BQ358" s="17" t="s">
        <v>357</v>
      </c>
      <c r="BR358" s="1"/>
      <c r="BS358" s="1"/>
      <c r="BT358" s="1"/>
      <c r="BU358" s="1"/>
    </row>
    <row r="359">
      <c r="A359" s="1"/>
      <c r="B359" s="21"/>
      <c r="C359" s="11" t="s">
        <v>42</v>
      </c>
      <c r="D359" s="22"/>
      <c r="E359" s="23">
        <f>SUM(E355:E358)</f>
        <v>2005161</v>
      </c>
      <c r="F359" s="18"/>
      <c r="G359" s="23">
        <f>SUM(G355:G358)</f>
        <v>294194</v>
      </c>
      <c r="H359" s="19"/>
      <c r="I359" s="22"/>
      <c r="J359" s="23">
        <f>SUM(J355:J358)</f>
        <v>2672413</v>
      </c>
      <c r="K359" s="18"/>
      <c r="L359" s="23">
        <f>SUM(L355:L358)</f>
        <v>322758</v>
      </c>
      <c r="M359" s="19"/>
      <c r="N359" s="22"/>
      <c r="O359" s="23">
        <f>SUM(O355:O358)</f>
        <v>2160000</v>
      </c>
      <c r="P359" s="18"/>
      <c r="Q359" s="23">
        <f>SUM(Q355:Q358)</f>
        <v>320000</v>
      </c>
      <c r="R359" s="19"/>
      <c r="S359" s="22"/>
      <c r="T359" s="23">
        <f>SUM(T355:T358)</f>
        <v>2160000</v>
      </c>
      <c r="U359" s="18"/>
      <c r="V359" s="23">
        <f>SUM(V355:V358)</f>
        <v>320000</v>
      </c>
      <c r="W359" s="19"/>
      <c r="X359" s="18"/>
      <c r="Y359" s="23">
        <f>SUM(Y355:Y358)</f>
        <v>2160000</v>
      </c>
      <c r="Z359" s="18"/>
      <c r="AA359" s="23">
        <f>SUM(AA355:AA358)</f>
        <v>320000</v>
      </c>
      <c r="AB359" s="19"/>
      <c r="AC359" s="18"/>
      <c r="AD359" s="23">
        <f>SUM(AD355:AD358)</f>
        <v>2160000</v>
      </c>
      <c r="AE359" s="18"/>
      <c r="AF359" s="23">
        <f>SUM(AF355:AF358)</f>
        <v>320000</v>
      </c>
      <c r="AG359" s="19"/>
      <c r="AH359" s="18"/>
      <c r="AI359" s="23">
        <f>SUM(AI355:AI358)</f>
        <v>2160000</v>
      </c>
      <c r="AJ359" s="18"/>
      <c r="AK359" s="23">
        <f>SUM(AK355:AK358)</f>
        <v>320000</v>
      </c>
      <c r="AL359" s="19"/>
      <c r="AM359" s="18"/>
      <c r="AN359" s="23">
        <f>SUM(AN355:AN358)</f>
        <v>2179355</v>
      </c>
      <c r="AO359" s="18"/>
      <c r="AP359" s="23">
        <f>SUM(AP355:AP358)</f>
        <v>322581</v>
      </c>
      <c r="AQ359" s="19"/>
      <c r="AR359" s="22"/>
      <c r="AS359" s="23">
        <f>SUM(AS355:AS358)</f>
        <v>2160000</v>
      </c>
      <c r="AT359" s="18"/>
      <c r="AU359" s="23">
        <f>SUM(AU355:AU358)</f>
        <v>320000</v>
      </c>
      <c r="AV359" s="19"/>
      <c r="AW359" s="22"/>
      <c r="AX359" s="23">
        <f>SUM(AX355:AX358)</f>
        <v>2160000</v>
      </c>
      <c r="AY359" s="18"/>
      <c r="AZ359" s="23">
        <f>SUM(AZ355:AZ358)</f>
        <v>320000</v>
      </c>
      <c r="BA359" s="19"/>
      <c r="BB359" s="22"/>
      <c r="BC359" s="23">
        <f>SUM(BC355:BC358)</f>
        <v>2160000</v>
      </c>
      <c r="BD359" s="18"/>
      <c r="BE359" s="23">
        <f>SUM(BE355:BE358)</f>
        <v>320000</v>
      </c>
      <c r="BF359" s="19"/>
      <c r="BG359" s="22"/>
      <c r="BH359" s="23">
        <f>SUM(BH355:BH358)</f>
        <v>2160000</v>
      </c>
      <c r="BI359" s="18"/>
      <c r="BJ359" s="23">
        <f>SUM(BJ355:BJ358)</f>
        <v>320000</v>
      </c>
      <c r="BK359" s="19"/>
      <c r="BL359" s="22"/>
      <c r="BM359" s="23">
        <f>SUM(BM355:BM358)</f>
        <v>2160000</v>
      </c>
      <c r="BN359" s="18"/>
      <c r="BO359" s="23">
        <f>SUM(BO355:BO358)</f>
        <v>320000</v>
      </c>
      <c r="BP359" s="19"/>
      <c r="BQ359" s="17" t="s">
        <v>357</v>
      </c>
      <c r="BR359" s="1"/>
      <c r="BS359" s="20">
        <f t="shared" ref="BS359:BS360" si="10">BH197+BH369</f>
        <v>2669000</v>
      </c>
      <c r="BT359" s="1"/>
      <c r="BU359" s="1"/>
    </row>
    <row r="360">
      <c r="A360" s="1"/>
      <c r="B360" s="21"/>
      <c r="C360" s="11" t="s">
        <v>43</v>
      </c>
      <c r="D360" s="22"/>
      <c r="E360" s="18"/>
      <c r="F360" s="18"/>
      <c r="G360" s="18"/>
      <c r="H360" s="19"/>
      <c r="I360" s="22"/>
      <c r="J360" s="18"/>
      <c r="K360" s="18"/>
      <c r="L360" s="18"/>
      <c r="M360" s="19"/>
      <c r="N360" s="22"/>
      <c r="O360" s="18"/>
      <c r="P360" s="18"/>
      <c r="Q360" s="18"/>
      <c r="R360" s="19"/>
      <c r="S360" s="22"/>
      <c r="T360" s="18"/>
      <c r="U360" s="18"/>
      <c r="V360" s="18"/>
      <c r="W360" s="19"/>
      <c r="X360" s="18"/>
      <c r="Y360" s="18"/>
      <c r="Z360" s="18"/>
      <c r="AA360" s="18"/>
      <c r="AB360" s="19"/>
      <c r="AC360" s="18"/>
      <c r="AD360" s="18"/>
      <c r="AE360" s="18"/>
      <c r="AF360" s="18"/>
      <c r="AG360" s="19"/>
      <c r="AH360" s="18"/>
      <c r="AI360" s="18"/>
      <c r="AJ360" s="18"/>
      <c r="AK360" s="18"/>
      <c r="AL360" s="19"/>
      <c r="AM360" s="18"/>
      <c r="AN360" s="18"/>
      <c r="AO360" s="18"/>
      <c r="AP360" s="18"/>
      <c r="AQ360" s="19"/>
      <c r="AR360" s="22"/>
      <c r="AS360" s="18"/>
      <c r="AT360" s="18"/>
      <c r="AU360" s="18"/>
      <c r="AV360" s="19"/>
      <c r="AW360" s="22"/>
      <c r="AX360" s="18"/>
      <c r="AY360" s="18"/>
      <c r="AZ360" s="18"/>
      <c r="BA360" s="19"/>
      <c r="BB360" s="22"/>
      <c r="BC360" s="18"/>
      <c r="BD360" s="18"/>
      <c r="BE360" s="18"/>
      <c r="BF360" s="19"/>
      <c r="BG360" s="22"/>
      <c r="BH360" s="18"/>
      <c r="BI360" s="18"/>
      <c r="BJ360" s="18"/>
      <c r="BK360" s="19"/>
      <c r="BL360" s="22"/>
      <c r="BM360" s="18"/>
      <c r="BN360" s="18"/>
      <c r="BO360" s="18"/>
      <c r="BP360" s="19"/>
      <c r="BQ360" s="17" t="s">
        <v>357</v>
      </c>
      <c r="BR360" s="1"/>
      <c r="BS360" s="20">
        <f t="shared" si="10"/>
        <v>471000</v>
      </c>
      <c r="BT360" s="1"/>
      <c r="BU360" s="1"/>
    </row>
    <row r="361">
      <c r="A361" s="1"/>
      <c r="B361" s="10" t="s">
        <v>95</v>
      </c>
      <c r="C361" s="11" t="s">
        <v>45</v>
      </c>
      <c r="D361" s="22"/>
      <c r="E361" s="18"/>
      <c r="F361" s="18"/>
      <c r="G361" s="18"/>
      <c r="H361" s="19"/>
      <c r="I361" s="22"/>
      <c r="J361" s="18"/>
      <c r="K361" s="18"/>
      <c r="L361" s="18"/>
      <c r="M361" s="19"/>
      <c r="N361" s="22"/>
      <c r="O361" s="18"/>
      <c r="P361" s="18"/>
      <c r="Q361" s="18"/>
      <c r="R361" s="19"/>
      <c r="S361" s="22"/>
      <c r="T361" s="18"/>
      <c r="U361" s="18"/>
      <c r="V361" s="18"/>
      <c r="W361" s="19"/>
      <c r="X361" s="18"/>
      <c r="Y361" s="18"/>
      <c r="Z361" s="18"/>
      <c r="AA361" s="18"/>
      <c r="AB361" s="19"/>
      <c r="AC361" s="18"/>
      <c r="AD361" s="18"/>
      <c r="AE361" s="18"/>
      <c r="AF361" s="18"/>
      <c r="AG361" s="19"/>
      <c r="AH361" s="18"/>
      <c r="AI361" s="18"/>
      <c r="AJ361" s="18"/>
      <c r="AK361" s="18"/>
      <c r="AL361" s="19"/>
      <c r="AM361" s="18"/>
      <c r="AN361" s="18"/>
      <c r="AO361" s="18"/>
      <c r="AP361" s="18"/>
      <c r="AQ361" s="19"/>
      <c r="AR361" s="22"/>
      <c r="AS361" s="18"/>
      <c r="AT361" s="18"/>
      <c r="AU361" s="18"/>
      <c r="AV361" s="19"/>
      <c r="AW361" s="22"/>
      <c r="AX361" s="18"/>
      <c r="AY361" s="18"/>
      <c r="AZ361" s="18"/>
      <c r="BA361" s="19"/>
      <c r="BB361" s="22"/>
      <c r="BC361" s="18"/>
      <c r="BD361" s="18"/>
      <c r="BE361" s="18"/>
      <c r="BF361" s="19"/>
      <c r="BG361" s="22"/>
      <c r="BH361" s="18"/>
      <c r="BI361" s="18"/>
      <c r="BJ361" s="18"/>
      <c r="BK361" s="19"/>
      <c r="BL361" s="22"/>
      <c r="BM361" s="18"/>
      <c r="BN361" s="18"/>
      <c r="BO361" s="18"/>
      <c r="BP361" s="19"/>
      <c r="BQ361" s="17" t="s">
        <v>357</v>
      </c>
      <c r="BR361" s="1"/>
      <c r="BS361" s="1"/>
      <c r="BT361" s="1"/>
      <c r="BU361" s="1"/>
    </row>
    <row r="362">
      <c r="A362" s="1"/>
      <c r="B362" s="10" t="s">
        <v>95</v>
      </c>
      <c r="C362" s="11" t="s">
        <v>47</v>
      </c>
      <c r="D362" s="22"/>
      <c r="E362" s="18"/>
      <c r="F362" s="18"/>
      <c r="G362" s="18"/>
      <c r="H362" s="19"/>
      <c r="I362" s="22"/>
      <c r="J362" s="18"/>
      <c r="K362" s="18"/>
      <c r="L362" s="18"/>
      <c r="M362" s="19"/>
      <c r="N362" s="22"/>
      <c r="O362" s="18"/>
      <c r="P362" s="18"/>
      <c r="Q362" s="18"/>
      <c r="R362" s="19"/>
      <c r="S362" s="22"/>
      <c r="T362" s="18"/>
      <c r="U362" s="18"/>
      <c r="V362" s="18"/>
      <c r="W362" s="19"/>
      <c r="X362" s="18"/>
      <c r="Y362" s="18"/>
      <c r="Z362" s="18"/>
      <c r="AA362" s="18"/>
      <c r="AB362" s="19"/>
      <c r="AC362" s="18"/>
      <c r="AD362" s="18"/>
      <c r="AE362" s="18"/>
      <c r="AF362" s="18"/>
      <c r="AG362" s="19"/>
      <c r="AH362" s="18"/>
      <c r="AI362" s="18"/>
      <c r="AJ362" s="18"/>
      <c r="AK362" s="18"/>
      <c r="AL362" s="19"/>
      <c r="AM362" s="18"/>
      <c r="AN362" s="18"/>
      <c r="AO362" s="18"/>
      <c r="AP362" s="18"/>
      <c r="AQ362" s="19"/>
      <c r="AR362" s="22"/>
      <c r="AS362" s="18"/>
      <c r="AT362" s="18"/>
      <c r="AU362" s="18"/>
      <c r="AV362" s="19"/>
      <c r="AW362" s="22"/>
      <c r="AX362" s="18"/>
      <c r="AY362" s="18"/>
      <c r="AZ362" s="18"/>
      <c r="BA362" s="19"/>
      <c r="BB362" s="22"/>
      <c r="BC362" s="18"/>
      <c r="BD362" s="18"/>
      <c r="BE362" s="18"/>
      <c r="BF362" s="19"/>
      <c r="BG362" s="22"/>
      <c r="BH362" s="18"/>
      <c r="BI362" s="18"/>
      <c r="BJ362" s="18"/>
      <c r="BK362" s="19"/>
      <c r="BL362" s="22"/>
      <c r="BM362" s="18"/>
      <c r="BN362" s="18"/>
      <c r="BO362" s="18"/>
      <c r="BP362" s="19"/>
      <c r="BQ362" s="17" t="s">
        <v>357</v>
      </c>
      <c r="BR362" s="1"/>
      <c r="BS362" s="1"/>
      <c r="BT362" s="1"/>
      <c r="BU362" s="1"/>
    </row>
    <row r="363">
      <c r="A363" s="1"/>
      <c r="B363" s="10" t="s">
        <v>95</v>
      </c>
      <c r="C363" s="11" t="s">
        <v>49</v>
      </c>
      <c r="D363" s="22"/>
      <c r="E363" s="18"/>
      <c r="F363" s="18"/>
      <c r="G363" s="18"/>
      <c r="H363" s="19"/>
      <c r="I363" s="22"/>
      <c r="J363" s="18"/>
      <c r="K363" s="18"/>
      <c r="L363" s="18"/>
      <c r="M363" s="19"/>
      <c r="N363" s="22"/>
      <c r="O363" s="18"/>
      <c r="P363" s="18"/>
      <c r="Q363" s="18"/>
      <c r="R363" s="19"/>
      <c r="S363" s="22"/>
      <c r="T363" s="18"/>
      <c r="U363" s="18"/>
      <c r="V363" s="18"/>
      <c r="W363" s="19"/>
      <c r="X363" s="18"/>
      <c r="Y363" s="18"/>
      <c r="Z363" s="18"/>
      <c r="AA363" s="18"/>
      <c r="AB363" s="19"/>
      <c r="AC363" s="18"/>
      <c r="AD363" s="18"/>
      <c r="AE363" s="18"/>
      <c r="AF363" s="18"/>
      <c r="AG363" s="19"/>
      <c r="AH363" s="18"/>
      <c r="AI363" s="18"/>
      <c r="AJ363" s="18"/>
      <c r="AK363" s="18"/>
      <c r="AL363" s="19"/>
      <c r="AM363" s="18"/>
      <c r="AN363" s="18"/>
      <c r="AO363" s="18"/>
      <c r="AP363" s="18"/>
      <c r="AQ363" s="19"/>
      <c r="AR363" s="22"/>
      <c r="AS363" s="18"/>
      <c r="AT363" s="18"/>
      <c r="AU363" s="18"/>
      <c r="AV363" s="19"/>
      <c r="AW363" s="22"/>
      <c r="AX363" s="18"/>
      <c r="AY363" s="18"/>
      <c r="AZ363" s="18"/>
      <c r="BA363" s="19"/>
      <c r="BB363" s="22"/>
      <c r="BC363" s="18"/>
      <c r="BD363" s="18"/>
      <c r="BE363" s="18"/>
      <c r="BF363" s="19"/>
      <c r="BG363" s="22"/>
      <c r="BH363" s="18"/>
      <c r="BI363" s="18"/>
      <c r="BJ363" s="18"/>
      <c r="BK363" s="19"/>
      <c r="BL363" s="22"/>
      <c r="BM363" s="18"/>
      <c r="BN363" s="18"/>
      <c r="BO363" s="18"/>
      <c r="BP363" s="19"/>
      <c r="BQ363" s="17" t="s">
        <v>357</v>
      </c>
      <c r="BR363" s="1"/>
      <c r="BS363" s="1"/>
      <c r="BT363" s="1"/>
      <c r="BU363" s="1"/>
    </row>
    <row r="364">
      <c r="A364" s="1"/>
      <c r="B364" s="10" t="s">
        <v>95</v>
      </c>
      <c r="C364" s="11" t="s">
        <v>51</v>
      </c>
      <c r="D364" s="22"/>
      <c r="E364" s="18"/>
      <c r="F364" s="18"/>
      <c r="G364" s="18"/>
      <c r="H364" s="19"/>
      <c r="I364" s="22"/>
      <c r="J364" s="18"/>
      <c r="K364" s="18"/>
      <c r="L364" s="18"/>
      <c r="M364" s="19"/>
      <c r="N364" s="22"/>
      <c r="O364" s="18"/>
      <c r="P364" s="18"/>
      <c r="Q364" s="18"/>
      <c r="R364" s="19"/>
      <c r="S364" s="22"/>
      <c r="T364" s="18"/>
      <c r="U364" s="18"/>
      <c r="V364" s="18"/>
      <c r="W364" s="19"/>
      <c r="X364" s="18"/>
      <c r="Y364" s="18"/>
      <c r="Z364" s="18"/>
      <c r="AA364" s="18"/>
      <c r="AB364" s="19"/>
      <c r="AC364" s="18"/>
      <c r="AD364" s="18"/>
      <c r="AE364" s="18"/>
      <c r="AF364" s="18"/>
      <c r="AG364" s="19"/>
      <c r="AH364" s="18"/>
      <c r="AI364" s="18"/>
      <c r="AJ364" s="18"/>
      <c r="AK364" s="18"/>
      <c r="AL364" s="19"/>
      <c r="AM364" s="18"/>
      <c r="AN364" s="18"/>
      <c r="AO364" s="18"/>
      <c r="AP364" s="18"/>
      <c r="AQ364" s="19"/>
      <c r="AR364" s="22"/>
      <c r="AS364" s="18"/>
      <c r="AT364" s="18"/>
      <c r="AU364" s="18"/>
      <c r="AV364" s="19"/>
      <c r="AW364" s="22"/>
      <c r="AX364" s="18"/>
      <c r="AY364" s="18"/>
      <c r="AZ364" s="18"/>
      <c r="BA364" s="19"/>
      <c r="BB364" s="22"/>
      <c r="BC364" s="18"/>
      <c r="BD364" s="18"/>
      <c r="BE364" s="18"/>
      <c r="BF364" s="19"/>
      <c r="BG364" s="22"/>
      <c r="BH364" s="18"/>
      <c r="BI364" s="18"/>
      <c r="BJ364" s="18"/>
      <c r="BK364" s="19"/>
      <c r="BL364" s="22"/>
      <c r="BM364" s="18"/>
      <c r="BN364" s="18"/>
      <c r="BO364" s="18"/>
      <c r="BP364" s="19"/>
      <c r="BQ364" s="17" t="s">
        <v>357</v>
      </c>
      <c r="BR364" s="1"/>
      <c r="BS364" s="1"/>
      <c r="BT364" s="1"/>
      <c r="BU364" s="1"/>
    </row>
    <row r="365">
      <c r="A365" s="1"/>
      <c r="B365" s="10" t="s">
        <v>95</v>
      </c>
      <c r="C365" s="11" t="s">
        <v>52</v>
      </c>
      <c r="D365" s="22"/>
      <c r="E365" s="18"/>
      <c r="F365" s="18"/>
      <c r="G365" s="18"/>
      <c r="H365" s="19"/>
      <c r="I365" s="22"/>
      <c r="J365" s="18"/>
      <c r="K365" s="18"/>
      <c r="L365" s="18"/>
      <c r="M365" s="19"/>
      <c r="N365" s="22"/>
      <c r="O365" s="18"/>
      <c r="P365" s="18"/>
      <c r="Q365" s="18"/>
      <c r="R365" s="19"/>
      <c r="S365" s="22"/>
      <c r="T365" s="18"/>
      <c r="U365" s="18"/>
      <c r="V365" s="18"/>
      <c r="W365" s="19"/>
      <c r="X365" s="18"/>
      <c r="Y365" s="18"/>
      <c r="Z365" s="18"/>
      <c r="AA365" s="18"/>
      <c r="AB365" s="19"/>
      <c r="AC365" s="18"/>
      <c r="AD365" s="18"/>
      <c r="AE365" s="18"/>
      <c r="AF365" s="18"/>
      <c r="AG365" s="19"/>
      <c r="AH365" s="18"/>
      <c r="AI365" s="18"/>
      <c r="AJ365" s="18"/>
      <c r="AK365" s="18"/>
      <c r="AL365" s="19"/>
      <c r="AM365" s="18"/>
      <c r="AN365" s="18"/>
      <c r="AO365" s="18"/>
      <c r="AP365" s="18"/>
      <c r="AQ365" s="19"/>
      <c r="AR365" s="22"/>
      <c r="AS365" s="18"/>
      <c r="AT365" s="18"/>
      <c r="AU365" s="18"/>
      <c r="AV365" s="19"/>
      <c r="AW365" s="22"/>
      <c r="AX365" s="18"/>
      <c r="AY365" s="18"/>
      <c r="AZ365" s="18"/>
      <c r="BA365" s="19"/>
      <c r="BB365" s="22"/>
      <c r="BC365" s="18"/>
      <c r="BD365" s="18"/>
      <c r="BE365" s="18"/>
      <c r="BF365" s="19"/>
      <c r="BG365" s="22"/>
      <c r="BH365" s="18"/>
      <c r="BI365" s="18"/>
      <c r="BJ365" s="18"/>
      <c r="BK365" s="19"/>
      <c r="BL365" s="22"/>
      <c r="BM365" s="18"/>
      <c r="BN365" s="18"/>
      <c r="BO365" s="18"/>
      <c r="BP365" s="19"/>
      <c r="BQ365" s="17" t="s">
        <v>357</v>
      </c>
      <c r="BR365" s="1"/>
      <c r="BS365" s="1"/>
      <c r="BT365" s="1"/>
      <c r="BU365" s="1"/>
    </row>
    <row r="366">
      <c r="A366" s="1"/>
      <c r="B366" s="10" t="s">
        <v>95</v>
      </c>
      <c r="C366" s="11" t="s">
        <v>53</v>
      </c>
      <c r="D366" s="22"/>
      <c r="E366" s="18"/>
      <c r="F366" s="18"/>
      <c r="G366" s="18"/>
      <c r="H366" s="19"/>
      <c r="I366" s="22"/>
      <c r="J366" s="18"/>
      <c r="K366" s="18"/>
      <c r="L366" s="18"/>
      <c r="M366" s="19"/>
      <c r="N366" s="22"/>
      <c r="O366" s="18"/>
      <c r="P366" s="18"/>
      <c r="Q366" s="18"/>
      <c r="R366" s="19"/>
      <c r="S366" s="22"/>
      <c r="T366" s="18"/>
      <c r="U366" s="18"/>
      <c r="V366" s="18"/>
      <c r="W366" s="19"/>
      <c r="X366" s="18"/>
      <c r="Y366" s="18"/>
      <c r="Z366" s="18"/>
      <c r="AA366" s="18"/>
      <c r="AB366" s="19"/>
      <c r="AC366" s="18"/>
      <c r="AD366" s="18"/>
      <c r="AE366" s="18"/>
      <c r="AF366" s="18"/>
      <c r="AG366" s="19"/>
      <c r="AH366" s="18"/>
      <c r="AI366" s="18"/>
      <c r="AJ366" s="18"/>
      <c r="AK366" s="18"/>
      <c r="AL366" s="19"/>
      <c r="AM366" s="18"/>
      <c r="AN366" s="18"/>
      <c r="AO366" s="18"/>
      <c r="AP366" s="18"/>
      <c r="AQ366" s="19"/>
      <c r="AR366" s="22"/>
      <c r="AS366" s="18"/>
      <c r="AT366" s="18"/>
      <c r="AU366" s="18"/>
      <c r="AV366" s="19"/>
      <c r="AW366" s="22"/>
      <c r="AX366" s="18"/>
      <c r="AY366" s="18"/>
      <c r="AZ366" s="18"/>
      <c r="BA366" s="19"/>
      <c r="BB366" s="22"/>
      <c r="BC366" s="18"/>
      <c r="BD366" s="18"/>
      <c r="BE366" s="18"/>
      <c r="BF366" s="19"/>
      <c r="BG366" s="22"/>
      <c r="BH366" s="18"/>
      <c r="BI366" s="18"/>
      <c r="BJ366" s="18"/>
      <c r="BK366" s="19"/>
      <c r="BL366" s="22"/>
      <c r="BM366" s="18"/>
      <c r="BN366" s="18"/>
      <c r="BO366" s="18"/>
      <c r="BP366" s="19"/>
      <c r="BQ366" s="17" t="s">
        <v>357</v>
      </c>
      <c r="BR366" s="1"/>
      <c r="BS366" s="1"/>
      <c r="BT366" s="1"/>
      <c r="BU366" s="1"/>
    </row>
    <row r="367">
      <c r="A367" s="1"/>
      <c r="B367" s="21"/>
      <c r="C367" s="11" t="s">
        <v>54</v>
      </c>
      <c r="D367" s="22"/>
      <c r="E367" s="18"/>
      <c r="F367" s="18"/>
      <c r="G367" s="23">
        <f>SUMIFS('지출'!$G$3:$G1000,'지출'!$J$3:$J1000,G$1,'지출'!$C$3:$C1000,"와이지")</f>
        <v>58340</v>
      </c>
      <c r="H367" s="19"/>
      <c r="I367" s="22"/>
      <c r="J367" s="18"/>
      <c r="K367" s="18"/>
      <c r="L367" s="23">
        <f>SUMIFS('지출'!$G$3:$G1000,'지출'!$J$3:$J1000,L$1,'지출'!$C$3:$C1000,"와이지")</f>
        <v>50000</v>
      </c>
      <c r="M367" s="24"/>
      <c r="N367" s="18"/>
      <c r="O367" s="18"/>
      <c r="P367" s="18"/>
      <c r="Q367" s="23">
        <f>SUMIFS('지출'!$G$3:$G1000,'지출'!$J$3:$J1000,Q$1,'지출'!$C$3:$C1000,"와이지")</f>
        <v>9800</v>
      </c>
      <c r="R367" s="24"/>
      <c r="S367" s="18"/>
      <c r="T367" s="18"/>
      <c r="U367" s="18"/>
      <c r="V367" s="23">
        <f>SUMIFS('지출'!$G$3:$G1000,'지출'!$J$3:$J1000,V$1,'지출'!$C$3:$C1000,"와이지")</f>
        <v>0</v>
      </c>
      <c r="W367" s="24"/>
      <c r="X367" s="18"/>
      <c r="Y367" s="18"/>
      <c r="Z367" s="18"/>
      <c r="AA367" s="23">
        <f>SUMIFS('지출'!$G$3:$G1000,'지출'!$J$3:$J1000,AA$1,'지출'!$C$3:$C1000,"와이지")</f>
        <v>0</v>
      </c>
      <c r="AB367" s="24"/>
      <c r="AC367" s="18"/>
      <c r="AD367" s="18"/>
      <c r="AE367" s="18"/>
      <c r="AF367" s="23">
        <f>SUMIFS('지출'!$G$3:$G1000,'지출'!$J$3:$J1000,AF$1,'지출'!$C$3:$C1000,"와이지")</f>
        <v>0</v>
      </c>
      <c r="AG367" s="24"/>
      <c r="AH367" s="18"/>
      <c r="AI367" s="18"/>
      <c r="AJ367" s="18"/>
      <c r="AK367" s="23">
        <f>SUMIFS('지출'!$G$3:$G1000,'지출'!$J$3:$J1000,AK$1,'지출'!$C$3:$C1000,"와이지")</f>
        <v>0</v>
      </c>
      <c r="AL367" s="24"/>
      <c r="AM367" s="18"/>
      <c r="AN367" s="18"/>
      <c r="AO367" s="18"/>
      <c r="AP367" s="23">
        <f>SUMIFS('지출'!$G$3:$G1000,'지출'!$J$3:$J1000,AP$1,'지출'!$C$3:$C1000,"와이지")</f>
        <v>0</v>
      </c>
      <c r="AQ367" s="24"/>
      <c r="AR367" s="18"/>
      <c r="AS367" s="18"/>
      <c r="AT367" s="18"/>
      <c r="AU367" s="23">
        <f>SUMIFS('지출'!$G$3:$G1000,'지출'!$J$3:$J1000,AU$1,'지출'!$C$3:$C1000,"와이지")</f>
        <v>0</v>
      </c>
      <c r="AV367" s="24"/>
      <c r="AW367" s="18"/>
      <c r="AX367" s="18"/>
      <c r="AY367" s="18"/>
      <c r="AZ367" s="23">
        <f>SUMIFS('지출'!$G$3:$G1000,'지출'!$J$3:$J1000,AZ$1,'지출'!$C$3:$C1000,"와이지")</f>
        <v>0</v>
      </c>
      <c r="BA367" s="24"/>
      <c r="BB367" s="18"/>
      <c r="BC367" s="18"/>
      <c r="BD367" s="18"/>
      <c r="BE367" s="23">
        <f>SUMIFS('지출'!$G$3:$G1000,'지출'!$J$3:$J1000,BE$1,'지출'!$C$3:$C1000,"와이지")</f>
        <v>0</v>
      </c>
      <c r="BF367" s="24"/>
      <c r="BG367" s="18"/>
      <c r="BH367" s="18"/>
      <c r="BI367" s="18"/>
      <c r="BJ367" s="23">
        <f>SUMIFS('지출'!$G$3:$G1000,'지출'!$J$3:$J1000,BJ$1,'지출'!$C$3:$C1000,"와이지")</f>
        <v>0</v>
      </c>
      <c r="BK367" s="19"/>
      <c r="BL367" s="18"/>
      <c r="BM367" s="18"/>
      <c r="BN367" s="18"/>
      <c r="BO367" s="23">
        <f>SUMIFS('지출'!$G$3:$G1000,'지출'!$J$3:$J1000,BO$1,'지출'!$C$3:$C1000,"와이지")</f>
        <v>58340</v>
      </c>
      <c r="BP367" s="19"/>
      <c r="BQ367" s="17" t="s">
        <v>357</v>
      </c>
      <c r="BR367" s="1"/>
      <c r="BS367" s="1"/>
      <c r="BT367" s="1"/>
      <c r="BU367" s="1"/>
    </row>
    <row r="368">
      <c r="A368" s="1"/>
      <c r="B368" s="21"/>
      <c r="C368" s="11" t="s">
        <v>56</v>
      </c>
      <c r="D368" s="22"/>
      <c r="E368" s="23">
        <f>E359-(SUM(E360:E367))</f>
        <v>2005161</v>
      </c>
      <c r="F368" s="18"/>
      <c r="G368" s="23">
        <f>G359-(SUM(G360:G367))</f>
        <v>235854</v>
      </c>
      <c r="H368" s="19"/>
      <c r="I368" s="22"/>
      <c r="J368" s="23">
        <f>J359-(SUM(J360:J367))</f>
        <v>2672413</v>
      </c>
      <c r="K368" s="18"/>
      <c r="L368" s="23">
        <f>L359-(SUM(L360:L367))</f>
        <v>272758</v>
      </c>
      <c r="M368" s="19"/>
      <c r="N368" s="22"/>
      <c r="O368" s="23">
        <f>O359-(SUM(O360:O367))</f>
        <v>2160000</v>
      </c>
      <c r="P368" s="18"/>
      <c r="Q368" s="23">
        <f>Q359-(SUM(Q360:Q367))</f>
        <v>310200</v>
      </c>
      <c r="R368" s="19"/>
      <c r="S368" s="22"/>
      <c r="T368" s="23">
        <f>T359-(SUM(T360:T367))</f>
        <v>2160000</v>
      </c>
      <c r="U368" s="18"/>
      <c r="V368" s="23">
        <f>V359-(SUM(V360:V367))</f>
        <v>320000</v>
      </c>
      <c r="W368" s="19"/>
      <c r="X368" s="18"/>
      <c r="Y368" s="23">
        <f>Y359-(SUM(Y360:Y367))</f>
        <v>2160000</v>
      </c>
      <c r="Z368" s="18"/>
      <c r="AA368" s="23">
        <f>AA359-(SUM(AA360:AA367))</f>
        <v>320000</v>
      </c>
      <c r="AB368" s="19"/>
      <c r="AC368" s="18"/>
      <c r="AD368" s="23">
        <f>AD359-(SUM(AD360:AD367))</f>
        <v>2160000</v>
      </c>
      <c r="AE368" s="18"/>
      <c r="AF368" s="23">
        <f>AF359-(SUM(AF360:AF367))</f>
        <v>320000</v>
      </c>
      <c r="AG368" s="19"/>
      <c r="AH368" s="18"/>
      <c r="AI368" s="23">
        <f>AI359-(SUM(AI360:AI367))</f>
        <v>2160000</v>
      </c>
      <c r="AJ368" s="18"/>
      <c r="AK368" s="23">
        <f>AK359-(SUM(AK360:AK367))</f>
        <v>320000</v>
      </c>
      <c r="AL368" s="19"/>
      <c r="AM368" s="18"/>
      <c r="AN368" s="23">
        <f>AN359-(SUM(AN360:AN367))</f>
        <v>2179355</v>
      </c>
      <c r="AO368" s="18"/>
      <c r="AP368" s="23">
        <f>AP359-(SUM(AP360:AP367))</f>
        <v>322581</v>
      </c>
      <c r="AQ368" s="19"/>
      <c r="AR368" s="22"/>
      <c r="AS368" s="23">
        <f>AS359-(SUM(AS360:AS367))</f>
        <v>2160000</v>
      </c>
      <c r="AT368" s="18"/>
      <c r="AU368" s="23">
        <f>AU359-(SUM(AU360:AU367))</f>
        <v>320000</v>
      </c>
      <c r="AV368" s="19"/>
      <c r="AW368" s="22"/>
      <c r="AX368" s="23">
        <f>AX359-(SUM(AX360:AX367))</f>
        <v>2160000</v>
      </c>
      <c r="AY368" s="18"/>
      <c r="AZ368" s="23">
        <f>AZ359-(SUM(AZ360:AZ367))</f>
        <v>320000</v>
      </c>
      <c r="BA368" s="19"/>
      <c r="BB368" s="22"/>
      <c r="BC368" s="23">
        <f>BC359-(SUM(BC360:BC367))</f>
        <v>2160000</v>
      </c>
      <c r="BD368" s="18"/>
      <c r="BE368" s="23">
        <f>BE359-(SUM(BE360:BE367))</f>
        <v>320000</v>
      </c>
      <c r="BF368" s="19"/>
      <c r="BG368" s="22"/>
      <c r="BH368" s="23">
        <f>BH359-(SUM(BH360:BH367))</f>
        <v>2160000</v>
      </c>
      <c r="BI368" s="18"/>
      <c r="BJ368" s="23">
        <f>BJ359-(SUM(BJ360:BJ367))</f>
        <v>320000</v>
      </c>
      <c r="BK368" s="19"/>
      <c r="BL368" s="22"/>
      <c r="BM368" s="23">
        <f>BM359-(SUM(BM360:BM367))</f>
        <v>2160000</v>
      </c>
      <c r="BN368" s="18"/>
      <c r="BO368" s="23">
        <f>BO359-(SUM(BO360:BO367))</f>
        <v>261660</v>
      </c>
      <c r="BP368" s="19"/>
      <c r="BQ368" s="17" t="s">
        <v>357</v>
      </c>
      <c r="BR368" s="1"/>
      <c r="BS368" s="1"/>
      <c r="BT368" s="1"/>
      <c r="BU368" s="1"/>
    </row>
    <row r="369">
      <c r="A369" s="1"/>
      <c r="B369" s="27">
        <v>0.85</v>
      </c>
      <c r="C369" s="11" t="s">
        <v>26</v>
      </c>
      <c r="D369" s="22"/>
      <c r="E369" s="23">
        <f>E368*$B369</f>
        <v>1704386.85</v>
      </c>
      <c r="F369" s="18"/>
      <c r="G369" s="18"/>
      <c r="H369" s="19"/>
      <c r="I369" s="22"/>
      <c r="J369" s="23">
        <f>J368*$B369</f>
        <v>2271551.05</v>
      </c>
      <c r="K369" s="18"/>
      <c r="L369" s="18"/>
      <c r="M369" s="19"/>
      <c r="N369" s="22"/>
      <c r="O369" s="23">
        <f>O368*$B369</f>
        <v>1836000</v>
      </c>
      <c r="P369" s="18"/>
      <c r="Q369" s="18"/>
      <c r="R369" s="19"/>
      <c r="S369" s="22"/>
      <c r="T369" s="23">
        <f>T368*$B369</f>
        <v>1836000</v>
      </c>
      <c r="U369" s="18"/>
      <c r="V369" s="18"/>
      <c r="W369" s="19"/>
      <c r="X369" s="18"/>
      <c r="Y369" s="23">
        <f>Y368*$B369</f>
        <v>1836000</v>
      </c>
      <c r="Z369" s="18"/>
      <c r="AA369" s="18"/>
      <c r="AB369" s="19"/>
      <c r="AC369" s="18"/>
      <c r="AD369" s="23">
        <f>AD368*$B369</f>
        <v>1836000</v>
      </c>
      <c r="AE369" s="18"/>
      <c r="AF369" s="18"/>
      <c r="AG369" s="19"/>
      <c r="AH369" s="18"/>
      <c r="AI369" s="23">
        <f>AI368*$B369</f>
        <v>1836000</v>
      </c>
      <c r="AJ369" s="18"/>
      <c r="AK369" s="18"/>
      <c r="AL369" s="19"/>
      <c r="AM369" s="18"/>
      <c r="AN369" s="23">
        <f>AN368*$B369</f>
        <v>1852451.75</v>
      </c>
      <c r="AO369" s="18"/>
      <c r="AP369" s="18"/>
      <c r="AQ369" s="19"/>
      <c r="AR369" s="22"/>
      <c r="AS369" s="23">
        <f>AS368*$B369</f>
        <v>1836000</v>
      </c>
      <c r="AT369" s="18"/>
      <c r="AU369" s="18"/>
      <c r="AV369" s="19"/>
      <c r="AW369" s="22"/>
      <c r="AX369" s="23">
        <f>AX368*$B369</f>
        <v>1836000</v>
      </c>
      <c r="AY369" s="18"/>
      <c r="AZ369" s="18"/>
      <c r="BA369" s="19"/>
      <c r="BB369" s="22"/>
      <c r="BC369" s="23">
        <f>BC368*$B369</f>
        <v>1836000</v>
      </c>
      <c r="BD369" s="18"/>
      <c r="BE369" s="18"/>
      <c r="BF369" s="19"/>
      <c r="BG369" s="22"/>
      <c r="BH369" s="23">
        <f>BH368*$B369</f>
        <v>1836000</v>
      </c>
      <c r="BI369" s="18"/>
      <c r="BJ369" s="18"/>
      <c r="BK369" s="19"/>
      <c r="BL369" s="22"/>
      <c r="BM369" s="23">
        <f>BM368*$B369</f>
        <v>1836000</v>
      </c>
      <c r="BN369" s="18"/>
      <c r="BO369" s="18"/>
      <c r="BP369" s="19"/>
      <c r="BQ369" s="17" t="s">
        <v>357</v>
      </c>
      <c r="BR369" s="1"/>
      <c r="BS369" s="1"/>
      <c r="BT369" s="1"/>
      <c r="BU369" s="1"/>
    </row>
    <row r="370">
      <c r="A370" s="67" t="str">
        <f>B355</f>
        <v>와이지</v>
      </c>
      <c r="B370" s="29">
        <v>0.15</v>
      </c>
      <c r="C370" s="30" t="s">
        <v>57</v>
      </c>
      <c r="D370" s="31"/>
      <c r="E370" s="32">
        <f>E368*$B370</f>
        <v>300774.15</v>
      </c>
      <c r="F370" s="33"/>
      <c r="G370" s="33"/>
      <c r="H370" s="34"/>
      <c r="I370" s="31"/>
      <c r="J370" s="32">
        <f>J368*$B370</f>
        <v>400861.95</v>
      </c>
      <c r="K370" s="33"/>
      <c r="L370" s="33"/>
      <c r="M370" s="34"/>
      <c r="N370" s="31"/>
      <c r="O370" s="32">
        <f>O368*$B370</f>
        <v>324000</v>
      </c>
      <c r="P370" s="33"/>
      <c r="Q370" s="33"/>
      <c r="R370" s="34"/>
      <c r="S370" s="31"/>
      <c r="T370" s="32">
        <f>T368*$B370</f>
        <v>324000</v>
      </c>
      <c r="U370" s="33"/>
      <c r="V370" s="33"/>
      <c r="W370" s="34"/>
      <c r="X370" s="33"/>
      <c r="Y370" s="32">
        <f>Y368*$B370</f>
        <v>324000</v>
      </c>
      <c r="Z370" s="33"/>
      <c r="AA370" s="33"/>
      <c r="AB370" s="34"/>
      <c r="AC370" s="33"/>
      <c r="AD370" s="32">
        <f>AD368*$B370</f>
        <v>324000</v>
      </c>
      <c r="AE370" s="33"/>
      <c r="AF370" s="33"/>
      <c r="AG370" s="34"/>
      <c r="AH370" s="33"/>
      <c r="AI370" s="32">
        <f>AI368*$B370</f>
        <v>324000</v>
      </c>
      <c r="AJ370" s="33"/>
      <c r="AK370" s="33"/>
      <c r="AL370" s="34"/>
      <c r="AM370" s="33"/>
      <c r="AN370" s="32">
        <f>AN368*$B370</f>
        <v>326903.25</v>
      </c>
      <c r="AO370" s="33"/>
      <c r="AP370" s="33"/>
      <c r="AQ370" s="34"/>
      <c r="AR370" s="31"/>
      <c r="AS370" s="32">
        <f>AS368*$B370</f>
        <v>324000</v>
      </c>
      <c r="AT370" s="33"/>
      <c r="AU370" s="33"/>
      <c r="AV370" s="34"/>
      <c r="AW370" s="31"/>
      <c r="AX370" s="32">
        <f>AX368*$B370</f>
        <v>324000</v>
      </c>
      <c r="AY370" s="33"/>
      <c r="AZ370" s="33"/>
      <c r="BA370" s="34"/>
      <c r="BB370" s="31"/>
      <c r="BC370" s="32">
        <f>BC368*$B370</f>
        <v>324000</v>
      </c>
      <c r="BD370" s="33"/>
      <c r="BE370" s="33"/>
      <c r="BF370" s="34"/>
      <c r="BG370" s="31"/>
      <c r="BH370" s="32">
        <f>BH368*$B370</f>
        <v>324000</v>
      </c>
      <c r="BI370" s="33"/>
      <c r="BJ370" s="33"/>
      <c r="BK370" s="34"/>
      <c r="BL370" s="31"/>
      <c r="BM370" s="32">
        <f>BM368*$B370</f>
        <v>324000</v>
      </c>
      <c r="BN370" s="33"/>
      <c r="BO370" s="33"/>
      <c r="BP370" s="34"/>
      <c r="BQ370" s="17" t="s">
        <v>357</v>
      </c>
      <c r="BR370" s="1"/>
      <c r="BS370" s="1"/>
      <c r="BT370" s="1"/>
      <c r="BU370" s="1"/>
    </row>
    <row r="371">
      <c r="A371" s="1"/>
      <c r="B371" s="10" t="s">
        <v>643</v>
      </c>
      <c r="C371" s="11">
        <v>1.0</v>
      </c>
      <c r="D371" s="20" t="s">
        <v>644</v>
      </c>
      <c r="E371" s="23">
        <v>1600000.0</v>
      </c>
      <c r="F371" s="18"/>
      <c r="G371" s="18"/>
      <c r="H371" s="19"/>
      <c r="I371" s="20" t="s">
        <v>644</v>
      </c>
      <c r="J371" s="23">
        <v>1600000.0</v>
      </c>
      <c r="K371" s="18"/>
      <c r="L371" s="18"/>
      <c r="M371" s="19"/>
      <c r="N371" s="20" t="s">
        <v>644</v>
      </c>
      <c r="O371" s="23">
        <v>1600000.0</v>
      </c>
      <c r="P371" s="18"/>
      <c r="Q371" s="18"/>
      <c r="R371" s="19"/>
      <c r="S371" s="20" t="s">
        <v>644</v>
      </c>
      <c r="T371" s="23">
        <v>1600000.0</v>
      </c>
      <c r="U371" s="18"/>
      <c r="V371" s="18"/>
      <c r="W371" s="19"/>
      <c r="X371" s="20" t="s">
        <v>644</v>
      </c>
      <c r="Y371" s="23">
        <v>1600000.0</v>
      </c>
      <c r="Z371" s="18"/>
      <c r="AA371" s="18"/>
      <c r="AB371" s="19"/>
      <c r="AC371" s="20" t="s">
        <v>644</v>
      </c>
      <c r="AD371" s="23">
        <v>1600000.0</v>
      </c>
      <c r="AE371" s="18"/>
      <c r="AF371" s="18"/>
      <c r="AG371" s="19"/>
      <c r="AH371" s="20" t="s">
        <v>644</v>
      </c>
      <c r="AI371" s="23">
        <v>1600000.0</v>
      </c>
      <c r="AJ371" s="18"/>
      <c r="AK371" s="18"/>
      <c r="AL371" s="19"/>
      <c r="AM371" s="20" t="s">
        <v>644</v>
      </c>
      <c r="AN371" s="23">
        <v>1600000.0</v>
      </c>
      <c r="AO371" s="18"/>
      <c r="AP371" s="18"/>
      <c r="AQ371" s="19"/>
      <c r="AR371" s="20" t="s">
        <v>644</v>
      </c>
      <c r="AS371" s="23">
        <v>1600000.0</v>
      </c>
      <c r="AT371" s="18"/>
      <c r="AU371" s="18"/>
      <c r="AV371" s="19"/>
      <c r="AW371" s="20" t="s">
        <v>644</v>
      </c>
      <c r="AX371" s="23">
        <v>1600000.0</v>
      </c>
      <c r="AY371" s="18"/>
      <c r="AZ371" s="18"/>
      <c r="BA371" s="19"/>
      <c r="BB371" s="20" t="s">
        <v>644</v>
      </c>
      <c r="BC371" s="23">
        <v>1600000.0</v>
      </c>
      <c r="BD371" s="18"/>
      <c r="BE371" s="18"/>
      <c r="BF371" s="19"/>
      <c r="BG371" s="20" t="s">
        <v>644</v>
      </c>
      <c r="BH371" s="23">
        <v>1600000.0</v>
      </c>
      <c r="BI371" s="18"/>
      <c r="BJ371" s="18"/>
      <c r="BK371" s="19"/>
      <c r="BL371" s="20" t="s">
        <v>644</v>
      </c>
      <c r="BM371" s="23">
        <v>1600000.0</v>
      </c>
      <c r="BN371" s="18"/>
      <c r="BO371" s="18"/>
      <c r="BP371" s="19"/>
      <c r="BQ371" s="17" t="s">
        <v>645</v>
      </c>
      <c r="BR371" s="1"/>
      <c r="BS371" s="1"/>
      <c r="BT371" s="1"/>
      <c r="BU371" s="1"/>
    </row>
    <row r="372">
      <c r="A372" s="1"/>
      <c r="B372" s="10" t="s">
        <v>643</v>
      </c>
      <c r="C372" s="11">
        <v>2.0</v>
      </c>
      <c r="D372" s="18"/>
      <c r="E372" s="18"/>
      <c r="F372" s="18"/>
      <c r="G372" s="18"/>
      <c r="H372" s="19"/>
      <c r="I372" s="18"/>
      <c r="J372" s="18"/>
      <c r="K372" s="18"/>
      <c r="L372" s="18"/>
      <c r="M372" s="19"/>
      <c r="N372" s="18"/>
      <c r="O372" s="18"/>
      <c r="P372" s="18"/>
      <c r="Q372" s="18"/>
      <c r="R372" s="19"/>
      <c r="S372" s="18"/>
      <c r="T372" s="18"/>
      <c r="U372" s="18"/>
      <c r="V372" s="18"/>
      <c r="W372" s="19"/>
      <c r="X372" s="18"/>
      <c r="Y372" s="18"/>
      <c r="Z372" s="18"/>
      <c r="AA372" s="18"/>
      <c r="AB372" s="19"/>
      <c r="AC372" s="18"/>
      <c r="AD372" s="18"/>
      <c r="AE372" s="18"/>
      <c r="AF372" s="18"/>
      <c r="AG372" s="19"/>
      <c r="AH372" s="18"/>
      <c r="AI372" s="18"/>
      <c r="AJ372" s="18"/>
      <c r="AK372" s="18"/>
      <c r="AL372" s="19"/>
      <c r="AM372" s="18"/>
      <c r="AN372" s="18"/>
      <c r="AO372" s="18"/>
      <c r="AP372" s="18"/>
      <c r="AQ372" s="19"/>
      <c r="AR372" s="18"/>
      <c r="AS372" s="18"/>
      <c r="AT372" s="18"/>
      <c r="AU372" s="18"/>
      <c r="AV372" s="19"/>
      <c r="AW372" s="18"/>
      <c r="AX372" s="18"/>
      <c r="AY372" s="18"/>
      <c r="AZ372" s="18"/>
      <c r="BA372" s="19"/>
      <c r="BB372" s="18"/>
      <c r="BC372" s="18"/>
      <c r="BD372" s="18"/>
      <c r="BE372" s="18"/>
      <c r="BF372" s="19"/>
      <c r="BG372" s="18"/>
      <c r="BH372" s="18"/>
      <c r="BI372" s="18"/>
      <c r="BJ372" s="18"/>
      <c r="BK372" s="19"/>
      <c r="BL372" s="18"/>
      <c r="BM372" s="18"/>
      <c r="BN372" s="18"/>
      <c r="BO372" s="18"/>
      <c r="BP372" s="19"/>
      <c r="BQ372" s="17" t="s">
        <v>645</v>
      </c>
      <c r="BR372" s="1"/>
      <c r="BS372" s="1"/>
      <c r="BT372" s="1"/>
      <c r="BU372" s="1"/>
    </row>
    <row r="373">
      <c r="A373" s="1"/>
      <c r="B373" s="10" t="s">
        <v>643</v>
      </c>
      <c r="C373" s="11">
        <v>3.0</v>
      </c>
      <c r="D373" s="18"/>
      <c r="E373" s="18"/>
      <c r="F373" s="18"/>
      <c r="G373" s="18"/>
      <c r="H373" s="19"/>
      <c r="I373" s="18"/>
      <c r="J373" s="18"/>
      <c r="K373" s="18"/>
      <c r="L373" s="18"/>
      <c r="M373" s="19"/>
      <c r="N373" s="18"/>
      <c r="O373" s="18"/>
      <c r="P373" s="18"/>
      <c r="Q373" s="18"/>
      <c r="R373" s="19"/>
      <c r="S373" s="18"/>
      <c r="T373" s="18"/>
      <c r="U373" s="18"/>
      <c r="V373" s="18"/>
      <c r="W373" s="19"/>
      <c r="X373" s="18"/>
      <c r="Y373" s="18"/>
      <c r="Z373" s="18"/>
      <c r="AA373" s="18"/>
      <c r="AB373" s="19"/>
      <c r="AC373" s="18"/>
      <c r="AD373" s="18"/>
      <c r="AE373" s="18"/>
      <c r="AF373" s="18"/>
      <c r="AG373" s="19"/>
      <c r="AH373" s="18"/>
      <c r="AI373" s="18"/>
      <c r="AJ373" s="18"/>
      <c r="AK373" s="18"/>
      <c r="AL373" s="19"/>
      <c r="AM373" s="18"/>
      <c r="AN373" s="18"/>
      <c r="AO373" s="18"/>
      <c r="AP373" s="18"/>
      <c r="AQ373" s="19"/>
      <c r="AR373" s="18"/>
      <c r="AS373" s="18"/>
      <c r="AT373" s="18"/>
      <c r="AU373" s="18"/>
      <c r="AV373" s="19"/>
      <c r="AW373" s="18"/>
      <c r="AX373" s="18"/>
      <c r="AY373" s="18"/>
      <c r="AZ373" s="18"/>
      <c r="BA373" s="19"/>
      <c r="BB373" s="18"/>
      <c r="BC373" s="18"/>
      <c r="BD373" s="18"/>
      <c r="BE373" s="18"/>
      <c r="BF373" s="19"/>
      <c r="BG373" s="18"/>
      <c r="BH373" s="18"/>
      <c r="BI373" s="18"/>
      <c r="BJ373" s="18"/>
      <c r="BK373" s="19"/>
      <c r="BL373" s="18"/>
      <c r="BM373" s="18"/>
      <c r="BN373" s="18"/>
      <c r="BO373" s="18"/>
      <c r="BP373" s="19"/>
      <c r="BQ373" s="17" t="s">
        <v>645</v>
      </c>
      <c r="BR373" s="1"/>
      <c r="BS373" s="1"/>
      <c r="BT373" s="1"/>
      <c r="BU373" s="1"/>
    </row>
    <row r="374">
      <c r="A374" s="1"/>
      <c r="B374" s="10" t="s">
        <v>643</v>
      </c>
      <c r="C374" s="11">
        <v>4.0</v>
      </c>
      <c r="D374" s="18"/>
      <c r="E374" s="18"/>
      <c r="F374" s="18"/>
      <c r="G374" s="18"/>
      <c r="H374" s="19"/>
      <c r="I374" s="18"/>
      <c r="J374" s="18"/>
      <c r="K374" s="18"/>
      <c r="L374" s="18"/>
      <c r="M374" s="19"/>
      <c r="N374" s="18"/>
      <c r="O374" s="18"/>
      <c r="P374" s="18"/>
      <c r="Q374" s="18"/>
      <c r="R374" s="19"/>
      <c r="S374" s="18"/>
      <c r="T374" s="18"/>
      <c r="U374" s="18"/>
      <c r="V374" s="18"/>
      <c r="W374" s="19"/>
      <c r="X374" s="18"/>
      <c r="Y374" s="18"/>
      <c r="Z374" s="18"/>
      <c r="AA374" s="18"/>
      <c r="AB374" s="19"/>
      <c r="AC374" s="18"/>
      <c r="AD374" s="18"/>
      <c r="AE374" s="18"/>
      <c r="AF374" s="18"/>
      <c r="AG374" s="19"/>
      <c r="AH374" s="18"/>
      <c r="AI374" s="18"/>
      <c r="AJ374" s="18"/>
      <c r="AK374" s="18"/>
      <c r="AL374" s="19"/>
      <c r="AM374" s="18"/>
      <c r="AN374" s="18"/>
      <c r="AO374" s="18"/>
      <c r="AP374" s="18"/>
      <c r="AQ374" s="19"/>
      <c r="AR374" s="18"/>
      <c r="AS374" s="18"/>
      <c r="AT374" s="18"/>
      <c r="AU374" s="18"/>
      <c r="AV374" s="19"/>
      <c r="AW374" s="18"/>
      <c r="AX374" s="18"/>
      <c r="AY374" s="18"/>
      <c r="AZ374" s="18"/>
      <c r="BA374" s="19"/>
      <c r="BB374" s="18"/>
      <c r="BC374" s="18"/>
      <c r="BD374" s="18"/>
      <c r="BE374" s="18"/>
      <c r="BF374" s="19"/>
      <c r="BG374" s="18"/>
      <c r="BH374" s="18"/>
      <c r="BI374" s="18"/>
      <c r="BJ374" s="18"/>
      <c r="BK374" s="19"/>
      <c r="BL374" s="18"/>
      <c r="BM374" s="18"/>
      <c r="BN374" s="18"/>
      <c r="BO374" s="18"/>
      <c r="BP374" s="19"/>
      <c r="BQ374" s="17" t="s">
        <v>645</v>
      </c>
      <c r="BR374" s="1"/>
      <c r="BS374" s="1"/>
      <c r="BT374" s="1"/>
      <c r="BU374" s="1"/>
    </row>
    <row r="375">
      <c r="A375" s="1"/>
      <c r="B375" s="10" t="s">
        <v>643</v>
      </c>
      <c r="C375" s="11">
        <v>5.0</v>
      </c>
      <c r="D375" s="18"/>
      <c r="E375" s="18"/>
      <c r="F375" s="18"/>
      <c r="G375" s="18"/>
      <c r="H375" s="19"/>
      <c r="I375" s="18"/>
      <c r="J375" s="18"/>
      <c r="K375" s="18"/>
      <c r="L375" s="18"/>
      <c r="M375" s="19"/>
      <c r="N375" s="18"/>
      <c r="O375" s="18"/>
      <c r="P375" s="18"/>
      <c r="Q375" s="18"/>
      <c r="R375" s="19"/>
      <c r="S375" s="18"/>
      <c r="T375" s="18"/>
      <c r="U375" s="18"/>
      <c r="V375" s="18"/>
      <c r="W375" s="19"/>
      <c r="X375" s="18"/>
      <c r="Y375" s="18"/>
      <c r="Z375" s="18"/>
      <c r="AA375" s="18"/>
      <c r="AB375" s="19"/>
      <c r="AC375" s="18"/>
      <c r="AD375" s="18"/>
      <c r="AE375" s="18"/>
      <c r="AF375" s="18"/>
      <c r="AG375" s="19"/>
      <c r="AH375" s="18"/>
      <c r="AI375" s="18"/>
      <c r="AJ375" s="18"/>
      <c r="AK375" s="18"/>
      <c r="AL375" s="19"/>
      <c r="AM375" s="18"/>
      <c r="AN375" s="18"/>
      <c r="AO375" s="18"/>
      <c r="AP375" s="18"/>
      <c r="AQ375" s="19"/>
      <c r="AR375" s="18"/>
      <c r="AS375" s="18"/>
      <c r="AT375" s="18"/>
      <c r="AU375" s="18"/>
      <c r="AV375" s="19"/>
      <c r="AW375" s="18"/>
      <c r="AX375" s="18"/>
      <c r="AY375" s="18"/>
      <c r="AZ375" s="18"/>
      <c r="BA375" s="19"/>
      <c r="BB375" s="18"/>
      <c r="BC375" s="18"/>
      <c r="BD375" s="18"/>
      <c r="BE375" s="18"/>
      <c r="BF375" s="19"/>
      <c r="BG375" s="18"/>
      <c r="BH375" s="18"/>
      <c r="BI375" s="18"/>
      <c r="BJ375" s="18"/>
      <c r="BK375" s="19"/>
      <c r="BL375" s="18"/>
      <c r="BM375" s="18"/>
      <c r="BN375" s="18"/>
      <c r="BO375" s="18"/>
      <c r="BP375" s="19"/>
      <c r="BQ375" s="17" t="s">
        <v>645</v>
      </c>
      <c r="BR375" s="1"/>
      <c r="BS375" s="1"/>
      <c r="BT375" s="1"/>
      <c r="BU375" s="1"/>
    </row>
    <row r="376">
      <c r="A376" s="1"/>
      <c r="B376" s="10" t="s">
        <v>643</v>
      </c>
      <c r="C376" s="11">
        <v>6.0</v>
      </c>
      <c r="D376" s="18"/>
      <c r="E376" s="18"/>
      <c r="F376" s="18"/>
      <c r="G376" s="18"/>
      <c r="H376" s="19"/>
      <c r="I376" s="18"/>
      <c r="J376" s="18"/>
      <c r="K376" s="18"/>
      <c r="L376" s="18"/>
      <c r="M376" s="19"/>
      <c r="N376" s="18"/>
      <c r="O376" s="18"/>
      <c r="P376" s="18"/>
      <c r="Q376" s="18"/>
      <c r="R376" s="19"/>
      <c r="S376" s="18"/>
      <c r="T376" s="18"/>
      <c r="U376" s="18"/>
      <c r="V376" s="18"/>
      <c r="W376" s="19"/>
      <c r="X376" s="18"/>
      <c r="Y376" s="18"/>
      <c r="Z376" s="18"/>
      <c r="AA376" s="18"/>
      <c r="AB376" s="19"/>
      <c r="AC376" s="18"/>
      <c r="AD376" s="18"/>
      <c r="AE376" s="18"/>
      <c r="AF376" s="18"/>
      <c r="AG376" s="19"/>
      <c r="AH376" s="18"/>
      <c r="AI376" s="18"/>
      <c r="AJ376" s="18"/>
      <c r="AK376" s="18"/>
      <c r="AL376" s="19"/>
      <c r="AM376" s="18"/>
      <c r="AN376" s="18"/>
      <c r="AO376" s="18"/>
      <c r="AP376" s="18"/>
      <c r="AQ376" s="19"/>
      <c r="AR376" s="18"/>
      <c r="AS376" s="18"/>
      <c r="AT376" s="18"/>
      <c r="AU376" s="18"/>
      <c r="AV376" s="19"/>
      <c r="AW376" s="18"/>
      <c r="AX376" s="18"/>
      <c r="AY376" s="18"/>
      <c r="AZ376" s="18"/>
      <c r="BA376" s="19"/>
      <c r="BB376" s="18"/>
      <c r="BC376" s="18"/>
      <c r="BD376" s="18"/>
      <c r="BE376" s="18"/>
      <c r="BF376" s="19"/>
      <c r="BG376" s="18"/>
      <c r="BH376" s="18"/>
      <c r="BI376" s="18"/>
      <c r="BJ376" s="18"/>
      <c r="BK376" s="19"/>
      <c r="BL376" s="18"/>
      <c r="BM376" s="18"/>
      <c r="BN376" s="18"/>
      <c r="BO376" s="18"/>
      <c r="BP376" s="19"/>
      <c r="BQ376" s="17" t="s">
        <v>645</v>
      </c>
      <c r="BR376" s="1"/>
      <c r="BS376" s="1"/>
      <c r="BT376" s="1"/>
      <c r="BU376" s="1"/>
    </row>
    <row r="377">
      <c r="A377" s="1"/>
      <c r="B377" s="10" t="s">
        <v>643</v>
      </c>
      <c r="C377" s="11" t="s">
        <v>646</v>
      </c>
      <c r="D377" s="20" t="s">
        <v>647</v>
      </c>
      <c r="E377" s="23">
        <v>570000.0</v>
      </c>
      <c r="F377" s="35" t="b">
        <v>1</v>
      </c>
      <c r="G377" s="23">
        <v>80000.0</v>
      </c>
      <c r="H377" s="15" t="b">
        <v>1</v>
      </c>
      <c r="I377" s="20" t="s">
        <v>648</v>
      </c>
      <c r="J377" s="23">
        <v>570000.0</v>
      </c>
      <c r="K377" s="35" t="b">
        <v>0</v>
      </c>
      <c r="L377" s="23">
        <v>80000.0</v>
      </c>
      <c r="M377" s="15" t="b">
        <v>1</v>
      </c>
      <c r="N377" s="20" t="s">
        <v>649</v>
      </c>
      <c r="O377" s="23">
        <v>550000.0</v>
      </c>
      <c r="P377" s="35" t="b">
        <v>0</v>
      </c>
      <c r="Q377" s="23">
        <v>80000.0</v>
      </c>
      <c r="R377" s="15" t="b">
        <v>1</v>
      </c>
      <c r="S377" s="20" t="s">
        <v>650</v>
      </c>
      <c r="T377" s="23">
        <v>550000.0</v>
      </c>
      <c r="U377" s="35" t="b">
        <v>0</v>
      </c>
      <c r="V377" s="23">
        <v>80000.0</v>
      </c>
      <c r="W377" s="15" t="b">
        <v>1</v>
      </c>
      <c r="X377" s="20" t="s">
        <v>650</v>
      </c>
      <c r="Y377" s="23">
        <v>550000.0</v>
      </c>
      <c r="Z377" s="35" t="b">
        <v>0</v>
      </c>
      <c r="AA377" s="23">
        <v>80000.0</v>
      </c>
      <c r="AB377" s="15" t="b">
        <v>1</v>
      </c>
      <c r="AC377" s="20" t="s">
        <v>650</v>
      </c>
      <c r="AD377" s="23">
        <v>550000.0</v>
      </c>
      <c r="AE377" s="35" t="b">
        <v>0</v>
      </c>
      <c r="AF377" s="23">
        <v>80000.0</v>
      </c>
      <c r="AG377" s="15" t="b">
        <v>1</v>
      </c>
      <c r="AH377" s="20" t="s">
        <v>650</v>
      </c>
      <c r="AI377" s="23">
        <v>550000.0</v>
      </c>
      <c r="AJ377" s="35" t="b">
        <v>0</v>
      </c>
      <c r="AK377" s="23">
        <v>80000.0</v>
      </c>
      <c r="AL377" s="15" t="b">
        <v>1</v>
      </c>
      <c r="AM377" s="20" t="s">
        <v>651</v>
      </c>
      <c r="AN377" s="23">
        <v>550000.0</v>
      </c>
      <c r="AO377" s="35" t="b">
        <v>0</v>
      </c>
      <c r="AP377" s="23">
        <v>80000.0</v>
      </c>
      <c r="AQ377" s="15" t="b">
        <v>1</v>
      </c>
      <c r="AR377" s="20" t="s">
        <v>652</v>
      </c>
      <c r="AS377" s="23">
        <f>550000+580000</f>
        <v>1130000</v>
      </c>
      <c r="AT377" s="35" t="b">
        <v>0</v>
      </c>
      <c r="AU377" s="23">
        <f t="shared" ref="AU377:AU378" si="11">80000+80000</f>
        <v>160000</v>
      </c>
      <c r="AV377" s="15" t="b">
        <v>1</v>
      </c>
      <c r="AW377" s="20" t="s">
        <v>653</v>
      </c>
      <c r="AX377" s="23">
        <v>580000.0</v>
      </c>
      <c r="AY377" s="35" t="b">
        <v>1</v>
      </c>
      <c r="AZ377" s="23">
        <v>80000.0</v>
      </c>
      <c r="BA377" s="15" t="b">
        <v>1</v>
      </c>
      <c r="BB377" s="20" t="s">
        <v>653</v>
      </c>
      <c r="BC377" s="23">
        <v>580000.0</v>
      </c>
      <c r="BD377" s="35" t="b">
        <v>0</v>
      </c>
      <c r="BE377" s="23">
        <v>80000.0</v>
      </c>
      <c r="BF377" s="15" t="b">
        <v>1</v>
      </c>
      <c r="BG377" s="20" t="s">
        <v>653</v>
      </c>
      <c r="BH377" s="23">
        <v>580000.0</v>
      </c>
      <c r="BI377" s="35" t="b">
        <v>0</v>
      </c>
      <c r="BJ377" s="23">
        <v>80000.0</v>
      </c>
      <c r="BK377" s="15" t="b">
        <v>1</v>
      </c>
      <c r="BL377" s="20" t="s">
        <v>653</v>
      </c>
      <c r="BM377" s="23">
        <v>580000.0</v>
      </c>
      <c r="BN377" s="35" t="b">
        <v>0</v>
      </c>
      <c r="BO377" s="23">
        <v>80000.0</v>
      </c>
      <c r="BP377" s="15" t="b">
        <v>0</v>
      </c>
      <c r="BQ377" s="17" t="s">
        <v>645</v>
      </c>
      <c r="BR377" s="1"/>
      <c r="BS377" s="1"/>
      <c r="BT377" s="1"/>
      <c r="BU377" s="1"/>
    </row>
    <row r="378">
      <c r="A378" s="1"/>
      <c r="B378" s="10" t="s">
        <v>643</v>
      </c>
      <c r="C378" s="11" t="s">
        <v>654</v>
      </c>
      <c r="D378" s="20" t="s">
        <v>655</v>
      </c>
      <c r="E378" s="23">
        <v>380000.0</v>
      </c>
      <c r="F378" s="35" t="b">
        <v>0</v>
      </c>
      <c r="G378" s="23">
        <v>80000.0</v>
      </c>
      <c r="H378" s="15" t="b">
        <v>1</v>
      </c>
      <c r="I378" s="20" t="s">
        <v>656</v>
      </c>
      <c r="J378" s="23">
        <f>380000</f>
        <v>380000</v>
      </c>
      <c r="K378" s="35" t="b">
        <v>0</v>
      </c>
      <c r="L378" s="23">
        <v>80000.0</v>
      </c>
      <c r="M378" s="15" t="b">
        <v>1</v>
      </c>
      <c r="N378" s="20" t="s">
        <v>657</v>
      </c>
      <c r="O378" s="23">
        <v>450000.0</v>
      </c>
      <c r="P378" s="35" t="b">
        <v>0</v>
      </c>
      <c r="Q378" s="23">
        <v>80000.0</v>
      </c>
      <c r="R378" s="15" t="b">
        <v>1</v>
      </c>
      <c r="S378" s="20" t="s">
        <v>658</v>
      </c>
      <c r="T378" s="23">
        <v>450000.0</v>
      </c>
      <c r="U378" s="35" t="b">
        <v>0</v>
      </c>
      <c r="V378" s="23">
        <v>80000.0</v>
      </c>
      <c r="W378" s="15" t="b">
        <v>1</v>
      </c>
      <c r="X378" s="20" t="s">
        <v>658</v>
      </c>
      <c r="Y378" s="23">
        <v>450000.0</v>
      </c>
      <c r="Z378" s="35" t="b">
        <v>0</v>
      </c>
      <c r="AA378" s="23">
        <v>80000.0</v>
      </c>
      <c r="AB378" s="15" t="b">
        <v>1</v>
      </c>
      <c r="AC378" s="20" t="s">
        <v>658</v>
      </c>
      <c r="AD378" s="23">
        <v>450000.0</v>
      </c>
      <c r="AE378" s="35" t="b">
        <v>0</v>
      </c>
      <c r="AF378" s="23">
        <v>80000.0</v>
      </c>
      <c r="AG378" s="15" t="b">
        <v>1</v>
      </c>
      <c r="AH378" s="20" t="s">
        <v>658</v>
      </c>
      <c r="AI378" s="23">
        <v>450000.0</v>
      </c>
      <c r="AJ378" s="35" t="b">
        <v>1</v>
      </c>
      <c r="AK378" s="23">
        <v>80000.0</v>
      </c>
      <c r="AL378" s="15" t="b">
        <v>1</v>
      </c>
      <c r="AM378" s="20" t="s">
        <v>659</v>
      </c>
      <c r="AN378" s="23">
        <f>450000+101613</f>
        <v>551613</v>
      </c>
      <c r="AO378" s="35" t="b">
        <v>0</v>
      </c>
      <c r="AP378" s="23">
        <f>80000+18065</f>
        <v>98065</v>
      </c>
      <c r="AQ378" s="15" t="b">
        <v>1</v>
      </c>
      <c r="AR378" s="20" t="s">
        <v>660</v>
      </c>
      <c r="AS378" s="23">
        <f>450000+450000</f>
        <v>900000</v>
      </c>
      <c r="AT378" s="35" t="b">
        <v>0</v>
      </c>
      <c r="AU378" s="23">
        <f t="shared" si="11"/>
        <v>160000</v>
      </c>
      <c r="AV378" s="15" t="b">
        <v>1</v>
      </c>
      <c r="AW378" s="20" t="s">
        <v>661</v>
      </c>
      <c r="AX378" s="23">
        <v>450000.0</v>
      </c>
      <c r="AY378" s="35" t="b">
        <v>0</v>
      </c>
      <c r="AZ378" s="23">
        <v>80000.0</v>
      </c>
      <c r="BA378" s="15" t="b">
        <v>1</v>
      </c>
      <c r="BB378" s="20" t="s">
        <v>661</v>
      </c>
      <c r="BC378" s="23">
        <v>450000.0</v>
      </c>
      <c r="BD378" s="35" t="b">
        <v>0</v>
      </c>
      <c r="BE378" s="23">
        <v>80000.0</v>
      </c>
      <c r="BF378" s="15" t="b">
        <v>1</v>
      </c>
      <c r="BG378" s="20" t="s">
        <v>661</v>
      </c>
      <c r="BH378" s="23">
        <v>450000.0</v>
      </c>
      <c r="BI378" s="35" t="b">
        <v>0</v>
      </c>
      <c r="BJ378" s="23">
        <v>80000.0</v>
      </c>
      <c r="BK378" s="15" t="b">
        <v>1</v>
      </c>
      <c r="BL378" s="20" t="s">
        <v>661</v>
      </c>
      <c r="BM378" s="23">
        <v>450000.0</v>
      </c>
      <c r="BN378" s="35" t="b">
        <v>0</v>
      </c>
      <c r="BO378" s="23">
        <v>80000.0</v>
      </c>
      <c r="BP378" s="15" t="b">
        <v>0</v>
      </c>
      <c r="BQ378" s="17" t="s">
        <v>645</v>
      </c>
      <c r="BR378" s="1"/>
      <c r="BS378" s="1"/>
      <c r="BT378" s="1"/>
      <c r="BU378" s="1"/>
    </row>
    <row r="379">
      <c r="A379" s="1"/>
      <c r="B379" s="10" t="s">
        <v>643</v>
      </c>
      <c r="C379" s="11" t="s">
        <v>662</v>
      </c>
      <c r="D379" s="20" t="s">
        <v>663</v>
      </c>
      <c r="E379" s="23">
        <v>450000.0</v>
      </c>
      <c r="F379" s="35" t="b">
        <v>0</v>
      </c>
      <c r="G379" s="23">
        <v>80000.0</v>
      </c>
      <c r="H379" s="15" t="b">
        <v>1</v>
      </c>
      <c r="I379" s="20" t="s">
        <v>663</v>
      </c>
      <c r="J379" s="23">
        <v>450000.0</v>
      </c>
      <c r="K379" s="35" t="b">
        <v>0</v>
      </c>
      <c r="L379" s="23">
        <v>80000.0</v>
      </c>
      <c r="M379" s="15" t="b">
        <v>1</v>
      </c>
      <c r="N379" s="20" t="s">
        <v>663</v>
      </c>
      <c r="O379" s="23">
        <v>450000.0</v>
      </c>
      <c r="P379" s="35" t="b">
        <v>0</v>
      </c>
      <c r="Q379" s="23">
        <v>80000.0</v>
      </c>
      <c r="R379" s="15" t="b">
        <v>1</v>
      </c>
      <c r="S379" s="20" t="s">
        <v>663</v>
      </c>
      <c r="T379" s="23">
        <v>450000.0</v>
      </c>
      <c r="U379" s="35" t="b">
        <v>0</v>
      </c>
      <c r="V379" s="23">
        <v>80000.0</v>
      </c>
      <c r="W379" s="15" t="b">
        <v>1</v>
      </c>
      <c r="X379" s="20" t="s">
        <v>663</v>
      </c>
      <c r="Y379" s="23">
        <v>450000.0</v>
      </c>
      <c r="Z379" s="35" t="b">
        <v>0</v>
      </c>
      <c r="AA379" s="23">
        <v>80000.0</v>
      </c>
      <c r="AB379" s="15" t="b">
        <v>1</v>
      </c>
      <c r="AC379" s="20" t="s">
        <v>663</v>
      </c>
      <c r="AD379" s="23">
        <v>450000.0</v>
      </c>
      <c r="AE379" s="35" t="b">
        <v>0</v>
      </c>
      <c r="AF379" s="23">
        <v>80000.0</v>
      </c>
      <c r="AG379" s="15" t="b">
        <v>1</v>
      </c>
      <c r="AH379" s="20" t="s">
        <v>663</v>
      </c>
      <c r="AI379" s="23">
        <v>450000.0</v>
      </c>
      <c r="AJ379" s="35" t="b">
        <v>0</v>
      </c>
      <c r="AK379" s="23">
        <v>80000.0</v>
      </c>
      <c r="AL379" s="15" t="b">
        <v>1</v>
      </c>
      <c r="AM379" s="20" t="s">
        <v>663</v>
      </c>
      <c r="AN379" s="23">
        <v>450000.0</v>
      </c>
      <c r="AO379" s="35" t="b">
        <v>0</v>
      </c>
      <c r="AP379" s="23">
        <v>80000.0</v>
      </c>
      <c r="AQ379" s="15" t="b">
        <v>1</v>
      </c>
      <c r="AR379" s="20" t="s">
        <v>663</v>
      </c>
      <c r="AS379" s="23">
        <v>450000.0</v>
      </c>
      <c r="AT379" s="35" t="b">
        <v>0</v>
      </c>
      <c r="AU379" s="23">
        <v>80000.0</v>
      </c>
      <c r="AV379" s="15" t="b">
        <v>1</v>
      </c>
      <c r="AW379" s="20" t="s">
        <v>663</v>
      </c>
      <c r="AX379" s="23">
        <v>450000.0</v>
      </c>
      <c r="AY379" s="35" t="b">
        <v>0</v>
      </c>
      <c r="AZ379" s="23">
        <v>80000.0</v>
      </c>
      <c r="BA379" s="15" t="b">
        <v>1</v>
      </c>
      <c r="BB379" s="20" t="s">
        <v>663</v>
      </c>
      <c r="BC379" s="23">
        <v>450000.0</v>
      </c>
      <c r="BD379" s="35" t="b">
        <v>0</v>
      </c>
      <c r="BE379" s="23">
        <v>80000.0</v>
      </c>
      <c r="BF379" s="15" t="b">
        <v>1</v>
      </c>
      <c r="BG379" s="20" t="s">
        <v>663</v>
      </c>
      <c r="BH379" s="23">
        <v>450000.0</v>
      </c>
      <c r="BI379" s="35" t="b">
        <v>0</v>
      </c>
      <c r="BJ379" s="23">
        <v>80000.0</v>
      </c>
      <c r="BK379" s="15" t="b">
        <v>1</v>
      </c>
      <c r="BL379" s="20" t="s">
        <v>663</v>
      </c>
      <c r="BM379" s="23">
        <v>450000.0</v>
      </c>
      <c r="BN379" s="35" t="b">
        <v>0</v>
      </c>
      <c r="BO379" s="23">
        <v>80000.0</v>
      </c>
      <c r="BP379" s="15" t="b">
        <v>0</v>
      </c>
      <c r="BQ379" s="17" t="s">
        <v>645</v>
      </c>
      <c r="BR379" s="1"/>
      <c r="BS379" s="1"/>
      <c r="BT379" s="1"/>
      <c r="BU379" s="1"/>
    </row>
    <row r="380">
      <c r="A380" s="1"/>
      <c r="B380" s="10" t="s">
        <v>643</v>
      </c>
      <c r="C380" s="11" t="s">
        <v>664</v>
      </c>
      <c r="D380" s="20" t="s">
        <v>665</v>
      </c>
      <c r="E380" s="23">
        <v>450000.0</v>
      </c>
      <c r="F380" s="35" t="b">
        <v>0</v>
      </c>
      <c r="G380" s="23">
        <v>80000.0</v>
      </c>
      <c r="H380" s="15" t="b">
        <v>1</v>
      </c>
      <c r="I380" s="20" t="s">
        <v>665</v>
      </c>
      <c r="J380" s="23">
        <v>450000.0</v>
      </c>
      <c r="K380" s="35" t="b">
        <v>0</v>
      </c>
      <c r="L380" s="23">
        <v>80000.0</v>
      </c>
      <c r="M380" s="15" t="b">
        <v>1</v>
      </c>
      <c r="N380" s="20" t="s">
        <v>665</v>
      </c>
      <c r="O380" s="23">
        <v>450000.0</v>
      </c>
      <c r="P380" s="35" t="b">
        <v>0</v>
      </c>
      <c r="Q380" s="23">
        <v>80000.0</v>
      </c>
      <c r="R380" s="15" t="b">
        <v>1</v>
      </c>
      <c r="S380" s="20" t="s">
        <v>665</v>
      </c>
      <c r="T380" s="23">
        <v>450000.0</v>
      </c>
      <c r="U380" s="35" t="b">
        <v>0</v>
      </c>
      <c r="V380" s="23">
        <v>80000.0</v>
      </c>
      <c r="W380" s="15" t="b">
        <v>1</v>
      </c>
      <c r="X380" s="20" t="s">
        <v>665</v>
      </c>
      <c r="Y380" s="23">
        <v>450000.0</v>
      </c>
      <c r="Z380" s="35" t="b">
        <v>0</v>
      </c>
      <c r="AA380" s="23">
        <v>80000.0</v>
      </c>
      <c r="AB380" s="15" t="b">
        <v>1</v>
      </c>
      <c r="AC380" s="20" t="s">
        <v>665</v>
      </c>
      <c r="AD380" s="23">
        <v>450000.0</v>
      </c>
      <c r="AE380" s="35" t="b">
        <v>0</v>
      </c>
      <c r="AF380" s="23">
        <v>80000.0</v>
      </c>
      <c r="AG380" s="15" t="b">
        <v>1</v>
      </c>
      <c r="AH380" s="20" t="s">
        <v>665</v>
      </c>
      <c r="AI380" s="23">
        <v>450000.0</v>
      </c>
      <c r="AJ380" s="35" t="b">
        <v>0</v>
      </c>
      <c r="AK380" s="23">
        <v>80000.0</v>
      </c>
      <c r="AL380" s="15" t="b">
        <v>1</v>
      </c>
      <c r="AM380" s="20" t="s">
        <v>665</v>
      </c>
      <c r="AN380" s="23">
        <v>450000.0</v>
      </c>
      <c r="AO380" s="35" t="b">
        <v>0</v>
      </c>
      <c r="AP380" s="23">
        <v>80000.0</v>
      </c>
      <c r="AQ380" s="15" t="b">
        <v>1</v>
      </c>
      <c r="AR380" s="20" t="s">
        <v>665</v>
      </c>
      <c r="AS380" s="23">
        <v>450000.0</v>
      </c>
      <c r="AT380" s="35" t="b">
        <v>0</v>
      </c>
      <c r="AU380" s="23">
        <v>80000.0</v>
      </c>
      <c r="AV380" s="15" t="b">
        <v>1</v>
      </c>
      <c r="AW380" s="20" t="s">
        <v>665</v>
      </c>
      <c r="AX380" s="23">
        <v>450000.0</v>
      </c>
      <c r="AY380" s="35" t="b">
        <v>0</v>
      </c>
      <c r="AZ380" s="23">
        <v>80000.0</v>
      </c>
      <c r="BA380" s="15" t="b">
        <v>1</v>
      </c>
      <c r="BB380" s="20" t="s">
        <v>665</v>
      </c>
      <c r="BC380" s="23">
        <v>450000.0</v>
      </c>
      <c r="BD380" s="35" t="b">
        <v>0</v>
      </c>
      <c r="BE380" s="23">
        <v>80000.0</v>
      </c>
      <c r="BF380" s="15" t="b">
        <v>1</v>
      </c>
      <c r="BG380" s="20" t="s">
        <v>665</v>
      </c>
      <c r="BH380" s="23">
        <v>450000.0</v>
      </c>
      <c r="BI380" s="35" t="b">
        <v>0</v>
      </c>
      <c r="BJ380" s="23">
        <v>80000.0</v>
      </c>
      <c r="BK380" s="15" t="b">
        <v>1</v>
      </c>
      <c r="BL380" s="20" t="s">
        <v>665</v>
      </c>
      <c r="BM380" s="23">
        <v>450000.0</v>
      </c>
      <c r="BN380" s="35" t="b">
        <v>0</v>
      </c>
      <c r="BO380" s="23">
        <v>80000.0</v>
      </c>
      <c r="BP380" s="15" t="b">
        <v>0</v>
      </c>
      <c r="BQ380" s="17" t="s">
        <v>645</v>
      </c>
      <c r="BR380" s="1"/>
      <c r="BS380" s="1"/>
      <c r="BT380" s="1"/>
      <c r="BU380" s="1"/>
    </row>
    <row r="381">
      <c r="A381" s="1"/>
      <c r="B381" s="21"/>
      <c r="C381" s="11" t="s">
        <v>42</v>
      </c>
      <c r="D381" s="22"/>
      <c r="E381" s="23">
        <f>SUM(E371:E380)</f>
        <v>3450000</v>
      </c>
      <c r="F381" s="18"/>
      <c r="G381" s="23">
        <f>SUM(G378:G380)</f>
        <v>240000</v>
      </c>
      <c r="H381" s="19"/>
      <c r="I381" s="22"/>
      <c r="J381" s="23">
        <f>SUM(J371:J380)</f>
        <v>3450000</v>
      </c>
      <c r="K381" s="18"/>
      <c r="L381" s="23">
        <f>SUM(L378:L380)</f>
        <v>240000</v>
      </c>
      <c r="M381" s="19"/>
      <c r="N381" s="22"/>
      <c r="O381" s="23">
        <f>SUM(O371:O380)</f>
        <v>3500000</v>
      </c>
      <c r="P381" s="18"/>
      <c r="Q381" s="23">
        <f>SUM(Q378:Q380)</f>
        <v>240000</v>
      </c>
      <c r="R381" s="19"/>
      <c r="S381" s="22"/>
      <c r="T381" s="23">
        <f>SUM(T371:T380)</f>
        <v>3500000</v>
      </c>
      <c r="U381" s="18"/>
      <c r="V381" s="23">
        <f>SUM(V378:V380)</f>
        <v>240000</v>
      </c>
      <c r="W381" s="19"/>
      <c r="X381" s="18"/>
      <c r="Y381" s="23">
        <f>SUM(Y371:Y380)</f>
        <v>3500000</v>
      </c>
      <c r="Z381" s="18"/>
      <c r="AA381" s="23">
        <f>SUM(AA378:AA380)</f>
        <v>240000</v>
      </c>
      <c r="AB381" s="19"/>
      <c r="AC381" s="18"/>
      <c r="AD381" s="23">
        <f>SUM(AD371:AD380)</f>
        <v>3500000</v>
      </c>
      <c r="AE381" s="18"/>
      <c r="AF381" s="23">
        <f>SUM(AF378:AF380)</f>
        <v>240000</v>
      </c>
      <c r="AG381" s="19"/>
      <c r="AH381" s="18"/>
      <c r="AI381" s="23">
        <f>SUM(AI371:AI380)</f>
        <v>3500000</v>
      </c>
      <c r="AJ381" s="18"/>
      <c r="AK381" s="23">
        <f>SUM(AK378:AK380)</f>
        <v>240000</v>
      </c>
      <c r="AL381" s="19"/>
      <c r="AM381" s="18"/>
      <c r="AN381" s="23">
        <f>SUM(AN371:AN380)</f>
        <v>3601613</v>
      </c>
      <c r="AO381" s="18"/>
      <c r="AP381" s="23">
        <f>SUM(AP378:AP380)</f>
        <v>258065</v>
      </c>
      <c r="AQ381" s="19"/>
      <c r="AR381" s="22"/>
      <c r="AS381" s="23">
        <f>SUM(AS371:AS380)</f>
        <v>4530000</v>
      </c>
      <c r="AT381" s="18"/>
      <c r="AU381" s="23">
        <f>SUM(AU378:AU380)</f>
        <v>320000</v>
      </c>
      <c r="AV381" s="19"/>
      <c r="AW381" s="22"/>
      <c r="AX381" s="23">
        <f>SUM(AX371:AX380)</f>
        <v>3530000</v>
      </c>
      <c r="AY381" s="18"/>
      <c r="AZ381" s="23">
        <f>SUM(AZ378:AZ380)</f>
        <v>240000</v>
      </c>
      <c r="BA381" s="19"/>
      <c r="BB381" s="22"/>
      <c r="BC381" s="23">
        <f>SUM(BC371:BC380)</f>
        <v>3530000</v>
      </c>
      <c r="BD381" s="18"/>
      <c r="BE381" s="23">
        <f>SUM(BE378:BE380)</f>
        <v>240000</v>
      </c>
      <c r="BF381" s="19"/>
      <c r="BG381" s="22"/>
      <c r="BH381" s="23">
        <f>SUM(BH371:BH380)</f>
        <v>3530000</v>
      </c>
      <c r="BI381" s="18"/>
      <c r="BJ381" s="23">
        <f>SUM(BJ378:BJ380)</f>
        <v>240000</v>
      </c>
      <c r="BK381" s="19"/>
      <c r="BL381" s="22"/>
      <c r="BM381" s="23">
        <f>SUM(BM371:BM380)</f>
        <v>3530000</v>
      </c>
      <c r="BN381" s="18"/>
      <c r="BO381" s="23">
        <f>SUM(BO378:BO380)</f>
        <v>240000</v>
      </c>
      <c r="BP381" s="19"/>
      <c r="BQ381" s="17" t="s">
        <v>645</v>
      </c>
      <c r="BR381" s="1"/>
      <c r="BS381" s="1"/>
      <c r="BT381" s="1"/>
      <c r="BU381" s="1"/>
    </row>
    <row r="382">
      <c r="A382" s="1"/>
      <c r="B382" s="21"/>
      <c r="C382" s="11" t="s">
        <v>43</v>
      </c>
      <c r="D382" s="22"/>
      <c r="E382" s="23">
        <v>1100000.0</v>
      </c>
      <c r="F382" s="18"/>
      <c r="G382" s="18"/>
      <c r="H382" s="19"/>
      <c r="I382" s="22"/>
      <c r="J382" s="23">
        <v>1100000.0</v>
      </c>
      <c r="K382" s="18"/>
      <c r="L382" s="18"/>
      <c r="M382" s="19"/>
      <c r="N382" s="22"/>
      <c r="O382" s="23">
        <v>1100000.0</v>
      </c>
      <c r="P382" s="18"/>
      <c r="Q382" s="18"/>
      <c r="R382" s="19"/>
      <c r="S382" s="22"/>
      <c r="T382" s="23">
        <v>1100000.0</v>
      </c>
      <c r="U382" s="18"/>
      <c r="V382" s="18"/>
      <c r="W382" s="19"/>
      <c r="X382" s="18"/>
      <c r="Y382" s="23">
        <v>1100000.0</v>
      </c>
      <c r="Z382" s="18"/>
      <c r="AA382" s="18"/>
      <c r="AB382" s="19"/>
      <c r="AC382" s="18"/>
      <c r="AD382" s="23">
        <v>1100000.0</v>
      </c>
      <c r="AE382" s="18"/>
      <c r="AF382" s="18"/>
      <c r="AG382" s="19"/>
      <c r="AH382" s="18"/>
      <c r="AI382" s="23">
        <v>1100000.0</v>
      </c>
      <c r="AJ382" s="18"/>
      <c r="AK382" s="18"/>
      <c r="AL382" s="19"/>
      <c r="AM382" s="18"/>
      <c r="AN382" s="23">
        <v>1100000.0</v>
      </c>
      <c r="AO382" s="18"/>
      <c r="AP382" s="18"/>
      <c r="AQ382" s="19"/>
      <c r="AR382" s="22"/>
      <c r="AS382" s="23">
        <v>1100000.0</v>
      </c>
      <c r="AT382" s="18"/>
      <c r="AU382" s="18"/>
      <c r="AV382" s="19"/>
      <c r="AW382" s="22"/>
      <c r="AX382" s="23">
        <v>1100000.0</v>
      </c>
      <c r="AY382" s="18"/>
      <c r="AZ382" s="18"/>
      <c r="BA382" s="19"/>
      <c r="BB382" s="22"/>
      <c r="BC382" s="23">
        <v>1100000.0</v>
      </c>
      <c r="BD382" s="18"/>
      <c r="BE382" s="18"/>
      <c r="BF382" s="19"/>
      <c r="BG382" s="22"/>
      <c r="BH382" s="23">
        <v>1100000.0</v>
      </c>
      <c r="BI382" s="18"/>
      <c r="BJ382" s="18"/>
      <c r="BK382" s="19"/>
      <c r="BL382" s="22"/>
      <c r="BM382" s="23">
        <v>1100000.0</v>
      </c>
      <c r="BN382" s="18"/>
      <c r="BO382" s="18"/>
      <c r="BP382" s="19"/>
      <c r="BQ382" s="17" t="s">
        <v>645</v>
      </c>
      <c r="BR382" s="1"/>
      <c r="BS382" s="1"/>
      <c r="BT382" s="1"/>
      <c r="BU382" s="1"/>
    </row>
    <row r="383">
      <c r="A383" s="1"/>
      <c r="B383" s="10" t="s">
        <v>95</v>
      </c>
      <c r="C383" s="11" t="s">
        <v>45</v>
      </c>
      <c r="D383" s="22"/>
      <c r="E383" s="18"/>
      <c r="F383" s="18"/>
      <c r="G383" s="18"/>
      <c r="H383" s="19"/>
      <c r="I383" s="22"/>
      <c r="J383" s="18"/>
      <c r="K383" s="18"/>
      <c r="L383" s="18"/>
      <c r="M383" s="19"/>
      <c r="N383" s="22"/>
      <c r="O383" s="18"/>
      <c r="P383" s="18"/>
      <c r="Q383" s="18"/>
      <c r="R383" s="19"/>
      <c r="S383" s="22"/>
      <c r="T383" s="18"/>
      <c r="U383" s="18"/>
      <c r="V383" s="18"/>
      <c r="W383" s="19"/>
      <c r="X383" s="18"/>
      <c r="Y383" s="18"/>
      <c r="Z383" s="18"/>
      <c r="AA383" s="18"/>
      <c r="AB383" s="19"/>
      <c r="AC383" s="18"/>
      <c r="AD383" s="18"/>
      <c r="AE383" s="18"/>
      <c r="AF383" s="18"/>
      <c r="AG383" s="19"/>
      <c r="AH383" s="18"/>
      <c r="AI383" s="18"/>
      <c r="AJ383" s="18"/>
      <c r="AK383" s="18"/>
      <c r="AL383" s="19"/>
      <c r="AM383" s="18"/>
      <c r="AN383" s="18"/>
      <c r="AO383" s="18"/>
      <c r="AP383" s="18"/>
      <c r="AQ383" s="19"/>
      <c r="AR383" s="22"/>
      <c r="AS383" s="18"/>
      <c r="AT383" s="18"/>
      <c r="AU383" s="18"/>
      <c r="AV383" s="19"/>
      <c r="AW383" s="22"/>
      <c r="AX383" s="18"/>
      <c r="AY383" s="18"/>
      <c r="AZ383" s="18"/>
      <c r="BA383" s="19"/>
      <c r="BB383" s="22"/>
      <c r="BC383" s="18"/>
      <c r="BD383" s="18"/>
      <c r="BE383" s="18"/>
      <c r="BF383" s="19"/>
      <c r="BG383" s="22"/>
      <c r="BH383" s="18"/>
      <c r="BI383" s="18"/>
      <c r="BJ383" s="18"/>
      <c r="BK383" s="19"/>
      <c r="BL383" s="22"/>
      <c r="BM383" s="18"/>
      <c r="BN383" s="18"/>
      <c r="BO383" s="18"/>
      <c r="BP383" s="19"/>
      <c r="BQ383" s="17" t="s">
        <v>645</v>
      </c>
      <c r="BR383" s="1"/>
      <c r="BS383" s="1"/>
      <c r="BT383" s="1"/>
      <c r="BU383" s="1"/>
    </row>
    <row r="384">
      <c r="A384" s="1"/>
      <c r="B384" s="10" t="s">
        <v>95</v>
      </c>
      <c r="C384" s="11" t="s">
        <v>47</v>
      </c>
      <c r="D384" s="22"/>
      <c r="E384" s="18"/>
      <c r="F384" s="18"/>
      <c r="G384" s="18"/>
      <c r="H384" s="19"/>
      <c r="I384" s="22"/>
      <c r="J384" s="18"/>
      <c r="K384" s="18"/>
      <c r="L384" s="18"/>
      <c r="M384" s="19"/>
      <c r="N384" s="22"/>
      <c r="O384" s="18"/>
      <c r="P384" s="18"/>
      <c r="Q384" s="18"/>
      <c r="R384" s="19"/>
      <c r="S384" s="22"/>
      <c r="T384" s="18"/>
      <c r="U384" s="18"/>
      <c r="V384" s="18"/>
      <c r="W384" s="19"/>
      <c r="X384" s="18"/>
      <c r="Y384" s="18"/>
      <c r="Z384" s="18"/>
      <c r="AA384" s="18"/>
      <c r="AB384" s="19"/>
      <c r="AC384" s="18"/>
      <c r="AD384" s="18"/>
      <c r="AE384" s="18"/>
      <c r="AF384" s="18"/>
      <c r="AG384" s="19"/>
      <c r="AH384" s="18"/>
      <c r="AI384" s="18"/>
      <c r="AJ384" s="18"/>
      <c r="AK384" s="18"/>
      <c r="AL384" s="19"/>
      <c r="AM384" s="18"/>
      <c r="AN384" s="18"/>
      <c r="AO384" s="18"/>
      <c r="AP384" s="18"/>
      <c r="AQ384" s="19"/>
      <c r="AR384" s="22"/>
      <c r="AS384" s="18"/>
      <c r="AT384" s="18"/>
      <c r="AU384" s="18"/>
      <c r="AV384" s="19"/>
      <c r="AW384" s="22"/>
      <c r="AX384" s="18"/>
      <c r="AY384" s="18"/>
      <c r="AZ384" s="18"/>
      <c r="BA384" s="19"/>
      <c r="BB384" s="22"/>
      <c r="BC384" s="18"/>
      <c r="BD384" s="18"/>
      <c r="BE384" s="18"/>
      <c r="BF384" s="19"/>
      <c r="BG384" s="22"/>
      <c r="BH384" s="18"/>
      <c r="BI384" s="18"/>
      <c r="BJ384" s="18"/>
      <c r="BK384" s="19"/>
      <c r="BL384" s="22"/>
      <c r="BM384" s="18"/>
      <c r="BN384" s="18"/>
      <c r="BO384" s="18"/>
      <c r="BP384" s="19"/>
      <c r="BQ384" s="17" t="s">
        <v>645</v>
      </c>
      <c r="BR384" s="1"/>
      <c r="BS384" s="1"/>
      <c r="BT384" s="1"/>
      <c r="BU384" s="1"/>
    </row>
    <row r="385">
      <c r="A385" s="1"/>
      <c r="B385" s="10" t="s">
        <v>95</v>
      </c>
      <c r="C385" s="11" t="s">
        <v>49</v>
      </c>
      <c r="D385" s="22"/>
      <c r="E385" s="18"/>
      <c r="F385" s="18"/>
      <c r="G385" s="18"/>
      <c r="H385" s="19"/>
      <c r="I385" s="22"/>
      <c r="J385" s="18"/>
      <c r="K385" s="18"/>
      <c r="L385" s="18"/>
      <c r="M385" s="19"/>
      <c r="N385" s="22"/>
      <c r="O385" s="18"/>
      <c r="P385" s="18"/>
      <c r="Q385" s="18"/>
      <c r="R385" s="19"/>
      <c r="S385" s="22"/>
      <c r="T385" s="18"/>
      <c r="U385" s="18"/>
      <c r="V385" s="18"/>
      <c r="W385" s="19"/>
      <c r="X385" s="18"/>
      <c r="Y385" s="18"/>
      <c r="Z385" s="18"/>
      <c r="AA385" s="18"/>
      <c r="AB385" s="19"/>
      <c r="AC385" s="18"/>
      <c r="AD385" s="18"/>
      <c r="AE385" s="18"/>
      <c r="AF385" s="18"/>
      <c r="AG385" s="19"/>
      <c r="AH385" s="18"/>
      <c r="AI385" s="18"/>
      <c r="AJ385" s="18"/>
      <c r="AK385" s="18"/>
      <c r="AL385" s="19"/>
      <c r="AM385" s="18"/>
      <c r="AN385" s="18"/>
      <c r="AO385" s="18"/>
      <c r="AP385" s="18"/>
      <c r="AQ385" s="19"/>
      <c r="AR385" s="22"/>
      <c r="AS385" s="18"/>
      <c r="AT385" s="18"/>
      <c r="AU385" s="18"/>
      <c r="AV385" s="19"/>
      <c r="AW385" s="22"/>
      <c r="AX385" s="18"/>
      <c r="AY385" s="18"/>
      <c r="AZ385" s="18"/>
      <c r="BA385" s="19"/>
      <c r="BB385" s="22"/>
      <c r="BC385" s="18"/>
      <c r="BD385" s="18"/>
      <c r="BE385" s="18"/>
      <c r="BF385" s="19"/>
      <c r="BG385" s="22"/>
      <c r="BH385" s="18"/>
      <c r="BI385" s="18"/>
      <c r="BJ385" s="18"/>
      <c r="BK385" s="19"/>
      <c r="BL385" s="22"/>
      <c r="BM385" s="18"/>
      <c r="BN385" s="18"/>
      <c r="BO385" s="18"/>
      <c r="BP385" s="19"/>
      <c r="BQ385" s="17" t="s">
        <v>645</v>
      </c>
      <c r="BR385" s="1"/>
      <c r="BS385" s="1"/>
      <c r="BT385" s="1"/>
      <c r="BU385" s="1"/>
    </row>
    <row r="386">
      <c r="A386" s="1"/>
      <c r="B386" s="10" t="s">
        <v>95</v>
      </c>
      <c r="C386" s="11" t="s">
        <v>51</v>
      </c>
      <c r="D386" s="22"/>
      <c r="E386" s="18"/>
      <c r="F386" s="18"/>
      <c r="G386" s="18"/>
      <c r="H386" s="19"/>
      <c r="I386" s="22"/>
      <c r="J386" s="18"/>
      <c r="K386" s="18"/>
      <c r="L386" s="18"/>
      <c r="M386" s="19"/>
      <c r="N386" s="22"/>
      <c r="O386" s="18"/>
      <c r="P386" s="18"/>
      <c r="Q386" s="18"/>
      <c r="R386" s="19"/>
      <c r="S386" s="22"/>
      <c r="T386" s="18"/>
      <c r="U386" s="18"/>
      <c r="V386" s="18"/>
      <c r="W386" s="19"/>
      <c r="X386" s="18"/>
      <c r="Y386" s="18"/>
      <c r="Z386" s="18"/>
      <c r="AA386" s="18"/>
      <c r="AB386" s="19"/>
      <c r="AC386" s="18"/>
      <c r="AD386" s="18"/>
      <c r="AE386" s="18"/>
      <c r="AF386" s="18"/>
      <c r="AG386" s="19"/>
      <c r="AH386" s="18"/>
      <c r="AI386" s="18"/>
      <c r="AJ386" s="18"/>
      <c r="AK386" s="18"/>
      <c r="AL386" s="19"/>
      <c r="AM386" s="18"/>
      <c r="AN386" s="18"/>
      <c r="AO386" s="18"/>
      <c r="AP386" s="18"/>
      <c r="AQ386" s="19"/>
      <c r="AR386" s="22"/>
      <c r="AS386" s="18"/>
      <c r="AT386" s="18"/>
      <c r="AU386" s="18"/>
      <c r="AV386" s="19"/>
      <c r="AW386" s="22"/>
      <c r="AX386" s="18"/>
      <c r="AY386" s="18"/>
      <c r="AZ386" s="18"/>
      <c r="BA386" s="19"/>
      <c r="BB386" s="22"/>
      <c r="BC386" s="18"/>
      <c r="BD386" s="18"/>
      <c r="BE386" s="18"/>
      <c r="BF386" s="19"/>
      <c r="BG386" s="22"/>
      <c r="BH386" s="18"/>
      <c r="BI386" s="18"/>
      <c r="BJ386" s="18"/>
      <c r="BK386" s="19"/>
      <c r="BL386" s="22"/>
      <c r="BM386" s="18"/>
      <c r="BN386" s="18"/>
      <c r="BO386" s="18"/>
      <c r="BP386" s="19"/>
      <c r="BQ386" s="17" t="s">
        <v>645</v>
      </c>
      <c r="BR386" s="1"/>
      <c r="BS386" s="1"/>
      <c r="BT386" s="1"/>
      <c r="BU386" s="1"/>
    </row>
    <row r="387">
      <c r="A387" s="1"/>
      <c r="B387" s="10" t="s">
        <v>95</v>
      </c>
      <c r="C387" s="11" t="s">
        <v>52</v>
      </c>
      <c r="D387" s="22"/>
      <c r="E387" s="18"/>
      <c r="F387" s="18"/>
      <c r="G387" s="18"/>
      <c r="H387" s="19"/>
      <c r="I387" s="22"/>
      <c r="J387" s="18"/>
      <c r="K387" s="18"/>
      <c r="L387" s="18"/>
      <c r="M387" s="19"/>
      <c r="N387" s="22"/>
      <c r="O387" s="18"/>
      <c r="P387" s="18"/>
      <c r="Q387" s="18"/>
      <c r="R387" s="19"/>
      <c r="S387" s="22"/>
      <c r="T387" s="18"/>
      <c r="U387" s="18"/>
      <c r="V387" s="18"/>
      <c r="W387" s="19"/>
      <c r="X387" s="18"/>
      <c r="Y387" s="18"/>
      <c r="Z387" s="18"/>
      <c r="AA387" s="18"/>
      <c r="AB387" s="19"/>
      <c r="AC387" s="18"/>
      <c r="AD387" s="18"/>
      <c r="AE387" s="18"/>
      <c r="AF387" s="18"/>
      <c r="AG387" s="19"/>
      <c r="AH387" s="18"/>
      <c r="AI387" s="18"/>
      <c r="AJ387" s="18"/>
      <c r="AK387" s="18"/>
      <c r="AL387" s="19"/>
      <c r="AM387" s="18"/>
      <c r="AN387" s="18"/>
      <c r="AO387" s="18"/>
      <c r="AP387" s="18"/>
      <c r="AQ387" s="19"/>
      <c r="AR387" s="22"/>
      <c r="AS387" s="18"/>
      <c r="AT387" s="18"/>
      <c r="AU387" s="18"/>
      <c r="AV387" s="19"/>
      <c r="AW387" s="22"/>
      <c r="AX387" s="18"/>
      <c r="AY387" s="18"/>
      <c r="AZ387" s="18"/>
      <c r="BA387" s="19"/>
      <c r="BB387" s="22"/>
      <c r="BC387" s="18"/>
      <c r="BD387" s="18"/>
      <c r="BE387" s="18"/>
      <c r="BF387" s="19"/>
      <c r="BG387" s="22"/>
      <c r="BH387" s="18"/>
      <c r="BI387" s="18"/>
      <c r="BJ387" s="18"/>
      <c r="BK387" s="19"/>
      <c r="BL387" s="22"/>
      <c r="BM387" s="18"/>
      <c r="BN387" s="18"/>
      <c r="BO387" s="18"/>
      <c r="BP387" s="19"/>
      <c r="BQ387" s="17" t="s">
        <v>645</v>
      </c>
      <c r="BR387" s="1"/>
      <c r="BS387" s="1"/>
      <c r="BT387" s="1"/>
      <c r="BU387" s="1"/>
    </row>
    <row r="388">
      <c r="A388" s="1"/>
      <c r="B388" s="10" t="s">
        <v>95</v>
      </c>
      <c r="C388" s="11" t="s">
        <v>53</v>
      </c>
      <c r="D388" s="22"/>
      <c r="E388" s="18"/>
      <c r="F388" s="18"/>
      <c r="G388" s="18"/>
      <c r="H388" s="19"/>
      <c r="I388" s="22"/>
      <c r="J388" s="18"/>
      <c r="K388" s="18"/>
      <c r="L388" s="18"/>
      <c r="M388" s="19"/>
      <c r="N388" s="22"/>
      <c r="O388" s="18"/>
      <c r="P388" s="18"/>
      <c r="Q388" s="18"/>
      <c r="R388" s="19"/>
      <c r="S388" s="22"/>
      <c r="T388" s="18"/>
      <c r="U388" s="18"/>
      <c r="V388" s="18"/>
      <c r="W388" s="19"/>
      <c r="X388" s="18"/>
      <c r="Y388" s="18"/>
      <c r="Z388" s="18"/>
      <c r="AA388" s="18"/>
      <c r="AB388" s="19"/>
      <c r="AC388" s="18"/>
      <c r="AD388" s="18"/>
      <c r="AE388" s="18"/>
      <c r="AF388" s="18"/>
      <c r="AG388" s="19"/>
      <c r="AH388" s="18"/>
      <c r="AI388" s="18"/>
      <c r="AJ388" s="18"/>
      <c r="AK388" s="18"/>
      <c r="AL388" s="19"/>
      <c r="AM388" s="18"/>
      <c r="AN388" s="18"/>
      <c r="AO388" s="18"/>
      <c r="AP388" s="18"/>
      <c r="AQ388" s="19"/>
      <c r="AR388" s="22"/>
      <c r="AS388" s="18"/>
      <c r="AT388" s="18"/>
      <c r="AU388" s="18"/>
      <c r="AV388" s="19"/>
      <c r="AW388" s="22"/>
      <c r="AX388" s="18"/>
      <c r="AY388" s="18"/>
      <c r="AZ388" s="18"/>
      <c r="BA388" s="19"/>
      <c r="BB388" s="22"/>
      <c r="BC388" s="18"/>
      <c r="BD388" s="18"/>
      <c r="BE388" s="18"/>
      <c r="BF388" s="19"/>
      <c r="BG388" s="22"/>
      <c r="BH388" s="18"/>
      <c r="BI388" s="18"/>
      <c r="BJ388" s="18"/>
      <c r="BK388" s="19"/>
      <c r="BL388" s="22"/>
      <c r="BM388" s="18"/>
      <c r="BN388" s="18"/>
      <c r="BO388" s="18"/>
      <c r="BP388" s="19"/>
      <c r="BQ388" s="17" t="s">
        <v>645</v>
      </c>
      <c r="BR388" s="1"/>
      <c r="BS388" s="1"/>
      <c r="BT388" s="1"/>
      <c r="BU388" s="1"/>
    </row>
    <row r="389">
      <c r="A389" s="1"/>
      <c r="B389" s="21"/>
      <c r="C389" s="11" t="s">
        <v>54</v>
      </c>
      <c r="D389" s="22"/>
      <c r="E389" s="18"/>
      <c r="F389" s="18"/>
      <c r="G389" s="23">
        <f>SUMIFS('지출'!$G$3:$G1000,'지출'!$J$3:$J1000,G$1,'지출'!$C$3:$C1000,"샛별")</f>
        <v>345900</v>
      </c>
      <c r="H389" s="19"/>
      <c r="I389" s="22"/>
      <c r="J389" s="18"/>
      <c r="K389" s="18"/>
      <c r="L389" s="23">
        <f>SUMIFS('지출'!$G$3:$G1000,'지출'!$J$3:$J1000,L$1,'지출'!$C$3:$C1000,"샛별")</f>
        <v>121650</v>
      </c>
      <c r="M389" s="24"/>
      <c r="N389" s="18"/>
      <c r="O389" s="18"/>
      <c r="P389" s="18"/>
      <c r="Q389" s="23">
        <f>SUMIFS('지출'!$G$3:$G1000,'지출'!$J$3:$J1000,Q$1,'지출'!$C$3:$C1000,"샛별")</f>
        <v>74460</v>
      </c>
      <c r="R389" s="24"/>
      <c r="S389" s="18"/>
      <c r="T389" s="18"/>
      <c r="U389" s="18"/>
      <c r="V389" s="23">
        <f>SUMIFS('지출'!$G$3:$G1000,'지출'!$J$3:$J1000,V$1,'지출'!$C$3:$C1000,"샛별")</f>
        <v>0</v>
      </c>
      <c r="W389" s="24"/>
      <c r="X389" s="18"/>
      <c r="Y389" s="18"/>
      <c r="Z389" s="18"/>
      <c r="AA389" s="23">
        <f>SUMIFS('지출'!$G$3:$G1000,'지출'!$J$3:$J1000,AA$1,'지출'!$C$3:$C1000,"샛별")</f>
        <v>0</v>
      </c>
      <c r="AB389" s="24"/>
      <c r="AC389" s="18"/>
      <c r="AD389" s="18"/>
      <c r="AE389" s="18"/>
      <c r="AF389" s="23">
        <f>SUMIFS('지출'!$G$3:$G1000,'지출'!$J$3:$J1000,AF$1,'지출'!$C$3:$C1000,"샛별")</f>
        <v>0</v>
      </c>
      <c r="AG389" s="24"/>
      <c r="AH389" s="18"/>
      <c r="AI389" s="18"/>
      <c r="AJ389" s="18"/>
      <c r="AK389" s="23">
        <f>SUMIFS('지출'!$G$3:$G1000,'지출'!$J$3:$J1000,AK$1,'지출'!$C$3:$C1000,"샛별")</f>
        <v>0</v>
      </c>
      <c r="AL389" s="24"/>
      <c r="AM389" s="18"/>
      <c r="AN389" s="18"/>
      <c r="AO389" s="18"/>
      <c r="AP389" s="23">
        <f>SUMIFS('지출'!$G$3:$G1000,'지출'!$J$3:$J1000,AP$1,'지출'!$C$3:$C1000,"샛별")</f>
        <v>0</v>
      </c>
      <c r="AQ389" s="24"/>
      <c r="AR389" s="18"/>
      <c r="AS389" s="18"/>
      <c r="AT389" s="18"/>
      <c r="AU389" s="23">
        <f>SUMIFS('지출'!$G$3:$G1000,'지출'!$J$3:$J1000,AU$1,'지출'!$C$3:$C1000,"샛별")</f>
        <v>0</v>
      </c>
      <c r="AV389" s="24"/>
      <c r="AW389" s="18"/>
      <c r="AX389" s="18"/>
      <c r="AY389" s="18"/>
      <c r="AZ389" s="23">
        <f>SUMIFS('지출'!$G$3:$G1000,'지출'!$J$3:$J1000,AZ$1,'지출'!$C$3:$C1000,"샛별")</f>
        <v>0</v>
      </c>
      <c r="BA389" s="24"/>
      <c r="BB389" s="18"/>
      <c r="BC389" s="18"/>
      <c r="BD389" s="18"/>
      <c r="BE389" s="23">
        <f>SUMIFS('지출'!$G$3:$G1000,'지출'!$J$3:$J1000,BE$1,'지출'!$C$3:$C1000,"샛별")</f>
        <v>0</v>
      </c>
      <c r="BF389" s="24"/>
      <c r="BG389" s="18"/>
      <c r="BH389" s="18"/>
      <c r="BI389" s="18"/>
      <c r="BJ389" s="23">
        <f>SUMIFS('지출'!$G$3:$G1000,'지출'!$J$3:$J1000,BJ$1,'지출'!$C$3:$C1000,"샛별")</f>
        <v>0</v>
      </c>
      <c r="BK389" s="19"/>
      <c r="BL389" s="18"/>
      <c r="BM389" s="18"/>
      <c r="BN389" s="18"/>
      <c r="BO389" s="23">
        <f>SUMIFS('지출'!$G$3:$G1000,'지출'!$J$3:$J1000,BO$1,'지출'!$C$3:$C1000,"샛별")</f>
        <v>345900</v>
      </c>
      <c r="BP389" s="19"/>
      <c r="BQ389" s="17" t="s">
        <v>645</v>
      </c>
      <c r="BR389" s="1"/>
      <c r="BS389" s="1"/>
      <c r="BT389" s="1"/>
      <c r="BU389" s="1"/>
    </row>
    <row r="390">
      <c r="A390" s="1"/>
      <c r="B390" s="21"/>
      <c r="C390" s="11" t="s">
        <v>56</v>
      </c>
      <c r="D390" s="22"/>
      <c r="E390" s="23">
        <f>E381-(SUM(E382:E389))</f>
        <v>2350000</v>
      </c>
      <c r="F390" s="18"/>
      <c r="G390" s="23">
        <f>G381-(SUM(G382:G389))</f>
        <v>-105900</v>
      </c>
      <c r="H390" s="19"/>
      <c r="I390" s="22"/>
      <c r="J390" s="23">
        <f>J381-(SUM(J382:J389))</f>
        <v>2350000</v>
      </c>
      <c r="K390" s="18"/>
      <c r="L390" s="23">
        <f>L381-(SUM(L382:L389))</f>
        <v>118350</v>
      </c>
      <c r="M390" s="19"/>
      <c r="N390" s="22"/>
      <c r="O390" s="23">
        <f>O381-(SUM(O382:O389))</f>
        <v>2400000</v>
      </c>
      <c r="P390" s="18"/>
      <c r="Q390" s="23">
        <f>Q381-(SUM(Q382:Q389))</f>
        <v>165540</v>
      </c>
      <c r="R390" s="19"/>
      <c r="S390" s="22"/>
      <c r="T390" s="23">
        <f>T381-(SUM(T382:T389))</f>
        <v>2400000</v>
      </c>
      <c r="U390" s="18"/>
      <c r="V390" s="23">
        <f>V381-(SUM(V382:V389))</f>
        <v>240000</v>
      </c>
      <c r="W390" s="19"/>
      <c r="X390" s="18"/>
      <c r="Y390" s="23">
        <f>Y381-(SUM(Y382:Y389))</f>
        <v>2400000</v>
      </c>
      <c r="Z390" s="18"/>
      <c r="AA390" s="23">
        <f>AA381-(SUM(AA382:AA389))</f>
        <v>240000</v>
      </c>
      <c r="AB390" s="19"/>
      <c r="AC390" s="18"/>
      <c r="AD390" s="23">
        <f>AD381-(SUM(AD382:AD389))</f>
        <v>2400000</v>
      </c>
      <c r="AE390" s="18"/>
      <c r="AF390" s="23">
        <f>AF381-(SUM(AF382:AF389))</f>
        <v>240000</v>
      </c>
      <c r="AG390" s="19"/>
      <c r="AH390" s="18"/>
      <c r="AI390" s="23">
        <f>AI381-(SUM(AI382:AI389))</f>
        <v>2400000</v>
      </c>
      <c r="AJ390" s="18"/>
      <c r="AK390" s="23">
        <f>AK381-(SUM(AK382:AK389))</f>
        <v>240000</v>
      </c>
      <c r="AL390" s="19"/>
      <c r="AM390" s="18"/>
      <c r="AN390" s="23">
        <f>AN381-(SUM(AN382:AN389))</f>
        <v>2501613</v>
      </c>
      <c r="AO390" s="18"/>
      <c r="AP390" s="23">
        <f>AP381-(SUM(AP382:AP389))</f>
        <v>258065</v>
      </c>
      <c r="AQ390" s="19"/>
      <c r="AR390" s="22"/>
      <c r="AS390" s="23">
        <f>AS381-(SUM(AS382:AS389))</f>
        <v>3430000</v>
      </c>
      <c r="AT390" s="18"/>
      <c r="AU390" s="23">
        <f>AU381-(SUM(AU382:AU389))</f>
        <v>320000</v>
      </c>
      <c r="AV390" s="19"/>
      <c r="AW390" s="22"/>
      <c r="AX390" s="23">
        <f>AX381-(SUM(AX382:AX389))</f>
        <v>2430000</v>
      </c>
      <c r="AY390" s="18"/>
      <c r="AZ390" s="23">
        <f>AZ381-(SUM(AZ382:AZ389))</f>
        <v>240000</v>
      </c>
      <c r="BA390" s="19"/>
      <c r="BB390" s="22"/>
      <c r="BC390" s="23">
        <f>BC381-(SUM(BC382:BC389))</f>
        <v>2430000</v>
      </c>
      <c r="BD390" s="18"/>
      <c r="BE390" s="23">
        <f>BE381-(SUM(BE382:BE389))</f>
        <v>240000</v>
      </c>
      <c r="BF390" s="19"/>
      <c r="BG390" s="22"/>
      <c r="BH390" s="23">
        <f>BH381-(SUM(BH382:BH389))</f>
        <v>2430000</v>
      </c>
      <c r="BI390" s="18"/>
      <c r="BJ390" s="23">
        <f>BJ381-(SUM(BJ382:BJ389))</f>
        <v>240000</v>
      </c>
      <c r="BK390" s="19"/>
      <c r="BL390" s="22"/>
      <c r="BM390" s="23">
        <f>BM381-(SUM(BM382:BM389))</f>
        <v>2430000</v>
      </c>
      <c r="BN390" s="18"/>
      <c r="BO390" s="23">
        <f>BO381-(SUM(BO382:BO389))</f>
        <v>-105900</v>
      </c>
      <c r="BP390" s="19"/>
      <c r="BQ390" s="17" t="s">
        <v>645</v>
      </c>
      <c r="BR390" s="1"/>
      <c r="BS390" s="1"/>
      <c r="BT390" s="1"/>
      <c r="BU390" s="1"/>
    </row>
    <row r="391">
      <c r="A391" s="1"/>
      <c r="B391" s="27">
        <v>0.7</v>
      </c>
      <c r="C391" s="11" t="s">
        <v>26</v>
      </c>
      <c r="D391" s="22"/>
      <c r="E391" s="23">
        <f>E390*$B391</f>
        <v>1645000</v>
      </c>
      <c r="F391" s="18"/>
      <c r="G391" s="18"/>
      <c r="H391" s="19"/>
      <c r="I391" s="22"/>
      <c r="J391" s="23">
        <f>J390*$B391</f>
        <v>1645000</v>
      </c>
      <c r="K391" s="18"/>
      <c r="L391" s="18"/>
      <c r="M391" s="19"/>
      <c r="N391" s="22"/>
      <c r="O391" s="23">
        <f>O390*$B391</f>
        <v>1680000</v>
      </c>
      <c r="P391" s="18"/>
      <c r="Q391" s="18"/>
      <c r="R391" s="19"/>
      <c r="S391" s="22"/>
      <c r="T391" s="23">
        <f>T390*$B391</f>
        <v>1680000</v>
      </c>
      <c r="U391" s="18"/>
      <c r="V391" s="18"/>
      <c r="W391" s="19"/>
      <c r="X391" s="18"/>
      <c r="Y391" s="23">
        <f>Y390*$B391</f>
        <v>1680000</v>
      </c>
      <c r="Z391" s="18"/>
      <c r="AA391" s="18"/>
      <c r="AB391" s="19"/>
      <c r="AC391" s="18"/>
      <c r="AD391" s="23">
        <f>AD390*$B391</f>
        <v>1680000</v>
      </c>
      <c r="AE391" s="18"/>
      <c r="AF391" s="18"/>
      <c r="AG391" s="19"/>
      <c r="AH391" s="18"/>
      <c r="AI391" s="23">
        <f>AI390*$B391</f>
        <v>1680000</v>
      </c>
      <c r="AJ391" s="18"/>
      <c r="AK391" s="18"/>
      <c r="AL391" s="19"/>
      <c r="AM391" s="18"/>
      <c r="AN391" s="23">
        <f>AN390*$B391</f>
        <v>1751129.1</v>
      </c>
      <c r="AO391" s="18"/>
      <c r="AP391" s="18"/>
      <c r="AQ391" s="19"/>
      <c r="AR391" s="22"/>
      <c r="AS391" s="23">
        <f>AS390*$B391</f>
        <v>2401000</v>
      </c>
      <c r="AT391" s="18"/>
      <c r="AU391" s="18"/>
      <c r="AV391" s="19"/>
      <c r="AW391" s="22"/>
      <c r="AX391" s="23">
        <f>AX390*$B391</f>
        <v>1701000</v>
      </c>
      <c r="AY391" s="18"/>
      <c r="AZ391" s="18"/>
      <c r="BA391" s="19"/>
      <c r="BB391" s="22"/>
      <c r="BC391" s="23">
        <f>BC390*$B391</f>
        <v>1701000</v>
      </c>
      <c r="BD391" s="18"/>
      <c r="BE391" s="18"/>
      <c r="BF391" s="19"/>
      <c r="BG391" s="22"/>
      <c r="BH391" s="23">
        <f>BH390*$B391</f>
        <v>1701000</v>
      </c>
      <c r="BI391" s="18"/>
      <c r="BJ391" s="18"/>
      <c r="BK391" s="19"/>
      <c r="BL391" s="22"/>
      <c r="BM391" s="23">
        <f>BM390*$B391</f>
        <v>1701000</v>
      </c>
      <c r="BN391" s="18"/>
      <c r="BO391" s="18"/>
      <c r="BP391" s="19"/>
      <c r="BQ391" s="17" t="s">
        <v>645</v>
      </c>
      <c r="BR391" s="1"/>
      <c r="BS391" s="1"/>
      <c r="BT391" s="1"/>
      <c r="BU391" s="1"/>
    </row>
    <row r="392">
      <c r="A392" s="56" t="str">
        <f>B371</f>
        <v>샛별</v>
      </c>
      <c r="B392" s="29">
        <v>0.3</v>
      </c>
      <c r="C392" s="30" t="s">
        <v>57</v>
      </c>
      <c r="D392" s="31"/>
      <c r="E392" s="32">
        <f>E390*$B392</f>
        <v>705000</v>
      </c>
      <c r="F392" s="33"/>
      <c r="G392" s="33"/>
      <c r="H392" s="34"/>
      <c r="I392" s="31"/>
      <c r="J392" s="32">
        <f>J390*$B392</f>
        <v>705000</v>
      </c>
      <c r="K392" s="33"/>
      <c r="L392" s="33"/>
      <c r="M392" s="34"/>
      <c r="N392" s="31"/>
      <c r="O392" s="32">
        <f>O390*$B392</f>
        <v>720000</v>
      </c>
      <c r="P392" s="33"/>
      <c r="Q392" s="33"/>
      <c r="R392" s="34"/>
      <c r="S392" s="31"/>
      <c r="T392" s="32">
        <f>T390*$B392</f>
        <v>720000</v>
      </c>
      <c r="U392" s="33"/>
      <c r="V392" s="33"/>
      <c r="W392" s="34"/>
      <c r="X392" s="33"/>
      <c r="Y392" s="32">
        <f>Y390*$B392</f>
        <v>720000</v>
      </c>
      <c r="Z392" s="33"/>
      <c r="AA392" s="33"/>
      <c r="AB392" s="34"/>
      <c r="AC392" s="33"/>
      <c r="AD392" s="32">
        <f>AD390*$B392</f>
        <v>720000</v>
      </c>
      <c r="AE392" s="33"/>
      <c r="AF392" s="33"/>
      <c r="AG392" s="34"/>
      <c r="AH392" s="33"/>
      <c r="AI392" s="32">
        <f>AI390*$B392</f>
        <v>720000</v>
      </c>
      <c r="AJ392" s="33"/>
      <c r="AK392" s="33"/>
      <c r="AL392" s="34"/>
      <c r="AM392" s="33"/>
      <c r="AN392" s="32">
        <f>AN390*$B392</f>
        <v>750483.9</v>
      </c>
      <c r="AO392" s="33"/>
      <c r="AP392" s="33"/>
      <c r="AQ392" s="34"/>
      <c r="AR392" s="31"/>
      <c r="AS392" s="32">
        <f>AS390*$B392</f>
        <v>1029000</v>
      </c>
      <c r="AT392" s="33"/>
      <c r="AU392" s="33"/>
      <c r="AV392" s="34"/>
      <c r="AW392" s="31"/>
      <c r="AX392" s="32">
        <f>AX390*$B392</f>
        <v>729000</v>
      </c>
      <c r="AY392" s="33"/>
      <c r="AZ392" s="33"/>
      <c r="BA392" s="34"/>
      <c r="BB392" s="31"/>
      <c r="BC392" s="32">
        <f>BC390*$B392</f>
        <v>729000</v>
      </c>
      <c r="BD392" s="33"/>
      <c r="BE392" s="33"/>
      <c r="BF392" s="34"/>
      <c r="BG392" s="31"/>
      <c r="BH392" s="32">
        <f>BH390*$B392</f>
        <v>729000</v>
      </c>
      <c r="BI392" s="33"/>
      <c r="BJ392" s="33"/>
      <c r="BK392" s="34"/>
      <c r="BL392" s="31"/>
      <c r="BM392" s="32">
        <f>BM390*$B392</f>
        <v>729000</v>
      </c>
      <c r="BN392" s="33"/>
      <c r="BO392" s="33"/>
      <c r="BP392" s="34"/>
      <c r="BQ392" s="17" t="s">
        <v>645</v>
      </c>
      <c r="BR392" s="1"/>
      <c r="BS392" s="1"/>
      <c r="BT392" s="1"/>
      <c r="BU392" s="1"/>
    </row>
    <row r="393">
      <c r="A393" s="68"/>
      <c r="B393" s="69" t="s">
        <v>666</v>
      </c>
      <c r="C393" s="70" t="s">
        <v>667</v>
      </c>
      <c r="D393" s="71" t="s">
        <v>668</v>
      </c>
      <c r="E393" s="72">
        <v>530000.0</v>
      </c>
      <c r="F393" s="73" t="b">
        <v>1</v>
      </c>
      <c r="G393" s="72">
        <v>80000.0</v>
      </c>
      <c r="H393" s="74" t="b">
        <v>1</v>
      </c>
      <c r="I393" s="71" t="s">
        <v>668</v>
      </c>
      <c r="J393" s="72">
        <v>530000.0</v>
      </c>
      <c r="K393" s="73" t="b">
        <v>1</v>
      </c>
      <c r="L393" s="72">
        <v>80000.0</v>
      </c>
      <c r="M393" s="74" t="b">
        <v>1</v>
      </c>
      <c r="N393" s="71" t="s">
        <v>669</v>
      </c>
      <c r="O393" s="72">
        <v>273548.0</v>
      </c>
      <c r="P393" s="73" t="b">
        <v>1</v>
      </c>
      <c r="Q393" s="72">
        <v>41290.0</v>
      </c>
      <c r="R393" s="74" t="b">
        <v>1</v>
      </c>
      <c r="S393" s="75"/>
      <c r="T393" s="75"/>
      <c r="U393" s="68"/>
      <c r="V393" s="75"/>
      <c r="W393" s="76"/>
      <c r="X393" s="75"/>
      <c r="Y393" s="75"/>
      <c r="Z393" s="68"/>
      <c r="AA393" s="75"/>
      <c r="AB393" s="76"/>
      <c r="AC393" s="75"/>
      <c r="AD393" s="75"/>
      <c r="AE393" s="68"/>
      <c r="AF393" s="75"/>
      <c r="AG393" s="76"/>
      <c r="AH393" s="75"/>
      <c r="AI393" s="75"/>
      <c r="AJ393" s="68"/>
      <c r="AK393" s="75"/>
      <c r="AL393" s="76"/>
      <c r="AM393" s="75"/>
      <c r="AN393" s="75"/>
      <c r="AO393" s="68"/>
      <c r="AP393" s="75"/>
      <c r="AQ393" s="76"/>
      <c r="AR393" s="75"/>
      <c r="AS393" s="75"/>
      <c r="AT393" s="68"/>
      <c r="AU393" s="75"/>
      <c r="AV393" s="76"/>
      <c r="AW393" s="75"/>
      <c r="AX393" s="75"/>
      <c r="AY393" s="68"/>
      <c r="AZ393" s="75"/>
      <c r="BA393" s="76"/>
      <c r="BB393" s="75"/>
      <c r="BC393" s="75"/>
      <c r="BD393" s="68"/>
      <c r="BE393" s="75"/>
      <c r="BF393" s="76"/>
      <c r="BG393" s="75"/>
      <c r="BH393" s="75"/>
      <c r="BI393" s="68"/>
      <c r="BJ393" s="75"/>
      <c r="BK393" s="74" t="b">
        <v>0</v>
      </c>
      <c r="BL393" s="75"/>
      <c r="BM393" s="75"/>
      <c r="BN393" s="68"/>
      <c r="BO393" s="75"/>
      <c r="BP393" s="74" t="b">
        <v>0</v>
      </c>
      <c r="BQ393" s="77" t="s">
        <v>33</v>
      </c>
      <c r="BR393" s="68"/>
      <c r="BS393" s="68"/>
      <c r="BT393" s="68"/>
      <c r="BU393" s="68"/>
    </row>
    <row r="394">
      <c r="A394" s="68"/>
      <c r="B394" s="69" t="s">
        <v>670</v>
      </c>
      <c r="C394" s="70" t="s">
        <v>269</v>
      </c>
      <c r="D394" s="71" t="s">
        <v>671</v>
      </c>
      <c r="E394" s="72">
        <v>440000.0</v>
      </c>
      <c r="F394" s="73" t="b">
        <v>1</v>
      </c>
      <c r="G394" s="72">
        <v>80000.0</v>
      </c>
      <c r="H394" s="74" t="b">
        <v>1</v>
      </c>
      <c r="I394" s="71" t="s">
        <v>672</v>
      </c>
      <c r="J394" s="72">
        <v>440000.0</v>
      </c>
      <c r="K394" s="73" t="b">
        <v>1</v>
      </c>
      <c r="L394" s="72">
        <v>80000.0</v>
      </c>
      <c r="M394" s="74" t="b">
        <v>1</v>
      </c>
      <c r="N394" s="75"/>
      <c r="O394" s="75"/>
      <c r="P394" s="68"/>
      <c r="Q394" s="75"/>
      <c r="R394" s="76"/>
      <c r="S394" s="75"/>
      <c r="T394" s="75"/>
      <c r="U394" s="68"/>
      <c r="V394" s="75"/>
      <c r="W394" s="76"/>
      <c r="X394" s="75"/>
      <c r="Y394" s="75"/>
      <c r="Z394" s="68"/>
      <c r="AA394" s="75"/>
      <c r="AB394" s="76"/>
      <c r="AC394" s="75"/>
      <c r="AD394" s="75"/>
      <c r="AE394" s="68"/>
      <c r="AF394" s="75"/>
      <c r="AG394" s="76"/>
      <c r="AH394" s="75"/>
      <c r="AI394" s="75"/>
      <c r="AJ394" s="68"/>
      <c r="AK394" s="75"/>
      <c r="AL394" s="76"/>
      <c r="AM394" s="75"/>
      <c r="AN394" s="75"/>
      <c r="AO394" s="68"/>
      <c r="AP394" s="75"/>
      <c r="AQ394" s="76"/>
      <c r="AR394" s="75"/>
      <c r="AS394" s="75"/>
      <c r="AT394" s="68"/>
      <c r="AU394" s="75"/>
      <c r="AV394" s="76"/>
      <c r="AW394" s="75"/>
      <c r="AX394" s="75"/>
      <c r="AY394" s="68"/>
      <c r="AZ394" s="75"/>
      <c r="BA394" s="76"/>
      <c r="BB394" s="75"/>
      <c r="BC394" s="75"/>
      <c r="BD394" s="68"/>
      <c r="BE394" s="75"/>
      <c r="BF394" s="76"/>
      <c r="BG394" s="75"/>
      <c r="BH394" s="75"/>
      <c r="BI394" s="68"/>
      <c r="BJ394" s="75"/>
      <c r="BK394" s="74" t="b">
        <v>0</v>
      </c>
      <c r="BL394" s="75"/>
      <c r="BM394" s="75"/>
      <c r="BN394" s="68"/>
      <c r="BO394" s="75"/>
      <c r="BP394" s="74" t="b">
        <v>0</v>
      </c>
      <c r="BQ394" s="77" t="s">
        <v>33</v>
      </c>
      <c r="BR394" s="68"/>
      <c r="BS394" s="68"/>
      <c r="BT394" s="68"/>
      <c r="BU394" s="68"/>
    </row>
    <row r="395">
      <c r="A395" s="68"/>
      <c r="B395" s="69" t="s">
        <v>666</v>
      </c>
      <c r="C395" s="70" t="s">
        <v>673</v>
      </c>
      <c r="D395" s="71" t="s">
        <v>37</v>
      </c>
      <c r="E395" s="75"/>
      <c r="F395" s="68"/>
      <c r="G395" s="75"/>
      <c r="H395" s="76"/>
      <c r="I395" s="71" t="s">
        <v>37</v>
      </c>
      <c r="J395" s="75"/>
      <c r="K395" s="68"/>
      <c r="L395" s="75"/>
      <c r="M395" s="76"/>
      <c r="N395" s="75"/>
      <c r="O395" s="75"/>
      <c r="P395" s="68"/>
      <c r="Q395" s="75"/>
      <c r="R395" s="76"/>
      <c r="S395" s="75"/>
      <c r="T395" s="75"/>
      <c r="U395" s="68"/>
      <c r="V395" s="75"/>
      <c r="W395" s="76"/>
      <c r="X395" s="75"/>
      <c r="Y395" s="75"/>
      <c r="Z395" s="68"/>
      <c r="AA395" s="75"/>
      <c r="AB395" s="76"/>
      <c r="AC395" s="75"/>
      <c r="AD395" s="75"/>
      <c r="AE395" s="68"/>
      <c r="AF395" s="75"/>
      <c r="AG395" s="76"/>
      <c r="AH395" s="75"/>
      <c r="AI395" s="75"/>
      <c r="AJ395" s="68"/>
      <c r="AK395" s="75"/>
      <c r="AL395" s="76"/>
      <c r="AM395" s="75"/>
      <c r="AN395" s="75"/>
      <c r="AO395" s="68"/>
      <c r="AP395" s="75"/>
      <c r="AQ395" s="76"/>
      <c r="AR395" s="75"/>
      <c r="AS395" s="75"/>
      <c r="AT395" s="68"/>
      <c r="AU395" s="75"/>
      <c r="AV395" s="76"/>
      <c r="AW395" s="75"/>
      <c r="AX395" s="75"/>
      <c r="AY395" s="68"/>
      <c r="AZ395" s="75"/>
      <c r="BA395" s="76"/>
      <c r="BB395" s="75"/>
      <c r="BC395" s="75"/>
      <c r="BD395" s="68"/>
      <c r="BE395" s="75"/>
      <c r="BF395" s="76"/>
      <c r="BG395" s="75"/>
      <c r="BH395" s="75"/>
      <c r="BI395" s="68"/>
      <c r="BJ395" s="75"/>
      <c r="BK395" s="74" t="b">
        <v>0</v>
      </c>
      <c r="BL395" s="75"/>
      <c r="BM395" s="75"/>
      <c r="BN395" s="68"/>
      <c r="BO395" s="75"/>
      <c r="BP395" s="74" t="b">
        <v>0</v>
      </c>
      <c r="BQ395" s="77" t="s">
        <v>33</v>
      </c>
      <c r="BR395" s="68"/>
      <c r="BS395" s="68"/>
      <c r="BT395" s="68"/>
      <c r="BU395" s="68"/>
    </row>
    <row r="396">
      <c r="A396" s="68"/>
      <c r="B396" s="69" t="s">
        <v>666</v>
      </c>
      <c r="C396" s="70" t="s">
        <v>674</v>
      </c>
      <c r="D396" s="71" t="s">
        <v>675</v>
      </c>
      <c r="E396" s="72">
        <v>390000.0</v>
      </c>
      <c r="F396" s="73" t="b">
        <v>1</v>
      </c>
      <c r="G396" s="72">
        <v>80000.0</v>
      </c>
      <c r="H396" s="74" t="b">
        <v>1</v>
      </c>
      <c r="I396" s="71" t="s">
        <v>675</v>
      </c>
      <c r="J396" s="72">
        <v>390000.0</v>
      </c>
      <c r="K396" s="73" t="b">
        <v>1</v>
      </c>
      <c r="L396" s="72">
        <v>80000.0</v>
      </c>
      <c r="M396" s="74" t="b">
        <v>1</v>
      </c>
      <c r="N396" s="71" t="s">
        <v>676</v>
      </c>
      <c r="O396" s="72">
        <v>390000.0</v>
      </c>
      <c r="P396" s="73" t="b">
        <v>1</v>
      </c>
      <c r="Q396" s="72">
        <v>80000.0</v>
      </c>
      <c r="R396" s="74" t="b">
        <v>1</v>
      </c>
      <c r="S396" s="75"/>
      <c r="T396" s="75"/>
      <c r="U396" s="68"/>
      <c r="V396" s="75"/>
      <c r="W396" s="76"/>
      <c r="X396" s="75"/>
      <c r="Y396" s="75"/>
      <c r="Z396" s="68"/>
      <c r="AA396" s="75"/>
      <c r="AB396" s="76"/>
      <c r="AC396" s="75"/>
      <c r="AD396" s="75"/>
      <c r="AE396" s="68"/>
      <c r="AF396" s="75"/>
      <c r="AG396" s="76"/>
      <c r="AH396" s="75"/>
      <c r="AI396" s="75"/>
      <c r="AJ396" s="68"/>
      <c r="AK396" s="75"/>
      <c r="AL396" s="76"/>
      <c r="AM396" s="75"/>
      <c r="AN396" s="75"/>
      <c r="AO396" s="68"/>
      <c r="AP396" s="75"/>
      <c r="AQ396" s="76"/>
      <c r="AR396" s="75"/>
      <c r="AS396" s="75"/>
      <c r="AT396" s="68"/>
      <c r="AU396" s="75"/>
      <c r="AV396" s="76"/>
      <c r="AW396" s="75"/>
      <c r="AX396" s="75"/>
      <c r="AY396" s="68"/>
      <c r="AZ396" s="75"/>
      <c r="BA396" s="76"/>
      <c r="BB396" s="75"/>
      <c r="BC396" s="75"/>
      <c r="BD396" s="68"/>
      <c r="BE396" s="75"/>
      <c r="BF396" s="76"/>
      <c r="BG396" s="75"/>
      <c r="BH396" s="75"/>
      <c r="BI396" s="68"/>
      <c r="BJ396" s="75"/>
      <c r="BK396" s="74" t="b">
        <v>0</v>
      </c>
      <c r="BL396" s="75"/>
      <c r="BM396" s="75"/>
      <c r="BN396" s="68"/>
      <c r="BO396" s="75"/>
      <c r="BP396" s="74" t="b">
        <v>0</v>
      </c>
      <c r="BQ396" s="77" t="s">
        <v>33</v>
      </c>
      <c r="BR396" s="68"/>
      <c r="BS396" s="68"/>
      <c r="BT396" s="68"/>
      <c r="BU396" s="68"/>
    </row>
    <row r="397">
      <c r="A397" s="68"/>
      <c r="B397" s="78"/>
      <c r="C397" s="70" t="s">
        <v>42</v>
      </c>
      <c r="D397" s="79"/>
      <c r="E397" s="72">
        <f>SUM(E393:E396)</f>
        <v>1360000</v>
      </c>
      <c r="F397" s="75"/>
      <c r="G397" s="72">
        <f>SUM(G393:G396)</f>
        <v>240000</v>
      </c>
      <c r="H397" s="76"/>
      <c r="I397" s="79"/>
      <c r="J397" s="72">
        <f>SUM(J393:J396)</f>
        <v>1360000</v>
      </c>
      <c r="K397" s="75"/>
      <c r="L397" s="72">
        <f>SUM(L393:L396)</f>
        <v>240000</v>
      </c>
      <c r="M397" s="76"/>
      <c r="N397" s="79"/>
      <c r="O397" s="72">
        <f>SUM(O393:O396)</f>
        <v>663548</v>
      </c>
      <c r="P397" s="75"/>
      <c r="Q397" s="72">
        <f>SUM(Q393:Q396)</f>
        <v>121290</v>
      </c>
      <c r="R397" s="76"/>
      <c r="S397" s="79"/>
      <c r="T397" s="72">
        <f>SUM(T393:T396)</f>
        <v>0</v>
      </c>
      <c r="U397" s="75"/>
      <c r="V397" s="72">
        <f>SUM(V393:V396)</f>
        <v>0</v>
      </c>
      <c r="W397" s="76"/>
      <c r="X397" s="75"/>
      <c r="Y397" s="72">
        <f>SUM(Y393:Y396)</f>
        <v>0</v>
      </c>
      <c r="Z397" s="75"/>
      <c r="AA397" s="72">
        <f>SUM(AA393:AA396)</f>
        <v>0</v>
      </c>
      <c r="AB397" s="76"/>
      <c r="AC397" s="75"/>
      <c r="AD397" s="72">
        <f>SUM(AD393:AD396)</f>
        <v>0</v>
      </c>
      <c r="AE397" s="75"/>
      <c r="AF397" s="72">
        <f>SUM(AF393:AF396)</f>
        <v>0</v>
      </c>
      <c r="AG397" s="76"/>
      <c r="AH397" s="75"/>
      <c r="AI397" s="72">
        <f>SUM(AI393:AI396)</f>
        <v>0</v>
      </c>
      <c r="AJ397" s="75"/>
      <c r="AK397" s="72">
        <f>SUM(AK393:AK396)</f>
        <v>0</v>
      </c>
      <c r="AL397" s="76"/>
      <c r="AM397" s="75"/>
      <c r="AN397" s="72">
        <f>SUM(AN393:AN396)</f>
        <v>0</v>
      </c>
      <c r="AO397" s="75"/>
      <c r="AP397" s="72">
        <f>SUM(AP393:AP396)</f>
        <v>0</v>
      </c>
      <c r="AQ397" s="76"/>
      <c r="AR397" s="79"/>
      <c r="AS397" s="72">
        <f>SUM(AS393:AS396)</f>
        <v>0</v>
      </c>
      <c r="AT397" s="75"/>
      <c r="AU397" s="72">
        <f>SUM(AU393:AU396)</f>
        <v>0</v>
      </c>
      <c r="AV397" s="76"/>
      <c r="AW397" s="79"/>
      <c r="AX397" s="72">
        <f>SUM(AX393:AX396)</f>
        <v>0</v>
      </c>
      <c r="AY397" s="75"/>
      <c r="AZ397" s="72">
        <f>SUM(AZ393:AZ396)</f>
        <v>0</v>
      </c>
      <c r="BA397" s="76"/>
      <c r="BB397" s="79"/>
      <c r="BC397" s="72">
        <f>SUM(BC393:BC396)</f>
        <v>0</v>
      </c>
      <c r="BD397" s="75"/>
      <c r="BE397" s="72">
        <f>SUM(BE393:BE396)</f>
        <v>0</v>
      </c>
      <c r="BF397" s="76"/>
      <c r="BG397" s="79"/>
      <c r="BH397" s="72">
        <f>SUM(BH393:BH396)</f>
        <v>0</v>
      </c>
      <c r="BI397" s="75"/>
      <c r="BJ397" s="72">
        <f>SUM(BJ393:BJ396)</f>
        <v>0</v>
      </c>
      <c r="BK397" s="76"/>
      <c r="BL397" s="79"/>
      <c r="BM397" s="72">
        <f>SUM(BM393:BM396)</f>
        <v>0</v>
      </c>
      <c r="BN397" s="75"/>
      <c r="BO397" s="72">
        <f>SUM(BO393:BO396)</f>
        <v>0</v>
      </c>
      <c r="BP397" s="76"/>
      <c r="BQ397" s="77" t="s">
        <v>33</v>
      </c>
      <c r="BR397" s="68"/>
      <c r="BS397" s="68"/>
      <c r="BT397" s="68"/>
      <c r="BU397" s="68"/>
    </row>
    <row r="398">
      <c r="A398" s="68"/>
      <c r="B398" s="78"/>
      <c r="C398" s="70" t="s">
        <v>43</v>
      </c>
      <c r="D398" s="79"/>
      <c r="E398" s="72">
        <v>500000.0</v>
      </c>
      <c r="F398" s="75"/>
      <c r="G398" s="75"/>
      <c r="H398" s="76"/>
      <c r="I398" s="79"/>
      <c r="J398" s="72">
        <v>500000.0</v>
      </c>
      <c r="K398" s="75"/>
      <c r="L398" s="75"/>
      <c r="M398" s="76"/>
      <c r="N398" s="79"/>
      <c r="O398" s="72">
        <v>800000.0</v>
      </c>
      <c r="P398" s="75"/>
      <c r="Q398" s="75"/>
      <c r="R398" s="76"/>
      <c r="S398" s="79"/>
      <c r="T398" s="72">
        <v>500000.0</v>
      </c>
      <c r="U398" s="75"/>
      <c r="V398" s="75"/>
      <c r="W398" s="76"/>
      <c r="X398" s="75"/>
      <c r="Y398" s="72">
        <v>500000.0</v>
      </c>
      <c r="Z398" s="75"/>
      <c r="AA398" s="75"/>
      <c r="AB398" s="76"/>
      <c r="AC398" s="75"/>
      <c r="AD398" s="72">
        <v>500000.0</v>
      </c>
      <c r="AE398" s="75"/>
      <c r="AF398" s="75"/>
      <c r="AG398" s="76"/>
      <c r="AH398" s="75"/>
      <c r="AI398" s="72">
        <v>500000.0</v>
      </c>
      <c r="AJ398" s="75"/>
      <c r="AK398" s="75"/>
      <c r="AL398" s="76"/>
      <c r="AM398" s="75"/>
      <c r="AN398" s="72">
        <v>500000.0</v>
      </c>
      <c r="AO398" s="75"/>
      <c r="AP398" s="75"/>
      <c r="AQ398" s="76"/>
      <c r="AR398" s="79"/>
      <c r="AS398" s="72">
        <v>500000.0</v>
      </c>
      <c r="AT398" s="75"/>
      <c r="AU398" s="75"/>
      <c r="AV398" s="76"/>
      <c r="AW398" s="79"/>
      <c r="AX398" s="72">
        <v>500000.0</v>
      </c>
      <c r="AY398" s="75"/>
      <c r="AZ398" s="75"/>
      <c r="BA398" s="76"/>
      <c r="BB398" s="79"/>
      <c r="BC398" s="72">
        <v>500000.0</v>
      </c>
      <c r="BD398" s="75"/>
      <c r="BE398" s="75"/>
      <c r="BF398" s="76"/>
      <c r="BG398" s="79"/>
      <c r="BH398" s="72">
        <v>500000.0</v>
      </c>
      <c r="BI398" s="75"/>
      <c r="BJ398" s="75"/>
      <c r="BK398" s="76"/>
      <c r="BL398" s="79"/>
      <c r="BM398" s="72">
        <v>500000.0</v>
      </c>
      <c r="BN398" s="75"/>
      <c r="BO398" s="75"/>
      <c r="BP398" s="76"/>
      <c r="BQ398" s="77" t="s">
        <v>33</v>
      </c>
      <c r="BR398" s="68"/>
      <c r="BS398" s="68"/>
      <c r="BT398" s="68"/>
      <c r="BU398" s="68"/>
    </row>
    <row r="399">
      <c r="A399" s="68"/>
      <c r="B399" s="78"/>
      <c r="C399" s="70" t="s">
        <v>45</v>
      </c>
      <c r="D399" s="79"/>
      <c r="E399" s="75"/>
      <c r="F399" s="75"/>
      <c r="G399" s="72" t="s">
        <v>677</v>
      </c>
      <c r="H399" s="76"/>
      <c r="I399" s="79"/>
      <c r="J399" s="75"/>
      <c r="K399" s="75"/>
      <c r="L399" s="72" t="s">
        <v>677</v>
      </c>
      <c r="M399" s="76"/>
      <c r="N399" s="79"/>
      <c r="O399" s="75"/>
      <c r="P399" s="75"/>
      <c r="Q399" s="72" t="s">
        <v>677</v>
      </c>
      <c r="R399" s="80" t="s">
        <v>677</v>
      </c>
      <c r="S399" s="81" t="s">
        <v>677</v>
      </c>
      <c r="T399" s="72" t="s">
        <v>677</v>
      </c>
      <c r="U399" s="82" t="s">
        <v>677</v>
      </c>
      <c r="V399" s="72" t="s">
        <v>677</v>
      </c>
      <c r="W399" s="80" t="s">
        <v>677</v>
      </c>
      <c r="X399" s="71" t="s">
        <v>677</v>
      </c>
      <c r="Y399" s="72" t="s">
        <v>677</v>
      </c>
      <c r="Z399" s="82" t="s">
        <v>677</v>
      </c>
      <c r="AA399" s="72" t="s">
        <v>677</v>
      </c>
      <c r="AB399" s="80" t="s">
        <v>677</v>
      </c>
      <c r="AC399" s="71" t="s">
        <v>677</v>
      </c>
      <c r="AD399" s="72" t="s">
        <v>677</v>
      </c>
      <c r="AE399" s="82" t="s">
        <v>677</v>
      </c>
      <c r="AF399" s="72" t="s">
        <v>677</v>
      </c>
      <c r="AG399" s="80" t="s">
        <v>677</v>
      </c>
      <c r="AH399" s="71" t="s">
        <v>677</v>
      </c>
      <c r="AI399" s="72" t="s">
        <v>677</v>
      </c>
      <c r="AJ399" s="82" t="s">
        <v>677</v>
      </c>
      <c r="AK399" s="72" t="s">
        <v>677</v>
      </c>
      <c r="AL399" s="80" t="s">
        <v>677</v>
      </c>
      <c r="AM399" s="71" t="s">
        <v>677</v>
      </c>
      <c r="AN399" s="72" t="s">
        <v>677</v>
      </c>
      <c r="AO399" s="82" t="s">
        <v>677</v>
      </c>
      <c r="AP399" s="72" t="s">
        <v>677</v>
      </c>
      <c r="AQ399" s="80" t="s">
        <v>677</v>
      </c>
      <c r="AR399" s="81" t="s">
        <v>677</v>
      </c>
      <c r="AS399" s="72" t="s">
        <v>677</v>
      </c>
      <c r="AT399" s="82" t="s">
        <v>677</v>
      </c>
      <c r="AU399" s="72" t="s">
        <v>677</v>
      </c>
      <c r="AV399" s="80" t="s">
        <v>677</v>
      </c>
      <c r="AW399" s="81" t="s">
        <v>677</v>
      </c>
      <c r="AX399" s="72" t="s">
        <v>677</v>
      </c>
      <c r="AY399" s="82" t="s">
        <v>677</v>
      </c>
      <c r="AZ399" s="72" t="s">
        <v>677</v>
      </c>
      <c r="BA399" s="80" t="s">
        <v>677</v>
      </c>
      <c r="BB399" s="81" t="s">
        <v>677</v>
      </c>
      <c r="BC399" s="72" t="s">
        <v>677</v>
      </c>
      <c r="BD399" s="82" t="s">
        <v>677</v>
      </c>
      <c r="BE399" s="72" t="s">
        <v>677</v>
      </c>
      <c r="BF399" s="80" t="s">
        <v>677</v>
      </c>
      <c r="BG399" s="81" t="s">
        <v>677</v>
      </c>
      <c r="BH399" s="72" t="s">
        <v>677</v>
      </c>
      <c r="BI399" s="82" t="s">
        <v>677</v>
      </c>
      <c r="BJ399" s="72" t="s">
        <v>677</v>
      </c>
      <c r="BK399" s="76"/>
      <c r="BL399" s="81" t="s">
        <v>677</v>
      </c>
      <c r="BM399" s="72" t="s">
        <v>677</v>
      </c>
      <c r="BN399" s="82" t="s">
        <v>677</v>
      </c>
      <c r="BO399" s="72" t="s">
        <v>677</v>
      </c>
      <c r="BP399" s="76"/>
      <c r="BQ399" s="77" t="s">
        <v>33</v>
      </c>
      <c r="BR399" s="68"/>
      <c r="BS399" s="68"/>
      <c r="BT399" s="68"/>
      <c r="BU399" s="68"/>
    </row>
    <row r="400">
      <c r="A400" s="83" t="s">
        <v>678</v>
      </c>
      <c r="B400" s="69" t="s">
        <v>679</v>
      </c>
      <c r="C400" s="70" t="s">
        <v>47</v>
      </c>
      <c r="D400" s="79"/>
      <c r="E400" s="75"/>
      <c r="F400" s="75"/>
      <c r="G400" s="72">
        <v>19610.0</v>
      </c>
      <c r="H400" s="76"/>
      <c r="I400" s="79"/>
      <c r="J400" s="75"/>
      <c r="K400" s="75"/>
      <c r="L400" s="72">
        <v>18240.0</v>
      </c>
      <c r="M400" s="76"/>
      <c r="N400" s="79"/>
      <c r="O400" s="75"/>
      <c r="P400" s="75"/>
      <c r="Q400" s="72">
        <v>18690.0</v>
      </c>
      <c r="R400" s="84"/>
      <c r="S400" s="79"/>
      <c r="T400" s="75"/>
      <c r="U400" s="75"/>
      <c r="V400" s="75"/>
      <c r="W400" s="84"/>
      <c r="X400" s="75"/>
      <c r="Y400" s="75"/>
      <c r="Z400" s="75"/>
      <c r="AA400" s="75"/>
      <c r="AB400" s="84"/>
      <c r="AC400" s="75"/>
      <c r="AD400" s="75"/>
      <c r="AE400" s="75"/>
      <c r="AF400" s="75"/>
      <c r="AG400" s="84"/>
      <c r="AH400" s="75"/>
      <c r="AI400" s="75"/>
      <c r="AJ400" s="75"/>
      <c r="AK400" s="75"/>
      <c r="AL400" s="84"/>
      <c r="AM400" s="75"/>
      <c r="AN400" s="75"/>
      <c r="AO400" s="75"/>
      <c r="AP400" s="75"/>
      <c r="AQ400" s="84"/>
      <c r="AR400" s="79"/>
      <c r="AS400" s="75"/>
      <c r="AT400" s="75"/>
      <c r="AU400" s="75"/>
      <c r="AV400" s="84"/>
      <c r="AW400" s="79"/>
      <c r="AX400" s="75"/>
      <c r="AY400" s="75"/>
      <c r="AZ400" s="75"/>
      <c r="BA400" s="84"/>
      <c r="BB400" s="79"/>
      <c r="BC400" s="75"/>
      <c r="BD400" s="75"/>
      <c r="BE400" s="75"/>
      <c r="BF400" s="84"/>
      <c r="BG400" s="79"/>
      <c r="BH400" s="75"/>
      <c r="BI400" s="75"/>
      <c r="BJ400" s="75"/>
      <c r="BK400" s="76"/>
      <c r="BL400" s="79"/>
      <c r="BM400" s="75"/>
      <c r="BN400" s="75"/>
      <c r="BO400" s="75"/>
      <c r="BP400" s="76"/>
      <c r="BQ400" s="77" t="s">
        <v>33</v>
      </c>
      <c r="BR400" s="68"/>
      <c r="BS400" s="68"/>
      <c r="BT400" s="68"/>
      <c r="BU400" s="68"/>
    </row>
    <row r="401">
      <c r="A401" s="83" t="s">
        <v>678</v>
      </c>
      <c r="B401" s="69">
        <v>6.004916265E9</v>
      </c>
      <c r="C401" s="70" t="s">
        <v>49</v>
      </c>
      <c r="D401" s="79"/>
      <c r="E401" s="75"/>
      <c r="F401" s="75"/>
      <c r="G401" s="72">
        <v>190480.0</v>
      </c>
      <c r="H401" s="76"/>
      <c r="I401" s="79"/>
      <c r="J401" s="75"/>
      <c r="K401" s="75"/>
      <c r="L401" s="72">
        <v>253070.0</v>
      </c>
      <c r="M401" s="76"/>
      <c r="N401" s="79"/>
      <c r="O401" s="85"/>
      <c r="P401" s="75"/>
      <c r="Q401" s="72">
        <v>188000.0</v>
      </c>
      <c r="R401" s="84"/>
      <c r="S401" s="79"/>
      <c r="T401" s="75"/>
      <c r="U401" s="75"/>
      <c r="V401" s="72">
        <v>127310.0</v>
      </c>
      <c r="W401" s="84"/>
      <c r="X401" s="75"/>
      <c r="Y401" s="75"/>
      <c r="Z401" s="75"/>
      <c r="AA401" s="72">
        <v>0.0</v>
      </c>
      <c r="AB401" s="84"/>
      <c r="AC401" s="75"/>
      <c r="AD401" s="75"/>
      <c r="AE401" s="75"/>
      <c r="AF401" s="72">
        <v>0.0</v>
      </c>
      <c r="AG401" s="84"/>
      <c r="AH401" s="75"/>
      <c r="AI401" s="75"/>
      <c r="AJ401" s="75"/>
      <c r="AK401" s="75"/>
      <c r="AL401" s="84"/>
      <c r="AM401" s="75"/>
      <c r="AN401" s="75"/>
      <c r="AO401" s="75"/>
      <c r="AP401" s="75"/>
      <c r="AQ401" s="84"/>
      <c r="AR401" s="79"/>
      <c r="AS401" s="75"/>
      <c r="AT401" s="75"/>
      <c r="AU401" s="75"/>
      <c r="AV401" s="84"/>
      <c r="AW401" s="79"/>
      <c r="AX401" s="75"/>
      <c r="AY401" s="75"/>
      <c r="AZ401" s="75"/>
      <c r="BA401" s="84"/>
      <c r="BB401" s="79"/>
      <c r="BC401" s="75"/>
      <c r="BD401" s="75"/>
      <c r="BE401" s="75"/>
      <c r="BF401" s="84"/>
      <c r="BG401" s="79"/>
      <c r="BH401" s="75"/>
      <c r="BI401" s="75"/>
      <c r="BJ401" s="75"/>
      <c r="BK401" s="76"/>
      <c r="BL401" s="79"/>
      <c r="BM401" s="75"/>
      <c r="BN401" s="75"/>
      <c r="BO401" s="75"/>
      <c r="BP401" s="76"/>
      <c r="BQ401" s="77" t="s">
        <v>33</v>
      </c>
      <c r="BR401" s="68"/>
      <c r="BS401" s="68"/>
      <c r="BT401" s="68"/>
      <c r="BU401" s="68"/>
    </row>
    <row r="402">
      <c r="A402" s="83" t="s">
        <v>678</v>
      </c>
      <c r="B402" s="69" t="s">
        <v>680</v>
      </c>
      <c r="C402" s="70" t="s">
        <v>51</v>
      </c>
      <c r="D402" s="79"/>
      <c r="E402" s="75"/>
      <c r="F402" s="75"/>
      <c r="G402" s="72">
        <v>22345.0</v>
      </c>
      <c r="H402" s="76"/>
      <c r="I402" s="79"/>
      <c r="J402" s="75"/>
      <c r="K402" s="75"/>
      <c r="L402" s="72" t="s">
        <v>677</v>
      </c>
      <c r="M402" s="76"/>
      <c r="N402" s="79"/>
      <c r="O402" s="75"/>
      <c r="P402" s="75"/>
      <c r="Q402" s="72" t="s">
        <v>677</v>
      </c>
      <c r="R402" s="80" t="s">
        <v>677</v>
      </c>
      <c r="S402" s="81" t="s">
        <v>677</v>
      </c>
      <c r="T402" s="72" t="s">
        <v>677</v>
      </c>
      <c r="U402" s="82" t="s">
        <v>677</v>
      </c>
      <c r="V402" s="72" t="s">
        <v>677</v>
      </c>
      <c r="W402" s="80" t="s">
        <v>677</v>
      </c>
      <c r="X402" s="71" t="s">
        <v>677</v>
      </c>
      <c r="Y402" s="72" t="s">
        <v>677</v>
      </c>
      <c r="Z402" s="82" t="s">
        <v>677</v>
      </c>
      <c r="AA402" s="72" t="s">
        <v>677</v>
      </c>
      <c r="AB402" s="80" t="s">
        <v>677</v>
      </c>
      <c r="AC402" s="71" t="s">
        <v>677</v>
      </c>
      <c r="AD402" s="72" t="s">
        <v>677</v>
      </c>
      <c r="AE402" s="82" t="s">
        <v>677</v>
      </c>
      <c r="AF402" s="72" t="s">
        <v>677</v>
      </c>
      <c r="AG402" s="80" t="s">
        <v>677</v>
      </c>
      <c r="AH402" s="71" t="s">
        <v>677</v>
      </c>
      <c r="AI402" s="72" t="s">
        <v>677</v>
      </c>
      <c r="AJ402" s="82" t="s">
        <v>677</v>
      </c>
      <c r="AK402" s="72" t="s">
        <v>677</v>
      </c>
      <c r="AL402" s="80" t="s">
        <v>677</v>
      </c>
      <c r="AM402" s="71" t="s">
        <v>677</v>
      </c>
      <c r="AN402" s="72" t="s">
        <v>677</v>
      </c>
      <c r="AO402" s="82" t="s">
        <v>677</v>
      </c>
      <c r="AP402" s="72" t="s">
        <v>677</v>
      </c>
      <c r="AQ402" s="80" t="s">
        <v>677</v>
      </c>
      <c r="AR402" s="81" t="s">
        <v>677</v>
      </c>
      <c r="AS402" s="72" t="s">
        <v>677</v>
      </c>
      <c r="AT402" s="82" t="s">
        <v>677</v>
      </c>
      <c r="AU402" s="72" t="s">
        <v>677</v>
      </c>
      <c r="AV402" s="80" t="s">
        <v>677</v>
      </c>
      <c r="AW402" s="81" t="s">
        <v>677</v>
      </c>
      <c r="AX402" s="72" t="s">
        <v>677</v>
      </c>
      <c r="AY402" s="82" t="s">
        <v>677</v>
      </c>
      <c r="AZ402" s="72" t="s">
        <v>677</v>
      </c>
      <c r="BA402" s="80" t="s">
        <v>677</v>
      </c>
      <c r="BB402" s="81" t="s">
        <v>677</v>
      </c>
      <c r="BC402" s="72" t="s">
        <v>677</v>
      </c>
      <c r="BD402" s="82" t="s">
        <v>677</v>
      </c>
      <c r="BE402" s="72" t="s">
        <v>677</v>
      </c>
      <c r="BF402" s="80" t="s">
        <v>677</v>
      </c>
      <c r="BG402" s="81" t="s">
        <v>677</v>
      </c>
      <c r="BH402" s="72" t="s">
        <v>677</v>
      </c>
      <c r="BI402" s="82" t="s">
        <v>677</v>
      </c>
      <c r="BJ402" s="72" t="s">
        <v>677</v>
      </c>
      <c r="BK402" s="76"/>
      <c r="BL402" s="81" t="s">
        <v>677</v>
      </c>
      <c r="BM402" s="72" t="s">
        <v>677</v>
      </c>
      <c r="BN402" s="82" t="s">
        <v>677</v>
      </c>
      <c r="BO402" s="72" t="s">
        <v>677</v>
      </c>
      <c r="BP402" s="76"/>
      <c r="BQ402" s="77" t="s">
        <v>33</v>
      </c>
      <c r="BR402" s="68"/>
      <c r="BS402" s="68"/>
      <c r="BT402" s="68"/>
      <c r="BU402" s="68"/>
    </row>
    <row r="403">
      <c r="A403" s="83" t="s">
        <v>681</v>
      </c>
      <c r="B403" s="78"/>
      <c r="C403" s="70" t="s">
        <v>52</v>
      </c>
      <c r="D403" s="79"/>
      <c r="E403" s="75"/>
      <c r="F403" s="75"/>
      <c r="G403" s="72">
        <v>22000.0</v>
      </c>
      <c r="H403" s="76"/>
      <c r="I403" s="79"/>
      <c r="J403" s="75"/>
      <c r="K403" s="75"/>
      <c r="L403" s="72">
        <v>22000.0</v>
      </c>
      <c r="M403" s="76"/>
      <c r="N403" s="79"/>
      <c r="O403" s="75"/>
      <c r="P403" s="75"/>
      <c r="Q403" s="72">
        <v>22000.0</v>
      </c>
      <c r="R403" s="76"/>
      <c r="S403" s="79"/>
      <c r="T403" s="75"/>
      <c r="U403" s="75"/>
      <c r="V403" s="72">
        <v>22000.0</v>
      </c>
      <c r="W403" s="76"/>
      <c r="X403" s="79"/>
      <c r="Y403" s="75"/>
      <c r="Z403" s="75"/>
      <c r="AA403" s="72">
        <v>22000.0</v>
      </c>
      <c r="AB403" s="76"/>
      <c r="AC403" s="79"/>
      <c r="AD403" s="75"/>
      <c r="AE403" s="75"/>
      <c r="AF403" s="72">
        <v>22000.0</v>
      </c>
      <c r="AG403" s="76"/>
      <c r="AH403" s="79"/>
      <c r="AI403" s="75"/>
      <c r="AJ403" s="75"/>
      <c r="AK403" s="72">
        <v>22000.0</v>
      </c>
      <c r="AL403" s="76"/>
      <c r="AM403" s="79"/>
      <c r="AN403" s="75"/>
      <c r="AO403" s="75"/>
      <c r="AP403" s="72">
        <v>22000.0</v>
      </c>
      <c r="AQ403" s="76"/>
      <c r="AR403" s="79"/>
      <c r="AS403" s="75"/>
      <c r="AT403" s="75"/>
      <c r="AU403" s="72">
        <v>22000.0</v>
      </c>
      <c r="AV403" s="76"/>
      <c r="AW403" s="79"/>
      <c r="AX403" s="75"/>
      <c r="AY403" s="75"/>
      <c r="AZ403" s="72">
        <v>22000.0</v>
      </c>
      <c r="BA403" s="76"/>
      <c r="BB403" s="79"/>
      <c r="BC403" s="75"/>
      <c r="BD403" s="75"/>
      <c r="BE403" s="72">
        <v>22000.0</v>
      </c>
      <c r="BF403" s="76"/>
      <c r="BG403" s="79"/>
      <c r="BH403" s="75"/>
      <c r="BI403" s="75"/>
      <c r="BJ403" s="72">
        <v>22000.0</v>
      </c>
      <c r="BK403" s="76"/>
      <c r="BL403" s="79"/>
      <c r="BM403" s="75"/>
      <c r="BN403" s="75"/>
      <c r="BO403" s="72">
        <v>22000.0</v>
      </c>
      <c r="BP403" s="76"/>
      <c r="BQ403" s="77" t="s">
        <v>33</v>
      </c>
      <c r="BR403" s="68"/>
      <c r="BS403" s="68"/>
      <c r="BT403" s="68"/>
      <c r="BU403" s="68"/>
    </row>
    <row r="404">
      <c r="A404" s="83" t="s">
        <v>681</v>
      </c>
      <c r="B404" s="78"/>
      <c r="C404" s="70" t="s">
        <v>53</v>
      </c>
      <c r="D404" s="79"/>
      <c r="E404" s="75"/>
      <c r="F404" s="75"/>
      <c r="G404" s="72">
        <v>11000.0</v>
      </c>
      <c r="H404" s="76"/>
      <c r="I404" s="79"/>
      <c r="J404" s="75"/>
      <c r="K404" s="75"/>
      <c r="L404" s="72">
        <v>11000.0</v>
      </c>
      <c r="M404" s="76"/>
      <c r="N404" s="79"/>
      <c r="O404" s="75"/>
      <c r="P404" s="75"/>
      <c r="Q404" s="72">
        <v>11000.0</v>
      </c>
      <c r="R404" s="76"/>
      <c r="S404" s="79"/>
      <c r="T404" s="75"/>
      <c r="U404" s="75"/>
      <c r="V404" s="72">
        <v>11000.0</v>
      </c>
      <c r="W404" s="76"/>
      <c r="X404" s="79"/>
      <c r="Y404" s="75"/>
      <c r="Z404" s="75"/>
      <c r="AA404" s="72">
        <v>11000.0</v>
      </c>
      <c r="AB404" s="76"/>
      <c r="AC404" s="79"/>
      <c r="AD404" s="75"/>
      <c r="AE404" s="75"/>
      <c r="AF404" s="72">
        <v>11000.0</v>
      </c>
      <c r="AG404" s="76"/>
      <c r="AH404" s="79"/>
      <c r="AI404" s="75"/>
      <c r="AJ404" s="75"/>
      <c r="AK404" s="72">
        <v>11000.0</v>
      </c>
      <c r="AL404" s="76"/>
      <c r="AM404" s="79"/>
      <c r="AN404" s="75"/>
      <c r="AO404" s="75"/>
      <c r="AP404" s="72">
        <v>11000.0</v>
      </c>
      <c r="AQ404" s="76"/>
      <c r="AR404" s="79"/>
      <c r="AS404" s="75"/>
      <c r="AT404" s="75"/>
      <c r="AU404" s="72">
        <v>11000.0</v>
      </c>
      <c r="AV404" s="76"/>
      <c r="AW404" s="79"/>
      <c r="AX404" s="75"/>
      <c r="AY404" s="75"/>
      <c r="AZ404" s="72">
        <v>11000.0</v>
      </c>
      <c r="BA404" s="76"/>
      <c r="BB404" s="79"/>
      <c r="BC404" s="75"/>
      <c r="BD404" s="75"/>
      <c r="BE404" s="72">
        <v>11000.0</v>
      </c>
      <c r="BF404" s="76"/>
      <c r="BG404" s="79"/>
      <c r="BH404" s="75"/>
      <c r="BI404" s="75"/>
      <c r="BJ404" s="72">
        <v>11000.0</v>
      </c>
      <c r="BK404" s="76"/>
      <c r="BL404" s="79"/>
      <c r="BM404" s="75"/>
      <c r="BN404" s="75"/>
      <c r="BO404" s="72">
        <v>11000.0</v>
      </c>
      <c r="BP404" s="76"/>
      <c r="BQ404" s="77" t="s">
        <v>33</v>
      </c>
      <c r="BR404" s="68"/>
      <c r="BS404" s="68"/>
      <c r="BT404" s="68"/>
      <c r="BU404" s="68"/>
    </row>
    <row r="405">
      <c r="A405" s="68"/>
      <c r="B405" s="78"/>
      <c r="C405" s="70" t="s">
        <v>54</v>
      </c>
      <c r="D405" s="79"/>
      <c r="E405" s="75"/>
      <c r="F405" s="75"/>
      <c r="G405" s="72">
        <f>SUMIFS('지출'!$G$3:$G1000,'지출'!$J$3:$J1000,G$1,'지출'!$C$3:$C1000,"그린")</f>
        <v>0</v>
      </c>
      <c r="H405" s="76"/>
      <c r="I405" s="79"/>
      <c r="J405" s="75"/>
      <c r="K405" s="75"/>
      <c r="L405" s="72">
        <f>SUMIFS('지출'!$G$3:$G1000,'지출'!$J$3:$J1000,L$1,'지출'!$C$3:$C1000,"그린")</f>
        <v>0</v>
      </c>
      <c r="M405" s="84"/>
      <c r="N405" s="75"/>
      <c r="O405" s="75"/>
      <c r="P405" s="75"/>
      <c r="Q405" s="72">
        <f>SUMIFS('지출'!$G$3:$G1000,'지출'!$J$3:$J1000,Q$1,'지출'!$C$3:$C1000,"그린")</f>
        <v>0</v>
      </c>
      <c r="R405" s="84"/>
      <c r="S405" s="75"/>
      <c r="T405" s="75"/>
      <c r="U405" s="75"/>
      <c r="V405" s="72">
        <f>SUMIFS('지출'!$G$3:$G1000,'지출'!$J$3:$J1000,V$1,'지출'!$C$3:$C1000,"그린")</f>
        <v>0</v>
      </c>
      <c r="W405" s="84"/>
      <c r="X405" s="75"/>
      <c r="Y405" s="75"/>
      <c r="Z405" s="75"/>
      <c r="AA405" s="72">
        <f>SUMIFS('지출'!$G$3:$G1000,'지출'!$J$3:$J1000,AA$1,'지출'!$C$3:$C1000,"그린")</f>
        <v>0</v>
      </c>
      <c r="AB405" s="84"/>
      <c r="AC405" s="75"/>
      <c r="AD405" s="75"/>
      <c r="AE405" s="75"/>
      <c r="AF405" s="72">
        <f>SUMIFS('지출'!$G$3:$G1000,'지출'!$J$3:$J1000,AF$1,'지출'!$C$3:$C1000,"그린")</f>
        <v>0</v>
      </c>
      <c r="AG405" s="84"/>
      <c r="AH405" s="75"/>
      <c r="AI405" s="75"/>
      <c r="AJ405" s="75"/>
      <c r="AK405" s="72">
        <f>SUMIFS('지출'!$G$3:$G1000,'지출'!$J$3:$J1000,AK$1,'지출'!$C$3:$C1000,"그린")</f>
        <v>0</v>
      </c>
      <c r="AL405" s="84"/>
      <c r="AM405" s="75"/>
      <c r="AN405" s="75"/>
      <c r="AO405" s="75"/>
      <c r="AP405" s="72">
        <f>SUMIFS('지출'!$G$3:$G1000,'지출'!$J$3:$J1000,AP$1,'지출'!$C$3:$C1000,"그린")</f>
        <v>0</v>
      </c>
      <c r="AQ405" s="84"/>
      <c r="AR405" s="75"/>
      <c r="AS405" s="75"/>
      <c r="AT405" s="75"/>
      <c r="AU405" s="72">
        <f>SUMIFS('지출'!$G$3:$G1000,'지출'!$J$3:$J1000,AU$1,'지출'!$C$3:$C1000,"그린")</f>
        <v>0</v>
      </c>
      <c r="AV405" s="84"/>
      <c r="AW405" s="75"/>
      <c r="AX405" s="75"/>
      <c r="AY405" s="75"/>
      <c r="AZ405" s="72">
        <f>SUMIFS('지출'!$G$3:$G1000,'지출'!$J$3:$J1000,AZ$1,'지출'!$C$3:$C1000,"그린")</f>
        <v>0</v>
      </c>
      <c r="BA405" s="84"/>
      <c r="BB405" s="75"/>
      <c r="BC405" s="75"/>
      <c r="BD405" s="75"/>
      <c r="BE405" s="72">
        <f>SUMIFS('지출'!$G$3:$G1000,'지출'!$J$3:$J1000,BE$1,'지출'!$C$3:$C1000,"그린")</f>
        <v>0</v>
      </c>
      <c r="BF405" s="84"/>
      <c r="BG405" s="75"/>
      <c r="BH405" s="75"/>
      <c r="BI405" s="75"/>
      <c r="BJ405" s="72">
        <f>SUMIFS('지출'!$G$3:$G1000,'지출'!$J$3:$J1000,BJ$1,'지출'!$C$3:$C1000,"그린")</f>
        <v>0</v>
      </c>
      <c r="BK405" s="76"/>
      <c r="BL405" s="75"/>
      <c r="BM405" s="75"/>
      <c r="BN405" s="75"/>
      <c r="BO405" s="72">
        <f>SUMIFS('지출'!$G$3:$G1000,'지출'!$J$3:$J1000,BO$1,'지출'!$C$3:$C1000,"그린")</f>
        <v>0</v>
      </c>
      <c r="BP405" s="76"/>
      <c r="BQ405" s="77" t="s">
        <v>33</v>
      </c>
      <c r="BR405" s="68"/>
      <c r="BS405" s="68"/>
      <c r="BT405" s="68"/>
      <c r="BU405" s="68"/>
    </row>
    <row r="406">
      <c r="A406" s="68"/>
      <c r="B406" s="78"/>
      <c r="C406" s="70" t="s">
        <v>56</v>
      </c>
      <c r="D406" s="79"/>
      <c r="E406" s="72">
        <f>E397-(SUM(E398:E405))</f>
        <v>860000</v>
      </c>
      <c r="F406" s="75"/>
      <c r="G406" s="72">
        <f>G397-(SUM(G398:G405))</f>
        <v>-25435</v>
      </c>
      <c r="H406" s="76"/>
      <c r="I406" s="79"/>
      <c r="J406" s="72">
        <f>J397-(SUM(J398:J405))</f>
        <v>860000</v>
      </c>
      <c r="K406" s="75"/>
      <c r="L406" s="72">
        <f>L397-(SUM(L398:L405))</f>
        <v>-64310</v>
      </c>
      <c r="M406" s="76"/>
      <c r="N406" s="79"/>
      <c r="O406" s="72">
        <f>O397-(SUM(O398:O405))</f>
        <v>-136452</v>
      </c>
      <c r="P406" s="75"/>
      <c r="Q406" s="72">
        <f>Q397-(SUM(Q398:Q405))</f>
        <v>-118400</v>
      </c>
      <c r="R406" s="76"/>
      <c r="S406" s="79"/>
      <c r="T406" s="72">
        <f>T397-(SUM(T398:T405))</f>
        <v>-500000</v>
      </c>
      <c r="U406" s="75"/>
      <c r="V406" s="72">
        <f>V397-(SUM(V398:V405))</f>
        <v>-160310</v>
      </c>
      <c r="W406" s="76"/>
      <c r="X406" s="75"/>
      <c r="Y406" s="72">
        <f>Y397-(SUM(Y398:Y405))</f>
        <v>-500000</v>
      </c>
      <c r="Z406" s="75"/>
      <c r="AA406" s="72">
        <f>AA397-(SUM(AA398:AA405))</f>
        <v>-33000</v>
      </c>
      <c r="AB406" s="76"/>
      <c r="AC406" s="75"/>
      <c r="AD406" s="72">
        <f>AD397-(SUM(AD398:AD405))</f>
        <v>-500000</v>
      </c>
      <c r="AE406" s="75"/>
      <c r="AF406" s="72">
        <f>AF397-(SUM(AF398:AF405))</f>
        <v>-33000</v>
      </c>
      <c r="AG406" s="76"/>
      <c r="AH406" s="75"/>
      <c r="AI406" s="72">
        <f>AI397-(SUM(AI398:AI405))</f>
        <v>-500000</v>
      </c>
      <c r="AJ406" s="75"/>
      <c r="AK406" s="72">
        <f>AK397-(SUM(AK398:AK405))</f>
        <v>-33000</v>
      </c>
      <c r="AL406" s="76"/>
      <c r="AM406" s="75"/>
      <c r="AN406" s="72">
        <f>AN397-(SUM(AN398:AN405))</f>
        <v>-500000</v>
      </c>
      <c r="AO406" s="75"/>
      <c r="AP406" s="72">
        <f>AP397-(SUM(AP398:AP405))</f>
        <v>-33000</v>
      </c>
      <c r="AQ406" s="76"/>
      <c r="AR406" s="79"/>
      <c r="AS406" s="72">
        <f>AS397-(SUM(AS398:AS405))</f>
        <v>-500000</v>
      </c>
      <c r="AT406" s="75"/>
      <c r="AU406" s="72">
        <f>AU397-(SUM(AU398:AU405))</f>
        <v>-33000</v>
      </c>
      <c r="AV406" s="76"/>
      <c r="AW406" s="79"/>
      <c r="AX406" s="72">
        <f>AX397-(SUM(AX398:AX405))</f>
        <v>-500000</v>
      </c>
      <c r="AY406" s="75"/>
      <c r="AZ406" s="72">
        <f>AZ397-(SUM(AZ398:AZ405))</f>
        <v>-33000</v>
      </c>
      <c r="BA406" s="76"/>
      <c r="BB406" s="79"/>
      <c r="BC406" s="72">
        <f>BC397-(SUM(BC398:BC405))</f>
        <v>-500000</v>
      </c>
      <c r="BD406" s="75"/>
      <c r="BE406" s="72">
        <f>BE397-(SUM(BE398:BE405))</f>
        <v>-33000</v>
      </c>
      <c r="BF406" s="76"/>
      <c r="BG406" s="79"/>
      <c r="BH406" s="72">
        <f>BH397-(SUM(BH398:BH405))</f>
        <v>-500000</v>
      </c>
      <c r="BI406" s="75"/>
      <c r="BJ406" s="72">
        <f>BJ397-(SUM(BJ398:BJ405))</f>
        <v>-33000</v>
      </c>
      <c r="BK406" s="76"/>
      <c r="BL406" s="79"/>
      <c r="BM406" s="72">
        <f>BM397-(SUM(BM398:BM405))</f>
        <v>-500000</v>
      </c>
      <c r="BN406" s="75"/>
      <c r="BO406" s="72">
        <f>BO397-(SUM(BO398:BO405))</f>
        <v>-33000</v>
      </c>
      <c r="BP406" s="76"/>
      <c r="BQ406" s="77" t="s">
        <v>33</v>
      </c>
      <c r="BR406" s="68"/>
      <c r="BS406" s="68"/>
      <c r="BT406" s="68"/>
      <c r="BU406" s="68"/>
    </row>
    <row r="407">
      <c r="A407" s="68"/>
      <c r="B407" s="86">
        <v>0.0</v>
      </c>
      <c r="C407" s="70" t="s">
        <v>26</v>
      </c>
      <c r="D407" s="79"/>
      <c r="E407" s="72">
        <f>E406*$B407</f>
        <v>0</v>
      </c>
      <c r="F407" s="75"/>
      <c r="G407" s="75"/>
      <c r="H407" s="76"/>
      <c r="I407" s="79"/>
      <c r="J407" s="72">
        <f>J406*$B407</f>
        <v>0</v>
      </c>
      <c r="K407" s="75"/>
      <c r="L407" s="75"/>
      <c r="M407" s="76"/>
      <c r="N407" s="79"/>
      <c r="O407" s="72">
        <f>O406*$B407</f>
        <v>0</v>
      </c>
      <c r="P407" s="75"/>
      <c r="Q407" s="75"/>
      <c r="R407" s="76"/>
      <c r="S407" s="79"/>
      <c r="T407" s="72">
        <f>T406*$B407</f>
        <v>0</v>
      </c>
      <c r="U407" s="75"/>
      <c r="V407" s="75"/>
      <c r="W407" s="76"/>
      <c r="X407" s="75"/>
      <c r="Y407" s="72">
        <f>Y406*$B407</f>
        <v>0</v>
      </c>
      <c r="Z407" s="75"/>
      <c r="AA407" s="75"/>
      <c r="AB407" s="76"/>
      <c r="AC407" s="75"/>
      <c r="AD407" s="72">
        <f>AD406*$B407</f>
        <v>0</v>
      </c>
      <c r="AE407" s="75"/>
      <c r="AF407" s="75"/>
      <c r="AG407" s="76"/>
      <c r="AH407" s="75"/>
      <c r="AI407" s="72">
        <f>AI406*$B407</f>
        <v>0</v>
      </c>
      <c r="AJ407" s="75"/>
      <c r="AK407" s="75"/>
      <c r="AL407" s="76"/>
      <c r="AM407" s="75"/>
      <c r="AN407" s="72">
        <f>AN406*$B407</f>
        <v>0</v>
      </c>
      <c r="AO407" s="75"/>
      <c r="AP407" s="75"/>
      <c r="AQ407" s="76"/>
      <c r="AR407" s="79"/>
      <c r="AS407" s="72">
        <f>AS406*$B407</f>
        <v>0</v>
      </c>
      <c r="AT407" s="75"/>
      <c r="AU407" s="75"/>
      <c r="AV407" s="76"/>
      <c r="AW407" s="79"/>
      <c r="AX407" s="72">
        <f>AX406*$B407</f>
        <v>0</v>
      </c>
      <c r="AY407" s="75"/>
      <c r="AZ407" s="75"/>
      <c r="BA407" s="76"/>
      <c r="BB407" s="79"/>
      <c r="BC407" s="72">
        <f>BC406*$B407</f>
        <v>0</v>
      </c>
      <c r="BD407" s="75"/>
      <c r="BE407" s="75"/>
      <c r="BF407" s="76"/>
      <c r="BG407" s="79"/>
      <c r="BH407" s="72">
        <f>BH406*$B407</f>
        <v>0</v>
      </c>
      <c r="BI407" s="75"/>
      <c r="BJ407" s="75"/>
      <c r="BK407" s="76"/>
      <c r="BL407" s="79"/>
      <c r="BM407" s="72">
        <f>BM406*$B407</f>
        <v>0</v>
      </c>
      <c r="BN407" s="75"/>
      <c r="BO407" s="75"/>
      <c r="BP407" s="76"/>
      <c r="BQ407" s="77" t="s">
        <v>33</v>
      </c>
      <c r="BR407" s="68"/>
      <c r="BS407" s="68"/>
      <c r="BT407" s="68"/>
      <c r="BU407" s="68"/>
    </row>
    <row r="408">
      <c r="A408" s="83" t="s">
        <v>666</v>
      </c>
      <c r="B408" s="87">
        <v>1.0</v>
      </c>
      <c r="C408" s="88" t="s">
        <v>57</v>
      </c>
      <c r="D408" s="89"/>
      <c r="E408" s="90">
        <f>E406*$B408</f>
        <v>860000</v>
      </c>
      <c r="F408" s="91"/>
      <c r="G408" s="91"/>
      <c r="H408" s="92"/>
      <c r="I408" s="89"/>
      <c r="J408" s="90">
        <f>J406*$B408</f>
        <v>860000</v>
      </c>
      <c r="K408" s="91"/>
      <c r="L408" s="91"/>
      <c r="M408" s="92"/>
      <c r="N408" s="89"/>
      <c r="O408" s="90">
        <f>O406*$B408</f>
        <v>-136452</v>
      </c>
      <c r="P408" s="91"/>
      <c r="Q408" s="91"/>
      <c r="R408" s="92"/>
      <c r="S408" s="89"/>
      <c r="T408" s="90">
        <f>T406*$B408</f>
        <v>-500000</v>
      </c>
      <c r="U408" s="91"/>
      <c r="V408" s="91"/>
      <c r="W408" s="92"/>
      <c r="X408" s="91"/>
      <c r="Y408" s="90">
        <f>Y406*$B408</f>
        <v>-500000</v>
      </c>
      <c r="Z408" s="91"/>
      <c r="AA408" s="91"/>
      <c r="AB408" s="92"/>
      <c r="AC408" s="91"/>
      <c r="AD408" s="90">
        <f>AD406*$B408</f>
        <v>-500000</v>
      </c>
      <c r="AE408" s="91"/>
      <c r="AF408" s="91"/>
      <c r="AG408" s="92"/>
      <c r="AH408" s="91"/>
      <c r="AI408" s="90">
        <f>AI406*$B408</f>
        <v>-500000</v>
      </c>
      <c r="AJ408" s="91"/>
      <c r="AK408" s="91"/>
      <c r="AL408" s="92"/>
      <c r="AM408" s="91"/>
      <c r="AN408" s="90">
        <f>AN406*$B408</f>
        <v>-500000</v>
      </c>
      <c r="AO408" s="91"/>
      <c r="AP408" s="91"/>
      <c r="AQ408" s="92"/>
      <c r="AR408" s="89"/>
      <c r="AS408" s="90">
        <f>AS406*$B408</f>
        <v>-500000</v>
      </c>
      <c r="AT408" s="91"/>
      <c r="AU408" s="91"/>
      <c r="AV408" s="92"/>
      <c r="AW408" s="89"/>
      <c r="AX408" s="90">
        <f>AX406*$B408</f>
        <v>-500000</v>
      </c>
      <c r="AY408" s="91"/>
      <c r="AZ408" s="91"/>
      <c r="BA408" s="92"/>
      <c r="BB408" s="89"/>
      <c r="BC408" s="90">
        <f>BC406*$B408</f>
        <v>-500000</v>
      </c>
      <c r="BD408" s="91"/>
      <c r="BE408" s="91"/>
      <c r="BF408" s="92"/>
      <c r="BG408" s="89"/>
      <c r="BH408" s="90">
        <f>BH406*$B408</f>
        <v>-500000</v>
      </c>
      <c r="BI408" s="91"/>
      <c r="BJ408" s="91"/>
      <c r="BK408" s="92"/>
      <c r="BL408" s="89"/>
      <c r="BM408" s="90">
        <f>BM406*$B408</f>
        <v>-500000</v>
      </c>
      <c r="BN408" s="91"/>
      <c r="BO408" s="91"/>
      <c r="BP408" s="92"/>
      <c r="BQ408" s="77" t="s">
        <v>33</v>
      </c>
      <c r="BR408" s="68"/>
      <c r="BS408" s="68"/>
      <c r="BT408" s="68"/>
      <c r="BU408" s="68"/>
    </row>
    <row r="409">
      <c r="A409" s="1"/>
      <c r="B409" s="27" t="s">
        <v>682</v>
      </c>
      <c r="C409" s="11" t="s">
        <v>667</v>
      </c>
      <c r="D409" s="20" t="s">
        <v>683</v>
      </c>
      <c r="E409" s="23">
        <v>510000.0</v>
      </c>
      <c r="F409" s="35" t="b">
        <v>1</v>
      </c>
      <c r="G409" s="23">
        <v>80000.0</v>
      </c>
      <c r="H409" s="15" t="b">
        <v>1</v>
      </c>
      <c r="I409" s="20" t="s">
        <v>683</v>
      </c>
      <c r="J409" s="23">
        <v>510000.0</v>
      </c>
      <c r="K409" s="35" t="b">
        <v>1</v>
      </c>
      <c r="L409" s="23">
        <v>80000.0</v>
      </c>
      <c r="M409" s="15" t="b">
        <v>1</v>
      </c>
      <c r="N409" s="20" t="s">
        <v>683</v>
      </c>
      <c r="O409" s="23">
        <v>510000.0</v>
      </c>
      <c r="P409" s="35" t="b">
        <v>1</v>
      </c>
      <c r="Q409" s="23">
        <v>80000.0</v>
      </c>
      <c r="R409" s="15" t="b">
        <v>1</v>
      </c>
      <c r="S409" s="20" t="s">
        <v>683</v>
      </c>
      <c r="T409" s="23">
        <v>510000.0</v>
      </c>
      <c r="U409" s="35" t="b">
        <v>1</v>
      </c>
      <c r="V409" s="23">
        <v>80000.0</v>
      </c>
      <c r="W409" s="15" t="b">
        <v>1</v>
      </c>
      <c r="X409" s="20" t="s">
        <v>683</v>
      </c>
      <c r="Y409" s="23">
        <v>510000.0</v>
      </c>
      <c r="Z409" s="35" t="b">
        <v>1</v>
      </c>
      <c r="AA409" s="23">
        <v>80000.0</v>
      </c>
      <c r="AB409" s="15" t="b">
        <v>1</v>
      </c>
      <c r="AC409" s="20" t="s">
        <v>683</v>
      </c>
      <c r="AD409" s="23">
        <v>510000.0</v>
      </c>
      <c r="AE409" s="35" t="b">
        <v>1</v>
      </c>
      <c r="AF409" s="23">
        <v>80000.0</v>
      </c>
      <c r="AG409" s="15" t="b">
        <v>1</v>
      </c>
      <c r="AH409" s="20" t="s">
        <v>683</v>
      </c>
      <c r="AI409" s="23">
        <v>510000.0</v>
      </c>
      <c r="AJ409" s="35" t="b">
        <v>1</v>
      </c>
      <c r="AK409" s="23">
        <v>80000.0</v>
      </c>
      <c r="AL409" s="15" t="b">
        <v>1</v>
      </c>
      <c r="AM409" s="20" t="s">
        <v>684</v>
      </c>
      <c r="AN409" s="23">
        <f>510000+72258</f>
        <v>582258</v>
      </c>
      <c r="AO409" s="35" t="b">
        <v>1</v>
      </c>
      <c r="AP409" s="23">
        <f>80000+10323</f>
        <v>90323</v>
      </c>
      <c r="AQ409" s="15" t="b">
        <v>1</v>
      </c>
      <c r="AR409" s="20" t="s">
        <v>685</v>
      </c>
      <c r="AS409" s="23">
        <f>540000+560000</f>
        <v>1100000</v>
      </c>
      <c r="AT409" s="35" t="b">
        <v>1</v>
      </c>
      <c r="AU409" s="23">
        <f>80000+80000</f>
        <v>160000</v>
      </c>
      <c r="AV409" s="15" t="b">
        <v>1</v>
      </c>
      <c r="AW409" s="20" t="s">
        <v>686</v>
      </c>
      <c r="AX409" s="23">
        <f>540000+560000</f>
        <v>1100000</v>
      </c>
      <c r="AY409" s="35" t="b">
        <v>1</v>
      </c>
      <c r="AZ409" s="23">
        <f>80000+80000</f>
        <v>160000</v>
      </c>
      <c r="BA409" s="15" t="b">
        <v>1</v>
      </c>
      <c r="BB409" s="20" t="s">
        <v>687</v>
      </c>
      <c r="BC409" s="23">
        <v>560000.0</v>
      </c>
      <c r="BD409" s="35" t="b">
        <v>1</v>
      </c>
      <c r="BE409" s="23">
        <v>80000.0</v>
      </c>
      <c r="BF409" s="15" t="b">
        <v>1</v>
      </c>
      <c r="BG409" s="20" t="s">
        <v>688</v>
      </c>
      <c r="BH409" s="23">
        <v>560000.0</v>
      </c>
      <c r="BI409" s="35" t="b">
        <v>1</v>
      </c>
      <c r="BJ409" s="23">
        <v>80000.0</v>
      </c>
      <c r="BK409" s="15" t="b">
        <v>1</v>
      </c>
      <c r="BL409" s="20" t="s">
        <v>687</v>
      </c>
      <c r="BM409" s="23">
        <v>560000.0</v>
      </c>
      <c r="BN409" s="35" t="b">
        <v>0</v>
      </c>
      <c r="BO409" s="23">
        <v>80000.0</v>
      </c>
      <c r="BP409" s="15" t="b">
        <v>0</v>
      </c>
      <c r="BQ409" s="17" t="s">
        <v>33</v>
      </c>
      <c r="BR409" s="1"/>
      <c r="BS409" s="1"/>
      <c r="BT409" s="1"/>
      <c r="BU409" s="1"/>
    </row>
    <row r="410">
      <c r="A410" s="1"/>
      <c r="B410" s="10" t="s">
        <v>689</v>
      </c>
      <c r="C410" s="11" t="s">
        <v>690</v>
      </c>
      <c r="D410" s="20" t="s">
        <v>691</v>
      </c>
      <c r="E410" s="23">
        <v>540000.0</v>
      </c>
      <c r="F410" s="35" t="b">
        <v>1</v>
      </c>
      <c r="G410" s="23">
        <v>80000.0</v>
      </c>
      <c r="H410" s="15" t="b">
        <v>1</v>
      </c>
      <c r="I410" s="20" t="s">
        <v>692</v>
      </c>
      <c r="J410" s="23">
        <v>540000.0</v>
      </c>
      <c r="K410" s="35" t="b">
        <v>1</v>
      </c>
      <c r="L410" s="23">
        <v>80000.0</v>
      </c>
      <c r="M410" s="15" t="b">
        <v>1</v>
      </c>
      <c r="N410" s="20" t="s">
        <v>691</v>
      </c>
      <c r="O410" s="23">
        <v>540000.0</v>
      </c>
      <c r="P410" s="35" t="b">
        <v>1</v>
      </c>
      <c r="Q410" s="23">
        <v>80000.0</v>
      </c>
      <c r="R410" s="15" t="b">
        <v>1</v>
      </c>
      <c r="S410" s="20" t="s">
        <v>691</v>
      </c>
      <c r="T410" s="23">
        <v>540000.0</v>
      </c>
      <c r="U410" s="35" t="b">
        <v>1</v>
      </c>
      <c r="V410" s="23">
        <v>80000.0</v>
      </c>
      <c r="W410" s="15" t="b">
        <v>1</v>
      </c>
      <c r="X410" s="20" t="s">
        <v>691</v>
      </c>
      <c r="Y410" s="23">
        <v>540000.0</v>
      </c>
      <c r="Z410" s="35" t="b">
        <v>1</v>
      </c>
      <c r="AA410" s="23">
        <v>80000.0</v>
      </c>
      <c r="AB410" s="15" t="b">
        <v>1</v>
      </c>
      <c r="AC410" s="20" t="s">
        <v>691</v>
      </c>
      <c r="AD410" s="23">
        <v>540000.0</v>
      </c>
      <c r="AE410" s="35" t="b">
        <v>1</v>
      </c>
      <c r="AF410" s="23">
        <v>80000.0</v>
      </c>
      <c r="AG410" s="15" t="b">
        <v>1</v>
      </c>
      <c r="AH410" s="20" t="s">
        <v>691</v>
      </c>
      <c r="AI410" s="23">
        <v>540000.0</v>
      </c>
      <c r="AJ410" s="35" t="b">
        <v>1</v>
      </c>
      <c r="AK410" s="23">
        <v>80000.0</v>
      </c>
      <c r="AL410" s="15" t="b">
        <v>1</v>
      </c>
      <c r="AM410" s="20" t="s">
        <v>691</v>
      </c>
      <c r="AN410" s="23">
        <v>540000.0</v>
      </c>
      <c r="AO410" s="35" t="b">
        <v>1</v>
      </c>
      <c r="AP410" s="23">
        <v>80000.0</v>
      </c>
      <c r="AQ410" s="15" t="b">
        <v>1</v>
      </c>
      <c r="AR410" s="20" t="s">
        <v>691</v>
      </c>
      <c r="AS410" s="23">
        <v>540000.0</v>
      </c>
      <c r="AT410" s="35" t="b">
        <v>1</v>
      </c>
      <c r="AU410" s="23">
        <v>80000.0</v>
      </c>
      <c r="AV410" s="15" t="b">
        <v>1</v>
      </c>
      <c r="AW410" s="20" t="s">
        <v>691</v>
      </c>
      <c r="AX410" s="23">
        <v>540000.0</v>
      </c>
      <c r="AY410" s="35" t="b">
        <v>1</v>
      </c>
      <c r="AZ410" s="23">
        <v>80000.0</v>
      </c>
      <c r="BA410" s="15" t="b">
        <v>1</v>
      </c>
      <c r="BB410" s="20" t="s">
        <v>691</v>
      </c>
      <c r="BC410" s="23">
        <v>540000.0</v>
      </c>
      <c r="BD410" s="35" t="b">
        <v>1</v>
      </c>
      <c r="BE410" s="23">
        <v>80000.0</v>
      </c>
      <c r="BF410" s="15" t="b">
        <v>1</v>
      </c>
      <c r="BG410" s="20" t="s">
        <v>691</v>
      </c>
      <c r="BH410" s="23">
        <v>540000.0</v>
      </c>
      <c r="BI410" s="35" t="b">
        <v>1</v>
      </c>
      <c r="BJ410" s="23">
        <v>80000.0</v>
      </c>
      <c r="BK410" s="15" t="b">
        <v>1</v>
      </c>
      <c r="BL410" s="20" t="s">
        <v>691</v>
      </c>
      <c r="BM410" s="23">
        <v>540000.0</v>
      </c>
      <c r="BN410" s="35" t="b">
        <v>0</v>
      </c>
      <c r="BO410" s="23">
        <v>80000.0</v>
      </c>
      <c r="BP410" s="15" t="b">
        <v>0</v>
      </c>
      <c r="BQ410" s="17" t="s">
        <v>33</v>
      </c>
      <c r="BR410" s="1"/>
      <c r="BS410" s="1"/>
      <c r="BT410" s="1"/>
      <c r="BU410" s="1"/>
    </row>
    <row r="411">
      <c r="A411" s="1"/>
      <c r="B411" s="27" t="s">
        <v>682</v>
      </c>
      <c r="C411" s="11" t="s">
        <v>693</v>
      </c>
      <c r="D411" s="20" t="s">
        <v>694</v>
      </c>
      <c r="E411" s="23">
        <v>380000.0</v>
      </c>
      <c r="F411" s="35" t="b">
        <v>1</v>
      </c>
      <c r="G411" s="23">
        <v>80000.0</v>
      </c>
      <c r="H411" s="15" t="b">
        <v>1</v>
      </c>
      <c r="I411" s="20" t="s">
        <v>694</v>
      </c>
      <c r="J411" s="23">
        <v>380000.0</v>
      </c>
      <c r="K411" s="35" t="b">
        <v>1</v>
      </c>
      <c r="L411" s="23">
        <v>80000.0</v>
      </c>
      <c r="M411" s="15" t="b">
        <v>1</v>
      </c>
      <c r="N411" s="20" t="s">
        <v>694</v>
      </c>
      <c r="O411" s="23">
        <v>380000.0</v>
      </c>
      <c r="P411" s="35" t="b">
        <v>1</v>
      </c>
      <c r="Q411" s="23">
        <v>80000.0</v>
      </c>
      <c r="R411" s="15" t="b">
        <v>1</v>
      </c>
      <c r="S411" s="20" t="s">
        <v>694</v>
      </c>
      <c r="T411" s="23">
        <v>380000.0</v>
      </c>
      <c r="U411" s="35" t="b">
        <v>1</v>
      </c>
      <c r="V411" s="23">
        <v>80000.0</v>
      </c>
      <c r="W411" s="15" t="b">
        <v>1</v>
      </c>
      <c r="X411" s="20" t="s">
        <v>694</v>
      </c>
      <c r="Y411" s="23">
        <v>380000.0</v>
      </c>
      <c r="Z411" s="35" t="b">
        <v>1</v>
      </c>
      <c r="AA411" s="23">
        <v>80000.0</v>
      </c>
      <c r="AB411" s="15" t="b">
        <v>1</v>
      </c>
      <c r="AC411" s="20" t="s">
        <v>694</v>
      </c>
      <c r="AD411" s="23">
        <v>380000.0</v>
      </c>
      <c r="AE411" s="35" t="b">
        <v>1</v>
      </c>
      <c r="AF411" s="23">
        <v>80000.0</v>
      </c>
      <c r="AG411" s="15" t="b">
        <v>1</v>
      </c>
      <c r="AH411" s="20" t="s">
        <v>694</v>
      </c>
      <c r="AI411" s="23">
        <v>380000.0</v>
      </c>
      <c r="AJ411" s="35" t="b">
        <v>1</v>
      </c>
      <c r="AK411" s="23">
        <v>80000.0</v>
      </c>
      <c r="AL411" s="15" t="b">
        <v>1</v>
      </c>
      <c r="AM411" s="20" t="s">
        <v>694</v>
      </c>
      <c r="AN411" s="23">
        <v>380000.0</v>
      </c>
      <c r="AO411" s="35" t="b">
        <v>1</v>
      </c>
      <c r="AP411" s="23">
        <v>80000.0</v>
      </c>
      <c r="AQ411" s="15" t="b">
        <v>1</v>
      </c>
      <c r="AR411" s="20" t="s">
        <v>694</v>
      </c>
      <c r="AS411" s="23">
        <v>380000.0</v>
      </c>
      <c r="AT411" s="35" t="b">
        <v>1</v>
      </c>
      <c r="AU411" s="23">
        <v>80000.0</v>
      </c>
      <c r="AV411" s="15" t="b">
        <v>1</v>
      </c>
      <c r="AW411" s="20" t="s">
        <v>694</v>
      </c>
      <c r="AX411" s="23">
        <v>380000.0</v>
      </c>
      <c r="AY411" s="35" t="b">
        <v>1</v>
      </c>
      <c r="AZ411" s="23">
        <v>80000.0</v>
      </c>
      <c r="BA411" s="15" t="b">
        <v>1</v>
      </c>
      <c r="BB411" s="20" t="s">
        <v>694</v>
      </c>
      <c r="BC411" s="23">
        <v>380000.0</v>
      </c>
      <c r="BD411" s="35" t="b">
        <v>1</v>
      </c>
      <c r="BE411" s="23">
        <v>80000.0</v>
      </c>
      <c r="BF411" s="15" t="b">
        <v>1</v>
      </c>
      <c r="BG411" s="20" t="s">
        <v>694</v>
      </c>
      <c r="BH411" s="23">
        <v>380000.0</v>
      </c>
      <c r="BI411" s="35" t="b">
        <v>1</v>
      </c>
      <c r="BJ411" s="23">
        <v>80000.0</v>
      </c>
      <c r="BK411" s="15" t="b">
        <v>1</v>
      </c>
      <c r="BL411" s="20" t="s">
        <v>694</v>
      </c>
      <c r="BM411" s="23">
        <v>380000.0</v>
      </c>
      <c r="BN411" s="35" t="b">
        <v>0</v>
      </c>
      <c r="BO411" s="23">
        <v>80000.0</v>
      </c>
      <c r="BP411" s="15" t="b">
        <v>0</v>
      </c>
      <c r="BQ411" s="17" t="s">
        <v>33</v>
      </c>
      <c r="BR411" s="1"/>
      <c r="BS411" s="1"/>
      <c r="BT411" s="1"/>
      <c r="BU411" s="1"/>
    </row>
    <row r="412">
      <c r="A412" s="1"/>
      <c r="B412" s="27" t="s">
        <v>682</v>
      </c>
      <c r="C412" s="11" t="s">
        <v>695</v>
      </c>
      <c r="D412" s="20" t="s">
        <v>696</v>
      </c>
      <c r="E412" s="23">
        <v>370000.0</v>
      </c>
      <c r="F412" s="35" t="b">
        <v>1</v>
      </c>
      <c r="G412" s="23">
        <v>80000.0</v>
      </c>
      <c r="H412" s="15" t="b">
        <v>1</v>
      </c>
      <c r="I412" s="20" t="s">
        <v>696</v>
      </c>
      <c r="J412" s="23">
        <v>370000.0</v>
      </c>
      <c r="K412" s="35" t="b">
        <v>1</v>
      </c>
      <c r="L412" s="23">
        <v>80000.0</v>
      </c>
      <c r="M412" s="15" t="b">
        <v>1</v>
      </c>
      <c r="N412" s="20" t="s">
        <v>696</v>
      </c>
      <c r="O412" s="23">
        <v>380000.0</v>
      </c>
      <c r="P412" s="35" t="b">
        <v>1</v>
      </c>
      <c r="Q412" s="23">
        <v>80000.0</v>
      </c>
      <c r="R412" s="15" t="b">
        <v>1</v>
      </c>
      <c r="S412" s="20" t="s">
        <v>696</v>
      </c>
      <c r="T412" s="23">
        <v>380000.0</v>
      </c>
      <c r="U412" s="35" t="b">
        <v>1</v>
      </c>
      <c r="V412" s="23">
        <v>80000.0</v>
      </c>
      <c r="W412" s="15" t="b">
        <v>1</v>
      </c>
      <c r="X412" s="20" t="s">
        <v>696</v>
      </c>
      <c r="Y412" s="23">
        <v>380000.0</v>
      </c>
      <c r="Z412" s="35" t="b">
        <v>1</v>
      </c>
      <c r="AA412" s="23">
        <v>80000.0</v>
      </c>
      <c r="AB412" s="15" t="b">
        <v>1</v>
      </c>
      <c r="AC412" s="20" t="s">
        <v>696</v>
      </c>
      <c r="AD412" s="23">
        <v>380000.0</v>
      </c>
      <c r="AE412" s="35" t="b">
        <v>1</v>
      </c>
      <c r="AF412" s="23">
        <v>80000.0</v>
      </c>
      <c r="AG412" s="15" t="b">
        <v>1</v>
      </c>
      <c r="AH412" s="20" t="s">
        <v>696</v>
      </c>
      <c r="AI412" s="23">
        <v>380000.0</v>
      </c>
      <c r="AJ412" s="35" t="b">
        <v>1</v>
      </c>
      <c r="AK412" s="23">
        <v>80000.0</v>
      </c>
      <c r="AL412" s="15" t="b">
        <v>1</v>
      </c>
      <c r="AM412" s="20" t="s">
        <v>696</v>
      </c>
      <c r="AN412" s="23">
        <v>380000.0</v>
      </c>
      <c r="AO412" s="35" t="b">
        <v>1</v>
      </c>
      <c r="AP412" s="23">
        <v>80000.0</v>
      </c>
      <c r="AQ412" s="15" t="b">
        <v>1</v>
      </c>
      <c r="AR412" s="20" t="s">
        <v>696</v>
      </c>
      <c r="AS412" s="23">
        <v>380000.0</v>
      </c>
      <c r="AT412" s="35" t="b">
        <v>1</v>
      </c>
      <c r="AU412" s="23">
        <v>80000.0</v>
      </c>
      <c r="AV412" s="15" t="b">
        <v>1</v>
      </c>
      <c r="AW412" s="20" t="s">
        <v>696</v>
      </c>
      <c r="AX412" s="23">
        <v>380000.0</v>
      </c>
      <c r="AY412" s="35" t="b">
        <v>1</v>
      </c>
      <c r="AZ412" s="23">
        <v>80000.0</v>
      </c>
      <c r="BA412" s="15" t="b">
        <v>1</v>
      </c>
      <c r="BB412" s="20" t="s">
        <v>696</v>
      </c>
      <c r="BC412" s="23">
        <v>380000.0</v>
      </c>
      <c r="BD412" s="35" t="b">
        <v>1</v>
      </c>
      <c r="BE412" s="23">
        <v>80000.0</v>
      </c>
      <c r="BF412" s="15" t="b">
        <v>1</v>
      </c>
      <c r="BG412" s="20" t="s">
        <v>696</v>
      </c>
      <c r="BH412" s="23">
        <v>380000.0</v>
      </c>
      <c r="BI412" s="35" t="b">
        <v>1</v>
      </c>
      <c r="BJ412" s="23">
        <v>80000.0</v>
      </c>
      <c r="BK412" s="15" t="b">
        <v>1</v>
      </c>
      <c r="BL412" s="20" t="s">
        <v>696</v>
      </c>
      <c r="BM412" s="23">
        <v>380000.0</v>
      </c>
      <c r="BN412" s="35" t="b">
        <v>0</v>
      </c>
      <c r="BO412" s="23">
        <v>80000.0</v>
      </c>
      <c r="BP412" s="15" t="b">
        <v>0</v>
      </c>
      <c r="BQ412" s="17" t="s">
        <v>33</v>
      </c>
      <c r="BR412" s="1"/>
      <c r="BS412" s="1"/>
      <c r="BT412" s="1"/>
      <c r="BU412" s="1"/>
    </row>
    <row r="413">
      <c r="A413" s="1"/>
      <c r="B413" s="21"/>
      <c r="C413" s="11" t="s">
        <v>42</v>
      </c>
      <c r="D413" s="22"/>
      <c r="E413" s="23">
        <f>SUM(E409:E412)</f>
        <v>1800000</v>
      </c>
      <c r="F413" s="18"/>
      <c r="G413" s="23">
        <f>SUM(G409:G412)</f>
        <v>320000</v>
      </c>
      <c r="H413" s="19"/>
      <c r="I413" s="22"/>
      <c r="J413" s="23">
        <f>SUM(J409:J412)</f>
        <v>1800000</v>
      </c>
      <c r="K413" s="18"/>
      <c r="L413" s="23">
        <f>SUM(L409:L412)</f>
        <v>320000</v>
      </c>
      <c r="M413" s="19"/>
      <c r="N413" s="22"/>
      <c r="O413" s="23">
        <f>SUM(O409:O412)</f>
        <v>1810000</v>
      </c>
      <c r="P413" s="18"/>
      <c r="Q413" s="23">
        <f>SUM(Q409:Q412)</f>
        <v>320000</v>
      </c>
      <c r="R413" s="19"/>
      <c r="S413" s="22"/>
      <c r="T413" s="23">
        <f>SUM(T409:T412)</f>
        <v>1810000</v>
      </c>
      <c r="U413" s="18"/>
      <c r="V413" s="23">
        <f>SUM(V409:V412)</f>
        <v>320000</v>
      </c>
      <c r="W413" s="19"/>
      <c r="X413" s="18"/>
      <c r="Y413" s="23">
        <f>SUM(Y409:Y412)</f>
        <v>1810000</v>
      </c>
      <c r="Z413" s="18"/>
      <c r="AA413" s="23">
        <f>SUM(AA409:AA412)</f>
        <v>320000</v>
      </c>
      <c r="AB413" s="19"/>
      <c r="AC413" s="18"/>
      <c r="AD413" s="23">
        <f>SUM(AD409:AD412)</f>
        <v>1810000</v>
      </c>
      <c r="AE413" s="18"/>
      <c r="AF413" s="23">
        <f>SUM(AF409:AF412)</f>
        <v>320000</v>
      </c>
      <c r="AG413" s="19"/>
      <c r="AH413" s="18"/>
      <c r="AI413" s="23">
        <f>SUM(AI409:AI412)</f>
        <v>1810000</v>
      </c>
      <c r="AJ413" s="18"/>
      <c r="AK413" s="23">
        <f>SUM(AK409:AK412)</f>
        <v>320000</v>
      </c>
      <c r="AL413" s="19"/>
      <c r="AM413" s="18"/>
      <c r="AN413" s="23">
        <f>SUM(AN409:AN412)</f>
        <v>1882258</v>
      </c>
      <c r="AO413" s="18"/>
      <c r="AP413" s="23">
        <f>SUM(AP409:AP412)</f>
        <v>330323</v>
      </c>
      <c r="AQ413" s="19"/>
      <c r="AR413" s="22"/>
      <c r="AS413" s="23">
        <f>SUM(AS409:AS412)</f>
        <v>2400000</v>
      </c>
      <c r="AT413" s="18"/>
      <c r="AU413" s="23">
        <f>SUM(AU409:AU412)</f>
        <v>400000</v>
      </c>
      <c r="AV413" s="19"/>
      <c r="AW413" s="22"/>
      <c r="AX413" s="23">
        <f>SUM(AX409:AX412)</f>
        <v>2400000</v>
      </c>
      <c r="AY413" s="18"/>
      <c r="AZ413" s="23">
        <f>SUM(AZ409:AZ412)</f>
        <v>400000</v>
      </c>
      <c r="BA413" s="19"/>
      <c r="BB413" s="22"/>
      <c r="BC413" s="23">
        <f>SUM(BC409:BC412)</f>
        <v>1860000</v>
      </c>
      <c r="BD413" s="18"/>
      <c r="BE413" s="23">
        <f>SUM(BE409:BE412)</f>
        <v>320000</v>
      </c>
      <c r="BF413" s="19"/>
      <c r="BG413" s="22"/>
      <c r="BH413" s="23">
        <f>SUM(BH409:BH412)</f>
        <v>1860000</v>
      </c>
      <c r="BI413" s="18"/>
      <c r="BJ413" s="23">
        <f>SUM(BJ409:BJ412)</f>
        <v>320000</v>
      </c>
      <c r="BK413" s="19"/>
      <c r="BL413" s="22"/>
      <c r="BM413" s="23">
        <f>SUM(BM409:BM412)</f>
        <v>1860000</v>
      </c>
      <c r="BN413" s="18"/>
      <c r="BO413" s="23">
        <f>SUM(BO409:BO412)</f>
        <v>320000</v>
      </c>
      <c r="BP413" s="19"/>
      <c r="BQ413" s="17" t="s">
        <v>33</v>
      </c>
      <c r="BR413" s="1"/>
      <c r="BS413" s="1"/>
      <c r="BT413" s="1"/>
      <c r="BU413" s="1"/>
    </row>
    <row r="414">
      <c r="A414" s="1"/>
      <c r="B414" s="21"/>
      <c r="C414" s="11" t="s">
        <v>43</v>
      </c>
      <c r="D414" s="22"/>
      <c r="E414" s="23">
        <v>800000.0</v>
      </c>
      <c r="F414" s="18"/>
      <c r="G414" s="18"/>
      <c r="H414" s="19"/>
      <c r="I414" s="22"/>
      <c r="J414" s="23">
        <v>800000.0</v>
      </c>
      <c r="K414" s="18"/>
      <c r="L414" s="18"/>
      <c r="M414" s="19"/>
      <c r="N414" s="22"/>
      <c r="O414" s="23">
        <v>800000.0</v>
      </c>
      <c r="P414" s="18"/>
      <c r="Q414" s="18"/>
      <c r="R414" s="19"/>
      <c r="S414" s="22"/>
      <c r="T414" s="23">
        <v>800000.0</v>
      </c>
      <c r="U414" s="18"/>
      <c r="V414" s="18"/>
      <c r="W414" s="19"/>
      <c r="X414" s="18"/>
      <c r="Y414" s="23">
        <v>1000000.0</v>
      </c>
      <c r="Z414" s="18"/>
      <c r="AA414" s="18"/>
      <c r="AB414" s="19"/>
      <c r="AC414" s="18"/>
      <c r="AD414" s="23">
        <v>1000000.0</v>
      </c>
      <c r="AE414" s="18"/>
      <c r="AF414" s="18"/>
      <c r="AG414" s="19"/>
      <c r="AH414" s="18"/>
      <c r="AI414" s="23">
        <v>1000000.0</v>
      </c>
      <c r="AJ414" s="18"/>
      <c r="AK414" s="18"/>
      <c r="AL414" s="19"/>
      <c r="AM414" s="18"/>
      <c r="AN414" s="23">
        <v>1000000.0</v>
      </c>
      <c r="AO414" s="18"/>
      <c r="AP414" s="18"/>
      <c r="AQ414" s="19"/>
      <c r="AR414" s="22"/>
      <c r="AS414" s="23">
        <v>1000000.0</v>
      </c>
      <c r="AT414" s="18"/>
      <c r="AU414" s="18"/>
      <c r="AV414" s="19"/>
      <c r="AW414" s="22"/>
      <c r="AX414" s="23">
        <v>1000000.0</v>
      </c>
      <c r="AY414" s="18"/>
      <c r="AZ414" s="18"/>
      <c r="BA414" s="19"/>
      <c r="BB414" s="22"/>
      <c r="BC414" s="23">
        <v>1000000.0</v>
      </c>
      <c r="BD414" s="18"/>
      <c r="BE414" s="18"/>
      <c r="BF414" s="19"/>
      <c r="BG414" s="22"/>
      <c r="BH414" s="23">
        <v>1000000.0</v>
      </c>
      <c r="BI414" s="18"/>
      <c r="BJ414" s="18"/>
      <c r="BK414" s="19"/>
      <c r="BL414" s="22"/>
      <c r="BM414" s="23">
        <v>1000000.0</v>
      </c>
      <c r="BN414" s="18"/>
      <c r="BO414" s="18"/>
      <c r="BP414" s="19"/>
      <c r="BQ414" s="17" t="s">
        <v>33</v>
      </c>
      <c r="BR414" s="1"/>
      <c r="BS414" s="1"/>
      <c r="BT414" s="1"/>
      <c r="BU414" s="1"/>
    </row>
    <row r="415">
      <c r="A415" s="1"/>
      <c r="B415" s="21"/>
      <c r="C415" s="11" t="s">
        <v>45</v>
      </c>
      <c r="D415" s="22"/>
      <c r="E415" s="18"/>
      <c r="F415" s="18"/>
      <c r="G415" s="23" t="s">
        <v>677</v>
      </c>
      <c r="H415" s="19"/>
      <c r="I415" s="22"/>
      <c r="J415" s="18"/>
      <c r="K415" s="18"/>
      <c r="L415" s="23" t="s">
        <v>677</v>
      </c>
      <c r="M415" s="93" t="s">
        <v>677</v>
      </c>
      <c r="N415" s="23" t="s">
        <v>677</v>
      </c>
      <c r="O415" s="23" t="s">
        <v>677</v>
      </c>
      <c r="P415" s="23" t="s">
        <v>677</v>
      </c>
      <c r="Q415" s="23" t="s">
        <v>677</v>
      </c>
      <c r="R415" s="93" t="s">
        <v>677</v>
      </c>
      <c r="S415" s="23" t="s">
        <v>677</v>
      </c>
      <c r="T415" s="23" t="s">
        <v>677</v>
      </c>
      <c r="U415" s="23" t="s">
        <v>677</v>
      </c>
      <c r="V415" s="23" t="s">
        <v>677</v>
      </c>
      <c r="W415" s="93" t="s">
        <v>677</v>
      </c>
      <c r="X415" s="23" t="s">
        <v>677</v>
      </c>
      <c r="Y415" s="23" t="s">
        <v>677</v>
      </c>
      <c r="Z415" s="23" t="s">
        <v>677</v>
      </c>
      <c r="AA415" s="23" t="s">
        <v>677</v>
      </c>
      <c r="AB415" s="93" t="s">
        <v>677</v>
      </c>
      <c r="AC415" s="23" t="s">
        <v>677</v>
      </c>
      <c r="AD415" s="23" t="s">
        <v>677</v>
      </c>
      <c r="AE415" s="23" t="s">
        <v>677</v>
      </c>
      <c r="AF415" s="23" t="s">
        <v>677</v>
      </c>
      <c r="AG415" s="93" t="s">
        <v>677</v>
      </c>
      <c r="AH415" s="23" t="s">
        <v>677</v>
      </c>
      <c r="AI415" s="23" t="s">
        <v>677</v>
      </c>
      <c r="AJ415" s="23" t="s">
        <v>677</v>
      </c>
      <c r="AK415" s="23" t="s">
        <v>677</v>
      </c>
      <c r="AL415" s="93" t="s">
        <v>677</v>
      </c>
      <c r="AM415" s="23" t="s">
        <v>677</v>
      </c>
      <c r="AN415" s="23" t="s">
        <v>677</v>
      </c>
      <c r="AO415" s="23" t="s">
        <v>677</v>
      </c>
      <c r="AP415" s="23" t="s">
        <v>677</v>
      </c>
      <c r="AQ415" s="93" t="s">
        <v>677</v>
      </c>
      <c r="AR415" s="23" t="s">
        <v>677</v>
      </c>
      <c r="AS415" s="23" t="s">
        <v>677</v>
      </c>
      <c r="AT415" s="23" t="s">
        <v>677</v>
      </c>
      <c r="AU415" s="23" t="s">
        <v>677</v>
      </c>
      <c r="AV415" s="93" t="s">
        <v>677</v>
      </c>
      <c r="AW415" s="23" t="s">
        <v>677</v>
      </c>
      <c r="AX415" s="23" t="s">
        <v>677</v>
      </c>
      <c r="AY415" s="23" t="s">
        <v>677</v>
      </c>
      <c r="AZ415" s="23" t="s">
        <v>677</v>
      </c>
      <c r="BA415" s="93" t="s">
        <v>677</v>
      </c>
      <c r="BB415" s="23" t="s">
        <v>677</v>
      </c>
      <c r="BC415" s="23" t="s">
        <v>677</v>
      </c>
      <c r="BD415" s="23" t="s">
        <v>677</v>
      </c>
      <c r="BE415" s="23" t="s">
        <v>677</v>
      </c>
      <c r="BF415" s="93" t="s">
        <v>677</v>
      </c>
      <c r="BG415" s="23" t="s">
        <v>677</v>
      </c>
      <c r="BH415" s="23" t="s">
        <v>677</v>
      </c>
      <c r="BI415" s="23" t="s">
        <v>677</v>
      </c>
      <c r="BJ415" s="23" t="s">
        <v>677</v>
      </c>
      <c r="BK415" s="19"/>
      <c r="BL415" s="23" t="s">
        <v>677</v>
      </c>
      <c r="BM415" s="23" t="s">
        <v>677</v>
      </c>
      <c r="BN415" s="23" t="s">
        <v>677</v>
      </c>
      <c r="BO415" s="23" t="s">
        <v>677</v>
      </c>
      <c r="BP415" s="19"/>
      <c r="BQ415" s="17" t="s">
        <v>33</v>
      </c>
      <c r="BR415" s="1"/>
      <c r="BS415" s="1"/>
      <c r="BT415" s="1"/>
      <c r="BU415" s="1"/>
    </row>
    <row r="416">
      <c r="A416" s="56" t="s">
        <v>678</v>
      </c>
      <c r="B416" s="10" t="s">
        <v>697</v>
      </c>
      <c r="C416" s="11" t="s">
        <v>47</v>
      </c>
      <c r="D416" s="22"/>
      <c r="E416" s="18"/>
      <c r="F416" s="18"/>
      <c r="G416" s="23">
        <v>27750.0</v>
      </c>
      <c r="H416" s="19"/>
      <c r="I416" s="22"/>
      <c r="J416" s="18"/>
      <c r="K416" s="18"/>
      <c r="L416" s="23">
        <v>23490.0</v>
      </c>
      <c r="M416" s="24"/>
      <c r="N416" s="18"/>
      <c r="O416" s="18"/>
      <c r="P416" s="18"/>
      <c r="Q416" s="23">
        <v>20130.0</v>
      </c>
      <c r="R416" s="24"/>
      <c r="S416" s="18"/>
      <c r="T416" s="18"/>
      <c r="U416" s="18"/>
      <c r="V416" s="23">
        <v>22720.0</v>
      </c>
      <c r="W416" s="24"/>
      <c r="X416" s="18"/>
      <c r="Y416" s="18"/>
      <c r="Z416" s="18"/>
      <c r="AA416" s="23">
        <v>21500.0</v>
      </c>
      <c r="AB416" s="24"/>
      <c r="AC416" s="18"/>
      <c r="AD416" s="18"/>
      <c r="AE416" s="18"/>
      <c r="AF416" s="23">
        <v>29730.0</v>
      </c>
      <c r="AG416" s="24"/>
      <c r="AH416" s="18"/>
      <c r="AI416" s="18"/>
      <c r="AJ416" s="18"/>
      <c r="AK416" s="23">
        <v>73800.0</v>
      </c>
      <c r="AL416" s="24"/>
      <c r="AM416" s="18"/>
      <c r="AN416" s="18"/>
      <c r="AO416" s="18"/>
      <c r="AP416" s="23">
        <v>59990.0</v>
      </c>
      <c r="AQ416" s="24"/>
      <c r="AR416" s="18"/>
      <c r="AS416" s="18"/>
      <c r="AT416" s="18"/>
      <c r="AU416" s="23">
        <v>116230.0</v>
      </c>
      <c r="AV416" s="24"/>
      <c r="AW416" s="18"/>
      <c r="AX416" s="18"/>
      <c r="AY416" s="18"/>
      <c r="AZ416" s="23">
        <v>72500.0</v>
      </c>
      <c r="BA416" s="24"/>
      <c r="BB416" s="18"/>
      <c r="BC416" s="18"/>
      <c r="BD416" s="18"/>
      <c r="BE416" s="23">
        <v>27720.0</v>
      </c>
      <c r="BF416" s="24"/>
      <c r="BG416" s="18"/>
      <c r="BH416" s="18"/>
      <c r="BI416" s="18"/>
      <c r="BJ416" s="23">
        <v>21960.0</v>
      </c>
      <c r="BK416" s="19"/>
      <c r="BL416" s="18"/>
      <c r="BM416" s="18"/>
      <c r="BN416" s="18"/>
      <c r="BO416" s="18"/>
      <c r="BP416" s="19"/>
      <c r="BQ416" s="17" t="s">
        <v>33</v>
      </c>
      <c r="BR416" s="1"/>
      <c r="BS416" s="1"/>
      <c r="BT416" s="1"/>
      <c r="BU416" s="1"/>
    </row>
    <row r="417">
      <c r="A417" s="56" t="s">
        <v>678</v>
      </c>
      <c r="B417" s="94" t="s">
        <v>698</v>
      </c>
      <c r="C417" s="11" t="s">
        <v>49</v>
      </c>
      <c r="D417" s="22"/>
      <c r="E417" s="18"/>
      <c r="F417" s="18"/>
      <c r="G417" s="23">
        <v>238290.0</v>
      </c>
      <c r="H417" s="19"/>
      <c r="I417" s="22"/>
      <c r="J417" s="18"/>
      <c r="K417" s="18"/>
      <c r="L417" s="23">
        <v>263100.0</v>
      </c>
      <c r="M417" s="24"/>
      <c r="N417" s="18"/>
      <c r="O417" s="18"/>
      <c r="P417" s="18"/>
      <c r="Q417" s="23">
        <v>146220.0</v>
      </c>
      <c r="R417" s="24"/>
      <c r="S417" s="18"/>
      <c r="T417" s="18"/>
      <c r="U417" s="18"/>
      <c r="V417" s="23">
        <v>85550.0</v>
      </c>
      <c r="W417" s="24"/>
      <c r="X417" s="18"/>
      <c r="Y417" s="18"/>
      <c r="Z417" s="18"/>
      <c r="AA417" s="23">
        <v>56840.0</v>
      </c>
      <c r="AB417" s="24"/>
      <c r="AC417" s="18"/>
      <c r="AD417" s="18"/>
      <c r="AE417" s="18"/>
      <c r="AF417" s="23">
        <v>36330.0</v>
      </c>
      <c r="AG417" s="24"/>
      <c r="AH417" s="18"/>
      <c r="AI417" s="18"/>
      <c r="AJ417" s="18"/>
      <c r="AK417" s="23">
        <v>31730.0</v>
      </c>
      <c r="AL417" s="24"/>
      <c r="AM417" s="18"/>
      <c r="AN417" s="18"/>
      <c r="AO417" s="18"/>
      <c r="AP417" s="23">
        <v>21910.0</v>
      </c>
      <c r="AQ417" s="24"/>
      <c r="AR417" s="18"/>
      <c r="AS417" s="18"/>
      <c r="AT417" s="18"/>
      <c r="AU417" s="23">
        <v>15980.0</v>
      </c>
      <c r="AV417" s="24"/>
      <c r="AW417" s="18"/>
      <c r="AX417" s="18"/>
      <c r="AY417" s="18"/>
      <c r="AZ417" s="23">
        <v>53580.0</v>
      </c>
      <c r="BA417" s="24"/>
      <c r="BB417" s="18"/>
      <c r="BC417" s="18"/>
      <c r="BD417" s="18"/>
      <c r="BE417" s="23">
        <v>142100.0</v>
      </c>
      <c r="BF417" s="24"/>
      <c r="BG417" s="18"/>
      <c r="BH417" s="18"/>
      <c r="BI417" s="18"/>
      <c r="BJ417" s="25">
        <v>245820.0</v>
      </c>
      <c r="BK417" s="19"/>
      <c r="BL417" s="18"/>
      <c r="BM417" s="18"/>
      <c r="BN417" s="18"/>
      <c r="BO417" s="18"/>
      <c r="BP417" s="19"/>
      <c r="BQ417" s="17" t="s">
        <v>33</v>
      </c>
      <c r="BR417" s="1"/>
      <c r="BS417" s="1"/>
      <c r="BT417" s="1"/>
      <c r="BU417" s="1"/>
    </row>
    <row r="418">
      <c r="A418" s="56" t="s">
        <v>678</v>
      </c>
      <c r="B418" s="10" t="s">
        <v>680</v>
      </c>
      <c r="C418" s="11" t="s">
        <v>51</v>
      </c>
      <c r="D418" s="22"/>
      <c r="E418" s="18"/>
      <c r="F418" s="18"/>
      <c r="G418" s="18"/>
      <c r="H418" s="19"/>
      <c r="I418" s="22"/>
      <c r="J418" s="18"/>
      <c r="K418" s="18"/>
      <c r="L418" s="18"/>
      <c r="M418" s="24"/>
      <c r="N418" s="18"/>
      <c r="O418" s="18"/>
      <c r="P418" s="18"/>
      <c r="Q418" s="18"/>
      <c r="R418" s="24"/>
      <c r="S418" s="18"/>
      <c r="T418" s="18"/>
      <c r="U418" s="18"/>
      <c r="V418" s="18"/>
      <c r="W418" s="24"/>
      <c r="X418" s="18"/>
      <c r="Y418" s="18"/>
      <c r="Z418" s="18"/>
      <c r="AA418" s="18"/>
      <c r="AB418" s="24"/>
      <c r="AC418" s="18"/>
      <c r="AD418" s="18"/>
      <c r="AE418" s="18"/>
      <c r="AF418" s="18"/>
      <c r="AG418" s="24"/>
      <c r="AH418" s="18"/>
      <c r="AI418" s="18"/>
      <c r="AJ418" s="18"/>
      <c r="AK418" s="18"/>
      <c r="AL418" s="24"/>
      <c r="AM418" s="18"/>
      <c r="AN418" s="18"/>
      <c r="AO418" s="18"/>
      <c r="AP418" s="23">
        <v>30000.0</v>
      </c>
      <c r="AQ418" s="24"/>
      <c r="AR418" s="18"/>
      <c r="AS418" s="18"/>
      <c r="AT418" s="18"/>
      <c r="AU418" s="23">
        <v>30000.0</v>
      </c>
      <c r="AV418" s="24"/>
      <c r="AW418" s="18"/>
      <c r="AX418" s="18"/>
      <c r="AY418" s="18"/>
      <c r="AZ418" s="23">
        <v>30000.0</v>
      </c>
      <c r="BA418" s="24"/>
      <c r="BB418" s="18"/>
      <c r="BC418" s="18"/>
      <c r="BD418" s="18"/>
      <c r="BE418" s="23">
        <v>30000.0</v>
      </c>
      <c r="BF418" s="24"/>
      <c r="BG418" s="18"/>
      <c r="BH418" s="18"/>
      <c r="BI418" s="18"/>
      <c r="BJ418" s="23">
        <v>30000.0</v>
      </c>
      <c r="BK418" s="19"/>
      <c r="BL418" s="18"/>
      <c r="BM418" s="18"/>
      <c r="BN418" s="18"/>
      <c r="BO418" s="23">
        <v>30000.0</v>
      </c>
      <c r="BP418" s="19"/>
      <c r="BQ418" s="17" t="s">
        <v>33</v>
      </c>
      <c r="BR418" s="1"/>
      <c r="BS418" s="1"/>
      <c r="BT418" s="1"/>
      <c r="BU418" s="1"/>
    </row>
    <row r="419">
      <c r="A419" s="56" t="s">
        <v>681</v>
      </c>
      <c r="B419" s="21"/>
      <c r="C419" s="11" t="s">
        <v>52</v>
      </c>
      <c r="D419" s="22"/>
      <c r="E419" s="18"/>
      <c r="F419" s="18"/>
      <c r="G419" s="23">
        <v>22000.0</v>
      </c>
      <c r="H419" s="19"/>
      <c r="I419" s="22"/>
      <c r="J419" s="18"/>
      <c r="K419" s="18"/>
      <c r="L419" s="23">
        <v>22000.0</v>
      </c>
      <c r="M419" s="19"/>
      <c r="N419" s="22"/>
      <c r="O419" s="18"/>
      <c r="P419" s="18"/>
      <c r="Q419" s="23">
        <v>22000.0</v>
      </c>
      <c r="R419" s="19"/>
      <c r="S419" s="22"/>
      <c r="T419" s="18"/>
      <c r="U419" s="18"/>
      <c r="V419" s="23">
        <v>22000.0</v>
      </c>
      <c r="W419" s="19"/>
      <c r="X419" s="22"/>
      <c r="Y419" s="18"/>
      <c r="Z419" s="18"/>
      <c r="AA419" s="23">
        <v>22000.0</v>
      </c>
      <c r="AB419" s="19"/>
      <c r="AC419" s="22"/>
      <c r="AD419" s="18"/>
      <c r="AE419" s="18"/>
      <c r="AF419" s="23">
        <v>22000.0</v>
      </c>
      <c r="AG419" s="19"/>
      <c r="AH419" s="22"/>
      <c r="AI419" s="18"/>
      <c r="AJ419" s="18"/>
      <c r="AK419" s="23">
        <v>22000.0</v>
      </c>
      <c r="AL419" s="19"/>
      <c r="AM419" s="22"/>
      <c r="AN419" s="18"/>
      <c r="AO419" s="18"/>
      <c r="AP419" s="23">
        <v>22000.0</v>
      </c>
      <c r="AQ419" s="19"/>
      <c r="AR419" s="22"/>
      <c r="AS419" s="18"/>
      <c r="AT419" s="18"/>
      <c r="AU419" s="23">
        <v>22000.0</v>
      </c>
      <c r="AV419" s="19"/>
      <c r="AW419" s="22"/>
      <c r="AX419" s="18"/>
      <c r="AY419" s="18"/>
      <c r="AZ419" s="23">
        <v>22000.0</v>
      </c>
      <c r="BA419" s="19"/>
      <c r="BB419" s="22"/>
      <c r="BC419" s="18"/>
      <c r="BD419" s="18"/>
      <c r="BE419" s="23">
        <v>22000.0</v>
      </c>
      <c r="BF419" s="19"/>
      <c r="BG419" s="22"/>
      <c r="BH419" s="18"/>
      <c r="BI419" s="18"/>
      <c r="BJ419" s="23">
        <v>22000.0</v>
      </c>
      <c r="BK419" s="19"/>
      <c r="BL419" s="22"/>
      <c r="BM419" s="18"/>
      <c r="BN419" s="18"/>
      <c r="BO419" s="23">
        <v>22000.0</v>
      </c>
      <c r="BP419" s="19"/>
      <c r="BQ419" s="17" t="s">
        <v>33</v>
      </c>
      <c r="BR419" s="1"/>
      <c r="BS419" s="1"/>
      <c r="BT419" s="1"/>
      <c r="BU419" s="1"/>
    </row>
    <row r="420">
      <c r="A420" s="56" t="s">
        <v>681</v>
      </c>
      <c r="B420" s="21"/>
      <c r="C420" s="11" t="s">
        <v>53</v>
      </c>
      <c r="D420" s="22"/>
      <c r="E420" s="18"/>
      <c r="F420" s="18"/>
      <c r="G420" s="23">
        <v>11000.0</v>
      </c>
      <c r="H420" s="19"/>
      <c r="I420" s="22"/>
      <c r="J420" s="18"/>
      <c r="K420" s="18"/>
      <c r="L420" s="23">
        <v>11000.0</v>
      </c>
      <c r="M420" s="19"/>
      <c r="N420" s="22"/>
      <c r="O420" s="18"/>
      <c r="P420" s="18"/>
      <c r="Q420" s="23">
        <v>11000.0</v>
      </c>
      <c r="R420" s="19"/>
      <c r="S420" s="22"/>
      <c r="T420" s="18"/>
      <c r="U420" s="18"/>
      <c r="V420" s="23">
        <v>11000.0</v>
      </c>
      <c r="W420" s="19"/>
      <c r="X420" s="22"/>
      <c r="Y420" s="18"/>
      <c r="Z420" s="18"/>
      <c r="AA420" s="23">
        <v>11000.0</v>
      </c>
      <c r="AB420" s="19"/>
      <c r="AC420" s="22"/>
      <c r="AD420" s="18"/>
      <c r="AE420" s="18"/>
      <c r="AF420" s="23">
        <v>11000.0</v>
      </c>
      <c r="AG420" s="19"/>
      <c r="AH420" s="22"/>
      <c r="AI420" s="18"/>
      <c r="AJ420" s="18"/>
      <c r="AK420" s="23">
        <v>11000.0</v>
      </c>
      <c r="AL420" s="19"/>
      <c r="AM420" s="22"/>
      <c r="AN420" s="18"/>
      <c r="AO420" s="18"/>
      <c r="AP420" s="23">
        <v>11000.0</v>
      </c>
      <c r="AQ420" s="19"/>
      <c r="AR420" s="22"/>
      <c r="AS420" s="18"/>
      <c r="AT420" s="18"/>
      <c r="AU420" s="23">
        <v>11000.0</v>
      </c>
      <c r="AV420" s="19"/>
      <c r="AW420" s="22"/>
      <c r="AX420" s="18"/>
      <c r="AY420" s="18"/>
      <c r="AZ420" s="23">
        <v>11000.0</v>
      </c>
      <c r="BA420" s="19"/>
      <c r="BB420" s="22"/>
      <c r="BC420" s="18"/>
      <c r="BD420" s="18"/>
      <c r="BE420" s="23">
        <v>11000.0</v>
      </c>
      <c r="BF420" s="19"/>
      <c r="BG420" s="22"/>
      <c r="BH420" s="18"/>
      <c r="BI420" s="18"/>
      <c r="BJ420" s="23">
        <v>11000.0</v>
      </c>
      <c r="BK420" s="19"/>
      <c r="BL420" s="22"/>
      <c r="BM420" s="18"/>
      <c r="BN420" s="18"/>
      <c r="BO420" s="23">
        <v>11000.0</v>
      </c>
      <c r="BP420" s="19"/>
      <c r="BQ420" s="17" t="s">
        <v>33</v>
      </c>
      <c r="BR420" s="1"/>
      <c r="BS420" s="1"/>
      <c r="BT420" s="1"/>
      <c r="BU420" s="1"/>
    </row>
    <row r="421">
      <c r="A421" s="1"/>
      <c r="B421" s="21"/>
      <c r="C421" s="11" t="s">
        <v>54</v>
      </c>
      <c r="D421" s="22"/>
      <c r="E421" s="18"/>
      <c r="F421" s="18"/>
      <c r="G421" s="23">
        <f>SUMIFS('지출'!$G$3:$G1000,'지출'!$J$3:$J1000,G$1,'지출'!$C$3:$C1000,"루프")</f>
        <v>62250</v>
      </c>
      <c r="H421" s="19"/>
      <c r="I421" s="22"/>
      <c r="J421" s="18"/>
      <c r="K421" s="18"/>
      <c r="L421" s="23">
        <f>SUMIFS('지출'!$G$3:$G1000,'지출'!$J$3:$J1000,L$1,'지출'!$C$3:$C1000,"루프")</f>
        <v>42000</v>
      </c>
      <c r="M421" s="93">
        <f>SUMIFS('지출'!$G$3:$G1000,'지출'!$J$3:$J1000,M$1,'지출'!$C$3:$C1000,"루프")</f>
        <v>0</v>
      </c>
      <c r="N421" s="23">
        <f>SUMIFS('지출'!$G$3:$G1000,'지출'!$J$3:$J1000,N$1,'지출'!$C$3:$C1000,"루프")</f>
        <v>0</v>
      </c>
      <c r="O421" s="23">
        <f>SUMIFS('지출'!$G$3:$G1000,'지출'!$J$3:$J1000,O$1,'지출'!$C$3:$C1000,"루프")</f>
        <v>0</v>
      </c>
      <c r="P421" s="23">
        <f>SUMIFS('지출'!$G$3:$G1000,'지출'!$J$3:$J1000,P$1,'지출'!$C$3:$C1000,"루프")</f>
        <v>0</v>
      </c>
      <c r="Q421" s="23">
        <f>SUMIFS('지출'!$G$3:$G1000,'지출'!$J$3:$J1000,Q$1,'지출'!$C$3:$C1000,"루프")</f>
        <v>0</v>
      </c>
      <c r="R421" s="93">
        <f>SUMIFS('지출'!$G$3:$G1000,'지출'!$J$3:$J1000,R$1,'지출'!$C$3:$C1000,"루프")</f>
        <v>0</v>
      </c>
      <c r="S421" s="23">
        <f>SUMIFS('지출'!$G$3:$G1000,'지출'!$J$3:$J1000,S$1,'지출'!$C$3:$C1000,"루프")</f>
        <v>0</v>
      </c>
      <c r="T421" s="23">
        <f>SUMIFS('지출'!$G$3:$G1000,'지출'!$J$3:$J1000,T$1,'지출'!$C$3:$C1000,"루프")</f>
        <v>0</v>
      </c>
      <c r="U421" s="23">
        <f>SUMIFS('지출'!$G$3:$G1000,'지출'!$J$3:$J1000,U$1,'지출'!$C$3:$C1000,"루프")</f>
        <v>0</v>
      </c>
      <c r="V421" s="23">
        <f>SUMIFS('지출'!$G$3:$G1000,'지출'!$J$3:$J1000,V$1,'지출'!$C$3:$C1000,"루프")</f>
        <v>0</v>
      </c>
      <c r="W421" s="93">
        <f>SUMIFS('지출'!$G$3:$G1000,'지출'!$J$3:$J1000,W$1,'지출'!$C$3:$C1000,"루프")</f>
        <v>0</v>
      </c>
      <c r="X421" s="23">
        <f>SUMIFS('지출'!$G$3:$G1000,'지출'!$J$3:$J1000,X$1,'지출'!$C$3:$C1000,"루프")</f>
        <v>0</v>
      </c>
      <c r="Y421" s="23">
        <f>SUMIFS('지출'!$G$3:$G1000,'지출'!$J$3:$J1000,Y$1,'지출'!$C$3:$C1000,"루프")</f>
        <v>0</v>
      </c>
      <c r="Z421" s="23">
        <f>SUMIFS('지출'!$G$3:$G1000,'지출'!$J$3:$J1000,Z$1,'지출'!$C$3:$C1000,"루프")</f>
        <v>0</v>
      </c>
      <c r="AA421" s="23">
        <f>SUMIFS('지출'!$G$3:$G1000,'지출'!$J$3:$J1000,AA$1,'지출'!$C$3:$C1000,"루프")</f>
        <v>0</v>
      </c>
      <c r="AB421" s="93">
        <f>SUMIFS('지출'!$G$3:$G1000,'지출'!$J$3:$J1000,AB$1,'지출'!$C$3:$C1000,"루프")</f>
        <v>0</v>
      </c>
      <c r="AC421" s="23">
        <f>SUMIFS('지출'!$G$3:$G1000,'지출'!$J$3:$J1000,AC$1,'지출'!$C$3:$C1000,"루프")</f>
        <v>0</v>
      </c>
      <c r="AD421" s="23">
        <f>SUMIFS('지출'!$G$3:$G1000,'지출'!$J$3:$J1000,AD$1,'지출'!$C$3:$C1000,"루프")</f>
        <v>0</v>
      </c>
      <c r="AE421" s="23">
        <f>SUMIFS('지출'!$G$3:$G1000,'지출'!$J$3:$J1000,AE$1,'지출'!$C$3:$C1000,"루프")</f>
        <v>0</v>
      </c>
      <c r="AF421" s="23">
        <f>SUMIFS('지출'!$G$3:$G1000,'지출'!$J$3:$J1000,AF$1,'지출'!$C$3:$C1000,"루프")</f>
        <v>0</v>
      </c>
      <c r="AG421" s="93">
        <f>SUMIFS('지출'!$G$3:$G1000,'지출'!$J$3:$J1000,AG$1,'지출'!$C$3:$C1000,"루프")</f>
        <v>0</v>
      </c>
      <c r="AH421" s="23">
        <f>SUMIFS('지출'!$G$3:$G1000,'지출'!$J$3:$J1000,AH$1,'지출'!$C$3:$C1000,"루프")</f>
        <v>0</v>
      </c>
      <c r="AI421" s="23">
        <f>SUMIFS('지출'!$G$3:$G1000,'지출'!$J$3:$J1000,AI$1,'지출'!$C$3:$C1000,"루프")</f>
        <v>0</v>
      </c>
      <c r="AJ421" s="23">
        <f>SUMIFS('지출'!$G$3:$G1000,'지출'!$J$3:$J1000,AJ$1,'지출'!$C$3:$C1000,"루프")</f>
        <v>0</v>
      </c>
      <c r="AK421" s="23">
        <f>SUMIFS('지출'!$G$3:$G1000,'지출'!$J$3:$J1000,AK$1,'지출'!$C$3:$C1000,"루프")</f>
        <v>0</v>
      </c>
      <c r="AL421" s="93">
        <f>SUMIFS('지출'!$G$3:$G1000,'지출'!$J$3:$J1000,AL$1,'지출'!$C$3:$C1000,"루프")</f>
        <v>0</v>
      </c>
      <c r="AM421" s="23">
        <f>SUMIFS('지출'!$G$3:$G1000,'지출'!$J$3:$J1000,AM$1,'지출'!$C$3:$C1000,"루프")</f>
        <v>0</v>
      </c>
      <c r="AN421" s="23">
        <f>SUMIFS('지출'!$G$3:$G1000,'지출'!$J$3:$J1000,AN$1,'지출'!$C$3:$C1000,"루프")</f>
        <v>0</v>
      </c>
      <c r="AO421" s="23">
        <f>SUMIFS('지출'!$G$3:$G1000,'지출'!$J$3:$J1000,AO$1,'지출'!$C$3:$C1000,"루프")</f>
        <v>0</v>
      </c>
      <c r="AP421" s="23">
        <f>SUMIFS('지출'!$G$3:$G1000,'지출'!$J$3:$J1000,AP$1,'지출'!$C$3:$C1000,"루프")</f>
        <v>0</v>
      </c>
      <c r="AQ421" s="93">
        <f>SUMIFS('지출'!$G$3:$G1000,'지출'!$J$3:$J1000,AQ$1,'지출'!$C$3:$C1000,"루프")</f>
        <v>0</v>
      </c>
      <c r="AR421" s="23">
        <f>SUMIFS('지출'!$G$3:$G1000,'지출'!$J$3:$J1000,AR$1,'지출'!$C$3:$C1000,"루프")</f>
        <v>0</v>
      </c>
      <c r="AS421" s="23">
        <f>SUMIFS('지출'!$G$3:$G1000,'지출'!$J$3:$J1000,AS$1,'지출'!$C$3:$C1000,"루프")</f>
        <v>0</v>
      </c>
      <c r="AT421" s="23">
        <f>SUMIFS('지출'!$G$3:$G1000,'지출'!$J$3:$J1000,AT$1,'지출'!$C$3:$C1000,"루프")</f>
        <v>0</v>
      </c>
      <c r="AU421" s="23">
        <f>SUMIFS('지출'!$G$3:$G1000,'지출'!$J$3:$J1000,AU$1,'지출'!$C$3:$C1000,"루프")</f>
        <v>0</v>
      </c>
      <c r="AV421" s="93">
        <f>SUMIFS('지출'!$G$3:$G1000,'지출'!$J$3:$J1000,AV$1,'지출'!$C$3:$C1000,"루프")</f>
        <v>0</v>
      </c>
      <c r="AW421" s="23">
        <f>SUMIFS('지출'!$G$3:$G1000,'지출'!$J$3:$J1000,AW$1,'지출'!$C$3:$C1000,"루프")</f>
        <v>0</v>
      </c>
      <c r="AX421" s="23">
        <f>SUMIFS('지출'!$G$3:$G1000,'지출'!$J$3:$J1000,AX$1,'지출'!$C$3:$C1000,"루프")</f>
        <v>0</v>
      </c>
      <c r="AY421" s="23">
        <f>SUMIFS('지출'!$G$3:$G1000,'지출'!$J$3:$J1000,AY$1,'지출'!$C$3:$C1000,"루프")</f>
        <v>0</v>
      </c>
      <c r="AZ421" s="23">
        <f>SUMIFS('지출'!$G$3:$G1000,'지출'!$J$3:$J1000,AZ$1,'지출'!$C$3:$C1000,"루프")</f>
        <v>0</v>
      </c>
      <c r="BA421" s="93">
        <f>SUMIFS('지출'!$G$3:$G1000,'지출'!$J$3:$J1000,BA$1,'지출'!$C$3:$C1000,"루프")</f>
        <v>0</v>
      </c>
      <c r="BB421" s="23">
        <f>SUMIFS('지출'!$G$3:$G1000,'지출'!$J$3:$J1000,BB$1,'지출'!$C$3:$C1000,"루프")</f>
        <v>0</v>
      </c>
      <c r="BC421" s="23">
        <f>SUMIFS('지출'!$G$3:$G1000,'지출'!$J$3:$J1000,BC$1,'지출'!$C$3:$C1000,"루프")</f>
        <v>0</v>
      </c>
      <c r="BD421" s="23">
        <f>SUMIFS('지출'!$G$3:$G1000,'지출'!$J$3:$J1000,BD$1,'지출'!$C$3:$C1000,"루프")</f>
        <v>0</v>
      </c>
      <c r="BE421" s="23">
        <f>SUMIFS('지출'!$G$3:$G1000,'지출'!$J$3:$J1000,BE$1,'지출'!$C$3:$C1000,"루프")</f>
        <v>0</v>
      </c>
      <c r="BF421" s="93">
        <f>SUMIFS('지출'!$G$3:$G1000,'지출'!$J$3:$J1000,BF$1,'지출'!$C$3:$C1000,"루프")</f>
        <v>0</v>
      </c>
      <c r="BG421" s="23">
        <f>SUMIFS('지출'!$G$3:$G1000,'지출'!$J$3:$J1000,BG$1,'지출'!$C$3:$C1000,"루프")</f>
        <v>0</v>
      </c>
      <c r="BH421" s="23">
        <f>SUMIFS('지출'!$G$3:$G1000,'지출'!$J$3:$J1000,BH$1,'지출'!$C$3:$C1000,"루프")</f>
        <v>0</v>
      </c>
      <c r="BI421" s="23">
        <f>SUMIFS('지출'!$G$3:$G1000,'지출'!$J$3:$J1000,BI$1,'지출'!$C$3:$C1000,"루프")</f>
        <v>0</v>
      </c>
      <c r="BJ421" s="23">
        <f>SUMIFS('지출'!$G$3:$G1000,'지출'!$J$3:$J1000,BJ$1,'지출'!$C$3:$C1000,"루프")</f>
        <v>0</v>
      </c>
      <c r="BK421" s="19"/>
      <c r="BL421" s="23">
        <f>SUMIFS('지출'!$G$3:$G1000,'지출'!$J$3:$J1000,BL$1,'지출'!$C$3:$C1000,"루프")</f>
        <v>0</v>
      </c>
      <c r="BM421" s="23">
        <f>SUMIFS('지출'!$G$3:$G1000,'지출'!$J$3:$J1000,BM$1,'지출'!$C$3:$C1000,"루프")</f>
        <v>0</v>
      </c>
      <c r="BN421" s="23">
        <f>SUMIFS('지출'!$G$3:$G1000,'지출'!$J$3:$J1000,BN$1,'지출'!$C$3:$C1000,"루프")</f>
        <v>0</v>
      </c>
      <c r="BO421" s="23">
        <f>SUMIFS('지출'!$G$3:$G1000,'지출'!$J$3:$J1000,BO$1,'지출'!$C$3:$C1000,"루프")</f>
        <v>62250</v>
      </c>
      <c r="BP421" s="19"/>
      <c r="BQ421" s="17" t="s">
        <v>33</v>
      </c>
      <c r="BR421" s="1"/>
      <c r="BS421" s="1"/>
      <c r="BT421" s="1"/>
      <c r="BU421" s="1"/>
    </row>
    <row r="422">
      <c r="A422" s="1"/>
      <c r="B422" s="21"/>
      <c r="C422" s="11" t="s">
        <v>56</v>
      </c>
      <c r="D422" s="22"/>
      <c r="E422" s="23">
        <f>E413-(SUM(E414:E421))</f>
        <v>1000000</v>
      </c>
      <c r="F422" s="18"/>
      <c r="G422" s="23">
        <f>G413-(SUM(G414:G421))</f>
        <v>-41290</v>
      </c>
      <c r="H422" s="19"/>
      <c r="I422" s="22"/>
      <c r="J422" s="23">
        <f>J413-(SUM(J414:J421))</f>
        <v>1000000</v>
      </c>
      <c r="K422" s="18"/>
      <c r="L422" s="23">
        <f>L413-(SUM(L414:L421))</f>
        <v>-41590</v>
      </c>
      <c r="M422" s="19"/>
      <c r="N422" s="22"/>
      <c r="O422" s="23">
        <f>O413-(SUM(O414:O421))</f>
        <v>1010000</v>
      </c>
      <c r="P422" s="18"/>
      <c r="Q422" s="23">
        <f>Q413-(SUM(Q414:Q421))</f>
        <v>120650</v>
      </c>
      <c r="R422" s="19"/>
      <c r="S422" s="22"/>
      <c r="T422" s="23">
        <f>T413-(SUM(T414:T421))</f>
        <v>1010000</v>
      </c>
      <c r="U422" s="18"/>
      <c r="V422" s="23">
        <f>V413-(SUM(V414:V421))</f>
        <v>178730</v>
      </c>
      <c r="W422" s="19"/>
      <c r="X422" s="18"/>
      <c r="Y422" s="23">
        <f>Y413-(SUM(Y414:Y421))</f>
        <v>810000</v>
      </c>
      <c r="Z422" s="18"/>
      <c r="AA422" s="23">
        <f>AA413-(SUM(AA414:AA421))</f>
        <v>208660</v>
      </c>
      <c r="AB422" s="19"/>
      <c r="AC422" s="18"/>
      <c r="AD422" s="23">
        <f>AD413-(SUM(AD414:AD421))</f>
        <v>810000</v>
      </c>
      <c r="AE422" s="18"/>
      <c r="AF422" s="23">
        <f>AF413-(SUM(AF414:AF421))</f>
        <v>220940</v>
      </c>
      <c r="AG422" s="19"/>
      <c r="AH422" s="18"/>
      <c r="AI422" s="23">
        <f>AI413-(SUM(AI414:AI421))</f>
        <v>810000</v>
      </c>
      <c r="AJ422" s="18"/>
      <c r="AK422" s="23">
        <f>AK413-(SUM(AK414:AK421))</f>
        <v>181470</v>
      </c>
      <c r="AL422" s="19"/>
      <c r="AM422" s="18"/>
      <c r="AN422" s="23">
        <f>AN413-(SUM(AN414:AN421))</f>
        <v>882258</v>
      </c>
      <c r="AO422" s="18"/>
      <c r="AP422" s="23">
        <f>AP413-(SUM(AP414:AP421))</f>
        <v>185423</v>
      </c>
      <c r="AQ422" s="19"/>
      <c r="AR422" s="22"/>
      <c r="AS422" s="23">
        <f>AS413-(SUM(AS414:AS421))</f>
        <v>1400000</v>
      </c>
      <c r="AT422" s="18"/>
      <c r="AU422" s="23">
        <f>AU413-(SUM(AU414:AU421))</f>
        <v>204790</v>
      </c>
      <c r="AV422" s="19"/>
      <c r="AW422" s="22"/>
      <c r="AX422" s="23">
        <f>AX413-(SUM(AX414:AX421))</f>
        <v>1400000</v>
      </c>
      <c r="AY422" s="18"/>
      <c r="AZ422" s="23">
        <f>AZ413-(SUM(AZ414:AZ421))</f>
        <v>210920</v>
      </c>
      <c r="BA422" s="19"/>
      <c r="BB422" s="22"/>
      <c r="BC422" s="23">
        <f>BC413-(SUM(BC414:BC421))</f>
        <v>860000</v>
      </c>
      <c r="BD422" s="18"/>
      <c r="BE422" s="23">
        <f>BE413-(SUM(BE414:BE421))</f>
        <v>87180</v>
      </c>
      <c r="BF422" s="19"/>
      <c r="BG422" s="22"/>
      <c r="BH422" s="23">
        <f>BH413-(SUM(BH414:BH421))</f>
        <v>860000</v>
      </c>
      <c r="BI422" s="18"/>
      <c r="BJ422" s="23">
        <f>BJ413-(SUM(BJ414:BJ421))</f>
        <v>-10780</v>
      </c>
      <c r="BK422" s="19"/>
      <c r="BL422" s="22"/>
      <c r="BM422" s="23">
        <f>BM413-(SUM(BM414:BM421))</f>
        <v>860000</v>
      </c>
      <c r="BN422" s="18"/>
      <c r="BO422" s="23">
        <f>BO413-(SUM(BO414:BO421))</f>
        <v>194750</v>
      </c>
      <c r="BP422" s="19"/>
      <c r="BQ422" s="17" t="s">
        <v>33</v>
      </c>
      <c r="BR422" s="1"/>
      <c r="BS422" s="1"/>
      <c r="BT422" s="1"/>
      <c r="BU422" s="1"/>
    </row>
    <row r="423">
      <c r="A423" s="1"/>
      <c r="B423" s="27">
        <v>0.0</v>
      </c>
      <c r="C423" s="11" t="s">
        <v>26</v>
      </c>
      <c r="D423" s="22"/>
      <c r="E423" s="23">
        <f>E422*$B423</f>
        <v>0</v>
      </c>
      <c r="F423" s="18"/>
      <c r="G423" s="18"/>
      <c r="H423" s="19"/>
      <c r="I423" s="22"/>
      <c r="J423" s="23">
        <f>J422*$B423</f>
        <v>0</v>
      </c>
      <c r="K423" s="18"/>
      <c r="L423" s="18"/>
      <c r="M423" s="19"/>
      <c r="N423" s="22"/>
      <c r="O423" s="23">
        <f>O422*$B423</f>
        <v>0</v>
      </c>
      <c r="P423" s="18"/>
      <c r="Q423" s="18"/>
      <c r="R423" s="19"/>
      <c r="S423" s="22"/>
      <c r="T423" s="23">
        <f>T422*$B423</f>
        <v>0</v>
      </c>
      <c r="U423" s="18"/>
      <c r="V423" s="18"/>
      <c r="W423" s="19"/>
      <c r="X423" s="18"/>
      <c r="Y423" s="23">
        <f>Y422*$B423</f>
        <v>0</v>
      </c>
      <c r="Z423" s="18"/>
      <c r="AA423" s="18"/>
      <c r="AB423" s="19"/>
      <c r="AC423" s="18"/>
      <c r="AD423" s="23">
        <f>AD422*$B423</f>
        <v>0</v>
      </c>
      <c r="AE423" s="18"/>
      <c r="AF423" s="18"/>
      <c r="AG423" s="19"/>
      <c r="AH423" s="18"/>
      <c r="AI423" s="23">
        <f>AI422*$B423</f>
        <v>0</v>
      </c>
      <c r="AJ423" s="18"/>
      <c r="AK423" s="18"/>
      <c r="AL423" s="19"/>
      <c r="AM423" s="18"/>
      <c r="AN423" s="23">
        <f>AN422*$B423</f>
        <v>0</v>
      </c>
      <c r="AO423" s="18"/>
      <c r="AP423" s="18"/>
      <c r="AQ423" s="19"/>
      <c r="AR423" s="22"/>
      <c r="AS423" s="23">
        <f>AS422*$B423</f>
        <v>0</v>
      </c>
      <c r="AT423" s="18"/>
      <c r="AU423" s="18"/>
      <c r="AV423" s="19"/>
      <c r="AW423" s="22"/>
      <c r="AX423" s="23">
        <f>AX422*$B423</f>
        <v>0</v>
      </c>
      <c r="AY423" s="18"/>
      <c r="AZ423" s="18"/>
      <c r="BA423" s="19"/>
      <c r="BB423" s="22"/>
      <c r="BC423" s="23">
        <f>BC422*$B423</f>
        <v>0</v>
      </c>
      <c r="BD423" s="18"/>
      <c r="BE423" s="18"/>
      <c r="BF423" s="19"/>
      <c r="BG423" s="22"/>
      <c r="BH423" s="23">
        <f>BH422*$B423</f>
        <v>0</v>
      </c>
      <c r="BI423" s="18"/>
      <c r="BJ423" s="18"/>
      <c r="BK423" s="19"/>
      <c r="BL423" s="22"/>
      <c r="BM423" s="23">
        <f>BM422*$B423</f>
        <v>0</v>
      </c>
      <c r="BN423" s="18"/>
      <c r="BO423" s="18"/>
      <c r="BP423" s="19"/>
      <c r="BQ423" s="17" t="s">
        <v>33</v>
      </c>
      <c r="BR423" s="1"/>
      <c r="BS423" s="1"/>
      <c r="BT423" s="1"/>
      <c r="BU423" s="1"/>
    </row>
    <row r="424">
      <c r="A424" s="67" t="str">
        <f>B409</f>
        <v>루프</v>
      </c>
      <c r="B424" s="29">
        <v>1.0</v>
      </c>
      <c r="C424" s="30" t="s">
        <v>57</v>
      </c>
      <c r="D424" s="31"/>
      <c r="E424" s="32">
        <f>E422*$B424</f>
        <v>1000000</v>
      </c>
      <c r="F424" s="33"/>
      <c r="G424" s="33"/>
      <c r="H424" s="34"/>
      <c r="I424" s="31"/>
      <c r="J424" s="32">
        <f>J422*$B424</f>
        <v>1000000</v>
      </c>
      <c r="K424" s="33"/>
      <c r="L424" s="33"/>
      <c r="M424" s="34"/>
      <c r="N424" s="31"/>
      <c r="O424" s="32">
        <f>O422*$B424</f>
        <v>1010000</v>
      </c>
      <c r="P424" s="33"/>
      <c r="Q424" s="33"/>
      <c r="R424" s="34"/>
      <c r="S424" s="31"/>
      <c r="T424" s="32">
        <f>T422*$B424</f>
        <v>1010000</v>
      </c>
      <c r="U424" s="33"/>
      <c r="V424" s="33"/>
      <c r="W424" s="34"/>
      <c r="X424" s="33"/>
      <c r="Y424" s="32">
        <f>Y422*$B424</f>
        <v>810000</v>
      </c>
      <c r="Z424" s="33"/>
      <c r="AA424" s="33"/>
      <c r="AB424" s="34"/>
      <c r="AC424" s="33"/>
      <c r="AD424" s="32">
        <f>AD422*$B424</f>
        <v>810000</v>
      </c>
      <c r="AE424" s="33"/>
      <c r="AF424" s="33"/>
      <c r="AG424" s="34"/>
      <c r="AH424" s="33"/>
      <c r="AI424" s="32">
        <f>AI422*$B424</f>
        <v>810000</v>
      </c>
      <c r="AJ424" s="33"/>
      <c r="AK424" s="33"/>
      <c r="AL424" s="34"/>
      <c r="AM424" s="33"/>
      <c r="AN424" s="32">
        <f>AN422*$B424</f>
        <v>882258</v>
      </c>
      <c r="AO424" s="33"/>
      <c r="AP424" s="33"/>
      <c r="AQ424" s="34"/>
      <c r="AR424" s="31"/>
      <c r="AS424" s="32">
        <f>AS422*$B424</f>
        <v>1400000</v>
      </c>
      <c r="AT424" s="33"/>
      <c r="AU424" s="33"/>
      <c r="AV424" s="34"/>
      <c r="AW424" s="31"/>
      <c r="AX424" s="32">
        <f>AX422*$B424</f>
        <v>1400000</v>
      </c>
      <c r="AY424" s="33"/>
      <c r="AZ424" s="33"/>
      <c r="BA424" s="34"/>
      <c r="BB424" s="31"/>
      <c r="BC424" s="32">
        <f>BC422*$B424</f>
        <v>860000</v>
      </c>
      <c r="BD424" s="33"/>
      <c r="BE424" s="33"/>
      <c r="BF424" s="34"/>
      <c r="BG424" s="31"/>
      <c r="BH424" s="32">
        <f>BH422*$B424</f>
        <v>860000</v>
      </c>
      <c r="BI424" s="33"/>
      <c r="BJ424" s="33"/>
      <c r="BK424" s="34"/>
      <c r="BL424" s="31"/>
      <c r="BM424" s="32">
        <f>BM422*$B424</f>
        <v>860000</v>
      </c>
      <c r="BN424" s="33"/>
      <c r="BO424" s="33"/>
      <c r="BP424" s="34"/>
      <c r="BQ424" s="17" t="s">
        <v>33</v>
      </c>
      <c r="BR424" s="1"/>
      <c r="BS424" s="1"/>
      <c r="BT424" s="1"/>
      <c r="BU424" s="1"/>
    </row>
    <row r="425">
      <c r="A425" s="1"/>
      <c r="B425" s="10" t="s">
        <v>699</v>
      </c>
      <c r="C425" s="11" t="s">
        <v>700</v>
      </c>
      <c r="D425" s="20" t="s">
        <v>701</v>
      </c>
      <c r="E425" s="23">
        <v>550000.0</v>
      </c>
      <c r="F425" s="35" t="b">
        <v>1</v>
      </c>
      <c r="G425" s="23">
        <v>80000.0</v>
      </c>
      <c r="H425" s="15" t="b">
        <v>1</v>
      </c>
      <c r="I425" s="20" t="s">
        <v>701</v>
      </c>
      <c r="J425" s="23">
        <v>550000.0</v>
      </c>
      <c r="K425" s="35" t="b">
        <v>1</v>
      </c>
      <c r="L425" s="23">
        <v>80000.0</v>
      </c>
      <c r="M425" s="15" t="b">
        <v>1</v>
      </c>
      <c r="N425" s="44" t="s">
        <v>702</v>
      </c>
      <c r="O425" s="23">
        <f>53226+378900</f>
        <v>432126</v>
      </c>
      <c r="P425" s="35" t="b">
        <v>1</v>
      </c>
      <c r="Q425" s="23">
        <f>7742+74800</f>
        <v>82542</v>
      </c>
      <c r="R425" s="15" t="b">
        <v>1</v>
      </c>
      <c r="S425" s="44" t="s">
        <v>703</v>
      </c>
      <c r="T425" s="23">
        <v>405000.0</v>
      </c>
      <c r="U425" s="35" t="b">
        <v>1</v>
      </c>
      <c r="V425" s="23">
        <v>80000.0</v>
      </c>
      <c r="W425" s="15" t="b">
        <v>1</v>
      </c>
      <c r="X425" s="44" t="s">
        <v>703</v>
      </c>
      <c r="Y425" s="23">
        <v>405000.0</v>
      </c>
      <c r="Z425" s="35" t="b">
        <v>1</v>
      </c>
      <c r="AA425" s="23">
        <v>80000.0</v>
      </c>
      <c r="AB425" s="15" t="b">
        <v>1</v>
      </c>
      <c r="AC425" s="44" t="s">
        <v>703</v>
      </c>
      <c r="AD425" s="23">
        <v>405000.0</v>
      </c>
      <c r="AE425" s="35" t="b">
        <v>1</v>
      </c>
      <c r="AF425" s="23">
        <v>80000.0</v>
      </c>
      <c r="AG425" s="15" t="b">
        <v>1</v>
      </c>
      <c r="AH425" s="44" t="s">
        <v>703</v>
      </c>
      <c r="AI425" s="23">
        <v>400500.0</v>
      </c>
      <c r="AJ425" s="35" t="b">
        <v>1</v>
      </c>
      <c r="AK425" s="23">
        <v>80000.0</v>
      </c>
      <c r="AL425" s="15" t="b">
        <v>1</v>
      </c>
      <c r="AM425" s="44" t="s">
        <v>704</v>
      </c>
      <c r="AN425" s="23">
        <v>323070.0</v>
      </c>
      <c r="AO425" s="35" t="b">
        <v>1</v>
      </c>
      <c r="AP425" s="23">
        <v>64500.0</v>
      </c>
      <c r="AQ425" s="15" t="b">
        <v>1</v>
      </c>
      <c r="AR425" s="20" t="s">
        <v>705</v>
      </c>
      <c r="AS425" s="23">
        <v>1860848.0</v>
      </c>
      <c r="AT425" s="1"/>
      <c r="AU425" s="18"/>
      <c r="AV425" s="19"/>
      <c r="AW425" s="20" t="s">
        <v>706</v>
      </c>
      <c r="AX425" s="23">
        <v>1995193.0</v>
      </c>
      <c r="AY425" s="1"/>
      <c r="AZ425" s="23">
        <f>1600000/31*3</f>
        <v>154838.7097</v>
      </c>
      <c r="BA425" s="19"/>
      <c r="BB425" s="20" t="s">
        <v>707</v>
      </c>
      <c r="BC425" s="23">
        <f>1600000/31*(31-3)</f>
        <v>1445161.29</v>
      </c>
      <c r="BD425" s="1"/>
      <c r="BE425" s="18"/>
      <c r="BF425" s="19"/>
      <c r="BG425" s="20" t="s">
        <v>708</v>
      </c>
      <c r="BH425" s="23">
        <f>1115500/10*8</f>
        <v>892400</v>
      </c>
      <c r="BI425" s="1"/>
      <c r="BJ425" s="18"/>
      <c r="BK425" s="19"/>
      <c r="BL425" s="20" t="s">
        <v>709</v>
      </c>
      <c r="BM425" s="23">
        <f>2176680/21*11</f>
        <v>1140165.714</v>
      </c>
      <c r="BN425" s="1"/>
      <c r="BO425" s="18"/>
      <c r="BP425" s="15" t="b">
        <v>0</v>
      </c>
      <c r="BQ425" s="17" t="s">
        <v>33</v>
      </c>
      <c r="BR425" s="1"/>
      <c r="BS425" s="1"/>
      <c r="BT425" s="1"/>
      <c r="BU425" s="1"/>
    </row>
    <row r="426">
      <c r="A426" s="1"/>
      <c r="B426" s="10" t="s">
        <v>699</v>
      </c>
      <c r="C426" s="11" t="s">
        <v>710</v>
      </c>
      <c r="D426" s="20" t="s">
        <v>37</v>
      </c>
      <c r="E426" s="18"/>
      <c r="F426" s="1"/>
      <c r="G426" s="18"/>
      <c r="H426" s="19"/>
      <c r="I426" s="20" t="s">
        <v>711</v>
      </c>
      <c r="J426" s="23">
        <v>89655.0</v>
      </c>
      <c r="K426" s="35" t="b">
        <v>1</v>
      </c>
      <c r="L426" s="23">
        <v>13793.0</v>
      </c>
      <c r="M426" s="15" t="b">
        <v>1</v>
      </c>
      <c r="N426" s="20" t="s">
        <v>712</v>
      </c>
      <c r="O426" s="23">
        <v>520000.0</v>
      </c>
      <c r="P426" s="35" t="b">
        <v>1</v>
      </c>
      <c r="Q426" s="23">
        <v>80000.0</v>
      </c>
      <c r="R426" s="15" t="b">
        <v>1</v>
      </c>
      <c r="S426" s="20" t="s">
        <v>712</v>
      </c>
      <c r="T426" s="23">
        <v>520000.0</v>
      </c>
      <c r="U426" s="35" t="b">
        <v>1</v>
      </c>
      <c r="V426" s="23">
        <v>80000.0</v>
      </c>
      <c r="W426" s="15" t="b">
        <v>1</v>
      </c>
      <c r="X426" s="20" t="s">
        <v>712</v>
      </c>
      <c r="Y426" s="23">
        <v>520000.0</v>
      </c>
      <c r="Z426" s="35" t="b">
        <v>1</v>
      </c>
      <c r="AA426" s="23">
        <v>80000.0</v>
      </c>
      <c r="AB426" s="15" t="b">
        <v>1</v>
      </c>
      <c r="AC426" s="20" t="s">
        <v>712</v>
      </c>
      <c r="AD426" s="23">
        <v>520000.0</v>
      </c>
      <c r="AE426" s="35" t="b">
        <v>1</v>
      </c>
      <c r="AF426" s="23">
        <v>80000.0</v>
      </c>
      <c r="AG426" s="15" t="b">
        <v>1</v>
      </c>
      <c r="AH426" s="20" t="s">
        <v>713</v>
      </c>
      <c r="AI426" s="23">
        <v>520000.0</v>
      </c>
      <c r="AJ426" s="35" t="b">
        <v>1</v>
      </c>
      <c r="AK426" s="23">
        <v>80000.0</v>
      </c>
      <c r="AL426" s="15" t="b">
        <v>1</v>
      </c>
      <c r="AM426" s="20" t="s">
        <v>714</v>
      </c>
      <c r="AN426" s="23">
        <v>419355.0</v>
      </c>
      <c r="AO426" s="35" t="b">
        <v>1</v>
      </c>
      <c r="AP426" s="23">
        <v>64516.0</v>
      </c>
      <c r="AQ426" s="15" t="b">
        <v>1</v>
      </c>
      <c r="AR426" s="18"/>
      <c r="AS426" s="18"/>
      <c r="AT426" s="1"/>
      <c r="AU426" s="18"/>
      <c r="AV426" s="19"/>
      <c r="AW426" s="20" t="s">
        <v>715</v>
      </c>
      <c r="AX426" s="23">
        <v>63000.0</v>
      </c>
      <c r="AY426" s="1"/>
      <c r="AZ426" s="18"/>
      <c r="BA426" s="19"/>
      <c r="BB426" s="20" t="s">
        <v>716</v>
      </c>
      <c r="BC426" s="23">
        <f>1115500/10*2</f>
        <v>223100</v>
      </c>
      <c r="BD426" s="1"/>
      <c r="BE426" s="18"/>
      <c r="BF426" s="19"/>
      <c r="BG426" s="20" t="s">
        <v>717</v>
      </c>
      <c r="BH426" s="23">
        <f>2176680/21*10</f>
        <v>1036514.286</v>
      </c>
      <c r="BI426" s="1"/>
      <c r="BJ426" s="18"/>
      <c r="BK426" s="19"/>
      <c r="BL426" s="18"/>
      <c r="BM426" s="18"/>
      <c r="BN426" s="1"/>
      <c r="BO426" s="18"/>
      <c r="BP426" s="15" t="b">
        <v>0</v>
      </c>
      <c r="BQ426" s="17" t="s">
        <v>33</v>
      </c>
      <c r="BR426" s="1"/>
      <c r="BS426" s="1"/>
      <c r="BT426" s="1"/>
      <c r="BU426" s="1"/>
    </row>
    <row r="427">
      <c r="A427" s="1"/>
      <c r="B427" s="10" t="s">
        <v>718</v>
      </c>
      <c r="C427" s="11" t="s">
        <v>719</v>
      </c>
      <c r="D427" s="20" t="s">
        <v>37</v>
      </c>
      <c r="E427" s="18"/>
      <c r="F427" s="1"/>
      <c r="G427" s="18"/>
      <c r="H427" s="19"/>
      <c r="I427" s="20" t="s">
        <v>720</v>
      </c>
      <c r="J427" s="23">
        <v>74483.0</v>
      </c>
      <c r="K427" s="35" t="b">
        <v>1</v>
      </c>
      <c r="L427" s="23">
        <v>16552.0</v>
      </c>
      <c r="M427" s="15" t="b">
        <v>1</v>
      </c>
      <c r="N427" s="20" t="s">
        <v>539</v>
      </c>
      <c r="O427" s="23">
        <v>360000.0</v>
      </c>
      <c r="P427" s="35" t="b">
        <v>1</v>
      </c>
      <c r="Q427" s="23">
        <v>80000.0</v>
      </c>
      <c r="R427" s="15" t="b">
        <v>1</v>
      </c>
      <c r="S427" s="20" t="s">
        <v>539</v>
      </c>
      <c r="T427" s="23">
        <v>360000.0</v>
      </c>
      <c r="U427" s="35" t="b">
        <v>1</v>
      </c>
      <c r="V427" s="23">
        <v>80000.0</v>
      </c>
      <c r="W427" s="15" t="b">
        <v>1</v>
      </c>
      <c r="X427" s="20" t="s">
        <v>539</v>
      </c>
      <c r="Y427" s="23">
        <v>360000.0</v>
      </c>
      <c r="Z427" s="35" t="b">
        <v>1</v>
      </c>
      <c r="AA427" s="23">
        <v>80000.0</v>
      </c>
      <c r="AB427" s="15" t="b">
        <v>1</v>
      </c>
      <c r="AC427" s="20" t="s">
        <v>539</v>
      </c>
      <c r="AD427" s="23">
        <v>360000.0</v>
      </c>
      <c r="AE427" s="35" t="b">
        <v>1</v>
      </c>
      <c r="AF427" s="23">
        <v>80000.0</v>
      </c>
      <c r="AG427" s="15" t="b">
        <v>1</v>
      </c>
      <c r="AH427" s="20" t="s">
        <v>539</v>
      </c>
      <c r="AI427" s="23">
        <v>360000.0</v>
      </c>
      <c r="AJ427" s="35" t="b">
        <v>1</v>
      </c>
      <c r="AK427" s="23">
        <v>80000.0</v>
      </c>
      <c r="AL427" s="15" t="b">
        <v>1</v>
      </c>
      <c r="AM427" s="20" t="s">
        <v>538</v>
      </c>
      <c r="AN427" s="23">
        <v>360000.0</v>
      </c>
      <c r="AO427" s="35" t="b">
        <v>1</v>
      </c>
      <c r="AP427" s="23">
        <v>80000.0</v>
      </c>
      <c r="AQ427" s="15" t="b">
        <v>1</v>
      </c>
      <c r="AR427" s="18"/>
      <c r="AS427" s="18"/>
      <c r="AT427" s="1"/>
      <c r="AU427" s="18"/>
      <c r="AV427" s="19"/>
      <c r="AW427" s="20" t="s">
        <v>721</v>
      </c>
      <c r="AX427" s="23">
        <v>475300.0</v>
      </c>
      <c r="AY427" s="1"/>
      <c r="AZ427" s="18"/>
      <c r="BA427" s="19"/>
      <c r="BB427" s="18"/>
      <c r="BC427" s="18"/>
      <c r="BD427" s="1"/>
      <c r="BE427" s="18"/>
      <c r="BF427" s="19"/>
      <c r="BG427" s="18"/>
      <c r="BH427" s="18"/>
      <c r="BI427" s="1"/>
      <c r="BJ427" s="18"/>
      <c r="BK427" s="19"/>
      <c r="BL427" s="18"/>
      <c r="BM427" s="18"/>
      <c r="BN427" s="1"/>
      <c r="BO427" s="18"/>
      <c r="BP427" s="19"/>
      <c r="BQ427" s="17" t="s">
        <v>33</v>
      </c>
      <c r="BR427" s="1"/>
      <c r="BS427" s="1"/>
      <c r="BT427" s="1"/>
      <c r="BU427" s="1"/>
    </row>
    <row r="428">
      <c r="A428" s="1"/>
      <c r="B428" s="10" t="s">
        <v>699</v>
      </c>
      <c r="C428" s="11" t="s">
        <v>722</v>
      </c>
      <c r="D428" s="20" t="s">
        <v>723</v>
      </c>
      <c r="E428" s="23">
        <v>370000.0</v>
      </c>
      <c r="F428" s="35" t="b">
        <v>1</v>
      </c>
      <c r="G428" s="23">
        <v>80000.0</v>
      </c>
      <c r="H428" s="15" t="b">
        <v>1</v>
      </c>
      <c r="I428" s="20" t="s">
        <v>724</v>
      </c>
      <c r="J428" s="23">
        <v>204138.0</v>
      </c>
      <c r="K428" s="35" t="b">
        <v>1</v>
      </c>
      <c r="L428" s="23">
        <v>44138.0</v>
      </c>
      <c r="M428" s="15" t="b">
        <v>1</v>
      </c>
      <c r="N428" s="20" t="s">
        <v>725</v>
      </c>
      <c r="O428" s="23">
        <v>330000.0</v>
      </c>
      <c r="P428" s="35" t="b">
        <v>1</v>
      </c>
      <c r="Q428" s="23">
        <v>80000.0</v>
      </c>
      <c r="R428" s="15" t="b">
        <v>1</v>
      </c>
      <c r="S428" s="20" t="s">
        <v>726</v>
      </c>
      <c r="T428" s="23">
        <v>330000.0</v>
      </c>
      <c r="U428" s="35" t="b">
        <v>1</v>
      </c>
      <c r="V428" s="23">
        <v>80000.0</v>
      </c>
      <c r="W428" s="15" t="b">
        <v>1</v>
      </c>
      <c r="X428" s="20" t="s">
        <v>726</v>
      </c>
      <c r="Y428" s="23">
        <v>330000.0</v>
      </c>
      <c r="Z428" s="35" t="b">
        <v>1</v>
      </c>
      <c r="AA428" s="23">
        <v>80000.0</v>
      </c>
      <c r="AB428" s="15" t="b">
        <v>1</v>
      </c>
      <c r="AC428" s="20" t="s">
        <v>726</v>
      </c>
      <c r="AD428" s="23">
        <v>330000.0</v>
      </c>
      <c r="AE428" s="35" t="b">
        <v>1</v>
      </c>
      <c r="AF428" s="23">
        <v>80000.0</v>
      </c>
      <c r="AG428" s="15" t="b">
        <v>1</v>
      </c>
      <c r="AH428" s="20" t="s">
        <v>726</v>
      </c>
      <c r="AI428" s="23">
        <v>330000.0</v>
      </c>
      <c r="AJ428" s="35" t="b">
        <v>1</v>
      </c>
      <c r="AK428" s="23">
        <v>80000.0</v>
      </c>
      <c r="AL428" s="15" t="b">
        <v>1</v>
      </c>
      <c r="AM428" s="20" t="s">
        <v>727</v>
      </c>
      <c r="AN428" s="23">
        <v>330000.0</v>
      </c>
      <c r="AO428" s="35" t="b">
        <v>1</v>
      </c>
      <c r="AP428" s="23">
        <v>80000.0</v>
      </c>
      <c r="AQ428" s="15" t="b">
        <v>1</v>
      </c>
      <c r="AR428" s="18"/>
      <c r="AS428" s="18"/>
      <c r="AT428" s="1"/>
      <c r="AU428" s="18"/>
      <c r="AV428" s="19"/>
      <c r="AW428" s="18"/>
      <c r="AX428" s="18"/>
      <c r="AY428" s="1"/>
      <c r="AZ428" s="18"/>
      <c r="BA428" s="19"/>
      <c r="BB428" s="18"/>
      <c r="BC428" s="18"/>
      <c r="BD428" s="1"/>
      <c r="BE428" s="18"/>
      <c r="BF428" s="19"/>
      <c r="BG428" s="18"/>
      <c r="BH428" s="18"/>
      <c r="BI428" s="1"/>
      <c r="BJ428" s="18"/>
      <c r="BK428" s="19"/>
      <c r="BL428" s="18"/>
      <c r="BM428" s="18"/>
      <c r="BN428" s="1"/>
      <c r="BO428" s="18"/>
      <c r="BP428" s="15" t="b">
        <v>0</v>
      </c>
      <c r="BQ428" s="17" t="s">
        <v>33</v>
      </c>
      <c r="BR428" s="1"/>
      <c r="BS428" s="1"/>
      <c r="BT428" s="1"/>
      <c r="BU428" s="1"/>
    </row>
    <row r="429">
      <c r="A429" s="1"/>
      <c r="B429" s="21"/>
      <c r="C429" s="11" t="s">
        <v>42</v>
      </c>
      <c r="D429" s="22"/>
      <c r="E429" s="23">
        <f>SUM(E425:E428)</f>
        <v>920000</v>
      </c>
      <c r="F429" s="18"/>
      <c r="G429" s="23">
        <f>SUM(G425:G428)</f>
        <v>160000</v>
      </c>
      <c r="H429" s="19"/>
      <c r="I429" s="22"/>
      <c r="J429" s="23">
        <f>SUM(J425:J428)-318276</f>
        <v>600000</v>
      </c>
      <c r="K429" s="18"/>
      <c r="L429" s="23">
        <f>SUM(L425:L428)</f>
        <v>154483</v>
      </c>
      <c r="M429" s="19"/>
      <c r="N429" s="22"/>
      <c r="O429" s="23">
        <f>SUM(O425:O428)-963720+318276-150000-150000-228000</f>
        <v>468682</v>
      </c>
      <c r="P429" s="18"/>
      <c r="Q429" s="23">
        <f>SUM(Q425:Q428)</f>
        <v>322542</v>
      </c>
      <c r="R429" s="19"/>
      <c r="S429" s="22"/>
      <c r="T429" s="23">
        <f>SUM(T425:T428)-131318</f>
        <v>1483682</v>
      </c>
      <c r="U429" s="18"/>
      <c r="V429" s="23">
        <f>SUM(V425:V428)</f>
        <v>320000</v>
      </c>
      <c r="W429" s="19"/>
      <c r="X429" s="18"/>
      <c r="Y429" s="23">
        <f>SUM(Y425:Y428)</f>
        <v>1615000</v>
      </c>
      <c r="Z429" s="18"/>
      <c r="AA429" s="23">
        <f>SUM(AA425:AA428)</f>
        <v>320000</v>
      </c>
      <c r="AB429" s="19"/>
      <c r="AC429" s="18"/>
      <c r="AD429" s="23">
        <f>SUM(AD425:AD428)</f>
        <v>1615000</v>
      </c>
      <c r="AE429" s="18"/>
      <c r="AF429" s="23">
        <f>SUM(AF425:AF428)</f>
        <v>320000</v>
      </c>
      <c r="AG429" s="19"/>
      <c r="AH429" s="18"/>
      <c r="AI429" s="23">
        <f>SUM(AI425:AI428)</f>
        <v>1610500</v>
      </c>
      <c r="AJ429" s="18"/>
      <c r="AK429" s="23">
        <f>SUM(AK425:AK428)</f>
        <v>320000</v>
      </c>
      <c r="AL429" s="19"/>
      <c r="AM429" s="18"/>
      <c r="AN429" s="23">
        <f>SUM(AN425:AN428)</f>
        <v>1432425</v>
      </c>
      <c r="AO429" s="18"/>
      <c r="AP429" s="23">
        <f>SUM(AP425:AP428)</f>
        <v>289016</v>
      </c>
      <c r="AQ429" s="19"/>
      <c r="AR429" s="22"/>
      <c r="AS429" s="23">
        <f>SUM(AS425:AS428)</f>
        <v>1860848</v>
      </c>
      <c r="AT429" s="18"/>
      <c r="AU429" s="23">
        <f>SUM(AU425:AU428)</f>
        <v>0</v>
      </c>
      <c r="AV429" s="19"/>
      <c r="AW429" s="22"/>
      <c r="AX429" s="23">
        <f>SUM(AX425:AX428)</f>
        <v>2533493</v>
      </c>
      <c r="AY429" s="18"/>
      <c r="AZ429" s="23">
        <f>SUM(AZ425:AZ428)</f>
        <v>154838.7097</v>
      </c>
      <c r="BA429" s="19"/>
      <c r="BB429" s="22"/>
      <c r="BC429" s="23">
        <f>SUM(BC425:BC428)</f>
        <v>1668261.29</v>
      </c>
      <c r="BD429" s="18"/>
      <c r="BE429" s="23">
        <f>SUM(BE425:BE428)</f>
        <v>0</v>
      </c>
      <c r="BF429" s="19"/>
      <c r="BG429" s="22"/>
      <c r="BH429" s="23">
        <f>SUM(BH425:BH428)</f>
        <v>1928914.286</v>
      </c>
      <c r="BI429" s="18"/>
      <c r="BJ429" s="23">
        <f>SUM(BJ425:BJ428)</f>
        <v>0</v>
      </c>
      <c r="BK429" s="19"/>
      <c r="BL429" s="22"/>
      <c r="BM429" s="23">
        <f>SUM(BM425:BM428)</f>
        <v>1140165.714</v>
      </c>
      <c r="BN429" s="18"/>
      <c r="BO429" s="23">
        <f>SUM(BO425:BO428)</f>
        <v>0</v>
      </c>
      <c r="BP429" s="19"/>
      <c r="BQ429" s="17" t="s">
        <v>33</v>
      </c>
      <c r="BR429" s="1"/>
      <c r="BS429" s="1"/>
      <c r="BT429" s="1"/>
      <c r="BU429" s="1"/>
    </row>
    <row r="430">
      <c r="A430" s="1"/>
      <c r="B430" s="21"/>
      <c r="C430" s="11" t="s">
        <v>43</v>
      </c>
      <c r="D430" s="22"/>
      <c r="E430" s="23">
        <v>600000.0</v>
      </c>
      <c r="F430" s="18"/>
      <c r="G430" s="18"/>
      <c r="H430" s="19"/>
      <c r="I430" s="22"/>
      <c r="J430" s="23">
        <v>600000.0</v>
      </c>
      <c r="K430" s="18"/>
      <c r="L430" s="18"/>
      <c r="M430" s="19"/>
      <c r="N430" s="22"/>
      <c r="O430" s="23">
        <v>600000.0</v>
      </c>
      <c r="P430" s="18"/>
      <c r="Q430" s="18"/>
      <c r="R430" s="19"/>
      <c r="S430" s="22"/>
      <c r="T430" s="23">
        <v>600000.0</v>
      </c>
      <c r="U430" s="18"/>
      <c r="V430" s="18"/>
      <c r="W430" s="19"/>
      <c r="X430" s="18"/>
      <c r="Y430" s="23">
        <v>600000.0</v>
      </c>
      <c r="Z430" s="18"/>
      <c r="AA430" s="18"/>
      <c r="AB430" s="19"/>
      <c r="AC430" s="18"/>
      <c r="AD430" s="23">
        <v>600000.0</v>
      </c>
      <c r="AE430" s="18"/>
      <c r="AF430" s="18"/>
      <c r="AG430" s="19"/>
      <c r="AH430" s="18"/>
      <c r="AI430" s="23">
        <v>600000.0</v>
      </c>
      <c r="AJ430" s="18"/>
      <c r="AK430" s="18"/>
      <c r="AL430" s="19"/>
      <c r="AM430" s="18"/>
      <c r="AN430" s="95">
        <v>600000.0</v>
      </c>
      <c r="AO430" s="18"/>
      <c r="AP430" s="18"/>
      <c r="AQ430" s="19"/>
      <c r="AR430" s="22"/>
      <c r="AS430" s="23">
        <v>600000.0</v>
      </c>
      <c r="AT430" s="18"/>
      <c r="AU430" s="18"/>
      <c r="AV430" s="19"/>
      <c r="AW430" s="22"/>
      <c r="AX430" s="23">
        <v>600000.0</v>
      </c>
      <c r="AY430" s="18"/>
      <c r="AZ430" s="18"/>
      <c r="BA430" s="19"/>
      <c r="BB430" s="22"/>
      <c r="BC430" s="23">
        <v>600000.0</v>
      </c>
      <c r="BD430" s="18"/>
      <c r="BE430" s="18"/>
      <c r="BF430" s="19"/>
      <c r="BG430" s="22"/>
      <c r="BH430" s="23">
        <v>600000.0</v>
      </c>
      <c r="BI430" s="18"/>
      <c r="BJ430" s="18"/>
      <c r="BK430" s="19"/>
      <c r="BL430" s="22"/>
      <c r="BM430" s="23">
        <v>600000.0</v>
      </c>
      <c r="BN430" s="18"/>
      <c r="BO430" s="18"/>
      <c r="BP430" s="19"/>
      <c r="BQ430" s="17" t="s">
        <v>33</v>
      </c>
      <c r="BR430" s="1"/>
      <c r="BS430" s="1"/>
      <c r="BT430" s="1"/>
      <c r="BU430" s="1"/>
    </row>
    <row r="431">
      <c r="A431" s="1"/>
      <c r="B431" s="21"/>
      <c r="C431" s="11" t="s">
        <v>45</v>
      </c>
      <c r="D431" s="22"/>
      <c r="E431" s="18"/>
      <c r="F431" s="18"/>
      <c r="G431" s="23" t="s">
        <v>677</v>
      </c>
      <c r="H431" s="19"/>
      <c r="I431" s="22"/>
      <c r="J431" s="18"/>
      <c r="K431" s="18"/>
      <c r="L431" s="23" t="s">
        <v>677</v>
      </c>
      <c r="M431" s="93" t="s">
        <v>677</v>
      </c>
      <c r="N431" s="23" t="s">
        <v>677</v>
      </c>
      <c r="O431" s="23" t="s">
        <v>677</v>
      </c>
      <c r="P431" s="23" t="s">
        <v>677</v>
      </c>
      <c r="Q431" s="23" t="s">
        <v>677</v>
      </c>
      <c r="R431" s="93" t="s">
        <v>677</v>
      </c>
      <c r="S431" s="23" t="s">
        <v>677</v>
      </c>
      <c r="T431" s="23" t="s">
        <v>677</v>
      </c>
      <c r="U431" s="23" t="s">
        <v>677</v>
      </c>
      <c r="V431" s="23" t="s">
        <v>677</v>
      </c>
      <c r="W431" s="93" t="s">
        <v>677</v>
      </c>
      <c r="X431" s="23" t="s">
        <v>677</v>
      </c>
      <c r="Y431" s="23" t="s">
        <v>677</v>
      </c>
      <c r="Z431" s="23" t="s">
        <v>677</v>
      </c>
      <c r="AA431" s="23" t="s">
        <v>677</v>
      </c>
      <c r="AB431" s="93" t="s">
        <v>677</v>
      </c>
      <c r="AC431" s="23" t="s">
        <v>677</v>
      </c>
      <c r="AD431" s="23" t="s">
        <v>677</v>
      </c>
      <c r="AE431" s="23" t="s">
        <v>677</v>
      </c>
      <c r="AF431" s="23" t="s">
        <v>677</v>
      </c>
      <c r="AG431" s="93" t="s">
        <v>677</v>
      </c>
      <c r="AH431" s="23" t="s">
        <v>677</v>
      </c>
      <c r="AI431" s="23" t="s">
        <v>677</v>
      </c>
      <c r="AJ431" s="23" t="s">
        <v>677</v>
      </c>
      <c r="AK431" s="23" t="s">
        <v>677</v>
      </c>
      <c r="AL431" s="93" t="s">
        <v>677</v>
      </c>
      <c r="AM431" s="23" t="s">
        <v>677</v>
      </c>
      <c r="AN431" s="23" t="s">
        <v>677</v>
      </c>
      <c r="AO431" s="23" t="s">
        <v>677</v>
      </c>
      <c r="AP431" s="23" t="s">
        <v>677</v>
      </c>
      <c r="AQ431" s="93" t="s">
        <v>677</v>
      </c>
      <c r="AR431" s="23" t="s">
        <v>677</v>
      </c>
      <c r="AS431" s="23" t="s">
        <v>677</v>
      </c>
      <c r="AT431" s="23" t="s">
        <v>677</v>
      </c>
      <c r="AU431" s="23" t="s">
        <v>677</v>
      </c>
      <c r="AV431" s="93" t="s">
        <v>677</v>
      </c>
      <c r="AW431" s="23" t="s">
        <v>677</v>
      </c>
      <c r="AX431" s="23" t="s">
        <v>677</v>
      </c>
      <c r="AY431" s="23" t="s">
        <v>677</v>
      </c>
      <c r="AZ431" s="23" t="s">
        <v>677</v>
      </c>
      <c r="BA431" s="93" t="s">
        <v>677</v>
      </c>
      <c r="BB431" s="23" t="s">
        <v>677</v>
      </c>
      <c r="BC431" s="23" t="s">
        <v>677</v>
      </c>
      <c r="BD431" s="23" t="s">
        <v>677</v>
      </c>
      <c r="BE431" s="23" t="s">
        <v>677</v>
      </c>
      <c r="BF431" s="93" t="s">
        <v>677</v>
      </c>
      <c r="BG431" s="23" t="s">
        <v>677</v>
      </c>
      <c r="BH431" s="23" t="s">
        <v>677</v>
      </c>
      <c r="BI431" s="23" t="s">
        <v>677</v>
      </c>
      <c r="BJ431" s="23" t="s">
        <v>677</v>
      </c>
      <c r="BK431" s="19"/>
      <c r="BL431" s="23" t="s">
        <v>677</v>
      </c>
      <c r="BM431" s="23" t="s">
        <v>677</v>
      </c>
      <c r="BN431" s="23" t="s">
        <v>677</v>
      </c>
      <c r="BO431" s="23" t="s">
        <v>677</v>
      </c>
      <c r="BP431" s="19"/>
      <c r="BQ431" s="17" t="s">
        <v>33</v>
      </c>
      <c r="BR431" s="1"/>
      <c r="BS431" s="1"/>
      <c r="BT431" s="1"/>
      <c r="BU431" s="1"/>
    </row>
    <row r="432">
      <c r="A432" s="56" t="s">
        <v>678</v>
      </c>
      <c r="B432" s="10" t="s">
        <v>728</v>
      </c>
      <c r="C432" s="11" t="s">
        <v>47</v>
      </c>
      <c r="D432" s="22"/>
      <c r="E432" s="18"/>
      <c r="F432" s="18"/>
      <c r="G432" s="23">
        <v>30800.0</v>
      </c>
      <c r="H432" s="19"/>
      <c r="I432" s="22"/>
      <c r="J432" s="18"/>
      <c r="K432" s="18"/>
      <c r="L432" s="23">
        <v>43880.0</v>
      </c>
      <c r="M432" s="19"/>
      <c r="N432" s="22"/>
      <c r="O432" s="18"/>
      <c r="P432" s="18"/>
      <c r="Q432" s="23">
        <v>44920.0</v>
      </c>
      <c r="R432" s="24"/>
      <c r="S432" s="18"/>
      <c r="T432" s="18"/>
      <c r="U432" s="18"/>
      <c r="V432" s="23">
        <v>48550.0</v>
      </c>
      <c r="W432" s="24"/>
      <c r="X432" s="18"/>
      <c r="Y432" s="18"/>
      <c r="Z432" s="18"/>
      <c r="AA432" s="23">
        <v>36610.0</v>
      </c>
      <c r="AB432" s="24"/>
      <c r="AC432" s="18"/>
      <c r="AD432" s="18"/>
      <c r="AE432" s="18"/>
      <c r="AF432" s="23">
        <v>45430.0</v>
      </c>
      <c r="AG432" s="24"/>
      <c r="AH432" s="18"/>
      <c r="AI432" s="18"/>
      <c r="AJ432" s="18"/>
      <c r="AK432" s="23">
        <v>92750.0</v>
      </c>
      <c r="AL432" s="24"/>
      <c r="AM432" s="18"/>
      <c r="AN432" s="18"/>
      <c r="AO432" s="18"/>
      <c r="AP432" s="23">
        <v>68270.0</v>
      </c>
      <c r="AQ432" s="24"/>
      <c r="AR432" s="18"/>
      <c r="AS432" s="96">
        <f t="shared" ref="AS432:AS436" si="12">AU432</f>
        <v>68950</v>
      </c>
      <c r="AT432" s="18"/>
      <c r="AU432" s="23">
        <v>68950.0</v>
      </c>
      <c r="AV432" s="24"/>
      <c r="AW432" s="18"/>
      <c r="AX432" s="23">
        <f t="shared" ref="AX432:AX437" si="13">AZ432</f>
        <v>94710</v>
      </c>
      <c r="AY432" s="18"/>
      <c r="AZ432" s="23">
        <v>94710.0</v>
      </c>
      <c r="BA432" s="24"/>
      <c r="BB432" s="18"/>
      <c r="BC432" s="23">
        <f t="shared" ref="BC432:BC437" si="14">BE432</f>
        <v>28330</v>
      </c>
      <c r="BD432" s="18"/>
      <c r="BE432" s="23">
        <v>28330.0</v>
      </c>
      <c r="BF432" s="24"/>
      <c r="BG432" s="18"/>
      <c r="BH432" s="18"/>
      <c r="BI432" s="18"/>
      <c r="BJ432" s="23">
        <v>38860.0</v>
      </c>
      <c r="BK432" s="19"/>
      <c r="BL432" s="18"/>
      <c r="BM432" s="18"/>
      <c r="BN432" s="18"/>
      <c r="BO432" s="18"/>
      <c r="BP432" s="19"/>
      <c r="BQ432" s="17" t="s">
        <v>33</v>
      </c>
      <c r="BR432" s="1"/>
      <c r="BS432" s="1"/>
      <c r="BT432" s="1"/>
      <c r="BU432" s="1"/>
    </row>
    <row r="433">
      <c r="A433" s="56" t="s">
        <v>678</v>
      </c>
      <c r="B433" s="10" t="s">
        <v>729</v>
      </c>
      <c r="C433" s="11" t="s">
        <v>49</v>
      </c>
      <c r="D433" s="22"/>
      <c r="E433" s="18"/>
      <c r="F433" s="18"/>
      <c r="G433" s="23">
        <v>100980.0</v>
      </c>
      <c r="H433" s="19"/>
      <c r="I433" s="22"/>
      <c r="J433" s="18"/>
      <c r="K433" s="18"/>
      <c r="L433" s="23">
        <v>85900.0</v>
      </c>
      <c r="M433" s="19"/>
      <c r="N433" s="22"/>
      <c r="O433" s="18"/>
      <c r="P433" s="18"/>
      <c r="Q433" s="23">
        <v>74750.0</v>
      </c>
      <c r="R433" s="24"/>
      <c r="S433" s="18"/>
      <c r="T433" s="18"/>
      <c r="U433" s="18"/>
      <c r="V433" s="23">
        <v>49330.0</v>
      </c>
      <c r="W433" s="24"/>
      <c r="X433" s="18"/>
      <c r="Y433" s="18"/>
      <c r="Z433" s="18"/>
      <c r="AA433" s="23">
        <v>26670.0</v>
      </c>
      <c r="AB433" s="24"/>
      <c r="AC433" s="18"/>
      <c r="AD433" s="18"/>
      <c r="AE433" s="18"/>
      <c r="AF433" s="23">
        <v>14000.0</v>
      </c>
      <c r="AG433" s="24"/>
      <c r="AH433" s="18"/>
      <c r="AI433" s="18"/>
      <c r="AJ433" s="18"/>
      <c r="AK433" s="23">
        <v>11160.0</v>
      </c>
      <c r="AL433" s="24"/>
      <c r="AM433" s="18"/>
      <c r="AN433" s="18"/>
      <c r="AO433" s="18"/>
      <c r="AP433" s="23">
        <v>6500.0</v>
      </c>
      <c r="AQ433" s="24"/>
      <c r="AR433" s="18"/>
      <c r="AS433" s="96">
        <f t="shared" si="12"/>
        <v>24330</v>
      </c>
      <c r="AT433" s="18"/>
      <c r="AU433" s="23">
        <v>24330.0</v>
      </c>
      <c r="AV433" s="24"/>
      <c r="AW433" s="18"/>
      <c r="AX433" s="23">
        <f t="shared" si="13"/>
        <v>24350</v>
      </c>
      <c r="AY433" s="18"/>
      <c r="AZ433" s="23">
        <v>24350.0</v>
      </c>
      <c r="BA433" s="24"/>
      <c r="BB433" s="18"/>
      <c r="BC433" s="23">
        <f t="shared" si="14"/>
        <v>50360</v>
      </c>
      <c r="BD433" s="18"/>
      <c r="BE433" s="23">
        <v>50360.0</v>
      </c>
      <c r="BF433" s="24"/>
      <c r="BG433" s="18"/>
      <c r="BH433" s="18"/>
      <c r="BI433" s="18"/>
      <c r="BJ433" s="23">
        <v>0.0</v>
      </c>
      <c r="BK433" s="19"/>
      <c r="BL433" s="18"/>
      <c r="BM433" s="18"/>
      <c r="BN433" s="18"/>
      <c r="BO433" s="18"/>
      <c r="BP433" s="19"/>
      <c r="BQ433" s="17" t="s">
        <v>33</v>
      </c>
      <c r="BR433" s="1"/>
      <c r="BS433" s="1"/>
      <c r="BT433" s="1"/>
      <c r="BU433" s="1"/>
    </row>
    <row r="434">
      <c r="A434" s="56" t="s">
        <v>678</v>
      </c>
      <c r="B434" s="10" t="s">
        <v>680</v>
      </c>
      <c r="C434" s="11" t="s">
        <v>51</v>
      </c>
      <c r="D434" s="22"/>
      <c r="E434" s="18"/>
      <c r="F434" s="18"/>
      <c r="G434" s="23">
        <v>34000.0</v>
      </c>
      <c r="H434" s="19"/>
      <c r="I434" s="22"/>
      <c r="J434" s="18"/>
      <c r="K434" s="1"/>
      <c r="L434" s="18"/>
      <c r="M434" s="19"/>
      <c r="N434" s="22"/>
      <c r="O434" s="18"/>
      <c r="P434" s="18"/>
      <c r="Q434" s="23" t="s">
        <v>677</v>
      </c>
      <c r="R434" s="93" t="s">
        <v>677</v>
      </c>
      <c r="S434" s="23" t="s">
        <v>677</v>
      </c>
      <c r="T434" s="23" t="s">
        <v>677</v>
      </c>
      <c r="U434" s="23" t="s">
        <v>677</v>
      </c>
      <c r="V434" s="23" t="s">
        <v>677</v>
      </c>
      <c r="W434" s="93" t="s">
        <v>677</v>
      </c>
      <c r="X434" s="23" t="s">
        <v>677</v>
      </c>
      <c r="Y434" s="23" t="s">
        <v>677</v>
      </c>
      <c r="Z434" s="23" t="s">
        <v>677</v>
      </c>
      <c r="AA434" s="23" t="s">
        <v>677</v>
      </c>
      <c r="AB434" s="93" t="s">
        <v>677</v>
      </c>
      <c r="AC434" s="23" t="s">
        <v>677</v>
      </c>
      <c r="AD434" s="23" t="s">
        <v>677</v>
      </c>
      <c r="AE434" s="23" t="s">
        <v>677</v>
      </c>
      <c r="AF434" s="23">
        <v>47300.0</v>
      </c>
      <c r="AG434" s="93" t="s">
        <v>677</v>
      </c>
      <c r="AH434" s="23" t="s">
        <v>677</v>
      </c>
      <c r="AI434" s="23" t="s">
        <v>677</v>
      </c>
      <c r="AJ434" s="23" t="s">
        <v>677</v>
      </c>
      <c r="AK434" s="23" t="s">
        <v>677</v>
      </c>
      <c r="AL434" s="93" t="s">
        <v>677</v>
      </c>
      <c r="AM434" s="23" t="s">
        <v>677</v>
      </c>
      <c r="AN434" s="23" t="s">
        <v>677</v>
      </c>
      <c r="AO434" s="23" t="s">
        <v>677</v>
      </c>
      <c r="AP434" s="23" t="s">
        <v>677</v>
      </c>
      <c r="AQ434" s="93" t="s">
        <v>677</v>
      </c>
      <c r="AR434" s="23" t="s">
        <v>677</v>
      </c>
      <c r="AS434" s="97" t="str">
        <f t="shared" si="12"/>
        <v>-</v>
      </c>
      <c r="AT434" s="23" t="s">
        <v>677</v>
      </c>
      <c r="AU434" s="23" t="s">
        <v>677</v>
      </c>
      <c r="AV434" s="93" t="s">
        <v>677</v>
      </c>
      <c r="AW434" s="23" t="s">
        <v>677</v>
      </c>
      <c r="AX434" s="23">
        <f t="shared" si="13"/>
        <v>45000</v>
      </c>
      <c r="AY434" s="23" t="s">
        <v>677</v>
      </c>
      <c r="AZ434" s="55">
        <v>45000.0</v>
      </c>
      <c r="BA434" s="93" t="s">
        <v>677</v>
      </c>
      <c r="BB434" s="23" t="s">
        <v>677</v>
      </c>
      <c r="BC434" s="23" t="str">
        <f t="shared" si="14"/>
        <v>-</v>
      </c>
      <c r="BD434" s="23" t="s">
        <v>677</v>
      </c>
      <c r="BE434" s="23" t="s">
        <v>677</v>
      </c>
      <c r="BF434" s="93" t="s">
        <v>677</v>
      </c>
      <c r="BG434" s="23" t="s">
        <v>677</v>
      </c>
      <c r="BH434" s="23" t="s">
        <v>677</v>
      </c>
      <c r="BI434" s="23" t="s">
        <v>677</v>
      </c>
      <c r="BJ434" s="23" t="s">
        <v>677</v>
      </c>
      <c r="BK434" s="19"/>
      <c r="BL434" s="23" t="s">
        <v>677</v>
      </c>
      <c r="BM434" s="23" t="s">
        <v>677</v>
      </c>
      <c r="BN434" s="23" t="s">
        <v>677</v>
      </c>
      <c r="BO434" s="23" t="s">
        <v>677</v>
      </c>
      <c r="BP434" s="19"/>
      <c r="BQ434" s="17" t="s">
        <v>33</v>
      </c>
      <c r="BR434" s="1"/>
      <c r="BS434" s="1"/>
      <c r="BT434" s="1"/>
      <c r="BU434" s="1"/>
    </row>
    <row r="435">
      <c r="A435" s="56" t="s">
        <v>678</v>
      </c>
      <c r="B435" s="21"/>
      <c r="C435" s="11" t="s">
        <v>52</v>
      </c>
      <c r="D435" s="22"/>
      <c r="E435" s="18"/>
      <c r="F435" s="18"/>
      <c r="G435" s="23">
        <v>22000.0</v>
      </c>
      <c r="H435" s="19"/>
      <c r="I435" s="22"/>
      <c r="J435" s="18"/>
      <c r="K435" s="18"/>
      <c r="L435" s="23">
        <v>22000.0</v>
      </c>
      <c r="M435" s="19"/>
      <c r="N435" s="22"/>
      <c r="O435" s="18"/>
      <c r="P435" s="18"/>
      <c r="Q435" s="23">
        <v>22000.0</v>
      </c>
      <c r="R435" s="19"/>
      <c r="S435" s="22"/>
      <c r="T435" s="18"/>
      <c r="U435" s="18"/>
      <c r="V435" s="23">
        <v>22000.0</v>
      </c>
      <c r="W435" s="19"/>
      <c r="X435" s="22"/>
      <c r="Y435" s="18"/>
      <c r="Z435" s="18"/>
      <c r="AA435" s="23">
        <v>22000.0</v>
      </c>
      <c r="AB435" s="19"/>
      <c r="AC435" s="22"/>
      <c r="AD435" s="18"/>
      <c r="AE435" s="18"/>
      <c r="AF435" s="23">
        <v>22000.0</v>
      </c>
      <c r="AG435" s="19"/>
      <c r="AH435" s="22"/>
      <c r="AI435" s="18"/>
      <c r="AJ435" s="18"/>
      <c r="AK435" s="23">
        <v>22000.0</v>
      </c>
      <c r="AL435" s="19"/>
      <c r="AM435" s="22"/>
      <c r="AN435" s="18"/>
      <c r="AO435" s="18"/>
      <c r="AP435" s="23">
        <v>22000.0</v>
      </c>
      <c r="AQ435" s="19"/>
      <c r="AR435" s="22"/>
      <c r="AS435" s="96">
        <f t="shared" si="12"/>
        <v>22000</v>
      </c>
      <c r="AT435" s="18"/>
      <c r="AU435" s="23">
        <v>22000.0</v>
      </c>
      <c r="AV435" s="19"/>
      <c r="AW435" s="22"/>
      <c r="AX435" s="23">
        <f t="shared" si="13"/>
        <v>22000</v>
      </c>
      <c r="AY435" s="18"/>
      <c r="AZ435" s="23">
        <v>22000.0</v>
      </c>
      <c r="BA435" s="19"/>
      <c r="BB435" s="22"/>
      <c r="BC435" s="23">
        <f t="shared" si="14"/>
        <v>22000</v>
      </c>
      <c r="BD435" s="18"/>
      <c r="BE435" s="23">
        <v>22000.0</v>
      </c>
      <c r="BF435" s="19"/>
      <c r="BG435" s="22"/>
      <c r="BH435" s="18"/>
      <c r="BI435" s="18"/>
      <c r="BJ435" s="23">
        <v>22000.0</v>
      </c>
      <c r="BK435" s="19"/>
      <c r="BL435" s="22"/>
      <c r="BM435" s="18"/>
      <c r="BN435" s="18"/>
      <c r="BO435" s="23">
        <v>22000.0</v>
      </c>
      <c r="BP435" s="19"/>
      <c r="BQ435" s="17" t="s">
        <v>33</v>
      </c>
      <c r="BR435" s="1"/>
      <c r="BS435" s="1"/>
      <c r="BT435" s="1"/>
      <c r="BU435" s="1"/>
    </row>
    <row r="436">
      <c r="A436" s="56" t="s">
        <v>678</v>
      </c>
      <c r="B436" s="21"/>
      <c r="C436" s="11" t="s">
        <v>53</v>
      </c>
      <c r="D436" s="22"/>
      <c r="E436" s="18"/>
      <c r="F436" s="18"/>
      <c r="G436" s="23">
        <v>11000.0</v>
      </c>
      <c r="H436" s="19"/>
      <c r="I436" s="22"/>
      <c r="J436" s="18"/>
      <c r="K436" s="18"/>
      <c r="L436" s="23">
        <v>11000.0</v>
      </c>
      <c r="M436" s="19"/>
      <c r="N436" s="22"/>
      <c r="O436" s="18"/>
      <c r="P436" s="18"/>
      <c r="Q436" s="23">
        <v>11000.0</v>
      </c>
      <c r="R436" s="19"/>
      <c r="S436" s="22"/>
      <c r="T436" s="18"/>
      <c r="U436" s="18"/>
      <c r="V436" s="23">
        <v>11000.0</v>
      </c>
      <c r="W436" s="19"/>
      <c r="X436" s="22"/>
      <c r="Y436" s="18"/>
      <c r="Z436" s="18"/>
      <c r="AA436" s="23">
        <v>11000.0</v>
      </c>
      <c r="AB436" s="19"/>
      <c r="AC436" s="22"/>
      <c r="AD436" s="18"/>
      <c r="AE436" s="18"/>
      <c r="AF436" s="23">
        <v>11000.0</v>
      </c>
      <c r="AG436" s="19"/>
      <c r="AH436" s="22"/>
      <c r="AI436" s="18"/>
      <c r="AJ436" s="18"/>
      <c r="AK436" s="23">
        <v>11000.0</v>
      </c>
      <c r="AL436" s="19"/>
      <c r="AM436" s="22"/>
      <c r="AN436" s="18"/>
      <c r="AO436" s="18"/>
      <c r="AP436" s="23">
        <v>11000.0</v>
      </c>
      <c r="AQ436" s="19"/>
      <c r="AR436" s="22"/>
      <c r="AS436" s="96">
        <f t="shared" si="12"/>
        <v>11000</v>
      </c>
      <c r="AT436" s="18"/>
      <c r="AU436" s="23">
        <v>11000.0</v>
      </c>
      <c r="AV436" s="19"/>
      <c r="AW436" s="22"/>
      <c r="AX436" s="23">
        <f t="shared" si="13"/>
        <v>11000</v>
      </c>
      <c r="AY436" s="18"/>
      <c r="AZ436" s="23">
        <v>11000.0</v>
      </c>
      <c r="BA436" s="19"/>
      <c r="BB436" s="22"/>
      <c r="BC436" s="23">
        <f t="shared" si="14"/>
        <v>11000</v>
      </c>
      <c r="BD436" s="18"/>
      <c r="BE436" s="23">
        <v>11000.0</v>
      </c>
      <c r="BF436" s="19"/>
      <c r="BG436" s="22"/>
      <c r="BH436" s="18"/>
      <c r="BI436" s="18"/>
      <c r="BJ436" s="23">
        <v>11000.0</v>
      </c>
      <c r="BK436" s="19"/>
      <c r="BL436" s="22"/>
      <c r="BM436" s="18"/>
      <c r="BN436" s="18"/>
      <c r="BO436" s="23">
        <v>11000.0</v>
      </c>
      <c r="BP436" s="19"/>
      <c r="BQ436" s="17" t="s">
        <v>33</v>
      </c>
      <c r="BR436" s="1"/>
      <c r="BS436" s="1"/>
      <c r="BT436" s="1"/>
      <c r="BU436" s="1"/>
    </row>
    <row r="437">
      <c r="A437" s="1"/>
      <c r="B437" s="21"/>
      <c r="C437" s="11" t="s">
        <v>54</v>
      </c>
      <c r="D437" s="22"/>
      <c r="E437" s="18"/>
      <c r="F437" s="18"/>
      <c r="G437" s="23">
        <f>SUMIFS('지출'!$G$3:$G1000,'지출'!$J$3:$J1000,G$1,'지출'!$C$3:$C1000,"무드")</f>
        <v>0</v>
      </c>
      <c r="H437" s="19"/>
      <c r="I437" s="22"/>
      <c r="J437" s="18"/>
      <c r="K437" s="18"/>
      <c r="L437" s="23">
        <f>SUMIFS('지출'!$G$3:$G1000,'지출'!$J$3:$J1000,L$1,'지출'!$C$3:$C1000,"무드")</f>
        <v>0</v>
      </c>
      <c r="M437" s="24"/>
      <c r="N437" s="18"/>
      <c r="O437" s="18"/>
      <c r="P437" s="18"/>
      <c r="Q437" s="23">
        <f>SUMIFS('지출'!$G$3:$G1000,'지출'!$J$3:$J1000,Q$1,'지출'!$C$3:$C1000,"무드")</f>
        <v>338800</v>
      </c>
      <c r="R437" s="24"/>
      <c r="S437" s="18"/>
      <c r="T437" s="18"/>
      <c r="U437" s="18"/>
      <c r="V437" s="23">
        <f>SUMIFS('지출'!$G$3:$G1000,'지출'!$J$3:$J1000,V$1,'지출'!$C$3:$C1000,"무드")</f>
        <v>0</v>
      </c>
      <c r="W437" s="24"/>
      <c r="X437" s="18"/>
      <c r="Y437" s="18"/>
      <c r="Z437" s="18"/>
      <c r="AA437" s="23">
        <f>SUMIFS('지출'!$G$3:$G1000,'지출'!$J$3:$J1000,AA$1,'지출'!$C$3:$C1000,"무드")</f>
        <v>0</v>
      </c>
      <c r="AB437" s="24"/>
      <c r="AC437" s="18"/>
      <c r="AD437" s="18"/>
      <c r="AE437" s="18"/>
      <c r="AF437" s="23">
        <f>SUMIFS('지출'!$G$3:$G1000,'지출'!$J$3:$J1000,AF$1,'지출'!$C$3:$C1000,"무드")</f>
        <v>0</v>
      </c>
      <c r="AG437" s="24"/>
      <c r="AH437" s="18"/>
      <c r="AI437" s="18"/>
      <c r="AJ437" s="18"/>
      <c r="AK437" s="23">
        <f>SUMIFS('지출'!$G$3:$G1000,'지출'!$J$3:$J1000,AK$1,'지출'!$C$3:$C1000,"무드")</f>
        <v>0</v>
      </c>
      <c r="AL437" s="24"/>
      <c r="AM437" s="18"/>
      <c r="AN437" s="95">
        <f>250000+567230</f>
        <v>817230</v>
      </c>
      <c r="AO437" s="18"/>
      <c r="AP437" s="23">
        <f>SUMIFS('지출'!$G$3:$G1000,'지출'!$J$3:$J1000,AP$1,'지출'!$C$3:$C1000,"무드")</f>
        <v>0</v>
      </c>
      <c r="AQ437" s="24"/>
      <c r="AR437" s="18"/>
      <c r="AS437" s="23">
        <v>420110.0</v>
      </c>
      <c r="AT437" s="18"/>
      <c r="AU437" s="23">
        <f>SUMIFS('지출'!$G$3:$G1000,'지출'!$J$3:$J1000,AU$1,'지출'!$C$3:$C1000,"무드")</f>
        <v>0</v>
      </c>
      <c r="AV437" s="24"/>
      <c r="AW437" s="18"/>
      <c r="AX437" s="23">
        <f t="shared" si="13"/>
        <v>0</v>
      </c>
      <c r="AY437" s="18"/>
      <c r="AZ437" s="23">
        <f>SUMIFS('지출'!$G$3:$G1000,'지출'!$J$3:$J1000,AZ$1,'지출'!$C$3:$C1000,"무드")</f>
        <v>0</v>
      </c>
      <c r="BA437" s="24"/>
      <c r="BB437" s="18"/>
      <c r="BC437" s="23">
        <f t="shared" si="14"/>
        <v>0</v>
      </c>
      <c r="BD437" s="18"/>
      <c r="BE437" s="23">
        <f>SUMIFS('지출'!$G$3:$G1000,'지출'!$J$3:$J1000,BE$1,'지출'!$C$3:$C1000,"무드")</f>
        <v>0</v>
      </c>
      <c r="BF437" s="24"/>
      <c r="BG437" s="18"/>
      <c r="BH437" s="18"/>
      <c r="BI437" s="18"/>
      <c r="BJ437" s="23">
        <f>SUMIFS('지출'!$G$3:$G1000,'지출'!$J$3:$J1000,BJ$1,'지출'!$C$3:$C1000,"무드")</f>
        <v>0</v>
      </c>
      <c r="BK437" s="19"/>
      <c r="BL437" s="18"/>
      <c r="BM437" s="18"/>
      <c r="BN437" s="18"/>
      <c r="BO437" s="23">
        <f>SUMIFS('지출'!$G$3:$G1000,'지출'!$J$3:$J1000,BO$1,'지출'!$C$3:$C1000,"무드")</f>
        <v>0</v>
      </c>
      <c r="BP437" s="19"/>
      <c r="BQ437" s="17" t="s">
        <v>33</v>
      </c>
      <c r="BR437" s="1"/>
      <c r="BS437" s="1"/>
      <c r="BT437" s="1"/>
      <c r="BU437" s="1"/>
    </row>
    <row r="438">
      <c r="A438" s="1"/>
      <c r="B438" s="21"/>
      <c r="C438" s="11" t="s">
        <v>56</v>
      </c>
      <c r="D438" s="22"/>
      <c r="E438" s="23">
        <f>E429-(SUM(E430:E437))</f>
        <v>320000</v>
      </c>
      <c r="F438" s="18"/>
      <c r="G438" s="23">
        <f>G429-(SUM(G430:G437))</f>
        <v>-38780</v>
      </c>
      <c r="H438" s="19"/>
      <c r="I438" s="22"/>
      <c r="J438" s="23">
        <f>J429-(SUM(J430:J437))</f>
        <v>0</v>
      </c>
      <c r="K438" s="18"/>
      <c r="L438" s="23">
        <f>L429-(SUM(L430:L437))</f>
        <v>-8297</v>
      </c>
      <c r="M438" s="19"/>
      <c r="N438" s="22"/>
      <c r="O438" s="23">
        <f>O429-(SUM(O430:O437))</f>
        <v>-131318</v>
      </c>
      <c r="P438" s="18"/>
      <c r="Q438" s="23">
        <f>Q429-(SUM(Q430:Q437))</f>
        <v>-168928</v>
      </c>
      <c r="R438" s="19"/>
      <c r="S438" s="22"/>
      <c r="T438" s="23">
        <f>T429-(SUM(T430:T437))</f>
        <v>883682</v>
      </c>
      <c r="U438" s="18"/>
      <c r="V438" s="23">
        <f>V429-(SUM(V430:V437))</f>
        <v>189120</v>
      </c>
      <c r="W438" s="19"/>
      <c r="X438" s="18"/>
      <c r="Y438" s="23">
        <f>Y429-(SUM(Y430:Y437))</f>
        <v>1015000</v>
      </c>
      <c r="Z438" s="18"/>
      <c r="AA438" s="23">
        <f>AA429-(SUM(AA430:AA437))</f>
        <v>223720</v>
      </c>
      <c r="AB438" s="19"/>
      <c r="AC438" s="18"/>
      <c r="AD438" s="23">
        <f>AD429-(SUM(AD430:AD437))</f>
        <v>1015000</v>
      </c>
      <c r="AE438" s="18"/>
      <c r="AF438" s="23">
        <f>AF429-(SUM(AF430:AF437))</f>
        <v>180270</v>
      </c>
      <c r="AG438" s="19"/>
      <c r="AH438" s="18"/>
      <c r="AI438" s="23">
        <f>AI429-(SUM(AI430:AI437))</f>
        <v>1010500</v>
      </c>
      <c r="AJ438" s="18"/>
      <c r="AK438" s="23">
        <f>AK429-(SUM(AK430:AK437))</f>
        <v>183090</v>
      </c>
      <c r="AL438" s="19"/>
      <c r="AM438" s="18"/>
      <c r="AN438" s="23">
        <f>AN429-(SUM(AN430:AN437))</f>
        <v>15195</v>
      </c>
      <c r="AO438" s="18"/>
      <c r="AP438" s="23">
        <f>AP429-(SUM(AP430:AP437))</f>
        <v>181246</v>
      </c>
      <c r="AQ438" s="19"/>
      <c r="AR438" s="22"/>
      <c r="AS438" s="23">
        <f>AS429-(SUM(AS430:AS437))-AS429*10%</f>
        <v>528373.2</v>
      </c>
      <c r="AT438" s="18"/>
      <c r="AU438" s="23">
        <f>AU429-(SUM(AU430:AU437))</f>
        <v>-126280</v>
      </c>
      <c r="AV438" s="19"/>
      <c r="AW438" s="22"/>
      <c r="AX438" s="23">
        <f>AX429-(SUM(AX430:AX437))-(AX429*10%)</f>
        <v>1483083.7</v>
      </c>
      <c r="AY438" s="18"/>
      <c r="AZ438" s="23">
        <f>AZ429-(SUM(AZ430:AZ437))</f>
        <v>-42221.29032</v>
      </c>
      <c r="BA438" s="19"/>
      <c r="BB438" s="22"/>
      <c r="BC438" s="23">
        <f>BC429-(SUM(BC430:BC437))</f>
        <v>956571.2903</v>
      </c>
      <c r="BD438" s="18"/>
      <c r="BE438" s="23">
        <f>BE429-(SUM(BE430:BE437))</f>
        <v>-111690</v>
      </c>
      <c r="BF438" s="19"/>
      <c r="BG438" s="22"/>
      <c r="BH438" s="23">
        <f>BH429-(SUM(BH430:BH437))</f>
        <v>1328914.286</v>
      </c>
      <c r="BI438" s="18"/>
      <c r="BJ438" s="23">
        <f>BJ429-(SUM(BJ430:BJ437))</f>
        <v>-71860</v>
      </c>
      <c r="BK438" s="19"/>
      <c r="BL438" s="22"/>
      <c r="BM438" s="23">
        <f>BM429-(SUM(BM430:BM437))</f>
        <v>540165.7143</v>
      </c>
      <c r="BN438" s="18"/>
      <c r="BO438" s="23">
        <f>BO429-(SUM(BO430:BO437))</f>
        <v>-33000</v>
      </c>
      <c r="BP438" s="19"/>
      <c r="BQ438" s="17" t="s">
        <v>33</v>
      </c>
      <c r="BR438" s="1"/>
      <c r="BS438" s="1"/>
      <c r="BT438" s="1"/>
      <c r="BU438" s="1"/>
    </row>
    <row r="439">
      <c r="A439" s="1"/>
      <c r="B439" s="27">
        <v>0.5</v>
      </c>
      <c r="C439" s="11" t="s">
        <v>26</v>
      </c>
      <c r="D439" s="22"/>
      <c r="E439" s="23">
        <f>E438*$B439</f>
        <v>160000</v>
      </c>
      <c r="F439" s="18"/>
      <c r="G439" s="18"/>
      <c r="H439" s="19"/>
      <c r="I439" s="22"/>
      <c r="J439" s="23">
        <f>J438*$B439</f>
        <v>0</v>
      </c>
      <c r="K439" s="18"/>
      <c r="L439" s="18"/>
      <c r="M439" s="19"/>
      <c r="N439" s="22"/>
      <c r="O439" s="23">
        <f>O438*$B439</f>
        <v>-65659</v>
      </c>
      <c r="P439" s="18"/>
      <c r="Q439" s="18"/>
      <c r="R439" s="19"/>
      <c r="S439" s="22"/>
      <c r="T439" s="23">
        <f>T438*$B439</f>
        <v>441841</v>
      </c>
      <c r="U439" s="18"/>
      <c r="V439" s="18"/>
      <c r="W439" s="19"/>
      <c r="X439" s="18"/>
      <c r="Y439" s="23">
        <f>Y438*$B439</f>
        <v>507500</v>
      </c>
      <c r="Z439" s="18"/>
      <c r="AA439" s="18"/>
      <c r="AB439" s="19"/>
      <c r="AC439" s="18"/>
      <c r="AD439" s="23">
        <f>AD438*$B439</f>
        <v>507500</v>
      </c>
      <c r="AE439" s="18"/>
      <c r="AF439" s="18"/>
      <c r="AG439" s="19"/>
      <c r="AH439" s="18"/>
      <c r="AI439" s="23">
        <f>AI438*$B439</f>
        <v>505250</v>
      </c>
      <c r="AJ439" s="18"/>
      <c r="AK439" s="18"/>
      <c r="AL439" s="19"/>
      <c r="AM439" s="18"/>
      <c r="AN439" s="23">
        <f>AN438*$B439</f>
        <v>7597.5</v>
      </c>
      <c r="AO439" s="18"/>
      <c r="AP439" s="18"/>
      <c r="AQ439" s="19"/>
      <c r="AR439" s="22"/>
      <c r="AS439" s="23">
        <f>AS438*$B439</f>
        <v>264186.6</v>
      </c>
      <c r="AT439" s="18"/>
      <c r="AU439" s="18"/>
      <c r="AV439" s="19"/>
      <c r="AW439" s="22"/>
      <c r="AX439" s="23">
        <f>AX438*$B439</f>
        <v>741541.85</v>
      </c>
      <c r="AY439" s="18"/>
      <c r="AZ439" s="18"/>
      <c r="BA439" s="19"/>
      <c r="BB439" s="22"/>
      <c r="BC439" s="23">
        <f>BC438*$B439</f>
        <v>478285.6452</v>
      </c>
      <c r="BD439" s="18"/>
      <c r="BE439" s="18"/>
      <c r="BF439" s="19"/>
      <c r="BG439" s="22"/>
      <c r="BH439" s="23">
        <f>BH438*$B439</f>
        <v>664457.1429</v>
      </c>
      <c r="BI439" s="18"/>
      <c r="BJ439" s="18"/>
      <c r="BK439" s="19"/>
      <c r="BL439" s="22"/>
      <c r="BM439" s="23">
        <f>BM438*$B439</f>
        <v>270082.8571</v>
      </c>
      <c r="BN439" s="18"/>
      <c r="BO439" s="18"/>
      <c r="BP439" s="19"/>
      <c r="BQ439" s="17" t="s">
        <v>33</v>
      </c>
      <c r="BR439" s="1"/>
      <c r="BS439" s="1"/>
      <c r="BT439" s="1"/>
      <c r="BU439" s="1"/>
    </row>
    <row r="440">
      <c r="A440" s="56" t="str">
        <f>B425</f>
        <v>무드</v>
      </c>
      <c r="B440" s="29">
        <v>0.5</v>
      </c>
      <c r="C440" s="30" t="s">
        <v>57</v>
      </c>
      <c r="D440" s="31"/>
      <c r="E440" s="32">
        <f>E438*$B440</f>
        <v>160000</v>
      </c>
      <c r="F440" s="33"/>
      <c r="G440" s="33"/>
      <c r="H440" s="34"/>
      <c r="I440" s="31"/>
      <c r="J440" s="32">
        <f>J438*$B440</f>
        <v>0</v>
      </c>
      <c r="K440" s="33"/>
      <c r="L440" s="33"/>
      <c r="M440" s="34"/>
      <c r="N440" s="31"/>
      <c r="O440" s="32">
        <f>O438*$B440</f>
        <v>-65659</v>
      </c>
      <c r="P440" s="33"/>
      <c r="Q440" s="33"/>
      <c r="R440" s="34"/>
      <c r="S440" s="31"/>
      <c r="T440" s="32">
        <f>T438*$B440</f>
        <v>441841</v>
      </c>
      <c r="U440" s="33"/>
      <c r="V440" s="33"/>
      <c r="W440" s="34"/>
      <c r="X440" s="33"/>
      <c r="Y440" s="32">
        <f>Y438*$B440</f>
        <v>507500</v>
      </c>
      <c r="Z440" s="33"/>
      <c r="AA440" s="33"/>
      <c r="AB440" s="34"/>
      <c r="AC440" s="33"/>
      <c r="AD440" s="32">
        <f>AD438*$B440</f>
        <v>507500</v>
      </c>
      <c r="AE440" s="33"/>
      <c r="AF440" s="33"/>
      <c r="AG440" s="34"/>
      <c r="AH440" s="33"/>
      <c r="AI440" s="32">
        <f>AI438*$B440</f>
        <v>505250</v>
      </c>
      <c r="AJ440" s="33"/>
      <c r="AK440" s="33"/>
      <c r="AL440" s="34"/>
      <c r="AM440" s="33"/>
      <c r="AN440" s="32">
        <f>AN438*$B440</f>
        <v>7597.5</v>
      </c>
      <c r="AO440" s="33"/>
      <c r="AP440" s="33"/>
      <c r="AQ440" s="34"/>
      <c r="AR440" s="31"/>
      <c r="AS440" s="32">
        <f>AS438*$B440</f>
        <v>264186.6</v>
      </c>
      <c r="AT440" s="33"/>
      <c r="AU440" s="33"/>
      <c r="AV440" s="34"/>
      <c r="AW440" s="31"/>
      <c r="AX440" s="32">
        <f>AX438*$B440</f>
        <v>741541.85</v>
      </c>
      <c r="AY440" s="33"/>
      <c r="AZ440" s="33"/>
      <c r="BA440" s="34"/>
      <c r="BB440" s="31"/>
      <c r="BC440" s="32">
        <f>BC438*$B440</f>
        <v>478285.6452</v>
      </c>
      <c r="BD440" s="33"/>
      <c r="BE440" s="33"/>
      <c r="BF440" s="34"/>
      <c r="BG440" s="31"/>
      <c r="BH440" s="32">
        <f>BH438*$B440</f>
        <v>664457.1429</v>
      </c>
      <c r="BI440" s="33"/>
      <c r="BJ440" s="33"/>
      <c r="BK440" s="34"/>
      <c r="BL440" s="31"/>
      <c r="BM440" s="32">
        <f>BM438*$B440</f>
        <v>270082.8571</v>
      </c>
      <c r="BN440" s="33"/>
      <c r="BO440" s="33"/>
      <c r="BP440" s="34"/>
      <c r="BQ440" s="17" t="s">
        <v>33</v>
      </c>
      <c r="BR440" s="1"/>
      <c r="BS440" s="1"/>
      <c r="BT440" s="1"/>
      <c r="BU440" s="1"/>
    </row>
    <row r="441">
      <c r="A441" s="1"/>
      <c r="B441" s="10" t="s">
        <v>730</v>
      </c>
      <c r="C441" s="11" t="s">
        <v>731</v>
      </c>
      <c r="D441" s="20" t="s">
        <v>732</v>
      </c>
      <c r="E441" s="23">
        <v>550000.0</v>
      </c>
      <c r="F441" s="35" t="b">
        <v>1</v>
      </c>
      <c r="G441" s="23">
        <v>80000.0</v>
      </c>
      <c r="H441" s="15" t="b">
        <v>1</v>
      </c>
      <c r="I441" s="20" t="s">
        <v>732</v>
      </c>
      <c r="J441" s="23">
        <v>550000.0</v>
      </c>
      <c r="K441" s="35" t="b">
        <v>1</v>
      </c>
      <c r="L441" s="23">
        <v>80000.0</v>
      </c>
      <c r="M441" s="15" t="b">
        <v>1</v>
      </c>
      <c r="N441" s="20" t="s">
        <v>732</v>
      </c>
      <c r="O441" s="23">
        <v>550000.0</v>
      </c>
      <c r="P441" s="35" t="b">
        <v>1</v>
      </c>
      <c r="Q441" s="23">
        <v>80000.0</v>
      </c>
      <c r="R441" s="15" t="b">
        <v>1</v>
      </c>
      <c r="S441" s="20" t="s">
        <v>732</v>
      </c>
      <c r="T441" s="23">
        <v>550000.0</v>
      </c>
      <c r="U441" s="35" t="b">
        <v>1</v>
      </c>
      <c r="V441" s="23">
        <v>80000.0</v>
      </c>
      <c r="W441" s="15" t="b">
        <v>0</v>
      </c>
      <c r="X441" s="20" t="s">
        <v>732</v>
      </c>
      <c r="Y441" s="23">
        <v>550000.0</v>
      </c>
      <c r="Z441" s="35" t="b">
        <v>1</v>
      </c>
      <c r="AA441" s="23">
        <v>80000.0</v>
      </c>
      <c r="AB441" s="15" t="b">
        <v>1</v>
      </c>
      <c r="AC441" s="20" t="s">
        <v>732</v>
      </c>
      <c r="AD441" s="23">
        <v>550000.0</v>
      </c>
      <c r="AE441" s="35" t="b">
        <v>1</v>
      </c>
      <c r="AF441" s="23">
        <v>80000.0</v>
      </c>
      <c r="AG441" s="15" t="b">
        <v>1</v>
      </c>
      <c r="AH441" s="20" t="s">
        <v>732</v>
      </c>
      <c r="AI441" s="23">
        <v>550000.0</v>
      </c>
      <c r="AJ441" s="35" t="b">
        <v>1</v>
      </c>
      <c r="AK441" s="23">
        <v>80000.0</v>
      </c>
      <c r="AL441" s="15" t="b">
        <v>1</v>
      </c>
      <c r="AM441" s="20" t="s">
        <v>733</v>
      </c>
      <c r="AN441" s="23">
        <f>550000+32903</f>
        <v>582903</v>
      </c>
      <c r="AO441" s="35" t="b">
        <v>1</v>
      </c>
      <c r="AP441" s="23">
        <f>80000+5161</f>
        <v>85161</v>
      </c>
      <c r="AQ441" s="15" t="b">
        <v>1</v>
      </c>
      <c r="AR441" s="20" t="s">
        <v>734</v>
      </c>
      <c r="AS441" s="23">
        <f>550000+510000</f>
        <v>1060000</v>
      </c>
      <c r="AT441" s="35" t="b">
        <v>1</v>
      </c>
      <c r="AU441" s="23">
        <f>80000+80000</f>
        <v>160000</v>
      </c>
      <c r="AV441" s="15" t="b">
        <v>1</v>
      </c>
      <c r="AW441" s="20" t="s">
        <v>735</v>
      </c>
      <c r="AX441" s="23">
        <v>510000.0</v>
      </c>
      <c r="AY441" s="35" t="b">
        <v>1</v>
      </c>
      <c r="AZ441" s="23">
        <v>80000.0</v>
      </c>
      <c r="BA441" s="15" t="b">
        <v>1</v>
      </c>
      <c r="BB441" s="20" t="s">
        <v>735</v>
      </c>
      <c r="BC441" s="23">
        <v>510000.0</v>
      </c>
      <c r="BD441" s="35" t="b">
        <v>1</v>
      </c>
      <c r="BE441" s="23">
        <v>80000.0</v>
      </c>
      <c r="BF441" s="15" t="b">
        <v>1</v>
      </c>
      <c r="BG441" s="20" t="s">
        <v>735</v>
      </c>
      <c r="BH441" s="23">
        <v>510000.0</v>
      </c>
      <c r="BI441" s="35" t="b">
        <v>1</v>
      </c>
      <c r="BJ441" s="23">
        <v>80000.0</v>
      </c>
      <c r="BK441" s="15" t="b">
        <v>1</v>
      </c>
      <c r="BL441" s="20" t="s">
        <v>735</v>
      </c>
      <c r="BM441" s="23">
        <v>510000.0</v>
      </c>
      <c r="BN441" s="35" t="b">
        <v>0</v>
      </c>
      <c r="BO441" s="23">
        <v>80000.0</v>
      </c>
      <c r="BP441" s="15" t="b">
        <v>0</v>
      </c>
      <c r="BQ441" s="17" t="s">
        <v>33</v>
      </c>
      <c r="BR441" s="1"/>
      <c r="BS441" s="1"/>
      <c r="BT441" s="1"/>
      <c r="BU441" s="1"/>
    </row>
    <row r="442">
      <c r="A442" s="1"/>
      <c r="B442" s="10" t="s">
        <v>736</v>
      </c>
      <c r="C442" s="11" t="s">
        <v>737</v>
      </c>
      <c r="D442" s="20" t="s">
        <v>738</v>
      </c>
      <c r="E442" s="23">
        <v>500000.0</v>
      </c>
      <c r="F442" s="35" t="b">
        <v>1</v>
      </c>
      <c r="G442" s="23">
        <v>80000.0</v>
      </c>
      <c r="H442" s="15" t="b">
        <v>1</v>
      </c>
      <c r="I442" s="20" t="s">
        <v>739</v>
      </c>
      <c r="J442" s="23">
        <v>500000.0</v>
      </c>
      <c r="K442" s="35" t="b">
        <v>1</v>
      </c>
      <c r="L442" s="23">
        <v>80000.0</v>
      </c>
      <c r="M442" s="15" t="b">
        <v>1</v>
      </c>
      <c r="N442" s="20" t="s">
        <v>740</v>
      </c>
      <c r="O442" s="23">
        <v>530000.0</v>
      </c>
      <c r="P442" s="35" t="b">
        <v>1</v>
      </c>
      <c r="Q442" s="23">
        <v>80000.0</v>
      </c>
      <c r="R442" s="15" t="b">
        <v>1</v>
      </c>
      <c r="S442" s="20" t="s">
        <v>741</v>
      </c>
      <c r="T442" s="23">
        <v>530000.0</v>
      </c>
      <c r="U442" s="35" t="b">
        <v>1</v>
      </c>
      <c r="V442" s="23">
        <v>80000.0</v>
      </c>
      <c r="W442" s="15" t="b">
        <v>1</v>
      </c>
      <c r="X442" s="20" t="s">
        <v>741</v>
      </c>
      <c r="Y442" s="23">
        <v>530000.0</v>
      </c>
      <c r="Z442" s="35" t="b">
        <v>1</v>
      </c>
      <c r="AA442" s="23">
        <v>80000.0</v>
      </c>
      <c r="AB442" s="15" t="b">
        <v>1</v>
      </c>
      <c r="AC442" s="20" t="s">
        <v>741</v>
      </c>
      <c r="AD442" s="23">
        <v>530000.0</v>
      </c>
      <c r="AE442" s="35" t="b">
        <v>1</v>
      </c>
      <c r="AF442" s="23">
        <v>80000.0</v>
      </c>
      <c r="AG442" s="15" t="b">
        <v>1</v>
      </c>
      <c r="AH442" s="20" t="s">
        <v>741</v>
      </c>
      <c r="AI442" s="23">
        <v>530000.0</v>
      </c>
      <c r="AJ442" s="35" t="b">
        <v>1</v>
      </c>
      <c r="AK442" s="23">
        <v>80000.0</v>
      </c>
      <c r="AL442" s="15" t="b">
        <v>1</v>
      </c>
      <c r="AM442" s="20" t="s">
        <v>742</v>
      </c>
      <c r="AN442" s="23">
        <v>530000.0</v>
      </c>
      <c r="AO442" s="35" t="b">
        <v>1</v>
      </c>
      <c r="AP442" s="23">
        <v>80000.0</v>
      </c>
      <c r="AQ442" s="15" t="b">
        <v>1</v>
      </c>
      <c r="AR442" s="20" t="s">
        <v>742</v>
      </c>
      <c r="AS442" s="23">
        <v>530000.0</v>
      </c>
      <c r="AT442" s="35" t="b">
        <v>1</v>
      </c>
      <c r="AU442" s="23">
        <v>80000.0</v>
      </c>
      <c r="AV442" s="15" t="b">
        <v>1</v>
      </c>
      <c r="AW442" s="20" t="s">
        <v>742</v>
      </c>
      <c r="AX442" s="23">
        <v>530000.0</v>
      </c>
      <c r="AY442" s="35" t="b">
        <v>1</v>
      </c>
      <c r="AZ442" s="23">
        <v>80000.0</v>
      </c>
      <c r="BA442" s="15" t="b">
        <v>1</v>
      </c>
      <c r="BB442" s="20" t="s">
        <v>742</v>
      </c>
      <c r="BC442" s="23">
        <v>530000.0</v>
      </c>
      <c r="BD442" s="35" t="b">
        <v>1</v>
      </c>
      <c r="BE442" s="23">
        <v>80000.0</v>
      </c>
      <c r="BF442" s="15" t="b">
        <v>1</v>
      </c>
      <c r="BG442" s="20" t="s">
        <v>742</v>
      </c>
      <c r="BH442" s="23">
        <v>530000.0</v>
      </c>
      <c r="BI442" s="35" t="b">
        <v>1</v>
      </c>
      <c r="BJ442" s="23">
        <v>80000.0</v>
      </c>
      <c r="BK442" s="15" t="b">
        <v>1</v>
      </c>
      <c r="BL442" s="20" t="s">
        <v>742</v>
      </c>
      <c r="BM442" s="23">
        <v>530000.0</v>
      </c>
      <c r="BN442" s="35" t="b">
        <v>0</v>
      </c>
      <c r="BO442" s="23">
        <v>80000.0</v>
      </c>
      <c r="BP442" s="15" t="b">
        <v>0</v>
      </c>
      <c r="BQ442" s="17" t="s">
        <v>33</v>
      </c>
      <c r="BR442" s="1"/>
      <c r="BS442" s="1"/>
      <c r="BT442" s="1"/>
      <c r="BU442" s="1"/>
    </row>
    <row r="443">
      <c r="A443" s="1"/>
      <c r="B443" s="10" t="s">
        <v>730</v>
      </c>
      <c r="C443" s="11" t="s">
        <v>743</v>
      </c>
      <c r="D443" s="20" t="s">
        <v>744</v>
      </c>
      <c r="E443" s="23">
        <v>490000.0</v>
      </c>
      <c r="F443" s="35" t="b">
        <v>1</v>
      </c>
      <c r="G443" s="23">
        <v>80000.0</v>
      </c>
      <c r="H443" s="15" t="b">
        <v>1</v>
      </c>
      <c r="I443" s="20" t="s">
        <v>745</v>
      </c>
      <c r="J443" s="23">
        <v>490000.0</v>
      </c>
      <c r="K443" s="35" t="b">
        <v>1</v>
      </c>
      <c r="L443" s="23">
        <v>80000.0</v>
      </c>
      <c r="M443" s="15" t="b">
        <v>1</v>
      </c>
      <c r="N443" s="20" t="s">
        <v>746</v>
      </c>
      <c r="O443" s="23">
        <v>493548.0</v>
      </c>
      <c r="P443" s="35" t="b">
        <v>1</v>
      </c>
      <c r="Q443" s="23">
        <v>77419.0</v>
      </c>
      <c r="R443" s="15" t="b">
        <v>1</v>
      </c>
      <c r="S443" s="20" t="s">
        <v>747</v>
      </c>
      <c r="T443" s="23">
        <v>510000.0</v>
      </c>
      <c r="U443" s="35" t="b">
        <v>1</v>
      </c>
      <c r="V443" s="23">
        <v>80000.0</v>
      </c>
      <c r="W443" s="15" t="b">
        <v>1</v>
      </c>
      <c r="X443" s="20" t="s">
        <v>747</v>
      </c>
      <c r="Y443" s="23">
        <v>510000.0</v>
      </c>
      <c r="Z443" s="35" t="b">
        <v>1</v>
      </c>
      <c r="AA443" s="23">
        <v>80000.0</v>
      </c>
      <c r="AB443" s="15" t="b">
        <v>1</v>
      </c>
      <c r="AC443" s="20" t="s">
        <v>747</v>
      </c>
      <c r="AD443" s="23">
        <v>510000.0</v>
      </c>
      <c r="AE443" s="35" t="b">
        <v>1</v>
      </c>
      <c r="AF443" s="23">
        <v>80000.0</v>
      </c>
      <c r="AG443" s="15" t="b">
        <v>1</v>
      </c>
      <c r="AH443" s="20" t="s">
        <v>747</v>
      </c>
      <c r="AI443" s="23">
        <v>510000.0</v>
      </c>
      <c r="AJ443" s="35" t="b">
        <v>1</v>
      </c>
      <c r="AK443" s="23">
        <v>80000.0</v>
      </c>
      <c r="AL443" s="15" t="b">
        <v>1</v>
      </c>
      <c r="AM443" s="20" t="s">
        <v>747</v>
      </c>
      <c r="AN443" s="23">
        <v>510000.0</v>
      </c>
      <c r="AO443" s="35" t="b">
        <v>1</v>
      </c>
      <c r="AP443" s="23">
        <v>80000.0</v>
      </c>
      <c r="AQ443" s="15" t="b">
        <v>1</v>
      </c>
      <c r="AR443" s="20" t="s">
        <v>747</v>
      </c>
      <c r="AS443" s="23">
        <v>510000.0</v>
      </c>
      <c r="AT443" s="35" t="b">
        <v>1</v>
      </c>
      <c r="AU443" s="23">
        <v>80000.0</v>
      </c>
      <c r="AV443" s="15" t="b">
        <v>1</v>
      </c>
      <c r="AW443" s="20" t="s">
        <v>747</v>
      </c>
      <c r="AX443" s="23">
        <v>510000.0</v>
      </c>
      <c r="AY443" s="35" t="b">
        <v>1</v>
      </c>
      <c r="AZ443" s="23">
        <v>80000.0</v>
      </c>
      <c r="BA443" s="15" t="b">
        <v>1</v>
      </c>
      <c r="BB443" s="20" t="s">
        <v>747</v>
      </c>
      <c r="BC443" s="23">
        <v>510000.0</v>
      </c>
      <c r="BD443" s="35" t="b">
        <v>1</v>
      </c>
      <c r="BE443" s="23">
        <v>80000.0</v>
      </c>
      <c r="BF443" s="15" t="b">
        <v>1</v>
      </c>
      <c r="BG443" s="20" t="s">
        <v>747</v>
      </c>
      <c r="BH443" s="23">
        <v>510000.0</v>
      </c>
      <c r="BI443" s="35" t="b">
        <v>1</v>
      </c>
      <c r="BJ443" s="23">
        <v>80000.0</v>
      </c>
      <c r="BK443" s="15" t="b">
        <v>1</v>
      </c>
      <c r="BL443" s="20" t="s">
        <v>747</v>
      </c>
      <c r="BM443" s="23">
        <v>510000.0</v>
      </c>
      <c r="BN443" s="35" t="b">
        <v>0</v>
      </c>
      <c r="BO443" s="23">
        <v>80000.0</v>
      </c>
      <c r="BP443" s="15" t="b">
        <v>0</v>
      </c>
      <c r="BQ443" s="17" t="s">
        <v>33</v>
      </c>
      <c r="BR443" s="1"/>
      <c r="BS443" s="1"/>
      <c r="BT443" s="1"/>
      <c r="BU443" s="1"/>
    </row>
    <row r="444">
      <c r="A444" s="1"/>
      <c r="B444" s="10" t="s">
        <v>730</v>
      </c>
      <c r="C444" s="11" t="s">
        <v>748</v>
      </c>
      <c r="D444" s="20" t="s">
        <v>749</v>
      </c>
      <c r="E444" s="23">
        <v>380000.0</v>
      </c>
      <c r="F444" s="35" t="b">
        <v>1</v>
      </c>
      <c r="G444" s="23">
        <v>80000.0</v>
      </c>
      <c r="H444" s="15" t="b">
        <v>1</v>
      </c>
      <c r="I444" s="20" t="s">
        <v>750</v>
      </c>
      <c r="J444" s="23">
        <v>380000.0</v>
      </c>
      <c r="K444" s="35" t="b">
        <v>1</v>
      </c>
      <c r="L444" s="23">
        <v>80000.0</v>
      </c>
      <c r="M444" s="15" t="b">
        <v>1</v>
      </c>
      <c r="N444" s="20" t="s">
        <v>751</v>
      </c>
      <c r="O444" s="23">
        <v>390000.0</v>
      </c>
      <c r="P444" s="35" t="b">
        <v>1</v>
      </c>
      <c r="Q444" s="23">
        <v>80000.0</v>
      </c>
      <c r="R444" s="15" t="b">
        <v>1</v>
      </c>
      <c r="S444" s="20" t="s">
        <v>752</v>
      </c>
      <c r="T444" s="23">
        <v>390000.0</v>
      </c>
      <c r="U444" s="35" t="b">
        <v>1</v>
      </c>
      <c r="V444" s="23">
        <v>80000.0</v>
      </c>
      <c r="W444" s="15" t="b">
        <v>1</v>
      </c>
      <c r="X444" s="20" t="s">
        <v>752</v>
      </c>
      <c r="Y444" s="23">
        <v>390000.0</v>
      </c>
      <c r="Z444" s="35" t="b">
        <v>1</v>
      </c>
      <c r="AA444" s="23">
        <v>80000.0</v>
      </c>
      <c r="AB444" s="15" t="b">
        <v>1</v>
      </c>
      <c r="AC444" s="20" t="s">
        <v>752</v>
      </c>
      <c r="AD444" s="23">
        <v>390000.0</v>
      </c>
      <c r="AE444" s="35" t="b">
        <v>1</v>
      </c>
      <c r="AF444" s="23">
        <v>80000.0</v>
      </c>
      <c r="AG444" s="15" t="b">
        <v>1</v>
      </c>
      <c r="AH444" s="20" t="s">
        <v>752</v>
      </c>
      <c r="AI444" s="23">
        <v>390000.0</v>
      </c>
      <c r="AJ444" s="35" t="b">
        <v>1</v>
      </c>
      <c r="AK444" s="23">
        <v>80000.0</v>
      </c>
      <c r="AL444" s="15" t="b">
        <v>1</v>
      </c>
      <c r="AM444" s="20" t="s">
        <v>752</v>
      </c>
      <c r="AN444" s="23">
        <v>390000.0</v>
      </c>
      <c r="AO444" s="35" t="b">
        <v>1</v>
      </c>
      <c r="AP444" s="23">
        <v>80000.0</v>
      </c>
      <c r="AQ444" s="15" t="b">
        <v>1</v>
      </c>
      <c r="AR444" s="20" t="s">
        <v>752</v>
      </c>
      <c r="AS444" s="23">
        <v>390000.0</v>
      </c>
      <c r="AT444" s="35" t="b">
        <v>1</v>
      </c>
      <c r="AU444" s="23">
        <v>80000.0</v>
      </c>
      <c r="AV444" s="15" t="b">
        <v>1</v>
      </c>
      <c r="AW444" s="20" t="s">
        <v>752</v>
      </c>
      <c r="AX444" s="23">
        <v>390000.0</v>
      </c>
      <c r="AY444" s="35" t="b">
        <v>1</v>
      </c>
      <c r="AZ444" s="23">
        <v>80000.0</v>
      </c>
      <c r="BA444" s="15" t="b">
        <v>1</v>
      </c>
      <c r="BB444" s="20" t="s">
        <v>752</v>
      </c>
      <c r="BC444" s="23">
        <v>390000.0</v>
      </c>
      <c r="BD444" s="35" t="b">
        <v>1</v>
      </c>
      <c r="BE444" s="23">
        <v>80000.0</v>
      </c>
      <c r="BF444" s="15" t="b">
        <v>1</v>
      </c>
      <c r="BG444" s="20" t="s">
        <v>752</v>
      </c>
      <c r="BH444" s="23">
        <v>390000.0</v>
      </c>
      <c r="BI444" s="35" t="b">
        <v>1</v>
      </c>
      <c r="BJ444" s="23">
        <v>80000.0</v>
      </c>
      <c r="BK444" s="15" t="b">
        <v>1</v>
      </c>
      <c r="BL444" s="20" t="s">
        <v>752</v>
      </c>
      <c r="BM444" s="23">
        <v>390000.0</v>
      </c>
      <c r="BN444" s="35" t="b">
        <v>0</v>
      </c>
      <c r="BO444" s="23">
        <v>80000.0</v>
      </c>
      <c r="BP444" s="15" t="b">
        <v>0</v>
      </c>
      <c r="BQ444" s="17" t="s">
        <v>33</v>
      </c>
      <c r="BR444" s="1"/>
      <c r="BS444" s="1"/>
      <c r="BT444" s="1"/>
      <c r="BU444" s="1"/>
    </row>
    <row r="445">
      <c r="A445" s="1"/>
      <c r="B445" s="10" t="s">
        <v>730</v>
      </c>
      <c r="C445" s="11" t="s">
        <v>753</v>
      </c>
      <c r="D445" s="20" t="s">
        <v>37</v>
      </c>
      <c r="E445" s="18"/>
      <c r="F445" s="1"/>
      <c r="G445" s="18"/>
      <c r="H445" s="19"/>
      <c r="I445" s="20" t="s">
        <v>754</v>
      </c>
      <c r="J445" s="23">
        <v>96552.0</v>
      </c>
      <c r="K445" s="35" t="b">
        <v>1</v>
      </c>
      <c r="L445" s="23">
        <v>19310.0</v>
      </c>
      <c r="M445" s="15" t="b">
        <v>1</v>
      </c>
      <c r="N445" s="20" t="s">
        <v>755</v>
      </c>
      <c r="O445" s="23">
        <v>400000.0</v>
      </c>
      <c r="P445" s="35" t="b">
        <v>1</v>
      </c>
      <c r="Q445" s="23">
        <v>80000.0</v>
      </c>
      <c r="R445" s="15" t="b">
        <v>1</v>
      </c>
      <c r="S445" s="20" t="s">
        <v>755</v>
      </c>
      <c r="T445" s="23">
        <v>400000.0</v>
      </c>
      <c r="U445" s="35" t="b">
        <v>1</v>
      </c>
      <c r="V445" s="23">
        <v>80000.0</v>
      </c>
      <c r="W445" s="15" t="b">
        <v>1</v>
      </c>
      <c r="X445" s="20" t="s">
        <v>755</v>
      </c>
      <c r="Y445" s="23">
        <v>400000.0</v>
      </c>
      <c r="Z445" s="35" t="b">
        <v>1</v>
      </c>
      <c r="AA445" s="23">
        <v>80000.0</v>
      </c>
      <c r="AB445" s="15" t="b">
        <v>1</v>
      </c>
      <c r="AC445" s="20" t="s">
        <v>755</v>
      </c>
      <c r="AD445" s="23">
        <v>400000.0</v>
      </c>
      <c r="AE445" s="35" t="b">
        <v>1</v>
      </c>
      <c r="AF445" s="23">
        <v>80000.0</v>
      </c>
      <c r="AG445" s="15" t="b">
        <v>1</v>
      </c>
      <c r="AH445" s="20" t="s">
        <v>755</v>
      </c>
      <c r="AI445" s="23">
        <v>400000.0</v>
      </c>
      <c r="AJ445" s="35" t="b">
        <v>1</v>
      </c>
      <c r="AK445" s="23">
        <v>80000.0</v>
      </c>
      <c r="AL445" s="15" t="b">
        <v>1</v>
      </c>
      <c r="AM445" s="20" t="s">
        <v>756</v>
      </c>
      <c r="AN445" s="23">
        <f>322581+90323</f>
        <v>412904</v>
      </c>
      <c r="AO445" s="35" t="b">
        <v>1</v>
      </c>
      <c r="AP445" s="23">
        <f>64516+18065</f>
        <v>82581</v>
      </c>
      <c r="AQ445" s="15" t="b">
        <v>1</v>
      </c>
      <c r="AR445" s="20" t="s">
        <v>757</v>
      </c>
      <c r="AS445" s="23">
        <v>400000.0</v>
      </c>
      <c r="AT445" s="35" t="b">
        <v>1</v>
      </c>
      <c r="AU445" s="23">
        <v>80000.0</v>
      </c>
      <c r="AV445" s="15" t="b">
        <v>1</v>
      </c>
      <c r="AW445" s="20" t="s">
        <v>757</v>
      </c>
      <c r="AX445" s="23">
        <v>400000.0</v>
      </c>
      <c r="AY445" s="35" t="b">
        <v>1</v>
      </c>
      <c r="AZ445" s="23">
        <v>80000.0</v>
      </c>
      <c r="BA445" s="15" t="b">
        <v>1</v>
      </c>
      <c r="BB445" s="20" t="s">
        <v>757</v>
      </c>
      <c r="BC445" s="23">
        <v>400000.0</v>
      </c>
      <c r="BD445" s="35" t="b">
        <v>1</v>
      </c>
      <c r="BE445" s="23">
        <v>80000.0</v>
      </c>
      <c r="BF445" s="15" t="b">
        <v>1</v>
      </c>
      <c r="BG445" s="20" t="s">
        <v>757</v>
      </c>
      <c r="BH445" s="23">
        <v>400000.0</v>
      </c>
      <c r="BI445" s="35" t="b">
        <v>1</v>
      </c>
      <c r="BJ445" s="23">
        <v>80000.0</v>
      </c>
      <c r="BK445" s="15" t="b">
        <v>1</v>
      </c>
      <c r="BL445" s="20" t="s">
        <v>757</v>
      </c>
      <c r="BM445" s="23">
        <v>400000.0</v>
      </c>
      <c r="BN445" s="35" t="b">
        <v>0</v>
      </c>
      <c r="BO445" s="23">
        <v>80000.0</v>
      </c>
      <c r="BP445" s="15" t="b">
        <v>0</v>
      </c>
      <c r="BQ445" s="17" t="s">
        <v>33</v>
      </c>
      <c r="BR445" s="1"/>
      <c r="BS445" s="1"/>
      <c r="BT445" s="1"/>
      <c r="BU445" s="1"/>
    </row>
    <row r="446">
      <c r="A446" s="1"/>
      <c r="B446" s="21"/>
      <c r="C446" s="11" t="s">
        <v>42</v>
      </c>
      <c r="D446" s="22"/>
      <c r="E446" s="23">
        <f>SUM(E441:E445)</f>
        <v>1920000</v>
      </c>
      <c r="F446" s="18"/>
      <c r="G446" s="23">
        <f>SUM(G441:G445)</f>
        <v>320000</v>
      </c>
      <c r="H446" s="19"/>
      <c r="I446" s="22"/>
      <c r="J446" s="23">
        <f>SUM(J441:J445)</f>
        <v>2016552</v>
      </c>
      <c r="K446" s="18"/>
      <c r="L446" s="23">
        <f>SUM(L441:L445)</f>
        <v>339310</v>
      </c>
      <c r="M446" s="19"/>
      <c r="N446" s="22"/>
      <c r="O446" s="23">
        <f>SUM(O441:O445)</f>
        <v>2363548</v>
      </c>
      <c r="P446" s="18"/>
      <c r="Q446" s="23">
        <f>SUM(Q441:Q445)</f>
        <v>397419</v>
      </c>
      <c r="R446" s="19"/>
      <c r="S446" s="22"/>
      <c r="T446" s="23">
        <f>SUM(T441:T445)</f>
        <v>2380000</v>
      </c>
      <c r="U446" s="18"/>
      <c r="V446" s="23">
        <f>SUM(V441:V445)</f>
        <v>400000</v>
      </c>
      <c r="W446" s="19"/>
      <c r="X446" s="18"/>
      <c r="Y446" s="23">
        <f>SUM(Y441:Y445)</f>
        <v>2380000</v>
      </c>
      <c r="Z446" s="18"/>
      <c r="AA446" s="23">
        <f>SUM(AA441:AA445)</f>
        <v>400000</v>
      </c>
      <c r="AB446" s="19"/>
      <c r="AC446" s="18"/>
      <c r="AD446" s="23">
        <f>SUM(AD441:AD445)</f>
        <v>2380000</v>
      </c>
      <c r="AE446" s="18"/>
      <c r="AF446" s="23">
        <f>SUM(AF441:AF445)</f>
        <v>400000</v>
      </c>
      <c r="AG446" s="19"/>
      <c r="AH446" s="18"/>
      <c r="AI446" s="23">
        <f>SUM(AI441:AI445)</f>
        <v>2380000</v>
      </c>
      <c r="AJ446" s="18"/>
      <c r="AK446" s="23">
        <f>SUM(AK441:AK445)</f>
        <v>400000</v>
      </c>
      <c r="AL446" s="19"/>
      <c r="AM446" s="18"/>
      <c r="AN446" s="23">
        <f>SUM(AN441:AN445)</f>
        <v>2425807</v>
      </c>
      <c r="AO446" s="18"/>
      <c r="AP446" s="23">
        <f>SUM(AP441:AP445)</f>
        <v>407742</v>
      </c>
      <c r="AQ446" s="19"/>
      <c r="AR446" s="22"/>
      <c r="AS446" s="23">
        <f>SUM(AS441:AS445)</f>
        <v>2890000</v>
      </c>
      <c r="AT446" s="18"/>
      <c r="AU446" s="23">
        <f>SUM(AU441:AU445)</f>
        <v>480000</v>
      </c>
      <c r="AV446" s="19"/>
      <c r="AW446" s="22"/>
      <c r="AX446" s="23">
        <f>SUM(AX441:AX445)</f>
        <v>2340000</v>
      </c>
      <c r="AY446" s="18"/>
      <c r="AZ446" s="23">
        <f>SUM(AZ441:AZ445)</f>
        <v>400000</v>
      </c>
      <c r="BA446" s="19"/>
      <c r="BB446" s="22"/>
      <c r="BC446" s="23">
        <f>SUM(BC441:BC445)</f>
        <v>2340000</v>
      </c>
      <c r="BD446" s="18"/>
      <c r="BE446" s="23">
        <f>SUM(BE441:BE445)</f>
        <v>400000</v>
      </c>
      <c r="BF446" s="19"/>
      <c r="BG446" s="22"/>
      <c r="BH446" s="23">
        <f>SUM(BH441:BH445)</f>
        <v>2340000</v>
      </c>
      <c r="BI446" s="18"/>
      <c r="BJ446" s="23">
        <f>SUM(BJ441:BJ445)</f>
        <v>400000</v>
      </c>
      <c r="BK446" s="19"/>
      <c r="BL446" s="22"/>
      <c r="BM446" s="23">
        <f>SUM(BM441:BM445)</f>
        <v>2340000</v>
      </c>
      <c r="BN446" s="18"/>
      <c r="BO446" s="23">
        <f>SUM(BO441:BO445)</f>
        <v>400000</v>
      </c>
      <c r="BP446" s="19"/>
      <c r="BQ446" s="17" t="s">
        <v>33</v>
      </c>
      <c r="BR446" s="1"/>
      <c r="BS446" s="1"/>
      <c r="BT446" s="1"/>
      <c r="BU446" s="1"/>
    </row>
    <row r="447">
      <c r="A447" s="1"/>
      <c r="B447" s="21"/>
      <c r="C447" s="11" t="s">
        <v>43</v>
      </c>
      <c r="D447" s="22"/>
      <c r="E447" s="23">
        <v>870000.0</v>
      </c>
      <c r="F447" s="18"/>
      <c r="G447" s="18"/>
      <c r="H447" s="19"/>
      <c r="I447" s="22"/>
      <c r="J447" s="23">
        <v>870000.0</v>
      </c>
      <c r="K447" s="18"/>
      <c r="L447" s="18"/>
      <c r="M447" s="19"/>
      <c r="N447" s="22"/>
      <c r="O447" s="23">
        <v>870000.0</v>
      </c>
      <c r="P447" s="18"/>
      <c r="Q447" s="18"/>
      <c r="R447" s="19"/>
      <c r="S447" s="22"/>
      <c r="T447" s="23">
        <v>870000.0</v>
      </c>
      <c r="U447" s="18"/>
      <c r="V447" s="18"/>
      <c r="W447" s="19"/>
      <c r="X447" s="18"/>
      <c r="Y447" s="23">
        <v>870000.0</v>
      </c>
      <c r="Z447" s="18"/>
      <c r="AA447" s="18"/>
      <c r="AB447" s="19"/>
      <c r="AC447" s="18"/>
      <c r="AD447" s="23">
        <v>870000.0</v>
      </c>
      <c r="AE447" s="18"/>
      <c r="AF447" s="18"/>
      <c r="AG447" s="19"/>
      <c r="AH447" s="18"/>
      <c r="AI447" s="23">
        <v>870000.0</v>
      </c>
      <c r="AJ447" s="18"/>
      <c r="AK447" s="18"/>
      <c r="AL447" s="19"/>
      <c r="AM447" s="18"/>
      <c r="AN447" s="23">
        <v>870000.0</v>
      </c>
      <c r="AO447" s="18"/>
      <c r="AP447" s="18"/>
      <c r="AQ447" s="19"/>
      <c r="AR447" s="22"/>
      <c r="AS447" s="23">
        <v>870000.0</v>
      </c>
      <c r="AT447" s="18"/>
      <c r="AU447" s="18"/>
      <c r="AV447" s="19"/>
      <c r="AW447" s="22"/>
      <c r="AX447" s="23">
        <v>870000.0</v>
      </c>
      <c r="AY447" s="18"/>
      <c r="AZ447" s="18"/>
      <c r="BA447" s="19"/>
      <c r="BB447" s="22"/>
      <c r="BC447" s="23">
        <v>870000.0</v>
      </c>
      <c r="BD447" s="18"/>
      <c r="BE447" s="18"/>
      <c r="BF447" s="19"/>
      <c r="BG447" s="22"/>
      <c r="BH447" s="23">
        <v>870000.0</v>
      </c>
      <c r="BI447" s="18"/>
      <c r="BJ447" s="18"/>
      <c r="BK447" s="19"/>
      <c r="BL447" s="22"/>
      <c r="BM447" s="23">
        <v>870000.0</v>
      </c>
      <c r="BN447" s="18"/>
      <c r="BO447" s="18"/>
      <c r="BP447" s="19"/>
      <c r="BQ447" s="17" t="s">
        <v>33</v>
      </c>
      <c r="BR447" s="1"/>
      <c r="BS447" s="1"/>
      <c r="BT447" s="1"/>
      <c r="BU447" s="1"/>
    </row>
    <row r="448">
      <c r="A448" s="1"/>
      <c r="B448" s="21"/>
      <c r="C448" s="11" t="s">
        <v>45</v>
      </c>
      <c r="D448" s="22"/>
      <c r="E448" s="18"/>
      <c r="F448" s="18"/>
      <c r="G448" s="23" t="s">
        <v>677</v>
      </c>
      <c r="H448" s="19"/>
      <c r="I448" s="22"/>
      <c r="J448" s="18"/>
      <c r="K448" s="18"/>
      <c r="L448" s="23" t="s">
        <v>677</v>
      </c>
      <c r="M448" s="19"/>
      <c r="N448" s="22"/>
      <c r="O448" s="18"/>
      <c r="P448" s="18"/>
      <c r="Q448" s="23" t="s">
        <v>677</v>
      </c>
      <c r="R448" s="98" t="s">
        <v>677</v>
      </c>
      <c r="S448" s="26" t="s">
        <v>677</v>
      </c>
      <c r="T448" s="23" t="s">
        <v>677</v>
      </c>
      <c r="U448" s="61" t="s">
        <v>677</v>
      </c>
      <c r="V448" s="23" t="s">
        <v>677</v>
      </c>
      <c r="W448" s="98" t="s">
        <v>677</v>
      </c>
      <c r="X448" s="20" t="s">
        <v>677</v>
      </c>
      <c r="Y448" s="23" t="s">
        <v>677</v>
      </c>
      <c r="Z448" s="61" t="s">
        <v>677</v>
      </c>
      <c r="AA448" s="23" t="s">
        <v>677</v>
      </c>
      <c r="AB448" s="98" t="s">
        <v>677</v>
      </c>
      <c r="AC448" s="20" t="s">
        <v>677</v>
      </c>
      <c r="AD448" s="23" t="s">
        <v>677</v>
      </c>
      <c r="AE448" s="61" t="s">
        <v>677</v>
      </c>
      <c r="AF448" s="23" t="s">
        <v>677</v>
      </c>
      <c r="AG448" s="98" t="s">
        <v>677</v>
      </c>
      <c r="AH448" s="20" t="s">
        <v>677</v>
      </c>
      <c r="AI448" s="23" t="s">
        <v>677</v>
      </c>
      <c r="AJ448" s="61" t="s">
        <v>677</v>
      </c>
      <c r="AK448" s="23" t="s">
        <v>677</v>
      </c>
      <c r="AL448" s="98" t="s">
        <v>677</v>
      </c>
      <c r="AM448" s="20" t="s">
        <v>677</v>
      </c>
      <c r="AN448" s="23" t="s">
        <v>677</v>
      </c>
      <c r="AO448" s="61" t="s">
        <v>677</v>
      </c>
      <c r="AP448" s="23" t="s">
        <v>677</v>
      </c>
      <c r="AQ448" s="98" t="s">
        <v>677</v>
      </c>
      <c r="AR448" s="26" t="s">
        <v>677</v>
      </c>
      <c r="AS448" s="23" t="s">
        <v>677</v>
      </c>
      <c r="AT448" s="61" t="s">
        <v>677</v>
      </c>
      <c r="AU448" s="23" t="s">
        <v>677</v>
      </c>
      <c r="AV448" s="98" t="s">
        <v>677</v>
      </c>
      <c r="AW448" s="26" t="s">
        <v>677</v>
      </c>
      <c r="AX448" s="23" t="s">
        <v>677</v>
      </c>
      <c r="AY448" s="61" t="s">
        <v>677</v>
      </c>
      <c r="AZ448" s="23" t="s">
        <v>677</v>
      </c>
      <c r="BA448" s="98" t="s">
        <v>677</v>
      </c>
      <c r="BB448" s="26" t="s">
        <v>677</v>
      </c>
      <c r="BC448" s="23" t="s">
        <v>677</v>
      </c>
      <c r="BD448" s="61" t="s">
        <v>677</v>
      </c>
      <c r="BE448" s="23" t="s">
        <v>677</v>
      </c>
      <c r="BF448" s="98" t="s">
        <v>677</v>
      </c>
      <c r="BG448" s="26" t="s">
        <v>677</v>
      </c>
      <c r="BH448" s="23" t="s">
        <v>677</v>
      </c>
      <c r="BI448" s="61" t="s">
        <v>677</v>
      </c>
      <c r="BJ448" s="23" t="s">
        <v>677</v>
      </c>
      <c r="BK448" s="19"/>
      <c r="BL448" s="26" t="s">
        <v>677</v>
      </c>
      <c r="BM448" s="23" t="s">
        <v>677</v>
      </c>
      <c r="BN448" s="61" t="s">
        <v>677</v>
      </c>
      <c r="BO448" s="23" t="s">
        <v>677</v>
      </c>
      <c r="BP448" s="19"/>
      <c r="BQ448" s="17" t="s">
        <v>33</v>
      </c>
      <c r="BR448" s="1"/>
      <c r="BS448" s="1"/>
      <c r="BT448" s="1"/>
      <c r="BU448" s="1"/>
    </row>
    <row r="449">
      <c r="A449" s="56" t="s">
        <v>678</v>
      </c>
      <c r="B449" s="10" t="s">
        <v>758</v>
      </c>
      <c r="C449" s="11" t="s">
        <v>47</v>
      </c>
      <c r="D449" s="22"/>
      <c r="E449" s="18"/>
      <c r="F449" s="18"/>
      <c r="G449" s="23">
        <v>85720.0</v>
      </c>
      <c r="H449" s="19"/>
      <c r="I449" s="22"/>
      <c r="J449" s="18"/>
      <c r="K449" s="18"/>
      <c r="L449" s="23">
        <v>61030.0</v>
      </c>
      <c r="M449" s="19"/>
      <c r="N449" s="22"/>
      <c r="O449" s="18"/>
      <c r="P449" s="18"/>
      <c r="Q449" s="23">
        <v>194440.0</v>
      </c>
      <c r="R449" s="24"/>
      <c r="S449" s="22"/>
      <c r="T449" s="18"/>
      <c r="U449" s="18"/>
      <c r="V449" s="23">
        <v>144390.0</v>
      </c>
      <c r="W449" s="24"/>
      <c r="X449" s="18"/>
      <c r="Y449" s="18"/>
      <c r="Z449" s="18"/>
      <c r="AA449" s="23">
        <v>54010.0</v>
      </c>
      <c r="AB449" s="24"/>
      <c r="AC449" s="18"/>
      <c r="AD449" s="18"/>
      <c r="AE449" s="18"/>
      <c r="AF449" s="23">
        <v>62590.0</v>
      </c>
      <c r="AG449" s="24"/>
      <c r="AH449" s="18"/>
      <c r="AI449" s="18"/>
      <c r="AJ449" s="18"/>
      <c r="AK449" s="23">
        <v>96250.0</v>
      </c>
      <c r="AL449" s="24"/>
      <c r="AM449" s="18"/>
      <c r="AN449" s="18"/>
      <c r="AO449" s="18"/>
      <c r="AP449" s="23">
        <v>118400.0</v>
      </c>
      <c r="AQ449" s="24"/>
      <c r="AR449" s="22"/>
      <c r="AS449" s="18"/>
      <c r="AT449" s="18"/>
      <c r="AU449" s="23">
        <v>125760.0</v>
      </c>
      <c r="AV449" s="24"/>
      <c r="AW449" s="22"/>
      <c r="AX449" s="18"/>
      <c r="AY449" s="18"/>
      <c r="AZ449" s="23">
        <v>72500.0</v>
      </c>
      <c r="BA449" s="24"/>
      <c r="BB449" s="22"/>
      <c r="BC449" s="18"/>
      <c r="BD449" s="18"/>
      <c r="BE449" s="23">
        <v>41710.0</v>
      </c>
      <c r="BF449" s="24"/>
      <c r="BG449" s="22"/>
      <c r="BH449" s="18"/>
      <c r="BI449" s="18"/>
      <c r="BJ449" s="23">
        <v>153630.0</v>
      </c>
      <c r="BK449" s="19"/>
      <c r="BL449" s="22"/>
      <c r="BM449" s="18"/>
      <c r="BN449" s="18"/>
      <c r="BO449" s="18"/>
      <c r="BP449" s="19"/>
      <c r="BQ449" s="17" t="s">
        <v>33</v>
      </c>
      <c r="BR449" s="1"/>
      <c r="BS449" s="1"/>
      <c r="BT449" s="1"/>
      <c r="BU449" s="1"/>
    </row>
    <row r="450">
      <c r="A450" s="56" t="s">
        <v>678</v>
      </c>
      <c r="B450" s="10" t="s">
        <v>759</v>
      </c>
      <c r="C450" s="11" t="s">
        <v>49</v>
      </c>
      <c r="D450" s="22"/>
      <c r="E450" s="18"/>
      <c r="F450" s="18"/>
      <c r="G450" s="23">
        <v>115180.0</v>
      </c>
      <c r="H450" s="19"/>
      <c r="I450" s="22"/>
      <c r="J450" s="18"/>
      <c r="K450" s="18"/>
      <c r="L450" s="23">
        <v>129439.0</v>
      </c>
      <c r="M450" s="19"/>
      <c r="N450" s="22"/>
      <c r="O450" s="18"/>
      <c r="P450" s="18"/>
      <c r="Q450" s="23">
        <v>74690.0</v>
      </c>
      <c r="R450" s="24"/>
      <c r="S450" s="22"/>
      <c r="T450" s="18"/>
      <c r="U450" s="18"/>
      <c r="V450" s="23">
        <v>31720.0</v>
      </c>
      <c r="W450" s="24"/>
      <c r="X450" s="18"/>
      <c r="Y450" s="18"/>
      <c r="Z450" s="18"/>
      <c r="AA450" s="23">
        <v>34510.0</v>
      </c>
      <c r="AB450" s="24"/>
      <c r="AC450" s="18"/>
      <c r="AD450" s="18"/>
      <c r="AE450" s="18"/>
      <c r="AF450" s="23">
        <v>26640.0</v>
      </c>
      <c r="AG450" s="24"/>
      <c r="AH450" s="18"/>
      <c r="AI450" s="18"/>
      <c r="AJ450" s="18"/>
      <c r="AK450" s="23">
        <v>16000.0</v>
      </c>
      <c r="AL450" s="24"/>
      <c r="AM450" s="18"/>
      <c r="AN450" s="18"/>
      <c r="AO450" s="18"/>
      <c r="AP450" s="23">
        <v>15450.0</v>
      </c>
      <c r="AQ450" s="24"/>
      <c r="AR450" s="22"/>
      <c r="AS450" s="18"/>
      <c r="AT450" s="18"/>
      <c r="AU450" s="23">
        <v>14940.0</v>
      </c>
      <c r="AV450" s="24"/>
      <c r="AW450" s="22"/>
      <c r="AX450" s="18"/>
      <c r="AY450" s="18"/>
      <c r="AZ450" s="23">
        <v>23260.0</v>
      </c>
      <c r="BA450" s="24"/>
      <c r="BB450" s="22"/>
      <c r="BC450" s="18"/>
      <c r="BD450" s="18"/>
      <c r="BE450" s="23">
        <v>22230.0</v>
      </c>
      <c r="BF450" s="24"/>
      <c r="BG450" s="22"/>
      <c r="BH450" s="18"/>
      <c r="BI450" s="18"/>
      <c r="BJ450" s="23">
        <v>75580.0</v>
      </c>
      <c r="BK450" s="19"/>
      <c r="BL450" s="22"/>
      <c r="BM450" s="18"/>
      <c r="BN450" s="18"/>
      <c r="BO450" s="18"/>
      <c r="BP450" s="19"/>
      <c r="BQ450" s="17" t="s">
        <v>33</v>
      </c>
      <c r="BR450" s="1"/>
      <c r="BS450" s="1"/>
      <c r="BT450" s="1"/>
      <c r="BU450" s="1"/>
    </row>
    <row r="451">
      <c r="A451" s="56" t="s">
        <v>678</v>
      </c>
      <c r="B451" s="10" t="s">
        <v>680</v>
      </c>
      <c r="C451" s="11" t="s">
        <v>51</v>
      </c>
      <c r="D451" s="22"/>
      <c r="E451" s="18"/>
      <c r="F451" s="18"/>
      <c r="G451" s="23">
        <v>45720.0</v>
      </c>
      <c r="H451" s="19"/>
      <c r="I451" s="22"/>
      <c r="J451" s="18"/>
      <c r="K451" s="18"/>
      <c r="L451" s="23" t="s">
        <v>677</v>
      </c>
      <c r="M451" s="19"/>
      <c r="N451" s="22"/>
      <c r="O451" s="18"/>
      <c r="P451" s="18"/>
      <c r="Q451" s="23" t="s">
        <v>677</v>
      </c>
      <c r="R451" s="98" t="s">
        <v>677</v>
      </c>
      <c r="S451" s="26" t="s">
        <v>677</v>
      </c>
      <c r="T451" s="23" t="s">
        <v>677</v>
      </c>
      <c r="U451" s="61" t="s">
        <v>677</v>
      </c>
      <c r="V451" s="54">
        <v>31000.0</v>
      </c>
      <c r="W451" s="98" t="s">
        <v>677</v>
      </c>
      <c r="X451" s="20" t="s">
        <v>677</v>
      </c>
      <c r="Y451" s="23" t="s">
        <v>677</v>
      </c>
      <c r="Z451" s="61" t="s">
        <v>677</v>
      </c>
      <c r="AA451" s="23">
        <v>33440.0</v>
      </c>
      <c r="AB451" s="98" t="s">
        <v>677</v>
      </c>
      <c r="AC451" s="20" t="s">
        <v>677</v>
      </c>
      <c r="AD451" s="23" t="s">
        <v>677</v>
      </c>
      <c r="AE451" s="61" t="s">
        <v>677</v>
      </c>
      <c r="AF451" s="23" t="s">
        <v>677</v>
      </c>
      <c r="AG451" s="98" t="s">
        <v>677</v>
      </c>
      <c r="AH451" s="20" t="s">
        <v>677</v>
      </c>
      <c r="AI451" s="23" t="s">
        <v>677</v>
      </c>
      <c r="AJ451" s="61" t="s">
        <v>677</v>
      </c>
      <c r="AK451" s="18"/>
      <c r="AL451" s="98" t="s">
        <v>677</v>
      </c>
      <c r="AM451" s="20" t="s">
        <v>677</v>
      </c>
      <c r="AN451" s="23" t="s">
        <v>677</v>
      </c>
      <c r="AO451" s="61" t="s">
        <v>677</v>
      </c>
      <c r="AP451" s="23">
        <v>34680.0</v>
      </c>
      <c r="AQ451" s="98" t="s">
        <v>677</v>
      </c>
      <c r="AR451" s="26" t="s">
        <v>677</v>
      </c>
      <c r="AS451" s="23" t="s">
        <v>677</v>
      </c>
      <c r="AT451" s="61" t="s">
        <v>677</v>
      </c>
      <c r="AU451" s="23" t="s">
        <v>677</v>
      </c>
      <c r="AV451" s="98" t="s">
        <v>677</v>
      </c>
      <c r="AW451" s="26" t="s">
        <v>677</v>
      </c>
      <c r="AX451" s="23" t="s">
        <v>677</v>
      </c>
      <c r="AY451" s="61" t="s">
        <v>677</v>
      </c>
      <c r="AZ451" s="23" t="s">
        <v>677</v>
      </c>
      <c r="BA451" s="98" t="s">
        <v>677</v>
      </c>
      <c r="BB451" s="26" t="s">
        <v>677</v>
      </c>
      <c r="BC451" s="23" t="s">
        <v>677</v>
      </c>
      <c r="BD451" s="61" t="s">
        <v>677</v>
      </c>
      <c r="BE451" s="23" t="s">
        <v>677</v>
      </c>
      <c r="BF451" s="98" t="s">
        <v>677</v>
      </c>
      <c r="BG451" s="26" t="s">
        <v>677</v>
      </c>
      <c r="BH451" s="23" t="s">
        <v>677</v>
      </c>
      <c r="BI451" s="61" t="s">
        <v>677</v>
      </c>
      <c r="BJ451" s="55">
        <v>39000.0</v>
      </c>
      <c r="BK451" s="19"/>
      <c r="BL451" s="26" t="s">
        <v>677</v>
      </c>
      <c r="BM451" s="23" t="s">
        <v>677</v>
      </c>
      <c r="BN451" s="61" t="s">
        <v>677</v>
      </c>
      <c r="BO451" s="23" t="s">
        <v>677</v>
      </c>
      <c r="BP451" s="19"/>
      <c r="BQ451" s="17" t="s">
        <v>33</v>
      </c>
      <c r="BR451" s="1"/>
      <c r="BS451" s="1"/>
      <c r="BT451" s="1"/>
      <c r="BU451" s="1"/>
    </row>
    <row r="452">
      <c r="A452" s="56" t="s">
        <v>681</v>
      </c>
      <c r="B452" s="21"/>
      <c r="C452" s="11" t="s">
        <v>52</v>
      </c>
      <c r="D452" s="22"/>
      <c r="E452" s="18"/>
      <c r="F452" s="18"/>
      <c r="G452" s="23">
        <v>22000.0</v>
      </c>
      <c r="H452" s="19"/>
      <c r="I452" s="22"/>
      <c r="J452" s="18"/>
      <c r="K452" s="18"/>
      <c r="L452" s="23">
        <v>22000.0</v>
      </c>
      <c r="M452" s="19"/>
      <c r="N452" s="22"/>
      <c r="O452" s="18"/>
      <c r="P452" s="18"/>
      <c r="Q452" s="23">
        <v>22000.0</v>
      </c>
      <c r="R452" s="19"/>
      <c r="S452" s="22"/>
      <c r="T452" s="18"/>
      <c r="U452" s="18"/>
      <c r="V452" s="23">
        <v>22000.0</v>
      </c>
      <c r="W452" s="19"/>
      <c r="X452" s="22"/>
      <c r="Y452" s="18"/>
      <c r="Z452" s="18"/>
      <c r="AA452" s="23">
        <v>22000.0</v>
      </c>
      <c r="AB452" s="19"/>
      <c r="AC452" s="22"/>
      <c r="AD452" s="18"/>
      <c r="AE452" s="18"/>
      <c r="AF452" s="23">
        <v>22000.0</v>
      </c>
      <c r="AG452" s="19"/>
      <c r="AH452" s="22"/>
      <c r="AI452" s="18"/>
      <c r="AJ452" s="18"/>
      <c r="AK452" s="23">
        <v>22000.0</v>
      </c>
      <c r="AL452" s="19"/>
      <c r="AM452" s="22"/>
      <c r="AN452" s="18"/>
      <c r="AO452" s="18"/>
      <c r="AP452" s="23">
        <v>22000.0</v>
      </c>
      <c r="AQ452" s="19"/>
      <c r="AR452" s="22"/>
      <c r="AS452" s="18"/>
      <c r="AT452" s="18"/>
      <c r="AU452" s="23">
        <v>22000.0</v>
      </c>
      <c r="AV452" s="19"/>
      <c r="AW452" s="22"/>
      <c r="AX452" s="18"/>
      <c r="AY452" s="18"/>
      <c r="AZ452" s="23">
        <v>22000.0</v>
      </c>
      <c r="BA452" s="19"/>
      <c r="BB452" s="22"/>
      <c r="BC452" s="18"/>
      <c r="BD452" s="18"/>
      <c r="BE452" s="23">
        <v>22000.0</v>
      </c>
      <c r="BF452" s="19"/>
      <c r="BG452" s="22"/>
      <c r="BH452" s="18"/>
      <c r="BI452" s="18"/>
      <c r="BJ452" s="23">
        <v>22000.0</v>
      </c>
      <c r="BK452" s="19"/>
      <c r="BL452" s="22"/>
      <c r="BM452" s="18"/>
      <c r="BN452" s="18"/>
      <c r="BO452" s="23">
        <v>22000.0</v>
      </c>
      <c r="BP452" s="19"/>
      <c r="BQ452" s="17" t="s">
        <v>33</v>
      </c>
      <c r="BR452" s="1"/>
      <c r="BS452" s="1"/>
      <c r="BT452" s="1"/>
      <c r="BU452" s="1"/>
    </row>
    <row r="453">
      <c r="A453" s="56" t="s">
        <v>681</v>
      </c>
      <c r="B453" s="21"/>
      <c r="C453" s="11" t="s">
        <v>53</v>
      </c>
      <c r="D453" s="22"/>
      <c r="E453" s="18"/>
      <c r="F453" s="18"/>
      <c r="G453" s="23">
        <v>10000.0</v>
      </c>
      <c r="H453" s="19"/>
      <c r="I453" s="22"/>
      <c r="J453" s="18"/>
      <c r="K453" s="18"/>
      <c r="L453" s="23">
        <v>10000.0</v>
      </c>
      <c r="M453" s="19"/>
      <c r="N453" s="22"/>
      <c r="O453" s="18"/>
      <c r="P453" s="18"/>
      <c r="Q453" s="23">
        <v>10000.0</v>
      </c>
      <c r="R453" s="19"/>
      <c r="S453" s="22"/>
      <c r="T453" s="18"/>
      <c r="U453" s="18"/>
      <c r="V453" s="23">
        <v>10000.0</v>
      </c>
      <c r="W453" s="19"/>
      <c r="X453" s="22"/>
      <c r="Y453" s="18"/>
      <c r="Z453" s="18"/>
      <c r="AA453" s="23">
        <v>10000.0</v>
      </c>
      <c r="AB453" s="19"/>
      <c r="AC453" s="22"/>
      <c r="AD453" s="18"/>
      <c r="AE453" s="18"/>
      <c r="AF453" s="23">
        <v>10000.0</v>
      </c>
      <c r="AG453" s="19"/>
      <c r="AH453" s="22"/>
      <c r="AI453" s="18"/>
      <c r="AJ453" s="18"/>
      <c r="AK453" s="23">
        <v>10000.0</v>
      </c>
      <c r="AL453" s="19"/>
      <c r="AM453" s="22"/>
      <c r="AN453" s="18"/>
      <c r="AO453" s="18"/>
      <c r="AP453" s="23">
        <v>10000.0</v>
      </c>
      <c r="AQ453" s="19"/>
      <c r="AR453" s="22"/>
      <c r="AS453" s="18"/>
      <c r="AT453" s="18"/>
      <c r="AU453" s="23">
        <v>10000.0</v>
      </c>
      <c r="AV453" s="19"/>
      <c r="AW453" s="22"/>
      <c r="AX453" s="18"/>
      <c r="AY453" s="18"/>
      <c r="AZ453" s="23">
        <v>10000.0</v>
      </c>
      <c r="BA453" s="19"/>
      <c r="BB453" s="22"/>
      <c r="BC453" s="18"/>
      <c r="BD453" s="18"/>
      <c r="BE453" s="23">
        <v>10000.0</v>
      </c>
      <c r="BF453" s="19"/>
      <c r="BG453" s="22"/>
      <c r="BH453" s="18"/>
      <c r="BI453" s="18"/>
      <c r="BJ453" s="23">
        <v>10000.0</v>
      </c>
      <c r="BK453" s="19"/>
      <c r="BL453" s="22"/>
      <c r="BM453" s="18"/>
      <c r="BN453" s="18"/>
      <c r="BO453" s="23">
        <v>10000.0</v>
      </c>
      <c r="BP453" s="19"/>
      <c r="BQ453" s="17" t="s">
        <v>33</v>
      </c>
      <c r="BR453" s="1"/>
      <c r="BS453" s="1"/>
      <c r="BT453" s="1"/>
      <c r="BU453" s="1"/>
    </row>
    <row r="454">
      <c r="A454" s="1"/>
      <c r="B454" s="21"/>
      <c r="C454" s="11" t="s">
        <v>54</v>
      </c>
      <c r="D454" s="22"/>
      <c r="E454" s="18"/>
      <c r="F454" s="18"/>
      <c r="G454" s="23">
        <f>SUMIFS('지출'!$G$3:$G1000,'지출'!$J$3:$J1000,G$1,'지출'!$C$3:$C1000,"소녀")</f>
        <v>95250</v>
      </c>
      <c r="H454" s="19"/>
      <c r="I454" s="22"/>
      <c r="J454" s="18"/>
      <c r="K454" s="18"/>
      <c r="L454" s="23">
        <f>SUMIFS('지출'!$G$3:$G1000,'지출'!$J$3:$J1000,L$1,'지출'!$C$3:$C1000,"소녀")</f>
        <v>80690</v>
      </c>
      <c r="M454" s="24"/>
      <c r="N454" s="18"/>
      <c r="O454" s="18"/>
      <c r="P454" s="18"/>
      <c r="Q454" s="23">
        <f>SUMIFS('지출'!$G$3:$G1000,'지출'!$J$3:$J1000,Q$1,'지출'!$C$3:$C1000,"소녀")</f>
        <v>35730</v>
      </c>
      <c r="R454" s="24"/>
      <c r="S454" s="18"/>
      <c r="T454" s="18"/>
      <c r="U454" s="18"/>
      <c r="V454" s="23">
        <f>SUMIFS('지출'!$G$3:$G1000,'지출'!$J$3:$J1000,V$1,'지출'!$C$3:$C1000,"소녀")</f>
        <v>0</v>
      </c>
      <c r="W454" s="24"/>
      <c r="X454" s="18"/>
      <c r="Y454" s="18"/>
      <c r="Z454" s="18"/>
      <c r="AA454" s="23">
        <f>SUMIFS('지출'!$G$3:$G1000,'지출'!$J$3:$J1000,AA$1,'지출'!$C$3:$C1000,"소녀")</f>
        <v>0</v>
      </c>
      <c r="AB454" s="24"/>
      <c r="AC454" s="18"/>
      <c r="AD454" s="18"/>
      <c r="AE454" s="18"/>
      <c r="AF454" s="23">
        <f>SUMIFS('지출'!$G$3:$G1000,'지출'!$J$3:$J1000,AF$1,'지출'!$C$3:$C1000,"소녀")</f>
        <v>0</v>
      </c>
      <c r="AG454" s="24"/>
      <c r="AH454" s="18"/>
      <c r="AI454" s="18"/>
      <c r="AJ454" s="18"/>
      <c r="AK454" s="23">
        <f>SUMIFS('지출'!$G$3:$G1000,'지출'!$J$3:$J1000,AK$1,'지출'!$C$3:$C1000,"소녀")</f>
        <v>0</v>
      </c>
      <c r="AL454" s="24"/>
      <c r="AM454" s="18"/>
      <c r="AN454" s="18"/>
      <c r="AO454" s="18"/>
      <c r="AP454" s="23">
        <f>SUMIFS('지출'!$G$3:$G1000,'지출'!$J$3:$J1000,AP$1,'지출'!$C$3:$C1000,"소녀")</f>
        <v>0</v>
      </c>
      <c r="AQ454" s="24"/>
      <c r="AR454" s="18"/>
      <c r="AS454" s="18"/>
      <c r="AT454" s="18"/>
      <c r="AU454" s="23">
        <f>SUMIFS('지출'!$G$3:$G1000,'지출'!$J$3:$J1000,AU$1,'지출'!$C$3:$C1000,"소녀")</f>
        <v>0</v>
      </c>
      <c r="AV454" s="24"/>
      <c r="AW454" s="18"/>
      <c r="AX454" s="18"/>
      <c r="AY454" s="18"/>
      <c r="AZ454" s="23">
        <f>SUMIFS('지출'!$G$3:$G1000,'지출'!$J$3:$J1000,AZ$1,'지출'!$C$3:$C1000,"소녀")</f>
        <v>0</v>
      </c>
      <c r="BA454" s="24"/>
      <c r="BB454" s="18"/>
      <c r="BC454" s="18"/>
      <c r="BD454" s="18"/>
      <c r="BE454" s="23">
        <f>SUMIFS('지출'!$G$3:$G1000,'지출'!$J$3:$J1000,BE$1,'지출'!$C$3:$C1000,"소녀")</f>
        <v>0</v>
      </c>
      <c r="BF454" s="24"/>
      <c r="BG454" s="18"/>
      <c r="BH454" s="18"/>
      <c r="BI454" s="18"/>
      <c r="BJ454" s="23">
        <f>SUMIFS('지출'!$G$3:$G1000,'지출'!$J$3:$J1000,BJ$1,'지출'!$C$3:$C1000,"소녀")</f>
        <v>0</v>
      </c>
      <c r="BK454" s="19"/>
      <c r="BL454" s="18"/>
      <c r="BM454" s="18"/>
      <c r="BN454" s="18"/>
      <c r="BO454" s="23">
        <f>SUMIFS('지출'!$G$3:$G1000,'지출'!$J$3:$J1000,BO$1,'지출'!$C$3:$C1000,"소녀")</f>
        <v>95250</v>
      </c>
      <c r="BP454" s="19"/>
      <c r="BQ454" s="17" t="s">
        <v>33</v>
      </c>
      <c r="BR454" s="1"/>
      <c r="BS454" s="1"/>
      <c r="BT454" s="1"/>
      <c r="BU454" s="1"/>
    </row>
    <row r="455">
      <c r="A455" s="1"/>
      <c r="B455" s="21"/>
      <c r="C455" s="11" t="s">
        <v>56</v>
      </c>
      <c r="D455" s="22"/>
      <c r="E455" s="23">
        <f>E446-(SUM(E447:E454))</f>
        <v>1050000</v>
      </c>
      <c r="F455" s="18"/>
      <c r="G455" s="23">
        <f>G446-(SUM(G447:G454))</f>
        <v>-53870</v>
      </c>
      <c r="H455" s="19"/>
      <c r="I455" s="22"/>
      <c r="J455" s="23">
        <f>J446-(SUM(J447:J454))</f>
        <v>1146552</v>
      </c>
      <c r="K455" s="18"/>
      <c r="L455" s="23">
        <f>L446-(SUM(L447:L454))</f>
        <v>36151</v>
      </c>
      <c r="M455" s="19"/>
      <c r="N455" s="22"/>
      <c r="O455" s="23">
        <f>O446-(SUM(O447:O454))</f>
        <v>1493548</v>
      </c>
      <c r="P455" s="18"/>
      <c r="Q455" s="23">
        <f>Q446-(SUM(Q447:Q454))</f>
        <v>60559</v>
      </c>
      <c r="R455" s="19"/>
      <c r="S455" s="22"/>
      <c r="T455" s="23">
        <f>T446-(SUM(T447:T454))</f>
        <v>1510000</v>
      </c>
      <c r="U455" s="18"/>
      <c r="V455" s="23">
        <f>V446-(SUM(V447:V454))</f>
        <v>160890</v>
      </c>
      <c r="W455" s="19"/>
      <c r="X455" s="18"/>
      <c r="Y455" s="23">
        <f>Y446-(SUM(Y447:Y454))</f>
        <v>1510000</v>
      </c>
      <c r="Z455" s="18"/>
      <c r="AA455" s="23">
        <f>AA446-(SUM(AA447:AA454))</f>
        <v>246040</v>
      </c>
      <c r="AB455" s="19"/>
      <c r="AC455" s="18"/>
      <c r="AD455" s="23">
        <f>AD446-(SUM(AD447:AD454))</f>
        <v>1510000</v>
      </c>
      <c r="AE455" s="18"/>
      <c r="AF455" s="23">
        <f>AF446-(SUM(AF447:AF454))</f>
        <v>278770</v>
      </c>
      <c r="AG455" s="19"/>
      <c r="AH455" s="18"/>
      <c r="AI455" s="23">
        <f>AI446-(SUM(AI447:AI454))</f>
        <v>1510000</v>
      </c>
      <c r="AJ455" s="18"/>
      <c r="AK455" s="23">
        <f>AK446-(SUM(AK447:AK454))</f>
        <v>255750</v>
      </c>
      <c r="AL455" s="19"/>
      <c r="AM455" s="18"/>
      <c r="AN455" s="23">
        <f>AN446-(SUM(AN447:AN454))</f>
        <v>1555807</v>
      </c>
      <c r="AO455" s="18"/>
      <c r="AP455" s="23">
        <f>AP446-(SUM(AP447:AP454))</f>
        <v>207212</v>
      </c>
      <c r="AQ455" s="19"/>
      <c r="AR455" s="22"/>
      <c r="AS455" s="23">
        <f>AS446-(SUM(AS447:AS454))</f>
        <v>2020000</v>
      </c>
      <c r="AT455" s="18"/>
      <c r="AU455" s="23">
        <f>AU446-(SUM(AU447:AU454))</f>
        <v>307300</v>
      </c>
      <c r="AV455" s="19"/>
      <c r="AW455" s="22"/>
      <c r="AX455" s="23">
        <f>AX446-(SUM(AX447:AX454))</f>
        <v>1470000</v>
      </c>
      <c r="AY455" s="18"/>
      <c r="AZ455" s="23">
        <f>AZ446-(SUM(AZ447:AZ454))</f>
        <v>272240</v>
      </c>
      <c r="BA455" s="19"/>
      <c r="BB455" s="22"/>
      <c r="BC455" s="23">
        <f>BC446-(SUM(BC447:BC454))</f>
        <v>1470000</v>
      </c>
      <c r="BD455" s="18"/>
      <c r="BE455" s="23">
        <f>BE446-(SUM(BE447:BE454))</f>
        <v>304060</v>
      </c>
      <c r="BF455" s="19"/>
      <c r="BG455" s="22"/>
      <c r="BH455" s="23">
        <f>BH446-(SUM(BH447:BH454))</f>
        <v>1470000</v>
      </c>
      <c r="BI455" s="18"/>
      <c r="BJ455" s="23">
        <f>BJ446-(SUM(BJ447:BJ454))</f>
        <v>99790</v>
      </c>
      <c r="BK455" s="19"/>
      <c r="BL455" s="22"/>
      <c r="BM455" s="23">
        <f>BM446-(SUM(BM447:BM454))</f>
        <v>1470000</v>
      </c>
      <c r="BN455" s="18"/>
      <c r="BO455" s="23">
        <f>BO446-(SUM(BO447:BO454))</f>
        <v>272750</v>
      </c>
      <c r="BP455" s="19"/>
      <c r="BQ455" s="17" t="s">
        <v>33</v>
      </c>
      <c r="BR455" s="1"/>
      <c r="BS455" s="1"/>
      <c r="BT455" s="1"/>
      <c r="BU455" s="1"/>
    </row>
    <row r="456">
      <c r="A456" s="1"/>
      <c r="B456" s="27">
        <v>0.0</v>
      </c>
      <c r="C456" s="11" t="s">
        <v>26</v>
      </c>
      <c r="D456" s="22"/>
      <c r="E456" s="23">
        <f>E455*$B456</f>
        <v>0</v>
      </c>
      <c r="F456" s="18"/>
      <c r="G456" s="18"/>
      <c r="H456" s="19"/>
      <c r="I456" s="22"/>
      <c r="J456" s="23">
        <f>J455*$B456</f>
        <v>0</v>
      </c>
      <c r="K456" s="18"/>
      <c r="L456" s="18"/>
      <c r="M456" s="19"/>
      <c r="N456" s="22"/>
      <c r="O456" s="23">
        <f>O455*$B456</f>
        <v>0</v>
      </c>
      <c r="P456" s="18"/>
      <c r="Q456" s="18"/>
      <c r="R456" s="19"/>
      <c r="S456" s="22"/>
      <c r="T456" s="23">
        <f>T455*$B456</f>
        <v>0</v>
      </c>
      <c r="U456" s="18"/>
      <c r="V456" s="18"/>
      <c r="W456" s="19"/>
      <c r="X456" s="18"/>
      <c r="Y456" s="23">
        <f>Y455*$B456</f>
        <v>0</v>
      </c>
      <c r="Z456" s="18"/>
      <c r="AA456" s="18"/>
      <c r="AB456" s="19"/>
      <c r="AC456" s="18"/>
      <c r="AD456" s="23">
        <f>AD455*$B456</f>
        <v>0</v>
      </c>
      <c r="AE456" s="18"/>
      <c r="AF456" s="18"/>
      <c r="AG456" s="19"/>
      <c r="AH456" s="18"/>
      <c r="AI456" s="23">
        <f>AI455*$B456</f>
        <v>0</v>
      </c>
      <c r="AJ456" s="18"/>
      <c r="AK456" s="18"/>
      <c r="AL456" s="19"/>
      <c r="AM456" s="18"/>
      <c r="AN456" s="23">
        <f>AN455*$B456</f>
        <v>0</v>
      </c>
      <c r="AO456" s="18"/>
      <c r="AP456" s="18"/>
      <c r="AQ456" s="19"/>
      <c r="AR456" s="22"/>
      <c r="AS456" s="23">
        <f>AS455*$B456</f>
        <v>0</v>
      </c>
      <c r="AT456" s="18"/>
      <c r="AU456" s="18"/>
      <c r="AV456" s="19"/>
      <c r="AW456" s="22"/>
      <c r="AX456" s="23">
        <f>AX455*$B456</f>
        <v>0</v>
      </c>
      <c r="AY456" s="18"/>
      <c r="AZ456" s="18"/>
      <c r="BA456" s="19"/>
      <c r="BB456" s="22"/>
      <c r="BC456" s="23">
        <f>BC455*$B456</f>
        <v>0</v>
      </c>
      <c r="BD456" s="18"/>
      <c r="BE456" s="18"/>
      <c r="BF456" s="19"/>
      <c r="BG456" s="22"/>
      <c r="BH456" s="23">
        <f>BH455*$B456</f>
        <v>0</v>
      </c>
      <c r="BI456" s="18"/>
      <c r="BJ456" s="18"/>
      <c r="BK456" s="19"/>
      <c r="BL456" s="22"/>
      <c r="BM456" s="23">
        <f>BM455*$B456</f>
        <v>0</v>
      </c>
      <c r="BN456" s="18"/>
      <c r="BO456" s="18"/>
      <c r="BP456" s="19"/>
      <c r="BQ456" s="17" t="s">
        <v>33</v>
      </c>
      <c r="BR456" s="1"/>
      <c r="BS456" s="1"/>
      <c r="BT456" s="1"/>
      <c r="BU456" s="1"/>
    </row>
    <row r="457">
      <c r="A457" s="56" t="str">
        <f>B441</f>
        <v>소녀</v>
      </c>
      <c r="B457" s="29">
        <v>1.0</v>
      </c>
      <c r="C457" s="30" t="s">
        <v>57</v>
      </c>
      <c r="D457" s="31"/>
      <c r="E457" s="32">
        <f>E455*$B457</f>
        <v>1050000</v>
      </c>
      <c r="F457" s="33"/>
      <c r="G457" s="33"/>
      <c r="H457" s="34"/>
      <c r="I457" s="31"/>
      <c r="J457" s="32">
        <f>J455*$B457</f>
        <v>1146552</v>
      </c>
      <c r="K457" s="33"/>
      <c r="L457" s="33"/>
      <c r="M457" s="34"/>
      <c r="N457" s="31"/>
      <c r="O457" s="32">
        <f>O455*$B457</f>
        <v>1493548</v>
      </c>
      <c r="P457" s="33"/>
      <c r="Q457" s="33"/>
      <c r="R457" s="34"/>
      <c r="S457" s="31"/>
      <c r="T457" s="32">
        <f>T455*$B457</f>
        <v>1510000</v>
      </c>
      <c r="U457" s="33"/>
      <c r="V457" s="33"/>
      <c r="W457" s="34"/>
      <c r="X457" s="33"/>
      <c r="Y457" s="32">
        <f>Y455*$B457</f>
        <v>1510000</v>
      </c>
      <c r="Z457" s="33"/>
      <c r="AA457" s="33"/>
      <c r="AB457" s="34"/>
      <c r="AC457" s="33"/>
      <c r="AD457" s="32">
        <f>AD455*$B457</f>
        <v>1510000</v>
      </c>
      <c r="AE457" s="33"/>
      <c r="AF457" s="33"/>
      <c r="AG457" s="34"/>
      <c r="AH457" s="33"/>
      <c r="AI457" s="32">
        <f>AI455*$B457</f>
        <v>1510000</v>
      </c>
      <c r="AJ457" s="33"/>
      <c r="AK457" s="33"/>
      <c r="AL457" s="34"/>
      <c r="AM457" s="33"/>
      <c r="AN457" s="32">
        <f>AN455*$B457</f>
        <v>1555807</v>
      </c>
      <c r="AO457" s="33"/>
      <c r="AP457" s="33"/>
      <c r="AQ457" s="34"/>
      <c r="AR457" s="31"/>
      <c r="AS457" s="32">
        <f>AS455*$B457</f>
        <v>2020000</v>
      </c>
      <c r="AT457" s="33"/>
      <c r="AU457" s="33"/>
      <c r="AV457" s="34"/>
      <c r="AW457" s="31"/>
      <c r="AX457" s="32">
        <f>AX455*$B457</f>
        <v>1470000</v>
      </c>
      <c r="AY457" s="33"/>
      <c r="AZ457" s="33"/>
      <c r="BA457" s="34"/>
      <c r="BB457" s="31"/>
      <c r="BC457" s="32">
        <f>BC455*$B457</f>
        <v>1470000</v>
      </c>
      <c r="BD457" s="33"/>
      <c r="BE457" s="33"/>
      <c r="BF457" s="34"/>
      <c r="BG457" s="31"/>
      <c r="BH457" s="32">
        <f>BH455*$B457</f>
        <v>1470000</v>
      </c>
      <c r="BI457" s="33"/>
      <c r="BJ457" s="33"/>
      <c r="BK457" s="34"/>
      <c r="BL457" s="31"/>
      <c r="BM457" s="32">
        <f>BM455*$B457</f>
        <v>1470000</v>
      </c>
      <c r="BN457" s="33"/>
      <c r="BO457" s="33"/>
      <c r="BP457" s="34"/>
      <c r="BQ457" s="17" t="s">
        <v>33</v>
      </c>
      <c r="BR457" s="1"/>
      <c r="BS457" s="1"/>
      <c r="BT457" s="1"/>
      <c r="BU457" s="1"/>
    </row>
    <row r="458">
      <c r="A458" s="1"/>
      <c r="B458" s="27" t="s">
        <v>760</v>
      </c>
      <c r="C458" s="11" t="s">
        <v>761</v>
      </c>
      <c r="D458" s="20" t="s">
        <v>762</v>
      </c>
      <c r="E458" s="23">
        <v>500000.0</v>
      </c>
      <c r="F458" s="35" t="b">
        <v>1</v>
      </c>
      <c r="G458" s="23">
        <v>80000.0</v>
      </c>
      <c r="H458" s="15" t="b">
        <v>1</v>
      </c>
      <c r="I458" s="20" t="s">
        <v>763</v>
      </c>
      <c r="J458" s="23">
        <v>500000.0</v>
      </c>
      <c r="K458" s="35" t="b">
        <v>1</v>
      </c>
      <c r="L458" s="23">
        <v>80000.0</v>
      </c>
      <c r="M458" s="15" t="b">
        <v>1</v>
      </c>
      <c r="N458" s="20" t="s">
        <v>764</v>
      </c>
      <c r="O458" s="23">
        <v>530000.0</v>
      </c>
      <c r="P458" s="35" t="b">
        <v>1</v>
      </c>
      <c r="Q458" s="23">
        <v>80000.0</v>
      </c>
      <c r="R458" s="15" t="b">
        <v>1</v>
      </c>
      <c r="S458" s="20" t="s">
        <v>765</v>
      </c>
      <c r="T458" s="23">
        <v>530000.0</v>
      </c>
      <c r="U458" s="35" t="b">
        <v>1</v>
      </c>
      <c r="V458" s="23">
        <v>80000.0</v>
      </c>
      <c r="W458" s="15" t="b">
        <v>1</v>
      </c>
      <c r="X458" s="20" t="s">
        <v>765</v>
      </c>
      <c r="Y458" s="23">
        <v>530000.0</v>
      </c>
      <c r="Z458" s="35" t="b">
        <v>1</v>
      </c>
      <c r="AA458" s="23">
        <v>80000.0</v>
      </c>
      <c r="AB458" s="35" t="b">
        <v>1</v>
      </c>
      <c r="AC458" s="99" t="s">
        <v>765</v>
      </c>
      <c r="AD458" s="23">
        <v>530000.0</v>
      </c>
      <c r="AE458" s="35" t="b">
        <v>1</v>
      </c>
      <c r="AF458" s="23">
        <v>80000.0</v>
      </c>
      <c r="AG458" s="15" t="b">
        <v>1</v>
      </c>
      <c r="AH458" s="20" t="s">
        <v>765</v>
      </c>
      <c r="AI458" s="23">
        <v>530000.0</v>
      </c>
      <c r="AJ458" s="35" t="b">
        <v>1</v>
      </c>
      <c r="AK458" s="23">
        <v>80000.0</v>
      </c>
      <c r="AL458" s="15" t="b">
        <v>1</v>
      </c>
      <c r="AM458" s="20" t="s">
        <v>765</v>
      </c>
      <c r="AN458" s="23">
        <v>530000.0</v>
      </c>
      <c r="AO458" s="35" t="b">
        <v>1</v>
      </c>
      <c r="AP458" s="23">
        <v>80000.0</v>
      </c>
      <c r="AQ458" s="15" t="b">
        <v>1</v>
      </c>
      <c r="AR458" s="20" t="s">
        <v>765</v>
      </c>
      <c r="AS458" s="23">
        <v>530000.0</v>
      </c>
      <c r="AT458" s="35" t="b">
        <v>1</v>
      </c>
      <c r="AU458" s="23">
        <v>80000.0</v>
      </c>
      <c r="AV458" s="15" t="b">
        <v>1</v>
      </c>
      <c r="AW458" s="20" t="s">
        <v>765</v>
      </c>
      <c r="AX458" s="23">
        <v>530000.0</v>
      </c>
      <c r="AY458" s="35" t="b">
        <v>1</v>
      </c>
      <c r="AZ458" s="23">
        <v>80000.0</v>
      </c>
      <c r="BA458" s="15" t="b">
        <v>1</v>
      </c>
      <c r="BB458" s="20" t="s">
        <v>765</v>
      </c>
      <c r="BC458" s="23">
        <v>530000.0</v>
      </c>
      <c r="BD458" s="35" t="b">
        <v>1</v>
      </c>
      <c r="BE458" s="23">
        <v>80000.0</v>
      </c>
      <c r="BF458" s="15" t="b">
        <v>1</v>
      </c>
      <c r="BG458" s="20" t="s">
        <v>765</v>
      </c>
      <c r="BH458" s="23">
        <v>530000.0</v>
      </c>
      <c r="BI458" s="35" t="b">
        <v>1</v>
      </c>
      <c r="BJ458" s="23">
        <v>80000.0</v>
      </c>
      <c r="BK458" s="15" t="b">
        <v>1</v>
      </c>
      <c r="BL458" s="20" t="s">
        <v>765</v>
      </c>
      <c r="BM458" s="23">
        <v>530000.0</v>
      </c>
      <c r="BN458" s="35" t="b">
        <v>0</v>
      </c>
      <c r="BO458" s="23">
        <v>80000.0</v>
      </c>
      <c r="BP458" s="15" t="b">
        <v>0</v>
      </c>
      <c r="BQ458" s="17" t="s">
        <v>33</v>
      </c>
      <c r="BR458" s="1"/>
      <c r="BS458" s="1"/>
      <c r="BT458" s="1"/>
      <c r="BU458" s="1"/>
    </row>
    <row r="459">
      <c r="A459" s="1"/>
      <c r="B459" s="10" t="s">
        <v>766</v>
      </c>
      <c r="C459" s="11" t="s">
        <v>767</v>
      </c>
      <c r="D459" s="20" t="s">
        <v>768</v>
      </c>
      <c r="E459" s="23">
        <v>530000.0</v>
      </c>
      <c r="F459" s="35" t="b">
        <v>1</v>
      </c>
      <c r="G459" s="23">
        <v>80000.0</v>
      </c>
      <c r="H459" s="15" t="b">
        <v>1</v>
      </c>
      <c r="I459" s="20" t="s">
        <v>768</v>
      </c>
      <c r="J459" s="23">
        <v>530000.0</v>
      </c>
      <c r="K459" s="35" t="b">
        <v>1</v>
      </c>
      <c r="L459" s="23">
        <v>80000.0</v>
      </c>
      <c r="M459" s="15" t="b">
        <v>1</v>
      </c>
      <c r="N459" s="20" t="s">
        <v>768</v>
      </c>
      <c r="O459" s="23">
        <v>530000.0</v>
      </c>
      <c r="P459" s="35" t="b">
        <v>1</v>
      </c>
      <c r="Q459" s="23">
        <v>80000.0</v>
      </c>
      <c r="R459" s="15" t="b">
        <v>1</v>
      </c>
      <c r="S459" s="20" t="s">
        <v>768</v>
      </c>
      <c r="T459" s="23">
        <v>530000.0</v>
      </c>
      <c r="U459" s="35" t="b">
        <v>1</v>
      </c>
      <c r="V459" s="23">
        <v>80000.0</v>
      </c>
      <c r="W459" s="15" t="b">
        <v>1</v>
      </c>
      <c r="X459" s="20" t="s">
        <v>768</v>
      </c>
      <c r="Y459" s="23">
        <v>530000.0</v>
      </c>
      <c r="Z459" s="35" t="b">
        <v>1</v>
      </c>
      <c r="AA459" s="23">
        <v>80000.0</v>
      </c>
      <c r="AB459" s="35" t="b">
        <v>1</v>
      </c>
      <c r="AC459" s="99" t="s">
        <v>768</v>
      </c>
      <c r="AD459" s="23">
        <v>530000.0</v>
      </c>
      <c r="AE459" s="35" t="b">
        <v>1</v>
      </c>
      <c r="AF459" s="23">
        <v>80000.0</v>
      </c>
      <c r="AG459" s="15" t="b">
        <v>1</v>
      </c>
      <c r="AH459" s="99" t="s">
        <v>768</v>
      </c>
      <c r="AI459" s="23">
        <v>530000.0</v>
      </c>
      <c r="AJ459" s="35" t="b">
        <v>1</v>
      </c>
      <c r="AK459" s="23">
        <v>80000.0</v>
      </c>
      <c r="AL459" s="15" t="b">
        <v>1</v>
      </c>
      <c r="AM459" s="99" t="s">
        <v>768</v>
      </c>
      <c r="AN459" s="23">
        <v>530000.0</v>
      </c>
      <c r="AO459" s="35" t="b">
        <v>1</v>
      </c>
      <c r="AP459" s="23">
        <v>80000.0</v>
      </c>
      <c r="AQ459" s="15" t="b">
        <v>1</v>
      </c>
      <c r="AR459" s="99" t="s">
        <v>768</v>
      </c>
      <c r="AS459" s="23">
        <v>530000.0</v>
      </c>
      <c r="AT459" s="35" t="b">
        <v>1</v>
      </c>
      <c r="AU459" s="23">
        <v>80000.0</v>
      </c>
      <c r="AV459" s="15" t="b">
        <v>1</v>
      </c>
      <c r="AW459" s="99" t="s">
        <v>768</v>
      </c>
      <c r="AX459" s="23">
        <v>530000.0</v>
      </c>
      <c r="AY459" s="35" t="b">
        <v>1</v>
      </c>
      <c r="AZ459" s="23">
        <v>80000.0</v>
      </c>
      <c r="BA459" s="15" t="b">
        <v>1</v>
      </c>
      <c r="BB459" s="99" t="s">
        <v>768</v>
      </c>
      <c r="BC459" s="23">
        <v>530000.0</v>
      </c>
      <c r="BD459" s="35" t="b">
        <v>1</v>
      </c>
      <c r="BE459" s="23">
        <v>80000.0</v>
      </c>
      <c r="BF459" s="15" t="b">
        <v>1</v>
      </c>
      <c r="BG459" s="99" t="s">
        <v>768</v>
      </c>
      <c r="BH459" s="23">
        <v>530000.0</v>
      </c>
      <c r="BI459" s="35" t="b">
        <v>1</v>
      </c>
      <c r="BJ459" s="23">
        <v>80000.0</v>
      </c>
      <c r="BK459" s="15" t="b">
        <v>1</v>
      </c>
      <c r="BL459" s="99" t="s">
        <v>768</v>
      </c>
      <c r="BM459" s="23">
        <v>530000.0</v>
      </c>
      <c r="BN459" s="35" t="b">
        <v>0</v>
      </c>
      <c r="BO459" s="23">
        <v>80000.0</v>
      </c>
      <c r="BP459" s="15" t="b">
        <v>0</v>
      </c>
      <c r="BQ459" s="17" t="s">
        <v>33</v>
      </c>
      <c r="BR459" s="1"/>
      <c r="BS459" s="1"/>
      <c r="BT459" s="1"/>
      <c r="BU459" s="1"/>
    </row>
    <row r="460">
      <c r="A460" s="1"/>
      <c r="B460" s="27" t="s">
        <v>760</v>
      </c>
      <c r="C460" s="11" t="s">
        <v>693</v>
      </c>
      <c r="D460" s="20" t="s">
        <v>769</v>
      </c>
      <c r="E460" s="23">
        <v>380000.0</v>
      </c>
      <c r="F460" s="35" t="b">
        <v>1</v>
      </c>
      <c r="G460" s="23">
        <v>80000.0</v>
      </c>
      <c r="H460" s="15" t="b">
        <v>1</v>
      </c>
      <c r="I460" s="20" t="s">
        <v>770</v>
      </c>
      <c r="J460" s="23">
        <v>380000.0</v>
      </c>
      <c r="K460" s="35" t="b">
        <v>1</v>
      </c>
      <c r="L460" s="23">
        <v>80000.0</v>
      </c>
      <c r="M460" s="15" t="b">
        <v>1</v>
      </c>
      <c r="N460" s="20" t="s">
        <v>771</v>
      </c>
      <c r="O460" s="23">
        <v>377419.0</v>
      </c>
      <c r="P460" s="35" t="b">
        <v>1</v>
      </c>
      <c r="Q460" s="23">
        <v>77419.0</v>
      </c>
      <c r="R460" s="15" t="b">
        <v>1</v>
      </c>
      <c r="S460" s="20" t="s">
        <v>772</v>
      </c>
      <c r="T460" s="23">
        <v>390000.0</v>
      </c>
      <c r="U460" s="35" t="b">
        <v>1</v>
      </c>
      <c r="V460" s="23">
        <v>80000.0</v>
      </c>
      <c r="W460" s="15" t="b">
        <v>1</v>
      </c>
      <c r="X460" s="20" t="s">
        <v>772</v>
      </c>
      <c r="Y460" s="23">
        <v>390000.0</v>
      </c>
      <c r="Z460" s="35" t="b">
        <v>1</v>
      </c>
      <c r="AA460" s="23">
        <v>80000.0</v>
      </c>
      <c r="AB460" s="35" t="b">
        <v>1</v>
      </c>
      <c r="AC460" s="99" t="s">
        <v>772</v>
      </c>
      <c r="AD460" s="23">
        <v>390000.0</v>
      </c>
      <c r="AE460" s="35" t="b">
        <v>1</v>
      </c>
      <c r="AF460" s="23">
        <v>80000.0</v>
      </c>
      <c r="AG460" s="15" t="b">
        <v>1</v>
      </c>
      <c r="AH460" s="20" t="s">
        <v>772</v>
      </c>
      <c r="AI460" s="23">
        <v>390000.0</v>
      </c>
      <c r="AJ460" s="35" t="b">
        <v>1</v>
      </c>
      <c r="AK460" s="23">
        <v>80000.0</v>
      </c>
      <c r="AL460" s="15" t="b">
        <v>1</v>
      </c>
      <c r="AM460" s="20" t="s">
        <v>772</v>
      </c>
      <c r="AN460" s="23">
        <v>390000.0</v>
      </c>
      <c r="AO460" s="35" t="b">
        <v>1</v>
      </c>
      <c r="AP460" s="23">
        <v>80000.0</v>
      </c>
      <c r="AQ460" s="15" t="b">
        <v>1</v>
      </c>
      <c r="AR460" s="20" t="s">
        <v>772</v>
      </c>
      <c r="AS460" s="23">
        <v>390000.0</v>
      </c>
      <c r="AT460" s="35" t="b">
        <v>1</v>
      </c>
      <c r="AU460" s="23">
        <v>80000.0</v>
      </c>
      <c r="AV460" s="15" t="b">
        <v>1</v>
      </c>
      <c r="AW460" s="20" t="s">
        <v>772</v>
      </c>
      <c r="AX460" s="23">
        <v>390000.0</v>
      </c>
      <c r="AY460" s="35" t="b">
        <v>1</v>
      </c>
      <c r="AZ460" s="23">
        <v>80000.0</v>
      </c>
      <c r="BA460" s="15" t="b">
        <v>1</v>
      </c>
      <c r="BB460" s="20" t="s">
        <v>772</v>
      </c>
      <c r="BC460" s="23">
        <v>390000.0</v>
      </c>
      <c r="BD460" s="35" t="b">
        <v>1</v>
      </c>
      <c r="BE460" s="23">
        <v>80000.0</v>
      </c>
      <c r="BF460" s="15" t="b">
        <v>1</v>
      </c>
      <c r="BG460" s="20" t="s">
        <v>772</v>
      </c>
      <c r="BH460" s="23">
        <v>390000.0</v>
      </c>
      <c r="BI460" s="35" t="b">
        <v>1</v>
      </c>
      <c r="BJ460" s="23">
        <v>80000.0</v>
      </c>
      <c r="BK460" s="15" t="b">
        <v>1</v>
      </c>
      <c r="BL460" s="20" t="s">
        <v>772</v>
      </c>
      <c r="BM460" s="23">
        <v>390000.0</v>
      </c>
      <c r="BN460" s="35" t="b">
        <v>0</v>
      </c>
      <c r="BO460" s="23">
        <v>80000.0</v>
      </c>
      <c r="BP460" s="15" t="b">
        <v>0</v>
      </c>
      <c r="BQ460" s="17" t="s">
        <v>33</v>
      </c>
      <c r="BR460" s="1"/>
      <c r="BS460" s="1"/>
      <c r="BT460" s="1"/>
      <c r="BU460" s="1"/>
    </row>
    <row r="461">
      <c r="A461" s="1"/>
      <c r="B461" s="27" t="s">
        <v>760</v>
      </c>
      <c r="C461" s="11" t="s">
        <v>695</v>
      </c>
      <c r="D461" s="20" t="s">
        <v>765</v>
      </c>
      <c r="E461" s="23">
        <v>370000.0</v>
      </c>
      <c r="F461" s="35" t="b">
        <v>1</v>
      </c>
      <c r="G461" s="23">
        <v>80000.0</v>
      </c>
      <c r="H461" s="15" t="b">
        <v>1</v>
      </c>
      <c r="I461" s="20" t="s">
        <v>773</v>
      </c>
      <c r="J461" s="23">
        <v>370000.0</v>
      </c>
      <c r="K461" s="35" t="b">
        <v>1</v>
      </c>
      <c r="L461" s="23">
        <v>80000.0</v>
      </c>
      <c r="M461" s="15" t="b">
        <v>1</v>
      </c>
      <c r="N461" s="20" t="s">
        <v>774</v>
      </c>
      <c r="O461" s="23">
        <v>410000.0</v>
      </c>
      <c r="P461" s="35" t="b">
        <v>1</v>
      </c>
      <c r="Q461" s="23">
        <v>80000.0</v>
      </c>
      <c r="R461" s="15" t="b">
        <v>1</v>
      </c>
      <c r="S461" s="20" t="s">
        <v>775</v>
      </c>
      <c r="T461" s="23">
        <v>410000.0</v>
      </c>
      <c r="U461" s="35" t="b">
        <v>1</v>
      </c>
      <c r="V461" s="23">
        <v>80000.0</v>
      </c>
      <c r="W461" s="15" t="b">
        <v>1</v>
      </c>
      <c r="X461" s="20" t="s">
        <v>775</v>
      </c>
      <c r="Y461" s="23">
        <v>410000.0</v>
      </c>
      <c r="Z461" s="35" t="b">
        <v>1</v>
      </c>
      <c r="AA461" s="23">
        <v>80000.0</v>
      </c>
      <c r="AB461" s="35" t="b">
        <v>1</v>
      </c>
      <c r="AC461" s="99" t="s">
        <v>775</v>
      </c>
      <c r="AD461" s="23">
        <v>410000.0</v>
      </c>
      <c r="AE461" s="35" t="b">
        <v>1</v>
      </c>
      <c r="AF461" s="23">
        <v>80000.0</v>
      </c>
      <c r="AG461" s="15" t="b">
        <v>1</v>
      </c>
      <c r="AH461" s="20" t="s">
        <v>775</v>
      </c>
      <c r="AI461" s="23">
        <v>410000.0</v>
      </c>
      <c r="AJ461" s="35" t="b">
        <v>1</v>
      </c>
      <c r="AK461" s="23">
        <v>80000.0</v>
      </c>
      <c r="AL461" s="35" t="b">
        <v>1</v>
      </c>
      <c r="AM461" s="20" t="s">
        <v>775</v>
      </c>
      <c r="AN461" s="23">
        <v>410000.0</v>
      </c>
      <c r="AO461" s="35" t="b">
        <v>1</v>
      </c>
      <c r="AP461" s="23">
        <v>80000.0</v>
      </c>
      <c r="AQ461" s="15" t="b">
        <v>1</v>
      </c>
      <c r="AR461" s="20" t="s">
        <v>775</v>
      </c>
      <c r="AS461" s="23">
        <v>410000.0</v>
      </c>
      <c r="AT461" s="35" t="b">
        <v>1</v>
      </c>
      <c r="AU461" s="23">
        <v>80000.0</v>
      </c>
      <c r="AV461" s="15" t="b">
        <v>1</v>
      </c>
      <c r="AW461" s="20" t="s">
        <v>775</v>
      </c>
      <c r="AX461" s="23">
        <v>410000.0</v>
      </c>
      <c r="AY461" s="35" t="b">
        <v>1</v>
      </c>
      <c r="AZ461" s="23">
        <v>80000.0</v>
      </c>
      <c r="BA461" s="15" t="b">
        <v>1</v>
      </c>
      <c r="BB461" s="20" t="s">
        <v>775</v>
      </c>
      <c r="BC461" s="23">
        <v>410000.0</v>
      </c>
      <c r="BD461" s="35" t="b">
        <v>1</v>
      </c>
      <c r="BE461" s="23">
        <v>80000.0</v>
      </c>
      <c r="BF461" s="15" t="b">
        <v>1</v>
      </c>
      <c r="BG461" s="20" t="s">
        <v>775</v>
      </c>
      <c r="BH461" s="23">
        <v>410000.0</v>
      </c>
      <c r="BI461" s="35" t="b">
        <v>1</v>
      </c>
      <c r="BJ461" s="23">
        <v>80000.0</v>
      </c>
      <c r="BK461" s="15" t="b">
        <v>1</v>
      </c>
      <c r="BL461" s="20" t="s">
        <v>775</v>
      </c>
      <c r="BM461" s="23">
        <v>410000.0</v>
      </c>
      <c r="BN461" s="35" t="b">
        <v>0</v>
      </c>
      <c r="BO461" s="23">
        <v>80000.0</v>
      </c>
      <c r="BP461" s="15" t="b">
        <v>0</v>
      </c>
      <c r="BQ461" s="17" t="s">
        <v>33</v>
      </c>
      <c r="BR461" s="1"/>
      <c r="BS461" s="1"/>
      <c r="BT461" s="1"/>
      <c r="BU461" s="1"/>
    </row>
    <row r="462">
      <c r="A462" s="1"/>
      <c r="B462" s="21"/>
      <c r="C462" s="11" t="s">
        <v>42</v>
      </c>
      <c r="D462" s="22"/>
      <c r="E462" s="23">
        <f>SUM(E458:E461)</f>
        <v>1780000</v>
      </c>
      <c r="F462" s="18"/>
      <c r="G462" s="23">
        <f>SUM(G458:G461)</f>
        <v>320000</v>
      </c>
      <c r="H462" s="19"/>
      <c r="I462" s="22"/>
      <c r="J462" s="23">
        <f>SUM(J458:J461)</f>
        <v>1780000</v>
      </c>
      <c r="K462" s="18"/>
      <c r="L462" s="23">
        <f>SUM(L458:L461)</f>
        <v>320000</v>
      </c>
      <c r="M462" s="19"/>
      <c r="N462" s="22"/>
      <c r="O462" s="23">
        <f>SUM(O458:O461)</f>
        <v>1847419</v>
      </c>
      <c r="P462" s="18"/>
      <c r="Q462" s="23">
        <f>SUM(Q458:Q461)</f>
        <v>317419</v>
      </c>
      <c r="R462" s="19"/>
      <c r="S462" s="22"/>
      <c r="T462" s="23">
        <f>SUM(T458:T461)</f>
        <v>1860000</v>
      </c>
      <c r="U462" s="18"/>
      <c r="V462" s="23">
        <f>SUM(V458:V461)</f>
        <v>320000</v>
      </c>
      <c r="W462" s="19"/>
      <c r="X462" s="18"/>
      <c r="Y462" s="23">
        <f>SUM(Y458:Y461)</f>
        <v>1860000</v>
      </c>
      <c r="Z462" s="18"/>
      <c r="AA462" s="23">
        <f>SUM(AA458:AA461)</f>
        <v>320000</v>
      </c>
      <c r="AB462" s="1"/>
      <c r="AC462" s="100"/>
      <c r="AD462" s="23">
        <f>SUM(AD458:AD461)</f>
        <v>1860000</v>
      </c>
      <c r="AE462" s="18"/>
      <c r="AF462" s="23">
        <f>SUM(AF458:AF461)</f>
        <v>320000</v>
      </c>
      <c r="AG462" s="19"/>
      <c r="AH462" s="18"/>
      <c r="AI462" s="23">
        <f>SUM(AI458:AI461)</f>
        <v>1860000</v>
      </c>
      <c r="AJ462" s="18"/>
      <c r="AK462" s="23">
        <f>SUM(AK458:AK461)</f>
        <v>320000</v>
      </c>
      <c r="AL462" s="19"/>
      <c r="AM462" s="18"/>
      <c r="AN462" s="23">
        <f>SUM(AN458:AN461)</f>
        <v>1860000</v>
      </c>
      <c r="AO462" s="18"/>
      <c r="AP462" s="23">
        <f>SUM(AP458:AP461)</f>
        <v>320000</v>
      </c>
      <c r="AQ462" s="19"/>
      <c r="AR462" s="22"/>
      <c r="AS462" s="23">
        <f>SUM(AS458:AS461)</f>
        <v>1860000</v>
      </c>
      <c r="AT462" s="18"/>
      <c r="AU462" s="23">
        <f>SUM(AU458:AU461)</f>
        <v>320000</v>
      </c>
      <c r="AV462" s="19"/>
      <c r="AW462" s="22"/>
      <c r="AX462" s="23">
        <f>SUM(AX458:AX461)</f>
        <v>1860000</v>
      </c>
      <c r="AY462" s="18"/>
      <c r="AZ462" s="23">
        <f>SUM(AZ458:AZ461)</f>
        <v>320000</v>
      </c>
      <c r="BA462" s="19"/>
      <c r="BB462" s="22"/>
      <c r="BC462" s="23">
        <f>SUM(BC458:BC461)</f>
        <v>1860000</v>
      </c>
      <c r="BD462" s="18"/>
      <c r="BE462" s="23">
        <f>SUM(BE458:BE461)</f>
        <v>320000</v>
      </c>
      <c r="BF462" s="19"/>
      <c r="BG462" s="22"/>
      <c r="BH462" s="23">
        <f>SUM(BH458:BH461)</f>
        <v>1860000</v>
      </c>
      <c r="BI462" s="18"/>
      <c r="BJ462" s="23">
        <f>SUM(BJ458:BJ461)</f>
        <v>320000</v>
      </c>
      <c r="BK462" s="19"/>
      <c r="BL462" s="22"/>
      <c r="BM462" s="23">
        <f>SUM(BM458:BM461)</f>
        <v>1860000</v>
      </c>
      <c r="BN462" s="18"/>
      <c r="BO462" s="23">
        <f>SUM(BO458:BO461)</f>
        <v>320000</v>
      </c>
      <c r="BP462" s="19"/>
      <c r="BQ462" s="17" t="s">
        <v>33</v>
      </c>
      <c r="BR462" s="1"/>
      <c r="BS462" s="1"/>
      <c r="BT462" s="1"/>
      <c r="BU462" s="1"/>
    </row>
    <row r="463">
      <c r="A463" s="1"/>
      <c r="B463" s="21"/>
      <c r="C463" s="11" t="s">
        <v>43</v>
      </c>
      <c r="D463" s="22"/>
      <c r="E463" s="23">
        <v>950000.0</v>
      </c>
      <c r="F463" s="18"/>
      <c r="G463" s="23" t="s">
        <v>677</v>
      </c>
      <c r="H463" s="19"/>
      <c r="I463" s="22"/>
      <c r="J463" s="23">
        <v>950000.0</v>
      </c>
      <c r="K463" s="18"/>
      <c r="L463" s="18"/>
      <c r="M463" s="19"/>
      <c r="N463" s="22"/>
      <c r="O463" s="23">
        <v>950000.0</v>
      </c>
      <c r="P463" s="18"/>
      <c r="Q463" s="18"/>
      <c r="R463" s="19"/>
      <c r="S463" s="22"/>
      <c r="T463" s="23">
        <v>950000.0</v>
      </c>
      <c r="U463" s="18"/>
      <c r="V463" s="18"/>
      <c r="W463" s="19"/>
      <c r="X463" s="18"/>
      <c r="Y463" s="23">
        <v>950000.0</v>
      </c>
      <c r="Z463" s="18"/>
      <c r="AA463" s="18"/>
      <c r="AB463" s="1"/>
      <c r="AC463" s="100"/>
      <c r="AD463" s="23">
        <v>950000.0</v>
      </c>
      <c r="AE463" s="18"/>
      <c r="AF463" s="18"/>
      <c r="AG463" s="19"/>
      <c r="AH463" s="18"/>
      <c r="AI463" s="23">
        <v>950000.0</v>
      </c>
      <c r="AJ463" s="18"/>
      <c r="AK463" s="18"/>
      <c r="AL463" s="19"/>
      <c r="AM463" s="18"/>
      <c r="AN463" s="23">
        <v>950000.0</v>
      </c>
      <c r="AO463" s="18"/>
      <c r="AP463" s="18"/>
      <c r="AQ463" s="19"/>
      <c r="AR463" s="22"/>
      <c r="AS463" s="23">
        <v>950000.0</v>
      </c>
      <c r="AT463" s="18"/>
      <c r="AU463" s="18"/>
      <c r="AV463" s="19"/>
      <c r="AW463" s="22"/>
      <c r="AX463" s="23">
        <v>950000.0</v>
      </c>
      <c r="AY463" s="18"/>
      <c r="AZ463" s="18"/>
      <c r="BA463" s="19"/>
      <c r="BB463" s="22"/>
      <c r="BC463" s="23">
        <v>950000.0</v>
      </c>
      <c r="BD463" s="18"/>
      <c r="BE463" s="18"/>
      <c r="BF463" s="19"/>
      <c r="BG463" s="22"/>
      <c r="BH463" s="23">
        <v>950000.0</v>
      </c>
      <c r="BI463" s="18"/>
      <c r="BJ463" s="18"/>
      <c r="BK463" s="19"/>
      <c r="BL463" s="22"/>
      <c r="BM463" s="23">
        <v>950000.0</v>
      </c>
      <c r="BN463" s="18"/>
      <c r="BO463" s="18"/>
      <c r="BP463" s="19"/>
      <c r="BQ463" s="17" t="s">
        <v>33</v>
      </c>
      <c r="BR463" s="1"/>
      <c r="BS463" s="1"/>
      <c r="BT463" s="1"/>
      <c r="BU463" s="1"/>
    </row>
    <row r="464">
      <c r="A464" s="1"/>
      <c r="B464" s="21"/>
      <c r="C464" s="11" t="s">
        <v>45</v>
      </c>
      <c r="D464" s="22"/>
      <c r="E464" s="18"/>
      <c r="F464" s="18"/>
      <c r="G464" s="23">
        <v>30000.0</v>
      </c>
      <c r="H464" s="19"/>
      <c r="I464" s="22"/>
      <c r="J464" s="18"/>
      <c r="K464" s="18"/>
      <c r="L464" s="23">
        <v>30000.0</v>
      </c>
      <c r="M464" s="98" t="s">
        <v>677</v>
      </c>
      <c r="N464" s="26" t="s">
        <v>677</v>
      </c>
      <c r="O464" s="23" t="s">
        <v>677</v>
      </c>
      <c r="P464" s="61" t="s">
        <v>677</v>
      </c>
      <c r="Q464" s="23">
        <v>30000.0</v>
      </c>
      <c r="R464" s="98" t="s">
        <v>677</v>
      </c>
      <c r="S464" s="26" t="s">
        <v>677</v>
      </c>
      <c r="T464" s="23" t="s">
        <v>677</v>
      </c>
      <c r="U464" s="61" t="s">
        <v>677</v>
      </c>
      <c r="V464" s="23">
        <v>30000.0</v>
      </c>
      <c r="W464" s="98" t="s">
        <v>677</v>
      </c>
      <c r="X464" s="20" t="s">
        <v>677</v>
      </c>
      <c r="Y464" s="23" t="s">
        <v>677</v>
      </c>
      <c r="Z464" s="61" t="s">
        <v>677</v>
      </c>
      <c r="AA464" s="23">
        <v>30000.0</v>
      </c>
      <c r="AB464" s="61" t="s">
        <v>677</v>
      </c>
      <c r="AC464" s="99" t="s">
        <v>677</v>
      </c>
      <c r="AD464" s="23" t="s">
        <v>677</v>
      </c>
      <c r="AE464" s="61" t="s">
        <v>677</v>
      </c>
      <c r="AF464" s="23">
        <v>30000.0</v>
      </c>
      <c r="AG464" s="98" t="s">
        <v>677</v>
      </c>
      <c r="AH464" s="20" t="s">
        <v>677</v>
      </c>
      <c r="AI464" s="23" t="s">
        <v>677</v>
      </c>
      <c r="AJ464" s="61" t="s">
        <v>677</v>
      </c>
      <c r="AK464" s="23">
        <v>30000.0</v>
      </c>
      <c r="AL464" s="98" t="s">
        <v>677</v>
      </c>
      <c r="AM464" s="20" t="s">
        <v>677</v>
      </c>
      <c r="AN464" s="23" t="s">
        <v>677</v>
      </c>
      <c r="AO464" s="61" t="s">
        <v>677</v>
      </c>
      <c r="AP464" s="23">
        <v>30000.0</v>
      </c>
      <c r="AQ464" s="98" t="s">
        <v>677</v>
      </c>
      <c r="AR464" s="26" t="s">
        <v>677</v>
      </c>
      <c r="AS464" s="23" t="s">
        <v>677</v>
      </c>
      <c r="AT464" s="61" t="s">
        <v>677</v>
      </c>
      <c r="AU464" s="23">
        <v>30000.0</v>
      </c>
      <c r="AV464" s="98" t="s">
        <v>677</v>
      </c>
      <c r="AW464" s="26" t="s">
        <v>677</v>
      </c>
      <c r="AX464" s="23" t="s">
        <v>677</v>
      </c>
      <c r="AY464" s="61" t="s">
        <v>677</v>
      </c>
      <c r="AZ464" s="23">
        <v>30000.0</v>
      </c>
      <c r="BA464" s="98" t="s">
        <v>677</v>
      </c>
      <c r="BB464" s="26" t="s">
        <v>677</v>
      </c>
      <c r="BC464" s="23" t="s">
        <v>677</v>
      </c>
      <c r="BD464" s="61" t="s">
        <v>677</v>
      </c>
      <c r="BE464" s="23">
        <v>30000.0</v>
      </c>
      <c r="BF464" s="98" t="s">
        <v>677</v>
      </c>
      <c r="BG464" s="26" t="s">
        <v>677</v>
      </c>
      <c r="BH464" s="23" t="s">
        <v>677</v>
      </c>
      <c r="BI464" s="61" t="s">
        <v>677</v>
      </c>
      <c r="BJ464" s="23">
        <v>30000.0</v>
      </c>
      <c r="BK464" s="19"/>
      <c r="BL464" s="26" t="s">
        <v>677</v>
      </c>
      <c r="BM464" s="23" t="s">
        <v>677</v>
      </c>
      <c r="BN464" s="61" t="s">
        <v>677</v>
      </c>
      <c r="BO464" s="23">
        <v>30000.0</v>
      </c>
      <c r="BP464" s="19"/>
      <c r="BQ464" s="17" t="s">
        <v>33</v>
      </c>
      <c r="BR464" s="1"/>
      <c r="BS464" s="1"/>
      <c r="BT464" s="1"/>
      <c r="BU464" s="1"/>
    </row>
    <row r="465">
      <c r="A465" s="56" t="s">
        <v>678</v>
      </c>
      <c r="B465" s="41" t="s">
        <v>776</v>
      </c>
      <c r="C465" s="11" t="s">
        <v>47</v>
      </c>
      <c r="D465" s="22"/>
      <c r="E465" s="18"/>
      <c r="F465" s="18"/>
      <c r="G465" s="23">
        <v>35660.0</v>
      </c>
      <c r="H465" s="19"/>
      <c r="I465" s="22"/>
      <c r="J465" s="18"/>
      <c r="K465" s="18"/>
      <c r="L465" s="23">
        <v>23270.0</v>
      </c>
      <c r="M465" s="24"/>
      <c r="N465" s="22"/>
      <c r="O465" s="18"/>
      <c r="P465" s="18"/>
      <c r="Q465" s="23">
        <v>19770.0</v>
      </c>
      <c r="R465" s="24"/>
      <c r="S465" s="22"/>
      <c r="T465" s="18"/>
      <c r="U465" s="18"/>
      <c r="V465" s="23">
        <v>43720.0</v>
      </c>
      <c r="W465" s="24"/>
      <c r="X465" s="18"/>
      <c r="Y465" s="18"/>
      <c r="Z465" s="18"/>
      <c r="AA465" s="23">
        <v>42930.0</v>
      </c>
      <c r="AB465" s="18"/>
      <c r="AC465" s="100"/>
      <c r="AD465" s="18"/>
      <c r="AE465" s="18"/>
      <c r="AF465" s="23">
        <v>37222.0</v>
      </c>
      <c r="AG465" s="24"/>
      <c r="AH465" s="18"/>
      <c r="AI465" s="18"/>
      <c r="AJ465" s="18"/>
      <c r="AK465" s="23">
        <v>60800.0</v>
      </c>
      <c r="AL465" s="24"/>
      <c r="AM465" s="18"/>
      <c r="AN465" s="18"/>
      <c r="AO465" s="18"/>
      <c r="AP465" s="23">
        <v>27270.0</v>
      </c>
      <c r="AQ465" s="24"/>
      <c r="AR465" s="22"/>
      <c r="AS465" s="18"/>
      <c r="AT465" s="18"/>
      <c r="AU465" s="23">
        <v>38730.0</v>
      </c>
      <c r="AV465" s="24"/>
      <c r="AW465" s="22"/>
      <c r="AX465" s="18"/>
      <c r="AY465" s="18"/>
      <c r="AZ465" s="23">
        <v>99440.0</v>
      </c>
      <c r="BA465" s="24"/>
      <c r="BB465" s="22"/>
      <c r="BC465" s="18"/>
      <c r="BD465" s="18"/>
      <c r="BE465" s="23">
        <v>38090.0</v>
      </c>
      <c r="BF465" s="24"/>
      <c r="BG465" s="22"/>
      <c r="BH465" s="18"/>
      <c r="BI465" s="18"/>
      <c r="BJ465" s="23">
        <v>36800.0</v>
      </c>
      <c r="BK465" s="19"/>
      <c r="BL465" s="22"/>
      <c r="BM465" s="18"/>
      <c r="BN465" s="18"/>
      <c r="BO465" s="18"/>
      <c r="BP465" s="19"/>
      <c r="BQ465" s="17" t="s">
        <v>33</v>
      </c>
      <c r="BR465" s="1"/>
      <c r="BS465" s="1"/>
      <c r="BT465" s="1"/>
      <c r="BU465" s="1"/>
    </row>
    <row r="466">
      <c r="A466" s="56" t="s">
        <v>678</v>
      </c>
      <c r="B466" s="10" t="s">
        <v>777</v>
      </c>
      <c r="C466" s="11" t="s">
        <v>49</v>
      </c>
      <c r="D466" s="22"/>
      <c r="E466" s="18"/>
      <c r="F466" s="18"/>
      <c r="G466" s="23">
        <v>148930.0</v>
      </c>
      <c r="H466" s="19"/>
      <c r="I466" s="22"/>
      <c r="J466" s="18"/>
      <c r="K466" s="18"/>
      <c r="L466" s="23">
        <v>147150.0</v>
      </c>
      <c r="M466" s="24"/>
      <c r="N466" s="22"/>
      <c r="O466" s="18"/>
      <c r="P466" s="18"/>
      <c r="Q466" s="23">
        <v>154730.0</v>
      </c>
      <c r="R466" s="24"/>
      <c r="S466" s="22"/>
      <c r="T466" s="18"/>
      <c r="U466" s="18"/>
      <c r="V466" s="23">
        <v>87510.0</v>
      </c>
      <c r="W466" s="24"/>
      <c r="X466" s="18"/>
      <c r="Y466" s="18"/>
      <c r="Z466" s="18"/>
      <c r="AA466" s="23">
        <v>37520.0</v>
      </c>
      <c r="AB466" s="18"/>
      <c r="AC466" s="100"/>
      <c r="AD466" s="18"/>
      <c r="AE466" s="18"/>
      <c r="AF466" s="23">
        <v>26640.0</v>
      </c>
      <c r="AG466" s="24"/>
      <c r="AH466" s="18"/>
      <c r="AI466" s="18"/>
      <c r="AJ466" s="18"/>
      <c r="AK466" s="23">
        <v>14990.0</v>
      </c>
      <c r="AL466" s="24"/>
      <c r="AM466" s="18"/>
      <c r="AN466" s="18"/>
      <c r="AO466" s="18"/>
      <c r="AP466" s="23">
        <v>2360.0</v>
      </c>
      <c r="AQ466" s="24"/>
      <c r="AR466" s="22"/>
      <c r="AS466" s="18"/>
      <c r="AT466" s="18"/>
      <c r="AU466" s="23">
        <v>6590.0</v>
      </c>
      <c r="AV466" s="24"/>
      <c r="AW466" s="22"/>
      <c r="AX466" s="18"/>
      <c r="AY466" s="18"/>
      <c r="AZ466" s="23">
        <v>14930.0</v>
      </c>
      <c r="BA466" s="24"/>
      <c r="BB466" s="22"/>
      <c r="BC466" s="18"/>
      <c r="BD466" s="18"/>
      <c r="BE466" s="23">
        <v>33720.0</v>
      </c>
      <c r="BF466" s="24"/>
      <c r="BG466" s="22"/>
      <c r="BH466" s="18"/>
      <c r="BI466" s="18"/>
      <c r="BJ466" s="23">
        <v>102570.0</v>
      </c>
      <c r="BK466" s="19"/>
      <c r="BL466" s="22"/>
      <c r="BM466" s="18"/>
      <c r="BN466" s="18"/>
      <c r="BO466" s="18"/>
      <c r="BP466" s="19"/>
      <c r="BQ466" s="17" t="s">
        <v>33</v>
      </c>
      <c r="BR466" s="1"/>
      <c r="BS466" s="1"/>
      <c r="BT466" s="1"/>
      <c r="BU466" s="1"/>
    </row>
    <row r="467">
      <c r="A467" s="56" t="s">
        <v>678</v>
      </c>
      <c r="B467" s="10" t="s">
        <v>680</v>
      </c>
      <c r="C467" s="11" t="s">
        <v>51</v>
      </c>
      <c r="D467" s="22"/>
      <c r="E467" s="18"/>
      <c r="F467" s="18"/>
      <c r="G467" s="23">
        <v>30000.0</v>
      </c>
      <c r="H467" s="19"/>
      <c r="I467" s="22"/>
      <c r="J467" s="18"/>
      <c r="K467" s="18"/>
      <c r="L467" s="23">
        <v>30000.0</v>
      </c>
      <c r="M467" s="98" t="s">
        <v>677</v>
      </c>
      <c r="N467" s="26" t="s">
        <v>677</v>
      </c>
      <c r="O467" s="23" t="s">
        <v>677</v>
      </c>
      <c r="P467" s="61" t="s">
        <v>677</v>
      </c>
      <c r="Q467" s="23">
        <v>30000.0</v>
      </c>
      <c r="R467" s="98" t="s">
        <v>677</v>
      </c>
      <c r="S467" s="26" t="s">
        <v>677</v>
      </c>
      <c r="T467" s="23" t="s">
        <v>677</v>
      </c>
      <c r="U467" s="61" t="s">
        <v>677</v>
      </c>
      <c r="V467" s="23">
        <v>30000.0</v>
      </c>
      <c r="W467" s="98" t="s">
        <v>677</v>
      </c>
      <c r="X467" s="20" t="s">
        <v>677</v>
      </c>
      <c r="Y467" s="23" t="s">
        <v>677</v>
      </c>
      <c r="Z467" s="61" t="s">
        <v>677</v>
      </c>
      <c r="AA467" s="23">
        <v>33440.0</v>
      </c>
      <c r="AB467" s="61" t="s">
        <v>677</v>
      </c>
      <c r="AC467" s="99" t="s">
        <v>677</v>
      </c>
      <c r="AD467" s="23" t="s">
        <v>677</v>
      </c>
      <c r="AE467" s="61" t="s">
        <v>677</v>
      </c>
      <c r="AF467" s="23">
        <v>30000.0</v>
      </c>
      <c r="AG467" s="98" t="s">
        <v>677</v>
      </c>
      <c r="AH467" s="20" t="s">
        <v>677</v>
      </c>
      <c r="AI467" s="23" t="s">
        <v>677</v>
      </c>
      <c r="AJ467" s="61" t="s">
        <v>677</v>
      </c>
      <c r="AK467" s="23">
        <v>30000.0</v>
      </c>
      <c r="AL467" s="98" t="s">
        <v>677</v>
      </c>
      <c r="AM467" s="20" t="s">
        <v>677</v>
      </c>
      <c r="AN467" s="23" t="s">
        <v>677</v>
      </c>
      <c r="AO467" s="61" t="s">
        <v>677</v>
      </c>
      <c r="AP467" s="23">
        <v>60000.0</v>
      </c>
      <c r="AQ467" s="98" t="s">
        <v>677</v>
      </c>
      <c r="AR467" s="26" t="s">
        <v>677</v>
      </c>
      <c r="AS467" s="23" t="s">
        <v>677</v>
      </c>
      <c r="AT467" s="61" t="s">
        <v>677</v>
      </c>
      <c r="AU467" s="23">
        <v>60000.0</v>
      </c>
      <c r="AV467" s="98" t="s">
        <v>677</v>
      </c>
      <c r="AW467" s="26" t="s">
        <v>677</v>
      </c>
      <c r="AX467" s="23" t="s">
        <v>677</v>
      </c>
      <c r="AY467" s="61" t="s">
        <v>677</v>
      </c>
      <c r="AZ467" s="23">
        <v>60000.0</v>
      </c>
      <c r="BA467" s="98" t="s">
        <v>677</v>
      </c>
      <c r="BB467" s="26" t="s">
        <v>677</v>
      </c>
      <c r="BC467" s="23" t="s">
        <v>677</v>
      </c>
      <c r="BD467" s="61" t="s">
        <v>677</v>
      </c>
      <c r="BE467" s="23">
        <v>60000.0</v>
      </c>
      <c r="BF467" s="98" t="s">
        <v>677</v>
      </c>
      <c r="BG467" s="26" t="s">
        <v>677</v>
      </c>
      <c r="BH467" s="23" t="s">
        <v>677</v>
      </c>
      <c r="BI467" s="61" t="s">
        <v>677</v>
      </c>
      <c r="BJ467" s="23">
        <v>60000.0</v>
      </c>
      <c r="BK467" s="19"/>
      <c r="BL467" s="26" t="s">
        <v>677</v>
      </c>
      <c r="BM467" s="23" t="s">
        <v>677</v>
      </c>
      <c r="BN467" s="61" t="s">
        <v>677</v>
      </c>
      <c r="BO467" s="23">
        <v>60000.0</v>
      </c>
      <c r="BP467" s="19"/>
      <c r="BQ467" s="17" t="s">
        <v>33</v>
      </c>
      <c r="BR467" s="1"/>
      <c r="BS467" s="1"/>
      <c r="BT467" s="1"/>
      <c r="BU467" s="1"/>
    </row>
    <row r="468">
      <c r="A468" s="56" t="s">
        <v>681</v>
      </c>
      <c r="B468" s="21"/>
      <c r="C468" s="11" t="s">
        <v>52</v>
      </c>
      <c r="D468" s="22"/>
      <c r="E468" s="18"/>
      <c r="F468" s="18"/>
      <c r="G468" s="23">
        <v>22000.0</v>
      </c>
      <c r="H468" s="19"/>
      <c r="I468" s="22"/>
      <c r="J468" s="18"/>
      <c r="K468" s="18"/>
      <c r="L468" s="23">
        <v>22000.0</v>
      </c>
      <c r="M468" s="19"/>
      <c r="N468" s="22"/>
      <c r="O468" s="18"/>
      <c r="P468" s="18"/>
      <c r="Q468" s="23">
        <v>22000.0</v>
      </c>
      <c r="R468" s="19"/>
      <c r="S468" s="22"/>
      <c r="T468" s="18"/>
      <c r="U468" s="18"/>
      <c r="V468" s="23">
        <v>22000.0</v>
      </c>
      <c r="W468" s="19"/>
      <c r="X468" s="22"/>
      <c r="Y468" s="18"/>
      <c r="Z468" s="18"/>
      <c r="AA468" s="23">
        <v>22000.0</v>
      </c>
      <c r="AB468" s="1"/>
      <c r="AC468" s="100"/>
      <c r="AD468" s="18"/>
      <c r="AE468" s="18"/>
      <c r="AF468" s="23">
        <v>22000.0</v>
      </c>
      <c r="AG468" s="19"/>
      <c r="AH468" s="22"/>
      <c r="AI468" s="18"/>
      <c r="AJ468" s="18"/>
      <c r="AK468" s="23">
        <v>22000.0</v>
      </c>
      <c r="AL468" s="19"/>
      <c r="AM468" s="22"/>
      <c r="AN468" s="18"/>
      <c r="AO468" s="18"/>
      <c r="AP468" s="23">
        <v>22000.0</v>
      </c>
      <c r="AQ468" s="19"/>
      <c r="AR468" s="22"/>
      <c r="AS468" s="18"/>
      <c r="AT468" s="18"/>
      <c r="AU468" s="23">
        <v>22000.0</v>
      </c>
      <c r="AV468" s="19"/>
      <c r="AW468" s="22"/>
      <c r="AX468" s="18"/>
      <c r="AY468" s="18"/>
      <c r="AZ468" s="23">
        <v>22000.0</v>
      </c>
      <c r="BA468" s="19"/>
      <c r="BB468" s="22"/>
      <c r="BC468" s="18"/>
      <c r="BD468" s="18"/>
      <c r="BE468" s="23">
        <v>22000.0</v>
      </c>
      <c r="BF468" s="19"/>
      <c r="BG468" s="22"/>
      <c r="BH468" s="18"/>
      <c r="BI468" s="18"/>
      <c r="BJ468" s="23">
        <v>22000.0</v>
      </c>
      <c r="BK468" s="19"/>
      <c r="BL468" s="22"/>
      <c r="BM468" s="18"/>
      <c r="BN468" s="18"/>
      <c r="BO468" s="23">
        <v>22000.0</v>
      </c>
      <c r="BP468" s="19"/>
      <c r="BQ468" s="17" t="s">
        <v>33</v>
      </c>
      <c r="BR468" s="1"/>
      <c r="BS468" s="1"/>
      <c r="BT468" s="1"/>
      <c r="BU468" s="1"/>
    </row>
    <row r="469">
      <c r="A469" s="56" t="s">
        <v>681</v>
      </c>
      <c r="B469" s="21"/>
      <c r="C469" s="11" t="s">
        <v>53</v>
      </c>
      <c r="D469" s="22"/>
      <c r="E469" s="18"/>
      <c r="F469" s="18"/>
      <c r="G469" s="23">
        <v>10000.0</v>
      </c>
      <c r="H469" s="19"/>
      <c r="I469" s="22"/>
      <c r="J469" s="18"/>
      <c r="K469" s="18"/>
      <c r="L469" s="23">
        <v>10000.0</v>
      </c>
      <c r="M469" s="19"/>
      <c r="N469" s="22"/>
      <c r="O469" s="18"/>
      <c r="P469" s="18"/>
      <c r="Q469" s="23">
        <v>10000.0</v>
      </c>
      <c r="R469" s="19"/>
      <c r="S469" s="22"/>
      <c r="T469" s="18"/>
      <c r="U469" s="18"/>
      <c r="V469" s="23">
        <v>10000.0</v>
      </c>
      <c r="W469" s="19"/>
      <c r="X469" s="22"/>
      <c r="Y469" s="18"/>
      <c r="Z469" s="18"/>
      <c r="AA469" s="23">
        <v>10000.0</v>
      </c>
      <c r="AB469" s="1"/>
      <c r="AC469" s="100"/>
      <c r="AD469" s="18"/>
      <c r="AE469" s="18"/>
      <c r="AF469" s="23">
        <v>10000.0</v>
      </c>
      <c r="AG469" s="19"/>
      <c r="AH469" s="22"/>
      <c r="AI469" s="18"/>
      <c r="AJ469" s="18"/>
      <c r="AK469" s="23">
        <v>10000.0</v>
      </c>
      <c r="AL469" s="19"/>
      <c r="AM469" s="22"/>
      <c r="AN469" s="18"/>
      <c r="AO469" s="18"/>
      <c r="AP469" s="23">
        <v>10000.0</v>
      </c>
      <c r="AQ469" s="19"/>
      <c r="AR469" s="22"/>
      <c r="AS469" s="18"/>
      <c r="AT469" s="18"/>
      <c r="AU469" s="23">
        <v>10000.0</v>
      </c>
      <c r="AV469" s="19"/>
      <c r="AW469" s="22"/>
      <c r="AX469" s="18"/>
      <c r="AY469" s="18"/>
      <c r="AZ469" s="23">
        <v>10000.0</v>
      </c>
      <c r="BA469" s="19"/>
      <c r="BB469" s="22"/>
      <c r="BC469" s="18"/>
      <c r="BD469" s="18"/>
      <c r="BE469" s="23">
        <v>10000.0</v>
      </c>
      <c r="BF469" s="19"/>
      <c r="BG469" s="22"/>
      <c r="BH469" s="18"/>
      <c r="BI469" s="18"/>
      <c r="BJ469" s="23">
        <v>10000.0</v>
      </c>
      <c r="BK469" s="19"/>
      <c r="BL469" s="22"/>
      <c r="BM469" s="18"/>
      <c r="BN469" s="18"/>
      <c r="BO469" s="23">
        <v>10000.0</v>
      </c>
      <c r="BP469" s="19"/>
      <c r="BQ469" s="17" t="s">
        <v>33</v>
      </c>
      <c r="BR469" s="1"/>
      <c r="BS469" s="1"/>
      <c r="BT469" s="1"/>
      <c r="BU469" s="1"/>
    </row>
    <row r="470">
      <c r="A470" s="1"/>
      <c r="B470" s="21"/>
      <c r="C470" s="11" t="s">
        <v>54</v>
      </c>
      <c r="D470" s="22"/>
      <c r="E470" s="18"/>
      <c r="F470" s="18"/>
      <c r="G470" s="23">
        <f>SUMIFS('지출'!$G$3:$G1000,'지출'!$J$3:$J1000,G$1,'지출'!$C$3:$C1000,"허브")</f>
        <v>48800</v>
      </c>
      <c r="H470" s="19"/>
      <c r="I470" s="22"/>
      <c r="J470" s="18"/>
      <c r="K470" s="18"/>
      <c r="L470" s="23">
        <f>SUMIFS('지출'!$G$3:$G1000,'지출'!$J$3:$J1000,L$1,'지출'!$C$3:$C1000,"허브")</f>
        <v>95290</v>
      </c>
      <c r="M470" s="24"/>
      <c r="N470" s="18"/>
      <c r="O470" s="18"/>
      <c r="P470" s="18"/>
      <c r="Q470" s="23">
        <f>SUMIFS('지출'!$G$3:$G1000,'지출'!$J$3:$J1000,Q$1,'지출'!$C$3:$C1000,"허브")</f>
        <v>31930</v>
      </c>
      <c r="R470" s="24"/>
      <c r="S470" s="18"/>
      <c r="T470" s="18"/>
      <c r="U470" s="18"/>
      <c r="V470" s="23">
        <f>SUMIFS('지출'!$G$3:$G1000,'지출'!$J$3:$J1000,V$1,'지출'!$C$3:$C1000,"허브")</f>
        <v>0</v>
      </c>
      <c r="W470" s="24"/>
      <c r="X470" s="18"/>
      <c r="Y470" s="18"/>
      <c r="Z470" s="18"/>
      <c r="AA470" s="23">
        <f>SUMIFS('지출'!$G$3:$G1000,'지출'!$J$3:$J1000,AA$1,'지출'!$C$3:$C1000,"허브")</f>
        <v>0</v>
      </c>
      <c r="AB470" s="23">
        <f>SUMIFS('지출'!$G$3:$G1000,'지출'!$J$3:$J1000,AB$1,'지출'!$C$3:$C1000,"허브")</f>
        <v>0</v>
      </c>
      <c r="AC470" s="101">
        <f>SUMIFS('지출'!$G$3:$G1000,'지출'!$J$3:$J1000,AC$1,'지출'!$C$3:$C1000,"허브")</f>
        <v>0</v>
      </c>
      <c r="AD470" s="23">
        <f>SUMIFS('지출'!$G$3:$G1000,'지출'!$J$3:$J1000,AD$1,'지출'!$C$3:$C1000,"허브")</f>
        <v>0</v>
      </c>
      <c r="AE470" s="23">
        <f>SUMIFS('지출'!$G$3:$G1000,'지출'!$J$3:$J1000,AE$1,'지출'!$C$3:$C1000,"허브")</f>
        <v>0</v>
      </c>
      <c r="AF470" s="23">
        <f>SUMIFS('지출'!$G$3:$G1000,'지출'!$J$3:$J1000,AF$1,'지출'!$C$3:$C1000,"허브")</f>
        <v>0</v>
      </c>
      <c r="AG470" s="93">
        <f>SUMIFS('지출'!$G$3:$G1000,'지출'!$J$3:$J1000,AG$1,'지출'!$C$3:$C1000,"허브")</f>
        <v>0</v>
      </c>
      <c r="AH470" s="23">
        <f>SUMIFS('지출'!$G$3:$G1000,'지출'!$J$3:$J1000,AH$1,'지출'!$C$3:$C1000,"허브")</f>
        <v>0</v>
      </c>
      <c r="AI470" s="23">
        <f>SUMIFS('지출'!$G$3:$G1000,'지출'!$J$3:$J1000,AI$1,'지출'!$C$3:$C1000,"허브")</f>
        <v>0</v>
      </c>
      <c r="AJ470" s="23">
        <f>SUMIFS('지출'!$G$3:$G1000,'지출'!$J$3:$J1000,AJ$1,'지출'!$C$3:$C1000,"허브")</f>
        <v>0</v>
      </c>
      <c r="AK470" s="23">
        <f>SUMIFS('지출'!$G$3:$G1000,'지출'!$J$3:$J1000,AK$1,'지출'!$C$3:$C1000,"허브")</f>
        <v>0</v>
      </c>
      <c r="AL470" s="93">
        <f>SUMIFS('지출'!$G$3:$G1000,'지출'!$J$3:$J1000,AL$1,'지출'!$C$3:$C1000,"허브")</f>
        <v>0</v>
      </c>
      <c r="AM470" s="23">
        <f>SUMIFS('지출'!$G$3:$G1000,'지출'!$J$3:$J1000,AM$1,'지출'!$C$3:$C1000,"허브")</f>
        <v>0</v>
      </c>
      <c r="AN470" s="23">
        <f>SUMIFS('지출'!$G$3:$G1000,'지출'!$J$3:$J1000,AN$1,'지출'!$C$3:$C1000,"허브")</f>
        <v>0</v>
      </c>
      <c r="AO470" s="23">
        <f>SUMIFS('지출'!$G$3:$G1000,'지출'!$J$3:$J1000,AO$1,'지출'!$C$3:$C1000,"허브")</f>
        <v>0</v>
      </c>
      <c r="AP470" s="23">
        <f>SUMIFS('지출'!$G$3:$G1000,'지출'!$J$3:$J1000,AP$1,'지출'!$C$3:$C1000,"허브")</f>
        <v>0</v>
      </c>
      <c r="AQ470" s="93">
        <f>SUMIFS('지출'!$G$3:$G1000,'지출'!$J$3:$J1000,AQ$1,'지출'!$C$3:$C1000,"허브")</f>
        <v>0</v>
      </c>
      <c r="AR470" s="23">
        <f>SUMIFS('지출'!$G$3:$G1000,'지출'!$J$3:$J1000,AR$1,'지출'!$C$3:$C1000,"허브")</f>
        <v>0</v>
      </c>
      <c r="AS470" s="23">
        <f>SUMIFS('지출'!$G$3:$G1000,'지출'!$J$3:$J1000,AS$1,'지출'!$C$3:$C1000,"허브")</f>
        <v>0</v>
      </c>
      <c r="AT470" s="23">
        <f>SUMIFS('지출'!$G$3:$G1000,'지출'!$J$3:$J1000,AT$1,'지출'!$C$3:$C1000,"허브")</f>
        <v>0</v>
      </c>
      <c r="AU470" s="23">
        <f>SUMIFS('지출'!$G$3:$G1000,'지출'!$J$3:$J1000,AU$1,'지출'!$C$3:$C1000,"허브")</f>
        <v>0</v>
      </c>
      <c r="AV470" s="93">
        <f>SUMIFS('지출'!$G$3:$G1000,'지출'!$J$3:$J1000,AV$1,'지출'!$C$3:$C1000,"허브")</f>
        <v>0</v>
      </c>
      <c r="AW470" s="23">
        <f>SUMIFS('지출'!$G$3:$G1000,'지출'!$J$3:$J1000,AW$1,'지출'!$C$3:$C1000,"허브")</f>
        <v>0</v>
      </c>
      <c r="AX470" s="23">
        <f>SUMIFS('지출'!$G$3:$G1000,'지출'!$J$3:$J1000,AX$1,'지출'!$C$3:$C1000,"허브")</f>
        <v>0</v>
      </c>
      <c r="AY470" s="23">
        <f>SUMIFS('지출'!$G$3:$G1000,'지출'!$J$3:$J1000,AY$1,'지출'!$C$3:$C1000,"허브")</f>
        <v>0</v>
      </c>
      <c r="AZ470" s="23">
        <f>SUMIFS('지출'!$G$3:$G1000,'지출'!$J$3:$J1000,AZ$1,'지출'!$C$3:$C1000,"허브")</f>
        <v>0</v>
      </c>
      <c r="BA470" s="93">
        <f>SUMIFS('지출'!$G$3:$G1000,'지출'!$J$3:$J1000,BA$1,'지출'!$C$3:$C1000,"허브")</f>
        <v>0</v>
      </c>
      <c r="BB470" s="23">
        <f>SUMIFS('지출'!$G$3:$G1000,'지출'!$J$3:$J1000,BB$1,'지출'!$C$3:$C1000,"허브")</f>
        <v>0</v>
      </c>
      <c r="BC470" s="23">
        <f>SUMIFS('지출'!$G$3:$G1000,'지출'!$J$3:$J1000,BC$1,'지출'!$C$3:$C1000,"허브")</f>
        <v>0</v>
      </c>
      <c r="BD470" s="23">
        <f>SUMIFS('지출'!$G$3:$G1000,'지출'!$J$3:$J1000,BD$1,'지출'!$C$3:$C1000,"허브")</f>
        <v>0</v>
      </c>
      <c r="BE470" s="23">
        <f>SUMIFS('지출'!$G$3:$G1000,'지출'!$J$3:$J1000,BE$1,'지출'!$C$3:$C1000,"허브")</f>
        <v>0</v>
      </c>
      <c r="BF470" s="93">
        <f>SUMIFS('지출'!$G$3:$G1000,'지출'!$J$3:$J1000,BF$1,'지출'!$C$3:$C1000,"허브")</f>
        <v>0</v>
      </c>
      <c r="BG470" s="23">
        <f>SUMIFS('지출'!$G$3:$G1000,'지출'!$J$3:$J1000,BG$1,'지출'!$C$3:$C1000,"허브")</f>
        <v>0</v>
      </c>
      <c r="BH470" s="23">
        <f>SUMIFS('지출'!$G$3:$G1000,'지출'!$J$3:$J1000,BH$1,'지출'!$C$3:$C1000,"허브")</f>
        <v>0</v>
      </c>
      <c r="BI470" s="23">
        <f>SUMIFS('지출'!$G$3:$G1000,'지출'!$J$3:$J1000,BI$1,'지출'!$C$3:$C1000,"허브")</f>
        <v>0</v>
      </c>
      <c r="BJ470" s="23">
        <f>SUMIFS('지출'!$G$3:$G1000,'지출'!$J$3:$J1000,BJ$1,'지출'!$C$3:$C1000,"허브")</f>
        <v>0</v>
      </c>
      <c r="BK470" s="19"/>
      <c r="BL470" s="23">
        <f>SUMIFS('지출'!$G$3:$G1000,'지출'!$J$3:$J1000,BL$1,'지출'!$C$3:$C1000,"허브")</f>
        <v>0</v>
      </c>
      <c r="BM470" s="23">
        <f>SUMIFS('지출'!$G$3:$G1000,'지출'!$J$3:$J1000,BM$1,'지출'!$C$3:$C1000,"허브")</f>
        <v>0</v>
      </c>
      <c r="BN470" s="23">
        <f>SUMIFS('지출'!$G$3:$G1000,'지출'!$J$3:$J1000,BN$1,'지출'!$C$3:$C1000,"허브")</f>
        <v>0</v>
      </c>
      <c r="BO470" s="23">
        <f>SUMIFS('지출'!$G$3:$G1000,'지출'!$J$3:$J1000,BO$1,'지출'!$C$3:$C1000,"허브")</f>
        <v>48800</v>
      </c>
      <c r="BP470" s="19"/>
      <c r="BQ470" s="17" t="s">
        <v>33</v>
      </c>
      <c r="BR470" s="1"/>
      <c r="BS470" s="1"/>
      <c r="BT470" s="1"/>
      <c r="BU470" s="1"/>
    </row>
    <row r="471">
      <c r="A471" s="1"/>
      <c r="B471" s="21"/>
      <c r="C471" s="11" t="s">
        <v>56</v>
      </c>
      <c r="D471" s="22"/>
      <c r="E471" s="23">
        <f>E462-(SUM(E463:E470))</f>
        <v>830000</v>
      </c>
      <c r="F471" s="18"/>
      <c r="G471" s="23">
        <f>G462-(SUM(G463:G470))</f>
        <v>-5390</v>
      </c>
      <c r="H471" s="19"/>
      <c r="I471" s="22"/>
      <c r="J471" s="23">
        <f>J462-(SUM(J463:J470))</f>
        <v>830000</v>
      </c>
      <c r="K471" s="18"/>
      <c r="L471" s="23">
        <f>L462-(SUM(L463:L470))</f>
        <v>-37710</v>
      </c>
      <c r="M471" s="19"/>
      <c r="N471" s="22"/>
      <c r="O471" s="23">
        <f>O462-(SUM(O463:O470))</f>
        <v>897419</v>
      </c>
      <c r="P471" s="18"/>
      <c r="Q471" s="23">
        <f>Q462-(SUM(Q463:Q470))</f>
        <v>18989</v>
      </c>
      <c r="R471" s="19"/>
      <c r="S471" s="22"/>
      <c r="T471" s="23">
        <f>T462-(SUM(T463:T470))</f>
        <v>910000</v>
      </c>
      <c r="U471" s="18"/>
      <c r="V471" s="23">
        <f>V462-(SUM(V463:V470))</f>
        <v>96770</v>
      </c>
      <c r="W471" s="19"/>
      <c r="X471" s="18"/>
      <c r="Y471" s="23">
        <f>Y462-(SUM(Y463:Y470))</f>
        <v>910000</v>
      </c>
      <c r="Z471" s="18"/>
      <c r="AA471" s="23">
        <f>AA462-(SUM(AA463:AA470))</f>
        <v>144110</v>
      </c>
      <c r="AB471" s="1"/>
      <c r="AC471" s="100"/>
      <c r="AD471" s="23">
        <f>AD462-(SUM(AD463:AD470))</f>
        <v>910000</v>
      </c>
      <c r="AE471" s="18"/>
      <c r="AF471" s="23">
        <f>AF462-(SUM(AF463:AF470))</f>
        <v>164138</v>
      </c>
      <c r="AG471" s="19"/>
      <c r="AH471" s="18"/>
      <c r="AI471" s="23">
        <f>AI462-(SUM(AI463:AI470))</f>
        <v>910000</v>
      </c>
      <c r="AJ471" s="18"/>
      <c r="AK471" s="23">
        <f>AK462-(SUM(AK463:AK470))</f>
        <v>152210</v>
      </c>
      <c r="AL471" s="19"/>
      <c r="AM471" s="18"/>
      <c r="AN471" s="23">
        <f>AN462-(SUM(AN463:AN470))</f>
        <v>910000</v>
      </c>
      <c r="AO471" s="18"/>
      <c r="AP471" s="23">
        <f>AP462-(SUM(AP463:AP470))</f>
        <v>168370</v>
      </c>
      <c r="AQ471" s="19"/>
      <c r="AR471" s="22"/>
      <c r="AS471" s="23">
        <f>AS462-(SUM(AS463:AS470))</f>
        <v>910000</v>
      </c>
      <c r="AT471" s="18"/>
      <c r="AU471" s="23">
        <f>AU462-(SUM(AU463:AU470))</f>
        <v>152680</v>
      </c>
      <c r="AV471" s="19"/>
      <c r="AW471" s="22"/>
      <c r="AX471" s="23">
        <f>AX462-(SUM(AX463:AX470))</f>
        <v>910000</v>
      </c>
      <c r="AY471" s="18"/>
      <c r="AZ471" s="23">
        <f>AZ462-(SUM(AZ463:AZ470))</f>
        <v>83630</v>
      </c>
      <c r="BA471" s="19"/>
      <c r="BB471" s="22"/>
      <c r="BC471" s="23">
        <f>BC462-(SUM(BC463:BC470))</f>
        <v>910000</v>
      </c>
      <c r="BD471" s="18"/>
      <c r="BE471" s="23">
        <f>BE462-(SUM(BE463:BE470))</f>
        <v>126190</v>
      </c>
      <c r="BF471" s="19"/>
      <c r="BG471" s="22"/>
      <c r="BH471" s="23">
        <f>BH462-(SUM(BH463:BH470))</f>
        <v>910000</v>
      </c>
      <c r="BI471" s="18"/>
      <c r="BJ471" s="23">
        <f>BJ462-(SUM(BJ463:BJ470))</f>
        <v>58630</v>
      </c>
      <c r="BK471" s="19"/>
      <c r="BL471" s="22"/>
      <c r="BM471" s="23">
        <f>BM462-(SUM(BM463:BM470))</f>
        <v>910000</v>
      </c>
      <c r="BN471" s="18"/>
      <c r="BO471" s="23">
        <f>BO462-(SUM(BO463:BO470))</f>
        <v>149200</v>
      </c>
      <c r="BP471" s="19"/>
      <c r="BQ471" s="17" t="s">
        <v>33</v>
      </c>
      <c r="BR471" s="1"/>
      <c r="BS471" s="1"/>
      <c r="BT471" s="1"/>
      <c r="BU471" s="1"/>
    </row>
    <row r="472">
      <c r="A472" s="1"/>
      <c r="B472" s="27">
        <v>0.0</v>
      </c>
      <c r="C472" s="11" t="s">
        <v>26</v>
      </c>
      <c r="D472" s="22"/>
      <c r="E472" s="23">
        <f>E471*$B472</f>
        <v>0</v>
      </c>
      <c r="F472" s="18"/>
      <c r="G472" s="18"/>
      <c r="H472" s="19"/>
      <c r="I472" s="22"/>
      <c r="J472" s="23">
        <f>J471*$B472</f>
        <v>0</v>
      </c>
      <c r="K472" s="18"/>
      <c r="L472" s="18"/>
      <c r="M472" s="19"/>
      <c r="N472" s="22"/>
      <c r="O472" s="23">
        <f>O471*$B472</f>
        <v>0</v>
      </c>
      <c r="P472" s="18"/>
      <c r="Q472" s="18"/>
      <c r="R472" s="19"/>
      <c r="S472" s="22"/>
      <c r="T472" s="23">
        <f>T471*$B472</f>
        <v>0</v>
      </c>
      <c r="U472" s="18"/>
      <c r="V472" s="18"/>
      <c r="W472" s="19"/>
      <c r="X472" s="18"/>
      <c r="Y472" s="23">
        <f>Y471*$B472</f>
        <v>0</v>
      </c>
      <c r="Z472" s="18"/>
      <c r="AA472" s="18"/>
      <c r="AB472" s="1"/>
      <c r="AC472" s="100"/>
      <c r="AD472" s="23">
        <f>AD471*$B472</f>
        <v>0</v>
      </c>
      <c r="AE472" s="18"/>
      <c r="AF472" s="18"/>
      <c r="AG472" s="19"/>
      <c r="AH472" s="18"/>
      <c r="AI472" s="23">
        <f>AI471*$B472</f>
        <v>0</v>
      </c>
      <c r="AJ472" s="18"/>
      <c r="AK472" s="18"/>
      <c r="AL472" s="19"/>
      <c r="AM472" s="18"/>
      <c r="AN472" s="23">
        <f>AN471*$B472</f>
        <v>0</v>
      </c>
      <c r="AO472" s="18"/>
      <c r="AP472" s="18"/>
      <c r="AQ472" s="19"/>
      <c r="AR472" s="22"/>
      <c r="AS472" s="23">
        <f>AS471*$B472</f>
        <v>0</v>
      </c>
      <c r="AT472" s="18"/>
      <c r="AU472" s="18"/>
      <c r="AV472" s="19"/>
      <c r="AW472" s="22"/>
      <c r="AX472" s="23">
        <f>AX471*$B472</f>
        <v>0</v>
      </c>
      <c r="AY472" s="18"/>
      <c r="AZ472" s="18"/>
      <c r="BA472" s="19"/>
      <c r="BB472" s="22"/>
      <c r="BC472" s="23">
        <f>BC471*$B472</f>
        <v>0</v>
      </c>
      <c r="BD472" s="18"/>
      <c r="BE472" s="18"/>
      <c r="BF472" s="19"/>
      <c r="BG472" s="22"/>
      <c r="BH472" s="23">
        <f>BH471*$B472</f>
        <v>0</v>
      </c>
      <c r="BI472" s="18"/>
      <c r="BJ472" s="18"/>
      <c r="BK472" s="19"/>
      <c r="BL472" s="22"/>
      <c r="BM472" s="23">
        <f>BM471*$B472</f>
        <v>0</v>
      </c>
      <c r="BN472" s="18"/>
      <c r="BO472" s="18"/>
      <c r="BP472" s="19"/>
      <c r="BQ472" s="17" t="s">
        <v>33</v>
      </c>
      <c r="BR472" s="1"/>
      <c r="BS472" s="1"/>
      <c r="BT472" s="1"/>
      <c r="BU472" s="1"/>
    </row>
    <row r="473">
      <c r="A473" s="67" t="str">
        <f>B458</f>
        <v>허브</v>
      </c>
      <c r="B473" s="29">
        <v>1.0</v>
      </c>
      <c r="C473" s="30" t="s">
        <v>57</v>
      </c>
      <c r="D473" s="31"/>
      <c r="E473" s="32">
        <f>E471*$B473</f>
        <v>830000</v>
      </c>
      <c r="F473" s="33"/>
      <c r="G473" s="33"/>
      <c r="H473" s="34"/>
      <c r="I473" s="31"/>
      <c r="J473" s="32">
        <f>J471*$B473</f>
        <v>830000</v>
      </c>
      <c r="K473" s="33"/>
      <c r="L473" s="33"/>
      <c r="M473" s="34"/>
      <c r="N473" s="31"/>
      <c r="O473" s="32">
        <f>O471*$B473</f>
        <v>897419</v>
      </c>
      <c r="P473" s="33"/>
      <c r="Q473" s="33"/>
      <c r="R473" s="34"/>
      <c r="S473" s="31"/>
      <c r="T473" s="32">
        <f>T471*$B473</f>
        <v>910000</v>
      </c>
      <c r="U473" s="33"/>
      <c r="V473" s="33"/>
      <c r="W473" s="34"/>
      <c r="X473" s="33"/>
      <c r="Y473" s="32">
        <f>Y471*$B473</f>
        <v>910000</v>
      </c>
      <c r="Z473" s="33"/>
      <c r="AA473" s="33"/>
      <c r="AB473" s="102"/>
      <c r="AC473" s="103"/>
      <c r="AD473" s="32">
        <f>AD471*$B473</f>
        <v>910000</v>
      </c>
      <c r="AE473" s="33"/>
      <c r="AF473" s="33"/>
      <c r="AG473" s="34"/>
      <c r="AH473" s="33"/>
      <c r="AI473" s="32">
        <f>AI471*$B473</f>
        <v>910000</v>
      </c>
      <c r="AJ473" s="33"/>
      <c r="AK473" s="33"/>
      <c r="AL473" s="34"/>
      <c r="AM473" s="33"/>
      <c r="AN473" s="32">
        <f>AN471*$B473</f>
        <v>910000</v>
      </c>
      <c r="AO473" s="33"/>
      <c r="AP473" s="33"/>
      <c r="AQ473" s="34"/>
      <c r="AR473" s="31"/>
      <c r="AS473" s="32">
        <f>AS471*$B473</f>
        <v>910000</v>
      </c>
      <c r="AT473" s="33"/>
      <c r="AU473" s="33"/>
      <c r="AV473" s="34"/>
      <c r="AW473" s="31"/>
      <c r="AX473" s="32">
        <f>AX471*$B473</f>
        <v>910000</v>
      </c>
      <c r="AY473" s="33"/>
      <c r="AZ473" s="33"/>
      <c r="BA473" s="34"/>
      <c r="BB473" s="31"/>
      <c r="BC473" s="32">
        <f>BC471*$B473</f>
        <v>910000</v>
      </c>
      <c r="BD473" s="33"/>
      <c r="BE473" s="33"/>
      <c r="BF473" s="34"/>
      <c r="BG473" s="31"/>
      <c r="BH473" s="32">
        <f>BH471*$B473</f>
        <v>910000</v>
      </c>
      <c r="BI473" s="33"/>
      <c r="BJ473" s="33"/>
      <c r="BK473" s="34"/>
      <c r="BL473" s="31"/>
      <c r="BM473" s="32">
        <f>BM471*$B473</f>
        <v>910000</v>
      </c>
      <c r="BN473" s="33"/>
      <c r="BO473" s="33"/>
      <c r="BP473" s="34"/>
      <c r="BQ473" s="17" t="s">
        <v>33</v>
      </c>
      <c r="BR473" s="1"/>
      <c r="BS473" s="1"/>
      <c r="BT473" s="1"/>
      <c r="BU473" s="1"/>
    </row>
    <row r="474">
      <c r="A474" s="1"/>
      <c r="B474" s="10" t="s">
        <v>778</v>
      </c>
      <c r="C474" s="11" t="s">
        <v>779</v>
      </c>
      <c r="D474" s="20" t="s">
        <v>780</v>
      </c>
      <c r="E474" s="18"/>
      <c r="F474" s="35" t="b">
        <v>0</v>
      </c>
      <c r="G474" s="18"/>
      <c r="H474" s="15" t="b">
        <v>0</v>
      </c>
      <c r="I474" s="20" t="s">
        <v>781</v>
      </c>
      <c r="J474" s="23">
        <v>103448.0</v>
      </c>
      <c r="K474" s="35" t="b">
        <v>1</v>
      </c>
      <c r="L474" s="23">
        <v>16552.0</v>
      </c>
      <c r="M474" s="15" t="b">
        <v>1</v>
      </c>
      <c r="N474" s="20" t="s">
        <v>782</v>
      </c>
      <c r="O474" s="23">
        <v>500000.0</v>
      </c>
      <c r="P474" s="35" t="b">
        <v>1</v>
      </c>
      <c r="Q474" s="23">
        <v>80000.0</v>
      </c>
      <c r="R474" s="15" t="b">
        <v>1</v>
      </c>
      <c r="S474" s="20" t="s">
        <v>782</v>
      </c>
      <c r="T474" s="23">
        <v>500000.0</v>
      </c>
      <c r="U474" s="35" t="b">
        <v>1</v>
      </c>
      <c r="V474" s="23">
        <v>80000.0</v>
      </c>
      <c r="W474" s="15" t="b">
        <v>1</v>
      </c>
      <c r="X474" s="20" t="s">
        <v>782</v>
      </c>
      <c r="Y474" s="23">
        <v>500000.0</v>
      </c>
      <c r="Z474" s="35" t="b">
        <v>1</v>
      </c>
      <c r="AA474" s="23">
        <v>80000.0</v>
      </c>
      <c r="AB474" s="15" t="b">
        <v>1</v>
      </c>
      <c r="AC474" s="20" t="s">
        <v>782</v>
      </c>
      <c r="AD474" s="23">
        <v>500000.0</v>
      </c>
      <c r="AE474" s="35" t="b">
        <v>1</v>
      </c>
      <c r="AF474" s="23">
        <v>80000.0</v>
      </c>
      <c r="AG474" s="15" t="b">
        <v>1</v>
      </c>
      <c r="AH474" s="20" t="s">
        <v>783</v>
      </c>
      <c r="AI474" s="23">
        <v>500000.0</v>
      </c>
      <c r="AJ474" s="35" t="b">
        <v>1</v>
      </c>
      <c r="AK474" s="23">
        <v>80000.0</v>
      </c>
      <c r="AL474" s="15" t="b">
        <v>1</v>
      </c>
      <c r="AM474" s="20" t="s">
        <v>784</v>
      </c>
      <c r="AN474" s="23">
        <f>500000+85484</f>
        <v>585484</v>
      </c>
      <c r="AO474" s="35" t="b">
        <v>1</v>
      </c>
      <c r="AP474" s="23">
        <f>80000+90000+12903</f>
        <v>182903</v>
      </c>
      <c r="AQ474" s="15" t="b">
        <v>1</v>
      </c>
      <c r="AR474" s="20" t="s">
        <v>785</v>
      </c>
      <c r="AS474" s="23">
        <f>500000+530000</f>
        <v>1030000</v>
      </c>
      <c r="AT474" s="35" t="b">
        <v>1</v>
      </c>
      <c r="AU474" s="23">
        <f>80000+80000</f>
        <v>160000</v>
      </c>
      <c r="AV474" s="15" t="b">
        <v>1</v>
      </c>
      <c r="AW474" s="20" t="s">
        <v>786</v>
      </c>
      <c r="AX474" s="23">
        <v>530000.0</v>
      </c>
      <c r="AY474" s="35" t="b">
        <v>1</v>
      </c>
      <c r="AZ474" s="23">
        <v>80000.0</v>
      </c>
      <c r="BA474" s="15" t="b">
        <v>1</v>
      </c>
      <c r="BB474" s="20" t="s">
        <v>786</v>
      </c>
      <c r="BC474" s="23">
        <v>530000.0</v>
      </c>
      <c r="BD474" s="35" t="b">
        <v>1</v>
      </c>
      <c r="BE474" s="23">
        <v>80000.0</v>
      </c>
      <c r="BF474" s="15" t="b">
        <v>1</v>
      </c>
      <c r="BG474" s="20" t="s">
        <v>786</v>
      </c>
      <c r="BH474" s="23">
        <v>530000.0</v>
      </c>
      <c r="BI474" s="35" t="b">
        <v>1</v>
      </c>
      <c r="BJ474" s="23">
        <v>80000.0</v>
      </c>
      <c r="BK474" s="15" t="b">
        <v>1</v>
      </c>
      <c r="BL474" s="20" t="s">
        <v>786</v>
      </c>
      <c r="BM474" s="23">
        <v>530000.0</v>
      </c>
      <c r="BN474" s="35" t="b">
        <v>0</v>
      </c>
      <c r="BO474" s="23">
        <v>80000.0</v>
      </c>
      <c r="BP474" s="15" t="b">
        <v>0</v>
      </c>
      <c r="BQ474" s="17" t="s">
        <v>33</v>
      </c>
      <c r="BR474" s="1"/>
      <c r="BS474" s="1"/>
      <c r="BT474" s="1"/>
      <c r="BU474" s="1"/>
    </row>
    <row r="475">
      <c r="A475" s="1"/>
      <c r="B475" s="10" t="s">
        <v>787</v>
      </c>
      <c r="C475" s="11" t="s">
        <v>788</v>
      </c>
      <c r="D475" s="20" t="s">
        <v>37</v>
      </c>
      <c r="E475" s="18"/>
      <c r="F475" s="35" t="b">
        <v>0</v>
      </c>
      <c r="G475" s="18"/>
      <c r="H475" s="15" t="b">
        <v>0</v>
      </c>
      <c r="I475" s="20" t="s">
        <v>789</v>
      </c>
      <c r="J475" s="23">
        <v>18966.0</v>
      </c>
      <c r="K475" s="35" t="b">
        <v>1</v>
      </c>
      <c r="L475" s="23">
        <v>2759.0</v>
      </c>
      <c r="M475" s="15" t="b">
        <v>1</v>
      </c>
      <c r="N475" s="20" t="s">
        <v>790</v>
      </c>
      <c r="O475" s="23">
        <v>550000.0</v>
      </c>
      <c r="P475" s="35" t="b">
        <v>1</v>
      </c>
      <c r="Q475" s="23">
        <v>80000.0</v>
      </c>
      <c r="R475" s="15" t="b">
        <v>1</v>
      </c>
      <c r="S475" s="20" t="s">
        <v>790</v>
      </c>
      <c r="T475" s="23">
        <v>550000.0</v>
      </c>
      <c r="U475" s="35" t="b">
        <v>1</v>
      </c>
      <c r="V475" s="23">
        <v>80000.0</v>
      </c>
      <c r="W475" s="15" t="b">
        <v>1</v>
      </c>
      <c r="X475" s="20" t="s">
        <v>790</v>
      </c>
      <c r="Y475" s="23">
        <v>550000.0</v>
      </c>
      <c r="Z475" s="35" t="b">
        <v>1</v>
      </c>
      <c r="AA475" s="23">
        <v>80000.0</v>
      </c>
      <c r="AB475" s="15" t="b">
        <v>1</v>
      </c>
      <c r="AC475" s="20" t="s">
        <v>790</v>
      </c>
      <c r="AD475" s="23">
        <v>550000.0</v>
      </c>
      <c r="AE475" s="35" t="b">
        <v>1</v>
      </c>
      <c r="AF475" s="23">
        <v>80000.0</v>
      </c>
      <c r="AG475" s="15" t="b">
        <v>1</v>
      </c>
      <c r="AH475" s="20" t="s">
        <v>790</v>
      </c>
      <c r="AI475" s="23">
        <v>550000.0</v>
      </c>
      <c r="AJ475" s="35" t="b">
        <v>1</v>
      </c>
      <c r="AK475" s="23">
        <v>80000.0</v>
      </c>
      <c r="AL475" s="15" t="b">
        <v>1</v>
      </c>
      <c r="AM475" s="20" t="s">
        <v>790</v>
      </c>
      <c r="AN475" s="23">
        <v>550000.0</v>
      </c>
      <c r="AO475" s="35" t="b">
        <v>1</v>
      </c>
      <c r="AP475" s="23">
        <v>80000.0</v>
      </c>
      <c r="AQ475" s="15" t="b">
        <v>1</v>
      </c>
      <c r="AR475" s="20" t="s">
        <v>790</v>
      </c>
      <c r="AS475" s="23">
        <v>550000.0</v>
      </c>
      <c r="AT475" s="35" t="b">
        <v>1</v>
      </c>
      <c r="AU475" s="23">
        <v>80000.0</v>
      </c>
      <c r="AV475" s="15" t="b">
        <v>1</v>
      </c>
      <c r="AW475" s="20" t="s">
        <v>790</v>
      </c>
      <c r="AX475" s="23">
        <v>550000.0</v>
      </c>
      <c r="AY475" s="35" t="b">
        <v>1</v>
      </c>
      <c r="AZ475" s="23">
        <v>80000.0</v>
      </c>
      <c r="BA475" s="15" t="b">
        <v>1</v>
      </c>
      <c r="BB475" s="20" t="s">
        <v>790</v>
      </c>
      <c r="BC475" s="23">
        <v>550000.0</v>
      </c>
      <c r="BD475" s="35" t="b">
        <v>1</v>
      </c>
      <c r="BE475" s="23">
        <v>80000.0</v>
      </c>
      <c r="BF475" s="15" t="b">
        <v>1</v>
      </c>
      <c r="BG475" s="20" t="s">
        <v>790</v>
      </c>
      <c r="BH475" s="23">
        <v>550000.0</v>
      </c>
      <c r="BI475" s="35" t="b">
        <v>1</v>
      </c>
      <c r="BJ475" s="23">
        <v>80000.0</v>
      </c>
      <c r="BK475" s="15" t="b">
        <v>1</v>
      </c>
      <c r="BL475" s="20" t="s">
        <v>790</v>
      </c>
      <c r="BM475" s="23">
        <v>550000.0</v>
      </c>
      <c r="BN475" s="35" t="b">
        <v>0</v>
      </c>
      <c r="BO475" s="23">
        <v>80000.0</v>
      </c>
      <c r="BP475" s="15" t="b">
        <v>0</v>
      </c>
      <c r="BQ475" s="17" t="s">
        <v>33</v>
      </c>
      <c r="BR475" s="1"/>
      <c r="BS475" s="1"/>
      <c r="BT475" s="1"/>
      <c r="BU475" s="1"/>
    </row>
    <row r="476">
      <c r="A476" s="1"/>
      <c r="B476" s="10" t="s">
        <v>778</v>
      </c>
      <c r="C476" s="11" t="s">
        <v>693</v>
      </c>
      <c r="D476" s="20" t="s">
        <v>37</v>
      </c>
      <c r="E476" s="18"/>
      <c r="F476" s="35" t="b">
        <v>0</v>
      </c>
      <c r="G476" s="18"/>
      <c r="H476" s="15" t="b">
        <v>0</v>
      </c>
      <c r="I476" s="20" t="s">
        <v>37</v>
      </c>
      <c r="J476" s="18"/>
      <c r="K476" s="1"/>
      <c r="L476" s="18"/>
      <c r="M476" s="19"/>
      <c r="N476" s="20" t="s">
        <v>791</v>
      </c>
      <c r="O476" s="23">
        <v>400000.0</v>
      </c>
      <c r="P476" s="35" t="b">
        <v>1</v>
      </c>
      <c r="Q476" s="23">
        <v>80000.0</v>
      </c>
      <c r="R476" s="15" t="b">
        <v>1</v>
      </c>
      <c r="S476" s="20" t="s">
        <v>792</v>
      </c>
      <c r="T476" s="23">
        <v>400000.0</v>
      </c>
      <c r="U476" s="35" t="b">
        <v>1</v>
      </c>
      <c r="V476" s="23">
        <v>80000.0</v>
      </c>
      <c r="W476" s="15" t="b">
        <v>1</v>
      </c>
      <c r="X476" s="20" t="s">
        <v>792</v>
      </c>
      <c r="Y476" s="23">
        <v>400000.0</v>
      </c>
      <c r="Z476" s="35" t="b">
        <v>1</v>
      </c>
      <c r="AA476" s="23">
        <v>80000.0</v>
      </c>
      <c r="AB476" s="15" t="b">
        <v>1</v>
      </c>
      <c r="AC476" s="20" t="s">
        <v>792</v>
      </c>
      <c r="AD476" s="23">
        <v>400000.0</v>
      </c>
      <c r="AE476" s="35" t="b">
        <v>1</v>
      </c>
      <c r="AF476" s="23">
        <v>80000.0</v>
      </c>
      <c r="AG476" s="15" t="b">
        <v>1</v>
      </c>
      <c r="AH476" s="20" t="s">
        <v>792</v>
      </c>
      <c r="AI476" s="23">
        <v>400000.0</v>
      </c>
      <c r="AJ476" s="35" t="b">
        <v>1</v>
      </c>
      <c r="AK476" s="23">
        <v>80000.0</v>
      </c>
      <c r="AL476" s="15" t="b">
        <v>1</v>
      </c>
      <c r="AM476" s="20" t="s">
        <v>793</v>
      </c>
      <c r="AN476" s="23">
        <v>400000.0</v>
      </c>
      <c r="AO476" s="35" t="b">
        <v>1</v>
      </c>
      <c r="AP476" s="23">
        <v>80000.0</v>
      </c>
      <c r="AQ476" s="15" t="b">
        <v>1</v>
      </c>
      <c r="AR476" s="20" t="s">
        <v>794</v>
      </c>
      <c r="AS476" s="23">
        <v>500000.0</v>
      </c>
      <c r="AT476" s="35" t="b">
        <v>1</v>
      </c>
      <c r="AU476" s="23">
        <v>80000.0</v>
      </c>
      <c r="AV476" s="15" t="b">
        <v>1</v>
      </c>
      <c r="AW476" s="20" t="s">
        <v>794</v>
      </c>
      <c r="AX476" s="23">
        <v>530000.0</v>
      </c>
      <c r="AY476" s="35" t="b">
        <v>1</v>
      </c>
      <c r="AZ476" s="23">
        <v>80000.0</v>
      </c>
      <c r="BA476" s="15" t="b">
        <v>1</v>
      </c>
      <c r="BB476" s="20" t="s">
        <v>794</v>
      </c>
      <c r="BC476" s="23">
        <v>530000.0</v>
      </c>
      <c r="BD476" s="35" t="b">
        <v>1</v>
      </c>
      <c r="BE476" s="23">
        <v>80000.0</v>
      </c>
      <c r="BF476" s="15" t="b">
        <v>1</v>
      </c>
      <c r="BG476" s="20" t="s">
        <v>794</v>
      </c>
      <c r="BH476" s="23">
        <v>530000.0</v>
      </c>
      <c r="BI476" s="35" t="b">
        <v>1</v>
      </c>
      <c r="BJ476" s="23">
        <v>80000.0</v>
      </c>
      <c r="BK476" s="15" t="b">
        <v>1</v>
      </c>
      <c r="BL476" s="20" t="s">
        <v>795</v>
      </c>
      <c r="BM476" s="23">
        <v>530000.0</v>
      </c>
      <c r="BN476" s="35" t="b">
        <v>0</v>
      </c>
      <c r="BO476" s="23">
        <v>80000.0</v>
      </c>
      <c r="BP476" s="19"/>
      <c r="BQ476" s="17" t="s">
        <v>33</v>
      </c>
      <c r="BR476" s="1"/>
      <c r="BS476" s="1"/>
      <c r="BT476" s="1"/>
      <c r="BU476" s="1"/>
    </row>
    <row r="477">
      <c r="A477" s="1"/>
      <c r="B477" s="10" t="s">
        <v>778</v>
      </c>
      <c r="C477" s="11" t="s">
        <v>695</v>
      </c>
      <c r="D477" s="20" t="s">
        <v>37</v>
      </c>
      <c r="E477" s="18"/>
      <c r="F477" s="35" t="b">
        <v>0</v>
      </c>
      <c r="G477" s="18"/>
      <c r="H477" s="15" t="b">
        <v>0</v>
      </c>
      <c r="I477" s="20" t="s">
        <v>796</v>
      </c>
      <c r="J477" s="23">
        <v>141379.0</v>
      </c>
      <c r="K477" s="35" t="b">
        <v>1</v>
      </c>
      <c r="L477" s="23">
        <v>27586.0</v>
      </c>
      <c r="M477" s="15" t="b">
        <v>1</v>
      </c>
      <c r="N477" s="20" t="s">
        <v>797</v>
      </c>
      <c r="O477" s="23">
        <v>410000.0</v>
      </c>
      <c r="P477" s="35" t="b">
        <v>1</v>
      </c>
      <c r="Q477" s="23">
        <v>80000.0</v>
      </c>
      <c r="R477" s="15" t="b">
        <v>1</v>
      </c>
      <c r="S477" s="20" t="s">
        <v>797</v>
      </c>
      <c r="T477" s="23">
        <v>410000.0</v>
      </c>
      <c r="U477" s="35" t="b">
        <v>1</v>
      </c>
      <c r="V477" s="23">
        <v>80000.0</v>
      </c>
      <c r="W477" s="15" t="b">
        <v>1</v>
      </c>
      <c r="X477" s="20" t="s">
        <v>797</v>
      </c>
      <c r="Y477" s="23">
        <v>410000.0</v>
      </c>
      <c r="Z477" s="35" t="b">
        <v>1</v>
      </c>
      <c r="AA477" s="23">
        <v>80000.0</v>
      </c>
      <c r="AB477" s="15" t="b">
        <v>1</v>
      </c>
      <c r="AC477" s="20" t="s">
        <v>797</v>
      </c>
      <c r="AD477" s="23">
        <v>410000.0</v>
      </c>
      <c r="AE477" s="35" t="b">
        <v>1</v>
      </c>
      <c r="AF477" s="23">
        <v>80000.0</v>
      </c>
      <c r="AG477" s="15" t="b">
        <v>1</v>
      </c>
      <c r="AH477" s="20" t="s">
        <v>798</v>
      </c>
      <c r="AI477" s="23">
        <v>410000.0</v>
      </c>
      <c r="AJ477" s="35" t="b">
        <v>1</v>
      </c>
      <c r="AK477" s="23">
        <v>80000.0</v>
      </c>
      <c r="AL477" s="15" t="b">
        <v>1</v>
      </c>
      <c r="AM477" s="20" t="s">
        <v>799</v>
      </c>
      <c r="AN477" s="23">
        <f>330645+185161 </f>
        <v>515806</v>
      </c>
      <c r="AO477" s="35" t="b">
        <v>1</v>
      </c>
      <c r="AP477" s="23">
        <f>64516+41000</f>
        <v>105516</v>
      </c>
      <c r="AQ477" s="15" t="b">
        <v>1</v>
      </c>
      <c r="AR477" s="20" t="s">
        <v>795</v>
      </c>
      <c r="AS477" s="23">
        <v>582000.0</v>
      </c>
      <c r="AT477" s="1"/>
      <c r="AU477" s="18"/>
      <c r="AV477" s="19"/>
      <c r="AW477" s="20" t="s">
        <v>795</v>
      </c>
      <c r="AX477" s="18"/>
      <c r="AY477" s="1"/>
      <c r="AZ477" s="18"/>
      <c r="BA477" s="19"/>
      <c r="BB477" s="18"/>
      <c r="BC477" s="18"/>
      <c r="BD477" s="1"/>
      <c r="BE477" s="18"/>
      <c r="BF477" s="19"/>
      <c r="BG477" s="18"/>
      <c r="BH477" s="18"/>
      <c r="BI477" s="1"/>
      <c r="BJ477" s="18"/>
      <c r="BK477" s="19"/>
      <c r="BL477" s="18"/>
      <c r="BM477" s="18"/>
      <c r="BN477" s="18"/>
      <c r="BO477" s="18"/>
      <c r="BP477" s="15" t="b">
        <v>0</v>
      </c>
      <c r="BQ477" s="17" t="s">
        <v>33</v>
      </c>
      <c r="BR477" s="1"/>
      <c r="BS477" s="1"/>
      <c r="BT477" s="1"/>
      <c r="BU477" s="1"/>
    </row>
    <row r="478">
      <c r="A478" s="1"/>
      <c r="B478" s="21"/>
      <c r="C478" s="11" t="s">
        <v>42</v>
      </c>
      <c r="D478" s="22"/>
      <c r="E478" s="23">
        <f>SUM(E474:E477)</f>
        <v>0</v>
      </c>
      <c r="F478" s="18"/>
      <c r="G478" s="23">
        <f>SUM(G474:G477)</f>
        <v>0</v>
      </c>
      <c r="H478" s="19"/>
      <c r="I478" s="22"/>
      <c r="J478" s="23">
        <f>SUM(J474:J477)</f>
        <v>263793</v>
      </c>
      <c r="K478" s="18"/>
      <c r="L478" s="23">
        <f>SUM(L474:L477)</f>
        <v>46897</v>
      </c>
      <c r="M478" s="19"/>
      <c r="N478" s="22"/>
      <c r="O478" s="23">
        <f>SUM(O474:O477)</f>
        <v>1860000</v>
      </c>
      <c r="P478" s="18"/>
      <c r="Q478" s="23">
        <f>SUM(Q474:Q477)</f>
        <v>320000</v>
      </c>
      <c r="R478" s="19"/>
      <c r="S478" s="22"/>
      <c r="T478" s="23">
        <f>SUM(T474:T477)</f>
        <v>1860000</v>
      </c>
      <c r="U478" s="18"/>
      <c r="V478" s="23">
        <f>SUM(V474:V477)</f>
        <v>320000</v>
      </c>
      <c r="W478" s="19"/>
      <c r="X478" s="18"/>
      <c r="Y478" s="23">
        <f>SUM(Y474:Y477)</f>
        <v>1860000</v>
      </c>
      <c r="Z478" s="18"/>
      <c r="AA478" s="23">
        <f>SUM(AA474:AA477)</f>
        <v>320000</v>
      </c>
      <c r="AB478" s="19"/>
      <c r="AC478" s="18"/>
      <c r="AD478" s="23">
        <f>SUM(AD474:AD477)</f>
        <v>1860000</v>
      </c>
      <c r="AE478" s="18"/>
      <c r="AF478" s="23">
        <f>SUM(AF474:AF477)</f>
        <v>320000</v>
      </c>
      <c r="AG478" s="19"/>
      <c r="AH478" s="18"/>
      <c r="AI478" s="23">
        <f>SUM(AI474:AI477)</f>
        <v>1860000</v>
      </c>
      <c r="AJ478" s="18"/>
      <c r="AK478" s="23">
        <f>SUM(AK474:AK477)</f>
        <v>320000</v>
      </c>
      <c r="AL478" s="19"/>
      <c r="AM478" s="18"/>
      <c r="AN478" s="23">
        <f>SUM(AN474:AN477)</f>
        <v>2051290</v>
      </c>
      <c r="AO478" s="18"/>
      <c r="AP478" s="23">
        <f>SUM(AP474:AP477)</f>
        <v>448419</v>
      </c>
      <c r="AQ478" s="19"/>
      <c r="AR478" s="22"/>
      <c r="AS478" s="23">
        <f>SUM(AS474:AS477)</f>
        <v>2662000</v>
      </c>
      <c r="AT478" s="18"/>
      <c r="AU478" s="23">
        <f>SUM(AU474:AU477)</f>
        <v>320000</v>
      </c>
      <c r="AV478" s="19"/>
      <c r="AW478" s="22"/>
      <c r="AX478" s="23">
        <f>SUM(AX474:AX477)</f>
        <v>1610000</v>
      </c>
      <c r="AY478" s="18"/>
      <c r="AZ478" s="23">
        <f>SUM(AZ474:AZ477)</f>
        <v>240000</v>
      </c>
      <c r="BA478" s="19"/>
      <c r="BB478" s="22"/>
      <c r="BC478" s="23">
        <f>SUM(BC474:BC477)</f>
        <v>1610000</v>
      </c>
      <c r="BD478" s="18"/>
      <c r="BE478" s="23">
        <f>SUM(BE474:BE477)</f>
        <v>240000</v>
      </c>
      <c r="BF478" s="19"/>
      <c r="BG478" s="22"/>
      <c r="BH478" s="23">
        <f>SUM(BH474:BH477)</f>
        <v>1610000</v>
      </c>
      <c r="BI478" s="18"/>
      <c r="BJ478" s="23">
        <f>SUM(BJ474:BJ477)</f>
        <v>240000</v>
      </c>
      <c r="BK478" s="19"/>
      <c r="BL478" s="22"/>
      <c r="BM478" s="23">
        <f>SUM(BM474:BM477)</f>
        <v>1610000</v>
      </c>
      <c r="BN478" s="18"/>
      <c r="BO478" s="23">
        <f>SUM(BO474:BO477)</f>
        <v>240000</v>
      </c>
      <c r="BP478" s="19"/>
      <c r="BQ478" s="17" t="s">
        <v>33</v>
      </c>
      <c r="BR478" s="1"/>
      <c r="BS478" s="1"/>
      <c r="BT478" s="1"/>
      <c r="BU478" s="1"/>
    </row>
    <row r="479">
      <c r="A479" s="1"/>
      <c r="B479" s="21"/>
      <c r="C479" s="11" t="s">
        <v>43</v>
      </c>
      <c r="D479" s="22"/>
      <c r="E479" s="23">
        <v>800000.0</v>
      </c>
      <c r="F479" s="18"/>
      <c r="G479" s="18"/>
      <c r="H479" s="19"/>
      <c r="I479" s="22"/>
      <c r="J479" s="23">
        <v>800000.0</v>
      </c>
      <c r="K479" s="18"/>
      <c r="L479" s="18"/>
      <c r="M479" s="19"/>
      <c r="N479" s="22"/>
      <c r="O479" s="23">
        <v>800000.0</v>
      </c>
      <c r="P479" s="18"/>
      <c r="Q479" s="18"/>
      <c r="R479" s="19"/>
      <c r="S479" s="22"/>
      <c r="T479" s="23">
        <v>800000.0</v>
      </c>
      <c r="U479" s="18"/>
      <c r="V479" s="18"/>
      <c r="W479" s="19"/>
      <c r="X479" s="18"/>
      <c r="Y479" s="23">
        <v>800000.0</v>
      </c>
      <c r="Z479" s="18"/>
      <c r="AA479" s="18"/>
      <c r="AB479" s="19"/>
      <c r="AC479" s="18"/>
      <c r="AD479" s="23">
        <v>800000.0</v>
      </c>
      <c r="AE479" s="18"/>
      <c r="AF479" s="18"/>
      <c r="AG479" s="19"/>
      <c r="AH479" s="18"/>
      <c r="AI479" s="23">
        <v>800000.0</v>
      </c>
      <c r="AJ479" s="18"/>
      <c r="AK479" s="18"/>
      <c r="AL479" s="19"/>
      <c r="AM479" s="18"/>
      <c r="AN479" s="23">
        <v>800000.0</v>
      </c>
      <c r="AO479" s="18"/>
      <c r="AP479" s="18"/>
      <c r="AQ479" s="19"/>
      <c r="AR479" s="22"/>
      <c r="AS479" s="23">
        <v>800000.0</v>
      </c>
      <c r="AT479" s="18"/>
      <c r="AU479" s="18"/>
      <c r="AV479" s="19"/>
      <c r="AW479" s="22"/>
      <c r="AX479" s="23">
        <v>800000.0</v>
      </c>
      <c r="AY479" s="18"/>
      <c r="AZ479" s="18"/>
      <c r="BA479" s="19"/>
      <c r="BB479" s="22"/>
      <c r="BC479" s="23">
        <v>800000.0</v>
      </c>
      <c r="BD479" s="18"/>
      <c r="BE479" s="18"/>
      <c r="BF479" s="19"/>
      <c r="BG479" s="22"/>
      <c r="BH479" s="23">
        <v>800000.0</v>
      </c>
      <c r="BI479" s="18"/>
      <c r="BJ479" s="18"/>
      <c r="BK479" s="19"/>
      <c r="BL479" s="22"/>
      <c r="BM479" s="23">
        <v>800000.0</v>
      </c>
      <c r="BN479" s="18"/>
      <c r="BO479" s="18"/>
      <c r="BP479" s="19"/>
      <c r="BQ479" s="17" t="s">
        <v>33</v>
      </c>
      <c r="BR479" s="1"/>
      <c r="BS479" s="1"/>
      <c r="BT479" s="1"/>
      <c r="BU479" s="1"/>
    </row>
    <row r="480">
      <c r="A480" s="1"/>
      <c r="B480" s="21"/>
      <c r="C480" s="11" t="s">
        <v>45</v>
      </c>
      <c r="D480" s="22"/>
      <c r="E480" s="18"/>
      <c r="F480" s="18"/>
      <c r="G480" s="23" t="s">
        <v>677</v>
      </c>
      <c r="H480" s="19"/>
      <c r="I480" s="22"/>
      <c r="J480" s="18"/>
      <c r="K480" s="18"/>
      <c r="L480" s="23" t="s">
        <v>677</v>
      </c>
      <c r="M480" s="98" t="s">
        <v>677</v>
      </c>
      <c r="N480" s="26" t="s">
        <v>677</v>
      </c>
      <c r="O480" s="23" t="s">
        <v>677</v>
      </c>
      <c r="P480" s="61" t="s">
        <v>677</v>
      </c>
      <c r="Q480" s="23" t="s">
        <v>677</v>
      </c>
      <c r="R480" s="98" t="s">
        <v>677</v>
      </c>
      <c r="S480" s="26" t="s">
        <v>677</v>
      </c>
      <c r="T480" s="23" t="s">
        <v>677</v>
      </c>
      <c r="U480" s="61" t="s">
        <v>677</v>
      </c>
      <c r="V480" s="23" t="s">
        <v>677</v>
      </c>
      <c r="W480" s="98" t="s">
        <v>677</v>
      </c>
      <c r="X480" s="20" t="s">
        <v>677</v>
      </c>
      <c r="Y480" s="23" t="s">
        <v>677</v>
      </c>
      <c r="Z480" s="61" t="s">
        <v>677</v>
      </c>
      <c r="AA480" s="23" t="s">
        <v>677</v>
      </c>
      <c r="AB480" s="98" t="s">
        <v>677</v>
      </c>
      <c r="AC480" s="20" t="s">
        <v>677</v>
      </c>
      <c r="AD480" s="23" t="s">
        <v>677</v>
      </c>
      <c r="AE480" s="61" t="s">
        <v>677</v>
      </c>
      <c r="AF480" s="23" t="s">
        <v>677</v>
      </c>
      <c r="AG480" s="98" t="s">
        <v>677</v>
      </c>
      <c r="AH480" s="20" t="s">
        <v>677</v>
      </c>
      <c r="AI480" s="23" t="s">
        <v>677</v>
      </c>
      <c r="AJ480" s="61" t="s">
        <v>677</v>
      </c>
      <c r="AK480" s="23" t="s">
        <v>677</v>
      </c>
      <c r="AL480" s="98" t="s">
        <v>677</v>
      </c>
      <c r="AM480" s="20" t="s">
        <v>677</v>
      </c>
      <c r="AN480" s="23" t="s">
        <v>677</v>
      </c>
      <c r="AO480" s="61" t="s">
        <v>677</v>
      </c>
      <c r="AP480" s="23" t="s">
        <v>677</v>
      </c>
      <c r="AQ480" s="98" t="s">
        <v>677</v>
      </c>
      <c r="AR480" s="26" t="s">
        <v>677</v>
      </c>
      <c r="AS480" s="23" t="s">
        <v>677</v>
      </c>
      <c r="AT480" s="61" t="s">
        <v>677</v>
      </c>
      <c r="AU480" s="23" t="s">
        <v>677</v>
      </c>
      <c r="AV480" s="98" t="s">
        <v>677</v>
      </c>
      <c r="AW480" s="26" t="s">
        <v>677</v>
      </c>
      <c r="AX480" s="23" t="s">
        <v>677</v>
      </c>
      <c r="AY480" s="61" t="s">
        <v>677</v>
      </c>
      <c r="AZ480" s="23" t="s">
        <v>677</v>
      </c>
      <c r="BA480" s="98" t="s">
        <v>677</v>
      </c>
      <c r="BB480" s="26" t="s">
        <v>677</v>
      </c>
      <c r="BC480" s="23" t="s">
        <v>677</v>
      </c>
      <c r="BD480" s="61" t="s">
        <v>677</v>
      </c>
      <c r="BE480" s="23" t="s">
        <v>677</v>
      </c>
      <c r="BF480" s="98" t="s">
        <v>677</v>
      </c>
      <c r="BG480" s="26" t="s">
        <v>677</v>
      </c>
      <c r="BH480" s="23" t="s">
        <v>677</v>
      </c>
      <c r="BI480" s="61" t="s">
        <v>677</v>
      </c>
      <c r="BJ480" s="23" t="s">
        <v>677</v>
      </c>
      <c r="BK480" s="19"/>
      <c r="BL480" s="26" t="s">
        <v>677</v>
      </c>
      <c r="BM480" s="23" t="s">
        <v>677</v>
      </c>
      <c r="BN480" s="61" t="s">
        <v>677</v>
      </c>
      <c r="BO480" s="23" t="s">
        <v>677</v>
      </c>
      <c r="BP480" s="19"/>
      <c r="BQ480" s="17" t="s">
        <v>33</v>
      </c>
      <c r="BR480" s="1"/>
      <c r="BS480" s="1"/>
      <c r="BT480" s="1"/>
      <c r="BU480" s="1"/>
    </row>
    <row r="481">
      <c r="A481" s="56" t="s">
        <v>678</v>
      </c>
      <c r="B481" s="10" t="s">
        <v>800</v>
      </c>
      <c r="C481" s="11" t="s">
        <v>47</v>
      </c>
      <c r="D481" s="22"/>
      <c r="E481" s="18"/>
      <c r="F481" s="18"/>
      <c r="G481" s="23">
        <v>23570.0</v>
      </c>
      <c r="H481" s="19"/>
      <c r="I481" s="22"/>
      <c r="J481" s="18"/>
      <c r="K481" s="18"/>
      <c r="L481" s="23">
        <v>9100.0</v>
      </c>
      <c r="M481" s="24"/>
      <c r="N481" s="22"/>
      <c r="O481" s="18"/>
      <c r="P481" s="18"/>
      <c r="Q481" s="23">
        <v>13830.0</v>
      </c>
      <c r="R481" s="24"/>
      <c r="S481" s="22"/>
      <c r="T481" s="18"/>
      <c r="U481" s="18"/>
      <c r="V481" s="23">
        <v>24340.0</v>
      </c>
      <c r="W481" s="24"/>
      <c r="X481" s="18"/>
      <c r="Y481" s="18"/>
      <c r="Z481" s="18"/>
      <c r="AA481" s="23">
        <v>25100.0</v>
      </c>
      <c r="AB481" s="24"/>
      <c r="AC481" s="18"/>
      <c r="AD481" s="18"/>
      <c r="AE481" s="18"/>
      <c r="AF481" s="23">
        <v>26470.0</v>
      </c>
      <c r="AG481" s="24"/>
      <c r="AH481" s="18"/>
      <c r="AI481" s="18"/>
      <c r="AJ481" s="18"/>
      <c r="AK481" s="23">
        <v>57910.0</v>
      </c>
      <c r="AL481" s="24"/>
      <c r="AM481" s="18"/>
      <c r="AN481" s="18"/>
      <c r="AO481" s="18"/>
      <c r="AP481" s="23">
        <v>34240.0</v>
      </c>
      <c r="AQ481" s="24"/>
      <c r="AR481" s="22"/>
      <c r="AS481" s="18"/>
      <c r="AT481" s="18"/>
      <c r="AU481" s="23">
        <v>36190.0</v>
      </c>
      <c r="AV481" s="24"/>
      <c r="AW481" s="22"/>
      <c r="AX481" s="18"/>
      <c r="AY481" s="18"/>
      <c r="AZ481" s="23">
        <v>57760.0</v>
      </c>
      <c r="BA481" s="24"/>
      <c r="BB481" s="22"/>
      <c r="BC481" s="18"/>
      <c r="BD481" s="18"/>
      <c r="BE481" s="23">
        <v>28620.0</v>
      </c>
      <c r="BF481" s="24"/>
      <c r="BG481" s="22"/>
      <c r="BH481" s="18"/>
      <c r="BI481" s="18"/>
      <c r="BJ481" s="23">
        <v>29090.0</v>
      </c>
      <c r="BK481" s="19"/>
      <c r="BL481" s="22"/>
      <c r="BM481" s="18"/>
      <c r="BN481" s="18"/>
      <c r="BO481" s="18"/>
      <c r="BP481" s="19"/>
      <c r="BQ481" s="17" t="s">
        <v>33</v>
      </c>
      <c r="BR481" s="1"/>
      <c r="BS481" s="1"/>
      <c r="BT481" s="1"/>
      <c r="BU481" s="1"/>
    </row>
    <row r="482">
      <c r="A482" s="56" t="s">
        <v>678</v>
      </c>
      <c r="B482" s="10" t="s">
        <v>801</v>
      </c>
      <c r="C482" s="11" t="s">
        <v>49</v>
      </c>
      <c r="D482" s="22"/>
      <c r="E482" s="18"/>
      <c r="F482" s="18"/>
      <c r="G482" s="23">
        <v>58320.0</v>
      </c>
      <c r="H482" s="19"/>
      <c r="I482" s="22"/>
      <c r="J482" s="18"/>
      <c r="K482" s="18"/>
      <c r="L482" s="23">
        <v>72030.0</v>
      </c>
      <c r="M482" s="24"/>
      <c r="N482" s="22"/>
      <c r="O482" s="18"/>
      <c r="P482" s="18"/>
      <c r="Q482" s="23">
        <v>99200.0</v>
      </c>
      <c r="R482" s="24"/>
      <c r="S482" s="22"/>
      <c r="T482" s="18"/>
      <c r="U482" s="18"/>
      <c r="V482" s="23">
        <v>46400.0</v>
      </c>
      <c r="W482" s="24"/>
      <c r="X482" s="18"/>
      <c r="Y482" s="18"/>
      <c r="Z482" s="18"/>
      <c r="AA482" s="23">
        <v>22780.0</v>
      </c>
      <c r="AB482" s="24"/>
      <c r="AC482" s="18"/>
      <c r="AD482" s="18"/>
      <c r="AE482" s="18"/>
      <c r="AF482" s="23">
        <v>18850.0</v>
      </c>
      <c r="AG482" s="24"/>
      <c r="AH482" s="18"/>
      <c r="AI482" s="18"/>
      <c r="AJ482" s="18"/>
      <c r="AK482" s="23">
        <v>29810.0</v>
      </c>
      <c r="AL482" s="24"/>
      <c r="AM482" s="18"/>
      <c r="AN482" s="18"/>
      <c r="AO482" s="18"/>
      <c r="AP482" s="23">
        <v>7540.0</v>
      </c>
      <c r="AQ482" s="24"/>
      <c r="AR482" s="22"/>
      <c r="AS482" s="18"/>
      <c r="AT482" s="18"/>
      <c r="AU482" s="23">
        <v>13900.0</v>
      </c>
      <c r="AV482" s="24"/>
      <c r="AW482" s="22"/>
      <c r="AX482" s="18"/>
      <c r="AY482" s="18"/>
      <c r="AZ482" s="23">
        <v>17030.0</v>
      </c>
      <c r="BA482" s="24"/>
      <c r="BB482" s="22"/>
      <c r="BC482" s="18"/>
      <c r="BD482" s="18"/>
      <c r="BE482" s="23">
        <v>88930.0</v>
      </c>
      <c r="BF482" s="24"/>
      <c r="BG482" s="22"/>
      <c r="BH482" s="18"/>
      <c r="BI482" s="18"/>
      <c r="BJ482" s="23">
        <v>170590.0</v>
      </c>
      <c r="BK482" s="19"/>
      <c r="BL482" s="22"/>
      <c r="BM482" s="18"/>
      <c r="BN482" s="18"/>
      <c r="BO482" s="18"/>
      <c r="BP482" s="19"/>
      <c r="BQ482" s="17" t="s">
        <v>33</v>
      </c>
      <c r="BR482" s="1"/>
      <c r="BS482" s="1"/>
      <c r="BT482" s="1"/>
      <c r="BU482" s="1"/>
    </row>
    <row r="483">
      <c r="A483" s="56" t="s">
        <v>678</v>
      </c>
      <c r="B483" s="10" t="s">
        <v>802</v>
      </c>
      <c r="C483" s="11" t="s">
        <v>803</v>
      </c>
      <c r="D483" s="22"/>
      <c r="E483" s="18"/>
      <c r="F483" s="18"/>
      <c r="G483" s="23">
        <v>30000.0</v>
      </c>
      <c r="H483" s="19"/>
      <c r="I483" s="22"/>
      <c r="J483" s="18"/>
      <c r="K483" s="18"/>
      <c r="L483" s="23">
        <v>30000.0</v>
      </c>
      <c r="M483" s="24"/>
      <c r="N483" s="22"/>
      <c r="O483" s="18"/>
      <c r="P483" s="18"/>
      <c r="Q483" s="23">
        <v>30000.0</v>
      </c>
      <c r="R483" s="24"/>
      <c r="S483" s="22"/>
      <c r="T483" s="18"/>
      <c r="U483" s="18"/>
      <c r="V483" s="23">
        <v>30000.0</v>
      </c>
      <c r="W483" s="24"/>
      <c r="X483" s="18"/>
      <c r="Y483" s="18"/>
      <c r="Z483" s="18"/>
      <c r="AA483" s="23">
        <v>30000.0</v>
      </c>
      <c r="AB483" s="24"/>
      <c r="AC483" s="18"/>
      <c r="AD483" s="18"/>
      <c r="AE483" s="18"/>
      <c r="AF483" s="23">
        <v>30000.0</v>
      </c>
      <c r="AG483" s="24"/>
      <c r="AH483" s="18"/>
      <c r="AI483" s="18"/>
      <c r="AJ483" s="18"/>
      <c r="AK483" s="23">
        <v>30000.0</v>
      </c>
      <c r="AL483" s="24"/>
      <c r="AM483" s="18"/>
      <c r="AN483" s="18"/>
      <c r="AO483" s="18"/>
      <c r="AP483" s="23">
        <v>30000.0</v>
      </c>
      <c r="AQ483" s="24"/>
      <c r="AR483" s="22"/>
      <c r="AS483" s="18"/>
      <c r="AT483" s="18"/>
      <c r="AU483" s="23">
        <v>30000.0</v>
      </c>
      <c r="AV483" s="24"/>
      <c r="AW483" s="22"/>
      <c r="AX483" s="18"/>
      <c r="AY483" s="18"/>
      <c r="AZ483" s="23">
        <v>30000.0</v>
      </c>
      <c r="BA483" s="24"/>
      <c r="BB483" s="22"/>
      <c r="BC483" s="18"/>
      <c r="BD483" s="18"/>
      <c r="BE483" s="23">
        <v>30000.0</v>
      </c>
      <c r="BF483" s="24"/>
      <c r="BG483" s="22"/>
      <c r="BH483" s="18"/>
      <c r="BI483" s="18"/>
      <c r="BJ483" s="23">
        <v>30000.0</v>
      </c>
      <c r="BK483" s="19"/>
      <c r="BL483" s="22"/>
      <c r="BM483" s="18"/>
      <c r="BN483" s="18"/>
      <c r="BO483" s="23">
        <v>30000.0</v>
      </c>
      <c r="BP483" s="19"/>
      <c r="BQ483" s="17" t="s">
        <v>33</v>
      </c>
      <c r="BR483" s="1"/>
      <c r="BS483" s="1"/>
      <c r="BT483" s="1"/>
      <c r="BU483" s="1"/>
    </row>
    <row r="484">
      <c r="A484" s="56" t="s">
        <v>681</v>
      </c>
      <c r="B484" s="21"/>
      <c r="C484" s="11" t="s">
        <v>52</v>
      </c>
      <c r="D484" s="22"/>
      <c r="E484" s="18"/>
      <c r="F484" s="18"/>
      <c r="G484" s="23">
        <v>22000.0</v>
      </c>
      <c r="H484" s="19"/>
      <c r="I484" s="22"/>
      <c r="J484" s="18"/>
      <c r="K484" s="18"/>
      <c r="L484" s="23">
        <v>22000.0</v>
      </c>
      <c r="M484" s="19"/>
      <c r="N484" s="22"/>
      <c r="O484" s="18"/>
      <c r="P484" s="18"/>
      <c r="Q484" s="23">
        <v>22000.0</v>
      </c>
      <c r="R484" s="19"/>
      <c r="S484" s="22"/>
      <c r="T484" s="18"/>
      <c r="U484" s="18"/>
      <c r="V484" s="23">
        <v>22000.0</v>
      </c>
      <c r="W484" s="19"/>
      <c r="X484" s="22"/>
      <c r="Y484" s="18"/>
      <c r="Z484" s="18"/>
      <c r="AA484" s="23">
        <v>22000.0</v>
      </c>
      <c r="AB484" s="19"/>
      <c r="AC484" s="22"/>
      <c r="AD484" s="18"/>
      <c r="AE484" s="18"/>
      <c r="AF484" s="23">
        <v>22000.0</v>
      </c>
      <c r="AG484" s="19"/>
      <c r="AH484" s="22"/>
      <c r="AI484" s="18"/>
      <c r="AJ484" s="18"/>
      <c r="AK484" s="23">
        <v>22000.0</v>
      </c>
      <c r="AL484" s="19"/>
      <c r="AM484" s="22"/>
      <c r="AN484" s="18"/>
      <c r="AO484" s="18"/>
      <c r="AP484" s="23">
        <v>22000.0</v>
      </c>
      <c r="AQ484" s="19"/>
      <c r="AR484" s="22"/>
      <c r="AS484" s="18"/>
      <c r="AT484" s="18"/>
      <c r="AU484" s="23">
        <v>22000.0</v>
      </c>
      <c r="AV484" s="19"/>
      <c r="AW484" s="22"/>
      <c r="AX484" s="18"/>
      <c r="AY484" s="18"/>
      <c r="AZ484" s="23">
        <v>22000.0</v>
      </c>
      <c r="BA484" s="19"/>
      <c r="BB484" s="22"/>
      <c r="BC484" s="18"/>
      <c r="BD484" s="18"/>
      <c r="BE484" s="23">
        <v>22000.0</v>
      </c>
      <c r="BF484" s="19"/>
      <c r="BG484" s="22"/>
      <c r="BH484" s="18"/>
      <c r="BI484" s="18"/>
      <c r="BJ484" s="18"/>
      <c r="BK484" s="19"/>
      <c r="BL484" s="22"/>
      <c r="BM484" s="18"/>
      <c r="BN484" s="18"/>
      <c r="BO484" s="18"/>
      <c r="BP484" s="19"/>
      <c r="BQ484" s="17" t="s">
        <v>33</v>
      </c>
      <c r="BR484" s="1"/>
      <c r="BS484" s="1"/>
      <c r="BT484" s="1"/>
      <c r="BU484" s="1"/>
    </row>
    <row r="485">
      <c r="A485" s="56" t="s">
        <v>681</v>
      </c>
      <c r="B485" s="21"/>
      <c r="C485" s="11" t="s">
        <v>53</v>
      </c>
      <c r="D485" s="22"/>
      <c r="E485" s="18"/>
      <c r="F485" s="18"/>
      <c r="G485" s="23">
        <v>10000.0</v>
      </c>
      <c r="H485" s="19"/>
      <c r="I485" s="22"/>
      <c r="J485" s="18"/>
      <c r="K485" s="18"/>
      <c r="L485" s="23">
        <v>10000.0</v>
      </c>
      <c r="M485" s="19"/>
      <c r="N485" s="22"/>
      <c r="O485" s="18"/>
      <c r="P485" s="18"/>
      <c r="Q485" s="23">
        <v>10000.0</v>
      </c>
      <c r="R485" s="19"/>
      <c r="S485" s="22"/>
      <c r="T485" s="18"/>
      <c r="U485" s="18"/>
      <c r="V485" s="23">
        <v>10000.0</v>
      </c>
      <c r="W485" s="19"/>
      <c r="X485" s="22"/>
      <c r="Y485" s="18"/>
      <c r="Z485" s="18"/>
      <c r="AA485" s="23">
        <v>10000.0</v>
      </c>
      <c r="AB485" s="19"/>
      <c r="AC485" s="22"/>
      <c r="AD485" s="18"/>
      <c r="AE485" s="18"/>
      <c r="AF485" s="23">
        <v>10000.0</v>
      </c>
      <c r="AG485" s="19"/>
      <c r="AH485" s="22"/>
      <c r="AI485" s="18"/>
      <c r="AJ485" s="18"/>
      <c r="AK485" s="23">
        <v>10000.0</v>
      </c>
      <c r="AL485" s="19"/>
      <c r="AM485" s="22"/>
      <c r="AN485" s="18"/>
      <c r="AO485" s="18"/>
      <c r="AP485" s="23">
        <v>10000.0</v>
      </c>
      <c r="AQ485" s="19"/>
      <c r="AR485" s="22"/>
      <c r="AS485" s="18"/>
      <c r="AT485" s="18"/>
      <c r="AU485" s="23">
        <v>10000.0</v>
      </c>
      <c r="AV485" s="19"/>
      <c r="AW485" s="22"/>
      <c r="AX485" s="18"/>
      <c r="AY485" s="18"/>
      <c r="AZ485" s="23">
        <v>10000.0</v>
      </c>
      <c r="BA485" s="19"/>
      <c r="BB485" s="22"/>
      <c r="BC485" s="18"/>
      <c r="BD485" s="18"/>
      <c r="BE485" s="23">
        <v>10000.0</v>
      </c>
      <c r="BF485" s="19"/>
      <c r="BG485" s="22"/>
      <c r="BH485" s="18"/>
      <c r="BI485" s="18"/>
      <c r="BJ485" s="23">
        <v>10000.0</v>
      </c>
      <c r="BK485" s="19"/>
      <c r="BL485" s="22"/>
      <c r="BM485" s="18"/>
      <c r="BN485" s="18"/>
      <c r="BO485" s="23">
        <v>10000.0</v>
      </c>
      <c r="BP485" s="19"/>
      <c r="BQ485" s="17" t="s">
        <v>33</v>
      </c>
      <c r="BR485" s="1"/>
      <c r="BS485" s="1"/>
      <c r="BT485" s="1"/>
      <c r="BU485" s="1"/>
    </row>
    <row r="486">
      <c r="A486" s="1"/>
      <c r="B486" s="21"/>
      <c r="C486" s="11" t="s">
        <v>54</v>
      </c>
      <c r="D486" s="22"/>
      <c r="E486" s="18"/>
      <c r="F486" s="18"/>
      <c r="G486" s="23">
        <f>SUMIFS('지출'!$G$3:$G1000,'지출'!$J$3:$J1000,G$1,'지출'!$C$3:$C1000,"단짠")</f>
        <v>12500</v>
      </c>
      <c r="H486" s="19"/>
      <c r="I486" s="22"/>
      <c r="J486" s="18"/>
      <c r="K486" s="18"/>
      <c r="L486" s="23">
        <f>SUMIFS('지출'!$G$3:$G1000,'지출'!$J$3:$J1000,L$1,'지출'!$C$3:$C1000,"단짠")</f>
        <v>50000</v>
      </c>
      <c r="M486" s="24"/>
      <c r="N486" s="18"/>
      <c r="O486" s="18"/>
      <c r="P486" s="18"/>
      <c r="Q486" s="23">
        <f>SUMIFS('지출'!$G$3:$G1000,'지출'!$J$3:$J1000,Q$1,'지출'!$C$3:$C1000,"단짠")</f>
        <v>39750</v>
      </c>
      <c r="R486" s="24"/>
      <c r="S486" s="18"/>
      <c r="T486" s="18"/>
      <c r="U486" s="18"/>
      <c r="V486" s="23">
        <f>SUMIFS('지출'!$G$3:$G1000,'지출'!$J$3:$J1000,V$1,'지출'!$C$3:$C1000,"단짠")</f>
        <v>0</v>
      </c>
      <c r="W486" s="24"/>
      <c r="X486" s="18"/>
      <c r="Y486" s="18"/>
      <c r="Z486" s="18"/>
      <c r="AA486" s="23">
        <f>SUMIFS('지출'!$G$3:$G1000,'지출'!$J$3:$J1000,AA$1,'지출'!$C$3:$C1000,"단짠")</f>
        <v>0</v>
      </c>
      <c r="AB486" s="24"/>
      <c r="AC486" s="18"/>
      <c r="AD486" s="18"/>
      <c r="AE486" s="18"/>
      <c r="AF486" s="23">
        <f>SUMIFS('지출'!$G$3:$G1000,'지출'!$J$3:$J1000,AF$1,'지출'!$C$3:$C1000,"단짠")</f>
        <v>0</v>
      </c>
      <c r="AG486" s="24"/>
      <c r="AH486" s="18"/>
      <c r="AI486" s="18"/>
      <c r="AJ486" s="18"/>
      <c r="AK486" s="23">
        <f>SUMIFS('지출'!$G$3:$G1000,'지출'!$J$3:$J1000,AK$1,'지출'!$C$3:$C1000,"단짠")</f>
        <v>0</v>
      </c>
      <c r="AL486" s="24"/>
      <c r="AM486" s="18"/>
      <c r="AN486" s="18"/>
      <c r="AO486" s="18"/>
      <c r="AP486" s="23">
        <f>SUMIFS('지출'!$G$3:$G1000,'지출'!$J$3:$J1000,AP$1,'지출'!$C$3:$C1000,"단짠")</f>
        <v>0</v>
      </c>
      <c r="AQ486" s="24"/>
      <c r="AR486" s="18"/>
      <c r="AS486" s="18"/>
      <c r="AT486" s="18"/>
      <c r="AU486" s="23">
        <f>SUMIFS('지출'!$G$3:$G1000,'지출'!$J$3:$J1000,AU$1,'지출'!$C$3:$C1000,"단짠")</f>
        <v>0</v>
      </c>
      <c r="AV486" s="24"/>
      <c r="AW486" s="18"/>
      <c r="AX486" s="18"/>
      <c r="AY486" s="18"/>
      <c r="AZ486" s="23">
        <f>SUMIFS('지출'!$G$3:$G1000,'지출'!$J$3:$J1000,AZ$1,'지출'!$C$3:$C1000,"단짠")</f>
        <v>0</v>
      </c>
      <c r="BA486" s="24"/>
      <c r="BB486" s="18"/>
      <c r="BC486" s="18"/>
      <c r="BD486" s="18"/>
      <c r="BE486" s="23">
        <f>SUMIFS('지출'!$G$3:$G1000,'지출'!$J$3:$J1000,BE$1,'지출'!$C$3:$C1000,"단짠")</f>
        <v>0</v>
      </c>
      <c r="BF486" s="24"/>
      <c r="BG486" s="18"/>
      <c r="BH486" s="18"/>
      <c r="BI486" s="18"/>
      <c r="BJ486" s="23">
        <f>SUMIFS('지출'!$G$3:$G1000,'지출'!$J$3:$J1000,BJ$1,'지출'!$C$3:$C1000,"단짠")</f>
        <v>0</v>
      </c>
      <c r="BK486" s="19"/>
      <c r="BL486" s="18"/>
      <c r="BM486" s="18"/>
      <c r="BN486" s="18"/>
      <c r="BO486" s="23">
        <f>SUMIFS('지출'!$G$3:$G1000,'지출'!$J$3:$J1000,BO$1,'지출'!$C$3:$C1000,"단짠")</f>
        <v>12500</v>
      </c>
      <c r="BP486" s="19"/>
      <c r="BQ486" s="17" t="s">
        <v>33</v>
      </c>
      <c r="BR486" s="1"/>
      <c r="BS486" s="1"/>
      <c r="BT486" s="1"/>
      <c r="BU486" s="1"/>
    </row>
    <row r="487">
      <c r="A487" s="1"/>
      <c r="B487" s="21"/>
      <c r="C487" s="11" t="s">
        <v>56</v>
      </c>
      <c r="D487" s="22"/>
      <c r="E487" s="23">
        <f>E478-(SUM(E479:E486))</f>
        <v>-800000</v>
      </c>
      <c r="F487" s="18"/>
      <c r="G487" s="23">
        <f>G478-(SUM(G479:G486))</f>
        <v>-156390</v>
      </c>
      <c r="H487" s="19"/>
      <c r="I487" s="22"/>
      <c r="J487" s="23">
        <f>J478-(SUM(J479:J486))</f>
        <v>-536207</v>
      </c>
      <c r="K487" s="18"/>
      <c r="L487" s="23">
        <f>L478-(SUM(L479:L486))</f>
        <v>-146233</v>
      </c>
      <c r="M487" s="19"/>
      <c r="N487" s="22"/>
      <c r="O487" s="23">
        <f>O478-(SUM(O479:O486))</f>
        <v>1060000</v>
      </c>
      <c r="P487" s="18"/>
      <c r="Q487" s="23">
        <f>Q478-(SUM(Q479:Q486))</f>
        <v>105220</v>
      </c>
      <c r="R487" s="19"/>
      <c r="S487" s="22"/>
      <c r="T487" s="23">
        <f>T478-(SUM(T479:T486))</f>
        <v>1060000</v>
      </c>
      <c r="U487" s="18"/>
      <c r="V487" s="23">
        <f>V478-(SUM(V479:V486))</f>
        <v>187260</v>
      </c>
      <c r="W487" s="19"/>
      <c r="X487" s="18"/>
      <c r="Y487" s="23">
        <f>Y478-(SUM(Y479:Y486))</f>
        <v>1060000</v>
      </c>
      <c r="Z487" s="18"/>
      <c r="AA487" s="23">
        <f>AA478-(SUM(AA479:AA486))</f>
        <v>210120</v>
      </c>
      <c r="AB487" s="19"/>
      <c r="AC487" s="18"/>
      <c r="AD487" s="23">
        <f>AD478-(SUM(AD479:AD486))</f>
        <v>1060000</v>
      </c>
      <c r="AE487" s="18"/>
      <c r="AF487" s="23">
        <f>AF478-(SUM(AF479:AF486))</f>
        <v>212680</v>
      </c>
      <c r="AG487" s="19"/>
      <c r="AH487" s="18"/>
      <c r="AI487" s="23">
        <f>AI478-(SUM(AI479:AI486))</f>
        <v>1060000</v>
      </c>
      <c r="AJ487" s="18"/>
      <c r="AK487" s="23">
        <f>AK478-(SUM(AK479:AK486))</f>
        <v>170280</v>
      </c>
      <c r="AL487" s="19"/>
      <c r="AM487" s="18"/>
      <c r="AN487" s="23">
        <f>AN478-(SUM(AN479:AN486))</f>
        <v>1251290</v>
      </c>
      <c r="AO487" s="18"/>
      <c r="AP487" s="23">
        <f>AP478-(SUM(AP479:AP486))</f>
        <v>344639</v>
      </c>
      <c r="AQ487" s="19"/>
      <c r="AR487" s="22"/>
      <c r="AS487" s="23">
        <f>AS478-(SUM(AS479:AS486))</f>
        <v>1862000</v>
      </c>
      <c r="AT487" s="18"/>
      <c r="AU487" s="23">
        <f>AU478-(SUM(AU479:AU486))</f>
        <v>207910</v>
      </c>
      <c r="AV487" s="19"/>
      <c r="AW487" s="22"/>
      <c r="AX487" s="23">
        <f>AX478-(SUM(AX479:AX486))</f>
        <v>810000</v>
      </c>
      <c r="AY487" s="18"/>
      <c r="AZ487" s="23">
        <f>AZ478-(SUM(AZ479:AZ486))</f>
        <v>103210</v>
      </c>
      <c r="BA487" s="19"/>
      <c r="BB487" s="22"/>
      <c r="BC487" s="23">
        <f>BC478-(SUM(BC479:BC486))</f>
        <v>810000</v>
      </c>
      <c r="BD487" s="18"/>
      <c r="BE487" s="23">
        <f>BE478-(SUM(BE479:BE486))</f>
        <v>60450</v>
      </c>
      <c r="BF487" s="19"/>
      <c r="BG487" s="22"/>
      <c r="BH487" s="23">
        <f>BH478-(SUM(BH479:BH486))</f>
        <v>810000</v>
      </c>
      <c r="BI487" s="18"/>
      <c r="BJ487" s="23">
        <f>BJ478-(SUM(BJ479:BJ486))</f>
        <v>320</v>
      </c>
      <c r="BK487" s="19"/>
      <c r="BL487" s="22"/>
      <c r="BM487" s="23">
        <f>BM478-(SUM(BM479:BM486))</f>
        <v>810000</v>
      </c>
      <c r="BN487" s="18"/>
      <c r="BO487" s="23">
        <f>BO478-(SUM(BO479:BO486))</f>
        <v>187500</v>
      </c>
      <c r="BP487" s="19"/>
      <c r="BQ487" s="17" t="s">
        <v>33</v>
      </c>
      <c r="BR487" s="1"/>
      <c r="BS487" s="1"/>
      <c r="BT487" s="1"/>
      <c r="BU487" s="1"/>
    </row>
    <row r="488">
      <c r="A488" s="1"/>
      <c r="B488" s="27">
        <v>0.0</v>
      </c>
      <c r="C488" s="11" t="s">
        <v>26</v>
      </c>
      <c r="D488" s="22"/>
      <c r="E488" s="23">
        <f>E487*$B488</f>
        <v>0</v>
      </c>
      <c r="F488" s="18"/>
      <c r="G488" s="18"/>
      <c r="H488" s="19"/>
      <c r="I488" s="22"/>
      <c r="J488" s="23">
        <f>J487*$B488</f>
        <v>0</v>
      </c>
      <c r="K488" s="18"/>
      <c r="L488" s="18"/>
      <c r="M488" s="19"/>
      <c r="N488" s="22"/>
      <c r="O488" s="23">
        <f>O487*$B488</f>
        <v>0</v>
      </c>
      <c r="P488" s="18"/>
      <c r="Q488" s="18"/>
      <c r="R488" s="19"/>
      <c r="S488" s="22"/>
      <c r="T488" s="23">
        <f>T487*$B488</f>
        <v>0</v>
      </c>
      <c r="U488" s="18"/>
      <c r="V488" s="18"/>
      <c r="W488" s="19"/>
      <c r="X488" s="18"/>
      <c r="Y488" s="23">
        <f>Y487*$B488</f>
        <v>0</v>
      </c>
      <c r="Z488" s="18"/>
      <c r="AA488" s="18"/>
      <c r="AB488" s="19"/>
      <c r="AC488" s="18"/>
      <c r="AD488" s="23">
        <f>AD487*$B488</f>
        <v>0</v>
      </c>
      <c r="AE488" s="18"/>
      <c r="AF488" s="18"/>
      <c r="AG488" s="19"/>
      <c r="AH488" s="18"/>
      <c r="AI488" s="23">
        <f>AI487*$B488</f>
        <v>0</v>
      </c>
      <c r="AJ488" s="18"/>
      <c r="AK488" s="18"/>
      <c r="AL488" s="19"/>
      <c r="AM488" s="18"/>
      <c r="AN488" s="23">
        <f>AN487*$B488</f>
        <v>0</v>
      </c>
      <c r="AO488" s="18"/>
      <c r="AP488" s="18"/>
      <c r="AQ488" s="19"/>
      <c r="AR488" s="22"/>
      <c r="AS488" s="23">
        <f>AS487*$B488</f>
        <v>0</v>
      </c>
      <c r="AT488" s="18"/>
      <c r="AU488" s="18"/>
      <c r="AV488" s="19"/>
      <c r="AW488" s="22"/>
      <c r="AX488" s="23">
        <f>AX487*$B488</f>
        <v>0</v>
      </c>
      <c r="AY488" s="18"/>
      <c r="AZ488" s="18"/>
      <c r="BA488" s="19"/>
      <c r="BB488" s="22"/>
      <c r="BC488" s="23">
        <f>BC487*$B488</f>
        <v>0</v>
      </c>
      <c r="BD488" s="18"/>
      <c r="BE488" s="18"/>
      <c r="BF488" s="19"/>
      <c r="BG488" s="22"/>
      <c r="BH488" s="23">
        <f>BH487*$B488</f>
        <v>0</v>
      </c>
      <c r="BI488" s="18"/>
      <c r="BJ488" s="18"/>
      <c r="BK488" s="19"/>
      <c r="BL488" s="22"/>
      <c r="BM488" s="23">
        <f>BM487*$B488</f>
        <v>0</v>
      </c>
      <c r="BN488" s="18"/>
      <c r="BO488" s="18"/>
      <c r="BP488" s="19"/>
      <c r="BQ488" s="17" t="s">
        <v>33</v>
      </c>
      <c r="BR488" s="1"/>
      <c r="BS488" s="1"/>
      <c r="BT488" s="1"/>
      <c r="BU488" s="1"/>
    </row>
    <row r="489">
      <c r="A489" s="56" t="str">
        <f>B474</f>
        <v>단짠</v>
      </c>
      <c r="B489" s="29">
        <v>1.0</v>
      </c>
      <c r="C489" s="30" t="s">
        <v>57</v>
      </c>
      <c r="D489" s="31"/>
      <c r="E489" s="32">
        <f>E487*$B489</f>
        <v>-800000</v>
      </c>
      <c r="F489" s="33"/>
      <c r="G489" s="33"/>
      <c r="H489" s="34"/>
      <c r="I489" s="31"/>
      <c r="J489" s="32">
        <f>J487*$B489</f>
        <v>-536207</v>
      </c>
      <c r="K489" s="33"/>
      <c r="L489" s="33"/>
      <c r="M489" s="34"/>
      <c r="N489" s="31"/>
      <c r="O489" s="32">
        <f>O487*$B489</f>
        <v>1060000</v>
      </c>
      <c r="P489" s="33"/>
      <c r="Q489" s="33"/>
      <c r="R489" s="34"/>
      <c r="S489" s="31"/>
      <c r="T489" s="32">
        <f>T487*$B489</f>
        <v>1060000</v>
      </c>
      <c r="U489" s="33"/>
      <c r="V489" s="33"/>
      <c r="W489" s="34"/>
      <c r="X489" s="33"/>
      <c r="Y489" s="32">
        <f>Y487*$B489</f>
        <v>1060000</v>
      </c>
      <c r="Z489" s="33"/>
      <c r="AA489" s="33"/>
      <c r="AB489" s="34"/>
      <c r="AC489" s="33"/>
      <c r="AD489" s="32">
        <f>AD487*$B489</f>
        <v>1060000</v>
      </c>
      <c r="AE489" s="33"/>
      <c r="AF489" s="33"/>
      <c r="AG489" s="34"/>
      <c r="AH489" s="33"/>
      <c r="AI489" s="32">
        <f>AI487*$B489</f>
        <v>1060000</v>
      </c>
      <c r="AJ489" s="33"/>
      <c r="AK489" s="33"/>
      <c r="AL489" s="34"/>
      <c r="AM489" s="33"/>
      <c r="AN489" s="32">
        <f>AN487*$B489</f>
        <v>1251290</v>
      </c>
      <c r="AO489" s="33"/>
      <c r="AP489" s="33"/>
      <c r="AQ489" s="34"/>
      <c r="AR489" s="31"/>
      <c r="AS489" s="32">
        <f>AS487*$B489</f>
        <v>1862000</v>
      </c>
      <c r="AT489" s="33"/>
      <c r="AU489" s="33"/>
      <c r="AV489" s="34"/>
      <c r="AW489" s="31"/>
      <c r="AX489" s="32">
        <f>AX487*$B489</f>
        <v>810000</v>
      </c>
      <c r="AY489" s="33"/>
      <c r="AZ489" s="33"/>
      <c r="BA489" s="34"/>
      <c r="BB489" s="31"/>
      <c r="BC489" s="32">
        <f>BC487*$B489</f>
        <v>810000</v>
      </c>
      <c r="BD489" s="33"/>
      <c r="BE489" s="33"/>
      <c r="BF489" s="34"/>
      <c r="BG489" s="31"/>
      <c r="BH489" s="32">
        <f>BH487*$B489</f>
        <v>810000</v>
      </c>
      <c r="BI489" s="33"/>
      <c r="BJ489" s="33"/>
      <c r="BK489" s="34"/>
      <c r="BL489" s="31"/>
      <c r="BM489" s="32">
        <f>BM487*$B489</f>
        <v>810000</v>
      </c>
      <c r="BN489" s="33"/>
      <c r="BO489" s="33"/>
      <c r="BP489" s="34"/>
      <c r="BQ489" s="17" t="s">
        <v>33</v>
      </c>
      <c r="BR489" s="1"/>
      <c r="BS489" s="1"/>
      <c r="BT489" s="1"/>
      <c r="BU489" s="1"/>
    </row>
    <row r="490">
      <c r="A490" s="1"/>
      <c r="B490" s="27" t="s">
        <v>804</v>
      </c>
      <c r="C490" s="11" t="s">
        <v>667</v>
      </c>
      <c r="D490" s="20" t="s">
        <v>805</v>
      </c>
      <c r="E490" s="23">
        <v>500000.0</v>
      </c>
      <c r="F490" s="35" t="b">
        <v>1</v>
      </c>
      <c r="G490" s="23">
        <v>80000.0</v>
      </c>
      <c r="H490" s="15" t="b">
        <v>1</v>
      </c>
      <c r="I490" s="20" t="s">
        <v>806</v>
      </c>
      <c r="J490" s="23">
        <v>413793.0</v>
      </c>
      <c r="K490" s="35" t="b">
        <v>1</v>
      </c>
      <c r="L490" s="23">
        <v>66207.0</v>
      </c>
      <c r="M490" s="15" t="b">
        <v>1</v>
      </c>
      <c r="N490" s="20" t="s">
        <v>807</v>
      </c>
      <c r="O490" s="23">
        <v>464516.0</v>
      </c>
      <c r="P490" s="35" t="b">
        <v>1</v>
      </c>
      <c r="Q490" s="23">
        <v>77419.0</v>
      </c>
      <c r="R490" s="15" t="b">
        <v>1</v>
      </c>
      <c r="S490" s="20" t="s">
        <v>808</v>
      </c>
      <c r="T490" s="23">
        <v>480000.0</v>
      </c>
      <c r="U490" s="35" t="b">
        <v>1</v>
      </c>
      <c r="V490" s="23">
        <v>80000.0</v>
      </c>
      <c r="W490" s="15" t="b">
        <v>1</v>
      </c>
      <c r="X490" s="20" t="s">
        <v>808</v>
      </c>
      <c r="Y490" s="23">
        <v>480000.0</v>
      </c>
      <c r="Z490" s="35" t="b">
        <v>1</v>
      </c>
      <c r="AA490" s="23">
        <v>80000.0</v>
      </c>
      <c r="AB490" s="15" t="b">
        <v>1</v>
      </c>
      <c r="AC490" s="20" t="s">
        <v>808</v>
      </c>
      <c r="AD490" s="23">
        <v>480000.0</v>
      </c>
      <c r="AE490" s="35" t="b">
        <v>1</v>
      </c>
      <c r="AF490" s="23">
        <v>80000.0</v>
      </c>
      <c r="AG490" s="15" t="b">
        <v>1</v>
      </c>
      <c r="AH490" s="20" t="s">
        <v>808</v>
      </c>
      <c r="AI490" s="23">
        <v>480000.0</v>
      </c>
      <c r="AJ490" s="35" t="b">
        <v>1</v>
      </c>
      <c r="AK490" s="23">
        <v>80000.0</v>
      </c>
      <c r="AL490" s="15" t="b">
        <v>1</v>
      </c>
      <c r="AM490" s="20" t="s">
        <v>808</v>
      </c>
      <c r="AN490" s="23">
        <v>480000.0</v>
      </c>
      <c r="AO490" s="35" t="b">
        <v>1</v>
      </c>
      <c r="AP490" s="23">
        <v>80000.0</v>
      </c>
      <c r="AQ490" s="15" t="b">
        <v>1</v>
      </c>
      <c r="AR490" s="20" t="s">
        <v>808</v>
      </c>
      <c r="AS490" s="23">
        <v>480000.0</v>
      </c>
      <c r="AT490" s="35" t="b">
        <v>1</v>
      </c>
      <c r="AU490" s="23">
        <v>80000.0</v>
      </c>
      <c r="AV490" s="15" t="b">
        <v>1</v>
      </c>
      <c r="AW490" s="20" t="s">
        <v>808</v>
      </c>
      <c r="AX490" s="23">
        <v>480000.0</v>
      </c>
      <c r="AY490" s="35" t="b">
        <v>1</v>
      </c>
      <c r="AZ490" s="23">
        <v>80000.0</v>
      </c>
      <c r="BA490" s="15" t="b">
        <v>1</v>
      </c>
      <c r="BB490" s="20" t="s">
        <v>808</v>
      </c>
      <c r="BC490" s="23">
        <v>480000.0</v>
      </c>
      <c r="BD490" s="35" t="b">
        <v>1</v>
      </c>
      <c r="BE490" s="23">
        <v>80000.0</v>
      </c>
      <c r="BF490" s="15" t="b">
        <v>1</v>
      </c>
      <c r="BG490" s="20" t="s">
        <v>808</v>
      </c>
      <c r="BH490" s="23">
        <v>480000.0</v>
      </c>
      <c r="BI490" s="35" t="b">
        <v>1</v>
      </c>
      <c r="BJ490" s="23">
        <v>80000.0</v>
      </c>
      <c r="BK490" s="15" t="b">
        <v>1</v>
      </c>
      <c r="BL490" s="20" t="s">
        <v>808</v>
      </c>
      <c r="BM490" s="23">
        <v>480000.0</v>
      </c>
      <c r="BN490" s="35" t="b">
        <v>0</v>
      </c>
      <c r="BO490" s="23">
        <v>80000.0</v>
      </c>
      <c r="BP490" s="15" t="b">
        <v>0</v>
      </c>
      <c r="BQ490" s="17" t="s">
        <v>33</v>
      </c>
      <c r="BR490" s="1"/>
      <c r="BS490" s="1"/>
      <c r="BT490" s="1"/>
      <c r="BU490" s="1"/>
    </row>
    <row r="491">
      <c r="A491" s="1"/>
      <c r="B491" s="10" t="s">
        <v>809</v>
      </c>
      <c r="C491" s="11" t="s">
        <v>690</v>
      </c>
      <c r="D491" s="20" t="s">
        <v>810</v>
      </c>
      <c r="E491" s="23">
        <v>480000.0</v>
      </c>
      <c r="F491" s="35" t="b">
        <v>1</v>
      </c>
      <c r="G491" s="23">
        <v>80000.0</v>
      </c>
      <c r="H491" s="15" t="b">
        <v>1</v>
      </c>
      <c r="I491" s="20" t="s">
        <v>811</v>
      </c>
      <c r="J491" s="23">
        <v>480000.0</v>
      </c>
      <c r="K491" s="35" t="b">
        <v>1</v>
      </c>
      <c r="L491" s="23">
        <v>80000.0</v>
      </c>
      <c r="M491" s="15" t="b">
        <v>1</v>
      </c>
      <c r="N491" s="20" t="s">
        <v>812</v>
      </c>
      <c r="O491" s="23">
        <f>480000+420968</f>
        <v>900968</v>
      </c>
      <c r="P491" s="35" t="b">
        <v>1</v>
      </c>
      <c r="Q491" s="23">
        <f>80000+74839</f>
        <v>154839</v>
      </c>
      <c r="R491" s="15" t="b">
        <v>1</v>
      </c>
      <c r="S491" s="20" t="s">
        <v>813</v>
      </c>
      <c r="T491" s="23">
        <f>480000+450000</f>
        <v>930000</v>
      </c>
      <c r="U491" s="35" t="b">
        <v>1</v>
      </c>
      <c r="V491" s="23">
        <f>80000+80000</f>
        <v>160000</v>
      </c>
      <c r="W491" s="15" t="b">
        <v>1</v>
      </c>
      <c r="X491" s="20" t="s">
        <v>814</v>
      </c>
      <c r="Y491" s="23">
        <v>450000.0</v>
      </c>
      <c r="Z491" s="35" t="b">
        <v>1</v>
      </c>
      <c r="AA491" s="23">
        <v>80000.0</v>
      </c>
      <c r="AB491" s="15" t="b">
        <v>1</v>
      </c>
      <c r="AC491" s="20" t="s">
        <v>814</v>
      </c>
      <c r="AD491" s="23">
        <v>450000.0</v>
      </c>
      <c r="AE491" s="35" t="b">
        <v>1</v>
      </c>
      <c r="AF491" s="23">
        <v>80000.0</v>
      </c>
      <c r="AG491" s="15" t="b">
        <v>1</v>
      </c>
      <c r="AH491" s="20" t="s">
        <v>814</v>
      </c>
      <c r="AI491" s="23">
        <v>450000.0</v>
      </c>
      <c r="AJ491" s="35" t="b">
        <v>1</v>
      </c>
      <c r="AK491" s="23">
        <v>80000.0</v>
      </c>
      <c r="AL491" s="15" t="b">
        <v>1</v>
      </c>
      <c r="AM491" s="20" t="s">
        <v>814</v>
      </c>
      <c r="AN491" s="23">
        <v>450000.0</v>
      </c>
      <c r="AO491" s="35" t="b">
        <v>1</v>
      </c>
      <c r="AP491" s="23">
        <v>80000.0</v>
      </c>
      <c r="AQ491" s="15" t="b">
        <v>1</v>
      </c>
      <c r="AR491" s="20" t="s">
        <v>814</v>
      </c>
      <c r="AS491" s="23">
        <v>450000.0</v>
      </c>
      <c r="AT491" s="35" t="b">
        <v>1</v>
      </c>
      <c r="AU491" s="23">
        <v>80000.0</v>
      </c>
      <c r="AV491" s="15" t="b">
        <v>1</v>
      </c>
      <c r="AW491" s="20" t="s">
        <v>814</v>
      </c>
      <c r="AX491" s="23">
        <v>450000.0</v>
      </c>
      <c r="AY491" s="35" t="b">
        <v>1</v>
      </c>
      <c r="AZ491" s="23">
        <v>80000.0</v>
      </c>
      <c r="BA491" s="15" t="b">
        <v>1</v>
      </c>
      <c r="BB491" s="20" t="s">
        <v>814</v>
      </c>
      <c r="BC491" s="23">
        <v>450000.0</v>
      </c>
      <c r="BD491" s="35" t="b">
        <v>1</v>
      </c>
      <c r="BE491" s="23">
        <v>80000.0</v>
      </c>
      <c r="BF491" s="15" t="b">
        <v>1</v>
      </c>
      <c r="BG491" s="20" t="s">
        <v>814</v>
      </c>
      <c r="BH491" s="23">
        <v>450000.0</v>
      </c>
      <c r="BI491" s="35" t="b">
        <v>1</v>
      </c>
      <c r="BJ491" s="23">
        <v>80000.0</v>
      </c>
      <c r="BK491" s="15" t="b">
        <v>1</v>
      </c>
      <c r="BL491" s="20" t="s">
        <v>814</v>
      </c>
      <c r="BM491" s="23">
        <v>450000.0</v>
      </c>
      <c r="BN491" s="35" t="b">
        <v>0</v>
      </c>
      <c r="BO491" s="23">
        <v>80000.0</v>
      </c>
      <c r="BP491" s="15" t="b">
        <v>0</v>
      </c>
      <c r="BQ491" s="17" t="s">
        <v>33</v>
      </c>
      <c r="BR491" s="1"/>
      <c r="BS491" s="1"/>
      <c r="BT491" s="1"/>
      <c r="BU491" s="1"/>
    </row>
    <row r="492">
      <c r="A492" s="1"/>
      <c r="B492" s="27" t="s">
        <v>804</v>
      </c>
      <c r="C492" s="11" t="s">
        <v>693</v>
      </c>
      <c r="D492" s="20" t="s">
        <v>37</v>
      </c>
      <c r="E492" s="18"/>
      <c r="F492" s="1"/>
      <c r="G492" s="18"/>
      <c r="H492" s="19"/>
      <c r="I492" s="20" t="s">
        <v>37</v>
      </c>
      <c r="J492" s="18"/>
      <c r="K492" s="1"/>
      <c r="L492" s="18"/>
      <c r="M492" s="19"/>
      <c r="N492" s="20" t="s">
        <v>815</v>
      </c>
      <c r="O492" s="23">
        <v>383548.0</v>
      </c>
      <c r="P492" s="35" t="b">
        <v>1</v>
      </c>
      <c r="Q492" s="23">
        <v>74839.0</v>
      </c>
      <c r="R492" s="15" t="b">
        <v>1</v>
      </c>
      <c r="S492" s="20" t="s">
        <v>816</v>
      </c>
      <c r="T492" s="23">
        <v>410000.0</v>
      </c>
      <c r="U492" s="35" t="b">
        <v>1</v>
      </c>
      <c r="V492" s="23">
        <v>80000.0</v>
      </c>
      <c r="W492" s="15" t="b">
        <v>1</v>
      </c>
      <c r="X492" s="20" t="s">
        <v>816</v>
      </c>
      <c r="Y492" s="23">
        <v>410000.0</v>
      </c>
      <c r="Z492" s="35" t="b">
        <v>1</v>
      </c>
      <c r="AA492" s="23">
        <v>80000.0</v>
      </c>
      <c r="AB492" s="15" t="b">
        <v>1</v>
      </c>
      <c r="AC492" s="20" t="s">
        <v>816</v>
      </c>
      <c r="AD492" s="23">
        <v>410000.0</v>
      </c>
      <c r="AE492" s="35" t="b">
        <v>1</v>
      </c>
      <c r="AF492" s="23">
        <v>80000.0</v>
      </c>
      <c r="AG492" s="15" t="b">
        <v>1</v>
      </c>
      <c r="AH492" s="20" t="s">
        <v>816</v>
      </c>
      <c r="AI492" s="23">
        <v>410000.0</v>
      </c>
      <c r="AJ492" s="35" t="b">
        <v>1</v>
      </c>
      <c r="AK492" s="23">
        <v>80000.0</v>
      </c>
      <c r="AL492" s="15" t="b">
        <v>1</v>
      </c>
      <c r="AM492" s="20" t="s">
        <v>816</v>
      </c>
      <c r="AN492" s="23">
        <v>410000.0</v>
      </c>
      <c r="AO492" s="35" t="b">
        <v>1</v>
      </c>
      <c r="AP492" s="23">
        <v>80000.0</v>
      </c>
      <c r="AQ492" s="15" t="b">
        <v>1</v>
      </c>
      <c r="AR492" s="20" t="s">
        <v>816</v>
      </c>
      <c r="AS492" s="23">
        <v>410000.0</v>
      </c>
      <c r="AT492" s="35" t="b">
        <v>1</v>
      </c>
      <c r="AU492" s="23">
        <v>80000.0</v>
      </c>
      <c r="AV492" s="15" t="b">
        <v>1</v>
      </c>
      <c r="AW492" s="20" t="s">
        <v>817</v>
      </c>
      <c r="AX492" s="23">
        <v>410000.0</v>
      </c>
      <c r="AY492" s="35" t="b">
        <v>1</v>
      </c>
      <c r="AZ492" s="23">
        <v>80000.0</v>
      </c>
      <c r="BA492" s="15" t="b">
        <v>1</v>
      </c>
      <c r="BB492" s="20" t="s">
        <v>37</v>
      </c>
      <c r="BC492" s="18"/>
      <c r="BD492" s="1"/>
      <c r="BE492" s="18"/>
      <c r="BF492" s="19"/>
      <c r="BG492" s="20" t="s">
        <v>37</v>
      </c>
      <c r="BH492" s="18"/>
      <c r="BI492" s="1"/>
      <c r="BJ492" s="18"/>
      <c r="BK492" s="19"/>
      <c r="BL492" s="20" t="s">
        <v>37</v>
      </c>
      <c r="BM492" s="18"/>
      <c r="BN492" s="1"/>
      <c r="BO492" s="18"/>
      <c r="BP492" s="15" t="b">
        <v>0</v>
      </c>
      <c r="BQ492" s="17" t="s">
        <v>33</v>
      </c>
      <c r="BR492" s="1"/>
      <c r="BS492" s="1"/>
      <c r="BT492" s="1"/>
      <c r="BU492" s="1"/>
    </row>
    <row r="493">
      <c r="A493" s="1"/>
      <c r="B493" s="27" t="s">
        <v>804</v>
      </c>
      <c r="C493" s="11" t="s">
        <v>695</v>
      </c>
      <c r="D493" s="20" t="s">
        <v>818</v>
      </c>
      <c r="E493" s="23">
        <v>410000.0</v>
      </c>
      <c r="F493" s="35" t="b">
        <v>1</v>
      </c>
      <c r="G493" s="23">
        <v>80000.0</v>
      </c>
      <c r="H493" s="15" t="b">
        <v>1</v>
      </c>
      <c r="I493" s="20" t="s">
        <v>818</v>
      </c>
      <c r="J493" s="23">
        <v>410000.0</v>
      </c>
      <c r="K493" s="35" t="b">
        <v>1</v>
      </c>
      <c r="L493" s="23">
        <v>80000.0</v>
      </c>
      <c r="M493" s="15" t="b">
        <v>1</v>
      </c>
      <c r="N493" s="20" t="s">
        <v>818</v>
      </c>
      <c r="O493" s="23">
        <v>410000.0</v>
      </c>
      <c r="P493" s="35" t="b">
        <v>1</v>
      </c>
      <c r="Q493" s="23">
        <v>80000.0</v>
      </c>
      <c r="R493" s="15" t="b">
        <v>1</v>
      </c>
      <c r="S493" s="20" t="s">
        <v>818</v>
      </c>
      <c r="T493" s="23">
        <v>410000.0</v>
      </c>
      <c r="U493" s="35" t="b">
        <v>1</v>
      </c>
      <c r="V493" s="23">
        <v>80000.0</v>
      </c>
      <c r="W493" s="15" t="b">
        <v>1</v>
      </c>
      <c r="X493" s="20" t="s">
        <v>818</v>
      </c>
      <c r="Y493" s="23">
        <v>410000.0</v>
      </c>
      <c r="Z493" s="35" t="b">
        <v>1</v>
      </c>
      <c r="AA493" s="23">
        <v>80000.0</v>
      </c>
      <c r="AB493" s="15" t="b">
        <v>1</v>
      </c>
      <c r="AC493" s="20" t="s">
        <v>818</v>
      </c>
      <c r="AD493" s="23">
        <v>410000.0</v>
      </c>
      <c r="AE493" s="35" t="b">
        <v>1</v>
      </c>
      <c r="AF493" s="23">
        <v>80000.0</v>
      </c>
      <c r="AG493" s="15" t="b">
        <v>1</v>
      </c>
      <c r="AH493" s="20" t="s">
        <v>818</v>
      </c>
      <c r="AI493" s="23">
        <v>410000.0</v>
      </c>
      <c r="AJ493" s="35" t="b">
        <v>1</v>
      </c>
      <c r="AK493" s="23">
        <v>80000.0</v>
      </c>
      <c r="AL493" s="15" t="b">
        <v>1</v>
      </c>
      <c r="AM493" s="20" t="s">
        <v>818</v>
      </c>
      <c r="AN493" s="23">
        <v>410000.0</v>
      </c>
      <c r="AO493" s="35" t="b">
        <v>1</v>
      </c>
      <c r="AP493" s="23">
        <v>80000.0</v>
      </c>
      <c r="AQ493" s="15" t="b">
        <v>1</v>
      </c>
      <c r="AR493" s="20" t="s">
        <v>818</v>
      </c>
      <c r="AS493" s="23">
        <v>410000.0</v>
      </c>
      <c r="AT493" s="35" t="b">
        <v>1</v>
      </c>
      <c r="AU493" s="23">
        <v>80000.0</v>
      </c>
      <c r="AV493" s="15" t="b">
        <v>1</v>
      </c>
      <c r="AW493" s="20" t="s">
        <v>818</v>
      </c>
      <c r="AX493" s="23">
        <v>410000.0</v>
      </c>
      <c r="AY493" s="35" t="b">
        <v>1</v>
      </c>
      <c r="AZ493" s="23">
        <v>80000.0</v>
      </c>
      <c r="BA493" s="15" t="b">
        <v>1</v>
      </c>
      <c r="BB493" s="20" t="s">
        <v>818</v>
      </c>
      <c r="BC493" s="23">
        <v>410000.0</v>
      </c>
      <c r="BD493" s="35" t="b">
        <v>1</v>
      </c>
      <c r="BE493" s="23">
        <v>80000.0</v>
      </c>
      <c r="BF493" s="15" t="b">
        <v>1</v>
      </c>
      <c r="BG493" s="20" t="s">
        <v>818</v>
      </c>
      <c r="BH493" s="23">
        <v>410000.0</v>
      </c>
      <c r="BI493" s="35" t="b">
        <v>1</v>
      </c>
      <c r="BJ493" s="23">
        <v>80000.0</v>
      </c>
      <c r="BK493" s="15" t="b">
        <v>1</v>
      </c>
      <c r="BL493" s="20" t="s">
        <v>818</v>
      </c>
      <c r="BM493" s="23">
        <v>410000.0</v>
      </c>
      <c r="BN493" s="35" t="b">
        <v>0</v>
      </c>
      <c r="BO493" s="23">
        <v>80000.0</v>
      </c>
      <c r="BP493" s="15" t="b">
        <v>0</v>
      </c>
      <c r="BQ493" s="17" t="s">
        <v>33</v>
      </c>
      <c r="BR493" s="1"/>
      <c r="BS493" s="1"/>
      <c r="BT493" s="1"/>
      <c r="BU493" s="1"/>
    </row>
    <row r="494">
      <c r="A494" s="1"/>
      <c r="B494" s="21"/>
      <c r="C494" s="11" t="s">
        <v>42</v>
      </c>
      <c r="D494" s="22"/>
      <c r="E494" s="23">
        <f>SUM(E490:E493)</f>
        <v>1390000</v>
      </c>
      <c r="F494" s="18"/>
      <c r="G494" s="23">
        <f>SUM(G490:G493)</f>
        <v>240000</v>
      </c>
      <c r="H494" s="19"/>
      <c r="I494" s="22"/>
      <c r="J494" s="23">
        <f>SUM(J490:J493)</f>
        <v>1303793</v>
      </c>
      <c r="K494" s="18"/>
      <c r="L494" s="23">
        <f>SUM(L490:L493)</f>
        <v>226207</v>
      </c>
      <c r="M494" s="19"/>
      <c r="N494" s="22"/>
      <c r="O494" s="23">
        <f>SUM(O490:O493)</f>
        <v>2159032</v>
      </c>
      <c r="P494" s="18"/>
      <c r="Q494" s="23">
        <f>SUM(Q490:Q493)</f>
        <v>387097</v>
      </c>
      <c r="R494" s="19"/>
      <c r="S494" s="22"/>
      <c r="T494" s="23">
        <f>SUM(T490:T493)</f>
        <v>2230000</v>
      </c>
      <c r="U494" s="18"/>
      <c r="V494" s="23">
        <f>SUM(V490:V493)</f>
        <v>400000</v>
      </c>
      <c r="W494" s="19"/>
      <c r="X494" s="18"/>
      <c r="Y494" s="23">
        <f>SUM(Y490:Y493)</f>
        <v>1750000</v>
      </c>
      <c r="Z494" s="18"/>
      <c r="AA494" s="23">
        <f>SUM(AA490:AA493)</f>
        <v>320000</v>
      </c>
      <c r="AB494" s="19"/>
      <c r="AC494" s="18"/>
      <c r="AD494" s="23">
        <f>SUM(AD490:AD493)</f>
        <v>1750000</v>
      </c>
      <c r="AE494" s="18"/>
      <c r="AF494" s="23">
        <f>SUM(AF490:AF493)</f>
        <v>320000</v>
      </c>
      <c r="AG494" s="19"/>
      <c r="AH494" s="18"/>
      <c r="AI494" s="23">
        <f>SUM(AI490:AI493)</f>
        <v>1750000</v>
      </c>
      <c r="AJ494" s="18"/>
      <c r="AK494" s="23">
        <f>SUM(AK490:AK493)</f>
        <v>320000</v>
      </c>
      <c r="AL494" s="19"/>
      <c r="AM494" s="18"/>
      <c r="AN494" s="23">
        <f>SUM(AN490:AN493)</f>
        <v>1750000</v>
      </c>
      <c r="AO494" s="18"/>
      <c r="AP494" s="23">
        <f>SUM(AP490:AP493)</f>
        <v>320000</v>
      </c>
      <c r="AQ494" s="19"/>
      <c r="AR494" s="22"/>
      <c r="AS494" s="23">
        <f>SUM(AS490:AS493)</f>
        <v>1750000</v>
      </c>
      <c r="AT494" s="18"/>
      <c r="AU494" s="23">
        <f>SUM(AU490:AU493)</f>
        <v>320000</v>
      </c>
      <c r="AV494" s="19"/>
      <c r="AW494" s="22"/>
      <c r="AX494" s="23">
        <f>SUM(AX490:AX493)</f>
        <v>1750000</v>
      </c>
      <c r="AY494" s="18"/>
      <c r="AZ494" s="23">
        <f>SUM(AZ490:AZ493)</f>
        <v>320000</v>
      </c>
      <c r="BA494" s="19"/>
      <c r="BB494" s="22"/>
      <c r="BC494" s="23">
        <f>SUM(BC490:BC493)</f>
        <v>1340000</v>
      </c>
      <c r="BD494" s="18"/>
      <c r="BE494" s="23">
        <f>SUM(BE490:BE493)</f>
        <v>240000</v>
      </c>
      <c r="BF494" s="19"/>
      <c r="BG494" s="22"/>
      <c r="BH494" s="23">
        <f>SUM(BH490:BH493)</f>
        <v>1340000</v>
      </c>
      <c r="BI494" s="18"/>
      <c r="BJ494" s="23">
        <f>SUM(BJ490:BJ493)</f>
        <v>240000</v>
      </c>
      <c r="BK494" s="19"/>
      <c r="BL494" s="22"/>
      <c r="BM494" s="23">
        <f>SUM(BM490:BM493)</f>
        <v>1340000</v>
      </c>
      <c r="BN494" s="18"/>
      <c r="BO494" s="23">
        <f>SUM(BO490:BO493)</f>
        <v>240000</v>
      </c>
      <c r="BP494" s="19"/>
      <c r="BQ494" s="17" t="s">
        <v>33</v>
      </c>
      <c r="BR494" s="1"/>
      <c r="BS494" s="1"/>
      <c r="BT494" s="1"/>
      <c r="BU494" s="1"/>
    </row>
    <row r="495">
      <c r="A495" s="1"/>
      <c r="B495" s="21"/>
      <c r="C495" s="11" t="s">
        <v>43</v>
      </c>
      <c r="D495" s="22"/>
      <c r="E495" s="23">
        <v>700000.0</v>
      </c>
      <c r="F495" s="18"/>
      <c r="G495" s="18"/>
      <c r="H495" s="19"/>
      <c r="I495" s="22"/>
      <c r="J495" s="23">
        <v>700000.0</v>
      </c>
      <c r="K495" s="18"/>
      <c r="L495" s="18"/>
      <c r="M495" s="19"/>
      <c r="N495" s="22"/>
      <c r="O495" s="23">
        <v>700000.0</v>
      </c>
      <c r="P495" s="18"/>
      <c r="Q495" s="18"/>
      <c r="R495" s="19"/>
      <c r="S495" s="22"/>
      <c r="T495" s="23">
        <v>700000.0</v>
      </c>
      <c r="U495" s="18"/>
      <c r="V495" s="18"/>
      <c r="W495" s="19"/>
      <c r="X495" s="18"/>
      <c r="Y495" s="23">
        <v>700000.0</v>
      </c>
      <c r="Z495" s="18"/>
      <c r="AA495" s="18"/>
      <c r="AB495" s="19"/>
      <c r="AC495" s="18"/>
      <c r="AD495" s="23">
        <v>700000.0</v>
      </c>
      <c r="AE495" s="18"/>
      <c r="AF495" s="18"/>
      <c r="AG495" s="19"/>
      <c r="AH495" s="18"/>
      <c r="AI495" s="23">
        <v>700000.0</v>
      </c>
      <c r="AJ495" s="18"/>
      <c r="AK495" s="18"/>
      <c r="AL495" s="19"/>
      <c r="AM495" s="18"/>
      <c r="AN495" s="23">
        <v>700000.0</v>
      </c>
      <c r="AO495" s="18"/>
      <c r="AP495" s="18"/>
      <c r="AQ495" s="19"/>
      <c r="AR495" s="22"/>
      <c r="AS495" s="23">
        <v>700000.0</v>
      </c>
      <c r="AT495" s="18"/>
      <c r="AU495" s="18"/>
      <c r="AV495" s="19"/>
      <c r="AW495" s="22"/>
      <c r="AX495" s="23">
        <v>700000.0</v>
      </c>
      <c r="AY495" s="18"/>
      <c r="AZ495" s="18"/>
      <c r="BA495" s="19"/>
      <c r="BB495" s="22"/>
      <c r="BC495" s="23">
        <v>700000.0</v>
      </c>
      <c r="BD495" s="18"/>
      <c r="BE495" s="18"/>
      <c r="BF495" s="19"/>
      <c r="BG495" s="22"/>
      <c r="BH495" s="23">
        <v>700000.0</v>
      </c>
      <c r="BI495" s="18"/>
      <c r="BJ495" s="18"/>
      <c r="BK495" s="19"/>
      <c r="BL495" s="22"/>
      <c r="BM495" s="23">
        <v>700000.0</v>
      </c>
      <c r="BN495" s="18"/>
      <c r="BO495" s="18"/>
      <c r="BP495" s="19"/>
      <c r="BQ495" s="17" t="s">
        <v>33</v>
      </c>
      <c r="BR495" s="1"/>
      <c r="BS495" s="1"/>
      <c r="BT495" s="1"/>
      <c r="BU495" s="1"/>
    </row>
    <row r="496">
      <c r="A496" s="1"/>
      <c r="B496" s="21"/>
      <c r="C496" s="11" t="s">
        <v>45</v>
      </c>
      <c r="D496" s="22"/>
      <c r="E496" s="18"/>
      <c r="F496" s="18"/>
      <c r="G496" s="23" t="s">
        <v>677</v>
      </c>
      <c r="H496" s="19"/>
      <c r="I496" s="22"/>
      <c r="J496" s="18"/>
      <c r="K496" s="18"/>
      <c r="L496" s="23" t="s">
        <v>677</v>
      </c>
      <c r="M496" s="98" t="s">
        <v>677</v>
      </c>
      <c r="N496" s="26" t="s">
        <v>677</v>
      </c>
      <c r="O496" s="23" t="s">
        <v>677</v>
      </c>
      <c r="P496" s="61" t="s">
        <v>677</v>
      </c>
      <c r="Q496" s="23" t="s">
        <v>677</v>
      </c>
      <c r="R496" s="98" t="s">
        <v>677</v>
      </c>
      <c r="S496" s="26" t="s">
        <v>677</v>
      </c>
      <c r="T496" s="23" t="s">
        <v>677</v>
      </c>
      <c r="U496" s="61" t="s">
        <v>677</v>
      </c>
      <c r="V496" s="23" t="s">
        <v>677</v>
      </c>
      <c r="W496" s="98" t="s">
        <v>677</v>
      </c>
      <c r="X496" s="20" t="s">
        <v>677</v>
      </c>
      <c r="Y496" s="23" t="s">
        <v>677</v>
      </c>
      <c r="Z496" s="61" t="s">
        <v>677</v>
      </c>
      <c r="AA496" s="23" t="s">
        <v>677</v>
      </c>
      <c r="AB496" s="98" t="s">
        <v>677</v>
      </c>
      <c r="AC496" s="20" t="s">
        <v>677</v>
      </c>
      <c r="AD496" s="23" t="s">
        <v>677</v>
      </c>
      <c r="AE496" s="61" t="s">
        <v>677</v>
      </c>
      <c r="AF496" s="23" t="s">
        <v>677</v>
      </c>
      <c r="AG496" s="98" t="s">
        <v>677</v>
      </c>
      <c r="AH496" s="20" t="s">
        <v>677</v>
      </c>
      <c r="AI496" s="23" t="s">
        <v>677</v>
      </c>
      <c r="AJ496" s="61" t="s">
        <v>677</v>
      </c>
      <c r="AK496" s="23" t="s">
        <v>677</v>
      </c>
      <c r="AL496" s="98" t="s">
        <v>677</v>
      </c>
      <c r="AM496" s="20" t="s">
        <v>677</v>
      </c>
      <c r="AN496" s="23" t="s">
        <v>677</v>
      </c>
      <c r="AO496" s="61" t="s">
        <v>677</v>
      </c>
      <c r="AP496" s="23" t="s">
        <v>677</v>
      </c>
      <c r="AQ496" s="98" t="s">
        <v>677</v>
      </c>
      <c r="AR496" s="26" t="s">
        <v>677</v>
      </c>
      <c r="AS496" s="23" t="s">
        <v>677</v>
      </c>
      <c r="AT496" s="61" t="s">
        <v>677</v>
      </c>
      <c r="AU496" s="23" t="s">
        <v>677</v>
      </c>
      <c r="AV496" s="98" t="s">
        <v>677</v>
      </c>
      <c r="AW496" s="26" t="s">
        <v>677</v>
      </c>
      <c r="AX496" s="23" t="s">
        <v>677</v>
      </c>
      <c r="AY496" s="61" t="s">
        <v>677</v>
      </c>
      <c r="AZ496" s="23" t="s">
        <v>677</v>
      </c>
      <c r="BA496" s="98" t="s">
        <v>677</v>
      </c>
      <c r="BB496" s="26" t="s">
        <v>677</v>
      </c>
      <c r="BC496" s="23" t="s">
        <v>677</v>
      </c>
      <c r="BD496" s="61" t="s">
        <v>677</v>
      </c>
      <c r="BE496" s="23" t="s">
        <v>677</v>
      </c>
      <c r="BF496" s="98" t="s">
        <v>677</v>
      </c>
      <c r="BG496" s="26" t="s">
        <v>677</v>
      </c>
      <c r="BH496" s="23" t="s">
        <v>677</v>
      </c>
      <c r="BI496" s="61" t="s">
        <v>677</v>
      </c>
      <c r="BJ496" s="23" t="s">
        <v>677</v>
      </c>
      <c r="BK496" s="19"/>
      <c r="BL496" s="26" t="s">
        <v>677</v>
      </c>
      <c r="BM496" s="23" t="s">
        <v>677</v>
      </c>
      <c r="BN496" s="61" t="s">
        <v>677</v>
      </c>
      <c r="BO496" s="23" t="s">
        <v>677</v>
      </c>
      <c r="BP496" s="19"/>
      <c r="BQ496" s="17" t="s">
        <v>33</v>
      </c>
      <c r="BR496" s="1"/>
      <c r="BS496" s="1"/>
      <c r="BT496" s="1"/>
      <c r="BU496" s="1"/>
    </row>
    <row r="497">
      <c r="A497" s="56" t="s">
        <v>678</v>
      </c>
      <c r="B497" s="10" t="s">
        <v>819</v>
      </c>
      <c r="C497" s="11" t="s">
        <v>47</v>
      </c>
      <c r="D497" s="22"/>
      <c r="E497" s="18"/>
      <c r="F497" s="18"/>
      <c r="G497" s="23">
        <v>27530.0</v>
      </c>
      <c r="H497" s="19"/>
      <c r="I497" s="22"/>
      <c r="J497" s="18"/>
      <c r="K497" s="18"/>
      <c r="L497" s="23">
        <v>32800.0</v>
      </c>
      <c r="M497" s="24"/>
      <c r="N497" s="22"/>
      <c r="O497" s="18"/>
      <c r="P497" s="18"/>
      <c r="Q497" s="23">
        <v>27530.0</v>
      </c>
      <c r="R497" s="24"/>
      <c r="S497" s="22"/>
      <c r="T497" s="18"/>
      <c r="U497" s="18"/>
      <c r="V497" s="23">
        <v>32540.0</v>
      </c>
      <c r="W497" s="24"/>
      <c r="X497" s="18"/>
      <c r="Y497" s="18"/>
      <c r="Z497" s="18"/>
      <c r="AA497" s="23">
        <v>30430.0</v>
      </c>
      <c r="AB497" s="24"/>
      <c r="AC497" s="18"/>
      <c r="AD497" s="18"/>
      <c r="AE497" s="18"/>
      <c r="AF497" s="23">
        <v>37740.0</v>
      </c>
      <c r="AG497" s="24"/>
      <c r="AH497" s="18"/>
      <c r="AI497" s="18"/>
      <c r="AJ497" s="18"/>
      <c r="AK497" s="23">
        <v>52570.0</v>
      </c>
      <c r="AL497" s="24"/>
      <c r="AM497" s="18"/>
      <c r="AN497" s="18"/>
      <c r="AO497" s="18"/>
      <c r="AP497" s="23">
        <v>62060.0</v>
      </c>
      <c r="AQ497" s="24"/>
      <c r="AR497" s="22"/>
      <c r="AS497" s="18"/>
      <c r="AT497" s="18"/>
      <c r="AU497" s="23">
        <v>68610.0</v>
      </c>
      <c r="AV497" s="24"/>
      <c r="AW497" s="22"/>
      <c r="AX497" s="18"/>
      <c r="AY497" s="18"/>
      <c r="AZ497" s="23">
        <v>46630.0</v>
      </c>
      <c r="BA497" s="24"/>
      <c r="BB497" s="22"/>
      <c r="BC497" s="18"/>
      <c r="BD497" s="18"/>
      <c r="BE497" s="23">
        <v>30450.0</v>
      </c>
      <c r="BF497" s="24"/>
      <c r="BG497" s="22"/>
      <c r="BH497" s="18"/>
      <c r="BI497" s="18"/>
      <c r="BJ497" s="23">
        <v>24990.0</v>
      </c>
      <c r="BK497" s="19"/>
      <c r="BL497" s="22"/>
      <c r="BM497" s="18"/>
      <c r="BN497" s="18"/>
      <c r="BO497" s="18"/>
      <c r="BP497" s="19"/>
      <c r="BQ497" s="17" t="s">
        <v>33</v>
      </c>
      <c r="BR497" s="1"/>
      <c r="BS497" s="1"/>
      <c r="BT497" s="1"/>
      <c r="BU497" s="1"/>
    </row>
    <row r="498">
      <c r="A498" s="56" t="s">
        <v>678</v>
      </c>
      <c r="B498" s="10" t="s">
        <v>820</v>
      </c>
      <c r="C498" s="11" t="s">
        <v>49</v>
      </c>
      <c r="D498" s="22"/>
      <c r="E498" s="18"/>
      <c r="F498" s="18"/>
      <c r="G498" s="23">
        <v>129230.0</v>
      </c>
      <c r="H498" s="19"/>
      <c r="I498" s="22"/>
      <c r="J498" s="18"/>
      <c r="K498" s="18"/>
      <c r="L498" s="23">
        <v>107932.0</v>
      </c>
      <c r="M498" s="24"/>
      <c r="N498" s="22"/>
      <c r="O498" s="18"/>
      <c r="P498" s="18"/>
      <c r="Q498" s="23">
        <v>87400.0</v>
      </c>
      <c r="R498" s="24"/>
      <c r="S498" s="22"/>
      <c r="T498" s="18"/>
      <c r="U498" s="18"/>
      <c r="V498" s="23">
        <v>40530.0</v>
      </c>
      <c r="W498" s="24"/>
      <c r="X498" s="18"/>
      <c r="Y498" s="18"/>
      <c r="Z498" s="18"/>
      <c r="AA498" s="23">
        <v>26710.0</v>
      </c>
      <c r="AB498" s="24"/>
      <c r="AC498" s="18"/>
      <c r="AD498" s="18"/>
      <c r="AE498" s="18"/>
      <c r="AF498" s="23">
        <v>22760.0</v>
      </c>
      <c r="AG498" s="24"/>
      <c r="AH498" s="18"/>
      <c r="AI498" s="18"/>
      <c r="AJ498" s="18"/>
      <c r="AK498" s="23">
        <v>16980.0</v>
      </c>
      <c r="AL498" s="24"/>
      <c r="AM498" s="18"/>
      <c r="AN498" s="18"/>
      <c r="AO498" s="18"/>
      <c r="AP498" s="23">
        <v>10420.0</v>
      </c>
      <c r="AQ498" s="24"/>
      <c r="AR498" s="22"/>
      <c r="AS498" s="18"/>
      <c r="AT498" s="18"/>
      <c r="AU498" s="23">
        <v>10760.0</v>
      </c>
      <c r="AV498" s="24"/>
      <c r="AW498" s="22"/>
      <c r="AX498" s="18"/>
      <c r="AY498" s="18"/>
      <c r="AZ498" s="23">
        <v>13880.0</v>
      </c>
      <c r="BA498" s="24"/>
      <c r="BB498" s="22"/>
      <c r="BC498" s="18"/>
      <c r="BD498" s="18"/>
      <c r="BE498" s="23">
        <v>36830.0</v>
      </c>
      <c r="BF498" s="24"/>
      <c r="BG498" s="22"/>
      <c r="BH498" s="18"/>
      <c r="BI498" s="18"/>
      <c r="BJ498" s="23">
        <v>115300.0</v>
      </c>
      <c r="BK498" s="19"/>
      <c r="BL498" s="22"/>
      <c r="BM498" s="18"/>
      <c r="BN498" s="18"/>
      <c r="BO498" s="18"/>
      <c r="BP498" s="19"/>
      <c r="BQ498" s="17" t="s">
        <v>33</v>
      </c>
      <c r="BR498" s="1"/>
      <c r="BS498" s="1"/>
      <c r="BT498" s="1"/>
      <c r="BU498" s="1"/>
    </row>
    <row r="499">
      <c r="A499" s="56" t="s">
        <v>678</v>
      </c>
      <c r="B499" s="10" t="s">
        <v>821</v>
      </c>
      <c r="C499" s="11" t="s">
        <v>51</v>
      </c>
      <c r="D499" s="22"/>
      <c r="E499" s="18"/>
      <c r="F499" s="18"/>
      <c r="G499" s="23">
        <v>26000.0</v>
      </c>
      <c r="H499" s="19"/>
      <c r="I499" s="22"/>
      <c r="J499" s="18"/>
      <c r="K499" s="18"/>
      <c r="L499" s="23">
        <v>26000.0</v>
      </c>
      <c r="M499" s="24"/>
      <c r="N499" s="22"/>
      <c r="O499" s="18"/>
      <c r="P499" s="18"/>
      <c r="Q499" s="23">
        <v>26000.0</v>
      </c>
      <c r="R499" s="24"/>
      <c r="S499" s="22"/>
      <c r="T499" s="18"/>
      <c r="U499" s="18"/>
      <c r="V499" s="23">
        <v>26000.0</v>
      </c>
      <c r="W499" s="24"/>
      <c r="X499" s="18"/>
      <c r="Y499" s="18"/>
      <c r="Z499" s="18"/>
      <c r="AA499" s="23">
        <v>26000.0</v>
      </c>
      <c r="AB499" s="24"/>
      <c r="AC499" s="18"/>
      <c r="AD499" s="18"/>
      <c r="AE499" s="18"/>
      <c r="AF499" s="23">
        <v>26000.0</v>
      </c>
      <c r="AG499" s="24"/>
      <c r="AH499" s="18"/>
      <c r="AI499" s="18"/>
      <c r="AJ499" s="18"/>
      <c r="AK499" s="23">
        <v>26000.0</v>
      </c>
      <c r="AL499" s="24"/>
      <c r="AM499" s="18"/>
      <c r="AN499" s="18"/>
      <c r="AO499" s="18"/>
      <c r="AP499" s="23">
        <v>26000.0</v>
      </c>
      <c r="AQ499" s="24"/>
      <c r="AR499" s="22"/>
      <c r="AS499" s="18"/>
      <c r="AT499" s="18"/>
      <c r="AU499" s="23">
        <v>26000.0</v>
      </c>
      <c r="AV499" s="24"/>
      <c r="AW499" s="22"/>
      <c r="AX499" s="18"/>
      <c r="AY499" s="18"/>
      <c r="AZ499" s="23">
        <v>26000.0</v>
      </c>
      <c r="BA499" s="24"/>
      <c r="BB499" s="22"/>
      <c r="BC499" s="18"/>
      <c r="BD499" s="18"/>
      <c r="BE499" s="23">
        <v>26000.0</v>
      </c>
      <c r="BF499" s="24"/>
      <c r="BG499" s="22"/>
      <c r="BH499" s="18"/>
      <c r="BI499" s="18"/>
      <c r="BJ499" s="23">
        <v>26000.0</v>
      </c>
      <c r="BK499" s="19"/>
      <c r="BL499" s="22"/>
      <c r="BM499" s="18"/>
      <c r="BN499" s="18"/>
      <c r="BO499" s="23">
        <v>26000.0</v>
      </c>
      <c r="BP499" s="19"/>
      <c r="BQ499" s="17" t="s">
        <v>33</v>
      </c>
      <c r="BR499" s="1"/>
      <c r="BS499" s="1"/>
      <c r="BT499" s="1"/>
      <c r="BU499" s="1"/>
    </row>
    <row r="500">
      <c r="A500" s="56" t="s">
        <v>681</v>
      </c>
      <c r="B500" s="21"/>
      <c r="C500" s="11" t="s">
        <v>52</v>
      </c>
      <c r="D500" s="22"/>
      <c r="E500" s="18"/>
      <c r="F500" s="18"/>
      <c r="G500" s="23">
        <v>22000.0</v>
      </c>
      <c r="H500" s="19"/>
      <c r="I500" s="22"/>
      <c r="J500" s="18"/>
      <c r="K500" s="18"/>
      <c r="L500" s="23">
        <v>22000.0</v>
      </c>
      <c r="M500" s="19"/>
      <c r="N500" s="22"/>
      <c r="O500" s="18"/>
      <c r="P500" s="18"/>
      <c r="Q500" s="23">
        <v>22000.0</v>
      </c>
      <c r="R500" s="19"/>
      <c r="S500" s="22"/>
      <c r="T500" s="18"/>
      <c r="U500" s="18"/>
      <c r="V500" s="23">
        <v>22000.0</v>
      </c>
      <c r="W500" s="19"/>
      <c r="X500" s="22"/>
      <c r="Y500" s="18"/>
      <c r="Z500" s="18"/>
      <c r="AA500" s="23">
        <v>22000.0</v>
      </c>
      <c r="AB500" s="19"/>
      <c r="AC500" s="22"/>
      <c r="AD500" s="18"/>
      <c r="AE500" s="18"/>
      <c r="AF500" s="23">
        <v>22000.0</v>
      </c>
      <c r="AG500" s="19"/>
      <c r="AH500" s="22"/>
      <c r="AI500" s="18"/>
      <c r="AJ500" s="18"/>
      <c r="AK500" s="23">
        <v>22000.0</v>
      </c>
      <c r="AL500" s="19"/>
      <c r="AM500" s="22"/>
      <c r="AN500" s="18"/>
      <c r="AO500" s="18"/>
      <c r="AP500" s="23">
        <v>22000.0</v>
      </c>
      <c r="AQ500" s="19"/>
      <c r="AR500" s="22"/>
      <c r="AS500" s="18"/>
      <c r="AT500" s="18"/>
      <c r="AU500" s="23">
        <v>22000.0</v>
      </c>
      <c r="AV500" s="19"/>
      <c r="AW500" s="22"/>
      <c r="AX500" s="18"/>
      <c r="AY500" s="18"/>
      <c r="AZ500" s="23">
        <v>22000.0</v>
      </c>
      <c r="BA500" s="19"/>
      <c r="BB500" s="22"/>
      <c r="BC500" s="18"/>
      <c r="BD500" s="18"/>
      <c r="BE500" s="23">
        <v>22000.0</v>
      </c>
      <c r="BF500" s="19"/>
      <c r="BG500" s="22"/>
      <c r="BH500" s="18"/>
      <c r="BI500" s="18"/>
      <c r="BJ500" s="18"/>
      <c r="BK500" s="19"/>
      <c r="BL500" s="22"/>
      <c r="BM500" s="18"/>
      <c r="BN500" s="18"/>
      <c r="BO500" s="18"/>
      <c r="BP500" s="19"/>
      <c r="BQ500" s="17" t="s">
        <v>33</v>
      </c>
      <c r="BR500" s="1"/>
      <c r="BS500" s="1"/>
      <c r="BT500" s="1"/>
      <c r="BU500" s="1"/>
    </row>
    <row r="501">
      <c r="A501" s="56" t="s">
        <v>681</v>
      </c>
      <c r="B501" s="21"/>
      <c r="C501" s="11" t="s">
        <v>53</v>
      </c>
      <c r="D501" s="22"/>
      <c r="E501" s="18"/>
      <c r="F501" s="18"/>
      <c r="G501" s="23">
        <v>10000.0</v>
      </c>
      <c r="H501" s="19"/>
      <c r="I501" s="22"/>
      <c r="J501" s="18"/>
      <c r="K501" s="18"/>
      <c r="L501" s="23">
        <v>10000.0</v>
      </c>
      <c r="M501" s="19"/>
      <c r="N501" s="22"/>
      <c r="O501" s="18"/>
      <c r="P501" s="18"/>
      <c r="Q501" s="23">
        <v>10000.0</v>
      </c>
      <c r="R501" s="19"/>
      <c r="S501" s="22"/>
      <c r="T501" s="18"/>
      <c r="U501" s="18"/>
      <c r="V501" s="23">
        <v>10000.0</v>
      </c>
      <c r="W501" s="19"/>
      <c r="X501" s="22"/>
      <c r="Y501" s="18"/>
      <c r="Z501" s="18"/>
      <c r="AA501" s="23">
        <v>10000.0</v>
      </c>
      <c r="AB501" s="19"/>
      <c r="AC501" s="22"/>
      <c r="AD501" s="18"/>
      <c r="AE501" s="18"/>
      <c r="AF501" s="23">
        <v>10000.0</v>
      </c>
      <c r="AG501" s="19"/>
      <c r="AH501" s="22"/>
      <c r="AI501" s="18"/>
      <c r="AJ501" s="18"/>
      <c r="AK501" s="23">
        <v>10000.0</v>
      </c>
      <c r="AL501" s="19"/>
      <c r="AM501" s="22"/>
      <c r="AN501" s="18"/>
      <c r="AO501" s="18"/>
      <c r="AP501" s="23">
        <v>10000.0</v>
      </c>
      <c r="AQ501" s="19"/>
      <c r="AR501" s="22"/>
      <c r="AS501" s="18"/>
      <c r="AT501" s="18"/>
      <c r="AU501" s="23">
        <v>10000.0</v>
      </c>
      <c r="AV501" s="19"/>
      <c r="AW501" s="22"/>
      <c r="AX501" s="18"/>
      <c r="AY501" s="18"/>
      <c r="AZ501" s="23">
        <v>10000.0</v>
      </c>
      <c r="BA501" s="19"/>
      <c r="BB501" s="22"/>
      <c r="BC501" s="18"/>
      <c r="BD501" s="18"/>
      <c r="BE501" s="23">
        <v>10000.0</v>
      </c>
      <c r="BF501" s="19"/>
      <c r="BG501" s="22"/>
      <c r="BH501" s="18"/>
      <c r="BI501" s="18"/>
      <c r="BJ501" s="23">
        <v>10000.0</v>
      </c>
      <c r="BK501" s="19"/>
      <c r="BL501" s="22"/>
      <c r="BM501" s="18"/>
      <c r="BN501" s="18"/>
      <c r="BO501" s="23">
        <v>10000.0</v>
      </c>
      <c r="BP501" s="19"/>
      <c r="BQ501" s="17" t="s">
        <v>33</v>
      </c>
      <c r="BR501" s="1"/>
      <c r="BS501" s="1"/>
      <c r="BT501" s="1"/>
      <c r="BU501" s="1"/>
    </row>
    <row r="502">
      <c r="A502" s="1"/>
      <c r="B502" s="21"/>
      <c r="C502" s="11" t="s">
        <v>54</v>
      </c>
      <c r="D502" s="22"/>
      <c r="E502" s="18"/>
      <c r="F502" s="18"/>
      <c r="G502" s="23">
        <f>SUMIFS('지출'!$G$3:$G1000,'지출'!$J$3:$J1000,G$1,'지출'!$C$3:$C1000,"다정")</f>
        <v>94240</v>
      </c>
      <c r="H502" s="19"/>
      <c r="I502" s="22"/>
      <c r="J502" s="18"/>
      <c r="K502" s="18"/>
      <c r="L502" s="23">
        <f>SUMIFS('지출'!$G$3:$G1000,'지출'!$J$3:$J1000,L$1,'지출'!$C$3:$C1000,"다정")</f>
        <v>60000</v>
      </c>
      <c r="M502" s="24"/>
      <c r="N502" s="18"/>
      <c r="O502" s="18"/>
      <c r="P502" s="18"/>
      <c r="Q502" s="23">
        <f>SUMIFS('지출'!$G$3:$G1000,'지출'!$J$3:$J1000,Q$1,'지출'!$C$3:$C1000,"다정")</f>
        <v>0</v>
      </c>
      <c r="R502" s="24"/>
      <c r="S502" s="18"/>
      <c r="T502" s="18"/>
      <c r="U502" s="18"/>
      <c r="V502" s="23">
        <f>SUMIFS('지출'!$G$3:$G1000,'지출'!$J$3:$J1000,V$1,'지출'!$C$3:$C1000,"다정")</f>
        <v>0</v>
      </c>
      <c r="W502" s="24"/>
      <c r="X502" s="18"/>
      <c r="Y502" s="18"/>
      <c r="Z502" s="18"/>
      <c r="AA502" s="23">
        <f>SUMIFS('지출'!$G$3:$G1000,'지출'!$J$3:$J1000,AA$1,'지출'!$C$3:$C1000,"다정")</f>
        <v>0</v>
      </c>
      <c r="AB502" s="24"/>
      <c r="AC502" s="18"/>
      <c r="AD502" s="18"/>
      <c r="AE502" s="18"/>
      <c r="AF502" s="23">
        <f>SUMIFS('지출'!$G$3:$G1000,'지출'!$J$3:$J1000,AF$1,'지출'!$C$3:$C1000,"다정")</f>
        <v>0</v>
      </c>
      <c r="AG502" s="24"/>
      <c r="AH502" s="18"/>
      <c r="AI502" s="18"/>
      <c r="AJ502" s="18"/>
      <c r="AK502" s="23">
        <f>SUMIFS('지출'!$G$3:$G1000,'지출'!$J$3:$J1000,AK$1,'지출'!$C$3:$C1000,"다정")</f>
        <v>0</v>
      </c>
      <c r="AL502" s="24"/>
      <c r="AM502" s="18"/>
      <c r="AN502" s="18"/>
      <c r="AO502" s="18"/>
      <c r="AP502" s="23">
        <f>SUMIFS('지출'!$G$3:$G1000,'지출'!$J$3:$J1000,AP$1,'지출'!$C$3:$C1000,"다정")</f>
        <v>0</v>
      </c>
      <c r="AQ502" s="24"/>
      <c r="AR502" s="18"/>
      <c r="AS502" s="18"/>
      <c r="AT502" s="18"/>
      <c r="AU502" s="23">
        <f>SUMIFS('지출'!$G$3:$G1000,'지출'!$J$3:$J1000,AU$1,'지출'!$C$3:$C1000,"다정")</f>
        <v>0</v>
      </c>
      <c r="AV502" s="24"/>
      <c r="AW502" s="18"/>
      <c r="AX502" s="18"/>
      <c r="AY502" s="18"/>
      <c r="AZ502" s="23">
        <f>SUMIFS('지출'!$G$3:$G1000,'지출'!$J$3:$J1000,AZ$1,'지출'!$C$3:$C1000,"다정")</f>
        <v>0</v>
      </c>
      <c r="BA502" s="24"/>
      <c r="BB502" s="18"/>
      <c r="BC502" s="18"/>
      <c r="BD502" s="18"/>
      <c r="BE502" s="23">
        <f>SUMIFS('지출'!$G$3:$G1000,'지출'!$J$3:$J1000,BE$1,'지출'!$C$3:$C1000,"다정")</f>
        <v>0</v>
      </c>
      <c r="BF502" s="24"/>
      <c r="BG502" s="18"/>
      <c r="BH502" s="18"/>
      <c r="BI502" s="18"/>
      <c r="BJ502" s="23">
        <f>SUMIFS('지출'!$G$3:$G1000,'지출'!$J$3:$J1000,BJ$1,'지출'!$C$3:$C1000,"다정")</f>
        <v>0</v>
      </c>
      <c r="BK502" s="19"/>
      <c r="BL502" s="18"/>
      <c r="BM502" s="18"/>
      <c r="BN502" s="18"/>
      <c r="BO502" s="23">
        <f>SUMIFS('지출'!$G$3:$G1000,'지출'!$J$3:$J1000,BO$1,'지출'!$C$3:$C1000,"다정")</f>
        <v>94240</v>
      </c>
      <c r="BP502" s="19"/>
      <c r="BQ502" s="17" t="s">
        <v>33</v>
      </c>
      <c r="BR502" s="1"/>
      <c r="BS502" s="1"/>
      <c r="BT502" s="1"/>
      <c r="BU502" s="1"/>
    </row>
    <row r="503">
      <c r="A503" s="1"/>
      <c r="B503" s="21"/>
      <c r="C503" s="11" t="s">
        <v>56</v>
      </c>
      <c r="D503" s="22"/>
      <c r="E503" s="23">
        <f>E494-(SUM(E495:E502))</f>
        <v>690000</v>
      </c>
      <c r="F503" s="18"/>
      <c r="G503" s="23">
        <f>G494-(SUM(G495:G502))</f>
        <v>-69000</v>
      </c>
      <c r="H503" s="19"/>
      <c r="I503" s="22"/>
      <c r="J503" s="23">
        <f>J494-(SUM(J495:J502))</f>
        <v>603793</v>
      </c>
      <c r="K503" s="18"/>
      <c r="L503" s="23">
        <f>L494-(SUM(L495:L502))</f>
        <v>-32525</v>
      </c>
      <c r="M503" s="19"/>
      <c r="N503" s="22"/>
      <c r="O503" s="23">
        <f>O494-(SUM(O495:O502))</f>
        <v>1459032</v>
      </c>
      <c r="P503" s="18"/>
      <c r="Q503" s="23">
        <f>Q494-(SUM(Q495:Q502))</f>
        <v>214167</v>
      </c>
      <c r="R503" s="19"/>
      <c r="S503" s="22"/>
      <c r="T503" s="23">
        <f>T494-(SUM(T495:T502))</f>
        <v>1530000</v>
      </c>
      <c r="U503" s="18"/>
      <c r="V503" s="23">
        <f>V494-(SUM(V495:V502))</f>
        <v>268930</v>
      </c>
      <c r="W503" s="19"/>
      <c r="X503" s="18"/>
      <c r="Y503" s="23">
        <f>Y494-(SUM(Y495:Y502))</f>
        <v>1050000</v>
      </c>
      <c r="Z503" s="18"/>
      <c r="AA503" s="23">
        <f>AA494-(SUM(AA495:AA502))</f>
        <v>204860</v>
      </c>
      <c r="AB503" s="19"/>
      <c r="AC503" s="18"/>
      <c r="AD503" s="23">
        <f>AD494-(SUM(AD495:AD502))</f>
        <v>1050000</v>
      </c>
      <c r="AE503" s="18"/>
      <c r="AF503" s="23">
        <f>AF494-(SUM(AF495:AF502))</f>
        <v>201500</v>
      </c>
      <c r="AG503" s="19"/>
      <c r="AH503" s="18"/>
      <c r="AI503" s="23">
        <f>AI494-(SUM(AI495:AI502))</f>
        <v>1050000</v>
      </c>
      <c r="AJ503" s="18"/>
      <c r="AK503" s="23">
        <f>AK494-(SUM(AK495:AK502))</f>
        <v>192450</v>
      </c>
      <c r="AL503" s="19"/>
      <c r="AM503" s="18"/>
      <c r="AN503" s="23">
        <f>AN494-(SUM(AN495:AN502))</f>
        <v>1050000</v>
      </c>
      <c r="AO503" s="18"/>
      <c r="AP503" s="23">
        <f>AP494-(SUM(AP495:AP502))</f>
        <v>189520</v>
      </c>
      <c r="AQ503" s="19"/>
      <c r="AR503" s="22"/>
      <c r="AS503" s="23">
        <f>AS494-(SUM(AS495:AS502))</f>
        <v>1050000</v>
      </c>
      <c r="AT503" s="18"/>
      <c r="AU503" s="23">
        <f>AU494-(SUM(AU495:AU502))</f>
        <v>182630</v>
      </c>
      <c r="AV503" s="19"/>
      <c r="AW503" s="22"/>
      <c r="AX503" s="23">
        <f>AX494-(SUM(AX495:AX502))</f>
        <v>1050000</v>
      </c>
      <c r="AY503" s="18"/>
      <c r="AZ503" s="23">
        <f>AZ494-(SUM(AZ495:AZ502))</f>
        <v>201490</v>
      </c>
      <c r="BA503" s="19"/>
      <c r="BB503" s="22"/>
      <c r="BC503" s="23">
        <f>BC494-(SUM(BC495:BC502))</f>
        <v>640000</v>
      </c>
      <c r="BD503" s="18"/>
      <c r="BE503" s="23">
        <f>BE494-(SUM(BE495:BE502))</f>
        <v>114720</v>
      </c>
      <c r="BF503" s="19"/>
      <c r="BG503" s="22"/>
      <c r="BH503" s="23">
        <f>BH494-(SUM(BH495:BH502))</f>
        <v>640000</v>
      </c>
      <c r="BI503" s="18"/>
      <c r="BJ503" s="23">
        <f>BJ494-(SUM(BJ495:BJ502))</f>
        <v>63710</v>
      </c>
      <c r="BK503" s="19"/>
      <c r="BL503" s="22"/>
      <c r="BM503" s="23">
        <f>BM494-(SUM(BM495:BM502))</f>
        <v>640000</v>
      </c>
      <c r="BN503" s="18"/>
      <c r="BO503" s="23">
        <f>BO494-(SUM(BO495:BO502))</f>
        <v>109760</v>
      </c>
      <c r="BP503" s="19"/>
      <c r="BQ503" s="17" t="s">
        <v>33</v>
      </c>
      <c r="BR503" s="1"/>
      <c r="BS503" s="1"/>
      <c r="BT503" s="1"/>
      <c r="BU503" s="1"/>
    </row>
    <row r="504">
      <c r="A504" s="1"/>
      <c r="B504" s="27">
        <v>0.0</v>
      </c>
      <c r="C504" s="11" t="s">
        <v>26</v>
      </c>
      <c r="D504" s="22"/>
      <c r="E504" s="23">
        <f>E503*$B504</f>
        <v>0</v>
      </c>
      <c r="F504" s="18"/>
      <c r="G504" s="18"/>
      <c r="H504" s="19"/>
      <c r="I504" s="22"/>
      <c r="J504" s="23">
        <f>J503*$B504</f>
        <v>0</v>
      </c>
      <c r="K504" s="18"/>
      <c r="L504" s="18"/>
      <c r="M504" s="19"/>
      <c r="N504" s="22"/>
      <c r="O504" s="23">
        <f>O503*$B504</f>
        <v>0</v>
      </c>
      <c r="P504" s="18"/>
      <c r="Q504" s="18"/>
      <c r="R504" s="19"/>
      <c r="S504" s="22"/>
      <c r="T504" s="23">
        <f>T503*$B504</f>
        <v>0</v>
      </c>
      <c r="U504" s="18"/>
      <c r="V504" s="18"/>
      <c r="W504" s="19"/>
      <c r="X504" s="18"/>
      <c r="Y504" s="23">
        <f>Y503*$B504</f>
        <v>0</v>
      </c>
      <c r="Z504" s="18"/>
      <c r="AA504" s="18"/>
      <c r="AB504" s="19"/>
      <c r="AC504" s="18"/>
      <c r="AD504" s="23">
        <f>AD503*$B504</f>
        <v>0</v>
      </c>
      <c r="AE504" s="18"/>
      <c r="AF504" s="18"/>
      <c r="AG504" s="19"/>
      <c r="AH504" s="18"/>
      <c r="AI504" s="23">
        <f>AI503*$B504</f>
        <v>0</v>
      </c>
      <c r="AJ504" s="18"/>
      <c r="AK504" s="18"/>
      <c r="AL504" s="19"/>
      <c r="AM504" s="18"/>
      <c r="AN504" s="23">
        <f>AN503*$B504</f>
        <v>0</v>
      </c>
      <c r="AO504" s="18"/>
      <c r="AP504" s="18"/>
      <c r="AQ504" s="19"/>
      <c r="AR504" s="22"/>
      <c r="AS504" s="23">
        <f>AS503*$B504</f>
        <v>0</v>
      </c>
      <c r="AT504" s="18"/>
      <c r="AU504" s="18"/>
      <c r="AV504" s="19"/>
      <c r="AW504" s="22"/>
      <c r="AX504" s="23">
        <f>AX503*$B504</f>
        <v>0</v>
      </c>
      <c r="AY504" s="18"/>
      <c r="AZ504" s="18"/>
      <c r="BA504" s="19"/>
      <c r="BB504" s="22"/>
      <c r="BC504" s="23">
        <f>BC503*$B504</f>
        <v>0</v>
      </c>
      <c r="BD504" s="18"/>
      <c r="BE504" s="18"/>
      <c r="BF504" s="19"/>
      <c r="BG504" s="22"/>
      <c r="BH504" s="23">
        <f>BH503*$B504</f>
        <v>0</v>
      </c>
      <c r="BI504" s="18"/>
      <c r="BJ504" s="18"/>
      <c r="BK504" s="19"/>
      <c r="BL504" s="22"/>
      <c r="BM504" s="23">
        <f>BM503*$B504</f>
        <v>0</v>
      </c>
      <c r="BN504" s="18"/>
      <c r="BO504" s="18"/>
      <c r="BP504" s="19"/>
      <c r="BQ504" s="17" t="s">
        <v>33</v>
      </c>
      <c r="BR504" s="1"/>
      <c r="BS504" s="1"/>
      <c r="BT504" s="1"/>
      <c r="BU504" s="1"/>
    </row>
    <row r="505">
      <c r="A505" s="67" t="str">
        <f>B490</f>
        <v>다정</v>
      </c>
      <c r="B505" s="29">
        <v>1.0</v>
      </c>
      <c r="C505" s="30" t="s">
        <v>57</v>
      </c>
      <c r="D505" s="31"/>
      <c r="E505" s="32">
        <f>E503*$B505</f>
        <v>690000</v>
      </c>
      <c r="F505" s="33"/>
      <c r="G505" s="33"/>
      <c r="H505" s="34"/>
      <c r="I505" s="31"/>
      <c r="J505" s="32">
        <f>J503*$B505</f>
        <v>603793</v>
      </c>
      <c r="K505" s="33"/>
      <c r="L505" s="33"/>
      <c r="M505" s="34"/>
      <c r="N505" s="31"/>
      <c r="O505" s="32">
        <f>O503*$B505</f>
        <v>1459032</v>
      </c>
      <c r="P505" s="33"/>
      <c r="Q505" s="33"/>
      <c r="R505" s="34"/>
      <c r="S505" s="31"/>
      <c r="T505" s="32">
        <f>T503*$B505</f>
        <v>1530000</v>
      </c>
      <c r="U505" s="33"/>
      <c r="V505" s="33"/>
      <c r="W505" s="34"/>
      <c r="X505" s="33"/>
      <c r="Y505" s="32">
        <f>Y503*$B505</f>
        <v>1050000</v>
      </c>
      <c r="Z505" s="33"/>
      <c r="AA505" s="33"/>
      <c r="AB505" s="34"/>
      <c r="AC505" s="33"/>
      <c r="AD505" s="32">
        <f>AD503*$B505</f>
        <v>1050000</v>
      </c>
      <c r="AE505" s="33"/>
      <c r="AF505" s="33"/>
      <c r="AG505" s="34"/>
      <c r="AH505" s="33"/>
      <c r="AI505" s="32">
        <f>AI503*$B505</f>
        <v>1050000</v>
      </c>
      <c r="AJ505" s="33"/>
      <c r="AK505" s="33"/>
      <c r="AL505" s="34"/>
      <c r="AM505" s="33"/>
      <c r="AN505" s="32">
        <f>AN503*$B505</f>
        <v>1050000</v>
      </c>
      <c r="AO505" s="33"/>
      <c r="AP505" s="33"/>
      <c r="AQ505" s="34"/>
      <c r="AR505" s="31"/>
      <c r="AS505" s="32">
        <f>AS503*$B505</f>
        <v>1050000</v>
      </c>
      <c r="AT505" s="33"/>
      <c r="AU505" s="33"/>
      <c r="AV505" s="34"/>
      <c r="AW505" s="31"/>
      <c r="AX505" s="32">
        <f>AX503*$B505</f>
        <v>1050000</v>
      </c>
      <c r="AY505" s="33"/>
      <c r="AZ505" s="33"/>
      <c r="BA505" s="34"/>
      <c r="BB505" s="31"/>
      <c r="BC505" s="32">
        <f>BC503*$B505</f>
        <v>640000</v>
      </c>
      <c r="BD505" s="33"/>
      <c r="BE505" s="33"/>
      <c r="BF505" s="34"/>
      <c r="BG505" s="31"/>
      <c r="BH505" s="32">
        <f>BH503*$B505</f>
        <v>640000</v>
      </c>
      <c r="BI505" s="33"/>
      <c r="BJ505" s="33"/>
      <c r="BK505" s="34"/>
      <c r="BL505" s="31"/>
      <c r="BM505" s="32">
        <f>BM503*$B505</f>
        <v>640000</v>
      </c>
      <c r="BN505" s="33"/>
      <c r="BO505" s="33"/>
      <c r="BP505" s="34"/>
      <c r="BQ505" s="17" t="s">
        <v>33</v>
      </c>
      <c r="BR505" s="1"/>
      <c r="BS505" s="1"/>
      <c r="BT505" s="1"/>
      <c r="BU505" s="1"/>
    </row>
    <row r="506">
      <c r="A506" s="1"/>
      <c r="B506" s="27" t="s">
        <v>822</v>
      </c>
      <c r="C506" s="11" t="s">
        <v>823</v>
      </c>
      <c r="D506" s="20" t="s">
        <v>824</v>
      </c>
      <c r="E506" s="23">
        <v>129032.0</v>
      </c>
      <c r="F506" s="35" t="b">
        <v>0</v>
      </c>
      <c r="G506" s="23">
        <v>21333.0</v>
      </c>
      <c r="H506" s="15" t="b">
        <v>1</v>
      </c>
      <c r="I506" s="20" t="s">
        <v>825</v>
      </c>
      <c r="J506" s="23">
        <v>168966.0</v>
      </c>
      <c r="K506" s="35" t="b">
        <v>0</v>
      </c>
      <c r="L506" s="23">
        <v>27586.0</v>
      </c>
      <c r="M506" s="15" t="b">
        <v>1</v>
      </c>
      <c r="N506" s="20" t="s">
        <v>826</v>
      </c>
      <c r="O506" s="23">
        <v>490000.0</v>
      </c>
      <c r="P506" s="35" t="b">
        <v>0</v>
      </c>
      <c r="Q506" s="23">
        <v>80000.0</v>
      </c>
      <c r="R506" s="15" t="b">
        <v>1</v>
      </c>
      <c r="S506" s="20" t="s">
        <v>826</v>
      </c>
      <c r="T506" s="23">
        <v>490000.0</v>
      </c>
      <c r="U506" s="35" t="b">
        <v>0</v>
      </c>
      <c r="V506" s="23">
        <v>80000.0</v>
      </c>
      <c r="W506" s="15" t="b">
        <v>1</v>
      </c>
      <c r="X506" s="20" t="s">
        <v>826</v>
      </c>
      <c r="Y506" s="23">
        <v>490000.0</v>
      </c>
      <c r="Z506" s="35" t="b">
        <v>0</v>
      </c>
      <c r="AA506" s="23">
        <v>80000.0</v>
      </c>
      <c r="AB506" s="15" t="b">
        <v>1</v>
      </c>
      <c r="AC506" s="20" t="s">
        <v>826</v>
      </c>
      <c r="AD506" s="23">
        <v>490000.0</v>
      </c>
      <c r="AE506" s="35" t="b">
        <v>0</v>
      </c>
      <c r="AF506" s="23">
        <v>80000.0</v>
      </c>
      <c r="AG506" s="15" t="b">
        <v>1</v>
      </c>
      <c r="AH506" s="20" t="s">
        <v>826</v>
      </c>
      <c r="AI506" s="23">
        <v>490000.0</v>
      </c>
      <c r="AJ506" s="35" t="b">
        <v>0</v>
      </c>
      <c r="AK506" s="23">
        <v>80000.0</v>
      </c>
      <c r="AL506" s="15" t="b">
        <v>1</v>
      </c>
      <c r="AM506" s="20" t="s">
        <v>827</v>
      </c>
      <c r="AN506" s="23">
        <v>490000.0</v>
      </c>
      <c r="AO506" s="35" t="b">
        <v>0</v>
      </c>
      <c r="AP506" s="23">
        <v>80000.0</v>
      </c>
      <c r="AQ506" s="15" t="b">
        <v>1</v>
      </c>
      <c r="AR506" s="20" t="s">
        <v>827</v>
      </c>
      <c r="AS506" s="23">
        <v>490000.0</v>
      </c>
      <c r="AT506" s="35" t="b">
        <v>0</v>
      </c>
      <c r="AU506" s="23">
        <v>80000.0</v>
      </c>
      <c r="AV506" s="15" t="b">
        <v>1</v>
      </c>
      <c r="AW506" s="20" t="s">
        <v>827</v>
      </c>
      <c r="AX506" s="23">
        <v>490000.0</v>
      </c>
      <c r="AY506" s="35" t="b">
        <v>0</v>
      </c>
      <c r="AZ506" s="23">
        <v>80000.0</v>
      </c>
      <c r="BA506" s="15" t="b">
        <v>1</v>
      </c>
      <c r="BB506" s="20" t="s">
        <v>827</v>
      </c>
      <c r="BC506" s="23">
        <v>490000.0</v>
      </c>
      <c r="BD506" s="35" t="b">
        <v>0</v>
      </c>
      <c r="BE506" s="23">
        <v>80000.0</v>
      </c>
      <c r="BF506" s="15" t="b">
        <v>1</v>
      </c>
      <c r="BG506" s="20" t="s">
        <v>827</v>
      </c>
      <c r="BH506" s="23">
        <v>490000.0</v>
      </c>
      <c r="BI506" s="35" t="b">
        <v>0</v>
      </c>
      <c r="BJ506" s="23">
        <v>80000.0</v>
      </c>
      <c r="BK506" s="15" t="b">
        <v>1</v>
      </c>
      <c r="BL506" s="20" t="s">
        <v>827</v>
      </c>
      <c r="BM506" s="23">
        <v>490000.0</v>
      </c>
      <c r="BN506" s="35" t="b">
        <v>0</v>
      </c>
      <c r="BO506" s="23">
        <v>80000.0</v>
      </c>
      <c r="BP506" s="15" t="b">
        <v>0</v>
      </c>
      <c r="BQ506" s="17" t="s">
        <v>828</v>
      </c>
      <c r="BR506" s="1"/>
      <c r="BS506" s="1"/>
      <c r="BT506" s="1"/>
      <c r="BU506" s="1"/>
    </row>
    <row r="507">
      <c r="A507" s="1"/>
      <c r="B507" s="27" t="s">
        <v>822</v>
      </c>
      <c r="C507" s="11" t="s">
        <v>829</v>
      </c>
      <c r="D507" s="20" t="s">
        <v>830</v>
      </c>
      <c r="E507" s="23">
        <v>370000.0</v>
      </c>
      <c r="F507" s="35" t="b">
        <v>0</v>
      </c>
      <c r="G507" s="23">
        <v>80000.0</v>
      </c>
      <c r="H507" s="15" t="b">
        <v>1</v>
      </c>
      <c r="I507" s="20" t="s">
        <v>830</v>
      </c>
      <c r="J507" s="23">
        <v>370000.0</v>
      </c>
      <c r="K507" s="35" t="b">
        <v>0</v>
      </c>
      <c r="L507" s="23">
        <v>80000.0</v>
      </c>
      <c r="M507" s="15" t="b">
        <v>1</v>
      </c>
      <c r="N507" s="20" t="s">
        <v>830</v>
      </c>
      <c r="O507" s="23">
        <v>390000.0</v>
      </c>
      <c r="P507" s="35" t="b">
        <v>0</v>
      </c>
      <c r="Q507" s="23">
        <v>80000.0</v>
      </c>
      <c r="R507" s="15" t="b">
        <v>1</v>
      </c>
      <c r="S507" s="20" t="s">
        <v>830</v>
      </c>
      <c r="T507" s="23">
        <v>390000.0</v>
      </c>
      <c r="U507" s="35" t="b">
        <v>0</v>
      </c>
      <c r="V507" s="23">
        <v>80000.0</v>
      </c>
      <c r="W507" s="15" t="b">
        <v>1</v>
      </c>
      <c r="X507" s="20" t="s">
        <v>830</v>
      </c>
      <c r="Y507" s="23">
        <v>390000.0</v>
      </c>
      <c r="Z507" s="35" t="b">
        <v>0</v>
      </c>
      <c r="AA507" s="23">
        <v>80000.0</v>
      </c>
      <c r="AB507" s="15" t="b">
        <v>1</v>
      </c>
      <c r="AC507" s="20" t="s">
        <v>830</v>
      </c>
      <c r="AD507" s="23">
        <v>390000.0</v>
      </c>
      <c r="AE507" s="35" t="b">
        <v>0</v>
      </c>
      <c r="AF507" s="23">
        <v>80000.0</v>
      </c>
      <c r="AG507" s="15" t="b">
        <v>1</v>
      </c>
      <c r="AH507" s="20" t="s">
        <v>830</v>
      </c>
      <c r="AI507" s="23">
        <v>390000.0</v>
      </c>
      <c r="AJ507" s="35" t="b">
        <v>0</v>
      </c>
      <c r="AK507" s="23">
        <v>80000.0</v>
      </c>
      <c r="AL507" s="15" t="b">
        <v>1</v>
      </c>
      <c r="AM507" s="20" t="s">
        <v>831</v>
      </c>
      <c r="AN507" s="23">
        <v>390000.0</v>
      </c>
      <c r="AO507" s="35" t="b">
        <v>0</v>
      </c>
      <c r="AP507" s="23">
        <v>80000.0</v>
      </c>
      <c r="AQ507" s="15" t="b">
        <v>1</v>
      </c>
      <c r="AR507" s="20" t="s">
        <v>37</v>
      </c>
      <c r="AS507" s="18"/>
      <c r="AT507" s="1"/>
      <c r="AU507" s="18"/>
      <c r="AV507" s="19"/>
      <c r="AW507" s="20" t="s">
        <v>37</v>
      </c>
      <c r="AX507" s="18"/>
      <c r="AY507" s="1"/>
      <c r="AZ507" s="18"/>
      <c r="BA507" s="19"/>
      <c r="BB507" s="20" t="s">
        <v>37</v>
      </c>
      <c r="BC507" s="18"/>
      <c r="BD507" s="1"/>
      <c r="BE507" s="18"/>
      <c r="BF507" s="19"/>
      <c r="BG507" s="20" t="s">
        <v>37</v>
      </c>
      <c r="BH507" s="18"/>
      <c r="BI507" s="1"/>
      <c r="BJ507" s="18"/>
      <c r="BK507" s="19"/>
      <c r="BL507" s="20" t="s">
        <v>37</v>
      </c>
      <c r="BM507" s="18"/>
      <c r="BN507" s="1"/>
      <c r="BO507" s="18"/>
      <c r="BP507" s="15" t="b">
        <v>0</v>
      </c>
      <c r="BQ507" s="17" t="s">
        <v>828</v>
      </c>
      <c r="BR507" s="1"/>
      <c r="BS507" s="1"/>
      <c r="BT507" s="1"/>
      <c r="BU507" s="1"/>
    </row>
    <row r="508">
      <c r="A508" s="1"/>
      <c r="B508" s="27" t="s">
        <v>822</v>
      </c>
      <c r="C508" s="11" t="s">
        <v>832</v>
      </c>
      <c r="D508" s="20" t="s">
        <v>183</v>
      </c>
      <c r="E508" s="23">
        <v>400000.0</v>
      </c>
      <c r="F508" s="35" t="b">
        <v>0</v>
      </c>
      <c r="G508" s="23">
        <v>80000.0</v>
      </c>
      <c r="H508" s="15" t="b">
        <v>1</v>
      </c>
      <c r="I508" s="20" t="s">
        <v>833</v>
      </c>
      <c r="J508" s="23">
        <f>193103+40345</f>
        <v>233448</v>
      </c>
      <c r="K508" s="35" t="b">
        <v>0</v>
      </c>
      <c r="L508" s="23">
        <f>38621+8276</f>
        <v>46897</v>
      </c>
      <c r="M508" s="15" t="b">
        <v>1</v>
      </c>
      <c r="N508" s="20" t="s">
        <v>834</v>
      </c>
      <c r="O508" s="23">
        <v>390000.0</v>
      </c>
      <c r="P508" s="35" t="b">
        <v>0</v>
      </c>
      <c r="Q508" s="23">
        <v>80000.0</v>
      </c>
      <c r="R508" s="15" t="b">
        <v>1</v>
      </c>
      <c r="S508" s="20" t="s">
        <v>834</v>
      </c>
      <c r="T508" s="23">
        <v>390000.0</v>
      </c>
      <c r="U508" s="35" t="b">
        <v>0</v>
      </c>
      <c r="V508" s="23">
        <v>80000.0</v>
      </c>
      <c r="W508" s="15" t="b">
        <v>1</v>
      </c>
      <c r="X508" s="20" t="s">
        <v>834</v>
      </c>
      <c r="Y508" s="23">
        <v>390000.0</v>
      </c>
      <c r="Z508" s="35" t="b">
        <v>0</v>
      </c>
      <c r="AA508" s="23">
        <v>80000.0</v>
      </c>
      <c r="AB508" s="15" t="b">
        <v>1</v>
      </c>
      <c r="AC508" s="20" t="s">
        <v>834</v>
      </c>
      <c r="AD508" s="23">
        <v>390000.0</v>
      </c>
      <c r="AE508" s="35" t="b">
        <v>0</v>
      </c>
      <c r="AF508" s="23">
        <v>80000.0</v>
      </c>
      <c r="AG508" s="15" t="b">
        <v>1</v>
      </c>
      <c r="AH508" s="20" t="s">
        <v>834</v>
      </c>
      <c r="AI508" s="23">
        <v>390000.0</v>
      </c>
      <c r="AJ508" s="35" t="b">
        <v>0</v>
      </c>
      <c r="AK508" s="23">
        <v>80000.0</v>
      </c>
      <c r="AL508" s="15" t="b">
        <v>1</v>
      </c>
      <c r="AM508" s="20" t="s">
        <v>835</v>
      </c>
      <c r="AN508" s="23">
        <f>346774+90323</f>
        <v>437097</v>
      </c>
      <c r="AO508" s="35" t="b">
        <v>0</v>
      </c>
      <c r="AP508" s="23">
        <f>64516+18065</f>
        <v>82581</v>
      </c>
      <c r="AQ508" s="15" t="b">
        <v>1</v>
      </c>
      <c r="AR508" s="20" t="s">
        <v>836</v>
      </c>
      <c r="AS508" s="23">
        <v>400000.0</v>
      </c>
      <c r="AT508" s="35" t="b">
        <v>0</v>
      </c>
      <c r="AU508" s="23">
        <v>80000.0</v>
      </c>
      <c r="AV508" s="15" t="b">
        <v>1</v>
      </c>
      <c r="AW508" s="20" t="s">
        <v>836</v>
      </c>
      <c r="AX508" s="23">
        <v>400000.0</v>
      </c>
      <c r="AY508" s="35" t="b">
        <v>0</v>
      </c>
      <c r="AZ508" s="23">
        <v>80000.0</v>
      </c>
      <c r="BA508" s="15" t="b">
        <v>1</v>
      </c>
      <c r="BB508" s="20" t="s">
        <v>836</v>
      </c>
      <c r="BC508" s="23">
        <v>400000.0</v>
      </c>
      <c r="BD508" s="35" t="b">
        <v>0</v>
      </c>
      <c r="BE508" s="23">
        <v>80000.0</v>
      </c>
      <c r="BF508" s="15" t="b">
        <v>1</v>
      </c>
      <c r="BG508" s="20" t="s">
        <v>836</v>
      </c>
      <c r="BH508" s="23">
        <v>400000.0</v>
      </c>
      <c r="BI508" s="35" t="b">
        <v>0</v>
      </c>
      <c r="BJ508" s="23">
        <v>80000.0</v>
      </c>
      <c r="BK508" s="15" t="b">
        <v>1</v>
      </c>
      <c r="BL508" s="20" t="s">
        <v>836</v>
      </c>
      <c r="BM508" s="23">
        <v>400000.0</v>
      </c>
      <c r="BN508" s="35" t="b">
        <v>0</v>
      </c>
      <c r="BO508" s="23">
        <v>80000.0</v>
      </c>
      <c r="BP508" s="15" t="b">
        <v>0</v>
      </c>
      <c r="BQ508" s="17" t="s">
        <v>828</v>
      </c>
      <c r="BR508" s="1"/>
      <c r="BS508" s="1"/>
      <c r="BT508" s="1"/>
      <c r="BU508" s="1"/>
    </row>
    <row r="509">
      <c r="A509" s="1"/>
      <c r="B509" s="27" t="s">
        <v>822</v>
      </c>
      <c r="C509" s="11" t="s">
        <v>837</v>
      </c>
      <c r="D509" s="20" t="s">
        <v>838</v>
      </c>
      <c r="E509" s="23">
        <v>330000.0</v>
      </c>
      <c r="F509" s="35" t="b">
        <v>0</v>
      </c>
      <c r="G509" s="23">
        <v>80000.0</v>
      </c>
      <c r="H509" s="15" t="b">
        <v>1</v>
      </c>
      <c r="I509" s="20" t="s">
        <v>839</v>
      </c>
      <c r="J509" s="23">
        <v>330000.0</v>
      </c>
      <c r="K509" s="35" t="b">
        <v>0</v>
      </c>
      <c r="L509" s="23">
        <v>80000.0</v>
      </c>
      <c r="M509" s="15" t="b">
        <v>1</v>
      </c>
      <c r="N509" s="20" t="s">
        <v>840</v>
      </c>
      <c r="O509" s="23">
        <v>245161.0</v>
      </c>
      <c r="P509" s="35" t="b">
        <v>0</v>
      </c>
      <c r="Q509" s="23">
        <v>49032.0</v>
      </c>
      <c r="R509" s="15" t="b">
        <v>1</v>
      </c>
      <c r="S509" s="20" t="s">
        <v>841</v>
      </c>
      <c r="T509" s="23">
        <v>400000.0</v>
      </c>
      <c r="U509" s="35" t="b">
        <v>0</v>
      </c>
      <c r="V509" s="23">
        <v>80000.0</v>
      </c>
      <c r="W509" s="15" t="b">
        <v>1</v>
      </c>
      <c r="X509" s="20" t="s">
        <v>841</v>
      </c>
      <c r="Y509" s="23">
        <v>400000.0</v>
      </c>
      <c r="Z509" s="35" t="b">
        <v>0</v>
      </c>
      <c r="AA509" s="23">
        <v>80000.0</v>
      </c>
      <c r="AB509" s="15" t="b">
        <v>1</v>
      </c>
      <c r="AC509" s="20" t="s">
        <v>841</v>
      </c>
      <c r="AD509" s="23">
        <v>400000.0</v>
      </c>
      <c r="AE509" s="35" t="b">
        <v>0</v>
      </c>
      <c r="AF509" s="23">
        <v>80000.0</v>
      </c>
      <c r="AG509" s="15" t="b">
        <v>1</v>
      </c>
      <c r="AH509" s="20" t="s">
        <v>841</v>
      </c>
      <c r="AI509" s="23">
        <v>400000.0</v>
      </c>
      <c r="AJ509" s="35" t="b">
        <v>0</v>
      </c>
      <c r="AK509" s="23">
        <v>80000.0</v>
      </c>
      <c r="AL509" s="15" t="b">
        <v>1</v>
      </c>
      <c r="AM509" s="20" t="s">
        <v>841</v>
      </c>
      <c r="AN509" s="23">
        <v>400000.0</v>
      </c>
      <c r="AO509" s="35" t="b">
        <v>0</v>
      </c>
      <c r="AP509" s="23">
        <v>80000.0</v>
      </c>
      <c r="AQ509" s="15" t="b">
        <v>1</v>
      </c>
      <c r="AR509" s="20" t="s">
        <v>841</v>
      </c>
      <c r="AS509" s="23">
        <v>500000.0</v>
      </c>
      <c r="AT509" s="35" t="b">
        <v>0</v>
      </c>
      <c r="AU509" s="23">
        <v>80000.0</v>
      </c>
      <c r="AV509" s="15" t="b">
        <v>1</v>
      </c>
      <c r="AW509" s="20" t="s">
        <v>841</v>
      </c>
      <c r="AX509" s="23">
        <v>500000.0</v>
      </c>
      <c r="AY509" s="35" t="b">
        <v>0</v>
      </c>
      <c r="AZ509" s="23">
        <v>80000.0</v>
      </c>
      <c r="BA509" s="15" t="b">
        <v>1</v>
      </c>
      <c r="BB509" s="20" t="s">
        <v>841</v>
      </c>
      <c r="BC509" s="23">
        <v>500000.0</v>
      </c>
      <c r="BD509" s="35" t="b">
        <v>0</v>
      </c>
      <c r="BE509" s="23">
        <v>80000.0</v>
      </c>
      <c r="BF509" s="15" t="b">
        <v>1</v>
      </c>
      <c r="BG509" s="20" t="s">
        <v>841</v>
      </c>
      <c r="BH509" s="23">
        <v>500000.0</v>
      </c>
      <c r="BI509" s="35" t="b">
        <v>0</v>
      </c>
      <c r="BJ509" s="23">
        <v>80000.0</v>
      </c>
      <c r="BK509" s="15" t="b">
        <v>1</v>
      </c>
      <c r="BL509" s="20" t="s">
        <v>841</v>
      </c>
      <c r="BM509" s="23">
        <v>400000.0</v>
      </c>
      <c r="BN509" s="35" t="b">
        <v>0</v>
      </c>
      <c r="BO509" s="23">
        <v>80000.0</v>
      </c>
      <c r="BP509" s="15" t="b">
        <v>0</v>
      </c>
      <c r="BQ509" s="17" t="s">
        <v>828</v>
      </c>
      <c r="BR509" s="1"/>
      <c r="BS509" s="1"/>
      <c r="BT509" s="1"/>
      <c r="BU509" s="1"/>
    </row>
    <row r="510">
      <c r="A510" s="1"/>
      <c r="B510" s="27" t="s">
        <v>822</v>
      </c>
      <c r="C510" s="11" t="s">
        <v>842</v>
      </c>
      <c r="D510" s="20" t="s">
        <v>37</v>
      </c>
      <c r="E510" s="18"/>
      <c r="F510" s="1"/>
      <c r="G510" s="18"/>
      <c r="H510" s="19"/>
      <c r="I510" s="20" t="s">
        <v>843</v>
      </c>
      <c r="J510" s="23">
        <v>63793.0</v>
      </c>
      <c r="K510" s="35" t="b">
        <v>0</v>
      </c>
      <c r="L510" s="23">
        <v>13793.0</v>
      </c>
      <c r="M510" s="15" t="b">
        <v>1</v>
      </c>
      <c r="N510" s="20" t="s">
        <v>844</v>
      </c>
      <c r="O510" s="23">
        <v>370000.0</v>
      </c>
      <c r="P510" s="35" t="b">
        <v>0</v>
      </c>
      <c r="Q510" s="23">
        <v>80000.0</v>
      </c>
      <c r="R510" s="15" t="b">
        <v>1</v>
      </c>
      <c r="S510" s="20" t="s">
        <v>845</v>
      </c>
      <c r="T510" s="23">
        <v>370000.0</v>
      </c>
      <c r="U510" s="35" t="b">
        <v>0</v>
      </c>
      <c r="V510" s="23">
        <v>80000.0</v>
      </c>
      <c r="W510" s="15" t="b">
        <v>1</v>
      </c>
      <c r="X510" s="20" t="s">
        <v>845</v>
      </c>
      <c r="Y510" s="23">
        <v>370000.0</v>
      </c>
      <c r="Z510" s="35" t="b">
        <v>0</v>
      </c>
      <c r="AA510" s="23">
        <v>80000.0</v>
      </c>
      <c r="AB510" s="15" t="b">
        <v>1</v>
      </c>
      <c r="AC510" s="20" t="s">
        <v>845</v>
      </c>
      <c r="AD510" s="23">
        <v>370000.0</v>
      </c>
      <c r="AE510" s="35" t="b">
        <v>0</v>
      </c>
      <c r="AF510" s="23">
        <v>80000.0</v>
      </c>
      <c r="AG510" s="15" t="b">
        <v>1</v>
      </c>
      <c r="AH510" s="20" t="s">
        <v>845</v>
      </c>
      <c r="AI510" s="23">
        <v>370000.0</v>
      </c>
      <c r="AJ510" s="35" t="b">
        <v>0</v>
      </c>
      <c r="AK510" s="23">
        <v>80000.0</v>
      </c>
      <c r="AL510" s="15" t="b">
        <v>1</v>
      </c>
      <c r="AM510" s="20" t="s">
        <v>845</v>
      </c>
      <c r="AN510" s="23">
        <v>370000.0</v>
      </c>
      <c r="AO510" s="35" t="b">
        <v>0</v>
      </c>
      <c r="AP510" s="23">
        <v>80000.0</v>
      </c>
      <c r="AQ510" s="15" t="b">
        <v>1</v>
      </c>
      <c r="AR510" s="20" t="s">
        <v>845</v>
      </c>
      <c r="AS510" s="23">
        <v>370000.0</v>
      </c>
      <c r="AT510" s="35" t="b">
        <v>0</v>
      </c>
      <c r="AU510" s="23">
        <v>80000.0</v>
      </c>
      <c r="AV510" s="15" t="b">
        <v>1</v>
      </c>
      <c r="AW510" s="20" t="s">
        <v>845</v>
      </c>
      <c r="AX510" s="23">
        <v>370000.0</v>
      </c>
      <c r="AY510" s="35" t="b">
        <v>0</v>
      </c>
      <c r="AZ510" s="23">
        <v>80000.0</v>
      </c>
      <c r="BA510" s="15" t="b">
        <v>1</v>
      </c>
      <c r="BB510" s="20" t="s">
        <v>845</v>
      </c>
      <c r="BC510" s="23">
        <v>370000.0</v>
      </c>
      <c r="BD510" s="35" t="b">
        <v>0</v>
      </c>
      <c r="BE510" s="23">
        <v>80000.0</v>
      </c>
      <c r="BF510" s="15" t="b">
        <v>1</v>
      </c>
      <c r="BG510" s="20" t="s">
        <v>845</v>
      </c>
      <c r="BH510" s="23">
        <v>370000.0</v>
      </c>
      <c r="BI510" s="35" t="b">
        <v>0</v>
      </c>
      <c r="BJ510" s="23">
        <v>80000.0</v>
      </c>
      <c r="BK510" s="15" t="b">
        <v>1</v>
      </c>
      <c r="BL510" s="20" t="s">
        <v>845</v>
      </c>
      <c r="BM510" s="23">
        <v>370000.0</v>
      </c>
      <c r="BN510" s="35" t="b">
        <v>0</v>
      </c>
      <c r="BO510" s="23">
        <v>80000.0</v>
      </c>
      <c r="BP510" s="15" t="b">
        <v>0</v>
      </c>
      <c r="BQ510" s="17" t="s">
        <v>828</v>
      </c>
      <c r="BR510" s="1"/>
      <c r="BS510" s="1"/>
      <c r="BT510" s="1"/>
      <c r="BU510" s="1"/>
    </row>
    <row r="511">
      <c r="A511" s="1"/>
      <c r="B511" s="21"/>
      <c r="C511" s="11" t="s">
        <v>42</v>
      </c>
      <c r="D511" s="22"/>
      <c r="E511" s="23">
        <f>SUM(E506:E510)</f>
        <v>1229032</v>
      </c>
      <c r="F511" s="18"/>
      <c r="G511" s="23">
        <f>SUM(G506:G510)</f>
        <v>261333</v>
      </c>
      <c r="H511" s="19"/>
      <c r="I511" s="22"/>
      <c r="J511" s="23">
        <f>SUM(J506:J510)</f>
        <v>1166207</v>
      </c>
      <c r="K511" s="18"/>
      <c r="L511" s="23">
        <f>SUM(L506:L510)</f>
        <v>248276</v>
      </c>
      <c r="M511" s="19"/>
      <c r="N511" s="22"/>
      <c r="O511" s="23">
        <f>SUM(O506:O510)</f>
        <v>1885161</v>
      </c>
      <c r="P511" s="18"/>
      <c r="Q511" s="23">
        <f>SUM(Q506:Q510)</f>
        <v>369032</v>
      </c>
      <c r="R511" s="19"/>
      <c r="S511" s="22"/>
      <c r="T511" s="23">
        <f>SUM(T506:T510)</f>
        <v>2040000</v>
      </c>
      <c r="U511" s="18"/>
      <c r="V511" s="23">
        <f>SUM(V506:V510)</f>
        <v>400000</v>
      </c>
      <c r="W511" s="19"/>
      <c r="X511" s="18"/>
      <c r="Y511" s="23">
        <f>SUM(Y506:Y510)</f>
        <v>2040000</v>
      </c>
      <c r="Z511" s="18"/>
      <c r="AA511" s="23">
        <f>SUM(AA506:AA510)</f>
        <v>400000</v>
      </c>
      <c r="AB511" s="19"/>
      <c r="AC511" s="18"/>
      <c r="AD511" s="23">
        <f>SUM(AD506:AD510)</f>
        <v>2040000</v>
      </c>
      <c r="AE511" s="18"/>
      <c r="AF511" s="23">
        <f>SUM(AF506:AF510)</f>
        <v>400000</v>
      </c>
      <c r="AG511" s="19"/>
      <c r="AH511" s="18"/>
      <c r="AI511" s="23">
        <f>SUM(AI506:AI510)</f>
        <v>2040000</v>
      </c>
      <c r="AJ511" s="18"/>
      <c r="AK511" s="23">
        <f>SUM(AK506:AK510)</f>
        <v>400000</v>
      </c>
      <c r="AL511" s="19"/>
      <c r="AM511" s="18"/>
      <c r="AN511" s="23">
        <f>SUM(AN506:AN510)</f>
        <v>2087097</v>
      </c>
      <c r="AO511" s="18"/>
      <c r="AP511" s="23">
        <f>SUM(AP506:AP510)</f>
        <v>402581</v>
      </c>
      <c r="AQ511" s="19"/>
      <c r="AR511" s="22"/>
      <c r="AS511" s="23">
        <f>SUM(AS506:AS510)</f>
        <v>1760000</v>
      </c>
      <c r="AT511" s="18"/>
      <c r="AU511" s="23">
        <f>SUM(AU506:AU510)</f>
        <v>320000</v>
      </c>
      <c r="AV511" s="19"/>
      <c r="AW511" s="22"/>
      <c r="AX511" s="23">
        <f>SUM(AX506:AX510)</f>
        <v>1760000</v>
      </c>
      <c r="AY511" s="18"/>
      <c r="AZ511" s="23">
        <f>SUM(AZ506:AZ510)</f>
        <v>320000</v>
      </c>
      <c r="BA511" s="19"/>
      <c r="BB511" s="22"/>
      <c r="BC511" s="23">
        <f>SUM(BC506:BC510)</f>
        <v>1760000</v>
      </c>
      <c r="BD511" s="18"/>
      <c r="BE511" s="23">
        <f>SUM(BE506:BE510)</f>
        <v>320000</v>
      </c>
      <c r="BF511" s="19"/>
      <c r="BG511" s="22"/>
      <c r="BH511" s="23">
        <f>SUM(BH506:BH510)</f>
        <v>1760000</v>
      </c>
      <c r="BI511" s="18"/>
      <c r="BJ511" s="23">
        <f>SUM(BJ506:BJ510)</f>
        <v>320000</v>
      </c>
      <c r="BK511" s="19"/>
      <c r="BL511" s="22"/>
      <c r="BM511" s="23">
        <f>SUM(BM506:BM510)</f>
        <v>1660000</v>
      </c>
      <c r="BN511" s="18"/>
      <c r="BO511" s="23">
        <f>SUM(BO506:BO510)</f>
        <v>320000</v>
      </c>
      <c r="BP511" s="19"/>
      <c r="BQ511" s="17" t="s">
        <v>828</v>
      </c>
      <c r="BR511" s="1"/>
      <c r="BS511" s="1"/>
      <c r="BT511" s="1"/>
      <c r="BU511" s="1"/>
    </row>
    <row r="512">
      <c r="A512" s="1"/>
      <c r="B512" s="21"/>
      <c r="C512" s="11" t="s">
        <v>43</v>
      </c>
      <c r="D512" s="22"/>
      <c r="E512" s="18"/>
      <c r="F512" s="18"/>
      <c r="G512" s="18"/>
      <c r="H512" s="19"/>
      <c r="I512" s="22"/>
      <c r="J512" s="18"/>
      <c r="K512" s="18"/>
      <c r="L512" s="18"/>
      <c r="M512" s="19"/>
      <c r="N512" s="22"/>
      <c r="O512" s="18"/>
      <c r="P512" s="18"/>
      <c r="Q512" s="18"/>
      <c r="R512" s="19"/>
      <c r="S512" s="22"/>
      <c r="T512" s="18"/>
      <c r="U512" s="18"/>
      <c r="V512" s="18"/>
      <c r="W512" s="19"/>
      <c r="X512" s="18"/>
      <c r="Y512" s="18"/>
      <c r="Z512" s="18"/>
      <c r="AA512" s="18"/>
      <c r="AB512" s="19"/>
      <c r="AC512" s="18"/>
      <c r="AD512" s="18"/>
      <c r="AE512" s="18"/>
      <c r="AF512" s="18"/>
      <c r="AG512" s="19"/>
      <c r="AH512" s="18"/>
      <c r="AI512" s="18"/>
      <c r="AJ512" s="18"/>
      <c r="AK512" s="18"/>
      <c r="AL512" s="19"/>
      <c r="AM512" s="18"/>
      <c r="AN512" s="18"/>
      <c r="AO512" s="18"/>
      <c r="AP512" s="18"/>
      <c r="AQ512" s="19"/>
      <c r="AR512" s="22"/>
      <c r="AS512" s="18"/>
      <c r="AT512" s="18"/>
      <c r="AU512" s="18"/>
      <c r="AV512" s="19"/>
      <c r="AW512" s="22"/>
      <c r="AX512" s="18"/>
      <c r="AY512" s="18"/>
      <c r="AZ512" s="18"/>
      <c r="BA512" s="19"/>
      <c r="BB512" s="22"/>
      <c r="BC512" s="18"/>
      <c r="BD512" s="18"/>
      <c r="BE512" s="18"/>
      <c r="BF512" s="19"/>
      <c r="BG512" s="22"/>
      <c r="BH512" s="18"/>
      <c r="BI512" s="18"/>
      <c r="BJ512" s="18"/>
      <c r="BK512" s="19"/>
      <c r="BL512" s="22"/>
      <c r="BM512" s="18"/>
      <c r="BN512" s="18"/>
      <c r="BO512" s="18"/>
      <c r="BP512" s="19"/>
      <c r="BQ512" s="17" t="s">
        <v>828</v>
      </c>
      <c r="BR512" s="1"/>
      <c r="BS512" s="1"/>
      <c r="BT512" s="1"/>
      <c r="BU512" s="1"/>
    </row>
    <row r="513">
      <c r="A513" s="1"/>
      <c r="B513" s="21"/>
      <c r="C513" s="11" t="s">
        <v>45</v>
      </c>
      <c r="D513" s="22"/>
      <c r="E513" s="18"/>
      <c r="F513" s="18"/>
      <c r="G513" s="18"/>
      <c r="H513" s="19"/>
      <c r="I513" s="22"/>
      <c r="J513" s="18"/>
      <c r="K513" s="18"/>
      <c r="L513" s="18"/>
      <c r="M513" s="19"/>
      <c r="N513" s="22"/>
      <c r="O513" s="18"/>
      <c r="P513" s="18"/>
      <c r="Q513" s="18"/>
      <c r="R513" s="19"/>
      <c r="S513" s="22"/>
      <c r="T513" s="18"/>
      <c r="U513" s="18"/>
      <c r="V513" s="18"/>
      <c r="W513" s="19"/>
      <c r="X513" s="18"/>
      <c r="Y513" s="18"/>
      <c r="Z513" s="18"/>
      <c r="AA513" s="18"/>
      <c r="AB513" s="19"/>
      <c r="AC513" s="18"/>
      <c r="AD513" s="18"/>
      <c r="AE513" s="18"/>
      <c r="AF513" s="18"/>
      <c r="AG513" s="19"/>
      <c r="AH513" s="18"/>
      <c r="AI513" s="18"/>
      <c r="AJ513" s="18"/>
      <c r="AK513" s="18"/>
      <c r="AL513" s="19"/>
      <c r="AM513" s="18"/>
      <c r="AN513" s="18"/>
      <c r="AO513" s="18"/>
      <c r="AP513" s="18"/>
      <c r="AQ513" s="19"/>
      <c r="AR513" s="22"/>
      <c r="AS513" s="18"/>
      <c r="AT513" s="18"/>
      <c r="AU513" s="18"/>
      <c r="AV513" s="19"/>
      <c r="AW513" s="22"/>
      <c r="AX513" s="18"/>
      <c r="AY513" s="18"/>
      <c r="AZ513" s="18"/>
      <c r="BA513" s="19"/>
      <c r="BB513" s="22"/>
      <c r="BC513" s="18"/>
      <c r="BD513" s="18"/>
      <c r="BE513" s="18"/>
      <c r="BF513" s="19"/>
      <c r="BG513" s="22"/>
      <c r="BH513" s="18"/>
      <c r="BI513" s="18"/>
      <c r="BJ513" s="18"/>
      <c r="BK513" s="19"/>
      <c r="BL513" s="22"/>
      <c r="BM513" s="18"/>
      <c r="BN513" s="18"/>
      <c r="BO513" s="18"/>
      <c r="BP513" s="19"/>
      <c r="BQ513" s="17" t="s">
        <v>828</v>
      </c>
      <c r="BR513" s="1"/>
      <c r="BS513" s="1"/>
      <c r="BT513" s="1"/>
      <c r="BU513" s="1"/>
    </row>
    <row r="514">
      <c r="A514" s="1"/>
      <c r="B514" s="10" t="s">
        <v>846</v>
      </c>
      <c r="C514" s="11" t="s">
        <v>303</v>
      </c>
      <c r="D514" s="22"/>
      <c r="E514" s="18"/>
      <c r="F514" s="18"/>
      <c r="G514" s="18"/>
      <c r="H514" s="19"/>
      <c r="I514" s="22"/>
      <c r="J514" s="18"/>
      <c r="K514" s="18"/>
      <c r="L514" s="18"/>
      <c r="M514" s="19"/>
      <c r="N514" s="22"/>
      <c r="O514" s="18"/>
      <c r="P514" s="18"/>
      <c r="Q514" s="23">
        <v>38940.0</v>
      </c>
      <c r="R514" s="19"/>
      <c r="S514" s="22"/>
      <c r="T514" s="18"/>
      <c r="U514" s="18"/>
      <c r="V514" s="18"/>
      <c r="W514" s="19"/>
      <c r="X514" s="18"/>
      <c r="Y514" s="18"/>
      <c r="Z514" s="18"/>
      <c r="AA514" s="18"/>
      <c r="AB514" s="19"/>
      <c r="AC514" s="18"/>
      <c r="AD514" s="18"/>
      <c r="AE514" s="18"/>
      <c r="AF514" s="18"/>
      <c r="AG514" s="19"/>
      <c r="AH514" s="18"/>
      <c r="AI514" s="18"/>
      <c r="AJ514" s="18"/>
      <c r="AK514" s="18"/>
      <c r="AL514" s="19"/>
      <c r="AM514" s="18"/>
      <c r="AN514" s="18"/>
      <c r="AO514" s="18"/>
      <c r="AP514" s="18"/>
      <c r="AQ514" s="19"/>
      <c r="AR514" s="22"/>
      <c r="AS514" s="18"/>
      <c r="AT514" s="18"/>
      <c r="AU514" s="18"/>
      <c r="AV514" s="19"/>
      <c r="AW514" s="22"/>
      <c r="AX514" s="18"/>
      <c r="AY514" s="18"/>
      <c r="AZ514" s="18"/>
      <c r="BA514" s="19"/>
      <c r="BB514" s="22"/>
      <c r="BC514" s="18"/>
      <c r="BD514" s="18"/>
      <c r="BE514" s="18"/>
      <c r="BF514" s="19"/>
      <c r="BG514" s="22"/>
      <c r="BH514" s="18"/>
      <c r="BI514" s="18"/>
      <c r="BJ514" s="18"/>
      <c r="BK514" s="19"/>
      <c r="BL514" s="22"/>
      <c r="BM514" s="18"/>
      <c r="BN514" s="18"/>
      <c r="BO514" s="18"/>
      <c r="BP514" s="19"/>
      <c r="BQ514" s="17" t="s">
        <v>828</v>
      </c>
      <c r="BR514" s="1"/>
      <c r="BS514" s="1"/>
      <c r="BT514" s="1"/>
      <c r="BU514" s="1"/>
    </row>
    <row r="515">
      <c r="A515" s="1"/>
      <c r="B515" s="10" t="s">
        <v>847</v>
      </c>
      <c r="C515" s="11" t="s">
        <v>261</v>
      </c>
      <c r="D515" s="22"/>
      <c r="E515" s="18"/>
      <c r="F515" s="18"/>
      <c r="G515" s="23">
        <v>263630.0</v>
      </c>
      <c r="H515" s="19"/>
      <c r="I515" s="22"/>
      <c r="J515" s="18"/>
      <c r="K515" s="18"/>
      <c r="L515" s="23">
        <v>238140.0</v>
      </c>
      <c r="M515" s="19"/>
      <c r="N515" s="22"/>
      <c r="O515" s="18"/>
      <c r="P515" s="18"/>
      <c r="Q515" s="23">
        <v>224090.0</v>
      </c>
      <c r="R515" s="19"/>
      <c r="S515" s="22"/>
      <c r="T515" s="18"/>
      <c r="U515" s="18"/>
      <c r="V515" s="23">
        <v>157960.0</v>
      </c>
      <c r="W515" s="19"/>
      <c r="X515" s="18"/>
      <c r="Y515" s="18"/>
      <c r="Z515" s="18"/>
      <c r="AA515" s="23">
        <v>46500.0</v>
      </c>
      <c r="AB515" s="19"/>
      <c r="AC515" s="18"/>
      <c r="AD515" s="18"/>
      <c r="AE515" s="18"/>
      <c r="AF515" s="23">
        <v>27620.0</v>
      </c>
      <c r="AG515" s="19"/>
      <c r="AH515" s="18"/>
      <c r="AI515" s="18"/>
      <c r="AJ515" s="18"/>
      <c r="AK515" s="23">
        <v>16920.0</v>
      </c>
      <c r="AL515" s="19"/>
      <c r="AM515" s="18"/>
      <c r="AN515" s="18"/>
      <c r="AO515" s="18"/>
      <c r="AP515" s="23">
        <v>14180.0</v>
      </c>
      <c r="AQ515" s="19"/>
      <c r="AR515" s="22"/>
      <c r="AS515" s="18"/>
      <c r="AT515" s="18"/>
      <c r="AU515" s="23">
        <v>8680.0</v>
      </c>
      <c r="AV515" s="19"/>
      <c r="AW515" s="22"/>
      <c r="AX515" s="18"/>
      <c r="AY515" s="18"/>
      <c r="AZ515" s="23">
        <v>8670.0</v>
      </c>
      <c r="BA515" s="19"/>
      <c r="BB515" s="22"/>
      <c r="BC515" s="18"/>
      <c r="BD515" s="18"/>
      <c r="BE515" s="23">
        <v>103650.0</v>
      </c>
      <c r="BF515" s="19"/>
      <c r="BG515" s="22"/>
      <c r="BH515" s="18"/>
      <c r="BI515" s="18"/>
      <c r="BJ515" s="23">
        <v>146390.0</v>
      </c>
      <c r="BK515" s="19"/>
      <c r="BL515" s="22"/>
      <c r="BM515" s="18"/>
      <c r="BN515" s="18"/>
      <c r="BO515" s="18"/>
      <c r="BP515" s="19"/>
      <c r="BQ515" s="17" t="s">
        <v>828</v>
      </c>
      <c r="BR515" s="1"/>
      <c r="BS515" s="1"/>
      <c r="BT515" s="1"/>
      <c r="BU515" s="1"/>
    </row>
    <row r="516">
      <c r="A516" s="1"/>
      <c r="B516" s="21"/>
      <c r="C516" s="11" t="s">
        <v>51</v>
      </c>
      <c r="D516" s="22"/>
      <c r="E516" s="18"/>
      <c r="F516" s="18"/>
      <c r="G516" s="18"/>
      <c r="H516" s="19"/>
      <c r="I516" s="22"/>
      <c r="J516" s="18"/>
      <c r="K516" s="18"/>
      <c r="L516" s="18"/>
      <c r="M516" s="19"/>
      <c r="N516" s="22"/>
      <c r="O516" s="18"/>
      <c r="P516" s="18"/>
      <c r="Q516" s="18"/>
      <c r="R516" s="19"/>
      <c r="S516" s="22"/>
      <c r="T516" s="18"/>
      <c r="U516" s="18"/>
      <c r="V516" s="18"/>
      <c r="W516" s="19"/>
      <c r="X516" s="18"/>
      <c r="Y516" s="18"/>
      <c r="Z516" s="18"/>
      <c r="AA516" s="18"/>
      <c r="AB516" s="19"/>
      <c r="AC516" s="18"/>
      <c r="AD516" s="18"/>
      <c r="AE516" s="18"/>
      <c r="AF516" s="18"/>
      <c r="AG516" s="19"/>
      <c r="AH516" s="18"/>
      <c r="AI516" s="18"/>
      <c r="AJ516" s="18"/>
      <c r="AK516" s="18"/>
      <c r="AL516" s="19"/>
      <c r="AM516" s="18"/>
      <c r="AN516" s="18"/>
      <c r="AO516" s="18"/>
      <c r="AP516" s="18"/>
      <c r="AQ516" s="19"/>
      <c r="AR516" s="22"/>
      <c r="AS516" s="18"/>
      <c r="AT516" s="18"/>
      <c r="AU516" s="18"/>
      <c r="AV516" s="19"/>
      <c r="AW516" s="22"/>
      <c r="AX516" s="18"/>
      <c r="AY516" s="18"/>
      <c r="AZ516" s="18"/>
      <c r="BA516" s="19"/>
      <c r="BB516" s="22"/>
      <c r="BC516" s="18"/>
      <c r="BD516" s="18"/>
      <c r="BE516" s="18"/>
      <c r="BF516" s="19"/>
      <c r="BG516" s="22"/>
      <c r="BH516" s="18"/>
      <c r="BI516" s="18"/>
      <c r="BJ516" s="18"/>
      <c r="BK516" s="19"/>
      <c r="BL516" s="22"/>
      <c r="BM516" s="18"/>
      <c r="BN516" s="18"/>
      <c r="BO516" s="18"/>
      <c r="BP516" s="19"/>
      <c r="BQ516" s="17" t="s">
        <v>828</v>
      </c>
      <c r="BR516" s="1"/>
      <c r="BS516" s="1"/>
      <c r="BT516" s="1"/>
      <c r="BU516" s="1"/>
    </row>
    <row r="517">
      <c r="A517" s="1"/>
      <c r="B517" s="21"/>
      <c r="C517" s="11" t="s">
        <v>52</v>
      </c>
      <c r="D517" s="22"/>
      <c r="E517" s="18"/>
      <c r="F517" s="18"/>
      <c r="G517" s="23">
        <v>30000.0</v>
      </c>
      <c r="H517" s="19"/>
      <c r="I517" s="22"/>
      <c r="J517" s="18"/>
      <c r="K517" s="18"/>
      <c r="L517" s="23">
        <v>30000.0</v>
      </c>
      <c r="M517" s="19"/>
      <c r="N517" s="22"/>
      <c r="O517" s="18"/>
      <c r="P517" s="18"/>
      <c r="Q517" s="23">
        <v>30000.0</v>
      </c>
      <c r="R517" s="19"/>
      <c r="S517" s="22"/>
      <c r="T517" s="18"/>
      <c r="U517" s="18"/>
      <c r="V517" s="23">
        <v>30000.0</v>
      </c>
      <c r="W517" s="19"/>
      <c r="X517" s="22"/>
      <c r="Y517" s="18"/>
      <c r="Z517" s="18"/>
      <c r="AA517" s="23">
        <v>30000.0</v>
      </c>
      <c r="AB517" s="19"/>
      <c r="AC517" s="22"/>
      <c r="AD517" s="18"/>
      <c r="AE517" s="18"/>
      <c r="AF517" s="23">
        <v>30000.0</v>
      </c>
      <c r="AG517" s="19"/>
      <c r="AH517" s="22"/>
      <c r="AI517" s="18"/>
      <c r="AJ517" s="18"/>
      <c r="AK517" s="23">
        <v>30000.0</v>
      </c>
      <c r="AL517" s="19"/>
      <c r="AM517" s="22"/>
      <c r="AN517" s="18"/>
      <c r="AO517" s="18"/>
      <c r="AP517" s="23">
        <v>30000.0</v>
      </c>
      <c r="AQ517" s="19"/>
      <c r="AR517" s="22"/>
      <c r="AS517" s="18"/>
      <c r="AT517" s="18"/>
      <c r="AU517" s="23">
        <v>30000.0</v>
      </c>
      <c r="AV517" s="19"/>
      <c r="AW517" s="22"/>
      <c r="AX517" s="18"/>
      <c r="AY517" s="18"/>
      <c r="AZ517" s="23">
        <v>30000.0</v>
      </c>
      <c r="BA517" s="19"/>
      <c r="BB517" s="22"/>
      <c r="BC517" s="18"/>
      <c r="BD517" s="18"/>
      <c r="BE517" s="23">
        <v>30000.0</v>
      </c>
      <c r="BF517" s="19"/>
      <c r="BG517" s="22"/>
      <c r="BH517" s="18"/>
      <c r="BI517" s="18"/>
      <c r="BJ517" s="23">
        <v>30000.0</v>
      </c>
      <c r="BK517" s="19"/>
      <c r="BL517" s="22"/>
      <c r="BM517" s="18"/>
      <c r="BN517" s="18"/>
      <c r="BO517" s="23">
        <v>30000.0</v>
      </c>
      <c r="BP517" s="19"/>
      <c r="BQ517" s="17" t="s">
        <v>828</v>
      </c>
      <c r="BR517" s="1"/>
      <c r="BS517" s="1"/>
      <c r="BT517" s="1"/>
      <c r="BU517" s="1"/>
    </row>
    <row r="518">
      <c r="A518" s="1"/>
      <c r="B518" s="21"/>
      <c r="C518" s="11" t="s">
        <v>53</v>
      </c>
      <c r="D518" s="22"/>
      <c r="E518" s="18"/>
      <c r="F518" s="18"/>
      <c r="G518" s="23">
        <v>20000.0</v>
      </c>
      <c r="H518" s="19"/>
      <c r="I518" s="22"/>
      <c r="J518" s="18"/>
      <c r="K518" s="18"/>
      <c r="L518" s="23">
        <v>20000.0</v>
      </c>
      <c r="M518" s="19"/>
      <c r="N518" s="22"/>
      <c r="O518" s="18"/>
      <c r="P518" s="18"/>
      <c r="Q518" s="23">
        <v>20000.0</v>
      </c>
      <c r="R518" s="19"/>
      <c r="S518" s="22"/>
      <c r="T518" s="18"/>
      <c r="U518" s="18"/>
      <c r="V518" s="23">
        <v>20000.0</v>
      </c>
      <c r="W518" s="19"/>
      <c r="X518" s="22"/>
      <c r="Y518" s="18"/>
      <c r="Z518" s="18"/>
      <c r="AA518" s="23">
        <v>20000.0</v>
      </c>
      <c r="AB518" s="19"/>
      <c r="AC518" s="22"/>
      <c r="AD518" s="18"/>
      <c r="AE518" s="18"/>
      <c r="AF518" s="23">
        <v>20000.0</v>
      </c>
      <c r="AG518" s="19"/>
      <c r="AH518" s="22"/>
      <c r="AI518" s="18"/>
      <c r="AJ518" s="18"/>
      <c r="AK518" s="23">
        <v>20000.0</v>
      </c>
      <c r="AL518" s="19"/>
      <c r="AM518" s="22"/>
      <c r="AN518" s="18"/>
      <c r="AO518" s="18"/>
      <c r="AP518" s="23">
        <v>20000.0</v>
      </c>
      <c r="AQ518" s="19"/>
      <c r="AR518" s="22"/>
      <c r="AS518" s="18"/>
      <c r="AT518" s="18"/>
      <c r="AU518" s="23">
        <v>20000.0</v>
      </c>
      <c r="AV518" s="19"/>
      <c r="AW518" s="22"/>
      <c r="AX518" s="18"/>
      <c r="AY518" s="18"/>
      <c r="AZ518" s="23">
        <v>20000.0</v>
      </c>
      <c r="BA518" s="19"/>
      <c r="BB518" s="22"/>
      <c r="BC518" s="18"/>
      <c r="BD518" s="18"/>
      <c r="BE518" s="23">
        <v>20000.0</v>
      </c>
      <c r="BF518" s="19"/>
      <c r="BG518" s="22"/>
      <c r="BH518" s="18"/>
      <c r="BI518" s="18"/>
      <c r="BJ518" s="23">
        <v>20000.0</v>
      </c>
      <c r="BK518" s="19"/>
      <c r="BL518" s="22"/>
      <c r="BM518" s="18"/>
      <c r="BN518" s="18"/>
      <c r="BO518" s="23">
        <v>20000.0</v>
      </c>
      <c r="BP518" s="19"/>
      <c r="BQ518" s="17" t="s">
        <v>828</v>
      </c>
      <c r="BR518" s="1"/>
      <c r="BS518" s="1"/>
      <c r="BT518" s="1"/>
      <c r="BU518" s="1"/>
    </row>
    <row r="519">
      <c r="A519" s="1"/>
      <c r="B519" s="21"/>
      <c r="C519" s="11" t="s">
        <v>54</v>
      </c>
      <c r="D519" s="22"/>
      <c r="E519" s="18"/>
      <c r="F519" s="18"/>
      <c r="G519" s="23">
        <f>SUMIFS('지출'!$G$3:$G1000,'지출'!$J$3:$J1000,G$1,'지출'!$C$3:$C1000,"아리")</f>
        <v>98010</v>
      </c>
      <c r="H519" s="19"/>
      <c r="I519" s="22"/>
      <c r="J519" s="18"/>
      <c r="K519" s="18"/>
      <c r="L519" s="23">
        <f>SUMIFS('지출'!$G$3:$G1000,'지출'!$J$3:$J1000,L$1,'지출'!$C$3:$C1000,"아리")</f>
        <v>18020</v>
      </c>
      <c r="M519" s="24"/>
      <c r="N519" s="18"/>
      <c r="O519" s="18"/>
      <c r="P519" s="18"/>
      <c r="Q519" s="23">
        <f>SUMIFS('지출'!$G$3:$G1000,'지출'!$J$3:$J1000,Q$1,'지출'!$C$3:$C1000,"아리")</f>
        <v>49030</v>
      </c>
      <c r="R519" s="24"/>
      <c r="S519" s="18"/>
      <c r="T519" s="18"/>
      <c r="U519" s="18"/>
      <c r="V519" s="23">
        <f>SUMIFS('지출'!$G$3:$G1000,'지출'!$J$3:$J1000,V$1,'지출'!$C$3:$C1000,"아리")</f>
        <v>0</v>
      </c>
      <c r="W519" s="24"/>
      <c r="X519" s="18"/>
      <c r="Y519" s="18"/>
      <c r="Z519" s="18"/>
      <c r="AA519" s="23">
        <f>SUMIFS('지출'!$G$3:$G1000,'지출'!$J$3:$J1000,AA$1,'지출'!$C$3:$C1000,"아리")</f>
        <v>0</v>
      </c>
      <c r="AB519" s="24"/>
      <c r="AC519" s="18"/>
      <c r="AD519" s="18"/>
      <c r="AE519" s="18"/>
      <c r="AF519" s="23">
        <f>SUMIFS('지출'!$G$3:$G1000,'지출'!$J$3:$J1000,AF$1,'지출'!$C$3:$C1000,"아리")</f>
        <v>0</v>
      </c>
      <c r="AG519" s="24"/>
      <c r="AH519" s="18"/>
      <c r="AI519" s="18"/>
      <c r="AJ519" s="18"/>
      <c r="AK519" s="23">
        <f>SUMIFS('지출'!$G$3:$G1000,'지출'!$J$3:$J1000,AK$1,'지출'!$C$3:$C1000,"아리")</f>
        <v>0</v>
      </c>
      <c r="AL519" s="24"/>
      <c r="AM519" s="18"/>
      <c r="AN519" s="18"/>
      <c r="AO519" s="18"/>
      <c r="AP519" s="23">
        <f>SUMIFS('지출'!$G$3:$G1000,'지출'!$J$3:$J1000,AP$1,'지출'!$C$3:$C1000,"아리")</f>
        <v>0</v>
      </c>
      <c r="AQ519" s="24"/>
      <c r="AR519" s="18"/>
      <c r="AS519" s="18"/>
      <c r="AT519" s="18"/>
      <c r="AU519" s="23">
        <f>SUMIFS('지출'!$G$3:$G1000,'지출'!$J$3:$J1000,AU$1,'지출'!$C$3:$C1000,"아리")</f>
        <v>0</v>
      </c>
      <c r="AV519" s="24"/>
      <c r="AW519" s="18"/>
      <c r="AX519" s="18"/>
      <c r="AY519" s="18"/>
      <c r="AZ519" s="23">
        <f>SUMIFS('지출'!$G$3:$G1000,'지출'!$J$3:$J1000,AZ$1,'지출'!$C$3:$C1000,"아리")</f>
        <v>0</v>
      </c>
      <c r="BA519" s="24"/>
      <c r="BB519" s="18"/>
      <c r="BC519" s="18"/>
      <c r="BD519" s="18"/>
      <c r="BE519" s="23">
        <f>SUMIFS('지출'!$G$3:$G1000,'지출'!$J$3:$J1000,BE$1,'지출'!$C$3:$C1000,"아리")</f>
        <v>0</v>
      </c>
      <c r="BF519" s="24"/>
      <c r="BG519" s="18"/>
      <c r="BH519" s="18"/>
      <c r="BI519" s="18"/>
      <c r="BJ519" s="23">
        <f>SUMIFS('지출'!$G$3:$G1000,'지출'!$J$3:$J1000,BJ$1,'지출'!$C$3:$C1000,"아리")</f>
        <v>0</v>
      </c>
      <c r="BK519" s="19"/>
      <c r="BL519" s="18"/>
      <c r="BM519" s="18"/>
      <c r="BN519" s="18"/>
      <c r="BO519" s="23">
        <f>SUMIFS('지출'!$G$3:$G1000,'지출'!$J$3:$J1000,BO$1,'지출'!$C$3:$C1000,"아리")</f>
        <v>98010</v>
      </c>
      <c r="BP519" s="19"/>
      <c r="BQ519" s="17" t="s">
        <v>828</v>
      </c>
      <c r="BR519" s="1"/>
      <c r="BS519" s="1"/>
      <c r="BT519" s="1"/>
      <c r="BU519" s="1"/>
    </row>
    <row r="520">
      <c r="A520" s="1"/>
      <c r="B520" s="21"/>
      <c r="C520" s="11" t="s">
        <v>56</v>
      </c>
      <c r="D520" s="22"/>
      <c r="E520" s="23">
        <f>E511-(SUM(E512:E519))</f>
        <v>1229032</v>
      </c>
      <c r="F520" s="18"/>
      <c r="G520" s="23">
        <f>G511-(SUM(G512:G519))</f>
        <v>-150307</v>
      </c>
      <c r="H520" s="19"/>
      <c r="I520" s="22"/>
      <c r="J520" s="23">
        <f>J511-(SUM(J512:J519))</f>
        <v>1166207</v>
      </c>
      <c r="K520" s="18"/>
      <c r="L520" s="23">
        <f>L511-(SUM(L512:L519))</f>
        <v>-57884</v>
      </c>
      <c r="M520" s="19"/>
      <c r="N520" s="22"/>
      <c r="O520" s="23">
        <f>O511-(SUM(O512:O519))</f>
        <v>1885161</v>
      </c>
      <c r="P520" s="18"/>
      <c r="Q520" s="23">
        <f>Q511-(SUM(Q512:Q519))</f>
        <v>6972</v>
      </c>
      <c r="R520" s="19"/>
      <c r="S520" s="22"/>
      <c r="T520" s="23">
        <f>T511-(SUM(T512:T519))</f>
        <v>2040000</v>
      </c>
      <c r="U520" s="18"/>
      <c r="V520" s="23">
        <f>V511-(SUM(V512:V519))</f>
        <v>192040</v>
      </c>
      <c r="W520" s="19"/>
      <c r="X520" s="18"/>
      <c r="Y520" s="23">
        <f>Y511-(SUM(Y512:Y519))</f>
        <v>2040000</v>
      </c>
      <c r="Z520" s="18"/>
      <c r="AA520" s="23">
        <f>AA511-(SUM(AA512:AA519))</f>
        <v>303500</v>
      </c>
      <c r="AB520" s="19"/>
      <c r="AC520" s="18"/>
      <c r="AD520" s="23">
        <f>AD511-(SUM(AD512:AD519))</f>
        <v>2040000</v>
      </c>
      <c r="AE520" s="18"/>
      <c r="AF520" s="23">
        <f>AF511-(SUM(AF512:AF519))</f>
        <v>322380</v>
      </c>
      <c r="AG520" s="19"/>
      <c r="AH520" s="18"/>
      <c r="AI520" s="23">
        <f>AI511-(SUM(AI512:AI519))</f>
        <v>2040000</v>
      </c>
      <c r="AJ520" s="18"/>
      <c r="AK520" s="23">
        <f>AK511-(SUM(AK512:AK519))</f>
        <v>333080</v>
      </c>
      <c r="AL520" s="19"/>
      <c r="AM520" s="18"/>
      <c r="AN520" s="23">
        <f>AN511-(SUM(AN512:AN519))</f>
        <v>2087097</v>
      </c>
      <c r="AO520" s="18"/>
      <c r="AP520" s="23">
        <f>AP511-(SUM(AP512:AP519))</f>
        <v>338401</v>
      </c>
      <c r="AQ520" s="19"/>
      <c r="AR520" s="22"/>
      <c r="AS520" s="23">
        <f>AS511-(SUM(AS512:AS519))</f>
        <v>1760000</v>
      </c>
      <c r="AT520" s="18"/>
      <c r="AU520" s="23">
        <f>AU511-(SUM(AU512:AU519))</f>
        <v>261320</v>
      </c>
      <c r="AV520" s="19"/>
      <c r="AW520" s="22"/>
      <c r="AX520" s="23">
        <f>AX511-(SUM(AX512:AX519))</f>
        <v>1760000</v>
      </c>
      <c r="AY520" s="18"/>
      <c r="AZ520" s="23">
        <f>AZ511-(SUM(AZ512:AZ519))</f>
        <v>261330</v>
      </c>
      <c r="BA520" s="19"/>
      <c r="BB520" s="22"/>
      <c r="BC520" s="23">
        <f>BC511-(SUM(BC512:BC519))</f>
        <v>1760000</v>
      </c>
      <c r="BD520" s="18"/>
      <c r="BE520" s="23">
        <f>BE511-(SUM(BE512:BE519))</f>
        <v>166350</v>
      </c>
      <c r="BF520" s="19"/>
      <c r="BG520" s="22"/>
      <c r="BH520" s="23">
        <f>BH511-(SUM(BH512:BH519))</f>
        <v>1760000</v>
      </c>
      <c r="BI520" s="18"/>
      <c r="BJ520" s="23">
        <f>BJ511-(SUM(BJ512:BJ519))</f>
        <v>123610</v>
      </c>
      <c r="BK520" s="19"/>
      <c r="BL520" s="22"/>
      <c r="BM520" s="23">
        <f>BM511-(SUM(BM512:BM519))</f>
        <v>1660000</v>
      </c>
      <c r="BN520" s="18"/>
      <c r="BO520" s="23">
        <f>BO511-(SUM(BO512:BO519))</f>
        <v>171990</v>
      </c>
      <c r="BP520" s="19"/>
      <c r="BQ520" s="17" t="s">
        <v>828</v>
      </c>
      <c r="BR520" s="1"/>
      <c r="BS520" s="1"/>
      <c r="BT520" s="1"/>
      <c r="BU520" s="1"/>
    </row>
    <row r="521">
      <c r="A521" s="1"/>
      <c r="B521" s="27">
        <v>0.8</v>
      </c>
      <c r="C521" s="11" t="s">
        <v>26</v>
      </c>
      <c r="D521" s="22"/>
      <c r="E521" s="23">
        <f>E520*$B521</f>
        <v>983225.6</v>
      </c>
      <c r="F521" s="18"/>
      <c r="G521" s="18"/>
      <c r="H521" s="19"/>
      <c r="I521" s="22"/>
      <c r="J521" s="23">
        <f>J520*$B521</f>
        <v>932965.6</v>
      </c>
      <c r="K521" s="18"/>
      <c r="L521" s="18"/>
      <c r="M521" s="19"/>
      <c r="N521" s="22"/>
      <c r="O521" s="23">
        <f>O520*$B521</f>
        <v>1508128.8</v>
      </c>
      <c r="P521" s="18"/>
      <c r="Q521" s="18"/>
      <c r="R521" s="19"/>
      <c r="S521" s="22"/>
      <c r="T521" s="23">
        <f>T520*$B521</f>
        <v>1632000</v>
      </c>
      <c r="U521" s="18"/>
      <c r="V521" s="18"/>
      <c r="W521" s="19"/>
      <c r="X521" s="18"/>
      <c r="Y521" s="23">
        <f>Y520*$B521</f>
        <v>1632000</v>
      </c>
      <c r="Z521" s="18"/>
      <c r="AA521" s="18"/>
      <c r="AB521" s="19"/>
      <c r="AC521" s="18"/>
      <c r="AD521" s="23">
        <f>AD520*$B521</f>
        <v>1632000</v>
      </c>
      <c r="AE521" s="18"/>
      <c r="AF521" s="18"/>
      <c r="AG521" s="19"/>
      <c r="AH521" s="18"/>
      <c r="AI521" s="23">
        <f>AI520*$B521</f>
        <v>1632000</v>
      </c>
      <c r="AJ521" s="18"/>
      <c r="AK521" s="18"/>
      <c r="AL521" s="19"/>
      <c r="AM521" s="18"/>
      <c r="AN521" s="23">
        <f>AN520*$B521</f>
        <v>1669677.6</v>
      </c>
      <c r="AO521" s="18"/>
      <c r="AP521" s="18"/>
      <c r="AQ521" s="19"/>
      <c r="AR521" s="22"/>
      <c r="AS521" s="23">
        <f>AS520*$B521</f>
        <v>1408000</v>
      </c>
      <c r="AT521" s="18"/>
      <c r="AU521" s="18"/>
      <c r="AV521" s="19"/>
      <c r="AW521" s="22"/>
      <c r="AX521" s="23">
        <f>AX520*$B521</f>
        <v>1408000</v>
      </c>
      <c r="AY521" s="18"/>
      <c r="AZ521" s="18"/>
      <c r="BA521" s="19"/>
      <c r="BB521" s="22"/>
      <c r="BC521" s="23">
        <f>BC520*$B521</f>
        <v>1408000</v>
      </c>
      <c r="BD521" s="18"/>
      <c r="BE521" s="18"/>
      <c r="BF521" s="19"/>
      <c r="BG521" s="22"/>
      <c r="BH521" s="23">
        <f>BH520*$B521</f>
        <v>1408000</v>
      </c>
      <c r="BI521" s="18"/>
      <c r="BJ521" s="18"/>
      <c r="BK521" s="19"/>
      <c r="BL521" s="22"/>
      <c r="BM521" s="23">
        <f>BM520*$B521</f>
        <v>1328000</v>
      </c>
      <c r="BN521" s="18"/>
      <c r="BO521" s="18"/>
      <c r="BP521" s="19"/>
      <c r="BQ521" s="17" t="s">
        <v>828</v>
      </c>
      <c r="BR521" s="1"/>
      <c r="BS521" s="1"/>
      <c r="BT521" s="1"/>
      <c r="BU521" s="1"/>
    </row>
    <row r="522">
      <c r="A522" s="67" t="str">
        <f>B506</f>
        <v>아리</v>
      </c>
      <c r="B522" s="29">
        <v>0.2</v>
      </c>
      <c r="C522" s="30" t="s">
        <v>57</v>
      </c>
      <c r="D522" s="31"/>
      <c r="E522" s="32">
        <f>E520*$B522</f>
        <v>245806.4</v>
      </c>
      <c r="F522" s="33"/>
      <c r="G522" s="33"/>
      <c r="H522" s="34"/>
      <c r="I522" s="31"/>
      <c r="J522" s="32">
        <f>J520*$B522</f>
        <v>233241.4</v>
      </c>
      <c r="K522" s="33"/>
      <c r="L522" s="33"/>
      <c r="M522" s="34"/>
      <c r="N522" s="31"/>
      <c r="O522" s="32">
        <f>O520*$B522</f>
        <v>377032.2</v>
      </c>
      <c r="P522" s="33"/>
      <c r="Q522" s="33"/>
      <c r="R522" s="34"/>
      <c r="S522" s="31"/>
      <c r="T522" s="32">
        <f>T520*$B522</f>
        <v>408000</v>
      </c>
      <c r="U522" s="33"/>
      <c r="V522" s="33"/>
      <c r="W522" s="34"/>
      <c r="X522" s="33"/>
      <c r="Y522" s="32">
        <f>Y520*$B522</f>
        <v>408000</v>
      </c>
      <c r="Z522" s="33"/>
      <c r="AA522" s="33"/>
      <c r="AB522" s="34"/>
      <c r="AC522" s="33"/>
      <c r="AD522" s="32">
        <f>AD520*$B522</f>
        <v>408000</v>
      </c>
      <c r="AE522" s="33"/>
      <c r="AF522" s="33"/>
      <c r="AG522" s="34"/>
      <c r="AH522" s="33"/>
      <c r="AI522" s="32">
        <f>AI520*$B522</f>
        <v>408000</v>
      </c>
      <c r="AJ522" s="33"/>
      <c r="AK522" s="33"/>
      <c r="AL522" s="34"/>
      <c r="AM522" s="33"/>
      <c r="AN522" s="32">
        <f>AN520*$B522</f>
        <v>417419.4</v>
      </c>
      <c r="AO522" s="33"/>
      <c r="AP522" s="33"/>
      <c r="AQ522" s="34"/>
      <c r="AR522" s="31"/>
      <c r="AS522" s="32">
        <f>AS520*$B522</f>
        <v>352000</v>
      </c>
      <c r="AT522" s="33"/>
      <c r="AU522" s="33"/>
      <c r="AV522" s="34"/>
      <c r="AW522" s="31"/>
      <c r="AX522" s="32">
        <f>AX520*$B522</f>
        <v>352000</v>
      </c>
      <c r="AY522" s="33"/>
      <c r="AZ522" s="33"/>
      <c r="BA522" s="34"/>
      <c r="BB522" s="31"/>
      <c r="BC522" s="32">
        <f>BC520*$B522</f>
        <v>352000</v>
      </c>
      <c r="BD522" s="33"/>
      <c r="BE522" s="33"/>
      <c r="BF522" s="34"/>
      <c r="BG522" s="31"/>
      <c r="BH522" s="32">
        <f>BH520*$B522</f>
        <v>352000</v>
      </c>
      <c r="BI522" s="33"/>
      <c r="BJ522" s="33"/>
      <c r="BK522" s="34"/>
      <c r="BL522" s="31"/>
      <c r="BM522" s="32">
        <f>BM520*$B522</f>
        <v>332000</v>
      </c>
      <c r="BN522" s="33"/>
      <c r="BO522" s="33"/>
      <c r="BP522" s="34"/>
      <c r="BQ522" s="17" t="s">
        <v>828</v>
      </c>
      <c r="BR522" s="1"/>
      <c r="BS522" s="1"/>
      <c r="BT522" s="1"/>
      <c r="BU522" s="1"/>
    </row>
    <row r="523">
      <c r="A523" s="1"/>
      <c r="B523" s="27" t="s">
        <v>848</v>
      </c>
      <c r="C523" s="11" t="s">
        <v>849</v>
      </c>
      <c r="D523" s="20" t="s">
        <v>850</v>
      </c>
      <c r="E523" s="23">
        <v>600000.0</v>
      </c>
      <c r="F523" s="35" t="b">
        <v>0</v>
      </c>
      <c r="G523" s="23">
        <v>80000.0</v>
      </c>
      <c r="H523" s="15" t="b">
        <v>1</v>
      </c>
      <c r="I523" s="20" t="s">
        <v>850</v>
      </c>
      <c r="J523" s="23">
        <v>600000.0</v>
      </c>
      <c r="K523" s="35" t="b">
        <v>0</v>
      </c>
      <c r="L523" s="23">
        <v>80000.0</v>
      </c>
      <c r="M523" s="15" t="b">
        <v>1</v>
      </c>
      <c r="N523" s="20" t="s">
        <v>850</v>
      </c>
      <c r="O523" s="23">
        <v>600000.0</v>
      </c>
      <c r="P523" s="35" t="b">
        <v>0</v>
      </c>
      <c r="Q523" s="23">
        <v>80000.0</v>
      </c>
      <c r="R523" s="15" t="b">
        <v>1</v>
      </c>
      <c r="S523" s="20" t="s">
        <v>850</v>
      </c>
      <c r="T523" s="23">
        <v>600000.0</v>
      </c>
      <c r="U523" s="35" t="b">
        <v>0</v>
      </c>
      <c r="V523" s="23">
        <v>80000.0</v>
      </c>
      <c r="W523" s="15" t="b">
        <v>1</v>
      </c>
      <c r="X523" s="20" t="s">
        <v>851</v>
      </c>
      <c r="Y523" s="23">
        <v>600000.0</v>
      </c>
      <c r="Z523" s="35" t="b">
        <v>0</v>
      </c>
      <c r="AA523" s="23">
        <v>80000.0</v>
      </c>
      <c r="AB523" s="15" t="b">
        <v>1</v>
      </c>
      <c r="AC523" s="20" t="s">
        <v>852</v>
      </c>
      <c r="AD523" s="23">
        <v>165000.0</v>
      </c>
      <c r="AE523" s="35" t="b">
        <v>0</v>
      </c>
      <c r="AF523" s="23">
        <v>24000.0</v>
      </c>
      <c r="AG523" s="15" t="b">
        <v>1</v>
      </c>
      <c r="AH523" s="20" t="s">
        <v>853</v>
      </c>
      <c r="AI523" s="23">
        <v>550000.0</v>
      </c>
      <c r="AJ523" s="35" t="b">
        <v>0</v>
      </c>
      <c r="AK523" s="23">
        <v>80000.0</v>
      </c>
      <c r="AL523" s="15" t="b">
        <v>1</v>
      </c>
      <c r="AM523" s="20" t="s">
        <v>854</v>
      </c>
      <c r="AN523" s="23">
        <v>550000.0</v>
      </c>
      <c r="AO523" s="35" t="b">
        <v>0</v>
      </c>
      <c r="AP523" s="23">
        <v>80000.0</v>
      </c>
      <c r="AQ523" s="15" t="b">
        <v>1</v>
      </c>
      <c r="AR523" s="20" t="s">
        <v>855</v>
      </c>
      <c r="AS523" s="23">
        <f>550000+550000</f>
        <v>1100000</v>
      </c>
      <c r="AT523" s="35" t="b">
        <v>0</v>
      </c>
      <c r="AU523" s="23">
        <f>80000+80000</f>
        <v>160000</v>
      </c>
      <c r="AV523" s="15" t="b">
        <v>1</v>
      </c>
      <c r="AW523" s="20" t="s">
        <v>856</v>
      </c>
      <c r="AX523" s="23">
        <v>550000.0</v>
      </c>
      <c r="AY523" s="35" t="b">
        <v>0</v>
      </c>
      <c r="AZ523" s="23">
        <v>80000.0</v>
      </c>
      <c r="BA523" s="15" t="b">
        <v>1</v>
      </c>
      <c r="BB523" s="20" t="s">
        <v>856</v>
      </c>
      <c r="BC523" s="23">
        <v>550000.0</v>
      </c>
      <c r="BD523" s="35" t="b">
        <v>0</v>
      </c>
      <c r="BE523" s="23">
        <v>80000.0</v>
      </c>
      <c r="BF523" s="15" t="b">
        <v>1</v>
      </c>
      <c r="BG523" s="20" t="s">
        <v>856</v>
      </c>
      <c r="BH523" s="23">
        <v>550000.0</v>
      </c>
      <c r="BI523" s="35" t="b">
        <v>0</v>
      </c>
      <c r="BJ523" s="23">
        <v>80000.0</v>
      </c>
      <c r="BK523" s="15" t="b">
        <v>1</v>
      </c>
      <c r="BL523" s="20" t="s">
        <v>856</v>
      </c>
      <c r="BM523" s="23">
        <v>550000.0</v>
      </c>
      <c r="BN523" s="35" t="b">
        <v>0</v>
      </c>
      <c r="BO523" s="23">
        <v>80000.0</v>
      </c>
      <c r="BP523" s="15" t="b">
        <v>0</v>
      </c>
      <c r="BQ523" s="17" t="s">
        <v>828</v>
      </c>
      <c r="BR523" s="1"/>
      <c r="BS523" s="1"/>
      <c r="BT523" s="1"/>
      <c r="BU523" s="1"/>
    </row>
    <row r="524">
      <c r="A524" s="1"/>
      <c r="B524" s="27" t="s">
        <v>848</v>
      </c>
      <c r="C524" s="11" t="s">
        <v>857</v>
      </c>
      <c r="D524" s="20" t="s">
        <v>858</v>
      </c>
      <c r="E524" s="23">
        <v>470000.0</v>
      </c>
      <c r="F524" s="35" t="b">
        <v>0</v>
      </c>
      <c r="G524" s="23">
        <v>80000.0</v>
      </c>
      <c r="H524" s="15" t="b">
        <v>1</v>
      </c>
      <c r="I524" s="58" t="s">
        <v>859</v>
      </c>
      <c r="J524" s="23">
        <f>210690+157241</f>
        <v>367931</v>
      </c>
      <c r="K524" s="35" t="b">
        <v>0</v>
      </c>
      <c r="L524" s="23">
        <f>35862+22069</f>
        <v>57931</v>
      </c>
      <c r="M524" s="15" t="b">
        <v>1</v>
      </c>
      <c r="N524" s="20" t="s">
        <v>860</v>
      </c>
      <c r="O524" s="23">
        <v>500000.0</v>
      </c>
      <c r="P524" s="35" t="b">
        <v>0</v>
      </c>
      <c r="Q524" s="23">
        <v>80000.0</v>
      </c>
      <c r="R524" s="15" t="b">
        <v>1</v>
      </c>
      <c r="S524" s="20" t="s">
        <v>861</v>
      </c>
      <c r="T524" s="23">
        <v>500000.0</v>
      </c>
      <c r="U524" s="35" t="b">
        <v>0</v>
      </c>
      <c r="V524" s="23">
        <v>80000.0</v>
      </c>
      <c r="W524" s="15" t="b">
        <v>1</v>
      </c>
      <c r="X524" s="20" t="s">
        <v>861</v>
      </c>
      <c r="Y524" s="23">
        <v>500000.0</v>
      </c>
      <c r="Z524" s="35" t="b">
        <v>0</v>
      </c>
      <c r="AA524" s="23">
        <v>80000.0</v>
      </c>
      <c r="AB524" s="15" t="b">
        <v>1</v>
      </c>
      <c r="AC524" s="20" t="s">
        <v>862</v>
      </c>
      <c r="AD524" s="23">
        <v>500000.0</v>
      </c>
      <c r="AE524" s="35" t="b">
        <v>0</v>
      </c>
      <c r="AF524" s="23">
        <v>80000.0</v>
      </c>
      <c r="AG524" s="15" t="b">
        <v>1</v>
      </c>
      <c r="AH524" s="20" t="s">
        <v>863</v>
      </c>
      <c r="AI524" s="23">
        <v>500000.0</v>
      </c>
      <c r="AJ524" s="35" t="b">
        <v>0</v>
      </c>
      <c r="AK524" s="23">
        <v>80000.0</v>
      </c>
      <c r="AL524" s="15" t="b">
        <v>1</v>
      </c>
      <c r="AM524" s="44" t="s">
        <v>864</v>
      </c>
      <c r="AN524" s="23">
        <f>403226+164650</f>
        <v>567876</v>
      </c>
      <c r="AO524" s="35" t="b">
        <v>0</v>
      </c>
      <c r="AP524" s="23">
        <f>64516+25800</f>
        <v>90316</v>
      </c>
      <c r="AQ524" s="15" t="b">
        <v>1</v>
      </c>
      <c r="AR524" s="44" t="s">
        <v>865</v>
      </c>
      <c r="AS524" s="23">
        <v>509080.0</v>
      </c>
      <c r="AT524" s="35" t="b">
        <v>0</v>
      </c>
      <c r="AU524" s="23">
        <v>80000.0</v>
      </c>
      <c r="AV524" s="15" t="b">
        <v>1</v>
      </c>
      <c r="AW524" s="20" t="s">
        <v>866</v>
      </c>
      <c r="AX524" s="23">
        <v>550000.0</v>
      </c>
      <c r="AY524" s="35" t="b">
        <v>0</v>
      </c>
      <c r="AZ524" s="23">
        <v>80000.0</v>
      </c>
      <c r="BA524" s="15" t="b">
        <v>1</v>
      </c>
      <c r="BB524" s="20" t="s">
        <v>867</v>
      </c>
      <c r="BC524" s="23">
        <v>550000.0</v>
      </c>
      <c r="BD524" s="35" t="b">
        <v>0</v>
      </c>
      <c r="BE524" s="23">
        <v>80000.0</v>
      </c>
      <c r="BF524" s="15" t="b">
        <v>1</v>
      </c>
      <c r="BG524" s="20" t="s">
        <v>867</v>
      </c>
      <c r="BH524" s="23">
        <v>550000.0</v>
      </c>
      <c r="BI524" s="35" t="b">
        <v>0</v>
      </c>
      <c r="BJ524" s="23">
        <v>80000.0</v>
      </c>
      <c r="BK524" s="15" t="b">
        <v>1</v>
      </c>
      <c r="BL524" s="20" t="s">
        <v>867</v>
      </c>
      <c r="BM524" s="23">
        <v>550000.0</v>
      </c>
      <c r="BN524" s="35" t="b">
        <v>0</v>
      </c>
      <c r="BO524" s="23">
        <v>80000.0</v>
      </c>
      <c r="BP524" s="15" t="b">
        <v>0</v>
      </c>
      <c r="BQ524" s="17" t="s">
        <v>828</v>
      </c>
      <c r="BR524" s="1"/>
      <c r="BS524" s="1"/>
      <c r="BT524" s="1"/>
      <c r="BU524" s="1"/>
    </row>
    <row r="525">
      <c r="A525" s="1"/>
      <c r="B525" s="27" t="s">
        <v>848</v>
      </c>
      <c r="C525" s="11" t="s">
        <v>868</v>
      </c>
      <c r="D525" s="20" t="s">
        <v>869</v>
      </c>
      <c r="E525" s="23">
        <v>520000.0</v>
      </c>
      <c r="F525" s="35" t="b">
        <v>0</v>
      </c>
      <c r="G525" s="23">
        <v>80000.0</v>
      </c>
      <c r="H525" s="15" t="b">
        <v>1</v>
      </c>
      <c r="I525" s="20" t="s">
        <v>870</v>
      </c>
      <c r="J525" s="23">
        <v>520000.0</v>
      </c>
      <c r="K525" s="35" t="b">
        <v>0</v>
      </c>
      <c r="L525" s="23">
        <v>80000.0</v>
      </c>
      <c r="M525" s="15" t="b">
        <v>1</v>
      </c>
      <c r="N525" s="20" t="s">
        <v>871</v>
      </c>
      <c r="O525" s="23">
        <v>570000.0</v>
      </c>
      <c r="P525" s="35" t="b">
        <v>0</v>
      </c>
      <c r="Q525" s="23">
        <v>80000.0</v>
      </c>
      <c r="R525" s="15" t="b">
        <v>1</v>
      </c>
      <c r="S525" s="20" t="s">
        <v>872</v>
      </c>
      <c r="T525" s="23">
        <v>570000.0</v>
      </c>
      <c r="U525" s="35" t="b">
        <v>0</v>
      </c>
      <c r="V525" s="23">
        <v>80000.0</v>
      </c>
      <c r="W525" s="15" t="b">
        <v>1</v>
      </c>
      <c r="X525" s="20" t="s">
        <v>872</v>
      </c>
      <c r="Y525" s="23">
        <v>570000.0</v>
      </c>
      <c r="Z525" s="35" t="b">
        <v>0</v>
      </c>
      <c r="AA525" s="23">
        <v>80000.0</v>
      </c>
      <c r="AB525" s="15" t="b">
        <v>1</v>
      </c>
      <c r="AC525" s="20" t="s">
        <v>872</v>
      </c>
      <c r="AD525" s="23">
        <v>570000.0</v>
      </c>
      <c r="AE525" s="35" t="b">
        <v>0</v>
      </c>
      <c r="AF525" s="23">
        <v>80000.0</v>
      </c>
      <c r="AG525" s="15" t="b">
        <v>1</v>
      </c>
      <c r="AH525" s="20" t="s">
        <v>873</v>
      </c>
      <c r="AI525" s="23">
        <v>570000.0</v>
      </c>
      <c r="AJ525" s="35" t="b">
        <v>0</v>
      </c>
      <c r="AK525" s="23">
        <v>80000.0</v>
      </c>
      <c r="AL525" s="15" t="b">
        <v>1</v>
      </c>
      <c r="AM525" s="20" t="s">
        <v>874</v>
      </c>
      <c r="AN525" s="23">
        <v>134194.0</v>
      </c>
      <c r="AO525" s="35" t="b">
        <v>0</v>
      </c>
      <c r="AP525" s="23">
        <v>20645.0</v>
      </c>
      <c r="AQ525" s="15" t="b">
        <v>1</v>
      </c>
      <c r="AR525" s="20" t="s">
        <v>875</v>
      </c>
      <c r="AS525" s="23">
        <v>520000.0</v>
      </c>
      <c r="AT525" s="35" t="b">
        <v>0</v>
      </c>
      <c r="AU525" s="23">
        <v>80000.0</v>
      </c>
      <c r="AV525" s="15" t="b">
        <v>1</v>
      </c>
      <c r="AW525" s="20" t="s">
        <v>875</v>
      </c>
      <c r="AX525" s="23">
        <v>520000.0</v>
      </c>
      <c r="AY525" s="35" t="b">
        <v>0</v>
      </c>
      <c r="AZ525" s="23">
        <v>80000.0</v>
      </c>
      <c r="BA525" s="15" t="b">
        <v>1</v>
      </c>
      <c r="BB525" s="20" t="s">
        <v>875</v>
      </c>
      <c r="BC525" s="23">
        <v>520000.0</v>
      </c>
      <c r="BD525" s="35" t="b">
        <v>0</v>
      </c>
      <c r="BE525" s="23">
        <v>80000.0</v>
      </c>
      <c r="BF525" s="15" t="b">
        <v>1</v>
      </c>
      <c r="BG525" s="20" t="s">
        <v>875</v>
      </c>
      <c r="BH525" s="23">
        <v>520000.0</v>
      </c>
      <c r="BI525" s="35" t="b">
        <v>0</v>
      </c>
      <c r="BJ525" s="23">
        <v>80000.0</v>
      </c>
      <c r="BK525" s="15" t="b">
        <v>1</v>
      </c>
      <c r="BL525" s="20" t="s">
        <v>875</v>
      </c>
      <c r="BM525" s="23">
        <v>520000.0</v>
      </c>
      <c r="BN525" s="35" t="b">
        <v>0</v>
      </c>
      <c r="BO525" s="23">
        <v>80000.0</v>
      </c>
      <c r="BP525" s="15" t="b">
        <v>0</v>
      </c>
      <c r="BQ525" s="17" t="s">
        <v>828</v>
      </c>
      <c r="BR525" s="1"/>
      <c r="BS525" s="1"/>
      <c r="BT525" s="1"/>
      <c r="BU525" s="1"/>
    </row>
    <row r="526">
      <c r="A526" s="1"/>
      <c r="B526" s="27" t="s">
        <v>848</v>
      </c>
      <c r="C526" s="11" t="s">
        <v>876</v>
      </c>
      <c r="D526" s="20" t="s">
        <v>877</v>
      </c>
      <c r="E526" s="23">
        <v>350000.0</v>
      </c>
      <c r="F526" s="35" t="b">
        <v>0</v>
      </c>
      <c r="G526" s="23">
        <v>80000.0</v>
      </c>
      <c r="H526" s="15" t="b">
        <v>1</v>
      </c>
      <c r="I526" s="20" t="s">
        <v>878</v>
      </c>
      <c r="J526" s="23">
        <v>350000.0</v>
      </c>
      <c r="K526" s="35" t="b">
        <v>1</v>
      </c>
      <c r="L526" s="23">
        <v>80000.0</v>
      </c>
      <c r="M526" s="15" t="b">
        <v>1</v>
      </c>
      <c r="N526" s="20" t="s">
        <v>879</v>
      </c>
      <c r="O526" s="23">
        <v>380000.0</v>
      </c>
      <c r="P526" s="35" t="b">
        <v>0</v>
      </c>
      <c r="Q526" s="23">
        <v>80000.0</v>
      </c>
      <c r="R526" s="15" t="b">
        <v>1</v>
      </c>
      <c r="S526" s="20" t="s">
        <v>880</v>
      </c>
      <c r="T526" s="23">
        <v>380000.0</v>
      </c>
      <c r="U526" s="35" t="b">
        <v>0</v>
      </c>
      <c r="V526" s="23">
        <v>80000.0</v>
      </c>
      <c r="W526" s="15" t="b">
        <v>1</v>
      </c>
      <c r="X526" s="20" t="s">
        <v>880</v>
      </c>
      <c r="Y526" s="23">
        <v>380000.0</v>
      </c>
      <c r="Z526" s="35" t="b">
        <v>0</v>
      </c>
      <c r="AA526" s="23">
        <v>80000.0</v>
      </c>
      <c r="AB526" s="15" t="b">
        <v>1</v>
      </c>
      <c r="AC526" s="20" t="s">
        <v>880</v>
      </c>
      <c r="AD526" s="23">
        <v>380000.0</v>
      </c>
      <c r="AE526" s="35" t="b">
        <v>0</v>
      </c>
      <c r="AF526" s="23">
        <v>80000.0</v>
      </c>
      <c r="AG526" s="15" t="b">
        <v>1</v>
      </c>
      <c r="AH526" s="20" t="s">
        <v>880</v>
      </c>
      <c r="AI526" s="23">
        <v>380000.0</v>
      </c>
      <c r="AJ526" s="35" t="b">
        <v>0</v>
      </c>
      <c r="AK526" s="23">
        <v>80000.0</v>
      </c>
      <c r="AL526" s="15" t="b">
        <v>1</v>
      </c>
      <c r="AM526" s="20" t="s">
        <v>880</v>
      </c>
      <c r="AN526" s="23">
        <v>380000.0</v>
      </c>
      <c r="AO526" s="35" t="b">
        <v>0</v>
      </c>
      <c r="AP526" s="23">
        <v>80000.0</v>
      </c>
      <c r="AQ526" s="15" t="b">
        <v>1</v>
      </c>
      <c r="AR526" s="20" t="s">
        <v>880</v>
      </c>
      <c r="AS526" s="23">
        <v>380000.0</v>
      </c>
      <c r="AT526" s="35" t="b">
        <v>0</v>
      </c>
      <c r="AU526" s="23">
        <v>80000.0</v>
      </c>
      <c r="AV526" s="15" t="b">
        <v>1</v>
      </c>
      <c r="AW526" s="20" t="s">
        <v>880</v>
      </c>
      <c r="AX526" s="23">
        <v>380000.0</v>
      </c>
      <c r="AY526" s="35" t="b">
        <v>0</v>
      </c>
      <c r="AZ526" s="23">
        <v>80000.0</v>
      </c>
      <c r="BA526" s="15" t="b">
        <v>1</v>
      </c>
      <c r="BB526" s="20" t="s">
        <v>880</v>
      </c>
      <c r="BC526" s="23">
        <v>380000.0</v>
      </c>
      <c r="BD526" s="35" t="b">
        <v>0</v>
      </c>
      <c r="BE526" s="23">
        <v>80000.0</v>
      </c>
      <c r="BF526" s="15" t="b">
        <v>1</v>
      </c>
      <c r="BG526" s="20" t="s">
        <v>880</v>
      </c>
      <c r="BH526" s="23">
        <v>380000.0</v>
      </c>
      <c r="BI526" s="35" t="b">
        <v>0</v>
      </c>
      <c r="BJ526" s="23">
        <v>80000.0</v>
      </c>
      <c r="BK526" s="15" t="b">
        <v>1</v>
      </c>
      <c r="BL526" s="20" t="s">
        <v>880</v>
      </c>
      <c r="BM526" s="23">
        <v>380000.0</v>
      </c>
      <c r="BN526" s="35" t="b">
        <v>0</v>
      </c>
      <c r="BO526" s="23">
        <v>80000.0</v>
      </c>
      <c r="BP526" s="15" t="b">
        <v>0</v>
      </c>
      <c r="BQ526" s="17" t="s">
        <v>828</v>
      </c>
      <c r="BR526" s="1"/>
      <c r="BS526" s="1"/>
      <c r="BT526" s="1"/>
      <c r="BU526" s="1"/>
    </row>
    <row r="527">
      <c r="A527" s="1"/>
      <c r="B527" s="27" t="s">
        <v>848</v>
      </c>
      <c r="C527" s="11" t="s">
        <v>881</v>
      </c>
      <c r="D527" s="20" t="s">
        <v>37</v>
      </c>
      <c r="E527" s="18"/>
      <c r="F527" s="1"/>
      <c r="G527" s="18"/>
      <c r="H527" s="19"/>
      <c r="I527" s="20" t="s">
        <v>882</v>
      </c>
      <c r="J527" s="23">
        <v>17241.0</v>
      </c>
      <c r="K527" s="35" t="b">
        <v>0</v>
      </c>
      <c r="L527" s="23">
        <v>2759.0</v>
      </c>
      <c r="M527" s="15" t="b">
        <v>1</v>
      </c>
      <c r="N527" s="20" t="s">
        <v>546</v>
      </c>
      <c r="O527" s="23">
        <v>500000.0</v>
      </c>
      <c r="P527" s="35" t="b">
        <v>0</v>
      </c>
      <c r="Q527" s="23">
        <v>80000.0</v>
      </c>
      <c r="R527" s="15" t="b">
        <v>1</v>
      </c>
      <c r="S527" s="20" t="s">
        <v>546</v>
      </c>
      <c r="T527" s="23">
        <v>500000.0</v>
      </c>
      <c r="U527" s="35" t="b">
        <v>0</v>
      </c>
      <c r="V527" s="23">
        <v>80000.0</v>
      </c>
      <c r="W527" s="15" t="b">
        <v>1</v>
      </c>
      <c r="X527" s="20" t="s">
        <v>883</v>
      </c>
      <c r="Y527" s="23">
        <v>500000.0</v>
      </c>
      <c r="Z527" s="35" t="b">
        <v>0</v>
      </c>
      <c r="AA527" s="23">
        <v>80000.0</v>
      </c>
      <c r="AB527" s="15" t="b">
        <v>1</v>
      </c>
      <c r="AC527" s="20" t="s">
        <v>884</v>
      </c>
      <c r="AD527" s="23">
        <v>466667.0</v>
      </c>
      <c r="AE527" s="35" t="b">
        <v>0</v>
      </c>
      <c r="AF527" s="23">
        <v>74667.0</v>
      </c>
      <c r="AG527" s="15" t="b">
        <v>1</v>
      </c>
      <c r="AH527" s="20" t="s">
        <v>37</v>
      </c>
      <c r="AI527" s="18"/>
      <c r="AJ527" s="1"/>
      <c r="AK527" s="18"/>
      <c r="AL527" s="19"/>
      <c r="AM527" s="20" t="s">
        <v>37</v>
      </c>
      <c r="AN527" s="18"/>
      <c r="AO527" s="1"/>
      <c r="AP527" s="18"/>
      <c r="AQ527" s="19"/>
      <c r="AR527" s="20" t="s">
        <v>885</v>
      </c>
      <c r="AS527" s="23">
        <v>215000.0</v>
      </c>
      <c r="AT527" s="35" t="b">
        <v>0</v>
      </c>
      <c r="AU527" s="23">
        <v>40000.0</v>
      </c>
      <c r="AV527" s="15" t="b">
        <v>1</v>
      </c>
      <c r="AW527" s="20" t="s">
        <v>37</v>
      </c>
      <c r="AX527" s="18"/>
      <c r="AY527" s="1"/>
      <c r="AZ527" s="18"/>
      <c r="BA527" s="19"/>
      <c r="BB527" s="18"/>
      <c r="BC527" s="18"/>
      <c r="BD527" s="1"/>
      <c r="BE527" s="18"/>
      <c r="BF527" s="19"/>
      <c r="BG527" s="20" t="s">
        <v>37</v>
      </c>
      <c r="BH527" s="18"/>
      <c r="BI527" s="1"/>
      <c r="BJ527" s="18"/>
      <c r="BK527" s="19"/>
      <c r="BL527" s="20" t="s">
        <v>37</v>
      </c>
      <c r="BM527" s="18"/>
      <c r="BN527" s="1"/>
      <c r="BO527" s="18"/>
      <c r="BP527" s="15" t="b">
        <v>0</v>
      </c>
      <c r="BQ527" s="17" t="s">
        <v>828</v>
      </c>
      <c r="BR527" s="1"/>
      <c r="BS527" s="20">
        <f t="shared" ref="BS527:BS528" si="15">BH521+BH538</f>
        <v>3008000</v>
      </c>
      <c r="BT527" s="1"/>
      <c r="BU527" s="1"/>
    </row>
    <row r="528">
      <c r="A528" s="1"/>
      <c r="B528" s="21"/>
      <c r="C528" s="11" t="s">
        <v>42</v>
      </c>
      <c r="D528" s="22"/>
      <c r="E528" s="23">
        <f>SUM(E523:E527)</f>
        <v>1940000</v>
      </c>
      <c r="F528" s="18"/>
      <c r="G528" s="23">
        <f>SUM(G523:G527)</f>
        <v>320000</v>
      </c>
      <c r="H528" s="19"/>
      <c r="I528" s="22"/>
      <c r="J528" s="23">
        <f>SUM(J523:J527)</f>
        <v>1855172</v>
      </c>
      <c r="K528" s="18"/>
      <c r="L528" s="23">
        <f>SUM(L523:L527)</f>
        <v>300690</v>
      </c>
      <c r="M528" s="19"/>
      <c r="N528" s="22"/>
      <c r="O528" s="23">
        <f>SUM(O523:O527)</f>
        <v>2550000</v>
      </c>
      <c r="P528" s="18"/>
      <c r="Q528" s="23">
        <f>SUM(Q523:Q527)</f>
        <v>400000</v>
      </c>
      <c r="R528" s="19"/>
      <c r="S528" s="22"/>
      <c r="T528" s="23">
        <f>SUM(T523:T527)</f>
        <v>2550000</v>
      </c>
      <c r="U528" s="18"/>
      <c r="V528" s="23">
        <f>SUM(V523:V527)</f>
        <v>400000</v>
      </c>
      <c r="W528" s="19"/>
      <c r="X528" s="18"/>
      <c r="Y528" s="23">
        <f>SUM(Y523:Y527)</f>
        <v>2550000</v>
      </c>
      <c r="Z528" s="18"/>
      <c r="AA528" s="23">
        <f>SUM(AA523:AA527)</f>
        <v>400000</v>
      </c>
      <c r="AB528" s="19"/>
      <c r="AC528" s="18"/>
      <c r="AD528" s="23">
        <f>SUM(AD523:AD527)</f>
        <v>2081667</v>
      </c>
      <c r="AE528" s="18"/>
      <c r="AF528" s="23">
        <f>SUM(AF523:AF527)</f>
        <v>338667</v>
      </c>
      <c r="AG528" s="19"/>
      <c r="AH528" s="18"/>
      <c r="AI528" s="23">
        <f>SUM(AI523:AI527)</f>
        <v>2000000</v>
      </c>
      <c r="AJ528" s="18"/>
      <c r="AK528" s="23">
        <f>SUM(AK523:AK527)</f>
        <v>320000</v>
      </c>
      <c r="AL528" s="19"/>
      <c r="AM528" s="18"/>
      <c r="AN528" s="23">
        <f>SUM(AN523:AN527)</f>
        <v>1632070</v>
      </c>
      <c r="AO528" s="18"/>
      <c r="AP528" s="23">
        <f>SUM(AP523:AP527)</f>
        <v>270961</v>
      </c>
      <c r="AQ528" s="19"/>
      <c r="AR528" s="22"/>
      <c r="AS528" s="23">
        <f>SUM(AS523:AS527)</f>
        <v>2724080</v>
      </c>
      <c r="AT528" s="18"/>
      <c r="AU528" s="23">
        <f>SUM(AU523:AU527)</f>
        <v>440000</v>
      </c>
      <c r="AV528" s="19"/>
      <c r="AW528" s="22"/>
      <c r="AX528" s="23">
        <f>SUM(AX523:AX527)</f>
        <v>2000000</v>
      </c>
      <c r="AY528" s="18"/>
      <c r="AZ528" s="23">
        <f>SUM(AZ523:AZ527)</f>
        <v>320000</v>
      </c>
      <c r="BA528" s="19"/>
      <c r="BB528" s="22"/>
      <c r="BC528" s="23">
        <f>SUM(BC523:BC527)</f>
        <v>2000000</v>
      </c>
      <c r="BD528" s="18"/>
      <c r="BE528" s="23">
        <f>SUM(BE523:BE527)</f>
        <v>320000</v>
      </c>
      <c r="BF528" s="19"/>
      <c r="BG528" s="22"/>
      <c r="BH528" s="23">
        <f>SUM(BH523:BH527)</f>
        <v>2000000</v>
      </c>
      <c r="BI528" s="18"/>
      <c r="BJ528" s="23">
        <f>SUM(BJ523:BJ527)</f>
        <v>320000</v>
      </c>
      <c r="BK528" s="19"/>
      <c r="BL528" s="22"/>
      <c r="BM528" s="23">
        <f>SUM(BM523:BM527)</f>
        <v>2000000</v>
      </c>
      <c r="BN528" s="18"/>
      <c r="BO528" s="23">
        <f>SUM(BO523:BO527)</f>
        <v>320000</v>
      </c>
      <c r="BP528" s="19"/>
      <c r="BQ528" s="17" t="s">
        <v>828</v>
      </c>
      <c r="BR528" s="1"/>
      <c r="BS528" s="20">
        <f t="shared" si="15"/>
        <v>752000</v>
      </c>
      <c r="BT528" s="1"/>
      <c r="BU528" s="1"/>
    </row>
    <row r="529">
      <c r="A529" s="1"/>
      <c r="B529" s="21"/>
      <c r="C529" s="11" t="s">
        <v>43</v>
      </c>
      <c r="D529" s="22"/>
      <c r="E529" s="18"/>
      <c r="F529" s="18"/>
      <c r="G529" s="18"/>
      <c r="H529" s="19"/>
      <c r="I529" s="22"/>
      <c r="J529" s="18"/>
      <c r="K529" s="18"/>
      <c r="L529" s="18"/>
      <c r="M529" s="19"/>
      <c r="N529" s="22"/>
      <c r="O529" s="18"/>
      <c r="P529" s="18"/>
      <c r="Q529" s="18"/>
      <c r="R529" s="19"/>
      <c r="S529" s="22"/>
      <c r="T529" s="18"/>
      <c r="U529" s="18"/>
      <c r="V529" s="18"/>
      <c r="W529" s="19"/>
      <c r="X529" s="18"/>
      <c r="Y529" s="18"/>
      <c r="Z529" s="18"/>
      <c r="AA529" s="18"/>
      <c r="AB529" s="19"/>
      <c r="AC529" s="18"/>
      <c r="AD529" s="18"/>
      <c r="AE529" s="18"/>
      <c r="AF529" s="18"/>
      <c r="AG529" s="19"/>
      <c r="AH529" s="18"/>
      <c r="AI529" s="18"/>
      <c r="AJ529" s="18"/>
      <c r="AK529" s="18"/>
      <c r="AL529" s="19"/>
      <c r="AM529" s="18"/>
      <c r="AN529" s="18"/>
      <c r="AO529" s="18"/>
      <c r="AP529" s="18"/>
      <c r="AQ529" s="19"/>
      <c r="AR529" s="22"/>
      <c r="AS529" s="18"/>
      <c r="AT529" s="18"/>
      <c r="AU529" s="18"/>
      <c r="AV529" s="19"/>
      <c r="AW529" s="22"/>
      <c r="AX529" s="18"/>
      <c r="AY529" s="18"/>
      <c r="AZ529" s="18"/>
      <c r="BA529" s="19"/>
      <c r="BB529" s="22"/>
      <c r="BC529" s="18"/>
      <c r="BD529" s="18"/>
      <c r="BE529" s="18"/>
      <c r="BF529" s="19"/>
      <c r="BG529" s="22"/>
      <c r="BH529" s="18"/>
      <c r="BI529" s="18"/>
      <c r="BJ529" s="18"/>
      <c r="BK529" s="19"/>
      <c r="BL529" s="22"/>
      <c r="BM529" s="18"/>
      <c r="BN529" s="18"/>
      <c r="BO529" s="18"/>
      <c r="BP529" s="19"/>
      <c r="BQ529" s="17" t="s">
        <v>828</v>
      </c>
      <c r="BR529" s="1"/>
      <c r="BS529" s="1"/>
      <c r="BT529" s="1"/>
      <c r="BU529" s="1"/>
    </row>
    <row r="530">
      <c r="A530" s="1"/>
      <c r="B530" s="21"/>
      <c r="C530" s="11" t="s">
        <v>45</v>
      </c>
      <c r="D530" s="22"/>
      <c r="E530" s="18"/>
      <c r="F530" s="18"/>
      <c r="G530" s="18"/>
      <c r="H530" s="19"/>
      <c r="I530" s="22"/>
      <c r="J530" s="18"/>
      <c r="K530" s="18"/>
      <c r="L530" s="18"/>
      <c r="M530" s="19"/>
      <c r="N530" s="22"/>
      <c r="O530" s="18"/>
      <c r="P530" s="18"/>
      <c r="Q530" s="18"/>
      <c r="R530" s="19"/>
      <c r="S530" s="22"/>
      <c r="T530" s="18"/>
      <c r="U530" s="18"/>
      <c r="V530" s="18"/>
      <c r="W530" s="19"/>
      <c r="X530" s="18"/>
      <c r="Y530" s="18"/>
      <c r="Z530" s="18"/>
      <c r="AA530" s="18"/>
      <c r="AB530" s="19"/>
      <c r="AC530" s="18"/>
      <c r="AD530" s="18"/>
      <c r="AE530" s="18"/>
      <c r="AF530" s="18"/>
      <c r="AG530" s="19"/>
      <c r="AH530" s="18"/>
      <c r="AI530" s="18"/>
      <c r="AJ530" s="18"/>
      <c r="AK530" s="18"/>
      <c r="AL530" s="19"/>
      <c r="AM530" s="18"/>
      <c r="AN530" s="18"/>
      <c r="AO530" s="18"/>
      <c r="AP530" s="18"/>
      <c r="AQ530" s="19"/>
      <c r="AR530" s="22"/>
      <c r="AS530" s="18"/>
      <c r="AT530" s="18"/>
      <c r="AU530" s="18"/>
      <c r="AV530" s="19"/>
      <c r="AW530" s="22"/>
      <c r="AX530" s="18"/>
      <c r="AY530" s="18"/>
      <c r="AZ530" s="18"/>
      <c r="BA530" s="19"/>
      <c r="BB530" s="22"/>
      <c r="BC530" s="18"/>
      <c r="BD530" s="18"/>
      <c r="BE530" s="18"/>
      <c r="BF530" s="19"/>
      <c r="BG530" s="22"/>
      <c r="BH530" s="18"/>
      <c r="BI530" s="18"/>
      <c r="BJ530" s="18"/>
      <c r="BK530" s="19"/>
      <c r="BL530" s="22"/>
      <c r="BM530" s="18"/>
      <c r="BN530" s="18"/>
      <c r="BO530" s="18"/>
      <c r="BP530" s="19"/>
      <c r="BQ530" s="17" t="s">
        <v>828</v>
      </c>
      <c r="BR530" s="1"/>
      <c r="BS530" s="1"/>
      <c r="BT530" s="1"/>
      <c r="BU530" s="1"/>
    </row>
    <row r="531">
      <c r="A531" s="1"/>
      <c r="B531" s="10" t="s">
        <v>886</v>
      </c>
      <c r="C531" s="11" t="s">
        <v>303</v>
      </c>
      <c r="D531" s="22"/>
      <c r="E531" s="18"/>
      <c r="F531" s="18"/>
      <c r="G531" s="18"/>
      <c r="H531" s="19"/>
      <c r="I531" s="22"/>
      <c r="J531" s="18"/>
      <c r="K531" s="18"/>
      <c r="L531" s="18"/>
      <c r="M531" s="19"/>
      <c r="N531" s="22"/>
      <c r="O531" s="18"/>
      <c r="P531" s="18"/>
      <c r="Q531" s="18"/>
      <c r="R531" s="19"/>
      <c r="S531" s="22"/>
      <c r="T531" s="18"/>
      <c r="U531" s="18"/>
      <c r="V531" s="18"/>
      <c r="W531" s="19"/>
      <c r="X531" s="18"/>
      <c r="Y531" s="18"/>
      <c r="Z531" s="18"/>
      <c r="AA531" s="18"/>
      <c r="AB531" s="19"/>
      <c r="AC531" s="18"/>
      <c r="AD531" s="18"/>
      <c r="AE531" s="18"/>
      <c r="AF531" s="18"/>
      <c r="AG531" s="19"/>
      <c r="AH531" s="18"/>
      <c r="AI531" s="18"/>
      <c r="AJ531" s="18"/>
      <c r="AK531" s="18"/>
      <c r="AL531" s="19"/>
      <c r="AM531" s="18"/>
      <c r="AN531" s="18"/>
      <c r="AO531" s="18"/>
      <c r="AP531" s="18"/>
      <c r="AQ531" s="19"/>
      <c r="AR531" s="22"/>
      <c r="AS531" s="18"/>
      <c r="AT531" s="18"/>
      <c r="AU531" s="18"/>
      <c r="AV531" s="19"/>
      <c r="AW531" s="22"/>
      <c r="AX531" s="18"/>
      <c r="AY531" s="18"/>
      <c r="AZ531" s="18"/>
      <c r="BA531" s="19"/>
      <c r="BB531" s="22"/>
      <c r="BC531" s="18"/>
      <c r="BD531" s="18"/>
      <c r="BE531" s="18"/>
      <c r="BF531" s="19"/>
      <c r="BG531" s="22"/>
      <c r="BH531" s="18"/>
      <c r="BI531" s="18"/>
      <c r="BJ531" s="18"/>
      <c r="BK531" s="19"/>
      <c r="BL531" s="22"/>
      <c r="BM531" s="18"/>
      <c r="BN531" s="18"/>
      <c r="BO531" s="18"/>
      <c r="BP531" s="19"/>
      <c r="BQ531" s="17" t="s">
        <v>828</v>
      </c>
      <c r="BR531" s="1"/>
      <c r="BS531" s="1"/>
      <c r="BT531" s="1"/>
      <c r="BU531" s="1"/>
    </row>
    <row r="532">
      <c r="A532" s="1"/>
      <c r="B532" s="10" t="s">
        <v>887</v>
      </c>
      <c r="C532" s="11" t="s">
        <v>261</v>
      </c>
      <c r="D532" s="22"/>
      <c r="E532" s="18"/>
      <c r="F532" s="18"/>
      <c r="G532" s="23">
        <v>306840.0</v>
      </c>
      <c r="H532" s="19"/>
      <c r="I532" s="22"/>
      <c r="J532" s="18"/>
      <c r="K532" s="18"/>
      <c r="L532" s="23">
        <v>288760.0</v>
      </c>
      <c r="M532" s="19"/>
      <c r="N532" s="22"/>
      <c r="O532" s="18"/>
      <c r="P532" s="18"/>
      <c r="Q532" s="23">
        <v>200820.0</v>
      </c>
      <c r="R532" s="19"/>
      <c r="S532" s="22"/>
      <c r="T532" s="18"/>
      <c r="U532" s="18"/>
      <c r="V532" s="23">
        <v>149540.0</v>
      </c>
      <c r="W532" s="19"/>
      <c r="X532" s="18"/>
      <c r="Y532" s="18"/>
      <c r="Z532" s="18"/>
      <c r="AA532" s="23">
        <v>35470.0</v>
      </c>
      <c r="AB532" s="19"/>
      <c r="AC532" s="18"/>
      <c r="AD532" s="18"/>
      <c r="AE532" s="18"/>
      <c r="AF532" s="23">
        <v>17890.0</v>
      </c>
      <c r="AG532" s="19"/>
      <c r="AH532" s="18"/>
      <c r="AI532" s="18"/>
      <c r="AJ532" s="18"/>
      <c r="AK532" s="23">
        <v>11140.0</v>
      </c>
      <c r="AL532" s="19"/>
      <c r="AM532" s="18"/>
      <c r="AN532" s="18"/>
      <c r="AO532" s="18"/>
      <c r="AP532" s="23">
        <v>10480.0</v>
      </c>
      <c r="AQ532" s="19"/>
      <c r="AR532" s="22"/>
      <c r="AS532" s="18"/>
      <c r="AT532" s="18"/>
      <c r="AU532" s="23">
        <v>13890.0</v>
      </c>
      <c r="AV532" s="19"/>
      <c r="AW532" s="22"/>
      <c r="AX532" s="18"/>
      <c r="AY532" s="18"/>
      <c r="AZ532" s="23">
        <v>20130.0</v>
      </c>
      <c r="BA532" s="19"/>
      <c r="BB532" s="22"/>
      <c r="BC532" s="18"/>
      <c r="BD532" s="18"/>
      <c r="BE532" s="23">
        <v>130630.0</v>
      </c>
      <c r="BF532" s="19"/>
      <c r="BG532" s="22"/>
      <c r="BH532" s="18"/>
      <c r="BI532" s="18"/>
      <c r="BJ532" s="23">
        <v>253330.0</v>
      </c>
      <c r="BK532" s="19"/>
      <c r="BL532" s="22"/>
      <c r="BM532" s="18"/>
      <c r="BN532" s="18"/>
      <c r="BO532" s="18"/>
      <c r="BP532" s="19"/>
      <c r="BQ532" s="17" t="s">
        <v>828</v>
      </c>
      <c r="BR532" s="1"/>
      <c r="BS532" s="1"/>
      <c r="BT532" s="1"/>
      <c r="BU532" s="1"/>
    </row>
    <row r="533">
      <c r="A533" s="1"/>
      <c r="B533" s="21"/>
      <c r="C533" s="11" t="s">
        <v>51</v>
      </c>
      <c r="D533" s="22"/>
      <c r="E533" s="18"/>
      <c r="F533" s="18"/>
      <c r="G533" s="18"/>
      <c r="H533" s="19"/>
      <c r="I533" s="22"/>
      <c r="J533" s="18"/>
      <c r="K533" s="18"/>
      <c r="L533" s="18"/>
      <c r="M533" s="19"/>
      <c r="N533" s="22"/>
      <c r="O533" s="18"/>
      <c r="P533" s="18"/>
      <c r="Q533" s="18"/>
      <c r="R533" s="19"/>
      <c r="S533" s="22"/>
      <c r="T533" s="18"/>
      <c r="U533" s="18"/>
      <c r="V533" s="18"/>
      <c r="W533" s="19"/>
      <c r="X533" s="18"/>
      <c r="Y533" s="18"/>
      <c r="Z533" s="18"/>
      <c r="AA533" s="18"/>
      <c r="AB533" s="19"/>
      <c r="AC533" s="18"/>
      <c r="AD533" s="18"/>
      <c r="AE533" s="18"/>
      <c r="AF533" s="18"/>
      <c r="AG533" s="19"/>
      <c r="AH533" s="18"/>
      <c r="AI533" s="18"/>
      <c r="AJ533" s="18"/>
      <c r="AK533" s="18"/>
      <c r="AL533" s="19"/>
      <c r="AM533" s="18"/>
      <c r="AN533" s="18"/>
      <c r="AO533" s="18"/>
      <c r="AP533" s="18"/>
      <c r="AQ533" s="19"/>
      <c r="AR533" s="22"/>
      <c r="AS533" s="18"/>
      <c r="AT533" s="18"/>
      <c r="AU533" s="18"/>
      <c r="AV533" s="19"/>
      <c r="AW533" s="22"/>
      <c r="AX533" s="18"/>
      <c r="AY533" s="18"/>
      <c r="AZ533" s="18"/>
      <c r="BA533" s="19"/>
      <c r="BB533" s="22"/>
      <c r="BC533" s="18"/>
      <c r="BD533" s="18"/>
      <c r="BE533" s="18"/>
      <c r="BF533" s="19"/>
      <c r="BG533" s="22"/>
      <c r="BH533" s="18"/>
      <c r="BI533" s="18"/>
      <c r="BJ533" s="18"/>
      <c r="BK533" s="19"/>
      <c r="BL533" s="22"/>
      <c r="BM533" s="18"/>
      <c r="BN533" s="18"/>
      <c r="BO533" s="18"/>
      <c r="BP533" s="19"/>
      <c r="BQ533" s="17" t="s">
        <v>828</v>
      </c>
      <c r="BR533" s="1"/>
      <c r="BS533" s="1"/>
      <c r="BT533" s="1"/>
      <c r="BU533" s="1"/>
    </row>
    <row r="534">
      <c r="A534" s="1"/>
      <c r="B534" s="21"/>
      <c r="C534" s="11" t="s">
        <v>52</v>
      </c>
      <c r="D534" s="104"/>
      <c r="E534" s="97"/>
      <c r="F534" s="97"/>
      <c r="G534" s="49">
        <v>30000.0</v>
      </c>
      <c r="H534" s="105"/>
      <c r="I534" s="104"/>
      <c r="J534" s="97"/>
      <c r="K534" s="97"/>
      <c r="L534" s="49">
        <v>30000.0</v>
      </c>
      <c r="M534" s="105"/>
      <c r="N534" s="104"/>
      <c r="O534" s="97"/>
      <c r="P534" s="97"/>
      <c r="Q534" s="49">
        <v>30000.0</v>
      </c>
      <c r="R534" s="105"/>
      <c r="S534" s="104"/>
      <c r="T534" s="97"/>
      <c r="U534" s="97"/>
      <c r="V534" s="49">
        <v>30000.0</v>
      </c>
      <c r="W534" s="105"/>
      <c r="X534" s="104"/>
      <c r="Y534" s="97"/>
      <c r="Z534" s="97"/>
      <c r="AA534" s="49">
        <v>30000.0</v>
      </c>
      <c r="AB534" s="105"/>
      <c r="AC534" s="104"/>
      <c r="AD534" s="97"/>
      <c r="AE534" s="97"/>
      <c r="AF534" s="49">
        <v>30000.0</v>
      </c>
      <c r="AG534" s="105"/>
      <c r="AH534" s="104"/>
      <c r="AI534" s="97"/>
      <c r="AJ534" s="97"/>
      <c r="AK534" s="49">
        <v>30000.0</v>
      </c>
      <c r="AL534" s="105"/>
      <c r="AM534" s="104"/>
      <c r="AN534" s="97"/>
      <c r="AO534" s="97"/>
      <c r="AP534" s="49">
        <v>30000.0</v>
      </c>
      <c r="AQ534" s="105"/>
      <c r="AR534" s="104"/>
      <c r="AS534" s="97"/>
      <c r="AT534" s="97"/>
      <c r="AU534" s="49">
        <v>30000.0</v>
      </c>
      <c r="AV534" s="105"/>
      <c r="AW534" s="104"/>
      <c r="AX534" s="97"/>
      <c r="AY534" s="97"/>
      <c r="AZ534" s="49">
        <v>30000.0</v>
      </c>
      <c r="BA534" s="105"/>
      <c r="BB534" s="104"/>
      <c r="BC534" s="97"/>
      <c r="BD534" s="97"/>
      <c r="BE534" s="49">
        <v>30000.0</v>
      </c>
      <c r="BF534" s="105"/>
      <c r="BG534" s="104"/>
      <c r="BH534" s="97"/>
      <c r="BI534" s="97"/>
      <c r="BJ534" s="49">
        <v>30000.0</v>
      </c>
      <c r="BK534" s="105"/>
      <c r="BL534" s="104"/>
      <c r="BM534" s="97"/>
      <c r="BN534" s="97"/>
      <c r="BO534" s="49">
        <v>30000.0</v>
      </c>
      <c r="BP534" s="105"/>
      <c r="BQ534" s="17" t="s">
        <v>828</v>
      </c>
      <c r="BR534" s="1"/>
      <c r="BS534" s="1"/>
      <c r="BT534" s="1"/>
      <c r="BU534" s="1"/>
    </row>
    <row r="535">
      <c r="A535" s="1"/>
      <c r="B535" s="21"/>
      <c r="C535" s="11" t="s">
        <v>53</v>
      </c>
      <c r="D535" s="104"/>
      <c r="E535" s="97"/>
      <c r="F535" s="97"/>
      <c r="G535" s="49">
        <v>20000.0</v>
      </c>
      <c r="H535" s="105"/>
      <c r="I535" s="104"/>
      <c r="J535" s="97"/>
      <c r="K535" s="97"/>
      <c r="L535" s="49">
        <v>20000.0</v>
      </c>
      <c r="M535" s="105"/>
      <c r="N535" s="104"/>
      <c r="O535" s="97"/>
      <c r="P535" s="97"/>
      <c r="Q535" s="49">
        <v>20000.0</v>
      </c>
      <c r="R535" s="105"/>
      <c r="S535" s="104"/>
      <c r="T535" s="97"/>
      <c r="U535" s="97"/>
      <c r="V535" s="49">
        <v>20000.0</v>
      </c>
      <c r="W535" s="105"/>
      <c r="X535" s="104"/>
      <c r="Y535" s="97"/>
      <c r="Z535" s="97"/>
      <c r="AA535" s="49">
        <v>20000.0</v>
      </c>
      <c r="AB535" s="105"/>
      <c r="AC535" s="104"/>
      <c r="AD535" s="97"/>
      <c r="AE535" s="97"/>
      <c r="AF535" s="49">
        <v>20000.0</v>
      </c>
      <c r="AG535" s="105"/>
      <c r="AH535" s="104"/>
      <c r="AI535" s="97"/>
      <c r="AJ535" s="97"/>
      <c r="AK535" s="49">
        <v>20000.0</v>
      </c>
      <c r="AL535" s="105"/>
      <c r="AM535" s="104"/>
      <c r="AN535" s="97"/>
      <c r="AO535" s="97"/>
      <c r="AP535" s="49">
        <v>20000.0</v>
      </c>
      <c r="AQ535" s="105"/>
      <c r="AR535" s="104"/>
      <c r="AS535" s="97"/>
      <c r="AT535" s="97"/>
      <c r="AU535" s="49">
        <v>20000.0</v>
      </c>
      <c r="AV535" s="105"/>
      <c r="AW535" s="104"/>
      <c r="AX535" s="97"/>
      <c r="AY535" s="97"/>
      <c r="AZ535" s="49">
        <v>20000.0</v>
      </c>
      <c r="BA535" s="105"/>
      <c r="BB535" s="104"/>
      <c r="BC535" s="97"/>
      <c r="BD535" s="97"/>
      <c r="BE535" s="49">
        <v>20000.0</v>
      </c>
      <c r="BF535" s="105"/>
      <c r="BG535" s="104"/>
      <c r="BH535" s="97"/>
      <c r="BI535" s="97"/>
      <c r="BJ535" s="49">
        <v>20000.0</v>
      </c>
      <c r="BK535" s="105"/>
      <c r="BL535" s="104"/>
      <c r="BM535" s="97"/>
      <c r="BN535" s="97"/>
      <c r="BO535" s="49">
        <v>20000.0</v>
      </c>
      <c r="BP535" s="105"/>
      <c r="BQ535" s="17" t="s">
        <v>828</v>
      </c>
      <c r="BR535" s="1"/>
      <c r="BS535" s="1"/>
      <c r="BT535" s="1"/>
      <c r="BU535" s="1"/>
    </row>
    <row r="536">
      <c r="A536" s="1"/>
      <c r="B536" s="21"/>
      <c r="C536" s="11" t="s">
        <v>54</v>
      </c>
      <c r="D536" s="22"/>
      <c r="E536" s="18"/>
      <c r="F536" s="18"/>
      <c r="G536" s="23">
        <f>SUMIFS('지출'!$G$3:$G1000,'지출'!$J$3:$J1000,G$1,'지출'!$C$3:$C1000,"한성")</f>
        <v>78150</v>
      </c>
      <c r="H536" s="19"/>
      <c r="I536" s="22"/>
      <c r="J536" s="18"/>
      <c r="K536" s="18"/>
      <c r="L536" s="23">
        <f>SUMIFS('지출'!$G$3:$G1000,'지출'!$J$3:$J1000,L$1,'지출'!$C$3:$C1000,"한성")</f>
        <v>55000</v>
      </c>
      <c r="M536" s="24"/>
      <c r="N536" s="18"/>
      <c r="O536" s="18"/>
      <c r="P536" s="18"/>
      <c r="Q536" s="23">
        <f>SUMIFS('지출'!$G$3:$G1000,'지출'!$J$3:$J1000,Q$1,'지출'!$C$3:$C1000,"한성")</f>
        <v>52540</v>
      </c>
      <c r="R536" s="24"/>
      <c r="S536" s="18"/>
      <c r="T536" s="18"/>
      <c r="U536" s="18"/>
      <c r="V536" s="23">
        <f>SUMIFS('지출'!$G$3:$G1000,'지출'!$J$3:$J1000,V$1,'지출'!$C$3:$C1000,"한성")</f>
        <v>0</v>
      </c>
      <c r="W536" s="24"/>
      <c r="X536" s="18"/>
      <c r="Y536" s="18"/>
      <c r="Z536" s="18"/>
      <c r="AA536" s="23">
        <f>SUMIFS('지출'!$G$3:$G1000,'지출'!$J$3:$J1000,AA$1,'지출'!$C$3:$C1000,"한성")</f>
        <v>0</v>
      </c>
      <c r="AB536" s="24"/>
      <c r="AC536" s="18"/>
      <c r="AD536" s="18"/>
      <c r="AE536" s="18"/>
      <c r="AF536" s="23">
        <f>SUMIFS('지출'!$G$3:$G1000,'지출'!$J$3:$J1000,AF$1,'지출'!$C$3:$C1000,"한성")</f>
        <v>0</v>
      </c>
      <c r="AG536" s="24"/>
      <c r="AH536" s="18"/>
      <c r="AI536" s="18"/>
      <c r="AJ536" s="18"/>
      <c r="AK536" s="23">
        <f>SUMIFS('지출'!$G$3:$G1000,'지출'!$J$3:$J1000,AK$1,'지출'!$C$3:$C1000,"한성")</f>
        <v>0</v>
      </c>
      <c r="AL536" s="24"/>
      <c r="AM536" s="18"/>
      <c r="AN536" s="18"/>
      <c r="AO536" s="18"/>
      <c r="AP536" s="23">
        <f>SUMIFS('지출'!$G$3:$G1000,'지출'!$J$3:$J1000,AP$1,'지출'!$C$3:$C1000,"한성")</f>
        <v>0</v>
      </c>
      <c r="AQ536" s="24"/>
      <c r="AR536" s="18"/>
      <c r="AS536" s="18"/>
      <c r="AT536" s="18"/>
      <c r="AU536" s="23">
        <f>SUMIFS('지출'!$G$3:$G1000,'지출'!$J$3:$J1000,AU$1,'지출'!$C$3:$C1000,"한성")</f>
        <v>0</v>
      </c>
      <c r="AV536" s="24"/>
      <c r="AW536" s="18"/>
      <c r="AX536" s="18"/>
      <c r="AY536" s="18"/>
      <c r="AZ536" s="23">
        <f>SUMIFS('지출'!$G$3:$G1000,'지출'!$J$3:$J1000,AZ$1,'지출'!$C$3:$C1000,"한성")</f>
        <v>0</v>
      </c>
      <c r="BA536" s="24"/>
      <c r="BB536" s="18"/>
      <c r="BC536" s="18"/>
      <c r="BD536" s="18"/>
      <c r="BE536" s="23">
        <f>SUMIFS('지출'!$G$3:$G1000,'지출'!$J$3:$J1000,BE$1,'지출'!$C$3:$C1000,"한성")</f>
        <v>0</v>
      </c>
      <c r="BF536" s="24"/>
      <c r="BG536" s="18"/>
      <c r="BH536" s="18"/>
      <c r="BI536" s="18"/>
      <c r="BJ536" s="23">
        <f>SUMIFS('지출'!$G$3:$G1000,'지출'!$J$3:$J1000,BJ$1,'지출'!$C$3:$C1000,"한성")</f>
        <v>0</v>
      </c>
      <c r="BK536" s="19"/>
      <c r="BL536" s="18"/>
      <c r="BM536" s="18"/>
      <c r="BN536" s="18"/>
      <c r="BO536" s="23">
        <f>SUMIFS('지출'!$G$3:$G1000,'지출'!$J$3:$J1000,BO$1,'지출'!$C$3:$C1000,"한성")</f>
        <v>78150</v>
      </c>
      <c r="BP536" s="19"/>
      <c r="BQ536" s="17" t="s">
        <v>828</v>
      </c>
      <c r="BR536" s="1"/>
      <c r="BS536" s="1"/>
      <c r="BT536" s="1"/>
      <c r="BU536" s="1"/>
    </row>
    <row r="537">
      <c r="A537" s="1"/>
      <c r="B537" s="21"/>
      <c r="C537" s="11" t="s">
        <v>56</v>
      </c>
      <c r="D537" s="22"/>
      <c r="E537" s="23">
        <f>E528-(SUM(E529:E536))</f>
        <v>1940000</v>
      </c>
      <c r="F537" s="18"/>
      <c r="G537" s="23">
        <f>G528-(SUM(G529:G536))</f>
        <v>-114990</v>
      </c>
      <c r="H537" s="19"/>
      <c r="I537" s="22"/>
      <c r="J537" s="23">
        <f>J528-(SUM(J529:J536))</f>
        <v>1855172</v>
      </c>
      <c r="K537" s="18"/>
      <c r="L537" s="23">
        <f>L528-(SUM(L529:L536))</f>
        <v>-93070</v>
      </c>
      <c r="M537" s="19"/>
      <c r="N537" s="22"/>
      <c r="O537" s="23">
        <f>O528-(SUM(O529:O536))</f>
        <v>2550000</v>
      </c>
      <c r="P537" s="18"/>
      <c r="Q537" s="23">
        <f>Q528-(SUM(Q529:Q536))</f>
        <v>96640</v>
      </c>
      <c r="R537" s="19"/>
      <c r="S537" s="22"/>
      <c r="T537" s="23">
        <f>T528-(SUM(T529:T536))</f>
        <v>2550000</v>
      </c>
      <c r="U537" s="18"/>
      <c r="V537" s="23">
        <f>V528-(SUM(V529:V536))</f>
        <v>200460</v>
      </c>
      <c r="W537" s="19"/>
      <c r="X537" s="18"/>
      <c r="Y537" s="23">
        <f>Y528-(SUM(Y529:Y536))</f>
        <v>2550000</v>
      </c>
      <c r="Z537" s="18"/>
      <c r="AA537" s="23">
        <f>AA528-(SUM(AA529:AA536))</f>
        <v>314530</v>
      </c>
      <c r="AB537" s="19"/>
      <c r="AC537" s="18"/>
      <c r="AD537" s="23">
        <f>AD528-(SUM(AD529:AD536))</f>
        <v>2081667</v>
      </c>
      <c r="AE537" s="18"/>
      <c r="AF537" s="23">
        <f>AF528-(SUM(AF529:AF536))</f>
        <v>270777</v>
      </c>
      <c r="AG537" s="19"/>
      <c r="AH537" s="18"/>
      <c r="AI537" s="23">
        <f>AI528-(SUM(AI529:AI536))</f>
        <v>2000000</v>
      </c>
      <c r="AJ537" s="18"/>
      <c r="AK537" s="23">
        <f>AK528-(SUM(AK529:AK536))</f>
        <v>258860</v>
      </c>
      <c r="AL537" s="19"/>
      <c r="AM537" s="18"/>
      <c r="AN537" s="23">
        <f>AN528-(SUM(AN529:AN536))</f>
        <v>1632070</v>
      </c>
      <c r="AO537" s="18"/>
      <c r="AP537" s="23">
        <f>AP528-(SUM(AP529:AP536))</f>
        <v>210481</v>
      </c>
      <c r="AQ537" s="19"/>
      <c r="AR537" s="22"/>
      <c r="AS537" s="23">
        <f>AS528-(SUM(AS529:AS536))</f>
        <v>2724080</v>
      </c>
      <c r="AT537" s="18"/>
      <c r="AU537" s="23">
        <f>AU528-(SUM(AU529:AU536))</f>
        <v>376110</v>
      </c>
      <c r="AV537" s="19"/>
      <c r="AW537" s="22"/>
      <c r="AX537" s="23">
        <f>AX528-(SUM(AX529:AX536))</f>
        <v>2000000</v>
      </c>
      <c r="AY537" s="18"/>
      <c r="AZ537" s="23">
        <f>AZ528-(SUM(AZ529:AZ536))</f>
        <v>249870</v>
      </c>
      <c r="BA537" s="19"/>
      <c r="BB537" s="22"/>
      <c r="BC537" s="23">
        <f>BC528-(SUM(BC529:BC536))</f>
        <v>2000000</v>
      </c>
      <c r="BD537" s="18"/>
      <c r="BE537" s="23">
        <f>BE528-(SUM(BE529:BE536))</f>
        <v>139370</v>
      </c>
      <c r="BF537" s="19"/>
      <c r="BG537" s="22"/>
      <c r="BH537" s="23">
        <f>BH528-(SUM(BH529:BH536))</f>
        <v>2000000</v>
      </c>
      <c r="BI537" s="18"/>
      <c r="BJ537" s="23">
        <f>BJ528-(SUM(BJ529:BJ536))</f>
        <v>16670</v>
      </c>
      <c r="BK537" s="19"/>
      <c r="BL537" s="22"/>
      <c r="BM537" s="23">
        <f>BM528-(SUM(BM529:BM536))</f>
        <v>2000000</v>
      </c>
      <c r="BN537" s="18"/>
      <c r="BO537" s="23">
        <f>BO528-(SUM(BO529:BO536))</f>
        <v>191850</v>
      </c>
      <c r="BP537" s="19"/>
      <c r="BQ537" s="17" t="s">
        <v>828</v>
      </c>
      <c r="BR537" s="1"/>
      <c r="BS537" s="1"/>
      <c r="BT537" s="1"/>
      <c r="BU537" s="1"/>
    </row>
    <row r="538">
      <c r="A538" s="1"/>
      <c r="B538" s="27">
        <v>0.8</v>
      </c>
      <c r="C538" s="11" t="s">
        <v>26</v>
      </c>
      <c r="D538" s="22"/>
      <c r="E538" s="23">
        <f>E537*$B538</f>
        <v>1552000</v>
      </c>
      <c r="F538" s="18"/>
      <c r="G538" s="18"/>
      <c r="H538" s="19"/>
      <c r="I538" s="22"/>
      <c r="J538" s="23">
        <f>J537*$B538</f>
        <v>1484137.6</v>
      </c>
      <c r="K538" s="18"/>
      <c r="L538" s="18"/>
      <c r="M538" s="19"/>
      <c r="N538" s="22"/>
      <c r="O538" s="23">
        <f>O537*$B538</f>
        <v>2040000</v>
      </c>
      <c r="P538" s="18"/>
      <c r="Q538" s="18"/>
      <c r="R538" s="19"/>
      <c r="S538" s="22"/>
      <c r="T538" s="23">
        <f>T537*$B538</f>
        <v>2040000</v>
      </c>
      <c r="U538" s="18"/>
      <c r="V538" s="18"/>
      <c r="W538" s="19"/>
      <c r="X538" s="18"/>
      <c r="Y538" s="23">
        <f>Y537*$B538</f>
        <v>2040000</v>
      </c>
      <c r="Z538" s="18"/>
      <c r="AA538" s="18"/>
      <c r="AB538" s="19"/>
      <c r="AC538" s="18"/>
      <c r="AD538" s="23">
        <f>AD537*$B538</f>
        <v>1665333.6</v>
      </c>
      <c r="AE538" s="18"/>
      <c r="AF538" s="18"/>
      <c r="AG538" s="19"/>
      <c r="AH538" s="18"/>
      <c r="AI538" s="23">
        <f>AI537*$B538</f>
        <v>1600000</v>
      </c>
      <c r="AJ538" s="18"/>
      <c r="AK538" s="18"/>
      <c r="AL538" s="19"/>
      <c r="AM538" s="18"/>
      <c r="AN538" s="23">
        <f>AN537*$B538</f>
        <v>1305656</v>
      </c>
      <c r="AO538" s="18"/>
      <c r="AP538" s="18"/>
      <c r="AQ538" s="19"/>
      <c r="AR538" s="22"/>
      <c r="AS538" s="23">
        <f>AS537*$B538</f>
        <v>2179264</v>
      </c>
      <c r="AT538" s="18"/>
      <c r="AU538" s="18"/>
      <c r="AV538" s="19"/>
      <c r="AW538" s="22"/>
      <c r="AX538" s="23">
        <f>AX537*$B538</f>
        <v>1600000</v>
      </c>
      <c r="AY538" s="18"/>
      <c r="AZ538" s="18"/>
      <c r="BA538" s="19"/>
      <c r="BB538" s="22"/>
      <c r="BC538" s="23">
        <f>BC537*$B538</f>
        <v>1600000</v>
      </c>
      <c r="BD538" s="18"/>
      <c r="BE538" s="18"/>
      <c r="BF538" s="19"/>
      <c r="BG538" s="22"/>
      <c r="BH538" s="23">
        <f>BH537*$B538</f>
        <v>1600000</v>
      </c>
      <c r="BI538" s="18"/>
      <c r="BJ538" s="18"/>
      <c r="BK538" s="19"/>
      <c r="BL538" s="22"/>
      <c r="BM538" s="23">
        <f>BM537*$B538</f>
        <v>1600000</v>
      </c>
      <c r="BN538" s="18"/>
      <c r="BO538" s="18"/>
      <c r="BP538" s="19"/>
      <c r="BQ538" s="17" t="s">
        <v>828</v>
      </c>
      <c r="BR538" s="1"/>
      <c r="BS538" s="1"/>
      <c r="BT538" s="1"/>
      <c r="BU538" s="1"/>
    </row>
    <row r="539">
      <c r="A539" s="67" t="str">
        <f>B523</f>
        <v>한성</v>
      </c>
      <c r="B539" s="29">
        <v>0.2</v>
      </c>
      <c r="C539" s="30" t="s">
        <v>57</v>
      </c>
      <c r="D539" s="31"/>
      <c r="E539" s="32">
        <f>E537*$B539</f>
        <v>388000</v>
      </c>
      <c r="F539" s="33"/>
      <c r="G539" s="33"/>
      <c r="H539" s="34"/>
      <c r="I539" s="31"/>
      <c r="J539" s="32">
        <f>J537*$B539</f>
        <v>371034.4</v>
      </c>
      <c r="K539" s="33"/>
      <c r="L539" s="33"/>
      <c r="M539" s="34"/>
      <c r="N539" s="31"/>
      <c r="O539" s="32">
        <f>O537*$B539</f>
        <v>510000</v>
      </c>
      <c r="P539" s="33"/>
      <c r="Q539" s="33"/>
      <c r="R539" s="34"/>
      <c r="S539" s="31"/>
      <c r="T539" s="32">
        <f>T537*$B539</f>
        <v>510000</v>
      </c>
      <c r="U539" s="33"/>
      <c r="V539" s="33"/>
      <c r="W539" s="34"/>
      <c r="X539" s="33"/>
      <c r="Y539" s="32">
        <f>Y537*$B539</f>
        <v>510000</v>
      </c>
      <c r="Z539" s="33"/>
      <c r="AA539" s="33"/>
      <c r="AB539" s="34"/>
      <c r="AC539" s="33"/>
      <c r="AD539" s="32">
        <f>AD537*$B539</f>
        <v>416333.4</v>
      </c>
      <c r="AE539" s="33"/>
      <c r="AF539" s="33"/>
      <c r="AG539" s="34"/>
      <c r="AH539" s="33"/>
      <c r="AI539" s="32">
        <f>AI537*$B539</f>
        <v>400000</v>
      </c>
      <c r="AJ539" s="33"/>
      <c r="AK539" s="33"/>
      <c r="AL539" s="34"/>
      <c r="AM539" s="33"/>
      <c r="AN539" s="32">
        <f>AN537*$B539</f>
        <v>326414</v>
      </c>
      <c r="AO539" s="33"/>
      <c r="AP539" s="33"/>
      <c r="AQ539" s="34"/>
      <c r="AR539" s="31"/>
      <c r="AS539" s="32">
        <f>AS537*$B539</f>
        <v>544816</v>
      </c>
      <c r="AT539" s="33"/>
      <c r="AU539" s="33"/>
      <c r="AV539" s="34"/>
      <c r="AW539" s="31"/>
      <c r="AX539" s="32">
        <f>AX537*$B539</f>
        <v>400000</v>
      </c>
      <c r="AY539" s="33"/>
      <c r="AZ539" s="33"/>
      <c r="BA539" s="34"/>
      <c r="BB539" s="31"/>
      <c r="BC539" s="32">
        <f>BC537*$B539</f>
        <v>400000</v>
      </c>
      <c r="BD539" s="33"/>
      <c r="BE539" s="33"/>
      <c r="BF539" s="34"/>
      <c r="BG539" s="31"/>
      <c r="BH539" s="32">
        <f>BH537*$B539</f>
        <v>400000</v>
      </c>
      <c r="BI539" s="33"/>
      <c r="BJ539" s="33"/>
      <c r="BK539" s="34"/>
      <c r="BL539" s="31"/>
      <c r="BM539" s="32">
        <f>BM537*$B539</f>
        <v>400000</v>
      </c>
      <c r="BN539" s="33"/>
      <c r="BO539" s="33"/>
      <c r="BP539" s="34"/>
      <c r="BQ539" s="17" t="s">
        <v>828</v>
      </c>
      <c r="BR539" s="1"/>
      <c r="BS539" s="1"/>
      <c r="BT539" s="1"/>
      <c r="BU539" s="1"/>
    </row>
    <row r="540">
      <c r="A540" s="106"/>
      <c r="B540" s="107" t="s">
        <v>888</v>
      </c>
      <c r="C540" s="108" t="s">
        <v>889</v>
      </c>
      <c r="D540" s="62" t="s">
        <v>890</v>
      </c>
      <c r="E540" s="66">
        <f>2494862/30*18</f>
        <v>1496917.2</v>
      </c>
      <c r="F540" s="109" t="b">
        <v>0</v>
      </c>
      <c r="G540" s="42"/>
      <c r="H540" s="110" t="b">
        <v>0</v>
      </c>
      <c r="I540" s="62" t="s">
        <v>891</v>
      </c>
      <c r="J540" s="66">
        <v>1709654.0</v>
      </c>
      <c r="K540" s="109" t="b">
        <v>0</v>
      </c>
      <c r="L540" s="42"/>
      <c r="M540" s="110" t="b">
        <v>0</v>
      </c>
      <c r="N540" s="62" t="s">
        <v>780</v>
      </c>
      <c r="O540" s="66">
        <f>2967719/2</f>
        <v>1483859.5</v>
      </c>
      <c r="P540" s="109" t="b">
        <v>0</v>
      </c>
      <c r="Q540" s="42"/>
      <c r="R540" s="110" t="b">
        <v>0</v>
      </c>
      <c r="S540" s="62" t="s">
        <v>780</v>
      </c>
      <c r="T540" s="66">
        <f>2967719/2</f>
        <v>1483859.5</v>
      </c>
      <c r="U540" s="109" t="b">
        <v>0</v>
      </c>
      <c r="V540" s="42"/>
      <c r="W540" s="110" t="b">
        <v>0</v>
      </c>
      <c r="X540" s="62" t="s">
        <v>780</v>
      </c>
      <c r="Y540" s="66">
        <f>2266890/33*25</f>
        <v>1717340.909</v>
      </c>
      <c r="Z540" s="109" t="b">
        <v>0</v>
      </c>
      <c r="AA540" s="42"/>
      <c r="AB540" s="110" t="b">
        <v>0</v>
      </c>
      <c r="AC540" s="62" t="s">
        <v>780</v>
      </c>
      <c r="AD540" s="66">
        <f>2266890/33*8</f>
        <v>549549.0909</v>
      </c>
      <c r="AE540" s="109" t="b">
        <v>0</v>
      </c>
      <c r="AF540" s="42"/>
      <c r="AG540" s="110" t="b">
        <v>0</v>
      </c>
      <c r="AH540" s="62" t="s">
        <v>780</v>
      </c>
      <c r="AI540" s="66">
        <v>2432275.0</v>
      </c>
      <c r="AJ540" s="109" t="b">
        <v>0</v>
      </c>
      <c r="AK540" s="42"/>
      <c r="AL540" s="110" t="b">
        <v>0</v>
      </c>
      <c r="AM540" s="62" t="s">
        <v>780</v>
      </c>
      <c r="AN540" s="66">
        <v>1920600.0</v>
      </c>
      <c r="AO540" s="109" t="b">
        <v>0</v>
      </c>
      <c r="AP540" s="42"/>
      <c r="AQ540" s="110" t="b">
        <v>0</v>
      </c>
      <c r="AR540" s="62" t="s">
        <v>780</v>
      </c>
      <c r="AS540" s="66">
        <f>1552000/20*12</f>
        <v>931200</v>
      </c>
      <c r="AT540" s="109" t="b">
        <v>0</v>
      </c>
      <c r="AU540" s="42"/>
      <c r="AV540" s="110" t="b">
        <v>0</v>
      </c>
      <c r="AW540" s="62" t="s">
        <v>780</v>
      </c>
      <c r="AX540" s="66">
        <f>1906302/30*12</f>
        <v>762520.8</v>
      </c>
      <c r="AY540" s="109" t="b">
        <v>0</v>
      </c>
      <c r="AZ540" s="42"/>
      <c r="BA540" s="111"/>
      <c r="BB540" s="62" t="s">
        <v>780</v>
      </c>
      <c r="BC540" s="66">
        <f>2068040/28*12</f>
        <v>886302.8571</v>
      </c>
      <c r="BD540" s="109" t="b">
        <v>0</v>
      </c>
      <c r="BE540" s="42"/>
      <c r="BF540" s="111"/>
      <c r="BG540" s="62" t="s">
        <v>780</v>
      </c>
      <c r="BH540" s="42"/>
      <c r="BI540" s="106"/>
      <c r="BJ540" s="42"/>
      <c r="BK540" s="111"/>
      <c r="BL540" s="62" t="s">
        <v>780</v>
      </c>
      <c r="BM540" s="42"/>
      <c r="BN540" s="106"/>
      <c r="BO540" s="42"/>
      <c r="BP540" s="111"/>
      <c r="BQ540" s="112" t="s">
        <v>33</v>
      </c>
      <c r="BR540" s="106"/>
      <c r="BS540" s="106"/>
      <c r="BT540" s="106"/>
      <c r="BU540" s="106"/>
    </row>
    <row r="541">
      <c r="A541" s="106"/>
      <c r="B541" s="113" t="s">
        <v>892</v>
      </c>
      <c r="C541" s="108" t="s">
        <v>893</v>
      </c>
      <c r="D541" s="42"/>
      <c r="E541" s="42"/>
      <c r="F541" s="109" t="b">
        <v>0</v>
      </c>
      <c r="G541" s="42"/>
      <c r="H541" s="110" t="b">
        <v>0</v>
      </c>
      <c r="I541" s="42"/>
      <c r="J541" s="42"/>
      <c r="K541" s="109" t="b">
        <v>0</v>
      </c>
      <c r="L541" s="42"/>
      <c r="M541" s="110" t="b">
        <v>0</v>
      </c>
      <c r="N541" s="42"/>
      <c r="O541" s="42"/>
      <c r="P541" s="109" t="b">
        <v>0</v>
      </c>
      <c r="Q541" s="42"/>
      <c r="R541" s="110" t="b">
        <v>0</v>
      </c>
      <c r="S541" s="42"/>
      <c r="T541" s="42"/>
      <c r="U541" s="109" t="b">
        <v>0</v>
      </c>
      <c r="V541" s="42"/>
      <c r="W541" s="110" t="b">
        <v>0</v>
      </c>
      <c r="X541" s="42"/>
      <c r="Y541" s="66">
        <v>645050.0</v>
      </c>
      <c r="Z541" s="109" t="b">
        <v>0</v>
      </c>
      <c r="AA541" s="42"/>
      <c r="AB541" s="110" t="b">
        <v>0</v>
      </c>
      <c r="AC541" s="42"/>
      <c r="AD541" s="66">
        <v>873000.0</v>
      </c>
      <c r="AE541" s="109" t="b">
        <v>0</v>
      </c>
      <c r="AF541" s="42"/>
      <c r="AG541" s="110" t="b">
        <v>0</v>
      </c>
      <c r="AH541" s="42"/>
      <c r="AI541" s="42"/>
      <c r="AJ541" s="106"/>
      <c r="AK541" s="42"/>
      <c r="AL541" s="111"/>
      <c r="AM541" s="42"/>
      <c r="AN541" s="66">
        <f>1552000/20*8</f>
        <v>620800</v>
      </c>
      <c r="AO541" s="109" t="b">
        <v>0</v>
      </c>
      <c r="AP541" s="42"/>
      <c r="AQ541" s="110" t="b">
        <v>0</v>
      </c>
      <c r="AR541" s="42"/>
      <c r="AS541" s="66">
        <f>1906302/30*18</f>
        <v>1143781.2</v>
      </c>
      <c r="AT541" s="109" t="b">
        <v>0</v>
      </c>
      <c r="AU541" s="42"/>
      <c r="AV541" s="110" t="b">
        <v>0</v>
      </c>
      <c r="AW541" s="42"/>
      <c r="AX541" s="66">
        <f>2068040/28*16</f>
        <v>1181737.143</v>
      </c>
      <c r="AY541" s="109" t="b">
        <v>0</v>
      </c>
      <c r="AZ541" s="42"/>
      <c r="BA541" s="111"/>
      <c r="BB541" s="42"/>
      <c r="BC541" s="42"/>
      <c r="BD541" s="106"/>
      <c r="BE541" s="42"/>
      <c r="BF541" s="111"/>
      <c r="BG541" s="42"/>
      <c r="BH541" s="42"/>
      <c r="BI541" s="106"/>
      <c r="BJ541" s="42"/>
      <c r="BK541" s="111"/>
      <c r="BL541" s="42"/>
      <c r="BM541" s="42"/>
      <c r="BN541" s="106"/>
      <c r="BO541" s="42"/>
      <c r="BP541" s="111"/>
      <c r="BQ541" s="112" t="s">
        <v>33</v>
      </c>
      <c r="BR541" s="106"/>
      <c r="BS541" s="106"/>
      <c r="BT541" s="106"/>
      <c r="BU541" s="106"/>
    </row>
    <row r="542">
      <c r="A542" s="106"/>
      <c r="B542" s="107" t="s">
        <v>888</v>
      </c>
      <c r="C542" s="108" t="s">
        <v>894</v>
      </c>
      <c r="D542" s="42"/>
      <c r="E542" s="42"/>
      <c r="F542" s="109" t="b">
        <v>0</v>
      </c>
      <c r="G542" s="42"/>
      <c r="H542" s="110" t="b">
        <v>0</v>
      </c>
      <c r="I542" s="42"/>
      <c r="J542" s="42"/>
      <c r="K542" s="109" t="b">
        <v>0</v>
      </c>
      <c r="L542" s="42"/>
      <c r="M542" s="110" t="b">
        <v>0</v>
      </c>
      <c r="N542" s="42"/>
      <c r="O542" s="42"/>
      <c r="P542" s="109" t="b">
        <v>0</v>
      </c>
      <c r="Q542" s="42"/>
      <c r="R542" s="110" t="b">
        <v>0</v>
      </c>
      <c r="S542" s="42"/>
      <c r="T542" s="42"/>
      <c r="U542" s="109" t="b">
        <v>0</v>
      </c>
      <c r="V542" s="42"/>
      <c r="W542" s="110" t="b">
        <v>0</v>
      </c>
      <c r="X542" s="42"/>
      <c r="Y542" s="42"/>
      <c r="Z542" s="109" t="b">
        <v>0</v>
      </c>
      <c r="AA542" s="42"/>
      <c r="AB542" s="110" t="b">
        <v>0</v>
      </c>
      <c r="AC542" s="42"/>
      <c r="AD542" s="66">
        <v>418070.0</v>
      </c>
      <c r="AE542" s="109" t="b">
        <v>0</v>
      </c>
      <c r="AF542" s="42"/>
      <c r="AG542" s="110" t="b">
        <v>0</v>
      </c>
      <c r="AH542" s="42"/>
      <c r="AI542" s="42"/>
      <c r="AJ542" s="106"/>
      <c r="AK542" s="42"/>
      <c r="AL542" s="111"/>
      <c r="AM542" s="42"/>
      <c r="AN542" s="42"/>
      <c r="AO542" s="106"/>
      <c r="AP542" s="42"/>
      <c r="AQ542" s="111"/>
      <c r="AR542" s="42"/>
      <c r="AS542" s="42"/>
      <c r="AT542" s="106"/>
      <c r="AU542" s="42"/>
      <c r="AV542" s="111"/>
      <c r="AW542" s="42"/>
      <c r="AX542" s="42"/>
      <c r="AY542" s="106"/>
      <c r="AZ542" s="42"/>
      <c r="BA542" s="111"/>
      <c r="BB542" s="42"/>
      <c r="BC542" s="42"/>
      <c r="BD542" s="106"/>
      <c r="BE542" s="42"/>
      <c r="BF542" s="111"/>
      <c r="BG542" s="42"/>
      <c r="BH542" s="42"/>
      <c r="BI542" s="106"/>
      <c r="BJ542" s="42"/>
      <c r="BK542" s="111"/>
      <c r="BL542" s="42"/>
      <c r="BM542" s="42"/>
      <c r="BN542" s="106"/>
      <c r="BO542" s="42"/>
      <c r="BP542" s="111"/>
      <c r="BQ542" s="112" t="s">
        <v>33</v>
      </c>
      <c r="BR542" s="106"/>
      <c r="BS542" s="106"/>
      <c r="BT542" s="106"/>
      <c r="BU542" s="106"/>
    </row>
    <row r="543">
      <c r="A543" s="106"/>
      <c r="B543" s="114"/>
      <c r="C543" s="108" t="s">
        <v>42</v>
      </c>
      <c r="D543" s="115"/>
      <c r="E543" s="66">
        <f>SUM(E540:E542)</f>
        <v>1496917.2</v>
      </c>
      <c r="F543" s="42"/>
      <c r="G543" s="66">
        <f>SUM(G540:G542)</f>
        <v>0</v>
      </c>
      <c r="H543" s="111"/>
      <c r="I543" s="115"/>
      <c r="J543" s="66">
        <f>SUM(J540:J542)</f>
        <v>1709654</v>
      </c>
      <c r="K543" s="42"/>
      <c r="L543" s="66">
        <f>SUM(L540:L542)</f>
        <v>0</v>
      </c>
      <c r="M543" s="111"/>
      <c r="N543" s="115"/>
      <c r="O543" s="66">
        <f>SUM(O540:O542)</f>
        <v>1483859.5</v>
      </c>
      <c r="P543" s="42"/>
      <c r="Q543" s="66">
        <f>SUM(Q540:Q542)</f>
        <v>0</v>
      </c>
      <c r="R543" s="111"/>
      <c r="S543" s="115"/>
      <c r="T543" s="66">
        <f>SUM(T540:T542)</f>
        <v>1483859.5</v>
      </c>
      <c r="U543" s="42"/>
      <c r="V543" s="66">
        <f>SUM(V540:V542)</f>
        <v>0</v>
      </c>
      <c r="W543" s="111"/>
      <c r="X543" s="42"/>
      <c r="Y543" s="66">
        <f>SUM(Y540:Y542)</f>
        <v>2362390.909</v>
      </c>
      <c r="Z543" s="42"/>
      <c r="AA543" s="66">
        <f>SUM(AA540:AA542)</f>
        <v>0</v>
      </c>
      <c r="AB543" s="111"/>
      <c r="AC543" s="42"/>
      <c r="AD543" s="66">
        <f>SUM(AD540:AD542)</f>
        <v>1840619.091</v>
      </c>
      <c r="AE543" s="42"/>
      <c r="AF543" s="66">
        <f>SUM(AF540:AF542)</f>
        <v>0</v>
      </c>
      <c r="AG543" s="111"/>
      <c r="AH543" s="42"/>
      <c r="AI543" s="66">
        <f>SUM(AI540:AI542)</f>
        <v>2432275</v>
      </c>
      <c r="AJ543" s="42"/>
      <c r="AK543" s="66">
        <f>SUM(AK540:AK542)</f>
        <v>0</v>
      </c>
      <c r="AL543" s="111"/>
      <c r="AM543" s="42"/>
      <c r="AN543" s="66">
        <f>SUM(AN540:AN542)</f>
        <v>2541400</v>
      </c>
      <c r="AO543" s="42"/>
      <c r="AP543" s="66">
        <f>SUM(AP540:AP542)</f>
        <v>0</v>
      </c>
      <c r="AQ543" s="111"/>
      <c r="AR543" s="115"/>
      <c r="AS543" s="66">
        <f>SUM(AS540:AS542)</f>
        <v>2074981.2</v>
      </c>
      <c r="AT543" s="42"/>
      <c r="AU543" s="66">
        <f>SUM(AU540:AU542)</f>
        <v>0</v>
      </c>
      <c r="AV543" s="111"/>
      <c r="AW543" s="115"/>
      <c r="AX543" s="66">
        <f>SUM(AX540:AX542)</f>
        <v>1944257.943</v>
      </c>
      <c r="AY543" s="42"/>
      <c r="AZ543" s="66">
        <f>SUM(AZ540:AZ542)</f>
        <v>0</v>
      </c>
      <c r="BA543" s="111"/>
      <c r="BB543" s="115"/>
      <c r="BC543" s="66">
        <f>SUM(BC540:BC542)</f>
        <v>886302.8571</v>
      </c>
      <c r="BD543" s="42"/>
      <c r="BE543" s="66">
        <f>SUM(BE540:BE542)</f>
        <v>0</v>
      </c>
      <c r="BF543" s="111"/>
      <c r="BG543" s="115"/>
      <c r="BH543" s="66">
        <f>SUM(BH540:BH542)</f>
        <v>0</v>
      </c>
      <c r="BI543" s="42"/>
      <c r="BJ543" s="66">
        <f>SUM(BJ540:BJ542)</f>
        <v>0</v>
      </c>
      <c r="BK543" s="111"/>
      <c r="BL543" s="115"/>
      <c r="BM543" s="66">
        <f>SUM(BM540:BM542)</f>
        <v>0</v>
      </c>
      <c r="BN543" s="42"/>
      <c r="BO543" s="66">
        <f>SUM(BO540:BO542)</f>
        <v>0</v>
      </c>
      <c r="BP543" s="111"/>
      <c r="BQ543" s="112" t="s">
        <v>33</v>
      </c>
      <c r="BR543" s="106"/>
      <c r="BS543" s="106"/>
      <c r="BT543" s="106"/>
      <c r="BU543" s="106"/>
    </row>
    <row r="544">
      <c r="A544" s="106"/>
      <c r="B544" s="114"/>
      <c r="C544" s="108" t="s">
        <v>43</v>
      </c>
      <c r="D544" s="115"/>
      <c r="E544" s="66">
        <v>500000.0</v>
      </c>
      <c r="F544" s="42"/>
      <c r="G544" s="42"/>
      <c r="H544" s="111"/>
      <c r="I544" s="115"/>
      <c r="J544" s="66">
        <v>500000.0</v>
      </c>
      <c r="K544" s="42"/>
      <c r="L544" s="42"/>
      <c r="M544" s="111"/>
      <c r="N544" s="115"/>
      <c r="O544" s="66">
        <v>500000.0</v>
      </c>
      <c r="P544" s="42"/>
      <c r="Q544" s="42"/>
      <c r="R544" s="111"/>
      <c r="S544" s="115"/>
      <c r="T544" s="66">
        <v>500000.0</v>
      </c>
      <c r="U544" s="42"/>
      <c r="V544" s="42"/>
      <c r="W544" s="111"/>
      <c r="X544" s="115"/>
      <c r="Y544" s="66">
        <v>500000.0</v>
      </c>
      <c r="Z544" s="42"/>
      <c r="AA544" s="42"/>
      <c r="AB544" s="111"/>
      <c r="AC544" s="42"/>
      <c r="AD544" s="66">
        <v>500000.0</v>
      </c>
      <c r="AE544" s="42"/>
      <c r="AF544" s="42"/>
      <c r="AG544" s="111"/>
      <c r="AH544" s="42"/>
      <c r="AI544" s="42"/>
      <c r="AJ544" s="42"/>
      <c r="AK544" s="42"/>
      <c r="AL544" s="111"/>
      <c r="AM544" s="42"/>
      <c r="AN544" s="66">
        <v>500000.0</v>
      </c>
      <c r="AO544" s="42"/>
      <c r="AP544" s="42"/>
      <c r="AQ544" s="111"/>
      <c r="AR544" s="115"/>
      <c r="AS544" s="66">
        <v>500000.0</v>
      </c>
      <c r="AT544" s="42"/>
      <c r="AU544" s="42"/>
      <c r="AV544" s="111"/>
      <c r="AW544" s="115"/>
      <c r="AX544" s="66">
        <v>500000.0</v>
      </c>
      <c r="AY544" s="42"/>
      <c r="AZ544" s="42"/>
      <c r="BA544" s="111"/>
      <c r="BB544" s="115"/>
      <c r="BC544" s="66">
        <v>500000.0</v>
      </c>
      <c r="BD544" s="42"/>
      <c r="BE544" s="42"/>
      <c r="BF544" s="111"/>
      <c r="BG544" s="115"/>
      <c r="BH544" s="66">
        <v>500000.0</v>
      </c>
      <c r="BI544" s="42"/>
      <c r="BJ544" s="42"/>
      <c r="BK544" s="111"/>
      <c r="BL544" s="115"/>
      <c r="BM544" s="66">
        <v>500000.0</v>
      </c>
      <c r="BN544" s="42"/>
      <c r="BO544" s="42"/>
      <c r="BP544" s="111"/>
      <c r="BQ544" s="112" t="s">
        <v>33</v>
      </c>
      <c r="BR544" s="106"/>
      <c r="BS544" s="106"/>
      <c r="BT544" s="106"/>
      <c r="BU544" s="106"/>
    </row>
    <row r="545">
      <c r="A545" s="106"/>
      <c r="B545" s="114"/>
      <c r="C545" s="108" t="s">
        <v>45</v>
      </c>
      <c r="D545" s="115"/>
      <c r="E545" s="42"/>
      <c r="F545" s="42"/>
      <c r="G545" s="66" t="s">
        <v>677</v>
      </c>
      <c r="H545" s="111"/>
      <c r="I545" s="115"/>
      <c r="J545" s="42"/>
      <c r="K545" s="42"/>
      <c r="L545" s="42"/>
      <c r="M545" s="111"/>
      <c r="N545" s="115"/>
      <c r="O545" s="42"/>
      <c r="P545" s="42"/>
      <c r="Q545" s="42"/>
      <c r="R545" s="111"/>
      <c r="S545" s="115"/>
      <c r="T545" s="42"/>
      <c r="U545" s="42"/>
      <c r="V545" s="42"/>
      <c r="W545" s="111"/>
      <c r="X545" s="42"/>
      <c r="Y545" s="42"/>
      <c r="Z545" s="42"/>
      <c r="AA545" s="42"/>
      <c r="AB545" s="111"/>
      <c r="AC545" s="42"/>
      <c r="AD545" s="42"/>
      <c r="AE545" s="42"/>
      <c r="AF545" s="66">
        <v>525000.0</v>
      </c>
      <c r="AG545" s="111"/>
      <c r="AH545" s="42"/>
      <c r="AI545" s="42"/>
      <c r="AJ545" s="42"/>
      <c r="AK545" s="66">
        <v>525000.0</v>
      </c>
      <c r="AL545" s="111"/>
      <c r="AM545" s="42"/>
      <c r="AN545" s="42"/>
      <c r="AO545" s="42"/>
      <c r="AP545" s="42"/>
      <c r="AQ545" s="111"/>
      <c r="AR545" s="115"/>
      <c r="AS545" s="42"/>
      <c r="AT545" s="42"/>
      <c r="AU545" s="42"/>
      <c r="AV545" s="111"/>
      <c r="AW545" s="115"/>
      <c r="AX545" s="42"/>
      <c r="AY545" s="42"/>
      <c r="AZ545" s="42"/>
      <c r="BA545" s="111"/>
      <c r="BB545" s="115"/>
      <c r="BC545" s="42"/>
      <c r="BD545" s="42"/>
      <c r="BE545" s="42"/>
      <c r="BF545" s="111"/>
      <c r="BG545" s="115"/>
      <c r="BH545" s="42"/>
      <c r="BI545" s="42"/>
      <c r="BJ545" s="42"/>
      <c r="BK545" s="111"/>
      <c r="BL545" s="115"/>
      <c r="BM545" s="42"/>
      <c r="BN545" s="42"/>
      <c r="BO545" s="42"/>
      <c r="BP545" s="111"/>
      <c r="BQ545" s="112" t="s">
        <v>33</v>
      </c>
      <c r="BR545" s="106"/>
      <c r="BS545" s="106"/>
      <c r="BT545" s="106"/>
      <c r="BU545" s="106"/>
    </row>
    <row r="546">
      <c r="A546" s="56" t="s">
        <v>678</v>
      </c>
      <c r="B546" s="113" t="s">
        <v>895</v>
      </c>
      <c r="C546" s="108" t="s">
        <v>47</v>
      </c>
      <c r="D546" s="115"/>
      <c r="E546" s="66">
        <f t="shared" ref="E546:E550" si="16">G546</f>
        <v>31560</v>
      </c>
      <c r="F546" s="42"/>
      <c r="G546" s="66">
        <v>31560.0</v>
      </c>
      <c r="H546" s="111"/>
      <c r="I546" s="115"/>
      <c r="J546" s="66">
        <f t="shared" ref="J546:J550" si="17">L546</f>
        <v>26230</v>
      </c>
      <c r="K546" s="42"/>
      <c r="L546" s="66">
        <v>26230.0</v>
      </c>
      <c r="M546" s="111"/>
      <c r="N546" s="115"/>
      <c r="O546" s="66">
        <f t="shared" ref="O546:O550" si="18">Q546</f>
        <v>29580</v>
      </c>
      <c r="P546" s="42"/>
      <c r="Q546" s="66">
        <v>29580.0</v>
      </c>
      <c r="R546" s="111"/>
      <c r="S546" s="115"/>
      <c r="T546" s="66">
        <f t="shared" ref="T546:T550" si="19">V546</f>
        <v>22570</v>
      </c>
      <c r="U546" s="42"/>
      <c r="V546" s="66">
        <v>22570.0</v>
      </c>
      <c r="W546" s="111"/>
      <c r="X546" s="115"/>
      <c r="Y546" s="66">
        <f t="shared" ref="Y546:Y550" si="20">AA546</f>
        <v>30800</v>
      </c>
      <c r="Z546" s="42"/>
      <c r="AA546" s="66">
        <v>30800.0</v>
      </c>
      <c r="AB546" s="111"/>
      <c r="AC546" s="115"/>
      <c r="AD546" s="66">
        <f t="shared" ref="AD546:AD550" si="21">AF546</f>
        <v>103110</v>
      </c>
      <c r="AE546" s="42"/>
      <c r="AF546" s="66">
        <v>103110.0</v>
      </c>
      <c r="AG546" s="111"/>
      <c r="AH546" s="115"/>
      <c r="AI546" s="66">
        <f t="shared" ref="AI546:AI550" si="22">AK546</f>
        <v>153920</v>
      </c>
      <c r="AJ546" s="42"/>
      <c r="AK546" s="66">
        <v>153920.0</v>
      </c>
      <c r="AL546" s="111"/>
      <c r="AM546" s="115"/>
      <c r="AN546" s="66">
        <f t="shared" ref="AN546:AN547" si="23">AP546</f>
        <v>189330</v>
      </c>
      <c r="AO546" s="42"/>
      <c r="AP546" s="66">
        <v>189330.0</v>
      </c>
      <c r="AQ546" s="111"/>
      <c r="AR546" s="115"/>
      <c r="AS546" s="66">
        <f t="shared" ref="AS546:AS547" si="24">AU546</f>
        <v>167210</v>
      </c>
      <c r="AT546" s="42"/>
      <c r="AU546" s="66">
        <v>167210.0</v>
      </c>
      <c r="AV546" s="111"/>
      <c r="AW546" s="115"/>
      <c r="AX546" s="66">
        <f t="shared" ref="AX546:AX547" si="25">AZ546</f>
        <v>78460</v>
      </c>
      <c r="AY546" s="42"/>
      <c r="AZ546" s="66">
        <v>78460.0</v>
      </c>
      <c r="BA546" s="111"/>
      <c r="BB546" s="115"/>
      <c r="BC546" s="66">
        <f t="shared" ref="BC546:BC547" si="26">BE546</f>
        <v>26660</v>
      </c>
      <c r="BD546" s="42"/>
      <c r="BE546" s="66">
        <v>26660.0</v>
      </c>
      <c r="BF546" s="111"/>
      <c r="BG546" s="115"/>
      <c r="BH546" s="66">
        <f t="shared" ref="BH546:BH547" si="27">BJ546</f>
        <v>19530</v>
      </c>
      <c r="BI546" s="42"/>
      <c r="BJ546" s="66">
        <v>19530.0</v>
      </c>
      <c r="BK546" s="111"/>
      <c r="BL546" s="115"/>
      <c r="BM546" s="42" t="str">
        <f t="shared" ref="BM546:BM547" si="28">BO546</f>
        <v/>
      </c>
      <c r="BN546" s="42"/>
      <c r="BO546" s="42"/>
      <c r="BP546" s="111"/>
      <c r="BQ546" s="112" t="s">
        <v>33</v>
      </c>
      <c r="BR546" s="106"/>
      <c r="BS546" s="106"/>
      <c r="BT546" s="106"/>
      <c r="BU546" s="106"/>
    </row>
    <row r="547">
      <c r="A547" s="56" t="s">
        <v>678</v>
      </c>
      <c r="B547" s="113" t="s">
        <v>896</v>
      </c>
      <c r="C547" s="108" t="s">
        <v>49</v>
      </c>
      <c r="D547" s="115"/>
      <c r="E547" s="66">
        <f t="shared" si="16"/>
        <v>147960</v>
      </c>
      <c r="F547" s="42"/>
      <c r="G547" s="66">
        <v>147960.0</v>
      </c>
      <c r="H547" s="111"/>
      <c r="I547" s="115"/>
      <c r="J547" s="66">
        <f t="shared" si="17"/>
        <v>204180</v>
      </c>
      <c r="K547" s="42"/>
      <c r="L547" s="66">
        <v>204180.0</v>
      </c>
      <c r="M547" s="111"/>
      <c r="N547" s="115"/>
      <c r="O547" s="66">
        <f t="shared" si="18"/>
        <v>122730</v>
      </c>
      <c r="P547" s="42"/>
      <c r="Q547" s="66">
        <v>122730.0</v>
      </c>
      <c r="R547" s="111"/>
      <c r="S547" s="115"/>
      <c r="T547" s="66">
        <f t="shared" si="19"/>
        <v>107990</v>
      </c>
      <c r="U547" s="42"/>
      <c r="V547" s="66">
        <v>107990.0</v>
      </c>
      <c r="W547" s="111"/>
      <c r="X547" s="115"/>
      <c r="Y547" s="66">
        <f t="shared" si="20"/>
        <v>24840</v>
      </c>
      <c r="Z547" s="42"/>
      <c r="AA547" s="66">
        <v>24840.0</v>
      </c>
      <c r="AB547" s="111"/>
      <c r="AC547" s="115"/>
      <c r="AD547" s="66">
        <f t="shared" si="21"/>
        <v>19890</v>
      </c>
      <c r="AE547" s="42"/>
      <c r="AF547" s="66">
        <v>19890.0</v>
      </c>
      <c r="AG547" s="111"/>
      <c r="AH547" s="115"/>
      <c r="AI547" s="66">
        <f t="shared" si="22"/>
        <v>25680</v>
      </c>
      <c r="AJ547" s="42"/>
      <c r="AK547" s="66">
        <v>25680.0</v>
      </c>
      <c r="AL547" s="111"/>
      <c r="AM547" s="115"/>
      <c r="AN547" s="66">
        <f t="shared" si="23"/>
        <v>19930</v>
      </c>
      <c r="AO547" s="42"/>
      <c r="AP547" s="66">
        <v>19930.0</v>
      </c>
      <c r="AQ547" s="111"/>
      <c r="AR547" s="115"/>
      <c r="AS547" s="66">
        <f t="shared" si="24"/>
        <v>17570</v>
      </c>
      <c r="AT547" s="42"/>
      <c r="AU547" s="66">
        <v>17570.0</v>
      </c>
      <c r="AV547" s="111"/>
      <c r="AW547" s="115"/>
      <c r="AX547" s="66">
        <f t="shared" si="25"/>
        <v>10760</v>
      </c>
      <c r="AY547" s="42"/>
      <c r="AZ547" s="66">
        <v>10760.0</v>
      </c>
      <c r="BA547" s="111"/>
      <c r="BB547" s="115"/>
      <c r="BC547" s="66">
        <f t="shared" si="26"/>
        <v>10750</v>
      </c>
      <c r="BD547" s="42"/>
      <c r="BE547" s="66">
        <v>10750.0</v>
      </c>
      <c r="BF547" s="111"/>
      <c r="BG547" s="115"/>
      <c r="BH547" s="66">
        <f t="shared" si="27"/>
        <v>48320</v>
      </c>
      <c r="BI547" s="42"/>
      <c r="BJ547" s="66">
        <v>48320.0</v>
      </c>
      <c r="BK547" s="111"/>
      <c r="BL547" s="115"/>
      <c r="BM547" s="66">
        <f t="shared" si="28"/>
        <v>74490</v>
      </c>
      <c r="BN547" s="42"/>
      <c r="BO547" s="66">
        <v>74490.0</v>
      </c>
      <c r="BP547" s="111"/>
      <c r="BQ547" s="112" t="s">
        <v>33</v>
      </c>
      <c r="BR547" s="106"/>
      <c r="BS547" s="106"/>
      <c r="BT547" s="106"/>
      <c r="BU547" s="106"/>
    </row>
    <row r="548">
      <c r="A548" s="56" t="s">
        <v>678</v>
      </c>
      <c r="B548" s="114"/>
      <c r="C548" s="108" t="s">
        <v>51</v>
      </c>
      <c r="D548" s="115"/>
      <c r="E548" s="66">
        <f t="shared" si="16"/>
        <v>25000</v>
      </c>
      <c r="F548" s="42"/>
      <c r="G548" s="66">
        <v>25000.0</v>
      </c>
      <c r="H548" s="111"/>
      <c r="I548" s="115"/>
      <c r="J548" s="42" t="str">
        <f t="shared" si="17"/>
        <v/>
      </c>
      <c r="K548" s="42"/>
      <c r="L548" s="46"/>
      <c r="M548" s="111"/>
      <c r="N548" s="115"/>
      <c r="O548" s="66" t="str">
        <f t="shared" si="18"/>
        <v>관리비포함</v>
      </c>
      <c r="P548" s="42"/>
      <c r="Q548" s="66" t="s">
        <v>446</v>
      </c>
      <c r="R548" s="111"/>
      <c r="S548" s="115"/>
      <c r="T548" s="66" t="str">
        <f t="shared" si="19"/>
        <v>관리비포함</v>
      </c>
      <c r="U548" s="42"/>
      <c r="V548" s="66" t="s">
        <v>446</v>
      </c>
      <c r="W548" s="111"/>
      <c r="X548" s="115"/>
      <c r="Y548" s="66" t="str">
        <f t="shared" si="20"/>
        <v>관리비포함</v>
      </c>
      <c r="Z548" s="42"/>
      <c r="AA548" s="66" t="s">
        <v>446</v>
      </c>
      <c r="AB548" s="111"/>
      <c r="AC548" s="115"/>
      <c r="AD548" s="66" t="str">
        <f t="shared" si="21"/>
        <v>관리비포함</v>
      </c>
      <c r="AE548" s="42"/>
      <c r="AF548" s="66" t="s">
        <v>446</v>
      </c>
      <c r="AG548" s="111"/>
      <c r="AH548" s="115"/>
      <c r="AI548" s="66" t="str">
        <f t="shared" si="22"/>
        <v>관리비포함</v>
      </c>
      <c r="AJ548" s="42"/>
      <c r="AK548" s="66" t="s">
        <v>446</v>
      </c>
      <c r="AL548" s="111"/>
      <c r="AM548" s="115"/>
      <c r="AN548" s="42"/>
      <c r="AO548" s="42"/>
      <c r="AP548" s="42"/>
      <c r="AQ548" s="111"/>
      <c r="AR548" s="115"/>
      <c r="AS548" s="42"/>
      <c r="AT548" s="42"/>
      <c r="AU548" s="42"/>
      <c r="AV548" s="111"/>
      <c r="AW548" s="115"/>
      <c r="AX548" s="42"/>
      <c r="AY548" s="42"/>
      <c r="AZ548" s="42"/>
      <c r="BA548" s="111"/>
      <c r="BB548" s="115"/>
      <c r="BC548" s="42"/>
      <c r="BD548" s="42"/>
      <c r="BE548" s="42"/>
      <c r="BF548" s="111"/>
      <c r="BG548" s="115"/>
      <c r="BH548" s="42"/>
      <c r="BI548" s="42"/>
      <c r="BJ548" s="42"/>
      <c r="BK548" s="111"/>
      <c r="BL548" s="115"/>
      <c r="BM548" s="42"/>
      <c r="BN548" s="42"/>
      <c r="BO548" s="42"/>
      <c r="BP548" s="111"/>
      <c r="BQ548" s="112" t="s">
        <v>33</v>
      </c>
      <c r="BR548" s="106"/>
      <c r="BS548" s="106"/>
      <c r="BT548" s="106"/>
      <c r="BU548" s="106"/>
    </row>
    <row r="549">
      <c r="A549" s="56" t="s">
        <v>681</v>
      </c>
      <c r="B549" s="114"/>
      <c r="C549" s="108" t="s">
        <v>52</v>
      </c>
      <c r="D549" s="115"/>
      <c r="E549" s="66">
        <f t="shared" si="16"/>
        <v>22000</v>
      </c>
      <c r="F549" s="42"/>
      <c r="G549" s="66">
        <v>22000.0</v>
      </c>
      <c r="H549" s="111"/>
      <c r="I549" s="115"/>
      <c r="J549" s="42" t="str">
        <f t="shared" si="17"/>
        <v/>
      </c>
      <c r="K549" s="42"/>
      <c r="L549" s="42"/>
      <c r="M549" s="111"/>
      <c r="N549" s="115"/>
      <c r="O549" s="42" t="str">
        <f t="shared" si="18"/>
        <v/>
      </c>
      <c r="P549" s="42"/>
      <c r="Q549" s="42"/>
      <c r="R549" s="111"/>
      <c r="S549" s="115"/>
      <c r="T549" s="42" t="str">
        <f t="shared" si="19"/>
        <v/>
      </c>
      <c r="U549" s="42"/>
      <c r="V549" s="42"/>
      <c r="W549" s="111"/>
      <c r="X549" s="115"/>
      <c r="Y549" s="42" t="str">
        <f t="shared" si="20"/>
        <v/>
      </c>
      <c r="Z549" s="42"/>
      <c r="AA549" s="42"/>
      <c r="AB549" s="111"/>
      <c r="AC549" s="115"/>
      <c r="AD549" s="42" t="str">
        <f t="shared" si="21"/>
        <v/>
      </c>
      <c r="AE549" s="42"/>
      <c r="AF549" s="42"/>
      <c r="AG549" s="111"/>
      <c r="AH549" s="115"/>
      <c r="AI549" s="42" t="str">
        <f t="shared" si="22"/>
        <v/>
      </c>
      <c r="AJ549" s="42"/>
      <c r="AK549" s="42"/>
      <c r="AL549" s="111"/>
      <c r="AM549" s="115"/>
      <c r="AN549" s="42" t="str">
        <f t="shared" ref="AN549:AN550" si="29">AP549</f>
        <v/>
      </c>
      <c r="AO549" s="42"/>
      <c r="AP549" s="42"/>
      <c r="AQ549" s="111"/>
      <c r="AR549" s="115"/>
      <c r="AS549" s="42" t="str">
        <f t="shared" ref="AS549:AS550" si="30">AU549</f>
        <v/>
      </c>
      <c r="AT549" s="42"/>
      <c r="AU549" s="42"/>
      <c r="AV549" s="111"/>
      <c r="AW549" s="115"/>
      <c r="AX549" s="42" t="str">
        <f t="shared" ref="AX549:AX550" si="31">AZ549</f>
        <v/>
      </c>
      <c r="AY549" s="42"/>
      <c r="AZ549" s="42"/>
      <c r="BA549" s="111"/>
      <c r="BB549" s="115"/>
      <c r="BC549" s="42" t="str">
        <f t="shared" ref="BC549:BC550" si="32">BE549</f>
        <v/>
      </c>
      <c r="BD549" s="42"/>
      <c r="BE549" s="42"/>
      <c r="BF549" s="111"/>
      <c r="BG549" s="115"/>
      <c r="BH549" s="42" t="str">
        <f t="shared" ref="BH549:BH550" si="33">BJ549</f>
        <v/>
      </c>
      <c r="BI549" s="42"/>
      <c r="BJ549" s="42"/>
      <c r="BK549" s="111"/>
      <c r="BL549" s="115"/>
      <c r="BM549" s="42" t="str">
        <f t="shared" ref="BM549:BM550" si="34">BO549</f>
        <v/>
      </c>
      <c r="BN549" s="42"/>
      <c r="BO549" s="42"/>
      <c r="BP549" s="111"/>
      <c r="BQ549" s="112" t="s">
        <v>33</v>
      </c>
      <c r="BR549" s="106"/>
      <c r="BS549" s="106"/>
      <c r="BT549" s="106"/>
      <c r="BU549" s="106"/>
    </row>
    <row r="550">
      <c r="A550" s="56" t="s">
        <v>681</v>
      </c>
      <c r="B550" s="114"/>
      <c r="C550" s="108" t="s">
        <v>53</v>
      </c>
      <c r="D550" s="115"/>
      <c r="E550" s="66">
        <f t="shared" si="16"/>
        <v>10000</v>
      </c>
      <c r="F550" s="42"/>
      <c r="G550" s="66">
        <v>10000.0</v>
      </c>
      <c r="H550" s="111"/>
      <c r="I550" s="115"/>
      <c r="J550" s="42" t="str">
        <f t="shared" si="17"/>
        <v/>
      </c>
      <c r="K550" s="42"/>
      <c r="L550" s="42"/>
      <c r="M550" s="111"/>
      <c r="N550" s="115"/>
      <c r="O550" s="42" t="str">
        <f t="shared" si="18"/>
        <v/>
      </c>
      <c r="P550" s="42"/>
      <c r="Q550" s="42"/>
      <c r="R550" s="111"/>
      <c r="S550" s="115"/>
      <c r="T550" s="42" t="str">
        <f t="shared" si="19"/>
        <v/>
      </c>
      <c r="U550" s="42"/>
      <c r="V550" s="42"/>
      <c r="W550" s="111"/>
      <c r="X550" s="115"/>
      <c r="Y550" s="42" t="str">
        <f t="shared" si="20"/>
        <v/>
      </c>
      <c r="Z550" s="42"/>
      <c r="AA550" s="42"/>
      <c r="AB550" s="111"/>
      <c r="AC550" s="115"/>
      <c r="AD550" s="42" t="str">
        <f t="shared" si="21"/>
        <v/>
      </c>
      <c r="AE550" s="42"/>
      <c r="AF550" s="42"/>
      <c r="AG550" s="111"/>
      <c r="AH550" s="115"/>
      <c r="AI550" s="42" t="str">
        <f t="shared" si="22"/>
        <v/>
      </c>
      <c r="AJ550" s="42"/>
      <c r="AK550" s="42"/>
      <c r="AL550" s="111"/>
      <c r="AM550" s="115"/>
      <c r="AN550" s="42" t="str">
        <f t="shared" si="29"/>
        <v/>
      </c>
      <c r="AO550" s="42"/>
      <c r="AP550" s="42"/>
      <c r="AQ550" s="111"/>
      <c r="AR550" s="115"/>
      <c r="AS550" s="42" t="str">
        <f t="shared" si="30"/>
        <v/>
      </c>
      <c r="AT550" s="42"/>
      <c r="AU550" s="42"/>
      <c r="AV550" s="111"/>
      <c r="AW550" s="115"/>
      <c r="AX550" s="42" t="str">
        <f t="shared" si="31"/>
        <v/>
      </c>
      <c r="AY550" s="42"/>
      <c r="AZ550" s="42"/>
      <c r="BA550" s="111"/>
      <c r="BB550" s="115"/>
      <c r="BC550" s="42" t="str">
        <f t="shared" si="32"/>
        <v/>
      </c>
      <c r="BD550" s="42"/>
      <c r="BE550" s="42"/>
      <c r="BF550" s="111"/>
      <c r="BG550" s="115"/>
      <c r="BH550" s="42" t="str">
        <f t="shared" si="33"/>
        <v/>
      </c>
      <c r="BI550" s="42"/>
      <c r="BJ550" s="42"/>
      <c r="BK550" s="111"/>
      <c r="BL550" s="115"/>
      <c r="BM550" s="42" t="str">
        <f t="shared" si="34"/>
        <v/>
      </c>
      <c r="BN550" s="42"/>
      <c r="BO550" s="42"/>
      <c r="BP550" s="111"/>
      <c r="BQ550" s="112" t="s">
        <v>33</v>
      </c>
      <c r="BR550" s="106"/>
      <c r="BS550" s="106"/>
      <c r="BT550" s="106"/>
      <c r="BU550" s="106"/>
    </row>
    <row r="551">
      <c r="A551" s="106"/>
      <c r="B551" s="114"/>
      <c r="C551" s="108" t="s">
        <v>54</v>
      </c>
      <c r="D551" s="115"/>
      <c r="E551" s="42"/>
      <c r="F551" s="42"/>
      <c r="G551" s="66">
        <f>SUMIFS('지출'!$G$3:$G1000,'지출'!$J$3:$J1000,G$1,'지출'!$C$3:$C1000,"바우")</f>
        <v>0</v>
      </c>
      <c r="H551" s="111"/>
      <c r="I551" s="115"/>
      <c r="J551" s="42"/>
      <c r="K551" s="42"/>
      <c r="L551" s="66">
        <f>SUMIFS('지출'!$G$3:$G1000,'지출'!$J$3:$J1000,L$1,'지출'!$C$3:$C1000,"바우")</f>
        <v>0</v>
      </c>
      <c r="M551" s="116">
        <f>SUMIFS('지출'!$G$3:$G1000,'지출'!$J$3:$J1000,M$1,'지출'!$C$3:$C1000,"바우")</f>
        <v>0</v>
      </c>
      <c r="N551" s="66">
        <f>SUMIFS('지출'!$G$3:$G1000,'지출'!$J$3:$J1000,N$1,'지출'!$C$3:$C1000,"바우")</f>
        <v>0</v>
      </c>
      <c r="O551" s="66">
        <f>SUMIFS('지출'!$G$3:$G1000,'지출'!$J$3:$J1000,O$1,'지출'!$C$3:$C1000,"바우")</f>
        <v>0</v>
      </c>
      <c r="P551" s="66">
        <f>SUMIFS('지출'!$G$3:$G1000,'지출'!$J$3:$J1000,P$1,'지출'!$C$3:$C1000,"바우")</f>
        <v>0</v>
      </c>
      <c r="Q551" s="66">
        <f>SUMIFS('지출'!$G$3:$G1000,'지출'!$J$3:$J1000,Q$1,'지출'!$C$3:$C1000,"바우")</f>
        <v>0</v>
      </c>
      <c r="R551" s="116">
        <f>SUMIFS('지출'!$G$3:$G1000,'지출'!$J$3:$J1000,R$1,'지출'!$C$3:$C1000,"바우")</f>
        <v>0</v>
      </c>
      <c r="S551" s="66">
        <f>SUMIFS('지출'!$G$3:$G1000,'지출'!$J$3:$J1000,S$1,'지출'!$C$3:$C1000,"바우")</f>
        <v>0</v>
      </c>
      <c r="T551" s="66">
        <f>SUMIFS('지출'!$G$3:$G1000,'지출'!$J$3:$J1000,T$1,'지출'!$C$3:$C1000,"바우")</f>
        <v>0</v>
      </c>
      <c r="U551" s="66">
        <f>SUMIFS('지출'!$G$3:$G1000,'지출'!$J$3:$J1000,U$1,'지출'!$C$3:$C1000,"바우")</f>
        <v>0</v>
      </c>
      <c r="V551" s="66">
        <f>SUMIFS('지출'!$G$3:$G1000,'지출'!$J$3:$J1000,V$1,'지출'!$C$3:$C1000,"바우")</f>
        <v>0</v>
      </c>
      <c r="W551" s="116">
        <f>SUMIFS('지출'!$G$3:$G1000,'지출'!$J$3:$J1000,W$1,'지출'!$C$3:$C1000,"바우")</f>
        <v>0</v>
      </c>
      <c r="X551" s="66">
        <f>SUMIFS('지출'!$G$3:$G1000,'지출'!$J$3:$J1000,X$1,'지출'!$C$3:$C1000,"바우")</f>
        <v>0</v>
      </c>
      <c r="Y551" s="66">
        <f>SUMIFS('지출'!$G$3:$G1000,'지출'!$J$3:$J1000,Y$1,'지출'!$C$3:$C1000,"바우")</f>
        <v>0</v>
      </c>
      <c r="Z551" s="66">
        <f>SUMIFS('지출'!$G$3:$G1000,'지출'!$J$3:$J1000,Z$1,'지출'!$C$3:$C1000,"바우")</f>
        <v>0</v>
      </c>
      <c r="AA551" s="66">
        <f>SUMIFS('지출'!$G$3:$G1000,'지출'!$J$3:$J1000,AA$1,'지출'!$C$3:$C1000,"바우")</f>
        <v>0</v>
      </c>
      <c r="AB551" s="116">
        <f>SUMIFS('지출'!$G$3:$G1000,'지출'!$J$3:$J1000,AB$1,'지출'!$C$3:$C1000,"바우")</f>
        <v>0</v>
      </c>
      <c r="AC551" s="66">
        <f>SUMIFS('지출'!$G$3:$G1000,'지출'!$J$3:$J1000,AC$1,'지출'!$C$3:$C1000,"바우")</f>
        <v>0</v>
      </c>
      <c r="AD551" s="66">
        <f>SUMIFS('지출'!$G$3:$G1000,'지출'!$J$3:$J1000,AD$1,'지출'!$C$3:$C1000,"바우")</f>
        <v>0</v>
      </c>
      <c r="AE551" s="66">
        <f>SUMIFS('지출'!$G$3:$G1000,'지출'!$J$3:$J1000,AE$1,'지출'!$C$3:$C1000,"바우")</f>
        <v>0</v>
      </c>
      <c r="AF551" s="66">
        <f>SUMIFS('지출'!$G$3:$G1000,'지출'!$J$3:$J1000,AF$1,'지출'!$C$3:$C1000,"바우")</f>
        <v>0</v>
      </c>
      <c r="AG551" s="116">
        <f>SUMIFS('지출'!$G$3:$G1000,'지출'!$J$3:$J1000,AG$1,'지출'!$C$3:$C1000,"바우")</f>
        <v>0</v>
      </c>
      <c r="AH551" s="66">
        <f>SUMIFS('지출'!$G$3:$G1000,'지출'!$J$3:$J1000,AH$1,'지출'!$C$3:$C1000,"바우")</f>
        <v>0</v>
      </c>
      <c r="AI551" s="66">
        <f>SUMIFS('지출'!$G$3:$G1000,'지출'!$J$3:$J1000,AI$1,'지출'!$C$3:$C1000,"바우")</f>
        <v>0</v>
      </c>
      <c r="AJ551" s="66">
        <f>SUMIFS('지출'!$G$3:$G1000,'지출'!$J$3:$J1000,AJ$1,'지출'!$C$3:$C1000,"바우")</f>
        <v>0</v>
      </c>
      <c r="AK551" s="66">
        <f>SUMIFS('지출'!$G$3:$G1000,'지출'!$J$3:$J1000,AK$1,'지출'!$C$3:$C1000,"바우")</f>
        <v>0</v>
      </c>
      <c r="AL551" s="116">
        <f>SUMIFS('지출'!$G$3:$G1000,'지출'!$J$3:$J1000,AL$1,'지출'!$C$3:$C1000,"바우")</f>
        <v>0</v>
      </c>
      <c r="AM551" s="66">
        <f>SUMIFS('지출'!$G$3:$G1000,'지출'!$J$3:$J1000,AM$1,'지출'!$C$3:$C1000,"바우")</f>
        <v>0</v>
      </c>
      <c r="AN551" s="66">
        <f>SUMIFS('지출'!$G$3:$G1000,'지출'!$J$3:$J1000,AN$1,'지출'!$C$3:$C1000,"바우")</f>
        <v>0</v>
      </c>
      <c r="AO551" s="66">
        <f>SUMIFS('지출'!$G$3:$G1000,'지출'!$J$3:$J1000,AO$1,'지출'!$C$3:$C1000,"바우")</f>
        <v>0</v>
      </c>
      <c r="AP551" s="66">
        <f>SUMIFS('지출'!$G$3:$G1000,'지출'!$J$3:$J1000,AP$1,'지출'!$C$3:$C1000,"바우")</f>
        <v>0</v>
      </c>
      <c r="AQ551" s="116">
        <f>SUMIFS('지출'!$G$3:$G1000,'지출'!$J$3:$J1000,AQ$1,'지출'!$C$3:$C1000,"바우")</f>
        <v>0</v>
      </c>
      <c r="AR551" s="66">
        <f>SUMIFS('지출'!$G$3:$G1000,'지출'!$J$3:$J1000,AR$1,'지출'!$C$3:$C1000,"바우")</f>
        <v>0</v>
      </c>
      <c r="AS551" s="66">
        <f>SUMIFS('지출'!$G$3:$G1000,'지출'!$J$3:$J1000,AS$1,'지출'!$C$3:$C1000,"바우")</f>
        <v>0</v>
      </c>
      <c r="AT551" s="66">
        <f>SUMIFS('지출'!$G$3:$G1000,'지출'!$J$3:$J1000,AT$1,'지출'!$C$3:$C1000,"바우")</f>
        <v>0</v>
      </c>
      <c r="AU551" s="66">
        <f>SUMIFS('지출'!$G$3:$G1000,'지출'!$J$3:$J1000,AU$1,'지출'!$C$3:$C1000,"바우")</f>
        <v>0</v>
      </c>
      <c r="AV551" s="116">
        <f>SUMIFS('지출'!$G$3:$G1000,'지출'!$J$3:$J1000,AV$1,'지출'!$C$3:$C1000,"바우")</f>
        <v>0</v>
      </c>
      <c r="AW551" s="66">
        <f>SUMIFS('지출'!$G$3:$G1000,'지출'!$J$3:$J1000,AW$1,'지출'!$C$3:$C1000,"바우")</f>
        <v>0</v>
      </c>
      <c r="AX551" s="66">
        <f>SUMIFS('지출'!$G$3:$G1000,'지출'!$J$3:$J1000,AX$1,'지출'!$C$3:$C1000,"바우")</f>
        <v>0</v>
      </c>
      <c r="AY551" s="66">
        <f>SUMIFS('지출'!$G$3:$G1000,'지출'!$J$3:$J1000,AY$1,'지출'!$C$3:$C1000,"바우")</f>
        <v>0</v>
      </c>
      <c r="AZ551" s="66">
        <f>SUMIFS('지출'!$G$3:$G1000,'지출'!$J$3:$J1000,AZ$1,'지출'!$C$3:$C1000,"바우")</f>
        <v>0</v>
      </c>
      <c r="BA551" s="116">
        <f>SUMIFS('지출'!$G$3:$G1000,'지출'!$J$3:$J1000,BA$1,'지출'!$C$3:$C1000,"바우")</f>
        <v>0</v>
      </c>
      <c r="BB551" s="66">
        <f>SUMIFS('지출'!$G$3:$G1000,'지출'!$J$3:$J1000,BB$1,'지출'!$C$3:$C1000,"바우")</f>
        <v>0</v>
      </c>
      <c r="BC551" s="66">
        <f>SUMIFS('지출'!$G$3:$G1000,'지출'!$J$3:$J1000,BC$1,'지출'!$C$3:$C1000,"바우")</f>
        <v>0</v>
      </c>
      <c r="BD551" s="66">
        <f>SUMIFS('지출'!$G$3:$G1000,'지출'!$J$3:$J1000,BD$1,'지출'!$C$3:$C1000,"바우")</f>
        <v>0</v>
      </c>
      <c r="BE551" s="66">
        <f>SUMIFS('지출'!$G$3:$G1000,'지출'!$J$3:$J1000,BE$1,'지출'!$C$3:$C1000,"바우")</f>
        <v>0</v>
      </c>
      <c r="BF551" s="116">
        <f>SUMIFS('지출'!$G$3:$G1000,'지출'!$J$3:$J1000,BF$1,'지출'!$C$3:$C1000,"바우")</f>
        <v>0</v>
      </c>
      <c r="BG551" s="66">
        <f>SUMIFS('지출'!$G$3:$G1000,'지출'!$J$3:$J1000,BG$1,'지출'!$C$3:$C1000,"바우")</f>
        <v>0</v>
      </c>
      <c r="BH551" s="66">
        <f>SUMIFS('지출'!$G$3:$G1000,'지출'!$J$3:$J1000,BH$1,'지출'!$C$3:$C1000,"바우")</f>
        <v>0</v>
      </c>
      <c r="BI551" s="66">
        <f>SUMIFS('지출'!$G$3:$G1000,'지출'!$J$3:$J1000,BI$1,'지출'!$C$3:$C1000,"바우")</f>
        <v>0</v>
      </c>
      <c r="BJ551" s="66">
        <f>SUMIFS('지출'!$G$3:$G1000,'지출'!$J$3:$J1000,BJ$1,'지출'!$C$3:$C1000,"바우")</f>
        <v>0</v>
      </c>
      <c r="BK551" s="111"/>
      <c r="BL551" s="66">
        <f>SUMIFS('지출'!$G$3:$G1000,'지출'!$J$3:$J1000,BL$1,'지출'!$C$3:$C1000,"바우")</f>
        <v>0</v>
      </c>
      <c r="BM551" s="66">
        <f>SUMIFS('지출'!$G$3:$G1000,'지출'!$J$3:$J1000,BM$1,'지출'!$C$3:$C1000,"바우")</f>
        <v>0</v>
      </c>
      <c r="BN551" s="66">
        <f>SUMIFS('지출'!$G$3:$G1000,'지출'!$J$3:$J1000,BN$1,'지출'!$C$3:$C1000,"바우")</f>
        <v>0</v>
      </c>
      <c r="BO551" s="66">
        <f>SUMIFS('지출'!$G$3:$G1000,'지출'!$J$3:$J1000,BO$1,'지출'!$C$3:$C1000,"바우")</f>
        <v>0</v>
      </c>
      <c r="BP551" s="111"/>
      <c r="BQ551" s="112" t="s">
        <v>33</v>
      </c>
      <c r="BR551" s="106"/>
      <c r="BS551" s="106"/>
      <c r="BT551" s="106"/>
      <c r="BU551" s="106"/>
    </row>
    <row r="552">
      <c r="A552" s="106"/>
      <c r="B552" s="114"/>
      <c r="C552" s="108" t="s">
        <v>56</v>
      </c>
      <c r="D552" s="115"/>
      <c r="E552" s="66">
        <f>E543-(SUM(E544:E551))</f>
        <v>760397.2</v>
      </c>
      <c r="F552" s="42"/>
      <c r="G552" s="66">
        <f>G543-(SUM(G544:G551))</f>
        <v>-236520</v>
      </c>
      <c r="H552" s="111"/>
      <c r="I552" s="115"/>
      <c r="J552" s="66">
        <f>J543-(SUM(J544:J551))</f>
        <v>979244</v>
      </c>
      <c r="K552" s="42"/>
      <c r="L552" s="66">
        <f>L543-(SUM(L544:L551))</f>
        <v>-230410</v>
      </c>
      <c r="M552" s="111"/>
      <c r="N552" s="115"/>
      <c r="O552" s="66">
        <f>O543-(SUM(O544:O551))</f>
        <v>831549.5</v>
      </c>
      <c r="P552" s="42"/>
      <c r="Q552" s="66">
        <f>Q543-(SUM(Q544:Q551))</f>
        <v>-152310</v>
      </c>
      <c r="R552" s="111"/>
      <c r="S552" s="115"/>
      <c r="T552" s="66">
        <f>T543-(SUM(T544:T551))</f>
        <v>853299.5</v>
      </c>
      <c r="U552" s="42"/>
      <c r="V552" s="66">
        <f>V543-(SUM(V544:V551))</f>
        <v>-130560</v>
      </c>
      <c r="W552" s="111"/>
      <c r="X552" s="42"/>
      <c r="Y552" s="66">
        <f>Y543-(SUM(Y544:Y551))</f>
        <v>1806750.909</v>
      </c>
      <c r="Z552" s="42"/>
      <c r="AA552" s="66">
        <f>AA543-(SUM(AA544:AA551))</f>
        <v>-55640</v>
      </c>
      <c r="AB552" s="111"/>
      <c r="AC552" s="42"/>
      <c r="AD552" s="66">
        <f>AD543-(SUM(AD544:AD551))</f>
        <v>1217619.091</v>
      </c>
      <c r="AE552" s="42"/>
      <c r="AF552" s="66">
        <f>AF543-(SUM(AF544:AF551))</f>
        <v>-648000</v>
      </c>
      <c r="AG552" s="111"/>
      <c r="AH552" s="42"/>
      <c r="AI552" s="66">
        <f>AI543-(SUM(AI544:AI551))</f>
        <v>2252675</v>
      </c>
      <c r="AJ552" s="42"/>
      <c r="AK552" s="66">
        <f>AK543-(SUM(AK544:AK551))</f>
        <v>-704600</v>
      </c>
      <c r="AL552" s="111"/>
      <c r="AM552" s="42"/>
      <c r="AN552" s="66">
        <f>AN543-(SUM(AN544:AN551))</f>
        <v>1832140</v>
      </c>
      <c r="AO552" s="42"/>
      <c r="AP552" s="66">
        <f>AP543-(SUM(AP544:AP551))</f>
        <v>-209260</v>
      </c>
      <c r="AQ552" s="111"/>
      <c r="AR552" s="115"/>
      <c r="AS552" s="66">
        <f>AS543-(SUM(AS544:AS551))</f>
        <v>1390201.2</v>
      </c>
      <c r="AT552" s="42"/>
      <c r="AU552" s="66">
        <f>AU543-(SUM(AU544:AU551))</f>
        <v>-184780</v>
      </c>
      <c r="AV552" s="111"/>
      <c r="AW552" s="115"/>
      <c r="AX552" s="66">
        <f>AX543-(SUM(AX544:AX551))</f>
        <v>1355037.943</v>
      </c>
      <c r="AY552" s="42"/>
      <c r="AZ552" s="66">
        <f>AZ543-(SUM(AZ544:AZ551))</f>
        <v>-89220</v>
      </c>
      <c r="BA552" s="111"/>
      <c r="BB552" s="115"/>
      <c r="BC552" s="66">
        <f>BC543-(SUM(BC544:BC551))</f>
        <v>348892.8571</v>
      </c>
      <c r="BD552" s="42"/>
      <c r="BE552" s="66">
        <f>BE543-(SUM(BE544:BE551))</f>
        <v>-37410</v>
      </c>
      <c r="BF552" s="111"/>
      <c r="BG552" s="115"/>
      <c r="BH552" s="66">
        <f>BH543-(SUM(BH544:BH551))</f>
        <v>-567850</v>
      </c>
      <c r="BI552" s="42"/>
      <c r="BJ552" s="66">
        <f>BJ543-(SUM(BJ544:BJ551))</f>
        <v>-67850</v>
      </c>
      <c r="BK552" s="111"/>
      <c r="BL552" s="115"/>
      <c r="BM552" s="66">
        <f>BM543-(SUM(BM544:BM551))</f>
        <v>-574490</v>
      </c>
      <c r="BN552" s="42"/>
      <c r="BO552" s="66">
        <f>BO543-(SUM(BO544:BO551))</f>
        <v>-74490</v>
      </c>
      <c r="BP552" s="111"/>
      <c r="BQ552" s="112" t="s">
        <v>33</v>
      </c>
      <c r="BR552" s="106"/>
      <c r="BS552" s="106"/>
      <c r="BT552" s="106"/>
      <c r="BU552" s="106"/>
    </row>
    <row r="553">
      <c r="A553" s="106"/>
      <c r="B553" s="107">
        <v>0.0</v>
      </c>
      <c r="C553" s="108" t="s">
        <v>26</v>
      </c>
      <c r="D553" s="115"/>
      <c r="E553" s="66">
        <f>E552*$B553</f>
        <v>0</v>
      </c>
      <c r="F553" s="42"/>
      <c r="G553" s="42"/>
      <c r="H553" s="111"/>
      <c r="I553" s="115"/>
      <c r="J553" s="66">
        <f>J552*$B553</f>
        <v>0</v>
      </c>
      <c r="K553" s="42"/>
      <c r="L553" s="42"/>
      <c r="M553" s="111"/>
      <c r="N553" s="115"/>
      <c r="O553" s="66">
        <f>O552*$B553</f>
        <v>0</v>
      </c>
      <c r="P553" s="42"/>
      <c r="Q553" s="42"/>
      <c r="R553" s="111"/>
      <c r="S553" s="115"/>
      <c r="T553" s="66">
        <f>T552*$B553</f>
        <v>0</v>
      </c>
      <c r="U553" s="42"/>
      <c r="V553" s="42"/>
      <c r="W553" s="111"/>
      <c r="X553" s="42"/>
      <c r="Y553" s="66">
        <f>Y552*$B553</f>
        <v>0</v>
      </c>
      <c r="Z553" s="42"/>
      <c r="AA553" s="42"/>
      <c r="AB553" s="111"/>
      <c r="AC553" s="42"/>
      <c r="AD553" s="66">
        <f>AD552*$B553</f>
        <v>0</v>
      </c>
      <c r="AE553" s="42"/>
      <c r="AF553" s="42"/>
      <c r="AG553" s="111"/>
      <c r="AH553" s="42"/>
      <c r="AI553" s="66">
        <f>AI552*$B553</f>
        <v>0</v>
      </c>
      <c r="AJ553" s="42"/>
      <c r="AK553" s="42"/>
      <c r="AL553" s="111"/>
      <c r="AM553" s="42"/>
      <c r="AN553" s="66">
        <f>AN552*$B553</f>
        <v>0</v>
      </c>
      <c r="AO553" s="42"/>
      <c r="AP553" s="42"/>
      <c r="AQ553" s="111"/>
      <c r="AR553" s="115"/>
      <c r="AS553" s="66">
        <f>AS552*$B553</f>
        <v>0</v>
      </c>
      <c r="AT553" s="42"/>
      <c r="AU553" s="42"/>
      <c r="AV553" s="111"/>
      <c r="AW553" s="115"/>
      <c r="AX553" s="66">
        <f>AX552*$B553</f>
        <v>0</v>
      </c>
      <c r="AY553" s="42"/>
      <c r="AZ553" s="42"/>
      <c r="BA553" s="111"/>
      <c r="BB553" s="115"/>
      <c r="BC553" s="66">
        <f>BC552*$B553</f>
        <v>0</v>
      </c>
      <c r="BD553" s="42"/>
      <c r="BE553" s="42"/>
      <c r="BF553" s="111"/>
      <c r="BG553" s="115"/>
      <c r="BH553" s="66">
        <f>BH552*$B553</f>
        <v>0</v>
      </c>
      <c r="BI553" s="42"/>
      <c r="BJ553" s="42"/>
      <c r="BK553" s="111"/>
      <c r="BL553" s="115"/>
      <c r="BM553" s="66">
        <f>BM552*$B553</f>
        <v>0</v>
      </c>
      <c r="BN553" s="42"/>
      <c r="BO553" s="42"/>
      <c r="BP553" s="111"/>
      <c r="BQ553" s="112" t="s">
        <v>33</v>
      </c>
      <c r="BR553" s="106"/>
      <c r="BS553" s="106"/>
      <c r="BT553" s="106"/>
      <c r="BU553" s="106"/>
    </row>
    <row r="554">
      <c r="A554" s="117" t="str">
        <f>B540</f>
        <v>바우</v>
      </c>
      <c r="B554" s="118">
        <v>1.0</v>
      </c>
      <c r="C554" s="119" t="s">
        <v>57</v>
      </c>
      <c r="D554" s="120"/>
      <c r="E554" s="121">
        <f>E552*$B554</f>
        <v>760397.2</v>
      </c>
      <c r="F554" s="122"/>
      <c r="G554" s="122"/>
      <c r="H554" s="123"/>
      <c r="I554" s="120"/>
      <c r="J554" s="121">
        <f>J552*$B554</f>
        <v>979244</v>
      </c>
      <c r="K554" s="122"/>
      <c r="L554" s="122"/>
      <c r="M554" s="123"/>
      <c r="N554" s="120"/>
      <c r="O554" s="121">
        <f>O552*$B554</f>
        <v>831549.5</v>
      </c>
      <c r="P554" s="122"/>
      <c r="Q554" s="122"/>
      <c r="R554" s="123"/>
      <c r="S554" s="120"/>
      <c r="T554" s="121">
        <f>T552*$B554</f>
        <v>853299.5</v>
      </c>
      <c r="U554" s="122"/>
      <c r="V554" s="122"/>
      <c r="W554" s="123"/>
      <c r="X554" s="122"/>
      <c r="Y554" s="121">
        <f>Y552*$B554</f>
        <v>1806750.909</v>
      </c>
      <c r="Z554" s="122"/>
      <c r="AA554" s="122"/>
      <c r="AB554" s="123"/>
      <c r="AC554" s="122"/>
      <c r="AD554" s="121">
        <f>AD552*$B554</f>
        <v>1217619.091</v>
      </c>
      <c r="AE554" s="122"/>
      <c r="AF554" s="122"/>
      <c r="AG554" s="123"/>
      <c r="AH554" s="122"/>
      <c r="AI554" s="121">
        <f>AI552*$B554</f>
        <v>2252675</v>
      </c>
      <c r="AJ554" s="122"/>
      <c r="AK554" s="122"/>
      <c r="AL554" s="123"/>
      <c r="AM554" s="122"/>
      <c r="AN554" s="121">
        <f>AN552*$B554</f>
        <v>1832140</v>
      </c>
      <c r="AO554" s="122"/>
      <c r="AP554" s="122"/>
      <c r="AQ554" s="123"/>
      <c r="AR554" s="120"/>
      <c r="AS554" s="121">
        <f>AS552*$B554</f>
        <v>1390201.2</v>
      </c>
      <c r="AT554" s="122"/>
      <c r="AU554" s="122"/>
      <c r="AV554" s="123"/>
      <c r="AW554" s="120"/>
      <c r="AX554" s="121">
        <f>AX552*$B554</f>
        <v>1355037.943</v>
      </c>
      <c r="AY554" s="122"/>
      <c r="AZ554" s="122"/>
      <c r="BA554" s="123"/>
      <c r="BB554" s="120"/>
      <c r="BC554" s="121">
        <f>BC552*$B554</f>
        <v>348892.8571</v>
      </c>
      <c r="BD554" s="122"/>
      <c r="BE554" s="122"/>
      <c r="BF554" s="123"/>
      <c r="BG554" s="120"/>
      <c r="BH554" s="121">
        <f>BH552*$B554</f>
        <v>-567850</v>
      </c>
      <c r="BI554" s="122"/>
      <c r="BJ554" s="122"/>
      <c r="BK554" s="123"/>
      <c r="BL554" s="120"/>
      <c r="BM554" s="121">
        <f>BM552*$B554</f>
        <v>-574490</v>
      </c>
      <c r="BN554" s="122"/>
      <c r="BO554" s="122"/>
      <c r="BP554" s="123"/>
      <c r="BQ554" s="112" t="s">
        <v>33</v>
      </c>
      <c r="BR554" s="106"/>
      <c r="BS554" s="106"/>
      <c r="BT554" s="106"/>
      <c r="BU554" s="106"/>
    </row>
    <row r="555">
      <c r="A555" s="1"/>
      <c r="B555" s="27" t="s">
        <v>897</v>
      </c>
      <c r="C555" s="11" t="s">
        <v>898</v>
      </c>
      <c r="D555" s="20" t="s">
        <v>899</v>
      </c>
      <c r="E555" s="23">
        <v>590000.0</v>
      </c>
      <c r="F555" s="35" t="b">
        <v>1</v>
      </c>
      <c r="G555" s="23">
        <v>80000.0</v>
      </c>
      <c r="H555" s="15" t="b">
        <v>1</v>
      </c>
      <c r="I555" s="20" t="s">
        <v>899</v>
      </c>
      <c r="J555" s="23">
        <v>590000.0</v>
      </c>
      <c r="K555" s="35" t="b">
        <v>1</v>
      </c>
      <c r="L555" s="23">
        <v>80000.0</v>
      </c>
      <c r="M555" s="15" t="b">
        <v>1</v>
      </c>
      <c r="N555" s="20" t="s">
        <v>899</v>
      </c>
      <c r="O555" s="23">
        <v>590000.0</v>
      </c>
      <c r="P555" s="35" t="b">
        <v>1</v>
      </c>
      <c r="Q555" s="23">
        <v>80000.0</v>
      </c>
      <c r="R555" s="15" t="b">
        <v>1</v>
      </c>
      <c r="S555" s="20" t="s">
        <v>899</v>
      </c>
      <c r="T555" s="23">
        <v>590000.0</v>
      </c>
      <c r="U555" s="35" t="b">
        <v>1</v>
      </c>
      <c r="V555" s="23">
        <v>80000.0</v>
      </c>
      <c r="W555" s="15" t="b">
        <v>1</v>
      </c>
      <c r="X555" s="20" t="s">
        <v>900</v>
      </c>
      <c r="Y555" s="23">
        <v>590000.0</v>
      </c>
      <c r="Z555" s="35" t="b">
        <v>1</v>
      </c>
      <c r="AA555" s="23">
        <v>80000.0</v>
      </c>
      <c r="AB555" s="15" t="b">
        <v>1</v>
      </c>
      <c r="AC555" s="20" t="s">
        <v>900</v>
      </c>
      <c r="AD555" s="23">
        <v>590000.0</v>
      </c>
      <c r="AE555" s="35" t="b">
        <v>1</v>
      </c>
      <c r="AF555" s="23">
        <v>80000.0</v>
      </c>
      <c r="AG555" s="15" t="b">
        <v>1</v>
      </c>
      <c r="AH555" s="20" t="s">
        <v>900</v>
      </c>
      <c r="AI555" s="23">
        <v>590000.0</v>
      </c>
      <c r="AJ555" s="35" t="b">
        <v>1</v>
      </c>
      <c r="AK555" s="23">
        <v>80000.0</v>
      </c>
      <c r="AL555" s="15" t="b">
        <v>1</v>
      </c>
      <c r="AM555" s="20" t="s">
        <v>900</v>
      </c>
      <c r="AN555" s="23">
        <v>590000.0</v>
      </c>
      <c r="AO555" s="35" t="b">
        <v>1</v>
      </c>
      <c r="AP555" s="23">
        <v>80000.0</v>
      </c>
      <c r="AQ555" s="15" t="b">
        <v>1</v>
      </c>
      <c r="AR555" s="20" t="s">
        <v>899</v>
      </c>
      <c r="AS555" s="23">
        <v>590000.0</v>
      </c>
      <c r="AT555" s="35" t="b">
        <v>1</v>
      </c>
      <c r="AU555" s="23">
        <v>80000.0</v>
      </c>
      <c r="AV555" s="15" t="b">
        <v>1</v>
      </c>
      <c r="AW555" s="20" t="s">
        <v>899</v>
      </c>
      <c r="AX555" s="23">
        <v>590000.0</v>
      </c>
      <c r="AY555" s="35" t="b">
        <v>1</v>
      </c>
      <c r="AZ555" s="23">
        <v>80000.0</v>
      </c>
      <c r="BA555" s="15" t="b">
        <v>1</v>
      </c>
      <c r="BB555" s="20" t="s">
        <v>899</v>
      </c>
      <c r="BC555" s="23">
        <v>590000.0</v>
      </c>
      <c r="BD555" s="35" t="b">
        <v>1</v>
      </c>
      <c r="BE555" s="23">
        <v>80000.0</v>
      </c>
      <c r="BF555" s="15" t="b">
        <v>1</v>
      </c>
      <c r="BG555" s="20" t="s">
        <v>901</v>
      </c>
      <c r="BH555" s="23">
        <v>590000.0</v>
      </c>
      <c r="BI555" s="35" t="b">
        <v>1</v>
      </c>
      <c r="BJ555" s="23">
        <v>80000.0</v>
      </c>
      <c r="BK555" s="15" t="b">
        <v>1</v>
      </c>
      <c r="BL555" s="20" t="s">
        <v>899</v>
      </c>
      <c r="BM555" s="23">
        <v>590000.0</v>
      </c>
      <c r="BN555" s="35" t="b">
        <v>0</v>
      </c>
      <c r="BO555" s="23">
        <v>80000.0</v>
      </c>
      <c r="BP555" s="15" t="b">
        <v>0</v>
      </c>
      <c r="BQ555" s="17" t="s">
        <v>33</v>
      </c>
      <c r="BR555" s="1"/>
      <c r="BS555" s="1"/>
      <c r="BT555" s="1"/>
      <c r="BU555" s="1"/>
    </row>
    <row r="556">
      <c r="A556" s="1"/>
      <c r="B556" s="10" t="s">
        <v>902</v>
      </c>
      <c r="C556" s="11" t="s">
        <v>614</v>
      </c>
      <c r="D556" s="20" t="s">
        <v>903</v>
      </c>
      <c r="E556" s="23">
        <f>560000+18065</f>
        <v>578065</v>
      </c>
      <c r="F556" s="35" t="b">
        <v>1</v>
      </c>
      <c r="G556" s="23">
        <f>80000+2581</f>
        <v>82581</v>
      </c>
      <c r="H556" s="15" t="b">
        <v>1</v>
      </c>
      <c r="I556" s="20" t="s">
        <v>904</v>
      </c>
      <c r="J556" s="23">
        <v>560000.0</v>
      </c>
      <c r="K556" s="35" t="b">
        <v>1</v>
      </c>
      <c r="L556" s="23">
        <v>80000.0</v>
      </c>
      <c r="M556" s="15" t="b">
        <v>1</v>
      </c>
      <c r="N556" s="20" t="s">
        <v>905</v>
      </c>
      <c r="O556" s="23">
        <v>560000.0</v>
      </c>
      <c r="P556" s="35" t="b">
        <v>1</v>
      </c>
      <c r="Q556" s="23">
        <v>80000.0</v>
      </c>
      <c r="R556" s="15" t="b">
        <v>1</v>
      </c>
      <c r="S556" s="20" t="s">
        <v>906</v>
      </c>
      <c r="T556" s="23">
        <v>560000.0</v>
      </c>
      <c r="U556" s="35" t="b">
        <v>1</v>
      </c>
      <c r="V556" s="23">
        <v>80000.0</v>
      </c>
      <c r="W556" s="15" t="b">
        <v>1</v>
      </c>
      <c r="X556" s="20" t="s">
        <v>906</v>
      </c>
      <c r="Y556" s="23">
        <v>560000.0</v>
      </c>
      <c r="Z556" s="35" t="b">
        <v>1</v>
      </c>
      <c r="AA556" s="23">
        <v>80000.0</v>
      </c>
      <c r="AB556" s="15" t="b">
        <v>1</v>
      </c>
      <c r="AC556" s="20" t="s">
        <v>906</v>
      </c>
      <c r="AD556" s="23">
        <v>560000.0</v>
      </c>
      <c r="AE556" s="35" t="b">
        <v>1</v>
      </c>
      <c r="AF556" s="23">
        <v>80000.0</v>
      </c>
      <c r="AG556" s="15" t="b">
        <v>1</v>
      </c>
      <c r="AH556" s="20" t="s">
        <v>906</v>
      </c>
      <c r="AI556" s="23">
        <v>560000.0</v>
      </c>
      <c r="AJ556" s="35" t="b">
        <v>1</v>
      </c>
      <c r="AK556" s="23">
        <v>80000.0</v>
      </c>
      <c r="AL556" s="15" t="b">
        <v>1</v>
      </c>
      <c r="AM556" s="20" t="s">
        <v>907</v>
      </c>
      <c r="AN556" s="23">
        <v>560000.0</v>
      </c>
      <c r="AO556" s="35" t="b">
        <v>1</v>
      </c>
      <c r="AP556" s="23">
        <v>80000.0</v>
      </c>
      <c r="AQ556" s="15" t="b">
        <v>1</v>
      </c>
      <c r="AR556" s="20" t="s">
        <v>907</v>
      </c>
      <c r="AS556" s="23">
        <v>560000.0</v>
      </c>
      <c r="AT556" s="35" t="b">
        <v>1</v>
      </c>
      <c r="AU556" s="23">
        <v>80000.0</v>
      </c>
      <c r="AV556" s="15" t="b">
        <v>1</v>
      </c>
      <c r="AW556" s="20" t="s">
        <v>907</v>
      </c>
      <c r="AX556" s="23">
        <v>560000.0</v>
      </c>
      <c r="AY556" s="35" t="b">
        <v>1</v>
      </c>
      <c r="AZ556" s="23">
        <v>80000.0</v>
      </c>
      <c r="BA556" s="15" t="b">
        <v>1</v>
      </c>
      <c r="BB556" s="20" t="s">
        <v>907</v>
      </c>
      <c r="BC556" s="23">
        <v>560000.0</v>
      </c>
      <c r="BD556" s="35" t="b">
        <v>1</v>
      </c>
      <c r="BE556" s="23">
        <v>80000.0</v>
      </c>
      <c r="BF556" s="15" t="b">
        <v>1</v>
      </c>
      <c r="BG556" s="20" t="s">
        <v>907</v>
      </c>
      <c r="BH556" s="23">
        <v>560000.0</v>
      </c>
      <c r="BI556" s="35" t="b">
        <v>1</v>
      </c>
      <c r="BJ556" s="23">
        <v>80000.0</v>
      </c>
      <c r="BK556" s="15" t="b">
        <v>1</v>
      </c>
      <c r="BL556" s="20" t="s">
        <v>907</v>
      </c>
      <c r="BM556" s="23">
        <v>560000.0</v>
      </c>
      <c r="BN556" s="35" t="b">
        <v>0</v>
      </c>
      <c r="BO556" s="23">
        <v>80000.0</v>
      </c>
      <c r="BP556" s="15" t="b">
        <v>0</v>
      </c>
      <c r="BQ556" s="17" t="s">
        <v>33</v>
      </c>
      <c r="BR556" s="1"/>
      <c r="BS556" s="1"/>
      <c r="BT556" s="1"/>
      <c r="BU556" s="1"/>
    </row>
    <row r="557">
      <c r="A557" s="1"/>
      <c r="B557" s="10" t="s">
        <v>908</v>
      </c>
      <c r="C557" s="11" t="s">
        <v>909</v>
      </c>
      <c r="D557" s="20" t="s">
        <v>910</v>
      </c>
      <c r="E557" s="23">
        <v>430000.0</v>
      </c>
      <c r="F557" s="35" t="b">
        <v>1</v>
      </c>
      <c r="G557" s="23">
        <v>80000.0</v>
      </c>
      <c r="H557" s="15" t="b">
        <v>1</v>
      </c>
      <c r="I557" s="20" t="s">
        <v>910</v>
      </c>
      <c r="J557" s="23">
        <v>430000.0</v>
      </c>
      <c r="K557" s="35" t="b">
        <v>1</v>
      </c>
      <c r="L557" s="23">
        <v>80000.0</v>
      </c>
      <c r="M557" s="15" t="b">
        <v>1</v>
      </c>
      <c r="N557" s="20" t="s">
        <v>910</v>
      </c>
      <c r="O557" s="23">
        <v>430000.0</v>
      </c>
      <c r="P557" s="35" t="b">
        <v>1</v>
      </c>
      <c r="Q557" s="23">
        <v>80000.0</v>
      </c>
      <c r="R557" s="15" t="b">
        <v>1</v>
      </c>
      <c r="S557" s="20" t="s">
        <v>910</v>
      </c>
      <c r="T557" s="23">
        <v>430000.0</v>
      </c>
      <c r="U557" s="35" t="b">
        <v>1</v>
      </c>
      <c r="V557" s="23">
        <v>80000.0</v>
      </c>
      <c r="W557" s="15" t="b">
        <v>1</v>
      </c>
      <c r="X557" s="20" t="s">
        <v>910</v>
      </c>
      <c r="Y557" s="23">
        <v>430000.0</v>
      </c>
      <c r="Z557" s="35" t="b">
        <v>1</v>
      </c>
      <c r="AA557" s="23">
        <v>80000.0</v>
      </c>
      <c r="AB557" s="15" t="b">
        <v>1</v>
      </c>
      <c r="AC557" s="20" t="s">
        <v>910</v>
      </c>
      <c r="AD557" s="23">
        <v>430000.0</v>
      </c>
      <c r="AE557" s="35" t="b">
        <v>1</v>
      </c>
      <c r="AF557" s="23">
        <v>80000.0</v>
      </c>
      <c r="AG557" s="15" t="b">
        <v>1</v>
      </c>
      <c r="AH557" s="20" t="s">
        <v>910</v>
      </c>
      <c r="AI557" s="23">
        <v>430000.0</v>
      </c>
      <c r="AJ557" s="35" t="b">
        <v>1</v>
      </c>
      <c r="AK557" s="23">
        <v>80000.0</v>
      </c>
      <c r="AL557" s="15" t="b">
        <v>1</v>
      </c>
      <c r="AM557" s="20" t="s">
        <v>910</v>
      </c>
      <c r="AN557" s="23">
        <v>430000.0</v>
      </c>
      <c r="AO557" s="35" t="b">
        <v>1</v>
      </c>
      <c r="AP557" s="23">
        <v>80000.0</v>
      </c>
      <c r="AQ557" s="15" t="b">
        <v>1</v>
      </c>
      <c r="AR557" s="20" t="s">
        <v>910</v>
      </c>
      <c r="AS557" s="23">
        <v>430000.0</v>
      </c>
      <c r="AT557" s="35" t="b">
        <v>1</v>
      </c>
      <c r="AU557" s="23">
        <v>80000.0</v>
      </c>
      <c r="AV557" s="15" t="b">
        <v>1</v>
      </c>
      <c r="AW557" s="20" t="s">
        <v>910</v>
      </c>
      <c r="AX557" s="23">
        <v>430000.0</v>
      </c>
      <c r="AY557" s="35" t="b">
        <v>1</v>
      </c>
      <c r="AZ557" s="23">
        <v>80000.0</v>
      </c>
      <c r="BA557" s="15" t="b">
        <v>1</v>
      </c>
      <c r="BB557" s="20" t="s">
        <v>910</v>
      </c>
      <c r="BC557" s="23">
        <v>430000.0</v>
      </c>
      <c r="BD557" s="35" t="b">
        <v>1</v>
      </c>
      <c r="BE557" s="23">
        <v>80000.0</v>
      </c>
      <c r="BF557" s="15" t="b">
        <v>1</v>
      </c>
      <c r="BG557" s="20" t="s">
        <v>910</v>
      </c>
      <c r="BH557" s="23">
        <v>430000.0</v>
      </c>
      <c r="BI557" s="35" t="b">
        <v>1</v>
      </c>
      <c r="BJ557" s="23">
        <v>80000.0</v>
      </c>
      <c r="BK557" s="15" t="b">
        <v>1</v>
      </c>
      <c r="BL557" s="20" t="s">
        <v>910</v>
      </c>
      <c r="BM557" s="23">
        <v>430000.0</v>
      </c>
      <c r="BN557" s="35" t="b">
        <v>0</v>
      </c>
      <c r="BO557" s="23">
        <v>80000.0</v>
      </c>
      <c r="BP557" s="15" t="b">
        <v>0</v>
      </c>
      <c r="BQ557" s="17" t="s">
        <v>33</v>
      </c>
      <c r="BR557" s="1"/>
      <c r="BS557" s="1"/>
      <c r="BT557" s="1"/>
      <c r="BU557" s="1"/>
    </row>
    <row r="558">
      <c r="A558" s="1"/>
      <c r="B558" s="27" t="s">
        <v>897</v>
      </c>
      <c r="C558" s="11" t="s">
        <v>316</v>
      </c>
      <c r="D558" s="20" t="s">
        <v>911</v>
      </c>
      <c r="E558" s="23">
        <v>430000.0</v>
      </c>
      <c r="F558" s="35" t="b">
        <v>1</v>
      </c>
      <c r="G558" s="23">
        <v>80000.0</v>
      </c>
      <c r="H558" s="15" t="b">
        <v>1</v>
      </c>
      <c r="I558" s="20" t="s">
        <v>912</v>
      </c>
      <c r="J558" s="23">
        <v>430000.0</v>
      </c>
      <c r="K558" s="35" t="b">
        <v>1</v>
      </c>
      <c r="L558" s="23">
        <v>80000.0</v>
      </c>
      <c r="M558" s="15" t="b">
        <v>1</v>
      </c>
      <c r="N558" s="20" t="s">
        <v>904</v>
      </c>
      <c r="O558" s="23">
        <v>430000.0</v>
      </c>
      <c r="P558" s="35" t="b">
        <v>1</v>
      </c>
      <c r="Q558" s="23">
        <v>80000.0</v>
      </c>
      <c r="R558" s="15" t="b">
        <v>1</v>
      </c>
      <c r="S558" s="20" t="s">
        <v>904</v>
      </c>
      <c r="T558" s="23">
        <v>430000.0</v>
      </c>
      <c r="U558" s="35" t="b">
        <v>1</v>
      </c>
      <c r="V558" s="23">
        <v>80000.0</v>
      </c>
      <c r="W558" s="15" t="b">
        <v>1</v>
      </c>
      <c r="X558" s="20" t="s">
        <v>904</v>
      </c>
      <c r="Y558" s="23">
        <v>430000.0</v>
      </c>
      <c r="Z558" s="35" t="b">
        <v>1</v>
      </c>
      <c r="AA558" s="23">
        <v>80000.0</v>
      </c>
      <c r="AB558" s="15" t="b">
        <v>1</v>
      </c>
      <c r="AC558" s="20" t="s">
        <v>904</v>
      </c>
      <c r="AD558" s="23">
        <v>430000.0</v>
      </c>
      <c r="AE558" s="35" t="b">
        <v>1</v>
      </c>
      <c r="AF558" s="23">
        <v>80000.0</v>
      </c>
      <c r="AG558" s="15" t="b">
        <v>1</v>
      </c>
      <c r="AH558" s="20" t="s">
        <v>904</v>
      </c>
      <c r="AI558" s="23">
        <v>430000.0</v>
      </c>
      <c r="AJ558" s="35" t="b">
        <v>1</v>
      </c>
      <c r="AK558" s="23">
        <v>80000.0</v>
      </c>
      <c r="AL558" s="15" t="b">
        <v>1</v>
      </c>
      <c r="AM558" s="20" t="s">
        <v>913</v>
      </c>
      <c r="AN558" s="23">
        <v>430000.0</v>
      </c>
      <c r="AO558" s="35" t="b">
        <v>1</v>
      </c>
      <c r="AP558" s="23">
        <v>80000.0</v>
      </c>
      <c r="AQ558" s="15" t="b">
        <v>1</v>
      </c>
      <c r="AR558" s="20" t="s">
        <v>914</v>
      </c>
      <c r="AS558" s="23">
        <v>460000.0</v>
      </c>
      <c r="AT558" s="35" t="b">
        <v>1</v>
      </c>
      <c r="AU558" s="23">
        <v>80000.0</v>
      </c>
      <c r="AV558" s="15" t="b">
        <v>1</v>
      </c>
      <c r="AW558" s="20" t="s">
        <v>915</v>
      </c>
      <c r="AX558" s="23">
        <v>460000.0</v>
      </c>
      <c r="AY558" s="35" t="b">
        <v>1</v>
      </c>
      <c r="AZ558" s="23">
        <v>80000.0</v>
      </c>
      <c r="BA558" s="15" t="b">
        <v>1</v>
      </c>
      <c r="BB558" s="20" t="s">
        <v>915</v>
      </c>
      <c r="BC558" s="23">
        <v>460000.0</v>
      </c>
      <c r="BD558" s="35" t="b">
        <v>1</v>
      </c>
      <c r="BE558" s="23">
        <v>80000.0</v>
      </c>
      <c r="BF558" s="15" t="b">
        <v>1</v>
      </c>
      <c r="BG558" s="20" t="s">
        <v>915</v>
      </c>
      <c r="BH558" s="23">
        <v>460000.0</v>
      </c>
      <c r="BI558" s="35" t="b">
        <v>1</v>
      </c>
      <c r="BJ558" s="23">
        <v>80000.0</v>
      </c>
      <c r="BK558" s="15" t="b">
        <v>1</v>
      </c>
      <c r="BL558" s="20" t="s">
        <v>915</v>
      </c>
      <c r="BM558" s="23">
        <v>460000.0</v>
      </c>
      <c r="BN558" s="35" t="b">
        <v>0</v>
      </c>
      <c r="BO558" s="23">
        <v>80000.0</v>
      </c>
      <c r="BP558" s="15" t="b">
        <v>0</v>
      </c>
      <c r="BQ558" s="17" t="s">
        <v>33</v>
      </c>
      <c r="BR558" s="1"/>
      <c r="BS558" s="1"/>
      <c r="BT558" s="1"/>
      <c r="BU558" s="1"/>
    </row>
    <row r="559">
      <c r="A559" s="1"/>
      <c r="B559" s="21"/>
      <c r="C559" s="11" t="s">
        <v>42</v>
      </c>
      <c r="D559" s="22"/>
      <c r="E559" s="23">
        <f>SUM(E555:E558)</f>
        <v>2028065</v>
      </c>
      <c r="F559" s="18"/>
      <c r="G559" s="23">
        <f>SUM(G555:G558)</f>
        <v>322581</v>
      </c>
      <c r="H559" s="19"/>
      <c r="I559" s="22"/>
      <c r="J559" s="23">
        <f>SUM(J555:J558)</f>
        <v>2010000</v>
      </c>
      <c r="K559" s="18"/>
      <c r="L559" s="23">
        <f>SUM(L555:L558)</f>
        <v>320000</v>
      </c>
      <c r="M559" s="19"/>
      <c r="N559" s="22"/>
      <c r="O559" s="23">
        <f>SUM(O555:O558)</f>
        <v>2010000</v>
      </c>
      <c r="P559" s="18"/>
      <c r="Q559" s="23">
        <f>SUM(Q555:Q558)</f>
        <v>320000</v>
      </c>
      <c r="R559" s="19"/>
      <c r="S559" s="22"/>
      <c r="T559" s="23">
        <f>SUM(T555:T558)</f>
        <v>2010000</v>
      </c>
      <c r="U559" s="18"/>
      <c r="V559" s="23">
        <f>SUM(V555:V558)</f>
        <v>320000</v>
      </c>
      <c r="W559" s="19"/>
      <c r="X559" s="18"/>
      <c r="Y559" s="23">
        <f>SUM(Y555:Y558)</f>
        <v>2010000</v>
      </c>
      <c r="Z559" s="18"/>
      <c r="AA559" s="23">
        <f>SUM(AA555:AA558)</f>
        <v>320000</v>
      </c>
      <c r="AB559" s="19"/>
      <c r="AC559" s="18"/>
      <c r="AD559" s="23">
        <f>SUM(AD555:AD558)</f>
        <v>2010000</v>
      </c>
      <c r="AE559" s="18"/>
      <c r="AF559" s="23">
        <f>SUM(AF555:AF558)</f>
        <v>320000</v>
      </c>
      <c r="AG559" s="19"/>
      <c r="AH559" s="18"/>
      <c r="AI559" s="23">
        <f>SUM(AI555:AI558)</f>
        <v>2010000</v>
      </c>
      <c r="AJ559" s="18"/>
      <c r="AK559" s="23">
        <f>SUM(AK555:AK558)</f>
        <v>320000</v>
      </c>
      <c r="AL559" s="19"/>
      <c r="AM559" s="18"/>
      <c r="AN559" s="23">
        <f>SUM(AN555:AN558)</f>
        <v>2010000</v>
      </c>
      <c r="AO559" s="18"/>
      <c r="AP559" s="23">
        <f>SUM(AP555:AP558)</f>
        <v>320000</v>
      </c>
      <c r="AQ559" s="19"/>
      <c r="AR559" s="22"/>
      <c r="AS559" s="23">
        <f>SUM(AS555:AS558)</f>
        <v>2040000</v>
      </c>
      <c r="AT559" s="18"/>
      <c r="AU559" s="23">
        <f>SUM(AU555:AU558)</f>
        <v>320000</v>
      </c>
      <c r="AV559" s="19"/>
      <c r="AW559" s="22"/>
      <c r="AX559" s="23">
        <f>SUM(AX555:AX558)</f>
        <v>2040000</v>
      </c>
      <c r="AY559" s="18"/>
      <c r="AZ559" s="23">
        <f>SUM(AZ555:AZ558)</f>
        <v>320000</v>
      </c>
      <c r="BA559" s="19"/>
      <c r="BB559" s="22"/>
      <c r="BC559" s="23">
        <f>SUM(BC555:BC558)</f>
        <v>2040000</v>
      </c>
      <c r="BD559" s="18"/>
      <c r="BE559" s="23">
        <f>SUM(BE555:BE558)</f>
        <v>320000</v>
      </c>
      <c r="BF559" s="19"/>
      <c r="BG559" s="22"/>
      <c r="BH559" s="23">
        <f>SUM(BH555:BH558)</f>
        <v>2040000</v>
      </c>
      <c r="BI559" s="18"/>
      <c r="BJ559" s="23">
        <f>SUM(BJ555:BJ558)</f>
        <v>320000</v>
      </c>
      <c r="BK559" s="19"/>
      <c r="BL559" s="22"/>
      <c r="BM559" s="23">
        <f>SUM(BM555:BM558)</f>
        <v>2040000</v>
      </c>
      <c r="BN559" s="18"/>
      <c r="BO559" s="23">
        <f>SUM(BO555:BO558)</f>
        <v>320000</v>
      </c>
      <c r="BP559" s="19"/>
      <c r="BQ559" s="17" t="s">
        <v>33</v>
      </c>
      <c r="BR559" s="1"/>
      <c r="BS559" s="1"/>
      <c r="BT559" s="1"/>
      <c r="BU559" s="1"/>
    </row>
    <row r="560">
      <c r="A560" s="1"/>
      <c r="B560" s="21"/>
      <c r="C560" s="11" t="s">
        <v>43</v>
      </c>
      <c r="D560" s="22"/>
      <c r="E560" s="23">
        <v>1020000.0</v>
      </c>
      <c r="F560" s="18"/>
      <c r="G560" s="18"/>
      <c r="H560" s="19"/>
      <c r="I560" s="22"/>
      <c r="J560" s="23">
        <v>1020000.0</v>
      </c>
      <c r="K560" s="18"/>
      <c r="L560" s="18"/>
      <c r="M560" s="19"/>
      <c r="N560" s="22"/>
      <c r="O560" s="23">
        <v>1020000.0</v>
      </c>
      <c r="P560" s="18"/>
      <c r="Q560" s="18"/>
      <c r="R560" s="19"/>
      <c r="S560" s="22"/>
      <c r="T560" s="23">
        <v>1020000.0</v>
      </c>
      <c r="U560" s="18"/>
      <c r="V560" s="18"/>
      <c r="W560" s="19"/>
      <c r="X560" s="18"/>
      <c r="Y560" s="23">
        <v>1020000.0</v>
      </c>
      <c r="Z560" s="18"/>
      <c r="AA560" s="18"/>
      <c r="AB560" s="19"/>
      <c r="AC560" s="18"/>
      <c r="AD560" s="23">
        <v>1020000.0</v>
      </c>
      <c r="AE560" s="18"/>
      <c r="AF560" s="18"/>
      <c r="AG560" s="19"/>
      <c r="AH560" s="18"/>
      <c r="AI560" s="23">
        <v>1020000.0</v>
      </c>
      <c r="AJ560" s="18"/>
      <c r="AK560" s="18"/>
      <c r="AL560" s="19"/>
      <c r="AM560" s="18"/>
      <c r="AN560" s="23">
        <v>1020000.0</v>
      </c>
      <c r="AO560" s="18"/>
      <c r="AP560" s="18"/>
      <c r="AQ560" s="19"/>
      <c r="AR560" s="22"/>
      <c r="AS560" s="23">
        <v>1020000.0</v>
      </c>
      <c r="AT560" s="18"/>
      <c r="AU560" s="18"/>
      <c r="AV560" s="19"/>
      <c r="AW560" s="22"/>
      <c r="AX560" s="23">
        <v>1020000.0</v>
      </c>
      <c r="AY560" s="18"/>
      <c r="AZ560" s="18"/>
      <c r="BA560" s="19"/>
      <c r="BB560" s="22"/>
      <c r="BC560" s="23">
        <v>1020000.0</v>
      </c>
      <c r="BD560" s="18"/>
      <c r="BE560" s="18"/>
      <c r="BF560" s="19"/>
      <c r="BG560" s="22"/>
      <c r="BH560" s="23">
        <v>1020000.0</v>
      </c>
      <c r="BI560" s="18"/>
      <c r="BJ560" s="18"/>
      <c r="BK560" s="19"/>
      <c r="BL560" s="22"/>
      <c r="BM560" s="23">
        <v>1020000.0</v>
      </c>
      <c r="BN560" s="18"/>
      <c r="BO560" s="18"/>
      <c r="BP560" s="19"/>
      <c r="BQ560" s="17" t="s">
        <v>33</v>
      </c>
      <c r="BR560" s="1"/>
      <c r="BS560" s="1"/>
      <c r="BT560" s="1"/>
      <c r="BU560" s="1"/>
    </row>
    <row r="561">
      <c r="A561" s="1"/>
      <c r="B561" s="21"/>
      <c r="C561" s="11" t="s">
        <v>45</v>
      </c>
      <c r="D561" s="22"/>
      <c r="E561" s="18"/>
      <c r="F561" s="18"/>
      <c r="G561" s="23" t="s">
        <v>677</v>
      </c>
      <c r="H561" s="19"/>
      <c r="I561" s="22"/>
      <c r="J561" s="18"/>
      <c r="K561" s="18"/>
      <c r="L561" s="23" t="s">
        <v>677</v>
      </c>
      <c r="M561" s="98" t="s">
        <v>677</v>
      </c>
      <c r="N561" s="26" t="s">
        <v>677</v>
      </c>
      <c r="O561" s="23" t="s">
        <v>677</v>
      </c>
      <c r="P561" s="61" t="s">
        <v>677</v>
      </c>
      <c r="Q561" s="23" t="s">
        <v>677</v>
      </c>
      <c r="R561" s="98" t="s">
        <v>677</v>
      </c>
      <c r="S561" s="26" t="s">
        <v>677</v>
      </c>
      <c r="T561" s="23" t="s">
        <v>677</v>
      </c>
      <c r="U561" s="61" t="s">
        <v>677</v>
      </c>
      <c r="V561" s="23" t="s">
        <v>677</v>
      </c>
      <c r="W561" s="98" t="s">
        <v>677</v>
      </c>
      <c r="X561" s="20" t="s">
        <v>677</v>
      </c>
      <c r="Y561" s="23" t="s">
        <v>677</v>
      </c>
      <c r="Z561" s="61" t="s">
        <v>677</v>
      </c>
      <c r="AA561" s="23" t="s">
        <v>677</v>
      </c>
      <c r="AB561" s="98" t="s">
        <v>677</v>
      </c>
      <c r="AC561" s="20" t="s">
        <v>677</v>
      </c>
      <c r="AD561" s="23" t="s">
        <v>677</v>
      </c>
      <c r="AE561" s="61" t="s">
        <v>677</v>
      </c>
      <c r="AF561" s="23" t="s">
        <v>677</v>
      </c>
      <c r="AG561" s="98" t="s">
        <v>677</v>
      </c>
      <c r="AH561" s="20" t="s">
        <v>677</v>
      </c>
      <c r="AI561" s="23" t="s">
        <v>677</v>
      </c>
      <c r="AJ561" s="61" t="s">
        <v>677</v>
      </c>
      <c r="AK561" s="23" t="s">
        <v>677</v>
      </c>
      <c r="AL561" s="98" t="s">
        <v>677</v>
      </c>
      <c r="AM561" s="20" t="s">
        <v>677</v>
      </c>
      <c r="AN561" s="23" t="s">
        <v>677</v>
      </c>
      <c r="AO561" s="61" t="s">
        <v>677</v>
      </c>
      <c r="AP561" s="23" t="s">
        <v>677</v>
      </c>
      <c r="AQ561" s="98" t="s">
        <v>677</v>
      </c>
      <c r="AR561" s="26" t="s">
        <v>677</v>
      </c>
      <c r="AS561" s="23" t="s">
        <v>677</v>
      </c>
      <c r="AT561" s="61" t="s">
        <v>677</v>
      </c>
      <c r="AU561" s="23" t="s">
        <v>677</v>
      </c>
      <c r="AV561" s="98" t="s">
        <v>677</v>
      </c>
      <c r="AW561" s="26" t="s">
        <v>677</v>
      </c>
      <c r="AX561" s="23" t="s">
        <v>677</v>
      </c>
      <c r="AY561" s="61" t="s">
        <v>677</v>
      </c>
      <c r="AZ561" s="23" t="s">
        <v>677</v>
      </c>
      <c r="BA561" s="98" t="s">
        <v>677</v>
      </c>
      <c r="BB561" s="26" t="s">
        <v>677</v>
      </c>
      <c r="BC561" s="23" t="s">
        <v>677</v>
      </c>
      <c r="BD561" s="61" t="s">
        <v>677</v>
      </c>
      <c r="BE561" s="23" t="s">
        <v>677</v>
      </c>
      <c r="BF561" s="98" t="s">
        <v>677</v>
      </c>
      <c r="BG561" s="26" t="s">
        <v>677</v>
      </c>
      <c r="BH561" s="23" t="s">
        <v>677</v>
      </c>
      <c r="BI561" s="61" t="s">
        <v>677</v>
      </c>
      <c r="BJ561" s="23" t="s">
        <v>677</v>
      </c>
      <c r="BK561" s="19"/>
      <c r="BL561" s="26" t="s">
        <v>677</v>
      </c>
      <c r="BM561" s="23" t="s">
        <v>677</v>
      </c>
      <c r="BN561" s="61" t="s">
        <v>677</v>
      </c>
      <c r="BO561" s="23" t="s">
        <v>677</v>
      </c>
      <c r="BP561" s="19"/>
      <c r="BQ561" s="17" t="s">
        <v>33</v>
      </c>
      <c r="BR561" s="1"/>
      <c r="BS561" s="1"/>
      <c r="BT561" s="1"/>
      <c r="BU561" s="1"/>
    </row>
    <row r="562">
      <c r="A562" s="56" t="s">
        <v>678</v>
      </c>
      <c r="B562" s="10" t="s">
        <v>916</v>
      </c>
      <c r="C562" s="11" t="s">
        <v>47</v>
      </c>
      <c r="D562" s="22"/>
      <c r="E562" s="18"/>
      <c r="F562" s="18"/>
      <c r="G562" s="23">
        <v>63730.0</v>
      </c>
      <c r="H562" s="19"/>
      <c r="I562" s="46"/>
      <c r="J562" s="18"/>
      <c r="K562" s="18"/>
      <c r="L562" s="23">
        <v>70750.0</v>
      </c>
      <c r="M562" s="24"/>
      <c r="N562" s="22"/>
      <c r="O562" s="18"/>
      <c r="P562" s="18"/>
      <c r="Q562" s="23">
        <v>55940.0</v>
      </c>
      <c r="R562" s="24"/>
      <c r="S562" s="22"/>
      <c r="T562" s="18"/>
      <c r="U562" s="18"/>
      <c r="V562" s="23">
        <v>68930.0</v>
      </c>
      <c r="W562" s="24"/>
      <c r="X562" s="18"/>
      <c r="Y562" s="18"/>
      <c r="Z562" s="18"/>
      <c r="AA562" s="23">
        <v>49430.0</v>
      </c>
      <c r="AB562" s="24"/>
      <c r="AC562" s="18"/>
      <c r="AD562" s="18"/>
      <c r="AE562" s="18"/>
      <c r="AF562" s="23">
        <v>62700.0</v>
      </c>
      <c r="AG562" s="24"/>
      <c r="AH562" s="18"/>
      <c r="AI562" s="18"/>
      <c r="AJ562" s="18"/>
      <c r="AK562" s="23">
        <v>122190.0</v>
      </c>
      <c r="AL562" s="24"/>
      <c r="AM562" s="18"/>
      <c r="AN562" s="18"/>
      <c r="AO562" s="18"/>
      <c r="AP562" s="23">
        <v>197320.0</v>
      </c>
      <c r="AQ562" s="24"/>
      <c r="AR562" s="22"/>
      <c r="AS562" s="18"/>
      <c r="AT562" s="18"/>
      <c r="AU562" s="23">
        <v>184680.0</v>
      </c>
      <c r="AV562" s="24"/>
      <c r="AW562" s="22"/>
      <c r="AX562" s="18"/>
      <c r="AY562" s="18"/>
      <c r="AZ562" s="23">
        <v>92160.0</v>
      </c>
      <c r="BA562" s="24"/>
      <c r="BB562" s="22"/>
      <c r="BC562" s="18"/>
      <c r="BD562" s="18"/>
      <c r="BE562" s="23">
        <v>83370.0</v>
      </c>
      <c r="BF562" s="24"/>
      <c r="BG562" s="22"/>
      <c r="BH562" s="18"/>
      <c r="BI562" s="18"/>
      <c r="BJ562" s="23">
        <v>120900.0</v>
      </c>
      <c r="BK562" s="19"/>
      <c r="BL562" s="22"/>
      <c r="BM562" s="18"/>
      <c r="BN562" s="18"/>
      <c r="BO562" s="18"/>
      <c r="BP562" s="19"/>
      <c r="BQ562" s="17" t="s">
        <v>33</v>
      </c>
      <c r="BR562" s="1"/>
      <c r="BS562" s="1"/>
      <c r="BT562" s="1"/>
      <c r="BU562" s="1"/>
    </row>
    <row r="563">
      <c r="A563" s="56" t="s">
        <v>678</v>
      </c>
      <c r="B563" s="10" t="s">
        <v>917</v>
      </c>
      <c r="C563" s="11" t="s">
        <v>49</v>
      </c>
      <c r="D563" s="22"/>
      <c r="E563" s="18"/>
      <c r="F563" s="18"/>
      <c r="G563" s="23">
        <v>258440.0</v>
      </c>
      <c r="H563" s="19"/>
      <c r="I563" s="22"/>
      <c r="J563" s="18"/>
      <c r="K563" s="18"/>
      <c r="L563" s="23">
        <v>288420.0</v>
      </c>
      <c r="M563" s="24"/>
      <c r="N563" s="22"/>
      <c r="O563" s="18"/>
      <c r="P563" s="18"/>
      <c r="Q563" s="23">
        <v>306710.0</v>
      </c>
      <c r="R563" s="24"/>
      <c r="S563" s="22"/>
      <c r="T563" s="18"/>
      <c r="U563" s="18"/>
      <c r="V563" s="23">
        <v>221470.0</v>
      </c>
      <c r="W563" s="24"/>
      <c r="X563" s="18"/>
      <c r="Y563" s="18"/>
      <c r="Z563" s="18"/>
      <c r="AA563" s="23">
        <v>135360.0</v>
      </c>
      <c r="AB563" s="24"/>
      <c r="AC563" s="18"/>
      <c r="AD563" s="18"/>
      <c r="AE563" s="18"/>
      <c r="AF563" s="23">
        <v>76400.0</v>
      </c>
      <c r="AG563" s="24"/>
      <c r="AH563" s="18"/>
      <c r="AI563" s="18"/>
      <c r="AJ563" s="18"/>
      <c r="AK563" s="23">
        <v>28590.0</v>
      </c>
      <c r="AL563" s="24"/>
      <c r="AM563" s="18"/>
      <c r="AN563" s="18"/>
      <c r="AO563" s="18"/>
      <c r="AP563" s="23">
        <v>50220.0</v>
      </c>
      <c r="AQ563" s="24"/>
      <c r="AR563" s="22"/>
      <c r="AS563" s="18"/>
      <c r="AT563" s="18"/>
      <c r="AU563" s="23">
        <v>38940.0</v>
      </c>
      <c r="AV563" s="24"/>
      <c r="AW563" s="22"/>
      <c r="AX563" s="18"/>
      <c r="AY563" s="18"/>
      <c r="AZ563" s="23">
        <v>15980.0</v>
      </c>
      <c r="BA563" s="24"/>
      <c r="BB563" s="22"/>
      <c r="BC563" s="18"/>
      <c r="BD563" s="18"/>
      <c r="BE563" s="23">
        <v>21170.0</v>
      </c>
      <c r="BF563" s="24"/>
      <c r="BG563" s="22"/>
      <c r="BH563" s="18"/>
      <c r="BI563" s="18"/>
      <c r="BJ563" s="23">
        <v>170350.0</v>
      </c>
      <c r="BK563" s="19"/>
      <c r="BL563" s="22"/>
      <c r="BM563" s="18"/>
      <c r="BN563" s="18"/>
      <c r="BO563" s="23">
        <v>270890.0</v>
      </c>
      <c r="BP563" s="19"/>
      <c r="BQ563" s="17" t="s">
        <v>33</v>
      </c>
      <c r="BR563" s="1"/>
      <c r="BS563" s="1"/>
      <c r="BT563" s="1"/>
      <c r="BU563" s="1"/>
    </row>
    <row r="564">
      <c r="A564" s="56" t="s">
        <v>678</v>
      </c>
      <c r="B564" s="10" t="s">
        <v>50</v>
      </c>
      <c r="C564" s="11" t="s">
        <v>51</v>
      </c>
      <c r="D564" s="22"/>
      <c r="E564" s="18"/>
      <c r="F564" s="18"/>
      <c r="G564" s="18"/>
      <c r="H564" s="19"/>
      <c r="I564" s="22"/>
      <c r="J564" s="18"/>
      <c r="K564" s="18"/>
      <c r="L564" s="18"/>
      <c r="M564" s="24"/>
      <c r="N564" s="22"/>
      <c r="O564" s="18"/>
      <c r="P564" s="18"/>
      <c r="Q564" s="18"/>
      <c r="R564" s="24"/>
      <c r="S564" s="22"/>
      <c r="T564" s="18"/>
      <c r="U564" s="18"/>
      <c r="V564" s="18"/>
      <c r="W564" s="24"/>
      <c r="X564" s="18"/>
      <c r="Y564" s="18"/>
      <c r="Z564" s="18"/>
      <c r="AA564" s="18"/>
      <c r="AB564" s="24"/>
      <c r="AC564" s="18"/>
      <c r="AD564" s="18"/>
      <c r="AE564" s="18"/>
      <c r="AF564" s="18"/>
      <c r="AG564" s="24"/>
      <c r="AH564" s="18"/>
      <c r="AI564" s="18"/>
      <c r="AJ564" s="18"/>
      <c r="AK564" s="18"/>
      <c r="AL564" s="24"/>
      <c r="AM564" s="18"/>
      <c r="AN564" s="18"/>
      <c r="AO564" s="18"/>
      <c r="AP564" s="18"/>
      <c r="AQ564" s="24"/>
      <c r="AR564" s="22"/>
      <c r="AS564" s="18"/>
      <c r="AT564" s="18"/>
      <c r="AU564" s="18"/>
      <c r="AV564" s="24"/>
      <c r="AW564" s="22"/>
      <c r="AX564" s="18"/>
      <c r="AY564" s="18"/>
      <c r="AZ564" s="18"/>
      <c r="BA564" s="24"/>
      <c r="BB564" s="22"/>
      <c r="BC564" s="18"/>
      <c r="BD564" s="18"/>
      <c r="BE564" s="18"/>
      <c r="BF564" s="24"/>
      <c r="BG564" s="22"/>
      <c r="BH564" s="18"/>
      <c r="BI564" s="18"/>
      <c r="BJ564" s="18"/>
      <c r="BK564" s="19"/>
      <c r="BL564" s="22"/>
      <c r="BM564" s="18"/>
      <c r="BN564" s="18"/>
      <c r="BO564" s="18"/>
      <c r="BP564" s="19"/>
      <c r="BQ564" s="17" t="s">
        <v>33</v>
      </c>
      <c r="BR564" s="1"/>
      <c r="BS564" s="1"/>
      <c r="BT564" s="1"/>
      <c r="BU564" s="1"/>
    </row>
    <row r="565">
      <c r="A565" s="56" t="s">
        <v>681</v>
      </c>
      <c r="B565" s="21"/>
      <c r="C565" s="11" t="s">
        <v>52</v>
      </c>
      <c r="D565" s="22"/>
      <c r="E565" s="18"/>
      <c r="F565" s="18"/>
      <c r="G565" s="23">
        <v>22000.0</v>
      </c>
      <c r="H565" s="19"/>
      <c r="I565" s="22"/>
      <c r="J565" s="18"/>
      <c r="K565" s="18"/>
      <c r="L565" s="23">
        <v>22000.0</v>
      </c>
      <c r="M565" s="19"/>
      <c r="N565" s="22"/>
      <c r="O565" s="18"/>
      <c r="P565" s="18"/>
      <c r="Q565" s="23">
        <v>22000.0</v>
      </c>
      <c r="R565" s="19"/>
      <c r="S565" s="22"/>
      <c r="T565" s="18"/>
      <c r="U565" s="18"/>
      <c r="V565" s="23">
        <v>22000.0</v>
      </c>
      <c r="W565" s="19"/>
      <c r="X565" s="22"/>
      <c r="Y565" s="18"/>
      <c r="Z565" s="18"/>
      <c r="AA565" s="23">
        <v>22000.0</v>
      </c>
      <c r="AB565" s="19"/>
      <c r="AC565" s="22"/>
      <c r="AD565" s="18"/>
      <c r="AE565" s="18"/>
      <c r="AF565" s="23">
        <v>22000.0</v>
      </c>
      <c r="AG565" s="19"/>
      <c r="AH565" s="22"/>
      <c r="AI565" s="18"/>
      <c r="AJ565" s="18"/>
      <c r="AK565" s="23">
        <v>22000.0</v>
      </c>
      <c r="AL565" s="19"/>
      <c r="AM565" s="22"/>
      <c r="AN565" s="18"/>
      <c r="AO565" s="18"/>
      <c r="AP565" s="23">
        <v>22000.0</v>
      </c>
      <c r="AQ565" s="19"/>
      <c r="AR565" s="22"/>
      <c r="AS565" s="18"/>
      <c r="AT565" s="18"/>
      <c r="AU565" s="23">
        <v>22000.0</v>
      </c>
      <c r="AV565" s="19"/>
      <c r="AW565" s="22"/>
      <c r="AX565" s="18"/>
      <c r="AY565" s="18"/>
      <c r="AZ565" s="23">
        <v>22000.0</v>
      </c>
      <c r="BA565" s="19"/>
      <c r="BB565" s="22"/>
      <c r="BC565" s="18"/>
      <c r="BD565" s="18"/>
      <c r="BE565" s="23">
        <v>22000.0</v>
      </c>
      <c r="BF565" s="19"/>
      <c r="BG565" s="22"/>
      <c r="BH565" s="18"/>
      <c r="BI565" s="18"/>
      <c r="BJ565" s="18"/>
      <c r="BK565" s="19"/>
      <c r="BL565" s="22"/>
      <c r="BM565" s="18"/>
      <c r="BN565" s="18"/>
      <c r="BO565" s="18"/>
      <c r="BP565" s="19"/>
      <c r="BQ565" s="17" t="s">
        <v>33</v>
      </c>
      <c r="BR565" s="1"/>
      <c r="BS565" s="1"/>
      <c r="BT565" s="1"/>
      <c r="BU565" s="1"/>
    </row>
    <row r="566">
      <c r="A566" s="56" t="s">
        <v>681</v>
      </c>
      <c r="B566" s="21"/>
      <c r="C566" s="11" t="s">
        <v>53</v>
      </c>
      <c r="D566" s="22"/>
      <c r="E566" s="18"/>
      <c r="F566" s="18"/>
      <c r="G566" s="23">
        <v>10000.0</v>
      </c>
      <c r="H566" s="19"/>
      <c r="I566" s="22"/>
      <c r="J566" s="18"/>
      <c r="K566" s="18"/>
      <c r="L566" s="23">
        <v>10000.0</v>
      </c>
      <c r="M566" s="19"/>
      <c r="N566" s="22"/>
      <c r="O566" s="18"/>
      <c r="P566" s="18"/>
      <c r="Q566" s="23">
        <v>10000.0</v>
      </c>
      <c r="R566" s="19"/>
      <c r="S566" s="22"/>
      <c r="T566" s="18"/>
      <c r="U566" s="18"/>
      <c r="V566" s="23">
        <v>10000.0</v>
      </c>
      <c r="W566" s="19"/>
      <c r="X566" s="22"/>
      <c r="Y566" s="18"/>
      <c r="Z566" s="18"/>
      <c r="AA566" s="23">
        <v>10000.0</v>
      </c>
      <c r="AB566" s="19"/>
      <c r="AC566" s="22"/>
      <c r="AD566" s="18"/>
      <c r="AE566" s="18"/>
      <c r="AF566" s="23">
        <v>10000.0</v>
      </c>
      <c r="AG566" s="19"/>
      <c r="AH566" s="22"/>
      <c r="AI566" s="18"/>
      <c r="AJ566" s="18"/>
      <c r="AK566" s="23">
        <v>10000.0</v>
      </c>
      <c r="AL566" s="19"/>
      <c r="AM566" s="22"/>
      <c r="AN566" s="18"/>
      <c r="AO566" s="18"/>
      <c r="AP566" s="23">
        <v>10000.0</v>
      </c>
      <c r="AQ566" s="19"/>
      <c r="AR566" s="22"/>
      <c r="AS566" s="18"/>
      <c r="AT566" s="18"/>
      <c r="AU566" s="23">
        <v>10000.0</v>
      </c>
      <c r="AV566" s="19"/>
      <c r="AW566" s="22"/>
      <c r="AX566" s="18"/>
      <c r="AY566" s="18"/>
      <c r="AZ566" s="23">
        <v>10000.0</v>
      </c>
      <c r="BA566" s="19"/>
      <c r="BB566" s="22"/>
      <c r="BC566" s="18"/>
      <c r="BD566" s="18"/>
      <c r="BE566" s="23">
        <v>10000.0</v>
      </c>
      <c r="BF566" s="19"/>
      <c r="BG566" s="22"/>
      <c r="BH566" s="18"/>
      <c r="BI566" s="18"/>
      <c r="BJ566" s="23">
        <v>10000.0</v>
      </c>
      <c r="BK566" s="19"/>
      <c r="BL566" s="22"/>
      <c r="BM566" s="18"/>
      <c r="BN566" s="18"/>
      <c r="BO566" s="23">
        <v>10000.0</v>
      </c>
      <c r="BP566" s="19"/>
      <c r="BQ566" s="17" t="s">
        <v>33</v>
      </c>
      <c r="BR566" s="1"/>
      <c r="BS566" s="1"/>
      <c r="BT566" s="1"/>
      <c r="BU566" s="1"/>
    </row>
    <row r="567">
      <c r="A567" s="1"/>
      <c r="B567" s="21"/>
      <c r="C567" s="11" t="s">
        <v>54</v>
      </c>
      <c r="D567" s="22"/>
      <c r="E567" s="18"/>
      <c r="F567" s="18"/>
      <c r="G567" s="23">
        <f>SUMIFS('지출'!$G$3:$G1000,'지출'!$J$3:$J1000,G$1,'지출'!$C$3:$C1000,"샤샤")</f>
        <v>66210</v>
      </c>
      <c r="H567" s="19"/>
      <c r="I567" s="22"/>
      <c r="J567" s="18"/>
      <c r="K567" s="18"/>
      <c r="L567" s="23">
        <f>SUMIFS('지출'!$G$3:$G1000,'지출'!$J$3:$J1000,L$1,'지출'!$C$3:$C1000,"샤샤")</f>
        <v>85170</v>
      </c>
      <c r="M567" s="24"/>
      <c r="N567" s="18"/>
      <c r="O567" s="18"/>
      <c r="P567" s="18"/>
      <c r="Q567" s="23">
        <f>SUMIFS('지출'!$G$3:$G1000,'지출'!$J$3:$J1000,Q$1,'지출'!$C$3:$C1000,"샤샤")</f>
        <v>36230</v>
      </c>
      <c r="R567" s="24"/>
      <c r="S567" s="18"/>
      <c r="T567" s="18"/>
      <c r="U567" s="18"/>
      <c r="V567" s="23">
        <f>SUMIFS('지출'!$G$3:$G1000,'지출'!$J$3:$J1000,V$1,'지출'!$C$3:$C1000,"샤샤")</f>
        <v>0</v>
      </c>
      <c r="W567" s="24"/>
      <c r="X567" s="18"/>
      <c r="Y567" s="18"/>
      <c r="Z567" s="18"/>
      <c r="AA567" s="23">
        <f>SUMIFS('지출'!$G$3:$G1000,'지출'!$J$3:$J1000,AA$1,'지출'!$C$3:$C1000,"샤샤")</f>
        <v>0</v>
      </c>
      <c r="AB567" s="24"/>
      <c r="AC567" s="18"/>
      <c r="AD567" s="18"/>
      <c r="AE567" s="18"/>
      <c r="AF567" s="23">
        <f>SUMIFS('지출'!$G$3:$G1000,'지출'!$J$3:$J1000,AF$1,'지출'!$C$3:$C1000,"샤샤")</f>
        <v>0</v>
      </c>
      <c r="AG567" s="24"/>
      <c r="AH567" s="18"/>
      <c r="AI567" s="18"/>
      <c r="AJ567" s="18"/>
      <c r="AK567" s="23">
        <f>SUMIFS('지출'!$G$3:$G1000,'지출'!$J$3:$J1000,AK$1,'지출'!$C$3:$C1000,"샤샤")</f>
        <v>0</v>
      </c>
      <c r="AL567" s="24"/>
      <c r="AM567" s="18"/>
      <c r="AN567" s="18"/>
      <c r="AO567" s="18"/>
      <c r="AP567" s="23">
        <f>SUMIFS('지출'!$G$3:$G1000,'지출'!$J$3:$J1000,AP$1,'지출'!$C$3:$C1000,"샤샤")</f>
        <v>0</v>
      </c>
      <c r="AQ567" s="24"/>
      <c r="AR567" s="18"/>
      <c r="AS567" s="18"/>
      <c r="AT567" s="18"/>
      <c r="AU567" s="23">
        <f>SUMIFS('지출'!$G$3:$G1000,'지출'!$J$3:$J1000,AU$1,'지출'!$C$3:$C1000,"샤샤")</f>
        <v>0</v>
      </c>
      <c r="AV567" s="24"/>
      <c r="AW567" s="18"/>
      <c r="AX567" s="18"/>
      <c r="AY567" s="18"/>
      <c r="AZ567" s="23">
        <f>SUMIFS('지출'!$G$3:$G1000,'지출'!$J$3:$J1000,AZ$1,'지출'!$C$3:$C1000,"샤샤")</f>
        <v>0</v>
      </c>
      <c r="BA567" s="24"/>
      <c r="BB567" s="18"/>
      <c r="BC567" s="18"/>
      <c r="BD567" s="18"/>
      <c r="BE567" s="23">
        <f>SUMIFS('지출'!$G$3:$G1000,'지출'!$J$3:$J1000,BE$1,'지출'!$C$3:$C1000,"샤샤")</f>
        <v>0</v>
      </c>
      <c r="BF567" s="24"/>
      <c r="BG567" s="18"/>
      <c r="BH567" s="18"/>
      <c r="BI567" s="18"/>
      <c r="BJ567" s="23">
        <f>SUMIFS('지출'!$G$3:$G1000,'지출'!$J$3:$J1000,BJ$1,'지출'!$C$3:$C1000,"샤샤")</f>
        <v>0</v>
      </c>
      <c r="BK567" s="19"/>
      <c r="BL567" s="18"/>
      <c r="BM567" s="18"/>
      <c r="BN567" s="18"/>
      <c r="BO567" s="23">
        <f>SUMIFS('지출'!$G$3:$G1000,'지출'!$J$3:$J1000,BO$1,'지출'!$C$3:$C1000,"샤샤")</f>
        <v>66210</v>
      </c>
      <c r="BP567" s="19"/>
      <c r="BQ567" s="17" t="s">
        <v>33</v>
      </c>
      <c r="BR567" s="1"/>
      <c r="BS567" s="1"/>
      <c r="BT567" s="1"/>
      <c r="BU567" s="1"/>
    </row>
    <row r="568">
      <c r="A568" s="1"/>
      <c r="B568" s="21"/>
      <c r="C568" s="11" t="s">
        <v>56</v>
      </c>
      <c r="D568" s="22"/>
      <c r="E568" s="23">
        <f>E559-(SUM(E560:E567))</f>
        <v>1008065</v>
      </c>
      <c r="F568" s="18"/>
      <c r="G568" s="23">
        <f>G559-(SUM(G560:G567))</f>
        <v>-97799</v>
      </c>
      <c r="H568" s="19"/>
      <c r="I568" s="22"/>
      <c r="J568" s="23">
        <f>J559-(SUM(J560:J567))</f>
        <v>990000</v>
      </c>
      <c r="K568" s="18"/>
      <c r="L568" s="23">
        <f>L559-(SUM(L560:L567))</f>
        <v>-156340</v>
      </c>
      <c r="M568" s="19"/>
      <c r="N568" s="22"/>
      <c r="O568" s="23">
        <f>O559-(SUM(O560:O567))</f>
        <v>990000</v>
      </c>
      <c r="P568" s="18"/>
      <c r="Q568" s="23">
        <f>Q559-(SUM(Q560:Q567))</f>
        <v>-110880</v>
      </c>
      <c r="R568" s="19"/>
      <c r="S568" s="22"/>
      <c r="T568" s="23">
        <f>T559-(SUM(T560:T567))</f>
        <v>990000</v>
      </c>
      <c r="U568" s="18"/>
      <c r="V568" s="23">
        <f>V559-(SUM(V560:V567))</f>
        <v>-2400</v>
      </c>
      <c r="W568" s="19"/>
      <c r="X568" s="18"/>
      <c r="Y568" s="23">
        <f>Y559-(SUM(Y560:Y567))</f>
        <v>990000</v>
      </c>
      <c r="Z568" s="18"/>
      <c r="AA568" s="23">
        <f>AA559-(SUM(AA560:AA567))</f>
        <v>103210</v>
      </c>
      <c r="AB568" s="19"/>
      <c r="AC568" s="18"/>
      <c r="AD568" s="23">
        <f>AD559-(SUM(AD560:AD567))</f>
        <v>990000</v>
      </c>
      <c r="AE568" s="18"/>
      <c r="AF568" s="23">
        <f>AF559-(SUM(AF560:AF567))</f>
        <v>148900</v>
      </c>
      <c r="AG568" s="19"/>
      <c r="AH568" s="18"/>
      <c r="AI568" s="23">
        <f>AI559-(SUM(AI560:AI567))</f>
        <v>990000</v>
      </c>
      <c r="AJ568" s="18"/>
      <c r="AK568" s="23">
        <f>AK559-(SUM(AK560:AK567))</f>
        <v>137220</v>
      </c>
      <c r="AL568" s="19"/>
      <c r="AM568" s="18"/>
      <c r="AN568" s="23">
        <f>AN559-(SUM(AN560:AN567))</f>
        <v>990000</v>
      </c>
      <c r="AO568" s="18"/>
      <c r="AP568" s="23">
        <f>AP559-(SUM(AP560:AP567))</f>
        <v>40460</v>
      </c>
      <c r="AQ568" s="19"/>
      <c r="AR568" s="22"/>
      <c r="AS568" s="23">
        <f>AS559-(SUM(AS560:AS567))</f>
        <v>1020000</v>
      </c>
      <c r="AT568" s="18"/>
      <c r="AU568" s="23">
        <f>AU559-(SUM(AU560:AU567))</f>
        <v>64380</v>
      </c>
      <c r="AV568" s="19"/>
      <c r="AW568" s="22"/>
      <c r="AX568" s="23">
        <f>AX559-(SUM(AX560:AX567))</f>
        <v>1020000</v>
      </c>
      <c r="AY568" s="18"/>
      <c r="AZ568" s="23">
        <f>AZ559-(SUM(AZ560:AZ567))</f>
        <v>179860</v>
      </c>
      <c r="BA568" s="19"/>
      <c r="BB568" s="22"/>
      <c r="BC568" s="23">
        <f>BC559-(SUM(BC560:BC567))</f>
        <v>1020000</v>
      </c>
      <c r="BD568" s="18"/>
      <c r="BE568" s="23">
        <f>BE559-(SUM(BE560:BE567))</f>
        <v>183460</v>
      </c>
      <c r="BF568" s="19"/>
      <c r="BG568" s="22"/>
      <c r="BH568" s="23">
        <f>BH559-(SUM(BH560:BH567))</f>
        <v>1020000</v>
      </c>
      <c r="BI568" s="18"/>
      <c r="BJ568" s="23">
        <f>BJ559-(SUM(BJ560:BJ567))</f>
        <v>18750</v>
      </c>
      <c r="BK568" s="19"/>
      <c r="BL568" s="22"/>
      <c r="BM568" s="23">
        <f>BM559-(SUM(BM560:BM567))</f>
        <v>1020000</v>
      </c>
      <c r="BN568" s="18"/>
      <c r="BO568" s="23">
        <f>BO559-(SUM(BO560:BO567))</f>
        <v>-27100</v>
      </c>
      <c r="BP568" s="19"/>
      <c r="BQ568" s="17" t="s">
        <v>33</v>
      </c>
      <c r="BR568" s="1"/>
      <c r="BS568" s="1"/>
      <c r="BT568" s="1"/>
      <c r="BU568" s="1"/>
    </row>
    <row r="569">
      <c r="A569" s="1"/>
      <c r="B569" s="27">
        <v>0.0</v>
      </c>
      <c r="C569" s="11" t="s">
        <v>26</v>
      </c>
      <c r="D569" s="22"/>
      <c r="E569" s="23">
        <f>E568*$B569</f>
        <v>0</v>
      </c>
      <c r="F569" s="18"/>
      <c r="G569" s="18"/>
      <c r="H569" s="19"/>
      <c r="I569" s="22"/>
      <c r="J569" s="23">
        <f>J568*$B569</f>
        <v>0</v>
      </c>
      <c r="K569" s="18"/>
      <c r="L569" s="18"/>
      <c r="M569" s="19"/>
      <c r="N569" s="22"/>
      <c r="O569" s="23">
        <f>O568*$B569</f>
        <v>0</v>
      </c>
      <c r="P569" s="18"/>
      <c r="Q569" s="18"/>
      <c r="R569" s="19"/>
      <c r="S569" s="22"/>
      <c r="T569" s="23">
        <f>T568*$B569</f>
        <v>0</v>
      </c>
      <c r="U569" s="18"/>
      <c r="V569" s="18"/>
      <c r="W569" s="19"/>
      <c r="X569" s="18"/>
      <c r="Y569" s="23">
        <f>Y568*$B569</f>
        <v>0</v>
      </c>
      <c r="Z569" s="18"/>
      <c r="AA569" s="18"/>
      <c r="AB569" s="19"/>
      <c r="AC569" s="18"/>
      <c r="AD569" s="23">
        <f>AD568*$B569</f>
        <v>0</v>
      </c>
      <c r="AE569" s="18"/>
      <c r="AF569" s="18"/>
      <c r="AG569" s="19"/>
      <c r="AH569" s="18"/>
      <c r="AI569" s="23">
        <f>AI568*$B569</f>
        <v>0</v>
      </c>
      <c r="AJ569" s="18"/>
      <c r="AK569" s="18"/>
      <c r="AL569" s="19"/>
      <c r="AM569" s="18"/>
      <c r="AN569" s="23">
        <f>AN568*$B569</f>
        <v>0</v>
      </c>
      <c r="AO569" s="18"/>
      <c r="AP569" s="18"/>
      <c r="AQ569" s="19"/>
      <c r="AR569" s="22"/>
      <c r="AS569" s="23">
        <f>AS568*$B569</f>
        <v>0</v>
      </c>
      <c r="AT569" s="18"/>
      <c r="AU569" s="18"/>
      <c r="AV569" s="19"/>
      <c r="AW569" s="22"/>
      <c r="AX569" s="23">
        <f>AX568*$B569</f>
        <v>0</v>
      </c>
      <c r="AY569" s="18"/>
      <c r="AZ569" s="18"/>
      <c r="BA569" s="19"/>
      <c r="BB569" s="22"/>
      <c r="BC569" s="23">
        <f>BC568*$B569</f>
        <v>0</v>
      </c>
      <c r="BD569" s="18"/>
      <c r="BE569" s="18"/>
      <c r="BF569" s="19"/>
      <c r="BG569" s="22"/>
      <c r="BH569" s="23">
        <f>BH568*$B569</f>
        <v>0</v>
      </c>
      <c r="BI569" s="18"/>
      <c r="BJ569" s="18"/>
      <c r="BK569" s="19"/>
      <c r="BL569" s="22"/>
      <c r="BM569" s="23">
        <f>BM568*$B569</f>
        <v>0</v>
      </c>
      <c r="BN569" s="18"/>
      <c r="BO569" s="18"/>
      <c r="BP569" s="19"/>
      <c r="BQ569" s="17" t="s">
        <v>33</v>
      </c>
      <c r="BR569" s="1"/>
      <c r="BS569" s="1"/>
      <c r="BT569" s="1"/>
      <c r="BU569" s="1"/>
    </row>
    <row r="570">
      <c r="A570" s="67" t="str">
        <f>B555</f>
        <v>샤샤</v>
      </c>
      <c r="B570" s="29">
        <v>1.0</v>
      </c>
      <c r="C570" s="30" t="s">
        <v>57</v>
      </c>
      <c r="D570" s="31"/>
      <c r="E570" s="32">
        <f>E568*$B570</f>
        <v>1008065</v>
      </c>
      <c r="F570" s="33"/>
      <c r="G570" s="33"/>
      <c r="H570" s="34"/>
      <c r="I570" s="31"/>
      <c r="J570" s="32">
        <f>J568*$B570</f>
        <v>990000</v>
      </c>
      <c r="K570" s="33"/>
      <c r="L570" s="33"/>
      <c r="M570" s="34"/>
      <c r="N570" s="31"/>
      <c r="O570" s="32">
        <f>O568*$B570</f>
        <v>990000</v>
      </c>
      <c r="P570" s="33"/>
      <c r="Q570" s="33"/>
      <c r="R570" s="34"/>
      <c r="S570" s="31"/>
      <c r="T570" s="32">
        <f>T568*$B570</f>
        <v>990000</v>
      </c>
      <c r="U570" s="33"/>
      <c r="V570" s="33"/>
      <c r="W570" s="34"/>
      <c r="X570" s="33"/>
      <c r="Y570" s="32">
        <f>Y568*$B570</f>
        <v>990000</v>
      </c>
      <c r="Z570" s="33"/>
      <c r="AA570" s="33"/>
      <c r="AB570" s="34"/>
      <c r="AC570" s="33"/>
      <c r="AD570" s="32">
        <f>AD568*$B570</f>
        <v>990000</v>
      </c>
      <c r="AE570" s="33"/>
      <c r="AF570" s="33"/>
      <c r="AG570" s="34"/>
      <c r="AH570" s="33"/>
      <c r="AI570" s="32">
        <f>AI568*$B570</f>
        <v>990000</v>
      </c>
      <c r="AJ570" s="33"/>
      <c r="AK570" s="33"/>
      <c r="AL570" s="34"/>
      <c r="AM570" s="33"/>
      <c r="AN570" s="32">
        <f>AN568*$B570</f>
        <v>990000</v>
      </c>
      <c r="AO570" s="33"/>
      <c r="AP570" s="33"/>
      <c r="AQ570" s="34"/>
      <c r="AR570" s="31"/>
      <c r="AS570" s="32">
        <f>AS568*$B570</f>
        <v>1020000</v>
      </c>
      <c r="AT570" s="33"/>
      <c r="AU570" s="33"/>
      <c r="AV570" s="34"/>
      <c r="AW570" s="31"/>
      <c r="AX570" s="32">
        <f>AX568*$B570</f>
        <v>1020000</v>
      </c>
      <c r="AY570" s="33"/>
      <c r="AZ570" s="33"/>
      <c r="BA570" s="34"/>
      <c r="BB570" s="31"/>
      <c r="BC570" s="32">
        <f>BC568*$B570</f>
        <v>1020000</v>
      </c>
      <c r="BD570" s="33"/>
      <c r="BE570" s="33"/>
      <c r="BF570" s="34"/>
      <c r="BG570" s="31"/>
      <c r="BH570" s="32">
        <f>BH568*$B570</f>
        <v>1020000</v>
      </c>
      <c r="BI570" s="33"/>
      <c r="BJ570" s="33"/>
      <c r="BK570" s="34"/>
      <c r="BL570" s="31"/>
      <c r="BM570" s="32">
        <f>BM568*$B570</f>
        <v>1020000</v>
      </c>
      <c r="BN570" s="33"/>
      <c r="BO570" s="33"/>
      <c r="BP570" s="34"/>
      <c r="BQ570" s="17" t="s">
        <v>33</v>
      </c>
      <c r="BR570" s="1"/>
      <c r="BS570" s="1"/>
      <c r="BT570" s="1"/>
      <c r="BU570" s="1"/>
    </row>
    <row r="571">
      <c r="A571" s="1"/>
      <c r="B571" s="27" t="s">
        <v>918</v>
      </c>
      <c r="C571" s="11" t="s">
        <v>919</v>
      </c>
      <c r="D571" s="20" t="s">
        <v>920</v>
      </c>
      <c r="E571" s="23">
        <v>560000.0</v>
      </c>
      <c r="F571" s="35" t="b">
        <v>1</v>
      </c>
      <c r="G571" s="23">
        <v>80000.0</v>
      </c>
      <c r="H571" s="15" t="b">
        <v>1</v>
      </c>
      <c r="I571" s="20" t="s">
        <v>920</v>
      </c>
      <c r="J571" s="23">
        <v>560000.0</v>
      </c>
      <c r="K571" s="35" t="b">
        <v>1</v>
      </c>
      <c r="L571" s="23">
        <v>80000.0</v>
      </c>
      <c r="M571" s="15" t="b">
        <v>1</v>
      </c>
      <c r="N571" s="20" t="s">
        <v>920</v>
      </c>
      <c r="O571" s="23">
        <v>550000.0</v>
      </c>
      <c r="P571" s="35" t="b">
        <v>1</v>
      </c>
      <c r="Q571" s="23">
        <v>80000.0</v>
      </c>
      <c r="R571" s="15" t="b">
        <v>1</v>
      </c>
      <c r="S571" s="20" t="s">
        <v>921</v>
      </c>
      <c r="T571" s="23">
        <f>550000+100000+20000</f>
        <v>670000</v>
      </c>
      <c r="U571" s="35" t="b">
        <v>1</v>
      </c>
      <c r="V571" s="23">
        <v>80000.0</v>
      </c>
      <c r="W571" s="15" t="b">
        <v>1</v>
      </c>
      <c r="X571" s="20" t="s">
        <v>922</v>
      </c>
      <c r="Y571" s="23">
        <v>560000.0</v>
      </c>
      <c r="Z571" s="35" t="b">
        <v>1</v>
      </c>
      <c r="AA571" s="23">
        <v>80000.0</v>
      </c>
      <c r="AB571" s="15" t="b">
        <v>1</v>
      </c>
      <c r="AC571" s="20" t="s">
        <v>923</v>
      </c>
      <c r="AD571" s="23">
        <v>560000.0</v>
      </c>
      <c r="AE571" s="35" t="b">
        <v>1</v>
      </c>
      <c r="AF571" s="23">
        <v>80000.0</v>
      </c>
      <c r="AG571" s="15" t="b">
        <v>1</v>
      </c>
      <c r="AH571" s="20" t="s">
        <v>923</v>
      </c>
      <c r="AI571" s="23">
        <v>560000.0</v>
      </c>
      <c r="AJ571" s="35" t="b">
        <v>1</v>
      </c>
      <c r="AK571" s="23">
        <v>80000.0</v>
      </c>
      <c r="AL571" s="15" t="b">
        <v>1</v>
      </c>
      <c r="AM571" s="20" t="s">
        <v>923</v>
      </c>
      <c r="AN571" s="23">
        <v>560000.0</v>
      </c>
      <c r="AO571" s="35" t="b">
        <v>1</v>
      </c>
      <c r="AP571" s="23">
        <v>80000.0</v>
      </c>
      <c r="AQ571" s="15" t="b">
        <v>1</v>
      </c>
      <c r="AR571" s="20" t="s">
        <v>923</v>
      </c>
      <c r="AS571" s="23">
        <v>560000.0</v>
      </c>
      <c r="AT571" s="35" t="b">
        <v>1</v>
      </c>
      <c r="AU571" s="23">
        <v>80000.0</v>
      </c>
      <c r="AV571" s="15" t="b">
        <v>1</v>
      </c>
      <c r="AW571" s="20" t="s">
        <v>923</v>
      </c>
      <c r="AX571" s="23">
        <v>560000.0</v>
      </c>
      <c r="AY571" s="35" t="b">
        <v>1</v>
      </c>
      <c r="AZ571" s="23">
        <v>80000.0</v>
      </c>
      <c r="BA571" s="15" t="b">
        <v>1</v>
      </c>
      <c r="BB571" s="20" t="s">
        <v>923</v>
      </c>
      <c r="BC571" s="23">
        <v>560000.0</v>
      </c>
      <c r="BD571" s="35" t="b">
        <v>1</v>
      </c>
      <c r="BE571" s="23">
        <v>80000.0</v>
      </c>
      <c r="BF571" s="15" t="b">
        <v>1</v>
      </c>
      <c r="BG571" s="20" t="s">
        <v>923</v>
      </c>
      <c r="BH571" s="23">
        <v>560000.0</v>
      </c>
      <c r="BI571" s="35" t="b">
        <v>1</v>
      </c>
      <c r="BJ571" s="23">
        <v>80000.0</v>
      </c>
      <c r="BK571" s="15" t="b">
        <v>1</v>
      </c>
      <c r="BL571" s="20" t="s">
        <v>923</v>
      </c>
      <c r="BM571" s="23">
        <v>560000.0</v>
      </c>
      <c r="BN571" s="35" t="b">
        <v>0</v>
      </c>
      <c r="BO571" s="23">
        <v>80000.0</v>
      </c>
      <c r="BP571" s="15" t="b">
        <v>0</v>
      </c>
      <c r="BQ571" s="17" t="s">
        <v>33</v>
      </c>
      <c r="BR571" s="1"/>
      <c r="BS571" s="1"/>
      <c r="BT571" s="1"/>
      <c r="BU571" s="1"/>
    </row>
    <row r="572">
      <c r="A572" s="1"/>
      <c r="B572" s="10" t="s">
        <v>924</v>
      </c>
      <c r="C572" s="11" t="s">
        <v>925</v>
      </c>
      <c r="D572" s="20" t="s">
        <v>926</v>
      </c>
      <c r="E572" s="23">
        <f>550000+17742</f>
        <v>567742</v>
      </c>
      <c r="F572" s="35" t="b">
        <v>1</v>
      </c>
      <c r="G572" s="23">
        <f>80000+2581</f>
        <v>82581</v>
      </c>
      <c r="H572" s="15" t="b">
        <v>1</v>
      </c>
      <c r="I572" s="20" t="s">
        <v>927</v>
      </c>
      <c r="J572" s="23">
        <v>550000.0</v>
      </c>
      <c r="K572" s="35" t="b">
        <v>1</v>
      </c>
      <c r="L572" s="23">
        <v>80000.0</v>
      </c>
      <c r="M572" s="15" t="b">
        <v>1</v>
      </c>
      <c r="N572" s="20" t="s">
        <v>927</v>
      </c>
      <c r="O572" s="23">
        <v>550000.0</v>
      </c>
      <c r="P572" s="35" t="b">
        <v>1</v>
      </c>
      <c r="Q572" s="23">
        <v>80000.0</v>
      </c>
      <c r="R572" s="15" t="b">
        <v>1</v>
      </c>
      <c r="S572" s="20" t="s">
        <v>927</v>
      </c>
      <c r="T572" s="23">
        <v>550000.0</v>
      </c>
      <c r="U572" s="35" t="b">
        <v>1</v>
      </c>
      <c r="V572" s="23">
        <v>80000.0</v>
      </c>
      <c r="W572" s="15" t="b">
        <v>1</v>
      </c>
      <c r="X572" s="20" t="s">
        <v>927</v>
      </c>
      <c r="Y572" s="23">
        <v>550000.0</v>
      </c>
      <c r="Z572" s="35" t="b">
        <v>1</v>
      </c>
      <c r="AA572" s="23">
        <v>80000.0</v>
      </c>
      <c r="AB572" s="15" t="b">
        <v>1</v>
      </c>
      <c r="AC572" s="20" t="s">
        <v>927</v>
      </c>
      <c r="AD572" s="23">
        <v>550000.0</v>
      </c>
      <c r="AE572" s="35" t="b">
        <v>1</v>
      </c>
      <c r="AF572" s="23">
        <v>80000.0</v>
      </c>
      <c r="AG572" s="15" t="b">
        <v>1</v>
      </c>
      <c r="AH572" s="20" t="s">
        <v>927</v>
      </c>
      <c r="AI572" s="23">
        <v>550000.0</v>
      </c>
      <c r="AJ572" s="35" t="b">
        <v>1</v>
      </c>
      <c r="AK572" s="23">
        <v>80000.0</v>
      </c>
      <c r="AL572" s="15" t="b">
        <v>1</v>
      </c>
      <c r="AM572" s="20" t="s">
        <v>928</v>
      </c>
      <c r="AN572" s="23">
        <f>550000+106452</f>
        <v>656452</v>
      </c>
      <c r="AO572" s="35" t="b">
        <v>1</v>
      </c>
      <c r="AP572" s="23">
        <f>80000+15484</f>
        <v>95484</v>
      </c>
      <c r="AQ572" s="15" t="b">
        <v>1</v>
      </c>
      <c r="AR572" s="20" t="s">
        <v>929</v>
      </c>
      <c r="AS572" s="23">
        <v>550000.0</v>
      </c>
      <c r="AT572" s="35" t="b">
        <v>1</v>
      </c>
      <c r="AU572" s="23">
        <v>80000.0</v>
      </c>
      <c r="AV572" s="15" t="b">
        <v>1</v>
      </c>
      <c r="AW572" s="20" t="s">
        <v>929</v>
      </c>
      <c r="AX572" s="23">
        <v>550000.0</v>
      </c>
      <c r="AY572" s="35" t="b">
        <v>1</v>
      </c>
      <c r="AZ572" s="23">
        <v>80000.0</v>
      </c>
      <c r="BA572" s="15" t="b">
        <v>1</v>
      </c>
      <c r="BB572" s="20" t="s">
        <v>929</v>
      </c>
      <c r="BC572" s="23">
        <v>550000.0</v>
      </c>
      <c r="BD572" s="35" t="b">
        <v>1</v>
      </c>
      <c r="BE572" s="23">
        <v>80000.0</v>
      </c>
      <c r="BF572" s="15" t="b">
        <v>1</v>
      </c>
      <c r="BG572" s="20" t="s">
        <v>929</v>
      </c>
      <c r="BH572" s="23">
        <v>550000.0</v>
      </c>
      <c r="BI572" s="35" t="b">
        <v>1</v>
      </c>
      <c r="BJ572" s="23">
        <v>80000.0</v>
      </c>
      <c r="BK572" s="15" t="b">
        <v>1</v>
      </c>
      <c r="BL572" s="20" t="s">
        <v>929</v>
      </c>
      <c r="BM572" s="23">
        <v>550000.0</v>
      </c>
      <c r="BN572" s="35" t="b">
        <v>0</v>
      </c>
      <c r="BO572" s="23">
        <v>80000.0</v>
      </c>
      <c r="BP572" s="15" t="b">
        <v>0</v>
      </c>
      <c r="BQ572" s="17" t="s">
        <v>33</v>
      </c>
      <c r="BR572" s="1"/>
      <c r="BS572" s="1"/>
      <c r="BT572" s="1"/>
      <c r="BU572" s="1"/>
    </row>
    <row r="573">
      <c r="A573" s="1"/>
      <c r="B573" s="27" t="s">
        <v>918</v>
      </c>
      <c r="C573" s="11" t="s">
        <v>909</v>
      </c>
      <c r="D573" s="20" t="s">
        <v>930</v>
      </c>
      <c r="E573" s="23">
        <v>410000.0</v>
      </c>
      <c r="F573" s="35" t="b">
        <v>1</v>
      </c>
      <c r="G573" s="23">
        <v>80000.0</v>
      </c>
      <c r="H573" s="15" t="b">
        <v>1</v>
      </c>
      <c r="I573" s="20" t="s">
        <v>931</v>
      </c>
      <c r="J573" s="23">
        <v>410000.0</v>
      </c>
      <c r="K573" s="35" t="b">
        <v>1</v>
      </c>
      <c r="L573" s="23">
        <v>80000.0</v>
      </c>
      <c r="M573" s="15" t="b">
        <v>1</v>
      </c>
      <c r="N573" s="20" t="s">
        <v>932</v>
      </c>
      <c r="O573" s="23">
        <v>27097.0</v>
      </c>
      <c r="P573" s="35" t="b">
        <v>1</v>
      </c>
      <c r="Q573" s="23">
        <v>5161.0</v>
      </c>
      <c r="R573" s="15" t="b">
        <v>1</v>
      </c>
      <c r="S573" s="20" t="s">
        <v>933</v>
      </c>
      <c r="T573" s="23">
        <v>420000.0</v>
      </c>
      <c r="U573" s="35" t="b">
        <v>1</v>
      </c>
      <c r="V573" s="23">
        <v>80000.0</v>
      </c>
      <c r="W573" s="15" t="b">
        <v>1</v>
      </c>
      <c r="X573" s="20" t="s">
        <v>933</v>
      </c>
      <c r="Y573" s="23">
        <v>420000.0</v>
      </c>
      <c r="Z573" s="35" t="b">
        <v>1</v>
      </c>
      <c r="AA573" s="23">
        <v>80000.0</v>
      </c>
      <c r="AB573" s="15" t="b">
        <v>1</v>
      </c>
      <c r="AC573" s="20" t="s">
        <v>933</v>
      </c>
      <c r="AD573" s="23">
        <v>420000.0</v>
      </c>
      <c r="AE573" s="35" t="b">
        <v>1</v>
      </c>
      <c r="AF573" s="23">
        <v>80000.0</v>
      </c>
      <c r="AG573" s="15" t="b">
        <v>1</v>
      </c>
      <c r="AH573" s="20" t="s">
        <v>934</v>
      </c>
      <c r="AI573" s="23">
        <v>420000.0</v>
      </c>
      <c r="AJ573" s="35" t="b">
        <v>1</v>
      </c>
      <c r="AK573" s="23">
        <v>80000.0</v>
      </c>
      <c r="AL573" s="15" t="b">
        <v>1</v>
      </c>
      <c r="AM573" s="20" t="s">
        <v>935</v>
      </c>
      <c r="AN573" s="23">
        <v>276774.0</v>
      </c>
      <c r="AO573" s="35" t="b">
        <v>1</v>
      </c>
      <c r="AP573" s="23">
        <v>56774.0</v>
      </c>
      <c r="AQ573" s="15" t="b">
        <v>1</v>
      </c>
      <c r="AR573" s="20" t="s">
        <v>910</v>
      </c>
      <c r="AS573" s="23">
        <v>390000.0</v>
      </c>
      <c r="AT573" s="35" t="b">
        <v>1</v>
      </c>
      <c r="AU573" s="23">
        <v>80000.0</v>
      </c>
      <c r="AV573" s="15" t="b">
        <v>1</v>
      </c>
      <c r="AW573" s="20" t="s">
        <v>910</v>
      </c>
      <c r="AX573" s="23">
        <v>390000.0</v>
      </c>
      <c r="AY573" s="35" t="b">
        <v>1</v>
      </c>
      <c r="AZ573" s="23">
        <v>80000.0</v>
      </c>
      <c r="BA573" s="15" t="b">
        <v>1</v>
      </c>
      <c r="BB573" s="20" t="s">
        <v>910</v>
      </c>
      <c r="BC573" s="23">
        <v>390000.0</v>
      </c>
      <c r="BD573" s="35" t="b">
        <v>1</v>
      </c>
      <c r="BE573" s="23">
        <v>80000.0</v>
      </c>
      <c r="BF573" s="15" t="b">
        <v>1</v>
      </c>
      <c r="BG573" s="20" t="s">
        <v>910</v>
      </c>
      <c r="BH573" s="23">
        <v>390000.0</v>
      </c>
      <c r="BI573" s="35" t="b">
        <v>1</v>
      </c>
      <c r="BJ573" s="23">
        <v>80000.0</v>
      </c>
      <c r="BK573" s="15" t="b">
        <v>1</v>
      </c>
      <c r="BL573" s="20" t="s">
        <v>910</v>
      </c>
      <c r="BM573" s="23">
        <v>390000.0</v>
      </c>
      <c r="BN573" s="35" t="b">
        <v>0</v>
      </c>
      <c r="BO573" s="23">
        <v>80000.0</v>
      </c>
      <c r="BP573" s="15" t="b">
        <v>0</v>
      </c>
      <c r="BQ573" s="17" t="s">
        <v>33</v>
      </c>
      <c r="BR573" s="1"/>
      <c r="BS573" s="1"/>
      <c r="BT573" s="1"/>
      <c r="BU573" s="1"/>
    </row>
    <row r="574">
      <c r="A574" s="1"/>
      <c r="B574" s="27" t="s">
        <v>918</v>
      </c>
      <c r="C574" s="11" t="s">
        <v>316</v>
      </c>
      <c r="D574" s="20" t="s">
        <v>936</v>
      </c>
      <c r="E574" s="23">
        <v>410000.0</v>
      </c>
      <c r="F574" s="35" t="b">
        <v>1</v>
      </c>
      <c r="G574" s="23">
        <v>80000.0</v>
      </c>
      <c r="H574" s="15" t="b">
        <v>1</v>
      </c>
      <c r="I574" s="20" t="s">
        <v>937</v>
      </c>
      <c r="J574" s="23">
        <v>410000.0</v>
      </c>
      <c r="K574" s="35" t="b">
        <v>1</v>
      </c>
      <c r="L574" s="23">
        <v>80000.0</v>
      </c>
      <c r="M574" s="15" t="b">
        <v>1</v>
      </c>
      <c r="N574" s="20" t="s">
        <v>37</v>
      </c>
      <c r="O574" s="18"/>
      <c r="P574" s="1"/>
      <c r="Q574" s="18"/>
      <c r="R574" s="19"/>
      <c r="S574" s="20" t="s">
        <v>37</v>
      </c>
      <c r="T574" s="18"/>
      <c r="U574" s="1"/>
      <c r="V574" s="18"/>
      <c r="W574" s="19"/>
      <c r="X574" s="20" t="s">
        <v>37</v>
      </c>
      <c r="Y574" s="18"/>
      <c r="Z574" s="1"/>
      <c r="AA574" s="18"/>
      <c r="AB574" s="19"/>
      <c r="AC574" s="20" t="s">
        <v>938</v>
      </c>
      <c r="AD574" s="23">
        <v>390000.0</v>
      </c>
      <c r="AE574" s="35" t="b">
        <v>1</v>
      </c>
      <c r="AF574" s="23">
        <v>80000.0</v>
      </c>
      <c r="AG574" s="15" t="b">
        <v>1</v>
      </c>
      <c r="AH574" s="20" t="s">
        <v>939</v>
      </c>
      <c r="AI574" s="23">
        <v>390000.0</v>
      </c>
      <c r="AJ574" s="35" t="b">
        <v>1</v>
      </c>
      <c r="AK574" s="23">
        <v>80000.0</v>
      </c>
      <c r="AL574" s="15" t="b">
        <v>1</v>
      </c>
      <c r="AM574" s="20" t="s">
        <v>939</v>
      </c>
      <c r="AN574" s="23">
        <v>390000.0</v>
      </c>
      <c r="AO574" s="35" t="b">
        <v>1</v>
      </c>
      <c r="AP574" s="23">
        <v>56774.0</v>
      </c>
      <c r="AQ574" s="15" t="b">
        <v>1</v>
      </c>
      <c r="AR574" s="20" t="s">
        <v>939</v>
      </c>
      <c r="AS574" s="23">
        <v>390000.0</v>
      </c>
      <c r="AT574" s="35" t="b">
        <v>1</v>
      </c>
      <c r="AU574" s="23">
        <v>80000.0</v>
      </c>
      <c r="AV574" s="15" t="b">
        <v>1</v>
      </c>
      <c r="AW574" s="20" t="s">
        <v>940</v>
      </c>
      <c r="AX574" s="23">
        <v>390000.0</v>
      </c>
      <c r="AY574" s="35" t="b">
        <v>1</v>
      </c>
      <c r="AZ574" s="23">
        <v>80000.0</v>
      </c>
      <c r="BA574" s="15" t="b">
        <v>1</v>
      </c>
      <c r="BB574" s="20" t="s">
        <v>941</v>
      </c>
      <c r="BC574" s="23">
        <v>390000.0</v>
      </c>
      <c r="BD574" s="35" t="b">
        <v>1</v>
      </c>
      <c r="BE574" s="23">
        <v>80000.0</v>
      </c>
      <c r="BF574" s="15" t="b">
        <v>1</v>
      </c>
      <c r="BG574" s="20" t="s">
        <v>37</v>
      </c>
      <c r="BH574" s="18"/>
      <c r="BI574" s="1"/>
      <c r="BJ574" s="18"/>
      <c r="BK574" s="19"/>
      <c r="BL574" s="20" t="s">
        <v>37</v>
      </c>
      <c r="BM574" s="18"/>
      <c r="BN574" s="1"/>
      <c r="BO574" s="18"/>
      <c r="BP574" s="15" t="b">
        <v>0</v>
      </c>
      <c r="BQ574" s="17" t="s">
        <v>33</v>
      </c>
      <c r="BR574" s="1"/>
      <c r="BS574" s="1"/>
      <c r="BT574" s="1"/>
      <c r="BU574" s="1"/>
    </row>
    <row r="575">
      <c r="A575" s="1"/>
      <c r="B575" s="21"/>
      <c r="C575" s="11" t="s">
        <v>42</v>
      </c>
      <c r="D575" s="22"/>
      <c r="E575" s="23">
        <f>SUM(E571:E574)</f>
        <v>1947742</v>
      </c>
      <c r="F575" s="18"/>
      <c r="G575" s="23">
        <f>SUM(G571:G574)</f>
        <v>322581</v>
      </c>
      <c r="H575" s="19"/>
      <c r="I575" s="22"/>
      <c r="J575" s="23">
        <f>SUM(J571:J574)</f>
        <v>1930000</v>
      </c>
      <c r="K575" s="18"/>
      <c r="L575" s="23">
        <f>SUM(L571:L574)</f>
        <v>320000</v>
      </c>
      <c r="M575" s="19"/>
      <c r="N575" s="22"/>
      <c r="O575" s="23">
        <f>SUM(O571:O574)</f>
        <v>1127097</v>
      </c>
      <c r="P575" s="18"/>
      <c r="Q575" s="23">
        <f>SUM(Q571:Q574)</f>
        <v>165161</v>
      </c>
      <c r="R575" s="19"/>
      <c r="S575" s="22"/>
      <c r="T575" s="23">
        <f>SUM(T571:T574)</f>
        <v>1640000</v>
      </c>
      <c r="U575" s="18"/>
      <c r="V575" s="23">
        <f>SUM(V571:V574)</f>
        <v>240000</v>
      </c>
      <c r="W575" s="19"/>
      <c r="X575" s="18"/>
      <c r="Y575" s="23">
        <f>SUM(Y571:Y574)</f>
        <v>1530000</v>
      </c>
      <c r="Z575" s="18"/>
      <c r="AA575" s="23">
        <f>SUM(AA571:AA574)</f>
        <v>240000</v>
      </c>
      <c r="AB575" s="19"/>
      <c r="AC575" s="18"/>
      <c r="AD575" s="23">
        <f>SUM(AD571:AD574)</f>
        <v>1920000</v>
      </c>
      <c r="AE575" s="18"/>
      <c r="AF575" s="23">
        <f>SUM(AF571:AF574)</f>
        <v>320000</v>
      </c>
      <c r="AG575" s="19"/>
      <c r="AH575" s="18"/>
      <c r="AI575" s="23">
        <f>SUM(AI571:AI574)</f>
        <v>1920000</v>
      </c>
      <c r="AJ575" s="18"/>
      <c r="AK575" s="23">
        <f>SUM(AK571:AK574)</f>
        <v>320000</v>
      </c>
      <c r="AL575" s="19"/>
      <c r="AM575" s="18"/>
      <c r="AN575" s="23">
        <f>SUM(AN571:AN574)</f>
        <v>1883226</v>
      </c>
      <c r="AO575" s="18"/>
      <c r="AP575" s="23">
        <f>SUM(AP571:AP574)</f>
        <v>289032</v>
      </c>
      <c r="AQ575" s="19"/>
      <c r="AR575" s="22"/>
      <c r="AS575" s="23">
        <f>SUM(AS571:AS574)</f>
        <v>1890000</v>
      </c>
      <c r="AT575" s="18"/>
      <c r="AU575" s="23">
        <f>SUM(AU571:AU574)</f>
        <v>320000</v>
      </c>
      <c r="AV575" s="19"/>
      <c r="AW575" s="22"/>
      <c r="AX575" s="23">
        <f>SUM(AX571:AX574)</f>
        <v>1890000</v>
      </c>
      <c r="AY575" s="18"/>
      <c r="AZ575" s="23">
        <f>SUM(AZ571:AZ574)</f>
        <v>320000</v>
      </c>
      <c r="BA575" s="19"/>
      <c r="BB575" s="22"/>
      <c r="BC575" s="23">
        <f>SUM(BC571:BC574)</f>
        <v>1890000</v>
      </c>
      <c r="BD575" s="18"/>
      <c r="BE575" s="23">
        <f>SUM(BE571:BE574)</f>
        <v>320000</v>
      </c>
      <c r="BF575" s="19"/>
      <c r="BG575" s="22"/>
      <c r="BH575" s="23">
        <f>SUM(BH571:BH574)</f>
        <v>1500000</v>
      </c>
      <c r="BI575" s="18"/>
      <c r="BJ575" s="23">
        <f>SUM(BJ571:BJ574)</f>
        <v>240000</v>
      </c>
      <c r="BK575" s="19"/>
      <c r="BL575" s="22"/>
      <c r="BM575" s="23">
        <f>SUM(BM571:BM574)</f>
        <v>1500000</v>
      </c>
      <c r="BN575" s="18"/>
      <c r="BO575" s="23">
        <f>SUM(BO571:BO574)</f>
        <v>240000</v>
      </c>
      <c r="BP575" s="19"/>
      <c r="BQ575" s="17" t="s">
        <v>33</v>
      </c>
      <c r="BR575" s="1"/>
      <c r="BS575" s="1"/>
      <c r="BT575" s="1"/>
      <c r="BU575" s="1"/>
    </row>
    <row r="576">
      <c r="A576" s="1"/>
      <c r="B576" s="21"/>
      <c r="C576" s="11" t="s">
        <v>43</v>
      </c>
      <c r="D576" s="22"/>
      <c r="E576" s="23">
        <v>850000.0</v>
      </c>
      <c r="F576" s="18"/>
      <c r="G576" s="18"/>
      <c r="H576" s="19"/>
      <c r="I576" s="22"/>
      <c r="J576" s="23">
        <v>850000.0</v>
      </c>
      <c r="K576" s="18"/>
      <c r="L576" s="18"/>
      <c r="M576" s="19"/>
      <c r="N576" s="22"/>
      <c r="O576" s="23">
        <v>850000.0</v>
      </c>
      <c r="P576" s="18"/>
      <c r="Q576" s="18"/>
      <c r="R576" s="19"/>
      <c r="S576" s="22"/>
      <c r="T576" s="23">
        <v>850000.0</v>
      </c>
      <c r="U576" s="18"/>
      <c r="V576" s="18"/>
      <c r="W576" s="19"/>
      <c r="X576" s="18"/>
      <c r="Y576" s="23">
        <v>850000.0</v>
      </c>
      <c r="Z576" s="18"/>
      <c r="AA576" s="18"/>
      <c r="AB576" s="19"/>
      <c r="AC576" s="18"/>
      <c r="AD576" s="23">
        <v>850000.0</v>
      </c>
      <c r="AE576" s="18"/>
      <c r="AF576" s="18"/>
      <c r="AG576" s="19"/>
      <c r="AH576" s="18"/>
      <c r="AI576" s="23">
        <v>850000.0</v>
      </c>
      <c r="AJ576" s="18"/>
      <c r="AK576" s="18"/>
      <c r="AL576" s="19"/>
      <c r="AM576" s="18"/>
      <c r="AN576" s="23">
        <v>900000.0</v>
      </c>
      <c r="AO576" s="18"/>
      <c r="AP576" s="18"/>
      <c r="AQ576" s="19"/>
      <c r="AR576" s="22"/>
      <c r="AS576" s="23">
        <v>900000.0</v>
      </c>
      <c r="AT576" s="18"/>
      <c r="AU576" s="18"/>
      <c r="AV576" s="19"/>
      <c r="AW576" s="22"/>
      <c r="AX576" s="23">
        <v>900000.0</v>
      </c>
      <c r="AY576" s="18"/>
      <c r="AZ576" s="18"/>
      <c r="BA576" s="19"/>
      <c r="BB576" s="22"/>
      <c r="BC576" s="23">
        <v>900000.0</v>
      </c>
      <c r="BD576" s="18"/>
      <c r="BE576" s="18"/>
      <c r="BF576" s="19"/>
      <c r="BG576" s="22"/>
      <c r="BH576" s="23">
        <v>900000.0</v>
      </c>
      <c r="BI576" s="18"/>
      <c r="BJ576" s="18"/>
      <c r="BK576" s="19"/>
      <c r="BL576" s="22"/>
      <c r="BM576" s="23">
        <v>900000.0</v>
      </c>
      <c r="BN576" s="18"/>
      <c r="BO576" s="18"/>
      <c r="BP576" s="19"/>
      <c r="BQ576" s="17" t="s">
        <v>33</v>
      </c>
      <c r="BR576" s="1"/>
      <c r="BS576" s="1"/>
      <c r="BT576" s="1"/>
      <c r="BU576" s="1"/>
    </row>
    <row r="577">
      <c r="A577" s="1"/>
      <c r="B577" s="21"/>
      <c r="C577" s="11" t="s">
        <v>45</v>
      </c>
      <c r="D577" s="22"/>
      <c r="E577" s="18"/>
      <c r="F577" s="18"/>
      <c r="G577" s="23" t="s">
        <v>677</v>
      </c>
      <c r="H577" s="19"/>
      <c r="I577" s="22"/>
      <c r="J577" s="18"/>
      <c r="K577" s="18"/>
      <c r="L577" s="23" t="s">
        <v>677</v>
      </c>
      <c r="M577" s="98" t="s">
        <v>677</v>
      </c>
      <c r="N577" s="26" t="s">
        <v>677</v>
      </c>
      <c r="O577" s="23" t="s">
        <v>677</v>
      </c>
      <c r="P577" s="61" t="s">
        <v>677</v>
      </c>
      <c r="Q577" s="23" t="s">
        <v>677</v>
      </c>
      <c r="R577" s="98" t="s">
        <v>677</v>
      </c>
      <c r="S577" s="26" t="s">
        <v>677</v>
      </c>
      <c r="T577" s="23" t="s">
        <v>677</v>
      </c>
      <c r="U577" s="61" t="s">
        <v>677</v>
      </c>
      <c r="V577" s="23" t="s">
        <v>677</v>
      </c>
      <c r="W577" s="98" t="s">
        <v>677</v>
      </c>
      <c r="X577" s="20" t="s">
        <v>677</v>
      </c>
      <c r="Y577" s="23" t="s">
        <v>677</v>
      </c>
      <c r="Z577" s="61" t="s">
        <v>677</v>
      </c>
      <c r="AA577" s="23" t="s">
        <v>677</v>
      </c>
      <c r="AB577" s="98" t="s">
        <v>677</v>
      </c>
      <c r="AC577" s="20" t="s">
        <v>677</v>
      </c>
      <c r="AD577" s="23" t="s">
        <v>677</v>
      </c>
      <c r="AE577" s="61" t="s">
        <v>677</v>
      </c>
      <c r="AF577" s="23" t="s">
        <v>677</v>
      </c>
      <c r="AG577" s="98" t="s">
        <v>677</v>
      </c>
      <c r="AH577" s="20" t="s">
        <v>677</v>
      </c>
      <c r="AI577" s="23" t="s">
        <v>677</v>
      </c>
      <c r="AJ577" s="61" t="s">
        <v>677</v>
      </c>
      <c r="AK577" s="23" t="s">
        <v>677</v>
      </c>
      <c r="AL577" s="98" t="s">
        <v>677</v>
      </c>
      <c r="AM577" s="20" t="s">
        <v>677</v>
      </c>
      <c r="AN577" s="23" t="s">
        <v>677</v>
      </c>
      <c r="AO577" s="61" t="s">
        <v>677</v>
      </c>
      <c r="AP577" s="23" t="s">
        <v>677</v>
      </c>
      <c r="AQ577" s="98" t="s">
        <v>677</v>
      </c>
      <c r="AR577" s="26" t="s">
        <v>677</v>
      </c>
      <c r="AS577" s="23" t="s">
        <v>677</v>
      </c>
      <c r="AT577" s="61" t="s">
        <v>677</v>
      </c>
      <c r="AU577" s="23" t="s">
        <v>677</v>
      </c>
      <c r="AV577" s="98" t="s">
        <v>677</v>
      </c>
      <c r="AW577" s="26" t="s">
        <v>677</v>
      </c>
      <c r="AX577" s="23" t="s">
        <v>677</v>
      </c>
      <c r="AY577" s="61" t="s">
        <v>677</v>
      </c>
      <c r="AZ577" s="23" t="s">
        <v>677</v>
      </c>
      <c r="BA577" s="98" t="s">
        <v>677</v>
      </c>
      <c r="BB577" s="26" t="s">
        <v>677</v>
      </c>
      <c r="BC577" s="23" t="s">
        <v>677</v>
      </c>
      <c r="BD577" s="61" t="s">
        <v>677</v>
      </c>
      <c r="BE577" s="23" t="s">
        <v>677</v>
      </c>
      <c r="BF577" s="98" t="s">
        <v>677</v>
      </c>
      <c r="BG577" s="26" t="s">
        <v>677</v>
      </c>
      <c r="BH577" s="23" t="s">
        <v>677</v>
      </c>
      <c r="BI577" s="61" t="s">
        <v>677</v>
      </c>
      <c r="BJ577" s="23" t="s">
        <v>677</v>
      </c>
      <c r="BK577" s="19"/>
      <c r="BL577" s="26" t="s">
        <v>677</v>
      </c>
      <c r="BM577" s="23" t="s">
        <v>677</v>
      </c>
      <c r="BN577" s="61" t="s">
        <v>677</v>
      </c>
      <c r="BO577" s="23" t="s">
        <v>677</v>
      </c>
      <c r="BP577" s="19"/>
      <c r="BQ577" s="17" t="s">
        <v>33</v>
      </c>
      <c r="BR577" s="1"/>
      <c r="BS577" s="1"/>
      <c r="BT577" s="1"/>
      <c r="BU577" s="1"/>
    </row>
    <row r="578">
      <c r="A578" s="56" t="s">
        <v>678</v>
      </c>
      <c r="B578" s="10" t="s">
        <v>942</v>
      </c>
      <c r="C578" s="11" t="s">
        <v>47</v>
      </c>
      <c r="D578" s="22"/>
      <c r="E578" s="18"/>
      <c r="F578" s="18"/>
      <c r="G578" s="23">
        <v>56190.0</v>
      </c>
      <c r="H578" s="19"/>
      <c r="I578" s="22"/>
      <c r="J578" s="18"/>
      <c r="K578" s="18"/>
      <c r="L578" s="23">
        <v>35660.0</v>
      </c>
      <c r="M578" s="24"/>
      <c r="N578" s="22"/>
      <c r="O578" s="18"/>
      <c r="P578" s="18"/>
      <c r="Q578" s="23">
        <v>26310.0</v>
      </c>
      <c r="R578" s="24"/>
      <c r="S578" s="22"/>
      <c r="T578" s="18"/>
      <c r="U578" s="18"/>
      <c r="V578" s="23">
        <v>25560.0</v>
      </c>
      <c r="W578" s="24"/>
      <c r="X578" s="18"/>
      <c r="Y578" s="18"/>
      <c r="Z578" s="18"/>
      <c r="AA578" s="23">
        <v>34320.0</v>
      </c>
      <c r="AB578" s="24"/>
      <c r="AC578" s="18"/>
      <c r="AD578" s="18"/>
      <c r="AE578" s="18"/>
      <c r="AF578" s="23">
        <v>34360.0</v>
      </c>
      <c r="AG578" s="24"/>
      <c r="AH578" s="18"/>
      <c r="AI578" s="18"/>
      <c r="AJ578" s="18"/>
      <c r="AK578" s="23">
        <v>67890.0</v>
      </c>
      <c r="AL578" s="24"/>
      <c r="AM578" s="18"/>
      <c r="AN578" s="18"/>
      <c r="AO578" s="18"/>
      <c r="AP578" s="23">
        <v>99850.0</v>
      </c>
      <c r="AQ578" s="24"/>
      <c r="AR578" s="22"/>
      <c r="AS578" s="18"/>
      <c r="AT578" s="18"/>
      <c r="AU578" s="23">
        <v>133670.0</v>
      </c>
      <c r="AV578" s="24"/>
      <c r="AW578" s="22"/>
      <c r="AX578" s="18"/>
      <c r="AY578" s="18"/>
      <c r="AZ578" s="23">
        <v>96890.0</v>
      </c>
      <c r="BA578" s="24"/>
      <c r="BB578" s="22"/>
      <c r="BC578" s="18"/>
      <c r="BD578" s="18"/>
      <c r="BE578" s="23">
        <v>46380.0</v>
      </c>
      <c r="BF578" s="24"/>
      <c r="BG578" s="22"/>
      <c r="BH578" s="18"/>
      <c r="BI578" s="18"/>
      <c r="BJ578" s="23">
        <v>38090.0</v>
      </c>
      <c r="BK578" s="19"/>
      <c r="BL578" s="22"/>
      <c r="BM578" s="18"/>
      <c r="BN578" s="18"/>
      <c r="BO578" s="18"/>
      <c r="BP578" s="19"/>
      <c r="BQ578" s="17" t="s">
        <v>33</v>
      </c>
      <c r="BR578" s="1"/>
      <c r="BS578" s="1"/>
      <c r="BT578" s="1"/>
      <c r="BU578" s="1"/>
    </row>
    <row r="579">
      <c r="A579" s="56" t="s">
        <v>678</v>
      </c>
      <c r="B579" s="10" t="s">
        <v>943</v>
      </c>
      <c r="C579" s="11" t="s">
        <v>49</v>
      </c>
      <c r="D579" s="22"/>
      <c r="E579" s="18"/>
      <c r="F579" s="18"/>
      <c r="G579" s="23">
        <v>288670.0</v>
      </c>
      <c r="H579" s="19"/>
      <c r="I579" s="22"/>
      <c r="J579" s="18"/>
      <c r="K579" s="18"/>
      <c r="L579" s="23">
        <v>368810.0</v>
      </c>
      <c r="M579" s="24"/>
      <c r="N579" s="22"/>
      <c r="O579" s="18"/>
      <c r="P579" s="18"/>
      <c r="Q579" s="23">
        <v>272470.0</v>
      </c>
      <c r="R579" s="24"/>
      <c r="S579" s="22"/>
      <c r="T579" s="18"/>
      <c r="U579" s="18"/>
      <c r="V579" s="23">
        <v>173520.0</v>
      </c>
      <c r="W579" s="24"/>
      <c r="X579" s="18"/>
      <c r="Y579" s="18"/>
      <c r="Z579" s="18"/>
      <c r="AA579" s="23">
        <v>54190.0</v>
      </c>
      <c r="AB579" s="24"/>
      <c r="AC579" s="18"/>
      <c r="AD579" s="18"/>
      <c r="AE579" s="18"/>
      <c r="AF579" s="23">
        <v>40360.0</v>
      </c>
      <c r="AG579" s="24"/>
      <c r="AH579" s="18"/>
      <c r="AI579" s="18"/>
      <c r="AJ579" s="18"/>
      <c r="AK579" s="23">
        <v>8180.0</v>
      </c>
      <c r="AL579" s="24"/>
      <c r="AM579" s="18"/>
      <c r="AN579" s="18"/>
      <c r="AO579" s="18"/>
      <c r="AP579" s="23">
        <v>11140.0</v>
      </c>
      <c r="AQ579" s="24"/>
      <c r="AR579" s="22"/>
      <c r="AS579" s="18"/>
      <c r="AT579" s="18"/>
      <c r="AU579" s="23">
        <v>12480.0</v>
      </c>
      <c r="AV579" s="24"/>
      <c r="AW579" s="22"/>
      <c r="AX579" s="18"/>
      <c r="AY579" s="18"/>
      <c r="AZ579" s="23">
        <v>18070.0</v>
      </c>
      <c r="BA579" s="24"/>
      <c r="BB579" s="22"/>
      <c r="BC579" s="18"/>
      <c r="BD579" s="18"/>
      <c r="BE579" s="23">
        <v>31590.0</v>
      </c>
      <c r="BF579" s="24"/>
      <c r="BG579" s="22"/>
      <c r="BH579" s="18"/>
      <c r="BI579" s="18"/>
      <c r="BJ579" s="23">
        <v>87980.0</v>
      </c>
      <c r="BK579" s="19"/>
      <c r="BL579" s="22"/>
      <c r="BM579" s="18"/>
      <c r="BN579" s="18"/>
      <c r="BO579" s="23">
        <v>331480.0</v>
      </c>
      <c r="BP579" s="19"/>
      <c r="BQ579" s="17" t="s">
        <v>33</v>
      </c>
      <c r="BR579" s="1"/>
      <c r="BS579" s="1"/>
      <c r="BT579" s="1"/>
      <c r="BU579" s="1"/>
    </row>
    <row r="580">
      <c r="A580" s="56" t="s">
        <v>678</v>
      </c>
      <c r="B580" s="10" t="s">
        <v>944</v>
      </c>
      <c r="C580" s="11" t="s">
        <v>51</v>
      </c>
      <c r="D580" s="22"/>
      <c r="E580" s="18"/>
      <c r="F580" s="18"/>
      <c r="G580" s="23">
        <v>43330.0</v>
      </c>
      <c r="H580" s="19"/>
      <c r="I580" s="22"/>
      <c r="J580" s="18"/>
      <c r="K580" s="18"/>
      <c r="L580" s="23">
        <v>0.0</v>
      </c>
      <c r="M580" s="24"/>
      <c r="N580" s="22"/>
      <c r="O580" s="18"/>
      <c r="P580" s="18"/>
      <c r="Q580" s="23">
        <v>30710.0</v>
      </c>
      <c r="R580" s="24"/>
      <c r="S580" s="22"/>
      <c r="T580" s="18"/>
      <c r="U580" s="18"/>
      <c r="V580" s="23">
        <v>0.0</v>
      </c>
      <c r="W580" s="24"/>
      <c r="X580" s="18"/>
      <c r="Y580" s="18"/>
      <c r="Z580" s="18"/>
      <c r="AA580" s="23">
        <v>21730.0</v>
      </c>
      <c r="AB580" s="24"/>
      <c r="AC580" s="18"/>
      <c r="AD580" s="18"/>
      <c r="AE580" s="18"/>
      <c r="AF580" s="18"/>
      <c r="AG580" s="24"/>
      <c r="AH580" s="18"/>
      <c r="AI580" s="18"/>
      <c r="AJ580" s="18"/>
      <c r="AK580" s="23">
        <v>23110.0</v>
      </c>
      <c r="AL580" s="24"/>
      <c r="AM580" s="18"/>
      <c r="AN580" s="18"/>
      <c r="AO580" s="18"/>
      <c r="AP580" s="18"/>
      <c r="AQ580" s="24"/>
      <c r="AR580" s="22"/>
      <c r="AS580" s="18"/>
      <c r="AT580" s="18"/>
      <c r="AU580" s="23">
        <v>33010.0</v>
      </c>
      <c r="AV580" s="24"/>
      <c r="AW580" s="22"/>
      <c r="AX580" s="18"/>
      <c r="AY580" s="18"/>
      <c r="AZ580" s="18"/>
      <c r="BA580" s="24"/>
      <c r="BB580" s="22"/>
      <c r="BC580" s="18"/>
      <c r="BD580" s="18"/>
      <c r="BE580" s="23">
        <v>45840.0</v>
      </c>
      <c r="BF580" s="24"/>
      <c r="BG580" s="22"/>
      <c r="BH580" s="18"/>
      <c r="BI580" s="18"/>
      <c r="BJ580" s="18"/>
      <c r="BK580" s="19"/>
      <c r="BL580" s="22"/>
      <c r="BM580" s="18"/>
      <c r="BN580" s="18"/>
      <c r="BO580" s="18"/>
      <c r="BP580" s="19"/>
      <c r="BQ580" s="17" t="s">
        <v>33</v>
      </c>
      <c r="BR580" s="1"/>
      <c r="BS580" s="1"/>
      <c r="BT580" s="1"/>
      <c r="BU580" s="1"/>
    </row>
    <row r="581">
      <c r="A581" s="56" t="s">
        <v>681</v>
      </c>
      <c r="B581" s="21"/>
      <c r="C581" s="11" t="s">
        <v>52</v>
      </c>
      <c r="D581" s="22"/>
      <c r="E581" s="18"/>
      <c r="F581" s="18"/>
      <c r="G581" s="23">
        <v>22000.0</v>
      </c>
      <c r="H581" s="19"/>
      <c r="I581" s="22"/>
      <c r="J581" s="18"/>
      <c r="K581" s="18"/>
      <c r="L581" s="23">
        <v>22000.0</v>
      </c>
      <c r="M581" s="19"/>
      <c r="N581" s="22"/>
      <c r="O581" s="18"/>
      <c r="P581" s="18"/>
      <c r="Q581" s="23">
        <v>22000.0</v>
      </c>
      <c r="R581" s="19"/>
      <c r="S581" s="22"/>
      <c r="T581" s="18"/>
      <c r="U581" s="18"/>
      <c r="V581" s="23">
        <v>22000.0</v>
      </c>
      <c r="W581" s="19"/>
      <c r="X581" s="22"/>
      <c r="Y581" s="18"/>
      <c r="Z581" s="18"/>
      <c r="AA581" s="23">
        <v>22000.0</v>
      </c>
      <c r="AB581" s="19"/>
      <c r="AC581" s="22"/>
      <c r="AD581" s="18"/>
      <c r="AE581" s="18"/>
      <c r="AF581" s="23">
        <v>22000.0</v>
      </c>
      <c r="AG581" s="19"/>
      <c r="AH581" s="22"/>
      <c r="AI581" s="18"/>
      <c r="AJ581" s="18"/>
      <c r="AK581" s="23">
        <v>22000.0</v>
      </c>
      <c r="AL581" s="19"/>
      <c r="AM581" s="22"/>
      <c r="AN581" s="18"/>
      <c r="AO581" s="18"/>
      <c r="AP581" s="23">
        <v>22000.0</v>
      </c>
      <c r="AQ581" s="19"/>
      <c r="AR581" s="22"/>
      <c r="AS581" s="18"/>
      <c r="AT581" s="18"/>
      <c r="AU581" s="23">
        <v>22000.0</v>
      </c>
      <c r="AV581" s="19"/>
      <c r="AW581" s="22"/>
      <c r="AX581" s="18"/>
      <c r="AY581" s="18"/>
      <c r="AZ581" s="23">
        <v>22000.0</v>
      </c>
      <c r="BA581" s="19"/>
      <c r="BB581" s="22"/>
      <c r="BC581" s="18"/>
      <c r="BD581" s="18"/>
      <c r="BE581" s="23">
        <v>22000.0</v>
      </c>
      <c r="BF581" s="19"/>
      <c r="BG581" s="22"/>
      <c r="BH581" s="18"/>
      <c r="BI581" s="18"/>
      <c r="BJ581" s="23">
        <v>22000.0</v>
      </c>
      <c r="BK581" s="19"/>
      <c r="BL581" s="22"/>
      <c r="BM581" s="18"/>
      <c r="BN581" s="18"/>
      <c r="BO581" s="23">
        <v>22000.0</v>
      </c>
      <c r="BP581" s="19"/>
      <c r="BQ581" s="17" t="s">
        <v>33</v>
      </c>
      <c r="BR581" s="1"/>
      <c r="BS581" s="1"/>
      <c r="BT581" s="1"/>
      <c r="BU581" s="1"/>
    </row>
    <row r="582">
      <c r="A582" s="56" t="s">
        <v>681</v>
      </c>
      <c r="B582" s="21"/>
      <c r="C582" s="11" t="s">
        <v>53</v>
      </c>
      <c r="D582" s="22"/>
      <c r="E582" s="18"/>
      <c r="F582" s="18"/>
      <c r="G582" s="23">
        <v>10000.0</v>
      </c>
      <c r="H582" s="19"/>
      <c r="I582" s="22"/>
      <c r="J582" s="18"/>
      <c r="K582" s="18"/>
      <c r="L582" s="23">
        <v>10000.0</v>
      </c>
      <c r="M582" s="19"/>
      <c r="N582" s="22"/>
      <c r="O582" s="18"/>
      <c r="P582" s="18"/>
      <c r="Q582" s="23">
        <v>10000.0</v>
      </c>
      <c r="R582" s="19"/>
      <c r="S582" s="22"/>
      <c r="T582" s="18"/>
      <c r="U582" s="18"/>
      <c r="V582" s="23">
        <v>10000.0</v>
      </c>
      <c r="W582" s="19"/>
      <c r="X582" s="22"/>
      <c r="Y582" s="18"/>
      <c r="Z582" s="18"/>
      <c r="AA582" s="23">
        <v>10000.0</v>
      </c>
      <c r="AB582" s="19"/>
      <c r="AC582" s="22"/>
      <c r="AD582" s="18"/>
      <c r="AE582" s="18"/>
      <c r="AF582" s="23">
        <v>10000.0</v>
      </c>
      <c r="AG582" s="19"/>
      <c r="AH582" s="22"/>
      <c r="AI582" s="18"/>
      <c r="AJ582" s="18"/>
      <c r="AK582" s="23">
        <v>10000.0</v>
      </c>
      <c r="AL582" s="19"/>
      <c r="AM582" s="22"/>
      <c r="AN582" s="18"/>
      <c r="AO582" s="18"/>
      <c r="AP582" s="23">
        <v>10000.0</v>
      </c>
      <c r="AQ582" s="19"/>
      <c r="AR582" s="22"/>
      <c r="AS582" s="18"/>
      <c r="AT582" s="18"/>
      <c r="AU582" s="23">
        <v>10000.0</v>
      </c>
      <c r="AV582" s="19"/>
      <c r="AW582" s="22"/>
      <c r="AX582" s="18"/>
      <c r="AY582" s="18"/>
      <c r="AZ582" s="23">
        <v>10000.0</v>
      </c>
      <c r="BA582" s="19"/>
      <c r="BB582" s="22"/>
      <c r="BC582" s="18"/>
      <c r="BD582" s="18"/>
      <c r="BE582" s="23">
        <v>10000.0</v>
      </c>
      <c r="BF582" s="19"/>
      <c r="BG582" s="22"/>
      <c r="BH582" s="18"/>
      <c r="BI582" s="18"/>
      <c r="BJ582" s="23">
        <v>10000.0</v>
      </c>
      <c r="BK582" s="19"/>
      <c r="BL582" s="22"/>
      <c r="BM582" s="18"/>
      <c r="BN582" s="18"/>
      <c r="BO582" s="23">
        <v>10000.0</v>
      </c>
      <c r="BP582" s="19"/>
      <c r="BQ582" s="17" t="s">
        <v>33</v>
      </c>
      <c r="BR582" s="1"/>
      <c r="BS582" s="1"/>
      <c r="BT582" s="1"/>
      <c r="BU582" s="1"/>
    </row>
    <row r="583">
      <c r="A583" s="1"/>
      <c r="B583" s="21"/>
      <c r="C583" s="11" t="s">
        <v>54</v>
      </c>
      <c r="D583" s="22"/>
      <c r="E583" s="18"/>
      <c r="F583" s="18"/>
      <c r="G583" s="23">
        <f>SUMIFS('지출'!$G$3:$G1000,'지출'!$J$3:$J1000,G$1,'지출'!$C$3:$C1000,"브루")</f>
        <v>59000</v>
      </c>
      <c r="H583" s="19"/>
      <c r="I583" s="22"/>
      <c r="J583" s="18"/>
      <c r="K583" s="18"/>
      <c r="L583" s="23">
        <f>SUMIFS('지출'!$G$3:$G1000,'지출'!$J$3:$J1000,L$1,'지출'!$C$3:$C1000,"브루")</f>
        <v>62270</v>
      </c>
      <c r="M583" s="24"/>
      <c r="N583" s="18"/>
      <c r="O583" s="18"/>
      <c r="P583" s="18"/>
      <c r="Q583" s="23">
        <f>SUMIFS('지출'!$G$3:$G1000,'지출'!$J$3:$J1000,Q$1,'지출'!$C$3:$C1000,"브루")</f>
        <v>27630</v>
      </c>
      <c r="R583" s="24"/>
      <c r="S583" s="18"/>
      <c r="T583" s="18"/>
      <c r="U583" s="18"/>
      <c r="V583" s="23">
        <f>SUMIFS('지출'!$G$3:$G1000,'지출'!$J$3:$J1000,V$1,'지출'!$C$3:$C1000,"브루")</f>
        <v>0</v>
      </c>
      <c r="W583" s="24"/>
      <c r="X583" s="18"/>
      <c r="Y583" s="18"/>
      <c r="Z583" s="18"/>
      <c r="AA583" s="23">
        <f>SUMIFS('지출'!$G$3:$G1000,'지출'!$J$3:$J1000,AA$1,'지출'!$C$3:$C1000,"브루")</f>
        <v>0</v>
      </c>
      <c r="AB583" s="24"/>
      <c r="AC583" s="18"/>
      <c r="AD583" s="18"/>
      <c r="AE583" s="18"/>
      <c r="AF583" s="23">
        <f>SUMIFS('지출'!$G$3:$G1000,'지출'!$J$3:$J1000,AF$1,'지출'!$C$3:$C1000,"브루")</f>
        <v>0</v>
      </c>
      <c r="AG583" s="24"/>
      <c r="AH583" s="18"/>
      <c r="AI583" s="18"/>
      <c r="AJ583" s="18"/>
      <c r="AK583" s="23">
        <f>SUMIFS('지출'!$G$3:$G1000,'지출'!$J$3:$J1000,AK$1,'지출'!$C$3:$C1000,"브루")</f>
        <v>0</v>
      </c>
      <c r="AL583" s="24"/>
      <c r="AM583" s="18"/>
      <c r="AN583" s="18"/>
      <c r="AO583" s="18"/>
      <c r="AP583" s="23">
        <f>SUMIFS('지출'!$G$3:$G1000,'지출'!$J$3:$J1000,AP$1,'지출'!$C$3:$C1000,"브루")</f>
        <v>0</v>
      </c>
      <c r="AQ583" s="24"/>
      <c r="AR583" s="18"/>
      <c r="AS583" s="18"/>
      <c r="AT583" s="18"/>
      <c r="AU583" s="23">
        <f>SUMIFS('지출'!$G$3:$G1000,'지출'!$J$3:$J1000,AU$1,'지출'!$C$3:$C1000,"브루")</f>
        <v>0</v>
      </c>
      <c r="AV583" s="24"/>
      <c r="AW583" s="18"/>
      <c r="AX583" s="18"/>
      <c r="AY583" s="18"/>
      <c r="AZ583" s="23">
        <f>SUMIFS('지출'!$G$3:$G1000,'지출'!$J$3:$J1000,AZ$1,'지출'!$C$3:$C1000,"브루")</f>
        <v>0</v>
      </c>
      <c r="BA583" s="24"/>
      <c r="BB583" s="18"/>
      <c r="BC583" s="18"/>
      <c r="BD583" s="18"/>
      <c r="BE583" s="23">
        <f>SUMIFS('지출'!$G$3:$G1000,'지출'!$J$3:$J1000,BE$1,'지출'!$C$3:$C1000,"브루")</f>
        <v>0</v>
      </c>
      <c r="BF583" s="24"/>
      <c r="BG583" s="18"/>
      <c r="BH583" s="18"/>
      <c r="BI583" s="18"/>
      <c r="BJ583" s="23">
        <f>SUMIFS('지출'!$G$3:$G1000,'지출'!$J$3:$J1000,BJ$1,'지출'!$C$3:$C1000,"브루")</f>
        <v>0</v>
      </c>
      <c r="BK583" s="19"/>
      <c r="BL583" s="18"/>
      <c r="BM583" s="18"/>
      <c r="BN583" s="18"/>
      <c r="BO583" s="23">
        <f>SUMIFS('지출'!$G$3:$G1000,'지출'!$J$3:$J1000,BO$1,'지출'!$C$3:$C1000,"브루")</f>
        <v>59000</v>
      </c>
      <c r="BP583" s="19"/>
      <c r="BQ583" s="17" t="s">
        <v>33</v>
      </c>
      <c r="BR583" s="1"/>
      <c r="BS583" s="1"/>
      <c r="BT583" s="1"/>
      <c r="BU583" s="1"/>
    </row>
    <row r="584">
      <c r="A584" s="1"/>
      <c r="B584" s="21"/>
      <c r="C584" s="11" t="s">
        <v>56</v>
      </c>
      <c r="D584" s="22"/>
      <c r="E584" s="23">
        <f>E575-(SUM(E576:E583))</f>
        <v>1097742</v>
      </c>
      <c r="F584" s="18"/>
      <c r="G584" s="23">
        <f>G575-(SUM(G576:G583))</f>
        <v>-156609</v>
      </c>
      <c r="H584" s="19"/>
      <c r="I584" s="22"/>
      <c r="J584" s="23">
        <f>J575-(SUM(J576:J583))</f>
        <v>1080000</v>
      </c>
      <c r="K584" s="18"/>
      <c r="L584" s="23">
        <f>L575-(SUM(L576:L583))</f>
        <v>-178740</v>
      </c>
      <c r="M584" s="19"/>
      <c r="N584" s="22"/>
      <c r="O584" s="23">
        <f>O575-(SUM(O576:O583))</f>
        <v>277097</v>
      </c>
      <c r="P584" s="18"/>
      <c r="Q584" s="23">
        <f>Q575-(SUM(Q576:Q583))</f>
        <v>-223959</v>
      </c>
      <c r="R584" s="19"/>
      <c r="S584" s="22"/>
      <c r="T584" s="23">
        <f>T575-(SUM(T576:T583))</f>
        <v>790000</v>
      </c>
      <c r="U584" s="18"/>
      <c r="V584" s="23">
        <f>V575-(SUM(V576:V583))</f>
        <v>8920</v>
      </c>
      <c r="W584" s="19"/>
      <c r="X584" s="18"/>
      <c r="Y584" s="23">
        <f>Y575-(SUM(Y576:Y583))</f>
        <v>680000</v>
      </c>
      <c r="Z584" s="18"/>
      <c r="AA584" s="23">
        <f>AA575-(SUM(AA576:AA583))</f>
        <v>97760</v>
      </c>
      <c r="AB584" s="19"/>
      <c r="AC584" s="18"/>
      <c r="AD584" s="23">
        <f>AD575-(SUM(AD576:AD583))</f>
        <v>1070000</v>
      </c>
      <c r="AE584" s="18"/>
      <c r="AF584" s="23">
        <f>AF575-(SUM(AF576:AF583))</f>
        <v>213280</v>
      </c>
      <c r="AG584" s="19"/>
      <c r="AH584" s="18"/>
      <c r="AI584" s="23">
        <f>AI575-(SUM(AI576:AI583))</f>
        <v>1070000</v>
      </c>
      <c r="AJ584" s="18"/>
      <c r="AK584" s="23">
        <f>AK575-(SUM(AK576:AK583))</f>
        <v>188820</v>
      </c>
      <c r="AL584" s="19"/>
      <c r="AM584" s="18"/>
      <c r="AN584" s="23">
        <f>AN575-(SUM(AN576:AN583))</f>
        <v>983226</v>
      </c>
      <c r="AO584" s="18"/>
      <c r="AP584" s="23">
        <f>AP575-(SUM(AP576:AP583))</f>
        <v>146042</v>
      </c>
      <c r="AQ584" s="19"/>
      <c r="AR584" s="22"/>
      <c r="AS584" s="23">
        <f>AS575-(SUM(AS576:AS583))</f>
        <v>990000</v>
      </c>
      <c r="AT584" s="18"/>
      <c r="AU584" s="23">
        <f>AU575-(SUM(AU576:AU583))</f>
        <v>108840</v>
      </c>
      <c r="AV584" s="19"/>
      <c r="AW584" s="22"/>
      <c r="AX584" s="23">
        <f>AX575-(SUM(AX576:AX583))</f>
        <v>990000</v>
      </c>
      <c r="AY584" s="18"/>
      <c r="AZ584" s="23">
        <f>AZ575-(SUM(AZ576:AZ583))</f>
        <v>173040</v>
      </c>
      <c r="BA584" s="19"/>
      <c r="BB584" s="22"/>
      <c r="BC584" s="23">
        <f>BC575-(SUM(BC576:BC583))</f>
        <v>990000</v>
      </c>
      <c r="BD584" s="18"/>
      <c r="BE584" s="23">
        <f>BE575-(SUM(BE576:BE583))</f>
        <v>164190</v>
      </c>
      <c r="BF584" s="19"/>
      <c r="BG584" s="22"/>
      <c r="BH584" s="23">
        <f>BH575-(SUM(BH576:BH583))</f>
        <v>600000</v>
      </c>
      <c r="BI584" s="18"/>
      <c r="BJ584" s="23">
        <f>BJ575-(SUM(BJ576:BJ583))</f>
        <v>81930</v>
      </c>
      <c r="BK584" s="19"/>
      <c r="BL584" s="22"/>
      <c r="BM584" s="23">
        <f>BM575-(SUM(BM576:BM583))</f>
        <v>600000</v>
      </c>
      <c r="BN584" s="18"/>
      <c r="BO584" s="23">
        <f>BO575-(SUM(BO576:BO583))</f>
        <v>-182480</v>
      </c>
      <c r="BP584" s="19"/>
      <c r="BQ584" s="17" t="s">
        <v>33</v>
      </c>
      <c r="BR584" s="1"/>
      <c r="BS584" s="1"/>
      <c r="BT584" s="1"/>
      <c r="BU584" s="1"/>
    </row>
    <row r="585">
      <c r="A585" s="1"/>
      <c r="B585" s="27">
        <v>0.0</v>
      </c>
      <c r="C585" s="11" t="s">
        <v>26</v>
      </c>
      <c r="D585" s="22"/>
      <c r="E585" s="23">
        <f>E584*$B585</f>
        <v>0</v>
      </c>
      <c r="F585" s="18"/>
      <c r="G585" s="18"/>
      <c r="H585" s="19"/>
      <c r="I585" s="22"/>
      <c r="J585" s="23">
        <f>J584*$B585</f>
        <v>0</v>
      </c>
      <c r="K585" s="18"/>
      <c r="L585" s="18"/>
      <c r="M585" s="19"/>
      <c r="N585" s="22"/>
      <c r="O585" s="23">
        <f>O584*$B585</f>
        <v>0</v>
      </c>
      <c r="P585" s="18"/>
      <c r="Q585" s="18"/>
      <c r="R585" s="19"/>
      <c r="S585" s="22"/>
      <c r="T585" s="23">
        <f>T584*$B585</f>
        <v>0</v>
      </c>
      <c r="U585" s="18"/>
      <c r="V585" s="18"/>
      <c r="W585" s="19"/>
      <c r="X585" s="18"/>
      <c r="Y585" s="23">
        <f>Y584*$B585</f>
        <v>0</v>
      </c>
      <c r="Z585" s="18"/>
      <c r="AA585" s="18"/>
      <c r="AB585" s="19"/>
      <c r="AC585" s="18"/>
      <c r="AD585" s="23">
        <f>AD584*$B585</f>
        <v>0</v>
      </c>
      <c r="AE585" s="18"/>
      <c r="AF585" s="18"/>
      <c r="AG585" s="19"/>
      <c r="AH585" s="18"/>
      <c r="AI585" s="23">
        <f>AI584*$B585</f>
        <v>0</v>
      </c>
      <c r="AJ585" s="18"/>
      <c r="AK585" s="18"/>
      <c r="AL585" s="19"/>
      <c r="AM585" s="18"/>
      <c r="AN585" s="23">
        <f>AN584*$B585</f>
        <v>0</v>
      </c>
      <c r="AO585" s="18"/>
      <c r="AP585" s="18"/>
      <c r="AQ585" s="19"/>
      <c r="AR585" s="22"/>
      <c r="AS585" s="23">
        <f>AS584*$B585</f>
        <v>0</v>
      </c>
      <c r="AT585" s="18"/>
      <c r="AU585" s="18"/>
      <c r="AV585" s="19"/>
      <c r="AW585" s="22"/>
      <c r="AX585" s="23">
        <f>AX584*$B585</f>
        <v>0</v>
      </c>
      <c r="AY585" s="18"/>
      <c r="AZ585" s="18"/>
      <c r="BA585" s="19"/>
      <c r="BB585" s="22"/>
      <c r="BC585" s="23">
        <f>BC584*$B585</f>
        <v>0</v>
      </c>
      <c r="BD585" s="18"/>
      <c r="BE585" s="18"/>
      <c r="BF585" s="19"/>
      <c r="BG585" s="22"/>
      <c r="BH585" s="23">
        <f>BH584*$B585</f>
        <v>0</v>
      </c>
      <c r="BI585" s="18"/>
      <c r="BJ585" s="18"/>
      <c r="BK585" s="19"/>
      <c r="BL585" s="22"/>
      <c r="BM585" s="23">
        <f>BM584*$B585</f>
        <v>0</v>
      </c>
      <c r="BN585" s="18"/>
      <c r="BO585" s="18"/>
      <c r="BP585" s="19"/>
      <c r="BQ585" s="17" t="s">
        <v>33</v>
      </c>
      <c r="BR585" s="1"/>
      <c r="BS585" s="1"/>
      <c r="BT585" s="1"/>
      <c r="BU585" s="1"/>
    </row>
    <row r="586">
      <c r="A586" s="67" t="str">
        <f>B571</f>
        <v>브루</v>
      </c>
      <c r="B586" s="29">
        <v>1.0</v>
      </c>
      <c r="C586" s="30" t="s">
        <v>57</v>
      </c>
      <c r="D586" s="31"/>
      <c r="E586" s="32">
        <f>E584*$B586</f>
        <v>1097742</v>
      </c>
      <c r="F586" s="33"/>
      <c r="G586" s="33"/>
      <c r="H586" s="34"/>
      <c r="I586" s="31"/>
      <c r="J586" s="32">
        <f>J584*$B586</f>
        <v>1080000</v>
      </c>
      <c r="K586" s="33"/>
      <c r="L586" s="33"/>
      <c r="M586" s="34"/>
      <c r="N586" s="31"/>
      <c r="O586" s="32">
        <f>O584*$B586</f>
        <v>277097</v>
      </c>
      <c r="P586" s="33"/>
      <c r="Q586" s="33"/>
      <c r="R586" s="34"/>
      <c r="S586" s="31"/>
      <c r="T586" s="32">
        <f>T584*$B586</f>
        <v>790000</v>
      </c>
      <c r="U586" s="33"/>
      <c r="V586" s="33"/>
      <c r="W586" s="34"/>
      <c r="X586" s="33"/>
      <c r="Y586" s="32">
        <f>Y584*$B586</f>
        <v>680000</v>
      </c>
      <c r="Z586" s="33"/>
      <c r="AA586" s="33"/>
      <c r="AB586" s="34"/>
      <c r="AC586" s="33"/>
      <c r="AD586" s="32">
        <f>AD584*$B586</f>
        <v>1070000</v>
      </c>
      <c r="AE586" s="33"/>
      <c r="AF586" s="33"/>
      <c r="AG586" s="34"/>
      <c r="AH586" s="33"/>
      <c r="AI586" s="32">
        <f>AI584*$B586</f>
        <v>1070000</v>
      </c>
      <c r="AJ586" s="33"/>
      <c r="AK586" s="33"/>
      <c r="AL586" s="34"/>
      <c r="AM586" s="33"/>
      <c r="AN586" s="32">
        <f>AN584*$B586</f>
        <v>983226</v>
      </c>
      <c r="AO586" s="33"/>
      <c r="AP586" s="33"/>
      <c r="AQ586" s="34"/>
      <c r="AR586" s="31"/>
      <c r="AS586" s="32">
        <f>AS584*$B586</f>
        <v>990000</v>
      </c>
      <c r="AT586" s="33"/>
      <c r="AU586" s="33"/>
      <c r="AV586" s="34"/>
      <c r="AW586" s="31"/>
      <c r="AX586" s="32">
        <f>AX584*$B586</f>
        <v>990000</v>
      </c>
      <c r="AY586" s="33"/>
      <c r="AZ586" s="33"/>
      <c r="BA586" s="34"/>
      <c r="BB586" s="31"/>
      <c r="BC586" s="32">
        <f>BC584*$B586</f>
        <v>990000</v>
      </c>
      <c r="BD586" s="33"/>
      <c r="BE586" s="33"/>
      <c r="BF586" s="34"/>
      <c r="BG586" s="31"/>
      <c r="BH586" s="32">
        <f>BH584*$B586</f>
        <v>600000</v>
      </c>
      <c r="BI586" s="33"/>
      <c r="BJ586" s="33"/>
      <c r="BK586" s="34"/>
      <c r="BL586" s="31"/>
      <c r="BM586" s="32">
        <f>BM584*$B586</f>
        <v>600000</v>
      </c>
      <c r="BN586" s="33"/>
      <c r="BO586" s="33"/>
      <c r="BP586" s="34"/>
      <c r="BQ586" s="17" t="s">
        <v>33</v>
      </c>
      <c r="BR586" s="1"/>
      <c r="BS586" s="1"/>
      <c r="BT586" s="1"/>
      <c r="BU586" s="1"/>
    </row>
    <row r="587">
      <c r="A587" s="1"/>
      <c r="B587" s="27" t="s">
        <v>945</v>
      </c>
      <c r="C587" s="11" t="s">
        <v>946</v>
      </c>
      <c r="D587" s="20" t="s">
        <v>947</v>
      </c>
      <c r="E587" s="23">
        <v>500000.0</v>
      </c>
      <c r="F587" s="35" t="b">
        <v>0</v>
      </c>
      <c r="G587" s="23">
        <v>80000.0</v>
      </c>
      <c r="H587" s="15" t="b">
        <v>1</v>
      </c>
      <c r="I587" s="20" t="s">
        <v>947</v>
      </c>
      <c r="J587" s="23">
        <v>500000.0</v>
      </c>
      <c r="K587" s="35" t="b">
        <v>0</v>
      </c>
      <c r="L587" s="23">
        <v>80000.0</v>
      </c>
      <c r="M587" s="15" t="b">
        <v>1</v>
      </c>
      <c r="N587" s="20" t="s">
        <v>947</v>
      </c>
      <c r="O587" s="23">
        <v>500000.0</v>
      </c>
      <c r="P587" s="35" t="b">
        <v>0</v>
      </c>
      <c r="Q587" s="23">
        <v>80000.0</v>
      </c>
      <c r="R587" s="15" t="b">
        <v>1</v>
      </c>
      <c r="S587" s="20" t="s">
        <v>947</v>
      </c>
      <c r="T587" s="23">
        <v>500000.0</v>
      </c>
      <c r="U587" s="35" t="b">
        <v>0</v>
      </c>
      <c r="V587" s="23">
        <v>80000.0</v>
      </c>
      <c r="W587" s="15" t="b">
        <v>1</v>
      </c>
      <c r="X587" s="20" t="s">
        <v>947</v>
      </c>
      <c r="Y587" s="23">
        <v>500000.0</v>
      </c>
      <c r="Z587" s="35" t="b">
        <v>0</v>
      </c>
      <c r="AA587" s="23">
        <v>80000.0</v>
      </c>
      <c r="AB587" s="15" t="b">
        <v>1</v>
      </c>
      <c r="AC587" s="20" t="s">
        <v>948</v>
      </c>
      <c r="AD587" s="23">
        <f>500000+86667</f>
        <v>586667</v>
      </c>
      <c r="AE587" s="35" t="b">
        <v>0</v>
      </c>
      <c r="AF587" s="23">
        <f>80000+13333</f>
        <v>93333</v>
      </c>
      <c r="AG587" s="15" t="b">
        <v>1</v>
      </c>
      <c r="AH587" s="20" t="s">
        <v>949</v>
      </c>
      <c r="AI587" s="23">
        <v>520000.0</v>
      </c>
      <c r="AJ587" s="35" t="b">
        <v>0</v>
      </c>
      <c r="AK587" s="23">
        <v>80000.0</v>
      </c>
      <c r="AL587" s="15" t="b">
        <v>1</v>
      </c>
      <c r="AM587" s="20" t="s">
        <v>950</v>
      </c>
      <c r="AN587" s="23">
        <v>520000.0</v>
      </c>
      <c r="AO587" s="35" t="b">
        <v>0</v>
      </c>
      <c r="AP587" s="23">
        <v>80000.0</v>
      </c>
      <c r="AQ587" s="15" t="b">
        <v>1</v>
      </c>
      <c r="AR587" s="20" t="s">
        <v>951</v>
      </c>
      <c r="AS587" s="23">
        <v>620000.0</v>
      </c>
      <c r="AT587" s="35" t="b">
        <v>0</v>
      </c>
      <c r="AU587" s="23">
        <v>80000.0</v>
      </c>
      <c r="AV587" s="15" t="b">
        <v>0</v>
      </c>
      <c r="AW587" s="20" t="s">
        <v>952</v>
      </c>
      <c r="AX587" s="23">
        <v>620000.0</v>
      </c>
      <c r="AY587" s="35" t="b">
        <v>0</v>
      </c>
      <c r="AZ587" s="23">
        <v>80000.0</v>
      </c>
      <c r="BA587" s="15" t="b">
        <v>1</v>
      </c>
      <c r="BB587" s="20" t="s">
        <v>952</v>
      </c>
      <c r="BC587" s="23">
        <v>620000.0</v>
      </c>
      <c r="BD587" s="35" t="b">
        <v>0</v>
      </c>
      <c r="BE587" s="23">
        <v>80000.0</v>
      </c>
      <c r="BF587" s="15" t="b">
        <v>1</v>
      </c>
      <c r="BG587" s="20" t="s">
        <v>952</v>
      </c>
      <c r="BH587" s="23">
        <v>620000.0</v>
      </c>
      <c r="BI587" s="35" t="b">
        <v>0</v>
      </c>
      <c r="BJ587" s="23">
        <v>80000.0</v>
      </c>
      <c r="BK587" s="15" t="b">
        <v>1</v>
      </c>
      <c r="BL587" s="20" t="s">
        <v>952</v>
      </c>
      <c r="BM587" s="23">
        <v>520000.0</v>
      </c>
      <c r="BN587" s="35" t="b">
        <v>0</v>
      </c>
      <c r="BO587" s="23">
        <v>80000.0</v>
      </c>
      <c r="BP587" s="15" t="b">
        <v>0</v>
      </c>
      <c r="BQ587" s="17" t="s">
        <v>953</v>
      </c>
      <c r="BR587" s="1"/>
      <c r="BS587" s="1"/>
      <c r="BT587" s="1"/>
      <c r="BU587" s="1"/>
    </row>
    <row r="588">
      <c r="A588" s="1"/>
      <c r="B588" s="27" t="s">
        <v>945</v>
      </c>
      <c r="C588" s="11" t="s">
        <v>954</v>
      </c>
      <c r="D588" s="20" t="s">
        <v>955</v>
      </c>
      <c r="E588" s="23">
        <v>500000.0</v>
      </c>
      <c r="F588" s="35" t="b">
        <v>0</v>
      </c>
      <c r="G588" s="23">
        <v>80000.0</v>
      </c>
      <c r="H588" s="15" t="b">
        <v>1</v>
      </c>
      <c r="I588" s="20" t="s">
        <v>955</v>
      </c>
      <c r="J588" s="23">
        <v>500000.0</v>
      </c>
      <c r="K588" s="35" t="b">
        <v>0</v>
      </c>
      <c r="L588" s="23">
        <v>80000.0</v>
      </c>
      <c r="M588" s="15" t="b">
        <v>1</v>
      </c>
      <c r="N588" s="20" t="s">
        <v>955</v>
      </c>
      <c r="O588" s="23">
        <v>500000.0</v>
      </c>
      <c r="P588" s="35" t="b">
        <v>0</v>
      </c>
      <c r="Q588" s="23">
        <v>80000.0</v>
      </c>
      <c r="R588" s="15" t="b">
        <v>1</v>
      </c>
      <c r="S588" s="20" t="s">
        <v>955</v>
      </c>
      <c r="T588" s="23">
        <v>500000.0</v>
      </c>
      <c r="U588" s="35" t="b">
        <v>0</v>
      </c>
      <c r="V588" s="23">
        <v>80000.0</v>
      </c>
      <c r="W588" s="15" t="b">
        <v>1</v>
      </c>
      <c r="X588" s="20" t="s">
        <v>955</v>
      </c>
      <c r="Y588" s="23">
        <v>500000.0</v>
      </c>
      <c r="Z588" s="35" t="b">
        <v>0</v>
      </c>
      <c r="AA588" s="23">
        <v>80000.0</v>
      </c>
      <c r="AB588" s="15" t="b">
        <v>1</v>
      </c>
      <c r="AC588" s="20" t="s">
        <v>956</v>
      </c>
      <c r="AD588" s="23">
        <v>500000.0</v>
      </c>
      <c r="AE588" s="35" t="b">
        <v>0</v>
      </c>
      <c r="AF588" s="23">
        <v>80000.0</v>
      </c>
      <c r="AG588" s="15" t="b">
        <v>1</v>
      </c>
      <c r="AH588" s="20" t="s">
        <v>955</v>
      </c>
      <c r="AI588" s="23">
        <v>500000.0</v>
      </c>
      <c r="AJ588" s="35" t="b">
        <v>0</v>
      </c>
      <c r="AK588" s="23">
        <v>80000.0</v>
      </c>
      <c r="AL588" s="15" t="b">
        <v>1</v>
      </c>
      <c r="AM588" s="20" t="s">
        <v>955</v>
      </c>
      <c r="AN588" s="23">
        <v>500000.0</v>
      </c>
      <c r="AO588" s="35" t="b">
        <v>0</v>
      </c>
      <c r="AP588" s="23">
        <v>80000.0</v>
      </c>
      <c r="AQ588" s="15" t="b">
        <v>1</v>
      </c>
      <c r="AR588" s="20" t="s">
        <v>955</v>
      </c>
      <c r="AS588" s="23">
        <v>500000.0</v>
      </c>
      <c r="AT588" s="35" t="b">
        <v>0</v>
      </c>
      <c r="AU588" s="23">
        <v>80000.0</v>
      </c>
      <c r="AV588" s="15" t="b">
        <v>0</v>
      </c>
      <c r="AW588" s="20" t="s">
        <v>955</v>
      </c>
      <c r="AX588" s="23">
        <v>500000.0</v>
      </c>
      <c r="AY588" s="35" t="b">
        <v>0</v>
      </c>
      <c r="AZ588" s="23">
        <v>80000.0</v>
      </c>
      <c r="BA588" s="15" t="b">
        <v>1</v>
      </c>
      <c r="BB588" s="20" t="s">
        <v>955</v>
      </c>
      <c r="BC588" s="23">
        <v>500000.0</v>
      </c>
      <c r="BD588" s="35" t="b">
        <v>0</v>
      </c>
      <c r="BE588" s="23">
        <v>80000.0</v>
      </c>
      <c r="BF588" s="15" t="b">
        <v>1</v>
      </c>
      <c r="BG588" s="20" t="s">
        <v>957</v>
      </c>
      <c r="BH588" s="23">
        <v>500000.0</v>
      </c>
      <c r="BI588" s="35" t="b">
        <v>0</v>
      </c>
      <c r="BJ588" s="23">
        <v>80000.0</v>
      </c>
      <c r="BK588" s="15" t="b">
        <v>1</v>
      </c>
      <c r="BL588" s="20" t="s">
        <v>958</v>
      </c>
      <c r="BM588" s="23">
        <v>500000.0</v>
      </c>
      <c r="BN588" s="35" t="b">
        <v>0</v>
      </c>
      <c r="BO588" s="23">
        <v>80000.0</v>
      </c>
      <c r="BP588" s="15" t="b">
        <v>1</v>
      </c>
      <c r="BQ588" s="17" t="s">
        <v>953</v>
      </c>
      <c r="BR588" s="1"/>
      <c r="BS588" s="1"/>
      <c r="BT588" s="1"/>
      <c r="BU588" s="1"/>
    </row>
    <row r="589">
      <c r="A589" s="1"/>
      <c r="B589" s="27" t="s">
        <v>945</v>
      </c>
      <c r="C589" s="11" t="s">
        <v>909</v>
      </c>
      <c r="D589" s="20" t="s">
        <v>959</v>
      </c>
      <c r="E589" s="23">
        <v>188710.0</v>
      </c>
      <c r="F589" s="35" t="b">
        <v>0</v>
      </c>
      <c r="G589" s="23">
        <v>33548.0</v>
      </c>
      <c r="H589" s="15" t="b">
        <v>1</v>
      </c>
      <c r="I589" s="20" t="s">
        <v>960</v>
      </c>
      <c r="J589" s="23">
        <v>82759.0</v>
      </c>
      <c r="K589" s="35" t="b">
        <v>1</v>
      </c>
      <c r="L589" s="23">
        <v>16552.0</v>
      </c>
      <c r="M589" s="15" t="b">
        <v>1</v>
      </c>
      <c r="N589" s="20" t="s">
        <v>961</v>
      </c>
      <c r="O589" s="23">
        <v>380000.0</v>
      </c>
      <c r="P589" s="35" t="b">
        <v>0</v>
      </c>
      <c r="Q589" s="23">
        <v>80000.0</v>
      </c>
      <c r="R589" s="15" t="b">
        <v>1</v>
      </c>
      <c r="S589" s="20" t="s">
        <v>961</v>
      </c>
      <c r="T589" s="23">
        <v>380000.0</v>
      </c>
      <c r="U589" s="35" t="b">
        <v>0</v>
      </c>
      <c r="V589" s="23">
        <v>80000.0</v>
      </c>
      <c r="W589" s="15" t="b">
        <v>1</v>
      </c>
      <c r="X589" s="20" t="s">
        <v>961</v>
      </c>
      <c r="Y589" s="23">
        <v>380000.0</v>
      </c>
      <c r="Z589" s="35" t="b">
        <v>0</v>
      </c>
      <c r="AA589" s="23">
        <v>80000.0</v>
      </c>
      <c r="AB589" s="15" t="b">
        <v>1</v>
      </c>
      <c r="AC589" s="20" t="s">
        <v>961</v>
      </c>
      <c r="AD589" s="23">
        <v>380000.0</v>
      </c>
      <c r="AE589" s="35" t="b">
        <v>0</v>
      </c>
      <c r="AF589" s="23">
        <v>80000.0</v>
      </c>
      <c r="AG589" s="15" t="b">
        <v>1</v>
      </c>
      <c r="AH589" s="20" t="s">
        <v>961</v>
      </c>
      <c r="AI589" s="23">
        <v>380000.0</v>
      </c>
      <c r="AJ589" s="35" t="b">
        <v>0</v>
      </c>
      <c r="AK589" s="23">
        <v>80000.0</v>
      </c>
      <c r="AL589" s="15" t="b">
        <v>1</v>
      </c>
      <c r="AM589" s="20" t="s">
        <v>961</v>
      </c>
      <c r="AN589" s="23">
        <v>306452.0</v>
      </c>
      <c r="AO589" s="35" t="b">
        <v>0</v>
      </c>
      <c r="AP589" s="23">
        <v>64516.0</v>
      </c>
      <c r="AQ589" s="15" t="b">
        <v>1</v>
      </c>
      <c r="AR589" s="20" t="s">
        <v>961</v>
      </c>
      <c r="AS589" s="23">
        <v>380000.0</v>
      </c>
      <c r="AT589" s="35" t="b">
        <v>0</v>
      </c>
      <c r="AU589" s="23">
        <v>80000.0</v>
      </c>
      <c r="AV589" s="15" t="b">
        <v>0</v>
      </c>
      <c r="AW589" s="20" t="s">
        <v>961</v>
      </c>
      <c r="AX589" s="23">
        <v>380000.0</v>
      </c>
      <c r="AY589" s="35" t="b">
        <v>0</v>
      </c>
      <c r="AZ589" s="23">
        <v>80000.0</v>
      </c>
      <c r="BA589" s="15" t="b">
        <v>1</v>
      </c>
      <c r="BB589" s="20" t="s">
        <v>961</v>
      </c>
      <c r="BC589" s="23">
        <v>380000.0</v>
      </c>
      <c r="BD589" s="35" t="b">
        <v>0</v>
      </c>
      <c r="BE589" s="23">
        <v>80000.0</v>
      </c>
      <c r="BF589" s="15" t="b">
        <v>1</v>
      </c>
      <c r="BG589" s="20" t="s">
        <v>961</v>
      </c>
      <c r="BH589" s="23">
        <v>380000.0</v>
      </c>
      <c r="BI589" s="35" t="b">
        <v>0</v>
      </c>
      <c r="BJ589" s="23">
        <v>80000.0</v>
      </c>
      <c r="BK589" s="15" t="b">
        <v>1</v>
      </c>
      <c r="BL589" s="20" t="s">
        <v>961</v>
      </c>
      <c r="BM589" s="23">
        <v>380000.0</v>
      </c>
      <c r="BN589" s="35" t="b">
        <v>0</v>
      </c>
      <c r="BO589" s="23">
        <v>80000.0</v>
      </c>
      <c r="BP589" s="15" t="b">
        <v>0</v>
      </c>
      <c r="BQ589" s="17" t="s">
        <v>953</v>
      </c>
      <c r="BR589" s="1"/>
      <c r="BS589" s="1"/>
      <c r="BT589" s="1"/>
      <c r="BU589" s="1"/>
    </row>
    <row r="590">
      <c r="A590" s="1"/>
      <c r="B590" s="27" t="s">
        <v>945</v>
      </c>
      <c r="C590" s="11" t="s">
        <v>316</v>
      </c>
      <c r="D590" s="20" t="s">
        <v>962</v>
      </c>
      <c r="E590" s="23">
        <v>188710.0</v>
      </c>
      <c r="F590" s="35" t="b">
        <v>0</v>
      </c>
      <c r="G590" s="23">
        <v>33548.0</v>
      </c>
      <c r="H590" s="15" t="b">
        <v>1</v>
      </c>
      <c r="I590" s="20" t="s">
        <v>37</v>
      </c>
      <c r="J590" s="18"/>
      <c r="K590" s="1"/>
      <c r="L590" s="18"/>
      <c r="M590" s="19"/>
      <c r="N590" s="20" t="s">
        <v>963</v>
      </c>
      <c r="O590" s="23">
        <v>367742.0</v>
      </c>
      <c r="P590" s="35" t="b">
        <v>0</v>
      </c>
      <c r="Q590" s="23">
        <v>77419.0</v>
      </c>
      <c r="R590" s="15" t="b">
        <v>1</v>
      </c>
      <c r="S590" s="20" t="s">
        <v>964</v>
      </c>
      <c r="T590" s="23">
        <v>380000.0</v>
      </c>
      <c r="U590" s="35" t="b">
        <v>0</v>
      </c>
      <c r="V590" s="23">
        <v>80000.0</v>
      </c>
      <c r="W590" s="15" t="b">
        <v>1</v>
      </c>
      <c r="X590" s="20" t="s">
        <v>964</v>
      </c>
      <c r="Y590" s="23">
        <v>380000.0</v>
      </c>
      <c r="Z590" s="35" t="b">
        <v>0</v>
      </c>
      <c r="AA590" s="23">
        <v>80000.0</v>
      </c>
      <c r="AB590" s="15" t="b">
        <v>1</v>
      </c>
      <c r="AC590" s="20" t="s">
        <v>964</v>
      </c>
      <c r="AD590" s="23">
        <v>380000.0</v>
      </c>
      <c r="AE590" s="35" t="b">
        <v>0</v>
      </c>
      <c r="AF590" s="23">
        <v>80000.0</v>
      </c>
      <c r="AG590" s="15" t="b">
        <v>1</v>
      </c>
      <c r="AH590" s="20" t="s">
        <v>964</v>
      </c>
      <c r="AI590" s="23">
        <v>380000.0</v>
      </c>
      <c r="AJ590" s="35" t="b">
        <v>0</v>
      </c>
      <c r="AK590" s="23">
        <v>80000.0</v>
      </c>
      <c r="AL590" s="15" t="b">
        <v>1</v>
      </c>
      <c r="AM590" s="20" t="s">
        <v>965</v>
      </c>
      <c r="AN590" s="23">
        <f>306452+129032</f>
        <v>435484</v>
      </c>
      <c r="AO590" s="35" t="b">
        <v>0</v>
      </c>
      <c r="AP590" s="23">
        <f>64516+20645</f>
        <v>85161</v>
      </c>
      <c r="AQ590" s="15" t="b">
        <v>1</v>
      </c>
      <c r="AR590" s="20" t="s">
        <v>37</v>
      </c>
      <c r="AS590" s="18"/>
      <c r="AT590" s="1"/>
      <c r="AU590" s="18"/>
      <c r="AV590" s="19"/>
      <c r="AW590" s="20" t="s">
        <v>37</v>
      </c>
      <c r="AX590" s="18"/>
      <c r="AY590" s="1"/>
      <c r="AZ590" s="18"/>
      <c r="BA590" s="19"/>
      <c r="BB590" s="20" t="s">
        <v>37</v>
      </c>
      <c r="BC590" s="18"/>
      <c r="BD590" s="1"/>
      <c r="BE590" s="18"/>
      <c r="BF590" s="19"/>
      <c r="BG590" s="20" t="s">
        <v>37</v>
      </c>
      <c r="BH590" s="18"/>
      <c r="BI590" s="1"/>
      <c r="BJ590" s="18"/>
      <c r="BK590" s="19"/>
      <c r="BL590" s="20" t="s">
        <v>37</v>
      </c>
      <c r="BM590" s="18"/>
      <c r="BN590" s="1"/>
      <c r="BO590" s="18"/>
      <c r="BP590" s="15" t="b">
        <v>0</v>
      </c>
      <c r="BQ590" s="17" t="s">
        <v>953</v>
      </c>
      <c r="BR590" s="1"/>
      <c r="BS590" s="1"/>
      <c r="BT590" s="1"/>
      <c r="BU590" s="1"/>
    </row>
    <row r="591">
      <c r="A591" s="1"/>
      <c r="B591" s="21"/>
      <c r="C591" s="11" t="s">
        <v>42</v>
      </c>
      <c r="D591" s="22"/>
      <c r="E591" s="23">
        <f>SUM(E587:E590)</f>
        <v>1377420</v>
      </c>
      <c r="F591" s="18"/>
      <c r="G591" s="23">
        <f>SUM(G587:G590)</f>
        <v>227096</v>
      </c>
      <c r="H591" s="19"/>
      <c r="I591" s="22"/>
      <c r="J591" s="23">
        <f>SUM(J587:J590)</f>
        <v>1082759</v>
      </c>
      <c r="K591" s="18"/>
      <c r="L591" s="23">
        <f>SUM(L587:L590)</f>
        <v>176552</v>
      </c>
      <c r="M591" s="19"/>
      <c r="N591" s="22"/>
      <c r="O591" s="23">
        <f>SUM(O587:O590)</f>
        <v>1747742</v>
      </c>
      <c r="P591" s="18"/>
      <c r="Q591" s="23">
        <f>SUM(Q587:Q590)</f>
        <v>317419</v>
      </c>
      <c r="R591" s="19"/>
      <c r="S591" s="22"/>
      <c r="T591" s="23">
        <f>SUM(T587:T590)</f>
        <v>1760000</v>
      </c>
      <c r="U591" s="18"/>
      <c r="V591" s="23">
        <f>SUM(V587:V590)</f>
        <v>320000</v>
      </c>
      <c r="W591" s="19"/>
      <c r="X591" s="22"/>
      <c r="Y591" s="23">
        <f>SUM(Y587:Y590)</f>
        <v>1760000</v>
      </c>
      <c r="Z591" s="18"/>
      <c r="AA591" s="23">
        <f>SUM(AA587:AA590)</f>
        <v>320000</v>
      </c>
      <c r="AB591" s="19"/>
      <c r="AC591" s="22"/>
      <c r="AD591" s="23">
        <f>SUM(AD587:AD590)</f>
        <v>1846667</v>
      </c>
      <c r="AE591" s="18"/>
      <c r="AF591" s="23">
        <f>SUM(AF587:AF590)</f>
        <v>333333</v>
      </c>
      <c r="AG591" s="19"/>
      <c r="AH591" s="22"/>
      <c r="AI591" s="23">
        <f>SUM(AI587:AI590)</f>
        <v>1780000</v>
      </c>
      <c r="AJ591" s="18"/>
      <c r="AK591" s="23">
        <f>SUM(AK587:AK590)</f>
        <v>320000</v>
      </c>
      <c r="AL591" s="19"/>
      <c r="AM591" s="22"/>
      <c r="AN591" s="23">
        <f>SUM(AN587:AN590)</f>
        <v>1761936</v>
      </c>
      <c r="AO591" s="18"/>
      <c r="AP591" s="23">
        <f>SUM(AP587:AP590)</f>
        <v>309677</v>
      </c>
      <c r="AQ591" s="19"/>
      <c r="AR591" s="22"/>
      <c r="AS591" s="23">
        <f>SUM(AS587:AS590)</f>
        <v>1500000</v>
      </c>
      <c r="AT591" s="18"/>
      <c r="AU591" s="23">
        <f>SUM(AU587:AU590)</f>
        <v>240000</v>
      </c>
      <c r="AV591" s="19"/>
      <c r="AW591" s="22"/>
      <c r="AX591" s="23">
        <f>SUM(AX587:AX590)</f>
        <v>1500000</v>
      </c>
      <c r="AY591" s="18"/>
      <c r="AZ591" s="23">
        <f>SUM(AZ587:AZ590)</f>
        <v>240000</v>
      </c>
      <c r="BA591" s="19"/>
      <c r="BB591" s="22"/>
      <c r="BC591" s="23">
        <f>SUM(BC587:BC590)</f>
        <v>1500000</v>
      </c>
      <c r="BD591" s="18"/>
      <c r="BE591" s="23">
        <f>SUM(BE587:BE590)</f>
        <v>240000</v>
      </c>
      <c r="BF591" s="19"/>
      <c r="BG591" s="22"/>
      <c r="BH591" s="23">
        <f>SUM(BH587:BH590)</f>
        <v>1500000</v>
      </c>
      <c r="BI591" s="18"/>
      <c r="BJ591" s="23">
        <f>SUM(BJ587:BJ590)</f>
        <v>240000</v>
      </c>
      <c r="BK591" s="19"/>
      <c r="BL591" s="22"/>
      <c r="BM591" s="23">
        <f>SUM(BM587:BM590)</f>
        <v>1400000</v>
      </c>
      <c r="BN591" s="18"/>
      <c r="BO591" s="23">
        <f>SUM(BO587:BO590)</f>
        <v>240000</v>
      </c>
      <c r="BP591" s="19"/>
      <c r="BQ591" s="17" t="s">
        <v>953</v>
      </c>
      <c r="BR591" s="1"/>
      <c r="BS591" s="1"/>
      <c r="BT591" s="1"/>
      <c r="BU591" s="1"/>
    </row>
    <row r="592">
      <c r="A592" s="1"/>
      <c r="B592" s="21"/>
      <c r="C592" s="11" t="s">
        <v>43</v>
      </c>
      <c r="D592" s="22"/>
      <c r="E592" s="23">
        <v>750000.0</v>
      </c>
      <c r="F592" s="18"/>
      <c r="G592" s="18"/>
      <c r="H592" s="19"/>
      <c r="I592" s="22"/>
      <c r="J592" s="23">
        <v>750000.0</v>
      </c>
      <c r="K592" s="18"/>
      <c r="L592" s="18"/>
      <c r="M592" s="19"/>
      <c r="N592" s="22"/>
      <c r="O592" s="23">
        <v>750000.0</v>
      </c>
      <c r="P592" s="18"/>
      <c r="Q592" s="18"/>
      <c r="R592" s="19"/>
      <c r="S592" s="22"/>
      <c r="T592" s="23">
        <v>750000.0</v>
      </c>
      <c r="U592" s="18"/>
      <c r="V592" s="18"/>
      <c r="W592" s="19"/>
      <c r="X592" s="18"/>
      <c r="Y592" s="23">
        <v>750000.0</v>
      </c>
      <c r="Z592" s="18"/>
      <c r="AA592" s="18"/>
      <c r="AB592" s="19"/>
      <c r="AC592" s="18"/>
      <c r="AD592" s="23">
        <v>750000.0</v>
      </c>
      <c r="AE592" s="18"/>
      <c r="AF592" s="18"/>
      <c r="AG592" s="19"/>
      <c r="AH592" s="18"/>
      <c r="AI592" s="23">
        <v>750000.0</v>
      </c>
      <c r="AJ592" s="18"/>
      <c r="AK592" s="18"/>
      <c r="AL592" s="19"/>
      <c r="AM592" s="18"/>
      <c r="AN592" s="23">
        <v>750000.0</v>
      </c>
      <c r="AO592" s="18"/>
      <c r="AP592" s="18"/>
      <c r="AQ592" s="19"/>
      <c r="AR592" s="22"/>
      <c r="AS592" s="23">
        <v>750000.0</v>
      </c>
      <c r="AT592" s="18"/>
      <c r="AU592" s="18"/>
      <c r="AV592" s="19"/>
      <c r="AW592" s="22"/>
      <c r="AX592" s="23">
        <v>750000.0</v>
      </c>
      <c r="AY592" s="18"/>
      <c r="AZ592" s="18"/>
      <c r="BA592" s="19"/>
      <c r="BB592" s="22"/>
      <c r="BC592" s="23">
        <v>750000.0</v>
      </c>
      <c r="BD592" s="18"/>
      <c r="BE592" s="18"/>
      <c r="BF592" s="19"/>
      <c r="BG592" s="22"/>
      <c r="BH592" s="23">
        <v>750000.0</v>
      </c>
      <c r="BI592" s="18"/>
      <c r="BJ592" s="18"/>
      <c r="BK592" s="19"/>
      <c r="BL592" s="22"/>
      <c r="BM592" s="23">
        <v>750000.0</v>
      </c>
      <c r="BN592" s="18"/>
      <c r="BO592" s="18"/>
      <c r="BP592" s="19"/>
      <c r="BQ592" s="17" t="s">
        <v>953</v>
      </c>
      <c r="BR592" s="1"/>
      <c r="BS592" s="1"/>
      <c r="BT592" s="1"/>
      <c r="BU592" s="1"/>
    </row>
    <row r="593">
      <c r="A593" s="1"/>
      <c r="B593" s="21"/>
      <c r="C593" s="11" t="s">
        <v>45</v>
      </c>
      <c r="D593" s="22"/>
      <c r="E593" s="18"/>
      <c r="F593" s="18"/>
      <c r="G593" s="18"/>
      <c r="H593" s="19"/>
      <c r="I593" s="22"/>
      <c r="J593" s="18"/>
      <c r="K593" s="18"/>
      <c r="L593" s="18"/>
      <c r="M593" s="19"/>
      <c r="N593" s="22"/>
      <c r="O593" s="18"/>
      <c r="P593" s="18"/>
      <c r="Q593" s="18"/>
      <c r="R593" s="19"/>
      <c r="S593" s="22"/>
      <c r="T593" s="18"/>
      <c r="U593" s="18"/>
      <c r="V593" s="18"/>
      <c r="W593" s="19"/>
      <c r="X593" s="18"/>
      <c r="Y593" s="18"/>
      <c r="Z593" s="18"/>
      <c r="AA593" s="18"/>
      <c r="AB593" s="19"/>
      <c r="AC593" s="18"/>
      <c r="AD593" s="18"/>
      <c r="AE593" s="18"/>
      <c r="AF593" s="18"/>
      <c r="AG593" s="19"/>
      <c r="AH593" s="18"/>
      <c r="AI593" s="18"/>
      <c r="AJ593" s="18"/>
      <c r="AK593" s="18"/>
      <c r="AL593" s="19"/>
      <c r="AM593" s="18"/>
      <c r="AN593" s="18"/>
      <c r="AO593" s="18"/>
      <c r="AP593" s="18"/>
      <c r="AQ593" s="19"/>
      <c r="AR593" s="22"/>
      <c r="AS593" s="18"/>
      <c r="AT593" s="18"/>
      <c r="AU593" s="18"/>
      <c r="AV593" s="19"/>
      <c r="AW593" s="22"/>
      <c r="AX593" s="18"/>
      <c r="AY593" s="18"/>
      <c r="AZ593" s="18"/>
      <c r="BA593" s="19"/>
      <c r="BB593" s="22"/>
      <c r="BC593" s="18"/>
      <c r="BD593" s="18"/>
      <c r="BE593" s="18"/>
      <c r="BF593" s="19"/>
      <c r="BG593" s="22"/>
      <c r="BH593" s="18"/>
      <c r="BI593" s="18"/>
      <c r="BJ593" s="18"/>
      <c r="BK593" s="19"/>
      <c r="BL593" s="22"/>
      <c r="BM593" s="18"/>
      <c r="BN593" s="18"/>
      <c r="BO593" s="18"/>
      <c r="BP593" s="19"/>
      <c r="BQ593" s="17" t="s">
        <v>953</v>
      </c>
      <c r="BR593" s="1"/>
      <c r="BS593" s="1"/>
      <c r="BT593" s="1"/>
      <c r="BU593" s="1"/>
    </row>
    <row r="594">
      <c r="A594" s="1"/>
      <c r="B594" s="10" t="s">
        <v>966</v>
      </c>
      <c r="C594" s="11" t="s">
        <v>303</v>
      </c>
      <c r="D594" s="22"/>
      <c r="E594" s="18"/>
      <c r="F594" s="18"/>
      <c r="G594" s="18"/>
      <c r="H594" s="19"/>
      <c r="I594" s="22"/>
      <c r="J594" s="18"/>
      <c r="K594" s="18"/>
      <c r="L594" s="18"/>
      <c r="M594" s="19"/>
      <c r="N594" s="22"/>
      <c r="O594" s="18"/>
      <c r="P594" s="18"/>
      <c r="Q594" s="18"/>
      <c r="R594" s="19"/>
      <c r="S594" s="22"/>
      <c r="T594" s="18"/>
      <c r="U594" s="18"/>
      <c r="V594" s="18"/>
      <c r="W594" s="19"/>
      <c r="X594" s="18"/>
      <c r="Y594" s="18"/>
      <c r="Z594" s="18"/>
      <c r="AA594" s="18"/>
      <c r="AB594" s="19"/>
      <c r="AC594" s="18"/>
      <c r="AD594" s="18"/>
      <c r="AE594" s="18"/>
      <c r="AF594" s="18"/>
      <c r="AG594" s="19"/>
      <c r="AH594" s="18"/>
      <c r="AI594" s="18"/>
      <c r="AJ594" s="18"/>
      <c r="AK594" s="18"/>
      <c r="AL594" s="19"/>
      <c r="AM594" s="18"/>
      <c r="AN594" s="18"/>
      <c r="AO594" s="18"/>
      <c r="AP594" s="18"/>
      <c r="AQ594" s="19"/>
      <c r="AR594" s="22"/>
      <c r="AS594" s="18"/>
      <c r="AT594" s="18"/>
      <c r="AU594" s="18"/>
      <c r="AV594" s="19"/>
      <c r="AW594" s="22"/>
      <c r="AX594" s="18"/>
      <c r="AY594" s="18"/>
      <c r="AZ594" s="18"/>
      <c r="BA594" s="19"/>
      <c r="BB594" s="22"/>
      <c r="BC594" s="18"/>
      <c r="BD594" s="18"/>
      <c r="BE594" s="18"/>
      <c r="BF594" s="19"/>
      <c r="BG594" s="22"/>
      <c r="BH594" s="18"/>
      <c r="BI594" s="18"/>
      <c r="BJ594" s="18"/>
      <c r="BK594" s="19"/>
      <c r="BL594" s="22"/>
      <c r="BM594" s="18"/>
      <c r="BN594" s="18"/>
      <c r="BO594" s="18"/>
      <c r="BP594" s="19"/>
      <c r="BQ594" s="17" t="s">
        <v>953</v>
      </c>
      <c r="BR594" s="1"/>
      <c r="BS594" s="1"/>
      <c r="BT594" s="1"/>
      <c r="BU594" s="1"/>
    </row>
    <row r="595">
      <c r="A595" s="1"/>
      <c r="B595" s="10">
        <v>6.005530745E9</v>
      </c>
      <c r="C595" s="11" t="s">
        <v>261</v>
      </c>
      <c r="D595" s="22"/>
      <c r="E595" s="18"/>
      <c r="F595" s="18"/>
      <c r="G595" s="23">
        <v>108900.0</v>
      </c>
      <c r="H595" s="19"/>
      <c r="I595" s="22"/>
      <c r="J595" s="18"/>
      <c r="K595" s="18"/>
      <c r="L595" s="23">
        <v>110750.0</v>
      </c>
      <c r="M595" s="19"/>
      <c r="N595" s="22"/>
      <c r="O595" s="18"/>
      <c r="P595" s="18"/>
      <c r="Q595" s="23">
        <v>110970.0</v>
      </c>
      <c r="R595" s="19"/>
      <c r="S595" s="22"/>
      <c r="T595" s="18"/>
      <c r="U595" s="18"/>
      <c r="V595" s="23">
        <v>98230.0</v>
      </c>
      <c r="W595" s="19"/>
      <c r="X595" s="18"/>
      <c r="Y595" s="18"/>
      <c r="Z595" s="18"/>
      <c r="AA595" s="23">
        <v>49290.0</v>
      </c>
      <c r="AB595" s="19"/>
      <c r="AC595" s="18"/>
      <c r="AD595" s="18"/>
      <c r="AE595" s="18"/>
      <c r="AF595" s="23">
        <v>30600.0</v>
      </c>
      <c r="AG595" s="19"/>
      <c r="AH595" s="18"/>
      <c r="AI595" s="18"/>
      <c r="AJ595" s="18"/>
      <c r="AK595" s="23">
        <v>30540.0</v>
      </c>
      <c r="AL595" s="19"/>
      <c r="AM595" s="18"/>
      <c r="AN595" s="18"/>
      <c r="AO595" s="18"/>
      <c r="AP595" s="23">
        <v>20910.0</v>
      </c>
      <c r="AQ595" s="19"/>
      <c r="AR595" s="22"/>
      <c r="AS595" s="18"/>
      <c r="AT595" s="18"/>
      <c r="AU595" s="23">
        <v>22730.0</v>
      </c>
      <c r="AV595" s="19"/>
      <c r="AW595" s="22"/>
      <c r="AX595" s="18"/>
      <c r="AY595" s="18"/>
      <c r="AZ595" s="23">
        <v>15980.0</v>
      </c>
      <c r="BA595" s="19"/>
      <c r="BB595" s="22"/>
      <c r="BC595" s="18"/>
      <c r="BD595" s="18"/>
      <c r="BE595" s="23">
        <v>20130.0</v>
      </c>
      <c r="BF595" s="19"/>
      <c r="BG595" s="22"/>
      <c r="BH595" s="18"/>
      <c r="BI595" s="18"/>
      <c r="BJ595" s="23">
        <v>51430.0</v>
      </c>
      <c r="BK595" s="19"/>
      <c r="BL595" s="22"/>
      <c r="BM595" s="18"/>
      <c r="BN595" s="18"/>
      <c r="BO595" s="23">
        <v>135090.0</v>
      </c>
      <c r="BP595" s="19"/>
      <c r="BQ595" s="17" t="s">
        <v>953</v>
      </c>
      <c r="BR595" s="1"/>
      <c r="BS595" s="1"/>
      <c r="BT595" s="1"/>
      <c r="BU595" s="1"/>
    </row>
    <row r="596">
      <c r="A596" s="1"/>
      <c r="B596" s="21"/>
      <c r="C596" s="11" t="s">
        <v>51</v>
      </c>
      <c r="D596" s="22"/>
      <c r="E596" s="18"/>
      <c r="F596" s="18"/>
      <c r="G596" s="18"/>
      <c r="H596" s="19"/>
      <c r="I596" s="22"/>
      <c r="J596" s="18"/>
      <c r="K596" s="18"/>
      <c r="L596" s="18"/>
      <c r="M596" s="19"/>
      <c r="N596" s="22"/>
      <c r="O596" s="46"/>
      <c r="P596" s="18"/>
      <c r="Q596" s="23">
        <v>37600.0</v>
      </c>
      <c r="R596" s="19"/>
      <c r="S596" s="22"/>
      <c r="T596" s="18"/>
      <c r="U596" s="18"/>
      <c r="V596" s="18"/>
      <c r="W596" s="19"/>
      <c r="X596" s="18"/>
      <c r="Y596" s="18"/>
      <c r="Z596" s="18"/>
      <c r="AA596" s="18"/>
      <c r="AB596" s="19"/>
      <c r="AC596" s="18"/>
      <c r="AD596" s="18"/>
      <c r="AE596" s="18"/>
      <c r="AF596" s="18"/>
      <c r="AG596" s="19"/>
      <c r="AH596" s="18"/>
      <c r="AI596" s="18"/>
      <c r="AJ596" s="18"/>
      <c r="AK596" s="18"/>
      <c r="AL596" s="19"/>
      <c r="AM596" s="18"/>
      <c r="AN596" s="18"/>
      <c r="AO596" s="18"/>
      <c r="AP596" s="23">
        <v>58100.0</v>
      </c>
      <c r="AQ596" s="19"/>
      <c r="AR596" s="22"/>
      <c r="AS596" s="18"/>
      <c r="AT596" s="18"/>
      <c r="AU596" s="18"/>
      <c r="AV596" s="19"/>
      <c r="AW596" s="22"/>
      <c r="AX596" s="18"/>
      <c r="AY596" s="18"/>
      <c r="AZ596" s="18"/>
      <c r="BA596" s="19"/>
      <c r="BB596" s="22"/>
      <c r="BC596" s="18"/>
      <c r="BD596" s="18"/>
      <c r="BE596" s="18"/>
      <c r="BF596" s="19"/>
      <c r="BG596" s="22"/>
      <c r="BH596" s="18"/>
      <c r="BI596" s="18"/>
      <c r="BJ596" s="18"/>
      <c r="BK596" s="19"/>
      <c r="BL596" s="22"/>
      <c r="BM596" s="18"/>
      <c r="BN596" s="18"/>
      <c r="BO596" s="18"/>
      <c r="BP596" s="19"/>
      <c r="BQ596" s="17" t="s">
        <v>953</v>
      </c>
      <c r="BR596" s="1"/>
      <c r="BS596" s="1"/>
      <c r="BT596" s="1"/>
      <c r="BU596" s="1"/>
    </row>
    <row r="597">
      <c r="A597" s="1"/>
      <c r="B597" s="21"/>
      <c r="C597" s="11" t="s">
        <v>52</v>
      </c>
      <c r="D597" s="22"/>
      <c r="E597" s="18"/>
      <c r="F597" s="18"/>
      <c r="G597" s="18"/>
      <c r="H597" s="19"/>
      <c r="I597" s="22"/>
      <c r="J597" s="18"/>
      <c r="K597" s="18"/>
      <c r="L597" s="18"/>
      <c r="M597" s="19"/>
      <c r="N597" s="22"/>
      <c r="O597" s="18"/>
      <c r="P597" s="18"/>
      <c r="Q597" s="18"/>
      <c r="R597" s="19"/>
      <c r="S597" s="22"/>
      <c r="T597" s="18"/>
      <c r="U597" s="18"/>
      <c r="V597" s="18"/>
      <c r="W597" s="19"/>
      <c r="X597" s="18"/>
      <c r="Y597" s="18"/>
      <c r="Z597" s="18"/>
      <c r="AA597" s="18"/>
      <c r="AB597" s="19"/>
      <c r="AC597" s="18"/>
      <c r="AD597" s="18"/>
      <c r="AE597" s="18"/>
      <c r="AF597" s="18"/>
      <c r="AG597" s="19"/>
      <c r="AH597" s="18"/>
      <c r="AI597" s="18"/>
      <c r="AJ597" s="18"/>
      <c r="AK597" s="18"/>
      <c r="AL597" s="19"/>
      <c r="AM597" s="18"/>
      <c r="AN597" s="18"/>
      <c r="AO597" s="18"/>
      <c r="AP597" s="18"/>
      <c r="AQ597" s="19"/>
      <c r="AR597" s="22"/>
      <c r="AS597" s="18"/>
      <c r="AT597" s="18"/>
      <c r="AU597" s="18"/>
      <c r="AV597" s="19"/>
      <c r="AW597" s="22"/>
      <c r="AX597" s="18"/>
      <c r="AY597" s="18"/>
      <c r="AZ597" s="18"/>
      <c r="BA597" s="19"/>
      <c r="BB597" s="22"/>
      <c r="BC597" s="18"/>
      <c r="BD597" s="18"/>
      <c r="BE597" s="18"/>
      <c r="BF597" s="19"/>
      <c r="BG597" s="22"/>
      <c r="BH597" s="18"/>
      <c r="BI597" s="18"/>
      <c r="BJ597" s="18"/>
      <c r="BK597" s="19"/>
      <c r="BL597" s="22"/>
      <c r="BM597" s="18"/>
      <c r="BN597" s="18"/>
      <c r="BO597" s="18"/>
      <c r="BP597" s="19"/>
      <c r="BQ597" s="17" t="s">
        <v>953</v>
      </c>
      <c r="BR597" s="1"/>
      <c r="BS597" s="1"/>
      <c r="BT597" s="1"/>
      <c r="BU597" s="1"/>
    </row>
    <row r="598">
      <c r="A598" s="1"/>
      <c r="B598" s="21"/>
      <c r="C598" s="11" t="s">
        <v>53</v>
      </c>
      <c r="D598" s="22"/>
      <c r="E598" s="18"/>
      <c r="F598" s="18"/>
      <c r="G598" s="18"/>
      <c r="H598" s="19"/>
      <c r="I598" s="22"/>
      <c r="J598" s="18"/>
      <c r="K598" s="18"/>
      <c r="L598" s="18"/>
      <c r="M598" s="19"/>
      <c r="N598" s="22"/>
      <c r="O598" s="18"/>
      <c r="P598" s="18"/>
      <c r="Q598" s="18"/>
      <c r="R598" s="19"/>
      <c r="S598" s="22"/>
      <c r="T598" s="18"/>
      <c r="U598" s="18"/>
      <c r="V598" s="18"/>
      <c r="W598" s="19"/>
      <c r="X598" s="18"/>
      <c r="Y598" s="18"/>
      <c r="Z598" s="18"/>
      <c r="AA598" s="18"/>
      <c r="AB598" s="19"/>
      <c r="AC598" s="18"/>
      <c r="AD598" s="18"/>
      <c r="AE598" s="18"/>
      <c r="AF598" s="18"/>
      <c r="AG598" s="19"/>
      <c r="AH598" s="18"/>
      <c r="AI598" s="18"/>
      <c r="AJ598" s="18"/>
      <c r="AK598" s="18"/>
      <c r="AL598" s="19"/>
      <c r="AM598" s="18"/>
      <c r="AN598" s="18"/>
      <c r="AO598" s="18"/>
      <c r="AP598" s="18"/>
      <c r="AQ598" s="19"/>
      <c r="AR598" s="22"/>
      <c r="AS598" s="18"/>
      <c r="AT598" s="18"/>
      <c r="AU598" s="18"/>
      <c r="AV598" s="19"/>
      <c r="AW598" s="22"/>
      <c r="AX598" s="18"/>
      <c r="AY598" s="18"/>
      <c r="AZ598" s="18"/>
      <c r="BA598" s="19"/>
      <c r="BB598" s="22"/>
      <c r="BC598" s="18"/>
      <c r="BD598" s="18"/>
      <c r="BE598" s="18"/>
      <c r="BF598" s="19"/>
      <c r="BG598" s="22"/>
      <c r="BH598" s="18"/>
      <c r="BI598" s="18"/>
      <c r="BJ598" s="18"/>
      <c r="BK598" s="19"/>
      <c r="BL598" s="22"/>
      <c r="BM598" s="18"/>
      <c r="BN598" s="18"/>
      <c r="BO598" s="18"/>
      <c r="BP598" s="19"/>
      <c r="BQ598" s="17" t="s">
        <v>953</v>
      </c>
      <c r="BR598" s="1"/>
      <c r="BS598" s="1"/>
      <c r="BT598" s="1"/>
      <c r="BU598" s="1"/>
    </row>
    <row r="599">
      <c r="A599" s="1"/>
      <c r="B599" s="21"/>
      <c r="C599" s="11" t="s">
        <v>54</v>
      </c>
      <c r="D599" s="22"/>
      <c r="E599" s="18"/>
      <c r="F599" s="18"/>
      <c r="G599" s="23">
        <f>SUMIFS('지출'!$G$3:$G1000,'지출'!$J$3:$J1000,G$1,'지출'!$C$3:$C1000,"영삼")</f>
        <v>62020</v>
      </c>
      <c r="H599" s="19"/>
      <c r="I599" s="22"/>
      <c r="J599" s="18"/>
      <c r="K599" s="18"/>
      <c r="L599" s="23">
        <f>SUMIFS('지출'!$G$3:$G1000,'지출'!$J$3:$J1000,L$1,'지출'!$C$3:$C1000,"영삼")</f>
        <v>61700</v>
      </c>
      <c r="M599" s="24"/>
      <c r="N599" s="18"/>
      <c r="O599" s="18"/>
      <c r="P599" s="18"/>
      <c r="Q599" s="23">
        <f>SUMIFS('지출'!$G$3:$G1000,'지출'!$J$3:$J1000,Q$1,'지출'!$C$3:$C1000,"영삼")</f>
        <v>0</v>
      </c>
      <c r="R599" s="24"/>
      <c r="S599" s="18"/>
      <c r="T599" s="18"/>
      <c r="U599" s="18"/>
      <c r="V599" s="23">
        <f>SUMIFS('지출'!$G$3:$G1000,'지출'!$J$3:$J1000,V$1,'지출'!$C$3:$C1000,"영삼")</f>
        <v>0</v>
      </c>
      <c r="W599" s="24"/>
      <c r="X599" s="18"/>
      <c r="Y599" s="18"/>
      <c r="Z599" s="18"/>
      <c r="AA599" s="23">
        <f>SUMIFS('지출'!$G$3:$G1000,'지출'!$J$3:$J1000,AA$1,'지출'!$C$3:$C1000,"영삼")</f>
        <v>0</v>
      </c>
      <c r="AB599" s="24"/>
      <c r="AC599" s="18"/>
      <c r="AD599" s="18"/>
      <c r="AE599" s="18"/>
      <c r="AF599" s="23">
        <f>SUMIFS('지출'!$G$3:$G1000,'지출'!$J$3:$J1000,AF$1,'지출'!$C$3:$C1000,"영삼")</f>
        <v>0</v>
      </c>
      <c r="AG599" s="24"/>
      <c r="AH599" s="18"/>
      <c r="AI599" s="18"/>
      <c r="AJ599" s="18"/>
      <c r="AK599" s="23">
        <f>SUMIFS('지출'!$G$3:$G1000,'지출'!$J$3:$J1000,AK$1,'지출'!$C$3:$C1000,"영삼")</f>
        <v>0</v>
      </c>
      <c r="AL599" s="24"/>
      <c r="AM599" s="18"/>
      <c r="AN599" s="18"/>
      <c r="AO599" s="18"/>
      <c r="AP599" s="23">
        <f>SUMIFS('지출'!$G$3:$G1000,'지출'!$J$3:$J1000,AP$1,'지출'!$C$3:$C1000,"영삼")</f>
        <v>0</v>
      </c>
      <c r="AQ599" s="24"/>
      <c r="AR599" s="18"/>
      <c r="AS599" s="18"/>
      <c r="AT599" s="18"/>
      <c r="AU599" s="23">
        <f>SUMIFS('지출'!$G$3:$G1000,'지출'!$J$3:$J1000,AU$1,'지출'!$C$3:$C1000,"영삼")</f>
        <v>0</v>
      </c>
      <c r="AV599" s="24"/>
      <c r="AW599" s="18"/>
      <c r="AX599" s="18"/>
      <c r="AY599" s="18"/>
      <c r="AZ599" s="23">
        <f>SUMIFS('지출'!$G$3:$G1000,'지출'!$J$3:$J1000,AZ$1,'지출'!$C$3:$C1000,"영삼")</f>
        <v>0</v>
      </c>
      <c r="BA599" s="24"/>
      <c r="BB599" s="18"/>
      <c r="BC599" s="18"/>
      <c r="BD599" s="18"/>
      <c r="BE599" s="23">
        <f>SUMIFS('지출'!$G$3:$G1000,'지출'!$J$3:$J1000,BE$1,'지출'!$C$3:$C1000,"영삼")</f>
        <v>0</v>
      </c>
      <c r="BF599" s="24"/>
      <c r="BG599" s="18"/>
      <c r="BH599" s="18"/>
      <c r="BI599" s="18"/>
      <c r="BJ599" s="23">
        <f>SUMIFS('지출'!$G$3:$G1000,'지출'!$J$3:$J1000,BJ$1,'지출'!$C$3:$C1000,"영삼")</f>
        <v>0</v>
      </c>
      <c r="BK599" s="19"/>
      <c r="BL599" s="18"/>
      <c r="BM599" s="18"/>
      <c r="BN599" s="18"/>
      <c r="BO599" s="23">
        <f>SUMIFS('지출'!$G$3:$G1000,'지출'!$J$3:$J1000,BO$1,'지출'!$C$3:$C1000,"영삼")</f>
        <v>62020</v>
      </c>
      <c r="BP599" s="19"/>
      <c r="BQ599" s="17" t="s">
        <v>953</v>
      </c>
      <c r="BR599" s="1"/>
      <c r="BS599" s="1"/>
      <c r="BT599" s="1"/>
      <c r="BU599" s="1"/>
    </row>
    <row r="600">
      <c r="A600" s="1"/>
      <c r="B600" s="21"/>
      <c r="C600" s="11" t="s">
        <v>56</v>
      </c>
      <c r="D600" s="22"/>
      <c r="E600" s="23">
        <f>E591-(SUM(E592:E599))</f>
        <v>627420</v>
      </c>
      <c r="F600" s="18"/>
      <c r="G600" s="23">
        <f>G591-(SUM(G592:G599))</f>
        <v>56176</v>
      </c>
      <c r="H600" s="19"/>
      <c r="I600" s="22"/>
      <c r="J600" s="23">
        <f>J591-(SUM(J592:J599))</f>
        <v>332759</v>
      </c>
      <c r="K600" s="18"/>
      <c r="L600" s="23">
        <f>L591-(SUM(L592:L599))</f>
        <v>4102</v>
      </c>
      <c r="M600" s="19"/>
      <c r="N600" s="22"/>
      <c r="O600" s="23">
        <f>O591-(SUM(O592:O599))</f>
        <v>997742</v>
      </c>
      <c r="P600" s="18"/>
      <c r="Q600" s="23">
        <f>Q591-(SUM(Q592:Q599))</f>
        <v>168849</v>
      </c>
      <c r="R600" s="19"/>
      <c r="S600" s="22"/>
      <c r="T600" s="23">
        <f>T591-(SUM(T592:T599))</f>
        <v>1010000</v>
      </c>
      <c r="U600" s="18"/>
      <c r="V600" s="23">
        <f>V591-(SUM(V592:V599))</f>
        <v>221770</v>
      </c>
      <c r="W600" s="19"/>
      <c r="X600" s="18"/>
      <c r="Y600" s="23">
        <f>Y591-(SUM(Y592:Y599))</f>
        <v>1010000</v>
      </c>
      <c r="Z600" s="18"/>
      <c r="AA600" s="23">
        <f>AA591-(SUM(AA592:AA599))</f>
        <v>270710</v>
      </c>
      <c r="AB600" s="19"/>
      <c r="AC600" s="18"/>
      <c r="AD600" s="23">
        <f>AD591-(SUM(AD592:AD599))</f>
        <v>1096667</v>
      </c>
      <c r="AE600" s="18"/>
      <c r="AF600" s="23">
        <f>AF591-(SUM(AF592:AF599))</f>
        <v>302733</v>
      </c>
      <c r="AG600" s="19"/>
      <c r="AH600" s="18"/>
      <c r="AI600" s="23">
        <f>AI591-(SUM(AI592:AI599))</f>
        <v>1030000</v>
      </c>
      <c r="AJ600" s="18"/>
      <c r="AK600" s="23">
        <f>AK591-(SUM(AK592:AK599))</f>
        <v>289460</v>
      </c>
      <c r="AL600" s="19"/>
      <c r="AM600" s="18"/>
      <c r="AN600" s="23">
        <f>AN591-(SUM(AN592:AN599))</f>
        <v>1011936</v>
      </c>
      <c r="AO600" s="18"/>
      <c r="AP600" s="23">
        <f>AP591-(SUM(AP592:AP599))</f>
        <v>230667</v>
      </c>
      <c r="AQ600" s="19"/>
      <c r="AR600" s="22"/>
      <c r="AS600" s="23">
        <f>AS591-(SUM(AS592:AS599))</f>
        <v>750000</v>
      </c>
      <c r="AT600" s="18"/>
      <c r="AU600" s="23">
        <f>AU591-(SUM(AU592:AU599))</f>
        <v>217270</v>
      </c>
      <c r="AV600" s="19"/>
      <c r="AW600" s="22"/>
      <c r="AX600" s="23">
        <f>AX591-(SUM(AX592:AX599))</f>
        <v>750000</v>
      </c>
      <c r="AY600" s="18"/>
      <c r="AZ600" s="23">
        <f>AZ591-(SUM(AZ592:AZ599))</f>
        <v>224020</v>
      </c>
      <c r="BA600" s="19"/>
      <c r="BB600" s="22"/>
      <c r="BC600" s="23">
        <f>BC591-(SUM(BC592:BC599))</f>
        <v>750000</v>
      </c>
      <c r="BD600" s="18"/>
      <c r="BE600" s="23">
        <f>BE591-(SUM(BE592:BE599))</f>
        <v>219870</v>
      </c>
      <c r="BF600" s="19"/>
      <c r="BG600" s="22"/>
      <c r="BH600" s="23">
        <f>BH591-(SUM(BH592:BH599))</f>
        <v>750000</v>
      </c>
      <c r="BI600" s="18"/>
      <c r="BJ600" s="23">
        <f>BJ591-(SUM(BJ592:BJ599))</f>
        <v>188570</v>
      </c>
      <c r="BK600" s="19"/>
      <c r="BL600" s="22"/>
      <c r="BM600" s="23">
        <f>BM591-(SUM(BM592:BM599))</f>
        <v>650000</v>
      </c>
      <c r="BN600" s="18"/>
      <c r="BO600" s="23">
        <f>BO591-(SUM(BO592:BO599))</f>
        <v>42890</v>
      </c>
      <c r="BP600" s="19"/>
      <c r="BQ600" s="17" t="s">
        <v>953</v>
      </c>
      <c r="BR600" s="1"/>
      <c r="BS600" s="1"/>
      <c r="BT600" s="1"/>
      <c r="BU600" s="1"/>
    </row>
    <row r="601">
      <c r="A601" s="1"/>
      <c r="B601" s="27">
        <v>0.7</v>
      </c>
      <c r="C601" s="11" t="s">
        <v>26</v>
      </c>
      <c r="D601" s="22"/>
      <c r="E601" s="23">
        <f>E600*$B601</f>
        <v>439194</v>
      </c>
      <c r="F601" s="18"/>
      <c r="G601" s="18"/>
      <c r="H601" s="19"/>
      <c r="I601" s="22"/>
      <c r="J601" s="23">
        <f>J600*$B601</f>
        <v>232931.3</v>
      </c>
      <c r="K601" s="18"/>
      <c r="L601" s="18"/>
      <c r="M601" s="19"/>
      <c r="N601" s="22"/>
      <c r="O601" s="23">
        <f>O600*$B601</f>
        <v>698419.4</v>
      </c>
      <c r="P601" s="18"/>
      <c r="Q601" s="18"/>
      <c r="R601" s="19"/>
      <c r="S601" s="22"/>
      <c r="T601" s="23">
        <f>T600*$B601</f>
        <v>707000</v>
      </c>
      <c r="U601" s="18"/>
      <c r="V601" s="18"/>
      <c r="W601" s="19"/>
      <c r="X601" s="18"/>
      <c r="Y601" s="23">
        <f>Y600*$B601</f>
        <v>707000</v>
      </c>
      <c r="Z601" s="18"/>
      <c r="AA601" s="18"/>
      <c r="AB601" s="19"/>
      <c r="AC601" s="18"/>
      <c r="AD601" s="23">
        <f>AD600*$B601</f>
        <v>767666.9</v>
      </c>
      <c r="AE601" s="18"/>
      <c r="AF601" s="18"/>
      <c r="AG601" s="19"/>
      <c r="AH601" s="18"/>
      <c r="AI601" s="23">
        <f>AI600*$B601</f>
        <v>721000</v>
      </c>
      <c r="AJ601" s="18"/>
      <c r="AK601" s="18"/>
      <c r="AL601" s="19"/>
      <c r="AM601" s="18"/>
      <c r="AN601" s="23">
        <f>AN600*$B601</f>
        <v>708355.2</v>
      </c>
      <c r="AO601" s="18"/>
      <c r="AP601" s="18"/>
      <c r="AQ601" s="19"/>
      <c r="AR601" s="22"/>
      <c r="AS601" s="23">
        <f>AS600*$B601</f>
        <v>525000</v>
      </c>
      <c r="AT601" s="18"/>
      <c r="AU601" s="18"/>
      <c r="AV601" s="19"/>
      <c r="AW601" s="22"/>
      <c r="AX601" s="23">
        <f>AX600*$B601</f>
        <v>525000</v>
      </c>
      <c r="AY601" s="18"/>
      <c r="AZ601" s="18"/>
      <c r="BA601" s="19"/>
      <c r="BB601" s="22"/>
      <c r="BC601" s="23">
        <f>BC600*$B601</f>
        <v>525000</v>
      </c>
      <c r="BD601" s="18"/>
      <c r="BE601" s="18"/>
      <c r="BF601" s="19"/>
      <c r="BG601" s="22"/>
      <c r="BH601" s="23">
        <f>BH600*$B601</f>
        <v>525000</v>
      </c>
      <c r="BI601" s="18"/>
      <c r="BJ601" s="18"/>
      <c r="BK601" s="19"/>
      <c r="BL601" s="22"/>
      <c r="BM601" s="23">
        <f>BM600*$B601</f>
        <v>455000</v>
      </c>
      <c r="BN601" s="18"/>
      <c r="BO601" s="18"/>
      <c r="BP601" s="19"/>
      <c r="BQ601" s="17" t="s">
        <v>953</v>
      </c>
      <c r="BR601" s="1"/>
      <c r="BS601" s="1"/>
      <c r="BT601" s="1"/>
      <c r="BU601" s="1"/>
    </row>
    <row r="602">
      <c r="A602" s="67" t="str">
        <f>B587</f>
        <v>영삼</v>
      </c>
      <c r="B602" s="29">
        <v>0.3</v>
      </c>
      <c r="C602" s="30" t="s">
        <v>57</v>
      </c>
      <c r="D602" s="31"/>
      <c r="E602" s="32">
        <f>E600*$B602</f>
        <v>188226</v>
      </c>
      <c r="F602" s="33"/>
      <c r="G602" s="33"/>
      <c r="H602" s="34"/>
      <c r="I602" s="31"/>
      <c r="J602" s="32">
        <f>J600*$B602</f>
        <v>99827.7</v>
      </c>
      <c r="K602" s="33"/>
      <c r="L602" s="33"/>
      <c r="M602" s="34"/>
      <c r="N602" s="31"/>
      <c r="O602" s="32">
        <f>O600*$B602</f>
        <v>299322.6</v>
      </c>
      <c r="P602" s="33"/>
      <c r="Q602" s="33"/>
      <c r="R602" s="34"/>
      <c r="S602" s="31"/>
      <c r="T602" s="32">
        <f>T600*$B602</f>
        <v>303000</v>
      </c>
      <c r="U602" s="33"/>
      <c r="V602" s="33"/>
      <c r="W602" s="34"/>
      <c r="X602" s="33"/>
      <c r="Y602" s="32">
        <f>Y600*$B602</f>
        <v>303000</v>
      </c>
      <c r="Z602" s="33"/>
      <c r="AA602" s="33"/>
      <c r="AB602" s="34"/>
      <c r="AC602" s="33"/>
      <c r="AD602" s="32">
        <f>AD600*$B602</f>
        <v>329000.1</v>
      </c>
      <c r="AE602" s="33"/>
      <c r="AF602" s="33"/>
      <c r="AG602" s="34"/>
      <c r="AH602" s="33"/>
      <c r="AI602" s="32">
        <f>AI600*$B602</f>
        <v>309000</v>
      </c>
      <c r="AJ602" s="33"/>
      <c r="AK602" s="33"/>
      <c r="AL602" s="34"/>
      <c r="AM602" s="33"/>
      <c r="AN602" s="32">
        <f>AN600*$B602</f>
        <v>303580.8</v>
      </c>
      <c r="AO602" s="33"/>
      <c r="AP602" s="33"/>
      <c r="AQ602" s="34"/>
      <c r="AR602" s="31"/>
      <c r="AS602" s="32">
        <f>AS600*$B602</f>
        <v>225000</v>
      </c>
      <c r="AT602" s="33"/>
      <c r="AU602" s="33"/>
      <c r="AV602" s="34"/>
      <c r="AW602" s="31"/>
      <c r="AX602" s="32">
        <f>AX600*$B602</f>
        <v>225000</v>
      </c>
      <c r="AY602" s="33"/>
      <c r="AZ602" s="33"/>
      <c r="BA602" s="34"/>
      <c r="BB602" s="31"/>
      <c r="BC602" s="32">
        <f>BC600*$B602</f>
        <v>225000</v>
      </c>
      <c r="BD602" s="33"/>
      <c r="BE602" s="33"/>
      <c r="BF602" s="34"/>
      <c r="BG602" s="31"/>
      <c r="BH602" s="32">
        <f>BH600*$B602</f>
        <v>225000</v>
      </c>
      <c r="BI602" s="33"/>
      <c r="BJ602" s="33"/>
      <c r="BK602" s="34"/>
      <c r="BL602" s="31"/>
      <c r="BM602" s="32">
        <f>BM600*$B602</f>
        <v>195000</v>
      </c>
      <c r="BN602" s="33"/>
      <c r="BO602" s="33"/>
      <c r="BP602" s="34"/>
      <c r="BQ602" s="17" t="s">
        <v>953</v>
      </c>
      <c r="BR602" s="1"/>
      <c r="BS602" s="1"/>
      <c r="BT602" s="1"/>
      <c r="BU602" s="1"/>
    </row>
    <row r="603">
      <c r="A603" s="1"/>
      <c r="B603" s="27" t="s">
        <v>967</v>
      </c>
      <c r="C603" s="11" t="s">
        <v>968</v>
      </c>
      <c r="D603" s="20" t="s">
        <v>969</v>
      </c>
      <c r="E603" s="23">
        <v>520000.0</v>
      </c>
      <c r="F603" s="35" t="b">
        <v>0</v>
      </c>
      <c r="G603" s="23">
        <v>80000.0</v>
      </c>
      <c r="H603" s="15" t="b">
        <v>1</v>
      </c>
      <c r="I603" s="20" t="s">
        <v>969</v>
      </c>
      <c r="J603" s="23">
        <v>520000.0</v>
      </c>
      <c r="K603" s="35" t="b">
        <v>0</v>
      </c>
      <c r="L603" s="23">
        <v>80000.0</v>
      </c>
      <c r="M603" s="15" t="b">
        <v>1</v>
      </c>
      <c r="N603" s="20" t="s">
        <v>969</v>
      </c>
      <c r="O603" s="23">
        <v>520000.0</v>
      </c>
      <c r="P603" s="35" t="b">
        <v>0</v>
      </c>
      <c r="Q603" s="23">
        <v>80000.0</v>
      </c>
      <c r="R603" s="15" t="b">
        <v>1</v>
      </c>
      <c r="S603" s="20" t="s">
        <v>969</v>
      </c>
      <c r="T603" s="23">
        <v>520000.0</v>
      </c>
      <c r="U603" s="35" t="b">
        <v>0</v>
      </c>
      <c r="V603" s="23">
        <v>80000.0</v>
      </c>
      <c r="W603" s="15" t="b">
        <v>1</v>
      </c>
      <c r="X603" s="20" t="s">
        <v>969</v>
      </c>
      <c r="Y603" s="23">
        <v>520000.0</v>
      </c>
      <c r="Z603" s="35" t="b">
        <v>0</v>
      </c>
      <c r="AA603" s="23">
        <v>80000.0</v>
      </c>
      <c r="AB603" s="15" t="b">
        <v>1</v>
      </c>
      <c r="AC603" s="20" t="s">
        <v>969</v>
      </c>
      <c r="AD603" s="23">
        <v>520000.0</v>
      </c>
      <c r="AE603" s="35" t="b">
        <v>0</v>
      </c>
      <c r="AF603" s="23">
        <v>80000.0</v>
      </c>
      <c r="AG603" s="15" t="b">
        <v>1</v>
      </c>
      <c r="AH603" s="20" t="s">
        <v>969</v>
      </c>
      <c r="AI603" s="23">
        <v>520000.0</v>
      </c>
      <c r="AJ603" s="35" t="b">
        <v>0</v>
      </c>
      <c r="AK603" s="23">
        <v>80000.0</v>
      </c>
      <c r="AL603" s="15" t="b">
        <v>1</v>
      </c>
      <c r="AM603" s="20" t="s">
        <v>969</v>
      </c>
      <c r="AN603" s="23">
        <v>520000.0</v>
      </c>
      <c r="AO603" s="35" t="b">
        <v>0</v>
      </c>
      <c r="AP603" s="23">
        <v>80000.0</v>
      </c>
      <c r="AQ603" s="15" t="b">
        <v>1</v>
      </c>
      <c r="AR603" s="20" t="s">
        <v>969</v>
      </c>
      <c r="AS603" s="23">
        <v>520000.0</v>
      </c>
      <c r="AT603" s="35" t="b">
        <v>0</v>
      </c>
      <c r="AU603" s="23">
        <v>80000.0</v>
      </c>
      <c r="AV603" s="15" t="b">
        <v>1</v>
      </c>
      <c r="AW603" s="20" t="s">
        <v>969</v>
      </c>
      <c r="AX603" s="23">
        <v>520000.0</v>
      </c>
      <c r="AY603" s="35" t="b">
        <v>0</v>
      </c>
      <c r="AZ603" s="23">
        <v>80000.0</v>
      </c>
      <c r="BA603" s="15" t="b">
        <v>1</v>
      </c>
      <c r="BB603" s="20" t="s">
        <v>969</v>
      </c>
      <c r="BC603" s="23">
        <v>520000.0</v>
      </c>
      <c r="BD603" s="35" t="b">
        <v>0</v>
      </c>
      <c r="BE603" s="23">
        <v>80000.0</v>
      </c>
      <c r="BF603" s="15" t="b">
        <v>1</v>
      </c>
      <c r="BG603" s="20" t="s">
        <v>969</v>
      </c>
      <c r="BH603" s="23">
        <v>520000.0</v>
      </c>
      <c r="BI603" s="35" t="b">
        <v>0</v>
      </c>
      <c r="BJ603" s="23">
        <v>80000.0</v>
      </c>
      <c r="BK603" s="15" t="b">
        <v>1</v>
      </c>
      <c r="BL603" s="20" t="s">
        <v>969</v>
      </c>
      <c r="BM603" s="23">
        <v>520000.0</v>
      </c>
      <c r="BN603" s="35" t="b">
        <v>0</v>
      </c>
      <c r="BO603" s="23">
        <v>80000.0</v>
      </c>
      <c r="BP603" s="15" t="b">
        <v>0</v>
      </c>
      <c r="BQ603" s="17" t="s">
        <v>953</v>
      </c>
      <c r="BR603" s="1"/>
      <c r="BS603" s="1"/>
      <c r="BT603" s="1"/>
      <c r="BU603" s="1"/>
    </row>
    <row r="604">
      <c r="A604" s="1"/>
      <c r="B604" s="27" t="s">
        <v>967</v>
      </c>
      <c r="C604" s="11" t="s">
        <v>970</v>
      </c>
      <c r="D604" s="20" t="s">
        <v>971</v>
      </c>
      <c r="E604" s="23">
        <v>500000.0</v>
      </c>
      <c r="F604" s="35" t="b">
        <v>0</v>
      </c>
      <c r="G604" s="23">
        <v>80000.0</v>
      </c>
      <c r="H604" s="15" t="b">
        <v>1</v>
      </c>
      <c r="I604" s="20" t="s">
        <v>971</v>
      </c>
      <c r="J604" s="23">
        <v>500000.0</v>
      </c>
      <c r="K604" s="35" t="b">
        <v>0</v>
      </c>
      <c r="L604" s="23">
        <v>80000.0</v>
      </c>
      <c r="M604" s="15" t="b">
        <v>1</v>
      </c>
      <c r="N604" s="20" t="s">
        <v>971</v>
      </c>
      <c r="O604" s="23">
        <v>500000.0</v>
      </c>
      <c r="P604" s="35" t="b">
        <v>0</v>
      </c>
      <c r="Q604" s="23">
        <v>80000.0</v>
      </c>
      <c r="R604" s="15" t="b">
        <v>1</v>
      </c>
      <c r="S604" s="20" t="s">
        <v>971</v>
      </c>
      <c r="T604" s="23">
        <v>500000.0</v>
      </c>
      <c r="U604" s="35" t="b">
        <v>0</v>
      </c>
      <c r="V604" s="23">
        <v>80000.0</v>
      </c>
      <c r="W604" s="15" t="b">
        <v>1</v>
      </c>
      <c r="X604" s="20" t="s">
        <v>971</v>
      </c>
      <c r="Y604" s="23">
        <v>500000.0</v>
      </c>
      <c r="Z604" s="35" t="b">
        <v>0</v>
      </c>
      <c r="AA604" s="23">
        <v>80000.0</v>
      </c>
      <c r="AB604" s="15" t="b">
        <v>1</v>
      </c>
      <c r="AC604" s="20" t="s">
        <v>971</v>
      </c>
      <c r="AD604" s="23">
        <v>500000.0</v>
      </c>
      <c r="AE604" s="35" t="b">
        <v>0</v>
      </c>
      <c r="AF604" s="23">
        <v>80000.0</v>
      </c>
      <c r="AG604" s="15" t="b">
        <v>1</v>
      </c>
      <c r="AH604" s="20" t="s">
        <v>971</v>
      </c>
      <c r="AI604" s="23">
        <v>500000.0</v>
      </c>
      <c r="AJ604" s="35" t="b">
        <v>0</v>
      </c>
      <c r="AK604" s="23">
        <v>80000.0</v>
      </c>
      <c r="AL604" s="15" t="b">
        <v>1</v>
      </c>
      <c r="AM604" s="20" t="s">
        <v>972</v>
      </c>
      <c r="AN604" s="23">
        <v>500000.0</v>
      </c>
      <c r="AO604" s="35" t="b">
        <v>0</v>
      </c>
      <c r="AP604" s="23">
        <v>80000.0</v>
      </c>
      <c r="AQ604" s="15" t="b">
        <v>1</v>
      </c>
      <c r="AR604" s="20" t="s">
        <v>972</v>
      </c>
      <c r="AS604" s="23">
        <v>500000.0</v>
      </c>
      <c r="AT604" s="35" t="b">
        <v>0</v>
      </c>
      <c r="AU604" s="23">
        <v>80000.0</v>
      </c>
      <c r="AV604" s="15" t="b">
        <v>1</v>
      </c>
      <c r="AW604" s="20" t="s">
        <v>972</v>
      </c>
      <c r="AX604" s="23">
        <v>500000.0</v>
      </c>
      <c r="AY604" s="35" t="b">
        <v>0</v>
      </c>
      <c r="AZ604" s="23">
        <v>80000.0</v>
      </c>
      <c r="BA604" s="15" t="b">
        <v>1</v>
      </c>
      <c r="BB604" s="20" t="s">
        <v>972</v>
      </c>
      <c r="BC604" s="23">
        <v>500000.0</v>
      </c>
      <c r="BD604" s="35" t="b">
        <v>0</v>
      </c>
      <c r="BE604" s="23">
        <v>80000.0</v>
      </c>
      <c r="BF604" s="15" t="b">
        <v>1</v>
      </c>
      <c r="BG604" s="20" t="s">
        <v>972</v>
      </c>
      <c r="BH604" s="23">
        <v>500000.0</v>
      </c>
      <c r="BI604" s="35" t="b">
        <v>0</v>
      </c>
      <c r="BJ604" s="23">
        <v>80000.0</v>
      </c>
      <c r="BK604" s="15" t="b">
        <v>1</v>
      </c>
      <c r="BL604" s="20" t="s">
        <v>972</v>
      </c>
      <c r="BM604" s="23">
        <v>500000.0</v>
      </c>
      <c r="BN604" s="35" t="b">
        <v>0</v>
      </c>
      <c r="BO604" s="23">
        <v>80000.0</v>
      </c>
      <c r="BP604" s="15" t="b">
        <v>0</v>
      </c>
      <c r="BQ604" s="17" t="s">
        <v>953</v>
      </c>
      <c r="BR604" s="1"/>
      <c r="BS604" s="1"/>
      <c r="BT604" s="1"/>
      <c r="BU604" s="1"/>
    </row>
    <row r="605">
      <c r="A605" s="1"/>
      <c r="B605" s="27" t="s">
        <v>967</v>
      </c>
      <c r="C605" s="11" t="s">
        <v>909</v>
      </c>
      <c r="D605" s="20" t="s">
        <v>973</v>
      </c>
      <c r="E605" s="23">
        <v>12903.0</v>
      </c>
      <c r="F605" s="35" t="b">
        <v>0</v>
      </c>
      <c r="G605" s="23">
        <v>2581.0</v>
      </c>
      <c r="H605" s="15" t="b">
        <v>1</v>
      </c>
      <c r="I605" s="20" t="s">
        <v>974</v>
      </c>
      <c r="J605" s="23">
        <v>400000.0</v>
      </c>
      <c r="K605" s="35" t="b">
        <v>0</v>
      </c>
      <c r="L605" s="23">
        <v>80000.0</v>
      </c>
      <c r="M605" s="15" t="b">
        <v>1</v>
      </c>
      <c r="N605" s="20" t="s">
        <v>974</v>
      </c>
      <c r="O605" s="23">
        <v>400000.0</v>
      </c>
      <c r="P605" s="35" t="b">
        <v>0</v>
      </c>
      <c r="Q605" s="23">
        <v>80000.0</v>
      </c>
      <c r="R605" s="15" t="b">
        <v>1</v>
      </c>
      <c r="S605" s="20" t="s">
        <v>974</v>
      </c>
      <c r="T605" s="23">
        <v>400000.0</v>
      </c>
      <c r="U605" s="35" t="b">
        <v>0</v>
      </c>
      <c r="V605" s="23">
        <v>80000.0</v>
      </c>
      <c r="W605" s="15" t="b">
        <v>1</v>
      </c>
      <c r="X605" s="20" t="s">
        <v>974</v>
      </c>
      <c r="Y605" s="23">
        <v>400000.0</v>
      </c>
      <c r="Z605" s="35" t="b">
        <v>0</v>
      </c>
      <c r="AA605" s="23">
        <v>80000.0</v>
      </c>
      <c r="AB605" s="15" t="b">
        <v>1</v>
      </c>
      <c r="AC605" s="20" t="s">
        <v>974</v>
      </c>
      <c r="AD605" s="23">
        <v>400000.0</v>
      </c>
      <c r="AE605" s="35" t="b">
        <v>0</v>
      </c>
      <c r="AF605" s="23">
        <v>80000.0</v>
      </c>
      <c r="AG605" s="15" t="b">
        <v>1</v>
      </c>
      <c r="AH605" s="20" t="s">
        <v>975</v>
      </c>
      <c r="AI605" s="23">
        <v>400000.0</v>
      </c>
      <c r="AJ605" s="35" t="b">
        <v>0</v>
      </c>
      <c r="AK605" s="23">
        <v>80000.0</v>
      </c>
      <c r="AL605" s="15" t="b">
        <v>1</v>
      </c>
      <c r="AM605" s="20" t="s">
        <v>37</v>
      </c>
      <c r="AN605" s="18"/>
      <c r="AO605" s="1"/>
      <c r="AP605" s="18"/>
      <c r="AQ605" s="19"/>
      <c r="AR605" s="20" t="s">
        <v>37</v>
      </c>
      <c r="AS605" s="18"/>
      <c r="AT605" s="1"/>
      <c r="AU605" s="18"/>
      <c r="AV605" s="19"/>
      <c r="AW605" s="20" t="s">
        <v>37</v>
      </c>
      <c r="AX605" s="18"/>
      <c r="AY605" s="1"/>
      <c r="AZ605" s="18"/>
      <c r="BA605" s="19"/>
      <c r="BB605" s="20" t="s">
        <v>976</v>
      </c>
      <c r="BC605" s="23">
        <v>500000.0</v>
      </c>
      <c r="BD605" s="35" t="b">
        <v>0</v>
      </c>
      <c r="BE605" s="18"/>
      <c r="BF605" s="19"/>
      <c r="BG605" s="20" t="s">
        <v>37</v>
      </c>
      <c r="BH605" s="18"/>
      <c r="BI605" s="1"/>
      <c r="BJ605" s="18"/>
      <c r="BK605" s="19"/>
      <c r="BL605" s="20" t="s">
        <v>37</v>
      </c>
      <c r="BM605" s="18"/>
      <c r="BN605" s="1"/>
      <c r="BO605" s="18"/>
      <c r="BP605" s="19"/>
      <c r="BQ605" s="17" t="s">
        <v>953</v>
      </c>
      <c r="BR605" s="1"/>
      <c r="BS605" s="1"/>
      <c r="BT605" s="1"/>
      <c r="BU605" s="1"/>
    </row>
    <row r="606">
      <c r="A606" s="1"/>
      <c r="B606" s="27" t="s">
        <v>967</v>
      </c>
      <c r="C606" s="11" t="s">
        <v>316</v>
      </c>
      <c r="D606" s="20" t="s">
        <v>977</v>
      </c>
      <c r="E606" s="23">
        <v>370000.0</v>
      </c>
      <c r="F606" s="35" t="b">
        <v>0</v>
      </c>
      <c r="G606" s="23">
        <v>80000.0</v>
      </c>
      <c r="H606" s="15" t="b">
        <v>1</v>
      </c>
      <c r="I606" s="20" t="s">
        <v>978</v>
      </c>
      <c r="J606" s="23">
        <v>370000.0</v>
      </c>
      <c r="K606" s="35" t="b">
        <v>0</v>
      </c>
      <c r="L606" s="23">
        <v>80000.0</v>
      </c>
      <c r="M606" s="15" t="b">
        <v>1</v>
      </c>
      <c r="N606" s="20" t="s">
        <v>979</v>
      </c>
      <c r="O606" s="23">
        <v>370000.0</v>
      </c>
      <c r="P606" s="35" t="b">
        <v>0</v>
      </c>
      <c r="Q606" s="23">
        <v>80000.0</v>
      </c>
      <c r="R606" s="15" t="b">
        <v>1</v>
      </c>
      <c r="S606" s="20" t="s">
        <v>980</v>
      </c>
      <c r="T606" s="23">
        <v>380000.0</v>
      </c>
      <c r="U606" s="35" t="b">
        <v>0</v>
      </c>
      <c r="V606" s="23">
        <v>80000.0</v>
      </c>
      <c r="W606" s="15" t="b">
        <v>1</v>
      </c>
      <c r="X606" s="20" t="s">
        <v>981</v>
      </c>
      <c r="Y606" s="23">
        <v>380000.0</v>
      </c>
      <c r="Z606" s="35" t="b">
        <v>0</v>
      </c>
      <c r="AA606" s="23">
        <v>80000.0</v>
      </c>
      <c r="AB606" s="15" t="b">
        <v>1</v>
      </c>
      <c r="AC606" s="20" t="s">
        <v>981</v>
      </c>
      <c r="AD606" s="23">
        <v>380000.0</v>
      </c>
      <c r="AE606" s="35" t="b">
        <v>0</v>
      </c>
      <c r="AF606" s="23">
        <v>80000.0</v>
      </c>
      <c r="AG606" s="15" t="b">
        <v>1</v>
      </c>
      <c r="AH606" s="20" t="s">
        <v>982</v>
      </c>
      <c r="AI606" s="23">
        <v>380000.0</v>
      </c>
      <c r="AJ606" s="35" t="b">
        <v>0</v>
      </c>
      <c r="AK606" s="23">
        <v>80000.0</v>
      </c>
      <c r="AL606" s="15" t="b">
        <v>1</v>
      </c>
      <c r="AM606" s="20" t="s">
        <v>37</v>
      </c>
      <c r="AN606" s="18"/>
      <c r="AO606" s="1"/>
      <c r="AP606" s="18"/>
      <c r="AQ606" s="19"/>
      <c r="AR606" s="20" t="s">
        <v>37</v>
      </c>
      <c r="AS606" s="18"/>
      <c r="AT606" s="1"/>
      <c r="AU606" s="18"/>
      <c r="AV606" s="19"/>
      <c r="AW606" s="20" t="s">
        <v>37</v>
      </c>
      <c r="AX606" s="18"/>
      <c r="AY606" s="1"/>
      <c r="AZ606" s="18"/>
      <c r="BA606" s="19"/>
      <c r="BB606" s="17" t="s">
        <v>983</v>
      </c>
      <c r="BC606" s="23">
        <v>500000.0</v>
      </c>
      <c r="BD606" s="35" t="b">
        <v>0</v>
      </c>
      <c r="BE606" s="18"/>
      <c r="BF606" s="19"/>
      <c r="BG606" s="20" t="s">
        <v>37</v>
      </c>
      <c r="BH606" s="18"/>
      <c r="BI606" s="1"/>
      <c r="BJ606" s="18"/>
      <c r="BK606" s="19"/>
      <c r="BL606" s="20" t="s">
        <v>984</v>
      </c>
      <c r="BM606" s="23">
        <v>270968.0</v>
      </c>
      <c r="BN606" s="35" t="b">
        <v>0</v>
      </c>
      <c r="BO606" s="23">
        <v>54194.0</v>
      </c>
      <c r="BP606" s="15" t="b">
        <v>0</v>
      </c>
      <c r="BQ606" s="17" t="s">
        <v>953</v>
      </c>
      <c r="BR606" s="1"/>
      <c r="BS606" s="1"/>
      <c r="BT606" s="1"/>
      <c r="BU606" s="1"/>
    </row>
    <row r="607">
      <c r="A607" s="1"/>
      <c r="B607" s="21"/>
      <c r="C607" s="11" t="s">
        <v>42</v>
      </c>
      <c r="D607" s="22"/>
      <c r="E607" s="23">
        <f>SUM(E603:E606)</f>
        <v>1402903</v>
      </c>
      <c r="F607" s="18"/>
      <c r="G607" s="23">
        <f>SUM(G603:G606)</f>
        <v>242581</v>
      </c>
      <c r="H607" s="19"/>
      <c r="I607" s="22"/>
      <c r="J607" s="23">
        <f>SUM(J603:J606)</f>
        <v>1790000</v>
      </c>
      <c r="K607" s="18"/>
      <c r="L607" s="23">
        <f>SUM(L603:L606)</f>
        <v>320000</v>
      </c>
      <c r="M607" s="19"/>
      <c r="N607" s="22"/>
      <c r="O607" s="23">
        <f>SUM(O603:O606)</f>
        <v>1790000</v>
      </c>
      <c r="P607" s="18"/>
      <c r="Q607" s="23">
        <f>SUM(Q603:Q606)</f>
        <v>320000</v>
      </c>
      <c r="R607" s="19"/>
      <c r="S607" s="22"/>
      <c r="T607" s="23">
        <f>SUM(T603:T606)</f>
        <v>1800000</v>
      </c>
      <c r="U607" s="18"/>
      <c r="V607" s="23">
        <f>SUM(V603:V606)</f>
        <v>320000</v>
      </c>
      <c r="W607" s="19"/>
      <c r="X607" s="18"/>
      <c r="Y607" s="23">
        <f>SUM(Y603:Y606)</f>
        <v>1800000</v>
      </c>
      <c r="Z607" s="18"/>
      <c r="AA607" s="23">
        <f>SUM(AA603:AA606)</f>
        <v>320000</v>
      </c>
      <c r="AB607" s="19"/>
      <c r="AC607" s="18"/>
      <c r="AD607" s="23">
        <f>SUM(AD603:AD606)</f>
        <v>1800000</v>
      </c>
      <c r="AE607" s="18"/>
      <c r="AF607" s="23">
        <f>SUM(AF603:AF606)</f>
        <v>320000</v>
      </c>
      <c r="AG607" s="19"/>
      <c r="AH607" s="18"/>
      <c r="AI607" s="23">
        <f>SUM(AI603:AI606)</f>
        <v>1800000</v>
      </c>
      <c r="AJ607" s="18"/>
      <c r="AK607" s="23">
        <f>SUM(AK603:AK606)</f>
        <v>320000</v>
      </c>
      <c r="AL607" s="19"/>
      <c r="AM607" s="18"/>
      <c r="AN607" s="23">
        <f>SUM(AN603:AN606)</f>
        <v>1020000</v>
      </c>
      <c r="AO607" s="18"/>
      <c r="AP607" s="23">
        <f>SUM(AP603:AP606)</f>
        <v>160000</v>
      </c>
      <c r="AQ607" s="19"/>
      <c r="AR607" s="22"/>
      <c r="AS607" s="23">
        <f>SUM(AS603:AS606)</f>
        <v>1020000</v>
      </c>
      <c r="AT607" s="18"/>
      <c r="AU607" s="23">
        <f>SUM(AU603:AU606)</f>
        <v>160000</v>
      </c>
      <c r="AV607" s="19"/>
      <c r="AW607" s="22"/>
      <c r="AX607" s="23">
        <f>SUM(AX603:AX606)</f>
        <v>1020000</v>
      </c>
      <c r="AY607" s="18"/>
      <c r="AZ607" s="23">
        <f>SUM(AZ603:AZ606)</f>
        <v>160000</v>
      </c>
      <c r="BA607" s="19"/>
      <c r="BB607" s="22"/>
      <c r="BC607" s="23">
        <f>SUM(BC603:BC606)</f>
        <v>2020000</v>
      </c>
      <c r="BD607" s="18"/>
      <c r="BE607" s="23">
        <f>SUM(BE603:BE606)</f>
        <v>160000</v>
      </c>
      <c r="BF607" s="19"/>
      <c r="BG607" s="22"/>
      <c r="BH607" s="23">
        <f>SUM(BH603:BH606)</f>
        <v>1020000</v>
      </c>
      <c r="BI607" s="18"/>
      <c r="BJ607" s="23">
        <f>SUM(BJ603:BJ606)</f>
        <v>160000</v>
      </c>
      <c r="BK607" s="19"/>
      <c r="BL607" s="22"/>
      <c r="BM607" s="23">
        <f>SUM(BM603:BM606)</f>
        <v>1290968</v>
      </c>
      <c r="BN607" s="18"/>
      <c r="BO607" s="23">
        <f>SUM(BO603:BO606)</f>
        <v>214194</v>
      </c>
      <c r="BP607" s="19"/>
      <c r="BQ607" s="17" t="s">
        <v>953</v>
      </c>
      <c r="BR607" s="1"/>
      <c r="BS607" s="1"/>
      <c r="BT607" s="1"/>
      <c r="BU607" s="1"/>
    </row>
    <row r="608">
      <c r="A608" s="1"/>
      <c r="B608" s="21"/>
      <c r="C608" s="11" t="s">
        <v>43</v>
      </c>
      <c r="D608" s="22"/>
      <c r="E608" s="23">
        <v>750000.0</v>
      </c>
      <c r="F608" s="18"/>
      <c r="G608" s="18"/>
      <c r="H608" s="19"/>
      <c r="I608" s="22"/>
      <c r="J608" s="23">
        <v>750000.0</v>
      </c>
      <c r="K608" s="18"/>
      <c r="L608" s="18"/>
      <c r="M608" s="19"/>
      <c r="N608" s="22"/>
      <c r="O608" s="23">
        <v>750000.0</v>
      </c>
      <c r="P608" s="18"/>
      <c r="Q608" s="18"/>
      <c r="R608" s="19"/>
      <c r="S608" s="22"/>
      <c r="T608" s="23">
        <v>750000.0</v>
      </c>
      <c r="U608" s="18"/>
      <c r="V608" s="18"/>
      <c r="W608" s="19"/>
      <c r="X608" s="18"/>
      <c r="Y608" s="23">
        <v>750000.0</v>
      </c>
      <c r="Z608" s="18"/>
      <c r="AA608" s="18"/>
      <c r="AB608" s="19"/>
      <c r="AC608" s="18"/>
      <c r="AD608" s="23">
        <v>750000.0</v>
      </c>
      <c r="AE608" s="18"/>
      <c r="AF608" s="18"/>
      <c r="AG608" s="19"/>
      <c r="AH608" s="18"/>
      <c r="AI608" s="23">
        <v>750000.0</v>
      </c>
      <c r="AJ608" s="18"/>
      <c r="AK608" s="18"/>
      <c r="AL608" s="19"/>
      <c r="AM608" s="18"/>
      <c r="AN608" s="23">
        <v>750000.0</v>
      </c>
      <c r="AO608" s="18"/>
      <c r="AP608" s="18"/>
      <c r="AQ608" s="19"/>
      <c r="AR608" s="22"/>
      <c r="AS608" s="23">
        <v>750000.0</v>
      </c>
      <c r="AT608" s="18"/>
      <c r="AU608" s="18"/>
      <c r="AV608" s="19"/>
      <c r="AW608" s="22"/>
      <c r="AX608" s="23">
        <v>750000.0</v>
      </c>
      <c r="AY608" s="18"/>
      <c r="AZ608" s="18"/>
      <c r="BA608" s="19"/>
      <c r="BB608" s="22"/>
      <c r="BC608" s="23">
        <v>750000.0</v>
      </c>
      <c r="BD608" s="18"/>
      <c r="BE608" s="18"/>
      <c r="BF608" s="19"/>
      <c r="BG608" s="22"/>
      <c r="BH608" s="23">
        <v>750000.0</v>
      </c>
      <c r="BI608" s="18"/>
      <c r="BJ608" s="18"/>
      <c r="BK608" s="19"/>
      <c r="BL608" s="22"/>
      <c r="BM608" s="23">
        <v>750000.0</v>
      </c>
      <c r="BN608" s="18"/>
      <c r="BO608" s="18"/>
      <c r="BP608" s="19"/>
      <c r="BQ608" s="17" t="s">
        <v>953</v>
      </c>
      <c r="BR608" s="1"/>
      <c r="BS608" s="20">
        <f t="shared" ref="BS608:BS617" si="35">BH601+BH617</f>
        <v>714000</v>
      </c>
      <c r="BT608" s="1"/>
      <c r="BU608" s="1"/>
    </row>
    <row r="609">
      <c r="A609" s="1"/>
      <c r="B609" s="21"/>
      <c r="C609" s="11" t="s">
        <v>45</v>
      </c>
      <c r="D609" s="22"/>
      <c r="E609" s="18"/>
      <c r="F609" s="18"/>
      <c r="G609" s="18"/>
      <c r="H609" s="19"/>
      <c r="I609" s="22"/>
      <c r="J609" s="18"/>
      <c r="K609" s="18"/>
      <c r="L609" s="18"/>
      <c r="M609" s="19"/>
      <c r="N609" s="22"/>
      <c r="O609" s="18"/>
      <c r="P609" s="18"/>
      <c r="Q609" s="18"/>
      <c r="R609" s="19"/>
      <c r="S609" s="22"/>
      <c r="T609" s="18"/>
      <c r="U609" s="18"/>
      <c r="V609" s="18"/>
      <c r="W609" s="19"/>
      <c r="X609" s="18"/>
      <c r="Y609" s="18"/>
      <c r="Z609" s="18"/>
      <c r="AA609" s="18"/>
      <c r="AB609" s="19"/>
      <c r="AC609" s="18"/>
      <c r="AD609" s="18"/>
      <c r="AE609" s="18"/>
      <c r="AF609" s="18"/>
      <c r="AG609" s="19"/>
      <c r="AH609" s="18"/>
      <c r="AI609" s="18"/>
      <c r="AJ609" s="18"/>
      <c r="AK609" s="18"/>
      <c r="AL609" s="19"/>
      <c r="AM609" s="18"/>
      <c r="AN609" s="18"/>
      <c r="AO609" s="18"/>
      <c r="AP609" s="18"/>
      <c r="AQ609" s="19"/>
      <c r="AR609" s="22"/>
      <c r="AS609" s="18"/>
      <c r="AT609" s="18"/>
      <c r="AU609" s="18"/>
      <c r="AV609" s="19"/>
      <c r="AW609" s="22"/>
      <c r="AX609" s="18"/>
      <c r="AY609" s="18"/>
      <c r="AZ609" s="18"/>
      <c r="BA609" s="19"/>
      <c r="BB609" s="22"/>
      <c r="BC609" s="18"/>
      <c r="BD609" s="18"/>
      <c r="BE609" s="18"/>
      <c r="BF609" s="19"/>
      <c r="BG609" s="22"/>
      <c r="BH609" s="18"/>
      <c r="BI609" s="18"/>
      <c r="BJ609" s="18"/>
      <c r="BK609" s="19"/>
      <c r="BL609" s="22"/>
      <c r="BM609" s="18"/>
      <c r="BN609" s="18"/>
      <c r="BO609" s="18"/>
      <c r="BP609" s="19"/>
      <c r="BQ609" s="17" t="s">
        <v>953</v>
      </c>
      <c r="BR609" s="1"/>
      <c r="BS609" s="20">
        <f t="shared" si="35"/>
        <v>306000</v>
      </c>
      <c r="BT609" s="1"/>
      <c r="BU609" s="1"/>
    </row>
    <row r="610">
      <c r="A610" s="1"/>
      <c r="B610" s="10" t="s">
        <v>985</v>
      </c>
      <c r="C610" s="11" t="s">
        <v>303</v>
      </c>
      <c r="D610" s="22"/>
      <c r="E610" s="18"/>
      <c r="F610" s="18"/>
      <c r="G610" s="18"/>
      <c r="H610" s="19"/>
      <c r="I610" s="22"/>
      <c r="J610" s="18"/>
      <c r="K610" s="18"/>
      <c r="L610" s="18"/>
      <c r="M610" s="19"/>
      <c r="N610" s="22"/>
      <c r="O610" s="18"/>
      <c r="P610" s="18"/>
      <c r="Q610" s="18"/>
      <c r="R610" s="19"/>
      <c r="S610" s="22"/>
      <c r="T610" s="18"/>
      <c r="U610" s="18"/>
      <c r="V610" s="18"/>
      <c r="W610" s="19"/>
      <c r="X610" s="18"/>
      <c r="Y610" s="18"/>
      <c r="Z610" s="18"/>
      <c r="AA610" s="18"/>
      <c r="AB610" s="19"/>
      <c r="AC610" s="18"/>
      <c r="AD610" s="18"/>
      <c r="AE610" s="18"/>
      <c r="AF610" s="18"/>
      <c r="AG610" s="19"/>
      <c r="AH610" s="18"/>
      <c r="AI610" s="18"/>
      <c r="AJ610" s="18"/>
      <c r="AK610" s="18"/>
      <c r="AL610" s="19"/>
      <c r="AM610" s="18"/>
      <c r="AN610" s="18"/>
      <c r="AO610" s="18"/>
      <c r="AP610" s="18"/>
      <c r="AQ610" s="19"/>
      <c r="AR610" s="22"/>
      <c r="AS610" s="18"/>
      <c r="AT610" s="18"/>
      <c r="AU610" s="18"/>
      <c r="AV610" s="19"/>
      <c r="AW610" s="22"/>
      <c r="AX610" s="18"/>
      <c r="AY610" s="18"/>
      <c r="AZ610" s="18"/>
      <c r="BA610" s="19"/>
      <c r="BB610" s="22"/>
      <c r="BC610" s="18"/>
      <c r="BD610" s="18"/>
      <c r="BE610" s="18"/>
      <c r="BF610" s="19"/>
      <c r="BG610" s="22"/>
      <c r="BH610" s="18"/>
      <c r="BI610" s="18"/>
      <c r="BJ610" s="18"/>
      <c r="BK610" s="19"/>
      <c r="BL610" s="22"/>
      <c r="BM610" s="18"/>
      <c r="BN610" s="18"/>
      <c r="BO610" s="18"/>
      <c r="BP610" s="19"/>
      <c r="BQ610" s="17" t="s">
        <v>953</v>
      </c>
      <c r="BR610" s="1"/>
      <c r="BS610" s="20">
        <f t="shared" si="35"/>
        <v>1060000</v>
      </c>
      <c r="BT610" s="1"/>
      <c r="BU610" s="1"/>
    </row>
    <row r="611">
      <c r="A611" s="1"/>
      <c r="B611" s="10">
        <v>6.005792957E9</v>
      </c>
      <c r="C611" s="11" t="s">
        <v>261</v>
      </c>
      <c r="D611" s="22"/>
      <c r="E611" s="18"/>
      <c r="F611" s="18"/>
      <c r="G611" s="23">
        <v>197870.0</v>
      </c>
      <c r="H611" s="19"/>
      <c r="I611" s="22"/>
      <c r="J611" s="18"/>
      <c r="K611" s="18"/>
      <c r="L611" s="23">
        <v>185010.0</v>
      </c>
      <c r="M611" s="19"/>
      <c r="N611" s="22"/>
      <c r="O611" s="18"/>
      <c r="P611" s="18"/>
      <c r="Q611" s="23">
        <v>152700.0</v>
      </c>
      <c r="R611" s="19"/>
      <c r="S611" s="22"/>
      <c r="T611" s="18"/>
      <c r="U611" s="18"/>
      <c r="V611" s="23">
        <v>131490.0</v>
      </c>
      <c r="W611" s="19"/>
      <c r="X611" s="18"/>
      <c r="Y611" s="18"/>
      <c r="Z611" s="18"/>
      <c r="AA611" s="23">
        <v>94280.0</v>
      </c>
      <c r="AB611" s="19"/>
      <c r="AC611" s="18"/>
      <c r="AD611" s="18"/>
      <c r="AE611" s="18"/>
      <c r="AF611" s="23">
        <v>60800.0</v>
      </c>
      <c r="AG611" s="19"/>
      <c r="AH611" s="18"/>
      <c r="AI611" s="18"/>
      <c r="AJ611" s="18"/>
      <c r="AK611" s="23">
        <v>43180.0</v>
      </c>
      <c r="AL611" s="19"/>
      <c r="AM611" s="18"/>
      <c r="AN611" s="18"/>
      <c r="AO611" s="18"/>
      <c r="AP611" s="23">
        <v>22870.0</v>
      </c>
      <c r="AQ611" s="19"/>
      <c r="AR611" s="22"/>
      <c r="AS611" s="18"/>
      <c r="AT611" s="18"/>
      <c r="AU611" s="23">
        <v>16660.0</v>
      </c>
      <c r="AV611" s="19"/>
      <c r="AW611" s="22"/>
      <c r="AX611" s="18"/>
      <c r="AY611" s="18"/>
      <c r="AZ611" s="23">
        <v>12850.0</v>
      </c>
      <c r="BA611" s="19"/>
      <c r="BB611" s="22"/>
      <c r="BC611" s="18"/>
      <c r="BD611" s="18"/>
      <c r="BE611" s="23">
        <v>24300.0</v>
      </c>
      <c r="BF611" s="19"/>
      <c r="BG611" s="22"/>
      <c r="BH611" s="18"/>
      <c r="BI611" s="18"/>
      <c r="BJ611" s="23">
        <v>58730.0</v>
      </c>
      <c r="BK611" s="19"/>
      <c r="BL611" s="22"/>
      <c r="BM611" s="18"/>
      <c r="BN611" s="18"/>
      <c r="BO611" s="23">
        <v>206120.0</v>
      </c>
      <c r="BP611" s="19"/>
      <c r="BQ611" s="17" t="s">
        <v>953</v>
      </c>
      <c r="BR611" s="1"/>
      <c r="BS611" s="20">
        <f t="shared" si="35"/>
        <v>1010000</v>
      </c>
      <c r="BT611" s="1"/>
      <c r="BU611" s="1"/>
    </row>
    <row r="612">
      <c r="A612" s="1"/>
      <c r="B612" s="21"/>
      <c r="C612" s="11" t="s">
        <v>51</v>
      </c>
      <c r="D612" s="22"/>
      <c r="E612" s="18"/>
      <c r="F612" s="18"/>
      <c r="G612" s="18"/>
      <c r="H612" s="19"/>
      <c r="I612" s="22"/>
      <c r="J612" s="18"/>
      <c r="K612" s="18"/>
      <c r="L612" s="18"/>
      <c r="M612" s="19"/>
      <c r="N612" s="22"/>
      <c r="O612" s="18"/>
      <c r="P612" s="18"/>
      <c r="Q612" s="18"/>
      <c r="R612" s="19"/>
      <c r="S612" s="22"/>
      <c r="T612" s="18"/>
      <c r="U612" s="18"/>
      <c r="V612" s="18"/>
      <c r="W612" s="19"/>
      <c r="X612" s="18"/>
      <c r="Y612" s="18"/>
      <c r="Z612" s="18"/>
      <c r="AA612" s="18"/>
      <c r="AB612" s="19"/>
      <c r="AC612" s="18"/>
      <c r="AD612" s="18"/>
      <c r="AE612" s="18"/>
      <c r="AF612" s="18"/>
      <c r="AG612" s="19"/>
      <c r="AH612" s="18"/>
      <c r="AI612" s="18"/>
      <c r="AJ612" s="18"/>
      <c r="AK612" s="18"/>
      <c r="AL612" s="19"/>
      <c r="AM612" s="18"/>
      <c r="AN612" s="18"/>
      <c r="AO612" s="18"/>
      <c r="AP612" s="23">
        <v>58100.0</v>
      </c>
      <c r="AQ612" s="19"/>
      <c r="AR612" s="22"/>
      <c r="AS612" s="18"/>
      <c r="AT612" s="18"/>
      <c r="AU612" s="18"/>
      <c r="AV612" s="19"/>
      <c r="AW612" s="22"/>
      <c r="AX612" s="18"/>
      <c r="AY612" s="18"/>
      <c r="AZ612" s="23">
        <v>30.0</v>
      </c>
      <c r="BA612" s="19"/>
      <c r="BB612" s="22"/>
      <c r="BC612" s="18"/>
      <c r="BD612" s="18"/>
      <c r="BE612" s="18"/>
      <c r="BF612" s="19"/>
      <c r="BG612" s="22"/>
      <c r="BH612" s="18"/>
      <c r="BI612" s="18"/>
      <c r="BJ612" s="18"/>
      <c r="BK612" s="19"/>
      <c r="BL612" s="22"/>
      <c r="BM612" s="18"/>
      <c r="BN612" s="18"/>
      <c r="BO612" s="18"/>
      <c r="BP612" s="19"/>
      <c r="BQ612" s="17" t="s">
        <v>953</v>
      </c>
      <c r="BR612" s="1"/>
      <c r="BS612" s="20">
        <f t="shared" si="35"/>
        <v>420000</v>
      </c>
      <c r="BT612" s="1"/>
      <c r="BU612" s="1"/>
    </row>
    <row r="613">
      <c r="A613" s="1"/>
      <c r="B613" s="21"/>
      <c r="C613" s="11" t="s">
        <v>52</v>
      </c>
      <c r="D613" s="22"/>
      <c r="E613" s="18"/>
      <c r="F613" s="18"/>
      <c r="G613" s="18"/>
      <c r="H613" s="19"/>
      <c r="I613" s="22"/>
      <c r="J613" s="18"/>
      <c r="K613" s="18"/>
      <c r="L613" s="18"/>
      <c r="M613" s="19"/>
      <c r="N613" s="22"/>
      <c r="O613" s="18"/>
      <c r="P613" s="18"/>
      <c r="Q613" s="18"/>
      <c r="R613" s="19"/>
      <c r="S613" s="22"/>
      <c r="T613" s="18"/>
      <c r="U613" s="18"/>
      <c r="V613" s="18"/>
      <c r="W613" s="19"/>
      <c r="X613" s="18"/>
      <c r="Y613" s="18"/>
      <c r="Z613" s="18"/>
      <c r="AA613" s="18"/>
      <c r="AB613" s="19"/>
      <c r="AC613" s="18"/>
      <c r="AD613" s="18"/>
      <c r="AE613" s="18"/>
      <c r="AF613" s="18"/>
      <c r="AG613" s="19"/>
      <c r="AH613" s="18"/>
      <c r="AI613" s="18"/>
      <c r="AJ613" s="18"/>
      <c r="AK613" s="18"/>
      <c r="AL613" s="19"/>
      <c r="AM613" s="18"/>
      <c r="AN613" s="18"/>
      <c r="AO613" s="18"/>
      <c r="AP613" s="18"/>
      <c r="AQ613" s="19"/>
      <c r="AR613" s="22"/>
      <c r="AS613" s="18"/>
      <c r="AT613" s="18"/>
      <c r="AU613" s="18"/>
      <c r="AV613" s="19"/>
      <c r="AW613" s="22"/>
      <c r="AX613" s="18"/>
      <c r="AY613" s="18"/>
      <c r="AZ613" s="23">
        <v>40.0</v>
      </c>
      <c r="BA613" s="19"/>
      <c r="BB613" s="22"/>
      <c r="BC613" s="18"/>
      <c r="BD613" s="18"/>
      <c r="BE613" s="18"/>
      <c r="BF613" s="19"/>
      <c r="BG613" s="22"/>
      <c r="BH613" s="18"/>
      <c r="BI613" s="18"/>
      <c r="BJ613" s="18"/>
      <c r="BK613" s="19"/>
      <c r="BL613" s="22"/>
      <c r="BM613" s="18"/>
      <c r="BN613" s="18"/>
      <c r="BO613" s="18"/>
      <c r="BP613" s="19"/>
      <c r="BQ613" s="17" t="s">
        <v>953</v>
      </c>
      <c r="BR613" s="1"/>
      <c r="BS613" s="20">
        <f t="shared" si="35"/>
        <v>0</v>
      </c>
      <c r="BT613" s="1"/>
      <c r="BU613" s="1"/>
    </row>
    <row r="614">
      <c r="A614" s="1"/>
      <c r="B614" s="21"/>
      <c r="C614" s="11" t="s">
        <v>53</v>
      </c>
      <c r="D614" s="22"/>
      <c r="E614" s="18"/>
      <c r="F614" s="18"/>
      <c r="G614" s="18"/>
      <c r="H614" s="19"/>
      <c r="I614" s="22"/>
      <c r="J614" s="18"/>
      <c r="K614" s="18"/>
      <c r="L614" s="18"/>
      <c r="M614" s="19"/>
      <c r="N614" s="22"/>
      <c r="O614" s="18"/>
      <c r="P614" s="18"/>
      <c r="Q614" s="18"/>
      <c r="R614" s="19"/>
      <c r="S614" s="22"/>
      <c r="T614" s="18"/>
      <c r="U614" s="18"/>
      <c r="V614" s="18"/>
      <c r="W614" s="19"/>
      <c r="X614" s="18"/>
      <c r="Y614" s="18"/>
      <c r="Z614" s="18"/>
      <c r="AA614" s="18"/>
      <c r="AB614" s="19"/>
      <c r="AC614" s="18"/>
      <c r="AD614" s="18"/>
      <c r="AE614" s="18"/>
      <c r="AF614" s="18"/>
      <c r="AG614" s="19"/>
      <c r="AH614" s="18"/>
      <c r="AI614" s="18"/>
      <c r="AJ614" s="18"/>
      <c r="AK614" s="18"/>
      <c r="AL614" s="19"/>
      <c r="AM614" s="18"/>
      <c r="AN614" s="18"/>
      <c r="AO614" s="18"/>
      <c r="AP614" s="18"/>
      <c r="AQ614" s="19"/>
      <c r="AR614" s="22"/>
      <c r="AS614" s="18"/>
      <c r="AT614" s="18"/>
      <c r="AU614" s="18"/>
      <c r="AV614" s="19"/>
      <c r="AW614" s="22"/>
      <c r="AX614" s="18"/>
      <c r="AY614" s="18"/>
      <c r="AZ614" s="18"/>
      <c r="BA614" s="19"/>
      <c r="BB614" s="22"/>
      <c r="BC614" s="18"/>
      <c r="BD614" s="18"/>
      <c r="BE614" s="18"/>
      <c r="BF614" s="19"/>
      <c r="BG614" s="22"/>
      <c r="BH614" s="18"/>
      <c r="BI614" s="18"/>
      <c r="BJ614" s="18"/>
      <c r="BK614" s="19"/>
      <c r="BL614" s="22"/>
      <c r="BM614" s="18"/>
      <c r="BN614" s="18"/>
      <c r="BO614" s="18"/>
      <c r="BP614" s="19"/>
      <c r="BQ614" s="17" t="s">
        <v>953</v>
      </c>
      <c r="BR614" s="1"/>
      <c r="BS614" s="20">
        <f t="shared" si="35"/>
        <v>2490000</v>
      </c>
      <c r="BT614" s="1"/>
      <c r="BU614" s="1"/>
    </row>
    <row r="615">
      <c r="A615" s="1"/>
      <c r="B615" s="21"/>
      <c r="C615" s="11" t="s">
        <v>54</v>
      </c>
      <c r="D615" s="22"/>
      <c r="E615" s="18"/>
      <c r="F615" s="18"/>
      <c r="G615" s="23">
        <f>SUMIFS('지출'!$G$3:$G1000,'지출'!$J$3:$J1000,G$1,'지출'!$C$3:$C1000,"영이")</f>
        <v>63700</v>
      </c>
      <c r="H615" s="19"/>
      <c r="I615" s="22"/>
      <c r="J615" s="18"/>
      <c r="K615" s="18"/>
      <c r="L615" s="23">
        <f>SUMIFS('지출'!$G$3:$G1000,'지출'!$J$3:$J1000,L$1,'지출'!$C$3:$C1000,"영이")</f>
        <v>53920</v>
      </c>
      <c r="M615" s="24"/>
      <c r="N615" s="18"/>
      <c r="O615" s="18"/>
      <c r="P615" s="18"/>
      <c r="Q615" s="23">
        <f>SUMIFS('지출'!$G$3:$G1000,'지출'!$J$3:$J1000,Q$1,'지출'!$C$3:$C1000,"영이")</f>
        <v>8800</v>
      </c>
      <c r="R615" s="24"/>
      <c r="S615" s="18"/>
      <c r="T615" s="18"/>
      <c r="U615" s="18"/>
      <c r="V615" s="23">
        <f>SUMIFS('지출'!$G$3:$G1000,'지출'!$J$3:$J1000,V$1,'지출'!$C$3:$C1000,"영이")</f>
        <v>0</v>
      </c>
      <c r="W615" s="24"/>
      <c r="X615" s="18"/>
      <c r="Y615" s="18"/>
      <c r="Z615" s="18"/>
      <c r="AA615" s="23">
        <f>SUMIFS('지출'!$G$3:$G1000,'지출'!$J$3:$J1000,AA$1,'지출'!$C$3:$C1000,"영이")</f>
        <v>0</v>
      </c>
      <c r="AB615" s="24"/>
      <c r="AC615" s="18"/>
      <c r="AD615" s="18"/>
      <c r="AE615" s="18"/>
      <c r="AF615" s="23">
        <f>SUMIFS('지출'!$G$3:$G1000,'지출'!$J$3:$J1000,AF$1,'지출'!$C$3:$C1000,"영이")</f>
        <v>0</v>
      </c>
      <c r="AG615" s="24"/>
      <c r="AH615" s="18"/>
      <c r="AI615" s="18"/>
      <c r="AJ615" s="18"/>
      <c r="AK615" s="23">
        <f>SUMIFS('지출'!$G$3:$G1000,'지출'!$J$3:$J1000,AK$1,'지출'!$C$3:$C1000,"영이")</f>
        <v>0</v>
      </c>
      <c r="AL615" s="24"/>
      <c r="AM615" s="18"/>
      <c r="AN615" s="18"/>
      <c r="AO615" s="18"/>
      <c r="AP615" s="23">
        <f>SUMIFS('지출'!$G$3:$G1000,'지출'!$J$3:$J1000,AP$1,'지출'!$C$3:$C1000,"영이")</f>
        <v>0</v>
      </c>
      <c r="AQ615" s="24"/>
      <c r="AR615" s="18"/>
      <c r="AS615" s="18"/>
      <c r="AT615" s="18"/>
      <c r="AU615" s="23">
        <f>SUMIFS('지출'!$G$3:$G1000,'지출'!$J$3:$J1000,AU$1,'지출'!$C$3:$C1000,"영이")</f>
        <v>0</v>
      </c>
      <c r="AV615" s="24"/>
      <c r="AW615" s="18"/>
      <c r="AX615" s="18"/>
      <c r="AY615" s="18"/>
      <c r="AZ615" s="23">
        <f>SUMIFS('지출'!$G$3:$G1000,'지출'!$J$3:$J1000,AZ$1,'지출'!$C$3:$C1000,"영이")</f>
        <v>0</v>
      </c>
      <c r="BA615" s="24"/>
      <c r="BB615" s="18"/>
      <c r="BC615" s="18"/>
      <c r="BD615" s="18"/>
      <c r="BE615" s="23">
        <f>SUMIFS('지출'!$G$3:$G1000,'지출'!$J$3:$J1000,BE$1,'지출'!$C$3:$C1000,"영이")</f>
        <v>0</v>
      </c>
      <c r="BF615" s="24"/>
      <c r="BG615" s="18"/>
      <c r="BH615" s="18"/>
      <c r="BI615" s="18"/>
      <c r="BJ615" s="23">
        <f>SUMIFS('지출'!$G$3:$G1000,'지출'!$J$3:$J1000,BJ$1,'지출'!$C$3:$C1000,"영이")</f>
        <v>0</v>
      </c>
      <c r="BK615" s="19"/>
      <c r="BL615" s="18"/>
      <c r="BM615" s="18"/>
      <c r="BN615" s="18"/>
      <c r="BO615" s="23">
        <f>SUMIFS('지출'!$G$3:$G1000,'지출'!$J$3:$J1000,BO$1,'지출'!$C$3:$C1000,"영이")</f>
        <v>63700</v>
      </c>
      <c r="BP615" s="19"/>
      <c r="BQ615" s="17" t="s">
        <v>953</v>
      </c>
      <c r="BR615" s="1"/>
      <c r="BS615" s="20">
        <f t="shared" si="35"/>
        <v>1550000</v>
      </c>
      <c r="BT615" s="1"/>
      <c r="BU615" s="1"/>
    </row>
    <row r="616">
      <c r="A616" s="1"/>
      <c r="B616" s="21"/>
      <c r="C616" s="11" t="s">
        <v>56</v>
      </c>
      <c r="D616" s="22"/>
      <c r="E616" s="23">
        <f>E607-(SUM(E608:E615))</f>
        <v>652903</v>
      </c>
      <c r="F616" s="18"/>
      <c r="G616" s="23">
        <f>G607-(SUM(G608:G615))</f>
        <v>-18989</v>
      </c>
      <c r="H616" s="19"/>
      <c r="I616" s="22"/>
      <c r="J616" s="23">
        <f>J607-(SUM(J608:J615))</f>
        <v>1040000</v>
      </c>
      <c r="K616" s="18"/>
      <c r="L616" s="23">
        <f>L607-(SUM(L608:L615))</f>
        <v>81070</v>
      </c>
      <c r="M616" s="19"/>
      <c r="N616" s="22"/>
      <c r="O616" s="23">
        <f>O607-(SUM(O608:O615))</f>
        <v>1040000</v>
      </c>
      <c r="P616" s="18"/>
      <c r="Q616" s="23">
        <f>Q607-(SUM(Q608:Q615))</f>
        <v>158500</v>
      </c>
      <c r="R616" s="19"/>
      <c r="S616" s="22"/>
      <c r="T616" s="23">
        <f>T607-(SUM(T608:T615))</f>
        <v>1050000</v>
      </c>
      <c r="U616" s="18"/>
      <c r="V616" s="23">
        <f>V607-(SUM(V608:V615))</f>
        <v>188510</v>
      </c>
      <c r="W616" s="19"/>
      <c r="X616" s="18"/>
      <c r="Y616" s="23">
        <f>Y607-(SUM(Y608:Y615))</f>
        <v>1050000</v>
      </c>
      <c r="Z616" s="18"/>
      <c r="AA616" s="23">
        <f>AA607-(SUM(AA608:AA615))</f>
        <v>225720</v>
      </c>
      <c r="AB616" s="19"/>
      <c r="AC616" s="18"/>
      <c r="AD616" s="23">
        <f>AD607-(SUM(AD608:AD615))</f>
        <v>1050000</v>
      </c>
      <c r="AE616" s="18"/>
      <c r="AF616" s="23">
        <f>AF607-(SUM(AF608:AF615))</f>
        <v>259200</v>
      </c>
      <c r="AG616" s="19"/>
      <c r="AH616" s="18"/>
      <c r="AI616" s="23">
        <f>AI607-(SUM(AI608:AI615))</f>
        <v>1050000</v>
      </c>
      <c r="AJ616" s="18"/>
      <c r="AK616" s="23">
        <f>AK607-(SUM(AK608:AK615))</f>
        <v>276820</v>
      </c>
      <c r="AL616" s="19"/>
      <c r="AM616" s="18"/>
      <c r="AN616" s="23">
        <f>AN607-(SUM(AN608:AN615))</f>
        <v>270000</v>
      </c>
      <c r="AO616" s="18"/>
      <c r="AP616" s="23">
        <f>AP607-(SUM(AP608:AP615))</f>
        <v>79030</v>
      </c>
      <c r="AQ616" s="19"/>
      <c r="AR616" s="22"/>
      <c r="AS616" s="23">
        <f>AS607-(SUM(AS608:AS615))</f>
        <v>270000</v>
      </c>
      <c r="AT616" s="18"/>
      <c r="AU616" s="23">
        <f>AU607-(SUM(AU608:AU615))</f>
        <v>143340</v>
      </c>
      <c r="AV616" s="19"/>
      <c r="AW616" s="22"/>
      <c r="AX616" s="23">
        <f>AX607-(SUM(AX608:AX615))</f>
        <v>270000</v>
      </c>
      <c r="AY616" s="18"/>
      <c r="AZ616" s="23">
        <f>AZ607-(SUM(AZ608:AZ615))</f>
        <v>147080</v>
      </c>
      <c r="BA616" s="19"/>
      <c r="BB616" s="22"/>
      <c r="BC616" s="23">
        <f>BC607-(SUM(BC608:BC615))</f>
        <v>1270000</v>
      </c>
      <c r="BD616" s="18"/>
      <c r="BE616" s="23">
        <f>BE607-(SUM(BE608:BE615))</f>
        <v>135700</v>
      </c>
      <c r="BF616" s="19"/>
      <c r="BG616" s="22"/>
      <c r="BH616" s="23">
        <f>BH607-(SUM(BH608:BH615))</f>
        <v>270000</v>
      </c>
      <c r="BI616" s="18"/>
      <c r="BJ616" s="23">
        <f>BJ607-(SUM(BJ608:BJ615))</f>
        <v>101270</v>
      </c>
      <c r="BK616" s="19"/>
      <c r="BL616" s="22"/>
      <c r="BM616" s="23">
        <f>BM607-(SUM(BM608:BM615))</f>
        <v>540968</v>
      </c>
      <c r="BN616" s="18"/>
      <c r="BO616" s="23">
        <f>BO607-(SUM(BO608:BO615))</f>
        <v>-55626</v>
      </c>
      <c r="BP616" s="19"/>
      <c r="BQ616" s="17" t="s">
        <v>953</v>
      </c>
      <c r="BR616" s="1"/>
      <c r="BS616" s="20">
        <f t="shared" si="35"/>
        <v>0</v>
      </c>
      <c r="BT616" s="1"/>
      <c r="BU616" s="1"/>
    </row>
    <row r="617">
      <c r="A617" s="1"/>
      <c r="B617" s="27">
        <v>0.7</v>
      </c>
      <c r="C617" s="11" t="s">
        <v>26</v>
      </c>
      <c r="D617" s="22"/>
      <c r="E617" s="23">
        <f>E616*$B617</f>
        <v>457032.1</v>
      </c>
      <c r="F617" s="18"/>
      <c r="G617" s="18"/>
      <c r="H617" s="19"/>
      <c r="I617" s="22"/>
      <c r="J617" s="23">
        <f>J616*$B617</f>
        <v>728000</v>
      </c>
      <c r="K617" s="18"/>
      <c r="L617" s="18"/>
      <c r="M617" s="19"/>
      <c r="N617" s="22"/>
      <c r="O617" s="23">
        <f>O616*$B617</f>
        <v>728000</v>
      </c>
      <c r="P617" s="18"/>
      <c r="Q617" s="18"/>
      <c r="R617" s="19"/>
      <c r="S617" s="22"/>
      <c r="T617" s="23">
        <f>T616*$B617</f>
        <v>735000</v>
      </c>
      <c r="U617" s="18"/>
      <c r="V617" s="18"/>
      <c r="W617" s="19"/>
      <c r="X617" s="18"/>
      <c r="Y617" s="23">
        <f>Y616*$B617</f>
        <v>735000</v>
      </c>
      <c r="Z617" s="18"/>
      <c r="AA617" s="18"/>
      <c r="AB617" s="19"/>
      <c r="AC617" s="18"/>
      <c r="AD617" s="23">
        <f>AD616*$B617</f>
        <v>735000</v>
      </c>
      <c r="AE617" s="18"/>
      <c r="AF617" s="18"/>
      <c r="AG617" s="19"/>
      <c r="AH617" s="18"/>
      <c r="AI617" s="23">
        <f>AI616*$B617</f>
        <v>735000</v>
      </c>
      <c r="AJ617" s="18"/>
      <c r="AK617" s="18"/>
      <c r="AL617" s="19"/>
      <c r="AM617" s="18"/>
      <c r="AN617" s="23">
        <f>AN616*$B617</f>
        <v>189000</v>
      </c>
      <c r="AO617" s="18"/>
      <c r="AP617" s="18"/>
      <c r="AQ617" s="19"/>
      <c r="AR617" s="22"/>
      <c r="AS617" s="23">
        <f>AS616*$B617</f>
        <v>189000</v>
      </c>
      <c r="AT617" s="18"/>
      <c r="AU617" s="18"/>
      <c r="AV617" s="19"/>
      <c r="AW617" s="22"/>
      <c r="AX617" s="23">
        <f>AX616*$B617</f>
        <v>189000</v>
      </c>
      <c r="AY617" s="18"/>
      <c r="AZ617" s="18"/>
      <c r="BA617" s="19"/>
      <c r="BB617" s="22"/>
      <c r="BC617" s="23">
        <f>BC616*$B617</f>
        <v>889000</v>
      </c>
      <c r="BD617" s="18"/>
      <c r="BE617" s="18"/>
      <c r="BF617" s="19"/>
      <c r="BG617" s="22"/>
      <c r="BH617" s="23">
        <f>BH616*$B617</f>
        <v>189000</v>
      </c>
      <c r="BI617" s="18"/>
      <c r="BJ617" s="18"/>
      <c r="BK617" s="19"/>
      <c r="BL617" s="22"/>
      <c r="BM617" s="23">
        <f>BM616*$B617</f>
        <v>378677.6</v>
      </c>
      <c r="BN617" s="18"/>
      <c r="BO617" s="18"/>
      <c r="BP617" s="19"/>
      <c r="BQ617" s="17" t="s">
        <v>953</v>
      </c>
      <c r="BR617" s="1"/>
      <c r="BS617" s="20">
        <f t="shared" si="35"/>
        <v>0</v>
      </c>
      <c r="BT617" s="1"/>
      <c r="BU617" s="1"/>
    </row>
    <row r="618">
      <c r="A618" s="67" t="str">
        <f>B603</f>
        <v>영이</v>
      </c>
      <c r="B618" s="29">
        <v>0.3</v>
      </c>
      <c r="C618" s="30" t="s">
        <v>57</v>
      </c>
      <c r="D618" s="31"/>
      <c r="E618" s="32">
        <f>E616*$B618</f>
        <v>195870.9</v>
      </c>
      <c r="F618" s="33"/>
      <c r="G618" s="33"/>
      <c r="H618" s="34"/>
      <c r="I618" s="31"/>
      <c r="J618" s="32">
        <f>J616*$B618</f>
        <v>312000</v>
      </c>
      <c r="K618" s="33"/>
      <c r="L618" s="33"/>
      <c r="M618" s="34"/>
      <c r="N618" s="31"/>
      <c r="O618" s="32">
        <f>O616*$B618</f>
        <v>312000</v>
      </c>
      <c r="P618" s="33"/>
      <c r="Q618" s="33"/>
      <c r="R618" s="34"/>
      <c r="S618" s="31"/>
      <c r="T618" s="32">
        <f>T616*$B618</f>
        <v>315000</v>
      </c>
      <c r="U618" s="33"/>
      <c r="V618" s="33"/>
      <c r="W618" s="34"/>
      <c r="X618" s="33"/>
      <c r="Y618" s="32">
        <f>Y616*$B618</f>
        <v>315000</v>
      </c>
      <c r="Z618" s="33"/>
      <c r="AA618" s="33"/>
      <c r="AB618" s="34"/>
      <c r="AC618" s="33"/>
      <c r="AD618" s="32">
        <f>AD616*$B618</f>
        <v>315000</v>
      </c>
      <c r="AE618" s="33"/>
      <c r="AF618" s="33"/>
      <c r="AG618" s="34"/>
      <c r="AH618" s="33"/>
      <c r="AI618" s="32">
        <f>AI616*$B618</f>
        <v>315000</v>
      </c>
      <c r="AJ618" s="33"/>
      <c r="AK618" s="33"/>
      <c r="AL618" s="34"/>
      <c r="AM618" s="33"/>
      <c r="AN618" s="32">
        <f>AN616*$B618</f>
        <v>81000</v>
      </c>
      <c r="AO618" s="33"/>
      <c r="AP618" s="33"/>
      <c r="AQ618" s="34"/>
      <c r="AR618" s="31"/>
      <c r="AS618" s="32">
        <f>AS616*$B618</f>
        <v>81000</v>
      </c>
      <c r="AT618" s="33"/>
      <c r="AU618" s="33"/>
      <c r="AV618" s="34"/>
      <c r="AW618" s="31"/>
      <c r="AX618" s="32">
        <f>AX616*$B618</f>
        <v>81000</v>
      </c>
      <c r="AY618" s="33"/>
      <c r="AZ618" s="33"/>
      <c r="BA618" s="34"/>
      <c r="BB618" s="31"/>
      <c r="BC618" s="32">
        <f>BC616*$B618</f>
        <v>381000</v>
      </c>
      <c r="BD618" s="33"/>
      <c r="BE618" s="33"/>
      <c r="BF618" s="34"/>
      <c r="BG618" s="31"/>
      <c r="BH618" s="32">
        <f>BH616*$B618</f>
        <v>81000</v>
      </c>
      <c r="BI618" s="33"/>
      <c r="BJ618" s="33"/>
      <c r="BK618" s="34"/>
      <c r="BL618" s="31"/>
      <c r="BM618" s="32">
        <f>BM616*$B618</f>
        <v>162290.4</v>
      </c>
      <c r="BN618" s="33"/>
      <c r="BO618" s="33"/>
      <c r="BP618" s="34"/>
      <c r="BQ618" s="17" t="s">
        <v>953</v>
      </c>
      <c r="BR618" s="1"/>
      <c r="BS618" s="1"/>
      <c r="BT618" s="1"/>
      <c r="BU618" s="1"/>
    </row>
    <row r="619">
      <c r="A619" s="1"/>
      <c r="B619" s="27" t="s">
        <v>986</v>
      </c>
      <c r="C619" s="11" t="s">
        <v>987</v>
      </c>
      <c r="D619" s="20" t="s">
        <v>988</v>
      </c>
      <c r="E619" s="23">
        <v>540000.0</v>
      </c>
      <c r="F619" s="35" t="b">
        <v>1</v>
      </c>
      <c r="G619" s="23">
        <v>80000.0</v>
      </c>
      <c r="H619" s="15" t="b">
        <v>1</v>
      </c>
      <c r="I619" s="20" t="s">
        <v>988</v>
      </c>
      <c r="J619" s="23">
        <v>540000.0</v>
      </c>
      <c r="K619" s="35" t="b">
        <v>1</v>
      </c>
      <c r="L619" s="23">
        <v>80000.0</v>
      </c>
      <c r="M619" s="15" t="b">
        <v>1</v>
      </c>
      <c r="N619" s="20" t="s">
        <v>988</v>
      </c>
      <c r="O619" s="23">
        <v>540000.0</v>
      </c>
      <c r="P619" s="35" t="b">
        <v>1</v>
      </c>
      <c r="Q619" s="23">
        <v>80000.0</v>
      </c>
      <c r="R619" s="15" t="b">
        <v>1</v>
      </c>
      <c r="S619" s="20" t="s">
        <v>988</v>
      </c>
      <c r="T619" s="23">
        <v>540000.0</v>
      </c>
      <c r="U619" s="35" t="b">
        <v>1</v>
      </c>
      <c r="V619" s="23">
        <v>80000.0</v>
      </c>
      <c r="W619" s="15" t="b">
        <v>1</v>
      </c>
      <c r="X619" s="20" t="s">
        <v>988</v>
      </c>
      <c r="Y619" s="23">
        <v>540000.0</v>
      </c>
      <c r="Z619" s="35" t="b">
        <v>1</v>
      </c>
      <c r="AA619" s="23">
        <v>80000.0</v>
      </c>
      <c r="AB619" s="15" t="b">
        <v>1</v>
      </c>
      <c r="AC619" s="20" t="s">
        <v>988</v>
      </c>
      <c r="AD619" s="23">
        <v>540000.0</v>
      </c>
      <c r="AE619" s="35" t="b">
        <v>1</v>
      </c>
      <c r="AF619" s="23">
        <v>80000.0</v>
      </c>
      <c r="AG619" s="15" t="b">
        <v>1</v>
      </c>
      <c r="AH619" s="20" t="s">
        <v>988</v>
      </c>
      <c r="AI619" s="23">
        <v>540000.0</v>
      </c>
      <c r="AJ619" s="35" t="b">
        <v>1</v>
      </c>
      <c r="AK619" s="23">
        <v>80000.0</v>
      </c>
      <c r="AL619" s="15" t="b">
        <v>1</v>
      </c>
      <c r="AM619" s="20" t="s">
        <v>988</v>
      </c>
      <c r="AN619" s="23">
        <v>540000.0</v>
      </c>
      <c r="AO619" s="35" t="b">
        <v>1</v>
      </c>
      <c r="AP619" s="23">
        <v>80000.0</v>
      </c>
      <c r="AQ619" s="15" t="b">
        <v>1</v>
      </c>
      <c r="AR619" s="20" t="s">
        <v>988</v>
      </c>
      <c r="AS619" s="23">
        <v>540000.0</v>
      </c>
      <c r="AT619" s="35" t="b">
        <v>1</v>
      </c>
      <c r="AU619" s="23">
        <v>80000.0</v>
      </c>
      <c r="AV619" s="15" t="b">
        <v>1</v>
      </c>
      <c r="AW619" s="20" t="s">
        <v>988</v>
      </c>
      <c r="AX619" s="23">
        <v>540000.0</v>
      </c>
      <c r="AY619" s="35" t="b">
        <v>1</v>
      </c>
      <c r="AZ619" s="23">
        <v>80000.0</v>
      </c>
      <c r="BA619" s="15" t="b">
        <v>1</v>
      </c>
      <c r="BB619" s="20" t="s">
        <v>988</v>
      </c>
      <c r="BC619" s="23">
        <v>540000.0</v>
      </c>
      <c r="BD619" s="35" t="b">
        <v>1</v>
      </c>
      <c r="BE619" s="23">
        <v>80000.0</v>
      </c>
      <c r="BF619" s="15" t="b">
        <v>1</v>
      </c>
      <c r="BG619" s="20" t="s">
        <v>988</v>
      </c>
      <c r="BH619" s="23">
        <v>540000.0</v>
      </c>
      <c r="BI619" s="35" t="b">
        <v>1</v>
      </c>
      <c r="BJ619" s="23">
        <v>80000.0</v>
      </c>
      <c r="BK619" s="15" t="b">
        <v>1</v>
      </c>
      <c r="BL619" s="20" t="s">
        <v>988</v>
      </c>
      <c r="BM619" s="23">
        <v>540000.0</v>
      </c>
      <c r="BN619" s="35" t="b">
        <v>0</v>
      </c>
      <c r="BO619" s="23">
        <v>80000.0</v>
      </c>
      <c r="BP619" s="15" t="b">
        <v>0</v>
      </c>
      <c r="BQ619" s="17" t="s">
        <v>216</v>
      </c>
      <c r="BR619" s="1"/>
      <c r="BS619" s="1"/>
      <c r="BT619" s="1"/>
      <c r="BU619" s="1"/>
    </row>
    <row r="620">
      <c r="A620" s="1"/>
      <c r="B620" s="27" t="s">
        <v>986</v>
      </c>
      <c r="C620" s="11" t="s">
        <v>989</v>
      </c>
      <c r="D620" s="20" t="s">
        <v>990</v>
      </c>
      <c r="E620" s="23">
        <v>470000.0</v>
      </c>
      <c r="F620" s="35" t="b">
        <v>1</v>
      </c>
      <c r="G620" s="23">
        <v>80000.0</v>
      </c>
      <c r="H620" s="15" t="b">
        <v>1</v>
      </c>
      <c r="I620" s="20" t="s">
        <v>991</v>
      </c>
      <c r="J620" s="23">
        <v>470000.0</v>
      </c>
      <c r="K620" s="35" t="b">
        <v>1</v>
      </c>
      <c r="L620" s="23">
        <v>80000.0</v>
      </c>
      <c r="M620" s="15" t="b">
        <v>1</v>
      </c>
      <c r="N620" s="20" t="s">
        <v>992</v>
      </c>
      <c r="O620" s="23">
        <v>520000.0</v>
      </c>
      <c r="P620" s="35" t="b">
        <v>1</v>
      </c>
      <c r="Q620" s="23">
        <v>80000.0</v>
      </c>
      <c r="R620" s="15" t="b">
        <v>1</v>
      </c>
      <c r="S620" s="20" t="s">
        <v>993</v>
      </c>
      <c r="T620" s="23">
        <v>520000.0</v>
      </c>
      <c r="U620" s="35" t="b">
        <v>1</v>
      </c>
      <c r="V620" s="23">
        <v>80000.0</v>
      </c>
      <c r="W620" s="15" t="b">
        <v>1</v>
      </c>
      <c r="X620" s="20" t="s">
        <v>993</v>
      </c>
      <c r="Y620" s="23">
        <v>520000.0</v>
      </c>
      <c r="Z620" s="35" t="b">
        <v>1</v>
      </c>
      <c r="AA620" s="23">
        <v>80000.0</v>
      </c>
      <c r="AB620" s="15" t="b">
        <v>1</v>
      </c>
      <c r="AC620" s="20" t="s">
        <v>993</v>
      </c>
      <c r="AD620" s="23">
        <v>520000.0</v>
      </c>
      <c r="AE620" s="35" t="b">
        <v>1</v>
      </c>
      <c r="AF620" s="23">
        <v>80000.0</v>
      </c>
      <c r="AG620" s="15" t="b">
        <v>1</v>
      </c>
      <c r="AH620" s="20" t="s">
        <v>993</v>
      </c>
      <c r="AI620" s="23">
        <v>520000.0</v>
      </c>
      <c r="AJ620" s="35" t="b">
        <v>1</v>
      </c>
      <c r="AK620" s="23">
        <v>80000.0</v>
      </c>
      <c r="AL620" s="15" t="b">
        <v>1</v>
      </c>
      <c r="AM620" s="58" t="s">
        <v>993</v>
      </c>
      <c r="AN620" s="23">
        <v>520000.0</v>
      </c>
      <c r="AO620" s="35" t="b">
        <v>1</v>
      </c>
      <c r="AP620" s="23">
        <v>80000.0</v>
      </c>
      <c r="AQ620" s="15" t="b">
        <v>1</v>
      </c>
      <c r="AR620" s="20" t="s">
        <v>993</v>
      </c>
      <c r="AS620" s="23">
        <v>510000.0</v>
      </c>
      <c r="AT620" s="35" t="b">
        <v>1</v>
      </c>
      <c r="AU620" s="23">
        <v>80000.0</v>
      </c>
      <c r="AV620" s="15" t="b">
        <v>1</v>
      </c>
      <c r="AW620" s="20" t="s">
        <v>993</v>
      </c>
      <c r="AX620" s="23">
        <v>510000.0</v>
      </c>
      <c r="AY620" s="35" t="b">
        <v>1</v>
      </c>
      <c r="AZ620" s="23">
        <v>80000.0</v>
      </c>
      <c r="BA620" s="15" t="b">
        <v>1</v>
      </c>
      <c r="BB620" s="20" t="s">
        <v>993</v>
      </c>
      <c r="BC620" s="23">
        <v>510000.0</v>
      </c>
      <c r="BD620" s="35" t="b">
        <v>1</v>
      </c>
      <c r="BE620" s="23">
        <v>80000.0</v>
      </c>
      <c r="BF620" s="15" t="b">
        <v>1</v>
      </c>
      <c r="BG620" s="20" t="s">
        <v>993</v>
      </c>
      <c r="BH620" s="23">
        <v>510000.0</v>
      </c>
      <c r="BI620" s="35" t="b">
        <v>1</v>
      </c>
      <c r="BJ620" s="23">
        <v>80000.0</v>
      </c>
      <c r="BK620" s="15" t="b">
        <v>1</v>
      </c>
      <c r="BL620" s="20" t="s">
        <v>993</v>
      </c>
      <c r="BM620" s="23">
        <v>510000.0</v>
      </c>
      <c r="BN620" s="35" t="b">
        <v>0</v>
      </c>
      <c r="BO620" s="23">
        <v>80000.0</v>
      </c>
      <c r="BP620" s="15" t="b">
        <v>0</v>
      </c>
      <c r="BQ620" s="17" t="s">
        <v>216</v>
      </c>
      <c r="BR620" s="1"/>
      <c r="BS620" s="1"/>
      <c r="BT620" s="1"/>
      <c r="BU620" s="1"/>
    </row>
    <row r="621">
      <c r="A621" s="1"/>
      <c r="B621" s="27" t="s">
        <v>986</v>
      </c>
      <c r="C621" s="11" t="s">
        <v>909</v>
      </c>
      <c r="D621" s="20" t="s">
        <v>994</v>
      </c>
      <c r="E621" s="23">
        <v>400000.0</v>
      </c>
      <c r="F621" s="35" t="b">
        <v>1</v>
      </c>
      <c r="G621" s="23">
        <v>80000.0</v>
      </c>
      <c r="H621" s="15" t="b">
        <v>1</v>
      </c>
      <c r="I621" s="20" t="s">
        <v>995</v>
      </c>
      <c r="J621" s="23">
        <f>27586+420000</f>
        <v>447586</v>
      </c>
      <c r="K621" s="35" t="b">
        <v>1</v>
      </c>
      <c r="L621" s="23">
        <f>5517+80000</f>
        <v>85517</v>
      </c>
      <c r="M621" s="15" t="b">
        <v>1</v>
      </c>
      <c r="N621" s="20" t="s">
        <v>996</v>
      </c>
      <c r="O621" s="23">
        <v>420000.0</v>
      </c>
      <c r="P621" s="35" t="b">
        <v>1</v>
      </c>
      <c r="Q621" s="23">
        <v>80000.0</v>
      </c>
      <c r="R621" s="15" t="b">
        <v>1</v>
      </c>
      <c r="S621" s="20" t="s">
        <v>996</v>
      </c>
      <c r="T621" s="23">
        <v>420000.0</v>
      </c>
      <c r="U621" s="35" t="b">
        <v>1</v>
      </c>
      <c r="V621" s="23">
        <v>80000.0</v>
      </c>
      <c r="W621" s="15" t="b">
        <v>1</v>
      </c>
      <c r="X621" s="20" t="s">
        <v>996</v>
      </c>
      <c r="Y621" s="23">
        <v>420000.0</v>
      </c>
      <c r="Z621" s="35" t="b">
        <v>1</v>
      </c>
      <c r="AA621" s="23">
        <v>80000.0</v>
      </c>
      <c r="AB621" s="15" t="b">
        <v>1</v>
      </c>
      <c r="AC621" s="20" t="s">
        <v>996</v>
      </c>
      <c r="AD621" s="23">
        <v>420000.0</v>
      </c>
      <c r="AE621" s="35" t="b">
        <v>1</v>
      </c>
      <c r="AF621" s="23">
        <v>80000.0</v>
      </c>
      <c r="AG621" s="15" t="b">
        <v>1</v>
      </c>
      <c r="AH621" s="20" t="s">
        <v>996</v>
      </c>
      <c r="AI621" s="23">
        <v>420000.0</v>
      </c>
      <c r="AJ621" s="35" t="b">
        <v>1</v>
      </c>
      <c r="AK621" s="23">
        <v>80000.0</v>
      </c>
      <c r="AL621" s="15" t="b">
        <v>1</v>
      </c>
      <c r="AM621" s="20" t="s">
        <v>996</v>
      </c>
      <c r="AN621" s="23">
        <v>420000.0</v>
      </c>
      <c r="AO621" s="35" t="b">
        <v>1</v>
      </c>
      <c r="AP621" s="23">
        <v>80000.0</v>
      </c>
      <c r="AQ621" s="15" t="b">
        <v>1</v>
      </c>
      <c r="AR621" s="20" t="s">
        <v>996</v>
      </c>
      <c r="AS621" s="23">
        <v>420000.0</v>
      </c>
      <c r="AT621" s="35" t="b">
        <v>1</v>
      </c>
      <c r="AU621" s="23">
        <v>80000.0</v>
      </c>
      <c r="AV621" s="15" t="b">
        <v>1</v>
      </c>
      <c r="AW621" s="20" t="s">
        <v>996</v>
      </c>
      <c r="AX621" s="23">
        <v>420000.0</v>
      </c>
      <c r="AY621" s="35" t="b">
        <v>1</v>
      </c>
      <c r="AZ621" s="23">
        <v>80000.0</v>
      </c>
      <c r="BA621" s="15" t="b">
        <v>1</v>
      </c>
      <c r="BB621" s="20" t="s">
        <v>996</v>
      </c>
      <c r="BC621" s="23">
        <v>420000.0</v>
      </c>
      <c r="BD621" s="35" t="b">
        <v>1</v>
      </c>
      <c r="BE621" s="23">
        <v>80000.0</v>
      </c>
      <c r="BF621" s="15" t="b">
        <v>1</v>
      </c>
      <c r="BG621" s="20" t="s">
        <v>996</v>
      </c>
      <c r="BH621" s="23">
        <v>420000.0</v>
      </c>
      <c r="BI621" s="35" t="b">
        <v>1</v>
      </c>
      <c r="BJ621" s="23">
        <v>80000.0</v>
      </c>
      <c r="BK621" s="15" t="b">
        <v>1</v>
      </c>
      <c r="BL621" s="20" t="s">
        <v>996</v>
      </c>
      <c r="BM621" s="23">
        <v>420000.0</v>
      </c>
      <c r="BN621" s="35" t="b">
        <v>0</v>
      </c>
      <c r="BO621" s="23">
        <v>80000.0</v>
      </c>
      <c r="BP621" s="15" t="b">
        <v>0</v>
      </c>
      <c r="BQ621" s="17" t="s">
        <v>216</v>
      </c>
      <c r="BR621" s="1"/>
      <c r="BS621" s="1"/>
      <c r="BT621" s="1"/>
      <c r="BU621" s="1"/>
    </row>
    <row r="622">
      <c r="A622" s="1"/>
      <c r="B622" s="27" t="s">
        <v>986</v>
      </c>
      <c r="C622" s="11" t="s">
        <v>316</v>
      </c>
      <c r="D622" s="20" t="s">
        <v>997</v>
      </c>
      <c r="E622" s="23">
        <v>400000.0</v>
      </c>
      <c r="F622" s="35" t="b">
        <v>1</v>
      </c>
      <c r="G622" s="23">
        <v>80000.0</v>
      </c>
      <c r="H622" s="15" t="b">
        <v>1</v>
      </c>
      <c r="I622" s="20" t="s">
        <v>998</v>
      </c>
      <c r="J622" s="23">
        <f>27586+260690</f>
        <v>288276</v>
      </c>
      <c r="K622" s="35" t="b">
        <v>1</v>
      </c>
      <c r="L622" s="23">
        <f>5517+49655</f>
        <v>55172</v>
      </c>
      <c r="M622" s="15" t="b">
        <v>1</v>
      </c>
      <c r="N622" s="20" t="s">
        <v>999</v>
      </c>
      <c r="O622" s="23">
        <v>230323.0</v>
      </c>
      <c r="P622" s="35" t="b">
        <v>1</v>
      </c>
      <c r="Q622" s="23">
        <v>43871.0</v>
      </c>
      <c r="R622" s="15" t="b">
        <v>1</v>
      </c>
      <c r="S622" s="20" t="s">
        <v>1000</v>
      </c>
      <c r="T622" s="23">
        <v>420000.0</v>
      </c>
      <c r="U622" s="35" t="b">
        <v>1</v>
      </c>
      <c r="V622" s="23">
        <v>80000.0</v>
      </c>
      <c r="W622" s="15" t="b">
        <v>1</v>
      </c>
      <c r="X622" s="20" t="s">
        <v>1000</v>
      </c>
      <c r="Y622" s="23">
        <v>420000.0</v>
      </c>
      <c r="Z622" s="35" t="b">
        <v>1</v>
      </c>
      <c r="AA622" s="23">
        <v>80000.0</v>
      </c>
      <c r="AB622" s="15" t="b">
        <v>1</v>
      </c>
      <c r="AC622" s="20" t="s">
        <v>1000</v>
      </c>
      <c r="AD622" s="23">
        <v>420000.0</v>
      </c>
      <c r="AE622" s="35" t="b">
        <v>1</v>
      </c>
      <c r="AF622" s="23">
        <v>80000.0</v>
      </c>
      <c r="AG622" s="15" t="b">
        <v>1</v>
      </c>
      <c r="AH622" s="20" t="s">
        <v>1000</v>
      </c>
      <c r="AI622" s="23">
        <v>420000.0</v>
      </c>
      <c r="AJ622" s="35" t="b">
        <v>1</v>
      </c>
      <c r="AK622" s="23">
        <v>80000.0</v>
      </c>
      <c r="AL622" s="15" t="b">
        <v>1</v>
      </c>
      <c r="AM622" s="20" t="s">
        <v>1001</v>
      </c>
      <c r="AN622" s="23">
        <v>420000.0</v>
      </c>
      <c r="AO622" s="35" t="b">
        <v>1</v>
      </c>
      <c r="AP622" s="23">
        <v>80000.0</v>
      </c>
      <c r="AQ622" s="15" t="b">
        <v>1</v>
      </c>
      <c r="AR622" s="20" t="s">
        <v>37</v>
      </c>
      <c r="AS622" s="18"/>
      <c r="AT622" s="1"/>
      <c r="AU622" s="18"/>
      <c r="AV622" s="19"/>
      <c r="AW622" s="20" t="s">
        <v>37</v>
      </c>
      <c r="AX622" s="18"/>
      <c r="AY622" s="1"/>
      <c r="AZ622" s="18"/>
      <c r="BA622" s="19"/>
      <c r="BB622" s="20" t="s">
        <v>37</v>
      </c>
      <c r="BC622" s="18"/>
      <c r="BD622" s="1"/>
      <c r="BE622" s="18"/>
      <c r="BF622" s="19"/>
      <c r="BG622" s="20" t="s">
        <v>37</v>
      </c>
      <c r="BH622" s="18"/>
      <c r="BI622" s="1"/>
      <c r="BJ622" s="18"/>
      <c r="BK622" s="19"/>
      <c r="BL622" s="20" t="s">
        <v>37</v>
      </c>
      <c r="BM622" s="18"/>
      <c r="BN622" s="1"/>
      <c r="BO622" s="18"/>
      <c r="BP622" s="15" t="b">
        <v>0</v>
      </c>
      <c r="BQ622" s="17" t="s">
        <v>216</v>
      </c>
      <c r="BR622" s="1"/>
      <c r="BS622" s="1"/>
      <c r="BT622" s="1"/>
      <c r="BU622" s="1"/>
    </row>
    <row r="623">
      <c r="A623" s="1"/>
      <c r="B623" s="21"/>
      <c r="C623" s="11" t="s">
        <v>42</v>
      </c>
      <c r="D623" s="22"/>
      <c r="E623" s="23">
        <f>SUM(E619:E622)</f>
        <v>1810000</v>
      </c>
      <c r="F623" s="18"/>
      <c r="G623" s="23">
        <f>SUM(G619:G622)</f>
        <v>320000</v>
      </c>
      <c r="H623" s="19"/>
      <c r="I623" s="22"/>
      <c r="J623" s="23">
        <f>SUM(J619:J622)</f>
        <v>1745862</v>
      </c>
      <c r="K623" s="18"/>
      <c r="L623" s="23">
        <f>SUM(L619:L622)</f>
        <v>300689</v>
      </c>
      <c r="M623" s="19"/>
      <c r="N623" s="22"/>
      <c r="O623" s="23">
        <f>SUM(O619:O622)</f>
        <v>1710323</v>
      </c>
      <c r="P623" s="18"/>
      <c r="Q623" s="23">
        <f>SUM(Q619:Q622)</f>
        <v>283871</v>
      </c>
      <c r="R623" s="19"/>
      <c r="S623" s="22"/>
      <c r="T623" s="23">
        <f>SUM(T619:T622)</f>
        <v>1900000</v>
      </c>
      <c r="U623" s="18"/>
      <c r="V623" s="23">
        <f>SUM(V619:V622)</f>
        <v>320000</v>
      </c>
      <c r="W623" s="19"/>
      <c r="X623" s="18"/>
      <c r="Y623" s="23">
        <f>SUM(Y619:Y622)</f>
        <v>1900000</v>
      </c>
      <c r="Z623" s="18"/>
      <c r="AA623" s="23">
        <f>SUM(AA619:AA622)</f>
        <v>320000</v>
      </c>
      <c r="AB623" s="19"/>
      <c r="AC623" s="18"/>
      <c r="AD623" s="23">
        <f>SUM(AD619:AD622)</f>
        <v>1900000</v>
      </c>
      <c r="AE623" s="18"/>
      <c r="AF623" s="23">
        <f>SUM(AF619:AF622)</f>
        <v>320000</v>
      </c>
      <c r="AG623" s="19"/>
      <c r="AH623" s="18"/>
      <c r="AI623" s="23">
        <f>SUM(AI619:AI622)</f>
        <v>1900000</v>
      </c>
      <c r="AJ623" s="18"/>
      <c r="AK623" s="23">
        <f>SUM(AK619:AK622)</f>
        <v>320000</v>
      </c>
      <c r="AL623" s="19"/>
      <c r="AM623" s="18"/>
      <c r="AN623" s="23">
        <f>SUM(AN619:AN622)</f>
        <v>1900000</v>
      </c>
      <c r="AO623" s="18"/>
      <c r="AP623" s="23">
        <f>SUM(AP619:AP622)</f>
        <v>320000</v>
      </c>
      <c r="AQ623" s="19"/>
      <c r="AR623" s="22"/>
      <c r="AS623" s="23">
        <f>SUM(AS619:AS622)</f>
        <v>1470000</v>
      </c>
      <c r="AT623" s="18"/>
      <c r="AU623" s="23">
        <f>SUM(AU619:AU622)</f>
        <v>240000</v>
      </c>
      <c r="AV623" s="19"/>
      <c r="AW623" s="22"/>
      <c r="AX623" s="23">
        <f>SUM(AX619:AX622)</f>
        <v>1470000</v>
      </c>
      <c r="AY623" s="18"/>
      <c r="AZ623" s="23">
        <f>SUM(AZ619:AZ622)</f>
        <v>240000</v>
      </c>
      <c r="BA623" s="19"/>
      <c r="BB623" s="22"/>
      <c r="BC623" s="23">
        <f>SUM(BC619:BC622)</f>
        <v>1470000</v>
      </c>
      <c r="BD623" s="18"/>
      <c r="BE623" s="23">
        <f>SUM(BE619:BE622)</f>
        <v>240000</v>
      </c>
      <c r="BF623" s="19"/>
      <c r="BG623" s="22"/>
      <c r="BH623" s="23">
        <f>SUM(BH619:BH622)</f>
        <v>1470000</v>
      </c>
      <c r="BI623" s="18"/>
      <c r="BJ623" s="23">
        <f>SUM(BJ619:BJ622)</f>
        <v>240000</v>
      </c>
      <c r="BK623" s="19"/>
      <c r="BL623" s="22"/>
      <c r="BM623" s="23">
        <f>SUM(BM619:BM622)</f>
        <v>1470000</v>
      </c>
      <c r="BN623" s="18"/>
      <c r="BO623" s="23">
        <f>SUM(BO619:BO622)</f>
        <v>240000</v>
      </c>
      <c r="BP623" s="19"/>
      <c r="BQ623" s="17" t="s">
        <v>216</v>
      </c>
      <c r="BR623" s="1"/>
      <c r="BS623" s="1"/>
      <c r="BT623" s="1"/>
      <c r="BU623" s="1"/>
    </row>
    <row r="624">
      <c r="A624" s="1"/>
      <c r="B624" s="21"/>
      <c r="C624" s="11" t="s">
        <v>43</v>
      </c>
      <c r="D624" s="22"/>
      <c r="E624" s="23">
        <v>800000.0</v>
      </c>
      <c r="F624" s="18"/>
      <c r="G624" s="18"/>
      <c r="H624" s="19"/>
      <c r="I624" s="22"/>
      <c r="J624" s="23">
        <v>800000.0</v>
      </c>
      <c r="K624" s="18"/>
      <c r="L624" s="18"/>
      <c r="M624" s="19"/>
      <c r="N624" s="22"/>
      <c r="O624" s="23">
        <v>800000.0</v>
      </c>
      <c r="P624" s="18"/>
      <c r="Q624" s="18"/>
      <c r="R624" s="19"/>
      <c r="S624" s="22"/>
      <c r="T624" s="23">
        <v>800000.0</v>
      </c>
      <c r="U624" s="18"/>
      <c r="V624" s="18"/>
      <c r="W624" s="19"/>
      <c r="X624" s="18"/>
      <c r="Y624" s="23">
        <v>800000.0</v>
      </c>
      <c r="Z624" s="18"/>
      <c r="AA624" s="18"/>
      <c r="AB624" s="19"/>
      <c r="AC624" s="18"/>
      <c r="AD624" s="23">
        <v>800000.0</v>
      </c>
      <c r="AE624" s="18"/>
      <c r="AF624" s="18"/>
      <c r="AG624" s="19"/>
      <c r="AH624" s="18"/>
      <c r="AI624" s="23">
        <v>800000.0</v>
      </c>
      <c r="AJ624" s="18"/>
      <c r="AK624" s="18"/>
      <c r="AL624" s="19"/>
      <c r="AM624" s="18"/>
      <c r="AN624" s="23">
        <v>800000.0</v>
      </c>
      <c r="AO624" s="18"/>
      <c r="AP624" s="18"/>
      <c r="AQ624" s="19"/>
      <c r="AR624" s="22"/>
      <c r="AS624" s="23">
        <v>800000.0</v>
      </c>
      <c r="AT624" s="18"/>
      <c r="AU624" s="18"/>
      <c r="AV624" s="19"/>
      <c r="AW624" s="22"/>
      <c r="AX624" s="23">
        <v>800000.0</v>
      </c>
      <c r="AY624" s="18"/>
      <c r="AZ624" s="18"/>
      <c r="BA624" s="19"/>
      <c r="BB624" s="22"/>
      <c r="BC624" s="23">
        <v>800000.0</v>
      </c>
      <c r="BD624" s="18"/>
      <c r="BE624" s="18"/>
      <c r="BF624" s="19"/>
      <c r="BG624" s="22"/>
      <c r="BH624" s="23">
        <v>800000.0</v>
      </c>
      <c r="BI624" s="18"/>
      <c r="BJ624" s="18"/>
      <c r="BK624" s="19"/>
      <c r="BL624" s="22"/>
      <c r="BM624" s="23">
        <v>800000.0</v>
      </c>
      <c r="BN624" s="18"/>
      <c r="BO624" s="18"/>
      <c r="BP624" s="19"/>
      <c r="BQ624" s="17" t="s">
        <v>216</v>
      </c>
      <c r="BR624" s="1"/>
      <c r="BS624" s="1"/>
      <c r="BT624" s="1"/>
      <c r="BU624" s="1"/>
    </row>
    <row r="625">
      <c r="A625" s="1"/>
      <c r="B625" s="21"/>
      <c r="C625" s="11" t="s">
        <v>45</v>
      </c>
      <c r="D625" s="22"/>
      <c r="E625" s="23">
        <v>30000.0</v>
      </c>
      <c r="F625" s="18"/>
      <c r="G625" s="18"/>
      <c r="H625" s="19"/>
      <c r="I625" s="22"/>
      <c r="J625" s="18"/>
      <c r="K625" s="18"/>
      <c r="L625" s="18"/>
      <c r="M625" s="24"/>
      <c r="N625" s="22"/>
      <c r="O625" s="18"/>
      <c r="P625" s="18"/>
      <c r="Q625" s="18"/>
      <c r="R625" s="24"/>
      <c r="S625" s="22"/>
      <c r="T625" s="18"/>
      <c r="U625" s="18"/>
      <c r="V625" s="18"/>
      <c r="W625" s="24"/>
      <c r="X625" s="18"/>
      <c r="Y625" s="18"/>
      <c r="Z625" s="18"/>
      <c r="AA625" s="18"/>
      <c r="AB625" s="24"/>
      <c r="AC625" s="18"/>
      <c r="AD625" s="18"/>
      <c r="AE625" s="18"/>
      <c r="AF625" s="18"/>
      <c r="AG625" s="24"/>
      <c r="AH625" s="18"/>
      <c r="AI625" s="18"/>
      <c r="AJ625" s="18"/>
      <c r="AK625" s="18"/>
      <c r="AL625" s="24"/>
      <c r="AM625" s="18"/>
      <c r="AN625" s="18"/>
      <c r="AO625" s="18"/>
      <c r="AP625" s="18"/>
      <c r="AQ625" s="24"/>
      <c r="AR625" s="22"/>
      <c r="AS625" s="18"/>
      <c r="AT625" s="18"/>
      <c r="AU625" s="18"/>
      <c r="AV625" s="24"/>
      <c r="AW625" s="22"/>
      <c r="AX625" s="18"/>
      <c r="AY625" s="18"/>
      <c r="AZ625" s="18"/>
      <c r="BA625" s="24"/>
      <c r="BB625" s="22"/>
      <c r="BC625" s="18"/>
      <c r="BD625" s="18"/>
      <c r="BE625" s="18"/>
      <c r="BF625" s="24"/>
      <c r="BG625" s="22"/>
      <c r="BH625" s="18"/>
      <c r="BI625" s="18"/>
      <c r="BJ625" s="18"/>
      <c r="BK625" s="19"/>
      <c r="BL625" s="22"/>
      <c r="BM625" s="18"/>
      <c r="BN625" s="18"/>
      <c r="BO625" s="18"/>
      <c r="BP625" s="19"/>
      <c r="BQ625" s="17" t="s">
        <v>216</v>
      </c>
      <c r="BR625" s="1"/>
      <c r="BS625" s="1"/>
      <c r="BT625" s="1"/>
      <c r="BU625" s="1"/>
    </row>
    <row r="626">
      <c r="A626" s="1"/>
      <c r="B626" s="10" t="s">
        <v>1002</v>
      </c>
      <c r="C626" s="11" t="s">
        <v>47</v>
      </c>
      <c r="D626" s="22"/>
      <c r="E626" s="18"/>
      <c r="F626" s="18"/>
      <c r="G626" s="18"/>
      <c r="H626" s="19"/>
      <c r="I626" s="22"/>
      <c r="J626" s="18"/>
      <c r="K626" s="18"/>
      <c r="L626" s="18"/>
      <c r="M626" s="24"/>
      <c r="N626" s="22"/>
      <c r="O626" s="18"/>
      <c r="P626" s="18"/>
      <c r="Q626" s="18"/>
      <c r="R626" s="24"/>
      <c r="S626" s="22"/>
      <c r="T626" s="18"/>
      <c r="U626" s="18"/>
      <c r="V626" s="18"/>
      <c r="W626" s="24"/>
      <c r="X626" s="18"/>
      <c r="Y626" s="18"/>
      <c r="Z626" s="18"/>
      <c r="AA626" s="18"/>
      <c r="AB626" s="24"/>
      <c r="AC626" s="18"/>
      <c r="AD626" s="18"/>
      <c r="AE626" s="18"/>
      <c r="AF626" s="18"/>
      <c r="AG626" s="24"/>
      <c r="AH626" s="18"/>
      <c r="AI626" s="18"/>
      <c r="AJ626" s="18"/>
      <c r="AK626" s="18"/>
      <c r="AL626" s="24"/>
      <c r="AM626" s="18"/>
      <c r="AN626" s="18"/>
      <c r="AO626" s="18"/>
      <c r="AP626" s="18"/>
      <c r="AQ626" s="24"/>
      <c r="AR626" s="22"/>
      <c r="AS626" s="18"/>
      <c r="AT626" s="18"/>
      <c r="AU626" s="18"/>
      <c r="AV626" s="24"/>
      <c r="AW626" s="22"/>
      <c r="AX626" s="18"/>
      <c r="AY626" s="18"/>
      <c r="AZ626" s="18"/>
      <c r="BA626" s="24"/>
      <c r="BB626" s="22"/>
      <c r="BC626" s="18"/>
      <c r="BD626" s="18"/>
      <c r="BE626" s="18"/>
      <c r="BF626" s="24"/>
      <c r="BG626" s="22"/>
      <c r="BH626" s="18"/>
      <c r="BI626" s="18"/>
      <c r="BJ626" s="18"/>
      <c r="BK626" s="19"/>
      <c r="BL626" s="22"/>
      <c r="BM626" s="18"/>
      <c r="BN626" s="18"/>
      <c r="BO626" s="18"/>
      <c r="BP626" s="19"/>
      <c r="BQ626" s="17" t="s">
        <v>216</v>
      </c>
      <c r="BR626" s="1"/>
      <c r="BS626" s="1"/>
      <c r="BT626" s="1"/>
      <c r="BU626" s="1"/>
    </row>
    <row r="627">
      <c r="A627" s="1"/>
      <c r="B627" s="10">
        <v>6.00585501E9</v>
      </c>
      <c r="C627" s="11" t="s">
        <v>1003</v>
      </c>
      <c r="D627" s="22"/>
      <c r="E627" s="18"/>
      <c r="F627" s="18"/>
      <c r="G627" s="23">
        <v>214460.0</v>
      </c>
      <c r="H627" s="19"/>
      <c r="I627" s="22"/>
      <c r="J627" s="18"/>
      <c r="K627" s="18"/>
      <c r="L627" s="23">
        <v>245320.0</v>
      </c>
      <c r="M627" s="24"/>
      <c r="N627" s="22"/>
      <c r="O627" s="18"/>
      <c r="P627" s="18"/>
      <c r="Q627" s="23">
        <v>205910.0</v>
      </c>
      <c r="R627" s="24"/>
      <c r="S627" s="22"/>
      <c r="T627" s="18"/>
      <c r="U627" s="18"/>
      <c r="V627" s="23">
        <v>178430.0</v>
      </c>
      <c r="W627" s="24"/>
      <c r="X627" s="18"/>
      <c r="Y627" s="18"/>
      <c r="Z627" s="18"/>
      <c r="AA627" s="23">
        <v>69830.0</v>
      </c>
      <c r="AB627" s="24"/>
      <c r="AC627" s="18"/>
      <c r="AD627" s="18"/>
      <c r="AE627" s="18"/>
      <c r="AF627" s="23">
        <v>37430.0</v>
      </c>
      <c r="AG627" s="24"/>
      <c r="AH627" s="18"/>
      <c r="AI627" s="18"/>
      <c r="AJ627" s="18"/>
      <c r="AK627" s="23">
        <v>32480.0</v>
      </c>
      <c r="AL627" s="24"/>
      <c r="AM627" s="18"/>
      <c r="AN627" s="18"/>
      <c r="AO627" s="18"/>
      <c r="AP627" s="23">
        <v>19930.0</v>
      </c>
      <c r="AQ627" s="24"/>
      <c r="AR627" s="22"/>
      <c r="AS627" s="18"/>
      <c r="AT627" s="18"/>
      <c r="AU627" s="23">
        <v>19660.0</v>
      </c>
      <c r="AV627" s="24"/>
      <c r="AW627" s="22"/>
      <c r="AX627" s="18"/>
      <c r="AY627" s="18"/>
      <c r="AZ627" s="23">
        <v>11810.0</v>
      </c>
      <c r="BA627" s="24"/>
      <c r="BB627" s="22"/>
      <c r="BC627" s="18"/>
      <c r="BD627" s="18"/>
      <c r="BE627" s="23">
        <v>18050.0</v>
      </c>
      <c r="BF627" s="24"/>
      <c r="BG627" s="22"/>
      <c r="BH627" s="18"/>
      <c r="BI627" s="18"/>
      <c r="BJ627" s="23">
        <v>45180.0</v>
      </c>
      <c r="BK627" s="19"/>
      <c r="BL627" s="22"/>
      <c r="BM627" s="18"/>
      <c r="BN627" s="18"/>
      <c r="BO627" s="23">
        <v>167470.0</v>
      </c>
      <c r="BP627" s="19"/>
      <c r="BQ627" s="17" t="s">
        <v>216</v>
      </c>
      <c r="BR627" s="1"/>
      <c r="BS627" s="1"/>
      <c r="BT627" s="1"/>
      <c r="BU627" s="1"/>
    </row>
    <row r="628">
      <c r="A628" s="1"/>
      <c r="B628" s="10" t="s">
        <v>1004</v>
      </c>
      <c r="C628" s="11" t="s">
        <v>51</v>
      </c>
      <c r="D628" s="22"/>
      <c r="E628" s="18"/>
      <c r="F628" s="18"/>
      <c r="G628" s="18"/>
      <c r="H628" s="19"/>
      <c r="I628" s="22"/>
      <c r="J628" s="18"/>
      <c r="K628" s="18"/>
      <c r="L628" s="18"/>
      <c r="M628" s="24"/>
      <c r="N628" s="22"/>
      <c r="O628" s="18"/>
      <c r="P628" s="18"/>
      <c r="Q628" s="23">
        <v>35000.0</v>
      </c>
      <c r="R628" s="24"/>
      <c r="S628" s="22"/>
      <c r="T628" s="18"/>
      <c r="U628" s="18"/>
      <c r="V628" s="18"/>
      <c r="W628" s="24"/>
      <c r="X628" s="18"/>
      <c r="Y628" s="18"/>
      <c r="Z628" s="18"/>
      <c r="AA628" s="18"/>
      <c r="AB628" s="24"/>
      <c r="AC628" s="18"/>
      <c r="AD628" s="18"/>
      <c r="AE628" s="18"/>
      <c r="AF628" s="18"/>
      <c r="AG628" s="24"/>
      <c r="AH628" s="18"/>
      <c r="AI628" s="18"/>
      <c r="AJ628" s="18"/>
      <c r="AK628" s="18"/>
      <c r="AL628" s="24"/>
      <c r="AM628" s="18"/>
      <c r="AN628" s="18"/>
      <c r="AO628" s="18"/>
      <c r="AP628" s="18"/>
      <c r="AQ628" s="24"/>
      <c r="AR628" s="22"/>
      <c r="AS628" s="18"/>
      <c r="AT628" s="18"/>
      <c r="AU628" s="18"/>
      <c r="AV628" s="24"/>
      <c r="AW628" s="22"/>
      <c r="AX628" s="18"/>
      <c r="AY628" s="18"/>
      <c r="AZ628" s="18"/>
      <c r="BA628" s="24"/>
      <c r="BB628" s="22"/>
      <c r="BC628" s="18"/>
      <c r="BD628" s="18"/>
      <c r="BE628" s="23">
        <v>55000.0</v>
      </c>
      <c r="BF628" s="24"/>
      <c r="BG628" s="22"/>
      <c r="BH628" s="18"/>
      <c r="BI628" s="18"/>
      <c r="BJ628" s="18"/>
      <c r="BK628" s="19"/>
      <c r="BL628" s="22"/>
      <c r="BM628" s="18"/>
      <c r="BN628" s="18"/>
      <c r="BO628" s="18"/>
      <c r="BP628" s="19"/>
      <c r="BQ628" s="17" t="s">
        <v>216</v>
      </c>
      <c r="BR628" s="1"/>
      <c r="BS628" s="1"/>
      <c r="BT628" s="1"/>
      <c r="BU628" s="1"/>
    </row>
    <row r="629">
      <c r="A629" s="1"/>
      <c r="B629" s="21"/>
      <c r="C629" s="11" t="s">
        <v>52</v>
      </c>
      <c r="D629" s="22"/>
      <c r="E629" s="18"/>
      <c r="F629" s="18"/>
      <c r="G629" s="23" t="s">
        <v>263</v>
      </c>
      <c r="H629" s="19"/>
      <c r="I629" s="22"/>
      <c r="J629" s="18"/>
      <c r="K629" s="18"/>
      <c r="L629" s="18"/>
      <c r="M629" s="24"/>
      <c r="N629" s="22"/>
      <c r="O629" s="18"/>
      <c r="P629" s="18"/>
      <c r="Q629" s="18"/>
      <c r="R629" s="24"/>
      <c r="S629" s="22"/>
      <c r="T629" s="18"/>
      <c r="U629" s="18"/>
      <c r="V629" s="18"/>
      <c r="W629" s="24"/>
      <c r="X629" s="18"/>
      <c r="Y629" s="18"/>
      <c r="Z629" s="18"/>
      <c r="AA629" s="18"/>
      <c r="AB629" s="24"/>
      <c r="AC629" s="18"/>
      <c r="AD629" s="18"/>
      <c r="AE629" s="18"/>
      <c r="AF629" s="18"/>
      <c r="AG629" s="24"/>
      <c r="AH629" s="18"/>
      <c r="AI629" s="18"/>
      <c r="AJ629" s="18"/>
      <c r="AK629" s="18"/>
      <c r="AL629" s="24"/>
      <c r="AM629" s="18"/>
      <c r="AN629" s="18"/>
      <c r="AO629" s="18"/>
      <c r="AP629" s="18"/>
      <c r="AQ629" s="24"/>
      <c r="AR629" s="22"/>
      <c r="AS629" s="18"/>
      <c r="AT629" s="18"/>
      <c r="AU629" s="18"/>
      <c r="AV629" s="24"/>
      <c r="AW629" s="22"/>
      <c r="AX629" s="18"/>
      <c r="AY629" s="18"/>
      <c r="AZ629" s="18"/>
      <c r="BA629" s="24"/>
      <c r="BB629" s="22"/>
      <c r="BC629" s="18"/>
      <c r="BD629" s="18"/>
      <c r="BE629" s="18"/>
      <c r="BF629" s="24"/>
      <c r="BG629" s="22"/>
      <c r="BH629" s="18"/>
      <c r="BI629" s="18"/>
      <c r="BJ629" s="18"/>
      <c r="BK629" s="19"/>
      <c r="BL629" s="22"/>
      <c r="BM629" s="18"/>
      <c r="BN629" s="18"/>
      <c r="BO629" s="18"/>
      <c r="BP629" s="19"/>
      <c r="BQ629" s="17" t="s">
        <v>216</v>
      </c>
      <c r="BR629" s="1"/>
      <c r="BS629" s="1"/>
      <c r="BT629" s="1"/>
      <c r="BU629" s="1"/>
    </row>
    <row r="630">
      <c r="A630" s="1"/>
      <c r="B630" s="10" t="s">
        <v>1005</v>
      </c>
      <c r="C630" s="11" t="s">
        <v>53</v>
      </c>
      <c r="D630" s="22"/>
      <c r="E630" s="18"/>
      <c r="F630" s="18"/>
      <c r="G630" s="23">
        <v>19900.0</v>
      </c>
      <c r="H630" s="19"/>
      <c r="I630" s="22"/>
      <c r="J630" s="18"/>
      <c r="K630" s="18"/>
      <c r="L630" s="18"/>
      <c r="M630" s="24"/>
      <c r="N630" s="22"/>
      <c r="O630" s="18"/>
      <c r="P630" s="18"/>
      <c r="Q630" s="18"/>
      <c r="R630" s="24"/>
      <c r="S630" s="22"/>
      <c r="T630" s="18"/>
      <c r="U630" s="18"/>
      <c r="V630" s="18"/>
      <c r="W630" s="24"/>
      <c r="X630" s="18"/>
      <c r="Y630" s="18"/>
      <c r="Z630" s="18"/>
      <c r="AA630" s="18"/>
      <c r="AB630" s="24"/>
      <c r="AC630" s="18"/>
      <c r="AD630" s="18"/>
      <c r="AE630" s="18"/>
      <c r="AF630" s="18"/>
      <c r="AG630" s="24"/>
      <c r="AH630" s="18"/>
      <c r="AI630" s="18"/>
      <c r="AJ630" s="18"/>
      <c r="AK630" s="18"/>
      <c r="AL630" s="24"/>
      <c r="AM630" s="18"/>
      <c r="AN630" s="18"/>
      <c r="AO630" s="18"/>
      <c r="AP630" s="18"/>
      <c r="AQ630" s="24"/>
      <c r="AR630" s="22"/>
      <c r="AS630" s="18"/>
      <c r="AT630" s="18"/>
      <c r="AU630" s="18"/>
      <c r="AV630" s="24"/>
      <c r="AW630" s="22"/>
      <c r="AX630" s="18"/>
      <c r="AY630" s="18"/>
      <c r="AZ630" s="18"/>
      <c r="BA630" s="24"/>
      <c r="BB630" s="22"/>
      <c r="BC630" s="18"/>
      <c r="BD630" s="18"/>
      <c r="BE630" s="18"/>
      <c r="BF630" s="24"/>
      <c r="BG630" s="22"/>
      <c r="BH630" s="18"/>
      <c r="BI630" s="18"/>
      <c r="BJ630" s="18"/>
      <c r="BK630" s="19"/>
      <c r="BL630" s="22"/>
      <c r="BM630" s="18"/>
      <c r="BN630" s="18"/>
      <c r="BO630" s="18"/>
      <c r="BP630" s="19"/>
      <c r="BQ630" s="17" t="s">
        <v>216</v>
      </c>
      <c r="BR630" s="1"/>
      <c r="BS630" s="1"/>
      <c r="BT630" s="1"/>
      <c r="BU630" s="1"/>
    </row>
    <row r="631">
      <c r="A631" s="1"/>
      <c r="B631" s="21"/>
      <c r="C631" s="11" t="s">
        <v>54</v>
      </c>
      <c r="D631" s="22"/>
      <c r="E631" s="18"/>
      <c r="F631" s="18"/>
      <c r="G631" s="23">
        <f>SUMIFS('지출'!$G$3:$G1000,'지출'!$J$3:$J1000,G$1,'지출'!$C$3:$C1000,"영영1")</f>
        <v>77760</v>
      </c>
      <c r="H631" s="19"/>
      <c r="I631" s="22"/>
      <c r="J631" s="18"/>
      <c r="K631" s="18"/>
      <c r="L631" s="23">
        <f>SUMIFS('지출'!$G$3:$G1000,'지출'!$J$3:$J1000,L$1,'지출'!$C$3:$C1000,"영영1")</f>
        <v>86760</v>
      </c>
      <c r="M631" s="24"/>
      <c r="N631" s="18"/>
      <c r="O631" s="18"/>
      <c r="P631" s="18"/>
      <c r="Q631" s="23">
        <f>SUMIFS('지출'!$G$3:$G1000,'지출'!$J$3:$J1000,Q$1,'지출'!$C$3:$C1000,"영영1")</f>
        <v>13490</v>
      </c>
      <c r="R631" s="24"/>
      <c r="S631" s="18"/>
      <c r="T631" s="18"/>
      <c r="U631" s="18"/>
      <c r="V631" s="23">
        <f>SUMIFS('지출'!$G$3:$G1000,'지출'!$J$3:$J1000,V$1,'지출'!$C$3:$C1000,"영영1")</f>
        <v>0</v>
      </c>
      <c r="W631" s="24"/>
      <c r="X631" s="18"/>
      <c r="Y631" s="18"/>
      <c r="Z631" s="18"/>
      <c r="AA631" s="23">
        <f>SUMIFS('지출'!$G$3:$G1000,'지출'!$J$3:$J1000,AA$1,'지출'!$C$3:$C1000,"영영1")</f>
        <v>0</v>
      </c>
      <c r="AB631" s="24"/>
      <c r="AC631" s="18"/>
      <c r="AD631" s="18"/>
      <c r="AE631" s="18"/>
      <c r="AF631" s="23">
        <f>SUMIFS('지출'!$G$3:$G1000,'지출'!$J$3:$J1000,AF$1,'지출'!$C$3:$C1000,"영영1")</f>
        <v>0</v>
      </c>
      <c r="AG631" s="24"/>
      <c r="AH631" s="18"/>
      <c r="AI631" s="18"/>
      <c r="AJ631" s="18"/>
      <c r="AK631" s="23">
        <f>SUMIFS('지출'!$G$3:$G1000,'지출'!$J$3:$J1000,AK$1,'지출'!$C$3:$C1000,"영영1")</f>
        <v>0</v>
      </c>
      <c r="AL631" s="24"/>
      <c r="AM631" s="18"/>
      <c r="AN631" s="18"/>
      <c r="AO631" s="18"/>
      <c r="AP631" s="23">
        <f>SUMIFS('지출'!$G$3:$G1000,'지출'!$J$3:$J1000,AP$1,'지출'!$C$3:$C1000,"영영1")</f>
        <v>0</v>
      </c>
      <c r="AQ631" s="24"/>
      <c r="AR631" s="18"/>
      <c r="AS631" s="18"/>
      <c r="AT631" s="18"/>
      <c r="AU631" s="23">
        <f>SUMIFS('지출'!$G$3:$G1000,'지출'!$J$3:$J1000,AU$1,'지출'!$C$3:$C1000,"영영1")</f>
        <v>0</v>
      </c>
      <c r="AV631" s="24"/>
      <c r="AW631" s="18"/>
      <c r="AX631" s="18"/>
      <c r="AY631" s="18"/>
      <c r="AZ631" s="23">
        <f>SUMIFS('지출'!$G$3:$G1000,'지출'!$J$3:$J1000,AZ$1,'지출'!$C$3:$C1000,"영영1")</f>
        <v>0</v>
      </c>
      <c r="BA631" s="24"/>
      <c r="BB631" s="18"/>
      <c r="BC631" s="18"/>
      <c r="BD631" s="18"/>
      <c r="BE631" s="23">
        <f>SUMIFS('지출'!$G$3:$G1000,'지출'!$J$3:$J1000,BE$1,'지출'!$C$3:$C1000,"영영1")</f>
        <v>0</v>
      </c>
      <c r="BF631" s="24"/>
      <c r="BG631" s="18"/>
      <c r="BH631" s="18"/>
      <c r="BI631" s="18"/>
      <c r="BJ631" s="23">
        <f>SUMIFS('지출'!$G$3:$G1000,'지출'!$J$3:$J1000,BJ$1,'지출'!$C$3:$C1000,"영영1")</f>
        <v>0</v>
      </c>
      <c r="BK631" s="19"/>
      <c r="BL631" s="18"/>
      <c r="BM631" s="18"/>
      <c r="BN631" s="18"/>
      <c r="BO631" s="23">
        <f>SUMIFS('지출'!$G$3:$G1000,'지출'!$J$3:$J1000,BO$1,'지출'!$C$3:$C1000,"영영1")</f>
        <v>77760</v>
      </c>
      <c r="BP631" s="19"/>
      <c r="BQ631" s="17" t="s">
        <v>216</v>
      </c>
      <c r="BR631" s="1"/>
      <c r="BS631" s="1"/>
      <c r="BT631" s="1"/>
      <c r="BU631" s="1"/>
    </row>
    <row r="632">
      <c r="A632" s="1"/>
      <c r="B632" s="21"/>
      <c r="C632" s="11" t="s">
        <v>56</v>
      </c>
      <c r="D632" s="22"/>
      <c r="E632" s="23">
        <f>E623-(SUM(E624:E631))</f>
        <v>980000</v>
      </c>
      <c r="F632" s="18"/>
      <c r="G632" s="23">
        <f>G623-(SUM(G624:G631))</f>
        <v>7880</v>
      </c>
      <c r="H632" s="19"/>
      <c r="I632" s="22"/>
      <c r="J632" s="23">
        <f>J623-(SUM(J624:J631))</f>
        <v>945862</v>
      </c>
      <c r="K632" s="18"/>
      <c r="L632" s="23">
        <f>L623-(SUM(L624:L631))</f>
        <v>-31391</v>
      </c>
      <c r="M632" s="19"/>
      <c r="N632" s="22"/>
      <c r="O632" s="23">
        <f>O623-(SUM(O624:O631))</f>
        <v>910323</v>
      </c>
      <c r="P632" s="18"/>
      <c r="Q632" s="23">
        <f>Q623-(SUM(Q624:Q631))</f>
        <v>29471</v>
      </c>
      <c r="R632" s="19"/>
      <c r="S632" s="22"/>
      <c r="T632" s="23">
        <f>T623-(SUM(T624:T631))</f>
        <v>1100000</v>
      </c>
      <c r="U632" s="18"/>
      <c r="V632" s="23">
        <f>V623-(SUM(V624:V631))</f>
        <v>141570</v>
      </c>
      <c r="W632" s="19"/>
      <c r="X632" s="18"/>
      <c r="Y632" s="23">
        <f>Y623-(SUM(Y624:Y631))</f>
        <v>1100000</v>
      </c>
      <c r="Z632" s="18"/>
      <c r="AA632" s="23">
        <f>AA623-(SUM(AA624:AA631))</f>
        <v>250170</v>
      </c>
      <c r="AB632" s="19"/>
      <c r="AC632" s="18"/>
      <c r="AD632" s="23">
        <f>AD623-(SUM(AD624:AD631))</f>
        <v>1100000</v>
      </c>
      <c r="AE632" s="18"/>
      <c r="AF632" s="23">
        <f>AF623-(SUM(AF624:AF631))</f>
        <v>282570</v>
      </c>
      <c r="AG632" s="19"/>
      <c r="AH632" s="18"/>
      <c r="AI632" s="23">
        <f>AI623-(SUM(AI624:AI631))</f>
        <v>1100000</v>
      </c>
      <c r="AJ632" s="18"/>
      <c r="AK632" s="23">
        <f>AK623-(SUM(AK624:AK631))</f>
        <v>287520</v>
      </c>
      <c r="AL632" s="19"/>
      <c r="AM632" s="18"/>
      <c r="AN632" s="23">
        <f>AN623-(SUM(AN624:AN631))</f>
        <v>1100000</v>
      </c>
      <c r="AO632" s="18"/>
      <c r="AP632" s="23">
        <f>AP623-(SUM(AP624:AP631))</f>
        <v>300070</v>
      </c>
      <c r="AQ632" s="19"/>
      <c r="AR632" s="22"/>
      <c r="AS632" s="23">
        <f>AS623-(SUM(AS624:AS631))</f>
        <v>670000</v>
      </c>
      <c r="AT632" s="18"/>
      <c r="AU632" s="23">
        <f>AU623-(SUM(AU624:AU631))</f>
        <v>220340</v>
      </c>
      <c r="AV632" s="19"/>
      <c r="AW632" s="22"/>
      <c r="AX632" s="23">
        <f>AX623-(SUM(AX624:AX631))</f>
        <v>670000</v>
      </c>
      <c r="AY632" s="18"/>
      <c r="AZ632" s="23">
        <f>AZ623-(SUM(AZ624:AZ631))</f>
        <v>228190</v>
      </c>
      <c r="BA632" s="19"/>
      <c r="BB632" s="22"/>
      <c r="BC632" s="23">
        <f>BC623-(SUM(BC624:BC631))</f>
        <v>670000</v>
      </c>
      <c r="BD632" s="18"/>
      <c r="BE632" s="23">
        <f>BE623-(SUM(BE624:BE631))</f>
        <v>166950</v>
      </c>
      <c r="BF632" s="19"/>
      <c r="BG632" s="22"/>
      <c r="BH632" s="23">
        <f>BH623-(SUM(BH624:BH631))</f>
        <v>670000</v>
      </c>
      <c r="BI632" s="18"/>
      <c r="BJ632" s="23">
        <f>BJ623-(SUM(BJ624:BJ631))</f>
        <v>194820</v>
      </c>
      <c r="BK632" s="19"/>
      <c r="BL632" s="22"/>
      <c r="BM632" s="23">
        <f>BM623-(SUM(BM624:BM631))</f>
        <v>670000</v>
      </c>
      <c r="BN632" s="18"/>
      <c r="BO632" s="23">
        <f>BO623-(SUM(BO624:BO631))</f>
        <v>-5230</v>
      </c>
      <c r="BP632" s="19"/>
      <c r="BQ632" s="17" t="s">
        <v>216</v>
      </c>
      <c r="BR632" s="1"/>
      <c r="BS632" s="1"/>
      <c r="BT632" s="1"/>
      <c r="BU632" s="1"/>
    </row>
    <row r="633">
      <c r="A633" s="1"/>
      <c r="B633" s="27">
        <v>0.0</v>
      </c>
      <c r="C633" s="11" t="s">
        <v>26</v>
      </c>
      <c r="D633" s="22"/>
      <c r="E633" s="23">
        <f>E632*$B633</f>
        <v>0</v>
      </c>
      <c r="F633" s="18"/>
      <c r="G633" s="18"/>
      <c r="H633" s="19"/>
      <c r="I633" s="22"/>
      <c r="J633" s="23">
        <f>J632*$B633</f>
        <v>0</v>
      </c>
      <c r="K633" s="18"/>
      <c r="L633" s="18"/>
      <c r="M633" s="19"/>
      <c r="N633" s="22"/>
      <c r="O633" s="23">
        <f>O632*$B633</f>
        <v>0</v>
      </c>
      <c r="P633" s="18"/>
      <c r="Q633" s="18"/>
      <c r="R633" s="19"/>
      <c r="S633" s="22"/>
      <c r="T633" s="23">
        <f>T632*$B633</f>
        <v>0</v>
      </c>
      <c r="U633" s="18"/>
      <c r="V633" s="18"/>
      <c r="W633" s="19"/>
      <c r="X633" s="18"/>
      <c r="Y633" s="23">
        <f>Y632*$B633</f>
        <v>0</v>
      </c>
      <c r="Z633" s="18"/>
      <c r="AA633" s="18"/>
      <c r="AB633" s="19"/>
      <c r="AC633" s="18"/>
      <c r="AD633" s="23">
        <f>AD632*$B633</f>
        <v>0</v>
      </c>
      <c r="AE633" s="18"/>
      <c r="AF633" s="18"/>
      <c r="AG633" s="19"/>
      <c r="AH633" s="18"/>
      <c r="AI633" s="23">
        <f>AI632*$B633</f>
        <v>0</v>
      </c>
      <c r="AJ633" s="18"/>
      <c r="AK633" s="18"/>
      <c r="AL633" s="19"/>
      <c r="AM633" s="18"/>
      <c r="AN633" s="23">
        <f>AN632*$B633</f>
        <v>0</v>
      </c>
      <c r="AO633" s="18"/>
      <c r="AP633" s="18"/>
      <c r="AQ633" s="19"/>
      <c r="AR633" s="22"/>
      <c r="AS633" s="23">
        <f>AS632*$B633</f>
        <v>0</v>
      </c>
      <c r="AT633" s="18"/>
      <c r="AU633" s="18"/>
      <c r="AV633" s="19"/>
      <c r="AW633" s="22"/>
      <c r="AX633" s="23">
        <f>AX632*$B633</f>
        <v>0</v>
      </c>
      <c r="AY633" s="18"/>
      <c r="AZ633" s="18"/>
      <c r="BA633" s="19"/>
      <c r="BB633" s="22"/>
      <c r="BC633" s="23">
        <f>BC632*$B633</f>
        <v>0</v>
      </c>
      <c r="BD633" s="18"/>
      <c r="BE633" s="18"/>
      <c r="BF633" s="19"/>
      <c r="BG633" s="22"/>
      <c r="BH633" s="23">
        <f>BH632*$B633</f>
        <v>0</v>
      </c>
      <c r="BI633" s="18"/>
      <c r="BJ633" s="18"/>
      <c r="BK633" s="19"/>
      <c r="BL633" s="22"/>
      <c r="BM633" s="23">
        <f>BM632*$B633</f>
        <v>0</v>
      </c>
      <c r="BN633" s="18"/>
      <c r="BO633" s="18"/>
      <c r="BP633" s="19"/>
      <c r="BQ633" s="17" t="s">
        <v>216</v>
      </c>
      <c r="BR633" s="1"/>
      <c r="BS633" s="1"/>
      <c r="BT633" s="1"/>
      <c r="BU633" s="1"/>
    </row>
    <row r="634">
      <c r="A634" s="67" t="str">
        <f>B619</f>
        <v>영영1</v>
      </c>
      <c r="B634" s="29">
        <v>1.0</v>
      </c>
      <c r="C634" s="30" t="s">
        <v>57</v>
      </c>
      <c r="D634" s="31"/>
      <c r="E634" s="32">
        <f>E632*$B634</f>
        <v>980000</v>
      </c>
      <c r="F634" s="33"/>
      <c r="G634" s="33"/>
      <c r="H634" s="34"/>
      <c r="I634" s="31"/>
      <c r="J634" s="32">
        <f>J632*$B634</f>
        <v>945862</v>
      </c>
      <c r="K634" s="33"/>
      <c r="L634" s="33"/>
      <c r="M634" s="34"/>
      <c r="N634" s="31"/>
      <c r="O634" s="32">
        <f>O632*$B634</f>
        <v>910323</v>
      </c>
      <c r="P634" s="33"/>
      <c r="Q634" s="33"/>
      <c r="R634" s="34"/>
      <c r="S634" s="31"/>
      <c r="T634" s="32">
        <f>T632*$B634</f>
        <v>1100000</v>
      </c>
      <c r="U634" s="33"/>
      <c r="V634" s="33"/>
      <c r="W634" s="34"/>
      <c r="X634" s="33"/>
      <c r="Y634" s="32">
        <f>Y632*$B634</f>
        <v>1100000</v>
      </c>
      <c r="Z634" s="33"/>
      <c r="AA634" s="33"/>
      <c r="AB634" s="34"/>
      <c r="AC634" s="33"/>
      <c r="AD634" s="32">
        <f>AD632*$B634</f>
        <v>1100000</v>
      </c>
      <c r="AE634" s="33"/>
      <c r="AF634" s="33"/>
      <c r="AG634" s="34"/>
      <c r="AH634" s="33"/>
      <c r="AI634" s="32">
        <f>AI632*$B634</f>
        <v>1100000</v>
      </c>
      <c r="AJ634" s="33"/>
      <c r="AK634" s="33"/>
      <c r="AL634" s="34"/>
      <c r="AM634" s="33"/>
      <c r="AN634" s="32">
        <f>AN632*$B634</f>
        <v>1100000</v>
      </c>
      <c r="AO634" s="33"/>
      <c r="AP634" s="33"/>
      <c r="AQ634" s="34"/>
      <c r="AR634" s="31"/>
      <c r="AS634" s="32">
        <f>AS632*$B634</f>
        <v>670000</v>
      </c>
      <c r="AT634" s="33"/>
      <c r="AU634" s="33"/>
      <c r="AV634" s="34"/>
      <c r="AW634" s="31"/>
      <c r="AX634" s="32">
        <f>AX632*$B634</f>
        <v>670000</v>
      </c>
      <c r="AY634" s="33"/>
      <c r="AZ634" s="33"/>
      <c r="BA634" s="34"/>
      <c r="BB634" s="31"/>
      <c r="BC634" s="32">
        <f>BC632*$B634</f>
        <v>670000</v>
      </c>
      <c r="BD634" s="33"/>
      <c r="BE634" s="33"/>
      <c r="BF634" s="34"/>
      <c r="BG634" s="31"/>
      <c r="BH634" s="32">
        <f>BH632*$B634</f>
        <v>670000</v>
      </c>
      <c r="BI634" s="33"/>
      <c r="BJ634" s="33"/>
      <c r="BK634" s="34"/>
      <c r="BL634" s="31"/>
      <c r="BM634" s="32">
        <f>BM632*$B634</f>
        <v>670000</v>
      </c>
      <c r="BN634" s="33"/>
      <c r="BO634" s="33"/>
      <c r="BP634" s="34"/>
      <c r="BQ634" s="17" t="s">
        <v>216</v>
      </c>
      <c r="BR634" s="1"/>
      <c r="BS634" s="1"/>
      <c r="BT634" s="1"/>
      <c r="BU634" s="1"/>
    </row>
    <row r="635">
      <c r="A635" s="1"/>
      <c r="B635" s="27" t="s">
        <v>1006</v>
      </c>
      <c r="C635" s="11" t="s">
        <v>987</v>
      </c>
      <c r="D635" s="20" t="s">
        <v>1007</v>
      </c>
      <c r="E635" s="23">
        <v>520000.0</v>
      </c>
      <c r="F635" s="35" t="b">
        <v>1</v>
      </c>
      <c r="G635" s="23">
        <v>80000.0</v>
      </c>
      <c r="H635" s="15" t="b">
        <v>1</v>
      </c>
      <c r="I635" s="20" t="s">
        <v>1007</v>
      </c>
      <c r="J635" s="23">
        <v>520000.0</v>
      </c>
      <c r="K635" s="35" t="b">
        <v>1</v>
      </c>
      <c r="L635" s="23">
        <v>80000.0</v>
      </c>
      <c r="M635" s="15" t="b">
        <v>1</v>
      </c>
      <c r="N635" s="20" t="s">
        <v>1007</v>
      </c>
      <c r="O635" s="23">
        <v>520000.0</v>
      </c>
      <c r="P635" s="35" t="b">
        <v>1</v>
      </c>
      <c r="Q635" s="23">
        <v>80000.0</v>
      </c>
      <c r="R635" s="15" t="b">
        <v>1</v>
      </c>
      <c r="S635" s="20" t="s">
        <v>1007</v>
      </c>
      <c r="T635" s="23">
        <v>520000.0</v>
      </c>
      <c r="U635" s="35" t="b">
        <v>1</v>
      </c>
      <c r="V635" s="23">
        <v>80000.0</v>
      </c>
      <c r="W635" s="15" t="b">
        <v>1</v>
      </c>
      <c r="X635" s="20" t="s">
        <v>1007</v>
      </c>
      <c r="Y635" s="23">
        <v>520000.0</v>
      </c>
      <c r="Z635" s="35" t="b">
        <v>1</v>
      </c>
      <c r="AA635" s="23">
        <v>80000.0</v>
      </c>
      <c r="AB635" s="15" t="b">
        <v>1</v>
      </c>
      <c r="AC635" s="20" t="s">
        <v>1007</v>
      </c>
      <c r="AD635" s="23">
        <v>520000.0</v>
      </c>
      <c r="AE635" s="35" t="b">
        <v>1</v>
      </c>
      <c r="AF635" s="23">
        <v>80000.0</v>
      </c>
      <c r="AG635" s="15" t="b">
        <v>1</v>
      </c>
      <c r="AH635" s="20" t="s">
        <v>1007</v>
      </c>
      <c r="AI635" s="23">
        <v>520000.0</v>
      </c>
      <c r="AJ635" s="35" t="b">
        <v>1</v>
      </c>
      <c r="AK635" s="23">
        <v>80000.0</v>
      </c>
      <c r="AL635" s="15" t="b">
        <v>1</v>
      </c>
      <c r="AM635" s="20" t="s">
        <v>1007</v>
      </c>
      <c r="AN635" s="23">
        <v>520000.0</v>
      </c>
      <c r="AO635" s="35" t="b">
        <v>1</v>
      </c>
      <c r="AP635" s="23">
        <v>80000.0</v>
      </c>
      <c r="AQ635" s="15" t="b">
        <v>1</v>
      </c>
      <c r="AR635" s="20" t="s">
        <v>1007</v>
      </c>
      <c r="AS635" s="23">
        <v>520000.0</v>
      </c>
      <c r="AT635" s="35" t="b">
        <v>1</v>
      </c>
      <c r="AU635" s="23">
        <v>80000.0</v>
      </c>
      <c r="AV635" s="15" t="b">
        <v>1</v>
      </c>
      <c r="AW635" s="20" t="s">
        <v>1007</v>
      </c>
      <c r="AX635" s="23">
        <v>520000.0</v>
      </c>
      <c r="AY635" s="35" t="b">
        <v>1</v>
      </c>
      <c r="AZ635" s="23">
        <v>80000.0</v>
      </c>
      <c r="BA635" s="15" t="b">
        <v>1</v>
      </c>
      <c r="BB635" s="20" t="s">
        <v>1007</v>
      </c>
      <c r="BC635" s="23">
        <v>520000.0</v>
      </c>
      <c r="BD635" s="35" t="b">
        <v>1</v>
      </c>
      <c r="BE635" s="23">
        <v>80000.0</v>
      </c>
      <c r="BF635" s="15" t="b">
        <v>1</v>
      </c>
      <c r="BG635" s="20" t="s">
        <v>1007</v>
      </c>
      <c r="BH635" s="23">
        <v>520000.0</v>
      </c>
      <c r="BI635" s="35" t="b">
        <v>1</v>
      </c>
      <c r="BJ635" s="23">
        <v>80000.0</v>
      </c>
      <c r="BK635" s="15" t="b">
        <v>1</v>
      </c>
      <c r="BL635" s="20" t="s">
        <v>1007</v>
      </c>
      <c r="BM635" s="23">
        <v>520000.0</v>
      </c>
      <c r="BN635" s="35" t="b">
        <v>0</v>
      </c>
      <c r="BO635" s="23">
        <v>80000.0</v>
      </c>
      <c r="BP635" s="15" t="b">
        <v>0</v>
      </c>
      <c r="BQ635" s="17" t="s">
        <v>216</v>
      </c>
      <c r="BR635" s="1"/>
      <c r="BS635" s="1"/>
      <c r="BT635" s="1"/>
      <c r="BU635" s="1"/>
    </row>
    <row r="636">
      <c r="A636" s="1"/>
      <c r="B636" s="27" t="s">
        <v>1006</v>
      </c>
      <c r="C636" s="11" t="s">
        <v>1008</v>
      </c>
      <c r="D636" s="20" t="s">
        <v>1009</v>
      </c>
      <c r="E636" s="23">
        <v>162581.0</v>
      </c>
      <c r="F636" s="35" t="b">
        <v>1</v>
      </c>
      <c r="G636" s="23">
        <v>30968.0</v>
      </c>
      <c r="H636" s="15" t="b">
        <v>1</v>
      </c>
      <c r="I636" s="20" t="s">
        <v>37</v>
      </c>
      <c r="J636" s="18"/>
      <c r="K636" s="1"/>
      <c r="L636" s="18"/>
      <c r="M636" s="19"/>
      <c r="N636" s="20" t="s">
        <v>1010</v>
      </c>
      <c r="O636" s="23">
        <v>400000.0</v>
      </c>
      <c r="P636" s="35" t="b">
        <v>1</v>
      </c>
      <c r="Q636" s="23">
        <v>80000.0</v>
      </c>
      <c r="R636" s="15" t="b">
        <v>1</v>
      </c>
      <c r="S636" s="20" t="s">
        <v>1011</v>
      </c>
      <c r="T636" s="23">
        <v>400000.0</v>
      </c>
      <c r="U636" s="35" t="b">
        <v>1</v>
      </c>
      <c r="V636" s="23">
        <v>80000.0</v>
      </c>
      <c r="W636" s="15" t="b">
        <v>1</v>
      </c>
      <c r="X636" s="20" t="s">
        <v>1011</v>
      </c>
      <c r="Y636" s="23">
        <v>400000.0</v>
      </c>
      <c r="Z636" s="35" t="b">
        <v>1</v>
      </c>
      <c r="AA636" s="23">
        <v>80000.0</v>
      </c>
      <c r="AB636" s="15" t="b">
        <v>1</v>
      </c>
      <c r="AC636" s="20" t="s">
        <v>1011</v>
      </c>
      <c r="AD636" s="23">
        <v>400000.0</v>
      </c>
      <c r="AE636" s="35" t="b">
        <v>1</v>
      </c>
      <c r="AF636" s="23">
        <v>80000.0</v>
      </c>
      <c r="AG636" s="15" t="b">
        <v>1</v>
      </c>
      <c r="AH636" s="20" t="s">
        <v>1011</v>
      </c>
      <c r="AI636" s="23">
        <v>400000.0</v>
      </c>
      <c r="AJ636" s="35" t="b">
        <v>1</v>
      </c>
      <c r="AK636" s="23">
        <v>80000.0</v>
      </c>
      <c r="AL636" s="15" t="b">
        <v>1</v>
      </c>
      <c r="AM636" s="20" t="s">
        <v>1011</v>
      </c>
      <c r="AN636" s="23">
        <v>400000.0</v>
      </c>
      <c r="AO636" s="35" t="b">
        <v>1</v>
      </c>
      <c r="AP636" s="23">
        <v>80000.0</v>
      </c>
      <c r="AQ636" s="15" t="b">
        <v>1</v>
      </c>
      <c r="AR636" s="20" t="s">
        <v>1011</v>
      </c>
      <c r="AS636" s="23">
        <v>400000.0</v>
      </c>
      <c r="AT636" s="35" t="b">
        <v>1</v>
      </c>
      <c r="AU636" s="23">
        <v>80000.0</v>
      </c>
      <c r="AV636" s="15" t="b">
        <v>1</v>
      </c>
      <c r="AW636" s="20" t="s">
        <v>1011</v>
      </c>
      <c r="AX636" s="23">
        <v>400000.0</v>
      </c>
      <c r="AY636" s="35" t="b">
        <v>1</v>
      </c>
      <c r="AZ636" s="23">
        <v>80000.0</v>
      </c>
      <c r="BA636" s="15" t="b">
        <v>1</v>
      </c>
      <c r="BB636" s="20" t="s">
        <v>1011</v>
      </c>
      <c r="BC636" s="23">
        <v>400000.0</v>
      </c>
      <c r="BD636" s="35" t="b">
        <v>1</v>
      </c>
      <c r="BE636" s="23">
        <v>80000.0</v>
      </c>
      <c r="BF636" s="15" t="b">
        <v>1</v>
      </c>
      <c r="BG636" s="20" t="s">
        <v>1012</v>
      </c>
      <c r="BH636" s="23">
        <v>400000.0</v>
      </c>
      <c r="BI636" s="35" t="b">
        <v>1</v>
      </c>
      <c r="BJ636" s="23">
        <v>80000.0</v>
      </c>
      <c r="BK636" s="15" t="b">
        <v>1</v>
      </c>
      <c r="BL636" s="18"/>
      <c r="BM636" s="18"/>
      <c r="BN636" s="1"/>
      <c r="BO636" s="18"/>
      <c r="BP636" s="19"/>
      <c r="BQ636" s="17" t="s">
        <v>216</v>
      </c>
      <c r="BR636" s="1"/>
      <c r="BS636" s="1"/>
      <c r="BT636" s="1"/>
      <c r="BU636" s="1"/>
    </row>
    <row r="637">
      <c r="A637" s="1"/>
      <c r="B637" s="27" t="s">
        <v>1006</v>
      </c>
      <c r="C637" s="11" t="s">
        <v>1013</v>
      </c>
      <c r="D637" s="20" t="s">
        <v>1014</v>
      </c>
      <c r="E637" s="23">
        <v>162581.0</v>
      </c>
      <c r="F637" s="35" t="b">
        <v>1</v>
      </c>
      <c r="G637" s="23">
        <v>30968.0</v>
      </c>
      <c r="H637" s="15" t="b">
        <v>1</v>
      </c>
      <c r="I637" s="20" t="s">
        <v>37</v>
      </c>
      <c r="J637" s="18"/>
      <c r="K637" s="1"/>
      <c r="L637" s="18"/>
      <c r="M637" s="19"/>
      <c r="N637" s="20" t="s">
        <v>1015</v>
      </c>
      <c r="O637" s="23">
        <v>400000.0</v>
      </c>
      <c r="P637" s="35" t="b">
        <v>1</v>
      </c>
      <c r="Q637" s="23">
        <v>80000.0</v>
      </c>
      <c r="R637" s="15" t="b">
        <v>1</v>
      </c>
      <c r="S637" s="20" t="s">
        <v>1016</v>
      </c>
      <c r="T637" s="23">
        <v>400000.0</v>
      </c>
      <c r="U637" s="35" t="b">
        <v>1</v>
      </c>
      <c r="V637" s="23">
        <v>80000.0</v>
      </c>
      <c r="W637" s="15" t="b">
        <v>1</v>
      </c>
      <c r="X637" s="20" t="s">
        <v>1016</v>
      </c>
      <c r="Y637" s="23">
        <v>400000.0</v>
      </c>
      <c r="Z637" s="35" t="b">
        <v>1</v>
      </c>
      <c r="AA637" s="23">
        <v>80000.0</v>
      </c>
      <c r="AB637" s="15" t="b">
        <v>1</v>
      </c>
      <c r="AC637" s="20" t="s">
        <v>1016</v>
      </c>
      <c r="AD637" s="23">
        <v>400000.0</v>
      </c>
      <c r="AE637" s="35" t="b">
        <v>1</v>
      </c>
      <c r="AF637" s="23">
        <v>80000.0</v>
      </c>
      <c r="AG637" s="15" t="b">
        <v>1</v>
      </c>
      <c r="AH637" s="20" t="s">
        <v>1016</v>
      </c>
      <c r="AI637" s="23">
        <v>400000.0</v>
      </c>
      <c r="AJ637" s="35" t="b">
        <v>1</v>
      </c>
      <c r="AK637" s="23">
        <v>80000.0</v>
      </c>
      <c r="AL637" s="15" t="b">
        <v>1</v>
      </c>
      <c r="AM637" s="20" t="s">
        <v>1016</v>
      </c>
      <c r="AN637" s="23">
        <v>400000.0</v>
      </c>
      <c r="AO637" s="35" t="b">
        <v>1</v>
      </c>
      <c r="AP637" s="23">
        <v>80000.0</v>
      </c>
      <c r="AQ637" s="15" t="b">
        <v>1</v>
      </c>
      <c r="AR637" s="20" t="s">
        <v>1016</v>
      </c>
      <c r="AS637" s="23">
        <v>400000.0</v>
      </c>
      <c r="AT637" s="35" t="b">
        <v>1</v>
      </c>
      <c r="AU637" s="23">
        <v>80000.0</v>
      </c>
      <c r="AV637" s="15" t="b">
        <v>1</v>
      </c>
      <c r="AW637" s="20" t="s">
        <v>1016</v>
      </c>
      <c r="AX637" s="23">
        <v>400000.0</v>
      </c>
      <c r="AY637" s="35" t="b">
        <v>1</v>
      </c>
      <c r="AZ637" s="23">
        <v>80000.0</v>
      </c>
      <c r="BA637" s="15" t="b">
        <v>1</v>
      </c>
      <c r="BB637" s="20" t="s">
        <v>1016</v>
      </c>
      <c r="BC637" s="23">
        <v>400000.0</v>
      </c>
      <c r="BD637" s="35" t="b">
        <v>1</v>
      </c>
      <c r="BE637" s="23">
        <v>80000.0</v>
      </c>
      <c r="BF637" s="15" t="b">
        <v>1</v>
      </c>
      <c r="BG637" s="20" t="s">
        <v>1017</v>
      </c>
      <c r="BH637" s="23">
        <v>400000.0</v>
      </c>
      <c r="BI637" s="35" t="b">
        <v>1</v>
      </c>
      <c r="BJ637" s="23">
        <v>80000.0</v>
      </c>
      <c r="BK637" s="15" t="b">
        <v>1</v>
      </c>
      <c r="BL637" s="18"/>
      <c r="BM637" s="18"/>
      <c r="BN637" s="1"/>
      <c r="BO637" s="18"/>
      <c r="BP637" s="19"/>
      <c r="BQ637" s="17" t="s">
        <v>216</v>
      </c>
      <c r="BR637" s="1"/>
      <c r="BS637" s="1"/>
      <c r="BT637" s="1"/>
      <c r="BU637" s="1"/>
    </row>
    <row r="638">
      <c r="A638" s="1"/>
      <c r="B638" s="21"/>
      <c r="C638" s="11" t="s">
        <v>42</v>
      </c>
      <c r="D638" s="22"/>
      <c r="E638" s="23">
        <f>SUM(E635:E637)</f>
        <v>845162</v>
      </c>
      <c r="F638" s="18"/>
      <c r="G638" s="23">
        <f>SUM(G635:G637)</f>
        <v>141936</v>
      </c>
      <c r="H638" s="19"/>
      <c r="I638" s="22"/>
      <c r="J638" s="23">
        <f>SUM(J635:J637)</f>
        <v>520000</v>
      </c>
      <c r="K638" s="18"/>
      <c r="L638" s="23">
        <f>SUM(L635:L637)</f>
        <v>80000</v>
      </c>
      <c r="M638" s="19"/>
      <c r="N638" s="22"/>
      <c r="O638" s="23">
        <f>SUM(O635:O637)</f>
        <v>1320000</v>
      </c>
      <c r="P638" s="18"/>
      <c r="Q638" s="23">
        <f>SUM(Q635:Q637)</f>
        <v>240000</v>
      </c>
      <c r="R638" s="19"/>
      <c r="S638" s="22"/>
      <c r="T638" s="23">
        <f>SUM(T635:T637)</f>
        <v>1320000</v>
      </c>
      <c r="U638" s="18"/>
      <c r="V638" s="23">
        <f>SUM(V635:V637)</f>
        <v>240000</v>
      </c>
      <c r="W638" s="19"/>
      <c r="X638" s="18"/>
      <c r="Y638" s="23">
        <f>SUM(Y635:Y637)</f>
        <v>1320000</v>
      </c>
      <c r="Z638" s="18"/>
      <c r="AA638" s="23">
        <f>SUM(AA635:AA637)</f>
        <v>240000</v>
      </c>
      <c r="AB638" s="19"/>
      <c r="AC638" s="18"/>
      <c r="AD638" s="23">
        <f>SUM(AD635:AD637)</f>
        <v>1320000</v>
      </c>
      <c r="AE638" s="18"/>
      <c r="AF638" s="23">
        <f>SUM(AF635:AF637)</f>
        <v>240000</v>
      </c>
      <c r="AG638" s="19"/>
      <c r="AH638" s="18"/>
      <c r="AI638" s="23">
        <f>SUM(AI635:AI637)</f>
        <v>1320000</v>
      </c>
      <c r="AJ638" s="18"/>
      <c r="AK638" s="23">
        <f>SUM(AK635:AK637)</f>
        <v>240000</v>
      </c>
      <c r="AL638" s="19"/>
      <c r="AM638" s="18"/>
      <c r="AN638" s="23">
        <f>SUM(AN635:AN637)</f>
        <v>1320000</v>
      </c>
      <c r="AO638" s="18"/>
      <c r="AP638" s="23">
        <f>SUM(AP635:AP637)</f>
        <v>240000</v>
      </c>
      <c r="AQ638" s="19"/>
      <c r="AR638" s="22"/>
      <c r="AS638" s="23">
        <f>SUM(AS635:AS637)</f>
        <v>1320000</v>
      </c>
      <c r="AT638" s="18"/>
      <c r="AU638" s="23">
        <f>SUM(AU635:AU637)</f>
        <v>240000</v>
      </c>
      <c r="AV638" s="19"/>
      <c r="AW638" s="22"/>
      <c r="AX638" s="23">
        <f>SUM(AX635:AX637)</f>
        <v>1320000</v>
      </c>
      <c r="AY638" s="18"/>
      <c r="AZ638" s="23">
        <f>SUM(AZ635:AZ637)</f>
        <v>240000</v>
      </c>
      <c r="BA638" s="19"/>
      <c r="BB638" s="22"/>
      <c r="BC638" s="23">
        <f>SUM(BC635:BC637)</f>
        <v>1320000</v>
      </c>
      <c r="BD638" s="18"/>
      <c r="BE638" s="23">
        <f>SUM(BE635:BE637)</f>
        <v>240000</v>
      </c>
      <c r="BF638" s="19"/>
      <c r="BG638" s="22"/>
      <c r="BH638" s="23">
        <f>SUM(BH635:BH637)</f>
        <v>1320000</v>
      </c>
      <c r="BI638" s="18"/>
      <c r="BJ638" s="23">
        <f>SUM(BJ635:BJ637)</f>
        <v>240000</v>
      </c>
      <c r="BK638" s="19"/>
      <c r="BL638" s="22"/>
      <c r="BM638" s="23">
        <f>SUM(BM635:BM637)</f>
        <v>520000</v>
      </c>
      <c r="BN638" s="18"/>
      <c r="BO638" s="23">
        <f>SUM(BO635:BO637)</f>
        <v>80000</v>
      </c>
      <c r="BP638" s="19"/>
      <c r="BQ638" s="17" t="s">
        <v>216</v>
      </c>
      <c r="BR638" s="1"/>
      <c r="BS638" s="1"/>
      <c r="BT638" s="1"/>
      <c r="BU638" s="1"/>
    </row>
    <row r="639">
      <c r="A639" s="1"/>
      <c r="B639" s="21"/>
      <c r="C639" s="11" t="s">
        <v>43</v>
      </c>
      <c r="D639" s="22"/>
      <c r="E639" s="23">
        <v>600000.0</v>
      </c>
      <c r="F639" s="18"/>
      <c r="G639" s="18"/>
      <c r="H639" s="19"/>
      <c r="I639" s="22"/>
      <c r="J639" s="23">
        <v>600000.0</v>
      </c>
      <c r="K639" s="18"/>
      <c r="L639" s="18"/>
      <c r="M639" s="19"/>
      <c r="N639" s="22"/>
      <c r="O639" s="23">
        <v>600000.0</v>
      </c>
      <c r="P639" s="18"/>
      <c r="Q639" s="18"/>
      <c r="R639" s="19"/>
      <c r="S639" s="22"/>
      <c r="T639" s="23">
        <v>600000.0</v>
      </c>
      <c r="U639" s="18"/>
      <c r="V639" s="18"/>
      <c r="W639" s="19"/>
      <c r="X639" s="18"/>
      <c r="Y639" s="23">
        <v>600000.0</v>
      </c>
      <c r="Z639" s="18"/>
      <c r="AA639" s="18"/>
      <c r="AB639" s="19"/>
      <c r="AC639" s="18"/>
      <c r="AD639" s="23">
        <v>600000.0</v>
      </c>
      <c r="AE639" s="18"/>
      <c r="AF639" s="18"/>
      <c r="AG639" s="19"/>
      <c r="AH639" s="18"/>
      <c r="AI639" s="23">
        <v>600000.0</v>
      </c>
      <c r="AJ639" s="18"/>
      <c r="AK639" s="18"/>
      <c r="AL639" s="19"/>
      <c r="AM639" s="18"/>
      <c r="AN639" s="23">
        <v>600000.0</v>
      </c>
      <c r="AO639" s="18"/>
      <c r="AP639" s="18"/>
      <c r="AQ639" s="19"/>
      <c r="AR639" s="22"/>
      <c r="AS639" s="23">
        <v>600000.0</v>
      </c>
      <c r="AT639" s="18"/>
      <c r="AU639" s="18"/>
      <c r="AV639" s="19"/>
      <c r="AW639" s="22"/>
      <c r="AX639" s="23">
        <v>600000.0</v>
      </c>
      <c r="AY639" s="18"/>
      <c r="AZ639" s="18"/>
      <c r="BA639" s="19"/>
      <c r="BB639" s="22"/>
      <c r="BC639" s="23">
        <v>600000.0</v>
      </c>
      <c r="BD639" s="18"/>
      <c r="BE639" s="18"/>
      <c r="BF639" s="19"/>
      <c r="BG639" s="22"/>
      <c r="BH639" s="23">
        <v>600000.0</v>
      </c>
      <c r="BI639" s="18"/>
      <c r="BJ639" s="18"/>
      <c r="BK639" s="19"/>
      <c r="BL639" s="22"/>
      <c r="BM639" s="23">
        <v>600000.0</v>
      </c>
      <c r="BN639" s="18"/>
      <c r="BO639" s="18"/>
      <c r="BP639" s="19"/>
      <c r="BQ639" s="17" t="s">
        <v>216</v>
      </c>
      <c r="BR639" s="1"/>
      <c r="BS639" s="1"/>
      <c r="BT639" s="1"/>
      <c r="BU639" s="1"/>
    </row>
    <row r="640">
      <c r="A640" s="1"/>
      <c r="B640" s="10" t="s">
        <v>1018</v>
      </c>
      <c r="C640" s="11" t="s">
        <v>45</v>
      </c>
      <c r="D640" s="22"/>
      <c r="E640" s="23">
        <v>30000.0</v>
      </c>
      <c r="F640" s="18"/>
      <c r="G640" s="18"/>
      <c r="H640" s="19"/>
      <c r="I640" s="22"/>
      <c r="J640" s="18"/>
      <c r="K640" s="18"/>
      <c r="L640" s="18"/>
      <c r="M640" s="24"/>
      <c r="N640" s="22"/>
      <c r="O640" s="18"/>
      <c r="P640" s="18"/>
      <c r="Q640" s="18"/>
      <c r="R640" s="24"/>
      <c r="S640" s="22"/>
      <c r="T640" s="18"/>
      <c r="U640" s="18"/>
      <c r="V640" s="18"/>
      <c r="W640" s="24"/>
      <c r="X640" s="18"/>
      <c r="Y640" s="18"/>
      <c r="Z640" s="18"/>
      <c r="AA640" s="18"/>
      <c r="AB640" s="24"/>
      <c r="AC640" s="18"/>
      <c r="AD640" s="18"/>
      <c r="AE640" s="18"/>
      <c r="AF640" s="18"/>
      <c r="AG640" s="24"/>
      <c r="AH640" s="18"/>
      <c r="AI640" s="18"/>
      <c r="AJ640" s="18"/>
      <c r="AK640" s="18"/>
      <c r="AL640" s="24"/>
      <c r="AM640" s="18"/>
      <c r="AN640" s="18"/>
      <c r="AO640" s="18"/>
      <c r="AP640" s="18"/>
      <c r="AQ640" s="24"/>
      <c r="AR640" s="22"/>
      <c r="AS640" s="18"/>
      <c r="AT640" s="18"/>
      <c r="AU640" s="18"/>
      <c r="AV640" s="24"/>
      <c r="AW640" s="22"/>
      <c r="AX640" s="18"/>
      <c r="AY640" s="18"/>
      <c r="AZ640" s="18"/>
      <c r="BA640" s="24"/>
      <c r="BB640" s="22"/>
      <c r="BC640" s="18"/>
      <c r="BD640" s="18"/>
      <c r="BE640" s="18"/>
      <c r="BF640" s="24"/>
      <c r="BG640" s="22"/>
      <c r="BH640" s="18"/>
      <c r="BI640" s="18"/>
      <c r="BJ640" s="18"/>
      <c r="BK640" s="19"/>
      <c r="BL640" s="22"/>
      <c r="BM640" s="18"/>
      <c r="BN640" s="18"/>
      <c r="BO640" s="18"/>
      <c r="BP640" s="19"/>
      <c r="BQ640" s="17" t="s">
        <v>216</v>
      </c>
      <c r="BR640" s="1"/>
      <c r="BS640" s="1"/>
      <c r="BT640" s="1"/>
      <c r="BU640" s="1"/>
    </row>
    <row r="641">
      <c r="A641" s="1"/>
      <c r="B641" s="10" t="s">
        <v>1019</v>
      </c>
      <c r="C641" s="11" t="s">
        <v>47</v>
      </c>
      <c r="D641" s="22"/>
      <c r="E641" s="18"/>
      <c r="F641" s="18"/>
      <c r="G641" s="18"/>
      <c r="H641" s="19"/>
      <c r="I641" s="22"/>
      <c r="J641" s="18"/>
      <c r="K641" s="18"/>
      <c r="L641" s="18"/>
      <c r="M641" s="24"/>
      <c r="N641" s="22"/>
      <c r="O641" s="18"/>
      <c r="P641" s="18"/>
      <c r="Q641" s="18"/>
      <c r="R641" s="24"/>
      <c r="S641" s="22"/>
      <c r="T641" s="18"/>
      <c r="U641" s="18"/>
      <c r="V641" s="18"/>
      <c r="W641" s="24"/>
      <c r="X641" s="18"/>
      <c r="Y641" s="18"/>
      <c r="Z641" s="18"/>
      <c r="AA641" s="18"/>
      <c r="AB641" s="24"/>
      <c r="AC641" s="18"/>
      <c r="AD641" s="18"/>
      <c r="AE641" s="18"/>
      <c r="AF641" s="18"/>
      <c r="AG641" s="24"/>
      <c r="AH641" s="18"/>
      <c r="AI641" s="18"/>
      <c r="AJ641" s="18"/>
      <c r="AK641" s="18"/>
      <c r="AL641" s="24"/>
      <c r="AM641" s="18"/>
      <c r="AN641" s="18"/>
      <c r="AO641" s="18"/>
      <c r="AP641" s="18"/>
      <c r="AQ641" s="24"/>
      <c r="AR641" s="22"/>
      <c r="AS641" s="18"/>
      <c r="AT641" s="18"/>
      <c r="AU641" s="18"/>
      <c r="AV641" s="24"/>
      <c r="AW641" s="22"/>
      <c r="AX641" s="18"/>
      <c r="AY641" s="18"/>
      <c r="AZ641" s="18"/>
      <c r="BA641" s="24"/>
      <c r="BB641" s="22"/>
      <c r="BC641" s="18"/>
      <c r="BD641" s="18"/>
      <c r="BE641" s="18"/>
      <c r="BF641" s="24"/>
      <c r="BG641" s="22"/>
      <c r="BH641" s="18"/>
      <c r="BI641" s="18"/>
      <c r="BJ641" s="18"/>
      <c r="BK641" s="19"/>
      <c r="BL641" s="22"/>
      <c r="BM641" s="18"/>
      <c r="BN641" s="18"/>
      <c r="BO641" s="18"/>
      <c r="BP641" s="19"/>
      <c r="BQ641" s="17" t="s">
        <v>216</v>
      </c>
      <c r="BR641" s="1"/>
      <c r="BS641" s="1"/>
      <c r="BT641" s="1"/>
      <c r="BU641" s="1"/>
    </row>
    <row r="642">
      <c r="A642" s="1"/>
      <c r="B642" s="10">
        <v>6.005947171E9</v>
      </c>
      <c r="C642" s="11" t="s">
        <v>1020</v>
      </c>
      <c r="D642" s="22"/>
      <c r="E642" s="18"/>
      <c r="F642" s="18"/>
      <c r="G642" s="23">
        <v>143100.0</v>
      </c>
      <c r="H642" s="19"/>
      <c r="I642" s="22"/>
      <c r="J642" s="18"/>
      <c r="K642" s="18"/>
      <c r="L642" s="23">
        <v>181640.0</v>
      </c>
      <c r="M642" s="24"/>
      <c r="N642" s="22"/>
      <c r="O642" s="18"/>
      <c r="P642" s="18"/>
      <c r="Q642" s="23">
        <v>172640.0</v>
      </c>
      <c r="R642" s="24"/>
      <c r="S642" s="22"/>
      <c r="T642" s="18"/>
      <c r="U642" s="18"/>
      <c r="V642" s="23">
        <v>149080.0</v>
      </c>
      <c r="W642" s="24"/>
      <c r="X642" s="18"/>
      <c r="Y642" s="18"/>
      <c r="Z642" s="18"/>
      <c r="AA642" s="23">
        <v>59070.0</v>
      </c>
      <c r="AB642" s="24"/>
      <c r="AC642" s="18"/>
      <c r="AD642" s="18"/>
      <c r="AE642" s="18"/>
      <c r="AF642" s="23">
        <v>18910.0</v>
      </c>
      <c r="AG642" s="24"/>
      <c r="AH642" s="18"/>
      <c r="AI642" s="18"/>
      <c r="AJ642" s="18"/>
      <c r="AK642" s="23">
        <v>16920.0</v>
      </c>
      <c r="AL642" s="24"/>
      <c r="AM642" s="18"/>
      <c r="AN642" s="18"/>
      <c r="AO642" s="18"/>
      <c r="AP642" s="23">
        <v>11140.0</v>
      </c>
      <c r="AQ642" s="24"/>
      <c r="AR642" s="22"/>
      <c r="AS642" s="18"/>
      <c r="AT642" s="18"/>
      <c r="AU642" s="23">
        <v>10520.0</v>
      </c>
      <c r="AV642" s="24"/>
      <c r="AW642" s="22"/>
      <c r="AX642" s="18"/>
      <c r="AY642" s="18"/>
      <c r="AZ642" s="23">
        <v>8680.0</v>
      </c>
      <c r="BA642" s="24"/>
      <c r="BB642" s="22"/>
      <c r="BC642" s="18"/>
      <c r="BD642" s="18"/>
      <c r="BE642" s="23">
        <v>12840.0</v>
      </c>
      <c r="BF642" s="24"/>
      <c r="BG642" s="22"/>
      <c r="BH642" s="18"/>
      <c r="BI642" s="18"/>
      <c r="BJ642" s="23">
        <v>70210.0</v>
      </c>
      <c r="BK642" s="19"/>
      <c r="BL642" s="22"/>
      <c r="BM642" s="18"/>
      <c r="BN642" s="18"/>
      <c r="BO642" s="23">
        <v>195680.0</v>
      </c>
      <c r="BP642" s="19"/>
      <c r="BQ642" s="17" t="s">
        <v>216</v>
      </c>
      <c r="BR642" s="1"/>
      <c r="BS642" s="1"/>
      <c r="BT642" s="1"/>
      <c r="BU642" s="1"/>
    </row>
    <row r="643">
      <c r="A643" s="1"/>
      <c r="B643" s="10" t="s">
        <v>1004</v>
      </c>
      <c r="C643" s="11" t="s">
        <v>51</v>
      </c>
      <c r="D643" s="22"/>
      <c r="E643" s="18"/>
      <c r="F643" s="18"/>
      <c r="G643" s="18"/>
      <c r="H643" s="19"/>
      <c r="I643" s="22"/>
      <c r="J643" s="18"/>
      <c r="K643" s="18"/>
      <c r="L643" s="18"/>
      <c r="M643" s="24"/>
      <c r="N643" s="22"/>
      <c r="O643" s="18"/>
      <c r="P643" s="18"/>
      <c r="Q643" s="23">
        <v>35000.0</v>
      </c>
      <c r="R643" s="24"/>
      <c r="S643" s="22"/>
      <c r="T643" s="18"/>
      <c r="U643" s="18"/>
      <c r="V643" s="18"/>
      <c r="W643" s="24"/>
      <c r="X643" s="18"/>
      <c r="Y643" s="18"/>
      <c r="Z643" s="18"/>
      <c r="AA643" s="18"/>
      <c r="AB643" s="24"/>
      <c r="AC643" s="18"/>
      <c r="AD643" s="18"/>
      <c r="AE643" s="18"/>
      <c r="AF643" s="18"/>
      <c r="AG643" s="24"/>
      <c r="AH643" s="18"/>
      <c r="AI643" s="18"/>
      <c r="AJ643" s="18"/>
      <c r="AK643" s="18"/>
      <c r="AL643" s="24"/>
      <c r="AM643" s="18"/>
      <c r="AN643" s="18"/>
      <c r="AO643" s="18"/>
      <c r="AP643" s="18"/>
      <c r="AQ643" s="24"/>
      <c r="AR643" s="22"/>
      <c r="AS643" s="18"/>
      <c r="AT643" s="18"/>
      <c r="AU643" s="18"/>
      <c r="AV643" s="24"/>
      <c r="AW643" s="22"/>
      <c r="AX643" s="18"/>
      <c r="AY643" s="18"/>
      <c r="AZ643" s="18"/>
      <c r="BA643" s="24"/>
      <c r="BB643" s="22"/>
      <c r="BC643" s="18"/>
      <c r="BD643" s="18"/>
      <c r="BE643" s="23">
        <v>55000.0</v>
      </c>
      <c r="BF643" s="24"/>
      <c r="BG643" s="22"/>
      <c r="BH643" s="18"/>
      <c r="BI643" s="18"/>
      <c r="BJ643" s="18"/>
      <c r="BK643" s="19"/>
      <c r="BL643" s="22"/>
      <c r="BM643" s="18"/>
      <c r="BN643" s="18"/>
      <c r="BO643" s="18"/>
      <c r="BP643" s="19"/>
      <c r="BQ643" s="17" t="s">
        <v>216</v>
      </c>
      <c r="BR643" s="1"/>
      <c r="BS643" s="1"/>
      <c r="BT643" s="1"/>
      <c r="BU643" s="1"/>
    </row>
    <row r="644">
      <c r="A644" s="1"/>
      <c r="B644" s="21"/>
      <c r="C644" s="11" t="s">
        <v>52</v>
      </c>
      <c r="D644" s="22"/>
      <c r="E644" s="18"/>
      <c r="F644" s="18"/>
      <c r="G644" s="23" t="s">
        <v>263</v>
      </c>
      <c r="H644" s="19"/>
      <c r="I644" s="22"/>
      <c r="J644" s="18"/>
      <c r="K644" s="18"/>
      <c r="L644" s="18"/>
      <c r="M644" s="24"/>
      <c r="N644" s="22"/>
      <c r="O644" s="18"/>
      <c r="P644" s="18"/>
      <c r="Q644" s="18"/>
      <c r="R644" s="24"/>
      <c r="S644" s="22"/>
      <c r="T644" s="18"/>
      <c r="U644" s="18"/>
      <c r="V644" s="18"/>
      <c r="W644" s="24"/>
      <c r="X644" s="18"/>
      <c r="Y644" s="18"/>
      <c r="Z644" s="18"/>
      <c r="AA644" s="18"/>
      <c r="AB644" s="24"/>
      <c r="AC644" s="18"/>
      <c r="AD644" s="18"/>
      <c r="AE644" s="18"/>
      <c r="AF644" s="18"/>
      <c r="AG644" s="24"/>
      <c r="AH644" s="18"/>
      <c r="AI644" s="18"/>
      <c r="AJ644" s="18"/>
      <c r="AK644" s="18"/>
      <c r="AL644" s="24"/>
      <c r="AM644" s="18"/>
      <c r="AN644" s="18"/>
      <c r="AO644" s="18"/>
      <c r="AP644" s="18"/>
      <c r="AQ644" s="24"/>
      <c r="AR644" s="22"/>
      <c r="AS644" s="18"/>
      <c r="AT644" s="18"/>
      <c r="AU644" s="18"/>
      <c r="AV644" s="24"/>
      <c r="AW644" s="22"/>
      <c r="AX644" s="18"/>
      <c r="AY644" s="18"/>
      <c r="AZ644" s="18"/>
      <c r="BA644" s="24"/>
      <c r="BB644" s="22"/>
      <c r="BC644" s="18"/>
      <c r="BD644" s="18"/>
      <c r="BE644" s="18"/>
      <c r="BF644" s="24"/>
      <c r="BG644" s="22"/>
      <c r="BH644" s="18"/>
      <c r="BI644" s="18"/>
      <c r="BJ644" s="18"/>
      <c r="BK644" s="19"/>
      <c r="BL644" s="22"/>
      <c r="BM644" s="18"/>
      <c r="BN644" s="18"/>
      <c r="BO644" s="18"/>
      <c r="BP644" s="19"/>
      <c r="BQ644" s="17" t="s">
        <v>216</v>
      </c>
      <c r="BR644" s="1"/>
      <c r="BS644" s="1"/>
      <c r="BT644" s="1"/>
      <c r="BU644" s="1"/>
    </row>
    <row r="645">
      <c r="A645" s="1"/>
      <c r="B645" s="10" t="s">
        <v>1005</v>
      </c>
      <c r="C645" s="11" t="s">
        <v>53</v>
      </c>
      <c r="D645" s="22"/>
      <c r="E645" s="18"/>
      <c r="F645" s="18"/>
      <c r="G645" s="23">
        <v>19900.0</v>
      </c>
      <c r="H645" s="19"/>
      <c r="I645" s="22"/>
      <c r="J645" s="18"/>
      <c r="K645" s="18"/>
      <c r="L645" s="18"/>
      <c r="M645" s="24"/>
      <c r="N645" s="22"/>
      <c r="O645" s="18"/>
      <c r="P645" s="18"/>
      <c r="Q645" s="18"/>
      <c r="R645" s="24"/>
      <c r="S645" s="22"/>
      <c r="T645" s="18"/>
      <c r="U645" s="18"/>
      <c r="V645" s="18"/>
      <c r="W645" s="24"/>
      <c r="X645" s="18"/>
      <c r="Y645" s="18"/>
      <c r="Z645" s="18"/>
      <c r="AA645" s="18"/>
      <c r="AB645" s="24"/>
      <c r="AC645" s="18"/>
      <c r="AD645" s="18"/>
      <c r="AE645" s="18"/>
      <c r="AF645" s="18"/>
      <c r="AG645" s="24"/>
      <c r="AH645" s="18"/>
      <c r="AI645" s="18"/>
      <c r="AJ645" s="18"/>
      <c r="AK645" s="18"/>
      <c r="AL645" s="24"/>
      <c r="AM645" s="18"/>
      <c r="AN645" s="18"/>
      <c r="AO645" s="18"/>
      <c r="AP645" s="18"/>
      <c r="AQ645" s="24"/>
      <c r="AR645" s="22"/>
      <c r="AS645" s="18"/>
      <c r="AT645" s="18"/>
      <c r="AU645" s="18"/>
      <c r="AV645" s="24"/>
      <c r="AW645" s="22"/>
      <c r="AX645" s="18"/>
      <c r="AY645" s="18"/>
      <c r="AZ645" s="18"/>
      <c r="BA645" s="24"/>
      <c r="BB645" s="22"/>
      <c r="BC645" s="18"/>
      <c r="BD645" s="18"/>
      <c r="BE645" s="18"/>
      <c r="BF645" s="24"/>
      <c r="BG645" s="22"/>
      <c r="BH645" s="18"/>
      <c r="BI645" s="18"/>
      <c r="BJ645" s="18"/>
      <c r="BK645" s="19"/>
      <c r="BL645" s="22"/>
      <c r="BM645" s="18"/>
      <c r="BN645" s="18"/>
      <c r="BO645" s="18"/>
      <c r="BP645" s="19"/>
      <c r="BQ645" s="17" t="s">
        <v>216</v>
      </c>
      <c r="BR645" s="1"/>
      <c r="BS645" s="1"/>
      <c r="BT645" s="1"/>
      <c r="BU645" s="1"/>
    </row>
    <row r="646">
      <c r="A646" s="1"/>
      <c r="B646" s="21"/>
      <c r="C646" s="11" t="s">
        <v>54</v>
      </c>
      <c r="D646" s="22"/>
      <c r="E646" s="18"/>
      <c r="F646" s="18"/>
      <c r="G646" s="23">
        <f>SUMIFS('지출'!$G$3:$G1000,'지출'!$J$3:$J1000,G$1,'지출'!$C$3:$C1000,"영영2")</f>
        <v>82500</v>
      </c>
      <c r="H646" s="19"/>
      <c r="I646" s="22"/>
      <c r="J646" s="18"/>
      <c r="K646" s="18"/>
      <c r="L646" s="23">
        <f>SUMIFS('지출'!$G$3:$G1000,'지출'!$J$3:$J1000,L$1,'지출'!$C$3:$C1000,"영영2")</f>
        <v>66600</v>
      </c>
      <c r="M646" s="24"/>
      <c r="N646" s="18"/>
      <c r="O646" s="18"/>
      <c r="P646" s="18"/>
      <c r="Q646" s="23">
        <f>SUMIFS('지출'!$G$3:$G1000,'지출'!$J$3:$J1000,Q$1,'지출'!$C$3:$C1000,"영영2")</f>
        <v>12560</v>
      </c>
      <c r="R646" s="24"/>
      <c r="S646" s="18"/>
      <c r="T646" s="18"/>
      <c r="U646" s="18"/>
      <c r="V646" s="23">
        <f>SUMIFS('지출'!$G$3:$G1000,'지출'!$J$3:$J1000,V$1,'지출'!$C$3:$C1000,"영영2")</f>
        <v>0</v>
      </c>
      <c r="W646" s="24"/>
      <c r="X646" s="18"/>
      <c r="Y646" s="18"/>
      <c r="Z646" s="18"/>
      <c r="AA646" s="23">
        <f>SUMIFS('지출'!$G$3:$G1000,'지출'!$J$3:$J1000,AA$1,'지출'!$C$3:$C1000,"영영2")</f>
        <v>0</v>
      </c>
      <c r="AB646" s="24"/>
      <c r="AC646" s="18"/>
      <c r="AD646" s="18"/>
      <c r="AE646" s="18"/>
      <c r="AF646" s="23">
        <f>SUMIFS('지출'!$G$3:$G1000,'지출'!$J$3:$J1000,AF$1,'지출'!$C$3:$C1000,"영영2")</f>
        <v>0</v>
      </c>
      <c r="AG646" s="24"/>
      <c r="AH646" s="18"/>
      <c r="AI646" s="18"/>
      <c r="AJ646" s="18"/>
      <c r="AK646" s="23">
        <f>SUMIFS('지출'!$G$3:$G1000,'지출'!$J$3:$J1000,AK$1,'지출'!$C$3:$C1000,"영영2")</f>
        <v>0</v>
      </c>
      <c r="AL646" s="24"/>
      <c r="AM646" s="18"/>
      <c r="AN646" s="18"/>
      <c r="AO646" s="18"/>
      <c r="AP646" s="23">
        <f>SUMIFS('지출'!$G$3:$G1000,'지출'!$J$3:$J1000,AP$1,'지출'!$C$3:$C1000,"영영2")</f>
        <v>0</v>
      </c>
      <c r="AQ646" s="24"/>
      <c r="AR646" s="18"/>
      <c r="AS646" s="18"/>
      <c r="AT646" s="18"/>
      <c r="AU646" s="23">
        <f>SUMIFS('지출'!$G$3:$G1000,'지출'!$J$3:$J1000,AU$1,'지출'!$C$3:$C1000,"영영2")</f>
        <v>0</v>
      </c>
      <c r="AV646" s="24"/>
      <c r="AW646" s="18"/>
      <c r="AX646" s="18"/>
      <c r="AY646" s="18"/>
      <c r="AZ646" s="23">
        <f>SUMIFS('지출'!$G$3:$G1000,'지출'!$J$3:$J1000,AZ$1,'지출'!$C$3:$C1000,"영영2")</f>
        <v>0</v>
      </c>
      <c r="BA646" s="24"/>
      <c r="BB646" s="18"/>
      <c r="BC646" s="18"/>
      <c r="BD646" s="18"/>
      <c r="BE646" s="23">
        <f>SUMIFS('지출'!$G$3:$G1000,'지출'!$J$3:$J1000,BE$1,'지출'!$C$3:$C1000,"영영2")</f>
        <v>0</v>
      </c>
      <c r="BF646" s="24"/>
      <c r="BG646" s="18"/>
      <c r="BH646" s="18"/>
      <c r="BI646" s="18"/>
      <c r="BJ646" s="23">
        <f>SUMIFS('지출'!$G$3:$G1000,'지출'!$J$3:$J1000,BJ$1,'지출'!$C$3:$C1000,"영영2")</f>
        <v>0</v>
      </c>
      <c r="BK646" s="19"/>
      <c r="BL646" s="18"/>
      <c r="BM646" s="18"/>
      <c r="BN646" s="18"/>
      <c r="BO646" s="23">
        <f>SUMIFS('지출'!$G$3:$G1000,'지출'!$J$3:$J1000,BO$1,'지출'!$C$3:$C1000,"영영2")</f>
        <v>82500</v>
      </c>
      <c r="BP646" s="19"/>
      <c r="BQ646" s="17" t="s">
        <v>216</v>
      </c>
      <c r="BR646" s="1"/>
      <c r="BS646" s="1"/>
      <c r="BT646" s="1"/>
      <c r="BU646" s="1"/>
    </row>
    <row r="647">
      <c r="A647" s="1"/>
      <c r="B647" s="21"/>
      <c r="C647" s="11" t="s">
        <v>56</v>
      </c>
      <c r="D647" s="22"/>
      <c r="E647" s="23">
        <f>E638-(SUM(E639:E646))</f>
        <v>215162</v>
      </c>
      <c r="F647" s="18"/>
      <c r="G647" s="23">
        <f>G638-(SUM(G639:G646))</f>
        <v>-103564</v>
      </c>
      <c r="H647" s="19"/>
      <c r="I647" s="22"/>
      <c r="J647" s="23">
        <f>J638-(SUM(J639:J646))</f>
        <v>-80000</v>
      </c>
      <c r="K647" s="18"/>
      <c r="L647" s="23">
        <f>L638-(SUM(L639:L646))</f>
        <v>-168240</v>
      </c>
      <c r="M647" s="19"/>
      <c r="N647" s="22"/>
      <c r="O647" s="23">
        <f>O638-(SUM(O639:O646))</f>
        <v>720000</v>
      </c>
      <c r="P647" s="18"/>
      <c r="Q647" s="23">
        <f>Q638-(SUM(Q639:Q646))</f>
        <v>19800</v>
      </c>
      <c r="R647" s="19"/>
      <c r="S647" s="22"/>
      <c r="T647" s="23">
        <f>T638-(SUM(T639:T646))</f>
        <v>720000</v>
      </c>
      <c r="U647" s="18"/>
      <c r="V647" s="23">
        <f>V638-(SUM(V639:V646))</f>
        <v>90920</v>
      </c>
      <c r="W647" s="19"/>
      <c r="X647" s="18"/>
      <c r="Y647" s="23">
        <f>Y638-(SUM(Y639:Y646))</f>
        <v>720000</v>
      </c>
      <c r="Z647" s="18"/>
      <c r="AA647" s="23">
        <f>AA638-(SUM(AA639:AA646))</f>
        <v>180930</v>
      </c>
      <c r="AB647" s="19"/>
      <c r="AC647" s="18"/>
      <c r="AD647" s="23">
        <f>AD638-(SUM(AD639:AD646))</f>
        <v>720000</v>
      </c>
      <c r="AE647" s="18"/>
      <c r="AF647" s="23">
        <f>AF638-(SUM(AF639:AF646))</f>
        <v>221090</v>
      </c>
      <c r="AG647" s="19"/>
      <c r="AH647" s="18"/>
      <c r="AI647" s="23">
        <f>AI638-(SUM(AI639:AI646))</f>
        <v>720000</v>
      </c>
      <c r="AJ647" s="18"/>
      <c r="AK647" s="23">
        <f>AK638-(SUM(AK639:AK646))</f>
        <v>223080</v>
      </c>
      <c r="AL647" s="19"/>
      <c r="AM647" s="18"/>
      <c r="AN647" s="23">
        <f>AN638-(SUM(AN639:AN646))</f>
        <v>720000</v>
      </c>
      <c r="AO647" s="18"/>
      <c r="AP647" s="23">
        <f>AP638-(SUM(AP639:AP646))</f>
        <v>228860</v>
      </c>
      <c r="AQ647" s="19"/>
      <c r="AR647" s="22"/>
      <c r="AS647" s="23">
        <f>AS638-(SUM(AS639:AS646))</f>
        <v>720000</v>
      </c>
      <c r="AT647" s="18"/>
      <c r="AU647" s="23">
        <f>AU638-(SUM(AU639:AU646))</f>
        <v>229480</v>
      </c>
      <c r="AV647" s="19"/>
      <c r="AW647" s="22"/>
      <c r="AX647" s="23">
        <f>AX638-(SUM(AX639:AX646))</f>
        <v>720000</v>
      </c>
      <c r="AY647" s="18"/>
      <c r="AZ647" s="23">
        <f>AZ638-(SUM(AZ639:AZ646))</f>
        <v>231320</v>
      </c>
      <c r="BA647" s="19"/>
      <c r="BB647" s="22"/>
      <c r="BC647" s="23">
        <f>BC638-(SUM(BC639:BC646))</f>
        <v>720000</v>
      </c>
      <c r="BD647" s="18"/>
      <c r="BE647" s="23">
        <f>BE638-(SUM(BE639:BE646))</f>
        <v>172160</v>
      </c>
      <c r="BF647" s="19"/>
      <c r="BG647" s="22"/>
      <c r="BH647" s="23">
        <f>BH638-(SUM(BH639:BH646))</f>
        <v>720000</v>
      </c>
      <c r="BI647" s="18"/>
      <c r="BJ647" s="23">
        <f>BJ638-(SUM(BJ639:BJ646))</f>
        <v>169790</v>
      </c>
      <c r="BK647" s="19"/>
      <c r="BL647" s="22"/>
      <c r="BM647" s="23">
        <f>BM638-(SUM(BM639:BM646))</f>
        <v>-80000</v>
      </c>
      <c r="BN647" s="18"/>
      <c r="BO647" s="23">
        <f>BO638-(SUM(BO639:BO646))</f>
        <v>-198180</v>
      </c>
      <c r="BP647" s="19"/>
      <c r="BQ647" s="17" t="s">
        <v>216</v>
      </c>
      <c r="BR647" s="1"/>
      <c r="BS647" s="1"/>
      <c r="BT647" s="1"/>
      <c r="BU647" s="1"/>
    </row>
    <row r="648">
      <c r="A648" s="1"/>
      <c r="B648" s="27">
        <v>0.0</v>
      </c>
      <c r="C648" s="11" t="s">
        <v>26</v>
      </c>
      <c r="D648" s="22"/>
      <c r="E648" s="23">
        <f>E647*$B648</f>
        <v>0</v>
      </c>
      <c r="F648" s="18"/>
      <c r="G648" s="18"/>
      <c r="H648" s="19"/>
      <c r="I648" s="22"/>
      <c r="J648" s="23">
        <f>J647*$B648</f>
        <v>0</v>
      </c>
      <c r="K648" s="18"/>
      <c r="L648" s="18"/>
      <c r="M648" s="19"/>
      <c r="N648" s="22"/>
      <c r="O648" s="23">
        <f>O647*$B648</f>
        <v>0</v>
      </c>
      <c r="P648" s="18"/>
      <c r="Q648" s="18"/>
      <c r="R648" s="19"/>
      <c r="S648" s="22"/>
      <c r="T648" s="23">
        <f>T647*$B648</f>
        <v>0</v>
      </c>
      <c r="U648" s="18"/>
      <c r="V648" s="18"/>
      <c r="W648" s="19"/>
      <c r="X648" s="18"/>
      <c r="Y648" s="23">
        <f>Y647*$B648</f>
        <v>0</v>
      </c>
      <c r="Z648" s="18"/>
      <c r="AA648" s="18"/>
      <c r="AB648" s="19"/>
      <c r="AC648" s="18"/>
      <c r="AD648" s="23">
        <f>AD647*$B648</f>
        <v>0</v>
      </c>
      <c r="AE648" s="18"/>
      <c r="AF648" s="18"/>
      <c r="AG648" s="19"/>
      <c r="AH648" s="18"/>
      <c r="AI648" s="23">
        <f>AI647*$B648</f>
        <v>0</v>
      </c>
      <c r="AJ648" s="18"/>
      <c r="AK648" s="18"/>
      <c r="AL648" s="19"/>
      <c r="AM648" s="18"/>
      <c r="AN648" s="23">
        <f>AN647*$B648</f>
        <v>0</v>
      </c>
      <c r="AO648" s="18"/>
      <c r="AP648" s="18"/>
      <c r="AQ648" s="19"/>
      <c r="AR648" s="22"/>
      <c r="AS648" s="23">
        <f>AS647*$B648</f>
        <v>0</v>
      </c>
      <c r="AT648" s="18"/>
      <c r="AU648" s="18"/>
      <c r="AV648" s="19"/>
      <c r="AW648" s="22"/>
      <c r="AX648" s="23">
        <f>AX647*$B648</f>
        <v>0</v>
      </c>
      <c r="AY648" s="18"/>
      <c r="AZ648" s="18"/>
      <c r="BA648" s="19"/>
      <c r="BB648" s="22"/>
      <c r="BC648" s="23">
        <f>BC647*$B648</f>
        <v>0</v>
      </c>
      <c r="BD648" s="18"/>
      <c r="BE648" s="18"/>
      <c r="BF648" s="19"/>
      <c r="BG648" s="22"/>
      <c r="BH648" s="23">
        <f>BH647*$B648</f>
        <v>0</v>
      </c>
      <c r="BI648" s="18"/>
      <c r="BJ648" s="18"/>
      <c r="BK648" s="19"/>
      <c r="BL648" s="22"/>
      <c r="BM648" s="23">
        <f>BM647*$B648</f>
        <v>0</v>
      </c>
      <c r="BN648" s="18"/>
      <c r="BO648" s="18"/>
      <c r="BP648" s="19"/>
      <c r="BQ648" s="17" t="s">
        <v>216</v>
      </c>
      <c r="BR648" s="1"/>
      <c r="BS648" s="1"/>
      <c r="BT648" s="1"/>
      <c r="BU648" s="1"/>
    </row>
    <row r="649">
      <c r="A649" s="67" t="str">
        <f>B635</f>
        <v>영영2</v>
      </c>
      <c r="B649" s="29">
        <v>1.0</v>
      </c>
      <c r="C649" s="30" t="s">
        <v>57</v>
      </c>
      <c r="D649" s="31"/>
      <c r="E649" s="32">
        <f>E647*$B649</f>
        <v>215162</v>
      </c>
      <c r="F649" s="33"/>
      <c r="G649" s="33"/>
      <c r="H649" s="34"/>
      <c r="I649" s="31"/>
      <c r="J649" s="32">
        <f>J647*$B649</f>
        <v>-80000</v>
      </c>
      <c r="K649" s="33"/>
      <c r="L649" s="33"/>
      <c r="M649" s="34"/>
      <c r="N649" s="31"/>
      <c r="O649" s="32">
        <f>O647*$B649</f>
        <v>720000</v>
      </c>
      <c r="P649" s="33"/>
      <c r="Q649" s="33"/>
      <c r="R649" s="34"/>
      <c r="S649" s="31"/>
      <c r="T649" s="32">
        <f>T647*$B649</f>
        <v>720000</v>
      </c>
      <c r="U649" s="33"/>
      <c r="V649" s="33"/>
      <c r="W649" s="34"/>
      <c r="X649" s="33"/>
      <c r="Y649" s="32">
        <f>Y647*$B649</f>
        <v>720000</v>
      </c>
      <c r="Z649" s="33"/>
      <c r="AA649" s="33"/>
      <c r="AB649" s="34"/>
      <c r="AC649" s="33"/>
      <c r="AD649" s="32">
        <f>AD647*$B649</f>
        <v>720000</v>
      </c>
      <c r="AE649" s="33"/>
      <c r="AF649" s="33"/>
      <c r="AG649" s="34"/>
      <c r="AH649" s="33"/>
      <c r="AI649" s="32">
        <f>AI647*$B649</f>
        <v>720000</v>
      </c>
      <c r="AJ649" s="33"/>
      <c r="AK649" s="33"/>
      <c r="AL649" s="34"/>
      <c r="AM649" s="33"/>
      <c r="AN649" s="32">
        <f>AN647*$B649</f>
        <v>720000</v>
      </c>
      <c r="AO649" s="33"/>
      <c r="AP649" s="33"/>
      <c r="AQ649" s="34"/>
      <c r="AR649" s="31"/>
      <c r="AS649" s="32">
        <f>AS647*$B649</f>
        <v>720000</v>
      </c>
      <c r="AT649" s="33"/>
      <c r="AU649" s="33"/>
      <c r="AV649" s="34"/>
      <c r="AW649" s="31"/>
      <c r="AX649" s="32">
        <f>AX647*$B649</f>
        <v>720000</v>
      </c>
      <c r="AY649" s="33"/>
      <c r="AZ649" s="33"/>
      <c r="BA649" s="34"/>
      <c r="BB649" s="31"/>
      <c r="BC649" s="32">
        <f>BC647*$B649</f>
        <v>720000</v>
      </c>
      <c r="BD649" s="33"/>
      <c r="BE649" s="33"/>
      <c r="BF649" s="34"/>
      <c r="BG649" s="31"/>
      <c r="BH649" s="32">
        <f>BH647*$B649</f>
        <v>720000</v>
      </c>
      <c r="BI649" s="33"/>
      <c r="BJ649" s="33"/>
      <c r="BK649" s="34"/>
      <c r="BL649" s="31"/>
      <c r="BM649" s="32">
        <f>BM647*$B649</f>
        <v>-80000</v>
      </c>
      <c r="BN649" s="33"/>
      <c r="BO649" s="33"/>
      <c r="BP649" s="34"/>
      <c r="BQ649" s="17" t="s">
        <v>216</v>
      </c>
      <c r="BR649" s="1"/>
      <c r="BS649" s="1"/>
      <c r="BT649" s="1"/>
      <c r="BU649" s="1"/>
    </row>
    <row r="650">
      <c r="A650" s="1"/>
      <c r="B650" s="27" t="s">
        <v>1021</v>
      </c>
      <c r="C650" s="11" t="s">
        <v>898</v>
      </c>
      <c r="D650" s="20" t="s">
        <v>1022</v>
      </c>
      <c r="E650" s="23">
        <v>500000.0</v>
      </c>
      <c r="F650" s="35" t="b">
        <v>1</v>
      </c>
      <c r="G650" s="23">
        <v>80000.0</v>
      </c>
      <c r="H650" s="15" t="b">
        <v>1</v>
      </c>
      <c r="I650" s="20" t="s">
        <v>1022</v>
      </c>
      <c r="J650" s="23">
        <v>500000.0</v>
      </c>
      <c r="K650" s="35" t="b">
        <v>1</v>
      </c>
      <c r="L650" s="23">
        <v>80000.0</v>
      </c>
      <c r="M650" s="15" t="b">
        <v>1</v>
      </c>
      <c r="N650" s="20" t="s">
        <v>1022</v>
      </c>
      <c r="O650" s="23">
        <v>500000.0</v>
      </c>
      <c r="P650" s="35" t="b">
        <v>1</v>
      </c>
      <c r="Q650" s="23">
        <v>80000.0</v>
      </c>
      <c r="R650" s="15" t="b">
        <v>1</v>
      </c>
      <c r="S650" s="20" t="s">
        <v>1022</v>
      </c>
      <c r="T650" s="23">
        <v>500000.0</v>
      </c>
      <c r="U650" s="35" t="b">
        <v>1</v>
      </c>
      <c r="V650" s="23">
        <v>80000.0</v>
      </c>
      <c r="W650" s="15" t="b">
        <v>1</v>
      </c>
      <c r="X650" s="20" t="s">
        <v>1023</v>
      </c>
      <c r="Y650" s="23">
        <v>500000.0</v>
      </c>
      <c r="Z650" s="35" t="b">
        <v>1</v>
      </c>
      <c r="AA650" s="23">
        <v>80000.0</v>
      </c>
      <c r="AB650" s="15" t="b">
        <v>1</v>
      </c>
      <c r="AC650" s="20" t="s">
        <v>1023</v>
      </c>
      <c r="AD650" s="23">
        <v>500000.0</v>
      </c>
      <c r="AE650" s="35" t="b">
        <v>1</v>
      </c>
      <c r="AF650" s="23">
        <v>80000.0</v>
      </c>
      <c r="AG650" s="15" t="b">
        <v>1</v>
      </c>
      <c r="AH650" s="20" t="s">
        <v>1023</v>
      </c>
      <c r="AI650" s="23">
        <v>500000.0</v>
      </c>
      <c r="AJ650" s="35" t="b">
        <v>1</v>
      </c>
      <c r="AK650" s="23">
        <v>80000.0</v>
      </c>
      <c r="AL650" s="15" t="b">
        <v>1</v>
      </c>
      <c r="AM650" s="20" t="s">
        <v>1023</v>
      </c>
      <c r="AN650" s="23">
        <v>500000.0</v>
      </c>
      <c r="AO650" s="35" t="b">
        <v>1</v>
      </c>
      <c r="AP650" s="23">
        <v>80000.0</v>
      </c>
      <c r="AQ650" s="15" t="b">
        <v>1</v>
      </c>
      <c r="AR650" s="20" t="s">
        <v>1023</v>
      </c>
      <c r="AS650" s="23">
        <v>500000.0</v>
      </c>
      <c r="AT650" s="35" t="b">
        <v>1</v>
      </c>
      <c r="AU650" s="23">
        <v>80000.0</v>
      </c>
      <c r="AV650" s="15" t="b">
        <v>1</v>
      </c>
      <c r="AW650" s="20" t="s">
        <v>1023</v>
      </c>
      <c r="AX650" s="23">
        <v>500000.0</v>
      </c>
      <c r="AY650" s="35" t="b">
        <v>1</v>
      </c>
      <c r="AZ650" s="23">
        <v>80000.0</v>
      </c>
      <c r="BA650" s="15" t="b">
        <v>1</v>
      </c>
      <c r="BB650" s="20" t="s">
        <v>1023</v>
      </c>
      <c r="BC650" s="23">
        <v>500000.0</v>
      </c>
      <c r="BD650" s="35" t="b">
        <v>1</v>
      </c>
      <c r="BE650" s="23">
        <v>80000.0</v>
      </c>
      <c r="BF650" s="15" t="b">
        <v>1</v>
      </c>
      <c r="BG650" s="20" t="s">
        <v>1023</v>
      </c>
      <c r="BH650" s="23">
        <v>500000.0</v>
      </c>
      <c r="BI650" s="35" t="b">
        <v>1</v>
      </c>
      <c r="BJ650" s="23">
        <v>80000.0</v>
      </c>
      <c r="BK650" s="15" t="b">
        <v>1</v>
      </c>
      <c r="BL650" s="20" t="s">
        <v>1023</v>
      </c>
      <c r="BM650" s="23">
        <v>500000.0</v>
      </c>
      <c r="BN650" s="35" t="b">
        <v>0</v>
      </c>
      <c r="BO650" s="23">
        <v>80000.0</v>
      </c>
      <c r="BP650" s="15" t="b">
        <v>0</v>
      </c>
      <c r="BQ650" s="17" t="s">
        <v>321</v>
      </c>
      <c r="BR650" s="1"/>
      <c r="BS650" s="1"/>
      <c r="BT650" s="1"/>
      <c r="BU650" s="1"/>
    </row>
    <row r="651">
      <c r="A651" s="1"/>
      <c r="B651" s="27" t="s">
        <v>1021</v>
      </c>
      <c r="C651" s="11" t="s">
        <v>1024</v>
      </c>
      <c r="D651" s="20" t="s">
        <v>1025</v>
      </c>
      <c r="E651" s="23">
        <v>520000.0</v>
      </c>
      <c r="F651" s="35" t="b">
        <v>1</v>
      </c>
      <c r="G651" s="23">
        <v>80000.0</v>
      </c>
      <c r="H651" s="15" t="b">
        <v>1</v>
      </c>
      <c r="I651" s="20" t="s">
        <v>1025</v>
      </c>
      <c r="J651" s="23">
        <v>520000.0</v>
      </c>
      <c r="K651" s="35" t="b">
        <v>1</v>
      </c>
      <c r="L651" s="23">
        <v>80000.0</v>
      </c>
      <c r="M651" s="15" t="b">
        <v>1</v>
      </c>
      <c r="N651" s="20" t="s">
        <v>1025</v>
      </c>
      <c r="O651" s="23">
        <v>520000.0</v>
      </c>
      <c r="P651" s="35" t="b">
        <v>1</v>
      </c>
      <c r="Q651" s="23">
        <v>80000.0</v>
      </c>
      <c r="R651" s="15" t="b">
        <v>1</v>
      </c>
      <c r="S651" s="20" t="s">
        <v>1025</v>
      </c>
      <c r="T651" s="23">
        <v>520000.0</v>
      </c>
      <c r="U651" s="35" t="b">
        <v>1</v>
      </c>
      <c r="V651" s="23">
        <v>80000.0</v>
      </c>
      <c r="W651" s="15" t="b">
        <v>1</v>
      </c>
      <c r="X651" s="20" t="s">
        <v>1025</v>
      </c>
      <c r="Y651" s="23">
        <v>520000.0</v>
      </c>
      <c r="Z651" s="35" t="b">
        <v>1</v>
      </c>
      <c r="AA651" s="23">
        <v>80000.0</v>
      </c>
      <c r="AB651" s="15" t="b">
        <v>1</v>
      </c>
      <c r="AC651" s="20" t="s">
        <v>1025</v>
      </c>
      <c r="AD651" s="23">
        <v>520000.0</v>
      </c>
      <c r="AE651" s="35" t="b">
        <v>1</v>
      </c>
      <c r="AF651" s="23">
        <v>80000.0</v>
      </c>
      <c r="AG651" s="15" t="b">
        <v>1</v>
      </c>
      <c r="AH651" s="20" t="s">
        <v>1026</v>
      </c>
      <c r="AI651" s="23">
        <v>520000.0</v>
      </c>
      <c r="AJ651" s="35" t="b">
        <v>1</v>
      </c>
      <c r="AK651" s="23">
        <v>80000.0</v>
      </c>
      <c r="AL651" s="15" t="b">
        <v>1</v>
      </c>
      <c r="AM651" s="20" t="s">
        <v>37</v>
      </c>
      <c r="AN651" s="18"/>
      <c r="AO651" s="1"/>
      <c r="AP651" s="18"/>
      <c r="AQ651" s="19"/>
      <c r="AR651" s="20" t="s">
        <v>1027</v>
      </c>
      <c r="AS651" s="23">
        <v>620000.0</v>
      </c>
      <c r="AT651" s="35" t="b">
        <v>1</v>
      </c>
      <c r="AU651" s="23">
        <v>80000.0</v>
      </c>
      <c r="AV651" s="15" t="b">
        <v>1</v>
      </c>
      <c r="AW651" s="20" t="s">
        <v>1028</v>
      </c>
      <c r="AX651" s="23">
        <v>620000.0</v>
      </c>
      <c r="AY651" s="35" t="b">
        <v>1</v>
      </c>
      <c r="AZ651" s="23">
        <v>80000.0</v>
      </c>
      <c r="BA651" s="15" t="b">
        <v>1</v>
      </c>
      <c r="BB651" s="20" t="s">
        <v>1028</v>
      </c>
      <c r="BC651" s="23">
        <v>620000.0</v>
      </c>
      <c r="BD651" s="35" t="b">
        <v>1</v>
      </c>
      <c r="BE651" s="23">
        <v>80000.0</v>
      </c>
      <c r="BF651" s="15" t="b">
        <v>1</v>
      </c>
      <c r="BG651" s="20" t="s">
        <v>1029</v>
      </c>
      <c r="BH651" s="23">
        <v>620000.0</v>
      </c>
      <c r="BI651" s="35" t="b">
        <v>1</v>
      </c>
      <c r="BJ651" s="23">
        <v>80000.0</v>
      </c>
      <c r="BK651" s="15" t="b">
        <v>1</v>
      </c>
      <c r="BL651" s="20" t="s">
        <v>1029</v>
      </c>
      <c r="BM651" s="23">
        <v>620000.0</v>
      </c>
      <c r="BN651" s="35" t="b">
        <v>0</v>
      </c>
      <c r="BO651" s="23">
        <v>80000.0</v>
      </c>
      <c r="BP651" s="15" t="b">
        <v>0</v>
      </c>
      <c r="BQ651" s="17" t="s">
        <v>321</v>
      </c>
      <c r="BR651" s="1"/>
      <c r="BS651" s="1"/>
      <c r="BT651" s="1"/>
      <c r="BU651" s="1"/>
    </row>
    <row r="652">
      <c r="A652" s="1"/>
      <c r="B652" s="27" t="s">
        <v>1021</v>
      </c>
      <c r="C652" s="11" t="s">
        <v>909</v>
      </c>
      <c r="D652" s="20" t="s">
        <v>1030</v>
      </c>
      <c r="E652" s="23">
        <v>420000.0</v>
      </c>
      <c r="F652" s="35" t="b">
        <v>1</v>
      </c>
      <c r="G652" s="23">
        <v>80000.0</v>
      </c>
      <c r="H652" s="15" t="b">
        <v>1</v>
      </c>
      <c r="I652" s="20" t="s">
        <v>1031</v>
      </c>
      <c r="J652" s="23">
        <v>420000.0</v>
      </c>
      <c r="K652" s="35" t="b">
        <v>1</v>
      </c>
      <c r="L652" s="23">
        <v>80000.0</v>
      </c>
      <c r="M652" s="15" t="b">
        <v>1</v>
      </c>
      <c r="N652" s="20" t="s">
        <v>37</v>
      </c>
      <c r="O652" s="18"/>
      <c r="P652" s="1"/>
      <c r="Q652" s="18"/>
      <c r="R652" s="19"/>
      <c r="S652" s="44" t="s">
        <v>1032</v>
      </c>
      <c r="T652" s="23">
        <v>331200.0</v>
      </c>
      <c r="U652" s="35" t="b">
        <v>1</v>
      </c>
      <c r="V652" s="23">
        <v>67000.0</v>
      </c>
      <c r="W652" s="15" t="b">
        <v>1</v>
      </c>
      <c r="X652" s="44" t="s">
        <v>1032</v>
      </c>
      <c r="Y652" s="23">
        <v>397800.0</v>
      </c>
      <c r="Z652" s="35" t="b">
        <v>0</v>
      </c>
      <c r="AA652" s="23">
        <v>80000.0</v>
      </c>
      <c r="AB652" s="15" t="b">
        <v>0</v>
      </c>
      <c r="AC652" s="44" t="s">
        <v>1033</v>
      </c>
      <c r="AD652" s="23">
        <v>397800.0</v>
      </c>
      <c r="AE652" s="35" t="b">
        <v>1</v>
      </c>
      <c r="AF652" s="23">
        <v>80000.0</v>
      </c>
      <c r="AG652" s="15" t="b">
        <v>1</v>
      </c>
      <c r="AH652" s="44" t="s">
        <v>1033</v>
      </c>
      <c r="AI652" s="23">
        <v>393380.0</v>
      </c>
      <c r="AJ652" s="35" t="b">
        <v>1</v>
      </c>
      <c r="AK652" s="23">
        <v>80000.0</v>
      </c>
      <c r="AL652" s="15" t="b">
        <v>1</v>
      </c>
      <c r="AM652" s="44" t="s">
        <v>1033</v>
      </c>
      <c r="AN652" s="23">
        <v>393380.0</v>
      </c>
      <c r="AO652" s="35" t="b">
        <v>1</v>
      </c>
      <c r="AP652" s="23">
        <v>80000.0</v>
      </c>
      <c r="AQ652" s="15" t="b">
        <v>1</v>
      </c>
      <c r="AR652" s="44" t="s">
        <v>1033</v>
      </c>
      <c r="AS652" s="23">
        <v>393380.0</v>
      </c>
      <c r="AT652" s="35" t="b">
        <v>1</v>
      </c>
      <c r="AU652" s="23">
        <v>80000.0</v>
      </c>
      <c r="AV652" s="15" t="b">
        <v>1</v>
      </c>
      <c r="AW652" s="44" t="s">
        <v>1034</v>
      </c>
      <c r="AX652" s="23">
        <v>63190.0</v>
      </c>
      <c r="AY652" s="35" t="b">
        <v>1</v>
      </c>
      <c r="AZ652" s="23">
        <v>12900.0</v>
      </c>
      <c r="BA652" s="15" t="b">
        <v>1</v>
      </c>
      <c r="BB652" s="20" t="s">
        <v>37</v>
      </c>
      <c r="BC652" s="18"/>
      <c r="BD652" s="1"/>
      <c r="BE652" s="18"/>
      <c r="BF652" s="19"/>
      <c r="BG652" s="20" t="s">
        <v>37</v>
      </c>
      <c r="BH652" s="18"/>
      <c r="BI652" s="1"/>
      <c r="BJ652" s="18"/>
      <c r="BK652" s="19"/>
      <c r="BL652" s="20" t="s">
        <v>37</v>
      </c>
      <c r="BM652" s="18"/>
      <c r="BN652" s="1"/>
      <c r="BO652" s="18"/>
      <c r="BP652" s="15" t="b">
        <v>0</v>
      </c>
      <c r="BQ652" s="17" t="s">
        <v>321</v>
      </c>
      <c r="BR652" s="1"/>
      <c r="BS652" s="1"/>
      <c r="BT652" s="1"/>
      <c r="BU652" s="1"/>
    </row>
    <row r="653">
      <c r="A653" s="1"/>
      <c r="B653" s="27" t="s">
        <v>1021</v>
      </c>
      <c r="C653" s="11" t="s">
        <v>316</v>
      </c>
      <c r="D653" s="20" t="s">
        <v>37</v>
      </c>
      <c r="E653" s="18"/>
      <c r="F653" s="1"/>
      <c r="G653" s="18"/>
      <c r="H653" s="19"/>
      <c r="I653" s="20" t="s">
        <v>37</v>
      </c>
      <c r="J653" s="18"/>
      <c r="K653" s="1"/>
      <c r="L653" s="18"/>
      <c r="M653" s="19"/>
      <c r="N653" s="44" t="s">
        <v>1035</v>
      </c>
      <c r="O653" s="23">
        <v>52200.0</v>
      </c>
      <c r="P653" s="35" t="b">
        <v>1</v>
      </c>
      <c r="Q653" s="23">
        <v>10000.0</v>
      </c>
      <c r="R653" s="15" t="b">
        <v>1</v>
      </c>
      <c r="S653" s="44" t="s">
        <v>1035</v>
      </c>
      <c r="T653" s="23">
        <v>405000.0</v>
      </c>
      <c r="U653" s="35" t="b">
        <v>1</v>
      </c>
      <c r="V653" s="23">
        <v>80000.0</v>
      </c>
      <c r="W653" s="15" t="b">
        <v>1</v>
      </c>
      <c r="X653" s="44" t="s">
        <v>1035</v>
      </c>
      <c r="Y653" s="23">
        <v>405000.0</v>
      </c>
      <c r="Z653" s="35" t="b">
        <v>0</v>
      </c>
      <c r="AA653" s="23">
        <v>80000.0</v>
      </c>
      <c r="AB653" s="15" t="b">
        <v>0</v>
      </c>
      <c r="AC653" s="44" t="s">
        <v>1036</v>
      </c>
      <c r="AD653" s="23">
        <f>378000+40000</f>
        <v>418000</v>
      </c>
      <c r="AE653" s="35" t="b">
        <v>1</v>
      </c>
      <c r="AF653" s="23">
        <f>75000+8000</f>
        <v>83000</v>
      </c>
      <c r="AG653" s="15" t="b">
        <v>1</v>
      </c>
      <c r="AH653" s="20" t="s">
        <v>1037</v>
      </c>
      <c r="AI653" s="23">
        <v>400000.0</v>
      </c>
      <c r="AJ653" s="35" t="b">
        <v>1</v>
      </c>
      <c r="AK653" s="23">
        <v>80000.0</v>
      </c>
      <c r="AL653" s="15" t="b">
        <v>1</v>
      </c>
      <c r="AM653" s="20" t="s">
        <v>1037</v>
      </c>
      <c r="AN653" s="23">
        <v>400000.0</v>
      </c>
      <c r="AO653" s="35" t="b">
        <v>1</v>
      </c>
      <c r="AP653" s="23">
        <v>80000.0</v>
      </c>
      <c r="AQ653" s="15" t="b">
        <v>1</v>
      </c>
      <c r="AR653" s="20" t="s">
        <v>1037</v>
      </c>
      <c r="AS653" s="23">
        <v>400000.0</v>
      </c>
      <c r="AT653" s="35" t="b">
        <v>1</v>
      </c>
      <c r="AU653" s="23">
        <v>80000.0</v>
      </c>
      <c r="AV653" s="15" t="b">
        <v>1</v>
      </c>
      <c r="AW653" s="20" t="s">
        <v>1037</v>
      </c>
      <c r="AX653" s="23">
        <v>400000.0</v>
      </c>
      <c r="AY653" s="35" t="b">
        <v>1</v>
      </c>
      <c r="AZ653" s="23">
        <v>80000.0</v>
      </c>
      <c r="BA653" s="15" t="b">
        <v>1</v>
      </c>
      <c r="BB653" s="20" t="s">
        <v>1037</v>
      </c>
      <c r="BC653" s="23">
        <v>400000.0</v>
      </c>
      <c r="BD653" s="35" t="b">
        <v>1</v>
      </c>
      <c r="BE653" s="23">
        <v>80000.0</v>
      </c>
      <c r="BF653" s="15" t="b">
        <v>1</v>
      </c>
      <c r="BG653" s="20" t="s">
        <v>1037</v>
      </c>
      <c r="BH653" s="23">
        <v>400000.0</v>
      </c>
      <c r="BI653" s="35" t="b">
        <v>1</v>
      </c>
      <c r="BJ653" s="23">
        <v>80000.0</v>
      </c>
      <c r="BK653" s="15" t="b">
        <v>1</v>
      </c>
      <c r="BL653" s="20" t="s">
        <v>1037</v>
      </c>
      <c r="BM653" s="23">
        <v>400000.0</v>
      </c>
      <c r="BN653" s="35" t="b">
        <v>0</v>
      </c>
      <c r="BO653" s="23">
        <v>80000.0</v>
      </c>
      <c r="BP653" s="15" t="b">
        <v>0</v>
      </c>
      <c r="BQ653" s="17" t="s">
        <v>321</v>
      </c>
      <c r="BR653" s="1"/>
      <c r="BS653" s="1"/>
      <c r="BT653" s="1"/>
      <c r="BU653" s="1"/>
    </row>
    <row r="654">
      <c r="A654" s="1"/>
      <c r="B654" s="21"/>
      <c r="C654" s="11" t="s">
        <v>42</v>
      </c>
      <c r="D654" s="22"/>
      <c r="E654" s="23">
        <f>SUM(E650:E653)</f>
        <v>1440000</v>
      </c>
      <c r="F654" s="18"/>
      <c r="G654" s="23">
        <f>SUM(G650:G653)</f>
        <v>240000</v>
      </c>
      <c r="H654" s="19"/>
      <c r="I654" s="22"/>
      <c r="J654" s="23">
        <f>SUM(J650:J653)</f>
        <v>1440000</v>
      </c>
      <c r="K654" s="18"/>
      <c r="L654" s="23">
        <f>SUM(L650:L653)</f>
        <v>240000</v>
      </c>
      <c r="M654" s="19"/>
      <c r="N654" s="22"/>
      <c r="O654" s="23">
        <f>SUM(O650:O653)</f>
        <v>1072200</v>
      </c>
      <c r="P654" s="18"/>
      <c r="Q654" s="23">
        <f>SUM(Q650:Q653)</f>
        <v>170000</v>
      </c>
      <c r="R654" s="19"/>
      <c r="S654" s="22"/>
      <c r="T654" s="23">
        <f>SUM(T650:T653)</f>
        <v>1756200</v>
      </c>
      <c r="U654" s="18"/>
      <c r="V654" s="23">
        <f>SUM(V650:V653)</f>
        <v>307000</v>
      </c>
      <c r="W654" s="19"/>
      <c r="X654" s="18"/>
      <c r="Y654" s="23">
        <f>SUM(Y650:Y653)</f>
        <v>1822800</v>
      </c>
      <c r="Z654" s="18"/>
      <c r="AA654" s="23">
        <f>SUM(AA650:AA653)</f>
        <v>320000</v>
      </c>
      <c r="AB654" s="19"/>
      <c r="AC654" s="18"/>
      <c r="AD654" s="23">
        <f>SUM(AD650:AD653)</f>
        <v>1835800</v>
      </c>
      <c r="AE654" s="18"/>
      <c r="AF654" s="23">
        <f>SUM(AF650:AF653)</f>
        <v>323000</v>
      </c>
      <c r="AG654" s="19"/>
      <c r="AH654" s="18"/>
      <c r="AI654" s="23">
        <f>SUM(AI650:AI653)</f>
        <v>1813380</v>
      </c>
      <c r="AJ654" s="18"/>
      <c r="AK654" s="23">
        <f>SUM(AK650:AK653)</f>
        <v>320000</v>
      </c>
      <c r="AL654" s="19"/>
      <c r="AM654" s="18"/>
      <c r="AN654" s="23">
        <f>SUM(AN650:AN653)</f>
        <v>1293380</v>
      </c>
      <c r="AO654" s="18"/>
      <c r="AP654" s="23">
        <f>SUM(AP650:AP653)</f>
        <v>240000</v>
      </c>
      <c r="AQ654" s="19"/>
      <c r="AR654" s="22"/>
      <c r="AS654" s="23">
        <f>SUM(AS650:AS653)</f>
        <v>1913380</v>
      </c>
      <c r="AT654" s="18"/>
      <c r="AU654" s="23">
        <f>SUM(AU650:AU653)</f>
        <v>320000</v>
      </c>
      <c r="AV654" s="19"/>
      <c r="AW654" s="22"/>
      <c r="AX654" s="23">
        <f>SUM(AX650:AX653)</f>
        <v>1583190</v>
      </c>
      <c r="AY654" s="18"/>
      <c r="AZ654" s="23">
        <f>SUM(AZ650:AZ653)</f>
        <v>252900</v>
      </c>
      <c r="BA654" s="19"/>
      <c r="BB654" s="22"/>
      <c r="BC654" s="23">
        <f>SUM(BC650:BC653)</f>
        <v>1520000</v>
      </c>
      <c r="BD654" s="18"/>
      <c r="BE654" s="23">
        <f>SUM(BE650:BE653)</f>
        <v>240000</v>
      </c>
      <c r="BF654" s="19"/>
      <c r="BG654" s="22"/>
      <c r="BH654" s="23">
        <f>SUM(BH650:BH653)</f>
        <v>1520000</v>
      </c>
      <c r="BI654" s="18"/>
      <c r="BJ654" s="23">
        <f>SUM(BJ650:BJ653)</f>
        <v>240000</v>
      </c>
      <c r="BK654" s="19"/>
      <c r="BL654" s="22"/>
      <c r="BM654" s="23">
        <f>SUM(BM650:BM653)</f>
        <v>1520000</v>
      </c>
      <c r="BN654" s="18"/>
      <c r="BO654" s="23">
        <f>SUM(BO650:BO653)</f>
        <v>240000</v>
      </c>
      <c r="BP654" s="19"/>
      <c r="BQ654" s="17" t="s">
        <v>321</v>
      </c>
      <c r="BR654" s="1"/>
      <c r="BS654" s="1"/>
      <c r="BT654" s="1"/>
      <c r="BU654" s="1"/>
    </row>
    <row r="655">
      <c r="A655" s="1"/>
      <c r="B655" s="21"/>
      <c r="C655" s="11" t="s">
        <v>43</v>
      </c>
      <c r="D655" s="22"/>
      <c r="E655" s="23">
        <v>750000.0</v>
      </c>
      <c r="F655" s="18"/>
      <c r="G655" s="18"/>
      <c r="H655" s="19"/>
      <c r="I655" s="22"/>
      <c r="J655" s="23">
        <v>750000.0</v>
      </c>
      <c r="K655" s="18"/>
      <c r="L655" s="23">
        <v>782000.0</v>
      </c>
      <c r="M655" s="98">
        <v>782000.0</v>
      </c>
      <c r="N655" s="26">
        <v>782000.0</v>
      </c>
      <c r="O655" s="23">
        <v>782000.0</v>
      </c>
      <c r="P655" s="61">
        <v>782000.0</v>
      </c>
      <c r="Q655" s="23">
        <v>782000.0</v>
      </c>
      <c r="R655" s="98">
        <v>782000.0</v>
      </c>
      <c r="S655" s="26">
        <v>782000.0</v>
      </c>
      <c r="T655" s="23">
        <v>782000.0</v>
      </c>
      <c r="U655" s="61">
        <v>782000.0</v>
      </c>
      <c r="V655" s="23">
        <v>782000.0</v>
      </c>
      <c r="W655" s="98">
        <v>782000.0</v>
      </c>
      <c r="X655" s="20">
        <v>782000.0</v>
      </c>
      <c r="Y655" s="23">
        <v>782000.0</v>
      </c>
      <c r="Z655" s="61">
        <v>782000.0</v>
      </c>
      <c r="AA655" s="23">
        <v>782000.0</v>
      </c>
      <c r="AB655" s="98">
        <v>782000.0</v>
      </c>
      <c r="AC655" s="20">
        <v>782000.0</v>
      </c>
      <c r="AD655" s="23">
        <v>782000.0</v>
      </c>
      <c r="AE655" s="61">
        <v>782000.0</v>
      </c>
      <c r="AF655" s="23">
        <v>782000.0</v>
      </c>
      <c r="AG655" s="98">
        <v>782000.0</v>
      </c>
      <c r="AH655" s="20">
        <v>782000.0</v>
      </c>
      <c r="AI655" s="23">
        <v>782000.0</v>
      </c>
      <c r="AJ655" s="61">
        <v>782000.0</v>
      </c>
      <c r="AK655" s="23">
        <v>782000.0</v>
      </c>
      <c r="AL655" s="98">
        <v>782000.0</v>
      </c>
      <c r="AM655" s="20">
        <v>782000.0</v>
      </c>
      <c r="AN655" s="23">
        <v>782000.0</v>
      </c>
      <c r="AO655" s="61">
        <v>782000.0</v>
      </c>
      <c r="AP655" s="23">
        <v>782000.0</v>
      </c>
      <c r="AQ655" s="98">
        <v>782000.0</v>
      </c>
      <c r="AR655" s="26">
        <v>782000.0</v>
      </c>
      <c r="AS655" s="23">
        <v>782000.0</v>
      </c>
      <c r="AT655" s="61">
        <v>782000.0</v>
      </c>
      <c r="AU655" s="23">
        <v>782000.0</v>
      </c>
      <c r="AV655" s="98">
        <v>782000.0</v>
      </c>
      <c r="AW655" s="26">
        <v>782000.0</v>
      </c>
      <c r="AX655" s="23">
        <v>782000.0</v>
      </c>
      <c r="AY655" s="61">
        <v>782000.0</v>
      </c>
      <c r="AZ655" s="23">
        <v>782000.0</v>
      </c>
      <c r="BA655" s="98">
        <v>782000.0</v>
      </c>
      <c r="BB655" s="26">
        <v>782000.0</v>
      </c>
      <c r="BC655" s="23">
        <v>782000.0</v>
      </c>
      <c r="BD655" s="61">
        <v>782000.0</v>
      </c>
      <c r="BE655" s="23">
        <v>782000.0</v>
      </c>
      <c r="BF655" s="98">
        <v>782000.0</v>
      </c>
      <c r="BG655" s="26">
        <v>782000.0</v>
      </c>
      <c r="BH655" s="23">
        <v>782000.0</v>
      </c>
      <c r="BI655" s="61">
        <v>782000.0</v>
      </c>
      <c r="BJ655" s="23">
        <v>782000.0</v>
      </c>
      <c r="BK655" s="19"/>
      <c r="BL655" s="26">
        <v>782000.0</v>
      </c>
      <c r="BM655" s="23">
        <v>782000.0</v>
      </c>
      <c r="BN655" s="61">
        <v>782000.0</v>
      </c>
      <c r="BO655" s="23">
        <v>782000.0</v>
      </c>
      <c r="BP655" s="19"/>
      <c r="BQ655" s="17" t="s">
        <v>321</v>
      </c>
      <c r="BR655" s="1"/>
      <c r="BS655" s="1"/>
      <c r="BT655" s="1"/>
      <c r="BU655" s="1"/>
    </row>
    <row r="656">
      <c r="A656" s="1"/>
      <c r="B656" s="10" t="s">
        <v>1038</v>
      </c>
      <c r="C656" s="11" t="s">
        <v>45</v>
      </c>
      <c r="D656" s="22"/>
      <c r="E656" s="18"/>
      <c r="F656" s="18"/>
      <c r="G656" s="23">
        <v>12000.0</v>
      </c>
      <c r="H656" s="19"/>
      <c r="I656" s="22"/>
      <c r="J656" s="18"/>
      <c r="K656" s="18"/>
      <c r="L656" s="18"/>
      <c r="M656" s="24"/>
      <c r="N656" s="22"/>
      <c r="O656" s="18"/>
      <c r="P656" s="18"/>
      <c r="Q656" s="18"/>
      <c r="R656" s="24"/>
      <c r="S656" s="22"/>
      <c r="T656" s="18"/>
      <c r="U656" s="18"/>
      <c r="V656" s="18"/>
      <c r="W656" s="24"/>
      <c r="X656" s="18"/>
      <c r="Y656" s="18"/>
      <c r="Z656" s="18"/>
      <c r="AA656" s="18"/>
      <c r="AB656" s="24"/>
      <c r="AC656" s="18"/>
      <c r="AD656" s="18"/>
      <c r="AE656" s="18"/>
      <c r="AF656" s="18"/>
      <c r="AG656" s="24"/>
      <c r="AH656" s="18"/>
      <c r="AI656" s="18"/>
      <c r="AJ656" s="18"/>
      <c r="AK656" s="18"/>
      <c r="AL656" s="24"/>
      <c r="AM656" s="18"/>
      <c r="AN656" s="18"/>
      <c r="AO656" s="18"/>
      <c r="AP656" s="18"/>
      <c r="AQ656" s="24"/>
      <c r="AR656" s="22"/>
      <c r="AS656" s="18"/>
      <c r="AT656" s="18"/>
      <c r="AU656" s="18"/>
      <c r="AV656" s="24"/>
      <c r="AW656" s="22"/>
      <c r="AX656" s="18"/>
      <c r="AY656" s="18"/>
      <c r="AZ656" s="18"/>
      <c r="BA656" s="24"/>
      <c r="BB656" s="22"/>
      <c r="BC656" s="18"/>
      <c r="BD656" s="18"/>
      <c r="BE656" s="18"/>
      <c r="BF656" s="24"/>
      <c r="BG656" s="22"/>
      <c r="BH656" s="18"/>
      <c r="BI656" s="18"/>
      <c r="BJ656" s="18"/>
      <c r="BK656" s="19"/>
      <c r="BL656" s="22"/>
      <c r="BM656" s="18"/>
      <c r="BN656" s="18"/>
      <c r="BO656" s="18"/>
      <c r="BP656" s="19"/>
      <c r="BQ656" s="17" t="s">
        <v>321</v>
      </c>
      <c r="BR656" s="1"/>
      <c r="BS656" s="1"/>
      <c r="BT656" s="1"/>
      <c r="BU656" s="1"/>
    </row>
    <row r="657">
      <c r="A657" s="1"/>
      <c r="B657" s="10" t="s">
        <v>1039</v>
      </c>
      <c r="C657" s="11" t="s">
        <v>303</v>
      </c>
      <c r="D657" s="22"/>
      <c r="E657" s="18"/>
      <c r="F657" s="18"/>
      <c r="G657" s="18"/>
      <c r="H657" s="19"/>
      <c r="I657" s="22"/>
      <c r="J657" s="18"/>
      <c r="K657" s="18"/>
      <c r="L657" s="18"/>
      <c r="M657" s="24"/>
      <c r="N657" s="22"/>
      <c r="O657" s="18"/>
      <c r="P657" s="18"/>
      <c r="Q657" s="18"/>
      <c r="R657" s="24"/>
      <c r="S657" s="22"/>
      <c r="T657" s="18"/>
      <c r="U657" s="18"/>
      <c r="V657" s="18"/>
      <c r="W657" s="24"/>
      <c r="X657" s="18"/>
      <c r="Y657" s="18"/>
      <c r="Z657" s="18"/>
      <c r="AA657" s="18"/>
      <c r="AB657" s="24"/>
      <c r="AC657" s="18"/>
      <c r="AD657" s="18"/>
      <c r="AE657" s="18"/>
      <c r="AF657" s="18"/>
      <c r="AG657" s="24"/>
      <c r="AH657" s="18"/>
      <c r="AI657" s="18"/>
      <c r="AJ657" s="18"/>
      <c r="AK657" s="18"/>
      <c r="AL657" s="24"/>
      <c r="AM657" s="18"/>
      <c r="AN657" s="18"/>
      <c r="AO657" s="18"/>
      <c r="AP657" s="18"/>
      <c r="AQ657" s="24"/>
      <c r="AR657" s="22"/>
      <c r="AS657" s="18"/>
      <c r="AT657" s="18"/>
      <c r="AU657" s="18"/>
      <c r="AV657" s="24"/>
      <c r="AW657" s="22"/>
      <c r="AX657" s="18"/>
      <c r="AY657" s="18"/>
      <c r="AZ657" s="18"/>
      <c r="BA657" s="24"/>
      <c r="BB657" s="22"/>
      <c r="BC657" s="18"/>
      <c r="BD657" s="18"/>
      <c r="BE657" s="18"/>
      <c r="BF657" s="24"/>
      <c r="BG657" s="22"/>
      <c r="BH657" s="18"/>
      <c r="BI657" s="18"/>
      <c r="BJ657" s="18"/>
      <c r="BK657" s="19"/>
      <c r="BL657" s="22"/>
      <c r="BM657" s="18"/>
      <c r="BN657" s="18"/>
      <c r="BO657" s="18"/>
      <c r="BP657" s="19"/>
      <c r="BQ657" s="17" t="s">
        <v>321</v>
      </c>
      <c r="BR657" s="1"/>
      <c r="BS657" s="1"/>
      <c r="BT657" s="1"/>
      <c r="BU657" s="1"/>
    </row>
    <row r="658">
      <c r="A658" s="1"/>
      <c r="B658" s="10">
        <v>6.006338893E9</v>
      </c>
      <c r="C658" s="11" t="s">
        <v>261</v>
      </c>
      <c r="D658" s="22"/>
      <c r="E658" s="18"/>
      <c r="F658" s="18"/>
      <c r="G658" s="23">
        <v>161670.0</v>
      </c>
      <c r="H658" s="19"/>
      <c r="I658" s="22"/>
      <c r="J658" s="18"/>
      <c r="K658" s="18"/>
      <c r="L658" s="23">
        <v>142450.0</v>
      </c>
      <c r="M658" s="24"/>
      <c r="N658" s="22"/>
      <c r="O658" s="18"/>
      <c r="P658" s="18"/>
      <c r="Q658" s="23">
        <v>119790.0</v>
      </c>
      <c r="R658" s="24"/>
      <c r="S658" s="22"/>
      <c r="T658" s="18"/>
      <c r="U658" s="18"/>
      <c r="V658" s="23">
        <v>96260.0</v>
      </c>
      <c r="W658" s="24"/>
      <c r="X658" s="18"/>
      <c r="Y658" s="18"/>
      <c r="Z658" s="18"/>
      <c r="AA658" s="23">
        <v>58100.0</v>
      </c>
      <c r="AB658" s="24"/>
      <c r="AC658" s="18"/>
      <c r="AD658" s="18"/>
      <c r="AE658" s="18"/>
      <c r="AF658" s="23">
        <v>35480.0</v>
      </c>
      <c r="AG658" s="24"/>
      <c r="AH658" s="18"/>
      <c r="AI658" s="18"/>
      <c r="AJ658" s="18"/>
      <c r="AK658" s="23">
        <v>31510.0</v>
      </c>
      <c r="AL658" s="24"/>
      <c r="AM658" s="18"/>
      <c r="AN658" s="18"/>
      <c r="AO658" s="18"/>
      <c r="AP658" s="23">
        <v>18950.0</v>
      </c>
      <c r="AQ658" s="24"/>
      <c r="AR658" s="22"/>
      <c r="AS658" s="18"/>
      <c r="AT658" s="18"/>
      <c r="AU658" s="23">
        <v>11500.0</v>
      </c>
      <c r="AV658" s="24"/>
      <c r="AW658" s="22"/>
      <c r="AX658" s="18"/>
      <c r="AY658" s="18"/>
      <c r="AZ658" s="23">
        <v>11810.0</v>
      </c>
      <c r="BA658" s="24"/>
      <c r="BB658" s="22"/>
      <c r="BC658" s="18"/>
      <c r="BD658" s="18"/>
      <c r="BE658" s="23">
        <v>26390.0</v>
      </c>
      <c r="BF658" s="24"/>
      <c r="BG658" s="22"/>
      <c r="BH658" s="18"/>
      <c r="BI658" s="18"/>
      <c r="BJ658" s="23">
        <v>67080.0</v>
      </c>
      <c r="BK658" s="19"/>
      <c r="BL658" s="22"/>
      <c r="BM658" s="18"/>
      <c r="BN658" s="18"/>
      <c r="BO658" s="23">
        <v>159110.0</v>
      </c>
      <c r="BP658" s="19"/>
      <c r="BQ658" s="17" t="s">
        <v>321</v>
      </c>
      <c r="BR658" s="1"/>
      <c r="BS658" s="1"/>
      <c r="BT658" s="1"/>
      <c r="BU658" s="1"/>
    </row>
    <row r="659">
      <c r="A659" s="1"/>
      <c r="B659" s="10" t="s">
        <v>1038</v>
      </c>
      <c r="C659" s="11" t="s">
        <v>51</v>
      </c>
      <c r="D659" s="22"/>
      <c r="E659" s="18"/>
      <c r="F659" s="18"/>
      <c r="G659" s="23">
        <v>20000.0</v>
      </c>
      <c r="H659" s="19"/>
      <c r="I659" s="22"/>
      <c r="J659" s="18"/>
      <c r="K659" s="18"/>
      <c r="L659" s="23">
        <v>20000.0</v>
      </c>
      <c r="M659" s="24"/>
      <c r="N659" s="22"/>
      <c r="O659" s="18"/>
      <c r="P659" s="18"/>
      <c r="Q659" s="46"/>
      <c r="R659" s="24"/>
      <c r="S659" s="22"/>
      <c r="T659" s="18"/>
      <c r="U659" s="18"/>
      <c r="V659" s="18"/>
      <c r="W659" s="24"/>
      <c r="X659" s="18"/>
      <c r="Y659" s="18"/>
      <c r="Z659" s="18"/>
      <c r="AA659" s="18"/>
      <c r="AB659" s="24"/>
      <c r="AC659" s="18"/>
      <c r="AD659" s="18"/>
      <c r="AE659" s="18"/>
      <c r="AF659" s="18"/>
      <c r="AG659" s="24"/>
      <c r="AH659" s="18"/>
      <c r="AI659" s="18"/>
      <c r="AJ659" s="18"/>
      <c r="AK659" s="18"/>
      <c r="AL659" s="24"/>
      <c r="AM659" s="18"/>
      <c r="AN659" s="18"/>
      <c r="AO659" s="18"/>
      <c r="AP659" s="18"/>
      <c r="AQ659" s="24"/>
      <c r="AR659" s="22"/>
      <c r="AS659" s="18"/>
      <c r="AT659" s="18"/>
      <c r="AU659" s="18"/>
      <c r="AV659" s="24"/>
      <c r="AW659" s="22"/>
      <c r="AX659" s="18"/>
      <c r="AY659" s="18"/>
      <c r="AZ659" s="18"/>
      <c r="BA659" s="24"/>
      <c r="BB659" s="22"/>
      <c r="BC659" s="18"/>
      <c r="BD659" s="18"/>
      <c r="BE659" s="18"/>
      <c r="BF659" s="24"/>
      <c r="BG659" s="22"/>
      <c r="BH659" s="18"/>
      <c r="BI659" s="18"/>
      <c r="BJ659" s="18"/>
      <c r="BK659" s="19"/>
      <c r="BL659" s="22"/>
      <c r="BM659" s="18"/>
      <c r="BN659" s="18"/>
      <c r="BO659" s="18"/>
      <c r="BP659" s="19"/>
      <c r="BQ659" s="17" t="s">
        <v>321</v>
      </c>
      <c r="BR659" s="1"/>
      <c r="BS659" s="1"/>
      <c r="BT659" s="1"/>
      <c r="BU659" s="1"/>
    </row>
    <row r="660">
      <c r="A660" s="1"/>
      <c r="B660" s="21"/>
      <c r="C660" s="11" t="s">
        <v>52</v>
      </c>
      <c r="D660" s="22"/>
      <c r="E660" s="18"/>
      <c r="F660" s="18"/>
      <c r="G660" s="23" t="s">
        <v>263</v>
      </c>
      <c r="H660" s="19"/>
      <c r="I660" s="22"/>
      <c r="J660" s="18"/>
      <c r="K660" s="18"/>
      <c r="L660" s="23" t="s">
        <v>263</v>
      </c>
      <c r="M660" s="24"/>
      <c r="N660" s="22"/>
      <c r="O660" s="18"/>
      <c r="P660" s="18"/>
      <c r="Q660" s="18"/>
      <c r="R660" s="24"/>
      <c r="S660" s="22"/>
      <c r="T660" s="18"/>
      <c r="U660" s="18"/>
      <c r="V660" s="18"/>
      <c r="W660" s="24"/>
      <c r="X660" s="18"/>
      <c r="Y660" s="18"/>
      <c r="Z660" s="18"/>
      <c r="AA660" s="18"/>
      <c r="AB660" s="24"/>
      <c r="AC660" s="18"/>
      <c r="AD660" s="18"/>
      <c r="AE660" s="18"/>
      <c r="AF660" s="18"/>
      <c r="AG660" s="24"/>
      <c r="AH660" s="18"/>
      <c r="AI660" s="18"/>
      <c r="AJ660" s="18"/>
      <c r="AK660" s="18"/>
      <c r="AL660" s="24"/>
      <c r="AM660" s="18"/>
      <c r="AN660" s="18"/>
      <c r="AO660" s="18"/>
      <c r="AP660" s="18"/>
      <c r="AQ660" s="24"/>
      <c r="AR660" s="22"/>
      <c r="AS660" s="18"/>
      <c r="AT660" s="18"/>
      <c r="AU660" s="18"/>
      <c r="AV660" s="24"/>
      <c r="AW660" s="22"/>
      <c r="AX660" s="18"/>
      <c r="AY660" s="18"/>
      <c r="AZ660" s="18"/>
      <c r="BA660" s="24"/>
      <c r="BB660" s="22"/>
      <c r="BC660" s="18"/>
      <c r="BD660" s="18"/>
      <c r="BE660" s="18"/>
      <c r="BF660" s="24"/>
      <c r="BG660" s="22"/>
      <c r="BH660" s="18"/>
      <c r="BI660" s="18"/>
      <c r="BJ660" s="18"/>
      <c r="BK660" s="19"/>
      <c r="BL660" s="22"/>
      <c r="BM660" s="18"/>
      <c r="BN660" s="18"/>
      <c r="BO660" s="18"/>
      <c r="BP660" s="19"/>
      <c r="BQ660" s="17" t="s">
        <v>321</v>
      </c>
      <c r="BR660" s="1"/>
      <c r="BS660" s="1"/>
      <c r="BT660" s="1"/>
      <c r="BU660" s="1"/>
    </row>
    <row r="661">
      <c r="A661" s="1"/>
      <c r="B661" s="10" t="s">
        <v>264</v>
      </c>
      <c r="C661" s="11" t="s">
        <v>53</v>
      </c>
      <c r="D661" s="22"/>
      <c r="E661" s="18"/>
      <c r="F661" s="18"/>
      <c r="G661" s="23">
        <v>11000.0</v>
      </c>
      <c r="H661" s="19"/>
      <c r="I661" s="22"/>
      <c r="J661" s="18"/>
      <c r="K661" s="18"/>
      <c r="L661" s="23">
        <v>11000.0</v>
      </c>
      <c r="M661" s="24"/>
      <c r="N661" s="22"/>
      <c r="O661" s="18"/>
      <c r="P661" s="18"/>
      <c r="Q661" s="23">
        <v>11000.0</v>
      </c>
      <c r="R661" s="24"/>
      <c r="S661" s="22"/>
      <c r="T661" s="18"/>
      <c r="U661" s="18"/>
      <c r="V661" s="23">
        <v>11000.0</v>
      </c>
      <c r="W661" s="24"/>
      <c r="X661" s="22"/>
      <c r="Y661" s="18"/>
      <c r="Z661" s="18"/>
      <c r="AA661" s="23">
        <v>11000.0</v>
      </c>
      <c r="AB661" s="24"/>
      <c r="AC661" s="22"/>
      <c r="AD661" s="18"/>
      <c r="AE661" s="18"/>
      <c r="AF661" s="23">
        <v>11000.0</v>
      </c>
      <c r="AG661" s="24"/>
      <c r="AH661" s="22"/>
      <c r="AI661" s="18"/>
      <c r="AJ661" s="18"/>
      <c r="AK661" s="23">
        <v>11000.0</v>
      </c>
      <c r="AL661" s="24"/>
      <c r="AM661" s="22"/>
      <c r="AN661" s="18"/>
      <c r="AO661" s="18"/>
      <c r="AP661" s="23">
        <v>11000.0</v>
      </c>
      <c r="AQ661" s="24"/>
      <c r="AR661" s="22"/>
      <c r="AS661" s="18"/>
      <c r="AT661" s="18"/>
      <c r="AU661" s="23">
        <v>11000.0</v>
      </c>
      <c r="AV661" s="24"/>
      <c r="AW661" s="22"/>
      <c r="AX661" s="18"/>
      <c r="AY661" s="18"/>
      <c r="AZ661" s="23">
        <v>11000.0</v>
      </c>
      <c r="BA661" s="24"/>
      <c r="BB661" s="22"/>
      <c r="BC661" s="18"/>
      <c r="BD661" s="18"/>
      <c r="BE661" s="23">
        <v>11000.0</v>
      </c>
      <c r="BF661" s="24"/>
      <c r="BG661" s="22"/>
      <c r="BH661" s="18"/>
      <c r="BI661" s="18"/>
      <c r="BJ661" s="23">
        <v>11000.0</v>
      </c>
      <c r="BK661" s="24"/>
      <c r="BL661" s="22"/>
      <c r="BM661" s="18"/>
      <c r="BN661" s="18"/>
      <c r="BO661" s="23">
        <v>11000.0</v>
      </c>
      <c r="BP661" s="24"/>
      <c r="BQ661" s="17" t="s">
        <v>321</v>
      </c>
      <c r="BR661" s="1"/>
      <c r="BS661" s="1"/>
      <c r="BT661" s="1"/>
      <c r="BU661" s="1"/>
    </row>
    <row r="662">
      <c r="A662" s="1"/>
      <c r="B662" s="21"/>
      <c r="C662" s="11" t="s">
        <v>54</v>
      </c>
      <c r="D662" s="22"/>
      <c r="E662" s="18"/>
      <c r="F662" s="18"/>
      <c r="G662" s="23">
        <f>SUMIFS('지출'!$G$3:$G1000,'지출'!$J$3:$J1000,G$1,'지출'!$C$3:$C1000,"트리")</f>
        <v>44900</v>
      </c>
      <c r="H662" s="19"/>
      <c r="I662" s="22"/>
      <c r="J662" s="18"/>
      <c r="K662" s="18"/>
      <c r="L662" s="23">
        <f>SUMIFS('지출'!$G$3:$G1000,'지출'!$J$3:$J1000,L$1,'지출'!$C$3:$C1000,"트리")</f>
        <v>40950</v>
      </c>
      <c r="M662" s="24"/>
      <c r="N662" s="18"/>
      <c r="O662" s="18"/>
      <c r="P662" s="18"/>
      <c r="Q662" s="23">
        <f>SUMIFS('지출'!$G$3:$G1000,'지출'!$J$3:$J1000,Q$1,'지출'!$C$3:$C1000,"트리")</f>
        <v>159510</v>
      </c>
      <c r="R662" s="24"/>
      <c r="S662" s="18"/>
      <c r="T662" s="18"/>
      <c r="U662" s="18"/>
      <c r="V662" s="23">
        <f>SUMIFS('지출'!$G$3:$G1000,'지출'!$J$3:$J1000,V$1,'지출'!$C$3:$C1000,"트리")</f>
        <v>0</v>
      </c>
      <c r="W662" s="24"/>
      <c r="X662" s="18"/>
      <c r="Y662" s="18"/>
      <c r="Z662" s="18"/>
      <c r="AA662" s="23">
        <f>SUMIFS('지출'!$G$3:$G1000,'지출'!$J$3:$J1000,AA$1,'지출'!$C$3:$C1000,"트리")</f>
        <v>0</v>
      </c>
      <c r="AB662" s="24"/>
      <c r="AC662" s="18"/>
      <c r="AD662" s="18"/>
      <c r="AE662" s="18"/>
      <c r="AF662" s="23">
        <f>SUMIFS('지출'!$G$3:$G1000,'지출'!$J$3:$J1000,AF$1,'지출'!$C$3:$C1000,"트리")</f>
        <v>0</v>
      </c>
      <c r="AG662" s="24"/>
      <c r="AH662" s="18"/>
      <c r="AI662" s="18"/>
      <c r="AJ662" s="18"/>
      <c r="AK662" s="23">
        <f>SUMIFS('지출'!$G$3:$G1000,'지출'!$J$3:$J1000,AK$1,'지출'!$C$3:$C1000,"트리")</f>
        <v>0</v>
      </c>
      <c r="AL662" s="24"/>
      <c r="AM662" s="18"/>
      <c r="AN662" s="18"/>
      <c r="AO662" s="18"/>
      <c r="AP662" s="23">
        <f>SUMIFS('지출'!$G$3:$G1000,'지출'!$J$3:$J1000,AP$1,'지출'!$C$3:$C1000,"트리")</f>
        <v>0</v>
      </c>
      <c r="AQ662" s="24"/>
      <c r="AR662" s="18"/>
      <c r="AS662" s="18"/>
      <c r="AT662" s="18"/>
      <c r="AU662" s="23">
        <f>SUMIFS('지출'!$G$3:$G1000,'지출'!$J$3:$J1000,AU$1,'지출'!$C$3:$C1000,"트리")</f>
        <v>0</v>
      </c>
      <c r="AV662" s="24"/>
      <c r="AW662" s="18"/>
      <c r="AX662" s="18"/>
      <c r="AY662" s="18"/>
      <c r="AZ662" s="23">
        <f>SUMIFS('지출'!$G$3:$G1000,'지출'!$J$3:$J1000,AZ$1,'지출'!$C$3:$C1000,"트리")</f>
        <v>0</v>
      </c>
      <c r="BA662" s="24"/>
      <c r="BB662" s="18"/>
      <c r="BC662" s="18"/>
      <c r="BD662" s="18"/>
      <c r="BE662" s="23">
        <f>SUMIFS('지출'!$G$3:$G1000,'지출'!$J$3:$J1000,BE$1,'지출'!$C$3:$C1000,"트리")</f>
        <v>0</v>
      </c>
      <c r="BF662" s="24"/>
      <c r="BG662" s="18"/>
      <c r="BH662" s="18"/>
      <c r="BI662" s="18"/>
      <c r="BJ662" s="23">
        <f>SUMIFS('지출'!$G$3:$G1000,'지출'!$J$3:$J1000,BJ$1,'지출'!$C$3:$C1000,"트리")</f>
        <v>0</v>
      </c>
      <c r="BK662" s="19"/>
      <c r="BL662" s="18"/>
      <c r="BM662" s="18"/>
      <c r="BN662" s="18"/>
      <c r="BO662" s="23">
        <f>SUMIFS('지출'!$G$3:$G1000,'지출'!$J$3:$J1000,BO$1,'지출'!$C$3:$C1000,"트리")</f>
        <v>44900</v>
      </c>
      <c r="BP662" s="19"/>
      <c r="BQ662" s="17" t="s">
        <v>321</v>
      </c>
      <c r="BR662" s="1"/>
      <c r="BS662" s="1"/>
      <c r="BT662" s="1"/>
      <c r="BU662" s="1"/>
    </row>
    <row r="663">
      <c r="A663" s="1"/>
      <c r="B663" s="21"/>
      <c r="C663" s="11" t="s">
        <v>56</v>
      </c>
      <c r="D663" s="22"/>
      <c r="E663" s="23">
        <f>E654-(SUM(E655:E662))</f>
        <v>690000</v>
      </c>
      <c r="F663" s="18"/>
      <c r="G663" s="23">
        <f>G654-(SUM(G655:G662))</f>
        <v>-9570</v>
      </c>
      <c r="H663" s="19"/>
      <c r="I663" s="22"/>
      <c r="J663" s="23">
        <f>J654-(SUM(J655:J662))</f>
        <v>690000</v>
      </c>
      <c r="K663" s="18"/>
      <c r="L663" s="23">
        <f>L654-(SUM(L655:L662))</f>
        <v>-756400</v>
      </c>
      <c r="M663" s="19"/>
      <c r="N663" s="22"/>
      <c r="O663" s="23">
        <f>O654-(SUM(O655:O662))</f>
        <v>290200</v>
      </c>
      <c r="P663" s="18"/>
      <c r="Q663" s="23">
        <f>Q654-(SUM(Q655:Q662))</f>
        <v>-902300</v>
      </c>
      <c r="R663" s="19"/>
      <c r="S663" s="22"/>
      <c r="T663" s="23">
        <f>T654-(SUM(T655:T662))</f>
        <v>974200</v>
      </c>
      <c r="U663" s="18"/>
      <c r="V663" s="23">
        <f>V654-(SUM(V655:V662))</f>
        <v>-582260</v>
      </c>
      <c r="W663" s="19"/>
      <c r="X663" s="18"/>
      <c r="Y663" s="23">
        <f>Y654-(SUM(Y655:Y662))</f>
        <v>1040800</v>
      </c>
      <c r="Z663" s="18"/>
      <c r="AA663" s="23">
        <f>AA654-(SUM(AA655:AA662))</f>
        <v>-531100</v>
      </c>
      <c r="AB663" s="19"/>
      <c r="AC663" s="18"/>
      <c r="AD663" s="23">
        <f>AD654-(SUM(AD655:AD662))</f>
        <v>1053800</v>
      </c>
      <c r="AE663" s="18"/>
      <c r="AF663" s="23">
        <f>AF654-(SUM(AF655:AF662))</f>
        <v>-505480</v>
      </c>
      <c r="AG663" s="19"/>
      <c r="AH663" s="18"/>
      <c r="AI663" s="23">
        <f>AI654-(SUM(AI655:AI662))</f>
        <v>1031380</v>
      </c>
      <c r="AJ663" s="18"/>
      <c r="AK663" s="23">
        <f>AK654-(SUM(AK655:AK662))</f>
        <v>-504510</v>
      </c>
      <c r="AL663" s="19"/>
      <c r="AM663" s="18"/>
      <c r="AN663" s="23">
        <f>AN654-(SUM(AN655:AN662))</f>
        <v>511380</v>
      </c>
      <c r="AO663" s="18"/>
      <c r="AP663" s="23">
        <f>AP654-(SUM(AP655:AP662))</f>
        <v>-571950</v>
      </c>
      <c r="AQ663" s="19"/>
      <c r="AR663" s="22"/>
      <c r="AS663" s="23">
        <f>AS654-(SUM(AS655:AS662))</f>
        <v>1131380</v>
      </c>
      <c r="AT663" s="18"/>
      <c r="AU663" s="23">
        <f>AU654-(SUM(AU655:AU662))</f>
        <v>-484500</v>
      </c>
      <c r="AV663" s="19"/>
      <c r="AW663" s="22"/>
      <c r="AX663" s="23">
        <f>AX654-(SUM(AX655:AX662))</f>
        <v>801190</v>
      </c>
      <c r="AY663" s="18"/>
      <c r="AZ663" s="23">
        <f>AZ654-(SUM(AZ655:AZ662))</f>
        <v>-551910</v>
      </c>
      <c r="BA663" s="19"/>
      <c r="BB663" s="22"/>
      <c r="BC663" s="23">
        <f>BC654-(SUM(BC655:BC662))</f>
        <v>738000</v>
      </c>
      <c r="BD663" s="18"/>
      <c r="BE663" s="23">
        <f>BE654-(SUM(BE655:BE662))</f>
        <v>-579390</v>
      </c>
      <c r="BF663" s="19"/>
      <c r="BG663" s="22"/>
      <c r="BH663" s="23">
        <f>BH654-(SUM(BH655:BH662))</f>
        <v>738000</v>
      </c>
      <c r="BI663" s="18"/>
      <c r="BJ663" s="23">
        <f>BJ654-(SUM(BJ655:BJ662))</f>
        <v>-620080</v>
      </c>
      <c r="BK663" s="19"/>
      <c r="BL663" s="22"/>
      <c r="BM663" s="23">
        <f>BM654-(SUM(BM655:BM662))</f>
        <v>738000</v>
      </c>
      <c r="BN663" s="18"/>
      <c r="BO663" s="23">
        <f>BO654-(SUM(BO655:BO662))</f>
        <v>-757010</v>
      </c>
      <c r="BP663" s="19"/>
      <c r="BQ663" s="17" t="s">
        <v>321</v>
      </c>
      <c r="BR663" s="1"/>
      <c r="BS663" s="1"/>
      <c r="BT663" s="1"/>
      <c r="BU663" s="1"/>
    </row>
    <row r="664">
      <c r="A664" s="1"/>
      <c r="B664" s="10" t="s">
        <v>1040</v>
      </c>
      <c r="C664" s="11" t="s">
        <v>26</v>
      </c>
      <c r="D664" s="22"/>
      <c r="E664" s="23">
        <v>300000.0</v>
      </c>
      <c r="F664" s="18"/>
      <c r="G664" s="18"/>
      <c r="H664" s="19"/>
      <c r="I664" s="22"/>
      <c r="J664" s="23">
        <v>300000.0</v>
      </c>
      <c r="K664" s="18"/>
      <c r="L664" s="18"/>
      <c r="M664" s="19"/>
      <c r="N664" s="22"/>
      <c r="O664" s="23">
        <v>300000.0</v>
      </c>
      <c r="P664" s="18"/>
      <c r="Q664" s="18"/>
      <c r="R664" s="19"/>
      <c r="S664" s="22"/>
      <c r="T664" s="23">
        <v>300000.0</v>
      </c>
      <c r="U664" s="18"/>
      <c r="V664" s="18"/>
      <c r="W664" s="19"/>
      <c r="X664" s="18"/>
      <c r="Y664" s="23">
        <v>300000.0</v>
      </c>
      <c r="Z664" s="18"/>
      <c r="AA664" s="18"/>
      <c r="AB664" s="19"/>
      <c r="AC664" s="18"/>
      <c r="AD664" s="23">
        <v>300000.0</v>
      </c>
      <c r="AE664" s="18"/>
      <c r="AF664" s="18"/>
      <c r="AG664" s="19"/>
      <c r="AH664" s="18"/>
      <c r="AI664" s="23">
        <v>300000.0</v>
      </c>
      <c r="AJ664" s="18"/>
      <c r="AK664" s="18"/>
      <c r="AL664" s="19"/>
      <c r="AM664" s="18"/>
      <c r="AN664" s="23">
        <v>300000.0</v>
      </c>
      <c r="AO664" s="18"/>
      <c r="AP664" s="18"/>
      <c r="AQ664" s="19"/>
      <c r="AR664" s="22"/>
      <c r="AS664" s="23">
        <v>300000.0</v>
      </c>
      <c r="AT664" s="18"/>
      <c r="AU664" s="18"/>
      <c r="AV664" s="19"/>
      <c r="AW664" s="22"/>
      <c r="AX664" s="23">
        <v>300000.0</v>
      </c>
      <c r="AY664" s="18"/>
      <c r="AZ664" s="18"/>
      <c r="BA664" s="19"/>
      <c r="BB664" s="22"/>
      <c r="BC664" s="23">
        <v>300000.0</v>
      </c>
      <c r="BD664" s="18"/>
      <c r="BE664" s="18"/>
      <c r="BF664" s="19"/>
      <c r="BG664" s="22"/>
      <c r="BH664" s="23">
        <v>300000.0</v>
      </c>
      <c r="BI664" s="18"/>
      <c r="BJ664" s="18"/>
      <c r="BK664" s="19"/>
      <c r="BL664" s="22"/>
      <c r="BM664" s="23">
        <v>300000.0</v>
      </c>
      <c r="BN664" s="18"/>
      <c r="BO664" s="18"/>
      <c r="BP664" s="19"/>
      <c r="BQ664" s="17" t="s">
        <v>321</v>
      </c>
      <c r="BR664" s="1"/>
      <c r="BS664" s="1"/>
      <c r="BT664" s="1"/>
      <c r="BU664" s="1"/>
    </row>
    <row r="665">
      <c r="A665" s="67" t="str">
        <f>B650</f>
        <v>트리</v>
      </c>
      <c r="B665" s="29">
        <v>1.0</v>
      </c>
      <c r="C665" s="30" t="s">
        <v>57</v>
      </c>
      <c r="D665" s="31"/>
      <c r="E665" s="32">
        <f>E663-E664</f>
        <v>390000</v>
      </c>
      <c r="F665" s="33"/>
      <c r="G665" s="33"/>
      <c r="H665" s="34"/>
      <c r="I665" s="31"/>
      <c r="J665" s="32">
        <f>J663-J664</f>
        <v>390000</v>
      </c>
      <c r="K665" s="33"/>
      <c r="L665" s="33"/>
      <c r="M665" s="34"/>
      <c r="N665" s="31"/>
      <c r="O665" s="32">
        <f>O663-O664</f>
        <v>-9800</v>
      </c>
      <c r="P665" s="33"/>
      <c r="Q665" s="33"/>
      <c r="R665" s="34"/>
      <c r="S665" s="31"/>
      <c r="T665" s="32">
        <f>T663-T664</f>
        <v>674200</v>
      </c>
      <c r="U665" s="33"/>
      <c r="V665" s="33"/>
      <c r="W665" s="34"/>
      <c r="X665" s="33"/>
      <c r="Y665" s="32">
        <f>Y663-Y664</f>
        <v>740800</v>
      </c>
      <c r="Z665" s="33"/>
      <c r="AA665" s="33"/>
      <c r="AB665" s="34"/>
      <c r="AC665" s="33"/>
      <c r="AD665" s="32">
        <f>AD663-AD664</f>
        <v>753800</v>
      </c>
      <c r="AE665" s="33"/>
      <c r="AF665" s="33"/>
      <c r="AG665" s="34"/>
      <c r="AH665" s="33"/>
      <c r="AI665" s="32">
        <f>AI663-AI664</f>
        <v>731380</v>
      </c>
      <c r="AJ665" s="33"/>
      <c r="AK665" s="33"/>
      <c r="AL665" s="34"/>
      <c r="AM665" s="33"/>
      <c r="AN665" s="32">
        <f>AN663-AN664</f>
        <v>211380</v>
      </c>
      <c r="AO665" s="33"/>
      <c r="AP665" s="33"/>
      <c r="AQ665" s="34"/>
      <c r="AR665" s="31"/>
      <c r="AS665" s="32">
        <f>AS663-AS664</f>
        <v>831380</v>
      </c>
      <c r="AT665" s="33"/>
      <c r="AU665" s="33"/>
      <c r="AV665" s="34"/>
      <c r="AW665" s="31"/>
      <c r="AX665" s="32">
        <f>AX663-AX664</f>
        <v>501190</v>
      </c>
      <c r="AY665" s="33"/>
      <c r="AZ665" s="33"/>
      <c r="BA665" s="34"/>
      <c r="BB665" s="31"/>
      <c r="BC665" s="32">
        <f>BC663-BC664</f>
        <v>438000</v>
      </c>
      <c r="BD665" s="33"/>
      <c r="BE665" s="33"/>
      <c r="BF665" s="34"/>
      <c r="BG665" s="31"/>
      <c r="BH665" s="32">
        <f>BH663-BH664</f>
        <v>438000</v>
      </c>
      <c r="BI665" s="33"/>
      <c r="BJ665" s="33"/>
      <c r="BK665" s="34"/>
      <c r="BL665" s="31"/>
      <c r="BM665" s="32">
        <f>BM663-BM664</f>
        <v>438000</v>
      </c>
      <c r="BN665" s="33"/>
      <c r="BO665" s="33"/>
      <c r="BP665" s="34"/>
      <c r="BQ665" s="17" t="s">
        <v>321</v>
      </c>
      <c r="BR665" s="1"/>
      <c r="BS665" s="1"/>
      <c r="BT665" s="1"/>
      <c r="BU665" s="1"/>
    </row>
    <row r="666">
      <c r="A666" s="1"/>
      <c r="B666" s="10" t="s">
        <v>1041</v>
      </c>
      <c r="C666" s="11" t="s">
        <v>1042</v>
      </c>
      <c r="D666" s="18"/>
      <c r="E666" s="18"/>
      <c r="F666" s="1"/>
      <c r="G666" s="18"/>
      <c r="H666" s="19"/>
      <c r="I666" s="18"/>
      <c r="J666" s="18"/>
      <c r="K666" s="1"/>
      <c r="L666" s="18"/>
      <c r="M666" s="19"/>
      <c r="N666" s="18"/>
      <c r="O666" s="18"/>
      <c r="P666" s="1"/>
      <c r="Q666" s="18"/>
      <c r="R666" s="19"/>
      <c r="S666" s="18"/>
      <c r="T666" s="18"/>
      <c r="U666" s="1"/>
      <c r="V666" s="18"/>
      <c r="W666" s="19"/>
      <c r="X666" s="18"/>
      <c r="Y666" s="18"/>
      <c r="Z666" s="1"/>
      <c r="AA666" s="18"/>
      <c r="AB666" s="19"/>
      <c r="AC666" s="18"/>
      <c r="AD666" s="18"/>
      <c r="AE666" s="1"/>
      <c r="AF666" s="18"/>
      <c r="AG666" s="19"/>
      <c r="AH666" s="18"/>
      <c r="AI666" s="18"/>
      <c r="AJ666" s="1"/>
      <c r="AK666" s="18"/>
      <c r="AL666" s="19"/>
      <c r="AM666" s="18"/>
      <c r="AN666" s="18"/>
      <c r="AO666" s="1"/>
      <c r="AP666" s="18"/>
      <c r="AQ666" s="19"/>
      <c r="AR666" s="20" t="s">
        <v>1043</v>
      </c>
      <c r="AS666" s="23">
        <v>32000.0</v>
      </c>
      <c r="AT666" s="35" t="b">
        <v>0</v>
      </c>
      <c r="AU666" s="23">
        <v>5333.0</v>
      </c>
      <c r="AV666" s="15" t="b">
        <v>1</v>
      </c>
      <c r="AW666" s="20" t="s">
        <v>1044</v>
      </c>
      <c r="AX666" s="23">
        <v>480000.0</v>
      </c>
      <c r="AY666" s="35" t="b">
        <v>0</v>
      </c>
      <c r="AZ666" s="23">
        <v>80000.0</v>
      </c>
      <c r="BA666" s="15" t="b">
        <v>1</v>
      </c>
      <c r="BB666" s="20" t="s">
        <v>1044</v>
      </c>
      <c r="BC666" s="23">
        <v>480000.0</v>
      </c>
      <c r="BD666" s="35" t="b">
        <v>0</v>
      </c>
      <c r="BE666" s="23">
        <v>80000.0</v>
      </c>
      <c r="BF666" s="15" t="b">
        <v>1</v>
      </c>
      <c r="BG666" s="20" t="s">
        <v>1044</v>
      </c>
      <c r="BH666" s="23">
        <v>480000.0</v>
      </c>
      <c r="BI666" s="35" t="b">
        <v>0</v>
      </c>
      <c r="BJ666" s="23">
        <v>80000.0</v>
      </c>
      <c r="BK666" s="15" t="b">
        <v>1</v>
      </c>
      <c r="BL666" s="20" t="s">
        <v>1044</v>
      </c>
      <c r="BM666" s="23">
        <v>480000.0</v>
      </c>
      <c r="BN666" s="35" t="b">
        <v>0</v>
      </c>
      <c r="BO666" s="23">
        <v>80000.0</v>
      </c>
      <c r="BP666" s="15" t="b">
        <v>0</v>
      </c>
      <c r="BQ666" s="17" t="s">
        <v>268</v>
      </c>
      <c r="BR666" s="1"/>
      <c r="BS666" s="20">
        <f>BH117+BH233+BH681</f>
        <v>279618.3</v>
      </c>
      <c r="BT666" s="1"/>
      <c r="BU666" s="1"/>
    </row>
    <row r="667">
      <c r="A667" s="1"/>
      <c r="B667" s="10" t="s">
        <v>1041</v>
      </c>
      <c r="C667" s="11" t="s">
        <v>557</v>
      </c>
      <c r="D667" s="18"/>
      <c r="E667" s="18"/>
      <c r="F667" s="1"/>
      <c r="G667" s="18"/>
      <c r="H667" s="19"/>
      <c r="I667" s="18"/>
      <c r="J667" s="18"/>
      <c r="K667" s="1"/>
      <c r="L667" s="18"/>
      <c r="M667" s="19"/>
      <c r="N667" s="18"/>
      <c r="O667" s="18"/>
      <c r="P667" s="1"/>
      <c r="Q667" s="18"/>
      <c r="R667" s="19"/>
      <c r="S667" s="18"/>
      <c r="T667" s="18"/>
      <c r="U667" s="1"/>
      <c r="V667" s="18"/>
      <c r="W667" s="19"/>
      <c r="X667" s="18"/>
      <c r="Y667" s="18"/>
      <c r="Z667" s="1"/>
      <c r="AA667" s="18"/>
      <c r="AB667" s="19"/>
      <c r="AC667" s="18"/>
      <c r="AD667" s="18"/>
      <c r="AE667" s="1"/>
      <c r="AF667" s="18"/>
      <c r="AG667" s="19"/>
      <c r="AH667" s="18"/>
      <c r="AI667" s="18"/>
      <c r="AJ667" s="1"/>
      <c r="AK667" s="18"/>
      <c r="AL667" s="19"/>
      <c r="AM667" s="18"/>
      <c r="AN667" s="18"/>
      <c r="AO667" s="1"/>
      <c r="AP667" s="18"/>
      <c r="AQ667" s="19"/>
      <c r="AR667" s="20" t="s">
        <v>1045</v>
      </c>
      <c r="AS667" s="23">
        <v>216667.0</v>
      </c>
      <c r="AT667" s="35" t="b">
        <v>0</v>
      </c>
      <c r="AU667" s="23">
        <v>34667.0</v>
      </c>
      <c r="AV667" s="15" t="b">
        <v>1</v>
      </c>
      <c r="AW667" s="20" t="s">
        <v>1046</v>
      </c>
      <c r="AX667" s="23">
        <v>500000.0</v>
      </c>
      <c r="AY667" s="35" t="b">
        <v>0</v>
      </c>
      <c r="AZ667" s="23">
        <v>80000.0</v>
      </c>
      <c r="BA667" s="15" t="b">
        <v>1</v>
      </c>
      <c r="BB667" s="20" t="s">
        <v>1046</v>
      </c>
      <c r="BC667" s="23">
        <v>500000.0</v>
      </c>
      <c r="BD667" s="35" t="b">
        <v>0</v>
      </c>
      <c r="BE667" s="23">
        <v>80000.0</v>
      </c>
      <c r="BF667" s="15" t="b">
        <v>1</v>
      </c>
      <c r="BG667" s="20" t="s">
        <v>1046</v>
      </c>
      <c r="BH667" s="23">
        <v>500000.0</v>
      </c>
      <c r="BI667" s="35" t="b">
        <v>0</v>
      </c>
      <c r="BJ667" s="23">
        <v>80000.0</v>
      </c>
      <c r="BK667" s="15" t="b">
        <v>1</v>
      </c>
      <c r="BL667" s="20" t="s">
        <v>1046</v>
      </c>
      <c r="BM667" s="23">
        <v>500000.0</v>
      </c>
      <c r="BN667" s="35" t="b">
        <v>0</v>
      </c>
      <c r="BO667" s="23">
        <v>80000.0</v>
      </c>
      <c r="BP667" s="15" t="b">
        <v>0</v>
      </c>
      <c r="BQ667" s="17" t="s">
        <v>268</v>
      </c>
      <c r="BR667" s="1"/>
      <c r="BS667" s="1"/>
      <c r="BT667" s="1"/>
      <c r="BU667" s="1"/>
    </row>
    <row r="668">
      <c r="A668" s="1"/>
      <c r="B668" s="10" t="s">
        <v>1041</v>
      </c>
      <c r="C668" s="11" t="s">
        <v>1047</v>
      </c>
      <c r="D668" s="18"/>
      <c r="E668" s="18"/>
      <c r="F668" s="1"/>
      <c r="G668" s="18"/>
      <c r="H668" s="19"/>
      <c r="I668" s="18"/>
      <c r="J668" s="18"/>
      <c r="K668" s="1"/>
      <c r="L668" s="18"/>
      <c r="M668" s="19"/>
      <c r="N668" s="18"/>
      <c r="O668" s="18"/>
      <c r="P668" s="1"/>
      <c r="Q668" s="18"/>
      <c r="R668" s="19"/>
      <c r="S668" s="18"/>
      <c r="T668" s="18"/>
      <c r="U668" s="1"/>
      <c r="V668" s="18"/>
      <c r="W668" s="19"/>
      <c r="X668" s="18"/>
      <c r="Y668" s="18"/>
      <c r="Z668" s="1"/>
      <c r="AA668" s="18"/>
      <c r="AB668" s="19"/>
      <c r="AC668" s="18"/>
      <c r="AD668" s="18"/>
      <c r="AE668" s="1"/>
      <c r="AF668" s="18"/>
      <c r="AG668" s="19"/>
      <c r="AH668" s="18"/>
      <c r="AI668" s="18"/>
      <c r="AJ668" s="1"/>
      <c r="AK668" s="18"/>
      <c r="AL668" s="19"/>
      <c r="AM668" s="18"/>
      <c r="AN668" s="18"/>
      <c r="AO668" s="1"/>
      <c r="AP668" s="18"/>
      <c r="AQ668" s="19"/>
      <c r="AR668" s="20" t="s">
        <v>37</v>
      </c>
      <c r="AS668" s="18"/>
      <c r="AT668" s="1"/>
      <c r="AU668" s="18"/>
      <c r="AV668" s="19"/>
      <c r="AW668" s="20" t="s">
        <v>1048</v>
      </c>
      <c r="AX668" s="23">
        <v>333871.0</v>
      </c>
      <c r="AY668" s="35" t="b">
        <v>0</v>
      </c>
      <c r="AZ668" s="23">
        <v>59355.0</v>
      </c>
      <c r="BA668" s="15" t="b">
        <v>1</v>
      </c>
      <c r="BB668" s="20" t="s">
        <v>1049</v>
      </c>
      <c r="BC668" s="23">
        <v>450000.0</v>
      </c>
      <c r="BD668" s="35" t="b">
        <v>0</v>
      </c>
      <c r="BE668" s="23">
        <v>80000.0</v>
      </c>
      <c r="BF668" s="15" t="b">
        <v>1</v>
      </c>
      <c r="BG668" s="20" t="s">
        <v>1049</v>
      </c>
      <c r="BH668" s="23">
        <v>450000.0</v>
      </c>
      <c r="BI668" s="35" t="b">
        <v>0</v>
      </c>
      <c r="BJ668" s="23">
        <v>80000.0</v>
      </c>
      <c r="BK668" s="15" t="b">
        <v>1</v>
      </c>
      <c r="BL668" s="20" t="s">
        <v>1049</v>
      </c>
      <c r="BM668" s="23">
        <v>450000.0</v>
      </c>
      <c r="BN668" s="35" t="b">
        <v>0</v>
      </c>
      <c r="BO668" s="23">
        <v>80000.0</v>
      </c>
      <c r="BP668" s="15" t="b">
        <v>0</v>
      </c>
      <c r="BQ668" s="17" t="s">
        <v>268</v>
      </c>
      <c r="BR668" s="1"/>
      <c r="BS668" s="1"/>
      <c r="BT668" s="1"/>
      <c r="BU668" s="1"/>
    </row>
    <row r="669">
      <c r="A669" s="1"/>
      <c r="B669" s="10" t="s">
        <v>1041</v>
      </c>
      <c r="C669" s="11" t="s">
        <v>1050</v>
      </c>
      <c r="D669" s="18"/>
      <c r="E669" s="18"/>
      <c r="F669" s="1"/>
      <c r="G669" s="18"/>
      <c r="H669" s="19"/>
      <c r="I669" s="18"/>
      <c r="J669" s="18"/>
      <c r="K669" s="1"/>
      <c r="L669" s="18"/>
      <c r="M669" s="19"/>
      <c r="N669" s="18"/>
      <c r="O669" s="18"/>
      <c r="P669" s="1"/>
      <c r="Q669" s="18"/>
      <c r="R669" s="19"/>
      <c r="S669" s="18"/>
      <c r="T669" s="18"/>
      <c r="U669" s="1"/>
      <c r="V669" s="18"/>
      <c r="W669" s="19"/>
      <c r="X669" s="18"/>
      <c r="Y669" s="18"/>
      <c r="Z669" s="1"/>
      <c r="AA669" s="18"/>
      <c r="AB669" s="19"/>
      <c r="AC669" s="18"/>
      <c r="AD669" s="18"/>
      <c r="AE669" s="1"/>
      <c r="AF669" s="18"/>
      <c r="AG669" s="19"/>
      <c r="AH669" s="18"/>
      <c r="AI669" s="18"/>
      <c r="AJ669" s="1"/>
      <c r="AK669" s="18"/>
      <c r="AL669" s="19"/>
      <c r="AM669" s="18"/>
      <c r="AN669" s="18"/>
      <c r="AO669" s="1"/>
      <c r="AP669" s="18"/>
      <c r="AQ669" s="19"/>
      <c r="AR669" s="20" t="s">
        <v>37</v>
      </c>
      <c r="AS669" s="18"/>
      <c r="AT669" s="1"/>
      <c r="AU669" s="18"/>
      <c r="AV669" s="19"/>
      <c r="AW669" s="20" t="s">
        <v>1051</v>
      </c>
      <c r="AX669" s="23">
        <v>420000.0</v>
      </c>
      <c r="AY669" s="35" t="b">
        <v>0</v>
      </c>
      <c r="AZ669" s="23">
        <v>80000.0</v>
      </c>
      <c r="BA669" s="15" t="b">
        <v>1</v>
      </c>
      <c r="BB669" s="20" t="s">
        <v>1052</v>
      </c>
      <c r="BC669" s="23">
        <v>420000.0</v>
      </c>
      <c r="BD669" s="35" t="b">
        <v>0</v>
      </c>
      <c r="BE669" s="23">
        <v>80000.0</v>
      </c>
      <c r="BF669" s="15" t="b">
        <v>1</v>
      </c>
      <c r="BG669" s="20" t="s">
        <v>1052</v>
      </c>
      <c r="BH669" s="23">
        <v>420000.0</v>
      </c>
      <c r="BI669" s="35" t="b">
        <v>0</v>
      </c>
      <c r="BJ669" s="23">
        <v>80000.0</v>
      </c>
      <c r="BK669" s="15" t="b">
        <v>1</v>
      </c>
      <c r="BL669" s="20" t="s">
        <v>1052</v>
      </c>
      <c r="BM669" s="23">
        <v>420000.0</v>
      </c>
      <c r="BN669" s="35" t="b">
        <v>0</v>
      </c>
      <c r="BO669" s="23">
        <v>80000.0</v>
      </c>
      <c r="BP669" s="15" t="b">
        <v>0</v>
      </c>
      <c r="BQ669" s="17" t="s">
        <v>268</v>
      </c>
      <c r="BR669" s="1"/>
      <c r="BS669" s="1"/>
      <c r="BT669" s="1"/>
      <c r="BU669" s="1"/>
    </row>
    <row r="670">
      <c r="A670" s="1"/>
      <c r="B670" s="21"/>
      <c r="C670" s="11" t="s">
        <v>42</v>
      </c>
      <c r="D670" s="22"/>
      <c r="E670" s="18"/>
      <c r="F670" s="18"/>
      <c r="G670" s="18"/>
      <c r="H670" s="19"/>
      <c r="I670" s="22"/>
      <c r="J670" s="18"/>
      <c r="K670" s="18"/>
      <c r="L670" s="18"/>
      <c r="M670" s="19"/>
      <c r="N670" s="22"/>
      <c r="O670" s="18"/>
      <c r="P670" s="18"/>
      <c r="Q670" s="18"/>
      <c r="R670" s="19"/>
      <c r="S670" s="22"/>
      <c r="T670" s="18"/>
      <c r="U670" s="18"/>
      <c r="V670" s="18"/>
      <c r="W670" s="19"/>
      <c r="X670" s="18"/>
      <c r="Y670" s="18"/>
      <c r="Z670" s="18"/>
      <c r="AA670" s="18"/>
      <c r="AB670" s="19"/>
      <c r="AC670" s="18"/>
      <c r="AD670" s="18"/>
      <c r="AE670" s="18"/>
      <c r="AF670" s="18"/>
      <c r="AG670" s="19"/>
      <c r="AH670" s="18"/>
      <c r="AI670" s="18"/>
      <c r="AJ670" s="18"/>
      <c r="AK670" s="18"/>
      <c r="AL670" s="19"/>
      <c r="AM670" s="18"/>
      <c r="AN670" s="18"/>
      <c r="AO670" s="18"/>
      <c r="AP670" s="18"/>
      <c r="AQ670" s="19"/>
      <c r="AR670" s="22"/>
      <c r="AS670" s="23">
        <f>SUM(AS666:AS669)</f>
        <v>248667</v>
      </c>
      <c r="AT670" s="18"/>
      <c r="AU670" s="18"/>
      <c r="AV670" s="19"/>
      <c r="AW670" s="22"/>
      <c r="AX670" s="23">
        <f>SUM(AX666:AX669)</f>
        <v>1733871</v>
      </c>
      <c r="AY670" s="18"/>
      <c r="AZ670" s="18"/>
      <c r="BA670" s="19"/>
      <c r="BB670" s="22"/>
      <c r="BC670" s="23">
        <f>SUM(BC666:BC669)</f>
        <v>1850000</v>
      </c>
      <c r="BD670" s="18"/>
      <c r="BE670" s="18"/>
      <c r="BF670" s="19"/>
      <c r="BG670" s="22"/>
      <c r="BH670" s="23">
        <f>SUM(BH666:BH669)</f>
        <v>1850000</v>
      </c>
      <c r="BI670" s="18"/>
      <c r="BJ670" s="18"/>
      <c r="BK670" s="19"/>
      <c r="BL670" s="22"/>
      <c r="BM670" s="23">
        <f>SUM(BM666:BM669)</f>
        <v>1850000</v>
      </c>
      <c r="BN670" s="18"/>
      <c r="BO670" s="18"/>
      <c r="BP670" s="19"/>
      <c r="BQ670" s="17" t="s">
        <v>268</v>
      </c>
      <c r="BR670" s="1"/>
      <c r="BS670" s="1"/>
      <c r="BT670" s="1"/>
      <c r="BU670" s="1"/>
    </row>
    <row r="671">
      <c r="A671" s="1"/>
      <c r="B671" s="21"/>
      <c r="C671" s="11" t="s">
        <v>43</v>
      </c>
      <c r="D671" s="22"/>
      <c r="E671" s="18"/>
      <c r="F671" s="18"/>
      <c r="G671" s="18"/>
      <c r="H671" s="19"/>
      <c r="I671" s="22"/>
      <c r="J671" s="18"/>
      <c r="K671" s="18"/>
      <c r="L671" s="18"/>
      <c r="M671" s="24"/>
      <c r="N671" s="22"/>
      <c r="O671" s="18"/>
      <c r="P671" s="18"/>
      <c r="Q671" s="18"/>
      <c r="R671" s="24"/>
      <c r="S671" s="22"/>
      <c r="T671" s="18"/>
      <c r="U671" s="18"/>
      <c r="V671" s="18"/>
      <c r="W671" s="24"/>
      <c r="X671" s="18"/>
      <c r="Y671" s="18"/>
      <c r="Z671" s="18"/>
      <c r="AA671" s="18"/>
      <c r="AB671" s="24"/>
      <c r="AC671" s="18"/>
      <c r="AD671" s="18"/>
      <c r="AE671" s="18"/>
      <c r="AF671" s="18"/>
      <c r="AG671" s="24"/>
      <c r="AH671" s="18"/>
      <c r="AI671" s="18"/>
      <c r="AJ671" s="18"/>
      <c r="AK671" s="18"/>
      <c r="AL671" s="24"/>
      <c r="AM671" s="18"/>
      <c r="AN671" s="18"/>
      <c r="AO671" s="18"/>
      <c r="AP671" s="18"/>
      <c r="AQ671" s="24"/>
      <c r="AR671" s="22"/>
      <c r="AS671" s="23">
        <v>1000000.0</v>
      </c>
      <c r="AT671" s="18"/>
      <c r="AU671" s="18"/>
      <c r="AV671" s="24"/>
      <c r="AW671" s="22"/>
      <c r="AX671" s="23">
        <v>1000000.0</v>
      </c>
      <c r="AY671" s="18"/>
      <c r="AZ671" s="18"/>
      <c r="BA671" s="24"/>
      <c r="BB671" s="22"/>
      <c r="BC671" s="23">
        <v>1000000.0</v>
      </c>
      <c r="BD671" s="18"/>
      <c r="BE671" s="18"/>
      <c r="BF671" s="24"/>
      <c r="BG671" s="22"/>
      <c r="BH671" s="23">
        <v>1000000.0</v>
      </c>
      <c r="BI671" s="18"/>
      <c r="BJ671" s="18"/>
      <c r="BK671" s="24"/>
      <c r="BL671" s="22"/>
      <c r="BM671" s="23">
        <v>1000000.0</v>
      </c>
      <c r="BN671" s="18"/>
      <c r="BO671" s="18"/>
      <c r="BP671" s="24"/>
      <c r="BQ671" s="17" t="s">
        <v>268</v>
      </c>
      <c r="BR671" s="1"/>
      <c r="BS671" s="1"/>
      <c r="BT671" s="1"/>
      <c r="BU671" s="1"/>
    </row>
    <row r="672">
      <c r="A672" s="1"/>
      <c r="B672" s="10" t="s">
        <v>1038</v>
      </c>
      <c r="C672" s="11" t="s">
        <v>45</v>
      </c>
      <c r="D672" s="22"/>
      <c r="E672" s="18"/>
      <c r="F672" s="18"/>
      <c r="G672" s="18"/>
      <c r="H672" s="19"/>
      <c r="I672" s="22"/>
      <c r="J672" s="18"/>
      <c r="K672" s="18"/>
      <c r="L672" s="18"/>
      <c r="M672" s="24"/>
      <c r="N672" s="22"/>
      <c r="O672" s="18"/>
      <c r="P672" s="18"/>
      <c r="Q672" s="18"/>
      <c r="R672" s="24"/>
      <c r="S672" s="22"/>
      <c r="T672" s="18"/>
      <c r="U672" s="18"/>
      <c r="V672" s="18"/>
      <c r="W672" s="24"/>
      <c r="X672" s="18"/>
      <c r="Y672" s="18"/>
      <c r="Z672" s="18"/>
      <c r="AA672" s="18"/>
      <c r="AB672" s="24"/>
      <c r="AC672" s="18"/>
      <c r="AD672" s="18"/>
      <c r="AE672" s="18"/>
      <c r="AF672" s="18"/>
      <c r="AG672" s="24"/>
      <c r="AH672" s="18"/>
      <c r="AI672" s="18"/>
      <c r="AJ672" s="18"/>
      <c r="AK672" s="18"/>
      <c r="AL672" s="24"/>
      <c r="AM672" s="18"/>
      <c r="AN672" s="18"/>
      <c r="AO672" s="18"/>
      <c r="AP672" s="18"/>
      <c r="AQ672" s="24"/>
      <c r="AR672" s="22"/>
      <c r="AS672" s="18"/>
      <c r="AT672" s="18"/>
      <c r="AU672" s="18"/>
      <c r="AV672" s="24"/>
      <c r="AW672" s="22"/>
      <c r="AX672" s="18"/>
      <c r="AY672" s="18"/>
      <c r="AZ672" s="18"/>
      <c r="BA672" s="24"/>
      <c r="BB672" s="22"/>
      <c r="BC672" s="18"/>
      <c r="BD672" s="18"/>
      <c r="BE672" s="18"/>
      <c r="BF672" s="24"/>
      <c r="BG672" s="22"/>
      <c r="BH672" s="18"/>
      <c r="BI672" s="18"/>
      <c r="BJ672" s="18"/>
      <c r="BK672" s="19"/>
      <c r="BL672" s="22"/>
      <c r="BM672" s="18"/>
      <c r="BN672" s="18"/>
      <c r="BO672" s="18"/>
      <c r="BP672" s="19"/>
      <c r="BQ672" s="17" t="s">
        <v>268</v>
      </c>
      <c r="BR672" s="1"/>
      <c r="BS672" s="1"/>
      <c r="BT672" s="1"/>
      <c r="BU672" s="1"/>
    </row>
    <row r="673">
      <c r="A673" s="1"/>
      <c r="B673" s="21"/>
      <c r="C673" s="11" t="s">
        <v>1053</v>
      </c>
      <c r="D673" s="22"/>
      <c r="E673" s="18"/>
      <c r="F673" s="18"/>
      <c r="G673" s="18"/>
      <c r="H673" s="19"/>
      <c r="I673" s="22"/>
      <c r="J673" s="18"/>
      <c r="K673" s="18"/>
      <c r="L673" s="18"/>
      <c r="M673" s="24"/>
      <c r="N673" s="22"/>
      <c r="O673" s="18"/>
      <c r="P673" s="18"/>
      <c r="Q673" s="18"/>
      <c r="R673" s="24"/>
      <c r="S673" s="22"/>
      <c r="T673" s="18"/>
      <c r="U673" s="18"/>
      <c r="V673" s="18"/>
      <c r="W673" s="24"/>
      <c r="X673" s="18"/>
      <c r="Y673" s="18"/>
      <c r="Z673" s="18"/>
      <c r="AA673" s="18"/>
      <c r="AB673" s="24"/>
      <c r="AC673" s="18"/>
      <c r="AD673" s="18"/>
      <c r="AE673" s="18"/>
      <c r="AF673" s="18"/>
      <c r="AG673" s="24"/>
      <c r="AH673" s="18"/>
      <c r="AI673" s="18"/>
      <c r="AJ673" s="18"/>
      <c r="AK673" s="18"/>
      <c r="AL673" s="24"/>
      <c r="AM673" s="18"/>
      <c r="AN673" s="18"/>
      <c r="AO673" s="18"/>
      <c r="AP673" s="18"/>
      <c r="AQ673" s="24"/>
      <c r="AR673" s="22"/>
      <c r="AS673" s="18"/>
      <c r="AT673" s="18"/>
      <c r="AU673" s="18"/>
      <c r="AV673" s="24"/>
      <c r="AW673" s="22"/>
      <c r="AX673" s="18"/>
      <c r="AY673" s="18"/>
      <c r="AZ673" s="18"/>
      <c r="BA673" s="24"/>
      <c r="BB673" s="22"/>
      <c r="BC673" s="18"/>
      <c r="BD673" s="18"/>
      <c r="BE673" s="18"/>
      <c r="BF673" s="24"/>
      <c r="BG673" s="22"/>
      <c r="BH673" s="18"/>
      <c r="BI673" s="18"/>
      <c r="BJ673" s="18"/>
      <c r="BK673" s="19"/>
      <c r="BL673" s="22"/>
      <c r="BM673" s="18"/>
      <c r="BN673" s="18"/>
      <c r="BO673" s="18"/>
      <c r="BP673" s="19"/>
      <c r="BQ673" s="17" t="s">
        <v>268</v>
      </c>
      <c r="BR673" s="1"/>
      <c r="BS673" s="1"/>
      <c r="BT673" s="1"/>
      <c r="BU673" s="1"/>
    </row>
    <row r="674">
      <c r="A674" s="1"/>
      <c r="B674" s="21"/>
      <c r="C674" s="11" t="s">
        <v>1054</v>
      </c>
      <c r="D674" s="22"/>
      <c r="E674" s="18"/>
      <c r="F674" s="18"/>
      <c r="G674" s="18"/>
      <c r="H674" s="19"/>
      <c r="I674" s="22"/>
      <c r="J674" s="18"/>
      <c r="K674" s="18"/>
      <c r="L674" s="18"/>
      <c r="M674" s="24"/>
      <c r="N674" s="22"/>
      <c r="O674" s="18"/>
      <c r="P674" s="18"/>
      <c r="Q674" s="18"/>
      <c r="R674" s="24"/>
      <c r="S674" s="22"/>
      <c r="T674" s="18"/>
      <c r="U674" s="18"/>
      <c r="V674" s="18"/>
      <c r="W674" s="24"/>
      <c r="X674" s="18"/>
      <c r="Y674" s="18"/>
      <c r="Z674" s="18"/>
      <c r="AA674" s="18"/>
      <c r="AB674" s="24"/>
      <c r="AC674" s="18"/>
      <c r="AD674" s="18"/>
      <c r="AE674" s="18"/>
      <c r="AF674" s="18"/>
      <c r="AG674" s="24"/>
      <c r="AH674" s="18"/>
      <c r="AI674" s="18"/>
      <c r="AJ674" s="18"/>
      <c r="AK674" s="18"/>
      <c r="AL674" s="24"/>
      <c r="AM674" s="18"/>
      <c r="AN674" s="18"/>
      <c r="AO674" s="18"/>
      <c r="AP674" s="18"/>
      <c r="AQ674" s="24"/>
      <c r="AR674" s="22"/>
      <c r="AS674" s="18"/>
      <c r="AT674" s="18"/>
      <c r="AU674" s="18"/>
      <c r="AV674" s="24"/>
      <c r="AW674" s="22"/>
      <c r="AX674" s="18"/>
      <c r="AY674" s="18"/>
      <c r="AZ674" s="18"/>
      <c r="BA674" s="24"/>
      <c r="BB674" s="22"/>
      <c r="BC674" s="18"/>
      <c r="BD674" s="18"/>
      <c r="BE674" s="18"/>
      <c r="BF674" s="24"/>
      <c r="BG674" s="22"/>
      <c r="BH674" s="18"/>
      <c r="BI674" s="18"/>
      <c r="BJ674" s="18"/>
      <c r="BK674" s="19"/>
      <c r="BL674" s="22"/>
      <c r="BM674" s="18"/>
      <c r="BN674" s="18"/>
      <c r="BO674" s="18"/>
      <c r="BP674" s="19"/>
      <c r="BQ674" s="17" t="s">
        <v>268</v>
      </c>
      <c r="BR674" s="1"/>
      <c r="BS674" s="1"/>
      <c r="BT674" s="1"/>
      <c r="BU674" s="1"/>
    </row>
    <row r="675">
      <c r="A675" s="1"/>
      <c r="B675" s="10" t="s">
        <v>1038</v>
      </c>
      <c r="C675" s="11" t="s">
        <v>51</v>
      </c>
      <c r="D675" s="22"/>
      <c r="E675" s="18"/>
      <c r="F675" s="18"/>
      <c r="G675" s="18"/>
      <c r="H675" s="19"/>
      <c r="I675" s="22"/>
      <c r="J675" s="18"/>
      <c r="K675" s="18"/>
      <c r="L675" s="18"/>
      <c r="M675" s="24"/>
      <c r="N675" s="22"/>
      <c r="O675" s="18"/>
      <c r="P675" s="18"/>
      <c r="Q675" s="46"/>
      <c r="R675" s="24"/>
      <c r="S675" s="22"/>
      <c r="T675" s="18"/>
      <c r="U675" s="18"/>
      <c r="V675" s="18"/>
      <c r="W675" s="24"/>
      <c r="X675" s="18"/>
      <c r="Y675" s="18"/>
      <c r="Z675" s="18"/>
      <c r="AA675" s="18"/>
      <c r="AB675" s="24"/>
      <c r="AC675" s="18"/>
      <c r="AD675" s="18"/>
      <c r="AE675" s="18"/>
      <c r="AF675" s="18"/>
      <c r="AG675" s="24"/>
      <c r="AH675" s="18"/>
      <c r="AI675" s="18"/>
      <c r="AJ675" s="18"/>
      <c r="AK675" s="18"/>
      <c r="AL675" s="24"/>
      <c r="AM675" s="18"/>
      <c r="AN675" s="18"/>
      <c r="AO675" s="18"/>
      <c r="AP675" s="18"/>
      <c r="AQ675" s="24"/>
      <c r="AR675" s="22"/>
      <c r="AS675" s="18"/>
      <c r="AT675" s="18"/>
      <c r="AU675" s="18"/>
      <c r="AV675" s="24"/>
      <c r="AW675" s="22"/>
      <c r="AX675" s="18"/>
      <c r="AY675" s="18"/>
      <c r="AZ675" s="18"/>
      <c r="BA675" s="24"/>
      <c r="BB675" s="22"/>
      <c r="BC675" s="18"/>
      <c r="BD675" s="18"/>
      <c r="BE675" s="18"/>
      <c r="BF675" s="24"/>
      <c r="BG675" s="22"/>
      <c r="BH675" s="18"/>
      <c r="BI675" s="18"/>
      <c r="BJ675" s="18"/>
      <c r="BK675" s="19"/>
      <c r="BL675" s="22"/>
      <c r="BM675" s="18"/>
      <c r="BN675" s="18"/>
      <c r="BO675" s="18"/>
      <c r="BP675" s="19"/>
      <c r="BQ675" s="17" t="s">
        <v>268</v>
      </c>
      <c r="BR675" s="1"/>
      <c r="BS675" s="1"/>
      <c r="BT675" s="1"/>
      <c r="BU675" s="1"/>
    </row>
    <row r="676">
      <c r="A676" s="1"/>
      <c r="B676" s="21"/>
      <c r="C676" s="11" t="s">
        <v>52</v>
      </c>
      <c r="D676" s="22"/>
      <c r="E676" s="18"/>
      <c r="F676" s="18"/>
      <c r="G676" s="18"/>
      <c r="H676" s="19"/>
      <c r="I676" s="22"/>
      <c r="J676" s="18"/>
      <c r="K676" s="18"/>
      <c r="L676" s="18"/>
      <c r="M676" s="24"/>
      <c r="N676" s="22"/>
      <c r="O676" s="18"/>
      <c r="P676" s="18"/>
      <c r="Q676" s="18"/>
      <c r="R676" s="24"/>
      <c r="S676" s="22"/>
      <c r="T676" s="18"/>
      <c r="U676" s="18"/>
      <c r="V676" s="18"/>
      <c r="W676" s="24"/>
      <c r="X676" s="18"/>
      <c r="Y676" s="18"/>
      <c r="Z676" s="18"/>
      <c r="AA676" s="18"/>
      <c r="AB676" s="24"/>
      <c r="AC676" s="18"/>
      <c r="AD676" s="18"/>
      <c r="AE676" s="18"/>
      <c r="AF676" s="18"/>
      <c r="AG676" s="24"/>
      <c r="AH676" s="18"/>
      <c r="AI676" s="18"/>
      <c r="AJ676" s="18"/>
      <c r="AK676" s="18"/>
      <c r="AL676" s="24"/>
      <c r="AM676" s="18"/>
      <c r="AN676" s="18"/>
      <c r="AO676" s="18"/>
      <c r="AP676" s="18"/>
      <c r="AQ676" s="24"/>
      <c r="AR676" s="22"/>
      <c r="AS676" s="18"/>
      <c r="AT676" s="18"/>
      <c r="AU676" s="18"/>
      <c r="AV676" s="24"/>
      <c r="AW676" s="22"/>
      <c r="AX676" s="18"/>
      <c r="AY676" s="18"/>
      <c r="AZ676" s="18"/>
      <c r="BA676" s="24"/>
      <c r="BB676" s="22"/>
      <c r="BC676" s="18"/>
      <c r="BD676" s="18"/>
      <c r="BE676" s="18"/>
      <c r="BF676" s="24"/>
      <c r="BG676" s="22"/>
      <c r="BH676" s="18"/>
      <c r="BI676" s="18"/>
      <c r="BJ676" s="18"/>
      <c r="BK676" s="19"/>
      <c r="BL676" s="22"/>
      <c r="BM676" s="18"/>
      <c r="BN676" s="18"/>
      <c r="BO676" s="18"/>
      <c r="BP676" s="19"/>
      <c r="BQ676" s="17" t="s">
        <v>268</v>
      </c>
      <c r="BR676" s="1"/>
      <c r="BS676" s="1"/>
      <c r="BT676" s="1"/>
      <c r="BU676" s="1"/>
    </row>
    <row r="677">
      <c r="A677" s="1"/>
      <c r="B677" s="10" t="s">
        <v>264</v>
      </c>
      <c r="C677" s="11" t="s">
        <v>53</v>
      </c>
      <c r="D677" s="22"/>
      <c r="E677" s="18"/>
      <c r="F677" s="18"/>
      <c r="G677" s="18"/>
      <c r="H677" s="19"/>
      <c r="I677" s="22"/>
      <c r="J677" s="18"/>
      <c r="K677" s="18"/>
      <c r="L677" s="18"/>
      <c r="M677" s="24"/>
      <c r="N677" s="22"/>
      <c r="O677" s="18"/>
      <c r="P677" s="18"/>
      <c r="Q677" s="18"/>
      <c r="R677" s="24"/>
      <c r="S677" s="22"/>
      <c r="T677" s="18"/>
      <c r="U677" s="18"/>
      <c r="V677" s="18"/>
      <c r="W677" s="24"/>
      <c r="X677" s="22"/>
      <c r="Y677" s="18"/>
      <c r="Z677" s="18"/>
      <c r="AA677" s="18"/>
      <c r="AB677" s="24"/>
      <c r="AC677" s="22"/>
      <c r="AD677" s="18"/>
      <c r="AE677" s="18"/>
      <c r="AF677" s="18"/>
      <c r="AG677" s="24"/>
      <c r="AH677" s="22"/>
      <c r="AI677" s="18"/>
      <c r="AJ677" s="18"/>
      <c r="AK677" s="18"/>
      <c r="AL677" s="24"/>
      <c r="AM677" s="22"/>
      <c r="AN677" s="18"/>
      <c r="AO677" s="18"/>
      <c r="AP677" s="18"/>
      <c r="AQ677" s="24"/>
      <c r="AR677" s="22"/>
      <c r="AS677" s="18"/>
      <c r="AT677" s="18"/>
      <c r="AU677" s="18"/>
      <c r="AV677" s="24"/>
      <c r="AW677" s="22"/>
      <c r="AX677" s="18"/>
      <c r="AY677" s="18"/>
      <c r="AZ677" s="18"/>
      <c r="BA677" s="24"/>
      <c r="BB677" s="22"/>
      <c r="BC677" s="18"/>
      <c r="BD677" s="18"/>
      <c r="BE677" s="18"/>
      <c r="BF677" s="24"/>
      <c r="BG677" s="22"/>
      <c r="BH677" s="18"/>
      <c r="BI677" s="18"/>
      <c r="BJ677" s="18"/>
      <c r="BK677" s="24"/>
      <c r="BL677" s="22"/>
      <c r="BM677" s="18"/>
      <c r="BN677" s="18"/>
      <c r="BO677" s="18"/>
      <c r="BP677" s="24"/>
      <c r="BQ677" s="17" t="s">
        <v>268</v>
      </c>
      <c r="BR677" s="1"/>
      <c r="BS677" s="1"/>
      <c r="BT677" s="1"/>
      <c r="BU677" s="1"/>
    </row>
    <row r="678">
      <c r="A678" s="1"/>
      <c r="B678" s="21"/>
      <c r="C678" s="11" t="s">
        <v>54</v>
      </c>
      <c r="D678" s="22"/>
      <c r="E678" s="18"/>
      <c r="F678" s="18"/>
      <c r="G678" s="18"/>
      <c r="H678" s="19"/>
      <c r="I678" s="22"/>
      <c r="J678" s="18"/>
      <c r="K678" s="18"/>
      <c r="L678" s="18"/>
      <c r="M678" s="24"/>
      <c r="N678" s="18"/>
      <c r="O678" s="18"/>
      <c r="P678" s="18"/>
      <c r="Q678" s="18"/>
      <c r="R678" s="24"/>
      <c r="S678" s="18"/>
      <c r="T678" s="18"/>
      <c r="U678" s="18"/>
      <c r="V678" s="18"/>
      <c r="W678" s="24"/>
      <c r="X678" s="18"/>
      <c r="Y678" s="18"/>
      <c r="Z678" s="18"/>
      <c r="AA678" s="18"/>
      <c r="AB678" s="24"/>
      <c r="AC678" s="18"/>
      <c r="AD678" s="18"/>
      <c r="AE678" s="18"/>
      <c r="AF678" s="18"/>
      <c r="AG678" s="24"/>
      <c r="AH678" s="18"/>
      <c r="AI678" s="18"/>
      <c r="AJ678" s="18"/>
      <c r="AK678" s="18"/>
      <c r="AL678" s="24"/>
      <c r="AM678" s="18"/>
      <c r="AN678" s="18"/>
      <c r="AO678" s="18"/>
      <c r="AP678" s="18"/>
      <c r="AQ678" s="24"/>
      <c r="AR678" s="18"/>
      <c r="AS678" s="18"/>
      <c r="AT678" s="18"/>
      <c r="AU678" s="18"/>
      <c r="AV678" s="24"/>
      <c r="AW678" s="18"/>
      <c r="AX678" s="18"/>
      <c r="AY678" s="18"/>
      <c r="AZ678" s="18"/>
      <c r="BA678" s="24"/>
      <c r="BB678" s="18"/>
      <c r="BC678" s="18"/>
      <c r="BD678" s="18"/>
      <c r="BE678" s="18"/>
      <c r="BF678" s="24"/>
      <c r="BG678" s="18"/>
      <c r="BH678" s="18"/>
      <c r="BI678" s="18"/>
      <c r="BJ678" s="18"/>
      <c r="BK678" s="19"/>
      <c r="BL678" s="18"/>
      <c r="BM678" s="18"/>
      <c r="BN678" s="18"/>
      <c r="BO678" s="18"/>
      <c r="BP678" s="19"/>
      <c r="BQ678" s="17" t="s">
        <v>268</v>
      </c>
      <c r="BR678" s="1"/>
      <c r="BS678" s="1"/>
      <c r="BT678" s="1"/>
      <c r="BU678" s="1"/>
    </row>
    <row r="679">
      <c r="A679" s="1"/>
      <c r="B679" s="21"/>
      <c r="C679" s="11" t="s">
        <v>56</v>
      </c>
      <c r="D679" s="22"/>
      <c r="E679" s="23">
        <f>E670-(SUM(E671:E678))</f>
        <v>0</v>
      </c>
      <c r="F679" s="18"/>
      <c r="G679" s="23">
        <f>G670-(SUM(G671:G678))</f>
        <v>0</v>
      </c>
      <c r="H679" s="19"/>
      <c r="I679" s="22"/>
      <c r="J679" s="23">
        <f>J670-(SUM(J671:J678))</f>
        <v>0</v>
      </c>
      <c r="K679" s="18"/>
      <c r="L679" s="23">
        <f>L670-(SUM(L671:L678))</f>
        <v>0</v>
      </c>
      <c r="M679" s="19"/>
      <c r="N679" s="22"/>
      <c r="O679" s="23">
        <f>O670-(SUM(O671:O678))</f>
        <v>0</v>
      </c>
      <c r="P679" s="18"/>
      <c r="Q679" s="23">
        <f>Q670-(SUM(Q671:Q678))</f>
        <v>0</v>
      </c>
      <c r="R679" s="19"/>
      <c r="S679" s="22"/>
      <c r="T679" s="23">
        <f>T670-(SUM(T671:T678))</f>
        <v>0</v>
      </c>
      <c r="U679" s="18"/>
      <c r="V679" s="23">
        <f>V670-(SUM(V671:V678))</f>
        <v>0</v>
      </c>
      <c r="W679" s="19"/>
      <c r="X679" s="18"/>
      <c r="Y679" s="23">
        <f>Y670-(SUM(Y671:Y678))</f>
        <v>0</v>
      </c>
      <c r="Z679" s="18"/>
      <c r="AA679" s="23">
        <f>AA670-(SUM(AA671:AA678))</f>
        <v>0</v>
      </c>
      <c r="AB679" s="19"/>
      <c r="AC679" s="18"/>
      <c r="AD679" s="23">
        <f>AD670-(SUM(AD671:AD678))</f>
        <v>0</v>
      </c>
      <c r="AE679" s="18"/>
      <c r="AF679" s="23">
        <f>AF670-(SUM(AF671:AF678))</f>
        <v>0</v>
      </c>
      <c r="AG679" s="19"/>
      <c r="AH679" s="18"/>
      <c r="AI679" s="23">
        <f>AI670-(SUM(AI671:AI678))</f>
        <v>0</v>
      </c>
      <c r="AJ679" s="18"/>
      <c r="AK679" s="23">
        <f>AK670-(SUM(AK671:AK678))</f>
        <v>0</v>
      </c>
      <c r="AL679" s="19"/>
      <c r="AM679" s="18"/>
      <c r="AN679" s="23">
        <f>AN670-(SUM(AN671:AN678))</f>
        <v>0</v>
      </c>
      <c r="AO679" s="18"/>
      <c r="AP679" s="23">
        <f>AP670-(SUM(AP671:AP678))</f>
        <v>0</v>
      </c>
      <c r="AQ679" s="19"/>
      <c r="AR679" s="22"/>
      <c r="AS679" s="23">
        <f>AS670-(SUM(AS671:AS678))</f>
        <v>-751333</v>
      </c>
      <c r="AT679" s="18"/>
      <c r="AU679" s="23">
        <f>AU670-(SUM(AU671:AU678))</f>
        <v>0</v>
      </c>
      <c r="AV679" s="19"/>
      <c r="AW679" s="22"/>
      <c r="AX679" s="23">
        <f>AX670-(SUM(AX671:AX678))</f>
        <v>733871</v>
      </c>
      <c r="AY679" s="18"/>
      <c r="AZ679" s="23">
        <f>AZ670-(SUM(AZ671:AZ678))</f>
        <v>0</v>
      </c>
      <c r="BA679" s="19"/>
      <c r="BB679" s="22"/>
      <c r="BC679" s="23">
        <f>BC670-(SUM(BC671:BC678))</f>
        <v>850000</v>
      </c>
      <c r="BD679" s="18"/>
      <c r="BE679" s="23">
        <f>BE670-(SUM(BE671:BE678))</f>
        <v>0</v>
      </c>
      <c r="BF679" s="19"/>
      <c r="BG679" s="22"/>
      <c r="BH679" s="23">
        <f>BH670-(SUM(BH671:BH678))</f>
        <v>850000</v>
      </c>
      <c r="BI679" s="18"/>
      <c r="BJ679" s="23">
        <f>BJ670-(SUM(BJ671:BJ678))</f>
        <v>0</v>
      </c>
      <c r="BK679" s="19"/>
      <c r="BL679" s="22"/>
      <c r="BM679" s="23">
        <f>BM670-(SUM(BM671:BM678))</f>
        <v>850000</v>
      </c>
      <c r="BN679" s="18"/>
      <c r="BO679" s="23">
        <f>BO670-(SUM(BO671:BO678))</f>
        <v>0</v>
      </c>
      <c r="BP679" s="19"/>
      <c r="BQ679" s="17" t="s">
        <v>268</v>
      </c>
      <c r="BR679" s="1"/>
      <c r="BS679" s="1"/>
      <c r="BT679" s="1"/>
      <c r="BU679" s="1"/>
    </row>
    <row r="680">
      <c r="A680" s="1"/>
      <c r="B680" s="27">
        <v>0.7</v>
      </c>
      <c r="C680" s="11" t="s">
        <v>26</v>
      </c>
      <c r="D680" s="22"/>
      <c r="E680" s="23">
        <f>E679*$B680</f>
        <v>0</v>
      </c>
      <c r="F680" s="18"/>
      <c r="G680" s="18"/>
      <c r="H680" s="19"/>
      <c r="I680" s="22"/>
      <c r="J680" s="23">
        <f>J679*$B680</f>
        <v>0</v>
      </c>
      <c r="K680" s="18"/>
      <c r="L680" s="18"/>
      <c r="M680" s="19"/>
      <c r="N680" s="22"/>
      <c r="O680" s="23">
        <f>O679*$B680</f>
        <v>0</v>
      </c>
      <c r="P680" s="18"/>
      <c r="Q680" s="18"/>
      <c r="R680" s="19"/>
      <c r="S680" s="22"/>
      <c r="T680" s="23">
        <f>T679*$B680</f>
        <v>0</v>
      </c>
      <c r="U680" s="18"/>
      <c r="V680" s="18"/>
      <c r="W680" s="19"/>
      <c r="X680" s="18"/>
      <c r="Y680" s="23">
        <f>Y679*$B680</f>
        <v>0</v>
      </c>
      <c r="Z680" s="18"/>
      <c r="AA680" s="18"/>
      <c r="AB680" s="19"/>
      <c r="AC680" s="18"/>
      <c r="AD680" s="23">
        <f>AD679*$B680</f>
        <v>0</v>
      </c>
      <c r="AE680" s="18"/>
      <c r="AF680" s="18"/>
      <c r="AG680" s="19"/>
      <c r="AH680" s="18"/>
      <c r="AI680" s="23">
        <f>AI679*$B680</f>
        <v>0</v>
      </c>
      <c r="AJ680" s="18"/>
      <c r="AK680" s="18"/>
      <c r="AL680" s="19"/>
      <c r="AM680" s="18"/>
      <c r="AN680" s="23">
        <f>AN679*$B680</f>
        <v>0</v>
      </c>
      <c r="AO680" s="18"/>
      <c r="AP680" s="18"/>
      <c r="AQ680" s="19"/>
      <c r="AR680" s="22"/>
      <c r="AS680" s="23">
        <f>AS679*$B680</f>
        <v>-525933.1</v>
      </c>
      <c r="AT680" s="18"/>
      <c r="AU680" s="18"/>
      <c r="AV680" s="19"/>
      <c r="AW680" s="22"/>
      <c r="AX680" s="23">
        <f>AX679*$B680</f>
        <v>513709.7</v>
      </c>
      <c r="AY680" s="18"/>
      <c r="AZ680" s="18"/>
      <c r="BA680" s="19"/>
      <c r="BB680" s="22"/>
      <c r="BC680" s="23">
        <f>BC679*$B680</f>
        <v>595000</v>
      </c>
      <c r="BD680" s="18"/>
      <c r="BE680" s="18"/>
      <c r="BF680" s="19"/>
      <c r="BG680" s="22"/>
      <c r="BH680" s="23">
        <f>BH679*$B680</f>
        <v>595000</v>
      </c>
      <c r="BI680" s="18"/>
      <c r="BJ680" s="18"/>
      <c r="BK680" s="19"/>
      <c r="BL680" s="22"/>
      <c r="BM680" s="23">
        <f>BM679*$B680</f>
        <v>595000</v>
      </c>
      <c r="BN680" s="18"/>
      <c r="BO680" s="18"/>
      <c r="BP680" s="19"/>
      <c r="BQ680" s="17" t="s">
        <v>268</v>
      </c>
      <c r="BR680" s="1"/>
      <c r="BS680" s="1"/>
      <c r="BT680" s="1"/>
      <c r="BU680" s="1"/>
    </row>
    <row r="681">
      <c r="A681" s="56" t="str">
        <f>B666</f>
        <v>당산</v>
      </c>
      <c r="B681" s="29">
        <v>0.3</v>
      </c>
      <c r="C681" s="30" t="s">
        <v>57</v>
      </c>
      <c r="D681" s="31"/>
      <c r="E681" s="32">
        <f>E679-E680</f>
        <v>0</v>
      </c>
      <c r="F681" s="33"/>
      <c r="G681" s="33"/>
      <c r="H681" s="34"/>
      <c r="I681" s="31"/>
      <c r="J681" s="32">
        <f>J679-J680</f>
        <v>0</v>
      </c>
      <c r="K681" s="33"/>
      <c r="L681" s="33"/>
      <c r="M681" s="34"/>
      <c r="N681" s="31"/>
      <c r="O681" s="32">
        <f>O679-O680</f>
        <v>0</v>
      </c>
      <c r="P681" s="33"/>
      <c r="Q681" s="33"/>
      <c r="R681" s="34"/>
      <c r="S681" s="31"/>
      <c r="T681" s="32">
        <f>T679-T680</f>
        <v>0</v>
      </c>
      <c r="U681" s="33"/>
      <c r="V681" s="33"/>
      <c r="W681" s="34"/>
      <c r="X681" s="33"/>
      <c r="Y681" s="32">
        <f>Y679-Y680</f>
        <v>0</v>
      </c>
      <c r="Z681" s="33"/>
      <c r="AA681" s="33"/>
      <c r="AB681" s="34"/>
      <c r="AC681" s="33"/>
      <c r="AD681" s="32">
        <f>AD679-AD680</f>
        <v>0</v>
      </c>
      <c r="AE681" s="33"/>
      <c r="AF681" s="33"/>
      <c r="AG681" s="34"/>
      <c r="AH681" s="33"/>
      <c r="AI681" s="32">
        <f>AI679-AI680</f>
        <v>0</v>
      </c>
      <c r="AJ681" s="33"/>
      <c r="AK681" s="33"/>
      <c r="AL681" s="34"/>
      <c r="AM681" s="33"/>
      <c r="AN681" s="32">
        <f>AN679-AN680</f>
        <v>0</v>
      </c>
      <c r="AO681" s="33"/>
      <c r="AP681" s="33"/>
      <c r="AQ681" s="34"/>
      <c r="AR681" s="31"/>
      <c r="AS681" s="32">
        <f>AS679-AS680</f>
        <v>-225399.9</v>
      </c>
      <c r="AT681" s="33"/>
      <c r="AU681" s="33"/>
      <c r="AV681" s="34"/>
      <c r="AW681" s="31"/>
      <c r="AX681" s="32">
        <f>AX679-AX680</f>
        <v>220161.3</v>
      </c>
      <c r="AY681" s="33"/>
      <c r="AZ681" s="33"/>
      <c r="BA681" s="34"/>
      <c r="BB681" s="31"/>
      <c r="BC681" s="32">
        <f>BC679-BC680</f>
        <v>255000</v>
      </c>
      <c r="BD681" s="33"/>
      <c r="BE681" s="33"/>
      <c r="BF681" s="34"/>
      <c r="BG681" s="31"/>
      <c r="BH681" s="32">
        <f>BH679-BH680</f>
        <v>255000</v>
      </c>
      <c r="BI681" s="33"/>
      <c r="BJ681" s="33"/>
      <c r="BK681" s="34"/>
      <c r="BL681" s="31"/>
      <c r="BM681" s="32">
        <f>BM679-BM680</f>
        <v>255000</v>
      </c>
      <c r="BN681" s="33"/>
      <c r="BO681" s="33"/>
      <c r="BP681" s="34"/>
      <c r="BQ681" s="17" t="s">
        <v>268</v>
      </c>
      <c r="BR681" s="1"/>
      <c r="BS681" s="1"/>
      <c r="BT681" s="1"/>
      <c r="BU681" s="1"/>
    </row>
    <row r="682">
      <c r="A682" s="1"/>
      <c r="B682" s="27" t="s">
        <v>1055</v>
      </c>
      <c r="C682" s="11" t="s">
        <v>1056</v>
      </c>
      <c r="D682" s="20" t="s">
        <v>1057</v>
      </c>
      <c r="E682" s="23">
        <v>510000.0</v>
      </c>
      <c r="F682" s="35" t="b">
        <v>1</v>
      </c>
      <c r="G682" s="23">
        <v>80000.0</v>
      </c>
      <c r="H682" s="15" t="b">
        <v>1</v>
      </c>
      <c r="I682" s="20" t="s">
        <v>1057</v>
      </c>
      <c r="J682" s="23">
        <v>510000.0</v>
      </c>
      <c r="K682" s="35" t="b">
        <v>1</v>
      </c>
      <c r="L682" s="23">
        <v>80000.0</v>
      </c>
      <c r="M682" s="15" t="b">
        <v>1</v>
      </c>
      <c r="N682" s="20" t="s">
        <v>1057</v>
      </c>
      <c r="O682" s="23">
        <v>510000.0</v>
      </c>
      <c r="P682" s="35" t="b">
        <v>1</v>
      </c>
      <c r="Q682" s="23">
        <v>80000.0</v>
      </c>
      <c r="R682" s="15" t="b">
        <v>1</v>
      </c>
      <c r="S682" s="20" t="s">
        <v>1057</v>
      </c>
      <c r="T682" s="23">
        <v>510000.0</v>
      </c>
      <c r="U682" s="35" t="b">
        <v>1</v>
      </c>
      <c r="V682" s="23">
        <v>80000.0</v>
      </c>
      <c r="W682" s="15" t="b">
        <v>1</v>
      </c>
      <c r="X682" s="20" t="s">
        <v>1057</v>
      </c>
      <c r="Y682" s="23">
        <v>510000.0</v>
      </c>
      <c r="Z682" s="35" t="b">
        <v>1</v>
      </c>
      <c r="AA682" s="23">
        <v>80000.0</v>
      </c>
      <c r="AB682" s="15" t="b">
        <v>1</v>
      </c>
      <c r="AC682" s="20" t="s">
        <v>1057</v>
      </c>
      <c r="AD682" s="23">
        <v>510000.0</v>
      </c>
      <c r="AE682" s="35" t="b">
        <v>1</v>
      </c>
      <c r="AF682" s="23">
        <v>80000.0</v>
      </c>
      <c r="AG682" s="15" t="b">
        <v>1</v>
      </c>
      <c r="AH682" s="20" t="s">
        <v>1057</v>
      </c>
      <c r="AI682" s="23">
        <v>510000.0</v>
      </c>
      <c r="AJ682" s="35" t="b">
        <v>1</v>
      </c>
      <c r="AK682" s="23">
        <v>80000.0</v>
      </c>
      <c r="AL682" s="15" t="b">
        <v>1</v>
      </c>
      <c r="AM682" s="20" t="s">
        <v>1057</v>
      </c>
      <c r="AN682" s="23">
        <v>510000.0</v>
      </c>
      <c r="AO682" s="35" t="b">
        <v>1</v>
      </c>
      <c r="AP682" s="23">
        <f>80000+55000</f>
        <v>135000</v>
      </c>
      <c r="AQ682" s="15" t="b">
        <v>1</v>
      </c>
      <c r="AR682" s="20" t="s">
        <v>1057</v>
      </c>
      <c r="AS682" s="23">
        <v>510000.0</v>
      </c>
      <c r="AT682" s="35" t="b">
        <v>1</v>
      </c>
      <c r="AU682" s="23">
        <v>80000.0</v>
      </c>
      <c r="AV682" s="15" t="b">
        <v>1</v>
      </c>
      <c r="AW682" s="20" t="s">
        <v>1057</v>
      </c>
      <c r="AX682" s="23">
        <v>510000.0</v>
      </c>
      <c r="AY682" s="35" t="b">
        <v>1</v>
      </c>
      <c r="AZ682" s="23">
        <v>80000.0</v>
      </c>
      <c r="BA682" s="15" t="b">
        <v>1</v>
      </c>
      <c r="BB682" s="20" t="s">
        <v>1057</v>
      </c>
      <c r="BC682" s="23">
        <v>510000.0</v>
      </c>
      <c r="BD682" s="35" t="b">
        <v>1</v>
      </c>
      <c r="BE682" s="23">
        <v>80000.0</v>
      </c>
      <c r="BF682" s="15" t="b">
        <v>1</v>
      </c>
      <c r="BG682" s="20" t="s">
        <v>1057</v>
      </c>
      <c r="BH682" s="23">
        <v>510000.0</v>
      </c>
      <c r="BI682" s="35" t="b">
        <v>1</v>
      </c>
      <c r="BJ682" s="23">
        <v>80000.0</v>
      </c>
      <c r="BK682" s="15" t="b">
        <v>1</v>
      </c>
      <c r="BL682" s="20" t="s">
        <v>1057</v>
      </c>
      <c r="BM682" s="23">
        <v>510000.0</v>
      </c>
      <c r="BN682" s="35" t="b">
        <v>0</v>
      </c>
      <c r="BO682" s="23">
        <v>80000.0</v>
      </c>
      <c r="BP682" s="15" t="b">
        <v>0</v>
      </c>
      <c r="BQ682" s="17" t="s">
        <v>33</v>
      </c>
      <c r="BR682" s="1"/>
      <c r="BS682" s="1"/>
      <c r="BT682" s="1"/>
      <c r="BU682" s="1"/>
    </row>
    <row r="683">
      <c r="A683" s="1"/>
      <c r="B683" s="10" t="s">
        <v>1058</v>
      </c>
      <c r="C683" s="11" t="s">
        <v>1059</v>
      </c>
      <c r="D683" s="20" t="s">
        <v>1060</v>
      </c>
      <c r="E683" s="23">
        <v>540000.0</v>
      </c>
      <c r="F683" s="35" t="b">
        <v>1</v>
      </c>
      <c r="G683" s="23">
        <v>80000.0</v>
      </c>
      <c r="H683" s="15" t="b">
        <v>1</v>
      </c>
      <c r="I683" s="20" t="s">
        <v>1061</v>
      </c>
      <c r="J683" s="23">
        <f>353793+18621</f>
        <v>372414</v>
      </c>
      <c r="K683" s="35" t="b">
        <v>1</v>
      </c>
      <c r="L683" s="23">
        <f>52414+2759</f>
        <v>55173</v>
      </c>
      <c r="M683" s="15" t="b">
        <v>1</v>
      </c>
      <c r="N683" s="20" t="s">
        <v>1062</v>
      </c>
      <c r="O683" s="23">
        <v>540000.0</v>
      </c>
      <c r="P683" s="35" t="b">
        <v>1</v>
      </c>
      <c r="Q683" s="23">
        <v>80000.0</v>
      </c>
      <c r="R683" s="15" t="b">
        <v>1</v>
      </c>
      <c r="S683" s="20" t="s">
        <v>1062</v>
      </c>
      <c r="T683" s="23">
        <v>540000.0</v>
      </c>
      <c r="U683" s="35" t="b">
        <v>1</v>
      </c>
      <c r="V683" s="23">
        <v>80000.0</v>
      </c>
      <c r="W683" s="15" t="b">
        <v>1</v>
      </c>
      <c r="X683" s="20" t="s">
        <v>1062</v>
      </c>
      <c r="Y683" s="23">
        <v>540000.0</v>
      </c>
      <c r="Z683" s="35" t="b">
        <v>1</v>
      </c>
      <c r="AA683" s="23">
        <v>80000.0</v>
      </c>
      <c r="AB683" s="15" t="b">
        <v>1</v>
      </c>
      <c r="AC683" s="20" t="s">
        <v>1062</v>
      </c>
      <c r="AD683" s="23">
        <v>540000.0</v>
      </c>
      <c r="AE683" s="35" t="b">
        <v>1</v>
      </c>
      <c r="AF683" s="23">
        <v>80000.0</v>
      </c>
      <c r="AG683" s="15" t="b">
        <v>1</v>
      </c>
      <c r="AH683" s="20" t="s">
        <v>1062</v>
      </c>
      <c r="AI683" s="23">
        <v>540000.0</v>
      </c>
      <c r="AJ683" s="35" t="b">
        <v>1</v>
      </c>
      <c r="AK683" s="23">
        <v>80000.0</v>
      </c>
      <c r="AL683" s="15" t="b">
        <v>1</v>
      </c>
      <c r="AM683" s="20" t="s">
        <v>1063</v>
      </c>
      <c r="AN683" s="23">
        <f>435484+500000</f>
        <v>935484</v>
      </c>
      <c r="AO683" s="35" t="b">
        <v>1</v>
      </c>
      <c r="AP683" s="23">
        <f>64516+56394</f>
        <v>120910</v>
      </c>
      <c r="AQ683" s="15" t="b">
        <v>1</v>
      </c>
      <c r="AR683" s="20" t="s">
        <v>1064</v>
      </c>
      <c r="AS683" s="23">
        <v>114333.0</v>
      </c>
      <c r="AT683" s="35" t="b">
        <v>1</v>
      </c>
      <c r="AU683" s="23">
        <v>18667.0</v>
      </c>
      <c r="AV683" s="15" t="b">
        <v>1</v>
      </c>
      <c r="AW683" s="20" t="s">
        <v>1065</v>
      </c>
      <c r="AX683" s="23">
        <v>490000.0</v>
      </c>
      <c r="AY683" s="35" t="b">
        <v>1</v>
      </c>
      <c r="AZ683" s="23">
        <v>80000.0</v>
      </c>
      <c r="BA683" s="15" t="b">
        <v>1</v>
      </c>
      <c r="BB683" s="20" t="s">
        <v>1065</v>
      </c>
      <c r="BC683" s="23">
        <v>490000.0</v>
      </c>
      <c r="BD683" s="35" t="b">
        <v>1</v>
      </c>
      <c r="BE683" s="23">
        <v>80000.0</v>
      </c>
      <c r="BF683" s="15" t="b">
        <v>1</v>
      </c>
      <c r="BG683" s="20" t="s">
        <v>1066</v>
      </c>
      <c r="BH683" s="23">
        <f>480000+15806</f>
        <v>495806</v>
      </c>
      <c r="BI683" s="35" t="b">
        <v>1</v>
      </c>
      <c r="BJ683" s="23">
        <v>80000.0</v>
      </c>
      <c r="BK683" s="15" t="b">
        <v>1</v>
      </c>
      <c r="BL683" s="20" t="s">
        <v>1067</v>
      </c>
      <c r="BM683" s="23">
        <v>490000.0</v>
      </c>
      <c r="BN683" s="35" t="b">
        <v>1</v>
      </c>
      <c r="BO683" s="23">
        <v>80000.0</v>
      </c>
      <c r="BP683" s="15" t="b">
        <v>1</v>
      </c>
      <c r="BQ683" s="17" t="s">
        <v>33</v>
      </c>
      <c r="BR683" s="1"/>
      <c r="BS683" s="1"/>
      <c r="BT683" s="1"/>
      <c r="BU683" s="1"/>
    </row>
    <row r="684">
      <c r="A684" s="1"/>
      <c r="B684" s="27" t="s">
        <v>1055</v>
      </c>
      <c r="C684" s="11" t="s">
        <v>1068</v>
      </c>
      <c r="D684" s="20" t="s">
        <v>1069</v>
      </c>
      <c r="E684" s="23">
        <v>520000.0</v>
      </c>
      <c r="F684" s="35" t="b">
        <v>1</v>
      </c>
      <c r="G684" s="23">
        <v>80000.0</v>
      </c>
      <c r="H684" s="15" t="b">
        <v>1</v>
      </c>
      <c r="I684" s="20" t="s">
        <v>1070</v>
      </c>
      <c r="J684" s="23">
        <v>520000.0</v>
      </c>
      <c r="K684" s="35" t="b">
        <v>1</v>
      </c>
      <c r="L684" s="23">
        <v>80000.0</v>
      </c>
      <c r="M684" s="15" t="b">
        <v>1</v>
      </c>
      <c r="N684" s="20" t="s">
        <v>1071</v>
      </c>
      <c r="O684" s="23">
        <v>372581.0</v>
      </c>
      <c r="P684" s="35" t="b">
        <v>1</v>
      </c>
      <c r="Q684" s="23">
        <v>54194.0</v>
      </c>
      <c r="R684" s="15" t="b">
        <v>1</v>
      </c>
      <c r="S684" s="20" t="s">
        <v>1072</v>
      </c>
      <c r="T684" s="23">
        <v>550000.0</v>
      </c>
      <c r="U684" s="35" t="b">
        <v>1</v>
      </c>
      <c r="V684" s="23">
        <v>80000.0</v>
      </c>
      <c r="W684" s="15" t="b">
        <v>1</v>
      </c>
      <c r="X684" s="20" t="s">
        <v>1072</v>
      </c>
      <c r="Y684" s="23">
        <v>550000.0</v>
      </c>
      <c r="Z684" s="35" t="b">
        <v>1</v>
      </c>
      <c r="AA684" s="23">
        <v>80000.0</v>
      </c>
      <c r="AB684" s="15" t="b">
        <v>1</v>
      </c>
      <c r="AC684" s="20" t="s">
        <v>1072</v>
      </c>
      <c r="AD684" s="23">
        <v>550000.0</v>
      </c>
      <c r="AE684" s="35" t="b">
        <v>1</v>
      </c>
      <c r="AF684" s="23">
        <v>80000.0</v>
      </c>
      <c r="AG684" s="15" t="b">
        <v>1</v>
      </c>
      <c r="AH684" s="20" t="s">
        <v>1072</v>
      </c>
      <c r="AI684" s="23">
        <v>550000.0</v>
      </c>
      <c r="AJ684" s="35" t="b">
        <v>1</v>
      </c>
      <c r="AK684" s="23">
        <v>80000.0</v>
      </c>
      <c r="AL684" s="15" t="b">
        <v>1</v>
      </c>
      <c r="AM684" s="20" t="s">
        <v>1073</v>
      </c>
      <c r="AN684" s="23">
        <v>550000.0</v>
      </c>
      <c r="AO684" s="35" t="b">
        <v>1</v>
      </c>
      <c r="AP684" s="23">
        <f>80000+55000</f>
        <v>135000</v>
      </c>
      <c r="AQ684" s="15" t="b">
        <v>1</v>
      </c>
      <c r="AR684" s="20" t="s">
        <v>1074</v>
      </c>
      <c r="AS684" s="23">
        <v>550000.0</v>
      </c>
      <c r="AT684" s="35" t="b">
        <v>1</v>
      </c>
      <c r="AU684" s="23">
        <v>80000.0</v>
      </c>
      <c r="AV684" s="15" t="b">
        <v>1</v>
      </c>
      <c r="AW684" s="20" t="s">
        <v>1074</v>
      </c>
      <c r="AX684" s="23">
        <v>550000.0</v>
      </c>
      <c r="AY684" s="35" t="b">
        <v>1</v>
      </c>
      <c r="AZ684" s="23">
        <v>80000.0</v>
      </c>
      <c r="BA684" s="15" t="b">
        <v>1</v>
      </c>
      <c r="BB684" s="20" t="s">
        <v>37</v>
      </c>
      <c r="BC684" s="18"/>
      <c r="BD684" s="1"/>
      <c r="BE684" s="18"/>
      <c r="BF684" s="19"/>
      <c r="BG684" s="20" t="s">
        <v>37</v>
      </c>
      <c r="BH684" s="18"/>
      <c r="BI684" s="1"/>
      <c r="BJ684" s="18"/>
      <c r="BK684" s="19"/>
      <c r="BL684" s="20" t="s">
        <v>37</v>
      </c>
      <c r="BM684" s="18"/>
      <c r="BN684" s="1"/>
      <c r="BO684" s="18"/>
      <c r="BP684" s="19"/>
      <c r="BQ684" s="17" t="s">
        <v>33</v>
      </c>
      <c r="BR684" s="1"/>
      <c r="BS684" s="1"/>
      <c r="BT684" s="1"/>
      <c r="BU684" s="1"/>
    </row>
    <row r="685">
      <c r="A685" s="1"/>
      <c r="B685" s="27" t="s">
        <v>1055</v>
      </c>
      <c r="C685" s="11" t="s">
        <v>876</v>
      </c>
      <c r="D685" s="20" t="s">
        <v>1075</v>
      </c>
      <c r="E685" s="23">
        <v>400000.0</v>
      </c>
      <c r="F685" s="35" t="b">
        <v>1</v>
      </c>
      <c r="G685" s="23">
        <v>80000.0</v>
      </c>
      <c r="H685" s="15" t="b">
        <v>1</v>
      </c>
      <c r="I685" s="20" t="s">
        <v>1076</v>
      </c>
      <c r="J685" s="23">
        <v>248276.0</v>
      </c>
      <c r="K685" s="35" t="b">
        <v>1</v>
      </c>
      <c r="L685" s="23">
        <v>49655.0</v>
      </c>
      <c r="M685" s="15" t="b">
        <v>1</v>
      </c>
      <c r="N685" s="20" t="s">
        <v>1077</v>
      </c>
      <c r="O685" s="23">
        <v>281935.0</v>
      </c>
      <c r="P685" s="35" t="b">
        <v>1</v>
      </c>
      <c r="Q685" s="23">
        <v>59355.0</v>
      </c>
      <c r="R685" s="15" t="b">
        <v>1</v>
      </c>
      <c r="S685" s="20" t="s">
        <v>1078</v>
      </c>
      <c r="T685" s="23">
        <v>380000.0</v>
      </c>
      <c r="U685" s="35" t="b">
        <v>1</v>
      </c>
      <c r="V685" s="23">
        <v>80000.0</v>
      </c>
      <c r="W685" s="15" t="b">
        <v>1</v>
      </c>
      <c r="X685" s="20" t="s">
        <v>1078</v>
      </c>
      <c r="Y685" s="23">
        <v>380000.0</v>
      </c>
      <c r="Z685" s="35" t="b">
        <v>1</v>
      </c>
      <c r="AA685" s="23">
        <v>80000.0</v>
      </c>
      <c r="AB685" s="15" t="b">
        <v>1</v>
      </c>
      <c r="AC685" s="20" t="s">
        <v>1078</v>
      </c>
      <c r="AD685" s="23">
        <v>380000.0</v>
      </c>
      <c r="AE685" s="35" t="b">
        <v>1</v>
      </c>
      <c r="AF685" s="23">
        <v>80000.0</v>
      </c>
      <c r="AG685" s="15" t="b">
        <v>1</v>
      </c>
      <c r="AH685" s="20" t="s">
        <v>1079</v>
      </c>
      <c r="AI685" s="23">
        <v>380000.0</v>
      </c>
      <c r="AJ685" s="35" t="b">
        <v>1</v>
      </c>
      <c r="AK685" s="23">
        <v>80000.0</v>
      </c>
      <c r="AL685" s="15" t="b">
        <v>1</v>
      </c>
      <c r="AM685" s="20" t="s">
        <v>1080</v>
      </c>
      <c r="AN685" s="23">
        <v>306452.0</v>
      </c>
      <c r="AO685" s="35" t="b">
        <v>1</v>
      </c>
      <c r="AP685" s="23">
        <v>64516.0</v>
      </c>
      <c r="AQ685" s="15" t="b">
        <v>1</v>
      </c>
      <c r="AR685" s="20" t="s">
        <v>37</v>
      </c>
      <c r="AS685" s="18"/>
      <c r="AT685" s="1"/>
      <c r="AU685" s="18"/>
      <c r="AV685" s="19"/>
      <c r="AW685" s="20" t="s">
        <v>37</v>
      </c>
      <c r="AX685" s="18"/>
      <c r="AY685" s="1"/>
      <c r="AZ685" s="18"/>
      <c r="BA685" s="19"/>
      <c r="BB685" s="20" t="s">
        <v>37</v>
      </c>
      <c r="BC685" s="18"/>
      <c r="BD685" s="1"/>
      <c r="BE685" s="18"/>
      <c r="BF685" s="19"/>
      <c r="BG685" s="20" t="s">
        <v>37</v>
      </c>
      <c r="BH685" s="18"/>
      <c r="BI685" s="1"/>
      <c r="BJ685" s="18"/>
      <c r="BK685" s="19"/>
      <c r="BL685" s="20" t="s">
        <v>37</v>
      </c>
      <c r="BM685" s="18"/>
      <c r="BN685" s="1"/>
      <c r="BO685" s="18"/>
      <c r="BP685" s="19"/>
      <c r="BQ685" s="17" t="s">
        <v>33</v>
      </c>
      <c r="BR685" s="1"/>
      <c r="BS685" s="1"/>
      <c r="BT685" s="1"/>
      <c r="BU685" s="1"/>
    </row>
    <row r="686">
      <c r="A686" s="1"/>
      <c r="B686" s="27" t="s">
        <v>1055</v>
      </c>
      <c r="C686" s="11" t="s">
        <v>881</v>
      </c>
      <c r="D686" s="20" t="s">
        <v>1081</v>
      </c>
      <c r="E686" s="23">
        <v>370000.0</v>
      </c>
      <c r="F686" s="35" t="b">
        <v>1</v>
      </c>
      <c r="G686" s="23">
        <v>80000.0</v>
      </c>
      <c r="H686" s="15" t="b">
        <v>1</v>
      </c>
      <c r="I686" s="20" t="s">
        <v>1082</v>
      </c>
      <c r="J686" s="23">
        <f>229655+13103</f>
        <v>242758</v>
      </c>
      <c r="K686" s="35" t="b">
        <v>1</v>
      </c>
      <c r="L686" s="23">
        <f>49655+2759</f>
        <v>52414</v>
      </c>
      <c r="M686" s="15" t="b">
        <v>1</v>
      </c>
      <c r="N686" s="20" t="s">
        <v>1083</v>
      </c>
      <c r="O686" s="23">
        <v>380000.0</v>
      </c>
      <c r="P686" s="35" t="b">
        <v>1</v>
      </c>
      <c r="Q686" s="23">
        <v>80000.0</v>
      </c>
      <c r="R686" s="15" t="b">
        <v>1</v>
      </c>
      <c r="S686" s="20" t="s">
        <v>1083</v>
      </c>
      <c r="T686" s="23">
        <v>380000.0</v>
      </c>
      <c r="U686" s="35" t="b">
        <v>1</v>
      </c>
      <c r="V686" s="23">
        <v>80000.0</v>
      </c>
      <c r="W686" s="15" t="b">
        <v>1</v>
      </c>
      <c r="X686" s="20" t="s">
        <v>1083</v>
      </c>
      <c r="Y686" s="23">
        <v>380000.0</v>
      </c>
      <c r="Z686" s="35" t="b">
        <v>1</v>
      </c>
      <c r="AA686" s="23">
        <v>80000.0</v>
      </c>
      <c r="AB686" s="15" t="b">
        <v>1</v>
      </c>
      <c r="AC686" s="20" t="s">
        <v>1083</v>
      </c>
      <c r="AD686" s="23">
        <v>380000.0</v>
      </c>
      <c r="AE686" s="35" t="b">
        <v>1</v>
      </c>
      <c r="AF686" s="23">
        <v>80000.0</v>
      </c>
      <c r="AG686" s="15" t="b">
        <v>1</v>
      </c>
      <c r="AH686" s="20" t="s">
        <v>1083</v>
      </c>
      <c r="AI686" s="23">
        <v>380000.0</v>
      </c>
      <c r="AJ686" s="35" t="b">
        <v>1</v>
      </c>
      <c r="AK686" s="23">
        <v>80000.0</v>
      </c>
      <c r="AL686" s="15" t="b">
        <v>1</v>
      </c>
      <c r="AM686" s="20" t="s">
        <v>1084</v>
      </c>
      <c r="AN686" s="23">
        <v>380000.0</v>
      </c>
      <c r="AO686" s="35" t="b">
        <v>1</v>
      </c>
      <c r="AP686" s="23">
        <v>80000.0</v>
      </c>
      <c r="AQ686" s="15" t="b">
        <v>1</v>
      </c>
      <c r="AR686" s="20" t="s">
        <v>1085</v>
      </c>
      <c r="AS686" s="23">
        <v>380000.0</v>
      </c>
      <c r="AT686" s="35" t="b">
        <v>1</v>
      </c>
      <c r="AU686" s="23">
        <v>80000.0</v>
      </c>
      <c r="AV686" s="15" t="b">
        <v>0</v>
      </c>
      <c r="AW686" s="20" t="s">
        <v>1086</v>
      </c>
      <c r="AX686" s="23">
        <v>380000.0</v>
      </c>
      <c r="AY686" s="35" t="b">
        <v>1</v>
      </c>
      <c r="AZ686" s="23">
        <v>80000.0</v>
      </c>
      <c r="BA686" s="15" t="b">
        <v>1</v>
      </c>
      <c r="BB686" s="18"/>
      <c r="BC686" s="18"/>
      <c r="BD686" s="1"/>
      <c r="BE686" s="18"/>
      <c r="BF686" s="19"/>
      <c r="BG686" s="18"/>
      <c r="BH686" s="18"/>
      <c r="BI686" s="1"/>
      <c r="BJ686" s="18"/>
      <c r="BK686" s="19"/>
      <c r="BL686" s="18"/>
      <c r="BM686" s="18"/>
      <c r="BN686" s="1"/>
      <c r="BO686" s="18"/>
      <c r="BP686" s="19"/>
      <c r="BQ686" s="17" t="s">
        <v>33</v>
      </c>
      <c r="BR686" s="1"/>
      <c r="BS686" s="1"/>
      <c r="BT686" s="1"/>
      <c r="BU686" s="1"/>
    </row>
    <row r="687">
      <c r="A687" s="1"/>
      <c r="B687" s="21"/>
      <c r="C687" s="11" t="s">
        <v>42</v>
      </c>
      <c r="D687" s="22"/>
      <c r="E687" s="23">
        <f>SUM(E682:E686)</f>
        <v>2340000</v>
      </c>
      <c r="F687" s="18"/>
      <c r="G687" s="23">
        <f>SUM(G682:G686)</f>
        <v>400000</v>
      </c>
      <c r="H687" s="19"/>
      <c r="I687" s="22"/>
      <c r="J687" s="23">
        <f>SUM(J682:J686)</f>
        <v>1893448</v>
      </c>
      <c r="K687" s="18"/>
      <c r="L687" s="23">
        <f>SUM(L682:L686)</f>
        <v>317242</v>
      </c>
      <c r="M687" s="19"/>
      <c r="N687" s="22"/>
      <c r="O687" s="23">
        <f>SUM(O682:O686)</f>
        <v>2084516</v>
      </c>
      <c r="P687" s="18"/>
      <c r="Q687" s="23">
        <f>SUM(Q682:Q686)</f>
        <v>353549</v>
      </c>
      <c r="R687" s="19"/>
      <c r="S687" s="22"/>
      <c r="T687" s="23">
        <f>SUM(T682:T686)</f>
        <v>2360000</v>
      </c>
      <c r="U687" s="18"/>
      <c r="V687" s="23">
        <f>SUM(V682:V686)</f>
        <v>400000</v>
      </c>
      <c r="W687" s="19"/>
      <c r="X687" s="18"/>
      <c r="Y687" s="23">
        <f>SUM(Y682:Y686)</f>
        <v>2360000</v>
      </c>
      <c r="Z687" s="18"/>
      <c r="AA687" s="23">
        <f>SUM(AA682:AA686)</f>
        <v>400000</v>
      </c>
      <c r="AB687" s="19"/>
      <c r="AC687" s="18"/>
      <c r="AD687" s="23">
        <f>SUM(AD682:AD686)</f>
        <v>2360000</v>
      </c>
      <c r="AE687" s="18"/>
      <c r="AF687" s="23">
        <f>SUM(AF682:AF686)</f>
        <v>400000</v>
      </c>
      <c r="AG687" s="19"/>
      <c r="AH687" s="18"/>
      <c r="AI687" s="23">
        <f>SUM(AI682:AI686)</f>
        <v>2360000</v>
      </c>
      <c r="AJ687" s="18"/>
      <c r="AK687" s="23">
        <f>SUM(AK682:AK686)</f>
        <v>400000</v>
      </c>
      <c r="AL687" s="19"/>
      <c r="AM687" s="18"/>
      <c r="AN687" s="23">
        <f>SUM(AN682:AN686)</f>
        <v>2681936</v>
      </c>
      <c r="AO687" s="18"/>
      <c r="AP687" s="23">
        <f>SUM(AP682:AP686)</f>
        <v>535426</v>
      </c>
      <c r="AQ687" s="19"/>
      <c r="AR687" s="22"/>
      <c r="AS687" s="23">
        <f>SUM(AS682:AS686)</f>
        <v>1554333</v>
      </c>
      <c r="AT687" s="18"/>
      <c r="AU687" s="23">
        <f>SUM(AU682:AU686)</f>
        <v>258667</v>
      </c>
      <c r="AV687" s="19"/>
      <c r="AW687" s="22"/>
      <c r="AX687" s="23">
        <f>SUM(AX682:AX686)</f>
        <v>1930000</v>
      </c>
      <c r="AY687" s="18"/>
      <c r="AZ687" s="23">
        <f>SUM(AZ682:AZ686)</f>
        <v>320000</v>
      </c>
      <c r="BA687" s="19"/>
      <c r="BB687" s="22"/>
      <c r="BC687" s="23">
        <f>SUM(BC682:BC686)</f>
        <v>1000000</v>
      </c>
      <c r="BD687" s="18"/>
      <c r="BE687" s="23">
        <f>SUM(BE682:BE686)</f>
        <v>160000</v>
      </c>
      <c r="BF687" s="19"/>
      <c r="BG687" s="22"/>
      <c r="BH687" s="23">
        <f>SUM(BH682:BH686)</f>
        <v>1005806</v>
      </c>
      <c r="BI687" s="18"/>
      <c r="BJ687" s="23">
        <f>SUM(BJ682:BJ686)</f>
        <v>160000</v>
      </c>
      <c r="BK687" s="19"/>
      <c r="BL687" s="22"/>
      <c r="BM687" s="23">
        <f>SUM(BM682:BM686)</f>
        <v>1000000</v>
      </c>
      <c r="BN687" s="18"/>
      <c r="BO687" s="23">
        <f>SUM(BO682:BO686)</f>
        <v>160000</v>
      </c>
      <c r="BP687" s="19"/>
      <c r="BQ687" s="17" t="s">
        <v>33</v>
      </c>
      <c r="BR687" s="1"/>
      <c r="BS687" s="1"/>
      <c r="BT687" s="1"/>
      <c r="BU687" s="1"/>
    </row>
    <row r="688">
      <c r="A688" s="1"/>
      <c r="B688" s="21"/>
      <c r="C688" s="11" t="s">
        <v>43</v>
      </c>
      <c r="D688" s="22"/>
      <c r="E688" s="23">
        <v>910000.0</v>
      </c>
      <c r="F688" s="18"/>
      <c r="G688" s="18"/>
      <c r="H688" s="19"/>
      <c r="I688" s="22"/>
      <c r="J688" s="23">
        <v>910000.0</v>
      </c>
      <c r="K688" s="18"/>
      <c r="L688" s="18"/>
      <c r="M688" s="19"/>
      <c r="N688" s="22"/>
      <c r="O688" s="23">
        <v>910000.0</v>
      </c>
      <c r="P688" s="18"/>
      <c r="Q688" s="18"/>
      <c r="R688" s="19"/>
      <c r="S688" s="22"/>
      <c r="T688" s="23">
        <v>910000.0</v>
      </c>
      <c r="U688" s="18"/>
      <c r="V688" s="18"/>
      <c r="W688" s="19"/>
      <c r="X688" s="18"/>
      <c r="Y688" s="23">
        <v>910000.0</v>
      </c>
      <c r="Z688" s="18"/>
      <c r="AA688" s="18"/>
      <c r="AB688" s="19"/>
      <c r="AC688" s="18"/>
      <c r="AD688" s="23">
        <v>910000.0</v>
      </c>
      <c r="AE688" s="18"/>
      <c r="AF688" s="18"/>
      <c r="AG688" s="19"/>
      <c r="AH688" s="18"/>
      <c r="AI688" s="23">
        <v>910000.0</v>
      </c>
      <c r="AJ688" s="18"/>
      <c r="AK688" s="18"/>
      <c r="AL688" s="19"/>
      <c r="AM688" s="18"/>
      <c r="AN688" s="23">
        <v>910000.0</v>
      </c>
      <c r="AO688" s="18"/>
      <c r="AP688" s="18"/>
      <c r="AQ688" s="19"/>
      <c r="AR688" s="22"/>
      <c r="AS688" s="23">
        <v>910000.0</v>
      </c>
      <c r="AT688" s="18"/>
      <c r="AU688" s="18"/>
      <c r="AV688" s="19"/>
      <c r="AW688" s="22"/>
      <c r="AX688" s="23">
        <v>910000.0</v>
      </c>
      <c r="AY688" s="18"/>
      <c r="AZ688" s="18"/>
      <c r="BA688" s="19"/>
      <c r="BB688" s="22"/>
      <c r="BC688" s="23">
        <v>910000.0</v>
      </c>
      <c r="BD688" s="18"/>
      <c r="BE688" s="18"/>
      <c r="BF688" s="19"/>
      <c r="BG688" s="22"/>
      <c r="BH688" s="23">
        <v>910000.0</v>
      </c>
      <c r="BI688" s="18"/>
      <c r="BJ688" s="18"/>
      <c r="BK688" s="19"/>
      <c r="BL688" s="22"/>
      <c r="BM688" s="23">
        <v>910000.0</v>
      </c>
      <c r="BN688" s="18"/>
      <c r="BO688" s="18"/>
      <c r="BP688" s="19"/>
      <c r="BQ688" s="17" t="s">
        <v>33</v>
      </c>
      <c r="BR688" s="1"/>
      <c r="BS688" s="1"/>
      <c r="BT688" s="1"/>
      <c r="BU688" s="1"/>
    </row>
    <row r="689">
      <c r="A689" s="1"/>
      <c r="B689" s="21"/>
      <c r="C689" s="11" t="s">
        <v>45</v>
      </c>
      <c r="D689" s="22"/>
      <c r="E689" s="18"/>
      <c r="F689" s="18"/>
      <c r="G689" s="23" t="s">
        <v>677</v>
      </c>
      <c r="H689" s="19"/>
      <c r="I689" s="22"/>
      <c r="J689" s="18"/>
      <c r="K689" s="18"/>
      <c r="L689" s="23" t="s">
        <v>677</v>
      </c>
      <c r="M689" s="98" t="s">
        <v>677</v>
      </c>
      <c r="N689" s="26" t="s">
        <v>677</v>
      </c>
      <c r="O689" s="23" t="s">
        <v>677</v>
      </c>
      <c r="P689" s="61" t="s">
        <v>677</v>
      </c>
      <c r="Q689" s="23" t="s">
        <v>677</v>
      </c>
      <c r="R689" s="98" t="s">
        <v>677</v>
      </c>
      <c r="S689" s="26" t="s">
        <v>677</v>
      </c>
      <c r="T689" s="23" t="s">
        <v>677</v>
      </c>
      <c r="U689" s="61" t="s">
        <v>677</v>
      </c>
      <c r="V689" s="23" t="s">
        <v>677</v>
      </c>
      <c r="W689" s="98" t="s">
        <v>677</v>
      </c>
      <c r="X689" s="20" t="s">
        <v>677</v>
      </c>
      <c r="Y689" s="23" t="s">
        <v>677</v>
      </c>
      <c r="Z689" s="61" t="s">
        <v>677</v>
      </c>
      <c r="AA689" s="23" t="s">
        <v>677</v>
      </c>
      <c r="AB689" s="98" t="s">
        <v>677</v>
      </c>
      <c r="AC689" s="20" t="s">
        <v>677</v>
      </c>
      <c r="AD689" s="23" t="s">
        <v>677</v>
      </c>
      <c r="AE689" s="61" t="s">
        <v>677</v>
      </c>
      <c r="AF689" s="23" t="s">
        <v>677</v>
      </c>
      <c r="AG689" s="98" t="s">
        <v>677</v>
      </c>
      <c r="AH689" s="20" t="s">
        <v>677</v>
      </c>
      <c r="AI689" s="23" t="s">
        <v>677</v>
      </c>
      <c r="AJ689" s="61" t="s">
        <v>677</v>
      </c>
      <c r="AK689" s="23" t="s">
        <v>677</v>
      </c>
      <c r="AL689" s="98" t="s">
        <v>677</v>
      </c>
      <c r="AM689" s="20" t="s">
        <v>677</v>
      </c>
      <c r="AN689" s="23" t="s">
        <v>677</v>
      </c>
      <c r="AO689" s="61" t="s">
        <v>677</v>
      </c>
      <c r="AP689" s="23" t="s">
        <v>677</v>
      </c>
      <c r="AQ689" s="98" t="s">
        <v>677</v>
      </c>
      <c r="AR689" s="26" t="s">
        <v>677</v>
      </c>
      <c r="AS689" s="23" t="s">
        <v>677</v>
      </c>
      <c r="AT689" s="61" t="s">
        <v>677</v>
      </c>
      <c r="AU689" s="23" t="s">
        <v>677</v>
      </c>
      <c r="AV689" s="98" t="s">
        <v>677</v>
      </c>
      <c r="AW689" s="26" t="s">
        <v>677</v>
      </c>
      <c r="AX689" s="23" t="s">
        <v>677</v>
      </c>
      <c r="AY689" s="61" t="s">
        <v>677</v>
      </c>
      <c r="AZ689" s="23" t="s">
        <v>677</v>
      </c>
      <c r="BA689" s="98" t="s">
        <v>677</v>
      </c>
      <c r="BB689" s="26" t="s">
        <v>677</v>
      </c>
      <c r="BC689" s="23" t="s">
        <v>677</v>
      </c>
      <c r="BD689" s="61" t="s">
        <v>677</v>
      </c>
      <c r="BE689" s="23" t="s">
        <v>677</v>
      </c>
      <c r="BF689" s="98" t="s">
        <v>677</v>
      </c>
      <c r="BG689" s="26" t="s">
        <v>677</v>
      </c>
      <c r="BH689" s="23" t="s">
        <v>677</v>
      </c>
      <c r="BI689" s="61" t="s">
        <v>677</v>
      </c>
      <c r="BJ689" s="23" t="s">
        <v>677</v>
      </c>
      <c r="BK689" s="19"/>
      <c r="BL689" s="26" t="s">
        <v>677</v>
      </c>
      <c r="BM689" s="23" t="s">
        <v>677</v>
      </c>
      <c r="BN689" s="61" t="s">
        <v>677</v>
      </c>
      <c r="BO689" s="23" t="s">
        <v>677</v>
      </c>
      <c r="BP689" s="19"/>
      <c r="BQ689" s="17" t="s">
        <v>33</v>
      </c>
      <c r="BR689" s="1"/>
      <c r="BS689" s="1"/>
      <c r="BT689" s="1"/>
      <c r="BU689" s="1"/>
    </row>
    <row r="690">
      <c r="A690" s="56" t="s">
        <v>678</v>
      </c>
      <c r="B690" s="10" t="s">
        <v>1087</v>
      </c>
      <c r="C690" s="11" t="s">
        <v>47</v>
      </c>
      <c r="D690" s="22"/>
      <c r="E690" s="18"/>
      <c r="F690" s="18"/>
      <c r="G690" s="23">
        <v>52980.0</v>
      </c>
      <c r="H690" s="19"/>
      <c r="I690" s="22"/>
      <c r="J690" s="18"/>
      <c r="K690" s="18"/>
      <c r="L690" s="23">
        <v>41020.0</v>
      </c>
      <c r="M690" s="24"/>
      <c r="N690" s="22"/>
      <c r="O690" s="18"/>
      <c r="P690" s="18"/>
      <c r="Q690" s="23">
        <v>42060.0</v>
      </c>
      <c r="R690" s="24"/>
      <c r="S690" s="22"/>
      <c r="T690" s="18"/>
      <c r="U690" s="18"/>
      <c r="V690" s="23">
        <v>54540.0</v>
      </c>
      <c r="W690" s="24"/>
      <c r="X690" s="18"/>
      <c r="Y690" s="18"/>
      <c r="Z690" s="18"/>
      <c r="AA690" s="23">
        <v>70650.0</v>
      </c>
      <c r="AB690" s="24"/>
      <c r="AC690" s="18"/>
      <c r="AD690" s="18"/>
      <c r="AE690" s="18"/>
      <c r="AF690" s="23">
        <v>177270.0</v>
      </c>
      <c r="AG690" s="24"/>
      <c r="AH690" s="18"/>
      <c r="AI690" s="18"/>
      <c r="AJ690" s="18"/>
      <c r="AK690" s="23">
        <v>316110.0</v>
      </c>
      <c r="AL690" s="24"/>
      <c r="AM690" s="18"/>
      <c r="AN690" s="18"/>
      <c r="AO690" s="18"/>
      <c r="AP690" s="23">
        <v>506630.0</v>
      </c>
      <c r="AQ690" s="24"/>
      <c r="AR690" s="22"/>
      <c r="AS690" s="18"/>
      <c r="AT690" s="18"/>
      <c r="AU690" s="23">
        <v>273780.0</v>
      </c>
      <c r="AV690" s="24"/>
      <c r="AW690" s="22"/>
      <c r="AX690" s="18"/>
      <c r="AY690" s="18"/>
      <c r="AZ690" s="23">
        <v>70440.0</v>
      </c>
      <c r="BA690" s="24"/>
      <c r="BB690" s="22"/>
      <c r="BC690" s="18"/>
      <c r="BD690" s="18"/>
      <c r="BE690" s="23">
        <v>24990.0</v>
      </c>
      <c r="BF690" s="24"/>
      <c r="BG690" s="22"/>
      <c r="BH690" s="18"/>
      <c r="BI690" s="18"/>
      <c r="BJ690" s="23">
        <v>29840.0</v>
      </c>
      <c r="BK690" s="19"/>
      <c r="BL690" s="22"/>
      <c r="BM690" s="18"/>
      <c r="BN690" s="18"/>
      <c r="BO690" s="18"/>
      <c r="BP690" s="19"/>
      <c r="BQ690" s="17" t="s">
        <v>33</v>
      </c>
      <c r="BR690" s="1"/>
      <c r="BS690" s="1"/>
      <c r="BT690" s="1"/>
      <c r="BU690" s="1"/>
    </row>
    <row r="691">
      <c r="A691" s="56" t="s">
        <v>678</v>
      </c>
      <c r="B691" s="10">
        <v>6.006107723E9</v>
      </c>
      <c r="C691" s="11" t="s">
        <v>49</v>
      </c>
      <c r="D691" s="22"/>
      <c r="E691" s="18"/>
      <c r="F691" s="18"/>
      <c r="G691" s="23">
        <v>387470.0</v>
      </c>
      <c r="H691" s="19"/>
      <c r="I691" s="22"/>
      <c r="J691" s="18"/>
      <c r="K691" s="18"/>
      <c r="L691" s="23">
        <v>387370.0</v>
      </c>
      <c r="M691" s="24"/>
      <c r="N691" s="22"/>
      <c r="O691" s="18"/>
      <c r="P691" s="18"/>
      <c r="Q691" s="23">
        <v>374240.0</v>
      </c>
      <c r="R691" s="24"/>
      <c r="S691" s="22"/>
      <c r="T691" s="18"/>
      <c r="U691" s="18"/>
      <c r="V691" s="23">
        <v>302660.0</v>
      </c>
      <c r="W691" s="24"/>
      <c r="X691" s="18"/>
      <c r="Y691" s="18"/>
      <c r="Z691" s="18"/>
      <c r="AA691" s="23">
        <v>176440.0</v>
      </c>
      <c r="AB691" s="24"/>
      <c r="AC691" s="18"/>
      <c r="AD691" s="18"/>
      <c r="AE691" s="18"/>
      <c r="AF691" s="23">
        <v>49120.0</v>
      </c>
      <c r="AG691" s="24"/>
      <c r="AH691" s="18"/>
      <c r="AI691" s="18"/>
      <c r="AJ691" s="18"/>
      <c r="AK691" s="23">
        <v>45120.0</v>
      </c>
      <c r="AL691" s="24"/>
      <c r="AM691" s="18"/>
      <c r="AN691" s="18"/>
      <c r="AO691" s="18"/>
      <c r="AP691" s="23">
        <v>22860.0</v>
      </c>
      <c r="AQ691" s="24"/>
      <c r="AR691" s="22"/>
      <c r="AS691" s="18"/>
      <c r="AT691" s="18"/>
      <c r="AU691" s="23">
        <v>17640.0</v>
      </c>
      <c r="AV691" s="24"/>
      <c r="AW691" s="22"/>
      <c r="AX691" s="18"/>
      <c r="AY691" s="18"/>
      <c r="AZ691" s="23">
        <v>7630.0</v>
      </c>
      <c r="BA691" s="24"/>
      <c r="BB691" s="22"/>
      <c r="BC691" s="18"/>
      <c r="BD691" s="18"/>
      <c r="BE691" s="23">
        <v>10750.0</v>
      </c>
      <c r="BF691" s="24"/>
      <c r="BG691" s="22"/>
      <c r="BH691" s="18"/>
      <c r="BI691" s="18"/>
      <c r="BJ691" s="23">
        <v>67080.0</v>
      </c>
      <c r="BK691" s="19"/>
      <c r="BL691" s="22"/>
      <c r="BM691" s="18"/>
      <c r="BN691" s="18"/>
      <c r="BO691" s="23">
        <v>279250.0</v>
      </c>
      <c r="BP691" s="19"/>
      <c r="BQ691" s="17" t="s">
        <v>33</v>
      </c>
      <c r="BR691" s="1"/>
      <c r="BS691" s="1"/>
      <c r="BT691" s="1"/>
      <c r="BU691" s="1"/>
    </row>
    <row r="692">
      <c r="A692" s="56" t="s">
        <v>678</v>
      </c>
      <c r="B692" s="10" t="s">
        <v>1088</v>
      </c>
      <c r="C692" s="11" t="s">
        <v>51</v>
      </c>
      <c r="D692" s="22"/>
      <c r="E692" s="18"/>
      <c r="F692" s="18"/>
      <c r="G692" s="23">
        <v>46770.0</v>
      </c>
      <c r="H692" s="19"/>
      <c r="I692" s="22"/>
      <c r="J692" s="18"/>
      <c r="K692" s="18"/>
      <c r="L692" s="18"/>
      <c r="M692" s="24"/>
      <c r="N692" s="22"/>
      <c r="O692" s="18"/>
      <c r="P692" s="18"/>
      <c r="Q692" s="23">
        <v>34160.0</v>
      </c>
      <c r="R692" s="24"/>
      <c r="S692" s="22"/>
      <c r="T692" s="18"/>
      <c r="U692" s="18"/>
      <c r="V692" s="18"/>
      <c r="W692" s="24"/>
      <c r="X692" s="18"/>
      <c r="Y692" s="18"/>
      <c r="Z692" s="18"/>
      <c r="AA692" s="23">
        <v>43330.0</v>
      </c>
      <c r="AB692" s="24"/>
      <c r="AC692" s="18"/>
      <c r="AD692" s="18"/>
      <c r="AE692" s="18"/>
      <c r="AF692" s="18"/>
      <c r="AG692" s="24"/>
      <c r="AH692" s="18"/>
      <c r="AI692" s="18"/>
      <c r="AJ692" s="18"/>
      <c r="AK692" s="18"/>
      <c r="AL692" s="24"/>
      <c r="AM692" s="18"/>
      <c r="AN692" s="18"/>
      <c r="AO692" s="18"/>
      <c r="AP692" s="18"/>
      <c r="AQ692" s="24"/>
      <c r="AR692" s="22"/>
      <c r="AS692" s="18"/>
      <c r="AT692" s="18"/>
      <c r="AU692" s="23">
        <v>47910.0</v>
      </c>
      <c r="AV692" s="24"/>
      <c r="AW692" s="22"/>
      <c r="AX692" s="18"/>
      <c r="AY692" s="18"/>
      <c r="AZ692" s="18"/>
      <c r="BA692" s="24"/>
      <c r="BB692" s="22"/>
      <c r="BC692" s="18"/>
      <c r="BD692" s="18"/>
      <c r="BE692" s="23">
        <v>22660.0</v>
      </c>
      <c r="BF692" s="24"/>
      <c r="BG692" s="22"/>
      <c r="BH692" s="18"/>
      <c r="BI692" s="18"/>
      <c r="BJ692" s="18"/>
      <c r="BK692" s="19"/>
      <c r="BL692" s="22"/>
      <c r="BM692" s="18"/>
      <c r="BN692" s="18"/>
      <c r="BO692" s="18"/>
      <c r="BP692" s="19"/>
      <c r="BQ692" s="17" t="s">
        <v>33</v>
      </c>
      <c r="BR692" s="1"/>
      <c r="BS692" s="1"/>
      <c r="BT692" s="1"/>
      <c r="BU692" s="1"/>
    </row>
    <row r="693">
      <c r="A693" s="56" t="s">
        <v>681</v>
      </c>
      <c r="B693" s="21"/>
      <c r="C693" s="11" t="s">
        <v>52</v>
      </c>
      <c r="D693" s="22"/>
      <c r="E693" s="18"/>
      <c r="F693" s="18"/>
      <c r="G693" s="23">
        <v>22000.0</v>
      </c>
      <c r="H693" s="19"/>
      <c r="I693" s="22"/>
      <c r="J693" s="18"/>
      <c r="K693" s="18"/>
      <c r="L693" s="23">
        <v>22000.0</v>
      </c>
      <c r="M693" s="19"/>
      <c r="N693" s="22"/>
      <c r="O693" s="18"/>
      <c r="P693" s="18"/>
      <c r="Q693" s="23">
        <v>22000.0</v>
      </c>
      <c r="R693" s="19"/>
      <c r="S693" s="22"/>
      <c r="T693" s="18"/>
      <c r="U693" s="18"/>
      <c r="V693" s="23">
        <v>22000.0</v>
      </c>
      <c r="W693" s="19"/>
      <c r="X693" s="22"/>
      <c r="Y693" s="18"/>
      <c r="Z693" s="18"/>
      <c r="AA693" s="23">
        <v>22000.0</v>
      </c>
      <c r="AB693" s="19"/>
      <c r="AC693" s="22"/>
      <c r="AD693" s="18"/>
      <c r="AE693" s="18"/>
      <c r="AF693" s="23">
        <v>22000.0</v>
      </c>
      <c r="AG693" s="19"/>
      <c r="AH693" s="22"/>
      <c r="AI693" s="18"/>
      <c r="AJ693" s="18"/>
      <c r="AK693" s="23">
        <v>22000.0</v>
      </c>
      <c r="AL693" s="19"/>
      <c r="AM693" s="22"/>
      <c r="AN693" s="18"/>
      <c r="AO693" s="18"/>
      <c r="AP693" s="23">
        <v>22000.0</v>
      </c>
      <c r="AQ693" s="19"/>
      <c r="AR693" s="22"/>
      <c r="AS693" s="18"/>
      <c r="AT693" s="18"/>
      <c r="AU693" s="23">
        <v>22000.0</v>
      </c>
      <c r="AV693" s="19"/>
      <c r="AW693" s="22"/>
      <c r="AX693" s="18"/>
      <c r="AY693" s="18"/>
      <c r="AZ693" s="23">
        <v>22000.0</v>
      </c>
      <c r="BA693" s="19"/>
      <c r="BB693" s="22"/>
      <c r="BC693" s="18"/>
      <c r="BD693" s="18"/>
      <c r="BE693" s="23">
        <v>22000.0</v>
      </c>
      <c r="BF693" s="19"/>
      <c r="BG693" s="22"/>
      <c r="BH693" s="18"/>
      <c r="BI693" s="18"/>
      <c r="BJ693" s="23">
        <v>22000.0</v>
      </c>
      <c r="BK693" s="19"/>
      <c r="BL693" s="22"/>
      <c r="BM693" s="18"/>
      <c r="BN693" s="18"/>
      <c r="BO693" s="23">
        <v>22000.0</v>
      </c>
      <c r="BP693" s="19"/>
      <c r="BQ693" s="17" t="s">
        <v>33</v>
      </c>
      <c r="BR693" s="1"/>
      <c r="BS693" s="1"/>
      <c r="BT693" s="1"/>
      <c r="BU693" s="1"/>
    </row>
    <row r="694">
      <c r="A694" s="56" t="s">
        <v>681</v>
      </c>
      <c r="B694" s="21"/>
      <c r="C694" s="11" t="s">
        <v>53</v>
      </c>
      <c r="D694" s="22"/>
      <c r="E694" s="18"/>
      <c r="F694" s="18"/>
      <c r="G694" s="23">
        <v>10000.0</v>
      </c>
      <c r="H694" s="19"/>
      <c r="I694" s="22"/>
      <c r="J694" s="18"/>
      <c r="K694" s="18"/>
      <c r="L694" s="23">
        <v>10000.0</v>
      </c>
      <c r="M694" s="19"/>
      <c r="N694" s="22"/>
      <c r="O694" s="18"/>
      <c r="P694" s="18"/>
      <c r="Q694" s="23">
        <v>10000.0</v>
      </c>
      <c r="R694" s="19"/>
      <c r="S694" s="22"/>
      <c r="T694" s="18"/>
      <c r="U694" s="18"/>
      <c r="V694" s="23">
        <v>10000.0</v>
      </c>
      <c r="W694" s="19"/>
      <c r="X694" s="22"/>
      <c r="Y694" s="18"/>
      <c r="Z694" s="18"/>
      <c r="AA694" s="23">
        <v>10000.0</v>
      </c>
      <c r="AB694" s="19"/>
      <c r="AC694" s="22"/>
      <c r="AD694" s="18"/>
      <c r="AE694" s="18"/>
      <c r="AF694" s="23">
        <v>10000.0</v>
      </c>
      <c r="AG694" s="19"/>
      <c r="AH694" s="22"/>
      <c r="AI694" s="18"/>
      <c r="AJ694" s="18"/>
      <c r="AK694" s="23">
        <v>10000.0</v>
      </c>
      <c r="AL694" s="19"/>
      <c r="AM694" s="22"/>
      <c r="AN694" s="18"/>
      <c r="AO694" s="18"/>
      <c r="AP694" s="23">
        <v>10000.0</v>
      </c>
      <c r="AQ694" s="19"/>
      <c r="AR694" s="22"/>
      <c r="AS694" s="18"/>
      <c r="AT694" s="18"/>
      <c r="AU694" s="23">
        <v>10000.0</v>
      </c>
      <c r="AV694" s="19"/>
      <c r="AW694" s="22"/>
      <c r="AX694" s="18"/>
      <c r="AY694" s="18"/>
      <c r="AZ694" s="23">
        <v>10000.0</v>
      </c>
      <c r="BA694" s="19"/>
      <c r="BB694" s="22"/>
      <c r="BC694" s="18"/>
      <c r="BD694" s="18"/>
      <c r="BE694" s="23">
        <v>10000.0</v>
      </c>
      <c r="BF694" s="19"/>
      <c r="BG694" s="22"/>
      <c r="BH694" s="18"/>
      <c r="BI694" s="18"/>
      <c r="BJ694" s="23">
        <v>10000.0</v>
      </c>
      <c r="BK694" s="19"/>
      <c r="BL694" s="22"/>
      <c r="BM694" s="18"/>
      <c r="BN694" s="18"/>
      <c r="BO694" s="23">
        <v>10000.0</v>
      </c>
      <c r="BP694" s="19"/>
      <c r="BQ694" s="17" t="s">
        <v>33</v>
      </c>
      <c r="BR694" s="1"/>
      <c r="BS694" s="1"/>
      <c r="BT694" s="1"/>
      <c r="BU694" s="1"/>
    </row>
    <row r="695">
      <c r="A695" s="1"/>
      <c r="B695" s="21"/>
      <c r="C695" s="11" t="s">
        <v>54</v>
      </c>
      <c r="D695" s="22"/>
      <c r="E695" s="18"/>
      <c r="F695" s="18"/>
      <c r="G695" s="23">
        <f>SUMIFS('지출'!$G$3:$G1000,'지출'!$J$3:$J1000,G$1,'지출'!$C$3:$C1000,"숙녀")</f>
        <v>90590</v>
      </c>
      <c r="H695" s="19"/>
      <c r="I695" s="22"/>
      <c r="J695" s="18"/>
      <c r="K695" s="18"/>
      <c r="L695" s="23">
        <f>SUMIFS('지출'!$G$3:$G1000,'지출'!$J$3:$J1000,L$1,'지출'!$C$3:$C1000,"숙녀")</f>
        <v>142750</v>
      </c>
      <c r="M695" s="24"/>
      <c r="N695" s="18"/>
      <c r="O695" s="23">
        <v>245000.0</v>
      </c>
      <c r="P695" s="18"/>
      <c r="Q695" s="23">
        <f>SUMIFS('지출'!$G$3:$G1000,'지출'!$J$3:$J1000,Q$1,'지출'!$C$3:$C1000,"숙녀")-245000</f>
        <v>-223090</v>
      </c>
      <c r="R695" s="24"/>
      <c r="S695" s="18"/>
      <c r="T695" s="18"/>
      <c r="U695" s="18"/>
      <c r="V695" s="23">
        <f>SUMIFS('지출'!$G$3:$G1000,'지출'!$J$3:$J1000,V$1,'지출'!$C$3:$C1000,"숙녀")</f>
        <v>0</v>
      </c>
      <c r="W695" s="24"/>
      <c r="X695" s="18"/>
      <c r="Y695" s="18"/>
      <c r="Z695" s="18"/>
      <c r="AA695" s="23">
        <f>SUMIFS('지출'!$G$3:$G1000,'지출'!$J$3:$J1000,AA$1,'지출'!$C$3:$C1000,"숙녀")</f>
        <v>0</v>
      </c>
      <c r="AB695" s="24"/>
      <c r="AC695" s="18"/>
      <c r="AD695" s="18"/>
      <c r="AE695" s="18"/>
      <c r="AF695" s="23">
        <f>SUMIFS('지출'!$G$3:$G1000,'지출'!$J$3:$J1000,AF$1,'지출'!$C$3:$C1000,"숙녀")</f>
        <v>0</v>
      </c>
      <c r="AG695" s="24"/>
      <c r="AH695" s="18"/>
      <c r="AI695" s="18"/>
      <c r="AJ695" s="18"/>
      <c r="AK695" s="23">
        <f>SUMIFS('지출'!$G$3:$G1000,'지출'!$J$3:$J1000,AK$1,'지출'!$C$3:$C1000,"숙녀")</f>
        <v>0</v>
      </c>
      <c r="AL695" s="24"/>
      <c r="AM695" s="18"/>
      <c r="AN695" s="18"/>
      <c r="AO695" s="18"/>
      <c r="AP695" s="23">
        <f>SUMIFS('지출'!$G$3:$G1000,'지출'!$J$3:$J1000,AP$1,'지출'!$C$3:$C1000,"숙녀")</f>
        <v>0</v>
      </c>
      <c r="AQ695" s="24"/>
      <c r="AR695" s="18"/>
      <c r="AS695" s="18"/>
      <c r="AT695" s="18"/>
      <c r="AU695" s="23">
        <f>SUMIFS('지출'!$G$3:$G1000,'지출'!$J$3:$J1000,AU$1,'지출'!$C$3:$C1000,"숙녀")</f>
        <v>0</v>
      </c>
      <c r="AV695" s="24"/>
      <c r="AW695" s="18"/>
      <c r="AX695" s="18"/>
      <c r="AY695" s="18"/>
      <c r="AZ695" s="23">
        <f>SUMIFS('지출'!$G$3:$G1000,'지출'!$J$3:$J1000,AZ$1,'지출'!$C$3:$C1000,"숙녀")</f>
        <v>0</v>
      </c>
      <c r="BA695" s="24"/>
      <c r="BB695" s="18"/>
      <c r="BC695" s="18"/>
      <c r="BD695" s="18"/>
      <c r="BE695" s="23">
        <f>SUMIFS('지출'!$G$3:$G1000,'지출'!$J$3:$J1000,BE$1,'지출'!$C$3:$C1000,"숙녀")</f>
        <v>0</v>
      </c>
      <c r="BF695" s="24"/>
      <c r="BG695" s="18"/>
      <c r="BH695" s="18"/>
      <c r="BI695" s="18"/>
      <c r="BJ695" s="23">
        <f>SUMIFS('지출'!$G$3:$G1000,'지출'!$J$3:$J1000,BJ$1,'지출'!$C$3:$C1000,"숙녀")</f>
        <v>0</v>
      </c>
      <c r="BK695" s="19"/>
      <c r="BL695" s="18"/>
      <c r="BM695" s="18"/>
      <c r="BN695" s="18"/>
      <c r="BO695" s="23">
        <f>SUMIFS('지출'!$G$3:$G1000,'지출'!$J$3:$J1000,BO$1,'지출'!$C$3:$C1000,"숙녀")</f>
        <v>90590</v>
      </c>
      <c r="BP695" s="19"/>
      <c r="BQ695" s="17" t="s">
        <v>33</v>
      </c>
      <c r="BR695" s="1"/>
      <c r="BS695" s="1"/>
      <c r="BT695" s="1"/>
      <c r="BU695" s="1"/>
    </row>
    <row r="696">
      <c r="A696" s="1"/>
      <c r="B696" s="21"/>
      <c r="C696" s="11" t="s">
        <v>56</v>
      </c>
      <c r="D696" s="22"/>
      <c r="E696" s="23">
        <f>E687-(SUM(E688:E695))</f>
        <v>1430000</v>
      </c>
      <c r="F696" s="18"/>
      <c r="G696" s="23">
        <f>G687-(SUM(G688:G695))</f>
        <v>-209810</v>
      </c>
      <c r="H696" s="19"/>
      <c r="I696" s="22"/>
      <c r="J696" s="23">
        <f>J687-(SUM(J688:J695))</f>
        <v>983448</v>
      </c>
      <c r="K696" s="18"/>
      <c r="L696" s="23">
        <f>L687-(SUM(L688:L695))</f>
        <v>-285898</v>
      </c>
      <c r="M696" s="19"/>
      <c r="N696" s="22"/>
      <c r="O696" s="23">
        <f>O687-(SUM(O688:O695))</f>
        <v>929516</v>
      </c>
      <c r="P696" s="18"/>
      <c r="Q696" s="23">
        <f>Q687-(SUM(Q688:Q695))</f>
        <v>94179</v>
      </c>
      <c r="R696" s="19"/>
      <c r="S696" s="22"/>
      <c r="T696" s="23">
        <f>T687-(SUM(T688:T695))</f>
        <v>1450000</v>
      </c>
      <c r="U696" s="18"/>
      <c r="V696" s="23">
        <f>V687-(SUM(V688:V695))</f>
        <v>10800</v>
      </c>
      <c r="W696" s="19"/>
      <c r="X696" s="18"/>
      <c r="Y696" s="23">
        <f>Y687-(SUM(Y688:Y695))</f>
        <v>1450000</v>
      </c>
      <c r="Z696" s="18"/>
      <c r="AA696" s="23">
        <f>AA687-(SUM(AA688:AA695))</f>
        <v>77580</v>
      </c>
      <c r="AB696" s="19"/>
      <c r="AC696" s="18"/>
      <c r="AD696" s="23">
        <f>AD687-(SUM(AD688:AD695))</f>
        <v>1450000</v>
      </c>
      <c r="AE696" s="18"/>
      <c r="AF696" s="23">
        <f>AF687-(SUM(AF688:AF695))</f>
        <v>141610</v>
      </c>
      <c r="AG696" s="19"/>
      <c r="AH696" s="18"/>
      <c r="AI696" s="23">
        <f>AI687-(SUM(AI688:AI695))</f>
        <v>1450000</v>
      </c>
      <c r="AJ696" s="18"/>
      <c r="AK696" s="23">
        <f>AK687-(SUM(AK688:AK695))</f>
        <v>6770</v>
      </c>
      <c r="AL696" s="19"/>
      <c r="AM696" s="18"/>
      <c r="AN696" s="23">
        <f>AN687-(SUM(AN688:AN695))</f>
        <v>1771936</v>
      </c>
      <c r="AO696" s="18"/>
      <c r="AP696" s="23">
        <f>AP687-(SUM(AP688:AP695))</f>
        <v>-26064</v>
      </c>
      <c r="AQ696" s="19"/>
      <c r="AR696" s="22"/>
      <c r="AS696" s="23">
        <f>AS687-(SUM(AS688:AS695))</f>
        <v>644333</v>
      </c>
      <c r="AT696" s="18"/>
      <c r="AU696" s="23">
        <f>AU687-(SUM(AU688:AU695))</f>
        <v>-112663</v>
      </c>
      <c r="AV696" s="19"/>
      <c r="AW696" s="22"/>
      <c r="AX696" s="23">
        <f>AX687-(SUM(AX688:AX695))</f>
        <v>1020000</v>
      </c>
      <c r="AY696" s="18"/>
      <c r="AZ696" s="23">
        <f>AZ687-(SUM(AZ688:AZ695))</f>
        <v>209930</v>
      </c>
      <c r="BA696" s="19"/>
      <c r="BB696" s="22"/>
      <c r="BC696" s="23">
        <f>BC687-(SUM(BC688:BC695))</f>
        <v>90000</v>
      </c>
      <c r="BD696" s="18"/>
      <c r="BE696" s="23">
        <f>BE687-(SUM(BE688:BE695))</f>
        <v>69600</v>
      </c>
      <c r="BF696" s="19"/>
      <c r="BG696" s="22"/>
      <c r="BH696" s="23">
        <f>BH687-(SUM(BH688:BH695))</f>
        <v>95806</v>
      </c>
      <c r="BI696" s="18"/>
      <c r="BJ696" s="23">
        <f>BJ687-(SUM(BJ688:BJ695))</f>
        <v>31080</v>
      </c>
      <c r="BK696" s="19"/>
      <c r="BL696" s="22"/>
      <c r="BM696" s="23">
        <f>BM687-(SUM(BM688:BM695))</f>
        <v>90000</v>
      </c>
      <c r="BN696" s="18"/>
      <c r="BO696" s="23">
        <f>BO687-(SUM(BO688:BO695))</f>
        <v>-241840</v>
      </c>
      <c r="BP696" s="19"/>
      <c r="BQ696" s="17" t="s">
        <v>33</v>
      </c>
      <c r="BR696" s="1"/>
      <c r="BS696" s="1"/>
      <c r="BT696" s="1"/>
      <c r="BU696" s="1"/>
    </row>
    <row r="697">
      <c r="A697" s="1"/>
      <c r="B697" s="27">
        <v>0.56</v>
      </c>
      <c r="C697" s="11" t="s">
        <v>26</v>
      </c>
      <c r="D697" s="22"/>
      <c r="E697" s="23">
        <f>E696*$B697</f>
        <v>800800</v>
      </c>
      <c r="F697" s="18"/>
      <c r="G697" s="18"/>
      <c r="H697" s="19"/>
      <c r="I697" s="22"/>
      <c r="J697" s="23">
        <f>J696*$B697</f>
        <v>550730.88</v>
      </c>
      <c r="K697" s="18"/>
      <c r="L697" s="18"/>
      <c r="M697" s="19"/>
      <c r="N697" s="22"/>
      <c r="O697" s="23">
        <f>O696*$B697</f>
        <v>520528.96</v>
      </c>
      <c r="P697" s="18"/>
      <c r="Q697" s="18"/>
      <c r="R697" s="19"/>
      <c r="S697" s="22"/>
      <c r="T697" s="23">
        <f>T696*$B697</f>
        <v>812000</v>
      </c>
      <c r="U697" s="18"/>
      <c r="V697" s="18"/>
      <c r="W697" s="19"/>
      <c r="X697" s="18"/>
      <c r="Y697" s="23">
        <f>Y696*$B697</f>
        <v>812000</v>
      </c>
      <c r="Z697" s="18"/>
      <c r="AA697" s="18"/>
      <c r="AB697" s="19"/>
      <c r="AC697" s="18"/>
      <c r="AD697" s="23">
        <f>AD696*$B697</f>
        <v>812000</v>
      </c>
      <c r="AE697" s="18"/>
      <c r="AF697" s="18"/>
      <c r="AG697" s="19"/>
      <c r="AH697" s="18"/>
      <c r="AI697" s="23">
        <f>AI696*$B697</f>
        <v>812000</v>
      </c>
      <c r="AJ697" s="18"/>
      <c r="AK697" s="18"/>
      <c r="AL697" s="19"/>
      <c r="AM697" s="18"/>
      <c r="AN697" s="23">
        <f>AN696*$B697</f>
        <v>992284.16</v>
      </c>
      <c r="AO697" s="18"/>
      <c r="AP697" s="18"/>
      <c r="AQ697" s="19"/>
      <c r="AR697" s="22"/>
      <c r="AS697" s="23">
        <f>AS696*$B697</f>
        <v>360826.48</v>
      </c>
      <c r="AT697" s="18"/>
      <c r="AU697" s="18"/>
      <c r="AV697" s="19"/>
      <c r="AW697" s="22"/>
      <c r="AX697" s="23">
        <f>AX696*$B697</f>
        <v>571200</v>
      </c>
      <c r="AY697" s="18"/>
      <c r="AZ697" s="18"/>
      <c r="BA697" s="19"/>
      <c r="BB697" s="22"/>
      <c r="BC697" s="23">
        <f>BC696*$B697</f>
        <v>50400</v>
      </c>
      <c r="BD697" s="18"/>
      <c r="BE697" s="18"/>
      <c r="BF697" s="19"/>
      <c r="BG697" s="22"/>
      <c r="BH697" s="23">
        <f>BH696*$B697</f>
        <v>53651.36</v>
      </c>
      <c r="BI697" s="18"/>
      <c r="BJ697" s="18"/>
      <c r="BK697" s="19"/>
      <c r="BL697" s="22"/>
      <c r="BM697" s="23">
        <f>BM696*$B697</f>
        <v>50400</v>
      </c>
      <c r="BN697" s="18"/>
      <c r="BO697" s="18"/>
      <c r="BP697" s="19"/>
      <c r="BQ697" s="17" t="s">
        <v>33</v>
      </c>
      <c r="BR697" s="1"/>
      <c r="BS697" s="1"/>
      <c r="BT697" s="1"/>
      <c r="BU697" s="1"/>
    </row>
    <row r="698">
      <c r="A698" s="67" t="str">
        <f>B682</f>
        <v>숙녀</v>
      </c>
      <c r="B698" s="29">
        <v>0.44</v>
      </c>
      <c r="C698" s="30" t="s">
        <v>57</v>
      </c>
      <c r="D698" s="31"/>
      <c r="E698" s="32">
        <f>E696*$B698</f>
        <v>629200</v>
      </c>
      <c r="F698" s="33"/>
      <c r="G698" s="33"/>
      <c r="H698" s="34"/>
      <c r="I698" s="31"/>
      <c r="J698" s="32">
        <f>J696*$B698</f>
        <v>432717.12</v>
      </c>
      <c r="K698" s="33"/>
      <c r="L698" s="33"/>
      <c r="M698" s="34"/>
      <c r="N698" s="31"/>
      <c r="O698" s="32">
        <f>O696*$B698</f>
        <v>408987.04</v>
      </c>
      <c r="P698" s="33"/>
      <c r="Q698" s="33"/>
      <c r="R698" s="34"/>
      <c r="S698" s="31"/>
      <c r="T698" s="32">
        <f>T696*$B698</f>
        <v>638000</v>
      </c>
      <c r="U698" s="33"/>
      <c r="V698" s="33"/>
      <c r="W698" s="34"/>
      <c r="X698" s="33"/>
      <c r="Y698" s="32">
        <f>Y696*$B698</f>
        <v>638000</v>
      </c>
      <c r="Z698" s="33"/>
      <c r="AA698" s="33"/>
      <c r="AB698" s="34"/>
      <c r="AC698" s="33"/>
      <c r="AD698" s="32">
        <f>AD696*$B698</f>
        <v>638000</v>
      </c>
      <c r="AE698" s="33"/>
      <c r="AF698" s="33"/>
      <c r="AG698" s="34"/>
      <c r="AH698" s="33"/>
      <c r="AI698" s="32">
        <f>AI696*$B698</f>
        <v>638000</v>
      </c>
      <c r="AJ698" s="33"/>
      <c r="AK698" s="33"/>
      <c r="AL698" s="34"/>
      <c r="AM698" s="33"/>
      <c r="AN698" s="32">
        <f>AN696*$B698</f>
        <v>779651.84</v>
      </c>
      <c r="AO698" s="33"/>
      <c r="AP698" s="33"/>
      <c r="AQ698" s="34"/>
      <c r="AR698" s="31"/>
      <c r="AS698" s="32">
        <f>AS696*$B698</f>
        <v>283506.52</v>
      </c>
      <c r="AT698" s="33"/>
      <c r="AU698" s="33"/>
      <c r="AV698" s="34"/>
      <c r="AW698" s="31"/>
      <c r="AX698" s="32">
        <f>AX696*$B698</f>
        <v>448800</v>
      </c>
      <c r="AY698" s="33"/>
      <c r="AZ698" s="33"/>
      <c r="BA698" s="34"/>
      <c r="BB698" s="31"/>
      <c r="BC698" s="32">
        <f>BC696*$B698</f>
        <v>39600</v>
      </c>
      <c r="BD698" s="33"/>
      <c r="BE698" s="33"/>
      <c r="BF698" s="34"/>
      <c r="BG698" s="31"/>
      <c r="BH698" s="32">
        <f>BH696*$B698</f>
        <v>42154.64</v>
      </c>
      <c r="BI698" s="33"/>
      <c r="BJ698" s="33"/>
      <c r="BK698" s="34"/>
      <c r="BL698" s="31"/>
      <c r="BM698" s="32">
        <f>BM696*$B698</f>
        <v>39600</v>
      </c>
      <c r="BN698" s="33"/>
      <c r="BO698" s="33"/>
      <c r="BP698" s="34"/>
      <c r="BQ698" s="17" t="s">
        <v>33</v>
      </c>
      <c r="BR698" s="1"/>
      <c r="BS698" s="1"/>
      <c r="BT698" s="1"/>
      <c r="BU698" s="1"/>
    </row>
    <row r="699">
      <c r="A699" s="1"/>
      <c r="B699" s="10" t="s">
        <v>1089</v>
      </c>
      <c r="C699" s="19"/>
      <c r="D699" s="18"/>
      <c r="E699" s="23">
        <v>2500000.0</v>
      </c>
      <c r="F699" s="18"/>
      <c r="G699" s="18"/>
      <c r="H699" s="19"/>
      <c r="I699" s="18"/>
      <c r="J699" s="23">
        <v>2500000.0</v>
      </c>
      <c r="K699" s="18"/>
      <c r="L699" s="18"/>
      <c r="M699" s="19"/>
      <c r="N699" s="18"/>
      <c r="O699" s="23">
        <v>2500000.0</v>
      </c>
      <c r="P699" s="18"/>
      <c r="Q699" s="18"/>
      <c r="R699" s="19"/>
      <c r="S699" s="18"/>
      <c r="T699" s="23">
        <v>2500000.0</v>
      </c>
      <c r="U699" s="18"/>
      <c r="V699" s="18"/>
      <c r="W699" s="19"/>
      <c r="X699" s="18"/>
      <c r="Y699" s="23">
        <v>2500000.0</v>
      </c>
      <c r="Z699" s="18"/>
      <c r="AA699" s="18"/>
      <c r="AB699" s="19"/>
      <c r="AC699" s="18"/>
      <c r="AD699" s="23">
        <v>2500000.0</v>
      </c>
      <c r="AE699" s="18"/>
      <c r="AF699" s="18"/>
      <c r="AG699" s="19"/>
      <c r="AH699" s="18"/>
      <c r="AI699" s="23">
        <v>2500000.0</v>
      </c>
      <c r="AJ699" s="18"/>
      <c r="AK699" s="18"/>
      <c r="AL699" s="19"/>
      <c r="AM699" s="18"/>
      <c r="AN699" s="23">
        <v>2500000.0</v>
      </c>
      <c r="AO699" s="18"/>
      <c r="AP699" s="18"/>
      <c r="AQ699" s="19"/>
      <c r="AR699" s="18"/>
      <c r="AS699" s="23">
        <v>2500000.0</v>
      </c>
      <c r="AT699" s="18"/>
      <c r="AU699" s="18"/>
      <c r="AV699" s="19"/>
      <c r="AW699" s="18"/>
      <c r="AX699" s="23">
        <v>2500000.0</v>
      </c>
      <c r="AY699" s="18"/>
      <c r="AZ699" s="18"/>
      <c r="BA699" s="19"/>
      <c r="BB699" s="18"/>
      <c r="BC699" s="23">
        <v>2500000.0</v>
      </c>
      <c r="BD699" s="18"/>
      <c r="BE699" s="18"/>
      <c r="BF699" s="19"/>
      <c r="BG699" s="18"/>
      <c r="BH699" s="23">
        <v>2500000.0</v>
      </c>
      <c r="BI699" s="18"/>
      <c r="BJ699" s="18"/>
      <c r="BK699" s="19"/>
      <c r="BL699" s="18"/>
      <c r="BM699" s="23">
        <v>2500000.0</v>
      </c>
      <c r="BN699" s="18"/>
      <c r="BO699" s="18"/>
      <c r="BP699" s="19"/>
      <c r="BQ699" s="17" t="s">
        <v>321</v>
      </c>
      <c r="BR699" s="1"/>
      <c r="BS699" s="1"/>
      <c r="BT699" s="1"/>
      <c r="BU699" s="1"/>
    </row>
    <row r="700">
      <c r="A700" s="1"/>
      <c r="B700" s="21"/>
      <c r="C700" s="11" t="s">
        <v>42</v>
      </c>
      <c r="D700" s="22"/>
      <c r="E700" s="23">
        <f>E699</f>
        <v>2500000</v>
      </c>
      <c r="F700" s="18"/>
      <c r="G700" s="18"/>
      <c r="H700" s="19"/>
      <c r="I700" s="22"/>
      <c r="J700" s="23">
        <f>J699</f>
        <v>2500000</v>
      </c>
      <c r="K700" s="18"/>
      <c r="L700" s="18"/>
      <c r="M700" s="19"/>
      <c r="N700" s="22"/>
      <c r="O700" s="23">
        <f>O699</f>
        <v>2500000</v>
      </c>
      <c r="P700" s="18"/>
      <c r="Q700" s="18"/>
      <c r="R700" s="19"/>
      <c r="S700" s="22"/>
      <c r="T700" s="23">
        <f>T699</f>
        <v>2500000</v>
      </c>
      <c r="U700" s="18"/>
      <c r="V700" s="18"/>
      <c r="W700" s="19"/>
      <c r="X700" s="18"/>
      <c r="Y700" s="23">
        <f>Y699</f>
        <v>2500000</v>
      </c>
      <c r="Z700" s="18"/>
      <c r="AA700" s="18"/>
      <c r="AB700" s="19"/>
      <c r="AC700" s="18"/>
      <c r="AD700" s="23">
        <f>AD699</f>
        <v>2500000</v>
      </c>
      <c r="AE700" s="18"/>
      <c r="AF700" s="18"/>
      <c r="AG700" s="19"/>
      <c r="AH700" s="18"/>
      <c r="AI700" s="23">
        <f>AI699</f>
        <v>2500000</v>
      </c>
      <c r="AJ700" s="18"/>
      <c r="AK700" s="18"/>
      <c r="AL700" s="19"/>
      <c r="AM700" s="18"/>
      <c r="AN700" s="23">
        <f>AN699</f>
        <v>2500000</v>
      </c>
      <c r="AO700" s="18"/>
      <c r="AP700" s="18"/>
      <c r="AQ700" s="19"/>
      <c r="AR700" s="22"/>
      <c r="AS700" s="23">
        <f>AS699</f>
        <v>2500000</v>
      </c>
      <c r="AT700" s="18"/>
      <c r="AU700" s="18"/>
      <c r="AV700" s="19"/>
      <c r="AW700" s="22"/>
      <c r="AX700" s="23">
        <f>AX699</f>
        <v>2500000</v>
      </c>
      <c r="AY700" s="18"/>
      <c r="AZ700" s="18"/>
      <c r="BA700" s="19"/>
      <c r="BB700" s="22"/>
      <c r="BC700" s="23">
        <f>BC699</f>
        <v>2500000</v>
      </c>
      <c r="BD700" s="18"/>
      <c r="BE700" s="18"/>
      <c r="BF700" s="19"/>
      <c r="BG700" s="22"/>
      <c r="BH700" s="23">
        <f>BH699</f>
        <v>2500000</v>
      </c>
      <c r="BI700" s="18"/>
      <c r="BJ700" s="18"/>
      <c r="BK700" s="19"/>
      <c r="BL700" s="22"/>
      <c r="BM700" s="23">
        <f>BM699</f>
        <v>2500000</v>
      </c>
      <c r="BN700" s="18"/>
      <c r="BO700" s="18"/>
      <c r="BP700" s="19"/>
      <c r="BQ700" s="17" t="s">
        <v>321</v>
      </c>
      <c r="BR700" s="1"/>
      <c r="BS700" s="1"/>
      <c r="BT700" s="1"/>
      <c r="BU700" s="1"/>
    </row>
    <row r="701">
      <c r="A701" s="1"/>
      <c r="B701" s="21"/>
      <c r="C701" s="11" t="s">
        <v>43</v>
      </c>
      <c r="D701" s="22"/>
      <c r="E701" s="18"/>
      <c r="F701" s="18"/>
      <c r="G701" s="18"/>
      <c r="H701" s="19"/>
      <c r="I701" s="22"/>
      <c r="J701" s="18"/>
      <c r="K701" s="18"/>
      <c r="L701" s="18"/>
      <c r="M701" s="19"/>
      <c r="N701" s="22"/>
      <c r="O701" s="18"/>
      <c r="P701" s="18"/>
      <c r="Q701" s="18"/>
      <c r="R701" s="19"/>
      <c r="S701" s="22"/>
      <c r="T701" s="18"/>
      <c r="U701" s="18"/>
      <c r="V701" s="18"/>
      <c r="W701" s="19"/>
      <c r="X701" s="18"/>
      <c r="Y701" s="18"/>
      <c r="Z701" s="18"/>
      <c r="AA701" s="18"/>
      <c r="AB701" s="19"/>
      <c r="AC701" s="18"/>
      <c r="AD701" s="18"/>
      <c r="AE701" s="18"/>
      <c r="AF701" s="18"/>
      <c r="AG701" s="19"/>
      <c r="AH701" s="18"/>
      <c r="AI701" s="18"/>
      <c r="AJ701" s="18"/>
      <c r="AK701" s="18"/>
      <c r="AL701" s="19"/>
      <c r="AM701" s="18"/>
      <c r="AN701" s="18"/>
      <c r="AO701" s="18"/>
      <c r="AP701" s="18"/>
      <c r="AQ701" s="19"/>
      <c r="AR701" s="22"/>
      <c r="AS701" s="18"/>
      <c r="AT701" s="18"/>
      <c r="AU701" s="18"/>
      <c r="AV701" s="19"/>
      <c r="AW701" s="22"/>
      <c r="AX701" s="18"/>
      <c r="AY701" s="18"/>
      <c r="AZ701" s="18"/>
      <c r="BA701" s="19"/>
      <c r="BB701" s="22"/>
      <c r="BC701" s="18"/>
      <c r="BD701" s="18"/>
      <c r="BE701" s="18"/>
      <c r="BF701" s="19"/>
      <c r="BG701" s="22"/>
      <c r="BH701" s="18"/>
      <c r="BI701" s="18"/>
      <c r="BJ701" s="18"/>
      <c r="BK701" s="19"/>
      <c r="BL701" s="22"/>
      <c r="BM701" s="18"/>
      <c r="BN701" s="18"/>
      <c r="BO701" s="18"/>
      <c r="BP701" s="19"/>
      <c r="BQ701" s="17" t="s">
        <v>321</v>
      </c>
      <c r="BR701" s="1"/>
      <c r="BS701" s="1"/>
      <c r="BT701" s="1"/>
      <c r="BU701" s="1"/>
    </row>
    <row r="702">
      <c r="A702" s="1"/>
      <c r="B702" s="21"/>
      <c r="C702" s="11" t="s">
        <v>45</v>
      </c>
      <c r="D702" s="22"/>
      <c r="E702" s="18"/>
      <c r="F702" s="18"/>
      <c r="G702" s="18"/>
      <c r="H702" s="19"/>
      <c r="I702" s="22"/>
      <c r="J702" s="18"/>
      <c r="K702" s="18"/>
      <c r="L702" s="18"/>
      <c r="M702" s="19"/>
      <c r="N702" s="22"/>
      <c r="O702" s="18"/>
      <c r="P702" s="18"/>
      <c r="Q702" s="18"/>
      <c r="R702" s="19"/>
      <c r="S702" s="22"/>
      <c r="T702" s="18"/>
      <c r="U702" s="18"/>
      <c r="V702" s="18"/>
      <c r="W702" s="19"/>
      <c r="X702" s="18"/>
      <c r="Y702" s="18"/>
      <c r="Z702" s="18"/>
      <c r="AA702" s="18"/>
      <c r="AB702" s="19"/>
      <c r="AC702" s="18"/>
      <c r="AD702" s="18"/>
      <c r="AE702" s="18"/>
      <c r="AF702" s="18"/>
      <c r="AG702" s="19"/>
      <c r="AH702" s="18"/>
      <c r="AI702" s="18"/>
      <c r="AJ702" s="18"/>
      <c r="AK702" s="18"/>
      <c r="AL702" s="19"/>
      <c r="AM702" s="18"/>
      <c r="AN702" s="18"/>
      <c r="AO702" s="18"/>
      <c r="AP702" s="18"/>
      <c r="AQ702" s="19"/>
      <c r="AR702" s="22"/>
      <c r="AS702" s="18"/>
      <c r="AT702" s="18"/>
      <c r="AU702" s="18"/>
      <c r="AV702" s="19"/>
      <c r="AW702" s="22"/>
      <c r="AX702" s="18"/>
      <c r="AY702" s="18"/>
      <c r="AZ702" s="18"/>
      <c r="BA702" s="19"/>
      <c r="BB702" s="22"/>
      <c r="BC702" s="18"/>
      <c r="BD702" s="18"/>
      <c r="BE702" s="18"/>
      <c r="BF702" s="19"/>
      <c r="BG702" s="22"/>
      <c r="BH702" s="18"/>
      <c r="BI702" s="18"/>
      <c r="BJ702" s="18"/>
      <c r="BK702" s="19"/>
      <c r="BL702" s="22"/>
      <c r="BM702" s="18"/>
      <c r="BN702" s="18"/>
      <c r="BO702" s="18"/>
      <c r="BP702" s="19"/>
      <c r="BQ702" s="17" t="s">
        <v>321</v>
      </c>
      <c r="BR702" s="1"/>
      <c r="BS702" s="1"/>
      <c r="BT702" s="1"/>
      <c r="BU702" s="1"/>
    </row>
    <row r="703">
      <c r="A703" s="1"/>
      <c r="B703" s="21"/>
      <c r="C703" s="11" t="s">
        <v>47</v>
      </c>
      <c r="D703" s="22"/>
      <c r="E703" s="18"/>
      <c r="F703" s="18"/>
      <c r="G703" s="18"/>
      <c r="H703" s="19"/>
      <c r="I703" s="22"/>
      <c r="J703" s="18"/>
      <c r="K703" s="18"/>
      <c r="L703" s="18"/>
      <c r="M703" s="19"/>
      <c r="N703" s="22"/>
      <c r="O703" s="18"/>
      <c r="P703" s="18"/>
      <c r="Q703" s="18"/>
      <c r="R703" s="19"/>
      <c r="S703" s="22"/>
      <c r="T703" s="18"/>
      <c r="U703" s="18"/>
      <c r="V703" s="18"/>
      <c r="W703" s="19"/>
      <c r="X703" s="18"/>
      <c r="Y703" s="18"/>
      <c r="Z703" s="18"/>
      <c r="AA703" s="18"/>
      <c r="AB703" s="19"/>
      <c r="AC703" s="18"/>
      <c r="AD703" s="18"/>
      <c r="AE703" s="18"/>
      <c r="AF703" s="18"/>
      <c r="AG703" s="19"/>
      <c r="AH703" s="18"/>
      <c r="AI703" s="18"/>
      <c r="AJ703" s="18"/>
      <c r="AK703" s="18"/>
      <c r="AL703" s="19"/>
      <c r="AM703" s="18"/>
      <c r="AN703" s="18"/>
      <c r="AO703" s="18"/>
      <c r="AP703" s="18"/>
      <c r="AQ703" s="19"/>
      <c r="AR703" s="22"/>
      <c r="AS703" s="18"/>
      <c r="AT703" s="18"/>
      <c r="AU703" s="18"/>
      <c r="AV703" s="19"/>
      <c r="AW703" s="22"/>
      <c r="AX703" s="18"/>
      <c r="AY703" s="18"/>
      <c r="AZ703" s="18"/>
      <c r="BA703" s="19"/>
      <c r="BB703" s="22"/>
      <c r="BC703" s="18"/>
      <c r="BD703" s="18"/>
      <c r="BE703" s="18"/>
      <c r="BF703" s="19"/>
      <c r="BG703" s="22"/>
      <c r="BH703" s="18"/>
      <c r="BI703" s="18"/>
      <c r="BJ703" s="18"/>
      <c r="BK703" s="19"/>
      <c r="BL703" s="22"/>
      <c r="BM703" s="18"/>
      <c r="BN703" s="18"/>
      <c r="BO703" s="18"/>
      <c r="BP703" s="19"/>
      <c r="BQ703" s="17" t="s">
        <v>321</v>
      </c>
      <c r="BR703" s="1"/>
      <c r="BS703" s="1"/>
      <c r="BT703" s="1"/>
      <c r="BU703" s="1"/>
    </row>
    <row r="704">
      <c r="A704" s="1"/>
      <c r="B704" s="10" t="s">
        <v>1090</v>
      </c>
      <c r="C704" s="11" t="s">
        <v>49</v>
      </c>
      <c r="D704" s="22"/>
      <c r="E704" s="18"/>
      <c r="F704" s="18"/>
      <c r="G704" s="23">
        <v>438220.0</v>
      </c>
      <c r="H704" s="19"/>
      <c r="I704" s="22"/>
      <c r="J704" s="18"/>
      <c r="K704" s="18"/>
      <c r="L704" s="23">
        <v>505950.0</v>
      </c>
      <c r="M704" s="19"/>
      <c r="N704" s="22"/>
      <c r="O704" s="18"/>
      <c r="P704" s="18"/>
      <c r="Q704" s="23">
        <v>487790.0</v>
      </c>
      <c r="R704" s="19"/>
      <c r="S704" s="22"/>
      <c r="T704" s="18"/>
      <c r="U704" s="18"/>
      <c r="V704" s="23">
        <v>385800.0</v>
      </c>
      <c r="W704" s="19"/>
      <c r="X704" s="18"/>
      <c r="Y704" s="18"/>
      <c r="Z704" s="18"/>
      <c r="AA704" s="23">
        <v>132430.0</v>
      </c>
      <c r="AB704" s="19"/>
      <c r="AC704" s="18"/>
      <c r="AD704" s="18"/>
      <c r="AE704" s="18"/>
      <c r="AF704" s="23">
        <v>59850.0</v>
      </c>
      <c r="AG704" s="19"/>
      <c r="AH704" s="18"/>
      <c r="AI704" s="18"/>
      <c r="AJ704" s="18"/>
      <c r="AK704" s="23">
        <v>70400.0</v>
      </c>
      <c r="AL704" s="19"/>
      <c r="AM704" s="18"/>
      <c r="AN704" s="18"/>
      <c r="AO704" s="18"/>
      <c r="AP704" s="23">
        <v>43370.0</v>
      </c>
      <c r="AQ704" s="19"/>
      <c r="AR704" s="22"/>
      <c r="AS704" s="18"/>
      <c r="AT704" s="18"/>
      <c r="AU704" s="23">
        <v>23650.0</v>
      </c>
      <c r="AV704" s="19"/>
      <c r="AW704" s="22"/>
      <c r="AX704" s="18"/>
      <c r="AY704" s="18"/>
      <c r="AZ704" s="23">
        <v>23290.0</v>
      </c>
      <c r="BA704" s="19"/>
      <c r="BB704" s="22"/>
      <c r="BC704" s="18"/>
      <c r="BD704" s="18"/>
      <c r="BE704" s="23">
        <v>36800.0</v>
      </c>
      <c r="BF704" s="19"/>
      <c r="BG704" s="22"/>
      <c r="BH704" s="18"/>
      <c r="BI704" s="18"/>
      <c r="BJ704" s="23">
        <v>102560.0</v>
      </c>
      <c r="BK704" s="19"/>
      <c r="BL704" s="22"/>
      <c r="BM704" s="18"/>
      <c r="BN704" s="18"/>
      <c r="BO704" s="23">
        <v>400410.0</v>
      </c>
      <c r="BP704" s="19"/>
      <c r="BQ704" s="17" t="s">
        <v>321</v>
      </c>
      <c r="BR704" s="1"/>
      <c r="BS704" s="1"/>
      <c r="BT704" s="1"/>
      <c r="BU704" s="1"/>
    </row>
    <row r="705">
      <c r="A705" s="1"/>
      <c r="B705" s="21"/>
      <c r="C705" s="11" t="s">
        <v>51</v>
      </c>
      <c r="D705" s="22"/>
      <c r="E705" s="18"/>
      <c r="F705" s="18"/>
      <c r="G705" s="18"/>
      <c r="H705" s="19"/>
      <c r="I705" s="22"/>
      <c r="J705" s="18"/>
      <c r="K705" s="18"/>
      <c r="L705" s="18"/>
      <c r="M705" s="19"/>
      <c r="N705" s="22"/>
      <c r="O705" s="18"/>
      <c r="P705" s="18"/>
      <c r="Q705" s="18"/>
      <c r="R705" s="19"/>
      <c r="S705" s="22"/>
      <c r="T705" s="18"/>
      <c r="U705" s="18"/>
      <c r="V705" s="18"/>
      <c r="W705" s="19"/>
      <c r="X705" s="18"/>
      <c r="Y705" s="18"/>
      <c r="Z705" s="18"/>
      <c r="AA705" s="18"/>
      <c r="AB705" s="19"/>
      <c r="AC705" s="18"/>
      <c r="AD705" s="18"/>
      <c r="AE705" s="18"/>
      <c r="AF705" s="18"/>
      <c r="AG705" s="19"/>
      <c r="AH705" s="18"/>
      <c r="AI705" s="18"/>
      <c r="AJ705" s="18"/>
      <c r="AK705" s="18"/>
      <c r="AL705" s="19"/>
      <c r="AM705" s="18"/>
      <c r="AN705" s="18"/>
      <c r="AO705" s="18"/>
      <c r="AP705" s="18"/>
      <c r="AQ705" s="19"/>
      <c r="AR705" s="22"/>
      <c r="AS705" s="18"/>
      <c r="AT705" s="18"/>
      <c r="AU705" s="18"/>
      <c r="AV705" s="19"/>
      <c r="AW705" s="22"/>
      <c r="AX705" s="18"/>
      <c r="AY705" s="18"/>
      <c r="AZ705" s="18"/>
      <c r="BA705" s="19"/>
      <c r="BB705" s="22"/>
      <c r="BC705" s="18"/>
      <c r="BD705" s="18"/>
      <c r="BE705" s="18"/>
      <c r="BF705" s="19"/>
      <c r="BG705" s="22"/>
      <c r="BH705" s="18"/>
      <c r="BI705" s="18"/>
      <c r="BJ705" s="18"/>
      <c r="BK705" s="19"/>
      <c r="BL705" s="22"/>
      <c r="BM705" s="18"/>
      <c r="BN705" s="18"/>
      <c r="BO705" s="18"/>
      <c r="BP705" s="19"/>
      <c r="BQ705" s="17" t="s">
        <v>321</v>
      </c>
      <c r="BR705" s="1"/>
      <c r="BS705" s="1"/>
      <c r="BT705" s="1"/>
      <c r="BU705" s="1"/>
    </row>
    <row r="706">
      <c r="A706" s="1"/>
      <c r="B706" s="21"/>
      <c r="C706" s="11" t="s">
        <v>52</v>
      </c>
      <c r="D706" s="22"/>
      <c r="E706" s="18"/>
      <c r="F706" s="18"/>
      <c r="G706" s="18"/>
      <c r="H706" s="19"/>
      <c r="I706" s="22"/>
      <c r="J706" s="18"/>
      <c r="K706" s="18"/>
      <c r="L706" s="18"/>
      <c r="M706" s="19"/>
      <c r="N706" s="22"/>
      <c r="O706" s="18"/>
      <c r="P706" s="18"/>
      <c r="Q706" s="18"/>
      <c r="R706" s="19"/>
      <c r="S706" s="22"/>
      <c r="T706" s="18"/>
      <c r="U706" s="18"/>
      <c r="V706" s="18"/>
      <c r="W706" s="19"/>
      <c r="X706" s="18"/>
      <c r="Y706" s="18"/>
      <c r="Z706" s="18"/>
      <c r="AA706" s="18"/>
      <c r="AB706" s="19"/>
      <c r="AC706" s="18"/>
      <c r="AD706" s="18"/>
      <c r="AE706" s="18"/>
      <c r="AF706" s="18"/>
      <c r="AG706" s="19"/>
      <c r="AH706" s="18"/>
      <c r="AI706" s="18"/>
      <c r="AJ706" s="18"/>
      <c r="AK706" s="18"/>
      <c r="AL706" s="19"/>
      <c r="AM706" s="18"/>
      <c r="AN706" s="18"/>
      <c r="AO706" s="18"/>
      <c r="AP706" s="18"/>
      <c r="AQ706" s="19"/>
      <c r="AR706" s="22"/>
      <c r="AS706" s="18"/>
      <c r="AT706" s="18"/>
      <c r="AU706" s="18"/>
      <c r="AV706" s="19"/>
      <c r="AW706" s="22"/>
      <c r="AX706" s="18"/>
      <c r="AY706" s="18"/>
      <c r="AZ706" s="18"/>
      <c r="BA706" s="19"/>
      <c r="BB706" s="22"/>
      <c r="BC706" s="18"/>
      <c r="BD706" s="18"/>
      <c r="BE706" s="18"/>
      <c r="BF706" s="19"/>
      <c r="BG706" s="22"/>
      <c r="BH706" s="18"/>
      <c r="BI706" s="18"/>
      <c r="BJ706" s="18"/>
      <c r="BK706" s="19"/>
      <c r="BL706" s="22"/>
      <c r="BM706" s="18"/>
      <c r="BN706" s="18"/>
      <c r="BO706" s="18"/>
      <c r="BP706" s="19"/>
      <c r="BQ706" s="17" t="s">
        <v>321</v>
      </c>
      <c r="BR706" s="1"/>
      <c r="BS706" s="1"/>
      <c r="BT706" s="1"/>
      <c r="BU706" s="1"/>
    </row>
    <row r="707">
      <c r="A707" s="1"/>
      <c r="B707" s="21"/>
      <c r="C707" s="11" t="s">
        <v>53</v>
      </c>
      <c r="D707" s="22"/>
      <c r="E707" s="18"/>
      <c r="F707" s="18"/>
      <c r="G707" s="18"/>
      <c r="H707" s="19"/>
      <c r="I707" s="22"/>
      <c r="J707" s="18"/>
      <c r="K707" s="18"/>
      <c r="L707" s="18"/>
      <c r="M707" s="19"/>
      <c r="N707" s="22"/>
      <c r="O707" s="18"/>
      <c r="P707" s="18"/>
      <c r="Q707" s="18"/>
      <c r="R707" s="19"/>
      <c r="S707" s="22"/>
      <c r="T707" s="18"/>
      <c r="U707" s="18"/>
      <c r="V707" s="18"/>
      <c r="W707" s="19"/>
      <c r="X707" s="18"/>
      <c r="Y707" s="18"/>
      <c r="Z707" s="18"/>
      <c r="AA707" s="18"/>
      <c r="AB707" s="19"/>
      <c r="AC707" s="18"/>
      <c r="AD707" s="18"/>
      <c r="AE707" s="18"/>
      <c r="AF707" s="18"/>
      <c r="AG707" s="19"/>
      <c r="AH707" s="18"/>
      <c r="AI707" s="18"/>
      <c r="AJ707" s="18"/>
      <c r="AK707" s="18"/>
      <c r="AL707" s="19"/>
      <c r="AM707" s="18"/>
      <c r="AN707" s="18"/>
      <c r="AO707" s="18"/>
      <c r="AP707" s="18"/>
      <c r="AQ707" s="19"/>
      <c r="AR707" s="22"/>
      <c r="AS707" s="18"/>
      <c r="AT707" s="18"/>
      <c r="AU707" s="18"/>
      <c r="AV707" s="19"/>
      <c r="AW707" s="22"/>
      <c r="AX707" s="18"/>
      <c r="AY707" s="18"/>
      <c r="AZ707" s="18"/>
      <c r="BA707" s="19"/>
      <c r="BB707" s="22"/>
      <c r="BC707" s="18"/>
      <c r="BD707" s="18"/>
      <c r="BE707" s="18"/>
      <c r="BF707" s="19"/>
      <c r="BG707" s="22"/>
      <c r="BH707" s="18"/>
      <c r="BI707" s="18"/>
      <c r="BJ707" s="18"/>
      <c r="BK707" s="19"/>
      <c r="BL707" s="22"/>
      <c r="BM707" s="18"/>
      <c r="BN707" s="18"/>
      <c r="BO707" s="18"/>
      <c r="BP707" s="19"/>
      <c r="BQ707" s="17" t="s">
        <v>321</v>
      </c>
      <c r="BR707" s="1"/>
      <c r="BS707" s="1"/>
      <c r="BT707" s="1"/>
      <c r="BU707" s="1"/>
    </row>
    <row r="708">
      <c r="A708" s="1"/>
      <c r="B708" s="21"/>
      <c r="C708" s="11" t="s">
        <v>54</v>
      </c>
      <c r="D708" s="22"/>
      <c r="E708" s="18"/>
      <c r="F708" s="18"/>
      <c r="G708" s="23">
        <f>SUMIFS('지출'!$G$3:$G1000,'지출'!$J$3:$J1000,G$1,'지출'!$C$3:$C1000,"원효1-2층")</f>
        <v>0</v>
      </c>
      <c r="H708" s="19"/>
      <c r="I708" s="22"/>
      <c r="J708" s="18"/>
      <c r="K708" s="18"/>
      <c r="L708" s="23">
        <f>SUMIFS('지출'!$G$3:$G1000,'지출'!$J$3:$J1000,L$1,'지출'!$C$3:$C1000,"원효1-2층")</f>
        <v>0</v>
      </c>
      <c r="M708" s="24"/>
      <c r="N708" s="18"/>
      <c r="O708" s="18"/>
      <c r="P708" s="18"/>
      <c r="Q708" s="23">
        <f>SUMIFS('지출'!$G$3:$G1000,'지출'!$J$3:$J1000,Q$1,'지출'!$C$3:$C1000,"원효1-2층")</f>
        <v>0</v>
      </c>
      <c r="R708" s="24"/>
      <c r="S708" s="18"/>
      <c r="T708" s="18"/>
      <c r="U708" s="18"/>
      <c r="V708" s="23">
        <f>SUMIFS('지출'!$G$3:$G1000,'지출'!$J$3:$J1000,V$1,'지출'!$C$3:$C1000,"원효1-2층")</f>
        <v>0</v>
      </c>
      <c r="W708" s="24"/>
      <c r="X708" s="18"/>
      <c r="Y708" s="18"/>
      <c r="Z708" s="18"/>
      <c r="AA708" s="23">
        <f>SUMIFS('지출'!$G$3:$G1000,'지출'!$J$3:$J1000,AA$1,'지출'!$C$3:$C1000,"원효1-2층")</f>
        <v>0</v>
      </c>
      <c r="AB708" s="24"/>
      <c r="AC708" s="18"/>
      <c r="AD708" s="18"/>
      <c r="AE708" s="18"/>
      <c r="AF708" s="23">
        <f>SUMIFS('지출'!$G$3:$G1000,'지출'!$J$3:$J1000,AF$1,'지출'!$C$3:$C1000,"원효1-2층")</f>
        <v>0</v>
      </c>
      <c r="AG708" s="24"/>
      <c r="AH708" s="18"/>
      <c r="AI708" s="18"/>
      <c r="AJ708" s="18"/>
      <c r="AK708" s="23">
        <f>SUMIFS('지출'!$G$3:$G1000,'지출'!$J$3:$J1000,AK$1,'지출'!$C$3:$C1000,"원효1-2층")</f>
        <v>0</v>
      </c>
      <c r="AL708" s="24"/>
      <c r="AM708" s="18"/>
      <c r="AN708" s="18"/>
      <c r="AO708" s="18"/>
      <c r="AP708" s="23">
        <f>SUMIFS('지출'!$G$3:$G1000,'지출'!$J$3:$J1000,AP$1,'지출'!$C$3:$C1000,"원효1-2층")</f>
        <v>0</v>
      </c>
      <c r="AQ708" s="24"/>
      <c r="AR708" s="18"/>
      <c r="AS708" s="18"/>
      <c r="AT708" s="18"/>
      <c r="AU708" s="23">
        <f>SUMIFS('지출'!$G$3:$G1000,'지출'!$J$3:$J1000,AU$1,'지출'!$C$3:$C1000,"원효1-2층")</f>
        <v>0</v>
      </c>
      <c r="AV708" s="24"/>
      <c r="AW708" s="18"/>
      <c r="AX708" s="18"/>
      <c r="AY708" s="18"/>
      <c r="AZ708" s="23">
        <f>SUMIFS('지출'!$G$3:$G1000,'지출'!$J$3:$J1000,AZ$1,'지출'!$C$3:$C1000,"원효1-2층")</f>
        <v>0</v>
      </c>
      <c r="BA708" s="24"/>
      <c r="BB708" s="18"/>
      <c r="BC708" s="18"/>
      <c r="BD708" s="18"/>
      <c r="BE708" s="23">
        <f>SUMIFS('지출'!$G$3:$G1000,'지출'!$J$3:$J1000,BE$1,'지출'!$C$3:$C1000,"원효1-2층")</f>
        <v>0</v>
      </c>
      <c r="BF708" s="24"/>
      <c r="BG708" s="18"/>
      <c r="BH708" s="18"/>
      <c r="BI708" s="18"/>
      <c r="BJ708" s="23">
        <f>SUMIFS('지출'!$G$3:$G1000,'지출'!$J$3:$J1000,BJ$1,'지출'!$C$3:$C1000,"원효1-2층")</f>
        <v>0</v>
      </c>
      <c r="BK708" s="19"/>
      <c r="BL708" s="18"/>
      <c r="BM708" s="18"/>
      <c r="BN708" s="18"/>
      <c r="BO708" s="23">
        <f>SUMIFS('지출'!$G$3:$G1000,'지출'!$J$3:$J1000,BO$1,'지출'!$C$3:$C1000,"원효1-2층")</f>
        <v>0</v>
      </c>
      <c r="BP708" s="19"/>
      <c r="BQ708" s="17" t="s">
        <v>321</v>
      </c>
      <c r="BR708" s="1"/>
      <c r="BS708" s="1"/>
      <c r="BT708" s="1"/>
      <c r="BU708" s="1"/>
    </row>
    <row r="709">
      <c r="A709" s="1"/>
      <c r="B709" s="21"/>
      <c r="C709" s="11" t="s">
        <v>56</v>
      </c>
      <c r="D709" s="22"/>
      <c r="E709" s="23">
        <f>E700-(SUM(E701:E708))</f>
        <v>2500000</v>
      </c>
      <c r="F709" s="18"/>
      <c r="G709" s="18"/>
      <c r="H709" s="19"/>
      <c r="I709" s="22"/>
      <c r="J709" s="23">
        <f>J700-(SUM(J701:J708))</f>
        <v>2500000</v>
      </c>
      <c r="K709" s="18"/>
      <c r="L709" s="18"/>
      <c r="M709" s="19"/>
      <c r="N709" s="22"/>
      <c r="O709" s="23">
        <f>O700-(SUM(O701:O708))</f>
        <v>2500000</v>
      </c>
      <c r="P709" s="18"/>
      <c r="Q709" s="18"/>
      <c r="R709" s="19"/>
      <c r="S709" s="22"/>
      <c r="T709" s="23">
        <f>T700-(SUM(T701:T708))</f>
        <v>2500000</v>
      </c>
      <c r="U709" s="18"/>
      <c r="V709" s="18"/>
      <c r="W709" s="19"/>
      <c r="X709" s="18"/>
      <c r="Y709" s="23">
        <f>Y700-(SUM(Y701:Y708))</f>
        <v>2500000</v>
      </c>
      <c r="Z709" s="18"/>
      <c r="AA709" s="18"/>
      <c r="AB709" s="19"/>
      <c r="AC709" s="18"/>
      <c r="AD709" s="23">
        <f>AD700-(SUM(AD701:AD708))</f>
        <v>2500000</v>
      </c>
      <c r="AE709" s="18"/>
      <c r="AF709" s="18"/>
      <c r="AG709" s="19"/>
      <c r="AH709" s="18"/>
      <c r="AI709" s="23">
        <f>AI700-(SUM(AI701:AI708))</f>
        <v>2500000</v>
      </c>
      <c r="AJ709" s="18"/>
      <c r="AK709" s="18"/>
      <c r="AL709" s="19"/>
      <c r="AM709" s="18"/>
      <c r="AN709" s="23">
        <f>AN700-(SUM(AN701:AN708))</f>
        <v>2500000</v>
      </c>
      <c r="AO709" s="18"/>
      <c r="AP709" s="18"/>
      <c r="AQ709" s="19"/>
      <c r="AR709" s="22"/>
      <c r="AS709" s="23">
        <f>AS700-(SUM(AS701:AS708))</f>
        <v>2500000</v>
      </c>
      <c r="AT709" s="18"/>
      <c r="AU709" s="18"/>
      <c r="AV709" s="19"/>
      <c r="AW709" s="22"/>
      <c r="AX709" s="23">
        <f>AX700-(SUM(AX701:AX708))</f>
        <v>2500000</v>
      </c>
      <c r="AY709" s="18"/>
      <c r="AZ709" s="18"/>
      <c r="BA709" s="19"/>
      <c r="BB709" s="22"/>
      <c r="BC709" s="23">
        <f>BC700-(SUM(BC701:BC708))</f>
        <v>2500000</v>
      </c>
      <c r="BD709" s="18"/>
      <c r="BE709" s="18"/>
      <c r="BF709" s="19"/>
      <c r="BG709" s="22"/>
      <c r="BH709" s="23">
        <f>BH700-(SUM(BH701:BH708))</f>
        <v>2500000</v>
      </c>
      <c r="BI709" s="18"/>
      <c r="BJ709" s="18"/>
      <c r="BK709" s="19"/>
      <c r="BL709" s="22"/>
      <c r="BM709" s="23">
        <f>BM700-(SUM(BM701:BM708))</f>
        <v>2500000</v>
      </c>
      <c r="BN709" s="18"/>
      <c r="BO709" s="18"/>
      <c r="BP709" s="19"/>
      <c r="BQ709" s="17" t="s">
        <v>321</v>
      </c>
      <c r="BR709" s="1"/>
      <c r="BS709" s="1"/>
      <c r="BT709" s="1"/>
      <c r="BU709" s="1"/>
    </row>
    <row r="710">
      <c r="A710" s="1"/>
      <c r="B710" s="27">
        <v>0.8</v>
      </c>
      <c r="C710" s="11" t="s">
        <v>26</v>
      </c>
      <c r="D710" s="22"/>
      <c r="E710" s="23">
        <f>E709*$B710</f>
        <v>2000000</v>
      </c>
      <c r="F710" s="18"/>
      <c r="G710" s="18"/>
      <c r="H710" s="19"/>
      <c r="I710" s="22"/>
      <c r="J710" s="23">
        <f>J709*$B710</f>
        <v>2000000</v>
      </c>
      <c r="K710" s="18"/>
      <c r="L710" s="18"/>
      <c r="M710" s="19"/>
      <c r="N710" s="22"/>
      <c r="O710" s="23">
        <f>O709*$B710</f>
        <v>2000000</v>
      </c>
      <c r="P710" s="18"/>
      <c r="Q710" s="18"/>
      <c r="R710" s="19"/>
      <c r="S710" s="22"/>
      <c r="T710" s="23">
        <f>T709*$B710</f>
        <v>2000000</v>
      </c>
      <c r="U710" s="18"/>
      <c r="V710" s="18"/>
      <c r="W710" s="19"/>
      <c r="X710" s="18"/>
      <c r="Y710" s="23">
        <f>Y709*$B710</f>
        <v>2000000</v>
      </c>
      <c r="Z710" s="18"/>
      <c r="AA710" s="18"/>
      <c r="AB710" s="19"/>
      <c r="AC710" s="18"/>
      <c r="AD710" s="23">
        <f>AD709*$B710</f>
        <v>2000000</v>
      </c>
      <c r="AE710" s="18"/>
      <c r="AF710" s="18"/>
      <c r="AG710" s="19"/>
      <c r="AH710" s="18"/>
      <c r="AI710" s="23">
        <f>AI709*$B710</f>
        <v>2000000</v>
      </c>
      <c r="AJ710" s="18"/>
      <c r="AK710" s="18"/>
      <c r="AL710" s="19"/>
      <c r="AM710" s="18"/>
      <c r="AN710" s="23">
        <f>AN709*$B710</f>
        <v>2000000</v>
      </c>
      <c r="AO710" s="18"/>
      <c r="AP710" s="18"/>
      <c r="AQ710" s="19"/>
      <c r="AR710" s="22"/>
      <c r="AS710" s="23">
        <f>AS709*$B710</f>
        <v>2000000</v>
      </c>
      <c r="AT710" s="18"/>
      <c r="AU710" s="18"/>
      <c r="AV710" s="19"/>
      <c r="AW710" s="22"/>
      <c r="AX710" s="23">
        <f>AX709*$B710</f>
        <v>2000000</v>
      </c>
      <c r="AY710" s="18"/>
      <c r="AZ710" s="18"/>
      <c r="BA710" s="19"/>
      <c r="BB710" s="22"/>
      <c r="BC710" s="23">
        <f>BC709*$B710</f>
        <v>2000000</v>
      </c>
      <c r="BD710" s="18"/>
      <c r="BE710" s="18"/>
      <c r="BF710" s="19"/>
      <c r="BG710" s="22"/>
      <c r="BH710" s="23">
        <f>BH709*$B710</f>
        <v>2000000</v>
      </c>
      <c r="BI710" s="18"/>
      <c r="BJ710" s="18"/>
      <c r="BK710" s="19"/>
      <c r="BL710" s="22"/>
      <c r="BM710" s="23">
        <f>BM709*$B710</f>
        <v>2000000</v>
      </c>
      <c r="BN710" s="18"/>
      <c r="BO710" s="18"/>
      <c r="BP710" s="19"/>
      <c r="BQ710" s="17" t="s">
        <v>321</v>
      </c>
      <c r="BR710" s="1"/>
      <c r="BS710" s="1"/>
      <c r="BT710" s="1"/>
      <c r="BU710" s="1"/>
    </row>
    <row r="711">
      <c r="A711" s="56" t="str">
        <f>B699</f>
        <v>원효1-2층</v>
      </c>
      <c r="B711" s="29">
        <v>0.2</v>
      </c>
      <c r="C711" s="30" t="s">
        <v>57</v>
      </c>
      <c r="D711" s="31"/>
      <c r="E711" s="32">
        <f>E709*$B711</f>
        <v>500000</v>
      </c>
      <c r="F711" s="33"/>
      <c r="G711" s="33"/>
      <c r="H711" s="34"/>
      <c r="I711" s="31"/>
      <c r="J711" s="32">
        <f>J709*$B711</f>
        <v>500000</v>
      </c>
      <c r="K711" s="33"/>
      <c r="L711" s="33"/>
      <c r="M711" s="34"/>
      <c r="N711" s="31"/>
      <c r="O711" s="32">
        <f>O709*$B711</f>
        <v>500000</v>
      </c>
      <c r="P711" s="33"/>
      <c r="Q711" s="33"/>
      <c r="R711" s="34"/>
      <c r="S711" s="31"/>
      <c r="T711" s="32">
        <f>T709*$B711</f>
        <v>500000</v>
      </c>
      <c r="U711" s="33"/>
      <c r="V711" s="33"/>
      <c r="W711" s="34"/>
      <c r="X711" s="33"/>
      <c r="Y711" s="32">
        <f>Y709*$B711</f>
        <v>500000</v>
      </c>
      <c r="Z711" s="33"/>
      <c r="AA711" s="33"/>
      <c r="AB711" s="34"/>
      <c r="AC711" s="33"/>
      <c r="AD711" s="32">
        <f>AD709*$B711</f>
        <v>500000</v>
      </c>
      <c r="AE711" s="33"/>
      <c r="AF711" s="33"/>
      <c r="AG711" s="34"/>
      <c r="AH711" s="33"/>
      <c r="AI711" s="32">
        <f>AI709*$B711</f>
        <v>500000</v>
      </c>
      <c r="AJ711" s="33"/>
      <c r="AK711" s="33"/>
      <c r="AL711" s="34"/>
      <c r="AM711" s="124" t="s">
        <v>1091</v>
      </c>
      <c r="AN711" s="32">
        <v>250000.0</v>
      </c>
      <c r="AO711" s="33"/>
      <c r="AP711" s="33"/>
      <c r="AQ711" s="34"/>
      <c r="AR711" s="124" t="s">
        <v>1091</v>
      </c>
      <c r="AS711" s="32">
        <v>250000.0</v>
      </c>
      <c r="AT711" s="33"/>
      <c r="AU711" s="33"/>
      <c r="AV711" s="34"/>
      <c r="AW711" s="124" t="s">
        <v>1091</v>
      </c>
      <c r="AX711" s="32">
        <v>250000.0</v>
      </c>
      <c r="AY711" s="33"/>
      <c r="AZ711" s="33"/>
      <c r="BA711" s="34"/>
      <c r="BB711" s="124" t="s">
        <v>1091</v>
      </c>
      <c r="BC711" s="32">
        <v>250000.0</v>
      </c>
      <c r="BD711" s="33"/>
      <c r="BE711" s="33"/>
      <c r="BF711" s="34"/>
      <c r="BG711" s="124" t="s">
        <v>1091</v>
      </c>
      <c r="BH711" s="32">
        <v>250000.0</v>
      </c>
      <c r="BI711" s="33"/>
      <c r="BJ711" s="33"/>
      <c r="BK711" s="34"/>
      <c r="BL711" s="124" t="s">
        <v>1091</v>
      </c>
      <c r="BM711" s="32">
        <v>250000.0</v>
      </c>
      <c r="BN711" s="33"/>
      <c r="BO711" s="33"/>
      <c r="BP711" s="34"/>
      <c r="BQ711" s="17" t="s">
        <v>321</v>
      </c>
      <c r="BR711" s="1"/>
      <c r="BS711" s="1"/>
      <c r="BT711" s="1"/>
      <c r="BU711" s="1"/>
    </row>
    <row r="712">
      <c r="A712" s="1"/>
      <c r="B712" s="10" t="s">
        <v>1092</v>
      </c>
      <c r="C712" s="19"/>
      <c r="D712" s="18"/>
      <c r="E712" s="23">
        <v>750000.0</v>
      </c>
      <c r="F712" s="18"/>
      <c r="G712" s="18"/>
      <c r="H712" s="19"/>
      <c r="I712" s="18"/>
      <c r="J712" s="23">
        <v>750000.0</v>
      </c>
      <c r="K712" s="18"/>
      <c r="L712" s="18"/>
      <c r="M712" s="19"/>
      <c r="N712" s="18"/>
      <c r="O712" s="23">
        <v>750000.0</v>
      </c>
      <c r="P712" s="18"/>
      <c r="Q712" s="18"/>
      <c r="R712" s="19"/>
      <c r="S712" s="18"/>
      <c r="T712" s="23">
        <v>750000.0</v>
      </c>
      <c r="U712" s="18"/>
      <c r="V712" s="18"/>
      <c r="W712" s="19"/>
      <c r="X712" s="18"/>
      <c r="Y712" s="23">
        <v>750000.0</v>
      </c>
      <c r="Z712" s="18"/>
      <c r="AA712" s="18"/>
      <c r="AB712" s="19"/>
      <c r="AC712" s="18"/>
      <c r="AD712" s="23">
        <v>750000.0</v>
      </c>
      <c r="AE712" s="18"/>
      <c r="AF712" s="18"/>
      <c r="AG712" s="19"/>
      <c r="AH712" s="18"/>
      <c r="AI712" s="23">
        <v>750000.0</v>
      </c>
      <c r="AJ712" s="18"/>
      <c r="AK712" s="18"/>
      <c r="AL712" s="19"/>
      <c r="AM712" s="18"/>
      <c r="AN712" s="23">
        <v>750000.0</v>
      </c>
      <c r="AO712" s="18"/>
      <c r="AP712" s="18"/>
      <c r="AQ712" s="19"/>
      <c r="AR712" s="18"/>
      <c r="AS712" s="23">
        <v>750000.0</v>
      </c>
      <c r="AT712" s="18"/>
      <c r="AU712" s="18"/>
      <c r="AV712" s="19"/>
      <c r="AW712" s="18"/>
      <c r="AX712" s="23">
        <v>750000.0</v>
      </c>
      <c r="AY712" s="18"/>
      <c r="AZ712" s="18"/>
      <c r="BA712" s="19"/>
      <c r="BB712" s="18"/>
      <c r="BC712" s="23">
        <v>750000.0</v>
      </c>
      <c r="BD712" s="18"/>
      <c r="BE712" s="18"/>
      <c r="BF712" s="19"/>
      <c r="BG712" s="18"/>
      <c r="BH712" s="23">
        <v>750000.0</v>
      </c>
      <c r="BI712" s="18"/>
      <c r="BJ712" s="18"/>
      <c r="BK712" s="19"/>
      <c r="BL712" s="18"/>
      <c r="BM712" s="23">
        <v>750000.0</v>
      </c>
      <c r="BN712" s="18"/>
      <c r="BO712" s="18"/>
      <c r="BP712" s="19"/>
      <c r="BQ712" s="17" t="s">
        <v>321</v>
      </c>
      <c r="BR712" s="1"/>
      <c r="BS712" s="1"/>
      <c r="BT712" s="1"/>
      <c r="BU712" s="1"/>
    </row>
    <row r="713">
      <c r="A713" s="1"/>
      <c r="B713" s="21"/>
      <c r="C713" s="11" t="s">
        <v>42</v>
      </c>
      <c r="D713" s="22"/>
      <c r="E713" s="23">
        <f>E712</f>
        <v>750000</v>
      </c>
      <c r="F713" s="18"/>
      <c r="G713" s="18"/>
      <c r="H713" s="19"/>
      <c r="I713" s="22"/>
      <c r="J713" s="23">
        <f>J712</f>
        <v>750000</v>
      </c>
      <c r="K713" s="18"/>
      <c r="L713" s="18"/>
      <c r="M713" s="19"/>
      <c r="N713" s="22"/>
      <c r="O713" s="23">
        <f>O712</f>
        <v>750000</v>
      </c>
      <c r="P713" s="18"/>
      <c r="Q713" s="18"/>
      <c r="R713" s="19"/>
      <c r="S713" s="22"/>
      <c r="T713" s="23">
        <f>T712</f>
        <v>750000</v>
      </c>
      <c r="U713" s="18"/>
      <c r="V713" s="18"/>
      <c r="W713" s="19"/>
      <c r="X713" s="18"/>
      <c r="Y713" s="23">
        <f>Y712</f>
        <v>750000</v>
      </c>
      <c r="Z713" s="18"/>
      <c r="AA713" s="18"/>
      <c r="AB713" s="19"/>
      <c r="AC713" s="18"/>
      <c r="AD713" s="23">
        <f>AD712</f>
        <v>750000</v>
      </c>
      <c r="AE713" s="18"/>
      <c r="AF713" s="18"/>
      <c r="AG713" s="19"/>
      <c r="AH713" s="18"/>
      <c r="AI713" s="23">
        <f>AI712</f>
        <v>750000</v>
      </c>
      <c r="AJ713" s="18"/>
      <c r="AK713" s="18"/>
      <c r="AL713" s="19"/>
      <c r="AM713" s="18"/>
      <c r="AN713" s="23">
        <f>AN712</f>
        <v>750000</v>
      </c>
      <c r="AO713" s="18"/>
      <c r="AP713" s="18"/>
      <c r="AQ713" s="19"/>
      <c r="AR713" s="22"/>
      <c r="AS713" s="23">
        <f>AS712</f>
        <v>750000</v>
      </c>
      <c r="AT713" s="18"/>
      <c r="AU713" s="18"/>
      <c r="AV713" s="19"/>
      <c r="AW713" s="22"/>
      <c r="AX713" s="23">
        <f>AX712</f>
        <v>750000</v>
      </c>
      <c r="AY713" s="18"/>
      <c r="AZ713" s="18"/>
      <c r="BA713" s="19"/>
      <c r="BB713" s="22"/>
      <c r="BC713" s="23">
        <f>BC712</f>
        <v>750000</v>
      </c>
      <c r="BD713" s="18"/>
      <c r="BE713" s="18"/>
      <c r="BF713" s="19"/>
      <c r="BG713" s="22"/>
      <c r="BH713" s="23">
        <f>BH712</f>
        <v>750000</v>
      </c>
      <c r="BI713" s="18"/>
      <c r="BJ713" s="18"/>
      <c r="BK713" s="19"/>
      <c r="BL713" s="22"/>
      <c r="BM713" s="23">
        <f>BM712</f>
        <v>750000</v>
      </c>
      <c r="BN713" s="18"/>
      <c r="BO713" s="18"/>
      <c r="BP713" s="19"/>
      <c r="BQ713" s="17" t="s">
        <v>321</v>
      </c>
      <c r="BR713" s="1"/>
      <c r="BS713" s="1"/>
      <c r="BT713" s="1"/>
      <c r="BU713" s="1"/>
    </row>
    <row r="714">
      <c r="A714" s="1"/>
      <c r="B714" s="21"/>
      <c r="C714" s="11" t="s">
        <v>43</v>
      </c>
      <c r="D714" s="22"/>
      <c r="E714" s="18"/>
      <c r="F714" s="18"/>
      <c r="G714" s="18"/>
      <c r="H714" s="19"/>
      <c r="I714" s="22"/>
      <c r="J714" s="18"/>
      <c r="K714" s="18"/>
      <c r="L714" s="18"/>
      <c r="M714" s="19"/>
      <c r="N714" s="22"/>
      <c r="O714" s="18"/>
      <c r="P714" s="18"/>
      <c r="Q714" s="18"/>
      <c r="R714" s="19"/>
      <c r="S714" s="22"/>
      <c r="T714" s="18"/>
      <c r="U714" s="18"/>
      <c r="V714" s="18"/>
      <c r="W714" s="19"/>
      <c r="X714" s="18"/>
      <c r="Y714" s="18"/>
      <c r="Z714" s="18"/>
      <c r="AA714" s="18"/>
      <c r="AB714" s="19"/>
      <c r="AC714" s="18"/>
      <c r="AD714" s="18"/>
      <c r="AE714" s="18"/>
      <c r="AF714" s="18"/>
      <c r="AG714" s="19"/>
      <c r="AH714" s="18"/>
      <c r="AI714" s="18"/>
      <c r="AJ714" s="18"/>
      <c r="AK714" s="18"/>
      <c r="AL714" s="19"/>
      <c r="AM714" s="18"/>
      <c r="AN714" s="18"/>
      <c r="AO714" s="18"/>
      <c r="AP714" s="18"/>
      <c r="AQ714" s="19"/>
      <c r="AR714" s="22"/>
      <c r="AS714" s="18"/>
      <c r="AT714" s="18"/>
      <c r="AU714" s="18"/>
      <c r="AV714" s="19"/>
      <c r="AW714" s="22"/>
      <c r="AX714" s="18"/>
      <c r="AY714" s="18"/>
      <c r="AZ714" s="18"/>
      <c r="BA714" s="19"/>
      <c r="BB714" s="22"/>
      <c r="BC714" s="18"/>
      <c r="BD714" s="18"/>
      <c r="BE714" s="18"/>
      <c r="BF714" s="19"/>
      <c r="BG714" s="22"/>
      <c r="BH714" s="18"/>
      <c r="BI714" s="18"/>
      <c r="BJ714" s="18"/>
      <c r="BK714" s="19"/>
      <c r="BL714" s="22"/>
      <c r="BM714" s="18"/>
      <c r="BN714" s="18"/>
      <c r="BO714" s="18"/>
      <c r="BP714" s="19"/>
      <c r="BQ714" s="17" t="s">
        <v>321</v>
      </c>
      <c r="BR714" s="1"/>
      <c r="BS714" s="1"/>
      <c r="BT714" s="1"/>
      <c r="BU714" s="1"/>
    </row>
    <row r="715">
      <c r="A715" s="1"/>
      <c r="B715" s="21"/>
      <c r="C715" s="11" t="s">
        <v>45</v>
      </c>
      <c r="D715" s="22"/>
      <c r="E715" s="18"/>
      <c r="F715" s="18"/>
      <c r="G715" s="18"/>
      <c r="H715" s="19"/>
      <c r="I715" s="22"/>
      <c r="J715" s="18"/>
      <c r="K715" s="18"/>
      <c r="L715" s="18"/>
      <c r="M715" s="19"/>
      <c r="N715" s="22"/>
      <c r="O715" s="18"/>
      <c r="P715" s="18"/>
      <c r="Q715" s="18"/>
      <c r="R715" s="19"/>
      <c r="S715" s="22"/>
      <c r="T715" s="18"/>
      <c r="U715" s="18"/>
      <c r="V715" s="18"/>
      <c r="W715" s="19"/>
      <c r="X715" s="18"/>
      <c r="Y715" s="18"/>
      <c r="Z715" s="18"/>
      <c r="AA715" s="18"/>
      <c r="AB715" s="19"/>
      <c r="AC715" s="18"/>
      <c r="AD715" s="18"/>
      <c r="AE715" s="18"/>
      <c r="AF715" s="18"/>
      <c r="AG715" s="19"/>
      <c r="AH715" s="18"/>
      <c r="AI715" s="18"/>
      <c r="AJ715" s="18"/>
      <c r="AK715" s="18"/>
      <c r="AL715" s="19"/>
      <c r="AM715" s="18"/>
      <c r="AN715" s="18"/>
      <c r="AO715" s="18"/>
      <c r="AP715" s="18"/>
      <c r="AQ715" s="19"/>
      <c r="AR715" s="22"/>
      <c r="AS715" s="18"/>
      <c r="AT715" s="18"/>
      <c r="AU715" s="18"/>
      <c r="AV715" s="19"/>
      <c r="AW715" s="22"/>
      <c r="AX715" s="18"/>
      <c r="AY715" s="18"/>
      <c r="AZ715" s="18"/>
      <c r="BA715" s="19"/>
      <c r="BB715" s="22"/>
      <c r="BC715" s="18"/>
      <c r="BD715" s="18"/>
      <c r="BE715" s="18"/>
      <c r="BF715" s="19"/>
      <c r="BG715" s="22"/>
      <c r="BH715" s="18"/>
      <c r="BI715" s="18"/>
      <c r="BJ715" s="18"/>
      <c r="BK715" s="19"/>
      <c r="BL715" s="22"/>
      <c r="BM715" s="18"/>
      <c r="BN715" s="18"/>
      <c r="BO715" s="18"/>
      <c r="BP715" s="19"/>
      <c r="BQ715" s="17" t="s">
        <v>321</v>
      </c>
      <c r="BR715" s="1"/>
      <c r="BS715" s="1"/>
      <c r="BT715" s="1"/>
      <c r="BU715" s="1"/>
    </row>
    <row r="716">
      <c r="A716" s="1"/>
      <c r="B716" s="21"/>
      <c r="C716" s="11" t="s">
        <v>47</v>
      </c>
      <c r="D716" s="22"/>
      <c r="E716" s="18"/>
      <c r="F716" s="18"/>
      <c r="G716" s="18"/>
      <c r="H716" s="19"/>
      <c r="I716" s="22"/>
      <c r="J716" s="18"/>
      <c r="K716" s="18"/>
      <c r="L716" s="18"/>
      <c r="M716" s="19"/>
      <c r="N716" s="22"/>
      <c r="O716" s="18"/>
      <c r="P716" s="18"/>
      <c r="Q716" s="18"/>
      <c r="R716" s="19"/>
      <c r="S716" s="22"/>
      <c r="T716" s="18"/>
      <c r="U716" s="18"/>
      <c r="V716" s="18"/>
      <c r="W716" s="19"/>
      <c r="X716" s="18"/>
      <c r="Y716" s="18"/>
      <c r="Z716" s="18"/>
      <c r="AA716" s="18"/>
      <c r="AB716" s="19"/>
      <c r="AC716" s="18"/>
      <c r="AD716" s="18"/>
      <c r="AE716" s="18"/>
      <c r="AF716" s="18"/>
      <c r="AG716" s="19"/>
      <c r="AH716" s="18"/>
      <c r="AI716" s="18"/>
      <c r="AJ716" s="18"/>
      <c r="AK716" s="18"/>
      <c r="AL716" s="19"/>
      <c r="AM716" s="18"/>
      <c r="AN716" s="18"/>
      <c r="AO716" s="18"/>
      <c r="AP716" s="18"/>
      <c r="AQ716" s="19"/>
      <c r="AR716" s="22"/>
      <c r="AS716" s="18"/>
      <c r="AT716" s="18"/>
      <c r="AU716" s="18"/>
      <c r="AV716" s="19"/>
      <c r="AW716" s="22"/>
      <c r="AX716" s="18"/>
      <c r="AY716" s="18"/>
      <c r="AZ716" s="18"/>
      <c r="BA716" s="19"/>
      <c r="BB716" s="22"/>
      <c r="BC716" s="18"/>
      <c r="BD716" s="18"/>
      <c r="BE716" s="18"/>
      <c r="BF716" s="19"/>
      <c r="BG716" s="22"/>
      <c r="BH716" s="18"/>
      <c r="BI716" s="18"/>
      <c r="BJ716" s="18"/>
      <c r="BK716" s="19"/>
      <c r="BL716" s="22"/>
      <c r="BM716" s="18"/>
      <c r="BN716" s="18"/>
      <c r="BO716" s="18"/>
      <c r="BP716" s="19"/>
      <c r="BQ716" s="17" t="s">
        <v>321</v>
      </c>
      <c r="BR716" s="1"/>
      <c r="BS716" s="1"/>
      <c r="BT716" s="1"/>
      <c r="BU716" s="1"/>
    </row>
    <row r="717">
      <c r="A717" s="1"/>
      <c r="B717" s="21"/>
      <c r="C717" s="11" t="s">
        <v>49</v>
      </c>
      <c r="D717" s="22"/>
      <c r="E717" s="18"/>
      <c r="F717" s="18"/>
      <c r="G717" s="18"/>
      <c r="H717" s="19"/>
      <c r="I717" s="22"/>
      <c r="J717" s="18"/>
      <c r="K717" s="18"/>
      <c r="L717" s="18"/>
      <c r="M717" s="19"/>
      <c r="N717" s="22"/>
      <c r="O717" s="18"/>
      <c r="P717" s="18"/>
      <c r="Q717" s="18"/>
      <c r="R717" s="19"/>
      <c r="S717" s="22"/>
      <c r="T717" s="18"/>
      <c r="U717" s="18"/>
      <c r="V717" s="18"/>
      <c r="W717" s="19"/>
      <c r="X717" s="18"/>
      <c r="Y717" s="18"/>
      <c r="Z717" s="18"/>
      <c r="AA717" s="18"/>
      <c r="AB717" s="19"/>
      <c r="AC717" s="18"/>
      <c r="AD717" s="18"/>
      <c r="AE717" s="18"/>
      <c r="AF717" s="18"/>
      <c r="AG717" s="19"/>
      <c r="AH717" s="18"/>
      <c r="AI717" s="18"/>
      <c r="AJ717" s="18"/>
      <c r="AK717" s="18"/>
      <c r="AL717" s="19"/>
      <c r="AM717" s="18"/>
      <c r="AN717" s="18"/>
      <c r="AO717" s="18"/>
      <c r="AP717" s="18"/>
      <c r="AQ717" s="19"/>
      <c r="AR717" s="22"/>
      <c r="AS717" s="18"/>
      <c r="AT717" s="18"/>
      <c r="AU717" s="18"/>
      <c r="AV717" s="19"/>
      <c r="AW717" s="22"/>
      <c r="AX717" s="18"/>
      <c r="AY717" s="18"/>
      <c r="AZ717" s="18"/>
      <c r="BA717" s="19"/>
      <c r="BB717" s="22"/>
      <c r="BC717" s="18"/>
      <c r="BD717" s="18"/>
      <c r="BE717" s="18"/>
      <c r="BF717" s="19"/>
      <c r="BG717" s="22"/>
      <c r="BH717" s="18"/>
      <c r="BI717" s="18"/>
      <c r="BJ717" s="18"/>
      <c r="BK717" s="19"/>
      <c r="BL717" s="22"/>
      <c r="BM717" s="18"/>
      <c r="BN717" s="18"/>
      <c r="BO717" s="18"/>
      <c r="BP717" s="19"/>
      <c r="BQ717" s="17" t="s">
        <v>321</v>
      </c>
      <c r="BR717" s="1"/>
      <c r="BS717" s="1"/>
      <c r="BT717" s="1"/>
      <c r="BU717" s="1"/>
    </row>
    <row r="718">
      <c r="A718" s="1"/>
      <c r="B718" s="21"/>
      <c r="C718" s="11" t="s">
        <v>51</v>
      </c>
      <c r="D718" s="22"/>
      <c r="E718" s="18"/>
      <c r="F718" s="18"/>
      <c r="G718" s="18"/>
      <c r="H718" s="19"/>
      <c r="I718" s="22"/>
      <c r="J718" s="18"/>
      <c r="K718" s="18"/>
      <c r="L718" s="18"/>
      <c r="M718" s="19"/>
      <c r="N718" s="22"/>
      <c r="O718" s="18"/>
      <c r="P718" s="18"/>
      <c r="Q718" s="18"/>
      <c r="R718" s="19"/>
      <c r="S718" s="22"/>
      <c r="T718" s="18"/>
      <c r="U718" s="18"/>
      <c r="V718" s="18"/>
      <c r="W718" s="19"/>
      <c r="X718" s="18"/>
      <c r="Y718" s="18"/>
      <c r="Z718" s="18"/>
      <c r="AA718" s="18"/>
      <c r="AB718" s="19"/>
      <c r="AC718" s="18"/>
      <c r="AD718" s="18"/>
      <c r="AE718" s="18"/>
      <c r="AF718" s="18"/>
      <c r="AG718" s="19"/>
      <c r="AH718" s="18"/>
      <c r="AI718" s="18"/>
      <c r="AJ718" s="18"/>
      <c r="AK718" s="18"/>
      <c r="AL718" s="19"/>
      <c r="AM718" s="18"/>
      <c r="AN718" s="18"/>
      <c r="AO718" s="18"/>
      <c r="AP718" s="18"/>
      <c r="AQ718" s="19"/>
      <c r="AR718" s="22"/>
      <c r="AS718" s="18"/>
      <c r="AT718" s="18"/>
      <c r="AU718" s="18"/>
      <c r="AV718" s="19"/>
      <c r="AW718" s="22"/>
      <c r="AX718" s="18"/>
      <c r="AY718" s="18"/>
      <c r="AZ718" s="18"/>
      <c r="BA718" s="19"/>
      <c r="BB718" s="22"/>
      <c r="BC718" s="18"/>
      <c r="BD718" s="18"/>
      <c r="BE718" s="18"/>
      <c r="BF718" s="19"/>
      <c r="BG718" s="22"/>
      <c r="BH718" s="18"/>
      <c r="BI718" s="18"/>
      <c r="BJ718" s="18"/>
      <c r="BK718" s="19"/>
      <c r="BL718" s="22"/>
      <c r="BM718" s="18"/>
      <c r="BN718" s="18"/>
      <c r="BO718" s="18"/>
      <c r="BP718" s="19"/>
      <c r="BQ718" s="17" t="s">
        <v>321</v>
      </c>
      <c r="BR718" s="1"/>
      <c r="BS718" s="1"/>
      <c r="BT718" s="1"/>
      <c r="BU718" s="1"/>
    </row>
    <row r="719">
      <c r="A719" s="1"/>
      <c r="B719" s="21"/>
      <c r="C719" s="11" t="s">
        <v>52</v>
      </c>
      <c r="D719" s="22"/>
      <c r="E719" s="18"/>
      <c r="F719" s="18"/>
      <c r="G719" s="18"/>
      <c r="H719" s="19"/>
      <c r="I719" s="22"/>
      <c r="J719" s="18"/>
      <c r="K719" s="18"/>
      <c r="L719" s="18"/>
      <c r="M719" s="19"/>
      <c r="N719" s="22"/>
      <c r="O719" s="18"/>
      <c r="P719" s="18"/>
      <c r="Q719" s="18"/>
      <c r="R719" s="19"/>
      <c r="S719" s="22"/>
      <c r="T719" s="18"/>
      <c r="U719" s="18"/>
      <c r="V719" s="18"/>
      <c r="W719" s="19"/>
      <c r="X719" s="18"/>
      <c r="Y719" s="18"/>
      <c r="Z719" s="18"/>
      <c r="AA719" s="18"/>
      <c r="AB719" s="19"/>
      <c r="AC719" s="18"/>
      <c r="AD719" s="18"/>
      <c r="AE719" s="18"/>
      <c r="AF719" s="18"/>
      <c r="AG719" s="19"/>
      <c r="AH719" s="18"/>
      <c r="AI719" s="18"/>
      <c r="AJ719" s="18"/>
      <c r="AK719" s="18"/>
      <c r="AL719" s="19"/>
      <c r="AM719" s="18"/>
      <c r="AN719" s="18"/>
      <c r="AO719" s="18"/>
      <c r="AP719" s="18"/>
      <c r="AQ719" s="19"/>
      <c r="AR719" s="22"/>
      <c r="AS719" s="18"/>
      <c r="AT719" s="18"/>
      <c r="AU719" s="18"/>
      <c r="AV719" s="19"/>
      <c r="AW719" s="22"/>
      <c r="AX719" s="18"/>
      <c r="AY719" s="18"/>
      <c r="AZ719" s="18"/>
      <c r="BA719" s="19"/>
      <c r="BB719" s="22"/>
      <c r="BC719" s="18"/>
      <c r="BD719" s="18"/>
      <c r="BE719" s="18"/>
      <c r="BF719" s="19"/>
      <c r="BG719" s="22"/>
      <c r="BH719" s="18"/>
      <c r="BI719" s="18"/>
      <c r="BJ719" s="18"/>
      <c r="BK719" s="19"/>
      <c r="BL719" s="22"/>
      <c r="BM719" s="18"/>
      <c r="BN719" s="18"/>
      <c r="BO719" s="18"/>
      <c r="BP719" s="19"/>
      <c r="BQ719" s="17" t="s">
        <v>321</v>
      </c>
      <c r="BR719" s="1"/>
      <c r="BS719" s="1"/>
      <c r="BT719" s="1"/>
      <c r="BU719" s="1"/>
    </row>
    <row r="720">
      <c r="A720" s="1"/>
      <c r="B720" s="21"/>
      <c r="C720" s="11" t="s">
        <v>53</v>
      </c>
      <c r="D720" s="22"/>
      <c r="E720" s="18"/>
      <c r="F720" s="18"/>
      <c r="G720" s="18"/>
      <c r="H720" s="19"/>
      <c r="I720" s="22"/>
      <c r="J720" s="18"/>
      <c r="K720" s="18"/>
      <c r="L720" s="18"/>
      <c r="M720" s="19"/>
      <c r="N720" s="22"/>
      <c r="O720" s="18"/>
      <c r="P720" s="18"/>
      <c r="Q720" s="18"/>
      <c r="R720" s="19"/>
      <c r="S720" s="22"/>
      <c r="T720" s="18"/>
      <c r="U720" s="18"/>
      <c r="V720" s="18"/>
      <c r="W720" s="19"/>
      <c r="X720" s="18"/>
      <c r="Y720" s="18"/>
      <c r="Z720" s="18"/>
      <c r="AA720" s="18"/>
      <c r="AB720" s="19"/>
      <c r="AC720" s="18"/>
      <c r="AD720" s="18"/>
      <c r="AE720" s="18"/>
      <c r="AF720" s="18"/>
      <c r="AG720" s="19"/>
      <c r="AH720" s="18"/>
      <c r="AI720" s="18"/>
      <c r="AJ720" s="18"/>
      <c r="AK720" s="18"/>
      <c r="AL720" s="19"/>
      <c r="AM720" s="18"/>
      <c r="AN720" s="18"/>
      <c r="AO720" s="18"/>
      <c r="AP720" s="18"/>
      <c r="AQ720" s="19"/>
      <c r="AR720" s="22"/>
      <c r="AS720" s="18"/>
      <c r="AT720" s="18"/>
      <c r="AU720" s="18"/>
      <c r="AV720" s="19"/>
      <c r="AW720" s="22"/>
      <c r="AX720" s="18"/>
      <c r="AY720" s="18"/>
      <c r="AZ720" s="18"/>
      <c r="BA720" s="19"/>
      <c r="BB720" s="22"/>
      <c r="BC720" s="18"/>
      <c r="BD720" s="18"/>
      <c r="BE720" s="18"/>
      <c r="BF720" s="19"/>
      <c r="BG720" s="22"/>
      <c r="BH720" s="18"/>
      <c r="BI720" s="18"/>
      <c r="BJ720" s="18"/>
      <c r="BK720" s="19"/>
      <c r="BL720" s="22"/>
      <c r="BM720" s="18"/>
      <c r="BN720" s="18"/>
      <c r="BO720" s="18"/>
      <c r="BP720" s="19"/>
      <c r="BQ720" s="17" t="s">
        <v>321</v>
      </c>
      <c r="BR720" s="1"/>
      <c r="BS720" s="1"/>
      <c r="BT720" s="1"/>
      <c r="BU720" s="1"/>
    </row>
    <row r="721">
      <c r="A721" s="1"/>
      <c r="B721" s="21"/>
      <c r="C721" s="11" t="s">
        <v>54</v>
      </c>
      <c r="D721" s="22"/>
      <c r="E721" s="18"/>
      <c r="F721" s="18"/>
      <c r="G721" s="23">
        <f>SUMIFS('지출'!$G$3:$G1000,'지출'!$J$3:$J1000,G$1,'지출'!$C$3:$C1000,"원효지층")</f>
        <v>0</v>
      </c>
      <c r="H721" s="19"/>
      <c r="I721" s="22"/>
      <c r="J721" s="18"/>
      <c r="K721" s="18"/>
      <c r="L721" s="23">
        <f>SUMIFS('지출'!$G$3:$G1000,'지출'!$J$3:$J1000,L$1,'지출'!$C$3:$C1000,"원효지층")</f>
        <v>0</v>
      </c>
      <c r="M721" s="24"/>
      <c r="N721" s="18"/>
      <c r="O721" s="18"/>
      <c r="P721" s="18"/>
      <c r="Q721" s="23">
        <f>SUMIFS('지출'!$G$3:$G1000,'지출'!$J$3:$J1000,Q$1,'지출'!$C$3:$C1000,"원효지층")</f>
        <v>0</v>
      </c>
      <c r="R721" s="24"/>
      <c r="S721" s="18"/>
      <c r="T721" s="18"/>
      <c r="U721" s="18"/>
      <c r="V721" s="23">
        <f>SUMIFS('지출'!$G$3:$G1000,'지출'!$J$3:$J1000,V$1,'지출'!$C$3:$C1000,"원효지층")</f>
        <v>0</v>
      </c>
      <c r="W721" s="24"/>
      <c r="X721" s="18"/>
      <c r="Y721" s="18"/>
      <c r="Z721" s="18"/>
      <c r="AA721" s="23">
        <f>SUMIFS('지출'!$G$3:$G1000,'지출'!$J$3:$J1000,AA$1,'지출'!$C$3:$C1000,"원효지층")</f>
        <v>0</v>
      </c>
      <c r="AB721" s="24"/>
      <c r="AC721" s="18"/>
      <c r="AD721" s="18"/>
      <c r="AE721" s="18"/>
      <c r="AF721" s="23">
        <f>SUMIFS('지출'!$G$3:$G1000,'지출'!$J$3:$J1000,AF$1,'지출'!$C$3:$C1000,"원효지층")</f>
        <v>0</v>
      </c>
      <c r="AG721" s="24"/>
      <c r="AH721" s="18"/>
      <c r="AI721" s="18"/>
      <c r="AJ721" s="18"/>
      <c r="AK721" s="23">
        <f>SUMIFS('지출'!$G$3:$G1000,'지출'!$J$3:$J1000,AK$1,'지출'!$C$3:$C1000,"원효지층")</f>
        <v>0</v>
      </c>
      <c r="AL721" s="24"/>
      <c r="AM721" s="18"/>
      <c r="AN721" s="18"/>
      <c r="AO721" s="18"/>
      <c r="AP721" s="23">
        <f>SUMIFS('지출'!$G$3:$G1000,'지출'!$J$3:$J1000,AP$1,'지출'!$C$3:$C1000,"원효지층")</f>
        <v>0</v>
      </c>
      <c r="AQ721" s="24"/>
      <c r="AR721" s="18"/>
      <c r="AS721" s="18"/>
      <c r="AT721" s="18"/>
      <c r="AU721" s="23">
        <f>SUMIFS('지출'!$G$3:$G1000,'지출'!$J$3:$J1000,AU$1,'지출'!$C$3:$C1000,"원효지층")</f>
        <v>0</v>
      </c>
      <c r="AV721" s="24"/>
      <c r="AW721" s="18"/>
      <c r="AX721" s="18"/>
      <c r="AY721" s="18"/>
      <c r="AZ721" s="23">
        <f>SUMIFS('지출'!$G$3:$G1000,'지출'!$J$3:$J1000,AZ$1,'지출'!$C$3:$C1000,"원효지층")</f>
        <v>0</v>
      </c>
      <c r="BA721" s="24"/>
      <c r="BB721" s="18"/>
      <c r="BC721" s="18"/>
      <c r="BD721" s="18"/>
      <c r="BE721" s="23">
        <f>SUMIFS('지출'!$G$3:$G1000,'지출'!$J$3:$J1000,BE$1,'지출'!$C$3:$C1000,"원효지층")</f>
        <v>0</v>
      </c>
      <c r="BF721" s="24"/>
      <c r="BG721" s="18"/>
      <c r="BH721" s="18"/>
      <c r="BI721" s="18"/>
      <c r="BJ721" s="23">
        <f>SUMIFS('지출'!$G$3:$G1000,'지출'!$J$3:$J1000,BJ$1,'지출'!$C$3:$C1000,"원효지층")</f>
        <v>0</v>
      </c>
      <c r="BK721" s="19"/>
      <c r="BL721" s="18"/>
      <c r="BM721" s="18"/>
      <c r="BN721" s="18"/>
      <c r="BO721" s="23">
        <f>SUMIFS('지출'!$G$3:$G1000,'지출'!$J$3:$J1000,BO$1,'지출'!$C$3:$C1000,"원효지층")</f>
        <v>0</v>
      </c>
      <c r="BP721" s="19"/>
      <c r="BQ721" s="17" t="s">
        <v>321</v>
      </c>
      <c r="BR721" s="1"/>
      <c r="BS721" s="1"/>
      <c r="BT721" s="1"/>
      <c r="BU721" s="1"/>
    </row>
    <row r="722">
      <c r="A722" s="1"/>
      <c r="B722" s="21"/>
      <c r="C722" s="11" t="s">
        <v>56</v>
      </c>
      <c r="D722" s="22"/>
      <c r="E722" s="23">
        <f>E713-(SUM(E714:E721))</f>
        <v>750000</v>
      </c>
      <c r="F722" s="18"/>
      <c r="G722" s="18"/>
      <c r="H722" s="19"/>
      <c r="I722" s="22"/>
      <c r="J722" s="23">
        <f>J713-(SUM(J714:J721))</f>
        <v>750000</v>
      </c>
      <c r="K722" s="18"/>
      <c r="L722" s="18"/>
      <c r="M722" s="19"/>
      <c r="N722" s="22"/>
      <c r="O722" s="23">
        <f>O713-(SUM(O714:O721))</f>
        <v>750000</v>
      </c>
      <c r="P722" s="18"/>
      <c r="Q722" s="18"/>
      <c r="R722" s="19"/>
      <c r="S722" s="22"/>
      <c r="T722" s="23">
        <f>T713-(SUM(T714:T721))</f>
        <v>750000</v>
      </c>
      <c r="U722" s="18"/>
      <c r="V722" s="18"/>
      <c r="W722" s="19"/>
      <c r="X722" s="18"/>
      <c r="Y722" s="23">
        <f>Y713-(SUM(Y714:Y721))</f>
        <v>750000</v>
      </c>
      <c r="Z722" s="18"/>
      <c r="AA722" s="18"/>
      <c r="AB722" s="19"/>
      <c r="AC722" s="18"/>
      <c r="AD722" s="23">
        <f>AD713-(SUM(AD714:AD721))</f>
        <v>750000</v>
      </c>
      <c r="AE722" s="18"/>
      <c r="AF722" s="18"/>
      <c r="AG722" s="19"/>
      <c r="AH722" s="18"/>
      <c r="AI722" s="23">
        <f>AI713-(SUM(AI714:AI721))</f>
        <v>750000</v>
      </c>
      <c r="AJ722" s="18"/>
      <c r="AK722" s="18"/>
      <c r="AL722" s="19"/>
      <c r="AM722" s="18"/>
      <c r="AN722" s="23">
        <f>AN713-(SUM(AN714:AN721))</f>
        <v>750000</v>
      </c>
      <c r="AO722" s="18"/>
      <c r="AP722" s="18"/>
      <c r="AQ722" s="19"/>
      <c r="AR722" s="22"/>
      <c r="AS722" s="23">
        <f>AS713-(SUM(AS714:AS721))</f>
        <v>750000</v>
      </c>
      <c r="AT722" s="18"/>
      <c r="AU722" s="18"/>
      <c r="AV722" s="19"/>
      <c r="AW722" s="22"/>
      <c r="AX722" s="23">
        <f>AX713-(SUM(AX714:AX721))</f>
        <v>750000</v>
      </c>
      <c r="AY722" s="18"/>
      <c r="AZ722" s="18"/>
      <c r="BA722" s="19"/>
      <c r="BB722" s="22"/>
      <c r="BC722" s="23">
        <f>BC713-(SUM(BC714:BC721))</f>
        <v>750000</v>
      </c>
      <c r="BD722" s="18"/>
      <c r="BE722" s="18"/>
      <c r="BF722" s="19"/>
      <c r="BG722" s="22"/>
      <c r="BH722" s="23">
        <f>BH713-(SUM(BH714:BH721))</f>
        <v>750000</v>
      </c>
      <c r="BI722" s="18"/>
      <c r="BJ722" s="18"/>
      <c r="BK722" s="19"/>
      <c r="BL722" s="22"/>
      <c r="BM722" s="23">
        <f>BM713-(SUM(BM714:BM721))</f>
        <v>750000</v>
      </c>
      <c r="BN722" s="18"/>
      <c r="BO722" s="18"/>
      <c r="BP722" s="19"/>
      <c r="BQ722" s="17" t="s">
        <v>321</v>
      </c>
      <c r="BR722" s="1"/>
      <c r="BS722" s="1"/>
      <c r="BT722" s="1"/>
      <c r="BU722" s="1"/>
    </row>
    <row r="723">
      <c r="A723" s="1"/>
      <c r="B723" s="27">
        <v>0.8</v>
      </c>
      <c r="C723" s="11" t="s">
        <v>26</v>
      </c>
      <c r="D723" s="22"/>
      <c r="E723" s="23">
        <f>E722*$B723</f>
        <v>600000</v>
      </c>
      <c r="F723" s="18"/>
      <c r="G723" s="18"/>
      <c r="H723" s="19"/>
      <c r="I723" s="22"/>
      <c r="J723" s="23">
        <f>J722*$B723</f>
        <v>600000</v>
      </c>
      <c r="K723" s="18"/>
      <c r="L723" s="18"/>
      <c r="M723" s="19"/>
      <c r="N723" s="22"/>
      <c r="O723" s="23">
        <f>O722*$B723</f>
        <v>600000</v>
      </c>
      <c r="P723" s="18"/>
      <c r="Q723" s="18"/>
      <c r="R723" s="19"/>
      <c r="S723" s="22"/>
      <c r="T723" s="23">
        <f>T722*$B723</f>
        <v>600000</v>
      </c>
      <c r="U723" s="18"/>
      <c r="V723" s="18"/>
      <c r="W723" s="19"/>
      <c r="X723" s="18"/>
      <c r="Y723" s="23">
        <f>Y722*$B723</f>
        <v>600000</v>
      </c>
      <c r="Z723" s="18"/>
      <c r="AA723" s="18"/>
      <c r="AB723" s="19"/>
      <c r="AC723" s="18"/>
      <c r="AD723" s="23">
        <f>AD722*$B723</f>
        <v>600000</v>
      </c>
      <c r="AE723" s="18"/>
      <c r="AF723" s="18"/>
      <c r="AG723" s="19"/>
      <c r="AH723" s="18"/>
      <c r="AI723" s="23">
        <f>AI722*$B723</f>
        <v>600000</v>
      </c>
      <c r="AJ723" s="18"/>
      <c r="AK723" s="18"/>
      <c r="AL723" s="19"/>
      <c r="AM723" s="18"/>
      <c r="AN723" s="23">
        <f>AN722*$B723</f>
        <v>600000</v>
      </c>
      <c r="AO723" s="18"/>
      <c r="AP723" s="18"/>
      <c r="AQ723" s="19"/>
      <c r="AR723" s="22"/>
      <c r="AS723" s="23">
        <f>AS722*$B723</f>
        <v>600000</v>
      </c>
      <c r="AT723" s="18"/>
      <c r="AU723" s="18"/>
      <c r="AV723" s="19"/>
      <c r="AW723" s="22"/>
      <c r="AX723" s="23">
        <f>AX722*$B723</f>
        <v>600000</v>
      </c>
      <c r="AY723" s="18"/>
      <c r="AZ723" s="18"/>
      <c r="BA723" s="19"/>
      <c r="BB723" s="22"/>
      <c r="BC723" s="23">
        <f>BC722*$B723</f>
        <v>600000</v>
      </c>
      <c r="BD723" s="18"/>
      <c r="BE723" s="18"/>
      <c r="BF723" s="19"/>
      <c r="BG723" s="22"/>
      <c r="BH723" s="23">
        <f>BH722*$B723</f>
        <v>600000</v>
      </c>
      <c r="BI723" s="18"/>
      <c r="BJ723" s="18"/>
      <c r="BK723" s="19"/>
      <c r="BL723" s="22"/>
      <c r="BM723" s="23">
        <f>BM722*$B723</f>
        <v>600000</v>
      </c>
      <c r="BN723" s="18"/>
      <c r="BO723" s="18"/>
      <c r="BP723" s="19"/>
      <c r="BQ723" s="17" t="s">
        <v>321</v>
      </c>
      <c r="BR723" s="1"/>
      <c r="BS723" s="1"/>
      <c r="BT723" s="1"/>
      <c r="BU723" s="1"/>
    </row>
    <row r="724">
      <c r="A724" s="56" t="str">
        <f>B712</f>
        <v>원효지층</v>
      </c>
      <c r="B724" s="29">
        <v>0.2</v>
      </c>
      <c r="C724" s="30" t="s">
        <v>57</v>
      </c>
      <c r="D724" s="31"/>
      <c r="E724" s="32">
        <f>E722*$B724</f>
        <v>150000</v>
      </c>
      <c r="F724" s="33"/>
      <c r="G724" s="33"/>
      <c r="H724" s="34"/>
      <c r="I724" s="31"/>
      <c r="J724" s="32">
        <f>J722*$B724</f>
        <v>150000</v>
      </c>
      <c r="K724" s="33"/>
      <c r="L724" s="33"/>
      <c r="M724" s="34"/>
      <c r="N724" s="31"/>
      <c r="O724" s="32">
        <f>O722*$B724</f>
        <v>150000</v>
      </c>
      <c r="P724" s="33"/>
      <c r="Q724" s="33"/>
      <c r="R724" s="34"/>
      <c r="S724" s="31"/>
      <c r="T724" s="32">
        <f>T722*$B724</f>
        <v>150000</v>
      </c>
      <c r="U724" s="33"/>
      <c r="V724" s="33"/>
      <c r="W724" s="34"/>
      <c r="X724" s="33"/>
      <c r="Y724" s="32">
        <f>Y722*$B724</f>
        <v>150000</v>
      </c>
      <c r="Z724" s="33"/>
      <c r="AA724" s="33"/>
      <c r="AB724" s="34"/>
      <c r="AC724" s="33"/>
      <c r="AD724" s="32">
        <f>AD722*$B724</f>
        <v>150000</v>
      </c>
      <c r="AE724" s="33"/>
      <c r="AF724" s="33"/>
      <c r="AG724" s="34"/>
      <c r="AH724" s="33"/>
      <c r="AI724" s="32">
        <f>AI722*$B724</f>
        <v>150000</v>
      </c>
      <c r="AJ724" s="33"/>
      <c r="AK724" s="33"/>
      <c r="AL724" s="34"/>
      <c r="AM724" s="124" t="s">
        <v>1091</v>
      </c>
      <c r="AN724" s="32">
        <v>75000.0</v>
      </c>
      <c r="AO724" s="33"/>
      <c r="AP724" s="33"/>
      <c r="AQ724" s="34"/>
      <c r="AR724" s="124" t="s">
        <v>1091</v>
      </c>
      <c r="AS724" s="32">
        <v>75000.0</v>
      </c>
      <c r="AT724" s="33"/>
      <c r="AU724" s="33"/>
      <c r="AV724" s="34"/>
      <c r="AW724" s="124" t="s">
        <v>1091</v>
      </c>
      <c r="AX724" s="32">
        <v>75000.0</v>
      </c>
      <c r="AY724" s="33"/>
      <c r="AZ724" s="33"/>
      <c r="BA724" s="34"/>
      <c r="BB724" s="124" t="s">
        <v>1091</v>
      </c>
      <c r="BC724" s="32">
        <v>75000.0</v>
      </c>
      <c r="BD724" s="33"/>
      <c r="BE724" s="33"/>
      <c r="BF724" s="34"/>
      <c r="BG724" s="124" t="s">
        <v>1091</v>
      </c>
      <c r="BH724" s="32">
        <v>75000.0</v>
      </c>
      <c r="BI724" s="33"/>
      <c r="BJ724" s="33"/>
      <c r="BK724" s="34"/>
      <c r="BL724" s="124" t="s">
        <v>1091</v>
      </c>
      <c r="BM724" s="32">
        <v>75000.0</v>
      </c>
      <c r="BN724" s="33"/>
      <c r="BO724" s="33"/>
      <c r="BP724" s="34"/>
      <c r="BQ724" s="17" t="s">
        <v>321</v>
      </c>
      <c r="BR724" s="1"/>
      <c r="BS724" s="1"/>
      <c r="BT724" s="1"/>
      <c r="BU724" s="1"/>
    </row>
    <row r="725">
      <c r="A725" s="1"/>
      <c r="B725" s="27" t="s">
        <v>1093</v>
      </c>
      <c r="C725" s="11" t="s">
        <v>320</v>
      </c>
      <c r="D725" s="20" t="s">
        <v>1094</v>
      </c>
      <c r="E725" s="23">
        <v>520000.0</v>
      </c>
      <c r="F725" s="35" t="b">
        <v>1</v>
      </c>
      <c r="G725" s="23">
        <v>80000.0</v>
      </c>
      <c r="H725" s="15" t="b">
        <v>1</v>
      </c>
      <c r="I725" s="20" t="s">
        <v>37</v>
      </c>
      <c r="J725" s="18"/>
      <c r="K725" s="1"/>
      <c r="L725" s="18"/>
      <c r="M725" s="19"/>
      <c r="N725" s="20" t="s">
        <v>1095</v>
      </c>
      <c r="O725" s="23">
        <v>570000.0</v>
      </c>
      <c r="P725" s="35" t="b">
        <v>1</v>
      </c>
      <c r="Q725" s="23">
        <v>80000.0</v>
      </c>
      <c r="R725" s="15" t="b">
        <v>1</v>
      </c>
      <c r="S725" s="62" t="s">
        <v>1096</v>
      </c>
      <c r="T725" s="23">
        <v>570000.0</v>
      </c>
      <c r="U725" s="35" t="b">
        <v>1</v>
      </c>
      <c r="V725" s="23">
        <v>80000.0</v>
      </c>
      <c r="W725" s="15" t="b">
        <v>1</v>
      </c>
      <c r="X725" s="62" t="s">
        <v>1096</v>
      </c>
      <c r="Y725" s="23">
        <v>570000.0</v>
      </c>
      <c r="Z725" s="35" t="b">
        <v>1</v>
      </c>
      <c r="AA725" s="23">
        <v>80000.0</v>
      </c>
      <c r="AB725" s="15" t="b">
        <v>1</v>
      </c>
      <c r="AC725" s="20" t="s">
        <v>1096</v>
      </c>
      <c r="AD725" s="23">
        <v>570000.0</v>
      </c>
      <c r="AE725" s="35" t="b">
        <v>1</v>
      </c>
      <c r="AF725" s="23">
        <v>80000.0</v>
      </c>
      <c r="AG725" s="15" t="b">
        <v>1</v>
      </c>
      <c r="AH725" s="20" t="s">
        <v>1096</v>
      </c>
      <c r="AI725" s="23">
        <v>570000.0</v>
      </c>
      <c r="AJ725" s="35" t="b">
        <v>1</v>
      </c>
      <c r="AK725" s="23">
        <v>80000.0</v>
      </c>
      <c r="AL725" s="15" t="b">
        <v>1</v>
      </c>
      <c r="AM725" s="20" t="s">
        <v>1097</v>
      </c>
      <c r="AN725" s="23">
        <v>570000.0</v>
      </c>
      <c r="AO725" s="35" t="b">
        <v>1</v>
      </c>
      <c r="AP725" s="23">
        <v>80000.0</v>
      </c>
      <c r="AQ725" s="15" t="b">
        <v>1</v>
      </c>
      <c r="AR725" s="20" t="s">
        <v>1098</v>
      </c>
      <c r="AS725" s="23">
        <f>570000+502667</f>
        <v>1072667</v>
      </c>
      <c r="AT725" s="35" t="b">
        <v>1</v>
      </c>
      <c r="AU725" s="23">
        <f>80000+77333</f>
        <v>157333</v>
      </c>
      <c r="AV725" s="15" t="b">
        <v>1</v>
      </c>
      <c r="AW725" s="20" t="s">
        <v>1099</v>
      </c>
      <c r="AX725" s="23">
        <v>520000.0</v>
      </c>
      <c r="AY725" s="35" t="b">
        <v>1</v>
      </c>
      <c r="AZ725" s="23">
        <v>80000.0</v>
      </c>
      <c r="BA725" s="15" t="b">
        <v>1</v>
      </c>
      <c r="BB725" s="20" t="s">
        <v>1099</v>
      </c>
      <c r="BC725" s="23">
        <v>520000.0</v>
      </c>
      <c r="BD725" s="35" t="b">
        <v>1</v>
      </c>
      <c r="BE725" s="23">
        <v>80000.0</v>
      </c>
      <c r="BF725" s="15" t="b">
        <v>1</v>
      </c>
      <c r="BG725" s="20" t="s">
        <v>1099</v>
      </c>
      <c r="BH725" s="23">
        <v>520000.0</v>
      </c>
      <c r="BI725" s="35" t="b">
        <v>1</v>
      </c>
      <c r="BJ725" s="23">
        <v>80000.0</v>
      </c>
      <c r="BK725" s="15" t="b">
        <v>1</v>
      </c>
      <c r="BL725" s="20" t="s">
        <v>1099</v>
      </c>
      <c r="BM725" s="23">
        <v>520000.0</v>
      </c>
      <c r="BN725" s="35" t="b">
        <v>1</v>
      </c>
      <c r="BO725" s="23">
        <v>80000.0</v>
      </c>
      <c r="BP725" s="15" t="b">
        <v>1</v>
      </c>
      <c r="BQ725" s="17" t="s">
        <v>321</v>
      </c>
      <c r="BR725" s="1"/>
      <c r="BS725" s="1"/>
      <c r="BT725" s="1"/>
      <c r="BU725" s="1"/>
    </row>
    <row r="726">
      <c r="A726" s="1"/>
      <c r="B726" s="27" t="s">
        <v>1093</v>
      </c>
      <c r="C726" s="11" t="s">
        <v>322</v>
      </c>
      <c r="D726" s="20" t="s">
        <v>1100</v>
      </c>
      <c r="E726" s="23">
        <v>550000.0</v>
      </c>
      <c r="F726" s="35" t="b">
        <v>1</v>
      </c>
      <c r="G726" s="23">
        <v>80000.0</v>
      </c>
      <c r="H726" s="15" t="b">
        <v>1</v>
      </c>
      <c r="I726" s="20" t="s">
        <v>1100</v>
      </c>
      <c r="J726" s="23">
        <v>550000.0</v>
      </c>
      <c r="K726" s="35" t="b">
        <v>1</v>
      </c>
      <c r="L726" s="23">
        <v>80000.0</v>
      </c>
      <c r="M726" s="15" t="b">
        <v>1</v>
      </c>
      <c r="N726" s="20" t="s">
        <v>1100</v>
      </c>
      <c r="O726" s="23">
        <v>550000.0</v>
      </c>
      <c r="P726" s="35" t="b">
        <v>1</v>
      </c>
      <c r="Q726" s="23">
        <v>80000.0</v>
      </c>
      <c r="R726" s="15" t="b">
        <v>1</v>
      </c>
      <c r="S726" s="20" t="s">
        <v>1100</v>
      </c>
      <c r="T726" s="23">
        <v>550000.0</v>
      </c>
      <c r="U726" s="35" t="b">
        <v>1</v>
      </c>
      <c r="V726" s="23">
        <v>80000.0</v>
      </c>
      <c r="W726" s="15" t="b">
        <v>1</v>
      </c>
      <c r="X726" s="20" t="s">
        <v>1101</v>
      </c>
      <c r="Y726" s="23">
        <v>550000.0</v>
      </c>
      <c r="Z726" s="35" t="b">
        <v>1</v>
      </c>
      <c r="AA726" s="23">
        <v>80000.0</v>
      </c>
      <c r="AB726" s="15" t="b">
        <v>1</v>
      </c>
      <c r="AC726" s="20" t="s">
        <v>1102</v>
      </c>
      <c r="AD726" s="23">
        <v>334333.0</v>
      </c>
      <c r="AE726" s="35" t="b">
        <v>1</v>
      </c>
      <c r="AF726" s="23">
        <v>45333.0</v>
      </c>
      <c r="AG726" s="15" t="b">
        <v>1</v>
      </c>
      <c r="AH726" s="20" t="s">
        <v>1103</v>
      </c>
      <c r="AI726" s="23">
        <v>590000.0</v>
      </c>
      <c r="AJ726" s="35" t="b">
        <v>1</v>
      </c>
      <c r="AK726" s="23">
        <v>80000.0</v>
      </c>
      <c r="AL726" s="15" t="b">
        <v>1</v>
      </c>
      <c r="AM726" s="20" t="s">
        <v>1104</v>
      </c>
      <c r="AN726" s="23">
        <v>590000.0</v>
      </c>
      <c r="AO726" s="35" t="b">
        <v>1</v>
      </c>
      <c r="AP726" s="23">
        <v>80000.0</v>
      </c>
      <c r="AQ726" s="15" t="b">
        <v>1</v>
      </c>
      <c r="AR726" s="20" t="s">
        <v>1105</v>
      </c>
      <c r="AS726" s="23">
        <v>329333.0</v>
      </c>
      <c r="AT726" s="35" t="b">
        <v>1</v>
      </c>
      <c r="AU726" s="23">
        <v>50667.0</v>
      </c>
      <c r="AV726" s="15" t="b">
        <v>1</v>
      </c>
      <c r="AW726" s="20" t="s">
        <v>1106</v>
      </c>
      <c r="AX726" s="23">
        <v>520000.0</v>
      </c>
      <c r="AY726" s="35" t="b">
        <v>1</v>
      </c>
      <c r="AZ726" s="23">
        <v>80000.0</v>
      </c>
      <c r="BA726" s="15" t="b">
        <v>1</v>
      </c>
      <c r="BB726" s="20" t="s">
        <v>1106</v>
      </c>
      <c r="BC726" s="23">
        <v>520000.0</v>
      </c>
      <c r="BD726" s="35" t="b">
        <v>1</v>
      </c>
      <c r="BE726" s="23">
        <v>80000.0</v>
      </c>
      <c r="BF726" s="15" t="b">
        <v>1</v>
      </c>
      <c r="BG726" s="20" t="s">
        <v>1106</v>
      </c>
      <c r="BH726" s="23">
        <v>520000.0</v>
      </c>
      <c r="BI726" s="35" t="b">
        <v>1</v>
      </c>
      <c r="BJ726" s="23">
        <v>80000.0</v>
      </c>
      <c r="BK726" s="15" t="b">
        <v>1</v>
      </c>
      <c r="BL726" s="20" t="s">
        <v>1106</v>
      </c>
      <c r="BM726" s="23">
        <v>520000.0</v>
      </c>
      <c r="BN726" s="35" t="b">
        <v>0</v>
      </c>
      <c r="BO726" s="23">
        <v>80000.0</v>
      </c>
      <c r="BP726" s="15" t="b">
        <v>0</v>
      </c>
      <c r="BQ726" s="17" t="s">
        <v>321</v>
      </c>
      <c r="BR726" s="1"/>
      <c r="BS726" s="1"/>
      <c r="BT726" s="1"/>
      <c r="BU726" s="1"/>
    </row>
    <row r="727">
      <c r="A727" s="1"/>
      <c r="B727" s="27" t="s">
        <v>1093</v>
      </c>
      <c r="C727" s="11" t="s">
        <v>323</v>
      </c>
      <c r="D727" s="20" t="s">
        <v>1107</v>
      </c>
      <c r="E727" s="23">
        <v>440000.0</v>
      </c>
      <c r="F727" s="35" t="b">
        <v>1</v>
      </c>
      <c r="G727" s="23">
        <v>80000.0</v>
      </c>
      <c r="H727" s="15" t="b">
        <v>1</v>
      </c>
      <c r="I727" s="20" t="s">
        <v>1108</v>
      </c>
      <c r="J727" s="23">
        <v>440000.0</v>
      </c>
      <c r="K727" s="35" t="b">
        <v>1</v>
      </c>
      <c r="L727" s="23">
        <v>80000.0</v>
      </c>
      <c r="M727" s="15" t="b">
        <v>1</v>
      </c>
      <c r="N727" s="44" t="s">
        <v>1109</v>
      </c>
      <c r="O727" s="23">
        <v>387000.0</v>
      </c>
      <c r="P727" s="35" t="b">
        <v>1</v>
      </c>
      <c r="Q727" s="23">
        <v>80000.0</v>
      </c>
      <c r="R727" s="15" t="b">
        <v>1</v>
      </c>
      <c r="S727" s="44" t="s">
        <v>1110</v>
      </c>
      <c r="T727" s="23">
        <v>387000.0</v>
      </c>
      <c r="U727" s="35" t="b">
        <v>1</v>
      </c>
      <c r="V727" s="23">
        <v>80000.0</v>
      </c>
      <c r="W727" s="15" t="b">
        <v>1</v>
      </c>
      <c r="X727" s="44" t="s">
        <v>1110</v>
      </c>
      <c r="Y727" s="23">
        <v>387000.0</v>
      </c>
      <c r="Z727" s="35" t="b">
        <v>1</v>
      </c>
      <c r="AA727" s="23">
        <v>80000.0</v>
      </c>
      <c r="AB727" s="15" t="b">
        <v>1</v>
      </c>
      <c r="AC727" s="44" t="s">
        <v>1110</v>
      </c>
      <c r="AD727" s="23">
        <v>387000.0</v>
      </c>
      <c r="AE727" s="35" t="b">
        <v>1</v>
      </c>
      <c r="AF727" s="23">
        <v>80000.0</v>
      </c>
      <c r="AG727" s="15" t="b">
        <v>1</v>
      </c>
      <c r="AH727" s="44" t="s">
        <v>1110</v>
      </c>
      <c r="AI727" s="23">
        <v>382700.0</v>
      </c>
      <c r="AJ727" s="35" t="b">
        <v>1</v>
      </c>
      <c r="AK727" s="23">
        <v>80000.0</v>
      </c>
      <c r="AL727" s="15" t="b">
        <v>1</v>
      </c>
      <c r="AM727" s="44" t="s">
        <v>1110</v>
      </c>
      <c r="AN727" s="23">
        <v>382700.0</v>
      </c>
      <c r="AO727" s="35" t="b">
        <v>1</v>
      </c>
      <c r="AP727" s="23">
        <v>80000.0</v>
      </c>
      <c r="AQ727" s="15" t="b">
        <v>1</v>
      </c>
      <c r="AR727" s="44" t="s">
        <v>1110</v>
      </c>
      <c r="AS727" s="23">
        <v>382700.0</v>
      </c>
      <c r="AT727" s="35" t="b">
        <v>1</v>
      </c>
      <c r="AU727" s="23">
        <v>80000.0</v>
      </c>
      <c r="AV727" s="15" t="b">
        <v>1</v>
      </c>
      <c r="AW727" s="44" t="s">
        <v>1110</v>
      </c>
      <c r="AX727" s="23">
        <v>382700.0</v>
      </c>
      <c r="AY727" s="35" t="b">
        <v>1</v>
      </c>
      <c r="AZ727" s="23">
        <v>80000.0</v>
      </c>
      <c r="BA727" s="15" t="b">
        <v>1</v>
      </c>
      <c r="BB727" s="44" t="s">
        <v>1110</v>
      </c>
      <c r="BC727" s="23">
        <v>382700.0</v>
      </c>
      <c r="BD727" s="35" t="b">
        <v>1</v>
      </c>
      <c r="BE727" s="23">
        <v>80000.0</v>
      </c>
      <c r="BF727" s="15" t="b">
        <v>1</v>
      </c>
      <c r="BG727" s="44" t="s">
        <v>1110</v>
      </c>
      <c r="BH727" s="23">
        <v>382700.0</v>
      </c>
      <c r="BI727" s="35" t="b">
        <v>0</v>
      </c>
      <c r="BJ727" s="23">
        <v>80000.0</v>
      </c>
      <c r="BK727" s="15" t="b">
        <v>0</v>
      </c>
      <c r="BL727" s="44" t="s">
        <v>1110</v>
      </c>
      <c r="BM727" s="23">
        <v>382700.0</v>
      </c>
      <c r="BN727" s="35" t="b">
        <v>0</v>
      </c>
      <c r="BO727" s="23">
        <v>80000.0</v>
      </c>
      <c r="BP727" s="15" t="b">
        <v>0</v>
      </c>
      <c r="BQ727" s="17" t="s">
        <v>321</v>
      </c>
      <c r="BR727" s="1"/>
      <c r="BS727" s="1"/>
      <c r="BT727" s="1"/>
      <c r="BU727" s="1"/>
    </row>
    <row r="728">
      <c r="A728" s="1"/>
      <c r="B728" s="27" t="s">
        <v>1093</v>
      </c>
      <c r="C728" s="11" t="s">
        <v>349</v>
      </c>
      <c r="D728" s="20" t="s">
        <v>1111</v>
      </c>
      <c r="E728" s="23">
        <v>390000.0</v>
      </c>
      <c r="F728" s="35" t="b">
        <v>1</v>
      </c>
      <c r="G728" s="23">
        <v>80000.0</v>
      </c>
      <c r="H728" s="15" t="b">
        <v>1</v>
      </c>
      <c r="I728" s="20" t="s">
        <v>1111</v>
      </c>
      <c r="J728" s="23">
        <v>390000.0</v>
      </c>
      <c r="K728" s="35" t="b">
        <v>1</v>
      </c>
      <c r="L728" s="23">
        <v>80000.0</v>
      </c>
      <c r="M728" s="15" t="b">
        <v>1</v>
      </c>
      <c r="N728" s="20" t="s">
        <v>1111</v>
      </c>
      <c r="O728" s="23">
        <v>390000.0</v>
      </c>
      <c r="P728" s="35" t="b">
        <v>1</v>
      </c>
      <c r="Q728" s="23">
        <v>80000.0</v>
      </c>
      <c r="R728" s="15" t="b">
        <v>1</v>
      </c>
      <c r="S728" s="20" t="s">
        <v>1111</v>
      </c>
      <c r="T728" s="23">
        <v>390000.0</v>
      </c>
      <c r="U728" s="35" t="b">
        <v>1</v>
      </c>
      <c r="V728" s="23">
        <v>80000.0</v>
      </c>
      <c r="W728" s="15" t="b">
        <v>1</v>
      </c>
      <c r="X728" s="20" t="s">
        <v>1111</v>
      </c>
      <c r="Y728" s="23">
        <v>390000.0</v>
      </c>
      <c r="Z728" s="35" t="b">
        <v>1</v>
      </c>
      <c r="AA728" s="23">
        <v>80000.0</v>
      </c>
      <c r="AB728" s="15" t="b">
        <v>1</v>
      </c>
      <c r="AC728" s="20" t="s">
        <v>1111</v>
      </c>
      <c r="AD728" s="23">
        <v>390000.0</v>
      </c>
      <c r="AE728" s="35" t="b">
        <v>1</v>
      </c>
      <c r="AF728" s="23">
        <v>80000.0</v>
      </c>
      <c r="AG728" s="15" t="b">
        <v>1</v>
      </c>
      <c r="AH728" s="20" t="s">
        <v>1112</v>
      </c>
      <c r="AI728" s="23">
        <f>390000+14194</f>
        <v>404194</v>
      </c>
      <c r="AJ728" s="35" t="b">
        <v>1</v>
      </c>
      <c r="AK728" s="23">
        <f>80000+2581</f>
        <v>82581</v>
      </c>
      <c r="AL728" s="15" t="b">
        <v>1</v>
      </c>
      <c r="AM728" s="20" t="s">
        <v>1113</v>
      </c>
      <c r="AN728" s="23">
        <f>140000+440000</f>
        <v>580000</v>
      </c>
      <c r="AO728" s="35" t="b">
        <v>1</v>
      </c>
      <c r="AP728" s="23">
        <f>80000+80000</f>
        <v>160000</v>
      </c>
      <c r="AQ728" s="15" t="b">
        <v>1</v>
      </c>
      <c r="AR728" s="20" t="s">
        <v>1114</v>
      </c>
      <c r="AS728" s="23">
        <v>440000.0</v>
      </c>
      <c r="AT728" s="35" t="b">
        <v>1</v>
      </c>
      <c r="AU728" s="23">
        <v>80000.0</v>
      </c>
      <c r="AV728" s="15" t="b">
        <v>1</v>
      </c>
      <c r="AW728" s="20" t="s">
        <v>1114</v>
      </c>
      <c r="AX728" s="23">
        <v>440000.0</v>
      </c>
      <c r="AY728" s="35" t="b">
        <v>1</v>
      </c>
      <c r="AZ728" s="23">
        <v>80000.0</v>
      </c>
      <c r="BA728" s="15" t="b">
        <v>1</v>
      </c>
      <c r="BB728" s="20" t="s">
        <v>1114</v>
      </c>
      <c r="BC728" s="23">
        <v>440000.0</v>
      </c>
      <c r="BD728" s="35" t="b">
        <v>1</v>
      </c>
      <c r="BE728" s="23">
        <v>80000.0</v>
      </c>
      <c r="BF728" s="15" t="b">
        <v>1</v>
      </c>
      <c r="BG728" s="44" t="s">
        <v>1115</v>
      </c>
      <c r="BH728" s="23">
        <f>440000+13226</f>
        <v>453226</v>
      </c>
      <c r="BI728" s="35" t="b">
        <v>0</v>
      </c>
      <c r="BJ728" s="23">
        <f>80000+2581</f>
        <v>82581</v>
      </c>
      <c r="BK728" s="15" t="b">
        <v>0</v>
      </c>
      <c r="BL728" s="20" t="s">
        <v>1116</v>
      </c>
      <c r="BM728" s="23">
        <v>410000.0</v>
      </c>
      <c r="BN728" s="35" t="b">
        <v>0</v>
      </c>
      <c r="BO728" s="23">
        <v>80000.0</v>
      </c>
      <c r="BP728" s="15" t="b">
        <v>1</v>
      </c>
      <c r="BQ728" s="17" t="s">
        <v>321</v>
      </c>
      <c r="BR728" s="1"/>
      <c r="BS728" s="1"/>
      <c r="BT728" s="1"/>
      <c r="BU728" s="1"/>
    </row>
    <row r="729">
      <c r="A729" s="1"/>
      <c r="B729" s="21"/>
      <c r="C729" s="11" t="s">
        <v>42</v>
      </c>
      <c r="D729" s="22"/>
      <c r="E729" s="23">
        <f>SUM(E725:E728)</f>
        <v>1900000</v>
      </c>
      <c r="F729" s="18"/>
      <c r="G729" s="23">
        <f>SUM(G725:G728)</f>
        <v>320000</v>
      </c>
      <c r="H729" s="19"/>
      <c r="I729" s="22"/>
      <c r="J729" s="23">
        <f>SUM(J725:J728)</f>
        <v>1380000</v>
      </c>
      <c r="K729" s="18"/>
      <c r="L729" s="23">
        <f>SUM(L725:L728)</f>
        <v>240000</v>
      </c>
      <c r="M729" s="19"/>
      <c r="N729" s="22"/>
      <c r="O729" s="23">
        <f>SUM(O725:O728)</f>
        <v>1897000</v>
      </c>
      <c r="P729" s="18"/>
      <c r="Q729" s="23">
        <f>SUM(Q725:Q728)</f>
        <v>320000</v>
      </c>
      <c r="R729" s="19"/>
      <c r="S729" s="22"/>
      <c r="T729" s="23">
        <f>SUM(T725:T728)</f>
        <v>1897000</v>
      </c>
      <c r="U729" s="18"/>
      <c r="V729" s="23">
        <f>SUM(V725:V728)</f>
        <v>320000</v>
      </c>
      <c r="W729" s="19"/>
      <c r="X729" s="22"/>
      <c r="Y729" s="23">
        <f>SUM(Y725:Y728)</f>
        <v>1897000</v>
      </c>
      <c r="Z729" s="18"/>
      <c r="AA729" s="23">
        <f>SUM(AA725:AA728)</f>
        <v>320000</v>
      </c>
      <c r="AB729" s="19"/>
      <c r="AC729" s="22"/>
      <c r="AD729" s="23">
        <f>SUM(AD725:AD728)</f>
        <v>1681333</v>
      </c>
      <c r="AE729" s="18"/>
      <c r="AF729" s="23">
        <f>SUM(AF725:AF728)</f>
        <v>285333</v>
      </c>
      <c r="AG729" s="19"/>
      <c r="AH729" s="22"/>
      <c r="AI729" s="23">
        <f>SUM(AI725:AI728)</f>
        <v>1946894</v>
      </c>
      <c r="AJ729" s="18"/>
      <c r="AK729" s="23">
        <f>SUM(AK725:AK728)</f>
        <v>322581</v>
      </c>
      <c r="AL729" s="19"/>
      <c r="AM729" s="22"/>
      <c r="AN729" s="23">
        <f>SUM(AN725:AN728)</f>
        <v>2122700</v>
      </c>
      <c r="AO729" s="18"/>
      <c r="AP729" s="23">
        <f>SUM(AP725:AP728)</f>
        <v>400000</v>
      </c>
      <c r="AQ729" s="19"/>
      <c r="AR729" s="22"/>
      <c r="AS729" s="23">
        <f>SUM(AS725:AS728)</f>
        <v>2224700</v>
      </c>
      <c r="AT729" s="18"/>
      <c r="AU729" s="23">
        <f>SUM(AU725:AU728)</f>
        <v>368000</v>
      </c>
      <c r="AV729" s="19"/>
      <c r="AW729" s="22"/>
      <c r="AX729" s="23">
        <f>SUM(AX725:AX728)</f>
        <v>1862700</v>
      </c>
      <c r="AY729" s="18"/>
      <c r="AZ729" s="23">
        <f>SUM(AZ725:AZ728)</f>
        <v>320000</v>
      </c>
      <c r="BA729" s="19"/>
      <c r="BB729" s="22"/>
      <c r="BC729" s="23">
        <f>SUM(BC725:BC728)</f>
        <v>1862700</v>
      </c>
      <c r="BD729" s="18"/>
      <c r="BE729" s="23">
        <f>SUM(BE725:BE728)</f>
        <v>320000</v>
      </c>
      <c r="BF729" s="19"/>
      <c r="BG729" s="22"/>
      <c r="BH729" s="23">
        <f>SUM(BH725:BH728)</f>
        <v>1875926</v>
      </c>
      <c r="BI729" s="18"/>
      <c r="BJ729" s="23">
        <f>SUM(BJ725:BJ728)</f>
        <v>322581</v>
      </c>
      <c r="BK729" s="19"/>
      <c r="BL729" s="22"/>
      <c r="BM729" s="23">
        <f>SUM(BM725:BM728)</f>
        <v>1832700</v>
      </c>
      <c r="BN729" s="18"/>
      <c r="BO729" s="23">
        <f>SUM(BO725:BO728)</f>
        <v>320000</v>
      </c>
      <c r="BP729" s="19"/>
      <c r="BQ729" s="17" t="s">
        <v>321</v>
      </c>
      <c r="BR729" s="1"/>
      <c r="BS729" s="1"/>
      <c r="BT729" s="1"/>
      <c r="BU729" s="1"/>
    </row>
    <row r="730">
      <c r="A730" s="1"/>
      <c r="B730" s="21"/>
      <c r="C730" s="11" t="s">
        <v>43</v>
      </c>
      <c r="D730" s="22"/>
      <c r="E730" s="23">
        <v>1000000.0</v>
      </c>
      <c r="F730" s="18"/>
      <c r="G730" s="18"/>
      <c r="H730" s="19"/>
      <c r="I730" s="22"/>
      <c r="J730" s="23">
        <v>1000000.0</v>
      </c>
      <c r="K730" s="18"/>
      <c r="L730" s="18"/>
      <c r="M730" s="24"/>
      <c r="N730" s="22"/>
      <c r="O730" s="23">
        <v>1000000.0</v>
      </c>
      <c r="P730" s="18"/>
      <c r="Q730" s="18"/>
      <c r="R730" s="24"/>
      <c r="S730" s="22"/>
      <c r="T730" s="23">
        <v>1000000.0</v>
      </c>
      <c r="U730" s="18"/>
      <c r="V730" s="18"/>
      <c r="W730" s="24"/>
      <c r="X730" s="22"/>
      <c r="Y730" s="23">
        <v>1000000.0</v>
      </c>
      <c r="Z730" s="18"/>
      <c r="AA730" s="18"/>
      <c r="AB730" s="24"/>
      <c r="AC730" s="22"/>
      <c r="AD730" s="23">
        <v>1000000.0</v>
      </c>
      <c r="AE730" s="18"/>
      <c r="AF730" s="18"/>
      <c r="AG730" s="24"/>
      <c r="AH730" s="22"/>
      <c r="AI730" s="23">
        <v>1000000.0</v>
      </c>
      <c r="AJ730" s="18"/>
      <c r="AK730" s="18"/>
      <c r="AL730" s="24"/>
      <c r="AM730" s="22"/>
      <c r="AN730" s="23">
        <v>1000000.0</v>
      </c>
      <c r="AO730" s="18"/>
      <c r="AP730" s="18"/>
      <c r="AQ730" s="24"/>
      <c r="AR730" s="22"/>
      <c r="AS730" s="23">
        <v>1000000.0</v>
      </c>
      <c r="AT730" s="18"/>
      <c r="AU730" s="18"/>
      <c r="AV730" s="24"/>
      <c r="AW730" s="22"/>
      <c r="AX730" s="23">
        <v>1000000.0</v>
      </c>
      <c r="AY730" s="18"/>
      <c r="AZ730" s="18"/>
      <c r="BA730" s="24"/>
      <c r="BB730" s="22"/>
      <c r="BC730" s="23">
        <v>1000000.0</v>
      </c>
      <c r="BD730" s="18"/>
      <c r="BE730" s="18"/>
      <c r="BF730" s="24"/>
      <c r="BG730" s="22"/>
      <c r="BH730" s="23">
        <v>1000000.0</v>
      </c>
      <c r="BI730" s="18"/>
      <c r="BJ730" s="18"/>
      <c r="BK730" s="24"/>
      <c r="BL730" s="22"/>
      <c r="BM730" s="23">
        <v>1000000.0</v>
      </c>
      <c r="BN730" s="18"/>
      <c r="BO730" s="18"/>
      <c r="BP730" s="24"/>
      <c r="BQ730" s="17" t="s">
        <v>321</v>
      </c>
      <c r="BR730" s="1"/>
      <c r="BS730" s="1"/>
      <c r="BT730" s="1"/>
      <c r="BU730" s="1"/>
    </row>
    <row r="731">
      <c r="A731" s="1"/>
      <c r="B731" s="21"/>
      <c r="C731" s="11" t="s">
        <v>45</v>
      </c>
      <c r="D731" s="22"/>
      <c r="E731" s="23">
        <v>50000.0</v>
      </c>
      <c r="F731" s="18"/>
      <c r="G731" s="18"/>
      <c r="H731" s="19"/>
      <c r="I731" s="22"/>
      <c r="J731" s="23">
        <v>50000.0</v>
      </c>
      <c r="K731" s="18"/>
      <c r="L731" s="18"/>
      <c r="M731" s="24"/>
      <c r="N731" s="22"/>
      <c r="O731" s="23">
        <v>50000.0</v>
      </c>
      <c r="P731" s="18"/>
      <c r="Q731" s="18"/>
      <c r="R731" s="24"/>
      <c r="S731" s="22"/>
      <c r="T731" s="23">
        <v>50000.0</v>
      </c>
      <c r="U731" s="18"/>
      <c r="V731" s="18"/>
      <c r="W731" s="24"/>
      <c r="X731" s="22"/>
      <c r="Y731" s="23">
        <v>50000.0</v>
      </c>
      <c r="Z731" s="18"/>
      <c r="AA731" s="18"/>
      <c r="AB731" s="24"/>
      <c r="AC731" s="22"/>
      <c r="AD731" s="23">
        <v>50000.0</v>
      </c>
      <c r="AE731" s="18"/>
      <c r="AF731" s="18"/>
      <c r="AG731" s="24"/>
      <c r="AH731" s="22"/>
      <c r="AI731" s="23">
        <v>50000.0</v>
      </c>
      <c r="AJ731" s="18"/>
      <c r="AK731" s="18"/>
      <c r="AL731" s="24"/>
      <c r="AM731" s="22"/>
      <c r="AN731" s="23">
        <v>50000.0</v>
      </c>
      <c r="AO731" s="18"/>
      <c r="AP731" s="18"/>
      <c r="AQ731" s="24"/>
      <c r="AR731" s="22"/>
      <c r="AS731" s="23">
        <v>50000.0</v>
      </c>
      <c r="AT731" s="18"/>
      <c r="AU731" s="18"/>
      <c r="AV731" s="24"/>
      <c r="AW731" s="22"/>
      <c r="AX731" s="23">
        <v>50000.0</v>
      </c>
      <c r="AY731" s="18"/>
      <c r="AZ731" s="18"/>
      <c r="BA731" s="24"/>
      <c r="BB731" s="22"/>
      <c r="BC731" s="23">
        <v>50000.0</v>
      </c>
      <c r="BD731" s="18"/>
      <c r="BE731" s="18"/>
      <c r="BF731" s="24"/>
      <c r="BG731" s="22"/>
      <c r="BH731" s="23">
        <v>50000.0</v>
      </c>
      <c r="BI731" s="18"/>
      <c r="BJ731" s="18"/>
      <c r="BK731" s="24"/>
      <c r="BL731" s="22"/>
      <c r="BM731" s="23">
        <v>50000.0</v>
      </c>
      <c r="BN731" s="18"/>
      <c r="BO731" s="18"/>
      <c r="BP731" s="24"/>
      <c r="BQ731" s="17" t="s">
        <v>321</v>
      </c>
      <c r="BR731" s="1"/>
      <c r="BS731" s="1"/>
      <c r="BT731" s="1"/>
      <c r="BU731" s="1"/>
    </row>
    <row r="732">
      <c r="A732" s="1"/>
      <c r="B732" s="10" t="s">
        <v>1117</v>
      </c>
      <c r="C732" s="11" t="s">
        <v>47</v>
      </c>
      <c r="D732" s="22"/>
      <c r="E732" s="18"/>
      <c r="F732" s="18"/>
      <c r="G732" s="125" t="s">
        <v>1118</v>
      </c>
      <c r="H732" s="19"/>
      <c r="I732" s="22"/>
      <c r="J732" s="18"/>
      <c r="K732" s="18"/>
      <c r="L732" s="18"/>
      <c r="M732" s="19"/>
      <c r="N732" s="22"/>
      <c r="O732" s="18"/>
      <c r="P732" s="18"/>
      <c r="Q732" s="18"/>
      <c r="R732" s="19"/>
      <c r="S732" s="22"/>
      <c r="T732" s="18"/>
      <c r="U732" s="18"/>
      <c r="V732" s="18"/>
      <c r="W732" s="19"/>
      <c r="X732" s="18"/>
      <c r="Y732" s="18"/>
      <c r="Z732" s="18"/>
      <c r="AA732" s="18"/>
      <c r="AB732" s="19"/>
      <c r="AC732" s="18"/>
      <c r="AD732" s="18"/>
      <c r="AE732" s="18"/>
      <c r="AF732" s="18"/>
      <c r="AG732" s="19"/>
      <c r="AH732" s="18"/>
      <c r="AI732" s="18"/>
      <c r="AJ732" s="18"/>
      <c r="AK732" s="18"/>
      <c r="AL732" s="19"/>
      <c r="AM732" s="18"/>
      <c r="AN732" s="18"/>
      <c r="AO732" s="18"/>
      <c r="AP732" s="18"/>
      <c r="AQ732" s="19"/>
      <c r="AR732" s="22"/>
      <c r="AS732" s="18"/>
      <c r="AT732" s="18"/>
      <c r="AU732" s="18"/>
      <c r="AV732" s="19"/>
      <c r="AW732" s="22"/>
      <c r="AX732" s="18"/>
      <c r="AY732" s="18"/>
      <c r="AZ732" s="18"/>
      <c r="BA732" s="19"/>
      <c r="BB732" s="22"/>
      <c r="BC732" s="18"/>
      <c r="BD732" s="18"/>
      <c r="BE732" s="18"/>
      <c r="BF732" s="19"/>
      <c r="BG732" s="22"/>
      <c r="BH732" s="18"/>
      <c r="BI732" s="18"/>
      <c r="BJ732" s="18"/>
      <c r="BK732" s="19"/>
      <c r="BL732" s="22"/>
      <c r="BM732" s="18"/>
      <c r="BN732" s="18"/>
      <c r="BO732" s="18"/>
      <c r="BP732" s="19"/>
      <c r="BQ732" s="17" t="s">
        <v>321</v>
      </c>
      <c r="BR732" s="1"/>
      <c r="BS732" s="1"/>
      <c r="BT732" s="1"/>
      <c r="BU732" s="1"/>
    </row>
    <row r="733">
      <c r="A733" s="1"/>
      <c r="B733" s="10" t="s">
        <v>1119</v>
      </c>
      <c r="C733" s="11" t="s">
        <v>49</v>
      </c>
      <c r="D733" s="22"/>
      <c r="E733" s="18"/>
      <c r="F733" s="18"/>
      <c r="G733" s="20">
        <v>141370.0</v>
      </c>
      <c r="H733" s="19"/>
      <c r="I733" s="22"/>
      <c r="J733" s="18"/>
      <c r="K733" s="18"/>
      <c r="L733" s="23">
        <v>165590.0</v>
      </c>
      <c r="M733" s="19"/>
      <c r="N733" s="22"/>
      <c r="O733" s="18"/>
      <c r="P733" s="18"/>
      <c r="Q733" s="23">
        <v>115760.0</v>
      </c>
      <c r="R733" s="19"/>
      <c r="S733" s="22"/>
      <c r="T733" s="18"/>
      <c r="U733" s="18"/>
      <c r="V733" s="23">
        <v>101220.0</v>
      </c>
      <c r="W733" s="19"/>
      <c r="X733" s="18"/>
      <c r="Y733" s="18"/>
      <c r="Z733" s="18"/>
      <c r="AA733" s="23">
        <v>73460.0</v>
      </c>
      <c r="AB733" s="19"/>
      <c r="AC733" s="18"/>
      <c r="AD733" s="18"/>
      <c r="AE733" s="18"/>
      <c r="AF733" s="23">
        <v>23720.0</v>
      </c>
      <c r="AG733" s="19"/>
      <c r="AH733" s="18"/>
      <c r="AI733" s="18"/>
      <c r="AJ733" s="18"/>
      <c r="AK733" s="23">
        <v>8210.0</v>
      </c>
      <c r="AL733" s="19"/>
      <c r="AM733" s="18"/>
      <c r="AN733" s="18"/>
      <c r="AO733" s="18"/>
      <c r="AP733" s="23">
        <v>13520.0</v>
      </c>
      <c r="AQ733" s="19"/>
      <c r="AR733" s="22"/>
      <c r="AS733" s="18"/>
      <c r="AT733" s="18"/>
      <c r="AU733" s="23">
        <v>12850.0</v>
      </c>
      <c r="AV733" s="19"/>
      <c r="AW733" s="22"/>
      <c r="AX733" s="18"/>
      <c r="AY733" s="18"/>
      <c r="AZ733" s="23">
        <v>23260.0</v>
      </c>
      <c r="BA733" s="19"/>
      <c r="BB733" s="22"/>
      <c r="BC733" s="18"/>
      <c r="BD733" s="18"/>
      <c r="BE733" s="23">
        <v>28470.0</v>
      </c>
      <c r="BF733" s="19"/>
      <c r="BG733" s="22"/>
      <c r="BH733" s="18"/>
      <c r="BI733" s="18"/>
      <c r="BJ733" s="23">
        <v>142470.0</v>
      </c>
      <c r="BK733" s="19"/>
      <c r="BL733" s="22"/>
      <c r="BM733" s="18"/>
      <c r="BN733" s="18"/>
      <c r="BO733" s="18"/>
      <c r="BP733" s="19"/>
      <c r="BQ733" s="17" t="s">
        <v>321</v>
      </c>
      <c r="BR733" s="1"/>
      <c r="BS733" s="1"/>
      <c r="BT733" s="1"/>
      <c r="BU733" s="1"/>
    </row>
    <row r="734">
      <c r="A734" s="1"/>
      <c r="B734" s="10" t="s">
        <v>1120</v>
      </c>
      <c r="C734" s="11" t="s">
        <v>51</v>
      </c>
      <c r="D734" s="22"/>
      <c r="E734" s="18"/>
      <c r="F734" s="18"/>
      <c r="G734" s="20" t="s">
        <v>1121</v>
      </c>
      <c r="H734" s="19"/>
      <c r="I734" s="22"/>
      <c r="J734" s="18"/>
      <c r="K734" s="18"/>
      <c r="L734" s="18"/>
      <c r="M734" s="19"/>
      <c r="N734" s="22"/>
      <c r="O734" s="18"/>
      <c r="P734" s="18"/>
      <c r="Q734" s="18"/>
      <c r="R734" s="19"/>
      <c r="S734" s="22"/>
      <c r="T734" s="18"/>
      <c r="U734" s="18"/>
      <c r="V734" s="18"/>
      <c r="W734" s="19"/>
      <c r="X734" s="18"/>
      <c r="Y734" s="18"/>
      <c r="Z734" s="18"/>
      <c r="AA734" s="18"/>
      <c r="AB734" s="19"/>
      <c r="AC734" s="18"/>
      <c r="AD734" s="18"/>
      <c r="AE734" s="18"/>
      <c r="AF734" s="18"/>
      <c r="AG734" s="19"/>
      <c r="AH734" s="18"/>
      <c r="AI734" s="18"/>
      <c r="AJ734" s="18"/>
      <c r="AK734" s="18"/>
      <c r="AL734" s="19"/>
      <c r="AM734" s="18"/>
      <c r="AN734" s="18"/>
      <c r="AO734" s="18"/>
      <c r="AP734" s="18"/>
      <c r="AQ734" s="19"/>
      <c r="AR734" s="22"/>
      <c r="AS734" s="18"/>
      <c r="AT734" s="18"/>
      <c r="AU734" s="18"/>
      <c r="AV734" s="19"/>
      <c r="AW734" s="22"/>
      <c r="AX734" s="18"/>
      <c r="AY734" s="18"/>
      <c r="AZ734" s="18"/>
      <c r="BA734" s="19"/>
      <c r="BB734" s="22"/>
      <c r="BC734" s="18"/>
      <c r="BD734" s="18"/>
      <c r="BE734" s="18"/>
      <c r="BF734" s="19"/>
      <c r="BG734" s="22"/>
      <c r="BH734" s="18"/>
      <c r="BI734" s="18"/>
      <c r="BJ734" s="18"/>
      <c r="BK734" s="19"/>
      <c r="BL734" s="22"/>
      <c r="BM734" s="18"/>
      <c r="BN734" s="18"/>
      <c r="BO734" s="18"/>
      <c r="BP734" s="19"/>
      <c r="BQ734" s="17" t="s">
        <v>321</v>
      </c>
      <c r="BR734" s="1"/>
      <c r="BS734" s="1"/>
      <c r="BT734" s="1"/>
      <c r="BU734" s="1"/>
    </row>
    <row r="735">
      <c r="A735" s="1"/>
      <c r="B735" s="21"/>
      <c r="C735" s="11" t="s">
        <v>52</v>
      </c>
      <c r="D735" s="22"/>
      <c r="E735" s="18"/>
      <c r="F735" s="18"/>
      <c r="G735" s="23" t="s">
        <v>263</v>
      </c>
      <c r="H735" s="19"/>
      <c r="I735" s="22"/>
      <c r="J735" s="18"/>
      <c r="K735" s="18"/>
      <c r="L735" s="18"/>
      <c r="M735" s="19"/>
      <c r="N735" s="22"/>
      <c r="O735" s="18"/>
      <c r="P735" s="18"/>
      <c r="Q735" s="18"/>
      <c r="R735" s="19"/>
      <c r="S735" s="22"/>
      <c r="T735" s="18"/>
      <c r="U735" s="18"/>
      <c r="V735" s="18"/>
      <c r="W735" s="19"/>
      <c r="X735" s="18"/>
      <c r="Y735" s="18"/>
      <c r="Z735" s="18"/>
      <c r="AA735" s="18"/>
      <c r="AB735" s="19"/>
      <c r="AC735" s="18"/>
      <c r="AD735" s="18"/>
      <c r="AE735" s="18"/>
      <c r="AF735" s="18"/>
      <c r="AG735" s="19"/>
      <c r="AH735" s="18"/>
      <c r="AI735" s="18"/>
      <c r="AJ735" s="18"/>
      <c r="AK735" s="18"/>
      <c r="AL735" s="19"/>
      <c r="AM735" s="18"/>
      <c r="AN735" s="18"/>
      <c r="AO735" s="18"/>
      <c r="AP735" s="18"/>
      <c r="AQ735" s="19"/>
      <c r="AR735" s="22"/>
      <c r="AS735" s="18"/>
      <c r="AT735" s="18"/>
      <c r="AU735" s="18"/>
      <c r="AV735" s="19"/>
      <c r="AW735" s="22"/>
      <c r="AX735" s="18"/>
      <c r="AY735" s="18"/>
      <c r="AZ735" s="18"/>
      <c r="BA735" s="19"/>
      <c r="BB735" s="22"/>
      <c r="BC735" s="18"/>
      <c r="BD735" s="18"/>
      <c r="BE735" s="18"/>
      <c r="BF735" s="19"/>
      <c r="BG735" s="22"/>
      <c r="BH735" s="18"/>
      <c r="BI735" s="18"/>
      <c r="BJ735" s="18"/>
      <c r="BK735" s="19"/>
      <c r="BL735" s="22"/>
      <c r="BM735" s="18"/>
      <c r="BN735" s="18"/>
      <c r="BO735" s="18"/>
      <c r="BP735" s="19"/>
      <c r="BQ735" s="17" t="s">
        <v>321</v>
      </c>
      <c r="BR735" s="1"/>
      <c r="BS735" s="1"/>
      <c r="BT735" s="1"/>
      <c r="BU735" s="1"/>
    </row>
    <row r="736">
      <c r="A736" s="1"/>
      <c r="B736" s="10" t="s">
        <v>264</v>
      </c>
      <c r="C736" s="11" t="s">
        <v>53</v>
      </c>
      <c r="D736" s="22"/>
      <c r="E736" s="18"/>
      <c r="F736" s="18"/>
      <c r="G736" s="23">
        <v>11000.0</v>
      </c>
      <c r="H736" s="19"/>
      <c r="I736" s="22"/>
      <c r="J736" s="18"/>
      <c r="K736" s="18"/>
      <c r="L736" s="23">
        <v>11000.0</v>
      </c>
      <c r="M736" s="19"/>
      <c r="N736" s="22"/>
      <c r="O736" s="18"/>
      <c r="P736" s="18"/>
      <c r="Q736" s="23">
        <v>11000.0</v>
      </c>
      <c r="R736" s="19"/>
      <c r="S736" s="22"/>
      <c r="T736" s="18"/>
      <c r="U736" s="18"/>
      <c r="V736" s="23">
        <v>11000.0</v>
      </c>
      <c r="W736" s="19"/>
      <c r="X736" s="22"/>
      <c r="Y736" s="18"/>
      <c r="Z736" s="18"/>
      <c r="AA736" s="23">
        <v>11000.0</v>
      </c>
      <c r="AB736" s="19"/>
      <c r="AC736" s="22"/>
      <c r="AD736" s="18"/>
      <c r="AE736" s="18"/>
      <c r="AF736" s="23">
        <v>11000.0</v>
      </c>
      <c r="AG736" s="19"/>
      <c r="AH736" s="22"/>
      <c r="AI736" s="18"/>
      <c r="AJ736" s="18"/>
      <c r="AK736" s="23">
        <v>11000.0</v>
      </c>
      <c r="AL736" s="19"/>
      <c r="AM736" s="22"/>
      <c r="AN736" s="18"/>
      <c r="AO736" s="18"/>
      <c r="AP736" s="23">
        <v>11000.0</v>
      </c>
      <c r="AQ736" s="19"/>
      <c r="AR736" s="22"/>
      <c r="AS736" s="18"/>
      <c r="AT736" s="18"/>
      <c r="AU736" s="23">
        <v>11000.0</v>
      </c>
      <c r="AV736" s="19"/>
      <c r="AW736" s="22"/>
      <c r="AX736" s="18"/>
      <c r="AY736" s="18"/>
      <c r="AZ736" s="23">
        <v>11000.0</v>
      </c>
      <c r="BA736" s="19"/>
      <c r="BB736" s="22"/>
      <c r="BC736" s="18"/>
      <c r="BD736" s="18"/>
      <c r="BE736" s="23">
        <v>11000.0</v>
      </c>
      <c r="BF736" s="19"/>
      <c r="BG736" s="22"/>
      <c r="BH736" s="18"/>
      <c r="BI736" s="18"/>
      <c r="BJ736" s="23">
        <v>11000.0</v>
      </c>
      <c r="BK736" s="19"/>
      <c r="BL736" s="22"/>
      <c r="BM736" s="18"/>
      <c r="BN736" s="18"/>
      <c r="BO736" s="23">
        <v>11000.0</v>
      </c>
      <c r="BP736" s="19"/>
      <c r="BQ736" s="17" t="s">
        <v>321</v>
      </c>
      <c r="BR736" s="1"/>
      <c r="BS736" s="1"/>
      <c r="BT736" s="1"/>
      <c r="BU736" s="1"/>
    </row>
    <row r="737">
      <c r="A737" s="1"/>
      <c r="B737" s="21"/>
      <c r="C737" s="11" t="s">
        <v>54</v>
      </c>
      <c r="D737" s="22"/>
      <c r="E737" s="18"/>
      <c r="F737" s="18"/>
      <c r="G737" s="23">
        <f>SUMIFS('지출'!$G$3:$G1000,'지출'!$J$3:$J1000,G$1,'지출'!$C$3:$C1000,"동지")</f>
        <v>115050</v>
      </c>
      <c r="H737" s="19"/>
      <c r="I737" s="22"/>
      <c r="J737" s="18"/>
      <c r="K737" s="18"/>
      <c r="L737" s="23">
        <f>SUMIFS('지출'!$G$3:$G1000,'지출'!$J$3:$J1000,L$1,'지출'!$C$3:$C1000,"동지")</f>
        <v>42000</v>
      </c>
      <c r="M737" s="24"/>
      <c r="N737" s="18"/>
      <c r="O737" s="18"/>
      <c r="P737" s="18"/>
      <c r="Q737" s="23">
        <f>SUMIFS('지출'!$G$3:$G1000,'지출'!$J$3:$J1000,Q$1,'지출'!$C$3:$C1000,"동지")</f>
        <v>28240</v>
      </c>
      <c r="R737" s="24"/>
      <c r="S737" s="18"/>
      <c r="T737" s="18"/>
      <c r="U737" s="18"/>
      <c r="V737" s="23">
        <f>SUMIFS('지출'!$G$3:$G1000,'지출'!$J$3:$J1000,V$1,'지출'!$C$3:$C1000,"동지")</f>
        <v>0</v>
      </c>
      <c r="W737" s="24"/>
      <c r="X737" s="18"/>
      <c r="Y737" s="18"/>
      <c r="Z737" s="18"/>
      <c r="AA737" s="23">
        <f>SUMIFS('지출'!$G$3:$G1000,'지출'!$J$3:$J1000,AA$1,'지출'!$C$3:$C1000,"동지")</f>
        <v>0</v>
      </c>
      <c r="AB737" s="93">
        <f>SUMIFS('지출'!$G$3:$G1000,'지출'!$J$3:$J1000,AB$1,'지출'!$C$3:$C1000,"동지")</f>
        <v>0</v>
      </c>
      <c r="AC737" s="23">
        <f>SUMIFS('지출'!$G$3:$G1000,'지출'!$J$3:$J1000,AC$1,'지출'!$C$3:$C1000,"동지")</f>
        <v>0</v>
      </c>
      <c r="AD737" s="23">
        <f>SUMIFS('지출'!$G$3:$G1000,'지출'!$J$3:$J1000,AD$1,'지출'!$C$3:$C1000,"동지")</f>
        <v>0</v>
      </c>
      <c r="AE737" s="23">
        <f>SUMIFS('지출'!$G$3:$G1000,'지출'!$J$3:$J1000,AE$1,'지출'!$C$3:$C1000,"동지")</f>
        <v>0</v>
      </c>
      <c r="AF737" s="23">
        <f>SUMIFS('지출'!$G$3:$G1000,'지출'!$J$3:$J1000,AF$1,'지출'!$C$3:$C1000,"동지")</f>
        <v>0</v>
      </c>
      <c r="AG737" s="93">
        <f>SUMIFS('지출'!$G$3:$G1000,'지출'!$J$3:$J1000,AG$1,'지출'!$C$3:$C1000,"동지")</f>
        <v>0</v>
      </c>
      <c r="AH737" s="23">
        <f>SUMIFS('지출'!$G$3:$G1000,'지출'!$J$3:$J1000,AH$1,'지출'!$C$3:$C1000,"동지")</f>
        <v>0</v>
      </c>
      <c r="AI737" s="23">
        <f>SUMIFS('지출'!$G$3:$G1000,'지출'!$J$3:$J1000,AI$1,'지출'!$C$3:$C1000,"동지")</f>
        <v>0</v>
      </c>
      <c r="AJ737" s="23">
        <f>SUMIFS('지출'!$G$3:$G1000,'지출'!$J$3:$J1000,AJ$1,'지출'!$C$3:$C1000,"동지")</f>
        <v>0</v>
      </c>
      <c r="AK737" s="23">
        <f>SUMIFS('지출'!$G$3:$G1000,'지출'!$J$3:$J1000,AK$1,'지출'!$C$3:$C1000,"동지")</f>
        <v>0</v>
      </c>
      <c r="AL737" s="93">
        <f>SUMIFS('지출'!$G$3:$G1000,'지출'!$J$3:$J1000,AL$1,'지출'!$C$3:$C1000,"동지")</f>
        <v>0</v>
      </c>
      <c r="AM737" s="23">
        <f>SUMIFS('지출'!$G$3:$G1000,'지출'!$J$3:$J1000,AM$1,'지출'!$C$3:$C1000,"동지")</f>
        <v>0</v>
      </c>
      <c r="AN737" s="23">
        <f>SUMIFS('지출'!$G$3:$G1000,'지출'!$J$3:$J1000,AN$1,'지출'!$C$3:$C1000,"동지")</f>
        <v>0</v>
      </c>
      <c r="AO737" s="23">
        <f>SUMIFS('지출'!$G$3:$G1000,'지출'!$J$3:$J1000,AO$1,'지출'!$C$3:$C1000,"동지")</f>
        <v>0</v>
      </c>
      <c r="AP737" s="23">
        <f>SUMIFS('지출'!$G$3:$G1000,'지출'!$J$3:$J1000,AP$1,'지출'!$C$3:$C1000,"동지")</f>
        <v>0</v>
      </c>
      <c r="AQ737" s="93">
        <f>SUMIFS('지출'!$G$3:$G1000,'지출'!$J$3:$J1000,AQ$1,'지출'!$C$3:$C1000,"동지")</f>
        <v>0</v>
      </c>
      <c r="AR737" s="23">
        <f>SUMIFS('지출'!$G$3:$G1000,'지출'!$J$3:$J1000,AR$1,'지출'!$C$3:$C1000,"동지")</f>
        <v>0</v>
      </c>
      <c r="AS737" s="23">
        <f>SUMIFS('지출'!$G$3:$G1000,'지출'!$J$3:$J1000,AS$1,'지출'!$C$3:$C1000,"동지")</f>
        <v>0</v>
      </c>
      <c r="AT737" s="23">
        <f>SUMIFS('지출'!$G$3:$G1000,'지출'!$J$3:$J1000,AT$1,'지출'!$C$3:$C1000,"동지")</f>
        <v>0</v>
      </c>
      <c r="AU737" s="23">
        <f>SUMIFS('지출'!$G$3:$G1000,'지출'!$J$3:$J1000,AU$1,'지출'!$C$3:$C1000,"동지")</f>
        <v>0</v>
      </c>
      <c r="AV737" s="93">
        <f>SUMIFS('지출'!$G$3:$G1000,'지출'!$J$3:$J1000,AV$1,'지출'!$C$3:$C1000,"동지")</f>
        <v>0</v>
      </c>
      <c r="AW737" s="23">
        <f>SUMIFS('지출'!$G$3:$G1000,'지출'!$J$3:$J1000,AW$1,'지출'!$C$3:$C1000,"동지")</f>
        <v>0</v>
      </c>
      <c r="AX737" s="23">
        <f>SUMIFS('지출'!$G$3:$G1000,'지출'!$J$3:$J1000,AX$1,'지출'!$C$3:$C1000,"동지")</f>
        <v>0</v>
      </c>
      <c r="AY737" s="23">
        <f>SUMIFS('지출'!$G$3:$G1000,'지출'!$J$3:$J1000,AY$1,'지출'!$C$3:$C1000,"동지")</f>
        <v>0</v>
      </c>
      <c r="AZ737" s="23">
        <f>SUMIFS('지출'!$G$3:$G1000,'지출'!$J$3:$J1000,AZ$1,'지출'!$C$3:$C1000,"동지")</f>
        <v>0</v>
      </c>
      <c r="BA737" s="93">
        <f>SUMIFS('지출'!$G$3:$G1000,'지출'!$J$3:$J1000,BA$1,'지출'!$C$3:$C1000,"동지")</f>
        <v>0</v>
      </c>
      <c r="BB737" s="23">
        <f>SUMIFS('지출'!$G$3:$G1000,'지출'!$J$3:$J1000,BB$1,'지출'!$C$3:$C1000,"동지")</f>
        <v>0</v>
      </c>
      <c r="BC737" s="23">
        <f>SUMIFS('지출'!$G$3:$G1000,'지출'!$J$3:$J1000,BC$1,'지출'!$C$3:$C1000,"동지")</f>
        <v>0</v>
      </c>
      <c r="BD737" s="23">
        <f>SUMIFS('지출'!$G$3:$G1000,'지출'!$J$3:$J1000,BD$1,'지출'!$C$3:$C1000,"동지")</f>
        <v>0</v>
      </c>
      <c r="BE737" s="23">
        <f>SUMIFS('지출'!$G$3:$G1000,'지출'!$J$3:$J1000,BE$1,'지출'!$C$3:$C1000,"동지")</f>
        <v>0</v>
      </c>
      <c r="BF737" s="93">
        <f>SUMIFS('지출'!$G$3:$G1000,'지출'!$J$3:$J1000,BF$1,'지출'!$C$3:$C1000,"동지")</f>
        <v>0</v>
      </c>
      <c r="BG737" s="23">
        <f>SUMIFS('지출'!$G$3:$G1000,'지출'!$J$3:$J1000,BG$1,'지출'!$C$3:$C1000,"동지")</f>
        <v>0</v>
      </c>
      <c r="BH737" s="23">
        <f>SUMIFS('지출'!$G$3:$G1000,'지출'!$J$3:$J1000,BH$1,'지출'!$C$3:$C1000,"동지")</f>
        <v>0</v>
      </c>
      <c r="BI737" s="23">
        <f>SUMIFS('지출'!$G$3:$G1000,'지출'!$J$3:$J1000,BI$1,'지출'!$C$3:$C1000,"동지")</f>
        <v>0</v>
      </c>
      <c r="BJ737" s="23">
        <f>SUMIFS('지출'!$G$3:$G1000,'지출'!$J$3:$J1000,BJ$1,'지출'!$C$3:$C1000,"동지")</f>
        <v>0</v>
      </c>
      <c r="BK737" s="19"/>
      <c r="BL737" s="23">
        <f>SUMIFS('지출'!$G$3:$G1000,'지출'!$J$3:$J1000,BL$1,'지출'!$C$3:$C1000,"동지")</f>
        <v>0</v>
      </c>
      <c r="BM737" s="23">
        <f>SUMIFS('지출'!$G$3:$G1000,'지출'!$J$3:$J1000,BM$1,'지출'!$C$3:$C1000,"동지")</f>
        <v>0</v>
      </c>
      <c r="BN737" s="23">
        <f>SUMIFS('지출'!$G$3:$G1000,'지출'!$J$3:$J1000,BN$1,'지출'!$C$3:$C1000,"동지")</f>
        <v>0</v>
      </c>
      <c r="BO737" s="23">
        <f>SUMIFS('지출'!$G$3:$G1000,'지출'!$J$3:$J1000,BO$1,'지출'!$C$3:$C1000,"동지")</f>
        <v>115050</v>
      </c>
      <c r="BP737" s="19"/>
      <c r="BQ737" s="17" t="s">
        <v>321</v>
      </c>
      <c r="BR737" s="1"/>
      <c r="BS737" s="1"/>
      <c r="BT737" s="1"/>
      <c r="BU737" s="1"/>
    </row>
    <row r="738">
      <c r="A738" s="1"/>
      <c r="B738" s="21"/>
      <c r="C738" s="11" t="s">
        <v>56</v>
      </c>
      <c r="D738" s="22"/>
      <c r="E738" s="23">
        <f>E729-(SUM(E730:E737))</f>
        <v>850000</v>
      </c>
      <c r="F738" s="18"/>
      <c r="G738" s="23">
        <f>G729-(SUM(G730:G737))</f>
        <v>52580</v>
      </c>
      <c r="H738" s="19"/>
      <c r="I738" s="22"/>
      <c r="J738" s="23">
        <f>J729-(SUM(J730:J737))</f>
        <v>330000</v>
      </c>
      <c r="K738" s="18"/>
      <c r="L738" s="23">
        <f>L729-(SUM(L730:L737))</f>
        <v>21410</v>
      </c>
      <c r="M738" s="19"/>
      <c r="N738" s="22"/>
      <c r="O738" s="23">
        <f>O729-(SUM(O730:O737))</f>
        <v>847000</v>
      </c>
      <c r="P738" s="18"/>
      <c r="Q738" s="23">
        <f>Q729-(SUM(Q730:Q737))</f>
        <v>165000</v>
      </c>
      <c r="R738" s="19"/>
      <c r="S738" s="22"/>
      <c r="T738" s="23">
        <f>T729-(SUM(T730:T737))</f>
        <v>847000</v>
      </c>
      <c r="U738" s="18"/>
      <c r="V738" s="23">
        <f>V729-(SUM(V730:V737))</f>
        <v>207780</v>
      </c>
      <c r="W738" s="19"/>
      <c r="X738" s="18"/>
      <c r="Y738" s="23">
        <f>Y729-(SUM(Y730:Y737))</f>
        <v>847000</v>
      </c>
      <c r="Z738" s="18"/>
      <c r="AA738" s="23">
        <f>AA729-(SUM(AA730:AA737))</f>
        <v>235540</v>
      </c>
      <c r="AB738" s="19"/>
      <c r="AC738" s="18"/>
      <c r="AD738" s="23">
        <f>AD729-(SUM(AD730:AD737))</f>
        <v>631333</v>
      </c>
      <c r="AE738" s="18"/>
      <c r="AF738" s="23">
        <f>AF729-(SUM(AF730:AF737))</f>
        <v>250613</v>
      </c>
      <c r="AG738" s="19"/>
      <c r="AH738" s="18"/>
      <c r="AI738" s="23">
        <f>AI729-(SUM(AI730:AI737))</f>
        <v>896894</v>
      </c>
      <c r="AJ738" s="18"/>
      <c r="AK738" s="23">
        <f>AK729-(SUM(AK730:AK737))</f>
        <v>303371</v>
      </c>
      <c r="AL738" s="19"/>
      <c r="AM738" s="18"/>
      <c r="AN738" s="23">
        <f>AN729-(SUM(AN730:AN737))</f>
        <v>1072700</v>
      </c>
      <c r="AO738" s="18"/>
      <c r="AP738" s="23">
        <f>AP729-(SUM(AP730:AP737))</f>
        <v>375480</v>
      </c>
      <c r="AQ738" s="19"/>
      <c r="AR738" s="22"/>
      <c r="AS738" s="23">
        <f>AS729-(SUM(AS730:AS737))</f>
        <v>1174700</v>
      </c>
      <c r="AT738" s="18"/>
      <c r="AU738" s="23">
        <f>AU729-(SUM(AU730:AU737))</f>
        <v>344150</v>
      </c>
      <c r="AV738" s="19"/>
      <c r="AW738" s="22"/>
      <c r="AX738" s="23">
        <f>AX729-(SUM(AX730:AX737))</f>
        <v>812700</v>
      </c>
      <c r="AY738" s="18"/>
      <c r="AZ738" s="23">
        <f>AZ729-(SUM(AZ730:AZ737))</f>
        <v>285740</v>
      </c>
      <c r="BA738" s="19"/>
      <c r="BB738" s="22"/>
      <c r="BC738" s="23">
        <f>BC729-(SUM(BC730:BC737))</f>
        <v>812700</v>
      </c>
      <c r="BD738" s="18"/>
      <c r="BE738" s="23">
        <f>BE729-(SUM(BE730:BE737))</f>
        <v>280530</v>
      </c>
      <c r="BF738" s="19"/>
      <c r="BG738" s="22"/>
      <c r="BH738" s="23">
        <f>BH729-(SUM(BH730:BH737))</f>
        <v>825926</v>
      </c>
      <c r="BI738" s="18"/>
      <c r="BJ738" s="23">
        <f>BJ729-(SUM(BJ730:BJ737))</f>
        <v>169111</v>
      </c>
      <c r="BK738" s="19"/>
      <c r="BL738" s="22"/>
      <c r="BM738" s="23">
        <f>BM729-(SUM(BM730:BM737))</f>
        <v>782700</v>
      </c>
      <c r="BN738" s="18"/>
      <c r="BO738" s="23">
        <f>BO729-(SUM(BO730:BO737))</f>
        <v>193950</v>
      </c>
      <c r="BP738" s="19"/>
      <c r="BQ738" s="17" t="s">
        <v>321</v>
      </c>
      <c r="BR738" s="1"/>
      <c r="BS738" s="1"/>
      <c r="BT738" s="1"/>
      <c r="BU738" s="1"/>
    </row>
    <row r="739">
      <c r="A739" s="1"/>
      <c r="B739" s="10" t="s">
        <v>1040</v>
      </c>
      <c r="C739" s="11" t="s">
        <v>26</v>
      </c>
      <c r="D739" s="22"/>
      <c r="E739" s="23">
        <v>125000.0</v>
      </c>
      <c r="F739" s="18"/>
      <c r="G739" s="18"/>
      <c r="H739" s="19"/>
      <c r="I739" s="22"/>
      <c r="J739" s="23">
        <v>125000.0</v>
      </c>
      <c r="K739" s="18"/>
      <c r="L739" s="18"/>
      <c r="M739" s="19"/>
      <c r="N739" s="22"/>
      <c r="O739" s="23">
        <v>125000.0</v>
      </c>
      <c r="P739" s="18"/>
      <c r="Q739" s="18"/>
      <c r="R739" s="19"/>
      <c r="S739" s="22"/>
      <c r="T739" s="23">
        <v>125000.0</v>
      </c>
      <c r="U739" s="18"/>
      <c r="V739" s="18"/>
      <c r="W739" s="19"/>
      <c r="X739" s="18"/>
      <c r="Y739" s="23">
        <v>125000.0</v>
      </c>
      <c r="Z739" s="18"/>
      <c r="AA739" s="18"/>
      <c r="AB739" s="19"/>
      <c r="AC739" s="18"/>
      <c r="AD739" s="23">
        <v>125000.0</v>
      </c>
      <c r="AE739" s="18"/>
      <c r="AF739" s="18"/>
      <c r="AG739" s="19"/>
      <c r="AH739" s="20" t="s">
        <v>44</v>
      </c>
      <c r="AI739" s="23">
        <v>0.0</v>
      </c>
      <c r="AJ739" s="18"/>
      <c r="AK739" s="18"/>
      <c r="AL739" s="19"/>
      <c r="AM739" s="20" t="s">
        <v>44</v>
      </c>
      <c r="AN739" s="23">
        <v>0.0</v>
      </c>
      <c r="AO739" s="18"/>
      <c r="AP739" s="18"/>
      <c r="AQ739" s="19"/>
      <c r="AR739" s="20" t="s">
        <v>44</v>
      </c>
      <c r="AS739" s="23">
        <v>0.0</v>
      </c>
      <c r="AT739" s="18"/>
      <c r="AU739" s="18"/>
      <c r="AV739" s="19"/>
      <c r="AW739" s="20" t="s">
        <v>44</v>
      </c>
      <c r="AX739" s="23">
        <v>0.0</v>
      </c>
      <c r="AY739" s="18"/>
      <c r="AZ739" s="18"/>
      <c r="BA739" s="19"/>
      <c r="BB739" s="20" t="s">
        <v>44</v>
      </c>
      <c r="BC739" s="23">
        <v>0.0</v>
      </c>
      <c r="BD739" s="18"/>
      <c r="BE739" s="18"/>
      <c r="BF739" s="19"/>
      <c r="BG739" s="20" t="s">
        <v>44</v>
      </c>
      <c r="BH739" s="23">
        <v>0.0</v>
      </c>
      <c r="BI739" s="18"/>
      <c r="BJ739" s="18"/>
      <c r="BK739" s="19"/>
      <c r="BL739" s="20" t="s">
        <v>44</v>
      </c>
      <c r="BM739" s="23">
        <v>0.0</v>
      </c>
      <c r="BN739" s="18"/>
      <c r="BO739" s="18"/>
      <c r="BP739" s="19"/>
      <c r="BQ739" s="17" t="s">
        <v>321</v>
      </c>
      <c r="BR739" s="1"/>
      <c r="BS739" s="1"/>
      <c r="BT739" s="1"/>
      <c r="BU739" s="1"/>
    </row>
    <row r="740">
      <c r="A740" s="67" t="str">
        <f>B725</f>
        <v>동지</v>
      </c>
      <c r="B740" s="29">
        <v>1.0</v>
      </c>
      <c r="C740" s="30" t="s">
        <v>57</v>
      </c>
      <c r="D740" s="31"/>
      <c r="E740" s="32">
        <f>E738-E739</f>
        <v>725000</v>
      </c>
      <c r="F740" s="33"/>
      <c r="G740" s="33"/>
      <c r="H740" s="34"/>
      <c r="I740" s="31"/>
      <c r="J740" s="32">
        <f>J738-J739</f>
        <v>205000</v>
      </c>
      <c r="K740" s="33"/>
      <c r="L740" s="33"/>
      <c r="M740" s="34"/>
      <c r="N740" s="31"/>
      <c r="O740" s="32">
        <f>O738-O739</f>
        <v>722000</v>
      </c>
      <c r="P740" s="33"/>
      <c r="Q740" s="33"/>
      <c r="R740" s="34"/>
      <c r="S740" s="31"/>
      <c r="T740" s="32">
        <f>T738-T739</f>
        <v>722000</v>
      </c>
      <c r="U740" s="33"/>
      <c r="V740" s="33"/>
      <c r="W740" s="34"/>
      <c r="X740" s="33"/>
      <c r="Y740" s="32">
        <f>Y738-Y739</f>
        <v>722000</v>
      </c>
      <c r="Z740" s="33"/>
      <c r="AA740" s="33"/>
      <c r="AB740" s="34"/>
      <c r="AC740" s="33"/>
      <c r="AD740" s="32">
        <f>AD738-AD739</f>
        <v>506333</v>
      </c>
      <c r="AE740" s="33"/>
      <c r="AF740" s="33"/>
      <c r="AG740" s="34"/>
      <c r="AH740" s="33"/>
      <c r="AI740" s="32">
        <f>AI738-AI739</f>
        <v>896894</v>
      </c>
      <c r="AJ740" s="33"/>
      <c r="AK740" s="33"/>
      <c r="AL740" s="34"/>
      <c r="AM740" s="33"/>
      <c r="AN740" s="32">
        <f>AN738-AN739</f>
        <v>1072700</v>
      </c>
      <c r="AO740" s="33"/>
      <c r="AP740" s="33"/>
      <c r="AQ740" s="34"/>
      <c r="AR740" s="31"/>
      <c r="AS740" s="32">
        <f>AS738-AS739</f>
        <v>1174700</v>
      </c>
      <c r="AT740" s="33"/>
      <c r="AU740" s="33"/>
      <c r="AV740" s="34"/>
      <c r="AW740" s="31"/>
      <c r="AX740" s="32">
        <f>AX738-AX739</f>
        <v>812700</v>
      </c>
      <c r="AY740" s="33"/>
      <c r="AZ740" s="33"/>
      <c r="BA740" s="34"/>
      <c r="BB740" s="31"/>
      <c r="BC740" s="32">
        <f>BC738-BC739</f>
        <v>812700</v>
      </c>
      <c r="BD740" s="33"/>
      <c r="BE740" s="33"/>
      <c r="BF740" s="34"/>
      <c r="BG740" s="31"/>
      <c r="BH740" s="32">
        <f>BH738-BH739</f>
        <v>825926</v>
      </c>
      <c r="BI740" s="33"/>
      <c r="BJ740" s="33"/>
      <c r="BK740" s="34"/>
      <c r="BL740" s="31"/>
      <c r="BM740" s="32">
        <f>BM738-BM739</f>
        <v>782700</v>
      </c>
      <c r="BN740" s="33"/>
      <c r="BO740" s="33"/>
      <c r="BP740" s="34"/>
      <c r="BQ740" s="17" t="s">
        <v>321</v>
      </c>
      <c r="BR740" s="1"/>
      <c r="BS740" s="1"/>
      <c r="BT740" s="1"/>
      <c r="BU740" s="1"/>
    </row>
    <row r="741">
      <c r="A741" s="1"/>
      <c r="B741" s="27" t="s">
        <v>1122</v>
      </c>
      <c r="C741" s="11" t="s">
        <v>320</v>
      </c>
      <c r="D741" s="20" t="s">
        <v>1123</v>
      </c>
      <c r="E741" s="23">
        <v>480000.0</v>
      </c>
      <c r="F741" s="35" t="b">
        <v>1</v>
      </c>
      <c r="G741" s="23">
        <v>80000.0</v>
      </c>
      <c r="H741" s="15" t="b">
        <v>1</v>
      </c>
      <c r="I741" s="20" t="s">
        <v>1124</v>
      </c>
      <c r="J741" s="23">
        <f>480000+17931</f>
        <v>497931</v>
      </c>
      <c r="K741" s="35" t="b">
        <v>1</v>
      </c>
      <c r="L741" s="23">
        <f t="shared" ref="L741:L742" si="36">80000+2759</f>
        <v>82759</v>
      </c>
      <c r="M741" s="15" t="b">
        <v>1</v>
      </c>
      <c r="N741" s="20" t="s">
        <v>1125</v>
      </c>
      <c r="O741" s="23">
        <v>520000.0</v>
      </c>
      <c r="P741" s="35" t="b">
        <v>1</v>
      </c>
      <c r="Q741" s="23">
        <v>80000.0</v>
      </c>
      <c r="R741" s="15" t="b">
        <v>1</v>
      </c>
      <c r="S741" s="20" t="s">
        <v>1125</v>
      </c>
      <c r="T741" s="23">
        <v>500000.0</v>
      </c>
      <c r="U741" s="35" t="b">
        <v>1</v>
      </c>
      <c r="V741" s="23">
        <v>80000.0</v>
      </c>
      <c r="W741" s="15" t="b">
        <v>1</v>
      </c>
      <c r="X741" s="20" t="s">
        <v>1125</v>
      </c>
      <c r="Y741" s="23">
        <v>500000.0</v>
      </c>
      <c r="Z741" s="35" t="b">
        <v>1</v>
      </c>
      <c r="AA741" s="23">
        <v>80000.0</v>
      </c>
      <c r="AB741" s="15" t="b">
        <v>1</v>
      </c>
      <c r="AC741" s="20" t="s">
        <v>1125</v>
      </c>
      <c r="AD741" s="23">
        <v>500000.0</v>
      </c>
      <c r="AE741" s="35" t="b">
        <v>1</v>
      </c>
      <c r="AF741" s="23">
        <v>80000.0</v>
      </c>
      <c r="AG741" s="15" t="b">
        <v>1</v>
      </c>
      <c r="AH741" s="20" t="s">
        <v>1125</v>
      </c>
      <c r="AI741" s="23">
        <v>500000.0</v>
      </c>
      <c r="AJ741" s="35" t="b">
        <v>1</v>
      </c>
      <c r="AK741" s="23">
        <v>80000.0</v>
      </c>
      <c r="AL741" s="15" t="b">
        <v>1</v>
      </c>
      <c r="AM741" s="20" t="s">
        <v>1125</v>
      </c>
      <c r="AN741" s="23">
        <v>500000.0</v>
      </c>
      <c r="AO741" s="35" t="b">
        <v>1</v>
      </c>
      <c r="AP741" s="23">
        <v>80000.0</v>
      </c>
      <c r="AQ741" s="15" t="b">
        <v>1</v>
      </c>
      <c r="AR741" s="20" t="s">
        <v>1125</v>
      </c>
      <c r="AS741" s="23">
        <v>500000.0</v>
      </c>
      <c r="AT741" s="35" t="b">
        <v>1</v>
      </c>
      <c r="AU741" s="23">
        <v>80000.0</v>
      </c>
      <c r="AV741" s="15" t="b">
        <v>1</v>
      </c>
      <c r="AW741" s="20" t="s">
        <v>1125</v>
      </c>
      <c r="AX741" s="23">
        <v>500000.0</v>
      </c>
      <c r="AY741" s="35" t="b">
        <v>1</v>
      </c>
      <c r="AZ741" s="23">
        <v>80000.0</v>
      </c>
      <c r="BA741" s="15" t="b">
        <v>1</v>
      </c>
      <c r="BB741" s="20" t="s">
        <v>1125</v>
      </c>
      <c r="BC741" s="23">
        <v>500000.0</v>
      </c>
      <c r="BD741" s="35" t="b">
        <v>1</v>
      </c>
      <c r="BE741" s="23">
        <v>80000.0</v>
      </c>
      <c r="BF741" s="15" t="b">
        <v>1</v>
      </c>
      <c r="BG741" s="20" t="s">
        <v>1125</v>
      </c>
      <c r="BH741" s="23">
        <v>500000.0</v>
      </c>
      <c r="BI741" s="35" t="b">
        <v>1</v>
      </c>
      <c r="BJ741" s="23">
        <v>80000.0</v>
      </c>
      <c r="BK741" s="15" t="b">
        <v>1</v>
      </c>
      <c r="BL741" s="20" t="s">
        <v>1125</v>
      </c>
      <c r="BM741" s="23">
        <v>500000.0</v>
      </c>
      <c r="BN741" s="35" t="b">
        <v>0</v>
      </c>
      <c r="BO741" s="23">
        <v>80000.0</v>
      </c>
      <c r="BP741" s="15" t="b">
        <v>0</v>
      </c>
      <c r="BQ741" s="17" t="s">
        <v>321</v>
      </c>
      <c r="BR741" s="1"/>
      <c r="BS741" s="1"/>
      <c r="BT741" s="1"/>
      <c r="BU741" s="1"/>
    </row>
    <row r="742">
      <c r="A742" s="1"/>
      <c r="B742" s="27" t="s">
        <v>1122</v>
      </c>
      <c r="C742" s="11" t="s">
        <v>322</v>
      </c>
      <c r="D742" s="20" t="s">
        <v>1126</v>
      </c>
      <c r="E742" s="23">
        <v>510000.0</v>
      </c>
      <c r="F742" s="35" t="b">
        <v>1</v>
      </c>
      <c r="G742" s="23">
        <v>80000.0</v>
      </c>
      <c r="H742" s="15" t="b">
        <v>1</v>
      </c>
      <c r="I742" s="20" t="s">
        <v>1127</v>
      </c>
      <c r="J742" s="23">
        <f>510000+17586</f>
        <v>527586</v>
      </c>
      <c r="K742" s="35" t="b">
        <v>1</v>
      </c>
      <c r="L742" s="23">
        <f t="shared" si="36"/>
        <v>82759</v>
      </c>
      <c r="M742" s="15" t="b">
        <v>1</v>
      </c>
      <c r="N742" s="20" t="s">
        <v>1128</v>
      </c>
      <c r="O742" s="23">
        <v>510000.0</v>
      </c>
      <c r="P742" s="35" t="b">
        <v>1</v>
      </c>
      <c r="Q742" s="23">
        <v>80000.0</v>
      </c>
      <c r="R742" s="15" t="b">
        <v>1</v>
      </c>
      <c r="S742" s="20" t="s">
        <v>1128</v>
      </c>
      <c r="T742" s="23">
        <v>510000.0</v>
      </c>
      <c r="U742" s="35" t="b">
        <v>1</v>
      </c>
      <c r="V742" s="23">
        <v>80000.0</v>
      </c>
      <c r="W742" s="15" t="b">
        <v>1</v>
      </c>
      <c r="X742" s="20" t="s">
        <v>1128</v>
      </c>
      <c r="Y742" s="23">
        <v>510000.0</v>
      </c>
      <c r="Z742" s="35" t="b">
        <v>1</v>
      </c>
      <c r="AA742" s="23">
        <v>80000.0</v>
      </c>
      <c r="AB742" s="15" t="b">
        <v>1</v>
      </c>
      <c r="AC742" s="20" t="s">
        <v>1128</v>
      </c>
      <c r="AD742" s="23">
        <v>510000.0</v>
      </c>
      <c r="AE742" s="35" t="b">
        <v>1</v>
      </c>
      <c r="AF742" s="23">
        <v>80000.0</v>
      </c>
      <c r="AG742" s="15" t="b">
        <v>1</v>
      </c>
      <c r="AH742" s="20" t="s">
        <v>1128</v>
      </c>
      <c r="AI742" s="23">
        <v>510000.0</v>
      </c>
      <c r="AJ742" s="35" t="b">
        <v>1</v>
      </c>
      <c r="AK742" s="23">
        <v>80000.0</v>
      </c>
      <c r="AL742" s="15" t="b">
        <v>1</v>
      </c>
      <c r="AM742" s="20" t="s">
        <v>1128</v>
      </c>
      <c r="AN742" s="23">
        <v>510000.0</v>
      </c>
      <c r="AO742" s="35" t="b">
        <v>1</v>
      </c>
      <c r="AP742" s="23">
        <v>80000.0</v>
      </c>
      <c r="AQ742" s="15" t="b">
        <v>1</v>
      </c>
      <c r="AR742" s="20" t="s">
        <v>1128</v>
      </c>
      <c r="AS742" s="23">
        <v>510000.0</v>
      </c>
      <c r="AT742" s="35" t="b">
        <v>1</v>
      </c>
      <c r="AU742" s="23">
        <v>80000.0</v>
      </c>
      <c r="AV742" s="15" t="b">
        <v>1</v>
      </c>
      <c r="AW742" s="20" t="s">
        <v>1128</v>
      </c>
      <c r="AX742" s="23">
        <v>510000.0</v>
      </c>
      <c r="AY742" s="35" t="b">
        <v>1</v>
      </c>
      <c r="AZ742" s="23">
        <v>80000.0</v>
      </c>
      <c r="BA742" s="15" t="b">
        <v>1</v>
      </c>
      <c r="BB742" s="20" t="s">
        <v>1128</v>
      </c>
      <c r="BC742" s="23">
        <v>510000.0</v>
      </c>
      <c r="BD742" s="35" t="b">
        <v>1</v>
      </c>
      <c r="BE742" s="23">
        <v>80000.0</v>
      </c>
      <c r="BF742" s="15" t="b">
        <v>1</v>
      </c>
      <c r="BG742" s="20" t="s">
        <v>1128</v>
      </c>
      <c r="BH742" s="23">
        <v>510000.0</v>
      </c>
      <c r="BI742" s="35" t="b">
        <v>1</v>
      </c>
      <c r="BJ742" s="23">
        <v>80000.0</v>
      </c>
      <c r="BK742" s="15" t="b">
        <v>1</v>
      </c>
      <c r="BL742" s="20" t="s">
        <v>1128</v>
      </c>
      <c r="BM742" s="23">
        <v>510000.0</v>
      </c>
      <c r="BN742" s="35" t="b">
        <v>0</v>
      </c>
      <c r="BO742" s="23">
        <v>80000.0</v>
      </c>
      <c r="BP742" s="15" t="b">
        <v>0</v>
      </c>
      <c r="BQ742" s="17" t="s">
        <v>321</v>
      </c>
      <c r="BR742" s="1"/>
      <c r="BS742" s="1"/>
      <c r="BT742" s="1"/>
      <c r="BU742" s="1"/>
    </row>
    <row r="743">
      <c r="A743" s="1"/>
      <c r="B743" s="27" t="s">
        <v>1122</v>
      </c>
      <c r="C743" s="11" t="s">
        <v>323</v>
      </c>
      <c r="D743" s="20" t="s">
        <v>1129</v>
      </c>
      <c r="E743" s="23">
        <v>301935.0</v>
      </c>
      <c r="F743" s="35" t="b">
        <v>1</v>
      </c>
      <c r="G743" s="23">
        <v>61935.0</v>
      </c>
      <c r="H743" s="15" t="b">
        <v>1</v>
      </c>
      <c r="I743" s="20" t="s">
        <v>1130</v>
      </c>
      <c r="J743" s="23">
        <v>390000.0</v>
      </c>
      <c r="K743" s="35" t="b">
        <v>1</v>
      </c>
      <c r="L743" s="23">
        <v>80000.0</v>
      </c>
      <c r="M743" s="15" t="b">
        <v>1</v>
      </c>
      <c r="N743" s="20" t="s">
        <v>1130</v>
      </c>
      <c r="O743" s="23">
        <v>390000.0</v>
      </c>
      <c r="P743" s="35" t="b">
        <v>1</v>
      </c>
      <c r="Q743" s="23">
        <v>80000.0</v>
      </c>
      <c r="R743" s="15" t="b">
        <v>1</v>
      </c>
      <c r="S743" s="20" t="s">
        <v>1130</v>
      </c>
      <c r="T743" s="23">
        <v>390000.0</v>
      </c>
      <c r="U743" s="35" t="b">
        <v>1</v>
      </c>
      <c r="V743" s="23">
        <v>80000.0</v>
      </c>
      <c r="W743" s="15" t="b">
        <v>1</v>
      </c>
      <c r="X743" s="20" t="s">
        <v>1130</v>
      </c>
      <c r="Y743" s="23">
        <v>390000.0</v>
      </c>
      <c r="Z743" s="35" t="b">
        <v>1</v>
      </c>
      <c r="AA743" s="23">
        <v>80000.0</v>
      </c>
      <c r="AB743" s="15" t="b">
        <v>1</v>
      </c>
      <c r="AC743" s="20" t="s">
        <v>1130</v>
      </c>
      <c r="AD743" s="23">
        <v>390000.0</v>
      </c>
      <c r="AE743" s="35" t="b">
        <v>1</v>
      </c>
      <c r="AF743" s="23">
        <v>80000.0</v>
      </c>
      <c r="AG743" s="15" t="b">
        <v>1</v>
      </c>
      <c r="AH743" s="20" t="s">
        <v>1130</v>
      </c>
      <c r="AI743" s="23">
        <v>390000.0</v>
      </c>
      <c r="AJ743" s="35" t="b">
        <v>1</v>
      </c>
      <c r="AK743" s="23">
        <v>80000.0</v>
      </c>
      <c r="AL743" s="15" t="b">
        <v>1</v>
      </c>
      <c r="AM743" s="20" t="s">
        <v>1131</v>
      </c>
      <c r="AN743" s="23">
        <v>390000.0</v>
      </c>
      <c r="AO743" s="35" t="b">
        <v>1</v>
      </c>
      <c r="AP743" s="23">
        <v>80000.0</v>
      </c>
      <c r="AQ743" s="15" t="b">
        <v>1</v>
      </c>
      <c r="AR743" s="20" t="s">
        <v>1132</v>
      </c>
      <c r="AS743" s="23">
        <v>266000.0</v>
      </c>
      <c r="AT743" s="35" t="b">
        <v>1</v>
      </c>
      <c r="AU743" s="23">
        <v>50667.0</v>
      </c>
      <c r="AV743" s="15" t="b">
        <v>1</v>
      </c>
      <c r="AW743" s="20" t="s">
        <v>1133</v>
      </c>
      <c r="AX743" s="23">
        <v>420000.0</v>
      </c>
      <c r="AY743" s="35" t="b">
        <v>1</v>
      </c>
      <c r="AZ743" s="23">
        <v>80000.0</v>
      </c>
      <c r="BA743" s="15" t="b">
        <v>1</v>
      </c>
      <c r="BB743" s="20" t="s">
        <v>1133</v>
      </c>
      <c r="BC743" s="23">
        <v>420000.0</v>
      </c>
      <c r="BD743" s="35" t="b">
        <v>1</v>
      </c>
      <c r="BE743" s="23">
        <v>80000.0</v>
      </c>
      <c r="BF743" s="15" t="b">
        <v>1</v>
      </c>
      <c r="BG743" s="20" t="s">
        <v>1133</v>
      </c>
      <c r="BH743" s="23">
        <v>420000.0</v>
      </c>
      <c r="BI743" s="35" t="b">
        <v>1</v>
      </c>
      <c r="BJ743" s="23">
        <v>80000.0</v>
      </c>
      <c r="BK743" s="15" t="b">
        <v>1</v>
      </c>
      <c r="BL743" s="20" t="s">
        <v>1133</v>
      </c>
      <c r="BM743" s="23">
        <v>420000.0</v>
      </c>
      <c r="BN743" s="35" t="b">
        <v>0</v>
      </c>
      <c r="BO743" s="23">
        <v>80000.0</v>
      </c>
      <c r="BP743" s="15" t="b">
        <v>0</v>
      </c>
      <c r="BQ743" s="17" t="s">
        <v>321</v>
      </c>
      <c r="BR743" s="1"/>
      <c r="BS743" s="1"/>
      <c r="BT743" s="1"/>
      <c r="BU743" s="1"/>
    </row>
    <row r="744">
      <c r="A744" s="1"/>
      <c r="B744" s="27" t="s">
        <v>1122</v>
      </c>
      <c r="C744" s="11" t="s">
        <v>349</v>
      </c>
      <c r="D744" s="20" t="s">
        <v>1134</v>
      </c>
      <c r="E744" s="23">
        <v>330000.0</v>
      </c>
      <c r="F744" s="35" t="b">
        <v>1</v>
      </c>
      <c r="G744" s="23">
        <v>80000.0</v>
      </c>
      <c r="H744" s="15" t="b">
        <v>1</v>
      </c>
      <c r="I744" s="20" t="s">
        <v>1134</v>
      </c>
      <c r="J744" s="23">
        <v>330000.0</v>
      </c>
      <c r="K744" s="35" t="b">
        <v>1</v>
      </c>
      <c r="L744" s="23">
        <v>80000.0</v>
      </c>
      <c r="M744" s="15" t="b">
        <v>1</v>
      </c>
      <c r="N744" s="20" t="s">
        <v>1134</v>
      </c>
      <c r="O744" s="23">
        <v>350000.0</v>
      </c>
      <c r="P744" s="35" t="b">
        <v>1</v>
      </c>
      <c r="Q744" s="23">
        <v>80000.0</v>
      </c>
      <c r="R744" s="15" t="b">
        <v>1</v>
      </c>
      <c r="S744" s="20" t="s">
        <v>1134</v>
      </c>
      <c r="T744" s="23">
        <v>350000.0</v>
      </c>
      <c r="U744" s="35" t="b">
        <v>1</v>
      </c>
      <c r="V744" s="23">
        <v>80000.0</v>
      </c>
      <c r="W744" s="15" t="b">
        <v>1</v>
      </c>
      <c r="X744" s="20" t="s">
        <v>1134</v>
      </c>
      <c r="Y744" s="23">
        <v>350000.0</v>
      </c>
      <c r="Z744" s="35" t="b">
        <v>1</v>
      </c>
      <c r="AA744" s="23">
        <v>80000.0</v>
      </c>
      <c r="AB744" s="15" t="b">
        <v>1</v>
      </c>
      <c r="AC744" s="20" t="s">
        <v>1134</v>
      </c>
      <c r="AD744" s="23">
        <v>350000.0</v>
      </c>
      <c r="AE744" s="35" t="b">
        <v>1</v>
      </c>
      <c r="AF744" s="23">
        <v>80000.0</v>
      </c>
      <c r="AG744" s="15" t="b">
        <v>1</v>
      </c>
      <c r="AH744" s="20" t="s">
        <v>1134</v>
      </c>
      <c r="AI744" s="23">
        <v>350000.0</v>
      </c>
      <c r="AJ744" s="35" t="b">
        <v>1</v>
      </c>
      <c r="AK744" s="23">
        <v>80000.0</v>
      </c>
      <c r="AL744" s="15" t="b">
        <v>1</v>
      </c>
      <c r="AM744" s="20" t="s">
        <v>1134</v>
      </c>
      <c r="AN744" s="23">
        <v>350000.0</v>
      </c>
      <c r="AO744" s="35" t="b">
        <v>1</v>
      </c>
      <c r="AP744" s="23">
        <v>80000.0</v>
      </c>
      <c r="AQ744" s="15" t="b">
        <v>1</v>
      </c>
      <c r="AR744" s="20" t="s">
        <v>1134</v>
      </c>
      <c r="AS744" s="23">
        <v>350000.0</v>
      </c>
      <c r="AT744" s="35" t="b">
        <v>1</v>
      </c>
      <c r="AU744" s="23">
        <v>80000.0</v>
      </c>
      <c r="AV744" s="15" t="b">
        <v>1</v>
      </c>
      <c r="AW744" s="20" t="s">
        <v>1134</v>
      </c>
      <c r="AX744" s="23">
        <v>350000.0</v>
      </c>
      <c r="AY744" s="35" t="b">
        <v>1</v>
      </c>
      <c r="AZ744" s="23">
        <v>80000.0</v>
      </c>
      <c r="BA744" s="15" t="b">
        <v>1</v>
      </c>
      <c r="BB744" s="20" t="s">
        <v>1134</v>
      </c>
      <c r="BC744" s="23">
        <v>350000.0</v>
      </c>
      <c r="BD744" s="35" t="b">
        <v>1</v>
      </c>
      <c r="BE744" s="23">
        <v>80000.0</v>
      </c>
      <c r="BF744" s="15" t="b">
        <v>1</v>
      </c>
      <c r="BG744" s="20" t="s">
        <v>1134</v>
      </c>
      <c r="BH744" s="23">
        <v>350000.0</v>
      </c>
      <c r="BI744" s="35" t="b">
        <v>1</v>
      </c>
      <c r="BJ744" s="23">
        <v>80000.0</v>
      </c>
      <c r="BK744" s="15" t="b">
        <v>1</v>
      </c>
      <c r="BL744" s="20" t="s">
        <v>1134</v>
      </c>
      <c r="BM744" s="23">
        <v>350000.0</v>
      </c>
      <c r="BN744" s="35" t="b">
        <v>0</v>
      </c>
      <c r="BO744" s="23">
        <v>80000.0</v>
      </c>
      <c r="BP744" s="15" t="b">
        <v>0</v>
      </c>
      <c r="BQ744" s="17" t="s">
        <v>321</v>
      </c>
      <c r="BR744" s="1"/>
      <c r="BS744" s="1"/>
      <c r="BT744" s="1"/>
      <c r="BU744" s="1"/>
    </row>
    <row r="745">
      <c r="A745" s="1"/>
      <c r="B745" s="21"/>
      <c r="C745" s="11" t="s">
        <v>42</v>
      </c>
      <c r="D745" s="22"/>
      <c r="E745" s="23">
        <f>SUM(E741:E744)</f>
        <v>1621935</v>
      </c>
      <c r="F745" s="18"/>
      <c r="G745" s="23">
        <f>SUM(G741:G744)</f>
        <v>301935</v>
      </c>
      <c r="H745" s="19"/>
      <c r="I745" s="22"/>
      <c r="J745" s="23">
        <f>SUM(J741:J744)</f>
        <v>1745517</v>
      </c>
      <c r="K745" s="18"/>
      <c r="L745" s="23">
        <f>SUM(L741:L744)</f>
        <v>325518</v>
      </c>
      <c r="M745" s="19"/>
      <c r="N745" s="22"/>
      <c r="O745" s="23">
        <f>SUM(O741:O744)</f>
        <v>1770000</v>
      </c>
      <c r="P745" s="18"/>
      <c r="Q745" s="23">
        <f>SUM(Q741:Q744)</f>
        <v>320000</v>
      </c>
      <c r="R745" s="19"/>
      <c r="S745" s="22"/>
      <c r="T745" s="23">
        <f>SUM(T741:T744)</f>
        <v>1750000</v>
      </c>
      <c r="U745" s="18"/>
      <c r="V745" s="23">
        <f>SUM(V741:V744)</f>
        <v>320000</v>
      </c>
      <c r="W745" s="19"/>
      <c r="X745" s="22"/>
      <c r="Y745" s="23">
        <f>SUM(Y741:Y744)</f>
        <v>1750000</v>
      </c>
      <c r="Z745" s="18"/>
      <c r="AA745" s="23">
        <f>SUM(AA741:AA744)</f>
        <v>320000</v>
      </c>
      <c r="AB745" s="19"/>
      <c r="AC745" s="22"/>
      <c r="AD745" s="23">
        <f>SUM(AD741:AD744)</f>
        <v>1750000</v>
      </c>
      <c r="AE745" s="18"/>
      <c r="AF745" s="23">
        <f>SUM(AF741:AF744)</f>
        <v>320000</v>
      </c>
      <c r="AG745" s="19"/>
      <c r="AH745" s="22"/>
      <c r="AI745" s="23">
        <f>SUM(AI741:AI744)</f>
        <v>1750000</v>
      </c>
      <c r="AJ745" s="18"/>
      <c r="AK745" s="23">
        <f>SUM(AK741:AK744)</f>
        <v>320000</v>
      </c>
      <c r="AL745" s="19"/>
      <c r="AM745" s="22"/>
      <c r="AN745" s="23">
        <f>SUM(AN741:AN744)</f>
        <v>1750000</v>
      </c>
      <c r="AO745" s="18"/>
      <c r="AP745" s="23">
        <f>SUM(AP741:AP744)</f>
        <v>320000</v>
      </c>
      <c r="AQ745" s="19"/>
      <c r="AR745" s="22"/>
      <c r="AS745" s="23">
        <f>SUM(AS741:AS744)</f>
        <v>1626000</v>
      </c>
      <c r="AT745" s="18"/>
      <c r="AU745" s="23">
        <f>SUM(AU741:AU744)</f>
        <v>290667</v>
      </c>
      <c r="AV745" s="19"/>
      <c r="AW745" s="22"/>
      <c r="AX745" s="23">
        <f>SUM(AX741:AX744)</f>
        <v>1780000</v>
      </c>
      <c r="AY745" s="18"/>
      <c r="AZ745" s="23">
        <f>SUM(AZ741:AZ744)</f>
        <v>320000</v>
      </c>
      <c r="BA745" s="19"/>
      <c r="BB745" s="22"/>
      <c r="BC745" s="23">
        <f>SUM(BC741:BC744)</f>
        <v>1780000</v>
      </c>
      <c r="BD745" s="18"/>
      <c r="BE745" s="23">
        <f>SUM(BE741:BE744)</f>
        <v>320000</v>
      </c>
      <c r="BF745" s="19"/>
      <c r="BG745" s="22"/>
      <c r="BH745" s="23">
        <f>SUM(BH741:BH744)</f>
        <v>1780000</v>
      </c>
      <c r="BI745" s="18"/>
      <c r="BJ745" s="23">
        <f>SUM(BJ741:BJ744)</f>
        <v>320000</v>
      </c>
      <c r="BK745" s="19"/>
      <c r="BL745" s="22"/>
      <c r="BM745" s="23">
        <f>SUM(BM741:BM744)</f>
        <v>1780000</v>
      </c>
      <c r="BN745" s="18"/>
      <c r="BO745" s="23">
        <f>SUM(BO741:BO744)</f>
        <v>320000</v>
      </c>
      <c r="BP745" s="19"/>
      <c r="BQ745" s="17" t="s">
        <v>321</v>
      </c>
      <c r="BR745" s="1"/>
      <c r="BS745" s="1"/>
      <c r="BT745" s="1"/>
      <c r="BU745" s="1"/>
    </row>
    <row r="746">
      <c r="A746" s="1"/>
      <c r="B746" s="21"/>
      <c r="C746" s="11" t="s">
        <v>43</v>
      </c>
      <c r="D746" s="22"/>
      <c r="E746" s="23">
        <v>1000000.0</v>
      </c>
      <c r="F746" s="18"/>
      <c r="G746" s="18"/>
      <c r="H746" s="19"/>
      <c r="I746" s="22"/>
      <c r="J746" s="23">
        <v>1000000.0</v>
      </c>
      <c r="K746" s="18"/>
      <c r="L746" s="18"/>
      <c r="M746" s="19"/>
      <c r="N746" s="22"/>
      <c r="O746" s="23">
        <v>1000000.0</v>
      </c>
      <c r="P746" s="18"/>
      <c r="Q746" s="18"/>
      <c r="R746" s="19"/>
      <c r="S746" s="22"/>
      <c r="T746" s="23">
        <v>1000000.0</v>
      </c>
      <c r="U746" s="18"/>
      <c r="V746" s="18"/>
      <c r="W746" s="19"/>
      <c r="X746" s="22"/>
      <c r="Y746" s="23">
        <v>1000000.0</v>
      </c>
      <c r="Z746" s="18"/>
      <c r="AA746" s="18"/>
      <c r="AB746" s="19"/>
      <c r="AC746" s="22"/>
      <c r="AD746" s="23">
        <v>1000000.0</v>
      </c>
      <c r="AE746" s="18"/>
      <c r="AF746" s="18"/>
      <c r="AG746" s="19"/>
      <c r="AH746" s="22"/>
      <c r="AI746" s="23">
        <v>1000000.0</v>
      </c>
      <c r="AJ746" s="18"/>
      <c r="AK746" s="18"/>
      <c r="AL746" s="19"/>
      <c r="AM746" s="22"/>
      <c r="AN746" s="23">
        <v>1000000.0</v>
      </c>
      <c r="AO746" s="18"/>
      <c r="AP746" s="18"/>
      <c r="AQ746" s="19"/>
      <c r="AR746" s="22"/>
      <c r="AS746" s="23">
        <v>1000000.0</v>
      </c>
      <c r="AT746" s="18"/>
      <c r="AU746" s="18"/>
      <c r="AV746" s="19"/>
      <c r="AW746" s="22"/>
      <c r="AX746" s="23">
        <v>1000000.0</v>
      </c>
      <c r="AY746" s="18"/>
      <c r="AZ746" s="18"/>
      <c r="BA746" s="19"/>
      <c r="BB746" s="22"/>
      <c r="BC746" s="23">
        <v>1000000.0</v>
      </c>
      <c r="BD746" s="18"/>
      <c r="BE746" s="18"/>
      <c r="BF746" s="19"/>
      <c r="BG746" s="22"/>
      <c r="BH746" s="23">
        <v>1000000.0</v>
      </c>
      <c r="BI746" s="18"/>
      <c r="BJ746" s="18"/>
      <c r="BK746" s="19"/>
      <c r="BL746" s="22"/>
      <c r="BM746" s="23">
        <v>1000000.0</v>
      </c>
      <c r="BN746" s="18"/>
      <c r="BO746" s="18"/>
      <c r="BP746" s="19"/>
      <c r="BQ746" s="17" t="s">
        <v>321</v>
      </c>
      <c r="BR746" s="1"/>
      <c r="BS746" s="1"/>
      <c r="BT746" s="1"/>
      <c r="BU746" s="1"/>
    </row>
    <row r="747">
      <c r="A747" s="1"/>
      <c r="B747" s="21"/>
      <c r="C747" s="11" t="s">
        <v>45</v>
      </c>
      <c r="D747" s="22"/>
      <c r="E747" s="23">
        <v>50000.0</v>
      </c>
      <c r="F747" s="18"/>
      <c r="G747" s="18"/>
      <c r="H747" s="19"/>
      <c r="I747" s="22"/>
      <c r="J747" s="23">
        <v>50000.0</v>
      </c>
      <c r="K747" s="18"/>
      <c r="L747" s="18"/>
      <c r="M747" s="19"/>
      <c r="N747" s="22"/>
      <c r="O747" s="23">
        <v>50000.0</v>
      </c>
      <c r="P747" s="18"/>
      <c r="Q747" s="18"/>
      <c r="R747" s="19"/>
      <c r="S747" s="22"/>
      <c r="T747" s="23">
        <v>50000.0</v>
      </c>
      <c r="U747" s="18"/>
      <c r="V747" s="18"/>
      <c r="W747" s="19"/>
      <c r="X747" s="22"/>
      <c r="Y747" s="23">
        <v>50000.0</v>
      </c>
      <c r="Z747" s="18"/>
      <c r="AA747" s="18"/>
      <c r="AB747" s="19"/>
      <c r="AC747" s="22"/>
      <c r="AD747" s="23">
        <v>50000.0</v>
      </c>
      <c r="AE747" s="18"/>
      <c r="AF747" s="18"/>
      <c r="AG747" s="19"/>
      <c r="AH747" s="22"/>
      <c r="AI747" s="23">
        <v>50000.0</v>
      </c>
      <c r="AJ747" s="18"/>
      <c r="AK747" s="18"/>
      <c r="AL747" s="19"/>
      <c r="AM747" s="22"/>
      <c r="AN747" s="23">
        <v>50000.0</v>
      </c>
      <c r="AO747" s="18"/>
      <c r="AP747" s="18"/>
      <c r="AQ747" s="19"/>
      <c r="AR747" s="22"/>
      <c r="AS747" s="23">
        <v>50000.0</v>
      </c>
      <c r="AT747" s="18"/>
      <c r="AU747" s="18"/>
      <c r="AV747" s="19"/>
      <c r="AW747" s="22"/>
      <c r="AX747" s="23">
        <v>50000.0</v>
      </c>
      <c r="AY747" s="18"/>
      <c r="AZ747" s="18"/>
      <c r="BA747" s="19"/>
      <c r="BB747" s="22"/>
      <c r="BC747" s="23">
        <v>50000.0</v>
      </c>
      <c r="BD747" s="18"/>
      <c r="BE747" s="18"/>
      <c r="BF747" s="19"/>
      <c r="BG747" s="22"/>
      <c r="BH747" s="23">
        <v>50000.0</v>
      </c>
      <c r="BI747" s="18"/>
      <c r="BJ747" s="18"/>
      <c r="BK747" s="19"/>
      <c r="BL747" s="22"/>
      <c r="BM747" s="23">
        <v>50000.0</v>
      </c>
      <c r="BN747" s="18"/>
      <c r="BO747" s="18"/>
      <c r="BP747" s="19"/>
      <c r="BQ747" s="17" t="s">
        <v>321</v>
      </c>
      <c r="BR747" s="1"/>
      <c r="BS747" s="1"/>
      <c r="BT747" s="1"/>
      <c r="BU747" s="1"/>
    </row>
    <row r="748">
      <c r="A748" s="1"/>
      <c r="B748" s="10" t="s">
        <v>1135</v>
      </c>
      <c r="C748" s="11" t="s">
        <v>47</v>
      </c>
      <c r="D748" s="22"/>
      <c r="E748" s="18"/>
      <c r="F748" s="18"/>
      <c r="G748" s="20" t="s">
        <v>1121</v>
      </c>
      <c r="H748" s="19"/>
      <c r="I748" s="22"/>
      <c r="J748" s="18"/>
      <c r="K748" s="18"/>
      <c r="L748" s="18"/>
      <c r="M748" s="19"/>
      <c r="N748" s="22"/>
      <c r="O748" s="18"/>
      <c r="P748" s="18"/>
      <c r="Q748" s="18"/>
      <c r="R748" s="24"/>
      <c r="S748" s="22"/>
      <c r="T748" s="18"/>
      <c r="U748" s="18"/>
      <c r="V748" s="18"/>
      <c r="W748" s="24"/>
      <c r="X748" s="18"/>
      <c r="Y748" s="18"/>
      <c r="Z748" s="18"/>
      <c r="AA748" s="18"/>
      <c r="AB748" s="24"/>
      <c r="AC748" s="18"/>
      <c r="AD748" s="18"/>
      <c r="AE748" s="18"/>
      <c r="AF748" s="18"/>
      <c r="AG748" s="24"/>
      <c r="AH748" s="18"/>
      <c r="AI748" s="18"/>
      <c r="AJ748" s="18"/>
      <c r="AK748" s="18"/>
      <c r="AL748" s="24"/>
      <c r="AM748" s="18"/>
      <c r="AN748" s="18"/>
      <c r="AO748" s="18"/>
      <c r="AP748" s="18"/>
      <c r="AQ748" s="24"/>
      <c r="AR748" s="22"/>
      <c r="AS748" s="18"/>
      <c r="AT748" s="18"/>
      <c r="AU748" s="18"/>
      <c r="AV748" s="24"/>
      <c r="AW748" s="22"/>
      <c r="AX748" s="18"/>
      <c r="AY748" s="18"/>
      <c r="AZ748" s="18"/>
      <c r="BA748" s="24"/>
      <c r="BB748" s="22"/>
      <c r="BC748" s="18"/>
      <c r="BD748" s="18"/>
      <c r="BE748" s="18"/>
      <c r="BF748" s="24"/>
      <c r="BG748" s="22"/>
      <c r="BH748" s="18"/>
      <c r="BI748" s="18"/>
      <c r="BJ748" s="18"/>
      <c r="BK748" s="19"/>
      <c r="BL748" s="22"/>
      <c r="BM748" s="18"/>
      <c r="BN748" s="18"/>
      <c r="BO748" s="18"/>
      <c r="BP748" s="19"/>
      <c r="BQ748" s="17" t="s">
        <v>321</v>
      </c>
      <c r="BR748" s="1"/>
      <c r="BS748" s="1"/>
      <c r="BT748" s="1"/>
      <c r="BU748" s="1"/>
    </row>
    <row r="749">
      <c r="A749" s="1"/>
      <c r="B749" s="10" t="s">
        <v>1136</v>
      </c>
      <c r="C749" s="11" t="s">
        <v>49</v>
      </c>
      <c r="D749" s="22"/>
      <c r="E749" s="18"/>
      <c r="F749" s="18"/>
      <c r="G749" s="20">
        <v>211860.0</v>
      </c>
      <c r="H749" s="19"/>
      <c r="I749" s="22"/>
      <c r="J749" s="18"/>
      <c r="K749" s="18"/>
      <c r="L749" s="23">
        <v>239890.0</v>
      </c>
      <c r="M749" s="19"/>
      <c r="N749" s="22"/>
      <c r="O749" s="18"/>
      <c r="P749" s="18"/>
      <c r="Q749" s="23">
        <v>177360.0</v>
      </c>
      <c r="R749" s="24"/>
      <c r="S749" s="22"/>
      <c r="T749" s="18"/>
      <c r="U749" s="18"/>
      <c r="V749" s="23">
        <v>125700.0</v>
      </c>
      <c r="W749" s="24"/>
      <c r="X749" s="18"/>
      <c r="Y749" s="18"/>
      <c r="Z749" s="18"/>
      <c r="AA749" s="23">
        <v>47160.0</v>
      </c>
      <c r="AB749" s="24"/>
      <c r="AC749" s="18"/>
      <c r="AD749" s="18"/>
      <c r="AE749" s="18"/>
      <c r="AF749" s="23">
        <v>32460.0</v>
      </c>
      <c r="AG749" s="24"/>
      <c r="AH749" s="18"/>
      <c r="AI749" s="18"/>
      <c r="AJ749" s="18"/>
      <c r="AK749" s="23">
        <v>20900.0</v>
      </c>
      <c r="AL749" s="24"/>
      <c r="AM749" s="18"/>
      <c r="AN749" s="18"/>
      <c r="AO749" s="18"/>
      <c r="AP749" s="23">
        <v>14530.0</v>
      </c>
      <c r="AQ749" s="24"/>
      <c r="AR749" s="22"/>
      <c r="AS749" s="18"/>
      <c r="AT749" s="18"/>
      <c r="AU749" s="23">
        <v>13900.0</v>
      </c>
      <c r="AV749" s="24"/>
      <c r="AW749" s="22"/>
      <c r="AX749" s="18"/>
      <c r="AY749" s="18"/>
      <c r="AZ749" s="23">
        <v>34730.0</v>
      </c>
      <c r="BA749" s="24"/>
      <c r="BB749" s="22"/>
      <c r="BC749" s="18"/>
      <c r="BD749" s="18"/>
      <c r="BE749" s="23">
        <v>115000.0</v>
      </c>
      <c r="BF749" s="24"/>
      <c r="BG749" s="22"/>
      <c r="BH749" s="18"/>
      <c r="BI749" s="18"/>
      <c r="BJ749" s="23">
        <v>202050.0</v>
      </c>
      <c r="BK749" s="19"/>
      <c r="BL749" s="22"/>
      <c r="BM749" s="18"/>
      <c r="BN749" s="18"/>
      <c r="BO749" s="18"/>
      <c r="BP749" s="19"/>
      <c r="BQ749" s="17" t="s">
        <v>321</v>
      </c>
      <c r="BR749" s="1"/>
      <c r="BS749" s="1"/>
      <c r="BT749" s="1"/>
      <c r="BU749" s="1"/>
    </row>
    <row r="750">
      <c r="A750" s="1"/>
      <c r="B750" s="10" t="s">
        <v>1137</v>
      </c>
      <c r="C750" s="11" t="s">
        <v>51</v>
      </c>
      <c r="D750" s="22"/>
      <c r="E750" s="18"/>
      <c r="F750" s="18"/>
      <c r="G750" s="20" t="s">
        <v>1121</v>
      </c>
      <c r="H750" s="19"/>
      <c r="I750" s="22"/>
      <c r="J750" s="18"/>
      <c r="K750" s="18"/>
      <c r="L750" s="18"/>
      <c r="M750" s="19"/>
      <c r="N750" s="22"/>
      <c r="O750" s="18"/>
      <c r="P750" s="18"/>
      <c r="Q750" s="18"/>
      <c r="R750" s="24"/>
      <c r="S750" s="22"/>
      <c r="T750" s="18"/>
      <c r="U750" s="18"/>
      <c r="V750" s="18"/>
      <c r="W750" s="24"/>
      <c r="X750" s="18"/>
      <c r="Y750" s="18"/>
      <c r="Z750" s="18"/>
      <c r="AA750" s="18"/>
      <c r="AB750" s="24"/>
      <c r="AC750" s="18"/>
      <c r="AD750" s="18"/>
      <c r="AE750" s="18"/>
      <c r="AF750" s="18"/>
      <c r="AG750" s="24"/>
      <c r="AH750" s="18"/>
      <c r="AI750" s="18"/>
      <c r="AJ750" s="18"/>
      <c r="AK750" s="18"/>
      <c r="AL750" s="24"/>
      <c r="AM750" s="18"/>
      <c r="AN750" s="18"/>
      <c r="AO750" s="18"/>
      <c r="AP750" s="18"/>
      <c r="AQ750" s="24"/>
      <c r="AR750" s="22"/>
      <c r="AS750" s="18"/>
      <c r="AT750" s="18"/>
      <c r="AU750" s="18"/>
      <c r="AV750" s="24"/>
      <c r="AW750" s="22"/>
      <c r="AX750" s="18"/>
      <c r="AY750" s="18"/>
      <c r="AZ750" s="18"/>
      <c r="BA750" s="24"/>
      <c r="BB750" s="22"/>
      <c r="BC750" s="18"/>
      <c r="BD750" s="18"/>
      <c r="BE750" s="18"/>
      <c r="BF750" s="24"/>
      <c r="BG750" s="22"/>
      <c r="BH750" s="18"/>
      <c r="BI750" s="18"/>
      <c r="BJ750" s="18"/>
      <c r="BK750" s="19"/>
      <c r="BL750" s="22"/>
      <c r="BM750" s="18"/>
      <c r="BN750" s="18"/>
      <c r="BO750" s="18"/>
      <c r="BP750" s="19"/>
      <c r="BQ750" s="17" t="s">
        <v>321</v>
      </c>
      <c r="BR750" s="1"/>
      <c r="BS750" s="1"/>
      <c r="BT750" s="1"/>
      <c r="BU750" s="1"/>
    </row>
    <row r="751">
      <c r="A751" s="1"/>
      <c r="B751" s="21"/>
      <c r="C751" s="11" t="s">
        <v>52</v>
      </c>
      <c r="D751" s="22"/>
      <c r="E751" s="18"/>
      <c r="F751" s="18"/>
      <c r="G751" s="23" t="s">
        <v>263</v>
      </c>
      <c r="H751" s="19"/>
      <c r="I751" s="22"/>
      <c r="J751" s="18"/>
      <c r="K751" s="18"/>
      <c r="L751" s="18"/>
      <c r="M751" s="19"/>
      <c r="N751" s="22"/>
      <c r="O751" s="18"/>
      <c r="P751" s="18"/>
      <c r="Q751" s="18"/>
      <c r="R751" s="24"/>
      <c r="S751" s="22"/>
      <c r="T751" s="18"/>
      <c r="U751" s="18"/>
      <c r="V751" s="18"/>
      <c r="W751" s="24"/>
      <c r="X751" s="18"/>
      <c r="Y751" s="18"/>
      <c r="Z751" s="18"/>
      <c r="AA751" s="18"/>
      <c r="AB751" s="24"/>
      <c r="AC751" s="18"/>
      <c r="AD751" s="18"/>
      <c r="AE751" s="18"/>
      <c r="AF751" s="18"/>
      <c r="AG751" s="24"/>
      <c r="AH751" s="18"/>
      <c r="AI751" s="18"/>
      <c r="AJ751" s="18"/>
      <c r="AK751" s="18"/>
      <c r="AL751" s="24"/>
      <c r="AM751" s="18"/>
      <c r="AN751" s="18"/>
      <c r="AO751" s="18"/>
      <c r="AP751" s="18"/>
      <c r="AQ751" s="24"/>
      <c r="AR751" s="22"/>
      <c r="AS751" s="18"/>
      <c r="AT751" s="18"/>
      <c r="AU751" s="18"/>
      <c r="AV751" s="24"/>
      <c r="AW751" s="22"/>
      <c r="AX751" s="18"/>
      <c r="AY751" s="18"/>
      <c r="AZ751" s="18"/>
      <c r="BA751" s="24"/>
      <c r="BB751" s="22"/>
      <c r="BC751" s="18"/>
      <c r="BD751" s="18"/>
      <c r="BE751" s="18"/>
      <c r="BF751" s="24"/>
      <c r="BG751" s="22"/>
      <c r="BH751" s="18"/>
      <c r="BI751" s="18"/>
      <c r="BJ751" s="18"/>
      <c r="BK751" s="19"/>
      <c r="BL751" s="22"/>
      <c r="BM751" s="18"/>
      <c r="BN751" s="18"/>
      <c r="BO751" s="18"/>
      <c r="BP751" s="19"/>
      <c r="BQ751" s="17" t="s">
        <v>321</v>
      </c>
      <c r="BR751" s="1"/>
      <c r="BS751" s="1"/>
      <c r="BT751" s="1"/>
      <c r="BU751" s="1"/>
    </row>
    <row r="752">
      <c r="A752" s="1"/>
      <c r="B752" s="21"/>
      <c r="C752" s="11" t="s">
        <v>53</v>
      </c>
      <c r="D752" s="22"/>
      <c r="E752" s="18"/>
      <c r="F752" s="18"/>
      <c r="G752" s="23">
        <v>11000.0</v>
      </c>
      <c r="H752" s="19"/>
      <c r="I752" s="22"/>
      <c r="J752" s="18"/>
      <c r="K752" s="18"/>
      <c r="L752" s="23">
        <v>11000.0</v>
      </c>
      <c r="M752" s="19"/>
      <c r="N752" s="22"/>
      <c r="O752" s="18"/>
      <c r="P752" s="18"/>
      <c r="Q752" s="23">
        <v>11000.0</v>
      </c>
      <c r="R752" s="19"/>
      <c r="S752" s="22"/>
      <c r="T752" s="18"/>
      <c r="U752" s="18"/>
      <c r="V752" s="23">
        <v>11000.0</v>
      </c>
      <c r="W752" s="19"/>
      <c r="X752" s="22"/>
      <c r="Y752" s="18"/>
      <c r="Z752" s="18"/>
      <c r="AA752" s="23">
        <v>11000.0</v>
      </c>
      <c r="AB752" s="19"/>
      <c r="AC752" s="22"/>
      <c r="AD752" s="18"/>
      <c r="AE752" s="18"/>
      <c r="AF752" s="23">
        <v>11000.0</v>
      </c>
      <c r="AG752" s="19"/>
      <c r="AH752" s="22"/>
      <c r="AI752" s="18"/>
      <c r="AJ752" s="18"/>
      <c r="AK752" s="23">
        <v>11000.0</v>
      </c>
      <c r="AL752" s="19"/>
      <c r="AM752" s="22"/>
      <c r="AN752" s="18"/>
      <c r="AO752" s="18"/>
      <c r="AP752" s="23">
        <v>11000.0</v>
      </c>
      <c r="AQ752" s="19"/>
      <c r="AR752" s="22"/>
      <c r="AS752" s="18"/>
      <c r="AT752" s="18"/>
      <c r="AU752" s="23">
        <v>11000.0</v>
      </c>
      <c r="AV752" s="19"/>
      <c r="AW752" s="22"/>
      <c r="AX752" s="18"/>
      <c r="AY752" s="18"/>
      <c r="AZ752" s="23">
        <v>11000.0</v>
      </c>
      <c r="BA752" s="19"/>
      <c r="BB752" s="22"/>
      <c r="BC752" s="18"/>
      <c r="BD752" s="18"/>
      <c r="BE752" s="23">
        <v>11000.0</v>
      </c>
      <c r="BF752" s="19"/>
      <c r="BG752" s="22"/>
      <c r="BH752" s="18"/>
      <c r="BI752" s="18"/>
      <c r="BJ752" s="23">
        <v>11000.0</v>
      </c>
      <c r="BK752" s="19"/>
      <c r="BL752" s="22"/>
      <c r="BM752" s="18"/>
      <c r="BN752" s="18"/>
      <c r="BO752" s="23">
        <v>11000.0</v>
      </c>
      <c r="BP752" s="19"/>
      <c r="BQ752" s="17" t="s">
        <v>321</v>
      </c>
      <c r="BR752" s="1"/>
      <c r="BS752" s="1"/>
      <c r="BT752" s="1"/>
      <c r="BU752" s="1"/>
    </row>
    <row r="753">
      <c r="A753" s="1"/>
      <c r="B753" s="21"/>
      <c r="C753" s="11" t="s">
        <v>54</v>
      </c>
      <c r="D753" s="22"/>
      <c r="E753" s="18"/>
      <c r="F753" s="18"/>
      <c r="G753" s="23">
        <f>SUMIFS('지출'!$G$3:$G1000,'지출'!$J$3:$J1000,G$1,'지출'!$C$3:$C1000,"동일")</f>
        <v>173900</v>
      </c>
      <c r="H753" s="19"/>
      <c r="I753" s="22"/>
      <c r="J753" s="18"/>
      <c r="K753" s="18"/>
      <c r="L753" s="23">
        <f>SUMIFS('지출'!$G$3:$G1000,'지출'!$J$3:$J1000,L$1,'지출'!$C$3:$C1000,"동일")</f>
        <v>106930</v>
      </c>
      <c r="M753" s="24"/>
      <c r="N753" s="18"/>
      <c r="O753" s="18"/>
      <c r="P753" s="18"/>
      <c r="Q753" s="23">
        <f>SUMIFS('지출'!$G$3:$G1000,'지출'!$J$3:$J1000,Q$1,'지출'!$C$3:$C1000,"동일")</f>
        <v>0</v>
      </c>
      <c r="R753" s="24"/>
      <c r="S753" s="18"/>
      <c r="T753" s="18"/>
      <c r="U753" s="18"/>
      <c r="V753" s="23">
        <f>SUMIFS('지출'!$G$3:$G1000,'지출'!$J$3:$J1000,V$1,'지출'!$C$3:$C1000,"동일")</f>
        <v>0</v>
      </c>
      <c r="W753" s="24"/>
      <c r="X753" s="18"/>
      <c r="Y753" s="18"/>
      <c r="Z753" s="18"/>
      <c r="AA753" s="23">
        <f>SUMIFS('지출'!$G$3:$G1000,'지출'!$J$3:$J1000,AA$1,'지출'!$C$3:$C1000,"동일")</f>
        <v>0</v>
      </c>
      <c r="AB753" s="24"/>
      <c r="AC753" s="18"/>
      <c r="AD753" s="18"/>
      <c r="AE753" s="18"/>
      <c r="AF753" s="23">
        <f>SUMIFS('지출'!$G$3:$G1000,'지출'!$J$3:$J1000,AF$1,'지출'!$C$3:$C1000,"동일")</f>
        <v>0</v>
      </c>
      <c r="AG753" s="24"/>
      <c r="AH753" s="18"/>
      <c r="AI753" s="18"/>
      <c r="AJ753" s="18"/>
      <c r="AK753" s="23">
        <f>SUMIFS('지출'!$G$3:$G1000,'지출'!$J$3:$J1000,AK$1,'지출'!$C$3:$C1000,"동일")</f>
        <v>0</v>
      </c>
      <c r="AL753" s="24"/>
      <c r="AM753" s="18"/>
      <c r="AN753" s="18"/>
      <c r="AO753" s="18"/>
      <c r="AP753" s="23">
        <f>SUMIFS('지출'!$G$3:$G1000,'지출'!$J$3:$J1000,AP$1,'지출'!$C$3:$C1000,"동일")</f>
        <v>0</v>
      </c>
      <c r="AQ753" s="24"/>
      <c r="AR753" s="18"/>
      <c r="AS753" s="18"/>
      <c r="AT753" s="18"/>
      <c r="AU753" s="23">
        <f>SUMIFS('지출'!$G$3:$G1000,'지출'!$J$3:$J1000,AU$1,'지출'!$C$3:$C1000,"동일")</f>
        <v>0</v>
      </c>
      <c r="AV753" s="24"/>
      <c r="AW753" s="18"/>
      <c r="AX753" s="18"/>
      <c r="AY753" s="18"/>
      <c r="AZ753" s="23">
        <f>SUMIFS('지출'!$G$3:$G1000,'지출'!$J$3:$J1000,AZ$1,'지출'!$C$3:$C1000,"동일")</f>
        <v>0</v>
      </c>
      <c r="BA753" s="24"/>
      <c r="BB753" s="18"/>
      <c r="BC753" s="18"/>
      <c r="BD753" s="18"/>
      <c r="BE753" s="23">
        <f>SUMIFS('지출'!$G$3:$G1000,'지출'!$J$3:$J1000,BE$1,'지출'!$C$3:$C1000,"동일")</f>
        <v>0</v>
      </c>
      <c r="BF753" s="24"/>
      <c r="BG753" s="18"/>
      <c r="BH753" s="18"/>
      <c r="BI753" s="18"/>
      <c r="BJ753" s="23">
        <f>SUMIFS('지출'!$G$3:$G1000,'지출'!$J$3:$J1000,BJ$1,'지출'!$C$3:$C1000,"동일")</f>
        <v>0</v>
      </c>
      <c r="BK753" s="19"/>
      <c r="BL753" s="18"/>
      <c r="BM753" s="18"/>
      <c r="BN753" s="18"/>
      <c r="BO753" s="23">
        <f>SUMIFS('지출'!$G$3:$G1000,'지출'!$J$3:$J1000,BO$1,'지출'!$C$3:$C1000,"동일")</f>
        <v>173900</v>
      </c>
      <c r="BP753" s="19"/>
      <c r="BQ753" s="17" t="s">
        <v>321</v>
      </c>
      <c r="BR753" s="1"/>
      <c r="BS753" s="1"/>
      <c r="BT753" s="1"/>
      <c r="BU753" s="1"/>
    </row>
    <row r="754">
      <c r="A754" s="1"/>
      <c r="B754" s="21"/>
      <c r="C754" s="11" t="s">
        <v>56</v>
      </c>
      <c r="D754" s="22"/>
      <c r="E754" s="23">
        <f>E745-(SUM(E746:E753))</f>
        <v>571935</v>
      </c>
      <c r="F754" s="18"/>
      <c r="G754" s="23">
        <f>G745-(SUM(G746:G753))</f>
        <v>-94825</v>
      </c>
      <c r="H754" s="19"/>
      <c r="I754" s="22"/>
      <c r="J754" s="23">
        <f>J745-(SUM(J746:J753))</f>
        <v>695517</v>
      </c>
      <c r="K754" s="18"/>
      <c r="L754" s="23">
        <f>L745-(SUM(L746:L753))</f>
        <v>-32302</v>
      </c>
      <c r="M754" s="19"/>
      <c r="N754" s="22"/>
      <c r="O754" s="23">
        <f>O745-(SUM(O746:O753))</f>
        <v>720000</v>
      </c>
      <c r="P754" s="18"/>
      <c r="Q754" s="23">
        <f>Q745-(SUM(Q746:Q753))</f>
        <v>131640</v>
      </c>
      <c r="R754" s="19"/>
      <c r="S754" s="22"/>
      <c r="T754" s="23">
        <f>T745-(SUM(T746:T753))</f>
        <v>700000</v>
      </c>
      <c r="U754" s="18"/>
      <c r="V754" s="23">
        <f>V745-(SUM(V746:V753))</f>
        <v>183300</v>
      </c>
      <c r="W754" s="19"/>
      <c r="X754" s="18"/>
      <c r="Y754" s="23">
        <f>Y745-(SUM(Y746:Y753))</f>
        <v>700000</v>
      </c>
      <c r="Z754" s="18"/>
      <c r="AA754" s="23">
        <f>AA745-(SUM(AA746:AA753))</f>
        <v>261840</v>
      </c>
      <c r="AB754" s="19"/>
      <c r="AC754" s="18"/>
      <c r="AD754" s="23">
        <f>AD745-(SUM(AD746:AD753))</f>
        <v>700000</v>
      </c>
      <c r="AE754" s="18"/>
      <c r="AF754" s="23">
        <f>AF745-(SUM(AF746:AF753))</f>
        <v>276540</v>
      </c>
      <c r="AG754" s="19"/>
      <c r="AH754" s="18"/>
      <c r="AI754" s="23">
        <f>AI745-(SUM(AI746:AI753))</f>
        <v>700000</v>
      </c>
      <c r="AJ754" s="18"/>
      <c r="AK754" s="23">
        <f>AK745-(SUM(AK746:AK753))</f>
        <v>288100</v>
      </c>
      <c r="AL754" s="19"/>
      <c r="AM754" s="18"/>
      <c r="AN754" s="23">
        <f>AN745-(SUM(AN746:AN753))</f>
        <v>700000</v>
      </c>
      <c r="AO754" s="18"/>
      <c r="AP754" s="23">
        <f>AP745-(SUM(AP746:AP753))</f>
        <v>294470</v>
      </c>
      <c r="AQ754" s="19"/>
      <c r="AR754" s="22"/>
      <c r="AS754" s="23">
        <f>AS745-(SUM(AS746:AS753))</f>
        <v>576000</v>
      </c>
      <c r="AT754" s="18"/>
      <c r="AU754" s="23">
        <f>AU745-(SUM(AU746:AU753))</f>
        <v>265767</v>
      </c>
      <c r="AV754" s="19"/>
      <c r="AW754" s="22"/>
      <c r="AX754" s="23">
        <f>AX745-(SUM(AX746:AX753))</f>
        <v>730000</v>
      </c>
      <c r="AY754" s="18"/>
      <c r="AZ754" s="23">
        <f>AZ745-(SUM(AZ746:AZ753))</f>
        <v>274270</v>
      </c>
      <c r="BA754" s="19"/>
      <c r="BB754" s="22"/>
      <c r="BC754" s="23">
        <f>BC745-(SUM(BC746:BC753))</f>
        <v>730000</v>
      </c>
      <c r="BD754" s="18"/>
      <c r="BE754" s="23">
        <f>BE745-(SUM(BE746:BE753))</f>
        <v>194000</v>
      </c>
      <c r="BF754" s="19"/>
      <c r="BG754" s="22"/>
      <c r="BH754" s="23">
        <f>BH745-(SUM(BH746:BH753))</f>
        <v>730000</v>
      </c>
      <c r="BI754" s="18"/>
      <c r="BJ754" s="23">
        <f>BJ745-(SUM(BJ746:BJ753))</f>
        <v>106950</v>
      </c>
      <c r="BK754" s="19"/>
      <c r="BL754" s="22"/>
      <c r="BM754" s="23">
        <f>BM745-(SUM(BM746:BM753))</f>
        <v>730000</v>
      </c>
      <c r="BN754" s="18"/>
      <c r="BO754" s="23">
        <f>BO745-(SUM(BO746:BO753))</f>
        <v>135100</v>
      </c>
      <c r="BP754" s="19"/>
      <c r="BQ754" s="17" t="s">
        <v>321</v>
      </c>
      <c r="BR754" s="1"/>
      <c r="BS754" s="1"/>
      <c r="BT754" s="1"/>
      <c r="BU754" s="1"/>
    </row>
    <row r="755">
      <c r="A755" s="1"/>
      <c r="B755" s="10" t="s">
        <v>1040</v>
      </c>
      <c r="C755" s="11" t="s">
        <v>26</v>
      </c>
      <c r="D755" s="22"/>
      <c r="E755" s="23">
        <v>125000.0</v>
      </c>
      <c r="F755" s="18"/>
      <c r="G755" s="18"/>
      <c r="H755" s="19"/>
      <c r="I755" s="22"/>
      <c r="J755" s="23">
        <v>125000.0</v>
      </c>
      <c r="K755" s="18"/>
      <c r="L755" s="18"/>
      <c r="M755" s="19"/>
      <c r="N755" s="22"/>
      <c r="O755" s="23">
        <v>125000.0</v>
      </c>
      <c r="P755" s="18"/>
      <c r="Q755" s="18"/>
      <c r="R755" s="19"/>
      <c r="S755" s="22"/>
      <c r="T755" s="23">
        <v>125000.0</v>
      </c>
      <c r="U755" s="18"/>
      <c r="V755" s="18"/>
      <c r="W755" s="19"/>
      <c r="X755" s="18"/>
      <c r="Y755" s="23">
        <v>125000.0</v>
      </c>
      <c r="Z755" s="18"/>
      <c r="AA755" s="18"/>
      <c r="AB755" s="19"/>
      <c r="AC755" s="18"/>
      <c r="AD755" s="23">
        <v>125000.0</v>
      </c>
      <c r="AE755" s="18"/>
      <c r="AF755" s="18"/>
      <c r="AG755" s="19"/>
      <c r="AH755" s="20" t="s">
        <v>44</v>
      </c>
      <c r="AI755" s="23">
        <v>0.0</v>
      </c>
      <c r="AJ755" s="18"/>
      <c r="AK755" s="18"/>
      <c r="AL755" s="19"/>
      <c r="AM755" s="20" t="s">
        <v>44</v>
      </c>
      <c r="AN755" s="23">
        <v>0.0</v>
      </c>
      <c r="AO755" s="18"/>
      <c r="AP755" s="18"/>
      <c r="AQ755" s="19"/>
      <c r="AR755" s="20" t="s">
        <v>44</v>
      </c>
      <c r="AS755" s="23">
        <v>0.0</v>
      </c>
      <c r="AT755" s="18"/>
      <c r="AU755" s="18"/>
      <c r="AV755" s="19"/>
      <c r="AW755" s="20" t="s">
        <v>44</v>
      </c>
      <c r="AX755" s="23">
        <v>0.0</v>
      </c>
      <c r="AY755" s="18"/>
      <c r="AZ755" s="18"/>
      <c r="BA755" s="19"/>
      <c r="BB755" s="20" t="s">
        <v>44</v>
      </c>
      <c r="BC755" s="23">
        <v>0.0</v>
      </c>
      <c r="BD755" s="18"/>
      <c r="BE755" s="18"/>
      <c r="BF755" s="19"/>
      <c r="BG755" s="20" t="s">
        <v>44</v>
      </c>
      <c r="BH755" s="23">
        <v>0.0</v>
      </c>
      <c r="BI755" s="18"/>
      <c r="BJ755" s="18"/>
      <c r="BK755" s="19"/>
      <c r="BL755" s="20" t="s">
        <v>44</v>
      </c>
      <c r="BM755" s="23">
        <v>0.0</v>
      </c>
      <c r="BN755" s="18"/>
      <c r="BO755" s="18"/>
      <c r="BP755" s="19"/>
      <c r="BQ755" s="17" t="s">
        <v>321</v>
      </c>
      <c r="BR755" s="1"/>
      <c r="BS755" s="1"/>
      <c r="BT755" s="1"/>
      <c r="BU755" s="1"/>
    </row>
    <row r="756">
      <c r="A756" s="67" t="str">
        <f>B741</f>
        <v>동일</v>
      </c>
      <c r="B756" s="29">
        <v>1.0</v>
      </c>
      <c r="C756" s="30" t="s">
        <v>57</v>
      </c>
      <c r="D756" s="31"/>
      <c r="E756" s="32">
        <f>E754-E755</f>
        <v>446935</v>
      </c>
      <c r="F756" s="33"/>
      <c r="G756" s="33"/>
      <c r="H756" s="34"/>
      <c r="I756" s="31"/>
      <c r="J756" s="32">
        <f>J754-J755</f>
        <v>570517</v>
      </c>
      <c r="K756" s="33"/>
      <c r="L756" s="33"/>
      <c r="M756" s="34"/>
      <c r="N756" s="31"/>
      <c r="O756" s="32">
        <f>O754-O755</f>
        <v>595000</v>
      </c>
      <c r="P756" s="33"/>
      <c r="Q756" s="33"/>
      <c r="R756" s="34"/>
      <c r="S756" s="31"/>
      <c r="T756" s="32">
        <f>T754-T755</f>
        <v>575000</v>
      </c>
      <c r="U756" s="33"/>
      <c r="V756" s="33"/>
      <c r="W756" s="34"/>
      <c r="X756" s="33"/>
      <c r="Y756" s="32">
        <f>Y754-Y755</f>
        <v>575000</v>
      </c>
      <c r="Z756" s="33"/>
      <c r="AA756" s="33"/>
      <c r="AB756" s="34"/>
      <c r="AC756" s="33"/>
      <c r="AD756" s="32">
        <f>AD754-AD755</f>
        <v>575000</v>
      </c>
      <c r="AE756" s="33"/>
      <c r="AF756" s="33"/>
      <c r="AG756" s="34"/>
      <c r="AH756" s="33"/>
      <c r="AI756" s="32">
        <f>AI754-AI755</f>
        <v>700000</v>
      </c>
      <c r="AJ756" s="33"/>
      <c r="AK756" s="33"/>
      <c r="AL756" s="34"/>
      <c r="AM756" s="33"/>
      <c r="AN756" s="32">
        <f>AN754-AN755</f>
        <v>700000</v>
      </c>
      <c r="AO756" s="33"/>
      <c r="AP756" s="33"/>
      <c r="AQ756" s="34"/>
      <c r="AR756" s="31"/>
      <c r="AS756" s="32">
        <f>AS754-AS755</f>
        <v>576000</v>
      </c>
      <c r="AT756" s="33"/>
      <c r="AU756" s="33"/>
      <c r="AV756" s="34"/>
      <c r="AW756" s="31"/>
      <c r="AX756" s="32">
        <f>AX754-AX755</f>
        <v>730000</v>
      </c>
      <c r="AY756" s="33"/>
      <c r="AZ756" s="33"/>
      <c r="BA756" s="34"/>
      <c r="BB756" s="31"/>
      <c r="BC756" s="32">
        <f>BC754-BC755</f>
        <v>730000</v>
      </c>
      <c r="BD756" s="33"/>
      <c r="BE756" s="33"/>
      <c r="BF756" s="34"/>
      <c r="BG756" s="31"/>
      <c r="BH756" s="32">
        <f>BH754-BH755</f>
        <v>730000</v>
      </c>
      <c r="BI756" s="33"/>
      <c r="BJ756" s="33"/>
      <c r="BK756" s="34"/>
      <c r="BL756" s="31"/>
      <c r="BM756" s="32">
        <f>BM754-BM755</f>
        <v>730000</v>
      </c>
      <c r="BN756" s="33"/>
      <c r="BO756" s="33"/>
      <c r="BP756" s="34"/>
      <c r="BQ756" s="17" t="s">
        <v>321</v>
      </c>
      <c r="BR756" s="1"/>
      <c r="BS756" s="1"/>
      <c r="BT756" s="1"/>
      <c r="BU756" s="1"/>
    </row>
    <row r="757">
      <c r="A757" s="1"/>
      <c r="B757" s="27" t="s">
        <v>1138</v>
      </c>
      <c r="C757" s="11" t="s">
        <v>320</v>
      </c>
      <c r="D757" s="20" t="s">
        <v>1139</v>
      </c>
      <c r="E757" s="23">
        <f>243871+100000+313548</f>
        <v>657419</v>
      </c>
      <c r="F757" s="35" t="b">
        <v>1</v>
      </c>
      <c r="G757" s="23">
        <f>36129+46452</f>
        <v>82581</v>
      </c>
      <c r="H757" s="15" t="b">
        <v>1</v>
      </c>
      <c r="I757" s="20" t="s">
        <v>1140</v>
      </c>
      <c r="J757" s="23">
        <v>540000.0</v>
      </c>
      <c r="K757" s="35" t="b">
        <v>1</v>
      </c>
      <c r="L757" s="23">
        <v>80000.0</v>
      </c>
      <c r="M757" s="15" t="b">
        <v>1</v>
      </c>
      <c r="N757" s="20" t="s">
        <v>1141</v>
      </c>
      <c r="O757" s="23">
        <f>87097+380645</f>
        <v>467742</v>
      </c>
      <c r="P757" s="35" t="b">
        <v>1</v>
      </c>
      <c r="Q757" s="23">
        <f>12903+51613</f>
        <v>64516</v>
      </c>
      <c r="R757" s="15" t="b">
        <v>1</v>
      </c>
      <c r="S757" s="20" t="s">
        <v>1142</v>
      </c>
      <c r="T757" s="23">
        <v>590000.0</v>
      </c>
      <c r="U757" s="35" t="b">
        <v>1</v>
      </c>
      <c r="V757" s="23">
        <v>80000.0</v>
      </c>
      <c r="W757" s="15" t="b">
        <v>1</v>
      </c>
      <c r="X757" s="20" t="s">
        <v>1142</v>
      </c>
      <c r="Y757" s="23">
        <v>590000.0</v>
      </c>
      <c r="Z757" s="35" t="b">
        <v>1</v>
      </c>
      <c r="AA757" s="23">
        <v>80000.0</v>
      </c>
      <c r="AB757" s="15" t="b">
        <v>1</v>
      </c>
      <c r="AC757" s="20" t="s">
        <v>1142</v>
      </c>
      <c r="AD757" s="23">
        <v>590000.0</v>
      </c>
      <c r="AE757" s="35" t="b">
        <v>1</v>
      </c>
      <c r="AF757" s="23">
        <v>80000.0</v>
      </c>
      <c r="AG757" s="15" t="b">
        <v>1</v>
      </c>
      <c r="AH757" s="20" t="s">
        <v>1142</v>
      </c>
      <c r="AI757" s="23">
        <v>590000.0</v>
      </c>
      <c r="AJ757" s="35" t="b">
        <v>1</v>
      </c>
      <c r="AK757" s="23">
        <v>80000.0</v>
      </c>
      <c r="AL757" s="15" t="b">
        <v>1</v>
      </c>
      <c r="AM757" s="20" t="s">
        <v>1143</v>
      </c>
      <c r="AN757" s="23">
        <f>590000+500000</f>
        <v>1090000</v>
      </c>
      <c r="AO757" s="35" t="b">
        <v>1</v>
      </c>
      <c r="AP757" s="23">
        <f>80000</f>
        <v>80000</v>
      </c>
      <c r="AQ757" s="15" t="b">
        <v>1</v>
      </c>
      <c r="AR757" s="20" t="s">
        <v>1144</v>
      </c>
      <c r="AS757" s="23">
        <f>590000+323000</f>
        <v>913000</v>
      </c>
      <c r="AT757" s="35" t="b">
        <v>1</v>
      </c>
      <c r="AU757" s="23">
        <f>80000+45333</f>
        <v>125333</v>
      </c>
      <c r="AV757" s="15" t="b">
        <v>1</v>
      </c>
      <c r="AW757" s="20" t="s">
        <v>1145</v>
      </c>
      <c r="AX757" s="23">
        <f>590000+570000</f>
        <v>1160000</v>
      </c>
      <c r="AY757" s="35" t="b">
        <v>1</v>
      </c>
      <c r="AZ757" s="23">
        <f>80000+80000</f>
        <v>160000</v>
      </c>
      <c r="BA757" s="15" t="b">
        <v>1</v>
      </c>
      <c r="BB757" s="20" t="s">
        <v>1146</v>
      </c>
      <c r="BC757" s="23">
        <v>570000.0</v>
      </c>
      <c r="BD757" s="35" t="b">
        <v>1</v>
      </c>
      <c r="BE757" s="23">
        <v>80000.0</v>
      </c>
      <c r="BF757" s="15" t="b">
        <v>1</v>
      </c>
      <c r="BG757" s="20" t="s">
        <v>1146</v>
      </c>
      <c r="BH757" s="23">
        <v>570000.0</v>
      </c>
      <c r="BI757" s="35" t="b">
        <v>1</v>
      </c>
      <c r="BJ757" s="23">
        <v>80000.0</v>
      </c>
      <c r="BK757" s="15" t="b">
        <v>1</v>
      </c>
      <c r="BL757" s="20" t="s">
        <v>1146</v>
      </c>
      <c r="BM757" s="23">
        <v>570000.0</v>
      </c>
      <c r="BN757" s="35" t="b">
        <v>0</v>
      </c>
      <c r="BO757" s="23">
        <v>80000.0</v>
      </c>
      <c r="BP757" s="15" t="b">
        <v>0</v>
      </c>
      <c r="BQ757" s="17" t="s">
        <v>321</v>
      </c>
      <c r="BR757" s="1"/>
      <c r="BS757" s="1"/>
      <c r="BT757" s="1"/>
      <c r="BU757" s="1"/>
    </row>
    <row r="758">
      <c r="A758" s="1"/>
      <c r="B758" s="27" t="s">
        <v>1138</v>
      </c>
      <c r="C758" s="11" t="s">
        <v>322</v>
      </c>
      <c r="D758" s="20" t="s">
        <v>1147</v>
      </c>
      <c r="E758" s="23">
        <v>550000.0</v>
      </c>
      <c r="F758" s="35" t="b">
        <v>1</v>
      </c>
      <c r="G758" s="23">
        <v>80000.0</v>
      </c>
      <c r="H758" s="15" t="b">
        <v>1</v>
      </c>
      <c r="I758" s="20" t="s">
        <v>1147</v>
      </c>
      <c r="J758" s="23">
        <v>550000.0</v>
      </c>
      <c r="K758" s="35" t="b">
        <v>1</v>
      </c>
      <c r="L758" s="23">
        <v>80000.0</v>
      </c>
      <c r="M758" s="15" t="b">
        <v>1</v>
      </c>
      <c r="N758" s="20" t="s">
        <v>1147</v>
      </c>
      <c r="O758" s="23">
        <v>550000.0</v>
      </c>
      <c r="P758" s="35" t="b">
        <v>1</v>
      </c>
      <c r="Q758" s="23">
        <v>80000.0</v>
      </c>
      <c r="R758" s="15" t="b">
        <v>1</v>
      </c>
      <c r="S758" s="20" t="s">
        <v>1147</v>
      </c>
      <c r="T758" s="23">
        <v>550000.0</v>
      </c>
      <c r="U758" s="35" t="b">
        <v>1</v>
      </c>
      <c r="V758" s="23">
        <v>80000.0</v>
      </c>
      <c r="W758" s="15" t="b">
        <v>1</v>
      </c>
      <c r="X758" s="20" t="s">
        <v>1147</v>
      </c>
      <c r="Y758" s="23">
        <v>550000.0</v>
      </c>
      <c r="Z758" s="35" t="b">
        <v>1</v>
      </c>
      <c r="AA758" s="23">
        <v>80000.0</v>
      </c>
      <c r="AB758" s="15" t="b">
        <v>1</v>
      </c>
      <c r="AC758" s="20" t="s">
        <v>1147</v>
      </c>
      <c r="AD758" s="23">
        <v>550000.0</v>
      </c>
      <c r="AE758" s="35" t="b">
        <v>1</v>
      </c>
      <c r="AF758" s="23">
        <v>80000.0</v>
      </c>
      <c r="AG758" s="15" t="b">
        <v>1</v>
      </c>
      <c r="AH758" s="20" t="s">
        <v>1148</v>
      </c>
      <c r="AI758" s="23">
        <v>550000.0</v>
      </c>
      <c r="AJ758" s="35" t="b">
        <v>1</v>
      </c>
      <c r="AK758" s="23">
        <v>80000.0</v>
      </c>
      <c r="AL758" s="15" t="b">
        <v>1</v>
      </c>
      <c r="AM758" s="57" t="s">
        <v>1149</v>
      </c>
      <c r="AN758" s="23">
        <v>580000.0</v>
      </c>
      <c r="AO758" s="35" t="b">
        <v>1</v>
      </c>
      <c r="AP758" s="23">
        <v>80000.0</v>
      </c>
      <c r="AQ758" s="15" t="b">
        <v>1</v>
      </c>
      <c r="AR758" s="57" t="s">
        <v>1150</v>
      </c>
      <c r="AS758" s="23">
        <v>580000.0</v>
      </c>
      <c r="AT758" s="35" t="b">
        <v>1</v>
      </c>
      <c r="AU758" s="23">
        <v>80000.0</v>
      </c>
      <c r="AV758" s="15" t="b">
        <v>1</v>
      </c>
      <c r="AW758" s="57" t="s">
        <v>1150</v>
      </c>
      <c r="AX758" s="23">
        <v>580000.0</v>
      </c>
      <c r="AY758" s="35" t="b">
        <v>1</v>
      </c>
      <c r="AZ758" s="23">
        <v>80000.0</v>
      </c>
      <c r="BA758" s="15" t="b">
        <v>1</v>
      </c>
      <c r="BB758" s="57" t="s">
        <v>1150</v>
      </c>
      <c r="BC758" s="23">
        <v>580000.0</v>
      </c>
      <c r="BD758" s="35" t="b">
        <v>1</v>
      </c>
      <c r="BE758" s="23">
        <v>80000.0</v>
      </c>
      <c r="BF758" s="15" t="b">
        <v>1</v>
      </c>
      <c r="BG758" s="57" t="s">
        <v>1150</v>
      </c>
      <c r="BH758" s="23">
        <v>580000.0</v>
      </c>
      <c r="BI758" s="35" t="b">
        <v>1</v>
      </c>
      <c r="BJ758" s="23">
        <v>80000.0</v>
      </c>
      <c r="BK758" s="15" t="b">
        <v>1</v>
      </c>
      <c r="BL758" s="57" t="s">
        <v>1150</v>
      </c>
      <c r="BM758" s="23">
        <v>580000.0</v>
      </c>
      <c r="BN758" s="35" t="b">
        <v>0</v>
      </c>
      <c r="BO758" s="23">
        <v>80000.0</v>
      </c>
      <c r="BP758" s="15" t="b">
        <v>0</v>
      </c>
      <c r="BQ758" s="17" t="s">
        <v>321</v>
      </c>
      <c r="BR758" s="1"/>
      <c r="BS758" s="1"/>
      <c r="BT758" s="1"/>
      <c r="BU758" s="1"/>
    </row>
    <row r="759">
      <c r="A759" s="1"/>
      <c r="B759" s="27" t="s">
        <v>1138</v>
      </c>
      <c r="C759" s="11" t="s">
        <v>323</v>
      </c>
      <c r="D759" s="20" t="s">
        <v>1151</v>
      </c>
      <c r="E759" s="23">
        <v>209677.0</v>
      </c>
      <c r="F759" s="35" t="b">
        <v>1</v>
      </c>
      <c r="G759" s="23">
        <v>33548.0</v>
      </c>
      <c r="H759" s="15" t="b">
        <v>1</v>
      </c>
      <c r="I759" s="20" t="s">
        <v>37</v>
      </c>
      <c r="J759" s="18"/>
      <c r="K759" s="1"/>
      <c r="L759" s="18"/>
      <c r="M759" s="19"/>
      <c r="N759" s="20" t="s">
        <v>1152</v>
      </c>
      <c r="O759" s="23">
        <v>490000.0</v>
      </c>
      <c r="P759" s="35" t="b">
        <v>1</v>
      </c>
      <c r="Q759" s="23">
        <v>80000.0</v>
      </c>
      <c r="R759" s="15" t="b">
        <v>1</v>
      </c>
      <c r="S759" s="20" t="s">
        <v>1153</v>
      </c>
      <c r="T759" s="23">
        <v>490000.0</v>
      </c>
      <c r="U759" s="35" t="b">
        <v>1</v>
      </c>
      <c r="V759" s="23">
        <v>80000.0</v>
      </c>
      <c r="W759" s="15" t="b">
        <v>1</v>
      </c>
      <c r="X759" s="20" t="s">
        <v>1153</v>
      </c>
      <c r="Y759" s="23">
        <v>490000.0</v>
      </c>
      <c r="Z759" s="35" t="b">
        <v>1</v>
      </c>
      <c r="AA759" s="23">
        <v>80000.0</v>
      </c>
      <c r="AB759" s="15" t="b">
        <v>1</v>
      </c>
      <c r="AC759" s="20" t="s">
        <v>1154</v>
      </c>
      <c r="AD759" s="23">
        <f t="shared" ref="AD759:AD760" si="37">228667+243667</f>
        <v>472334</v>
      </c>
      <c r="AE759" s="35" t="b">
        <v>1</v>
      </c>
      <c r="AF759" s="23">
        <f t="shared" ref="AF759:AF760" si="38">37333+45333</f>
        <v>82666</v>
      </c>
      <c r="AG759" s="15" t="b">
        <v>1</v>
      </c>
      <c r="AH759" s="20" t="s">
        <v>1155</v>
      </c>
      <c r="AI759" s="23">
        <v>430000.0</v>
      </c>
      <c r="AJ759" s="35" t="b">
        <v>1</v>
      </c>
      <c r="AK759" s="23">
        <v>80000.0</v>
      </c>
      <c r="AL759" s="15" t="b">
        <v>1</v>
      </c>
      <c r="AM759" s="20" t="s">
        <v>37</v>
      </c>
      <c r="AN759" s="18"/>
      <c r="AO759" s="1"/>
      <c r="AP759" s="18"/>
      <c r="AQ759" s="15" t="b">
        <v>0</v>
      </c>
      <c r="AR759" s="20" t="s">
        <v>1156</v>
      </c>
      <c r="AS759" s="23">
        <v>243667.0</v>
      </c>
      <c r="AT759" s="35" t="b">
        <v>1</v>
      </c>
      <c r="AU759" s="23">
        <v>45333.0</v>
      </c>
      <c r="AV759" s="15" t="b">
        <v>1</v>
      </c>
      <c r="AW759" s="20" t="s">
        <v>1157</v>
      </c>
      <c r="AX759" s="23">
        <v>430000.0</v>
      </c>
      <c r="AY759" s="35" t="b">
        <v>1</v>
      </c>
      <c r="AZ759" s="23">
        <v>80000.0</v>
      </c>
      <c r="BA759" s="15" t="b">
        <v>1</v>
      </c>
      <c r="BB759" s="20" t="s">
        <v>1157</v>
      </c>
      <c r="BC759" s="23">
        <v>430000.0</v>
      </c>
      <c r="BD759" s="35" t="b">
        <v>1</v>
      </c>
      <c r="BE759" s="23">
        <v>80000.0</v>
      </c>
      <c r="BF759" s="15" t="b">
        <v>1</v>
      </c>
      <c r="BG759" s="20" t="s">
        <v>1157</v>
      </c>
      <c r="BH759" s="23">
        <v>430000.0</v>
      </c>
      <c r="BI759" s="35" t="b">
        <v>1</v>
      </c>
      <c r="BJ759" s="23">
        <v>80000.0</v>
      </c>
      <c r="BK759" s="15" t="b">
        <v>1</v>
      </c>
      <c r="BL759" s="20" t="s">
        <v>1157</v>
      </c>
      <c r="BM759" s="23">
        <v>430000.0</v>
      </c>
      <c r="BN759" s="35" t="b">
        <v>0</v>
      </c>
      <c r="BO759" s="23">
        <v>80000.0</v>
      </c>
      <c r="BP759" s="15" t="b">
        <v>0</v>
      </c>
      <c r="BQ759" s="17" t="s">
        <v>321</v>
      </c>
      <c r="BR759" s="1"/>
      <c r="BS759" s="1"/>
      <c r="BT759" s="1"/>
      <c r="BU759" s="1"/>
    </row>
    <row r="760">
      <c r="A760" s="1"/>
      <c r="B760" s="27" t="s">
        <v>1138</v>
      </c>
      <c r="C760" s="11" t="s">
        <v>349</v>
      </c>
      <c r="D760" s="20" t="s">
        <v>37</v>
      </c>
      <c r="E760" s="18"/>
      <c r="F760" s="1"/>
      <c r="G760" s="18"/>
      <c r="H760" s="19"/>
      <c r="I760" s="20" t="s">
        <v>37</v>
      </c>
      <c r="J760" s="18"/>
      <c r="K760" s="1"/>
      <c r="L760" s="18"/>
      <c r="M760" s="19"/>
      <c r="N760" s="20" t="s">
        <v>1158</v>
      </c>
      <c r="O760" s="23">
        <v>490000.0</v>
      </c>
      <c r="P760" s="35" t="b">
        <v>1</v>
      </c>
      <c r="Q760" s="23">
        <v>80000.0</v>
      </c>
      <c r="R760" s="15" t="b">
        <v>1</v>
      </c>
      <c r="S760" s="20" t="s">
        <v>1159</v>
      </c>
      <c r="T760" s="23">
        <v>490000.0</v>
      </c>
      <c r="U760" s="35" t="b">
        <v>1</v>
      </c>
      <c r="V760" s="23">
        <v>80000.0</v>
      </c>
      <c r="W760" s="15" t="b">
        <v>1</v>
      </c>
      <c r="X760" s="20" t="s">
        <v>1159</v>
      </c>
      <c r="Y760" s="23">
        <v>490000.0</v>
      </c>
      <c r="Z760" s="35" t="b">
        <v>1</v>
      </c>
      <c r="AA760" s="23">
        <v>80000.0</v>
      </c>
      <c r="AB760" s="15" t="b">
        <v>1</v>
      </c>
      <c r="AC760" s="20" t="s">
        <v>1160</v>
      </c>
      <c r="AD760" s="23">
        <f t="shared" si="37"/>
        <v>472334</v>
      </c>
      <c r="AE760" s="35" t="b">
        <v>1</v>
      </c>
      <c r="AF760" s="23">
        <f t="shared" si="38"/>
        <v>82666</v>
      </c>
      <c r="AG760" s="15" t="b">
        <v>1</v>
      </c>
      <c r="AH760" s="20" t="s">
        <v>1161</v>
      </c>
      <c r="AI760" s="23">
        <v>430000.0</v>
      </c>
      <c r="AJ760" s="35" t="b">
        <v>1</v>
      </c>
      <c r="AK760" s="23">
        <v>80000.0</v>
      </c>
      <c r="AL760" s="15" t="b">
        <v>1</v>
      </c>
      <c r="AM760" s="20" t="s">
        <v>1161</v>
      </c>
      <c r="AN760" s="23">
        <v>430000.0</v>
      </c>
      <c r="AO760" s="35" t="b">
        <v>1</v>
      </c>
      <c r="AP760" s="23">
        <v>80000.0</v>
      </c>
      <c r="AQ760" s="15" t="b">
        <v>1</v>
      </c>
      <c r="AR760" s="20" t="s">
        <v>1161</v>
      </c>
      <c r="AS760" s="23">
        <v>430000.0</v>
      </c>
      <c r="AT760" s="35" t="b">
        <v>1</v>
      </c>
      <c r="AU760" s="23">
        <v>80000.0</v>
      </c>
      <c r="AV760" s="15" t="b">
        <v>1</v>
      </c>
      <c r="AW760" s="20" t="s">
        <v>1161</v>
      </c>
      <c r="AX760" s="23">
        <v>430000.0</v>
      </c>
      <c r="AY760" s="35" t="b">
        <v>1</v>
      </c>
      <c r="AZ760" s="23">
        <v>80000.0</v>
      </c>
      <c r="BA760" s="15" t="b">
        <v>1</v>
      </c>
      <c r="BB760" s="20" t="s">
        <v>1161</v>
      </c>
      <c r="BC760" s="23">
        <v>430000.0</v>
      </c>
      <c r="BD760" s="35" t="b">
        <v>1</v>
      </c>
      <c r="BE760" s="23">
        <v>80000.0</v>
      </c>
      <c r="BF760" s="15" t="b">
        <v>1</v>
      </c>
      <c r="BG760" s="20" t="s">
        <v>1161</v>
      </c>
      <c r="BH760" s="23">
        <v>430000.0</v>
      </c>
      <c r="BI760" s="35" t="b">
        <v>1</v>
      </c>
      <c r="BJ760" s="23">
        <v>80000.0</v>
      </c>
      <c r="BK760" s="15" t="b">
        <v>1</v>
      </c>
      <c r="BL760" s="20" t="s">
        <v>1161</v>
      </c>
      <c r="BM760" s="23">
        <v>430000.0</v>
      </c>
      <c r="BN760" s="35" t="b">
        <v>0</v>
      </c>
      <c r="BO760" s="23">
        <v>80000.0</v>
      </c>
      <c r="BP760" s="15" t="b">
        <v>0</v>
      </c>
      <c r="BQ760" s="17" t="s">
        <v>321</v>
      </c>
      <c r="BR760" s="1"/>
      <c r="BS760" s="1"/>
      <c r="BT760" s="1"/>
      <c r="BU760" s="1"/>
    </row>
    <row r="761">
      <c r="A761" s="1"/>
      <c r="B761" s="21"/>
      <c r="C761" s="11" t="s">
        <v>42</v>
      </c>
      <c r="D761" s="22"/>
      <c r="E761" s="23">
        <f>SUM(E757:E760)</f>
        <v>1417096</v>
      </c>
      <c r="F761" s="18"/>
      <c r="G761" s="23">
        <f>SUM(G757:G760)</f>
        <v>196129</v>
      </c>
      <c r="H761" s="19"/>
      <c r="I761" s="22"/>
      <c r="J761" s="23">
        <f>SUM(J757:J760)</f>
        <v>1090000</v>
      </c>
      <c r="K761" s="18"/>
      <c r="L761" s="23">
        <f>SUM(L757:L760)</f>
        <v>160000</v>
      </c>
      <c r="M761" s="19"/>
      <c r="N761" s="22"/>
      <c r="O761" s="23">
        <f>SUM(O757:O760)</f>
        <v>1997742</v>
      </c>
      <c r="P761" s="18"/>
      <c r="Q761" s="23">
        <f>SUM(Q757:Q760)</f>
        <v>304516</v>
      </c>
      <c r="R761" s="19"/>
      <c r="S761" s="22"/>
      <c r="T761" s="23">
        <f>SUM(T757:T760)</f>
        <v>2120000</v>
      </c>
      <c r="U761" s="18"/>
      <c r="V761" s="23">
        <f>SUM(V757:V760)</f>
        <v>320000</v>
      </c>
      <c r="W761" s="19"/>
      <c r="X761" s="22"/>
      <c r="Y761" s="23">
        <f>SUM(Y757:Y760)</f>
        <v>2120000</v>
      </c>
      <c r="Z761" s="18"/>
      <c r="AA761" s="23">
        <f>SUM(AA757:AA760)</f>
        <v>320000</v>
      </c>
      <c r="AB761" s="19"/>
      <c r="AC761" s="22"/>
      <c r="AD761" s="23">
        <f>SUM(AD757:AD760)</f>
        <v>2084668</v>
      </c>
      <c r="AE761" s="18"/>
      <c r="AF761" s="23">
        <f>SUM(AF757:AF760)</f>
        <v>325332</v>
      </c>
      <c r="AG761" s="19"/>
      <c r="AH761" s="22"/>
      <c r="AI761" s="23">
        <f>SUM(AI757:AI760)</f>
        <v>2000000</v>
      </c>
      <c r="AJ761" s="18"/>
      <c r="AK761" s="23">
        <f>SUM(AK757:AK760)</f>
        <v>320000</v>
      </c>
      <c r="AL761" s="19"/>
      <c r="AM761" s="22"/>
      <c r="AN761" s="23">
        <f>SUM(AN757:AN760)</f>
        <v>2100000</v>
      </c>
      <c r="AO761" s="18"/>
      <c r="AP761" s="23">
        <f>SUM(AP757:AP760)</f>
        <v>240000</v>
      </c>
      <c r="AQ761" s="19"/>
      <c r="AR761" s="22"/>
      <c r="AS761" s="23">
        <f>SUM(AS757:AS760)</f>
        <v>2166667</v>
      </c>
      <c r="AT761" s="18"/>
      <c r="AU761" s="23">
        <f>SUM(AU757:AU760)</f>
        <v>330666</v>
      </c>
      <c r="AV761" s="19"/>
      <c r="AW761" s="22"/>
      <c r="AX761" s="23">
        <f>SUM(AX757:AX760)</f>
        <v>2600000</v>
      </c>
      <c r="AY761" s="18"/>
      <c r="AZ761" s="23">
        <f>SUM(AZ757:AZ760)</f>
        <v>400000</v>
      </c>
      <c r="BA761" s="19"/>
      <c r="BB761" s="22"/>
      <c r="BC761" s="23">
        <f>SUM(BC757:BC760)</f>
        <v>2010000</v>
      </c>
      <c r="BD761" s="18"/>
      <c r="BE761" s="23">
        <f>SUM(BE757:BE760)</f>
        <v>320000</v>
      </c>
      <c r="BF761" s="19"/>
      <c r="BG761" s="22"/>
      <c r="BH761" s="23">
        <f>SUM(BH757:BH760)</f>
        <v>2010000</v>
      </c>
      <c r="BI761" s="18"/>
      <c r="BJ761" s="23">
        <f>SUM(BJ757:BJ760)</f>
        <v>320000</v>
      </c>
      <c r="BK761" s="19"/>
      <c r="BL761" s="22"/>
      <c r="BM761" s="23">
        <f>SUM(BM757:BM760)</f>
        <v>2010000</v>
      </c>
      <c r="BN761" s="18"/>
      <c r="BO761" s="23">
        <f>SUM(BO757:BO760)</f>
        <v>320000</v>
      </c>
      <c r="BP761" s="19"/>
      <c r="BQ761" s="17" t="s">
        <v>321</v>
      </c>
      <c r="BR761" s="1"/>
      <c r="BS761" s="1"/>
      <c r="BT761" s="1"/>
      <c r="BU761" s="1"/>
    </row>
    <row r="762">
      <c r="A762" s="1"/>
      <c r="B762" s="21"/>
      <c r="C762" s="11" t="s">
        <v>43</v>
      </c>
      <c r="D762" s="22"/>
      <c r="E762" s="23">
        <v>1000000.0</v>
      </c>
      <c r="F762" s="18"/>
      <c r="G762" s="18"/>
      <c r="H762" s="19"/>
      <c r="I762" s="22"/>
      <c r="J762" s="23">
        <v>1000000.0</v>
      </c>
      <c r="K762" s="18"/>
      <c r="L762" s="18"/>
      <c r="M762" s="19"/>
      <c r="N762" s="22"/>
      <c r="O762" s="23">
        <v>1000000.0</v>
      </c>
      <c r="P762" s="18"/>
      <c r="Q762" s="18"/>
      <c r="R762" s="19"/>
      <c r="S762" s="22"/>
      <c r="T762" s="23">
        <v>1000000.0</v>
      </c>
      <c r="U762" s="18"/>
      <c r="V762" s="18"/>
      <c r="W762" s="19"/>
      <c r="X762" s="22"/>
      <c r="Y762" s="23">
        <v>1000000.0</v>
      </c>
      <c r="Z762" s="18"/>
      <c r="AA762" s="18"/>
      <c r="AB762" s="19"/>
      <c r="AC762" s="22"/>
      <c r="AD762" s="23">
        <v>1000000.0</v>
      </c>
      <c r="AE762" s="18"/>
      <c r="AF762" s="18"/>
      <c r="AG762" s="19"/>
      <c r="AH762" s="22"/>
      <c r="AI762" s="23">
        <v>1000000.0</v>
      </c>
      <c r="AJ762" s="18"/>
      <c r="AK762" s="18"/>
      <c r="AL762" s="19"/>
      <c r="AM762" s="22"/>
      <c r="AN762" s="23">
        <v>1000000.0</v>
      </c>
      <c r="AO762" s="18"/>
      <c r="AP762" s="18"/>
      <c r="AQ762" s="19"/>
      <c r="AR762" s="22"/>
      <c r="AS762" s="23">
        <v>1000000.0</v>
      </c>
      <c r="AT762" s="18"/>
      <c r="AU762" s="18"/>
      <c r="AV762" s="19"/>
      <c r="AW762" s="22"/>
      <c r="AX762" s="23">
        <v>1000000.0</v>
      </c>
      <c r="AY762" s="18"/>
      <c r="AZ762" s="18"/>
      <c r="BA762" s="19"/>
      <c r="BB762" s="22"/>
      <c r="BC762" s="23">
        <v>1000000.0</v>
      </c>
      <c r="BD762" s="18"/>
      <c r="BE762" s="18"/>
      <c r="BF762" s="19"/>
      <c r="BG762" s="22"/>
      <c r="BH762" s="23">
        <v>1000000.0</v>
      </c>
      <c r="BI762" s="18"/>
      <c r="BJ762" s="18"/>
      <c r="BK762" s="19"/>
      <c r="BL762" s="22"/>
      <c r="BM762" s="23">
        <v>1000000.0</v>
      </c>
      <c r="BN762" s="18"/>
      <c r="BO762" s="18"/>
      <c r="BP762" s="19"/>
      <c r="BQ762" s="17" t="s">
        <v>321</v>
      </c>
      <c r="BR762" s="1"/>
      <c r="BS762" s="1"/>
      <c r="BT762" s="1"/>
      <c r="BU762" s="1"/>
    </row>
    <row r="763">
      <c r="A763" s="1"/>
      <c r="B763" s="21"/>
      <c r="C763" s="11" t="s">
        <v>45</v>
      </c>
      <c r="D763" s="22"/>
      <c r="E763" s="23">
        <v>50000.0</v>
      </c>
      <c r="F763" s="18"/>
      <c r="G763" s="18"/>
      <c r="H763" s="19"/>
      <c r="I763" s="22"/>
      <c r="J763" s="23">
        <v>50000.0</v>
      </c>
      <c r="K763" s="18"/>
      <c r="L763" s="18"/>
      <c r="M763" s="19"/>
      <c r="N763" s="22"/>
      <c r="O763" s="23">
        <v>50000.0</v>
      </c>
      <c r="P763" s="18"/>
      <c r="Q763" s="18"/>
      <c r="R763" s="19"/>
      <c r="S763" s="22"/>
      <c r="T763" s="23">
        <v>50000.0</v>
      </c>
      <c r="U763" s="18"/>
      <c r="V763" s="18"/>
      <c r="W763" s="19"/>
      <c r="X763" s="22"/>
      <c r="Y763" s="23">
        <v>50000.0</v>
      </c>
      <c r="Z763" s="18"/>
      <c r="AA763" s="18"/>
      <c r="AB763" s="19"/>
      <c r="AC763" s="22"/>
      <c r="AD763" s="23">
        <v>50000.0</v>
      </c>
      <c r="AE763" s="18"/>
      <c r="AF763" s="18"/>
      <c r="AG763" s="19"/>
      <c r="AH763" s="22"/>
      <c r="AI763" s="23">
        <v>50000.0</v>
      </c>
      <c r="AJ763" s="18"/>
      <c r="AK763" s="18"/>
      <c r="AL763" s="19"/>
      <c r="AM763" s="22"/>
      <c r="AN763" s="23">
        <v>50000.0</v>
      </c>
      <c r="AO763" s="18"/>
      <c r="AP763" s="18"/>
      <c r="AQ763" s="19"/>
      <c r="AR763" s="22"/>
      <c r="AS763" s="23">
        <v>50000.0</v>
      </c>
      <c r="AT763" s="18"/>
      <c r="AU763" s="18"/>
      <c r="AV763" s="19"/>
      <c r="AW763" s="22"/>
      <c r="AX763" s="23">
        <v>50000.0</v>
      </c>
      <c r="AY763" s="18"/>
      <c r="AZ763" s="18"/>
      <c r="BA763" s="19"/>
      <c r="BB763" s="22"/>
      <c r="BC763" s="23">
        <v>50000.0</v>
      </c>
      <c r="BD763" s="18"/>
      <c r="BE763" s="18"/>
      <c r="BF763" s="19"/>
      <c r="BG763" s="22"/>
      <c r="BH763" s="23">
        <v>50000.0</v>
      </c>
      <c r="BI763" s="18"/>
      <c r="BJ763" s="18"/>
      <c r="BK763" s="19"/>
      <c r="BL763" s="22"/>
      <c r="BM763" s="23">
        <v>50000.0</v>
      </c>
      <c r="BN763" s="18"/>
      <c r="BO763" s="18"/>
      <c r="BP763" s="19"/>
      <c r="BQ763" s="17" t="s">
        <v>321</v>
      </c>
      <c r="BR763" s="1"/>
      <c r="BS763" s="1"/>
      <c r="BT763" s="1"/>
      <c r="BU763" s="1"/>
    </row>
    <row r="764">
      <c r="A764" s="1"/>
      <c r="B764" s="10" t="s">
        <v>1162</v>
      </c>
      <c r="C764" s="11" t="s">
        <v>47</v>
      </c>
      <c r="D764" s="22"/>
      <c r="E764" s="18"/>
      <c r="F764" s="18"/>
      <c r="G764" s="20" t="s">
        <v>1121</v>
      </c>
      <c r="H764" s="19"/>
      <c r="I764" s="22"/>
      <c r="J764" s="18"/>
      <c r="K764" s="18"/>
      <c r="L764" s="18"/>
      <c r="M764" s="19"/>
      <c r="N764" s="22"/>
      <c r="O764" s="18"/>
      <c r="P764" s="18"/>
      <c r="Q764" s="18"/>
      <c r="R764" s="19"/>
      <c r="S764" s="22"/>
      <c r="T764" s="18"/>
      <c r="U764" s="18"/>
      <c r="V764" s="18"/>
      <c r="W764" s="19"/>
      <c r="X764" s="18"/>
      <c r="Y764" s="18"/>
      <c r="Z764" s="18"/>
      <c r="AA764" s="18"/>
      <c r="AB764" s="19"/>
      <c r="AC764" s="18"/>
      <c r="AD764" s="18"/>
      <c r="AE764" s="18"/>
      <c r="AF764" s="18"/>
      <c r="AG764" s="19"/>
      <c r="AH764" s="18"/>
      <c r="AI764" s="18"/>
      <c r="AJ764" s="18"/>
      <c r="AK764" s="18"/>
      <c r="AL764" s="19"/>
      <c r="AM764" s="18"/>
      <c r="AN764" s="18"/>
      <c r="AO764" s="18"/>
      <c r="AP764" s="18"/>
      <c r="AQ764" s="19"/>
      <c r="AR764" s="22"/>
      <c r="AS764" s="18"/>
      <c r="AT764" s="18"/>
      <c r="AU764" s="18"/>
      <c r="AV764" s="19"/>
      <c r="AW764" s="22"/>
      <c r="AX764" s="18"/>
      <c r="AY764" s="18"/>
      <c r="AZ764" s="18"/>
      <c r="BA764" s="19"/>
      <c r="BB764" s="22"/>
      <c r="BC764" s="18"/>
      <c r="BD764" s="18"/>
      <c r="BE764" s="18"/>
      <c r="BF764" s="19"/>
      <c r="BG764" s="22"/>
      <c r="BH764" s="18"/>
      <c r="BI764" s="18"/>
      <c r="BJ764" s="18"/>
      <c r="BK764" s="19"/>
      <c r="BL764" s="22"/>
      <c r="BM764" s="18"/>
      <c r="BN764" s="18"/>
      <c r="BO764" s="18"/>
      <c r="BP764" s="19"/>
      <c r="BQ764" s="17" t="s">
        <v>321</v>
      </c>
      <c r="BR764" s="1"/>
      <c r="BS764" s="1"/>
      <c r="BT764" s="1"/>
      <c r="BU764" s="1"/>
    </row>
    <row r="765">
      <c r="A765" s="1"/>
      <c r="B765" s="10" t="s">
        <v>1163</v>
      </c>
      <c r="C765" s="11" t="s">
        <v>49</v>
      </c>
      <c r="D765" s="22"/>
      <c r="E765" s="18"/>
      <c r="F765" s="18"/>
      <c r="G765" s="20">
        <v>146270.0</v>
      </c>
      <c r="H765" s="19"/>
      <c r="I765" s="22"/>
      <c r="J765" s="18"/>
      <c r="K765" s="18"/>
      <c r="L765" s="23">
        <v>152890.0</v>
      </c>
      <c r="M765" s="19"/>
      <c r="N765" s="22"/>
      <c r="O765" s="18"/>
      <c r="P765" s="18"/>
      <c r="Q765" s="23">
        <v>68830.0</v>
      </c>
      <c r="R765" s="19"/>
      <c r="S765" s="22"/>
      <c r="T765" s="18"/>
      <c r="U765" s="18"/>
      <c r="V765" s="23">
        <v>40530.0</v>
      </c>
      <c r="W765" s="19"/>
      <c r="X765" s="18"/>
      <c r="Y765" s="18"/>
      <c r="Z765" s="18"/>
      <c r="AA765" s="23">
        <v>22800.0</v>
      </c>
      <c r="AB765" s="19"/>
      <c r="AC765" s="18"/>
      <c r="AD765" s="18"/>
      <c r="AE765" s="18"/>
      <c r="AF765" s="23">
        <v>15950.0</v>
      </c>
      <c r="AG765" s="19"/>
      <c r="AH765" s="18"/>
      <c r="AI765" s="18"/>
      <c r="AJ765" s="18"/>
      <c r="AK765" s="23">
        <v>8210.0</v>
      </c>
      <c r="AL765" s="19"/>
      <c r="AM765" s="18"/>
      <c r="AN765" s="18"/>
      <c r="AO765" s="18"/>
      <c r="AP765" s="23">
        <v>6430.0</v>
      </c>
      <c r="AQ765" s="19"/>
      <c r="AR765" s="22"/>
      <c r="AS765" s="18"/>
      <c r="AT765" s="18"/>
      <c r="AU765" s="23">
        <v>4500.0</v>
      </c>
      <c r="AV765" s="19"/>
      <c r="AW765" s="22"/>
      <c r="AX765" s="18"/>
      <c r="AY765" s="18"/>
      <c r="AZ765" s="23">
        <v>11800.0</v>
      </c>
      <c r="BA765" s="19"/>
      <c r="BB765" s="22"/>
      <c r="BC765" s="18"/>
      <c r="BD765" s="18"/>
      <c r="BE765" s="23">
        <v>47240.0</v>
      </c>
      <c r="BF765" s="19"/>
      <c r="BG765" s="22"/>
      <c r="BH765" s="18"/>
      <c r="BI765" s="18"/>
      <c r="BJ765" s="23">
        <v>101710.0</v>
      </c>
      <c r="BK765" s="19"/>
      <c r="BL765" s="22"/>
      <c r="BM765" s="18"/>
      <c r="BN765" s="18"/>
      <c r="BO765" s="18"/>
      <c r="BP765" s="19"/>
      <c r="BQ765" s="17" t="s">
        <v>321</v>
      </c>
      <c r="BR765" s="1"/>
      <c r="BS765" s="1"/>
      <c r="BT765" s="1"/>
      <c r="BU765" s="1"/>
    </row>
    <row r="766">
      <c r="A766" s="1"/>
      <c r="B766" s="10" t="s">
        <v>1164</v>
      </c>
      <c r="C766" s="11" t="s">
        <v>51</v>
      </c>
      <c r="D766" s="22"/>
      <c r="E766" s="18"/>
      <c r="F766" s="18"/>
      <c r="G766" s="20" t="s">
        <v>1121</v>
      </c>
      <c r="H766" s="19"/>
      <c r="I766" s="22"/>
      <c r="J766" s="18"/>
      <c r="K766" s="18"/>
      <c r="L766" s="18"/>
      <c r="M766" s="19"/>
      <c r="N766" s="22"/>
      <c r="O766" s="18"/>
      <c r="P766" s="18"/>
      <c r="Q766" s="18"/>
      <c r="R766" s="19"/>
      <c r="S766" s="22"/>
      <c r="T766" s="18"/>
      <c r="U766" s="18"/>
      <c r="V766" s="18"/>
      <c r="W766" s="19"/>
      <c r="X766" s="18"/>
      <c r="Y766" s="18"/>
      <c r="Z766" s="18"/>
      <c r="AA766" s="18"/>
      <c r="AB766" s="19"/>
      <c r="AC766" s="18"/>
      <c r="AD766" s="18"/>
      <c r="AE766" s="18"/>
      <c r="AF766" s="18"/>
      <c r="AG766" s="19"/>
      <c r="AH766" s="18"/>
      <c r="AI766" s="18"/>
      <c r="AJ766" s="18"/>
      <c r="AK766" s="18"/>
      <c r="AL766" s="19"/>
      <c r="AM766" s="18"/>
      <c r="AN766" s="18"/>
      <c r="AO766" s="18"/>
      <c r="AP766" s="18"/>
      <c r="AQ766" s="19"/>
      <c r="AR766" s="22"/>
      <c r="AS766" s="18"/>
      <c r="AT766" s="18"/>
      <c r="AU766" s="18"/>
      <c r="AV766" s="19"/>
      <c r="AW766" s="22"/>
      <c r="AX766" s="18"/>
      <c r="AY766" s="18"/>
      <c r="AZ766" s="18"/>
      <c r="BA766" s="19"/>
      <c r="BB766" s="22"/>
      <c r="BC766" s="18"/>
      <c r="BD766" s="18"/>
      <c r="BE766" s="18"/>
      <c r="BF766" s="19"/>
      <c r="BG766" s="22"/>
      <c r="BH766" s="18"/>
      <c r="BI766" s="18"/>
      <c r="BJ766" s="18"/>
      <c r="BK766" s="19"/>
      <c r="BL766" s="22"/>
      <c r="BM766" s="18"/>
      <c r="BN766" s="18"/>
      <c r="BO766" s="18"/>
      <c r="BP766" s="19"/>
      <c r="BQ766" s="17" t="s">
        <v>321</v>
      </c>
      <c r="BR766" s="1"/>
      <c r="BS766" s="1"/>
      <c r="BT766" s="1"/>
      <c r="BU766" s="1"/>
    </row>
    <row r="767">
      <c r="A767" s="1"/>
      <c r="B767" s="21"/>
      <c r="C767" s="11" t="s">
        <v>52</v>
      </c>
      <c r="D767" s="22"/>
      <c r="E767" s="18"/>
      <c r="F767" s="18"/>
      <c r="G767" s="23" t="s">
        <v>263</v>
      </c>
      <c r="H767" s="19"/>
      <c r="I767" s="22"/>
      <c r="J767" s="18"/>
      <c r="K767" s="18"/>
      <c r="L767" s="18"/>
      <c r="M767" s="19"/>
      <c r="N767" s="22"/>
      <c r="O767" s="18"/>
      <c r="P767" s="18"/>
      <c r="Q767" s="18"/>
      <c r="R767" s="19"/>
      <c r="S767" s="22"/>
      <c r="T767" s="18"/>
      <c r="U767" s="18"/>
      <c r="V767" s="18"/>
      <c r="W767" s="19"/>
      <c r="X767" s="18"/>
      <c r="Y767" s="18"/>
      <c r="Z767" s="18"/>
      <c r="AA767" s="18"/>
      <c r="AB767" s="19"/>
      <c r="AC767" s="18"/>
      <c r="AD767" s="18"/>
      <c r="AE767" s="18"/>
      <c r="AF767" s="18"/>
      <c r="AG767" s="19"/>
      <c r="AH767" s="18"/>
      <c r="AI767" s="18"/>
      <c r="AJ767" s="18"/>
      <c r="AK767" s="18"/>
      <c r="AL767" s="19"/>
      <c r="AM767" s="18"/>
      <c r="AN767" s="18"/>
      <c r="AO767" s="18"/>
      <c r="AP767" s="18"/>
      <c r="AQ767" s="19"/>
      <c r="AR767" s="22"/>
      <c r="AS767" s="18"/>
      <c r="AT767" s="18"/>
      <c r="AU767" s="18"/>
      <c r="AV767" s="19"/>
      <c r="AW767" s="22"/>
      <c r="AX767" s="18"/>
      <c r="AY767" s="18"/>
      <c r="AZ767" s="18"/>
      <c r="BA767" s="19"/>
      <c r="BB767" s="22"/>
      <c r="BC767" s="18"/>
      <c r="BD767" s="18"/>
      <c r="BE767" s="18"/>
      <c r="BF767" s="19"/>
      <c r="BG767" s="22"/>
      <c r="BH767" s="18"/>
      <c r="BI767" s="18"/>
      <c r="BJ767" s="18"/>
      <c r="BK767" s="19"/>
      <c r="BL767" s="22"/>
      <c r="BM767" s="18"/>
      <c r="BN767" s="18"/>
      <c r="BO767" s="18"/>
      <c r="BP767" s="19"/>
      <c r="BQ767" s="17" t="s">
        <v>321</v>
      </c>
      <c r="BR767" s="1"/>
      <c r="BS767" s="1"/>
      <c r="BT767" s="1"/>
      <c r="BU767" s="1"/>
    </row>
    <row r="768">
      <c r="A768" s="1"/>
      <c r="B768" s="21"/>
      <c r="C768" s="11" t="s">
        <v>53</v>
      </c>
      <c r="D768" s="22"/>
      <c r="E768" s="18"/>
      <c r="F768" s="18"/>
      <c r="G768" s="23">
        <v>11000.0</v>
      </c>
      <c r="H768" s="19"/>
      <c r="I768" s="22"/>
      <c r="J768" s="18"/>
      <c r="K768" s="18"/>
      <c r="L768" s="23">
        <v>11000.0</v>
      </c>
      <c r="M768" s="19"/>
      <c r="N768" s="22"/>
      <c r="O768" s="18"/>
      <c r="P768" s="18"/>
      <c r="Q768" s="23">
        <v>11000.0</v>
      </c>
      <c r="R768" s="19"/>
      <c r="S768" s="22"/>
      <c r="T768" s="18"/>
      <c r="U768" s="18"/>
      <c r="V768" s="23">
        <v>11000.0</v>
      </c>
      <c r="W768" s="19"/>
      <c r="X768" s="22"/>
      <c r="Y768" s="18"/>
      <c r="Z768" s="18"/>
      <c r="AA768" s="23">
        <v>11000.0</v>
      </c>
      <c r="AB768" s="19"/>
      <c r="AC768" s="22"/>
      <c r="AD768" s="18"/>
      <c r="AE768" s="18"/>
      <c r="AF768" s="23">
        <v>11000.0</v>
      </c>
      <c r="AG768" s="19"/>
      <c r="AH768" s="22"/>
      <c r="AI768" s="18"/>
      <c r="AJ768" s="18"/>
      <c r="AK768" s="23">
        <v>11000.0</v>
      </c>
      <c r="AL768" s="19"/>
      <c r="AM768" s="22"/>
      <c r="AN768" s="18"/>
      <c r="AO768" s="18"/>
      <c r="AP768" s="23">
        <v>11000.0</v>
      </c>
      <c r="AQ768" s="19"/>
      <c r="AR768" s="22"/>
      <c r="AS768" s="18"/>
      <c r="AT768" s="18"/>
      <c r="AU768" s="23">
        <v>11000.0</v>
      </c>
      <c r="AV768" s="19"/>
      <c r="AW768" s="22"/>
      <c r="AX768" s="18"/>
      <c r="AY768" s="18"/>
      <c r="AZ768" s="23">
        <v>11000.0</v>
      </c>
      <c r="BA768" s="19"/>
      <c r="BB768" s="22"/>
      <c r="BC768" s="18"/>
      <c r="BD768" s="18"/>
      <c r="BE768" s="23">
        <v>11000.0</v>
      </c>
      <c r="BF768" s="19"/>
      <c r="BG768" s="22"/>
      <c r="BH768" s="18"/>
      <c r="BI768" s="18"/>
      <c r="BJ768" s="23">
        <v>11000.0</v>
      </c>
      <c r="BK768" s="19"/>
      <c r="BL768" s="22"/>
      <c r="BM768" s="18"/>
      <c r="BN768" s="18"/>
      <c r="BO768" s="23">
        <v>11000.0</v>
      </c>
      <c r="BP768" s="19"/>
      <c r="BQ768" s="17" t="s">
        <v>321</v>
      </c>
      <c r="BR768" s="1"/>
      <c r="BS768" s="1"/>
      <c r="BT768" s="1"/>
      <c r="BU768" s="1"/>
    </row>
    <row r="769">
      <c r="A769" s="1"/>
      <c r="B769" s="21"/>
      <c r="C769" s="11" t="s">
        <v>54</v>
      </c>
      <c r="D769" s="22"/>
      <c r="E769" s="18"/>
      <c r="F769" s="18"/>
      <c r="G769" s="23">
        <f>SUMIFS('지출'!$G$3:$G1000,'지출'!$J$3:$J1000,G$1,'지출'!$C$3:$C1000,"동이")</f>
        <v>70000</v>
      </c>
      <c r="H769" s="19"/>
      <c r="I769" s="22"/>
      <c r="J769" s="18"/>
      <c r="K769" s="18"/>
      <c r="L769" s="23">
        <f>SUMIFS('지출'!$G$3:$G1000,'지출'!$J$3:$J1000,L$1,'지출'!$C$3:$C1000,"동이")</f>
        <v>57900</v>
      </c>
      <c r="M769" s="24"/>
      <c r="N769" s="18"/>
      <c r="O769" s="18"/>
      <c r="P769" s="18"/>
      <c r="Q769" s="23">
        <f>SUMIFS('지출'!$G$3:$G1000,'지출'!$J$3:$J1000,Q$1,'지출'!$C$3:$C1000,"동이")</f>
        <v>0</v>
      </c>
      <c r="R769" s="24"/>
      <c r="S769" s="18"/>
      <c r="T769" s="18"/>
      <c r="U769" s="18"/>
      <c r="V769" s="23">
        <f>SUMIFS('지출'!$G$3:$G1000,'지출'!$J$3:$J1000,V$1,'지출'!$C$3:$C1000,"동이")</f>
        <v>0</v>
      </c>
      <c r="W769" s="24"/>
      <c r="X769" s="18"/>
      <c r="Y769" s="18"/>
      <c r="Z769" s="18"/>
      <c r="AA769" s="23">
        <f>SUMIFS('지출'!$G$3:$G1000,'지출'!$J$3:$J1000,AA$1,'지출'!$C$3:$C1000,"동이")</f>
        <v>0</v>
      </c>
      <c r="AB769" s="24"/>
      <c r="AC769" s="18"/>
      <c r="AD769" s="18"/>
      <c r="AE769" s="18"/>
      <c r="AF769" s="23">
        <f>SUMIFS('지출'!$G$3:$G1000,'지출'!$J$3:$J1000,AF$1,'지출'!$C$3:$C1000,"동이")</f>
        <v>0</v>
      </c>
      <c r="AG769" s="24"/>
      <c r="AH769" s="18"/>
      <c r="AI769" s="18"/>
      <c r="AJ769" s="18"/>
      <c r="AK769" s="23">
        <f>SUMIFS('지출'!$G$3:$G1000,'지출'!$J$3:$J1000,AK$1,'지출'!$C$3:$C1000,"동이")</f>
        <v>0</v>
      </c>
      <c r="AL769" s="24"/>
      <c r="AM769" s="18"/>
      <c r="AN769" s="18"/>
      <c r="AO769" s="18"/>
      <c r="AP769" s="23">
        <f>SUMIFS('지출'!$G$3:$G1000,'지출'!$J$3:$J1000,AP$1,'지출'!$C$3:$C1000,"동이")</f>
        <v>0</v>
      </c>
      <c r="AQ769" s="24"/>
      <c r="AR769" s="18"/>
      <c r="AS769" s="18"/>
      <c r="AT769" s="18"/>
      <c r="AU769" s="23">
        <f>SUMIFS('지출'!$G$3:$G1000,'지출'!$J$3:$J1000,AU$1,'지출'!$C$3:$C1000,"동이")</f>
        <v>0</v>
      </c>
      <c r="AV769" s="24"/>
      <c r="AW769" s="18"/>
      <c r="AX769" s="18"/>
      <c r="AY769" s="18"/>
      <c r="AZ769" s="23">
        <f>SUMIFS('지출'!$G$3:$G1000,'지출'!$J$3:$J1000,AZ$1,'지출'!$C$3:$C1000,"동이")</f>
        <v>0</v>
      </c>
      <c r="BA769" s="24"/>
      <c r="BB769" s="18"/>
      <c r="BC769" s="18"/>
      <c r="BD769" s="18"/>
      <c r="BE769" s="23">
        <f>SUMIFS('지출'!$G$3:$G1000,'지출'!$J$3:$J1000,BE$1,'지출'!$C$3:$C1000,"동이")</f>
        <v>0</v>
      </c>
      <c r="BF769" s="24"/>
      <c r="BG769" s="18"/>
      <c r="BH769" s="18"/>
      <c r="BI769" s="18"/>
      <c r="BJ769" s="23">
        <f>SUMIFS('지출'!$G$3:$G1000,'지출'!$J$3:$J1000,BJ$1,'지출'!$C$3:$C1000,"동이")</f>
        <v>0</v>
      </c>
      <c r="BK769" s="19"/>
      <c r="BL769" s="18"/>
      <c r="BM769" s="18"/>
      <c r="BN769" s="18"/>
      <c r="BO769" s="23">
        <f>SUMIFS('지출'!$G$3:$G1000,'지출'!$J$3:$J1000,BO$1,'지출'!$C$3:$C1000,"동이")</f>
        <v>70000</v>
      </c>
      <c r="BP769" s="19"/>
      <c r="BQ769" s="17" t="s">
        <v>321</v>
      </c>
      <c r="BR769" s="1"/>
      <c r="BS769" s="1"/>
      <c r="BT769" s="1"/>
      <c r="BU769" s="1"/>
    </row>
    <row r="770">
      <c r="A770" s="1"/>
      <c r="B770" s="21"/>
      <c r="C770" s="11" t="s">
        <v>56</v>
      </c>
      <c r="D770" s="22"/>
      <c r="E770" s="23">
        <f>E761-(SUM(E762:E769))</f>
        <v>367096</v>
      </c>
      <c r="F770" s="18"/>
      <c r="G770" s="23">
        <f>G761-(SUM(G762:G769))</f>
        <v>-31141</v>
      </c>
      <c r="H770" s="19"/>
      <c r="I770" s="22"/>
      <c r="J770" s="23">
        <f>J761-(SUM(J762:J769))</f>
        <v>40000</v>
      </c>
      <c r="K770" s="18"/>
      <c r="L770" s="23">
        <f>L761-(SUM(L762:L769))</f>
        <v>-61790</v>
      </c>
      <c r="M770" s="19"/>
      <c r="N770" s="22"/>
      <c r="O770" s="23">
        <f>O761-(SUM(O762:O769))</f>
        <v>947742</v>
      </c>
      <c r="P770" s="18"/>
      <c r="Q770" s="23">
        <f>Q761-(SUM(Q762:Q769))</f>
        <v>224686</v>
      </c>
      <c r="R770" s="19"/>
      <c r="S770" s="22"/>
      <c r="T770" s="23">
        <f>T761-(SUM(T762:T769))</f>
        <v>1070000</v>
      </c>
      <c r="U770" s="18"/>
      <c r="V770" s="23">
        <f>V761-(SUM(V762:V769))</f>
        <v>268470</v>
      </c>
      <c r="W770" s="19"/>
      <c r="X770" s="18"/>
      <c r="Y770" s="23">
        <f>Y761-(SUM(Y762:Y769))</f>
        <v>1070000</v>
      </c>
      <c r="Z770" s="18"/>
      <c r="AA770" s="23">
        <f>AA761-(SUM(AA762:AA769))</f>
        <v>286200</v>
      </c>
      <c r="AB770" s="19"/>
      <c r="AC770" s="18"/>
      <c r="AD770" s="23">
        <f>AD761-(SUM(AD762:AD769))</f>
        <v>1034668</v>
      </c>
      <c r="AE770" s="18"/>
      <c r="AF770" s="23">
        <f>AF761-(SUM(AF762:AF769))</f>
        <v>298382</v>
      </c>
      <c r="AG770" s="19"/>
      <c r="AH770" s="18"/>
      <c r="AI770" s="23">
        <f>AI761-(SUM(AI762:AI769))</f>
        <v>950000</v>
      </c>
      <c r="AJ770" s="18"/>
      <c r="AK770" s="23">
        <f>AK761-(SUM(AK762:AK769))</f>
        <v>300790</v>
      </c>
      <c r="AL770" s="19"/>
      <c r="AM770" s="18"/>
      <c r="AN770" s="23">
        <f>AN761-(SUM(AN762:AN769))</f>
        <v>1050000</v>
      </c>
      <c r="AO770" s="18"/>
      <c r="AP770" s="23">
        <f>AP761-(SUM(AP762:AP769))</f>
        <v>222570</v>
      </c>
      <c r="AQ770" s="19"/>
      <c r="AR770" s="22"/>
      <c r="AS770" s="23">
        <f>AS761-(SUM(AS762:AS769))</f>
        <v>1116667</v>
      </c>
      <c r="AT770" s="18"/>
      <c r="AU770" s="23">
        <f>AU761-(SUM(AU762:AU769))</f>
        <v>315166</v>
      </c>
      <c r="AV770" s="19"/>
      <c r="AW770" s="22"/>
      <c r="AX770" s="23">
        <f>AX761-(SUM(AX762:AX769))</f>
        <v>1550000</v>
      </c>
      <c r="AY770" s="18"/>
      <c r="AZ770" s="23">
        <f>AZ761-(SUM(AZ762:AZ769))</f>
        <v>377200</v>
      </c>
      <c r="BA770" s="19"/>
      <c r="BB770" s="22"/>
      <c r="BC770" s="23">
        <f>BC761-(SUM(BC762:BC769))</f>
        <v>960000</v>
      </c>
      <c r="BD770" s="18"/>
      <c r="BE770" s="23">
        <f>BE761-(SUM(BE762:BE769))</f>
        <v>261760</v>
      </c>
      <c r="BF770" s="19"/>
      <c r="BG770" s="22"/>
      <c r="BH770" s="23">
        <f>BH761-(SUM(BH762:BH769))</f>
        <v>960000</v>
      </c>
      <c r="BI770" s="18"/>
      <c r="BJ770" s="23">
        <f>BJ761-(SUM(BJ762:BJ769))</f>
        <v>207290</v>
      </c>
      <c r="BK770" s="19"/>
      <c r="BL770" s="22"/>
      <c r="BM770" s="23">
        <f>BM761-(SUM(BM762:BM769))</f>
        <v>960000</v>
      </c>
      <c r="BN770" s="18"/>
      <c r="BO770" s="23">
        <f>BO761-(SUM(BO762:BO769))</f>
        <v>239000</v>
      </c>
      <c r="BP770" s="19"/>
      <c r="BQ770" s="17" t="s">
        <v>321</v>
      </c>
      <c r="BR770" s="1"/>
      <c r="BS770" s="1"/>
      <c r="BT770" s="1"/>
      <c r="BU770" s="1"/>
    </row>
    <row r="771">
      <c r="A771" s="1"/>
      <c r="B771" s="10" t="s">
        <v>1040</v>
      </c>
      <c r="C771" s="11" t="s">
        <v>26</v>
      </c>
      <c r="D771" s="22"/>
      <c r="E771" s="23">
        <v>125000.0</v>
      </c>
      <c r="F771" s="18"/>
      <c r="G771" s="18"/>
      <c r="H771" s="19"/>
      <c r="I771" s="22"/>
      <c r="J771" s="23">
        <v>125000.0</v>
      </c>
      <c r="K771" s="18"/>
      <c r="L771" s="18"/>
      <c r="M771" s="19"/>
      <c r="N771" s="22"/>
      <c r="O771" s="23">
        <v>125000.0</v>
      </c>
      <c r="P771" s="18"/>
      <c r="Q771" s="18"/>
      <c r="R771" s="19"/>
      <c r="S771" s="22"/>
      <c r="T771" s="23">
        <v>125000.0</v>
      </c>
      <c r="U771" s="18"/>
      <c r="V771" s="18"/>
      <c r="W771" s="19"/>
      <c r="X771" s="18"/>
      <c r="Y771" s="23">
        <v>125000.0</v>
      </c>
      <c r="Z771" s="18"/>
      <c r="AA771" s="18"/>
      <c r="AB771" s="19"/>
      <c r="AC771" s="18"/>
      <c r="AD771" s="23">
        <v>125000.0</v>
      </c>
      <c r="AE771" s="18"/>
      <c r="AF771" s="18"/>
      <c r="AG771" s="19"/>
      <c r="AH771" s="20" t="s">
        <v>44</v>
      </c>
      <c r="AI771" s="23">
        <v>0.0</v>
      </c>
      <c r="AJ771" s="18"/>
      <c r="AK771" s="18"/>
      <c r="AL771" s="19"/>
      <c r="AM771" s="20" t="s">
        <v>44</v>
      </c>
      <c r="AN771" s="23">
        <v>0.0</v>
      </c>
      <c r="AO771" s="18"/>
      <c r="AP771" s="18"/>
      <c r="AQ771" s="19"/>
      <c r="AR771" s="20" t="s">
        <v>44</v>
      </c>
      <c r="AS771" s="23">
        <v>0.0</v>
      </c>
      <c r="AT771" s="18"/>
      <c r="AU771" s="18"/>
      <c r="AV771" s="19"/>
      <c r="AW771" s="20" t="s">
        <v>44</v>
      </c>
      <c r="AX771" s="23">
        <v>0.0</v>
      </c>
      <c r="AY771" s="18"/>
      <c r="AZ771" s="18"/>
      <c r="BA771" s="19"/>
      <c r="BB771" s="20" t="s">
        <v>44</v>
      </c>
      <c r="BC771" s="23">
        <v>0.0</v>
      </c>
      <c r="BD771" s="18"/>
      <c r="BE771" s="18"/>
      <c r="BF771" s="19"/>
      <c r="BG771" s="20" t="s">
        <v>44</v>
      </c>
      <c r="BH771" s="23">
        <v>0.0</v>
      </c>
      <c r="BI771" s="18"/>
      <c r="BJ771" s="18"/>
      <c r="BK771" s="19"/>
      <c r="BL771" s="20" t="s">
        <v>44</v>
      </c>
      <c r="BM771" s="23">
        <v>0.0</v>
      </c>
      <c r="BN771" s="18"/>
      <c r="BO771" s="18"/>
      <c r="BP771" s="19"/>
      <c r="BQ771" s="17" t="s">
        <v>321</v>
      </c>
      <c r="BR771" s="1"/>
      <c r="BS771" s="1"/>
      <c r="BT771" s="1"/>
      <c r="BU771" s="1"/>
    </row>
    <row r="772">
      <c r="A772" s="67" t="str">
        <f>B757</f>
        <v>동이</v>
      </c>
      <c r="B772" s="29">
        <v>1.0</v>
      </c>
      <c r="C772" s="30" t="s">
        <v>57</v>
      </c>
      <c r="D772" s="31"/>
      <c r="E772" s="32">
        <f>E770-E771</f>
        <v>242096</v>
      </c>
      <c r="F772" s="33"/>
      <c r="G772" s="33"/>
      <c r="H772" s="34"/>
      <c r="I772" s="31"/>
      <c r="J772" s="32">
        <f>J770-J771</f>
        <v>-85000</v>
      </c>
      <c r="K772" s="33"/>
      <c r="L772" s="33"/>
      <c r="M772" s="34"/>
      <c r="N772" s="31"/>
      <c r="O772" s="32">
        <f>O770-O771</f>
        <v>822742</v>
      </c>
      <c r="P772" s="33"/>
      <c r="Q772" s="33"/>
      <c r="R772" s="34"/>
      <c r="S772" s="31"/>
      <c r="T772" s="32">
        <f>T770-T771</f>
        <v>945000</v>
      </c>
      <c r="U772" s="33"/>
      <c r="V772" s="33"/>
      <c r="W772" s="34"/>
      <c r="X772" s="33"/>
      <c r="Y772" s="32">
        <f>Y770-Y771</f>
        <v>945000</v>
      </c>
      <c r="Z772" s="33"/>
      <c r="AA772" s="33"/>
      <c r="AB772" s="34"/>
      <c r="AC772" s="33"/>
      <c r="AD772" s="32">
        <f>AD770-AD771</f>
        <v>909668</v>
      </c>
      <c r="AE772" s="33"/>
      <c r="AF772" s="33"/>
      <c r="AG772" s="34"/>
      <c r="AH772" s="33"/>
      <c r="AI772" s="32">
        <f>AI770-AI771</f>
        <v>950000</v>
      </c>
      <c r="AJ772" s="33"/>
      <c r="AK772" s="33"/>
      <c r="AL772" s="34"/>
      <c r="AM772" s="33"/>
      <c r="AN772" s="32">
        <f>AN770-AN771</f>
        <v>1050000</v>
      </c>
      <c r="AO772" s="33"/>
      <c r="AP772" s="33"/>
      <c r="AQ772" s="34"/>
      <c r="AR772" s="31"/>
      <c r="AS772" s="32">
        <f>AS770-AS771</f>
        <v>1116667</v>
      </c>
      <c r="AT772" s="33"/>
      <c r="AU772" s="33"/>
      <c r="AV772" s="34"/>
      <c r="AW772" s="31"/>
      <c r="AX772" s="32">
        <f>AX770-AX771</f>
        <v>1550000</v>
      </c>
      <c r="AY772" s="33"/>
      <c r="AZ772" s="33"/>
      <c r="BA772" s="34"/>
      <c r="BB772" s="31"/>
      <c r="BC772" s="32">
        <f>BC770-BC771</f>
        <v>960000</v>
      </c>
      <c r="BD772" s="33"/>
      <c r="BE772" s="33"/>
      <c r="BF772" s="34"/>
      <c r="BG772" s="31"/>
      <c r="BH772" s="32">
        <f>BH770-BH771</f>
        <v>960000</v>
      </c>
      <c r="BI772" s="33"/>
      <c r="BJ772" s="33"/>
      <c r="BK772" s="34"/>
      <c r="BL772" s="31"/>
      <c r="BM772" s="32">
        <f>BM770-BM771</f>
        <v>960000</v>
      </c>
      <c r="BN772" s="33"/>
      <c r="BO772" s="33"/>
      <c r="BP772" s="34"/>
      <c r="BQ772" s="17" t="s">
        <v>321</v>
      </c>
      <c r="BR772" s="1"/>
      <c r="BS772" s="1"/>
      <c r="BT772" s="1"/>
      <c r="BU772" s="1"/>
    </row>
    <row r="773">
      <c r="A773" s="1"/>
      <c r="B773" s="27" t="s">
        <v>1165</v>
      </c>
      <c r="C773" s="11" t="s">
        <v>320</v>
      </c>
      <c r="D773" s="20" t="s">
        <v>1166</v>
      </c>
      <c r="E773" s="23">
        <v>500000.0</v>
      </c>
      <c r="F773" s="35" t="b">
        <v>1</v>
      </c>
      <c r="G773" s="23">
        <v>80000.0</v>
      </c>
      <c r="H773" s="15" t="b">
        <v>1</v>
      </c>
      <c r="I773" s="20" t="s">
        <v>1167</v>
      </c>
      <c r="J773" s="23">
        <f>490000+33793</f>
        <v>523793</v>
      </c>
      <c r="K773" s="35" t="b">
        <v>1</v>
      </c>
      <c r="L773" s="23">
        <f>80000+5517</f>
        <v>85517</v>
      </c>
      <c r="M773" s="15" t="b">
        <v>1</v>
      </c>
      <c r="N773" s="20" t="s">
        <v>1168</v>
      </c>
      <c r="O773" s="23">
        <f>490000+490000</f>
        <v>980000</v>
      </c>
      <c r="P773" s="35" t="b">
        <v>1</v>
      </c>
      <c r="Q773" s="23">
        <f>80000+80000</f>
        <v>160000</v>
      </c>
      <c r="R773" s="15" t="b">
        <v>1</v>
      </c>
      <c r="S773" s="20" t="s">
        <v>1169</v>
      </c>
      <c r="T773" s="23">
        <v>490000.0</v>
      </c>
      <c r="U773" s="35" t="b">
        <v>1</v>
      </c>
      <c r="V773" s="23">
        <f>80000+80000</f>
        <v>160000</v>
      </c>
      <c r="W773" s="15" t="b">
        <v>1</v>
      </c>
      <c r="X773" s="20" t="s">
        <v>1169</v>
      </c>
      <c r="Y773" s="23">
        <v>490000.0</v>
      </c>
      <c r="Z773" s="35" t="b">
        <v>1</v>
      </c>
      <c r="AA773" s="23">
        <v>80000.0</v>
      </c>
      <c r="AB773" s="15" t="b">
        <v>1</v>
      </c>
      <c r="AC773" s="20" t="s">
        <v>1169</v>
      </c>
      <c r="AD773" s="23">
        <v>490000.0</v>
      </c>
      <c r="AE773" s="35" t="b">
        <v>1</v>
      </c>
      <c r="AF773" s="23">
        <v>80000.0</v>
      </c>
      <c r="AG773" s="15" t="b">
        <v>1</v>
      </c>
      <c r="AH773" s="20" t="s">
        <v>1169</v>
      </c>
      <c r="AI773" s="23">
        <v>490000.0</v>
      </c>
      <c r="AJ773" s="35" t="b">
        <v>1</v>
      </c>
      <c r="AK773" s="23">
        <v>80000.0</v>
      </c>
      <c r="AL773" s="15" t="b">
        <v>1</v>
      </c>
      <c r="AM773" s="20" t="s">
        <v>1169</v>
      </c>
      <c r="AN773" s="23">
        <v>490000.0</v>
      </c>
      <c r="AO773" s="35" t="b">
        <v>1</v>
      </c>
      <c r="AP773" s="23">
        <v>80000.0</v>
      </c>
      <c r="AQ773" s="15" t="b">
        <v>1</v>
      </c>
      <c r="AR773" s="20" t="s">
        <v>1169</v>
      </c>
      <c r="AS773" s="23">
        <v>490000.0</v>
      </c>
      <c r="AT773" s="35" t="b">
        <v>1</v>
      </c>
      <c r="AU773" s="23">
        <v>80000.0</v>
      </c>
      <c r="AV773" s="15" t="b">
        <v>1</v>
      </c>
      <c r="AW773" s="20" t="s">
        <v>1169</v>
      </c>
      <c r="AX773" s="23">
        <v>490000.0</v>
      </c>
      <c r="AY773" s="35" t="b">
        <v>1</v>
      </c>
      <c r="AZ773" s="23">
        <v>80000.0</v>
      </c>
      <c r="BA773" s="15" t="b">
        <v>1</v>
      </c>
      <c r="BB773" s="20" t="s">
        <v>1169</v>
      </c>
      <c r="BC773" s="23">
        <v>490000.0</v>
      </c>
      <c r="BD773" s="35" t="b">
        <v>1</v>
      </c>
      <c r="BE773" s="23">
        <v>80000.0</v>
      </c>
      <c r="BF773" s="15" t="b">
        <v>1</v>
      </c>
      <c r="BG773" s="20" t="s">
        <v>1169</v>
      </c>
      <c r="BH773" s="23">
        <v>490000.0</v>
      </c>
      <c r="BI773" s="35" t="b">
        <v>1</v>
      </c>
      <c r="BJ773" s="23">
        <v>80000.0</v>
      </c>
      <c r="BK773" s="15" t="b">
        <v>1</v>
      </c>
      <c r="BL773" s="20" t="s">
        <v>1169</v>
      </c>
      <c r="BM773" s="23">
        <v>490000.0</v>
      </c>
      <c r="BN773" s="35" t="b">
        <v>0</v>
      </c>
      <c r="BO773" s="23">
        <v>80000.0</v>
      </c>
      <c r="BP773" s="15" t="b">
        <v>0</v>
      </c>
      <c r="BQ773" s="17" t="s">
        <v>321</v>
      </c>
      <c r="BR773" s="1"/>
      <c r="BS773" s="1"/>
      <c r="BT773" s="1"/>
      <c r="BU773" s="1"/>
    </row>
    <row r="774">
      <c r="A774" s="1"/>
      <c r="B774" s="27" t="s">
        <v>1165</v>
      </c>
      <c r="C774" s="11" t="s">
        <v>322</v>
      </c>
      <c r="D774" s="20" t="s">
        <v>37</v>
      </c>
      <c r="E774" s="18"/>
      <c r="F774" s="1"/>
      <c r="G774" s="18"/>
      <c r="H774" s="19"/>
      <c r="I774" s="20" t="s">
        <v>1170</v>
      </c>
      <c r="J774" s="23">
        <v>32414.0</v>
      </c>
      <c r="K774" s="35" t="b">
        <v>1</v>
      </c>
      <c r="L774" s="23">
        <v>5517.0</v>
      </c>
      <c r="M774" s="15" t="b">
        <v>1</v>
      </c>
      <c r="N774" s="20" t="s">
        <v>1171</v>
      </c>
      <c r="O774" s="23">
        <v>470000.0</v>
      </c>
      <c r="P774" s="35" t="b">
        <v>1</v>
      </c>
      <c r="Q774" s="23">
        <v>80000.0</v>
      </c>
      <c r="R774" s="15" t="b">
        <v>1</v>
      </c>
      <c r="S774" s="20" t="s">
        <v>1171</v>
      </c>
      <c r="T774" s="23">
        <v>470000.0</v>
      </c>
      <c r="U774" s="35" t="b">
        <v>1</v>
      </c>
      <c r="V774" s="23">
        <v>80000.0</v>
      </c>
      <c r="W774" s="15" t="b">
        <v>1</v>
      </c>
      <c r="X774" s="20" t="s">
        <v>1171</v>
      </c>
      <c r="Y774" s="23">
        <v>470000.0</v>
      </c>
      <c r="Z774" s="35" t="b">
        <v>1</v>
      </c>
      <c r="AA774" s="23">
        <v>80000.0</v>
      </c>
      <c r="AB774" s="15" t="b">
        <v>1</v>
      </c>
      <c r="AC774" s="20" t="s">
        <v>1171</v>
      </c>
      <c r="AD774" s="23">
        <v>470000.0</v>
      </c>
      <c r="AE774" s="35" t="b">
        <v>1</v>
      </c>
      <c r="AF774" s="23">
        <v>80000.0</v>
      </c>
      <c r="AG774" s="15" t="b">
        <v>1</v>
      </c>
      <c r="AH774" s="20" t="s">
        <v>1171</v>
      </c>
      <c r="AI774" s="23">
        <v>470000.0</v>
      </c>
      <c r="AJ774" s="35" t="b">
        <v>1</v>
      </c>
      <c r="AK774" s="23">
        <v>80000.0</v>
      </c>
      <c r="AL774" s="15" t="b">
        <v>1</v>
      </c>
      <c r="AM774" s="20" t="s">
        <v>1171</v>
      </c>
      <c r="AN774" s="23">
        <v>470000.0</v>
      </c>
      <c r="AO774" s="35" t="b">
        <v>1</v>
      </c>
      <c r="AP774" s="23">
        <v>80000.0</v>
      </c>
      <c r="AQ774" s="15" t="b">
        <v>1</v>
      </c>
      <c r="AR774" s="20" t="s">
        <v>1171</v>
      </c>
      <c r="AS774" s="23">
        <v>470000.0</v>
      </c>
      <c r="AT774" s="35" t="b">
        <v>1</v>
      </c>
      <c r="AU774" s="23">
        <v>80000.0</v>
      </c>
      <c r="AV774" s="15" t="b">
        <v>1</v>
      </c>
      <c r="AW774" s="20" t="s">
        <v>1171</v>
      </c>
      <c r="AX774" s="23">
        <v>470000.0</v>
      </c>
      <c r="AY774" s="35" t="b">
        <v>1</v>
      </c>
      <c r="AZ774" s="23">
        <v>80000.0</v>
      </c>
      <c r="BA774" s="15" t="b">
        <v>1</v>
      </c>
      <c r="BB774" s="20" t="s">
        <v>1171</v>
      </c>
      <c r="BC774" s="23">
        <v>470000.0</v>
      </c>
      <c r="BD774" s="35" t="b">
        <v>1</v>
      </c>
      <c r="BE774" s="23">
        <v>80000.0</v>
      </c>
      <c r="BF774" s="15" t="b">
        <v>1</v>
      </c>
      <c r="BG774" s="20" t="s">
        <v>1171</v>
      </c>
      <c r="BH774" s="23">
        <v>470000.0</v>
      </c>
      <c r="BI774" s="35" t="b">
        <v>1</v>
      </c>
      <c r="BJ774" s="23">
        <v>80000.0</v>
      </c>
      <c r="BK774" s="15" t="b">
        <v>1</v>
      </c>
      <c r="BL774" s="20" t="s">
        <v>1171</v>
      </c>
      <c r="BM774" s="23">
        <v>470000.0</v>
      </c>
      <c r="BN774" s="35" t="b">
        <v>0</v>
      </c>
      <c r="BO774" s="23">
        <v>80000.0</v>
      </c>
      <c r="BP774" s="15" t="b">
        <v>0</v>
      </c>
      <c r="BQ774" s="17" t="s">
        <v>321</v>
      </c>
      <c r="BR774" s="1"/>
      <c r="BS774" s="1"/>
      <c r="BT774" s="1"/>
      <c r="BU774" s="1"/>
    </row>
    <row r="775">
      <c r="A775" s="1"/>
      <c r="B775" s="27" t="s">
        <v>1165</v>
      </c>
      <c r="C775" s="11" t="s">
        <v>323</v>
      </c>
      <c r="D775" s="20" t="s">
        <v>1172</v>
      </c>
      <c r="E775" s="23">
        <v>440000.0</v>
      </c>
      <c r="F775" s="35" t="b">
        <v>1</v>
      </c>
      <c r="G775" s="23">
        <v>80000.0</v>
      </c>
      <c r="H775" s="15" t="b">
        <v>1</v>
      </c>
      <c r="I775" s="20" t="s">
        <v>1173</v>
      </c>
      <c r="J775" s="23">
        <f t="shared" ref="J775:J776" si="39">440000+25517</f>
        <v>465517</v>
      </c>
      <c r="K775" s="35" t="b">
        <v>1</v>
      </c>
      <c r="L775" s="23">
        <f t="shared" ref="L775:L776" si="40">80000+5517</f>
        <v>85517</v>
      </c>
      <c r="M775" s="15" t="b">
        <v>1</v>
      </c>
      <c r="N775" s="20" t="s">
        <v>1174</v>
      </c>
      <c r="O775" s="23">
        <v>370000.0</v>
      </c>
      <c r="P775" s="35" t="b">
        <v>1</v>
      </c>
      <c r="Q775" s="23">
        <v>80000.0</v>
      </c>
      <c r="R775" s="15" t="b">
        <v>1</v>
      </c>
      <c r="S775" s="20" t="s">
        <v>1174</v>
      </c>
      <c r="T775" s="23">
        <v>370000.0</v>
      </c>
      <c r="U775" s="35" t="b">
        <v>1</v>
      </c>
      <c r="V775" s="23">
        <v>80000.0</v>
      </c>
      <c r="W775" s="15" t="b">
        <v>1</v>
      </c>
      <c r="X775" s="20" t="s">
        <v>1174</v>
      </c>
      <c r="Y775" s="23">
        <v>370000.0</v>
      </c>
      <c r="Z775" s="35" t="b">
        <v>1</v>
      </c>
      <c r="AA775" s="23">
        <v>80000.0</v>
      </c>
      <c r="AB775" s="15" t="b">
        <v>1</v>
      </c>
      <c r="AC775" s="20" t="s">
        <v>1174</v>
      </c>
      <c r="AD775" s="23">
        <v>370000.0</v>
      </c>
      <c r="AE775" s="35" t="b">
        <v>1</v>
      </c>
      <c r="AF775" s="23">
        <v>80000.0</v>
      </c>
      <c r="AG775" s="15" t="b">
        <v>1</v>
      </c>
      <c r="AH775" s="20" t="s">
        <v>1174</v>
      </c>
      <c r="AI775" s="23">
        <v>370000.0</v>
      </c>
      <c r="AJ775" s="35" t="b">
        <v>1</v>
      </c>
      <c r="AK775" s="23">
        <v>80000.0</v>
      </c>
      <c r="AL775" s="15" t="b">
        <v>1</v>
      </c>
      <c r="AM775" s="20" t="s">
        <v>1174</v>
      </c>
      <c r="AN775" s="23">
        <v>370000.0</v>
      </c>
      <c r="AO775" s="35" t="b">
        <v>1</v>
      </c>
      <c r="AP775" s="23">
        <v>80000.0</v>
      </c>
      <c r="AQ775" s="15" t="b">
        <v>1</v>
      </c>
      <c r="AR775" s="20" t="s">
        <v>1174</v>
      </c>
      <c r="AS775" s="23">
        <v>370000.0</v>
      </c>
      <c r="AT775" s="35" t="b">
        <v>1</v>
      </c>
      <c r="AU775" s="23">
        <v>80000.0</v>
      </c>
      <c r="AV775" s="15" t="b">
        <v>1</v>
      </c>
      <c r="AW775" s="20" t="s">
        <v>1174</v>
      </c>
      <c r="AX775" s="23">
        <v>370000.0</v>
      </c>
      <c r="AY775" s="35" t="b">
        <v>1</v>
      </c>
      <c r="AZ775" s="23">
        <v>80000.0</v>
      </c>
      <c r="BA775" s="15" t="b">
        <v>1</v>
      </c>
      <c r="BB775" s="20" t="s">
        <v>1174</v>
      </c>
      <c r="BC775" s="23">
        <v>370000.0</v>
      </c>
      <c r="BD775" s="35" t="b">
        <v>1</v>
      </c>
      <c r="BE775" s="23">
        <v>80000.0</v>
      </c>
      <c r="BF775" s="15" t="b">
        <v>1</v>
      </c>
      <c r="BG775" s="20" t="s">
        <v>1174</v>
      </c>
      <c r="BH775" s="23">
        <v>370000.0</v>
      </c>
      <c r="BI775" s="35" t="b">
        <v>1</v>
      </c>
      <c r="BJ775" s="23">
        <v>80000.0</v>
      </c>
      <c r="BK775" s="15" t="b">
        <v>1</v>
      </c>
      <c r="BL775" s="20" t="s">
        <v>1174</v>
      </c>
      <c r="BM775" s="23">
        <v>370000.0</v>
      </c>
      <c r="BN775" s="35" t="b">
        <v>0</v>
      </c>
      <c r="BO775" s="23">
        <v>80000.0</v>
      </c>
      <c r="BP775" s="15" t="b">
        <v>1</v>
      </c>
      <c r="BQ775" s="17" t="s">
        <v>321</v>
      </c>
      <c r="BR775" s="1"/>
      <c r="BS775" s="1"/>
      <c r="BT775" s="1"/>
      <c r="BU775" s="1"/>
    </row>
    <row r="776">
      <c r="A776" s="1"/>
      <c r="B776" s="27" t="s">
        <v>1165</v>
      </c>
      <c r="C776" s="11" t="s">
        <v>349</v>
      </c>
      <c r="D776" s="20" t="s">
        <v>1159</v>
      </c>
      <c r="E776" s="23">
        <v>440000.0</v>
      </c>
      <c r="F776" s="35" t="b">
        <v>1</v>
      </c>
      <c r="G776" s="23">
        <v>80000.0</v>
      </c>
      <c r="H776" s="15" t="b">
        <v>1</v>
      </c>
      <c r="I776" s="20" t="s">
        <v>1175</v>
      </c>
      <c r="J776" s="23">
        <f t="shared" si="39"/>
        <v>465517</v>
      </c>
      <c r="K776" s="35" t="b">
        <v>1</v>
      </c>
      <c r="L776" s="23">
        <f t="shared" si="40"/>
        <v>85517</v>
      </c>
      <c r="M776" s="15" t="b">
        <v>1</v>
      </c>
      <c r="N776" s="20" t="s">
        <v>1176</v>
      </c>
      <c r="O776" s="23">
        <v>370000.0</v>
      </c>
      <c r="P776" s="35" t="b">
        <v>1</v>
      </c>
      <c r="Q776" s="23">
        <v>80000.0</v>
      </c>
      <c r="R776" s="15" t="b">
        <v>1</v>
      </c>
      <c r="S776" s="20" t="s">
        <v>1176</v>
      </c>
      <c r="T776" s="23">
        <v>370000.0</v>
      </c>
      <c r="U776" s="35" t="b">
        <v>1</v>
      </c>
      <c r="V776" s="23">
        <v>80000.0</v>
      </c>
      <c r="W776" s="15" t="b">
        <v>1</v>
      </c>
      <c r="X776" s="20" t="s">
        <v>1176</v>
      </c>
      <c r="Y776" s="23">
        <v>370000.0</v>
      </c>
      <c r="Z776" s="35" t="b">
        <v>1</v>
      </c>
      <c r="AA776" s="23">
        <v>80000.0</v>
      </c>
      <c r="AB776" s="15" t="b">
        <v>1</v>
      </c>
      <c r="AC776" s="20" t="s">
        <v>1176</v>
      </c>
      <c r="AD776" s="23">
        <v>370000.0</v>
      </c>
      <c r="AE776" s="35" t="b">
        <v>1</v>
      </c>
      <c r="AF776" s="23">
        <v>80000.0</v>
      </c>
      <c r="AG776" s="15" t="b">
        <v>1</v>
      </c>
      <c r="AH776" s="20" t="s">
        <v>1176</v>
      </c>
      <c r="AI776" s="23">
        <v>370000.0</v>
      </c>
      <c r="AJ776" s="35" t="b">
        <v>1</v>
      </c>
      <c r="AK776" s="23">
        <v>80000.0</v>
      </c>
      <c r="AL776" s="15" t="b">
        <v>1</v>
      </c>
      <c r="AM776" s="20" t="s">
        <v>1176</v>
      </c>
      <c r="AN776" s="23">
        <v>370000.0</v>
      </c>
      <c r="AO776" s="35" t="b">
        <v>1</v>
      </c>
      <c r="AP776" s="23">
        <v>80000.0</v>
      </c>
      <c r="AQ776" s="15" t="b">
        <v>1</v>
      </c>
      <c r="AR776" s="20" t="s">
        <v>1176</v>
      </c>
      <c r="AS776" s="23">
        <v>370000.0</v>
      </c>
      <c r="AT776" s="35" t="b">
        <v>1</v>
      </c>
      <c r="AU776" s="23">
        <v>80000.0</v>
      </c>
      <c r="AV776" s="15" t="b">
        <v>1</v>
      </c>
      <c r="AW776" s="20" t="s">
        <v>1176</v>
      </c>
      <c r="AX776" s="23">
        <v>370000.0</v>
      </c>
      <c r="AY776" s="35" t="b">
        <v>1</v>
      </c>
      <c r="AZ776" s="23">
        <v>80000.0</v>
      </c>
      <c r="BA776" s="15" t="b">
        <v>1</v>
      </c>
      <c r="BB776" s="20" t="s">
        <v>1176</v>
      </c>
      <c r="BC776" s="23">
        <v>370000.0</v>
      </c>
      <c r="BD776" s="35" t="b">
        <v>1</v>
      </c>
      <c r="BE776" s="23">
        <v>80000.0</v>
      </c>
      <c r="BF776" s="15" t="b">
        <v>1</v>
      </c>
      <c r="BG776" s="20" t="s">
        <v>1176</v>
      </c>
      <c r="BH776" s="23">
        <v>370000.0</v>
      </c>
      <c r="BI776" s="35" t="b">
        <v>1</v>
      </c>
      <c r="BJ776" s="23">
        <v>80000.0</v>
      </c>
      <c r="BK776" s="15" t="b">
        <v>1</v>
      </c>
      <c r="BL776" s="20" t="s">
        <v>1176</v>
      </c>
      <c r="BM776" s="23">
        <v>370000.0</v>
      </c>
      <c r="BN776" s="35" t="b">
        <v>0</v>
      </c>
      <c r="BO776" s="23">
        <v>80000.0</v>
      </c>
      <c r="BP776" s="15" t="b">
        <v>0</v>
      </c>
      <c r="BQ776" s="17" t="s">
        <v>321</v>
      </c>
      <c r="BR776" s="1"/>
      <c r="BS776" s="1"/>
      <c r="BT776" s="1"/>
      <c r="BU776" s="1"/>
    </row>
    <row r="777">
      <c r="A777" s="1"/>
      <c r="B777" s="21"/>
      <c r="C777" s="11" t="s">
        <v>42</v>
      </c>
      <c r="D777" s="22"/>
      <c r="E777" s="23">
        <f>SUM(E773:E776)</f>
        <v>1380000</v>
      </c>
      <c r="F777" s="18"/>
      <c r="G777" s="23">
        <f>SUM(G773:G776)</f>
        <v>240000</v>
      </c>
      <c r="H777" s="19"/>
      <c r="I777" s="22"/>
      <c r="J777" s="23">
        <f>SUM(J773:J776)</f>
        <v>1487241</v>
      </c>
      <c r="K777" s="18"/>
      <c r="L777" s="23">
        <f>SUM(L773:L776)</f>
        <v>262068</v>
      </c>
      <c r="M777" s="19"/>
      <c r="N777" s="22"/>
      <c r="O777" s="23">
        <f>SUM(O773:O776)</f>
        <v>2190000</v>
      </c>
      <c r="P777" s="18"/>
      <c r="Q777" s="23">
        <f>SUM(Q773:Q776)</f>
        <v>400000</v>
      </c>
      <c r="R777" s="19"/>
      <c r="S777" s="22"/>
      <c r="T777" s="23">
        <f>SUM(T773:T776)</f>
        <v>1700000</v>
      </c>
      <c r="U777" s="18"/>
      <c r="V777" s="23">
        <f>SUM(V773:V776)</f>
        <v>400000</v>
      </c>
      <c r="W777" s="19"/>
      <c r="X777" s="22"/>
      <c r="Y777" s="23">
        <f>SUM(Y773:Y776)</f>
        <v>1700000</v>
      </c>
      <c r="Z777" s="18"/>
      <c r="AA777" s="23">
        <f>SUM(AA773:AA776)</f>
        <v>320000</v>
      </c>
      <c r="AB777" s="19"/>
      <c r="AC777" s="22"/>
      <c r="AD777" s="23">
        <f>SUM(AD773:AD776)</f>
        <v>1700000</v>
      </c>
      <c r="AE777" s="18"/>
      <c r="AF777" s="23">
        <f>SUM(AF773:AF776)</f>
        <v>320000</v>
      </c>
      <c r="AG777" s="19"/>
      <c r="AH777" s="22"/>
      <c r="AI777" s="23">
        <f>SUM(AI773:AI776)</f>
        <v>1700000</v>
      </c>
      <c r="AJ777" s="18"/>
      <c r="AK777" s="23">
        <f>SUM(AK773:AK776)</f>
        <v>320000</v>
      </c>
      <c r="AL777" s="19"/>
      <c r="AM777" s="22"/>
      <c r="AN777" s="23">
        <f>SUM(AN773:AN776)</f>
        <v>1700000</v>
      </c>
      <c r="AO777" s="18"/>
      <c r="AP777" s="23">
        <f>SUM(AP773:AP776)</f>
        <v>320000</v>
      </c>
      <c r="AQ777" s="19"/>
      <c r="AR777" s="22"/>
      <c r="AS777" s="23">
        <f>SUM(AS773:AS776)</f>
        <v>1700000</v>
      </c>
      <c r="AT777" s="18"/>
      <c r="AU777" s="23">
        <f>SUM(AU773:AU776)</f>
        <v>320000</v>
      </c>
      <c r="AV777" s="19"/>
      <c r="AW777" s="22"/>
      <c r="AX777" s="23">
        <f>SUM(AX773:AX776)</f>
        <v>1700000</v>
      </c>
      <c r="AY777" s="18"/>
      <c r="AZ777" s="23">
        <f>SUM(AZ773:AZ776)</f>
        <v>320000</v>
      </c>
      <c r="BA777" s="19"/>
      <c r="BB777" s="22"/>
      <c r="BC777" s="23">
        <f>SUM(BC773:BC776)</f>
        <v>1700000</v>
      </c>
      <c r="BD777" s="18"/>
      <c r="BE777" s="23">
        <f>SUM(BE773:BE776)</f>
        <v>320000</v>
      </c>
      <c r="BF777" s="19"/>
      <c r="BG777" s="22"/>
      <c r="BH777" s="23">
        <f>SUM(BH773:BH776)</f>
        <v>1700000</v>
      </c>
      <c r="BI777" s="18"/>
      <c r="BJ777" s="23">
        <f>SUM(BJ773:BJ776)</f>
        <v>320000</v>
      </c>
      <c r="BK777" s="19"/>
      <c r="BL777" s="22"/>
      <c r="BM777" s="23">
        <f>SUM(BM773:BM776)</f>
        <v>1700000</v>
      </c>
      <c r="BN777" s="18"/>
      <c r="BO777" s="23">
        <f>SUM(BO773:BO776)</f>
        <v>320000</v>
      </c>
      <c r="BP777" s="19"/>
      <c r="BQ777" s="17" t="s">
        <v>321</v>
      </c>
      <c r="BR777" s="1"/>
      <c r="BS777" s="1"/>
      <c r="BT777" s="1"/>
      <c r="BU777" s="1"/>
    </row>
    <row r="778">
      <c r="A778" s="1"/>
      <c r="B778" s="21"/>
      <c r="C778" s="11" t="s">
        <v>43</v>
      </c>
      <c r="D778" s="22"/>
      <c r="E778" s="23">
        <v>1000000.0</v>
      </c>
      <c r="F778" s="18"/>
      <c r="G778" s="18"/>
      <c r="H778" s="19"/>
      <c r="I778" s="22"/>
      <c r="J778" s="23">
        <v>1000000.0</v>
      </c>
      <c r="K778" s="18"/>
      <c r="L778" s="18"/>
      <c r="M778" s="19"/>
      <c r="N778" s="22"/>
      <c r="O778" s="23">
        <v>1000000.0</v>
      </c>
      <c r="P778" s="18"/>
      <c r="Q778" s="18"/>
      <c r="R778" s="19"/>
      <c r="S778" s="22"/>
      <c r="T778" s="23">
        <v>1000000.0</v>
      </c>
      <c r="U778" s="18"/>
      <c r="V778" s="18"/>
      <c r="W778" s="19"/>
      <c r="X778" s="22"/>
      <c r="Y778" s="23">
        <v>1000000.0</v>
      </c>
      <c r="Z778" s="18"/>
      <c r="AA778" s="18"/>
      <c r="AB778" s="19"/>
      <c r="AC778" s="22"/>
      <c r="AD778" s="23">
        <v>1000000.0</v>
      </c>
      <c r="AE778" s="18"/>
      <c r="AF778" s="18"/>
      <c r="AG778" s="19"/>
      <c r="AH778" s="22"/>
      <c r="AI778" s="23">
        <v>1000000.0</v>
      </c>
      <c r="AJ778" s="18"/>
      <c r="AK778" s="18"/>
      <c r="AL778" s="19"/>
      <c r="AM778" s="22"/>
      <c r="AN778" s="23">
        <v>1000000.0</v>
      </c>
      <c r="AO778" s="18"/>
      <c r="AP778" s="18"/>
      <c r="AQ778" s="19"/>
      <c r="AR778" s="22"/>
      <c r="AS778" s="23">
        <v>1000000.0</v>
      </c>
      <c r="AT778" s="18"/>
      <c r="AU778" s="18"/>
      <c r="AV778" s="19"/>
      <c r="AW778" s="22"/>
      <c r="AX778" s="23">
        <v>1000000.0</v>
      </c>
      <c r="AY778" s="18"/>
      <c r="AZ778" s="18"/>
      <c r="BA778" s="19"/>
      <c r="BB778" s="22"/>
      <c r="BC778" s="23">
        <v>1000000.0</v>
      </c>
      <c r="BD778" s="18"/>
      <c r="BE778" s="18"/>
      <c r="BF778" s="19"/>
      <c r="BG778" s="22"/>
      <c r="BH778" s="23">
        <v>1000000.0</v>
      </c>
      <c r="BI778" s="18"/>
      <c r="BJ778" s="18"/>
      <c r="BK778" s="19"/>
      <c r="BL778" s="22"/>
      <c r="BM778" s="23">
        <v>1000000.0</v>
      </c>
      <c r="BN778" s="18"/>
      <c r="BO778" s="18"/>
      <c r="BP778" s="19"/>
      <c r="BQ778" s="17" t="s">
        <v>321</v>
      </c>
      <c r="BR778" s="1"/>
      <c r="BS778" s="1"/>
      <c r="BT778" s="1"/>
      <c r="BU778" s="1"/>
    </row>
    <row r="779">
      <c r="A779" s="1"/>
      <c r="B779" s="21"/>
      <c r="C779" s="11" t="s">
        <v>45</v>
      </c>
      <c r="D779" s="22"/>
      <c r="E779" s="23">
        <v>50000.0</v>
      </c>
      <c r="F779" s="18"/>
      <c r="G779" s="18"/>
      <c r="H779" s="19"/>
      <c r="I779" s="22"/>
      <c r="J779" s="23">
        <v>50000.0</v>
      </c>
      <c r="K779" s="18"/>
      <c r="L779" s="18"/>
      <c r="M779" s="19"/>
      <c r="N779" s="22"/>
      <c r="O779" s="23">
        <v>50000.0</v>
      </c>
      <c r="P779" s="18"/>
      <c r="Q779" s="18"/>
      <c r="R779" s="19"/>
      <c r="S779" s="22"/>
      <c r="T779" s="23">
        <v>50000.0</v>
      </c>
      <c r="U779" s="18"/>
      <c r="V779" s="18"/>
      <c r="W779" s="19"/>
      <c r="X779" s="22"/>
      <c r="Y779" s="23">
        <v>50000.0</v>
      </c>
      <c r="Z779" s="18"/>
      <c r="AA779" s="18"/>
      <c r="AB779" s="19"/>
      <c r="AC779" s="22"/>
      <c r="AD779" s="23">
        <v>50000.0</v>
      </c>
      <c r="AE779" s="18"/>
      <c r="AF779" s="18"/>
      <c r="AG779" s="19"/>
      <c r="AH779" s="22"/>
      <c r="AI779" s="23">
        <v>50000.0</v>
      </c>
      <c r="AJ779" s="18"/>
      <c r="AK779" s="18"/>
      <c r="AL779" s="19"/>
      <c r="AM779" s="22"/>
      <c r="AN779" s="23">
        <v>50000.0</v>
      </c>
      <c r="AO779" s="18"/>
      <c r="AP779" s="18"/>
      <c r="AQ779" s="19"/>
      <c r="AR779" s="22"/>
      <c r="AS779" s="23">
        <v>50000.0</v>
      </c>
      <c r="AT779" s="18"/>
      <c r="AU779" s="18"/>
      <c r="AV779" s="19"/>
      <c r="AW779" s="22"/>
      <c r="AX779" s="23">
        <v>50000.0</v>
      </c>
      <c r="AY779" s="18"/>
      <c r="AZ779" s="18"/>
      <c r="BA779" s="19"/>
      <c r="BB779" s="22"/>
      <c r="BC779" s="23">
        <v>50000.0</v>
      </c>
      <c r="BD779" s="18"/>
      <c r="BE779" s="18"/>
      <c r="BF779" s="19"/>
      <c r="BG779" s="22"/>
      <c r="BH779" s="23">
        <v>50000.0</v>
      </c>
      <c r="BI779" s="18"/>
      <c r="BJ779" s="18"/>
      <c r="BK779" s="19"/>
      <c r="BL779" s="22"/>
      <c r="BM779" s="23">
        <v>50000.0</v>
      </c>
      <c r="BN779" s="18"/>
      <c r="BO779" s="18"/>
      <c r="BP779" s="19"/>
      <c r="BQ779" s="17" t="s">
        <v>321</v>
      </c>
      <c r="BR779" s="1"/>
      <c r="BS779" s="1"/>
      <c r="BT779" s="1"/>
      <c r="BU779" s="1"/>
    </row>
    <row r="780">
      <c r="A780" s="1"/>
      <c r="B780" s="10" t="s">
        <v>1177</v>
      </c>
      <c r="C780" s="11" t="s">
        <v>47</v>
      </c>
      <c r="D780" s="22"/>
      <c r="E780" s="18"/>
      <c r="F780" s="18"/>
      <c r="G780" s="20" t="s">
        <v>1121</v>
      </c>
      <c r="H780" s="19"/>
      <c r="I780" s="22"/>
      <c r="J780" s="18"/>
      <c r="K780" s="18"/>
      <c r="L780" s="18"/>
      <c r="M780" s="19"/>
      <c r="N780" s="22"/>
      <c r="O780" s="18"/>
      <c r="P780" s="18"/>
      <c r="Q780" s="18"/>
      <c r="R780" s="24"/>
      <c r="S780" s="22"/>
      <c r="T780" s="18"/>
      <c r="U780" s="18"/>
      <c r="V780" s="18"/>
      <c r="W780" s="24"/>
      <c r="X780" s="18"/>
      <c r="Y780" s="18"/>
      <c r="Z780" s="18"/>
      <c r="AA780" s="18"/>
      <c r="AB780" s="24"/>
      <c r="AC780" s="18"/>
      <c r="AD780" s="18"/>
      <c r="AE780" s="18"/>
      <c r="AF780" s="18"/>
      <c r="AG780" s="24"/>
      <c r="AH780" s="18"/>
      <c r="AI780" s="18"/>
      <c r="AJ780" s="18"/>
      <c r="AK780" s="18"/>
      <c r="AL780" s="24"/>
      <c r="AM780" s="18"/>
      <c r="AN780" s="18"/>
      <c r="AO780" s="18"/>
      <c r="AP780" s="18"/>
      <c r="AQ780" s="24"/>
      <c r="AR780" s="22"/>
      <c r="AS780" s="18"/>
      <c r="AT780" s="18"/>
      <c r="AU780" s="18"/>
      <c r="AV780" s="24"/>
      <c r="AW780" s="22"/>
      <c r="AX780" s="18"/>
      <c r="AY780" s="18"/>
      <c r="AZ780" s="18"/>
      <c r="BA780" s="24"/>
      <c r="BB780" s="22"/>
      <c r="BC780" s="18"/>
      <c r="BD780" s="18"/>
      <c r="BE780" s="18"/>
      <c r="BF780" s="24"/>
      <c r="BG780" s="22"/>
      <c r="BH780" s="18"/>
      <c r="BI780" s="18"/>
      <c r="BJ780" s="18"/>
      <c r="BK780" s="19"/>
      <c r="BL780" s="22"/>
      <c r="BM780" s="18"/>
      <c r="BN780" s="18"/>
      <c r="BO780" s="18"/>
      <c r="BP780" s="19"/>
      <c r="BQ780" s="17" t="s">
        <v>321</v>
      </c>
      <c r="BR780" s="1"/>
      <c r="BS780" s="1"/>
      <c r="BT780" s="1"/>
      <c r="BU780" s="1"/>
    </row>
    <row r="781">
      <c r="A781" s="1"/>
      <c r="B781" s="10" t="s">
        <v>1178</v>
      </c>
      <c r="C781" s="11" t="s">
        <v>49</v>
      </c>
      <c r="D781" s="22"/>
      <c r="E781" s="18"/>
      <c r="F781" s="18"/>
      <c r="G781" s="23">
        <v>135500.0</v>
      </c>
      <c r="H781" s="19"/>
      <c r="I781" s="22"/>
      <c r="J781" s="18"/>
      <c r="K781" s="18"/>
      <c r="L781" s="23">
        <v>166570.0</v>
      </c>
      <c r="M781" s="19"/>
      <c r="N781" s="22"/>
      <c r="O781" s="18"/>
      <c r="P781" s="18"/>
      <c r="Q781" s="23">
        <v>150960.0</v>
      </c>
      <c r="R781" s="24"/>
      <c r="S781" s="22"/>
      <c r="T781" s="18"/>
      <c r="U781" s="18"/>
      <c r="V781" s="23">
        <v>111990.0</v>
      </c>
      <c r="W781" s="24"/>
      <c r="X781" s="18"/>
      <c r="Y781" s="18"/>
      <c r="Z781" s="18"/>
      <c r="AA781" s="23">
        <v>54950.0</v>
      </c>
      <c r="AB781" s="24"/>
      <c r="AC781" s="18"/>
      <c r="AD781" s="18"/>
      <c r="AE781" s="18"/>
      <c r="AF781" s="23">
        <v>43150.0</v>
      </c>
      <c r="AG781" s="24"/>
      <c r="AH781" s="18"/>
      <c r="AI781" s="18"/>
      <c r="AJ781" s="18"/>
      <c r="AK781" s="23">
        <v>29690.0</v>
      </c>
      <c r="AL781" s="24"/>
      <c r="AM781" s="18"/>
      <c r="AN781" s="18"/>
      <c r="AO781" s="18"/>
      <c r="AP781" s="23">
        <v>23650.0</v>
      </c>
      <c r="AQ781" s="24"/>
      <c r="AR781" s="22"/>
      <c r="AS781" s="18"/>
      <c r="AT781" s="18"/>
      <c r="AU781" s="23">
        <v>22250.0</v>
      </c>
      <c r="AV781" s="24"/>
      <c r="AW781" s="22"/>
      <c r="AX781" s="18"/>
      <c r="AY781" s="18"/>
      <c r="AZ781" s="23">
        <v>40990.0</v>
      </c>
      <c r="BA781" s="24"/>
      <c r="BB781" s="22"/>
      <c r="BC781" s="18"/>
      <c r="BD781" s="18"/>
      <c r="BE781" s="23">
        <v>94150.0</v>
      </c>
      <c r="BF781" s="24"/>
      <c r="BG781" s="22"/>
      <c r="BH781" s="18"/>
      <c r="BI781" s="18"/>
      <c r="BJ781" s="23">
        <v>245950.0</v>
      </c>
      <c r="BK781" s="19"/>
      <c r="BL781" s="22"/>
      <c r="BM781" s="18"/>
      <c r="BN781" s="18"/>
      <c r="BO781" s="18"/>
      <c r="BP781" s="19"/>
      <c r="BQ781" s="17" t="s">
        <v>321</v>
      </c>
      <c r="BR781" s="1"/>
      <c r="BS781" s="1"/>
      <c r="BT781" s="1"/>
      <c r="BU781" s="1"/>
    </row>
    <row r="782">
      <c r="A782" s="1"/>
      <c r="B782" s="10" t="s">
        <v>1179</v>
      </c>
      <c r="C782" s="11" t="s">
        <v>51</v>
      </c>
      <c r="D782" s="22"/>
      <c r="E782" s="18"/>
      <c r="F782" s="18"/>
      <c r="G782" s="20" t="s">
        <v>1121</v>
      </c>
      <c r="H782" s="19"/>
      <c r="I782" s="22"/>
      <c r="J782" s="18"/>
      <c r="K782" s="18"/>
      <c r="L782" s="18"/>
      <c r="M782" s="19"/>
      <c r="N782" s="22"/>
      <c r="O782" s="18"/>
      <c r="P782" s="18"/>
      <c r="Q782" s="18"/>
      <c r="R782" s="24"/>
      <c r="S782" s="22"/>
      <c r="T782" s="18"/>
      <c r="U782" s="18"/>
      <c r="V782" s="18"/>
      <c r="W782" s="24"/>
      <c r="X782" s="18"/>
      <c r="Y782" s="18"/>
      <c r="Z782" s="18"/>
      <c r="AA782" s="18"/>
      <c r="AB782" s="24"/>
      <c r="AC782" s="18"/>
      <c r="AD782" s="18"/>
      <c r="AE782" s="18"/>
      <c r="AF782" s="18"/>
      <c r="AG782" s="24"/>
      <c r="AH782" s="18"/>
      <c r="AI782" s="18"/>
      <c r="AJ782" s="18"/>
      <c r="AK782" s="18"/>
      <c r="AL782" s="24"/>
      <c r="AM782" s="18"/>
      <c r="AN782" s="18"/>
      <c r="AO782" s="18"/>
      <c r="AP782" s="18"/>
      <c r="AQ782" s="24"/>
      <c r="AR782" s="22"/>
      <c r="AS782" s="18"/>
      <c r="AT782" s="18"/>
      <c r="AU782" s="18"/>
      <c r="AV782" s="24"/>
      <c r="AW782" s="22"/>
      <c r="AX782" s="18"/>
      <c r="AY782" s="18"/>
      <c r="AZ782" s="18"/>
      <c r="BA782" s="24"/>
      <c r="BB782" s="22"/>
      <c r="BC782" s="18"/>
      <c r="BD782" s="18"/>
      <c r="BE782" s="18"/>
      <c r="BF782" s="24"/>
      <c r="BG782" s="22"/>
      <c r="BH782" s="18"/>
      <c r="BI782" s="18"/>
      <c r="BJ782" s="18"/>
      <c r="BK782" s="19"/>
      <c r="BL782" s="22"/>
      <c r="BM782" s="18"/>
      <c r="BN782" s="18"/>
      <c r="BO782" s="18"/>
      <c r="BP782" s="19"/>
      <c r="BQ782" s="17" t="s">
        <v>321</v>
      </c>
      <c r="BR782" s="1"/>
      <c r="BS782" s="1"/>
      <c r="BT782" s="1"/>
      <c r="BU782" s="1"/>
    </row>
    <row r="783">
      <c r="A783" s="1"/>
      <c r="B783" s="21"/>
      <c r="C783" s="11" t="s">
        <v>52</v>
      </c>
      <c r="D783" s="22"/>
      <c r="E783" s="18"/>
      <c r="F783" s="18"/>
      <c r="G783" s="23" t="s">
        <v>263</v>
      </c>
      <c r="H783" s="19"/>
      <c r="I783" s="22"/>
      <c r="J783" s="18"/>
      <c r="K783" s="18"/>
      <c r="L783" s="18"/>
      <c r="M783" s="19"/>
      <c r="N783" s="22"/>
      <c r="O783" s="18"/>
      <c r="P783" s="18"/>
      <c r="Q783" s="18"/>
      <c r="R783" s="24"/>
      <c r="S783" s="22"/>
      <c r="T783" s="18"/>
      <c r="U783" s="18"/>
      <c r="V783" s="18"/>
      <c r="W783" s="24"/>
      <c r="X783" s="18"/>
      <c r="Y783" s="18"/>
      <c r="Z783" s="18"/>
      <c r="AA783" s="18"/>
      <c r="AB783" s="24"/>
      <c r="AC783" s="18"/>
      <c r="AD783" s="18"/>
      <c r="AE783" s="18"/>
      <c r="AF783" s="18"/>
      <c r="AG783" s="24"/>
      <c r="AH783" s="18"/>
      <c r="AI783" s="18"/>
      <c r="AJ783" s="18"/>
      <c r="AK783" s="18"/>
      <c r="AL783" s="24"/>
      <c r="AM783" s="18"/>
      <c r="AN783" s="18"/>
      <c r="AO783" s="18"/>
      <c r="AP783" s="18"/>
      <c r="AQ783" s="24"/>
      <c r="AR783" s="22"/>
      <c r="AS783" s="18"/>
      <c r="AT783" s="18"/>
      <c r="AU783" s="18"/>
      <c r="AV783" s="24"/>
      <c r="AW783" s="22"/>
      <c r="AX783" s="18"/>
      <c r="AY783" s="18"/>
      <c r="AZ783" s="18"/>
      <c r="BA783" s="24"/>
      <c r="BB783" s="22"/>
      <c r="BC783" s="18"/>
      <c r="BD783" s="18"/>
      <c r="BE783" s="18"/>
      <c r="BF783" s="24"/>
      <c r="BG783" s="22"/>
      <c r="BH783" s="18"/>
      <c r="BI783" s="18"/>
      <c r="BJ783" s="18"/>
      <c r="BK783" s="19"/>
      <c r="BL783" s="22"/>
      <c r="BM783" s="18"/>
      <c r="BN783" s="18"/>
      <c r="BO783" s="18"/>
      <c r="BP783" s="19"/>
      <c r="BQ783" s="17" t="s">
        <v>321</v>
      </c>
      <c r="BR783" s="1"/>
      <c r="BS783" s="1"/>
      <c r="BT783" s="1"/>
      <c r="BU783" s="1"/>
    </row>
    <row r="784">
      <c r="A784" s="1"/>
      <c r="B784" s="21"/>
      <c r="C784" s="11" t="s">
        <v>53</v>
      </c>
      <c r="D784" s="22"/>
      <c r="E784" s="18"/>
      <c r="F784" s="18"/>
      <c r="G784" s="23">
        <v>11000.0</v>
      </c>
      <c r="H784" s="19"/>
      <c r="I784" s="22"/>
      <c r="J784" s="18"/>
      <c r="K784" s="18"/>
      <c r="L784" s="23">
        <v>11000.0</v>
      </c>
      <c r="M784" s="19"/>
      <c r="N784" s="22"/>
      <c r="O784" s="18"/>
      <c r="P784" s="18"/>
      <c r="Q784" s="23">
        <v>11000.0</v>
      </c>
      <c r="R784" s="19"/>
      <c r="S784" s="22"/>
      <c r="T784" s="18"/>
      <c r="U784" s="18"/>
      <c r="V784" s="23">
        <v>11000.0</v>
      </c>
      <c r="W784" s="19"/>
      <c r="X784" s="22"/>
      <c r="Y784" s="18"/>
      <c r="Z784" s="18"/>
      <c r="AA784" s="23">
        <v>11000.0</v>
      </c>
      <c r="AB784" s="19"/>
      <c r="AC784" s="22"/>
      <c r="AD784" s="18"/>
      <c r="AE784" s="18"/>
      <c r="AF784" s="23">
        <v>11000.0</v>
      </c>
      <c r="AG784" s="19"/>
      <c r="AH784" s="22"/>
      <c r="AI784" s="18"/>
      <c r="AJ784" s="18"/>
      <c r="AK784" s="23">
        <v>11000.0</v>
      </c>
      <c r="AL784" s="19"/>
      <c r="AM784" s="22"/>
      <c r="AN784" s="18"/>
      <c r="AO784" s="18"/>
      <c r="AP784" s="23">
        <v>11000.0</v>
      </c>
      <c r="AQ784" s="19"/>
      <c r="AR784" s="22"/>
      <c r="AS784" s="18"/>
      <c r="AT784" s="18"/>
      <c r="AU784" s="23">
        <v>11000.0</v>
      </c>
      <c r="AV784" s="19"/>
      <c r="AW784" s="22"/>
      <c r="AX784" s="18"/>
      <c r="AY784" s="18"/>
      <c r="AZ784" s="23">
        <v>11000.0</v>
      </c>
      <c r="BA784" s="19"/>
      <c r="BB784" s="22"/>
      <c r="BC784" s="18"/>
      <c r="BD784" s="18"/>
      <c r="BE784" s="23">
        <v>11000.0</v>
      </c>
      <c r="BF784" s="19"/>
      <c r="BG784" s="22"/>
      <c r="BH784" s="18"/>
      <c r="BI784" s="18"/>
      <c r="BJ784" s="23">
        <v>11000.0</v>
      </c>
      <c r="BK784" s="19"/>
      <c r="BL784" s="22"/>
      <c r="BM784" s="18"/>
      <c r="BN784" s="18"/>
      <c r="BO784" s="23">
        <v>11000.0</v>
      </c>
      <c r="BP784" s="19"/>
      <c r="BQ784" s="17" t="s">
        <v>321</v>
      </c>
      <c r="BR784" s="1"/>
      <c r="BS784" s="1"/>
      <c r="BT784" s="1"/>
      <c r="BU784" s="1"/>
    </row>
    <row r="785">
      <c r="A785" s="1"/>
      <c r="B785" s="21"/>
      <c r="C785" s="11" t="s">
        <v>54</v>
      </c>
      <c r="D785" s="22"/>
      <c r="E785" s="18"/>
      <c r="F785" s="18"/>
      <c r="G785" s="23">
        <f>SUMIFS('지출'!$G$3:$G1000,'지출'!$J$3:$J1000,G$1,'지출'!$C$3:$C1000,"동삼")</f>
        <v>83630</v>
      </c>
      <c r="H785" s="19"/>
      <c r="I785" s="22"/>
      <c r="J785" s="18"/>
      <c r="K785" s="18"/>
      <c r="L785" s="23">
        <f>SUMIFS('지출'!$G$3:$G1000,'지출'!$J$3:$J1000,L$1,'지출'!$C$3:$C1000,"동삼")</f>
        <v>154830</v>
      </c>
      <c r="M785" s="24"/>
      <c r="N785" s="18"/>
      <c r="O785" s="18"/>
      <c r="P785" s="18"/>
      <c r="Q785" s="23">
        <f>SUMIFS('지출'!$G$3:$G1000,'지출'!$J$3:$J1000,Q$1,'지출'!$C$3:$C1000,"동삼")</f>
        <v>4900</v>
      </c>
      <c r="R785" s="24"/>
      <c r="S785" s="18"/>
      <c r="T785" s="18"/>
      <c r="U785" s="18"/>
      <c r="V785" s="23">
        <f>SUMIFS('지출'!$G$3:$G1000,'지출'!$J$3:$J1000,V$1,'지출'!$C$3:$C1000,"동삼")</f>
        <v>0</v>
      </c>
      <c r="W785" s="24"/>
      <c r="X785" s="18"/>
      <c r="Y785" s="18"/>
      <c r="Z785" s="18"/>
      <c r="AA785" s="23">
        <f>SUMIFS('지출'!$G$3:$G1000,'지출'!$J$3:$J1000,AA$1,'지출'!$C$3:$C1000,"동삼")</f>
        <v>0</v>
      </c>
      <c r="AB785" s="93">
        <f>SUMIFS('지출'!$G$3:$G1000,'지출'!$J$3:$J1000,AB$1,'지출'!$C$3:$C1000,"동삼")</f>
        <v>0</v>
      </c>
      <c r="AC785" s="18"/>
      <c r="AD785" s="18"/>
      <c r="AE785" s="18"/>
      <c r="AF785" s="23">
        <f>SUMIFS('지출'!$G$3:$G1000,'지출'!$J$3:$J1000,AF$1,'지출'!$C$3:$C1000,"동삼")</f>
        <v>0</v>
      </c>
      <c r="AG785" s="24"/>
      <c r="AH785" s="18"/>
      <c r="AI785" s="18"/>
      <c r="AJ785" s="18"/>
      <c r="AK785" s="23">
        <f>SUMIFS('지출'!$G$3:$G1000,'지출'!$J$3:$J1000,AK$1,'지출'!$C$3:$C1000,"동삼")</f>
        <v>0</v>
      </c>
      <c r="AL785" s="24"/>
      <c r="AM785" s="18"/>
      <c r="AN785" s="18"/>
      <c r="AO785" s="18"/>
      <c r="AP785" s="23">
        <f>SUMIFS('지출'!$G$3:$G1000,'지출'!$J$3:$J1000,AP$1,'지출'!$C$3:$C1000,"동삼")</f>
        <v>0</v>
      </c>
      <c r="AQ785" s="24"/>
      <c r="AR785" s="18"/>
      <c r="AS785" s="18"/>
      <c r="AT785" s="18"/>
      <c r="AU785" s="23">
        <f>SUMIFS('지출'!$G$3:$G1000,'지출'!$J$3:$J1000,AU$1,'지출'!$C$3:$C1000,"동삼")</f>
        <v>0</v>
      </c>
      <c r="AV785" s="24"/>
      <c r="AW785" s="18"/>
      <c r="AX785" s="18"/>
      <c r="AY785" s="18"/>
      <c r="AZ785" s="23">
        <f>SUMIFS('지출'!$G$3:$G1000,'지출'!$J$3:$J1000,AZ$1,'지출'!$C$3:$C1000,"동삼")</f>
        <v>0</v>
      </c>
      <c r="BA785" s="24"/>
      <c r="BB785" s="18"/>
      <c r="BC785" s="18"/>
      <c r="BD785" s="18"/>
      <c r="BE785" s="23">
        <f>SUMIFS('지출'!$G$3:$G1000,'지출'!$J$3:$J1000,BE$1,'지출'!$C$3:$C1000,"동삼")</f>
        <v>0</v>
      </c>
      <c r="BF785" s="24"/>
      <c r="BG785" s="18"/>
      <c r="BH785" s="18"/>
      <c r="BI785" s="18"/>
      <c r="BJ785" s="23">
        <f>SUMIFS('지출'!$G$3:$G1000,'지출'!$J$3:$J1000,BJ$1,'지출'!$C$3:$C1000,"동삼")</f>
        <v>0</v>
      </c>
      <c r="BK785" s="19"/>
      <c r="BL785" s="18"/>
      <c r="BM785" s="18"/>
      <c r="BN785" s="18"/>
      <c r="BO785" s="23">
        <f>SUMIFS('지출'!$G$3:$G1000,'지출'!$J$3:$J1000,BO$1,'지출'!$C$3:$C1000,"동삼")</f>
        <v>83630</v>
      </c>
      <c r="BP785" s="19"/>
      <c r="BQ785" s="17" t="s">
        <v>321</v>
      </c>
      <c r="BR785" s="1"/>
      <c r="BS785" s="1"/>
      <c r="BT785" s="1"/>
      <c r="BU785" s="1"/>
    </row>
    <row r="786">
      <c r="A786" s="1"/>
      <c r="B786" s="21"/>
      <c r="C786" s="11" t="s">
        <v>56</v>
      </c>
      <c r="D786" s="22"/>
      <c r="E786" s="23">
        <f>E777-(SUM(E778:E785))</f>
        <v>330000</v>
      </c>
      <c r="F786" s="18"/>
      <c r="G786" s="23">
        <f>G777-(SUM(G778:G785))</f>
        <v>9870</v>
      </c>
      <c r="H786" s="19"/>
      <c r="I786" s="22"/>
      <c r="J786" s="23">
        <f>J777-(SUM(J778:J785))</f>
        <v>437241</v>
      </c>
      <c r="K786" s="18"/>
      <c r="L786" s="23">
        <f>L777-(SUM(L778:L785))</f>
        <v>-70332</v>
      </c>
      <c r="M786" s="19"/>
      <c r="N786" s="22"/>
      <c r="O786" s="23">
        <f>O777-(SUM(O778:O785))</f>
        <v>1140000</v>
      </c>
      <c r="P786" s="18"/>
      <c r="Q786" s="23">
        <f>Q777-(SUM(Q778:Q785))</f>
        <v>233140</v>
      </c>
      <c r="R786" s="19"/>
      <c r="S786" s="22"/>
      <c r="T786" s="23">
        <f>T777-(SUM(T778:T785))</f>
        <v>650000</v>
      </c>
      <c r="U786" s="18"/>
      <c r="V786" s="23">
        <f>V777-(SUM(V778:V785))</f>
        <v>277010</v>
      </c>
      <c r="W786" s="19"/>
      <c r="X786" s="18"/>
      <c r="Y786" s="23">
        <f>Y777-(SUM(Y778:Y785))</f>
        <v>650000</v>
      </c>
      <c r="Z786" s="18"/>
      <c r="AA786" s="23">
        <f>AA777-(SUM(AA778:AA785))</f>
        <v>254050</v>
      </c>
      <c r="AB786" s="19"/>
      <c r="AC786" s="18"/>
      <c r="AD786" s="23">
        <f>AD777-(SUM(AD778:AD785))</f>
        <v>650000</v>
      </c>
      <c r="AE786" s="18"/>
      <c r="AF786" s="23">
        <f>AF777-(SUM(AF778:AF785))</f>
        <v>265850</v>
      </c>
      <c r="AG786" s="19"/>
      <c r="AH786" s="18"/>
      <c r="AI786" s="23">
        <f>AI777-(SUM(AI778:AI785))</f>
        <v>650000</v>
      </c>
      <c r="AJ786" s="18"/>
      <c r="AK786" s="23">
        <f>AK777-(SUM(AK778:AK785))</f>
        <v>279310</v>
      </c>
      <c r="AL786" s="19"/>
      <c r="AM786" s="18"/>
      <c r="AN786" s="23">
        <f>AN777-(SUM(AN778:AN785))</f>
        <v>650000</v>
      </c>
      <c r="AO786" s="18"/>
      <c r="AP786" s="23">
        <f>AP777-(SUM(AP778:AP785))</f>
        <v>285350</v>
      </c>
      <c r="AQ786" s="19"/>
      <c r="AR786" s="22"/>
      <c r="AS786" s="23">
        <f>AS777-(SUM(AS778:AS785))</f>
        <v>650000</v>
      </c>
      <c r="AT786" s="18"/>
      <c r="AU786" s="23">
        <f>AU777-(SUM(AU778:AU785))</f>
        <v>286750</v>
      </c>
      <c r="AV786" s="19"/>
      <c r="AW786" s="22"/>
      <c r="AX786" s="23">
        <f>AX777-(SUM(AX778:AX785))</f>
        <v>650000</v>
      </c>
      <c r="AY786" s="18"/>
      <c r="AZ786" s="23">
        <f>AZ777-(SUM(AZ778:AZ785))</f>
        <v>268010</v>
      </c>
      <c r="BA786" s="19"/>
      <c r="BB786" s="22"/>
      <c r="BC786" s="23">
        <f>BC777-(SUM(BC778:BC785))</f>
        <v>650000</v>
      </c>
      <c r="BD786" s="18"/>
      <c r="BE786" s="23">
        <f>BE777-(SUM(BE778:BE785))</f>
        <v>214850</v>
      </c>
      <c r="BF786" s="19"/>
      <c r="BG786" s="22"/>
      <c r="BH786" s="23">
        <f>BH777-(SUM(BH778:BH785))</f>
        <v>650000</v>
      </c>
      <c r="BI786" s="18"/>
      <c r="BJ786" s="23">
        <f>BJ777-(SUM(BJ778:BJ785))</f>
        <v>63050</v>
      </c>
      <c r="BK786" s="19"/>
      <c r="BL786" s="22"/>
      <c r="BM786" s="23">
        <f>BM777-(SUM(BM778:BM785))</f>
        <v>650000</v>
      </c>
      <c r="BN786" s="18"/>
      <c r="BO786" s="23">
        <f>BO777-(SUM(BO778:BO785))</f>
        <v>225370</v>
      </c>
      <c r="BP786" s="19"/>
      <c r="BQ786" s="17" t="s">
        <v>321</v>
      </c>
      <c r="BR786" s="1"/>
      <c r="BS786" s="1"/>
      <c r="BT786" s="1"/>
      <c r="BU786" s="1"/>
    </row>
    <row r="787">
      <c r="A787" s="1"/>
      <c r="B787" s="10" t="s">
        <v>1040</v>
      </c>
      <c r="C787" s="11" t="s">
        <v>26</v>
      </c>
      <c r="D787" s="22"/>
      <c r="E787" s="23">
        <v>125000.0</v>
      </c>
      <c r="F787" s="18"/>
      <c r="G787" s="18"/>
      <c r="H787" s="19"/>
      <c r="I787" s="22"/>
      <c r="J787" s="23">
        <v>125000.0</v>
      </c>
      <c r="K787" s="18"/>
      <c r="L787" s="18"/>
      <c r="M787" s="19"/>
      <c r="N787" s="22"/>
      <c r="O787" s="23">
        <v>125000.0</v>
      </c>
      <c r="P787" s="18"/>
      <c r="Q787" s="18"/>
      <c r="R787" s="19"/>
      <c r="S787" s="22"/>
      <c r="T787" s="23">
        <v>125000.0</v>
      </c>
      <c r="U787" s="18"/>
      <c r="V787" s="18"/>
      <c r="W787" s="19"/>
      <c r="X787" s="18"/>
      <c r="Y787" s="23">
        <v>125000.0</v>
      </c>
      <c r="Z787" s="18"/>
      <c r="AA787" s="18"/>
      <c r="AB787" s="19"/>
      <c r="AC787" s="18"/>
      <c r="AD787" s="23">
        <v>125000.0</v>
      </c>
      <c r="AE787" s="18"/>
      <c r="AF787" s="18"/>
      <c r="AG787" s="19"/>
      <c r="AH787" s="20" t="s">
        <v>44</v>
      </c>
      <c r="AI787" s="23">
        <v>0.0</v>
      </c>
      <c r="AJ787" s="18"/>
      <c r="AK787" s="18"/>
      <c r="AL787" s="19"/>
      <c r="AM787" s="20" t="s">
        <v>44</v>
      </c>
      <c r="AN787" s="23">
        <v>0.0</v>
      </c>
      <c r="AO787" s="18"/>
      <c r="AP787" s="18"/>
      <c r="AQ787" s="19"/>
      <c r="AR787" s="20" t="s">
        <v>44</v>
      </c>
      <c r="AS787" s="23">
        <v>0.0</v>
      </c>
      <c r="AT787" s="18"/>
      <c r="AU787" s="18"/>
      <c r="AV787" s="19"/>
      <c r="AW787" s="20" t="s">
        <v>44</v>
      </c>
      <c r="AX787" s="23">
        <v>0.0</v>
      </c>
      <c r="AY787" s="18"/>
      <c r="AZ787" s="18"/>
      <c r="BA787" s="19"/>
      <c r="BB787" s="20" t="s">
        <v>44</v>
      </c>
      <c r="BC787" s="23">
        <v>0.0</v>
      </c>
      <c r="BD787" s="18"/>
      <c r="BE787" s="18"/>
      <c r="BF787" s="19"/>
      <c r="BG787" s="20" t="s">
        <v>44</v>
      </c>
      <c r="BH787" s="23">
        <v>0.0</v>
      </c>
      <c r="BI787" s="18"/>
      <c r="BJ787" s="18"/>
      <c r="BK787" s="19"/>
      <c r="BL787" s="20" t="s">
        <v>44</v>
      </c>
      <c r="BM787" s="23">
        <v>0.0</v>
      </c>
      <c r="BN787" s="18"/>
      <c r="BO787" s="18"/>
      <c r="BP787" s="19"/>
      <c r="BQ787" s="17" t="s">
        <v>321</v>
      </c>
      <c r="BR787" s="1"/>
      <c r="BS787" s="1"/>
      <c r="BT787" s="1"/>
      <c r="BU787" s="1"/>
    </row>
    <row r="788">
      <c r="A788" s="67" t="str">
        <f>B773</f>
        <v>동삼</v>
      </c>
      <c r="B788" s="29">
        <v>1.0</v>
      </c>
      <c r="C788" s="30" t="s">
        <v>57</v>
      </c>
      <c r="D788" s="31"/>
      <c r="E788" s="32">
        <f>E786-E787</f>
        <v>205000</v>
      </c>
      <c r="F788" s="33"/>
      <c r="G788" s="33"/>
      <c r="H788" s="34"/>
      <c r="I788" s="31"/>
      <c r="J788" s="32">
        <f>J786-J787</f>
        <v>312241</v>
      </c>
      <c r="K788" s="33"/>
      <c r="L788" s="33"/>
      <c r="M788" s="34"/>
      <c r="N788" s="31"/>
      <c r="O788" s="32">
        <f>O786-O787</f>
        <v>1015000</v>
      </c>
      <c r="P788" s="33"/>
      <c r="Q788" s="33"/>
      <c r="R788" s="34"/>
      <c r="S788" s="31"/>
      <c r="T788" s="32">
        <f>T786-T787</f>
        <v>525000</v>
      </c>
      <c r="U788" s="33"/>
      <c r="V788" s="33"/>
      <c r="W788" s="34"/>
      <c r="X788" s="33"/>
      <c r="Y788" s="32">
        <f>Y786-Y787</f>
        <v>525000</v>
      </c>
      <c r="Z788" s="33"/>
      <c r="AA788" s="33"/>
      <c r="AB788" s="34"/>
      <c r="AC788" s="33"/>
      <c r="AD788" s="32">
        <f>AD786-AD787</f>
        <v>525000</v>
      </c>
      <c r="AE788" s="33"/>
      <c r="AF788" s="33"/>
      <c r="AG788" s="34"/>
      <c r="AH788" s="33"/>
      <c r="AI788" s="32">
        <f>AI786-AI787</f>
        <v>650000</v>
      </c>
      <c r="AJ788" s="33"/>
      <c r="AK788" s="33"/>
      <c r="AL788" s="34"/>
      <c r="AM788" s="33"/>
      <c r="AN788" s="32">
        <f>AN786-AN787</f>
        <v>650000</v>
      </c>
      <c r="AO788" s="33"/>
      <c r="AP788" s="33"/>
      <c r="AQ788" s="34"/>
      <c r="AR788" s="31"/>
      <c r="AS788" s="32">
        <f>AS786-AS787</f>
        <v>650000</v>
      </c>
      <c r="AT788" s="33"/>
      <c r="AU788" s="33"/>
      <c r="AV788" s="34"/>
      <c r="AW788" s="31"/>
      <c r="AX788" s="32">
        <f>AX786-AX787</f>
        <v>650000</v>
      </c>
      <c r="AY788" s="33"/>
      <c r="AZ788" s="33"/>
      <c r="BA788" s="34"/>
      <c r="BB788" s="31"/>
      <c r="BC788" s="32">
        <f>BC786-BC787</f>
        <v>650000</v>
      </c>
      <c r="BD788" s="33"/>
      <c r="BE788" s="33"/>
      <c r="BF788" s="34"/>
      <c r="BG788" s="31"/>
      <c r="BH788" s="32">
        <f>BH786-BH787</f>
        <v>650000</v>
      </c>
      <c r="BI788" s="33"/>
      <c r="BJ788" s="33"/>
      <c r="BK788" s="34"/>
      <c r="BL788" s="31"/>
      <c r="BM788" s="32">
        <f>BM786-BM787</f>
        <v>650000</v>
      </c>
      <c r="BN788" s="33"/>
      <c r="BO788" s="33"/>
      <c r="BP788" s="34"/>
      <c r="BQ788" s="17" t="s">
        <v>321</v>
      </c>
      <c r="BR788" s="1"/>
      <c r="BS788" s="1"/>
      <c r="BT788" s="1"/>
      <c r="BU788" s="1"/>
    </row>
    <row r="789">
      <c r="A789" s="1"/>
      <c r="B789" s="27" t="s">
        <v>1180</v>
      </c>
      <c r="C789" s="11" t="s">
        <v>323</v>
      </c>
      <c r="D789" s="20" t="s">
        <v>1181</v>
      </c>
      <c r="E789" s="23">
        <v>500000.0</v>
      </c>
      <c r="F789" s="35" t="b">
        <v>1</v>
      </c>
      <c r="G789" s="23">
        <v>80000.0</v>
      </c>
      <c r="H789" s="15" t="b">
        <v>1</v>
      </c>
      <c r="I789" s="20" t="s">
        <v>1181</v>
      </c>
      <c r="J789" s="23">
        <v>500000.0</v>
      </c>
      <c r="K789" s="35" t="b">
        <v>1</v>
      </c>
      <c r="L789" s="23">
        <v>80000.0</v>
      </c>
      <c r="M789" s="15" t="b">
        <v>1</v>
      </c>
      <c r="N789" s="20" t="s">
        <v>1181</v>
      </c>
      <c r="O789" s="23">
        <v>500000.0</v>
      </c>
      <c r="P789" s="35" t="b">
        <v>1</v>
      </c>
      <c r="Q789" s="23">
        <v>80000.0</v>
      </c>
      <c r="R789" s="15" t="b">
        <v>1</v>
      </c>
      <c r="S789" s="20" t="s">
        <v>1181</v>
      </c>
      <c r="T789" s="23">
        <v>500000.0</v>
      </c>
      <c r="U789" s="35" t="b">
        <v>1</v>
      </c>
      <c r="V789" s="23">
        <v>80000.0</v>
      </c>
      <c r="W789" s="15" t="b">
        <v>1</v>
      </c>
      <c r="X789" s="20" t="s">
        <v>1181</v>
      </c>
      <c r="Y789" s="23">
        <v>500000.0</v>
      </c>
      <c r="Z789" s="35" t="b">
        <v>1</v>
      </c>
      <c r="AA789" s="23">
        <v>80000.0</v>
      </c>
      <c r="AB789" s="15" t="b">
        <v>1</v>
      </c>
      <c r="AC789" s="20" t="s">
        <v>1181</v>
      </c>
      <c r="AD789" s="23">
        <v>500000.0</v>
      </c>
      <c r="AE789" s="35" t="b">
        <v>1</v>
      </c>
      <c r="AF789" s="23">
        <v>80000.0</v>
      </c>
      <c r="AG789" s="15" t="b">
        <v>1</v>
      </c>
      <c r="AH789" s="20" t="s">
        <v>1181</v>
      </c>
      <c r="AI789" s="23">
        <v>500000.0</v>
      </c>
      <c r="AJ789" s="35" t="b">
        <v>1</v>
      </c>
      <c r="AK789" s="23">
        <v>80000.0</v>
      </c>
      <c r="AL789" s="15" t="b">
        <v>1</v>
      </c>
      <c r="AM789" s="20" t="s">
        <v>1182</v>
      </c>
      <c r="AN789" s="23">
        <f>500000+19355</f>
        <v>519355</v>
      </c>
      <c r="AO789" s="35" t="b">
        <v>1</v>
      </c>
      <c r="AP789" s="23">
        <f>80000+2581</f>
        <v>82581</v>
      </c>
      <c r="AQ789" s="15" t="b">
        <v>1</v>
      </c>
      <c r="AR789" s="20" t="s">
        <v>1183</v>
      </c>
      <c r="AS789" s="23">
        <v>600000.0</v>
      </c>
      <c r="AT789" s="35" t="b">
        <v>1</v>
      </c>
      <c r="AU789" s="23">
        <v>80000.0</v>
      </c>
      <c r="AV789" s="15" t="b">
        <v>1</v>
      </c>
      <c r="AW789" s="20" t="s">
        <v>1183</v>
      </c>
      <c r="AX789" s="23">
        <v>600000.0</v>
      </c>
      <c r="AY789" s="35" t="b">
        <v>1</v>
      </c>
      <c r="AZ789" s="23">
        <v>80000.0</v>
      </c>
      <c r="BA789" s="15" t="b">
        <v>1</v>
      </c>
      <c r="BB789" s="20" t="s">
        <v>1183</v>
      </c>
      <c r="BC789" s="23">
        <v>600000.0</v>
      </c>
      <c r="BD789" s="35" t="b">
        <v>1</v>
      </c>
      <c r="BE789" s="23">
        <v>80000.0</v>
      </c>
      <c r="BF789" s="15" t="b">
        <v>1</v>
      </c>
      <c r="BG789" s="20" t="s">
        <v>1184</v>
      </c>
      <c r="BH789" s="23">
        <v>600000.0</v>
      </c>
      <c r="BI789" s="35" t="b">
        <v>1</v>
      </c>
      <c r="BJ789" s="23">
        <v>80000.0</v>
      </c>
      <c r="BK789" s="15" t="b">
        <v>1</v>
      </c>
      <c r="BL789" s="20" t="s">
        <v>37</v>
      </c>
      <c r="BM789" s="18"/>
      <c r="BN789" s="1"/>
      <c r="BO789" s="18"/>
      <c r="BP789" s="19"/>
      <c r="BQ789" s="17" t="s">
        <v>321</v>
      </c>
      <c r="BR789" s="1"/>
      <c r="BS789" s="1"/>
      <c r="BT789" s="1"/>
      <c r="BU789" s="1"/>
    </row>
    <row r="790">
      <c r="A790" s="1"/>
      <c r="B790" s="27" t="s">
        <v>1180</v>
      </c>
      <c r="C790" s="11" t="s">
        <v>1185</v>
      </c>
      <c r="D790" s="20" t="s">
        <v>1186</v>
      </c>
      <c r="E790" s="23">
        <v>420000.0</v>
      </c>
      <c r="F790" s="35" t="b">
        <v>1</v>
      </c>
      <c r="G790" s="23">
        <v>80000.0</v>
      </c>
      <c r="H790" s="15" t="b">
        <v>1</v>
      </c>
      <c r="I790" s="20" t="s">
        <v>1187</v>
      </c>
      <c r="J790" s="23">
        <f>420000+115862</f>
        <v>535862</v>
      </c>
      <c r="K790" s="35" t="b">
        <v>1</v>
      </c>
      <c r="L790" s="23">
        <f>80000+22069</f>
        <v>102069</v>
      </c>
      <c r="M790" s="15" t="b">
        <v>1</v>
      </c>
      <c r="N790" s="20" t="s">
        <v>1188</v>
      </c>
      <c r="O790" s="23">
        <v>420000.0</v>
      </c>
      <c r="P790" s="35" t="b">
        <v>1</v>
      </c>
      <c r="Q790" s="23">
        <v>80000.0</v>
      </c>
      <c r="R790" s="15" t="b">
        <v>1</v>
      </c>
      <c r="S790" s="20" t="s">
        <v>1188</v>
      </c>
      <c r="T790" s="23">
        <v>420000.0</v>
      </c>
      <c r="U790" s="35" t="b">
        <v>1</v>
      </c>
      <c r="V790" s="23">
        <v>80000.0</v>
      </c>
      <c r="W790" s="15" t="b">
        <v>1</v>
      </c>
      <c r="X790" s="20" t="s">
        <v>1188</v>
      </c>
      <c r="Y790" s="23">
        <v>420000.0</v>
      </c>
      <c r="Z790" s="35" t="b">
        <v>1</v>
      </c>
      <c r="AA790" s="23">
        <v>80000.0</v>
      </c>
      <c r="AB790" s="15" t="b">
        <v>1</v>
      </c>
      <c r="AC790" s="20" t="s">
        <v>1188</v>
      </c>
      <c r="AD790" s="23">
        <v>420000.0</v>
      </c>
      <c r="AE790" s="35" t="b">
        <v>1</v>
      </c>
      <c r="AF790" s="23">
        <v>80000.0</v>
      </c>
      <c r="AG790" s="15" t="b">
        <v>1</v>
      </c>
      <c r="AH790" s="20" t="s">
        <v>1188</v>
      </c>
      <c r="AI790" s="23">
        <v>420000.0</v>
      </c>
      <c r="AJ790" s="35" t="b">
        <v>1</v>
      </c>
      <c r="AK790" s="23">
        <v>80000.0</v>
      </c>
      <c r="AL790" s="15" t="b">
        <v>1</v>
      </c>
      <c r="AM790" s="20" t="s">
        <v>1188</v>
      </c>
      <c r="AN790" s="23">
        <v>420000.0</v>
      </c>
      <c r="AO790" s="35" t="b">
        <v>1</v>
      </c>
      <c r="AP790" s="23">
        <v>80000.0</v>
      </c>
      <c r="AQ790" s="15" t="b">
        <v>1</v>
      </c>
      <c r="AR790" s="20" t="s">
        <v>1188</v>
      </c>
      <c r="AS790" s="23">
        <v>420000.0</v>
      </c>
      <c r="AT790" s="35" t="b">
        <v>1</v>
      </c>
      <c r="AU790" s="23">
        <v>80000.0</v>
      </c>
      <c r="AV790" s="15" t="b">
        <v>1</v>
      </c>
      <c r="AW790" s="20" t="s">
        <v>1188</v>
      </c>
      <c r="AX790" s="23">
        <v>420000.0</v>
      </c>
      <c r="AY790" s="35" t="b">
        <v>1</v>
      </c>
      <c r="AZ790" s="23">
        <v>80000.0</v>
      </c>
      <c r="BA790" s="15" t="b">
        <v>1</v>
      </c>
      <c r="BB790" s="20" t="s">
        <v>1188</v>
      </c>
      <c r="BC790" s="23">
        <v>420000.0</v>
      </c>
      <c r="BD790" s="35" t="b">
        <v>1</v>
      </c>
      <c r="BE790" s="23">
        <v>80000.0</v>
      </c>
      <c r="BF790" s="15" t="b">
        <v>1</v>
      </c>
      <c r="BG790" s="20" t="s">
        <v>1188</v>
      </c>
      <c r="BH790" s="23">
        <v>420000.0</v>
      </c>
      <c r="BI790" s="35" t="b">
        <v>1</v>
      </c>
      <c r="BJ790" s="23">
        <v>80000.0</v>
      </c>
      <c r="BK790" s="15" t="b">
        <v>1</v>
      </c>
      <c r="BL790" s="20" t="s">
        <v>1188</v>
      </c>
      <c r="BM790" s="23">
        <v>420000.0</v>
      </c>
      <c r="BN790" s="35" t="b">
        <v>0</v>
      </c>
      <c r="BO790" s="23">
        <v>80000.0</v>
      </c>
      <c r="BP790" s="15" t="b">
        <v>0</v>
      </c>
      <c r="BQ790" s="17" t="s">
        <v>321</v>
      </c>
      <c r="BR790" s="1"/>
      <c r="BS790" s="1"/>
      <c r="BT790" s="1"/>
      <c r="BU790" s="1"/>
    </row>
    <row r="791">
      <c r="A791" s="1"/>
      <c r="B791" s="27" t="s">
        <v>1180</v>
      </c>
      <c r="C791" s="11" t="s">
        <v>1189</v>
      </c>
      <c r="D791" s="20" t="s">
        <v>1190</v>
      </c>
      <c r="E791" s="23">
        <v>13548.0</v>
      </c>
      <c r="F791" s="35" t="b">
        <v>1</v>
      </c>
      <c r="G791" s="23">
        <v>2581.0</v>
      </c>
      <c r="H791" s="15" t="b">
        <v>1</v>
      </c>
      <c r="I791" s="20" t="s">
        <v>1191</v>
      </c>
      <c r="J791" s="23">
        <v>420000.0</v>
      </c>
      <c r="K791" s="35" t="b">
        <v>1</v>
      </c>
      <c r="L791" s="23">
        <v>80000.0</v>
      </c>
      <c r="M791" s="15" t="b">
        <v>1</v>
      </c>
      <c r="N791" s="20" t="s">
        <v>1191</v>
      </c>
      <c r="O791" s="23">
        <v>420000.0</v>
      </c>
      <c r="P791" s="35" t="b">
        <v>1</v>
      </c>
      <c r="Q791" s="23">
        <v>80000.0</v>
      </c>
      <c r="R791" s="15" t="b">
        <v>1</v>
      </c>
      <c r="S791" s="20" t="s">
        <v>1191</v>
      </c>
      <c r="T791" s="23">
        <v>420000.0</v>
      </c>
      <c r="U791" s="35" t="b">
        <v>1</v>
      </c>
      <c r="V791" s="23">
        <v>80000.0</v>
      </c>
      <c r="W791" s="15" t="b">
        <v>1</v>
      </c>
      <c r="X791" s="20" t="s">
        <v>1191</v>
      </c>
      <c r="Y791" s="23">
        <v>420000.0</v>
      </c>
      <c r="Z791" s="35" t="b">
        <v>1</v>
      </c>
      <c r="AA791" s="23">
        <v>80000.0</v>
      </c>
      <c r="AB791" s="15" t="b">
        <v>1</v>
      </c>
      <c r="AC791" s="20" t="s">
        <v>1191</v>
      </c>
      <c r="AD791" s="23">
        <v>420000.0</v>
      </c>
      <c r="AE791" s="35" t="b">
        <v>1</v>
      </c>
      <c r="AF791" s="23">
        <v>80000.0</v>
      </c>
      <c r="AG791" s="15" t="b">
        <v>1</v>
      </c>
      <c r="AH791" s="20" t="s">
        <v>1191</v>
      </c>
      <c r="AI791" s="23">
        <v>420000.0</v>
      </c>
      <c r="AJ791" s="35" t="b">
        <v>1</v>
      </c>
      <c r="AK791" s="23">
        <v>80000.0</v>
      </c>
      <c r="AL791" s="15" t="b">
        <v>1</v>
      </c>
      <c r="AM791" s="20" t="s">
        <v>1191</v>
      </c>
      <c r="AN791" s="23">
        <v>420000.0</v>
      </c>
      <c r="AO791" s="35" t="b">
        <v>1</v>
      </c>
      <c r="AP791" s="23">
        <v>80000.0</v>
      </c>
      <c r="AQ791" s="15" t="b">
        <v>1</v>
      </c>
      <c r="AR791" s="20" t="s">
        <v>1191</v>
      </c>
      <c r="AS791" s="23">
        <v>420000.0</v>
      </c>
      <c r="AT791" s="35" t="b">
        <v>1</v>
      </c>
      <c r="AU791" s="23">
        <v>80000.0</v>
      </c>
      <c r="AV791" s="15" t="b">
        <v>1</v>
      </c>
      <c r="AW791" s="20" t="s">
        <v>1191</v>
      </c>
      <c r="AX791" s="23">
        <v>420000.0</v>
      </c>
      <c r="AY791" s="35" t="b">
        <v>1</v>
      </c>
      <c r="AZ791" s="23">
        <v>80000.0</v>
      </c>
      <c r="BA791" s="15" t="b">
        <v>1</v>
      </c>
      <c r="BB791" s="20" t="s">
        <v>1191</v>
      </c>
      <c r="BC791" s="23">
        <v>420000.0</v>
      </c>
      <c r="BD791" s="35" t="b">
        <v>1</v>
      </c>
      <c r="BE791" s="23">
        <v>80000.0</v>
      </c>
      <c r="BF791" s="15" t="b">
        <v>1</v>
      </c>
      <c r="BG791" s="20" t="s">
        <v>1191</v>
      </c>
      <c r="BH791" s="23">
        <v>420000.0</v>
      </c>
      <c r="BI791" s="35" t="b">
        <v>1</v>
      </c>
      <c r="BJ791" s="23">
        <v>80000.0</v>
      </c>
      <c r="BK791" s="15" t="b">
        <v>1</v>
      </c>
      <c r="BL791" s="20" t="s">
        <v>1191</v>
      </c>
      <c r="BM791" s="23">
        <v>420000.0</v>
      </c>
      <c r="BN791" s="35" t="b">
        <v>0</v>
      </c>
      <c r="BO791" s="23">
        <v>80000.0</v>
      </c>
      <c r="BP791" s="15" t="b">
        <v>0</v>
      </c>
      <c r="BQ791" s="17" t="s">
        <v>321</v>
      </c>
      <c r="BR791" s="1"/>
      <c r="BS791" s="1"/>
      <c r="BT791" s="1"/>
      <c r="BU791" s="1"/>
    </row>
    <row r="792">
      <c r="A792" s="1"/>
      <c r="B792" s="27" t="s">
        <v>1180</v>
      </c>
      <c r="C792" s="11" t="s">
        <v>1192</v>
      </c>
      <c r="D792" s="20" t="s">
        <v>1193</v>
      </c>
      <c r="E792" s="23">
        <v>470000.0</v>
      </c>
      <c r="F792" s="35" t="b">
        <v>1</v>
      </c>
      <c r="G792" s="23">
        <v>80000.0</v>
      </c>
      <c r="H792" s="15" t="b">
        <v>1</v>
      </c>
      <c r="I792" s="20" t="s">
        <v>1193</v>
      </c>
      <c r="J792" s="23">
        <v>470000.0</v>
      </c>
      <c r="K792" s="35" t="b">
        <v>1</v>
      </c>
      <c r="L792" s="23">
        <v>80000.0</v>
      </c>
      <c r="M792" s="15" t="b">
        <v>1</v>
      </c>
      <c r="N792" s="20" t="s">
        <v>1193</v>
      </c>
      <c r="O792" s="23">
        <v>470000.0</v>
      </c>
      <c r="P792" s="35" t="b">
        <v>1</v>
      </c>
      <c r="Q792" s="23">
        <v>80000.0</v>
      </c>
      <c r="R792" s="15" t="b">
        <v>1</v>
      </c>
      <c r="S792" s="20" t="s">
        <v>1193</v>
      </c>
      <c r="T792" s="23">
        <v>470000.0</v>
      </c>
      <c r="U792" s="35" t="b">
        <v>1</v>
      </c>
      <c r="V792" s="23">
        <v>80000.0</v>
      </c>
      <c r="W792" s="15" t="b">
        <v>1</v>
      </c>
      <c r="X792" s="20" t="s">
        <v>1193</v>
      </c>
      <c r="Y792" s="23">
        <v>470000.0</v>
      </c>
      <c r="Z792" s="35" t="b">
        <v>1</v>
      </c>
      <c r="AA792" s="23">
        <v>80000.0</v>
      </c>
      <c r="AB792" s="15" t="b">
        <v>1</v>
      </c>
      <c r="AC792" s="20" t="s">
        <v>1193</v>
      </c>
      <c r="AD792" s="23">
        <v>470000.0</v>
      </c>
      <c r="AE792" s="35" t="b">
        <v>1</v>
      </c>
      <c r="AF792" s="23">
        <v>80000.0</v>
      </c>
      <c r="AG792" s="15" t="b">
        <v>1</v>
      </c>
      <c r="AH792" s="20" t="s">
        <v>1193</v>
      </c>
      <c r="AI792" s="23">
        <v>470000.0</v>
      </c>
      <c r="AJ792" s="35" t="b">
        <v>1</v>
      </c>
      <c r="AK792" s="23">
        <v>80000.0</v>
      </c>
      <c r="AL792" s="15" t="b">
        <v>1</v>
      </c>
      <c r="AM792" s="20" t="s">
        <v>1194</v>
      </c>
      <c r="AN792" s="23">
        <f>470000+13548</f>
        <v>483548</v>
      </c>
      <c r="AO792" s="35" t="b">
        <v>1</v>
      </c>
      <c r="AP792" s="23">
        <f t="shared" ref="AP792:AP793" si="41">80000+2581</f>
        <v>82581</v>
      </c>
      <c r="AQ792" s="15" t="b">
        <v>1</v>
      </c>
      <c r="AR792" s="20" t="s">
        <v>1195</v>
      </c>
      <c r="AS792" s="23">
        <v>420000.0</v>
      </c>
      <c r="AT792" s="35" t="b">
        <v>1</v>
      </c>
      <c r="AU792" s="23">
        <v>80000.0</v>
      </c>
      <c r="AV792" s="15" t="b">
        <v>1</v>
      </c>
      <c r="AW792" s="20" t="s">
        <v>1195</v>
      </c>
      <c r="AX792" s="23">
        <v>420000.0</v>
      </c>
      <c r="AY792" s="35" t="b">
        <v>1</v>
      </c>
      <c r="AZ792" s="23">
        <v>80000.0</v>
      </c>
      <c r="BA792" s="15" t="b">
        <v>1</v>
      </c>
      <c r="BB792" s="20" t="s">
        <v>1195</v>
      </c>
      <c r="BC792" s="23">
        <v>420000.0</v>
      </c>
      <c r="BD792" s="35" t="b">
        <v>1</v>
      </c>
      <c r="BE792" s="23">
        <v>80000.0</v>
      </c>
      <c r="BF792" s="15" t="b">
        <v>1</v>
      </c>
      <c r="BG792" s="20" t="s">
        <v>1195</v>
      </c>
      <c r="BH792" s="23">
        <v>420000.0</v>
      </c>
      <c r="BI792" s="35" t="b">
        <v>1</v>
      </c>
      <c r="BJ792" s="23">
        <v>80000.0</v>
      </c>
      <c r="BK792" s="15" t="b">
        <v>1</v>
      </c>
      <c r="BL792" s="20" t="s">
        <v>1195</v>
      </c>
      <c r="BM792" s="23">
        <v>420000.0</v>
      </c>
      <c r="BN792" s="35" t="b">
        <v>0</v>
      </c>
      <c r="BO792" s="23">
        <v>80000.0</v>
      </c>
      <c r="BP792" s="15" t="b">
        <v>0</v>
      </c>
      <c r="BQ792" s="17" t="s">
        <v>321</v>
      </c>
      <c r="BR792" s="1"/>
      <c r="BS792" s="1"/>
      <c r="BT792" s="1"/>
      <c r="BU792" s="1"/>
    </row>
    <row r="793">
      <c r="A793" s="1"/>
      <c r="B793" s="27" t="s">
        <v>1180</v>
      </c>
      <c r="C793" s="11" t="s">
        <v>1196</v>
      </c>
      <c r="D793" s="20" t="s">
        <v>1197</v>
      </c>
      <c r="E793" s="23">
        <v>400000.0</v>
      </c>
      <c r="F793" s="35" t="b">
        <v>1</v>
      </c>
      <c r="G793" s="23">
        <v>80000.0</v>
      </c>
      <c r="H793" s="15" t="b">
        <v>1</v>
      </c>
      <c r="I793" s="20" t="s">
        <v>1197</v>
      </c>
      <c r="J793" s="23">
        <v>400000.0</v>
      </c>
      <c r="K793" s="35" t="b">
        <v>1</v>
      </c>
      <c r="L793" s="23">
        <v>80000.0</v>
      </c>
      <c r="M793" s="15" t="b">
        <v>1</v>
      </c>
      <c r="N793" s="20" t="s">
        <v>1197</v>
      </c>
      <c r="O793" s="23">
        <v>400000.0</v>
      </c>
      <c r="P793" s="35" t="b">
        <v>1</v>
      </c>
      <c r="Q793" s="23">
        <v>80000.0</v>
      </c>
      <c r="R793" s="15" t="b">
        <v>1</v>
      </c>
      <c r="S793" s="20" t="s">
        <v>1198</v>
      </c>
      <c r="T793" s="23">
        <v>400000.0</v>
      </c>
      <c r="U793" s="35" t="b">
        <v>1</v>
      </c>
      <c r="V793" s="23">
        <v>80000.0</v>
      </c>
      <c r="W793" s="15" t="b">
        <v>1</v>
      </c>
      <c r="X793" s="20" t="s">
        <v>1199</v>
      </c>
      <c r="Y793" s="23">
        <v>400000.0</v>
      </c>
      <c r="Z793" s="35" t="b">
        <v>1</v>
      </c>
      <c r="AA793" s="23">
        <v>80000.0</v>
      </c>
      <c r="AB793" s="15" t="b">
        <v>1</v>
      </c>
      <c r="AC793" s="126" t="s">
        <v>1200</v>
      </c>
      <c r="AD793" s="23">
        <f>400000+300000</f>
        <v>700000</v>
      </c>
      <c r="AE793" s="35" t="b">
        <v>1</v>
      </c>
      <c r="AF793" s="23">
        <f>80000+53333</f>
        <v>133333</v>
      </c>
      <c r="AG793" s="15" t="b">
        <v>1</v>
      </c>
      <c r="AH793" s="20" t="s">
        <v>1201</v>
      </c>
      <c r="AI793" s="23">
        <v>450000.0</v>
      </c>
      <c r="AJ793" s="35" t="b">
        <v>1</v>
      </c>
      <c r="AK793" s="23">
        <v>80000.0</v>
      </c>
      <c r="AL793" s="15" t="b">
        <v>1</v>
      </c>
      <c r="AM793" s="20" t="s">
        <v>1202</v>
      </c>
      <c r="AN793" s="23">
        <f>450000+13548</f>
        <v>463548</v>
      </c>
      <c r="AO793" s="35" t="b">
        <v>1</v>
      </c>
      <c r="AP793" s="23">
        <f t="shared" si="41"/>
        <v>82581</v>
      </c>
      <c r="AQ793" s="15" t="b">
        <v>1</v>
      </c>
      <c r="AR793" s="20" t="s">
        <v>1203</v>
      </c>
      <c r="AS793" s="23">
        <v>420000.0</v>
      </c>
      <c r="AT793" s="35" t="b">
        <v>1</v>
      </c>
      <c r="AU793" s="23">
        <v>80000.0</v>
      </c>
      <c r="AV793" s="15" t="b">
        <v>1</v>
      </c>
      <c r="AW793" s="20" t="s">
        <v>1203</v>
      </c>
      <c r="AX793" s="23">
        <v>420000.0</v>
      </c>
      <c r="AY793" s="35" t="b">
        <v>1</v>
      </c>
      <c r="AZ793" s="23">
        <v>80000.0</v>
      </c>
      <c r="BA793" s="15" t="b">
        <v>1</v>
      </c>
      <c r="BB793" s="20" t="s">
        <v>1203</v>
      </c>
      <c r="BC793" s="23">
        <v>420000.0</v>
      </c>
      <c r="BD793" s="35" t="b">
        <v>1</v>
      </c>
      <c r="BE793" s="23">
        <v>80000.0</v>
      </c>
      <c r="BF793" s="15" t="b">
        <v>1</v>
      </c>
      <c r="BG793" s="20" t="s">
        <v>1203</v>
      </c>
      <c r="BH793" s="23">
        <v>420000.0</v>
      </c>
      <c r="BI793" s="35" t="b">
        <v>1</v>
      </c>
      <c r="BJ793" s="23">
        <v>80000.0</v>
      </c>
      <c r="BK793" s="15" t="b">
        <v>1</v>
      </c>
      <c r="BL793" s="20" t="s">
        <v>1203</v>
      </c>
      <c r="BM793" s="23">
        <v>420000.0</v>
      </c>
      <c r="BN793" s="35" t="b">
        <v>0</v>
      </c>
      <c r="BO793" s="23">
        <v>80000.0</v>
      </c>
      <c r="BP793" s="15" t="b">
        <v>0</v>
      </c>
      <c r="BQ793" s="17" t="s">
        <v>321</v>
      </c>
      <c r="BR793" s="1"/>
      <c r="BS793" s="1"/>
      <c r="BT793" s="1"/>
      <c r="BU793" s="1"/>
    </row>
    <row r="794">
      <c r="A794" s="1"/>
      <c r="B794" s="21"/>
      <c r="C794" s="11" t="s">
        <v>42</v>
      </c>
      <c r="D794" s="22"/>
      <c r="E794" s="23">
        <f>SUM(E789:E793)</f>
        <v>1803548</v>
      </c>
      <c r="F794" s="18"/>
      <c r="G794" s="23">
        <f>SUM(G789:G793)</f>
        <v>322581</v>
      </c>
      <c r="H794" s="19"/>
      <c r="I794" s="22"/>
      <c r="J794" s="23">
        <f>SUM(J789:J793)</f>
        <v>2325862</v>
      </c>
      <c r="K794" s="18"/>
      <c r="L794" s="23">
        <f>SUM(L789:L793)</f>
        <v>422069</v>
      </c>
      <c r="M794" s="19"/>
      <c r="N794" s="22"/>
      <c r="O794" s="23">
        <f>SUM(O789:O793)</f>
        <v>2210000</v>
      </c>
      <c r="P794" s="18"/>
      <c r="Q794" s="23">
        <f>SUM(Q789:Q793)</f>
        <v>400000</v>
      </c>
      <c r="R794" s="19"/>
      <c r="S794" s="22"/>
      <c r="T794" s="23">
        <f>SUM(T789:T793)</f>
        <v>2210000</v>
      </c>
      <c r="U794" s="18"/>
      <c r="V794" s="23">
        <f>SUM(V789:V793)</f>
        <v>400000</v>
      </c>
      <c r="W794" s="19"/>
      <c r="X794" s="18"/>
      <c r="Y794" s="23">
        <f>SUM(Y789:Y793)</f>
        <v>2210000</v>
      </c>
      <c r="Z794" s="18"/>
      <c r="AA794" s="23">
        <f>SUM(AA789:AA793)</f>
        <v>400000</v>
      </c>
      <c r="AB794" s="19"/>
      <c r="AC794" s="18"/>
      <c r="AD794" s="23">
        <f>SUM(AD789:AD793)</f>
        <v>2510000</v>
      </c>
      <c r="AE794" s="18"/>
      <c r="AF794" s="23">
        <f>SUM(AF789:AF793)</f>
        <v>453333</v>
      </c>
      <c r="AG794" s="19"/>
      <c r="AH794" s="18"/>
      <c r="AI794" s="23">
        <f>SUM(AI789:AI793)</f>
        <v>2260000</v>
      </c>
      <c r="AJ794" s="18"/>
      <c r="AK794" s="23">
        <f>SUM(AK789:AK793)</f>
        <v>400000</v>
      </c>
      <c r="AL794" s="19"/>
      <c r="AM794" s="18"/>
      <c r="AN794" s="23">
        <f>SUM(AN789:AN793)</f>
        <v>2306451</v>
      </c>
      <c r="AO794" s="18"/>
      <c r="AP794" s="23">
        <f>SUM(AP789:AP793)</f>
        <v>407743</v>
      </c>
      <c r="AQ794" s="19"/>
      <c r="AR794" s="22"/>
      <c r="AS794" s="23">
        <f>SUM(AS789:AS793)</f>
        <v>2280000</v>
      </c>
      <c r="AT794" s="18"/>
      <c r="AU794" s="23">
        <f>SUM(AU789:AU793)</f>
        <v>400000</v>
      </c>
      <c r="AV794" s="19"/>
      <c r="AW794" s="22"/>
      <c r="AX794" s="23">
        <f>SUM(AX789:AX793)</f>
        <v>2280000</v>
      </c>
      <c r="AY794" s="18"/>
      <c r="AZ794" s="23">
        <f>SUM(AZ789:AZ793)</f>
        <v>400000</v>
      </c>
      <c r="BA794" s="19"/>
      <c r="BB794" s="22"/>
      <c r="BC794" s="23">
        <f>SUM(BC789:BC793)</f>
        <v>2280000</v>
      </c>
      <c r="BD794" s="18"/>
      <c r="BE794" s="23">
        <f>SUM(BE789:BE793)</f>
        <v>400000</v>
      </c>
      <c r="BF794" s="19"/>
      <c r="BG794" s="22"/>
      <c r="BH794" s="23">
        <f>SUM(BH789:BH793)</f>
        <v>2280000</v>
      </c>
      <c r="BI794" s="18"/>
      <c r="BJ794" s="23">
        <f>SUM(BJ789:BJ793)</f>
        <v>400000</v>
      </c>
      <c r="BK794" s="19"/>
      <c r="BL794" s="22"/>
      <c r="BM794" s="23">
        <f>SUM(BM789:BM793)</f>
        <v>1680000</v>
      </c>
      <c r="BN794" s="18"/>
      <c r="BO794" s="23">
        <f>SUM(BO789:BO793)</f>
        <v>320000</v>
      </c>
      <c r="BP794" s="19"/>
      <c r="BQ794" s="17" t="s">
        <v>321</v>
      </c>
      <c r="BR794" s="1"/>
      <c r="BS794" s="1"/>
      <c r="BT794" s="1"/>
      <c r="BU794" s="1"/>
    </row>
    <row r="795">
      <c r="A795" s="1"/>
      <c r="B795" s="21"/>
      <c r="C795" s="11" t="s">
        <v>43</v>
      </c>
      <c r="D795" s="22"/>
      <c r="E795" s="23">
        <v>1050000.0</v>
      </c>
      <c r="F795" s="18"/>
      <c r="G795" s="18"/>
      <c r="H795" s="19"/>
      <c r="I795" s="22"/>
      <c r="J795" s="23">
        <v>1000000.0</v>
      </c>
      <c r="K795" s="18"/>
      <c r="L795" s="18"/>
      <c r="M795" s="24"/>
      <c r="N795" s="22"/>
      <c r="O795" s="23">
        <v>1000000.0</v>
      </c>
      <c r="P795" s="18"/>
      <c r="Q795" s="18"/>
      <c r="R795" s="24"/>
      <c r="S795" s="22"/>
      <c r="T795" s="23">
        <v>1000000.0</v>
      </c>
      <c r="U795" s="18"/>
      <c r="V795" s="18"/>
      <c r="W795" s="24"/>
      <c r="X795" s="18"/>
      <c r="Y795" s="23">
        <v>1000000.0</v>
      </c>
      <c r="Z795" s="18"/>
      <c r="AA795" s="18"/>
      <c r="AB795" s="24"/>
      <c r="AC795" s="18"/>
      <c r="AD795" s="23">
        <v>1000000.0</v>
      </c>
      <c r="AE795" s="18"/>
      <c r="AF795" s="18"/>
      <c r="AG795" s="24"/>
      <c r="AH795" s="18"/>
      <c r="AI795" s="23">
        <v>1000000.0</v>
      </c>
      <c r="AJ795" s="18"/>
      <c r="AK795" s="18"/>
      <c r="AL795" s="24"/>
      <c r="AM795" s="18"/>
      <c r="AN795" s="23">
        <v>1000000.0</v>
      </c>
      <c r="AO795" s="18"/>
      <c r="AP795" s="18"/>
      <c r="AQ795" s="24"/>
      <c r="AR795" s="22"/>
      <c r="AS795" s="23">
        <v>1000000.0</v>
      </c>
      <c r="AT795" s="18"/>
      <c r="AU795" s="18"/>
      <c r="AV795" s="24"/>
      <c r="AW795" s="22"/>
      <c r="AX795" s="23">
        <v>1000000.0</v>
      </c>
      <c r="AY795" s="18"/>
      <c r="AZ795" s="18"/>
      <c r="BA795" s="24"/>
      <c r="BB795" s="22"/>
      <c r="BC795" s="23">
        <v>1000000.0</v>
      </c>
      <c r="BD795" s="18"/>
      <c r="BE795" s="18"/>
      <c r="BF795" s="24"/>
      <c r="BG795" s="22"/>
      <c r="BH795" s="23">
        <v>1000000.0</v>
      </c>
      <c r="BI795" s="18"/>
      <c r="BJ795" s="18"/>
      <c r="BK795" s="19"/>
      <c r="BL795" s="22"/>
      <c r="BM795" s="23">
        <v>1000000.0</v>
      </c>
      <c r="BN795" s="18"/>
      <c r="BO795" s="18"/>
      <c r="BP795" s="19"/>
      <c r="BQ795" s="17" t="s">
        <v>321</v>
      </c>
      <c r="BR795" s="1"/>
      <c r="BS795" s="1"/>
      <c r="BT795" s="1"/>
      <c r="BU795" s="1"/>
    </row>
    <row r="796">
      <c r="A796" s="1"/>
      <c r="B796" s="10" t="s">
        <v>1038</v>
      </c>
      <c r="C796" s="11" t="s">
        <v>45</v>
      </c>
      <c r="D796" s="22"/>
      <c r="E796" s="18"/>
      <c r="F796" s="18"/>
      <c r="G796" s="23" t="s">
        <v>677</v>
      </c>
      <c r="H796" s="19"/>
      <c r="I796" s="22"/>
      <c r="J796" s="18"/>
      <c r="K796" s="18"/>
      <c r="L796" s="23" t="s">
        <v>677</v>
      </c>
      <c r="M796" s="98" t="s">
        <v>677</v>
      </c>
      <c r="N796" s="26" t="s">
        <v>677</v>
      </c>
      <c r="O796" s="23" t="s">
        <v>677</v>
      </c>
      <c r="P796" s="61" t="s">
        <v>677</v>
      </c>
      <c r="Q796" s="23" t="s">
        <v>677</v>
      </c>
      <c r="R796" s="98" t="s">
        <v>677</v>
      </c>
      <c r="S796" s="26" t="s">
        <v>677</v>
      </c>
      <c r="T796" s="23" t="s">
        <v>677</v>
      </c>
      <c r="U796" s="61" t="s">
        <v>677</v>
      </c>
      <c r="V796" s="23" t="s">
        <v>677</v>
      </c>
      <c r="W796" s="98" t="s">
        <v>677</v>
      </c>
      <c r="X796" s="20" t="s">
        <v>677</v>
      </c>
      <c r="Y796" s="23" t="s">
        <v>677</v>
      </c>
      <c r="Z796" s="61" t="s">
        <v>677</v>
      </c>
      <c r="AA796" s="23" t="s">
        <v>677</v>
      </c>
      <c r="AB796" s="98" t="s">
        <v>677</v>
      </c>
      <c r="AC796" s="20" t="s">
        <v>677</v>
      </c>
      <c r="AD796" s="23" t="s">
        <v>677</v>
      </c>
      <c r="AE796" s="61" t="s">
        <v>677</v>
      </c>
      <c r="AF796" s="23" t="s">
        <v>677</v>
      </c>
      <c r="AG796" s="98" t="s">
        <v>677</v>
      </c>
      <c r="AH796" s="20" t="s">
        <v>677</v>
      </c>
      <c r="AI796" s="23" t="s">
        <v>677</v>
      </c>
      <c r="AJ796" s="61" t="s">
        <v>677</v>
      </c>
      <c r="AK796" s="23" t="s">
        <v>677</v>
      </c>
      <c r="AL796" s="98" t="s">
        <v>677</v>
      </c>
      <c r="AM796" s="20" t="s">
        <v>677</v>
      </c>
      <c r="AN796" s="23" t="s">
        <v>677</v>
      </c>
      <c r="AO796" s="61" t="s">
        <v>677</v>
      </c>
      <c r="AP796" s="23" t="s">
        <v>677</v>
      </c>
      <c r="AQ796" s="98" t="s">
        <v>677</v>
      </c>
      <c r="AR796" s="26" t="s">
        <v>677</v>
      </c>
      <c r="AS796" s="23" t="s">
        <v>677</v>
      </c>
      <c r="AT796" s="61" t="s">
        <v>677</v>
      </c>
      <c r="AU796" s="23" t="s">
        <v>677</v>
      </c>
      <c r="AV796" s="98" t="s">
        <v>677</v>
      </c>
      <c r="AW796" s="26" t="s">
        <v>677</v>
      </c>
      <c r="AX796" s="23" t="s">
        <v>677</v>
      </c>
      <c r="AY796" s="61" t="s">
        <v>677</v>
      </c>
      <c r="AZ796" s="23" t="s">
        <v>677</v>
      </c>
      <c r="BA796" s="98" t="s">
        <v>677</v>
      </c>
      <c r="BB796" s="26" t="s">
        <v>677</v>
      </c>
      <c r="BC796" s="23" t="s">
        <v>677</v>
      </c>
      <c r="BD796" s="61" t="s">
        <v>677</v>
      </c>
      <c r="BE796" s="23" t="s">
        <v>677</v>
      </c>
      <c r="BF796" s="98" t="s">
        <v>677</v>
      </c>
      <c r="BG796" s="26" t="s">
        <v>677</v>
      </c>
      <c r="BH796" s="23" t="s">
        <v>677</v>
      </c>
      <c r="BI796" s="61" t="s">
        <v>677</v>
      </c>
      <c r="BJ796" s="23" t="s">
        <v>677</v>
      </c>
      <c r="BK796" s="19"/>
      <c r="BL796" s="26" t="s">
        <v>677</v>
      </c>
      <c r="BM796" s="23" t="s">
        <v>677</v>
      </c>
      <c r="BN796" s="61" t="s">
        <v>677</v>
      </c>
      <c r="BO796" s="23" t="s">
        <v>677</v>
      </c>
      <c r="BP796" s="19"/>
      <c r="BQ796" s="17" t="s">
        <v>321</v>
      </c>
      <c r="BR796" s="1"/>
      <c r="BS796" s="1"/>
      <c r="BT796" s="1"/>
      <c r="BU796" s="1"/>
    </row>
    <row r="797">
      <c r="A797" s="1"/>
      <c r="B797" s="10" t="s">
        <v>1204</v>
      </c>
      <c r="C797" s="11" t="s">
        <v>47</v>
      </c>
      <c r="D797" s="22"/>
      <c r="E797" s="18"/>
      <c r="F797" s="18"/>
      <c r="G797" s="20" t="s">
        <v>1121</v>
      </c>
      <c r="H797" s="19"/>
      <c r="I797" s="22"/>
      <c r="J797" s="18"/>
      <c r="K797" s="18"/>
      <c r="L797" s="18"/>
      <c r="M797" s="19"/>
      <c r="N797" s="22"/>
      <c r="O797" s="18"/>
      <c r="P797" s="18"/>
      <c r="Q797" s="18"/>
      <c r="R797" s="19"/>
      <c r="S797" s="22"/>
      <c r="T797" s="18"/>
      <c r="U797" s="18"/>
      <c r="V797" s="18"/>
      <c r="W797" s="19"/>
      <c r="X797" s="18"/>
      <c r="Y797" s="18"/>
      <c r="Z797" s="18"/>
      <c r="AA797" s="18"/>
      <c r="AB797" s="19"/>
      <c r="AC797" s="18"/>
      <c r="AD797" s="18"/>
      <c r="AE797" s="18"/>
      <c r="AF797" s="18"/>
      <c r="AG797" s="19"/>
      <c r="AH797" s="18"/>
      <c r="AI797" s="18"/>
      <c r="AJ797" s="18"/>
      <c r="AK797" s="18"/>
      <c r="AL797" s="19"/>
      <c r="AM797" s="18"/>
      <c r="AN797" s="18"/>
      <c r="AO797" s="18"/>
      <c r="AP797" s="18"/>
      <c r="AQ797" s="19"/>
      <c r="AR797" s="22"/>
      <c r="AS797" s="18"/>
      <c r="AT797" s="18"/>
      <c r="AU797" s="18"/>
      <c r="AV797" s="19"/>
      <c r="AW797" s="22"/>
      <c r="AX797" s="18"/>
      <c r="AY797" s="18"/>
      <c r="AZ797" s="18"/>
      <c r="BA797" s="19"/>
      <c r="BB797" s="22"/>
      <c r="BC797" s="18"/>
      <c r="BD797" s="18"/>
      <c r="BE797" s="18"/>
      <c r="BF797" s="19"/>
      <c r="BG797" s="22"/>
      <c r="BH797" s="18"/>
      <c r="BI797" s="18"/>
      <c r="BJ797" s="18"/>
      <c r="BK797" s="19"/>
      <c r="BL797" s="22"/>
      <c r="BM797" s="18"/>
      <c r="BN797" s="18"/>
      <c r="BO797" s="18"/>
      <c r="BP797" s="19"/>
      <c r="BQ797" s="17" t="s">
        <v>321</v>
      </c>
      <c r="BR797" s="1"/>
      <c r="BS797" s="1"/>
      <c r="BT797" s="1"/>
      <c r="BU797" s="1"/>
    </row>
    <row r="798">
      <c r="A798" s="1"/>
      <c r="B798" s="10" t="s">
        <v>1205</v>
      </c>
      <c r="C798" s="11" t="s">
        <v>49</v>
      </c>
      <c r="D798" s="22"/>
      <c r="E798" s="18"/>
      <c r="F798" s="18"/>
      <c r="G798" s="20" t="s">
        <v>1121</v>
      </c>
      <c r="H798" s="19"/>
      <c r="I798" s="22"/>
      <c r="J798" s="18"/>
      <c r="K798" s="18"/>
      <c r="L798" s="23">
        <v>304420.0</v>
      </c>
      <c r="M798" s="19"/>
      <c r="N798" s="22"/>
      <c r="O798" s="18"/>
      <c r="P798" s="18"/>
      <c r="Q798" s="23">
        <v>193950.0</v>
      </c>
      <c r="R798" s="19"/>
      <c r="S798" s="22"/>
      <c r="T798" s="18"/>
      <c r="U798" s="18"/>
      <c r="V798" s="23">
        <v>113950.0</v>
      </c>
      <c r="W798" s="19"/>
      <c r="X798" s="18"/>
      <c r="Y798" s="18"/>
      <c r="Z798" s="18"/>
      <c r="AA798" s="23">
        <v>44260.0</v>
      </c>
      <c r="AB798" s="19"/>
      <c r="AC798" s="18"/>
      <c r="AD798" s="18"/>
      <c r="AE798" s="18"/>
      <c r="AF798" s="23">
        <v>22760.0</v>
      </c>
      <c r="AG798" s="19"/>
      <c r="AH798" s="18"/>
      <c r="AI798" s="18"/>
      <c r="AJ798" s="18"/>
      <c r="AK798" s="23">
        <v>24780.0</v>
      </c>
      <c r="AL798" s="19"/>
      <c r="AM798" s="18"/>
      <c r="AN798" s="18"/>
      <c r="AO798" s="18"/>
      <c r="AP798" s="23">
        <v>23500.0</v>
      </c>
      <c r="AQ798" s="19"/>
      <c r="AR798" s="22"/>
      <c r="AS798" s="18"/>
      <c r="AT798" s="18"/>
      <c r="AU798" s="23">
        <v>20160.0</v>
      </c>
      <c r="AV798" s="19"/>
      <c r="AW798" s="22"/>
      <c r="AX798" s="18"/>
      <c r="AY798" s="18"/>
      <c r="AZ798" s="23">
        <v>24300.0</v>
      </c>
      <c r="BA798" s="19"/>
      <c r="BB798" s="22"/>
      <c r="BC798" s="18"/>
      <c r="BD798" s="18"/>
      <c r="BE798" s="23">
        <v>72280.0</v>
      </c>
      <c r="BF798" s="19"/>
      <c r="BG798" s="22"/>
      <c r="BH798" s="18"/>
      <c r="BI798" s="18"/>
      <c r="BJ798" s="23">
        <v>257410.0</v>
      </c>
      <c r="BK798" s="19"/>
      <c r="BL798" s="22"/>
      <c r="BM798" s="18"/>
      <c r="BN798" s="18"/>
      <c r="BO798" s="18"/>
      <c r="BP798" s="19"/>
      <c r="BQ798" s="17" t="s">
        <v>321</v>
      </c>
      <c r="BR798" s="1"/>
      <c r="BS798" s="1"/>
      <c r="BT798" s="1"/>
      <c r="BU798" s="1"/>
    </row>
    <row r="799">
      <c r="A799" s="1"/>
      <c r="B799" s="10" t="s">
        <v>1038</v>
      </c>
      <c r="C799" s="11" t="s">
        <v>51</v>
      </c>
      <c r="D799" s="22"/>
      <c r="E799" s="18"/>
      <c r="F799" s="18"/>
      <c r="G799" s="23" t="s">
        <v>677</v>
      </c>
      <c r="H799" s="19"/>
      <c r="I799" s="22"/>
      <c r="J799" s="18"/>
      <c r="K799" s="18"/>
      <c r="L799" s="18"/>
      <c r="M799" s="19"/>
      <c r="N799" s="22"/>
      <c r="O799" s="18"/>
      <c r="P799" s="18"/>
      <c r="Q799" s="18"/>
      <c r="R799" s="19"/>
      <c r="S799" s="22"/>
      <c r="T799" s="18"/>
      <c r="U799" s="18"/>
      <c r="V799" s="18"/>
      <c r="W799" s="19"/>
      <c r="X799" s="18"/>
      <c r="Y799" s="18"/>
      <c r="Z799" s="18"/>
      <c r="AA799" s="18"/>
      <c r="AB799" s="19"/>
      <c r="AC799" s="18"/>
      <c r="AD799" s="18"/>
      <c r="AE799" s="18"/>
      <c r="AF799" s="18"/>
      <c r="AG799" s="19"/>
      <c r="AH799" s="18"/>
      <c r="AI799" s="18"/>
      <c r="AJ799" s="18"/>
      <c r="AK799" s="18"/>
      <c r="AL799" s="19"/>
      <c r="AM799" s="18"/>
      <c r="AN799" s="18"/>
      <c r="AO799" s="18"/>
      <c r="AP799" s="18"/>
      <c r="AQ799" s="19"/>
      <c r="AR799" s="22"/>
      <c r="AS799" s="18"/>
      <c r="AT799" s="18"/>
      <c r="AU799" s="18"/>
      <c r="AV799" s="19"/>
      <c r="AW799" s="22"/>
      <c r="AX799" s="18"/>
      <c r="AY799" s="18"/>
      <c r="AZ799" s="18"/>
      <c r="BA799" s="19"/>
      <c r="BB799" s="22"/>
      <c r="BC799" s="18"/>
      <c r="BD799" s="18"/>
      <c r="BE799" s="18"/>
      <c r="BF799" s="19"/>
      <c r="BG799" s="22"/>
      <c r="BH799" s="18"/>
      <c r="BI799" s="18"/>
      <c r="BJ799" s="18"/>
      <c r="BK799" s="19"/>
      <c r="BL799" s="22"/>
      <c r="BM799" s="18"/>
      <c r="BN799" s="18"/>
      <c r="BO799" s="18"/>
      <c r="BP799" s="19"/>
      <c r="BQ799" s="17" t="s">
        <v>321</v>
      </c>
      <c r="BR799" s="1"/>
      <c r="BS799" s="1"/>
      <c r="BT799" s="1"/>
      <c r="BU799" s="1"/>
    </row>
    <row r="800">
      <c r="A800" s="1"/>
      <c r="B800" s="21"/>
      <c r="C800" s="11" t="s">
        <v>52</v>
      </c>
      <c r="D800" s="22"/>
      <c r="E800" s="18"/>
      <c r="F800" s="18"/>
      <c r="G800" s="23" t="s">
        <v>1206</v>
      </c>
      <c r="H800" s="19"/>
      <c r="I800" s="22"/>
      <c r="J800" s="18"/>
      <c r="K800" s="18"/>
      <c r="L800" s="18"/>
      <c r="M800" s="19"/>
      <c r="N800" s="22"/>
      <c r="O800" s="18"/>
      <c r="P800" s="18"/>
      <c r="Q800" s="18"/>
      <c r="R800" s="19"/>
      <c r="S800" s="22"/>
      <c r="T800" s="18"/>
      <c r="U800" s="18"/>
      <c r="V800" s="18"/>
      <c r="W800" s="19"/>
      <c r="X800" s="18"/>
      <c r="Y800" s="18"/>
      <c r="Z800" s="18"/>
      <c r="AA800" s="18"/>
      <c r="AB800" s="19"/>
      <c r="AC800" s="18"/>
      <c r="AD800" s="18"/>
      <c r="AE800" s="18"/>
      <c r="AF800" s="18"/>
      <c r="AG800" s="19"/>
      <c r="AH800" s="18"/>
      <c r="AI800" s="18"/>
      <c r="AJ800" s="18"/>
      <c r="AK800" s="18"/>
      <c r="AL800" s="19"/>
      <c r="AM800" s="18"/>
      <c r="AN800" s="18"/>
      <c r="AO800" s="18"/>
      <c r="AP800" s="18"/>
      <c r="AQ800" s="19"/>
      <c r="AR800" s="22"/>
      <c r="AS800" s="18"/>
      <c r="AT800" s="18"/>
      <c r="AU800" s="18"/>
      <c r="AV800" s="19"/>
      <c r="AW800" s="22"/>
      <c r="AX800" s="18"/>
      <c r="AY800" s="18"/>
      <c r="AZ800" s="18"/>
      <c r="BA800" s="19"/>
      <c r="BB800" s="22"/>
      <c r="BC800" s="18"/>
      <c r="BD800" s="18"/>
      <c r="BE800" s="18"/>
      <c r="BF800" s="19"/>
      <c r="BG800" s="22"/>
      <c r="BH800" s="18"/>
      <c r="BI800" s="18"/>
      <c r="BJ800" s="18"/>
      <c r="BK800" s="19"/>
      <c r="BL800" s="22"/>
      <c r="BM800" s="18"/>
      <c r="BN800" s="18"/>
      <c r="BO800" s="18"/>
      <c r="BP800" s="19"/>
      <c r="BQ800" s="17" t="s">
        <v>321</v>
      </c>
      <c r="BR800" s="1"/>
      <c r="BS800" s="1"/>
      <c r="BT800" s="1"/>
      <c r="BU800" s="1"/>
    </row>
    <row r="801">
      <c r="A801" s="1"/>
      <c r="B801" s="21"/>
      <c r="C801" s="11" t="s">
        <v>53</v>
      </c>
      <c r="D801" s="22"/>
      <c r="E801" s="18"/>
      <c r="F801" s="18"/>
      <c r="G801" s="23" t="s">
        <v>1206</v>
      </c>
      <c r="H801" s="19"/>
      <c r="I801" s="22"/>
      <c r="J801" s="18"/>
      <c r="K801" s="18"/>
      <c r="L801" s="18"/>
      <c r="M801" s="19"/>
      <c r="N801" s="22"/>
      <c r="O801" s="18"/>
      <c r="P801" s="18"/>
      <c r="Q801" s="18"/>
      <c r="R801" s="19"/>
      <c r="S801" s="22"/>
      <c r="T801" s="18"/>
      <c r="U801" s="18"/>
      <c r="V801" s="18"/>
      <c r="W801" s="19"/>
      <c r="X801" s="18"/>
      <c r="Y801" s="18"/>
      <c r="Z801" s="18"/>
      <c r="AA801" s="18"/>
      <c r="AB801" s="19"/>
      <c r="AC801" s="18"/>
      <c r="AD801" s="18"/>
      <c r="AE801" s="18"/>
      <c r="AF801" s="18"/>
      <c r="AG801" s="19"/>
      <c r="AH801" s="18"/>
      <c r="AI801" s="18"/>
      <c r="AJ801" s="18"/>
      <c r="AK801" s="18"/>
      <c r="AL801" s="19"/>
      <c r="AM801" s="18"/>
      <c r="AN801" s="18"/>
      <c r="AO801" s="18"/>
      <c r="AP801" s="18"/>
      <c r="AQ801" s="19"/>
      <c r="AR801" s="22"/>
      <c r="AS801" s="18"/>
      <c r="AT801" s="18"/>
      <c r="AU801" s="18"/>
      <c r="AV801" s="19"/>
      <c r="AW801" s="22"/>
      <c r="AX801" s="18"/>
      <c r="AY801" s="18"/>
      <c r="AZ801" s="18"/>
      <c r="BA801" s="19"/>
      <c r="BB801" s="22"/>
      <c r="BC801" s="18"/>
      <c r="BD801" s="18"/>
      <c r="BE801" s="18"/>
      <c r="BF801" s="19"/>
      <c r="BG801" s="22"/>
      <c r="BH801" s="18"/>
      <c r="BI801" s="18"/>
      <c r="BJ801" s="18"/>
      <c r="BK801" s="19"/>
      <c r="BL801" s="22"/>
      <c r="BM801" s="18"/>
      <c r="BN801" s="18"/>
      <c r="BO801" s="18"/>
      <c r="BP801" s="19"/>
      <c r="BQ801" s="17" t="s">
        <v>321</v>
      </c>
      <c r="BR801" s="1"/>
      <c r="BS801" s="1"/>
      <c r="BT801" s="1"/>
      <c r="BU801" s="1"/>
    </row>
    <row r="802">
      <c r="A802" s="1"/>
      <c r="B802" s="21"/>
      <c r="C802" s="11" t="s">
        <v>54</v>
      </c>
      <c r="D802" s="22"/>
      <c r="E802" s="18"/>
      <c r="F802" s="18"/>
      <c r="G802" s="23">
        <f>SUMIFS('지출'!$G$3:$G1000,'지출'!$J$3:$J1000,G$1,'지출'!$C$3:$C1000,"동동")</f>
        <v>86930</v>
      </c>
      <c r="H802" s="19"/>
      <c r="I802" s="22"/>
      <c r="J802" s="18"/>
      <c r="K802" s="18"/>
      <c r="L802" s="23">
        <f>SUMIFS('지출'!$G$3:$G1000,'지출'!$J$3:$J1000,L$1,'지출'!$C$3:$C1000,"동동")</f>
        <v>10340</v>
      </c>
      <c r="M802" s="24"/>
      <c r="N802" s="18"/>
      <c r="O802" s="18"/>
      <c r="P802" s="18"/>
      <c r="Q802" s="23">
        <f>SUMIFS('지출'!$G$3:$G1000,'지출'!$J$3:$J1000,Q$1,'지출'!$C$3:$C1000,"동동")</f>
        <v>88490</v>
      </c>
      <c r="R802" s="24"/>
      <c r="S802" s="18"/>
      <c r="T802" s="18"/>
      <c r="U802" s="18"/>
      <c r="V802" s="23">
        <f>SUMIFS('지출'!$G$3:$G1000,'지출'!$J$3:$J1000,V$1,'지출'!$C$3:$C1000,"동동")</f>
        <v>0</v>
      </c>
      <c r="W802" s="24"/>
      <c r="X802" s="18"/>
      <c r="Y802" s="18"/>
      <c r="Z802" s="18"/>
      <c r="AA802" s="23">
        <f>SUMIFS('지출'!$G$3:$G1000,'지출'!$J$3:$J1000,AA$1,'지출'!$C$3:$C1000,"동동")</f>
        <v>0</v>
      </c>
      <c r="AB802" s="24"/>
      <c r="AC802" s="18"/>
      <c r="AD802" s="18"/>
      <c r="AE802" s="18"/>
      <c r="AF802" s="23">
        <f>SUMIFS('지출'!$G$3:$G1000,'지출'!$J$3:$J1000,AF$1,'지출'!$C$3:$C1000,"동동")</f>
        <v>0</v>
      </c>
      <c r="AG802" s="24"/>
      <c r="AH802" s="18"/>
      <c r="AI802" s="18"/>
      <c r="AJ802" s="18"/>
      <c r="AK802" s="23">
        <f>SUMIFS('지출'!$G$3:$G1000,'지출'!$J$3:$J1000,AK$1,'지출'!$C$3:$C1000,"동동")</f>
        <v>0</v>
      </c>
      <c r="AL802" s="24"/>
      <c r="AM802" s="18"/>
      <c r="AN802" s="18"/>
      <c r="AO802" s="18"/>
      <c r="AP802" s="23">
        <f>SUMIFS('지출'!$G$3:$G1000,'지출'!$J$3:$J1000,AP$1,'지출'!$C$3:$C1000,"동동")</f>
        <v>0</v>
      </c>
      <c r="AQ802" s="24"/>
      <c r="AR802" s="18"/>
      <c r="AS802" s="18"/>
      <c r="AT802" s="18"/>
      <c r="AU802" s="23">
        <f>SUMIFS('지출'!$G$3:$G1000,'지출'!$J$3:$J1000,AU$1,'지출'!$C$3:$C1000,"동동")</f>
        <v>0</v>
      </c>
      <c r="AV802" s="24"/>
      <c r="AW802" s="18"/>
      <c r="AX802" s="18"/>
      <c r="AY802" s="18"/>
      <c r="AZ802" s="23">
        <f>SUMIFS('지출'!$G$3:$G1000,'지출'!$J$3:$J1000,AZ$1,'지출'!$C$3:$C1000,"동동")</f>
        <v>0</v>
      </c>
      <c r="BA802" s="24"/>
      <c r="BB802" s="18"/>
      <c r="BC802" s="18"/>
      <c r="BD802" s="18"/>
      <c r="BE802" s="23">
        <f>SUMIFS('지출'!$G$3:$G1000,'지출'!$J$3:$J1000,BE$1,'지출'!$C$3:$C1000,"동동")</f>
        <v>0</v>
      </c>
      <c r="BF802" s="24"/>
      <c r="BG802" s="18"/>
      <c r="BH802" s="18"/>
      <c r="BI802" s="18"/>
      <c r="BJ802" s="23">
        <f>SUMIFS('지출'!$G$3:$G1000,'지출'!$J$3:$J1000,BJ$1,'지출'!$C$3:$C1000,"동동")</f>
        <v>0</v>
      </c>
      <c r="BK802" s="19"/>
      <c r="BL802" s="18"/>
      <c r="BM802" s="18"/>
      <c r="BN802" s="18"/>
      <c r="BO802" s="23">
        <f>SUMIFS('지출'!$G$3:$G1000,'지출'!$J$3:$J1000,BO$1,'지출'!$C$3:$C1000,"동동")</f>
        <v>86930</v>
      </c>
      <c r="BP802" s="19"/>
      <c r="BQ802" s="17" t="s">
        <v>321</v>
      </c>
      <c r="BR802" s="1"/>
      <c r="BS802" s="1"/>
      <c r="BT802" s="1"/>
      <c r="BU802" s="1"/>
    </row>
    <row r="803">
      <c r="A803" s="1"/>
      <c r="B803" s="21"/>
      <c r="C803" s="11" t="s">
        <v>56</v>
      </c>
      <c r="D803" s="22"/>
      <c r="E803" s="23">
        <f>E794-(SUM(E795:E802))</f>
        <v>753548</v>
      </c>
      <c r="F803" s="18"/>
      <c r="G803" s="23">
        <f>G794-(SUM(G795:G802))</f>
        <v>235651</v>
      </c>
      <c r="H803" s="19"/>
      <c r="I803" s="22"/>
      <c r="J803" s="23">
        <f>J794-(SUM(J795:J802))</f>
        <v>1325862</v>
      </c>
      <c r="K803" s="18"/>
      <c r="L803" s="23">
        <f>L794-(SUM(L795:L802))</f>
        <v>107309</v>
      </c>
      <c r="M803" s="19"/>
      <c r="N803" s="22"/>
      <c r="O803" s="23">
        <f>O794-(SUM(O795:O802))</f>
        <v>1210000</v>
      </c>
      <c r="P803" s="18"/>
      <c r="Q803" s="23">
        <f>Q794-(SUM(Q795:Q802))</f>
        <v>117560</v>
      </c>
      <c r="R803" s="19"/>
      <c r="S803" s="22"/>
      <c r="T803" s="23">
        <f>T794-(SUM(T795:T802))</f>
        <v>1210000</v>
      </c>
      <c r="U803" s="18"/>
      <c r="V803" s="23">
        <f>V794-(SUM(V795:V802))</f>
        <v>286050</v>
      </c>
      <c r="W803" s="19"/>
      <c r="X803" s="18"/>
      <c r="Y803" s="23">
        <f>Y794-(SUM(Y795:Y802))</f>
        <v>1210000</v>
      </c>
      <c r="Z803" s="18"/>
      <c r="AA803" s="23">
        <f>AA794-(SUM(AA795:AA802))</f>
        <v>355740</v>
      </c>
      <c r="AB803" s="19"/>
      <c r="AC803" s="18"/>
      <c r="AD803" s="23">
        <f>AD794-(SUM(AD795:AD802))</f>
        <v>1510000</v>
      </c>
      <c r="AE803" s="18"/>
      <c r="AF803" s="23">
        <f>AF794-(SUM(AF795:AF802))</f>
        <v>430573</v>
      </c>
      <c r="AG803" s="19"/>
      <c r="AH803" s="18"/>
      <c r="AI803" s="23">
        <f>AI794-(SUM(AI795:AI802))</f>
        <v>1260000</v>
      </c>
      <c r="AJ803" s="18"/>
      <c r="AK803" s="23">
        <f>AK794-(SUM(AK795:AK802))</f>
        <v>375220</v>
      </c>
      <c r="AL803" s="19"/>
      <c r="AM803" s="18"/>
      <c r="AN803" s="23">
        <f>AN794-(SUM(AN795:AN802))</f>
        <v>1306451</v>
      </c>
      <c r="AO803" s="18"/>
      <c r="AP803" s="23">
        <f>AP794-(SUM(AP795:AP802))</f>
        <v>384243</v>
      </c>
      <c r="AQ803" s="19"/>
      <c r="AR803" s="22"/>
      <c r="AS803" s="23">
        <f>AS794-(SUM(AS795:AS802))</f>
        <v>1280000</v>
      </c>
      <c r="AT803" s="18"/>
      <c r="AU803" s="23">
        <f>AU794-(SUM(AU795:AU802))</f>
        <v>379840</v>
      </c>
      <c r="AV803" s="19"/>
      <c r="AW803" s="22"/>
      <c r="AX803" s="23">
        <f>AX794-(SUM(AX795:AX802))</f>
        <v>1280000</v>
      </c>
      <c r="AY803" s="18"/>
      <c r="AZ803" s="23">
        <f>AZ794-(SUM(AZ795:AZ802))</f>
        <v>375700</v>
      </c>
      <c r="BA803" s="19"/>
      <c r="BB803" s="22"/>
      <c r="BC803" s="23">
        <f>BC794-(SUM(BC795:BC802))</f>
        <v>1280000</v>
      </c>
      <c r="BD803" s="18"/>
      <c r="BE803" s="23">
        <f>BE794-(SUM(BE795:BE802))</f>
        <v>327720</v>
      </c>
      <c r="BF803" s="19"/>
      <c r="BG803" s="22"/>
      <c r="BH803" s="23">
        <f>BH794-(SUM(BH795:BH802))</f>
        <v>1280000</v>
      </c>
      <c r="BI803" s="18"/>
      <c r="BJ803" s="23">
        <f>BJ794-(SUM(BJ795:BJ802))</f>
        <v>142590</v>
      </c>
      <c r="BK803" s="19"/>
      <c r="BL803" s="22"/>
      <c r="BM803" s="23">
        <f>BM794-(SUM(BM795:BM802))</f>
        <v>680000</v>
      </c>
      <c r="BN803" s="18"/>
      <c r="BO803" s="23">
        <f>BO794-(SUM(BO795:BO802))</f>
        <v>233070</v>
      </c>
      <c r="BP803" s="19"/>
      <c r="BQ803" s="17" t="s">
        <v>321</v>
      </c>
      <c r="BR803" s="1"/>
      <c r="BS803" s="1"/>
      <c r="BT803" s="1"/>
      <c r="BU803" s="1"/>
    </row>
    <row r="804">
      <c r="A804" s="1"/>
      <c r="B804" s="27">
        <v>0.5</v>
      </c>
      <c r="C804" s="11" t="s">
        <v>26</v>
      </c>
      <c r="D804" s="22"/>
      <c r="E804" s="23">
        <f>E803*$B804</f>
        <v>376774</v>
      </c>
      <c r="F804" s="18"/>
      <c r="G804" s="18"/>
      <c r="H804" s="19"/>
      <c r="I804" s="22"/>
      <c r="J804" s="23">
        <f>J803*$B804</f>
        <v>662931</v>
      </c>
      <c r="K804" s="18"/>
      <c r="L804" s="18"/>
      <c r="M804" s="19"/>
      <c r="N804" s="22"/>
      <c r="O804" s="23">
        <f>O803*$B804</f>
        <v>605000</v>
      </c>
      <c r="P804" s="18"/>
      <c r="Q804" s="18"/>
      <c r="R804" s="19"/>
      <c r="S804" s="22"/>
      <c r="T804" s="23">
        <f>T803*$B804</f>
        <v>605000</v>
      </c>
      <c r="U804" s="18"/>
      <c r="V804" s="18"/>
      <c r="W804" s="19"/>
      <c r="X804" s="18"/>
      <c r="Y804" s="23">
        <f>Y803*$B804</f>
        <v>605000</v>
      </c>
      <c r="Z804" s="18"/>
      <c r="AA804" s="18"/>
      <c r="AB804" s="19"/>
      <c r="AC804" s="18"/>
      <c r="AD804" s="23">
        <f>AD803*$B804</f>
        <v>755000</v>
      </c>
      <c r="AE804" s="18"/>
      <c r="AF804" s="18"/>
      <c r="AG804" s="19"/>
      <c r="AH804" s="18"/>
      <c r="AI804" s="23">
        <f>AI803*$B804</f>
        <v>630000</v>
      </c>
      <c r="AJ804" s="18"/>
      <c r="AK804" s="18"/>
      <c r="AL804" s="19"/>
      <c r="AM804" s="18"/>
      <c r="AN804" s="23">
        <f>AN803*$B804</f>
        <v>653225.5</v>
      </c>
      <c r="AO804" s="18"/>
      <c r="AP804" s="18"/>
      <c r="AQ804" s="19"/>
      <c r="AR804" s="22"/>
      <c r="AS804" s="23">
        <f>AS803*$B804</f>
        <v>640000</v>
      </c>
      <c r="AT804" s="18"/>
      <c r="AU804" s="18"/>
      <c r="AV804" s="19"/>
      <c r="AW804" s="22"/>
      <c r="AX804" s="23">
        <f>AX803*$B804</f>
        <v>640000</v>
      </c>
      <c r="AY804" s="18"/>
      <c r="AZ804" s="18"/>
      <c r="BA804" s="19"/>
      <c r="BB804" s="22"/>
      <c r="BC804" s="23">
        <f>BC803*$B804</f>
        <v>640000</v>
      </c>
      <c r="BD804" s="18"/>
      <c r="BE804" s="18"/>
      <c r="BF804" s="19"/>
      <c r="BG804" s="22"/>
      <c r="BH804" s="23">
        <f>BH803*$B804</f>
        <v>640000</v>
      </c>
      <c r="BI804" s="18"/>
      <c r="BJ804" s="18"/>
      <c r="BK804" s="19"/>
      <c r="BL804" s="22"/>
      <c r="BM804" s="23">
        <f>BM803*$B804</f>
        <v>340000</v>
      </c>
      <c r="BN804" s="18"/>
      <c r="BO804" s="18"/>
      <c r="BP804" s="19"/>
      <c r="BQ804" s="17" t="s">
        <v>321</v>
      </c>
      <c r="BR804" s="1"/>
      <c r="BS804" s="1"/>
      <c r="BT804" s="1"/>
      <c r="BU804" s="1"/>
    </row>
    <row r="805">
      <c r="A805" s="67" t="str">
        <f>B789</f>
        <v>동동</v>
      </c>
      <c r="B805" s="29">
        <v>0.5</v>
      </c>
      <c r="C805" s="30" t="s">
        <v>57</v>
      </c>
      <c r="D805" s="31"/>
      <c r="E805" s="32">
        <f>E803*$B805</f>
        <v>376774</v>
      </c>
      <c r="F805" s="33"/>
      <c r="G805" s="33"/>
      <c r="H805" s="34"/>
      <c r="I805" s="31"/>
      <c r="J805" s="32">
        <f>J803*$B805</f>
        <v>662931</v>
      </c>
      <c r="K805" s="33"/>
      <c r="L805" s="33"/>
      <c r="M805" s="34"/>
      <c r="N805" s="31"/>
      <c r="O805" s="32">
        <f>O803*$B805</f>
        <v>605000</v>
      </c>
      <c r="P805" s="33"/>
      <c r="Q805" s="33"/>
      <c r="R805" s="34"/>
      <c r="S805" s="31"/>
      <c r="T805" s="32">
        <f>T803*$B805</f>
        <v>605000</v>
      </c>
      <c r="U805" s="33"/>
      <c r="V805" s="33"/>
      <c r="W805" s="34"/>
      <c r="X805" s="33"/>
      <c r="Y805" s="32">
        <f>Y803*$B805</f>
        <v>605000</v>
      </c>
      <c r="Z805" s="33"/>
      <c r="AA805" s="33"/>
      <c r="AB805" s="34"/>
      <c r="AC805" s="33"/>
      <c r="AD805" s="32">
        <f>AD803*$B805</f>
        <v>755000</v>
      </c>
      <c r="AE805" s="33"/>
      <c r="AF805" s="33"/>
      <c r="AG805" s="34"/>
      <c r="AH805" s="33"/>
      <c r="AI805" s="32">
        <f>AI803*$B805</f>
        <v>630000</v>
      </c>
      <c r="AJ805" s="33"/>
      <c r="AK805" s="33"/>
      <c r="AL805" s="34"/>
      <c r="AM805" s="33"/>
      <c r="AN805" s="32">
        <f>AN803*$B805</f>
        <v>653225.5</v>
      </c>
      <c r="AO805" s="33"/>
      <c r="AP805" s="33"/>
      <c r="AQ805" s="34"/>
      <c r="AR805" s="31"/>
      <c r="AS805" s="32">
        <f>AS803*$B805</f>
        <v>640000</v>
      </c>
      <c r="AT805" s="33"/>
      <c r="AU805" s="33"/>
      <c r="AV805" s="34"/>
      <c r="AW805" s="31"/>
      <c r="AX805" s="32">
        <f>AX803*$B805</f>
        <v>640000</v>
      </c>
      <c r="AY805" s="33"/>
      <c r="AZ805" s="33"/>
      <c r="BA805" s="34"/>
      <c r="BB805" s="31"/>
      <c r="BC805" s="32">
        <f>BC803*$B805</f>
        <v>640000</v>
      </c>
      <c r="BD805" s="33"/>
      <c r="BE805" s="33"/>
      <c r="BF805" s="34"/>
      <c r="BG805" s="31"/>
      <c r="BH805" s="32">
        <f>BH803*$B805</f>
        <v>640000</v>
      </c>
      <c r="BI805" s="33"/>
      <c r="BJ805" s="33"/>
      <c r="BK805" s="34"/>
      <c r="BL805" s="31"/>
      <c r="BM805" s="32">
        <f>BM803*$B805</f>
        <v>340000</v>
      </c>
      <c r="BN805" s="33"/>
      <c r="BO805" s="33"/>
      <c r="BP805" s="34"/>
      <c r="BQ805" s="17" t="s">
        <v>321</v>
      </c>
      <c r="BR805" s="1"/>
      <c r="BS805" s="1"/>
      <c r="BT805" s="1"/>
      <c r="BU805" s="1"/>
    </row>
    <row r="806">
      <c r="A806" s="56" t="s">
        <v>681</v>
      </c>
      <c r="B806" s="63"/>
      <c r="C806" s="11" t="s">
        <v>1207</v>
      </c>
      <c r="D806" s="18"/>
      <c r="E806" s="18"/>
      <c r="F806" s="18"/>
      <c r="G806" s="23">
        <f t="shared" ref="G806:BJ806" si="42">SUMIF($A$3:$A$805,"아띠관",G2:G805)</f>
        <v>489165</v>
      </c>
      <c r="H806" s="23">
        <f t="shared" si="42"/>
        <v>0</v>
      </c>
      <c r="I806" s="23">
        <f t="shared" si="42"/>
        <v>0</v>
      </c>
      <c r="J806" s="23">
        <f t="shared" si="42"/>
        <v>0</v>
      </c>
      <c r="K806" s="23">
        <f t="shared" si="42"/>
        <v>0</v>
      </c>
      <c r="L806" s="23">
        <f t="shared" si="42"/>
        <v>284000</v>
      </c>
      <c r="M806" s="23">
        <f t="shared" si="42"/>
        <v>0</v>
      </c>
      <c r="N806" s="23">
        <f t="shared" si="42"/>
        <v>0</v>
      </c>
      <c r="O806" s="23">
        <f t="shared" si="42"/>
        <v>0</v>
      </c>
      <c r="P806" s="23">
        <f t="shared" si="42"/>
        <v>0</v>
      </c>
      <c r="Q806" s="23">
        <f t="shared" si="42"/>
        <v>348870</v>
      </c>
      <c r="R806" s="23">
        <f t="shared" si="42"/>
        <v>0</v>
      </c>
      <c r="S806" s="23">
        <f t="shared" si="42"/>
        <v>0</v>
      </c>
      <c r="T806" s="23">
        <f t="shared" si="42"/>
        <v>0</v>
      </c>
      <c r="U806" s="23">
        <f t="shared" si="42"/>
        <v>0</v>
      </c>
      <c r="V806" s="23">
        <f t="shared" si="42"/>
        <v>315000</v>
      </c>
      <c r="W806" s="23">
        <f t="shared" si="42"/>
        <v>0</v>
      </c>
      <c r="X806" s="23">
        <f t="shared" si="42"/>
        <v>0</v>
      </c>
      <c r="Y806" s="23">
        <f t="shared" si="42"/>
        <v>0</v>
      </c>
      <c r="Z806" s="23">
        <f t="shared" si="42"/>
        <v>0</v>
      </c>
      <c r="AA806" s="23">
        <f t="shared" si="42"/>
        <v>385940</v>
      </c>
      <c r="AB806" s="23">
        <f t="shared" si="42"/>
        <v>0</v>
      </c>
      <c r="AC806" s="23">
        <f t="shared" si="42"/>
        <v>0</v>
      </c>
      <c r="AD806" s="23">
        <f t="shared" si="42"/>
        <v>0</v>
      </c>
      <c r="AE806" s="23">
        <f t="shared" si="42"/>
        <v>0</v>
      </c>
      <c r="AF806" s="23">
        <f t="shared" si="42"/>
        <v>284000</v>
      </c>
      <c r="AG806" s="23">
        <f t="shared" si="42"/>
        <v>0</v>
      </c>
      <c r="AH806" s="23">
        <f t="shared" si="42"/>
        <v>0</v>
      </c>
      <c r="AI806" s="23">
        <f t="shared" si="42"/>
        <v>0</v>
      </c>
      <c r="AJ806" s="23">
        <f t="shared" si="42"/>
        <v>0</v>
      </c>
      <c r="AK806" s="23">
        <f t="shared" si="42"/>
        <v>307110</v>
      </c>
      <c r="AL806" s="23">
        <f t="shared" si="42"/>
        <v>0</v>
      </c>
      <c r="AM806" s="23">
        <f t="shared" si="42"/>
        <v>0</v>
      </c>
      <c r="AN806" s="23">
        <f t="shared" si="42"/>
        <v>0</v>
      </c>
      <c r="AO806" s="23">
        <f t="shared" si="42"/>
        <v>0</v>
      </c>
      <c r="AP806" s="23">
        <f t="shared" si="42"/>
        <v>378680</v>
      </c>
      <c r="AQ806" s="23">
        <f t="shared" si="42"/>
        <v>0</v>
      </c>
      <c r="AR806" s="23">
        <f t="shared" si="42"/>
        <v>0</v>
      </c>
      <c r="AS806" s="23">
        <f t="shared" si="42"/>
        <v>0</v>
      </c>
      <c r="AT806" s="23">
        <f t="shared" si="42"/>
        <v>0</v>
      </c>
      <c r="AU806" s="23">
        <f t="shared" si="42"/>
        <v>424920</v>
      </c>
      <c r="AV806" s="23">
        <f t="shared" si="42"/>
        <v>0</v>
      </c>
      <c r="AW806" s="23">
        <f t="shared" si="42"/>
        <v>0</v>
      </c>
      <c r="AX806" s="23">
        <f t="shared" si="42"/>
        <v>0</v>
      </c>
      <c r="AY806" s="23">
        <f t="shared" si="42"/>
        <v>0</v>
      </c>
      <c r="AZ806" s="23">
        <f t="shared" si="42"/>
        <v>344000</v>
      </c>
      <c r="BA806" s="23">
        <f t="shared" si="42"/>
        <v>0</v>
      </c>
      <c r="BB806" s="23">
        <f t="shared" si="42"/>
        <v>0</v>
      </c>
      <c r="BC806" s="23">
        <f t="shared" si="42"/>
        <v>0</v>
      </c>
      <c r="BD806" s="23">
        <f t="shared" si="42"/>
        <v>0</v>
      </c>
      <c r="BE806" s="23">
        <f t="shared" si="42"/>
        <v>412500</v>
      </c>
      <c r="BF806" s="23">
        <f t="shared" si="42"/>
        <v>0</v>
      </c>
      <c r="BG806" s="23">
        <f t="shared" si="42"/>
        <v>0</v>
      </c>
      <c r="BH806" s="23">
        <f t="shared" si="42"/>
        <v>0</v>
      </c>
      <c r="BI806" s="23">
        <f t="shared" si="42"/>
        <v>0</v>
      </c>
      <c r="BJ806" s="23">
        <f t="shared" si="42"/>
        <v>317000</v>
      </c>
      <c r="BK806" s="19"/>
      <c r="BL806" s="23">
        <f t="shared" ref="BL806:BO806" si="43">SUMIF($A$3:$A$805,"아띠관",BL2:BL805)</f>
        <v>0</v>
      </c>
      <c r="BM806" s="23">
        <f t="shared" si="43"/>
        <v>0</v>
      </c>
      <c r="BN806" s="23">
        <f t="shared" si="43"/>
        <v>0</v>
      </c>
      <c r="BO806" s="23">
        <f t="shared" si="43"/>
        <v>278000</v>
      </c>
      <c r="BP806" s="19"/>
      <c r="BQ806" s="1"/>
      <c r="BR806" s="1"/>
      <c r="BS806" s="1"/>
      <c r="BT806" s="1"/>
      <c r="BU806" s="1"/>
    </row>
    <row r="807">
      <c r="A807" s="56" t="s">
        <v>678</v>
      </c>
      <c r="B807" s="63"/>
      <c r="C807" s="11" t="s">
        <v>1208</v>
      </c>
      <c r="D807" s="18"/>
      <c r="E807" s="18"/>
      <c r="F807" s="18"/>
      <c r="G807" s="23">
        <f t="shared" ref="G807:BJ807" si="44">SUMIF($A$3:$A$806,"아띠공",G3:G806)</f>
        <v>2855215</v>
      </c>
      <c r="H807" s="23">
        <f t="shared" si="44"/>
        <v>0</v>
      </c>
      <c r="I807" s="23">
        <f t="shared" si="44"/>
        <v>0</v>
      </c>
      <c r="J807" s="23">
        <f t="shared" si="44"/>
        <v>230410</v>
      </c>
      <c r="K807" s="23">
        <f t="shared" si="44"/>
        <v>0</v>
      </c>
      <c r="L807" s="23">
        <f t="shared" si="44"/>
        <v>2811871</v>
      </c>
      <c r="M807" s="23">
        <f t="shared" si="44"/>
        <v>0</v>
      </c>
      <c r="N807" s="23">
        <f t="shared" si="44"/>
        <v>0</v>
      </c>
      <c r="O807" s="23">
        <f t="shared" si="44"/>
        <v>152310</v>
      </c>
      <c r="P807" s="23">
        <f t="shared" si="44"/>
        <v>0</v>
      </c>
      <c r="Q807" s="23">
        <f t="shared" si="44"/>
        <v>2578210</v>
      </c>
      <c r="R807" s="23">
        <f t="shared" si="44"/>
        <v>0</v>
      </c>
      <c r="S807" s="23">
        <f t="shared" si="44"/>
        <v>0</v>
      </c>
      <c r="T807" s="23">
        <f t="shared" si="44"/>
        <v>130560</v>
      </c>
      <c r="U807" s="23">
        <f t="shared" si="44"/>
        <v>0</v>
      </c>
      <c r="V807" s="23">
        <f t="shared" si="44"/>
        <v>1911850</v>
      </c>
      <c r="W807" s="23">
        <f t="shared" si="44"/>
        <v>0</v>
      </c>
      <c r="X807" s="23">
        <f t="shared" si="44"/>
        <v>0</v>
      </c>
      <c r="Y807" s="23">
        <f t="shared" si="44"/>
        <v>55640</v>
      </c>
      <c r="Z807" s="23">
        <f t="shared" si="44"/>
        <v>0</v>
      </c>
      <c r="AA807" s="23">
        <f t="shared" si="44"/>
        <v>1212580</v>
      </c>
      <c r="AB807" s="23">
        <f t="shared" si="44"/>
        <v>0</v>
      </c>
      <c r="AC807" s="23">
        <f t="shared" si="44"/>
        <v>0</v>
      </c>
      <c r="AD807" s="23">
        <f t="shared" si="44"/>
        <v>123000</v>
      </c>
      <c r="AE807" s="23">
        <f t="shared" si="44"/>
        <v>0</v>
      </c>
      <c r="AF807" s="23">
        <f t="shared" si="44"/>
        <v>1113912</v>
      </c>
      <c r="AG807" s="23">
        <f t="shared" si="44"/>
        <v>0</v>
      </c>
      <c r="AH807" s="23">
        <f t="shared" si="44"/>
        <v>0</v>
      </c>
      <c r="AI807" s="23">
        <f t="shared" si="44"/>
        <v>179600</v>
      </c>
      <c r="AJ807" s="23">
        <f t="shared" si="44"/>
        <v>0</v>
      </c>
      <c r="AK807" s="23">
        <f t="shared" si="44"/>
        <v>1464540</v>
      </c>
      <c r="AL807" s="23">
        <f t="shared" si="44"/>
        <v>0</v>
      </c>
      <c r="AM807" s="23">
        <f t="shared" si="44"/>
        <v>0</v>
      </c>
      <c r="AN807" s="23">
        <f t="shared" si="44"/>
        <v>209260</v>
      </c>
      <c r="AO807" s="23">
        <f t="shared" si="44"/>
        <v>0</v>
      </c>
      <c r="AP807" s="23">
        <f t="shared" si="44"/>
        <v>1745370</v>
      </c>
      <c r="AQ807" s="23">
        <f t="shared" si="44"/>
        <v>0</v>
      </c>
      <c r="AR807" s="23">
        <f t="shared" si="44"/>
        <v>0</v>
      </c>
      <c r="AS807" s="23">
        <f t="shared" si="44"/>
        <v>311060</v>
      </c>
      <c r="AT807" s="23">
        <f t="shared" si="44"/>
        <v>0</v>
      </c>
      <c r="AU807" s="23">
        <f t="shared" si="44"/>
        <v>1646860</v>
      </c>
      <c r="AV807" s="23">
        <f t="shared" si="44"/>
        <v>0</v>
      </c>
      <c r="AW807" s="23">
        <f t="shared" si="44"/>
        <v>0</v>
      </c>
      <c r="AX807" s="23">
        <f t="shared" si="44"/>
        <v>286280</v>
      </c>
      <c r="AY807" s="23">
        <f t="shared" si="44"/>
        <v>0</v>
      </c>
      <c r="AZ807" s="23">
        <f t="shared" si="44"/>
        <v>1204960</v>
      </c>
      <c r="BA807" s="23">
        <f t="shared" si="44"/>
        <v>0</v>
      </c>
      <c r="BB807" s="23">
        <f t="shared" si="44"/>
        <v>0</v>
      </c>
      <c r="BC807" s="23">
        <f t="shared" si="44"/>
        <v>149100</v>
      </c>
      <c r="BD807" s="23">
        <f t="shared" si="44"/>
        <v>0</v>
      </c>
      <c r="BE807" s="23">
        <f t="shared" si="44"/>
        <v>1072250</v>
      </c>
      <c r="BF807" s="23">
        <f t="shared" si="44"/>
        <v>0</v>
      </c>
      <c r="BG807" s="23">
        <f t="shared" si="44"/>
        <v>0</v>
      </c>
      <c r="BH807" s="23">
        <f t="shared" si="44"/>
        <v>67850</v>
      </c>
      <c r="BI807" s="23">
        <f t="shared" si="44"/>
        <v>0</v>
      </c>
      <c r="BJ807" s="23">
        <f t="shared" si="44"/>
        <v>1815280</v>
      </c>
      <c r="BK807" s="19"/>
      <c r="BL807" s="23">
        <f t="shared" ref="BL807:BO807" si="45">SUMIF($A$3:$A$806,"아띠공",BL3:BL806)</f>
        <v>0</v>
      </c>
      <c r="BM807" s="23">
        <f t="shared" si="45"/>
        <v>74490</v>
      </c>
      <c r="BN807" s="23">
        <f t="shared" si="45"/>
        <v>0</v>
      </c>
      <c r="BO807" s="23">
        <f t="shared" si="45"/>
        <v>1135110</v>
      </c>
      <c r="BP807" s="19"/>
      <c r="BQ807" s="1"/>
      <c r="BR807" s="1"/>
      <c r="BS807" s="1"/>
      <c r="BT807" s="1"/>
      <c r="BU807" s="1"/>
    </row>
    <row r="808">
      <c r="A808" s="1"/>
      <c r="B808" s="63"/>
      <c r="C808" s="127" t="s">
        <v>1209</v>
      </c>
      <c r="D808" s="58" t="s">
        <v>1210</v>
      </c>
      <c r="E808" s="18"/>
      <c r="F808" s="18"/>
      <c r="G808" s="128">
        <f t="shared" ref="G808:BJ808" si="46">G807+G806</f>
        <v>3344380</v>
      </c>
      <c r="H808" s="128">
        <f t="shared" si="46"/>
        <v>0</v>
      </c>
      <c r="I808" s="128">
        <f t="shared" si="46"/>
        <v>0</v>
      </c>
      <c r="J808" s="128">
        <f t="shared" si="46"/>
        <v>230410</v>
      </c>
      <c r="K808" s="128">
        <f t="shared" si="46"/>
        <v>0</v>
      </c>
      <c r="L808" s="128">
        <f t="shared" si="46"/>
        <v>3095871</v>
      </c>
      <c r="M808" s="128">
        <f t="shared" si="46"/>
        <v>0</v>
      </c>
      <c r="N808" s="128">
        <f t="shared" si="46"/>
        <v>0</v>
      </c>
      <c r="O808" s="128">
        <f t="shared" si="46"/>
        <v>152310</v>
      </c>
      <c r="P808" s="128">
        <f t="shared" si="46"/>
        <v>0</v>
      </c>
      <c r="Q808" s="128">
        <f t="shared" si="46"/>
        <v>2927080</v>
      </c>
      <c r="R808" s="128">
        <f t="shared" si="46"/>
        <v>0</v>
      </c>
      <c r="S808" s="128">
        <f t="shared" si="46"/>
        <v>0</v>
      </c>
      <c r="T808" s="128">
        <f t="shared" si="46"/>
        <v>130560</v>
      </c>
      <c r="U808" s="128">
        <f t="shared" si="46"/>
        <v>0</v>
      </c>
      <c r="V808" s="128">
        <f t="shared" si="46"/>
        <v>2226850</v>
      </c>
      <c r="W808" s="128">
        <f t="shared" si="46"/>
        <v>0</v>
      </c>
      <c r="X808" s="128">
        <f t="shared" si="46"/>
        <v>0</v>
      </c>
      <c r="Y808" s="128">
        <f t="shared" si="46"/>
        <v>55640</v>
      </c>
      <c r="Z808" s="128">
        <f t="shared" si="46"/>
        <v>0</v>
      </c>
      <c r="AA808" s="128">
        <f t="shared" si="46"/>
        <v>1598520</v>
      </c>
      <c r="AB808" s="128">
        <f t="shared" si="46"/>
        <v>0</v>
      </c>
      <c r="AC808" s="128">
        <f t="shared" si="46"/>
        <v>0</v>
      </c>
      <c r="AD808" s="128">
        <f t="shared" si="46"/>
        <v>123000</v>
      </c>
      <c r="AE808" s="128">
        <f t="shared" si="46"/>
        <v>0</v>
      </c>
      <c r="AF808" s="128">
        <f t="shared" si="46"/>
        <v>1397912</v>
      </c>
      <c r="AG808" s="128">
        <f t="shared" si="46"/>
        <v>0</v>
      </c>
      <c r="AH808" s="128">
        <f t="shared" si="46"/>
        <v>0</v>
      </c>
      <c r="AI808" s="128">
        <f t="shared" si="46"/>
        <v>179600</v>
      </c>
      <c r="AJ808" s="128">
        <f t="shared" si="46"/>
        <v>0</v>
      </c>
      <c r="AK808" s="128">
        <f t="shared" si="46"/>
        <v>1771650</v>
      </c>
      <c r="AL808" s="128">
        <f t="shared" si="46"/>
        <v>0</v>
      </c>
      <c r="AM808" s="128">
        <f t="shared" si="46"/>
        <v>0</v>
      </c>
      <c r="AN808" s="128">
        <f t="shared" si="46"/>
        <v>209260</v>
      </c>
      <c r="AO808" s="128">
        <f t="shared" si="46"/>
        <v>0</v>
      </c>
      <c r="AP808" s="128">
        <f t="shared" si="46"/>
        <v>2124050</v>
      </c>
      <c r="AQ808" s="128">
        <f t="shared" si="46"/>
        <v>0</v>
      </c>
      <c r="AR808" s="128">
        <f t="shared" si="46"/>
        <v>0</v>
      </c>
      <c r="AS808" s="128">
        <f t="shared" si="46"/>
        <v>311060</v>
      </c>
      <c r="AT808" s="128">
        <f t="shared" si="46"/>
        <v>0</v>
      </c>
      <c r="AU808" s="128">
        <f t="shared" si="46"/>
        <v>2071780</v>
      </c>
      <c r="AV808" s="128">
        <f t="shared" si="46"/>
        <v>0</v>
      </c>
      <c r="AW808" s="128">
        <f t="shared" si="46"/>
        <v>0</v>
      </c>
      <c r="AX808" s="128">
        <f t="shared" si="46"/>
        <v>286280</v>
      </c>
      <c r="AY808" s="128">
        <f t="shared" si="46"/>
        <v>0</v>
      </c>
      <c r="AZ808" s="128">
        <f t="shared" si="46"/>
        <v>1548960</v>
      </c>
      <c r="BA808" s="128">
        <f t="shared" si="46"/>
        <v>0</v>
      </c>
      <c r="BB808" s="128">
        <f t="shared" si="46"/>
        <v>0</v>
      </c>
      <c r="BC808" s="128">
        <f t="shared" si="46"/>
        <v>149100</v>
      </c>
      <c r="BD808" s="128">
        <f t="shared" si="46"/>
        <v>0</v>
      </c>
      <c r="BE808" s="128">
        <f t="shared" si="46"/>
        <v>1484750</v>
      </c>
      <c r="BF808" s="128">
        <f t="shared" si="46"/>
        <v>0</v>
      </c>
      <c r="BG808" s="128">
        <f t="shared" si="46"/>
        <v>0</v>
      </c>
      <c r="BH808" s="128">
        <f t="shared" si="46"/>
        <v>67850</v>
      </c>
      <c r="BI808" s="128">
        <f t="shared" si="46"/>
        <v>0</v>
      </c>
      <c r="BJ808" s="128">
        <f t="shared" si="46"/>
        <v>2132280</v>
      </c>
      <c r="BK808" s="19"/>
      <c r="BL808" s="128">
        <f t="shared" ref="BL808:BO808" si="47">BL807+BL806</f>
        <v>0</v>
      </c>
      <c r="BM808" s="128">
        <f t="shared" si="47"/>
        <v>74490</v>
      </c>
      <c r="BN808" s="128">
        <f t="shared" si="47"/>
        <v>0</v>
      </c>
      <c r="BO808" s="128">
        <f t="shared" si="47"/>
        <v>1413110</v>
      </c>
      <c r="BP808" s="19"/>
      <c r="BQ808" s="1"/>
      <c r="BR808" s="1"/>
      <c r="BS808" s="9" t="s">
        <v>1211</v>
      </c>
      <c r="BT808" s="128">
        <f t="shared" ref="BT808:BT809" si="48">AS232+AS680</f>
        <v>666066.9</v>
      </c>
      <c r="BU808" s="1"/>
    </row>
    <row r="809">
      <c r="A809" s="1"/>
      <c r="B809" s="63"/>
      <c r="C809" s="19"/>
      <c r="D809" s="18"/>
      <c r="E809" s="18"/>
      <c r="F809" s="18"/>
      <c r="G809" s="18"/>
      <c r="H809" s="1"/>
      <c r="I809" s="18"/>
      <c r="J809" s="18"/>
      <c r="K809" s="18"/>
      <c r="L809" s="18"/>
      <c r="M809" s="19"/>
      <c r="N809" s="18"/>
      <c r="O809" s="18"/>
      <c r="P809" s="18"/>
      <c r="Q809" s="18"/>
      <c r="R809" s="19"/>
      <c r="S809" s="18"/>
      <c r="T809" s="18"/>
      <c r="U809" s="18"/>
      <c r="V809" s="18"/>
      <c r="W809" s="19"/>
      <c r="X809" s="18"/>
      <c r="Y809" s="18"/>
      <c r="Z809" s="18"/>
      <c r="AA809" s="18"/>
      <c r="AB809" s="19"/>
      <c r="AC809" s="18"/>
      <c r="AD809" s="18"/>
      <c r="AE809" s="18"/>
      <c r="AF809" s="18"/>
      <c r="AG809" s="19"/>
      <c r="AH809" s="18"/>
      <c r="AI809" s="18"/>
      <c r="AJ809" s="18"/>
      <c r="AK809" s="18"/>
      <c r="AL809" s="19"/>
      <c r="AM809" s="18"/>
      <c r="AN809" s="18"/>
      <c r="AO809" s="18"/>
      <c r="AP809" s="18"/>
      <c r="AQ809" s="19"/>
      <c r="AR809" s="18"/>
      <c r="AS809" s="18"/>
      <c r="AT809" s="18"/>
      <c r="AU809" s="18"/>
      <c r="AV809" s="19"/>
      <c r="AW809" s="18"/>
      <c r="AX809" s="18"/>
      <c r="AY809" s="18"/>
      <c r="AZ809" s="18"/>
      <c r="BA809" s="19"/>
      <c r="BB809" s="18"/>
      <c r="BC809" s="18"/>
      <c r="BD809" s="18"/>
      <c r="BE809" s="18"/>
      <c r="BF809" s="19"/>
      <c r="BG809" s="18"/>
      <c r="BH809" s="18"/>
      <c r="BI809" s="18"/>
      <c r="BJ809" s="18"/>
      <c r="BK809" s="19"/>
      <c r="BL809" s="18"/>
      <c r="BM809" s="18"/>
      <c r="BN809" s="18"/>
      <c r="BO809" s="18"/>
      <c r="BP809" s="19"/>
      <c r="BQ809" s="1"/>
      <c r="BR809" s="1"/>
      <c r="BS809" s="17" t="s">
        <v>1212</v>
      </c>
      <c r="BT809" s="128">
        <f t="shared" si="48"/>
        <v>72600.1</v>
      </c>
      <c r="BU809" s="1"/>
    </row>
    <row r="810">
      <c r="A810" s="1"/>
      <c r="B810" s="63"/>
      <c r="C810" s="129" t="s">
        <v>1213</v>
      </c>
      <c r="D810" s="20">
        <f t="shared" ref="D810:BK810" si="49">sumifs(D2:D809,$C2:$C809,"합계",$BQ2:$BQ809,"강연수")</f>
        <v>0</v>
      </c>
      <c r="E810" s="20">
        <f t="shared" si="49"/>
        <v>18868530.2</v>
      </c>
      <c r="F810" s="20">
        <f t="shared" si="49"/>
        <v>0</v>
      </c>
      <c r="G810" s="20">
        <f t="shared" si="49"/>
        <v>2934194</v>
      </c>
      <c r="H810" s="20">
        <f t="shared" si="49"/>
        <v>0</v>
      </c>
      <c r="I810" s="20">
        <f t="shared" si="49"/>
        <v>0</v>
      </c>
      <c r="J810" s="20">
        <f t="shared" si="49"/>
        <v>18727240</v>
      </c>
      <c r="K810" s="20">
        <f t="shared" si="49"/>
        <v>0</v>
      </c>
      <c r="L810" s="20">
        <f t="shared" si="49"/>
        <v>2924139</v>
      </c>
      <c r="M810" s="20">
        <f t="shared" si="49"/>
        <v>0</v>
      </c>
      <c r="N810" s="20">
        <f t="shared" si="49"/>
        <v>0</v>
      </c>
      <c r="O810" s="20">
        <f t="shared" si="49"/>
        <v>19987378.5</v>
      </c>
      <c r="P810" s="20">
        <f t="shared" si="49"/>
        <v>0</v>
      </c>
      <c r="Q810" s="20">
        <f t="shared" si="49"/>
        <v>3347058</v>
      </c>
      <c r="R810" s="20">
        <f t="shared" si="49"/>
        <v>0</v>
      </c>
      <c r="S810" s="20">
        <f t="shared" si="49"/>
        <v>0</v>
      </c>
      <c r="T810" s="20">
        <f t="shared" si="49"/>
        <v>21207541.5</v>
      </c>
      <c r="U810" s="20">
        <f t="shared" si="49"/>
        <v>0</v>
      </c>
      <c r="V810" s="20">
        <f t="shared" si="49"/>
        <v>3360000</v>
      </c>
      <c r="W810" s="20">
        <f t="shared" si="49"/>
        <v>0</v>
      </c>
      <c r="X810" s="20">
        <f t="shared" si="49"/>
        <v>0</v>
      </c>
      <c r="Y810" s="20">
        <f t="shared" si="49"/>
        <v>21627390.91</v>
      </c>
      <c r="Z810" s="20">
        <f t="shared" si="49"/>
        <v>0</v>
      </c>
      <c r="AA810" s="20">
        <f t="shared" si="49"/>
        <v>3280000</v>
      </c>
      <c r="AB810" s="20">
        <f t="shared" si="49"/>
        <v>0</v>
      </c>
      <c r="AC810" s="20">
        <f t="shared" si="49"/>
        <v>0</v>
      </c>
      <c r="AD810" s="20">
        <f t="shared" si="49"/>
        <v>21495619.09</v>
      </c>
      <c r="AE810" s="20">
        <f t="shared" si="49"/>
        <v>0</v>
      </c>
      <c r="AF810" s="20">
        <f t="shared" si="49"/>
        <v>3360000</v>
      </c>
      <c r="AG810" s="20">
        <f t="shared" si="49"/>
        <v>0</v>
      </c>
      <c r="AH810" s="20">
        <f t="shared" si="49"/>
        <v>0</v>
      </c>
      <c r="AI810" s="20">
        <f t="shared" si="49"/>
        <v>22102775</v>
      </c>
      <c r="AJ810" s="20">
        <f t="shared" si="49"/>
        <v>0</v>
      </c>
      <c r="AK810" s="20">
        <f t="shared" si="49"/>
        <v>3360000</v>
      </c>
      <c r="AL810" s="20">
        <f t="shared" si="49"/>
        <v>0</v>
      </c>
      <c r="AM810" s="20">
        <f t="shared" si="49"/>
        <v>0</v>
      </c>
      <c r="AN810" s="20">
        <f t="shared" si="49"/>
        <v>22648987</v>
      </c>
      <c r="AO810" s="20">
        <f t="shared" si="49"/>
        <v>0</v>
      </c>
      <c r="AP810" s="20">
        <f t="shared" si="49"/>
        <v>3582539</v>
      </c>
      <c r="AQ810" s="20">
        <f t="shared" si="49"/>
        <v>0</v>
      </c>
      <c r="AR810" s="20">
        <f t="shared" si="49"/>
        <v>0</v>
      </c>
      <c r="AS810" s="20">
        <f t="shared" si="49"/>
        <v>23092162.2</v>
      </c>
      <c r="AT810" s="20">
        <f t="shared" si="49"/>
        <v>0</v>
      </c>
      <c r="AU810" s="20">
        <f t="shared" si="49"/>
        <v>3058667</v>
      </c>
      <c r="AV810" s="20">
        <f t="shared" si="49"/>
        <v>0</v>
      </c>
      <c r="AW810" s="20">
        <f t="shared" si="49"/>
        <v>0</v>
      </c>
      <c r="AX810" s="20">
        <f t="shared" si="49"/>
        <v>22407750.94</v>
      </c>
      <c r="AY810" s="20">
        <f t="shared" si="49"/>
        <v>0</v>
      </c>
      <c r="AZ810" s="20">
        <f t="shared" si="49"/>
        <v>3114838.71</v>
      </c>
      <c r="BA810" s="20">
        <f t="shared" si="49"/>
        <v>0</v>
      </c>
      <c r="BB810" s="20">
        <f t="shared" si="49"/>
        <v>0</v>
      </c>
      <c r="BC810" s="20">
        <f t="shared" si="49"/>
        <v>18604564.15</v>
      </c>
      <c r="BD810" s="20">
        <f t="shared" si="49"/>
        <v>0</v>
      </c>
      <c r="BE810" s="20">
        <f t="shared" si="49"/>
        <v>2640000</v>
      </c>
      <c r="BF810" s="20">
        <f t="shared" si="49"/>
        <v>0</v>
      </c>
      <c r="BG810" s="20">
        <f t="shared" si="49"/>
        <v>0</v>
      </c>
      <c r="BH810" s="20">
        <f t="shared" si="49"/>
        <v>17594720.29</v>
      </c>
      <c r="BI810" s="20">
        <f t="shared" si="49"/>
        <v>0</v>
      </c>
      <c r="BJ810" s="20">
        <f t="shared" si="49"/>
        <v>2560000</v>
      </c>
      <c r="BK810" s="20">
        <f t="shared" si="49"/>
        <v>0</v>
      </c>
      <c r="BL810" s="20">
        <f t="shared" ref="BL810:BL811" si="51">SUM(D810:BJ810)</f>
        <v>285886095.5</v>
      </c>
      <c r="BM810" s="18"/>
      <c r="BN810" s="18"/>
      <c r="BO810" s="18"/>
      <c r="BP810" s="19"/>
      <c r="BQ810" s="1"/>
      <c r="BR810" s="1"/>
      <c r="BS810" s="1"/>
      <c r="BT810" s="18"/>
      <c r="BU810" s="1"/>
    </row>
    <row r="811">
      <c r="A811" s="1"/>
      <c r="B811" s="39"/>
      <c r="C811" s="129" t="s">
        <v>1214</v>
      </c>
      <c r="D811" s="20">
        <f t="shared" ref="D811:BK811" si="50">sumifs(D2:D809,$C2:$C809,"합계",$BQ2:$BQ809,"쑤훈공동")</f>
        <v>0</v>
      </c>
      <c r="E811" s="20">
        <f t="shared" si="50"/>
        <v>14412579</v>
      </c>
      <c r="F811" s="20">
        <f t="shared" si="50"/>
        <v>0</v>
      </c>
      <c r="G811" s="20">
        <f t="shared" si="50"/>
        <v>1860645</v>
      </c>
      <c r="H811" s="20">
        <f t="shared" si="50"/>
        <v>0</v>
      </c>
      <c r="I811" s="20">
        <f t="shared" si="50"/>
        <v>0</v>
      </c>
      <c r="J811" s="20">
        <f t="shared" si="50"/>
        <v>14396896</v>
      </c>
      <c r="K811" s="20">
        <f t="shared" si="50"/>
        <v>0</v>
      </c>
      <c r="L811" s="20">
        <f t="shared" si="50"/>
        <v>1903448</v>
      </c>
      <c r="M811" s="20">
        <f t="shared" si="50"/>
        <v>0</v>
      </c>
      <c r="N811" s="20">
        <f t="shared" si="50"/>
        <v>0</v>
      </c>
      <c r="O811" s="20">
        <f t="shared" si="50"/>
        <v>18827910</v>
      </c>
      <c r="P811" s="20">
        <f t="shared" si="50"/>
        <v>0</v>
      </c>
      <c r="Q811" s="20">
        <f t="shared" si="50"/>
        <v>2577741</v>
      </c>
      <c r="R811" s="20">
        <f t="shared" si="50"/>
        <v>0</v>
      </c>
      <c r="S811" s="20">
        <f t="shared" si="50"/>
        <v>0</v>
      </c>
      <c r="T811" s="20">
        <f t="shared" si="50"/>
        <v>19355200</v>
      </c>
      <c r="U811" s="20">
        <f t="shared" si="50"/>
        <v>0</v>
      </c>
      <c r="V811" s="20">
        <f t="shared" si="50"/>
        <v>2848333</v>
      </c>
      <c r="W811" s="20">
        <f t="shared" si="50"/>
        <v>0</v>
      </c>
      <c r="X811" s="20">
        <f t="shared" si="50"/>
        <v>0</v>
      </c>
      <c r="Y811" s="20">
        <f t="shared" si="50"/>
        <v>19519800</v>
      </c>
      <c r="Z811" s="20">
        <f t="shared" si="50"/>
        <v>0</v>
      </c>
      <c r="AA811" s="20">
        <f t="shared" si="50"/>
        <v>2800000</v>
      </c>
      <c r="AB811" s="20">
        <f t="shared" si="50"/>
        <v>0</v>
      </c>
      <c r="AC811" s="20">
        <f t="shared" si="50"/>
        <v>0</v>
      </c>
      <c r="AD811" s="20">
        <f t="shared" si="50"/>
        <v>19581801</v>
      </c>
      <c r="AE811" s="20">
        <f t="shared" si="50"/>
        <v>0</v>
      </c>
      <c r="AF811" s="20">
        <f t="shared" si="50"/>
        <v>2826998</v>
      </c>
      <c r="AG811" s="20">
        <f t="shared" si="50"/>
        <v>0</v>
      </c>
      <c r="AH811" s="20">
        <f t="shared" si="50"/>
        <v>0</v>
      </c>
      <c r="AI811" s="20">
        <f t="shared" si="50"/>
        <v>19165113</v>
      </c>
      <c r="AJ811" s="20">
        <f t="shared" si="50"/>
        <v>0</v>
      </c>
      <c r="AK811" s="20">
        <f t="shared" si="50"/>
        <v>2660646</v>
      </c>
      <c r="AL811" s="20">
        <f t="shared" si="50"/>
        <v>0</v>
      </c>
      <c r="AM811" s="20">
        <f t="shared" si="50"/>
        <v>0</v>
      </c>
      <c r="AN811" s="20">
        <f t="shared" si="50"/>
        <v>19268660</v>
      </c>
      <c r="AO811" s="20">
        <f t="shared" si="50"/>
        <v>0</v>
      </c>
      <c r="AP811" s="20">
        <f t="shared" si="50"/>
        <v>2647745</v>
      </c>
      <c r="AQ811" s="20">
        <f t="shared" si="50"/>
        <v>0</v>
      </c>
      <c r="AR811" s="20">
        <f t="shared" si="50"/>
        <v>0</v>
      </c>
      <c r="AS811" s="20">
        <f t="shared" si="50"/>
        <v>21612747</v>
      </c>
      <c r="AT811" s="20">
        <f t="shared" si="50"/>
        <v>0</v>
      </c>
      <c r="AU811" s="20">
        <f t="shared" si="50"/>
        <v>3087999</v>
      </c>
      <c r="AV811" s="20">
        <f t="shared" si="50"/>
        <v>0</v>
      </c>
      <c r="AW811" s="20">
        <f t="shared" si="50"/>
        <v>0</v>
      </c>
      <c r="AX811" s="20">
        <f t="shared" si="50"/>
        <v>21915890</v>
      </c>
      <c r="AY811" s="20">
        <f t="shared" si="50"/>
        <v>0</v>
      </c>
      <c r="AZ811" s="20">
        <f t="shared" si="50"/>
        <v>3132900</v>
      </c>
      <c r="BA811" s="20">
        <f t="shared" si="50"/>
        <v>0</v>
      </c>
      <c r="BB811" s="20">
        <f t="shared" si="50"/>
        <v>0</v>
      </c>
      <c r="BC811" s="20">
        <f t="shared" si="50"/>
        <v>21262700</v>
      </c>
      <c r="BD811" s="20">
        <f t="shared" si="50"/>
        <v>0</v>
      </c>
      <c r="BE811" s="20">
        <f t="shared" si="50"/>
        <v>3040000</v>
      </c>
      <c r="BF811" s="20">
        <f t="shared" si="50"/>
        <v>0</v>
      </c>
      <c r="BG811" s="20">
        <f t="shared" si="50"/>
        <v>0</v>
      </c>
      <c r="BH811" s="20">
        <f t="shared" si="50"/>
        <v>21655281</v>
      </c>
      <c r="BI811" s="20">
        <f t="shared" si="50"/>
        <v>0</v>
      </c>
      <c r="BJ811" s="20">
        <f t="shared" si="50"/>
        <v>3114839</v>
      </c>
      <c r="BK811" s="20">
        <f t="shared" si="50"/>
        <v>0</v>
      </c>
      <c r="BL811" s="20">
        <f t="shared" si="51"/>
        <v>263475871</v>
      </c>
      <c r="BM811" s="18"/>
      <c r="BN811" s="18"/>
      <c r="BO811" s="18"/>
      <c r="BP811" s="1"/>
      <c r="BQ811" s="1"/>
      <c r="BR811" s="1"/>
      <c r="BS811" s="1"/>
      <c r="BT811" s="18"/>
      <c r="BU811" s="1"/>
    </row>
    <row r="812">
      <c r="A812" s="1"/>
      <c r="B812" s="39"/>
      <c r="C812" s="4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
      <c r="BQ812" s="1"/>
      <c r="BR812" s="1"/>
      <c r="BS812" s="1"/>
      <c r="BT812" s="18"/>
      <c r="BU812" s="1"/>
    </row>
  </sheetData>
  <autoFilter ref="$A$1:$BU$811"/>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11.88"/>
    <col customWidth="1" min="2" max="2" width="10.88"/>
    <col customWidth="1" min="3" max="3" width="15.38"/>
    <col customWidth="1" min="4" max="4" width="9.5"/>
    <col customWidth="1" min="5" max="5" width="33.13"/>
    <col customWidth="1" min="6" max="7" width="12.38"/>
    <col customWidth="1" min="8" max="8" width="19.5"/>
    <col customWidth="1" min="9" max="9" width="9.38"/>
    <col customWidth="1" min="10" max="10" width="10.63"/>
    <col customWidth="1" min="11" max="11" width="12.38"/>
    <col customWidth="1" min="12" max="12" width="9.88"/>
    <col customWidth="1" min="13" max="13" width="10.13"/>
    <col customWidth="1" min="14" max="14" width="8.5"/>
    <col customWidth="1" min="15" max="15" width="10.0"/>
    <col customWidth="1" min="16" max="16" width="24.63"/>
    <col customWidth="1" min="17" max="19" width="8.5" outlineLevel="1"/>
    <col customWidth="1" min="20" max="20" width="5.13" outlineLevel="1"/>
    <col customWidth="1" min="21" max="21" width="6.88" outlineLevel="1"/>
    <col customWidth="1" min="22" max="22" width="5.13" outlineLevel="1"/>
    <col customWidth="1" min="23" max="23" width="8.0" outlineLevel="1"/>
    <col customWidth="1" min="24" max="24" width="7.88" outlineLevel="1"/>
    <col customWidth="1" min="25" max="26" width="7.75" outlineLevel="1"/>
  </cols>
  <sheetData>
    <row r="1">
      <c r="A1" s="130">
        <f>(C3-C2)+1</f>
        <v>11</v>
      </c>
      <c r="B1" s="131" t="s">
        <v>1215</v>
      </c>
      <c r="C1" s="132" t="s">
        <v>1216</v>
      </c>
      <c r="D1" s="133" t="s">
        <v>1217</v>
      </c>
      <c r="E1" s="134">
        <f>(A2/C3)*(C3-C2+1)</f>
        <v>131290.3226</v>
      </c>
      <c r="F1" s="133" t="s">
        <v>1218</v>
      </c>
      <c r="G1" s="134">
        <f>(A2/C3)*C2</f>
        <v>250645.1613</v>
      </c>
      <c r="H1" s="135" t="s">
        <v>1219</v>
      </c>
      <c r="I1" s="136" t="s">
        <v>1220</v>
      </c>
      <c r="J1" s="137" t="s">
        <v>1221</v>
      </c>
      <c r="K1" s="138" t="s">
        <v>1222</v>
      </c>
      <c r="L1" s="139" t="s">
        <v>1223</v>
      </c>
      <c r="M1" s="139" t="s">
        <v>1224</v>
      </c>
      <c r="N1" s="140"/>
      <c r="O1" s="141">
        <v>541667.0</v>
      </c>
      <c r="P1" s="142">
        <f t="shared" ref="P1:P2" si="1">A2-G1</f>
        <v>119354.8387</v>
      </c>
      <c r="Q1" s="143"/>
      <c r="R1" s="144"/>
      <c r="S1" s="145"/>
      <c r="T1" s="146"/>
      <c r="U1" s="147"/>
      <c r="V1" s="147"/>
      <c r="W1" s="147"/>
      <c r="X1" s="148"/>
      <c r="Y1" s="149"/>
      <c r="Z1" s="149"/>
    </row>
    <row r="2">
      <c r="A2" s="150">
        <f>VLOOKUP(C1,E5:P494,9,0)</f>
        <v>370000</v>
      </c>
      <c r="B2" s="131" t="s">
        <v>1225</v>
      </c>
      <c r="C2" s="151">
        <v>21.0</v>
      </c>
      <c r="D2" s="152" t="s">
        <v>1226</v>
      </c>
      <c r="E2" s="153">
        <f>(A3/C3)*A1</f>
        <v>35483.87097</v>
      </c>
      <c r="F2" s="133" t="s">
        <v>1227</v>
      </c>
      <c r="G2" s="153">
        <f>(A3/C3)*C2</f>
        <v>67741.93548</v>
      </c>
      <c r="H2" s="154" t="s">
        <v>1228</v>
      </c>
      <c r="I2" s="154" t="s">
        <v>1229</v>
      </c>
      <c r="J2" s="154" t="s">
        <v>1230</v>
      </c>
      <c r="K2" s="155"/>
      <c r="L2" s="155"/>
      <c r="M2" s="156"/>
      <c r="N2" s="157">
        <f>440000/31</f>
        <v>14193.54839</v>
      </c>
      <c r="O2" s="158">
        <f>O1+G1</f>
        <v>792312.1613</v>
      </c>
      <c r="P2" s="159">
        <f t="shared" si="1"/>
        <v>32258.06452</v>
      </c>
      <c r="Q2" s="159"/>
      <c r="R2" s="159"/>
      <c r="S2" s="159"/>
      <c r="T2" s="159"/>
      <c r="U2" s="152"/>
      <c r="V2" s="147"/>
      <c r="W2" s="152"/>
      <c r="X2" s="133"/>
      <c r="Y2" s="149"/>
      <c r="Z2" s="149"/>
    </row>
    <row r="3">
      <c r="A3" s="160">
        <f>VLOOKUP($C$1,E5:P494,10,0)</f>
        <v>100000</v>
      </c>
      <c r="B3" s="131" t="s">
        <v>1231</v>
      </c>
      <c r="C3" s="151">
        <v>31.0</v>
      </c>
      <c r="D3" s="152" t="s">
        <v>1232</v>
      </c>
      <c r="E3" s="134">
        <f>VLOOKUP(C1,E5:Y494,20,0)+E1</f>
        <v>1631290.323</v>
      </c>
      <c r="F3" s="161">
        <f>A2/C3</f>
        <v>11935.48387</v>
      </c>
      <c r="G3" s="134">
        <f>F3*20</f>
        <v>238709.6774</v>
      </c>
      <c r="H3" s="162">
        <f>A3/C3</f>
        <v>3225.806452</v>
      </c>
      <c r="I3" s="135" t="s">
        <v>37</v>
      </c>
      <c r="J3" s="163">
        <f>F3*31</f>
        <v>370000</v>
      </c>
      <c r="K3" s="164">
        <f>3333*18</f>
        <v>59994</v>
      </c>
      <c r="L3" s="164"/>
      <c r="M3" s="164">
        <f>62+6.2</f>
        <v>68.2</v>
      </c>
      <c r="N3" s="165">
        <f>100000/31</f>
        <v>3225.806452</v>
      </c>
      <c r="O3" s="166"/>
      <c r="P3" s="167"/>
      <c r="Q3" s="168"/>
      <c r="R3" s="165"/>
      <c r="S3" s="165"/>
      <c r="T3" s="169"/>
      <c r="U3" s="147"/>
      <c r="V3" s="147"/>
      <c r="W3" s="152"/>
      <c r="X3" s="148"/>
      <c r="Y3" s="149"/>
      <c r="Z3" s="149"/>
    </row>
    <row r="4" ht="21.0" customHeight="1">
      <c r="A4" s="170" t="s">
        <v>1233</v>
      </c>
      <c r="B4" s="171" t="s">
        <v>0</v>
      </c>
      <c r="C4" s="171" t="s">
        <v>1234</v>
      </c>
      <c r="D4" s="172" t="s">
        <v>1</v>
      </c>
      <c r="E4" s="171" t="s">
        <v>1235</v>
      </c>
      <c r="F4" s="171" t="s">
        <v>1236</v>
      </c>
      <c r="G4" s="171" t="s">
        <v>1237</v>
      </c>
      <c r="H4" s="172" t="s">
        <v>1238</v>
      </c>
      <c r="I4" s="171" t="s">
        <v>1239</v>
      </c>
      <c r="J4" s="171" t="s">
        <v>1240</v>
      </c>
      <c r="K4" s="172" t="s">
        <v>1241</v>
      </c>
      <c r="L4" s="171" t="s">
        <v>1242</v>
      </c>
      <c r="M4" s="172" t="s">
        <v>1243</v>
      </c>
      <c r="N4" s="171" t="s">
        <v>1244</v>
      </c>
      <c r="O4" s="171" t="s">
        <v>1245</v>
      </c>
      <c r="P4" s="171" t="s">
        <v>1246</v>
      </c>
      <c r="Q4" s="171" t="s">
        <v>1247</v>
      </c>
      <c r="R4" s="171" t="s">
        <v>0</v>
      </c>
      <c r="S4" s="171" t="s">
        <v>1234</v>
      </c>
      <c r="T4" s="171" t="s">
        <v>26</v>
      </c>
      <c r="U4" s="171" t="s">
        <v>1248</v>
      </c>
      <c r="V4" s="171" t="s">
        <v>1246</v>
      </c>
      <c r="W4" s="172" t="s">
        <v>1245</v>
      </c>
      <c r="X4" s="172" t="s">
        <v>1232</v>
      </c>
      <c r="Y4" s="173"/>
      <c r="Z4" s="174"/>
    </row>
    <row r="5" ht="18.75" customHeight="1">
      <c r="A5" s="175" t="s">
        <v>1249</v>
      </c>
      <c r="B5" s="175" t="s">
        <v>27</v>
      </c>
      <c r="C5" s="175" t="s">
        <v>1250</v>
      </c>
      <c r="D5" s="154" t="s">
        <v>1251</v>
      </c>
      <c r="E5" s="155" t="s">
        <v>1252</v>
      </c>
      <c r="F5" s="176">
        <v>46081.0</v>
      </c>
      <c r="G5" s="176">
        <v>46195.0</v>
      </c>
      <c r="H5" s="175"/>
      <c r="I5" s="175"/>
      <c r="J5" s="154">
        <v>2000000.0</v>
      </c>
      <c r="K5" s="154">
        <v>620000.0</v>
      </c>
      <c r="L5" s="154">
        <v>-60000.0</v>
      </c>
      <c r="M5" s="154">
        <f t="shared" ref="M5:M43" si="2">K5-L5</f>
        <v>680000</v>
      </c>
      <c r="N5" s="154">
        <v>100000.0</v>
      </c>
      <c r="O5" s="175"/>
      <c r="P5" s="175" t="s">
        <v>1253</v>
      </c>
      <c r="Q5" s="155" t="s">
        <v>1254</v>
      </c>
      <c r="R5" s="155" t="s">
        <v>1255</v>
      </c>
      <c r="S5" s="155" t="str">
        <f t="shared" ref="S5:S21" si="3">C5</f>
        <v>A-1) 1인실 우측</v>
      </c>
      <c r="T5" s="155" t="s">
        <v>33</v>
      </c>
      <c r="U5" s="155" t="s">
        <v>1256</v>
      </c>
      <c r="V5" s="155" t="s">
        <v>1257</v>
      </c>
      <c r="W5" s="155" t="s">
        <v>1258</v>
      </c>
      <c r="X5" s="154">
        <f t="shared" ref="X5:X21" si="4">J5-500000</f>
        <v>1500000</v>
      </c>
      <c r="Y5" s="177" t="s">
        <v>1259</v>
      </c>
      <c r="Z5" s="177"/>
    </row>
    <row r="6" ht="16.5" customHeight="1">
      <c r="A6" s="178" t="s">
        <v>1249</v>
      </c>
      <c r="B6" s="178" t="s">
        <v>27</v>
      </c>
      <c r="C6" s="178" t="s">
        <v>1260</v>
      </c>
      <c r="D6" s="179" t="s">
        <v>1251</v>
      </c>
      <c r="E6" s="180" t="s">
        <v>1261</v>
      </c>
      <c r="F6" s="181">
        <v>46082.0</v>
      </c>
      <c r="G6" s="181">
        <v>46173.0</v>
      </c>
      <c r="H6" s="182" t="s">
        <v>1262</v>
      </c>
      <c r="I6" s="183"/>
      <c r="J6" s="179">
        <v>2000000.0</v>
      </c>
      <c r="K6" s="179">
        <v>590000.0</v>
      </c>
      <c r="L6" s="179">
        <v>0.0</v>
      </c>
      <c r="M6" s="179">
        <f t="shared" si="2"/>
        <v>590000</v>
      </c>
      <c r="N6" s="179">
        <v>100000.0</v>
      </c>
      <c r="O6" s="178"/>
      <c r="P6" s="178" t="s">
        <v>1263</v>
      </c>
      <c r="Q6" s="180" t="s">
        <v>1254</v>
      </c>
      <c r="R6" s="180" t="s">
        <v>1255</v>
      </c>
      <c r="S6" s="180" t="str">
        <f t="shared" si="3"/>
        <v>B-1) 1인실 좌측</v>
      </c>
      <c r="T6" s="180" t="s">
        <v>33</v>
      </c>
      <c r="U6" s="180" t="s">
        <v>1256</v>
      </c>
      <c r="V6" s="180" t="s">
        <v>1257</v>
      </c>
      <c r="W6" s="180" t="s">
        <v>1258</v>
      </c>
      <c r="X6" s="179">
        <f t="shared" si="4"/>
        <v>1500000</v>
      </c>
      <c r="Y6" s="184" t="s">
        <v>1259</v>
      </c>
      <c r="Z6" s="184"/>
    </row>
    <row r="7" ht="16.5" customHeight="1">
      <c r="A7" s="175" t="s">
        <v>1249</v>
      </c>
      <c r="B7" s="175" t="s">
        <v>27</v>
      </c>
      <c r="C7" s="175" t="s">
        <v>1264</v>
      </c>
      <c r="D7" s="154" t="s">
        <v>1265</v>
      </c>
      <c r="E7" s="155" t="s">
        <v>1266</v>
      </c>
      <c r="F7" s="185">
        <v>46113.0</v>
      </c>
      <c r="G7" s="185">
        <v>46142.0</v>
      </c>
      <c r="H7" s="175" t="s">
        <v>1267</v>
      </c>
      <c r="I7" s="186" t="s">
        <v>1268</v>
      </c>
      <c r="J7" s="154">
        <v>2000000.0</v>
      </c>
      <c r="K7" s="154">
        <v>470000.0</v>
      </c>
      <c r="L7" s="154">
        <v>0.0</v>
      </c>
      <c r="M7" s="154">
        <f t="shared" si="2"/>
        <v>470000</v>
      </c>
      <c r="N7" s="154">
        <v>100000.0</v>
      </c>
      <c r="O7" s="175" t="s">
        <v>1269</v>
      </c>
      <c r="P7" s="175" t="s">
        <v>1270</v>
      </c>
      <c r="Q7" s="155" t="s">
        <v>1254</v>
      </c>
      <c r="R7" s="155" t="s">
        <v>1255</v>
      </c>
      <c r="S7" s="155" t="str">
        <f t="shared" si="3"/>
        <v>C-1) 2인실 오</v>
      </c>
      <c r="T7" s="155" t="s">
        <v>33</v>
      </c>
      <c r="U7" s="155" t="s">
        <v>1256</v>
      </c>
      <c r="V7" s="155" t="s">
        <v>1257</v>
      </c>
      <c r="W7" s="155" t="s">
        <v>1258</v>
      </c>
      <c r="X7" s="154">
        <f t="shared" si="4"/>
        <v>1500000</v>
      </c>
      <c r="Y7" s="177" t="s">
        <v>1259</v>
      </c>
      <c r="Z7" s="177"/>
    </row>
    <row r="8" ht="16.5" customHeight="1">
      <c r="A8" s="187" t="s">
        <v>1249</v>
      </c>
      <c r="B8" s="187" t="s">
        <v>27</v>
      </c>
      <c r="C8" s="187" t="s">
        <v>1271</v>
      </c>
      <c r="D8" s="188" t="s">
        <v>1265</v>
      </c>
      <c r="E8" s="189" t="s">
        <v>1272</v>
      </c>
      <c r="F8" s="190">
        <v>45962.0</v>
      </c>
      <c r="G8" s="190">
        <v>46142.0</v>
      </c>
      <c r="H8" s="191" t="s">
        <v>1267</v>
      </c>
      <c r="I8" s="187" t="s">
        <v>1268</v>
      </c>
      <c r="J8" s="188">
        <v>2000000.0</v>
      </c>
      <c r="K8" s="188">
        <v>470000.0</v>
      </c>
      <c r="L8" s="188">
        <v>0.0</v>
      </c>
      <c r="M8" s="188">
        <f t="shared" si="2"/>
        <v>470000</v>
      </c>
      <c r="N8" s="188">
        <v>100000.0</v>
      </c>
      <c r="O8" s="187" t="s">
        <v>1273</v>
      </c>
      <c r="P8" s="187" t="s">
        <v>1274</v>
      </c>
      <c r="Q8" s="189" t="s">
        <v>1254</v>
      </c>
      <c r="R8" s="189" t="s">
        <v>1255</v>
      </c>
      <c r="S8" s="189" t="str">
        <f t="shared" si="3"/>
        <v>C-2) 2인실 왼 (창가)</v>
      </c>
      <c r="T8" s="189" t="s">
        <v>33</v>
      </c>
      <c r="U8" s="189" t="s">
        <v>1256</v>
      </c>
      <c r="V8" s="189" t="s">
        <v>1257</v>
      </c>
      <c r="W8" s="189" t="s">
        <v>1258</v>
      </c>
      <c r="X8" s="192">
        <f t="shared" si="4"/>
        <v>1500000</v>
      </c>
      <c r="Y8" s="184" t="s">
        <v>1259</v>
      </c>
      <c r="Z8" s="184"/>
    </row>
    <row r="9" ht="16.5" customHeight="1">
      <c r="A9" s="175" t="s">
        <v>1249</v>
      </c>
      <c r="B9" s="175" t="s">
        <v>58</v>
      </c>
      <c r="C9" s="175" t="s">
        <v>59</v>
      </c>
      <c r="D9" s="154" t="s">
        <v>1251</v>
      </c>
      <c r="E9" s="155" t="s">
        <v>1275</v>
      </c>
      <c r="F9" s="185">
        <v>45894.0</v>
      </c>
      <c r="G9" s="185">
        <v>46173.0</v>
      </c>
      <c r="H9" s="175"/>
      <c r="I9" s="175"/>
      <c r="J9" s="154">
        <v>2000000.0</v>
      </c>
      <c r="K9" s="154">
        <v>650000.0</v>
      </c>
      <c r="L9" s="154">
        <v>-50000.0</v>
      </c>
      <c r="M9" s="154">
        <f t="shared" si="2"/>
        <v>700000</v>
      </c>
      <c r="N9" s="154">
        <v>100000.0</v>
      </c>
      <c r="O9" s="175"/>
      <c r="P9" s="175" t="s">
        <v>1276</v>
      </c>
      <c r="Q9" s="155" t="s">
        <v>1277</v>
      </c>
      <c r="R9" s="155" t="s">
        <v>1278</v>
      </c>
      <c r="S9" s="155" t="str">
        <f t="shared" si="3"/>
        <v>A-1) 화장실 옆</v>
      </c>
      <c r="T9" s="155" t="s">
        <v>63</v>
      </c>
      <c r="U9" s="155" t="s">
        <v>1279</v>
      </c>
      <c r="V9" s="157" t="s">
        <v>1280</v>
      </c>
      <c r="W9" s="193" t="s">
        <v>1281</v>
      </c>
      <c r="X9" s="154">
        <f t="shared" si="4"/>
        <v>1500000</v>
      </c>
      <c r="Y9" s="177" t="s">
        <v>63</v>
      </c>
      <c r="Z9" s="177" t="s">
        <v>1282</v>
      </c>
    </row>
    <row r="10" ht="16.5" customHeight="1">
      <c r="A10" s="178" t="s">
        <v>1249</v>
      </c>
      <c r="B10" s="178" t="s">
        <v>58</v>
      </c>
      <c r="C10" s="178" t="s">
        <v>64</v>
      </c>
      <c r="D10" s="179" t="s">
        <v>1251</v>
      </c>
      <c r="E10" s="180" t="s">
        <v>1283</v>
      </c>
      <c r="F10" s="181">
        <v>46081.0</v>
      </c>
      <c r="G10" s="181">
        <v>46188.0</v>
      </c>
      <c r="H10" s="178"/>
      <c r="I10" s="178"/>
      <c r="J10" s="179">
        <v>2000000.0</v>
      </c>
      <c r="K10" s="179">
        <v>620000.0</v>
      </c>
      <c r="L10" s="179">
        <v>-80000.0</v>
      </c>
      <c r="M10" s="179">
        <f t="shared" si="2"/>
        <v>700000</v>
      </c>
      <c r="N10" s="179">
        <v>100000.0</v>
      </c>
      <c r="O10" s="178"/>
      <c r="P10" s="178" t="s">
        <v>1284</v>
      </c>
      <c r="Q10" s="180" t="s">
        <v>1277</v>
      </c>
      <c r="R10" s="180" t="s">
        <v>1278</v>
      </c>
      <c r="S10" s="180" t="str">
        <f t="shared" si="3"/>
        <v>B-1) 주방 앞</v>
      </c>
      <c r="T10" s="180" t="s">
        <v>63</v>
      </c>
      <c r="U10" s="180" t="s">
        <v>1221</v>
      </c>
      <c r="V10" s="194" t="s">
        <v>1280</v>
      </c>
      <c r="W10" s="180" t="s">
        <v>1281</v>
      </c>
      <c r="X10" s="179">
        <f t="shared" si="4"/>
        <v>1500000</v>
      </c>
      <c r="Y10" s="184" t="s">
        <v>63</v>
      </c>
      <c r="Z10" s="184" t="s">
        <v>1285</v>
      </c>
    </row>
    <row r="11" ht="18.75" customHeight="1">
      <c r="A11" s="175" t="s">
        <v>1249</v>
      </c>
      <c r="B11" s="175" t="s">
        <v>58</v>
      </c>
      <c r="C11" s="175" t="s">
        <v>1286</v>
      </c>
      <c r="D11" s="154" t="s">
        <v>1251</v>
      </c>
      <c r="E11" s="155" t="s">
        <v>1287</v>
      </c>
      <c r="F11" s="185">
        <v>46031.0</v>
      </c>
      <c r="G11" s="185">
        <v>46200.0</v>
      </c>
      <c r="H11" s="175"/>
      <c r="I11" s="175"/>
      <c r="J11" s="154">
        <v>2000000.0</v>
      </c>
      <c r="K11" s="154">
        <v>540000.0</v>
      </c>
      <c r="L11" s="154">
        <v>0.0</v>
      </c>
      <c r="M11" s="154">
        <f t="shared" si="2"/>
        <v>540000</v>
      </c>
      <c r="N11" s="154">
        <v>100000.0</v>
      </c>
      <c r="O11" s="175" t="s">
        <v>1288</v>
      </c>
      <c r="P11" s="175" t="s">
        <v>1289</v>
      </c>
      <c r="Q11" s="155" t="s">
        <v>1277</v>
      </c>
      <c r="R11" s="155" t="s">
        <v>1278</v>
      </c>
      <c r="S11" s="155" t="str">
        <f t="shared" si="3"/>
        <v>C-1) 윗층 왼쪽</v>
      </c>
      <c r="T11" s="155" t="s">
        <v>63</v>
      </c>
      <c r="U11" s="155" t="s">
        <v>1279</v>
      </c>
      <c r="V11" s="157" t="s">
        <v>1280</v>
      </c>
      <c r="W11" s="155" t="s">
        <v>1281</v>
      </c>
      <c r="X11" s="154">
        <f t="shared" si="4"/>
        <v>1500000</v>
      </c>
      <c r="Y11" s="177" t="s">
        <v>63</v>
      </c>
      <c r="Z11" s="177" t="s">
        <v>1282</v>
      </c>
    </row>
    <row r="12" ht="16.5" customHeight="1">
      <c r="A12" s="178" t="s">
        <v>1249</v>
      </c>
      <c r="B12" s="178" t="s">
        <v>58</v>
      </c>
      <c r="C12" s="178" t="s">
        <v>83</v>
      </c>
      <c r="D12" s="179" t="s">
        <v>1251</v>
      </c>
      <c r="E12" s="180" t="s">
        <v>88</v>
      </c>
      <c r="F12" s="181">
        <v>46023.0</v>
      </c>
      <c r="G12" s="181">
        <v>46387.0</v>
      </c>
      <c r="H12" s="178"/>
      <c r="I12" s="178"/>
      <c r="J12" s="179">
        <v>2000000.0</v>
      </c>
      <c r="K12" s="179">
        <v>540000.0</v>
      </c>
      <c r="L12" s="179">
        <v>-30000.0</v>
      </c>
      <c r="M12" s="179">
        <f t="shared" si="2"/>
        <v>570000</v>
      </c>
      <c r="N12" s="179">
        <v>100000.0</v>
      </c>
      <c r="O12" s="178" t="s">
        <v>1290</v>
      </c>
      <c r="P12" s="178" t="s">
        <v>1291</v>
      </c>
      <c r="Q12" s="180" t="s">
        <v>1277</v>
      </c>
      <c r="R12" s="180" t="s">
        <v>1278</v>
      </c>
      <c r="S12" s="180" t="str">
        <f t="shared" si="3"/>
        <v>D-1) 윗층 오</v>
      </c>
      <c r="T12" s="180" t="s">
        <v>63</v>
      </c>
      <c r="U12" s="180" t="s">
        <v>1279</v>
      </c>
      <c r="V12" s="194" t="s">
        <v>1280</v>
      </c>
      <c r="W12" s="180" t="s">
        <v>1281</v>
      </c>
      <c r="X12" s="179">
        <f t="shared" si="4"/>
        <v>1500000</v>
      </c>
      <c r="Y12" s="184" t="s">
        <v>63</v>
      </c>
      <c r="Z12" s="184" t="s">
        <v>1285</v>
      </c>
    </row>
    <row r="13" ht="16.5" customHeight="1">
      <c r="A13" s="175" t="s">
        <v>1249</v>
      </c>
      <c r="B13" s="175" t="s">
        <v>58</v>
      </c>
      <c r="C13" s="175" t="s">
        <v>89</v>
      </c>
      <c r="D13" s="154" t="s">
        <v>1265</v>
      </c>
      <c r="E13" s="155" t="s">
        <v>1292</v>
      </c>
      <c r="F13" s="185"/>
      <c r="G13" s="185"/>
      <c r="H13" s="175"/>
      <c r="I13" s="175" t="s">
        <v>1239</v>
      </c>
      <c r="J13" s="154">
        <v>2000000.0</v>
      </c>
      <c r="K13" s="154">
        <v>480000.0</v>
      </c>
      <c r="L13" s="154">
        <v>0.0</v>
      </c>
      <c r="M13" s="154">
        <f t="shared" si="2"/>
        <v>480000</v>
      </c>
      <c r="N13" s="154">
        <v>100000.0</v>
      </c>
      <c r="O13" s="175"/>
      <c r="P13" s="175"/>
      <c r="Q13" s="155" t="s">
        <v>1277</v>
      </c>
      <c r="R13" s="155" t="s">
        <v>1278</v>
      </c>
      <c r="S13" s="155" t="str">
        <f t="shared" si="3"/>
        <v>E-1) 화장실 우 오른쪽</v>
      </c>
      <c r="T13" s="155" t="s">
        <v>63</v>
      </c>
      <c r="U13" s="155" t="s">
        <v>1279</v>
      </c>
      <c r="V13" s="157" t="s">
        <v>1280</v>
      </c>
      <c r="W13" s="155" t="s">
        <v>1281</v>
      </c>
      <c r="X13" s="154">
        <f t="shared" si="4"/>
        <v>1500000</v>
      </c>
      <c r="Y13" s="177" t="s">
        <v>63</v>
      </c>
      <c r="Z13" s="177" t="s">
        <v>1293</v>
      </c>
    </row>
    <row r="14" ht="16.5" customHeight="1">
      <c r="A14" s="187" t="s">
        <v>1249</v>
      </c>
      <c r="B14" s="187" t="s">
        <v>58</v>
      </c>
      <c r="C14" s="187" t="s">
        <v>92</v>
      </c>
      <c r="D14" s="188" t="s">
        <v>1265</v>
      </c>
      <c r="E14" s="189" t="s">
        <v>1292</v>
      </c>
      <c r="F14" s="190"/>
      <c r="G14" s="190"/>
      <c r="H14" s="187"/>
      <c r="I14" s="187" t="s">
        <v>1239</v>
      </c>
      <c r="J14" s="188">
        <v>2000000.0</v>
      </c>
      <c r="K14" s="188">
        <v>480000.0</v>
      </c>
      <c r="L14" s="188">
        <v>0.0</v>
      </c>
      <c r="M14" s="188">
        <f t="shared" si="2"/>
        <v>480000</v>
      </c>
      <c r="N14" s="188">
        <v>100000.0</v>
      </c>
      <c r="O14" s="187"/>
      <c r="P14" s="187"/>
      <c r="Q14" s="189" t="s">
        <v>1277</v>
      </c>
      <c r="R14" s="189" t="s">
        <v>1278</v>
      </c>
      <c r="S14" s="189" t="str">
        <f t="shared" si="3"/>
        <v>E-2) 화장실 우 왼쪽</v>
      </c>
      <c r="T14" s="189" t="s">
        <v>63</v>
      </c>
      <c r="U14" s="189" t="s">
        <v>1279</v>
      </c>
      <c r="V14" s="195" t="s">
        <v>1280</v>
      </c>
      <c r="W14" s="189" t="s">
        <v>1281</v>
      </c>
      <c r="X14" s="192">
        <f t="shared" si="4"/>
        <v>1500000</v>
      </c>
      <c r="Y14" s="184" t="s">
        <v>63</v>
      </c>
      <c r="Z14" s="184" t="s">
        <v>1293</v>
      </c>
    </row>
    <row r="15" ht="16.5" customHeight="1">
      <c r="A15" s="175" t="s">
        <v>1249</v>
      </c>
      <c r="B15" s="175" t="s">
        <v>97</v>
      </c>
      <c r="C15" s="175" t="s">
        <v>98</v>
      </c>
      <c r="D15" s="154" t="s">
        <v>1251</v>
      </c>
      <c r="E15" s="155" t="s">
        <v>105</v>
      </c>
      <c r="F15" s="185">
        <v>46054.0</v>
      </c>
      <c r="G15" s="185">
        <v>46418.0</v>
      </c>
      <c r="H15" s="175"/>
      <c r="I15" s="175"/>
      <c r="J15" s="154">
        <v>2000000.0</v>
      </c>
      <c r="K15" s="154">
        <v>620000.0</v>
      </c>
      <c r="L15" s="154">
        <v>70000.0</v>
      </c>
      <c r="M15" s="154">
        <f t="shared" si="2"/>
        <v>550000</v>
      </c>
      <c r="N15" s="154">
        <v>100000.0</v>
      </c>
      <c r="O15" s="175" t="s">
        <v>1294</v>
      </c>
      <c r="P15" s="175" t="s">
        <v>1295</v>
      </c>
      <c r="Q15" s="155" t="s">
        <v>1296</v>
      </c>
      <c r="R15" s="155" t="s">
        <v>1297</v>
      </c>
      <c r="S15" s="155" t="str">
        <f t="shared" si="3"/>
        <v>A-1) 미닫이문 오</v>
      </c>
      <c r="T15" s="155" t="s">
        <v>63</v>
      </c>
      <c r="U15" s="155" t="s">
        <v>1298</v>
      </c>
      <c r="V15" s="157" t="s">
        <v>1280</v>
      </c>
      <c r="W15" s="155" t="s">
        <v>1281</v>
      </c>
      <c r="X15" s="154">
        <f t="shared" si="4"/>
        <v>1500000</v>
      </c>
      <c r="Y15" s="177" t="s">
        <v>63</v>
      </c>
      <c r="Z15" s="177"/>
    </row>
    <row r="16" ht="16.5" customHeight="1">
      <c r="A16" s="178" t="s">
        <v>1249</v>
      </c>
      <c r="B16" s="178" t="s">
        <v>97</v>
      </c>
      <c r="C16" s="178" t="s">
        <v>104</v>
      </c>
      <c r="D16" s="179" t="s">
        <v>1251</v>
      </c>
      <c r="E16" s="155" t="s">
        <v>1299</v>
      </c>
      <c r="F16" s="181">
        <v>46102.0</v>
      </c>
      <c r="G16" s="181">
        <v>46466.0</v>
      </c>
      <c r="H16" s="178"/>
      <c r="I16" s="178"/>
      <c r="J16" s="179">
        <v>2000000.0</v>
      </c>
      <c r="K16" s="179">
        <v>620000.0</v>
      </c>
      <c r="L16" s="179">
        <v>50000.0</v>
      </c>
      <c r="M16" s="179">
        <f t="shared" si="2"/>
        <v>570000</v>
      </c>
      <c r="N16" s="179">
        <v>100000.0</v>
      </c>
      <c r="O16" s="178" t="s">
        <v>1300</v>
      </c>
      <c r="P16" s="178" t="s">
        <v>1301</v>
      </c>
      <c r="Q16" s="180" t="s">
        <v>1296</v>
      </c>
      <c r="R16" s="180" t="s">
        <v>1297</v>
      </c>
      <c r="S16" s="180" t="str">
        <f t="shared" si="3"/>
        <v>B-1) 거실 오른쪽</v>
      </c>
      <c r="T16" s="180" t="s">
        <v>63</v>
      </c>
      <c r="U16" s="180" t="s">
        <v>1298</v>
      </c>
      <c r="V16" s="194" t="s">
        <v>1280</v>
      </c>
      <c r="W16" s="180" t="s">
        <v>1281</v>
      </c>
      <c r="X16" s="179">
        <f t="shared" si="4"/>
        <v>1500000</v>
      </c>
      <c r="Y16" s="184" t="s">
        <v>63</v>
      </c>
      <c r="Z16" s="184"/>
    </row>
    <row r="17" ht="16.5" customHeight="1">
      <c r="A17" s="175" t="s">
        <v>1249</v>
      </c>
      <c r="B17" s="175" t="s">
        <v>97</v>
      </c>
      <c r="C17" s="175" t="s">
        <v>106</v>
      </c>
      <c r="D17" s="154" t="s">
        <v>1251</v>
      </c>
      <c r="E17" s="155" t="s">
        <v>1302</v>
      </c>
      <c r="F17" s="185">
        <v>46089.0</v>
      </c>
      <c r="G17" s="185">
        <v>46180.0</v>
      </c>
      <c r="H17" s="175"/>
      <c r="I17" s="186"/>
      <c r="J17" s="154">
        <v>2000000.0</v>
      </c>
      <c r="K17" s="154">
        <v>590000.0</v>
      </c>
      <c r="L17" s="154">
        <v>-30000.0</v>
      </c>
      <c r="M17" s="154">
        <f t="shared" si="2"/>
        <v>620000</v>
      </c>
      <c r="N17" s="154">
        <v>100000.0</v>
      </c>
      <c r="O17" s="175"/>
      <c r="P17" s="175" t="s">
        <v>1303</v>
      </c>
      <c r="Q17" s="155" t="s">
        <v>1296</v>
      </c>
      <c r="R17" s="155" t="s">
        <v>1297</v>
      </c>
      <c r="S17" s="155" t="str">
        <f t="shared" si="3"/>
        <v>C-1) 주방 맞은편</v>
      </c>
      <c r="T17" s="155" t="s">
        <v>63</v>
      </c>
      <c r="U17" s="155" t="s">
        <v>1298</v>
      </c>
      <c r="V17" s="157" t="s">
        <v>1280</v>
      </c>
      <c r="W17" s="155" t="s">
        <v>1281</v>
      </c>
      <c r="X17" s="154">
        <f t="shared" si="4"/>
        <v>1500000</v>
      </c>
      <c r="Y17" s="177" t="s">
        <v>63</v>
      </c>
      <c r="Z17" s="177" t="s">
        <v>1282</v>
      </c>
    </row>
    <row r="18" ht="16.5" customHeight="1">
      <c r="A18" s="178" t="s">
        <v>1249</v>
      </c>
      <c r="B18" s="178" t="s">
        <v>97</v>
      </c>
      <c r="C18" s="178" t="s">
        <v>112</v>
      </c>
      <c r="D18" s="179" t="s">
        <v>1265</v>
      </c>
      <c r="E18" s="180" t="s">
        <v>1304</v>
      </c>
      <c r="F18" s="181">
        <v>46096.0</v>
      </c>
      <c r="G18" s="181">
        <v>46187.0</v>
      </c>
      <c r="H18" s="178"/>
      <c r="I18" s="178"/>
      <c r="J18" s="179">
        <v>2000000.0</v>
      </c>
      <c r="K18" s="179">
        <v>500000.0</v>
      </c>
      <c r="L18" s="179">
        <v>-30000.0</v>
      </c>
      <c r="M18" s="179">
        <f t="shared" si="2"/>
        <v>530000</v>
      </c>
      <c r="N18" s="179">
        <v>100000.0</v>
      </c>
      <c r="O18" s="178" t="s">
        <v>1305</v>
      </c>
      <c r="P18" s="178" t="s">
        <v>1306</v>
      </c>
      <c r="Q18" s="180" t="s">
        <v>1296</v>
      </c>
      <c r="R18" s="180" t="s">
        <v>1297</v>
      </c>
      <c r="S18" s="180" t="str">
        <f t="shared" si="3"/>
        <v>D-1) 주방 옆 문쪽</v>
      </c>
      <c r="T18" s="180" t="s">
        <v>63</v>
      </c>
      <c r="U18" s="180" t="s">
        <v>1221</v>
      </c>
      <c r="V18" s="194" t="s">
        <v>1280</v>
      </c>
      <c r="W18" s="180" t="s">
        <v>1281</v>
      </c>
      <c r="X18" s="179">
        <f t="shared" si="4"/>
        <v>1500000</v>
      </c>
      <c r="Y18" s="184" t="s">
        <v>63</v>
      </c>
      <c r="Z18" s="184"/>
    </row>
    <row r="19" ht="16.5" customHeight="1">
      <c r="A19" s="175" t="s">
        <v>1249</v>
      </c>
      <c r="B19" s="175" t="s">
        <v>97</v>
      </c>
      <c r="C19" s="175" t="s">
        <v>125</v>
      </c>
      <c r="D19" s="154" t="s">
        <v>1265</v>
      </c>
      <c r="E19" s="155" t="s">
        <v>1307</v>
      </c>
      <c r="F19" s="185">
        <v>45954.0</v>
      </c>
      <c r="G19" s="185">
        <v>46319.0</v>
      </c>
      <c r="H19" s="175"/>
      <c r="I19" s="186"/>
      <c r="J19" s="154">
        <v>2000000.0</v>
      </c>
      <c r="K19" s="154">
        <v>500000.0</v>
      </c>
      <c r="L19" s="154">
        <v>-50000.0</v>
      </c>
      <c r="M19" s="154">
        <f t="shared" si="2"/>
        <v>550000</v>
      </c>
      <c r="N19" s="154">
        <v>100000.0</v>
      </c>
      <c r="O19" s="175"/>
      <c r="P19" s="175"/>
      <c r="Q19" s="155" t="s">
        <v>1296</v>
      </c>
      <c r="R19" s="155" t="s">
        <v>1297</v>
      </c>
      <c r="S19" s="155" t="str">
        <f t="shared" si="3"/>
        <v>D-2) 주방 옆 안쪽</v>
      </c>
      <c r="T19" s="155" t="s">
        <v>63</v>
      </c>
      <c r="U19" s="155" t="s">
        <v>1298</v>
      </c>
      <c r="V19" s="157" t="s">
        <v>1280</v>
      </c>
      <c r="W19" s="155" t="s">
        <v>1281</v>
      </c>
      <c r="X19" s="154">
        <f t="shared" si="4"/>
        <v>1500000</v>
      </c>
      <c r="Y19" s="177" t="s">
        <v>63</v>
      </c>
      <c r="Z19" s="177" t="s">
        <v>1282</v>
      </c>
    </row>
    <row r="20" ht="16.5" customHeight="1">
      <c r="A20" s="178" t="s">
        <v>1249</v>
      </c>
      <c r="B20" s="178" t="s">
        <v>97</v>
      </c>
      <c r="C20" s="178" t="s">
        <v>1308</v>
      </c>
      <c r="D20" s="179" t="s">
        <v>1265</v>
      </c>
      <c r="E20" s="180" t="s">
        <v>1309</v>
      </c>
      <c r="F20" s="181">
        <v>46116.0</v>
      </c>
      <c r="G20" s="181">
        <v>46477.0</v>
      </c>
      <c r="H20" s="178"/>
      <c r="I20" s="178"/>
      <c r="J20" s="179">
        <v>2000000.0</v>
      </c>
      <c r="K20" s="179">
        <v>470000.0</v>
      </c>
      <c r="L20" s="179">
        <v>50000.0</v>
      </c>
      <c r="M20" s="179">
        <f t="shared" si="2"/>
        <v>420000</v>
      </c>
      <c r="N20" s="179">
        <v>100000.0</v>
      </c>
      <c r="O20" s="178" t="s">
        <v>1310</v>
      </c>
      <c r="P20" s="178" t="s">
        <v>1311</v>
      </c>
      <c r="Q20" s="180" t="s">
        <v>1296</v>
      </c>
      <c r="R20" s="180" t="s">
        <v>1297</v>
      </c>
      <c r="S20" s="180" t="str">
        <f t="shared" si="3"/>
        <v>E-1) 입구방 왼쪽</v>
      </c>
      <c r="T20" s="180" t="s">
        <v>63</v>
      </c>
      <c r="U20" s="180" t="s">
        <v>1298</v>
      </c>
      <c r="V20" s="194" t="s">
        <v>1280</v>
      </c>
      <c r="W20" s="180" t="s">
        <v>1281</v>
      </c>
      <c r="X20" s="179">
        <f t="shared" si="4"/>
        <v>1500000</v>
      </c>
      <c r="Y20" s="184" t="s">
        <v>63</v>
      </c>
      <c r="Z20" s="184" t="s">
        <v>1293</v>
      </c>
    </row>
    <row r="21" ht="16.5" customHeight="1">
      <c r="A21" s="175" t="s">
        <v>1249</v>
      </c>
      <c r="B21" s="175" t="s">
        <v>97</v>
      </c>
      <c r="C21" s="175" t="s">
        <v>1312</v>
      </c>
      <c r="D21" s="154" t="s">
        <v>1265</v>
      </c>
      <c r="E21" s="155" t="s">
        <v>1313</v>
      </c>
      <c r="F21" s="185">
        <v>45997.0</v>
      </c>
      <c r="G21" s="185">
        <v>46173.0</v>
      </c>
      <c r="H21" s="175"/>
      <c r="I21" s="175"/>
      <c r="J21" s="154">
        <v>2000000.0</v>
      </c>
      <c r="K21" s="154">
        <v>470000.0</v>
      </c>
      <c r="L21" s="154">
        <v>-30000.0</v>
      </c>
      <c r="M21" s="154">
        <f t="shared" si="2"/>
        <v>500000</v>
      </c>
      <c r="N21" s="154">
        <v>100000.0</v>
      </c>
      <c r="O21" s="175" t="s">
        <v>1314</v>
      </c>
      <c r="P21" s="175" t="s">
        <v>1315</v>
      </c>
      <c r="Q21" s="155" t="s">
        <v>1296</v>
      </c>
      <c r="R21" s="155" t="s">
        <v>1297</v>
      </c>
      <c r="S21" s="155" t="str">
        <f t="shared" si="3"/>
        <v>E-2) 입구방 오른쪽</v>
      </c>
      <c r="T21" s="155" t="s">
        <v>63</v>
      </c>
      <c r="U21" s="155" t="s">
        <v>1298</v>
      </c>
      <c r="V21" s="157" t="s">
        <v>1280</v>
      </c>
      <c r="W21" s="155" t="s">
        <v>1281</v>
      </c>
      <c r="X21" s="154">
        <f t="shared" si="4"/>
        <v>1500000</v>
      </c>
      <c r="Y21" s="177" t="s">
        <v>63</v>
      </c>
      <c r="Z21" s="177"/>
    </row>
    <row r="22" ht="16.5" customHeight="1">
      <c r="A22" s="196" t="s">
        <v>1249</v>
      </c>
      <c r="B22" s="196" t="s">
        <v>97</v>
      </c>
      <c r="C22" s="178" t="s">
        <v>145</v>
      </c>
      <c r="D22" s="197" t="s">
        <v>1265</v>
      </c>
      <c r="E22" s="180" t="s">
        <v>1292</v>
      </c>
      <c r="F22" s="181"/>
      <c r="G22" s="181"/>
      <c r="H22" s="178"/>
      <c r="I22" s="178" t="s">
        <v>1239</v>
      </c>
      <c r="J22" s="197">
        <v>1000000.0</v>
      </c>
      <c r="K22" s="179">
        <v>490000.0</v>
      </c>
      <c r="L22" s="179">
        <v>0.0</v>
      </c>
      <c r="M22" s="179">
        <f t="shared" si="2"/>
        <v>490000</v>
      </c>
      <c r="N22" s="179">
        <v>100000.0</v>
      </c>
      <c r="O22" s="178"/>
      <c r="P22" s="178"/>
      <c r="Q22" s="198" t="s">
        <v>1296</v>
      </c>
      <c r="R22" s="198" t="s">
        <v>1297</v>
      </c>
      <c r="S22" s="198" t="s">
        <v>150</v>
      </c>
      <c r="T22" s="198" t="s">
        <v>63</v>
      </c>
      <c r="U22" s="180" t="s">
        <v>1298</v>
      </c>
      <c r="V22" s="194" t="s">
        <v>1280</v>
      </c>
      <c r="W22" s="198" t="s">
        <v>1281</v>
      </c>
      <c r="X22" s="197">
        <v>500000.0</v>
      </c>
      <c r="Y22" s="184" t="s">
        <v>63</v>
      </c>
      <c r="Z22" s="199"/>
    </row>
    <row r="23" ht="16.5" customHeight="1">
      <c r="A23" s="200" t="s">
        <v>1249</v>
      </c>
      <c r="B23" s="200" t="s">
        <v>97</v>
      </c>
      <c r="C23" s="200" t="s">
        <v>150</v>
      </c>
      <c r="D23" s="201" t="s">
        <v>1265</v>
      </c>
      <c r="E23" s="202" t="s">
        <v>1292</v>
      </c>
      <c r="F23" s="203"/>
      <c r="G23" s="203"/>
      <c r="H23" s="204"/>
      <c r="I23" s="200" t="s">
        <v>1239</v>
      </c>
      <c r="J23" s="201">
        <v>1000000.0</v>
      </c>
      <c r="K23" s="201">
        <v>490000.0</v>
      </c>
      <c r="L23" s="201">
        <v>40000.0</v>
      </c>
      <c r="M23" s="201">
        <f t="shared" si="2"/>
        <v>450000</v>
      </c>
      <c r="N23" s="201">
        <v>80000.0</v>
      </c>
      <c r="O23" s="200" t="s">
        <v>1316</v>
      </c>
      <c r="P23" s="200" t="s">
        <v>1317</v>
      </c>
      <c r="Q23" s="202" t="s">
        <v>1296</v>
      </c>
      <c r="R23" s="202" t="s">
        <v>1297</v>
      </c>
      <c r="S23" s="202" t="str">
        <f t="shared" ref="S23:S198" si="5">C23</f>
        <v>F-2) 윗층방 오른쪽</v>
      </c>
      <c r="T23" s="202" t="s">
        <v>63</v>
      </c>
      <c r="U23" s="202" t="s">
        <v>1298</v>
      </c>
      <c r="V23" s="205" t="s">
        <v>1280</v>
      </c>
      <c r="W23" s="202" t="s">
        <v>1281</v>
      </c>
      <c r="X23" s="201">
        <f t="shared" ref="X23:X40" si="6">J23-500000</f>
        <v>500000</v>
      </c>
      <c r="Y23" s="177" t="s">
        <v>63</v>
      </c>
      <c r="Z23" s="177"/>
    </row>
    <row r="24" ht="16.5" customHeight="1">
      <c r="A24" s="178" t="s">
        <v>1249</v>
      </c>
      <c r="B24" s="178" t="s">
        <v>154</v>
      </c>
      <c r="C24" s="178" t="s">
        <v>155</v>
      </c>
      <c r="D24" s="179" t="s">
        <v>1251</v>
      </c>
      <c r="E24" s="180" t="s">
        <v>1318</v>
      </c>
      <c r="F24" s="181">
        <v>46054.0</v>
      </c>
      <c r="G24" s="181">
        <v>46234.0</v>
      </c>
      <c r="H24" s="178"/>
      <c r="I24" s="178"/>
      <c r="J24" s="179">
        <v>2000000.0</v>
      </c>
      <c r="K24" s="179">
        <v>650000.0</v>
      </c>
      <c r="L24" s="179">
        <v>0.0</v>
      </c>
      <c r="M24" s="179">
        <f t="shared" si="2"/>
        <v>650000</v>
      </c>
      <c r="N24" s="179">
        <v>100000.0</v>
      </c>
      <c r="O24" s="178" t="s">
        <v>1319</v>
      </c>
      <c r="P24" s="178" t="s">
        <v>1320</v>
      </c>
      <c r="Q24" s="180" t="s">
        <v>1321</v>
      </c>
      <c r="R24" s="180" t="s">
        <v>1322</v>
      </c>
      <c r="S24" s="180" t="str">
        <f t="shared" si="5"/>
        <v>A-1) (화) 왼</v>
      </c>
      <c r="T24" s="180" t="s">
        <v>63</v>
      </c>
      <c r="U24" s="180" t="s">
        <v>1323</v>
      </c>
      <c r="V24" s="194" t="s">
        <v>1280</v>
      </c>
      <c r="W24" s="180" t="s">
        <v>1281</v>
      </c>
      <c r="X24" s="179">
        <f t="shared" si="6"/>
        <v>1500000</v>
      </c>
      <c r="Y24" s="184" t="s">
        <v>63</v>
      </c>
      <c r="Z24" s="184"/>
    </row>
    <row r="25" ht="16.5" customHeight="1">
      <c r="A25" s="175" t="s">
        <v>1249</v>
      </c>
      <c r="B25" s="175" t="s">
        <v>154</v>
      </c>
      <c r="C25" s="175" t="s">
        <v>160</v>
      </c>
      <c r="D25" s="154" t="s">
        <v>1251</v>
      </c>
      <c r="E25" s="155" t="s">
        <v>1324</v>
      </c>
      <c r="F25" s="185">
        <v>46159.0</v>
      </c>
      <c r="G25" s="185">
        <v>46356.0</v>
      </c>
      <c r="H25" s="206" t="s">
        <v>1325</v>
      </c>
      <c r="I25" s="186"/>
      <c r="J25" s="154">
        <v>2000000.0</v>
      </c>
      <c r="K25" s="154">
        <v>620000.0</v>
      </c>
      <c r="L25" s="154">
        <v>0.0</v>
      </c>
      <c r="M25" s="154">
        <f t="shared" si="2"/>
        <v>620000</v>
      </c>
      <c r="N25" s="154">
        <v>100000.0</v>
      </c>
      <c r="O25" s="175" t="s">
        <v>1326</v>
      </c>
      <c r="P25" s="175" t="s">
        <v>1327</v>
      </c>
      <c r="Q25" s="155" t="s">
        <v>1321</v>
      </c>
      <c r="R25" s="155" t="s">
        <v>1322</v>
      </c>
      <c r="S25" s="155" t="str">
        <f t="shared" si="5"/>
        <v>B-1) (화) 오</v>
      </c>
      <c r="T25" s="155" t="s">
        <v>63</v>
      </c>
      <c r="U25" s="155" t="s">
        <v>1323</v>
      </c>
      <c r="V25" s="157" t="s">
        <v>1280</v>
      </c>
      <c r="W25" s="155" t="s">
        <v>1281</v>
      </c>
      <c r="X25" s="154">
        <f t="shared" si="6"/>
        <v>1500000</v>
      </c>
      <c r="Y25" s="177" t="s">
        <v>63</v>
      </c>
      <c r="Z25" s="177"/>
    </row>
    <row r="26" ht="16.5" customHeight="1">
      <c r="A26" s="178" t="s">
        <v>1249</v>
      </c>
      <c r="B26" s="178" t="s">
        <v>154</v>
      </c>
      <c r="C26" s="178" t="s">
        <v>165</v>
      </c>
      <c r="D26" s="179" t="s">
        <v>1251</v>
      </c>
      <c r="E26" s="179" t="s">
        <v>192</v>
      </c>
      <c r="F26" s="181">
        <v>45870.0</v>
      </c>
      <c r="G26" s="181">
        <v>46234.0</v>
      </c>
      <c r="H26" s="183"/>
      <c r="I26" s="183"/>
      <c r="J26" s="179">
        <v>2000000.0</v>
      </c>
      <c r="K26" s="179">
        <v>600000.0</v>
      </c>
      <c r="L26" s="179">
        <v>30000.0</v>
      </c>
      <c r="M26" s="179">
        <f t="shared" si="2"/>
        <v>570000</v>
      </c>
      <c r="N26" s="179">
        <v>100000.0</v>
      </c>
      <c r="O26" s="178" t="s">
        <v>1328</v>
      </c>
      <c r="P26" s="178" t="s">
        <v>1329</v>
      </c>
      <c r="Q26" s="180" t="s">
        <v>1321</v>
      </c>
      <c r="R26" s="180" t="s">
        <v>1322</v>
      </c>
      <c r="S26" s="180" t="str">
        <f t="shared" si="5"/>
        <v>C-1) 입구왼</v>
      </c>
      <c r="T26" s="180" t="s">
        <v>63</v>
      </c>
      <c r="U26" s="180" t="s">
        <v>1323</v>
      </c>
      <c r="V26" s="194" t="s">
        <v>1280</v>
      </c>
      <c r="W26" s="180" t="s">
        <v>1281</v>
      </c>
      <c r="X26" s="179">
        <f t="shared" si="6"/>
        <v>1500000</v>
      </c>
      <c r="Y26" s="184" t="s">
        <v>63</v>
      </c>
      <c r="Z26" s="184"/>
    </row>
    <row r="27" ht="16.5" customHeight="1">
      <c r="A27" s="175" t="s">
        <v>1249</v>
      </c>
      <c r="B27" s="175" t="s">
        <v>154</v>
      </c>
      <c r="C27" s="175" t="s">
        <v>167</v>
      </c>
      <c r="D27" s="154" t="s">
        <v>1251</v>
      </c>
      <c r="E27" s="155" t="s">
        <v>1330</v>
      </c>
      <c r="F27" s="185">
        <v>46032.0</v>
      </c>
      <c r="G27" s="185">
        <v>46212.0</v>
      </c>
      <c r="H27" s="175"/>
      <c r="I27" s="186"/>
      <c r="J27" s="154">
        <v>2000000.0</v>
      </c>
      <c r="K27" s="154">
        <v>550000.0</v>
      </c>
      <c r="L27" s="154">
        <v>0.0</v>
      </c>
      <c r="M27" s="154">
        <f t="shared" si="2"/>
        <v>550000</v>
      </c>
      <c r="N27" s="154">
        <v>100000.0</v>
      </c>
      <c r="O27" s="175" t="s">
        <v>1331</v>
      </c>
      <c r="P27" s="175" t="s">
        <v>1332</v>
      </c>
      <c r="Q27" s="155" t="s">
        <v>1321</v>
      </c>
      <c r="R27" s="155" t="s">
        <v>1322</v>
      </c>
      <c r="S27" s="155" t="str">
        <f t="shared" si="5"/>
        <v>D-1) 거실 가벽</v>
      </c>
      <c r="T27" s="155" t="s">
        <v>63</v>
      </c>
      <c r="U27" s="155" t="s">
        <v>1323</v>
      </c>
      <c r="V27" s="157" t="s">
        <v>1280</v>
      </c>
      <c r="W27" s="155" t="s">
        <v>1281</v>
      </c>
      <c r="X27" s="154">
        <f t="shared" si="6"/>
        <v>1500000</v>
      </c>
      <c r="Y27" s="177" t="s">
        <v>63</v>
      </c>
      <c r="Z27" s="177" t="s">
        <v>1282</v>
      </c>
    </row>
    <row r="28" ht="16.5" customHeight="1">
      <c r="A28" s="178" t="s">
        <v>1249</v>
      </c>
      <c r="B28" s="178" t="s">
        <v>154</v>
      </c>
      <c r="C28" s="178" t="s">
        <v>173</v>
      </c>
      <c r="D28" s="179" t="s">
        <v>1265</v>
      </c>
      <c r="E28" s="207" t="s">
        <v>1292</v>
      </c>
      <c r="F28" s="181"/>
      <c r="G28" s="181"/>
      <c r="H28" s="207"/>
      <c r="I28" s="183" t="s">
        <v>1239</v>
      </c>
      <c r="J28" s="179">
        <v>2000000.0</v>
      </c>
      <c r="K28" s="179">
        <v>480000.0</v>
      </c>
      <c r="L28" s="179">
        <v>0.0</v>
      </c>
      <c r="M28" s="179">
        <f t="shared" si="2"/>
        <v>480000</v>
      </c>
      <c r="N28" s="179">
        <v>100000.0</v>
      </c>
      <c r="O28" s="178"/>
      <c r="P28" s="178"/>
      <c r="Q28" s="180" t="s">
        <v>1321</v>
      </c>
      <c r="R28" s="180" t="s">
        <v>1322</v>
      </c>
      <c r="S28" s="180" t="str">
        <f t="shared" si="5"/>
        <v>E-1) (거실화) 왼</v>
      </c>
      <c r="T28" s="180" t="s">
        <v>63</v>
      </c>
      <c r="U28" s="180" t="s">
        <v>1323</v>
      </c>
      <c r="V28" s="194" t="s">
        <v>1280</v>
      </c>
      <c r="W28" s="180" t="s">
        <v>1281</v>
      </c>
      <c r="X28" s="179">
        <f t="shared" si="6"/>
        <v>1500000</v>
      </c>
      <c r="Y28" s="184" t="s">
        <v>63</v>
      </c>
      <c r="Z28" s="184" t="s">
        <v>1282</v>
      </c>
    </row>
    <row r="29" ht="16.5" customHeight="1">
      <c r="A29" s="175" t="s">
        <v>1249</v>
      </c>
      <c r="B29" s="175" t="s">
        <v>154</v>
      </c>
      <c r="C29" s="175" t="s">
        <v>178</v>
      </c>
      <c r="D29" s="154" t="s">
        <v>1265</v>
      </c>
      <c r="E29" s="208" t="s">
        <v>1292</v>
      </c>
      <c r="F29" s="185"/>
      <c r="G29" s="185"/>
      <c r="H29" s="208"/>
      <c r="I29" s="186" t="s">
        <v>1239</v>
      </c>
      <c r="J29" s="154">
        <v>2000000.0</v>
      </c>
      <c r="K29" s="154">
        <v>480000.0</v>
      </c>
      <c r="L29" s="154">
        <v>-20000.0</v>
      </c>
      <c r="M29" s="154">
        <f t="shared" si="2"/>
        <v>500000</v>
      </c>
      <c r="N29" s="154">
        <v>100000.0</v>
      </c>
      <c r="O29" s="175"/>
      <c r="P29" s="175"/>
      <c r="Q29" s="155" t="s">
        <v>1321</v>
      </c>
      <c r="R29" s="155" t="s">
        <v>1322</v>
      </c>
      <c r="S29" s="155" t="str">
        <f t="shared" si="5"/>
        <v>F-1) (거실화) 오</v>
      </c>
      <c r="T29" s="155" t="s">
        <v>63</v>
      </c>
      <c r="U29" s="155" t="s">
        <v>1323</v>
      </c>
      <c r="V29" s="157" t="s">
        <v>1280</v>
      </c>
      <c r="W29" s="155" t="s">
        <v>1281</v>
      </c>
      <c r="X29" s="154">
        <f t="shared" si="6"/>
        <v>1500000</v>
      </c>
      <c r="Y29" s="177" t="s">
        <v>63</v>
      </c>
      <c r="Z29" s="177" t="s">
        <v>1282</v>
      </c>
    </row>
    <row r="30" ht="16.5" customHeight="1">
      <c r="A30" s="178" t="s">
        <v>1249</v>
      </c>
      <c r="B30" s="178" t="s">
        <v>154</v>
      </c>
      <c r="C30" s="178" t="s">
        <v>187</v>
      </c>
      <c r="D30" s="179" t="s">
        <v>1265</v>
      </c>
      <c r="E30" s="178" t="s">
        <v>1333</v>
      </c>
      <c r="F30" s="181">
        <v>46079.0</v>
      </c>
      <c r="G30" s="181">
        <v>46443.0</v>
      </c>
      <c r="H30" s="178"/>
      <c r="I30" s="183"/>
      <c r="J30" s="179">
        <v>2000000.0</v>
      </c>
      <c r="K30" s="179">
        <v>480000.0</v>
      </c>
      <c r="L30" s="179">
        <v>60000.0</v>
      </c>
      <c r="M30" s="179">
        <f t="shared" si="2"/>
        <v>420000</v>
      </c>
      <c r="N30" s="179">
        <v>100000.0</v>
      </c>
      <c r="O30" s="178" t="s">
        <v>1334</v>
      </c>
      <c r="P30" s="178" t="s">
        <v>1335</v>
      </c>
      <c r="Q30" s="180" t="s">
        <v>1321</v>
      </c>
      <c r="R30" s="180" t="s">
        <v>1322</v>
      </c>
      <c r="S30" s="180" t="str">
        <f t="shared" si="5"/>
        <v>G-1) 2인실 입구오 왼쪽</v>
      </c>
      <c r="T30" s="180" t="s">
        <v>63</v>
      </c>
      <c r="U30" s="180" t="s">
        <v>1323</v>
      </c>
      <c r="V30" s="194" t="s">
        <v>1280</v>
      </c>
      <c r="W30" s="180" t="s">
        <v>1281</v>
      </c>
      <c r="X30" s="179">
        <f t="shared" si="6"/>
        <v>1500000</v>
      </c>
      <c r="Y30" s="184" t="s">
        <v>63</v>
      </c>
      <c r="Z30" s="184" t="s">
        <v>1282</v>
      </c>
    </row>
    <row r="31" ht="16.5" customHeight="1">
      <c r="A31" s="175" t="s">
        <v>1249</v>
      </c>
      <c r="B31" s="175" t="s">
        <v>154</v>
      </c>
      <c r="C31" s="175" t="s">
        <v>193</v>
      </c>
      <c r="D31" s="154" t="s">
        <v>1265</v>
      </c>
      <c r="E31" s="155" t="s">
        <v>1336</v>
      </c>
      <c r="F31" s="185">
        <v>45931.0</v>
      </c>
      <c r="G31" s="185">
        <v>46112.0</v>
      </c>
      <c r="H31" s="206"/>
      <c r="I31" s="186" t="s">
        <v>1239</v>
      </c>
      <c r="J31" s="154">
        <v>1000000.0</v>
      </c>
      <c r="K31" s="154">
        <v>480000.0</v>
      </c>
      <c r="L31" s="154">
        <v>0.0</v>
      </c>
      <c r="M31" s="154">
        <f t="shared" si="2"/>
        <v>480000</v>
      </c>
      <c r="N31" s="154">
        <v>100000.0</v>
      </c>
      <c r="O31" s="175"/>
      <c r="P31" s="175" t="s">
        <v>1337</v>
      </c>
      <c r="Q31" s="155" t="s">
        <v>1321</v>
      </c>
      <c r="R31" s="155" t="s">
        <v>1322</v>
      </c>
      <c r="S31" s="155" t="str">
        <f t="shared" si="5"/>
        <v>H-1) 2인실 입구오 오른쪽</v>
      </c>
      <c r="T31" s="155" t="s">
        <v>63</v>
      </c>
      <c r="U31" s="155" t="s">
        <v>1338</v>
      </c>
      <c r="V31" s="157" t="s">
        <v>1280</v>
      </c>
      <c r="W31" s="155" t="s">
        <v>1281</v>
      </c>
      <c r="X31" s="154">
        <f t="shared" si="6"/>
        <v>500000</v>
      </c>
      <c r="Y31" s="177" t="s">
        <v>63</v>
      </c>
      <c r="Z31" s="177"/>
    </row>
    <row r="32" ht="16.5" customHeight="1">
      <c r="A32" s="178" t="s">
        <v>1249</v>
      </c>
      <c r="B32" s="178" t="s">
        <v>154</v>
      </c>
      <c r="C32" s="178" t="s">
        <v>1339</v>
      </c>
      <c r="D32" s="179" t="s">
        <v>1265</v>
      </c>
      <c r="E32" s="180" t="s">
        <v>1340</v>
      </c>
      <c r="F32" s="181">
        <v>45970.0</v>
      </c>
      <c r="G32" s="181">
        <v>46157.0</v>
      </c>
      <c r="H32" s="178"/>
      <c r="I32" s="183"/>
      <c r="J32" s="179">
        <v>2000000.0</v>
      </c>
      <c r="K32" s="179">
        <v>480000.0</v>
      </c>
      <c r="L32" s="179">
        <v>0.0</v>
      </c>
      <c r="M32" s="179">
        <f t="shared" si="2"/>
        <v>480000</v>
      </c>
      <c r="N32" s="179">
        <v>100000.0</v>
      </c>
      <c r="O32" s="178" t="s">
        <v>1341</v>
      </c>
      <c r="P32" s="178" t="s">
        <v>1342</v>
      </c>
      <c r="Q32" s="180" t="s">
        <v>1321</v>
      </c>
      <c r="R32" s="180" t="s">
        <v>1322</v>
      </c>
      <c r="S32" s="180" t="str">
        <f t="shared" si="5"/>
        <v>I-1) 2인실 왼</v>
      </c>
      <c r="T32" s="180" t="s">
        <v>63</v>
      </c>
      <c r="U32" s="180" t="s">
        <v>1323</v>
      </c>
      <c r="V32" s="194" t="s">
        <v>1280</v>
      </c>
      <c r="W32" s="180" t="s">
        <v>1281</v>
      </c>
      <c r="X32" s="179">
        <f t="shared" si="6"/>
        <v>1500000</v>
      </c>
      <c r="Y32" s="184" t="s">
        <v>63</v>
      </c>
      <c r="Z32" s="184"/>
    </row>
    <row r="33" ht="16.5" customHeight="1">
      <c r="A33" s="209" t="s">
        <v>1249</v>
      </c>
      <c r="B33" s="209" t="s">
        <v>154</v>
      </c>
      <c r="C33" s="209" t="s">
        <v>1343</v>
      </c>
      <c r="D33" s="210" t="s">
        <v>1265</v>
      </c>
      <c r="E33" s="211" t="s">
        <v>206</v>
      </c>
      <c r="F33" s="212">
        <v>45809.0</v>
      </c>
      <c r="G33" s="212">
        <v>46173.0</v>
      </c>
      <c r="H33" s="209"/>
      <c r="I33" s="213"/>
      <c r="J33" s="210">
        <v>1000000.0</v>
      </c>
      <c r="K33" s="210">
        <v>480000.0</v>
      </c>
      <c r="L33" s="210">
        <v>10000.0</v>
      </c>
      <c r="M33" s="210">
        <f t="shared" si="2"/>
        <v>470000</v>
      </c>
      <c r="N33" s="210">
        <v>100000.0</v>
      </c>
      <c r="O33" s="209" t="s">
        <v>1344</v>
      </c>
      <c r="P33" s="209" t="s">
        <v>1345</v>
      </c>
      <c r="Q33" s="211" t="s">
        <v>1321</v>
      </c>
      <c r="R33" s="211" t="s">
        <v>1322</v>
      </c>
      <c r="S33" s="211" t="str">
        <f t="shared" si="5"/>
        <v>J-1) 2인실 오</v>
      </c>
      <c r="T33" s="211" t="s">
        <v>63</v>
      </c>
      <c r="U33" s="211" t="s">
        <v>1323</v>
      </c>
      <c r="V33" s="214" t="s">
        <v>1280</v>
      </c>
      <c r="W33" s="211" t="s">
        <v>1281</v>
      </c>
      <c r="X33" s="201">
        <f t="shared" si="6"/>
        <v>500000</v>
      </c>
      <c r="Y33" s="177" t="s">
        <v>63</v>
      </c>
      <c r="Z33" s="177"/>
    </row>
    <row r="34" ht="16.5" customHeight="1">
      <c r="A34" s="178" t="s">
        <v>1249</v>
      </c>
      <c r="B34" s="178" t="s">
        <v>210</v>
      </c>
      <c r="C34" s="178" t="s">
        <v>211</v>
      </c>
      <c r="D34" s="179" t="s">
        <v>1251</v>
      </c>
      <c r="E34" s="180" t="s">
        <v>1346</v>
      </c>
      <c r="F34" s="181">
        <v>46081.0</v>
      </c>
      <c r="G34" s="181">
        <v>46446.0</v>
      </c>
      <c r="H34" s="207"/>
      <c r="I34" s="178"/>
      <c r="J34" s="179">
        <v>2000000.0</v>
      </c>
      <c r="K34" s="179">
        <v>650000.0</v>
      </c>
      <c r="L34" s="179">
        <v>50000.0</v>
      </c>
      <c r="M34" s="179">
        <f t="shared" si="2"/>
        <v>600000</v>
      </c>
      <c r="N34" s="179">
        <v>100000.0</v>
      </c>
      <c r="O34" s="178">
        <v>6.69890141E8</v>
      </c>
      <c r="P34" s="178" t="s">
        <v>1347</v>
      </c>
      <c r="Q34" s="180" t="s">
        <v>1348</v>
      </c>
      <c r="R34" s="180" t="s">
        <v>1349</v>
      </c>
      <c r="S34" s="180" t="str">
        <f t="shared" si="5"/>
        <v>A-1) 1인실 (베) 왼</v>
      </c>
      <c r="T34" s="180" t="s">
        <v>1350</v>
      </c>
      <c r="U34" s="180" t="s">
        <v>1351</v>
      </c>
      <c r="V34" s="194" t="s">
        <v>1352</v>
      </c>
      <c r="W34" s="180" t="s">
        <v>1353</v>
      </c>
      <c r="X34" s="179">
        <f t="shared" si="6"/>
        <v>1500000</v>
      </c>
      <c r="Y34" s="184"/>
      <c r="Z34" s="184"/>
    </row>
    <row r="35" ht="16.5" customHeight="1">
      <c r="A35" s="175" t="s">
        <v>1249</v>
      </c>
      <c r="B35" s="175" t="s">
        <v>210</v>
      </c>
      <c r="C35" s="175" t="s">
        <v>217</v>
      </c>
      <c r="D35" s="154" t="s">
        <v>1251</v>
      </c>
      <c r="E35" s="155" t="s">
        <v>1354</v>
      </c>
      <c r="F35" s="185">
        <v>46075.0</v>
      </c>
      <c r="G35" s="185">
        <v>46255.0</v>
      </c>
      <c r="H35" s="175"/>
      <c r="I35" s="175"/>
      <c r="J35" s="154">
        <v>2000000.0</v>
      </c>
      <c r="K35" s="154">
        <v>650000.0</v>
      </c>
      <c r="L35" s="154">
        <v>0.0</v>
      </c>
      <c r="M35" s="154">
        <f t="shared" si="2"/>
        <v>650000</v>
      </c>
      <c r="N35" s="154">
        <v>100000.0</v>
      </c>
      <c r="O35" s="175" t="s">
        <v>1355</v>
      </c>
      <c r="P35" s="175" t="s">
        <v>1356</v>
      </c>
      <c r="Q35" s="155" t="s">
        <v>1348</v>
      </c>
      <c r="R35" s="155" t="s">
        <v>1349</v>
      </c>
      <c r="S35" s="155" t="str">
        <f t="shared" si="5"/>
        <v>B-1) 1인실 (베) 오</v>
      </c>
      <c r="T35" s="155" t="s">
        <v>1350</v>
      </c>
      <c r="U35" s="155" t="s">
        <v>1351</v>
      </c>
      <c r="V35" s="157" t="s">
        <v>1352</v>
      </c>
      <c r="W35" s="155" t="s">
        <v>1353</v>
      </c>
      <c r="X35" s="154">
        <f t="shared" si="6"/>
        <v>1500000</v>
      </c>
      <c r="Y35" s="177"/>
      <c r="Z35" s="177"/>
    </row>
    <row r="36" ht="16.5" customHeight="1">
      <c r="A36" s="178" t="s">
        <v>1249</v>
      </c>
      <c r="B36" s="178" t="s">
        <v>210</v>
      </c>
      <c r="C36" s="178" t="s">
        <v>222</v>
      </c>
      <c r="D36" s="179" t="s">
        <v>1251</v>
      </c>
      <c r="E36" s="207" t="s">
        <v>1357</v>
      </c>
      <c r="F36" s="181"/>
      <c r="G36" s="181">
        <v>46123.0</v>
      </c>
      <c r="H36" s="178" t="s">
        <v>1358</v>
      </c>
      <c r="I36" s="183" t="s">
        <v>1268</v>
      </c>
      <c r="J36" s="179">
        <v>2000000.0</v>
      </c>
      <c r="K36" s="179">
        <v>620000.0</v>
      </c>
      <c r="L36" s="179">
        <v>0.0</v>
      </c>
      <c r="M36" s="179">
        <f t="shared" si="2"/>
        <v>620000</v>
      </c>
      <c r="N36" s="179">
        <v>100000.0</v>
      </c>
      <c r="O36" s="178"/>
      <c r="P36" s="178" t="s">
        <v>1359</v>
      </c>
      <c r="Q36" s="180" t="s">
        <v>1348</v>
      </c>
      <c r="R36" s="180" t="s">
        <v>1349</v>
      </c>
      <c r="S36" s="180" t="str">
        <f t="shared" si="5"/>
        <v>C-1) 1인실 거실 왼</v>
      </c>
      <c r="T36" s="180" t="s">
        <v>1350</v>
      </c>
      <c r="U36" s="180" t="s">
        <v>1351</v>
      </c>
      <c r="V36" s="194" t="s">
        <v>1352</v>
      </c>
      <c r="W36" s="180" t="s">
        <v>1353</v>
      </c>
      <c r="X36" s="179">
        <f t="shared" si="6"/>
        <v>1500000</v>
      </c>
      <c r="Y36" s="184"/>
      <c r="Z36" s="184"/>
    </row>
    <row r="37" ht="16.5" customHeight="1">
      <c r="A37" s="175" t="s">
        <v>1249</v>
      </c>
      <c r="B37" s="175" t="s">
        <v>210</v>
      </c>
      <c r="C37" s="175" t="s">
        <v>226</v>
      </c>
      <c r="D37" s="154" t="s">
        <v>1251</v>
      </c>
      <c r="E37" s="155" t="s">
        <v>1360</v>
      </c>
      <c r="F37" s="185">
        <v>46078.0</v>
      </c>
      <c r="G37" s="185">
        <v>46195.0</v>
      </c>
      <c r="H37" s="175"/>
      <c r="I37" s="186"/>
      <c r="J37" s="154">
        <v>2000000.0</v>
      </c>
      <c r="K37" s="154">
        <v>620000.0</v>
      </c>
      <c r="L37" s="154">
        <v>-60000.0</v>
      </c>
      <c r="M37" s="154">
        <f t="shared" si="2"/>
        <v>680000</v>
      </c>
      <c r="N37" s="154">
        <v>100000.0</v>
      </c>
      <c r="O37" s="175"/>
      <c r="P37" s="175"/>
      <c r="Q37" s="155" t="s">
        <v>1348</v>
      </c>
      <c r="R37" s="155" t="s">
        <v>1349</v>
      </c>
      <c r="S37" s="155" t="str">
        <f t="shared" si="5"/>
        <v>D-1) 1인실 거실 오</v>
      </c>
      <c r="T37" s="155" t="s">
        <v>1350</v>
      </c>
      <c r="U37" s="155" t="s">
        <v>1351</v>
      </c>
      <c r="V37" s="157" t="s">
        <v>1352</v>
      </c>
      <c r="W37" s="155" t="s">
        <v>1353</v>
      </c>
      <c r="X37" s="154">
        <f t="shared" si="6"/>
        <v>1500000</v>
      </c>
      <c r="Y37" s="177"/>
      <c r="Z37" s="177"/>
    </row>
    <row r="38" ht="16.5" customHeight="1">
      <c r="A38" s="178" t="s">
        <v>1249</v>
      </c>
      <c r="B38" s="178" t="s">
        <v>210</v>
      </c>
      <c r="C38" s="178" t="s">
        <v>231</v>
      </c>
      <c r="D38" s="179" t="s">
        <v>1265</v>
      </c>
      <c r="E38" s="180" t="s">
        <v>1361</v>
      </c>
      <c r="F38" s="181">
        <v>46026.0</v>
      </c>
      <c r="G38" s="181">
        <v>46206.0</v>
      </c>
      <c r="H38" s="178"/>
      <c r="I38" s="183"/>
      <c r="J38" s="179">
        <v>2000000.0</v>
      </c>
      <c r="K38" s="179">
        <v>520000.0</v>
      </c>
      <c r="L38" s="179"/>
      <c r="M38" s="179">
        <f t="shared" si="2"/>
        <v>520000</v>
      </c>
      <c r="N38" s="179">
        <v>100000.0</v>
      </c>
      <c r="O38" s="178"/>
      <c r="P38" s="178"/>
      <c r="Q38" s="180" t="s">
        <v>1348</v>
      </c>
      <c r="R38" s="180" t="s">
        <v>1349</v>
      </c>
      <c r="S38" s="180" t="str">
        <f t="shared" si="5"/>
        <v>E-1) 1.5인실 왼 (행거)</v>
      </c>
      <c r="T38" s="180" t="s">
        <v>1350</v>
      </c>
      <c r="U38" s="180" t="s">
        <v>1351</v>
      </c>
      <c r="V38" s="194" t="s">
        <v>1352</v>
      </c>
      <c r="W38" s="180" t="s">
        <v>1353</v>
      </c>
      <c r="X38" s="179">
        <f t="shared" si="6"/>
        <v>1500000</v>
      </c>
      <c r="Y38" s="184"/>
      <c r="Z38" s="184"/>
    </row>
    <row r="39" ht="16.5" customHeight="1">
      <c r="A39" s="175" t="s">
        <v>1249</v>
      </c>
      <c r="B39" s="175" t="s">
        <v>210</v>
      </c>
      <c r="C39" s="175" t="s">
        <v>1362</v>
      </c>
      <c r="D39" s="154" t="s">
        <v>1265</v>
      </c>
      <c r="E39" s="155" t="s">
        <v>1363</v>
      </c>
      <c r="F39" s="185">
        <v>46082.0</v>
      </c>
      <c r="G39" s="185">
        <v>46206.0</v>
      </c>
      <c r="H39" s="175"/>
      <c r="I39" s="186"/>
      <c r="J39" s="154">
        <v>2000000.0</v>
      </c>
      <c r="K39" s="154">
        <v>550000.0</v>
      </c>
      <c r="L39" s="154">
        <v>20000.0</v>
      </c>
      <c r="M39" s="154">
        <f t="shared" si="2"/>
        <v>530000</v>
      </c>
      <c r="N39" s="154">
        <v>100000.0</v>
      </c>
      <c r="O39" s="175"/>
      <c r="P39" s="175" t="s">
        <v>1364</v>
      </c>
      <c r="Q39" s="155" t="s">
        <v>1348</v>
      </c>
      <c r="R39" s="155" t="s">
        <v>1349</v>
      </c>
      <c r="S39" s="155" t="str">
        <f t="shared" si="5"/>
        <v>E-2) 1.5인실 오 (붙) </v>
      </c>
      <c r="T39" s="155" t="s">
        <v>1350</v>
      </c>
      <c r="U39" s="155" t="s">
        <v>1351</v>
      </c>
      <c r="V39" s="157" t="s">
        <v>1352</v>
      </c>
      <c r="W39" s="155" t="s">
        <v>1353</v>
      </c>
      <c r="X39" s="154">
        <f t="shared" si="6"/>
        <v>1500000</v>
      </c>
      <c r="Y39" s="177"/>
      <c r="Z39" s="177" t="s">
        <v>1282</v>
      </c>
    </row>
    <row r="40" ht="16.5" customHeight="1">
      <c r="A40" s="196" t="s">
        <v>1249</v>
      </c>
      <c r="B40" s="196" t="s">
        <v>210</v>
      </c>
      <c r="C40" s="178" t="s">
        <v>243</v>
      </c>
      <c r="D40" s="197" t="s">
        <v>1265</v>
      </c>
      <c r="E40" s="180" t="s">
        <v>1365</v>
      </c>
      <c r="F40" s="181">
        <v>45979.0</v>
      </c>
      <c r="G40" s="181">
        <v>46343.0</v>
      </c>
      <c r="H40" s="207"/>
      <c r="I40" s="183"/>
      <c r="J40" s="179">
        <v>2000000.0</v>
      </c>
      <c r="K40" s="197">
        <v>480000.0</v>
      </c>
      <c r="L40" s="179">
        <v>-48000.0</v>
      </c>
      <c r="M40" s="179">
        <f t="shared" si="2"/>
        <v>528000</v>
      </c>
      <c r="N40" s="179">
        <v>100000.0</v>
      </c>
      <c r="O40" s="178" t="s">
        <v>1366</v>
      </c>
      <c r="P40" s="178" t="s">
        <v>1367</v>
      </c>
      <c r="Q40" s="180" t="s">
        <v>1348</v>
      </c>
      <c r="R40" s="198" t="s">
        <v>1349</v>
      </c>
      <c r="S40" s="180" t="str">
        <f t="shared" si="5"/>
        <v>F-1) 2인실 왼</v>
      </c>
      <c r="T40" s="180" t="s">
        <v>1350</v>
      </c>
      <c r="U40" s="180" t="s">
        <v>1351</v>
      </c>
      <c r="V40" s="194" t="s">
        <v>1352</v>
      </c>
      <c r="W40" s="198" t="s">
        <v>1353</v>
      </c>
      <c r="X40" s="179">
        <f t="shared" si="6"/>
        <v>1500000</v>
      </c>
      <c r="Y40" s="199"/>
      <c r="Z40" s="184" t="s">
        <v>1285</v>
      </c>
    </row>
    <row r="41" ht="16.5" customHeight="1">
      <c r="A41" s="200" t="s">
        <v>1249</v>
      </c>
      <c r="B41" s="200" t="s">
        <v>210</v>
      </c>
      <c r="C41" s="200" t="s">
        <v>252</v>
      </c>
      <c r="D41" s="201" t="s">
        <v>1265</v>
      </c>
      <c r="E41" s="202" t="s">
        <v>1368</v>
      </c>
      <c r="F41" s="212">
        <v>45962.0</v>
      </c>
      <c r="G41" s="203">
        <v>46142.0</v>
      </c>
      <c r="H41" s="215"/>
      <c r="I41" s="216"/>
      <c r="J41" s="201">
        <v>1000000.0</v>
      </c>
      <c r="K41" s="201">
        <v>480000.0</v>
      </c>
      <c r="L41" s="201">
        <v>-48000.0</v>
      </c>
      <c r="M41" s="201">
        <f t="shared" si="2"/>
        <v>528000</v>
      </c>
      <c r="N41" s="201">
        <v>80000.0</v>
      </c>
      <c r="O41" s="200"/>
      <c r="P41" s="200"/>
      <c r="Q41" s="202" t="s">
        <v>1348</v>
      </c>
      <c r="R41" s="202" t="s">
        <v>1349</v>
      </c>
      <c r="S41" s="202" t="str">
        <f t="shared" si="5"/>
        <v>F-2) 2인실 오</v>
      </c>
      <c r="T41" s="202" t="s">
        <v>1350</v>
      </c>
      <c r="U41" s="202" t="s">
        <v>1351</v>
      </c>
      <c r="V41" s="205" t="s">
        <v>1352</v>
      </c>
      <c r="W41" s="202" t="s">
        <v>1353</v>
      </c>
      <c r="X41" s="201">
        <v>1500000.0</v>
      </c>
      <c r="Y41" s="217"/>
      <c r="Z41" s="177" t="s">
        <v>1285</v>
      </c>
    </row>
    <row r="42" ht="16.5" customHeight="1">
      <c r="A42" s="178" t="s">
        <v>1249</v>
      </c>
      <c r="B42" s="178" t="s">
        <v>266</v>
      </c>
      <c r="C42" s="178" t="s">
        <v>267</v>
      </c>
      <c r="D42" s="179" t="s">
        <v>1251</v>
      </c>
      <c r="E42" s="180" t="s">
        <v>1369</v>
      </c>
      <c r="F42" s="181">
        <v>45985.0</v>
      </c>
      <c r="G42" s="181">
        <v>46173.0</v>
      </c>
      <c r="H42" s="207" t="s">
        <v>1370</v>
      </c>
      <c r="I42" s="183" t="s">
        <v>1268</v>
      </c>
      <c r="J42" s="179">
        <v>2000000.0</v>
      </c>
      <c r="K42" s="179">
        <v>650000.0</v>
      </c>
      <c r="L42" s="179">
        <v>-30000.0</v>
      </c>
      <c r="M42" s="179">
        <f t="shared" si="2"/>
        <v>680000</v>
      </c>
      <c r="N42" s="179">
        <v>100000.0</v>
      </c>
      <c r="O42" s="178" t="s">
        <v>1371</v>
      </c>
      <c r="P42" s="178" t="s">
        <v>1372</v>
      </c>
      <c r="Q42" s="180" t="s">
        <v>1373</v>
      </c>
      <c r="R42" s="180" t="s">
        <v>1374</v>
      </c>
      <c r="S42" s="180" t="str">
        <f t="shared" si="5"/>
        <v>A 1인실</v>
      </c>
      <c r="T42" s="180" t="s">
        <v>268</v>
      </c>
      <c r="U42" s="194" t="s">
        <v>1375</v>
      </c>
      <c r="V42" s="180" t="s">
        <v>1376</v>
      </c>
      <c r="W42" s="180" t="s">
        <v>1377</v>
      </c>
      <c r="X42" s="179">
        <f t="shared" ref="X42:X101" si="7">J42-500000</f>
        <v>1500000</v>
      </c>
      <c r="Y42" s="184"/>
      <c r="Z42" s="184"/>
    </row>
    <row r="43" ht="16.5" customHeight="1">
      <c r="A43" s="218" t="s">
        <v>1249</v>
      </c>
      <c r="B43" s="175" t="s">
        <v>266</v>
      </c>
      <c r="C43" s="175" t="s">
        <v>269</v>
      </c>
      <c r="D43" s="154" t="s">
        <v>1251</v>
      </c>
      <c r="E43" s="155" t="s">
        <v>1046</v>
      </c>
      <c r="F43" s="185">
        <v>46032.0</v>
      </c>
      <c r="G43" s="185">
        <v>46212.0</v>
      </c>
      <c r="H43" s="208"/>
      <c r="I43" s="175"/>
      <c r="J43" s="154">
        <v>5000000.0</v>
      </c>
      <c r="K43" s="154">
        <v>630000.0</v>
      </c>
      <c r="L43" s="154">
        <v>50000.0</v>
      </c>
      <c r="M43" s="154">
        <f t="shared" si="2"/>
        <v>580000</v>
      </c>
      <c r="N43" s="154">
        <v>100000.0</v>
      </c>
      <c r="O43" s="175" t="s">
        <v>1378</v>
      </c>
      <c r="P43" s="175" t="s">
        <v>1379</v>
      </c>
      <c r="Q43" s="155" t="s">
        <v>1373</v>
      </c>
      <c r="R43" s="155" t="s">
        <v>1374</v>
      </c>
      <c r="S43" s="155" t="str">
        <f t="shared" si="5"/>
        <v>B 1인실</v>
      </c>
      <c r="T43" s="155" t="s">
        <v>268</v>
      </c>
      <c r="U43" s="157" t="s">
        <v>1375</v>
      </c>
      <c r="V43" s="155" t="s">
        <v>1376</v>
      </c>
      <c r="W43" s="155" t="s">
        <v>1377</v>
      </c>
      <c r="X43" s="154">
        <f t="shared" si="7"/>
        <v>4500000</v>
      </c>
      <c r="Y43" s="219"/>
      <c r="Z43" s="219"/>
    </row>
    <row r="44" ht="16.5" customHeight="1">
      <c r="A44" s="196" t="s">
        <v>1249</v>
      </c>
      <c r="B44" s="178" t="s">
        <v>266</v>
      </c>
      <c r="C44" s="178" t="s">
        <v>1380</v>
      </c>
      <c r="D44" s="179" t="s">
        <v>1265</v>
      </c>
      <c r="E44" s="180" t="s">
        <v>1292</v>
      </c>
      <c r="F44" s="181"/>
      <c r="G44" s="181"/>
      <c r="H44" s="220"/>
      <c r="I44" s="178" t="s">
        <v>1239</v>
      </c>
      <c r="J44" s="179">
        <v>2000000.0</v>
      </c>
      <c r="K44" s="179">
        <v>490000.0</v>
      </c>
      <c r="L44" s="179">
        <v>30000.0</v>
      </c>
      <c r="M44" s="179">
        <v>450000.0</v>
      </c>
      <c r="N44" s="179">
        <v>100000.0</v>
      </c>
      <c r="O44" s="178" t="s">
        <v>1381</v>
      </c>
      <c r="P44" s="178" t="s">
        <v>1382</v>
      </c>
      <c r="Q44" s="180" t="s">
        <v>1373</v>
      </c>
      <c r="R44" s="180" t="s">
        <v>1374</v>
      </c>
      <c r="S44" s="180" t="str">
        <f t="shared" si="5"/>
        <v>C-1 2인실 (왼)</v>
      </c>
      <c r="T44" s="180" t="s">
        <v>268</v>
      </c>
      <c r="U44" s="194" t="s">
        <v>1375</v>
      </c>
      <c r="V44" s="180" t="s">
        <v>1376</v>
      </c>
      <c r="W44" s="180" t="s">
        <v>1377</v>
      </c>
      <c r="X44" s="179">
        <f t="shared" si="7"/>
        <v>1500000</v>
      </c>
      <c r="Y44" s="199"/>
      <c r="Z44" s="199"/>
    </row>
    <row r="45" ht="16.5" customHeight="1">
      <c r="A45" s="200" t="s">
        <v>1249</v>
      </c>
      <c r="B45" s="209" t="s">
        <v>266</v>
      </c>
      <c r="C45" s="209" t="s">
        <v>1383</v>
      </c>
      <c r="D45" s="210" t="s">
        <v>1265</v>
      </c>
      <c r="E45" s="211" t="s">
        <v>1384</v>
      </c>
      <c r="F45" s="212">
        <v>46082.0</v>
      </c>
      <c r="G45" s="203">
        <v>46173.0</v>
      </c>
      <c r="H45" s="221"/>
      <c r="I45" s="213"/>
      <c r="J45" s="210">
        <v>2000000.0</v>
      </c>
      <c r="K45" s="210">
        <v>490000.0</v>
      </c>
      <c r="L45" s="210">
        <v>0.0</v>
      </c>
      <c r="M45" s="210">
        <f t="shared" ref="M45:M195" si="8">K45-L45</f>
        <v>490000</v>
      </c>
      <c r="N45" s="210">
        <v>100000.0</v>
      </c>
      <c r="O45" s="209" t="s">
        <v>1385</v>
      </c>
      <c r="P45" s="209" t="s">
        <v>1386</v>
      </c>
      <c r="Q45" s="211" t="s">
        <v>1373</v>
      </c>
      <c r="R45" s="211" t="s">
        <v>1374</v>
      </c>
      <c r="S45" s="211" t="str">
        <f t="shared" si="5"/>
        <v>C2- 2인실 (오)</v>
      </c>
      <c r="T45" s="211" t="s">
        <v>268</v>
      </c>
      <c r="U45" s="214" t="s">
        <v>1375</v>
      </c>
      <c r="V45" s="211" t="s">
        <v>1376</v>
      </c>
      <c r="W45" s="211" t="s">
        <v>1377</v>
      </c>
      <c r="X45" s="201">
        <f t="shared" si="7"/>
        <v>1500000</v>
      </c>
      <c r="Y45" s="222"/>
      <c r="Z45" s="177"/>
    </row>
    <row r="46" ht="16.5" customHeight="1">
      <c r="A46" s="178" t="s">
        <v>1387</v>
      </c>
      <c r="B46" s="178" t="s">
        <v>275</v>
      </c>
      <c r="C46" s="178" t="s">
        <v>1388</v>
      </c>
      <c r="D46" s="179" t="s">
        <v>1251</v>
      </c>
      <c r="E46" s="180" t="s">
        <v>279</v>
      </c>
      <c r="F46" s="181">
        <v>46079.0</v>
      </c>
      <c r="G46" s="181">
        <v>46443.0</v>
      </c>
      <c r="H46" s="207"/>
      <c r="I46" s="183"/>
      <c r="J46" s="179">
        <v>2000000.0</v>
      </c>
      <c r="K46" s="179">
        <v>500000.0</v>
      </c>
      <c r="L46" s="179">
        <v>70000.0</v>
      </c>
      <c r="M46" s="179">
        <f t="shared" si="8"/>
        <v>430000</v>
      </c>
      <c r="N46" s="179">
        <v>100000.0</v>
      </c>
      <c r="O46" s="178" t="s">
        <v>1389</v>
      </c>
      <c r="P46" s="178" t="s">
        <v>1390</v>
      </c>
      <c r="Q46" s="180" t="s">
        <v>1391</v>
      </c>
      <c r="R46" s="180" t="s">
        <v>1392</v>
      </c>
      <c r="S46" s="180" t="str">
        <f t="shared" si="5"/>
        <v>A 1인실 입구 </v>
      </c>
      <c r="T46" s="180" t="s">
        <v>280</v>
      </c>
      <c r="U46" s="194" t="s">
        <v>1393</v>
      </c>
      <c r="V46" s="194" t="s">
        <v>1394</v>
      </c>
      <c r="W46" s="223" t="s">
        <v>1395</v>
      </c>
      <c r="X46" s="179">
        <f t="shared" si="7"/>
        <v>1500000</v>
      </c>
      <c r="Y46" s="184"/>
      <c r="Z46" s="184"/>
    </row>
    <row r="47" ht="16.5" customHeight="1">
      <c r="A47" s="175" t="s">
        <v>1387</v>
      </c>
      <c r="B47" s="175" t="s">
        <v>275</v>
      </c>
      <c r="C47" s="175" t="s">
        <v>281</v>
      </c>
      <c r="D47" s="154" t="s">
        <v>1251</v>
      </c>
      <c r="E47" s="155" t="s">
        <v>1292</v>
      </c>
      <c r="F47" s="185"/>
      <c r="G47" s="185"/>
      <c r="H47" s="208"/>
      <c r="I47" s="186" t="s">
        <v>1239</v>
      </c>
      <c r="J47" s="154">
        <v>2000000.0</v>
      </c>
      <c r="K47" s="154">
        <v>500000.0</v>
      </c>
      <c r="L47" s="154"/>
      <c r="M47" s="154">
        <f t="shared" si="8"/>
        <v>500000</v>
      </c>
      <c r="N47" s="154">
        <v>100000.0</v>
      </c>
      <c r="O47" s="175"/>
      <c r="P47" s="175"/>
      <c r="Q47" s="155" t="s">
        <v>1391</v>
      </c>
      <c r="R47" s="155" t="s">
        <v>1392</v>
      </c>
      <c r="S47" s="155" t="str">
        <f t="shared" si="5"/>
        <v>B 1인실 화장실 오른쪽</v>
      </c>
      <c r="T47" s="155" t="s">
        <v>280</v>
      </c>
      <c r="U47" s="157" t="s">
        <v>1393</v>
      </c>
      <c r="V47" s="157" t="s">
        <v>1394</v>
      </c>
      <c r="W47" s="155" t="s">
        <v>1395</v>
      </c>
      <c r="X47" s="154">
        <f t="shared" si="7"/>
        <v>1500000</v>
      </c>
      <c r="Y47" s="177"/>
      <c r="Z47" s="177" t="s">
        <v>1285</v>
      </c>
    </row>
    <row r="48" ht="16.5" customHeight="1">
      <c r="A48" s="178" t="s">
        <v>1387</v>
      </c>
      <c r="B48" s="178" t="s">
        <v>275</v>
      </c>
      <c r="C48" s="178" t="s">
        <v>289</v>
      </c>
      <c r="D48" s="179" t="s">
        <v>1251</v>
      </c>
      <c r="E48" s="180" t="s">
        <v>1292</v>
      </c>
      <c r="F48" s="181"/>
      <c r="G48" s="181"/>
      <c r="H48" s="207"/>
      <c r="I48" s="183" t="s">
        <v>1239</v>
      </c>
      <c r="J48" s="179">
        <v>2000000.0</v>
      </c>
      <c r="K48" s="179">
        <v>450000.0</v>
      </c>
      <c r="L48" s="179">
        <v>30000.0</v>
      </c>
      <c r="M48" s="179">
        <f t="shared" si="8"/>
        <v>420000</v>
      </c>
      <c r="N48" s="179">
        <v>100000.0</v>
      </c>
      <c r="O48" s="178" t="s">
        <v>1396</v>
      </c>
      <c r="P48" s="178" t="s">
        <v>1397</v>
      </c>
      <c r="Q48" s="180" t="s">
        <v>1391</v>
      </c>
      <c r="R48" s="180" t="s">
        <v>1392</v>
      </c>
      <c r="S48" s="180" t="str">
        <f t="shared" si="5"/>
        <v>C 1인실 코너</v>
      </c>
      <c r="T48" s="180" t="s">
        <v>280</v>
      </c>
      <c r="U48" s="194" t="s">
        <v>1393</v>
      </c>
      <c r="V48" s="194" t="s">
        <v>1394</v>
      </c>
      <c r="W48" s="180" t="s">
        <v>1395</v>
      </c>
      <c r="X48" s="179">
        <f t="shared" si="7"/>
        <v>1500000</v>
      </c>
      <c r="Y48" s="184"/>
      <c r="Z48" s="184"/>
    </row>
    <row r="49" ht="16.5" customHeight="1">
      <c r="A49" s="209" t="s">
        <v>1387</v>
      </c>
      <c r="B49" s="209" t="s">
        <v>275</v>
      </c>
      <c r="C49" s="209" t="s">
        <v>296</v>
      </c>
      <c r="D49" s="210" t="s">
        <v>1251</v>
      </c>
      <c r="E49" s="211" t="s">
        <v>1398</v>
      </c>
      <c r="F49" s="212">
        <v>46081.0</v>
      </c>
      <c r="G49" s="212">
        <v>46443.0</v>
      </c>
      <c r="H49" s="221"/>
      <c r="I49" s="213"/>
      <c r="J49" s="210">
        <v>2000000.0</v>
      </c>
      <c r="K49" s="210">
        <v>470000.0</v>
      </c>
      <c r="L49" s="210">
        <v>50000.0</v>
      </c>
      <c r="M49" s="210">
        <f t="shared" si="8"/>
        <v>420000</v>
      </c>
      <c r="N49" s="210">
        <v>100000.0</v>
      </c>
      <c r="O49" s="209" t="s">
        <v>1399</v>
      </c>
      <c r="P49" s="209" t="s">
        <v>1400</v>
      </c>
      <c r="Q49" s="211" t="s">
        <v>1391</v>
      </c>
      <c r="R49" s="211" t="s">
        <v>1392</v>
      </c>
      <c r="S49" s="211" t="str">
        <f t="shared" si="5"/>
        <v>D 1인실 안쪽</v>
      </c>
      <c r="T49" s="211" t="s">
        <v>280</v>
      </c>
      <c r="U49" s="214" t="s">
        <v>1393</v>
      </c>
      <c r="V49" s="214" t="s">
        <v>1394</v>
      </c>
      <c r="W49" s="211" t="s">
        <v>1395</v>
      </c>
      <c r="X49" s="201">
        <f t="shared" si="7"/>
        <v>1500000</v>
      </c>
      <c r="Y49" s="177"/>
      <c r="Z49" s="177"/>
    </row>
    <row r="50" ht="16.5" customHeight="1">
      <c r="A50" s="178" t="s">
        <v>1387</v>
      </c>
      <c r="B50" s="178" t="s">
        <v>305</v>
      </c>
      <c r="C50" s="178" t="s">
        <v>306</v>
      </c>
      <c r="D50" s="179" t="s">
        <v>1251</v>
      </c>
      <c r="E50" s="180" t="s">
        <v>312</v>
      </c>
      <c r="F50" s="181">
        <v>45714.0</v>
      </c>
      <c r="G50" s="181">
        <v>46443.0</v>
      </c>
      <c r="H50" s="207"/>
      <c r="I50" s="178"/>
      <c r="J50" s="179">
        <v>2000000.0</v>
      </c>
      <c r="K50" s="179">
        <v>540000.0</v>
      </c>
      <c r="L50" s="179">
        <v>30000.0</v>
      </c>
      <c r="M50" s="179">
        <f t="shared" si="8"/>
        <v>510000</v>
      </c>
      <c r="N50" s="179">
        <v>100000.0</v>
      </c>
      <c r="O50" s="178" t="s">
        <v>1401</v>
      </c>
      <c r="P50" s="178" t="s">
        <v>1402</v>
      </c>
      <c r="Q50" s="180" t="s">
        <v>1403</v>
      </c>
      <c r="R50" s="180" t="s">
        <v>1404</v>
      </c>
      <c r="S50" s="180" t="str">
        <f t="shared" si="5"/>
        <v>A-1) 거실 큰방</v>
      </c>
      <c r="T50" s="180" t="s">
        <v>310</v>
      </c>
      <c r="U50" s="194" t="s">
        <v>1405</v>
      </c>
      <c r="V50" s="194" t="s">
        <v>1406</v>
      </c>
      <c r="W50" s="223" t="s">
        <v>1407</v>
      </c>
      <c r="X50" s="179">
        <f t="shared" si="7"/>
        <v>1500000</v>
      </c>
      <c r="Y50" s="184" t="s">
        <v>1408</v>
      </c>
      <c r="Z50" s="184"/>
    </row>
    <row r="51" ht="16.5" customHeight="1">
      <c r="A51" s="175" t="s">
        <v>1387</v>
      </c>
      <c r="B51" s="175" t="s">
        <v>305</v>
      </c>
      <c r="C51" s="175" t="s">
        <v>311</v>
      </c>
      <c r="D51" s="154" t="s">
        <v>1251</v>
      </c>
      <c r="E51" s="155" t="s">
        <v>317</v>
      </c>
      <c r="F51" s="185">
        <v>46082.0</v>
      </c>
      <c r="G51" s="185">
        <v>46443.0</v>
      </c>
      <c r="H51" s="208"/>
      <c r="I51" s="186"/>
      <c r="J51" s="154">
        <v>2000000.0</v>
      </c>
      <c r="K51" s="154">
        <v>520000.0</v>
      </c>
      <c r="L51" s="154">
        <v>50000.0</v>
      </c>
      <c r="M51" s="154">
        <f t="shared" si="8"/>
        <v>470000</v>
      </c>
      <c r="N51" s="154">
        <v>100000.0</v>
      </c>
      <c r="O51" s="175" t="s">
        <v>1409</v>
      </c>
      <c r="P51" s="175" t="s">
        <v>1410</v>
      </c>
      <c r="Q51" s="155" t="s">
        <v>1403</v>
      </c>
      <c r="R51" s="155" t="s">
        <v>1404</v>
      </c>
      <c r="S51" s="155" t="str">
        <f t="shared" si="5"/>
        <v>B-1)  주방옆</v>
      </c>
      <c r="T51" s="155" t="s">
        <v>310</v>
      </c>
      <c r="U51" s="157" t="s">
        <v>1405</v>
      </c>
      <c r="V51" s="157" t="s">
        <v>1406</v>
      </c>
      <c r="W51" s="155" t="s">
        <v>1407</v>
      </c>
      <c r="X51" s="154">
        <f t="shared" si="7"/>
        <v>1500000</v>
      </c>
      <c r="Y51" s="177" t="s">
        <v>1408</v>
      </c>
      <c r="Z51" s="177"/>
    </row>
    <row r="52" ht="16.5" customHeight="1">
      <c r="A52" s="178" t="s">
        <v>1387</v>
      </c>
      <c r="B52" s="178" t="s">
        <v>305</v>
      </c>
      <c r="C52" s="178" t="s">
        <v>1411</v>
      </c>
      <c r="D52" s="179" t="s">
        <v>1265</v>
      </c>
      <c r="E52" s="180" t="s">
        <v>1412</v>
      </c>
      <c r="F52" s="181">
        <v>46081.0</v>
      </c>
      <c r="G52" s="181">
        <v>46259.0</v>
      </c>
      <c r="H52" s="207"/>
      <c r="I52" s="183"/>
      <c r="J52" s="179">
        <v>2000000.0</v>
      </c>
      <c r="K52" s="179">
        <v>420000.0</v>
      </c>
      <c r="L52" s="179">
        <v>0.0</v>
      </c>
      <c r="M52" s="179">
        <f t="shared" si="8"/>
        <v>420000</v>
      </c>
      <c r="N52" s="179">
        <v>100000.0</v>
      </c>
      <c r="O52" s="178" t="s">
        <v>1413</v>
      </c>
      <c r="P52" s="178" t="s">
        <v>1414</v>
      </c>
      <c r="Q52" s="180" t="s">
        <v>1403</v>
      </c>
      <c r="R52" s="180" t="s">
        <v>1404</v>
      </c>
      <c r="S52" s="180" t="str">
        <f t="shared" si="5"/>
        <v>C-1 2인실 오</v>
      </c>
      <c r="T52" s="180" t="s">
        <v>310</v>
      </c>
      <c r="U52" s="194" t="s">
        <v>1405</v>
      </c>
      <c r="V52" s="194" t="s">
        <v>1406</v>
      </c>
      <c r="W52" s="180" t="s">
        <v>1407</v>
      </c>
      <c r="X52" s="179">
        <f t="shared" si="7"/>
        <v>1500000</v>
      </c>
      <c r="Y52" s="184" t="s">
        <v>1408</v>
      </c>
      <c r="Z52" s="184"/>
    </row>
    <row r="53" ht="15.75" customHeight="1">
      <c r="A53" s="209" t="s">
        <v>1387</v>
      </c>
      <c r="B53" s="209" t="s">
        <v>305</v>
      </c>
      <c r="C53" s="209" t="s">
        <v>1415</v>
      </c>
      <c r="D53" s="210" t="s">
        <v>1265</v>
      </c>
      <c r="E53" s="211" t="s">
        <v>1292</v>
      </c>
      <c r="F53" s="212"/>
      <c r="G53" s="212"/>
      <c r="H53" s="209"/>
      <c r="I53" s="209" t="s">
        <v>1239</v>
      </c>
      <c r="J53" s="210">
        <v>1000000.0</v>
      </c>
      <c r="K53" s="210">
        <v>420000.0</v>
      </c>
      <c r="L53" s="210">
        <v>0.0</v>
      </c>
      <c r="M53" s="210">
        <f t="shared" si="8"/>
        <v>420000</v>
      </c>
      <c r="N53" s="210">
        <v>100000.0</v>
      </c>
      <c r="O53" s="209"/>
      <c r="P53" s="209"/>
      <c r="Q53" s="211" t="s">
        <v>1403</v>
      </c>
      <c r="R53" s="211" t="s">
        <v>1404</v>
      </c>
      <c r="S53" s="211" t="str">
        <f t="shared" si="5"/>
        <v>C-2) 2인실 왼</v>
      </c>
      <c r="T53" s="211" t="s">
        <v>310</v>
      </c>
      <c r="U53" s="214" t="s">
        <v>1405</v>
      </c>
      <c r="V53" s="214" t="s">
        <v>1406</v>
      </c>
      <c r="W53" s="211" t="s">
        <v>1407</v>
      </c>
      <c r="X53" s="201">
        <f t="shared" si="7"/>
        <v>500000</v>
      </c>
      <c r="Y53" s="177" t="s">
        <v>1408</v>
      </c>
      <c r="Z53" s="177"/>
    </row>
    <row r="54" ht="15.75" customHeight="1">
      <c r="A54" s="178" t="s">
        <v>1387</v>
      </c>
      <c r="B54" s="178" t="s">
        <v>328</v>
      </c>
      <c r="C54" s="178" t="s">
        <v>320</v>
      </c>
      <c r="D54" s="179" t="s">
        <v>1251</v>
      </c>
      <c r="E54" s="180" t="s">
        <v>1416</v>
      </c>
      <c r="F54" s="181">
        <v>46075.0</v>
      </c>
      <c r="G54" s="181">
        <v>46259.0</v>
      </c>
      <c r="H54" s="178"/>
      <c r="I54" s="178"/>
      <c r="J54" s="179">
        <v>2000000.0</v>
      </c>
      <c r="K54" s="179">
        <v>550000.0</v>
      </c>
      <c r="L54" s="179">
        <v>0.0</v>
      </c>
      <c r="M54" s="179">
        <f t="shared" si="8"/>
        <v>550000</v>
      </c>
      <c r="N54" s="179">
        <v>100000.0</v>
      </c>
      <c r="O54" s="178" t="s">
        <v>1417</v>
      </c>
      <c r="P54" s="178" t="s">
        <v>1418</v>
      </c>
      <c r="Q54" s="180" t="s">
        <v>1419</v>
      </c>
      <c r="R54" s="180" t="s">
        <v>1420</v>
      </c>
      <c r="S54" s="180" t="str">
        <f t="shared" si="5"/>
        <v>A-1</v>
      </c>
      <c r="T54" s="180" t="s">
        <v>216</v>
      </c>
      <c r="U54" s="180" t="s">
        <v>1421</v>
      </c>
      <c r="V54" s="194" t="s">
        <v>1352</v>
      </c>
      <c r="W54" s="180" t="s">
        <v>1353</v>
      </c>
      <c r="X54" s="179">
        <f t="shared" si="7"/>
        <v>1500000</v>
      </c>
      <c r="Y54" s="184"/>
      <c r="Z54" s="184" t="s">
        <v>1282</v>
      </c>
    </row>
    <row r="55" ht="15.75" customHeight="1">
      <c r="A55" s="175" t="s">
        <v>1387</v>
      </c>
      <c r="B55" s="175" t="s">
        <v>328</v>
      </c>
      <c r="C55" s="175" t="s">
        <v>332</v>
      </c>
      <c r="D55" s="154" t="s">
        <v>1265</v>
      </c>
      <c r="E55" s="155" t="s">
        <v>1422</v>
      </c>
      <c r="F55" s="185">
        <v>46076.0</v>
      </c>
      <c r="G55" s="185">
        <v>46257.0</v>
      </c>
      <c r="H55" s="175"/>
      <c r="I55" s="186"/>
      <c r="J55" s="154">
        <v>2000000.0</v>
      </c>
      <c r="K55" s="154">
        <v>450000.0</v>
      </c>
      <c r="L55" s="154">
        <v>0.0</v>
      </c>
      <c r="M55" s="154">
        <f t="shared" si="8"/>
        <v>450000</v>
      </c>
      <c r="N55" s="154">
        <v>100000.0</v>
      </c>
      <c r="O55" s="175" t="s">
        <v>1423</v>
      </c>
      <c r="P55" s="175" t="s">
        <v>1424</v>
      </c>
      <c r="Q55" s="155" t="s">
        <v>1419</v>
      </c>
      <c r="R55" s="155" t="s">
        <v>1420</v>
      </c>
      <c r="S55" s="155" t="str">
        <f t="shared" si="5"/>
        <v>B-1 왼</v>
      </c>
      <c r="T55" s="155" t="s">
        <v>216</v>
      </c>
      <c r="U55" s="155" t="s">
        <v>1421</v>
      </c>
      <c r="V55" s="157" t="s">
        <v>1352</v>
      </c>
      <c r="W55" s="155" t="s">
        <v>1353</v>
      </c>
      <c r="X55" s="154">
        <f t="shared" si="7"/>
        <v>1500000</v>
      </c>
      <c r="Y55" s="177"/>
      <c r="Z55" s="177"/>
    </row>
    <row r="56" ht="15.75" customHeight="1">
      <c r="A56" s="178" t="s">
        <v>1387</v>
      </c>
      <c r="B56" s="178" t="s">
        <v>328</v>
      </c>
      <c r="C56" s="178" t="s">
        <v>338</v>
      </c>
      <c r="D56" s="179" t="s">
        <v>1265</v>
      </c>
      <c r="E56" s="180" t="s">
        <v>346</v>
      </c>
      <c r="F56" s="181">
        <v>45839.0</v>
      </c>
      <c r="G56" s="181">
        <v>46203.0</v>
      </c>
      <c r="H56" s="178" t="s">
        <v>1425</v>
      </c>
      <c r="I56" s="183" t="s">
        <v>1268</v>
      </c>
      <c r="J56" s="179">
        <v>2000000.0</v>
      </c>
      <c r="K56" s="179">
        <v>450000.0</v>
      </c>
      <c r="L56" s="179">
        <v>50000.0</v>
      </c>
      <c r="M56" s="179">
        <f t="shared" si="8"/>
        <v>400000</v>
      </c>
      <c r="N56" s="179">
        <v>100000.0</v>
      </c>
      <c r="O56" s="178" t="s">
        <v>1426</v>
      </c>
      <c r="P56" s="178" t="s">
        <v>1427</v>
      </c>
      <c r="Q56" s="180" t="s">
        <v>1419</v>
      </c>
      <c r="R56" s="180" t="s">
        <v>1420</v>
      </c>
      <c r="S56" s="180" t="str">
        <f t="shared" si="5"/>
        <v>B-2 오</v>
      </c>
      <c r="T56" s="180" t="s">
        <v>216</v>
      </c>
      <c r="U56" s="180" t="s">
        <v>1421</v>
      </c>
      <c r="V56" s="194" t="s">
        <v>1352</v>
      </c>
      <c r="W56" s="180" t="s">
        <v>1353</v>
      </c>
      <c r="X56" s="179">
        <f t="shared" si="7"/>
        <v>1500000</v>
      </c>
      <c r="Y56" s="184"/>
      <c r="Z56" s="184"/>
    </row>
    <row r="57" ht="15.75" customHeight="1">
      <c r="A57" s="175" t="s">
        <v>1387</v>
      </c>
      <c r="B57" s="175" t="s">
        <v>328</v>
      </c>
      <c r="C57" s="175" t="s">
        <v>364</v>
      </c>
      <c r="D57" s="154" t="s">
        <v>1265</v>
      </c>
      <c r="E57" s="155" t="s">
        <v>1428</v>
      </c>
      <c r="F57" s="185">
        <v>46079.0</v>
      </c>
      <c r="G57" s="185">
        <v>46443.0</v>
      </c>
      <c r="H57" s="175"/>
      <c r="I57" s="186"/>
      <c r="J57" s="154">
        <v>2000000.0</v>
      </c>
      <c r="K57" s="154">
        <v>420000.0</v>
      </c>
      <c r="L57" s="154">
        <v>50000.0</v>
      </c>
      <c r="M57" s="154">
        <f t="shared" si="8"/>
        <v>370000</v>
      </c>
      <c r="N57" s="154">
        <v>100000.0</v>
      </c>
      <c r="O57" s="175" t="s">
        <v>1429</v>
      </c>
      <c r="P57" s="175" t="s">
        <v>1430</v>
      </c>
      <c r="Q57" s="155" t="s">
        <v>1419</v>
      </c>
      <c r="R57" s="155" t="s">
        <v>1420</v>
      </c>
      <c r="S57" s="155" t="str">
        <f t="shared" si="5"/>
        <v>C-1 왼</v>
      </c>
      <c r="T57" s="155" t="s">
        <v>216</v>
      </c>
      <c r="U57" s="155" t="s">
        <v>1421</v>
      </c>
      <c r="V57" s="157" t="s">
        <v>1352</v>
      </c>
      <c r="W57" s="155" t="s">
        <v>1353</v>
      </c>
      <c r="X57" s="154">
        <f t="shared" si="7"/>
        <v>1500000</v>
      </c>
      <c r="Y57" s="177"/>
      <c r="Z57" s="177"/>
    </row>
    <row r="58" ht="15.75" customHeight="1">
      <c r="A58" s="187" t="s">
        <v>1387</v>
      </c>
      <c r="B58" s="187" t="s">
        <v>328</v>
      </c>
      <c r="C58" s="187" t="s">
        <v>368</v>
      </c>
      <c r="D58" s="188" t="s">
        <v>1265</v>
      </c>
      <c r="E58" s="189" t="s">
        <v>1431</v>
      </c>
      <c r="F58" s="190">
        <v>46077.0</v>
      </c>
      <c r="G58" s="190">
        <v>46257.0</v>
      </c>
      <c r="H58" s="224"/>
      <c r="I58" s="225"/>
      <c r="J58" s="188">
        <v>2000000.0</v>
      </c>
      <c r="K58" s="188">
        <v>420000.0</v>
      </c>
      <c r="L58" s="188">
        <v>0.0</v>
      </c>
      <c r="M58" s="188">
        <f t="shared" si="8"/>
        <v>420000</v>
      </c>
      <c r="N58" s="188">
        <v>100000.0</v>
      </c>
      <c r="O58" s="187" t="s">
        <v>1432</v>
      </c>
      <c r="P58" s="187" t="s">
        <v>1433</v>
      </c>
      <c r="Q58" s="189" t="s">
        <v>1419</v>
      </c>
      <c r="R58" s="189" t="s">
        <v>1420</v>
      </c>
      <c r="S58" s="189" t="str">
        <f t="shared" si="5"/>
        <v>C-2 오</v>
      </c>
      <c r="T58" s="189" t="s">
        <v>216</v>
      </c>
      <c r="U58" s="189" t="s">
        <v>1421</v>
      </c>
      <c r="V58" s="195" t="s">
        <v>1352</v>
      </c>
      <c r="W58" s="189" t="s">
        <v>1353</v>
      </c>
      <c r="X58" s="179">
        <f t="shared" si="7"/>
        <v>1500000</v>
      </c>
      <c r="Y58" s="184"/>
      <c r="Z58" s="184"/>
    </row>
    <row r="59" ht="16.5" customHeight="1">
      <c r="A59" s="175" t="s">
        <v>1434</v>
      </c>
      <c r="B59" s="175" t="s">
        <v>374</v>
      </c>
      <c r="C59" s="175" t="s">
        <v>375</v>
      </c>
      <c r="D59" s="154" t="s">
        <v>1251</v>
      </c>
      <c r="E59" s="155" t="s">
        <v>1292</v>
      </c>
      <c r="F59" s="185"/>
      <c r="G59" s="185"/>
      <c r="H59" s="208"/>
      <c r="I59" s="186" t="s">
        <v>1435</v>
      </c>
      <c r="J59" s="154">
        <v>2000000.0</v>
      </c>
      <c r="K59" s="154">
        <v>550000.0</v>
      </c>
      <c r="L59" s="154"/>
      <c r="M59" s="154">
        <f t="shared" si="8"/>
        <v>550000</v>
      </c>
      <c r="N59" s="154">
        <v>100000.0</v>
      </c>
      <c r="O59" s="175" t="s">
        <v>1436</v>
      </c>
      <c r="P59" s="175" t="s">
        <v>1437</v>
      </c>
      <c r="Q59" s="155" t="s">
        <v>1438</v>
      </c>
      <c r="R59" s="155" t="s">
        <v>1439</v>
      </c>
      <c r="S59" s="155" t="str">
        <f t="shared" si="5"/>
        <v>A-1) 거실 테이블 옆</v>
      </c>
      <c r="T59" s="155" t="s">
        <v>1440</v>
      </c>
      <c r="U59" s="157" t="s">
        <v>1441</v>
      </c>
      <c r="V59" s="155" t="s">
        <v>1280</v>
      </c>
      <c r="W59" s="155" t="s">
        <v>1442</v>
      </c>
      <c r="X59" s="154">
        <f t="shared" si="7"/>
        <v>1500000</v>
      </c>
      <c r="Y59" s="177" t="s">
        <v>63</v>
      </c>
      <c r="Z59" s="177"/>
    </row>
    <row r="60" ht="16.5" customHeight="1">
      <c r="A60" s="178" t="s">
        <v>1434</v>
      </c>
      <c r="B60" s="178" t="s">
        <v>374</v>
      </c>
      <c r="C60" s="178" t="s">
        <v>382</v>
      </c>
      <c r="D60" s="179" t="s">
        <v>1251</v>
      </c>
      <c r="E60" s="180" t="s">
        <v>1292</v>
      </c>
      <c r="F60" s="181"/>
      <c r="G60" s="181"/>
      <c r="H60" s="207"/>
      <c r="I60" s="178" t="s">
        <v>1435</v>
      </c>
      <c r="J60" s="179">
        <v>2000000.0</v>
      </c>
      <c r="K60" s="179">
        <v>570000.0</v>
      </c>
      <c r="L60" s="179"/>
      <c r="M60" s="179">
        <f t="shared" si="8"/>
        <v>570000</v>
      </c>
      <c r="N60" s="179">
        <v>100000.0</v>
      </c>
      <c r="O60" s="178"/>
      <c r="P60" s="178" t="s">
        <v>1443</v>
      </c>
      <c r="Q60" s="180" t="s">
        <v>1438</v>
      </c>
      <c r="R60" s="180" t="s">
        <v>1439</v>
      </c>
      <c r="S60" s="180" t="str">
        <f t="shared" si="5"/>
        <v>B-1) 옥탑</v>
      </c>
      <c r="T60" s="180" t="s">
        <v>1440</v>
      </c>
      <c r="U60" s="194" t="s">
        <v>1441</v>
      </c>
      <c r="V60" s="180" t="s">
        <v>1280</v>
      </c>
      <c r="W60" s="180" t="s">
        <v>1442</v>
      </c>
      <c r="X60" s="179">
        <f t="shared" si="7"/>
        <v>1500000</v>
      </c>
      <c r="Y60" s="184" t="s">
        <v>63</v>
      </c>
      <c r="Z60" s="184"/>
    </row>
    <row r="61" ht="16.5" customHeight="1">
      <c r="A61" s="175" t="s">
        <v>1434</v>
      </c>
      <c r="B61" s="175" t="s">
        <v>374</v>
      </c>
      <c r="C61" s="175" t="s">
        <v>391</v>
      </c>
      <c r="D61" s="154" t="s">
        <v>1265</v>
      </c>
      <c r="E61" s="155" t="s">
        <v>1292</v>
      </c>
      <c r="F61" s="185"/>
      <c r="G61" s="185"/>
      <c r="H61" s="208"/>
      <c r="I61" s="175" t="s">
        <v>1435</v>
      </c>
      <c r="J61" s="154">
        <v>2000000.0</v>
      </c>
      <c r="K61" s="154">
        <v>420000.0</v>
      </c>
      <c r="L61" s="154">
        <v>50000.0</v>
      </c>
      <c r="M61" s="154">
        <f t="shared" si="8"/>
        <v>370000</v>
      </c>
      <c r="N61" s="154">
        <v>100000.0</v>
      </c>
      <c r="O61" s="175" t="s">
        <v>1444</v>
      </c>
      <c r="P61" s="175" t="s">
        <v>1445</v>
      </c>
      <c r="Q61" s="155" t="s">
        <v>1438</v>
      </c>
      <c r="R61" s="155" t="s">
        <v>1439</v>
      </c>
      <c r="S61" s="155" t="str">
        <f t="shared" si="5"/>
        <v>C-1) 입구왼쪽(화) 왼</v>
      </c>
      <c r="T61" s="155" t="s">
        <v>1440</v>
      </c>
      <c r="U61" s="157" t="s">
        <v>1441</v>
      </c>
      <c r="V61" s="155" t="s">
        <v>1280</v>
      </c>
      <c r="W61" s="155" t="s">
        <v>1442</v>
      </c>
      <c r="X61" s="154">
        <f t="shared" si="7"/>
        <v>1500000</v>
      </c>
      <c r="Y61" s="177" t="s">
        <v>63</v>
      </c>
      <c r="Z61" s="177"/>
    </row>
    <row r="62" ht="16.5" customHeight="1">
      <c r="A62" s="178" t="s">
        <v>1434</v>
      </c>
      <c r="B62" s="178" t="s">
        <v>374</v>
      </c>
      <c r="C62" s="178" t="s">
        <v>395</v>
      </c>
      <c r="D62" s="179" t="s">
        <v>1265</v>
      </c>
      <c r="E62" s="180" t="s">
        <v>1292</v>
      </c>
      <c r="F62" s="181"/>
      <c r="G62" s="181"/>
      <c r="H62" s="178"/>
      <c r="I62" s="178" t="s">
        <v>1435</v>
      </c>
      <c r="J62" s="179">
        <v>2000000.0</v>
      </c>
      <c r="K62" s="179">
        <v>420000.0</v>
      </c>
      <c r="L62" s="179"/>
      <c r="M62" s="179">
        <f t="shared" si="8"/>
        <v>420000</v>
      </c>
      <c r="N62" s="179">
        <v>100000.0</v>
      </c>
      <c r="O62" s="178"/>
      <c r="P62" s="178"/>
      <c r="Q62" s="180" t="s">
        <v>1438</v>
      </c>
      <c r="R62" s="180" t="s">
        <v>1439</v>
      </c>
      <c r="S62" s="180" t="str">
        <f t="shared" si="5"/>
        <v>D-1) 입구왼쪽(화) 오</v>
      </c>
      <c r="T62" s="180" t="s">
        <v>1440</v>
      </c>
      <c r="U62" s="194" t="s">
        <v>1441</v>
      </c>
      <c r="V62" s="180" t="s">
        <v>1280</v>
      </c>
      <c r="W62" s="180" t="s">
        <v>1442</v>
      </c>
      <c r="X62" s="179">
        <f t="shared" si="7"/>
        <v>1500000</v>
      </c>
      <c r="Y62" s="184" t="s">
        <v>63</v>
      </c>
      <c r="Z62" s="184"/>
    </row>
    <row r="63" ht="16.5" customHeight="1">
      <c r="A63" s="175" t="s">
        <v>1434</v>
      </c>
      <c r="B63" s="175" t="s">
        <v>374</v>
      </c>
      <c r="C63" s="175" t="s">
        <v>1446</v>
      </c>
      <c r="D63" s="154" t="s">
        <v>1265</v>
      </c>
      <c r="E63" s="155" t="s">
        <v>1292</v>
      </c>
      <c r="F63" s="185"/>
      <c r="G63" s="185"/>
      <c r="H63" s="208"/>
      <c r="I63" s="175" t="s">
        <v>1435</v>
      </c>
      <c r="J63" s="154">
        <v>2000000.0</v>
      </c>
      <c r="K63" s="154">
        <v>450000.0</v>
      </c>
      <c r="L63" s="154"/>
      <c r="M63" s="154">
        <f t="shared" si="8"/>
        <v>450000</v>
      </c>
      <c r="N63" s="154">
        <v>100000.0</v>
      </c>
      <c r="O63" s="175" t="s">
        <v>1447</v>
      </c>
      <c r="P63" s="175" t="s">
        <v>1448</v>
      </c>
      <c r="Q63" s="155" t="s">
        <v>1438</v>
      </c>
      <c r="R63" s="155" t="s">
        <v>1439</v>
      </c>
      <c r="S63" s="155" t="str">
        <f t="shared" si="5"/>
        <v>E-1) 화장실 왼쪽 좌측 창</v>
      </c>
      <c r="T63" s="155" t="s">
        <v>1440</v>
      </c>
      <c r="U63" s="157" t="s">
        <v>1441</v>
      </c>
      <c r="V63" s="155" t="s">
        <v>1280</v>
      </c>
      <c r="W63" s="155" t="s">
        <v>1442</v>
      </c>
      <c r="X63" s="154">
        <f t="shared" si="7"/>
        <v>1500000</v>
      </c>
      <c r="Y63" s="177" t="s">
        <v>63</v>
      </c>
      <c r="Z63" s="177"/>
    </row>
    <row r="64" ht="16.5" customHeight="1">
      <c r="A64" s="187" t="s">
        <v>1434</v>
      </c>
      <c r="B64" s="187" t="s">
        <v>374</v>
      </c>
      <c r="C64" s="187" t="s">
        <v>410</v>
      </c>
      <c r="D64" s="188" t="s">
        <v>1265</v>
      </c>
      <c r="E64" s="189" t="s">
        <v>1292</v>
      </c>
      <c r="F64" s="190"/>
      <c r="G64" s="190"/>
      <c r="H64" s="187"/>
      <c r="I64" s="225" t="s">
        <v>1435</v>
      </c>
      <c r="J64" s="188">
        <v>2000000.0</v>
      </c>
      <c r="K64" s="188">
        <v>450000.0</v>
      </c>
      <c r="L64" s="188"/>
      <c r="M64" s="188">
        <f t="shared" si="8"/>
        <v>450000</v>
      </c>
      <c r="N64" s="188">
        <v>100000.0</v>
      </c>
      <c r="O64" s="187"/>
      <c r="P64" s="187"/>
      <c r="Q64" s="189" t="s">
        <v>1438</v>
      </c>
      <c r="R64" s="189" t="s">
        <v>1439</v>
      </c>
      <c r="S64" s="189" t="str">
        <f t="shared" si="5"/>
        <v>F-1) 화장실 왼쪽 우측</v>
      </c>
      <c r="T64" s="189" t="s">
        <v>1440</v>
      </c>
      <c r="U64" s="195" t="s">
        <v>1441</v>
      </c>
      <c r="V64" s="189" t="s">
        <v>1280</v>
      </c>
      <c r="W64" s="189" t="s">
        <v>1442</v>
      </c>
      <c r="X64" s="179">
        <f t="shared" si="7"/>
        <v>1500000</v>
      </c>
      <c r="Y64" s="184" t="s">
        <v>63</v>
      </c>
      <c r="Z64" s="184"/>
    </row>
    <row r="65" ht="16.5" customHeight="1">
      <c r="A65" s="175" t="s">
        <v>1434</v>
      </c>
      <c r="B65" s="175" t="s">
        <v>415</v>
      </c>
      <c r="C65" s="175" t="s">
        <v>416</v>
      </c>
      <c r="D65" s="154" t="s">
        <v>1251</v>
      </c>
      <c r="E65" s="155" t="s">
        <v>1449</v>
      </c>
      <c r="F65" s="185">
        <v>46081.0</v>
      </c>
      <c r="G65" s="185">
        <v>46443.0</v>
      </c>
      <c r="H65" s="208"/>
      <c r="I65" s="186"/>
      <c r="J65" s="154">
        <v>2000000.0</v>
      </c>
      <c r="K65" s="154">
        <v>550000.0</v>
      </c>
      <c r="L65" s="154">
        <v>50000.0</v>
      </c>
      <c r="M65" s="154">
        <f t="shared" si="8"/>
        <v>500000</v>
      </c>
      <c r="N65" s="154">
        <v>120000.0</v>
      </c>
      <c r="O65" s="175" t="s">
        <v>1450</v>
      </c>
      <c r="P65" s="175" t="s">
        <v>1451</v>
      </c>
      <c r="Q65" s="155" t="s">
        <v>1452</v>
      </c>
      <c r="R65" s="155" t="s">
        <v>1453</v>
      </c>
      <c r="S65" s="155" t="str">
        <f t="shared" si="5"/>
        <v>A 1인실 S1</v>
      </c>
      <c r="T65" s="155" t="s">
        <v>268</v>
      </c>
      <c r="U65" s="157" t="s">
        <v>1375</v>
      </c>
      <c r="V65" s="155" t="s">
        <v>1376</v>
      </c>
      <c r="W65" s="155" t="s">
        <v>1454</v>
      </c>
      <c r="X65" s="154">
        <f t="shared" si="7"/>
        <v>1500000</v>
      </c>
      <c r="Y65" s="177"/>
      <c r="Z65" s="177"/>
    </row>
    <row r="66" ht="16.5" customHeight="1">
      <c r="A66" s="178" t="s">
        <v>1434</v>
      </c>
      <c r="B66" s="178" t="s">
        <v>415</v>
      </c>
      <c r="C66" s="178" t="s">
        <v>422</v>
      </c>
      <c r="D66" s="179" t="s">
        <v>1251</v>
      </c>
      <c r="E66" s="180" t="s">
        <v>1455</v>
      </c>
      <c r="F66" s="181">
        <v>46082.0</v>
      </c>
      <c r="G66" s="181">
        <v>46443.0</v>
      </c>
      <c r="H66" s="178"/>
      <c r="I66" s="178"/>
      <c r="J66" s="179">
        <v>2000000.0</v>
      </c>
      <c r="K66" s="179">
        <v>550000.0</v>
      </c>
      <c r="L66" s="179">
        <v>50000.0</v>
      </c>
      <c r="M66" s="179">
        <f t="shared" si="8"/>
        <v>500000</v>
      </c>
      <c r="N66" s="179">
        <v>120000.0</v>
      </c>
      <c r="O66" s="178" t="s">
        <v>1456</v>
      </c>
      <c r="P66" s="178" t="s">
        <v>1457</v>
      </c>
      <c r="Q66" s="180" t="s">
        <v>1452</v>
      </c>
      <c r="R66" s="180" t="s">
        <v>1453</v>
      </c>
      <c r="S66" s="180" t="str">
        <f t="shared" si="5"/>
        <v>B 1인실 S2</v>
      </c>
      <c r="T66" s="180" t="s">
        <v>268</v>
      </c>
      <c r="U66" s="194" t="s">
        <v>1375</v>
      </c>
      <c r="V66" s="180" t="s">
        <v>1376</v>
      </c>
      <c r="W66" s="180" t="s">
        <v>1377</v>
      </c>
      <c r="X66" s="179">
        <f t="shared" si="7"/>
        <v>1500000</v>
      </c>
      <c r="Y66" s="184"/>
      <c r="Z66" s="184"/>
    </row>
    <row r="67" ht="16.5" customHeight="1">
      <c r="A67" s="175" t="s">
        <v>1434</v>
      </c>
      <c r="B67" s="175" t="s">
        <v>415</v>
      </c>
      <c r="C67" s="175" t="s">
        <v>424</v>
      </c>
      <c r="D67" s="154" t="s">
        <v>1251</v>
      </c>
      <c r="E67" s="155" t="s">
        <v>1044</v>
      </c>
      <c r="F67" s="185">
        <v>46079.0</v>
      </c>
      <c r="G67" s="185">
        <v>46259.0</v>
      </c>
      <c r="H67" s="175"/>
      <c r="I67" s="175"/>
      <c r="J67" s="154">
        <v>2000000.0</v>
      </c>
      <c r="K67" s="154">
        <v>650000.0</v>
      </c>
      <c r="L67" s="154">
        <v>0.0</v>
      </c>
      <c r="M67" s="154">
        <f t="shared" si="8"/>
        <v>650000</v>
      </c>
      <c r="N67" s="154">
        <v>120000.0</v>
      </c>
      <c r="O67" s="175" t="s">
        <v>1458</v>
      </c>
      <c r="P67" s="175" t="s">
        <v>1459</v>
      </c>
      <c r="Q67" s="155" t="s">
        <v>1452</v>
      </c>
      <c r="R67" s="155" t="s">
        <v>1453</v>
      </c>
      <c r="S67" s="155" t="str">
        <f t="shared" si="5"/>
        <v>C 1인실 M2</v>
      </c>
      <c r="T67" s="155" t="s">
        <v>268</v>
      </c>
      <c r="U67" s="157" t="s">
        <v>1375</v>
      </c>
      <c r="V67" s="155" t="s">
        <v>1376</v>
      </c>
      <c r="W67" s="155" t="s">
        <v>1377</v>
      </c>
      <c r="X67" s="154">
        <f t="shared" si="7"/>
        <v>1500000</v>
      </c>
      <c r="Y67" s="177"/>
      <c r="Z67" s="177"/>
    </row>
    <row r="68" ht="16.5" customHeight="1">
      <c r="A68" s="178" t="s">
        <v>1434</v>
      </c>
      <c r="B68" s="178" t="s">
        <v>415</v>
      </c>
      <c r="C68" s="178" t="s">
        <v>430</v>
      </c>
      <c r="D68" s="179" t="s">
        <v>1251</v>
      </c>
      <c r="E68" s="180" t="s">
        <v>1460</v>
      </c>
      <c r="F68" s="181">
        <v>46113.0</v>
      </c>
      <c r="G68" s="181">
        <v>46295.0</v>
      </c>
      <c r="H68" s="207"/>
      <c r="I68" s="178"/>
      <c r="J68" s="179">
        <v>2000000.0</v>
      </c>
      <c r="K68" s="179">
        <v>650000.0</v>
      </c>
      <c r="L68" s="179">
        <v>0.0</v>
      </c>
      <c r="M68" s="179">
        <f t="shared" si="8"/>
        <v>650000</v>
      </c>
      <c r="N68" s="179">
        <v>120000.0</v>
      </c>
      <c r="O68" s="178" t="s">
        <v>1461</v>
      </c>
      <c r="P68" s="178" t="s">
        <v>1462</v>
      </c>
      <c r="Q68" s="180" t="s">
        <v>1452</v>
      </c>
      <c r="R68" s="180" t="s">
        <v>1453</v>
      </c>
      <c r="S68" s="180" t="str">
        <f t="shared" si="5"/>
        <v>D 1인실 M1</v>
      </c>
      <c r="T68" s="180" t="s">
        <v>268</v>
      </c>
      <c r="U68" s="194" t="s">
        <v>1375</v>
      </c>
      <c r="V68" s="180" t="s">
        <v>1376</v>
      </c>
      <c r="W68" s="180" t="s">
        <v>1377</v>
      </c>
      <c r="X68" s="179">
        <f t="shared" si="7"/>
        <v>1500000</v>
      </c>
      <c r="Y68" s="184"/>
      <c r="Z68" s="184"/>
    </row>
    <row r="69" ht="16.5" customHeight="1">
      <c r="A69" s="209" t="s">
        <v>1434</v>
      </c>
      <c r="B69" s="209" t="s">
        <v>415</v>
      </c>
      <c r="C69" s="209" t="s">
        <v>437</v>
      </c>
      <c r="D69" s="210" t="s">
        <v>1251</v>
      </c>
      <c r="E69" s="211" t="s">
        <v>1463</v>
      </c>
      <c r="F69" s="212">
        <v>46124.0</v>
      </c>
      <c r="G69" s="212">
        <v>46488.0</v>
      </c>
      <c r="H69" s="209"/>
      <c r="I69" s="209"/>
      <c r="J69" s="210">
        <v>2000000.0</v>
      </c>
      <c r="K69" s="210">
        <v>690000.0</v>
      </c>
      <c r="L69" s="210">
        <v>40000.0</v>
      </c>
      <c r="M69" s="210">
        <f t="shared" si="8"/>
        <v>650000</v>
      </c>
      <c r="N69" s="210">
        <v>120000.0</v>
      </c>
      <c r="O69" s="209" t="s">
        <v>1464</v>
      </c>
      <c r="P69" s="209" t="s">
        <v>1465</v>
      </c>
      <c r="Q69" s="211" t="s">
        <v>1452</v>
      </c>
      <c r="R69" s="211" t="s">
        <v>1453</v>
      </c>
      <c r="S69" s="211" t="str">
        <f t="shared" si="5"/>
        <v>E 1인실 L</v>
      </c>
      <c r="T69" s="211" t="s">
        <v>268</v>
      </c>
      <c r="U69" s="214" t="s">
        <v>1375</v>
      </c>
      <c r="V69" s="211" t="s">
        <v>1376</v>
      </c>
      <c r="W69" s="211" t="s">
        <v>1377</v>
      </c>
      <c r="X69" s="154">
        <f t="shared" si="7"/>
        <v>1500000</v>
      </c>
      <c r="Y69" s="222"/>
      <c r="Z69" s="177"/>
    </row>
    <row r="70" ht="16.5" customHeight="1">
      <c r="A70" s="178" t="s">
        <v>1466</v>
      </c>
      <c r="B70" s="178" t="s">
        <v>448</v>
      </c>
      <c r="C70" s="178" t="s">
        <v>449</v>
      </c>
      <c r="D70" s="179" t="s">
        <v>1251</v>
      </c>
      <c r="E70" s="180" t="s">
        <v>1467</v>
      </c>
      <c r="F70" s="181">
        <v>45999.0</v>
      </c>
      <c r="G70" s="181">
        <v>46387.0</v>
      </c>
      <c r="H70" s="178"/>
      <c r="I70" s="178"/>
      <c r="J70" s="179">
        <v>2000000.0</v>
      </c>
      <c r="K70" s="179">
        <v>550000.0</v>
      </c>
      <c r="L70" s="179">
        <v>-30000.0</v>
      </c>
      <c r="M70" s="179">
        <f t="shared" si="8"/>
        <v>580000</v>
      </c>
      <c r="N70" s="179">
        <v>100000.0</v>
      </c>
      <c r="O70" s="178" t="s">
        <v>1468</v>
      </c>
      <c r="P70" s="178" t="s">
        <v>1469</v>
      </c>
      <c r="Q70" s="180" t="s">
        <v>1470</v>
      </c>
      <c r="R70" s="180" t="s">
        <v>1471</v>
      </c>
      <c r="S70" s="180" t="str">
        <f t="shared" si="5"/>
        <v>A) 1인실 아래층</v>
      </c>
      <c r="T70" s="180" t="s">
        <v>1440</v>
      </c>
      <c r="U70" s="194" t="s">
        <v>1441</v>
      </c>
      <c r="V70" s="180" t="s">
        <v>1280</v>
      </c>
      <c r="W70" s="223" t="s">
        <v>1442</v>
      </c>
      <c r="X70" s="179">
        <f t="shared" si="7"/>
        <v>1500000</v>
      </c>
      <c r="Y70" s="184" t="s">
        <v>63</v>
      </c>
      <c r="Z70" s="184"/>
    </row>
    <row r="71" ht="16.5" customHeight="1">
      <c r="A71" s="175" t="s">
        <v>1466</v>
      </c>
      <c r="B71" s="175" t="s">
        <v>448</v>
      </c>
      <c r="C71" s="175" t="s">
        <v>454</v>
      </c>
      <c r="D71" s="154" t="s">
        <v>1251</v>
      </c>
      <c r="E71" s="155" t="s">
        <v>455</v>
      </c>
      <c r="F71" s="185">
        <v>46079.0</v>
      </c>
      <c r="G71" s="185">
        <v>46259.0</v>
      </c>
      <c r="H71" s="175"/>
      <c r="I71" s="175"/>
      <c r="J71" s="154">
        <v>2000000.0</v>
      </c>
      <c r="K71" s="154">
        <v>550000.0</v>
      </c>
      <c r="L71" s="154">
        <v>20000.0</v>
      </c>
      <c r="M71" s="154">
        <f t="shared" si="8"/>
        <v>530000</v>
      </c>
      <c r="N71" s="154">
        <v>100000.0</v>
      </c>
      <c r="O71" s="175" t="s">
        <v>1472</v>
      </c>
      <c r="P71" s="175" t="s">
        <v>1473</v>
      </c>
      <c r="Q71" s="155" t="s">
        <v>1470</v>
      </c>
      <c r="R71" s="155" t="s">
        <v>1471</v>
      </c>
      <c r="S71" s="155" t="str">
        <f t="shared" si="5"/>
        <v>B) 1인실 윗층 오</v>
      </c>
      <c r="T71" s="155" t="s">
        <v>1440</v>
      </c>
      <c r="U71" s="157" t="s">
        <v>1441</v>
      </c>
      <c r="V71" s="155" t="s">
        <v>1280</v>
      </c>
      <c r="W71" s="155" t="s">
        <v>1442</v>
      </c>
      <c r="X71" s="154">
        <f t="shared" si="7"/>
        <v>1500000</v>
      </c>
      <c r="Y71" s="177" t="s">
        <v>63</v>
      </c>
      <c r="Z71" s="177"/>
    </row>
    <row r="72" ht="16.5" customHeight="1">
      <c r="A72" s="178" t="s">
        <v>1466</v>
      </c>
      <c r="B72" s="178" t="s">
        <v>448</v>
      </c>
      <c r="C72" s="178" t="s">
        <v>456</v>
      </c>
      <c r="D72" s="179" t="s">
        <v>1251</v>
      </c>
      <c r="E72" s="180" t="s">
        <v>1474</v>
      </c>
      <c r="F72" s="181">
        <v>46048.0</v>
      </c>
      <c r="G72" s="181">
        <v>46412.0</v>
      </c>
      <c r="H72" s="178"/>
      <c r="I72" s="178"/>
      <c r="J72" s="179">
        <v>2000000.0</v>
      </c>
      <c r="K72" s="179">
        <v>550000.0</v>
      </c>
      <c r="L72" s="179">
        <v>50000.0</v>
      </c>
      <c r="M72" s="179">
        <f t="shared" si="8"/>
        <v>500000</v>
      </c>
      <c r="N72" s="179">
        <v>100000.0</v>
      </c>
      <c r="O72" s="178" t="s">
        <v>1475</v>
      </c>
      <c r="P72" s="178" t="s">
        <v>1476</v>
      </c>
      <c r="Q72" s="180" t="s">
        <v>1470</v>
      </c>
      <c r="R72" s="180" t="s">
        <v>1471</v>
      </c>
      <c r="S72" s="180" t="str">
        <f t="shared" si="5"/>
        <v>C) 1인실 윗층 왼</v>
      </c>
      <c r="T72" s="180" t="s">
        <v>1477</v>
      </c>
      <c r="U72" s="194" t="s">
        <v>1441</v>
      </c>
      <c r="V72" s="180" t="s">
        <v>1280</v>
      </c>
      <c r="W72" s="180" t="s">
        <v>1442</v>
      </c>
      <c r="X72" s="179">
        <f t="shared" si="7"/>
        <v>1500000</v>
      </c>
      <c r="Y72" s="184" t="s">
        <v>63</v>
      </c>
      <c r="Z72" s="184"/>
    </row>
    <row r="73" ht="16.5" customHeight="1">
      <c r="A73" s="175" t="s">
        <v>1466</v>
      </c>
      <c r="B73" s="175" t="s">
        <v>448</v>
      </c>
      <c r="C73" s="175" t="s">
        <v>462</v>
      </c>
      <c r="D73" s="154" t="s">
        <v>1265</v>
      </c>
      <c r="E73" s="155" t="s">
        <v>1478</v>
      </c>
      <c r="F73" s="185">
        <v>46078.0</v>
      </c>
      <c r="G73" s="185">
        <v>46227.0</v>
      </c>
      <c r="H73" s="175"/>
      <c r="I73" s="175"/>
      <c r="J73" s="154">
        <v>2000000.0</v>
      </c>
      <c r="K73" s="154">
        <v>450000.0</v>
      </c>
      <c r="L73" s="154">
        <v>-50000.0</v>
      </c>
      <c r="M73" s="154">
        <f t="shared" si="8"/>
        <v>500000</v>
      </c>
      <c r="N73" s="154">
        <v>100000.0</v>
      </c>
      <c r="O73" s="175" t="s">
        <v>1479</v>
      </c>
      <c r="P73" s="175" t="s">
        <v>1480</v>
      </c>
      <c r="Q73" s="155" t="s">
        <v>1470</v>
      </c>
      <c r="R73" s="155" t="s">
        <v>1471</v>
      </c>
      <c r="S73" s="155" t="str">
        <f t="shared" si="5"/>
        <v>D-1) 왼쪽</v>
      </c>
      <c r="T73" s="155" t="s">
        <v>1440</v>
      </c>
      <c r="U73" s="157" t="s">
        <v>1441</v>
      </c>
      <c r="V73" s="155" t="s">
        <v>1280</v>
      </c>
      <c r="W73" s="155" t="s">
        <v>1442</v>
      </c>
      <c r="X73" s="154">
        <f t="shared" si="7"/>
        <v>1500000</v>
      </c>
      <c r="Y73" s="177" t="s">
        <v>63</v>
      </c>
      <c r="Z73" s="177"/>
    </row>
    <row r="74" ht="16.5" customHeight="1">
      <c r="A74" s="187" t="s">
        <v>1466</v>
      </c>
      <c r="B74" s="187" t="s">
        <v>448</v>
      </c>
      <c r="C74" s="187" t="s">
        <v>467</v>
      </c>
      <c r="D74" s="188" t="s">
        <v>1265</v>
      </c>
      <c r="E74" s="189" t="s">
        <v>1481</v>
      </c>
      <c r="F74" s="190">
        <v>46081.0</v>
      </c>
      <c r="G74" s="190">
        <v>46259.0</v>
      </c>
      <c r="H74" s="187"/>
      <c r="I74" s="187"/>
      <c r="J74" s="188">
        <v>2000000.0</v>
      </c>
      <c r="K74" s="188">
        <v>450000.0</v>
      </c>
      <c r="L74" s="188">
        <v>0.0</v>
      </c>
      <c r="M74" s="188">
        <f t="shared" si="8"/>
        <v>450000</v>
      </c>
      <c r="N74" s="188">
        <v>100000.0</v>
      </c>
      <c r="O74" s="187" t="s">
        <v>1482</v>
      </c>
      <c r="P74" s="187" t="s">
        <v>1483</v>
      </c>
      <c r="Q74" s="189" t="s">
        <v>1470</v>
      </c>
      <c r="R74" s="189" t="s">
        <v>1471</v>
      </c>
      <c r="S74" s="189" t="str">
        <f t="shared" si="5"/>
        <v>D-2) 오른쪽</v>
      </c>
      <c r="T74" s="189" t="s">
        <v>1440</v>
      </c>
      <c r="U74" s="195" t="s">
        <v>1441</v>
      </c>
      <c r="V74" s="189" t="s">
        <v>1280</v>
      </c>
      <c r="W74" s="189" t="s">
        <v>1442</v>
      </c>
      <c r="X74" s="179">
        <f t="shared" si="7"/>
        <v>1500000</v>
      </c>
      <c r="Y74" s="184" t="s">
        <v>63</v>
      </c>
      <c r="Z74" s="184"/>
    </row>
    <row r="75" ht="16.5" customHeight="1">
      <c r="A75" s="175" t="s">
        <v>1466</v>
      </c>
      <c r="B75" s="175" t="s">
        <v>474</v>
      </c>
      <c r="C75" s="175" t="s">
        <v>475</v>
      </c>
      <c r="D75" s="154" t="s">
        <v>1251</v>
      </c>
      <c r="E75" s="155" t="s">
        <v>1484</v>
      </c>
      <c r="F75" s="185">
        <v>46079.0</v>
      </c>
      <c r="G75" s="185">
        <v>46443.0</v>
      </c>
      <c r="H75" s="175"/>
      <c r="I75" s="175"/>
      <c r="J75" s="154">
        <v>2000000.0</v>
      </c>
      <c r="K75" s="154">
        <v>590000.0</v>
      </c>
      <c r="L75" s="154">
        <v>30000.0</v>
      </c>
      <c r="M75" s="154">
        <f t="shared" si="8"/>
        <v>560000</v>
      </c>
      <c r="N75" s="154">
        <v>100000.0</v>
      </c>
      <c r="O75" s="175" t="s">
        <v>1485</v>
      </c>
      <c r="P75" s="175" t="s">
        <v>1486</v>
      </c>
      <c r="Q75" s="155" t="s">
        <v>1487</v>
      </c>
      <c r="R75" s="155" t="s">
        <v>1488</v>
      </c>
      <c r="S75" s="155" t="str">
        <f t="shared" si="5"/>
        <v>A) 오른쪽 끝 왼쪽</v>
      </c>
      <c r="T75" s="155" t="s">
        <v>216</v>
      </c>
      <c r="U75" s="155" t="s">
        <v>1421</v>
      </c>
      <c r="V75" s="155" t="s">
        <v>1352</v>
      </c>
      <c r="W75" s="226">
        <v>30687.0</v>
      </c>
      <c r="X75" s="154">
        <f t="shared" si="7"/>
        <v>1500000</v>
      </c>
      <c r="Y75" s="177"/>
      <c r="Z75" s="177"/>
    </row>
    <row r="76" ht="16.5" customHeight="1">
      <c r="A76" s="178" t="s">
        <v>1466</v>
      </c>
      <c r="B76" s="178" t="s">
        <v>474</v>
      </c>
      <c r="C76" s="178" t="s">
        <v>480</v>
      </c>
      <c r="D76" s="179" t="s">
        <v>1251</v>
      </c>
      <c r="E76" s="180" t="s">
        <v>1489</v>
      </c>
      <c r="F76" s="181">
        <v>46081.0</v>
      </c>
      <c r="G76" s="181">
        <v>46443.0</v>
      </c>
      <c r="H76" s="178"/>
      <c r="I76" s="178"/>
      <c r="J76" s="179">
        <v>2000000.0</v>
      </c>
      <c r="K76" s="179">
        <v>550000.0</v>
      </c>
      <c r="L76" s="179">
        <v>50000.0</v>
      </c>
      <c r="M76" s="179">
        <f t="shared" si="8"/>
        <v>500000</v>
      </c>
      <c r="N76" s="179">
        <v>100000.0</v>
      </c>
      <c r="O76" s="178" t="s">
        <v>1490</v>
      </c>
      <c r="P76" s="178" t="s">
        <v>1491</v>
      </c>
      <c r="Q76" s="180" t="s">
        <v>1487</v>
      </c>
      <c r="R76" s="180" t="s">
        <v>1488</v>
      </c>
      <c r="S76" s="180" t="str">
        <f t="shared" si="5"/>
        <v>B) 오른쪽 끝 정면</v>
      </c>
      <c r="T76" s="180" t="s">
        <v>216</v>
      </c>
      <c r="U76" s="180" t="s">
        <v>1421</v>
      </c>
      <c r="V76" s="180" t="s">
        <v>1352</v>
      </c>
      <c r="W76" s="227">
        <v>30687.0</v>
      </c>
      <c r="X76" s="179">
        <f t="shared" si="7"/>
        <v>1500000</v>
      </c>
      <c r="Y76" s="184"/>
      <c r="Z76" s="184"/>
    </row>
    <row r="77" ht="16.5" customHeight="1">
      <c r="A77" s="175" t="s">
        <v>1466</v>
      </c>
      <c r="B77" s="175" t="s">
        <v>474</v>
      </c>
      <c r="C77" s="175" t="s">
        <v>484</v>
      </c>
      <c r="D77" s="154" t="s">
        <v>1251</v>
      </c>
      <c r="E77" s="155" t="s">
        <v>488</v>
      </c>
      <c r="F77" s="185">
        <v>45894.0</v>
      </c>
      <c r="G77" s="185">
        <v>46258.0</v>
      </c>
      <c r="H77" s="175"/>
      <c r="I77" s="175"/>
      <c r="J77" s="154">
        <v>2000000.0</v>
      </c>
      <c r="K77" s="154">
        <v>490000.0</v>
      </c>
      <c r="L77" s="154">
        <v>30000.0</v>
      </c>
      <c r="M77" s="154">
        <f t="shared" si="8"/>
        <v>460000</v>
      </c>
      <c r="N77" s="154">
        <v>100000.0</v>
      </c>
      <c r="O77" s="175" t="s">
        <v>1492</v>
      </c>
      <c r="P77" s="175" t="s">
        <v>1493</v>
      </c>
      <c r="Q77" s="155" t="s">
        <v>1487</v>
      </c>
      <c r="R77" s="155" t="s">
        <v>1488</v>
      </c>
      <c r="S77" s="155" t="str">
        <f t="shared" si="5"/>
        <v>C) 오른쪽 끝 오른쪽</v>
      </c>
      <c r="T77" s="155" t="s">
        <v>216</v>
      </c>
      <c r="U77" s="155" t="s">
        <v>1421</v>
      </c>
      <c r="V77" s="155" t="s">
        <v>1352</v>
      </c>
      <c r="W77" s="226">
        <v>30687.0</v>
      </c>
      <c r="X77" s="154">
        <f t="shared" si="7"/>
        <v>1500000</v>
      </c>
      <c r="Y77" s="177"/>
      <c r="Z77" s="177"/>
    </row>
    <row r="78" ht="16.5" customHeight="1">
      <c r="A78" s="178" t="s">
        <v>1466</v>
      </c>
      <c r="B78" s="178" t="s">
        <v>474</v>
      </c>
      <c r="C78" s="178" t="s">
        <v>489</v>
      </c>
      <c r="D78" s="179" t="s">
        <v>1251</v>
      </c>
      <c r="E78" s="180" t="s">
        <v>1494</v>
      </c>
      <c r="F78" s="181">
        <v>46082.0</v>
      </c>
      <c r="G78" s="181">
        <v>46443.0</v>
      </c>
      <c r="H78" s="178"/>
      <c r="I78" s="178"/>
      <c r="J78" s="179">
        <v>2000000.0</v>
      </c>
      <c r="K78" s="179">
        <v>550000.0</v>
      </c>
      <c r="L78" s="179">
        <v>50000.0</v>
      </c>
      <c r="M78" s="179">
        <f t="shared" si="8"/>
        <v>500000</v>
      </c>
      <c r="N78" s="179">
        <v>100000.0</v>
      </c>
      <c r="O78" s="178" t="s">
        <v>1495</v>
      </c>
      <c r="P78" s="178" t="s">
        <v>1496</v>
      </c>
      <c r="Q78" s="180" t="s">
        <v>1487</v>
      </c>
      <c r="R78" s="180" t="s">
        <v>1488</v>
      </c>
      <c r="S78" s="180" t="str">
        <f t="shared" si="5"/>
        <v>D) 거실욕실 오른쪽</v>
      </c>
      <c r="T78" s="180" t="s">
        <v>216</v>
      </c>
      <c r="U78" s="180" t="s">
        <v>1421</v>
      </c>
      <c r="V78" s="180" t="s">
        <v>1352</v>
      </c>
      <c r="W78" s="227">
        <v>30687.0</v>
      </c>
      <c r="X78" s="179">
        <f t="shared" si="7"/>
        <v>1500000</v>
      </c>
      <c r="Y78" s="184"/>
      <c r="Z78" s="184"/>
    </row>
    <row r="79" ht="16.5" customHeight="1">
      <c r="A79" s="209" t="s">
        <v>1466</v>
      </c>
      <c r="B79" s="209" t="s">
        <v>474</v>
      </c>
      <c r="C79" s="209" t="s">
        <v>496</v>
      </c>
      <c r="D79" s="210" t="s">
        <v>1251</v>
      </c>
      <c r="E79" s="211" t="s">
        <v>1497</v>
      </c>
      <c r="F79" s="212">
        <v>46082.0</v>
      </c>
      <c r="G79" s="212">
        <v>46443.0</v>
      </c>
      <c r="H79" s="209"/>
      <c r="I79" s="213"/>
      <c r="J79" s="210">
        <v>2000000.0</v>
      </c>
      <c r="K79" s="210">
        <v>550000.0</v>
      </c>
      <c r="L79" s="210">
        <v>50000.0</v>
      </c>
      <c r="M79" s="210">
        <f t="shared" si="8"/>
        <v>500000</v>
      </c>
      <c r="N79" s="210">
        <v>100000.0</v>
      </c>
      <c r="O79" s="209" t="s">
        <v>1423</v>
      </c>
      <c r="P79" s="209" t="s">
        <v>1498</v>
      </c>
      <c r="Q79" s="211" t="s">
        <v>1487</v>
      </c>
      <c r="R79" s="211" t="s">
        <v>1488</v>
      </c>
      <c r="S79" s="211" t="str">
        <f t="shared" si="5"/>
        <v>E) 주방 맞은편</v>
      </c>
      <c r="T79" s="211" t="s">
        <v>216</v>
      </c>
      <c r="U79" s="211" t="s">
        <v>1421</v>
      </c>
      <c r="V79" s="211" t="s">
        <v>1352</v>
      </c>
      <c r="W79" s="228">
        <v>30687.0</v>
      </c>
      <c r="X79" s="154">
        <f t="shared" si="7"/>
        <v>1500000</v>
      </c>
      <c r="Y79" s="222"/>
      <c r="Z79" s="177"/>
    </row>
    <row r="80" ht="16.5" customHeight="1">
      <c r="A80" s="178" t="s">
        <v>1466</v>
      </c>
      <c r="B80" s="178" t="s">
        <v>505</v>
      </c>
      <c r="C80" s="178" t="s">
        <v>506</v>
      </c>
      <c r="D80" s="179" t="s">
        <v>1251</v>
      </c>
      <c r="E80" s="180" t="s">
        <v>1499</v>
      </c>
      <c r="F80" s="181">
        <v>45976.0</v>
      </c>
      <c r="G80" s="181">
        <v>46705.0</v>
      </c>
      <c r="H80" s="178"/>
      <c r="I80" s="178"/>
      <c r="J80" s="179">
        <v>2000000.0</v>
      </c>
      <c r="K80" s="179">
        <v>650000.0</v>
      </c>
      <c r="L80" s="179">
        <v>100000.0</v>
      </c>
      <c r="M80" s="179">
        <f t="shared" si="8"/>
        <v>550000</v>
      </c>
      <c r="N80" s="179">
        <v>120000.0</v>
      </c>
      <c r="O80" s="178" t="s">
        <v>1500</v>
      </c>
      <c r="P80" s="178" t="s">
        <v>1501</v>
      </c>
      <c r="Q80" s="180" t="s">
        <v>1502</v>
      </c>
      <c r="R80" s="180" t="s">
        <v>1503</v>
      </c>
      <c r="S80" s="180" t="str">
        <f t="shared" si="5"/>
        <v>A-1) 입구</v>
      </c>
      <c r="T80" s="180" t="s">
        <v>1350</v>
      </c>
      <c r="U80" s="180" t="s">
        <v>1351</v>
      </c>
      <c r="V80" s="194" t="s">
        <v>1352</v>
      </c>
      <c r="W80" s="180" t="s">
        <v>1353</v>
      </c>
      <c r="X80" s="179">
        <f t="shared" si="7"/>
        <v>1500000</v>
      </c>
      <c r="Y80" s="184"/>
      <c r="Z80" s="184"/>
    </row>
    <row r="81" ht="16.5" customHeight="1">
      <c r="A81" s="175" t="s">
        <v>1466</v>
      </c>
      <c r="B81" s="175" t="s">
        <v>505</v>
      </c>
      <c r="C81" s="175" t="s">
        <v>513</v>
      </c>
      <c r="D81" s="154" t="s">
        <v>1251</v>
      </c>
      <c r="E81" s="155" t="s">
        <v>1504</v>
      </c>
      <c r="F81" s="185">
        <v>46018.0</v>
      </c>
      <c r="G81" s="185">
        <v>46382.0</v>
      </c>
      <c r="H81" s="175"/>
      <c r="I81" s="175"/>
      <c r="J81" s="154">
        <v>2000000.0</v>
      </c>
      <c r="K81" s="154">
        <v>620000.0</v>
      </c>
      <c r="L81" s="154">
        <v>30000.0</v>
      </c>
      <c r="M81" s="154">
        <f t="shared" si="8"/>
        <v>590000</v>
      </c>
      <c r="N81" s="154">
        <v>120000.0</v>
      </c>
      <c r="O81" s="175" t="s">
        <v>1505</v>
      </c>
      <c r="P81" s="175" t="s">
        <v>1506</v>
      </c>
      <c r="Q81" s="155" t="s">
        <v>1502</v>
      </c>
      <c r="R81" s="155" t="s">
        <v>1503</v>
      </c>
      <c r="S81" s="155" t="str">
        <f t="shared" si="5"/>
        <v>B-1) 주방</v>
      </c>
      <c r="T81" s="155" t="s">
        <v>1350</v>
      </c>
      <c r="U81" s="155" t="s">
        <v>1351</v>
      </c>
      <c r="V81" s="157" t="s">
        <v>1352</v>
      </c>
      <c r="W81" s="155" t="s">
        <v>1353</v>
      </c>
      <c r="X81" s="154">
        <f t="shared" si="7"/>
        <v>1500000</v>
      </c>
      <c r="Y81" s="177"/>
      <c r="Z81" s="177"/>
    </row>
    <row r="82" ht="16.5" customHeight="1">
      <c r="A82" s="178" t="s">
        <v>1466</v>
      </c>
      <c r="B82" s="178" t="s">
        <v>505</v>
      </c>
      <c r="C82" s="178" t="s">
        <v>519</v>
      </c>
      <c r="D82" s="179" t="s">
        <v>1251</v>
      </c>
      <c r="E82" s="180" t="s">
        <v>1507</v>
      </c>
      <c r="F82" s="181">
        <v>46079.0</v>
      </c>
      <c r="G82" s="181">
        <v>46443.0</v>
      </c>
      <c r="H82" s="178"/>
      <c r="I82" s="178"/>
      <c r="J82" s="179">
        <v>2000000.0</v>
      </c>
      <c r="K82" s="179">
        <v>600000.0</v>
      </c>
      <c r="L82" s="179">
        <v>30000.0</v>
      </c>
      <c r="M82" s="179">
        <f t="shared" si="8"/>
        <v>570000</v>
      </c>
      <c r="N82" s="179">
        <v>120000.0</v>
      </c>
      <c r="O82" s="178" t="s">
        <v>1508</v>
      </c>
      <c r="P82" s="178" t="s">
        <v>1509</v>
      </c>
      <c r="Q82" s="180" t="s">
        <v>1502</v>
      </c>
      <c r="R82" s="180" t="s">
        <v>1503</v>
      </c>
      <c r="S82" s="180" t="str">
        <f t="shared" si="5"/>
        <v>C-1) 거실 왼</v>
      </c>
      <c r="T82" s="180" t="s">
        <v>1350</v>
      </c>
      <c r="U82" s="180" t="s">
        <v>1351</v>
      </c>
      <c r="V82" s="194" t="s">
        <v>1352</v>
      </c>
      <c r="W82" s="180" t="s">
        <v>1353</v>
      </c>
      <c r="X82" s="179">
        <f t="shared" si="7"/>
        <v>1500000</v>
      </c>
      <c r="Y82" s="184"/>
      <c r="Z82" s="184"/>
    </row>
    <row r="83" ht="16.5" customHeight="1">
      <c r="A83" s="175" t="s">
        <v>1466</v>
      </c>
      <c r="B83" s="175" t="s">
        <v>505</v>
      </c>
      <c r="C83" s="175" t="s">
        <v>525</v>
      </c>
      <c r="D83" s="154" t="s">
        <v>1251</v>
      </c>
      <c r="E83" s="155" t="s">
        <v>1510</v>
      </c>
      <c r="F83" s="185">
        <v>46079.0</v>
      </c>
      <c r="G83" s="185">
        <v>46443.0</v>
      </c>
      <c r="H83" s="175"/>
      <c r="I83" s="175"/>
      <c r="J83" s="154">
        <v>2000000.0</v>
      </c>
      <c r="K83" s="154">
        <v>600000.0</v>
      </c>
      <c r="L83" s="154">
        <v>50000.0</v>
      </c>
      <c r="M83" s="154">
        <f t="shared" si="8"/>
        <v>550000</v>
      </c>
      <c r="N83" s="154">
        <v>120000.0</v>
      </c>
      <c r="O83" s="175" t="s">
        <v>1511</v>
      </c>
      <c r="P83" s="175" t="s">
        <v>1512</v>
      </c>
      <c r="Q83" s="155" t="s">
        <v>1502</v>
      </c>
      <c r="R83" s="155" t="s">
        <v>1503</v>
      </c>
      <c r="S83" s="155" t="str">
        <f t="shared" si="5"/>
        <v>D-1) 거실 오</v>
      </c>
      <c r="T83" s="155" t="s">
        <v>1350</v>
      </c>
      <c r="U83" s="155" t="s">
        <v>1351</v>
      </c>
      <c r="V83" s="157" t="s">
        <v>1352</v>
      </c>
      <c r="W83" s="155" t="s">
        <v>1353</v>
      </c>
      <c r="X83" s="154">
        <f t="shared" si="7"/>
        <v>1500000</v>
      </c>
      <c r="Y83" s="177"/>
      <c r="Z83" s="177"/>
    </row>
    <row r="84" ht="16.5" customHeight="1">
      <c r="A84" s="178" t="s">
        <v>1466</v>
      </c>
      <c r="B84" s="178" t="s">
        <v>505</v>
      </c>
      <c r="C84" s="178" t="s">
        <v>1513</v>
      </c>
      <c r="D84" s="179" t="s">
        <v>1265</v>
      </c>
      <c r="E84" s="180" t="s">
        <v>1514</v>
      </c>
      <c r="F84" s="181">
        <v>46088.0</v>
      </c>
      <c r="G84" s="181">
        <v>46259.0</v>
      </c>
      <c r="H84" s="178"/>
      <c r="I84" s="178"/>
      <c r="J84" s="179">
        <v>2000000.0</v>
      </c>
      <c r="K84" s="179">
        <v>500000.0</v>
      </c>
      <c r="L84" s="179">
        <v>0.0</v>
      </c>
      <c r="M84" s="179">
        <f t="shared" si="8"/>
        <v>500000</v>
      </c>
      <c r="N84" s="179">
        <v>120000.0</v>
      </c>
      <c r="O84" s="178"/>
      <c r="P84" s="178" t="s">
        <v>1515</v>
      </c>
      <c r="Q84" s="180" t="s">
        <v>1502</v>
      </c>
      <c r="R84" s="180" t="s">
        <v>1503</v>
      </c>
      <c r="S84" s="180" t="str">
        <f t="shared" si="5"/>
        <v>E-1) 화장실 옆 붙박이장 오른쪽</v>
      </c>
      <c r="T84" s="180" t="s">
        <v>1350</v>
      </c>
      <c r="U84" s="180" t="s">
        <v>1351</v>
      </c>
      <c r="V84" s="194" t="s">
        <v>1352</v>
      </c>
      <c r="W84" s="180" t="s">
        <v>1353</v>
      </c>
      <c r="X84" s="179">
        <f t="shared" si="7"/>
        <v>1500000</v>
      </c>
      <c r="Y84" s="184"/>
      <c r="Z84" s="184"/>
    </row>
    <row r="85" ht="16.5" customHeight="1">
      <c r="A85" s="209" t="s">
        <v>1466</v>
      </c>
      <c r="B85" s="209" t="s">
        <v>505</v>
      </c>
      <c r="C85" s="209" t="s">
        <v>1516</v>
      </c>
      <c r="D85" s="210" t="s">
        <v>1265</v>
      </c>
      <c r="E85" s="211" t="s">
        <v>1517</v>
      </c>
      <c r="F85" s="212">
        <v>46066.0</v>
      </c>
      <c r="G85" s="212">
        <v>46430.0</v>
      </c>
      <c r="H85" s="229" t="s">
        <v>1518</v>
      </c>
      <c r="I85" s="213" t="s">
        <v>1239</v>
      </c>
      <c r="J85" s="210">
        <v>2000000.0</v>
      </c>
      <c r="K85" s="210">
        <v>500000.0</v>
      </c>
      <c r="L85" s="210">
        <v>50000.0</v>
      </c>
      <c r="M85" s="210">
        <f t="shared" si="8"/>
        <v>450000</v>
      </c>
      <c r="N85" s="210">
        <v>120000.0</v>
      </c>
      <c r="O85" s="209" t="s">
        <v>1519</v>
      </c>
      <c r="P85" s="209" t="s">
        <v>1520</v>
      </c>
      <c r="Q85" s="211" t="s">
        <v>1502</v>
      </c>
      <c r="R85" s="211" t="s">
        <v>1503</v>
      </c>
      <c r="S85" s="211" t="str">
        <f t="shared" si="5"/>
        <v>F-1) 화장실 옆 왼쪽</v>
      </c>
      <c r="T85" s="211" t="s">
        <v>1350</v>
      </c>
      <c r="U85" s="211" t="s">
        <v>1351</v>
      </c>
      <c r="V85" s="214" t="s">
        <v>1352</v>
      </c>
      <c r="W85" s="211" t="s">
        <v>1353</v>
      </c>
      <c r="X85" s="154">
        <f t="shared" si="7"/>
        <v>1500000</v>
      </c>
      <c r="Y85" s="222"/>
      <c r="Z85" s="177"/>
    </row>
    <row r="86" ht="16.5" customHeight="1">
      <c r="A86" s="178" t="s">
        <v>1466</v>
      </c>
      <c r="B86" s="178" t="s">
        <v>553</v>
      </c>
      <c r="C86" s="178" t="s">
        <v>506</v>
      </c>
      <c r="D86" s="179" t="s">
        <v>1251</v>
      </c>
      <c r="E86" s="180" t="s">
        <v>1521</v>
      </c>
      <c r="F86" s="181">
        <v>46078.0</v>
      </c>
      <c r="G86" s="181">
        <v>46258.0</v>
      </c>
      <c r="H86" s="178"/>
      <c r="I86" s="178"/>
      <c r="J86" s="179">
        <v>2000000.0</v>
      </c>
      <c r="K86" s="179">
        <v>550000.0</v>
      </c>
      <c r="L86" s="179">
        <v>20000.0</v>
      </c>
      <c r="M86" s="179">
        <f t="shared" si="8"/>
        <v>530000</v>
      </c>
      <c r="N86" s="179">
        <v>100000.0</v>
      </c>
      <c r="O86" s="178" t="s">
        <v>1522</v>
      </c>
      <c r="P86" s="178" t="s">
        <v>1523</v>
      </c>
      <c r="Q86" s="180" t="s">
        <v>1524</v>
      </c>
      <c r="R86" s="180" t="s">
        <v>1525</v>
      </c>
      <c r="S86" s="180" t="str">
        <f t="shared" si="5"/>
        <v>A-1) 입구</v>
      </c>
      <c r="T86" s="180" t="s">
        <v>1440</v>
      </c>
      <c r="U86" s="180" t="s">
        <v>1526</v>
      </c>
      <c r="V86" s="180" t="s">
        <v>1280</v>
      </c>
      <c r="W86" s="180" t="s">
        <v>1442</v>
      </c>
      <c r="X86" s="179">
        <f t="shared" si="7"/>
        <v>1500000</v>
      </c>
      <c r="Y86" s="184" t="s">
        <v>63</v>
      </c>
      <c r="Z86" s="184"/>
    </row>
    <row r="87" ht="16.5" customHeight="1">
      <c r="A87" s="175" t="s">
        <v>1466</v>
      </c>
      <c r="B87" s="175" t="s">
        <v>553</v>
      </c>
      <c r="C87" s="175" t="s">
        <v>557</v>
      </c>
      <c r="D87" s="154" t="s">
        <v>1251</v>
      </c>
      <c r="E87" s="155" t="s">
        <v>1527</v>
      </c>
      <c r="F87" s="185">
        <v>46071.0</v>
      </c>
      <c r="G87" s="185">
        <v>46259.0</v>
      </c>
      <c r="H87" s="175"/>
      <c r="I87" s="175"/>
      <c r="J87" s="154">
        <v>2000000.0</v>
      </c>
      <c r="K87" s="154">
        <v>550000.0</v>
      </c>
      <c r="L87" s="154">
        <v>0.0</v>
      </c>
      <c r="M87" s="154">
        <f t="shared" si="8"/>
        <v>550000</v>
      </c>
      <c r="N87" s="154">
        <v>100000.0</v>
      </c>
      <c r="O87" s="175" t="s">
        <v>1528</v>
      </c>
      <c r="P87" s="175" t="s">
        <v>1529</v>
      </c>
      <c r="Q87" s="155" t="s">
        <v>1524</v>
      </c>
      <c r="R87" s="155" t="s">
        <v>1525</v>
      </c>
      <c r="S87" s="155" t="str">
        <f t="shared" si="5"/>
        <v>B-1) 주방옆</v>
      </c>
      <c r="T87" s="155" t="s">
        <v>1440</v>
      </c>
      <c r="U87" s="155" t="s">
        <v>1526</v>
      </c>
      <c r="V87" s="155" t="s">
        <v>1280</v>
      </c>
      <c r="W87" s="155" t="s">
        <v>1442</v>
      </c>
      <c r="X87" s="154">
        <f t="shared" si="7"/>
        <v>1500000</v>
      </c>
      <c r="Y87" s="177" t="s">
        <v>63</v>
      </c>
      <c r="Z87" s="177"/>
    </row>
    <row r="88" ht="16.5" customHeight="1">
      <c r="A88" s="178" t="s">
        <v>1466</v>
      </c>
      <c r="B88" s="178" t="s">
        <v>553</v>
      </c>
      <c r="C88" s="178" t="s">
        <v>1530</v>
      </c>
      <c r="D88" s="179" t="s">
        <v>1265</v>
      </c>
      <c r="E88" s="180" t="s">
        <v>1531</v>
      </c>
      <c r="F88" s="181">
        <v>46077.0</v>
      </c>
      <c r="G88" s="181">
        <v>46265.0</v>
      </c>
      <c r="H88" s="182"/>
      <c r="I88" s="183"/>
      <c r="J88" s="179">
        <v>2000000.0</v>
      </c>
      <c r="K88" s="179">
        <v>450000.0</v>
      </c>
      <c r="L88" s="179">
        <v>50000.0</v>
      </c>
      <c r="M88" s="179">
        <f t="shared" si="8"/>
        <v>400000</v>
      </c>
      <c r="N88" s="179">
        <v>100000.0</v>
      </c>
      <c r="O88" s="178" t="s">
        <v>1532</v>
      </c>
      <c r="P88" s="178" t="s">
        <v>1533</v>
      </c>
      <c r="Q88" s="180" t="s">
        <v>1524</v>
      </c>
      <c r="R88" s="180" t="s">
        <v>1525</v>
      </c>
      <c r="S88" s="180" t="str">
        <f t="shared" si="5"/>
        <v>C-1) 거실옆 안쪽, 왼쪽</v>
      </c>
      <c r="T88" s="180" t="s">
        <v>1440</v>
      </c>
      <c r="U88" s="180" t="s">
        <v>1526</v>
      </c>
      <c r="V88" s="180" t="s">
        <v>1280</v>
      </c>
      <c r="W88" s="180" t="s">
        <v>1442</v>
      </c>
      <c r="X88" s="179">
        <f t="shared" si="7"/>
        <v>1500000</v>
      </c>
      <c r="Y88" s="184" t="s">
        <v>63</v>
      </c>
      <c r="Z88" s="184"/>
    </row>
    <row r="89" ht="16.5" customHeight="1">
      <c r="A89" s="209" t="s">
        <v>1466</v>
      </c>
      <c r="B89" s="209" t="s">
        <v>553</v>
      </c>
      <c r="C89" s="209" t="s">
        <v>1534</v>
      </c>
      <c r="D89" s="210" t="s">
        <v>1265</v>
      </c>
      <c r="E89" s="211" t="s">
        <v>575</v>
      </c>
      <c r="F89" s="203">
        <v>46079.0</v>
      </c>
      <c r="G89" s="212">
        <v>46443.0</v>
      </c>
      <c r="H89" s="209"/>
      <c r="I89" s="213"/>
      <c r="J89" s="210">
        <v>1000000.0</v>
      </c>
      <c r="K89" s="210">
        <v>450000.0</v>
      </c>
      <c r="L89" s="210">
        <v>50000.0</v>
      </c>
      <c r="M89" s="210">
        <f t="shared" si="8"/>
        <v>400000</v>
      </c>
      <c r="N89" s="210">
        <v>100000.0</v>
      </c>
      <c r="O89" s="209" t="s">
        <v>1535</v>
      </c>
      <c r="P89" s="209" t="s">
        <v>1536</v>
      </c>
      <c r="Q89" s="211" t="s">
        <v>1524</v>
      </c>
      <c r="R89" s="211" t="s">
        <v>1525</v>
      </c>
      <c r="S89" s="211" t="str">
        <f t="shared" si="5"/>
        <v>C-2) 거실옆 문쪽, 오른쪽</v>
      </c>
      <c r="T89" s="211" t="s">
        <v>1440</v>
      </c>
      <c r="U89" s="211" t="s">
        <v>1526</v>
      </c>
      <c r="V89" s="211" t="s">
        <v>1280</v>
      </c>
      <c r="W89" s="211" t="s">
        <v>1442</v>
      </c>
      <c r="X89" s="154">
        <f t="shared" si="7"/>
        <v>500000</v>
      </c>
      <c r="Y89" s="177" t="s">
        <v>63</v>
      </c>
      <c r="Z89" s="177"/>
    </row>
    <row r="90" ht="16.5" customHeight="1">
      <c r="A90" s="178" t="s">
        <v>1466</v>
      </c>
      <c r="B90" s="178" t="s">
        <v>577</v>
      </c>
      <c r="C90" s="178" t="s">
        <v>320</v>
      </c>
      <c r="D90" s="179" t="s">
        <v>1251</v>
      </c>
      <c r="E90" s="180" t="s">
        <v>578</v>
      </c>
      <c r="F90" s="181">
        <v>46079.0</v>
      </c>
      <c r="G90" s="181">
        <v>46259.0</v>
      </c>
      <c r="H90" s="178"/>
      <c r="I90" s="230"/>
      <c r="J90" s="179">
        <v>2000000.0</v>
      </c>
      <c r="K90" s="179">
        <v>570000.0</v>
      </c>
      <c r="L90" s="179">
        <v>0.0</v>
      </c>
      <c r="M90" s="179">
        <f t="shared" si="8"/>
        <v>570000</v>
      </c>
      <c r="N90" s="179">
        <v>80000.0</v>
      </c>
      <c r="O90" s="178" t="s">
        <v>1537</v>
      </c>
      <c r="P90" s="178" t="s">
        <v>1538</v>
      </c>
      <c r="Q90" s="180" t="s">
        <v>1539</v>
      </c>
      <c r="R90" s="180" t="s">
        <v>1228</v>
      </c>
      <c r="S90" s="180" t="str">
        <f t="shared" si="5"/>
        <v>A-1</v>
      </c>
      <c r="T90" s="180" t="s">
        <v>1540</v>
      </c>
      <c r="U90" s="180" t="s">
        <v>1541</v>
      </c>
      <c r="V90" s="180" t="s">
        <v>1542</v>
      </c>
      <c r="W90" s="223" t="s">
        <v>1543</v>
      </c>
      <c r="X90" s="179">
        <f t="shared" si="7"/>
        <v>1500000</v>
      </c>
      <c r="Y90" s="184"/>
      <c r="Z90" s="184"/>
    </row>
    <row r="91" ht="16.5" customHeight="1">
      <c r="A91" s="175" t="s">
        <v>1466</v>
      </c>
      <c r="B91" s="175" t="s">
        <v>577</v>
      </c>
      <c r="C91" s="175" t="s">
        <v>1544</v>
      </c>
      <c r="D91" s="154" t="s">
        <v>1265</v>
      </c>
      <c r="E91" s="155" t="s">
        <v>581</v>
      </c>
      <c r="F91" s="185">
        <v>46070.0</v>
      </c>
      <c r="G91" s="185">
        <v>46250.0</v>
      </c>
      <c r="H91" s="175"/>
      <c r="I91" s="231"/>
      <c r="J91" s="154">
        <v>2000000.0</v>
      </c>
      <c r="K91" s="154">
        <v>450000.0</v>
      </c>
      <c r="L91" s="154">
        <v>0.0</v>
      </c>
      <c r="M91" s="154">
        <f t="shared" si="8"/>
        <v>450000</v>
      </c>
      <c r="N91" s="154">
        <v>80000.0</v>
      </c>
      <c r="O91" s="175"/>
      <c r="P91" s="175" t="s">
        <v>1545</v>
      </c>
      <c r="Q91" s="155" t="s">
        <v>1539</v>
      </c>
      <c r="R91" s="155" t="s">
        <v>1228</v>
      </c>
      <c r="S91" s="155" t="str">
        <f t="shared" si="5"/>
        <v>B-1 관리X</v>
      </c>
      <c r="T91" s="155" t="s">
        <v>1540</v>
      </c>
      <c r="U91" s="155" t="s">
        <v>1546</v>
      </c>
      <c r="V91" s="155" t="s">
        <v>1542</v>
      </c>
      <c r="W91" s="193" t="s">
        <v>1543</v>
      </c>
      <c r="X91" s="154">
        <f t="shared" si="7"/>
        <v>1500000</v>
      </c>
      <c r="Y91" s="177"/>
      <c r="Z91" s="177"/>
    </row>
    <row r="92" ht="16.5" customHeight="1">
      <c r="A92" s="178" t="s">
        <v>1466</v>
      </c>
      <c r="B92" s="178" t="s">
        <v>577</v>
      </c>
      <c r="C92" s="178" t="s">
        <v>582</v>
      </c>
      <c r="D92" s="179" t="s">
        <v>1265</v>
      </c>
      <c r="E92" s="180" t="s">
        <v>546</v>
      </c>
      <c r="F92" s="181">
        <v>46079.0</v>
      </c>
      <c r="G92" s="181">
        <v>46443.0</v>
      </c>
      <c r="H92" s="178"/>
      <c r="I92" s="183"/>
      <c r="J92" s="179">
        <v>2000000.0</v>
      </c>
      <c r="K92" s="179">
        <v>450000.0</v>
      </c>
      <c r="L92" s="179">
        <v>80000.0</v>
      </c>
      <c r="M92" s="179">
        <f t="shared" si="8"/>
        <v>370000</v>
      </c>
      <c r="N92" s="179">
        <v>100000.0</v>
      </c>
      <c r="O92" s="178" t="s">
        <v>1547</v>
      </c>
      <c r="P92" s="178" t="s">
        <v>1548</v>
      </c>
      <c r="Q92" s="180" t="s">
        <v>1539</v>
      </c>
      <c r="R92" s="180" t="s">
        <v>1228</v>
      </c>
      <c r="S92" s="180" t="str">
        <f t="shared" si="5"/>
        <v>B-2</v>
      </c>
      <c r="T92" s="180" t="s">
        <v>1540</v>
      </c>
      <c r="U92" s="180" t="s">
        <v>1546</v>
      </c>
      <c r="V92" s="180" t="s">
        <v>1542</v>
      </c>
      <c r="W92" s="223" t="s">
        <v>1543</v>
      </c>
      <c r="X92" s="179">
        <f t="shared" si="7"/>
        <v>1500000</v>
      </c>
      <c r="Y92" s="184"/>
      <c r="Z92" s="184"/>
    </row>
    <row r="93" ht="16.5" customHeight="1">
      <c r="A93" s="175" t="s">
        <v>1466</v>
      </c>
      <c r="B93" s="175" t="s">
        <v>577</v>
      </c>
      <c r="C93" s="175" t="s">
        <v>1549</v>
      </c>
      <c r="D93" s="154" t="s">
        <v>1265</v>
      </c>
      <c r="E93" s="155" t="s">
        <v>1550</v>
      </c>
      <c r="F93" s="185">
        <v>46081.0</v>
      </c>
      <c r="G93" s="185">
        <v>46443.0</v>
      </c>
      <c r="H93" s="175"/>
      <c r="I93" s="186"/>
      <c r="J93" s="154">
        <v>2000000.0</v>
      </c>
      <c r="K93" s="154">
        <v>420000.0</v>
      </c>
      <c r="L93" s="154">
        <v>50000.0</v>
      </c>
      <c r="M93" s="154">
        <f t="shared" si="8"/>
        <v>370000</v>
      </c>
      <c r="N93" s="154">
        <v>100000.0</v>
      </c>
      <c r="O93" s="175" t="s">
        <v>1551</v>
      </c>
      <c r="P93" s="175" t="s">
        <v>1552</v>
      </c>
      <c r="Q93" s="155" t="s">
        <v>1539</v>
      </c>
      <c r="R93" s="155" t="s">
        <v>1228</v>
      </c>
      <c r="S93" s="155" t="str">
        <f t="shared" si="5"/>
        <v>C-1 </v>
      </c>
      <c r="T93" s="155" t="s">
        <v>1540</v>
      </c>
      <c r="U93" s="155" t="s">
        <v>1546</v>
      </c>
      <c r="V93" s="155" t="s">
        <v>1542</v>
      </c>
      <c r="W93" s="193" t="s">
        <v>1543</v>
      </c>
      <c r="X93" s="154">
        <f t="shared" si="7"/>
        <v>1500000</v>
      </c>
      <c r="Y93" s="177"/>
      <c r="Z93" s="177"/>
    </row>
    <row r="94" ht="16.5" customHeight="1">
      <c r="A94" s="187" t="s">
        <v>1466</v>
      </c>
      <c r="B94" s="187" t="s">
        <v>577</v>
      </c>
      <c r="C94" s="187" t="s">
        <v>1553</v>
      </c>
      <c r="D94" s="188" t="s">
        <v>1265</v>
      </c>
      <c r="E94" s="189" t="s">
        <v>1554</v>
      </c>
      <c r="F94" s="190">
        <v>46080.0</v>
      </c>
      <c r="G94" s="190">
        <v>46443.0</v>
      </c>
      <c r="H94" s="187"/>
      <c r="I94" s="225"/>
      <c r="J94" s="188">
        <v>2000000.0</v>
      </c>
      <c r="K94" s="188">
        <v>420000.0</v>
      </c>
      <c r="L94" s="188">
        <v>50000.0</v>
      </c>
      <c r="M94" s="188">
        <f t="shared" si="8"/>
        <v>370000</v>
      </c>
      <c r="N94" s="188">
        <v>100000.0</v>
      </c>
      <c r="O94" s="187" t="s">
        <v>1555</v>
      </c>
      <c r="P94" s="187" t="s">
        <v>1556</v>
      </c>
      <c r="Q94" s="189" t="s">
        <v>1539</v>
      </c>
      <c r="R94" s="189" t="s">
        <v>1228</v>
      </c>
      <c r="S94" s="189" t="str">
        <f t="shared" si="5"/>
        <v>C-2 </v>
      </c>
      <c r="T94" s="189" t="s">
        <v>1540</v>
      </c>
      <c r="U94" s="189" t="s">
        <v>1546</v>
      </c>
      <c r="V94" s="189" t="s">
        <v>1542</v>
      </c>
      <c r="W94" s="232" t="s">
        <v>1543</v>
      </c>
      <c r="X94" s="179">
        <f t="shared" si="7"/>
        <v>1500000</v>
      </c>
      <c r="Y94" s="233"/>
      <c r="Z94" s="184"/>
    </row>
    <row r="95" ht="16.5" customHeight="1">
      <c r="A95" s="175" t="s">
        <v>1466</v>
      </c>
      <c r="B95" s="175" t="s">
        <v>598</v>
      </c>
      <c r="C95" s="175" t="s">
        <v>506</v>
      </c>
      <c r="D95" s="154" t="s">
        <v>1251</v>
      </c>
      <c r="E95" s="155" t="s">
        <v>1557</v>
      </c>
      <c r="F95" s="185">
        <v>46079.0</v>
      </c>
      <c r="G95" s="185">
        <v>46259.0</v>
      </c>
      <c r="H95" s="175"/>
      <c r="I95" s="175"/>
      <c r="J95" s="154">
        <v>2000000.0</v>
      </c>
      <c r="K95" s="154">
        <v>520000.0</v>
      </c>
      <c r="L95" s="154">
        <v>20000.0</v>
      </c>
      <c r="M95" s="154">
        <f t="shared" si="8"/>
        <v>500000</v>
      </c>
      <c r="N95" s="154">
        <v>100000.0</v>
      </c>
      <c r="O95" s="234" t="s">
        <v>1558</v>
      </c>
      <c r="P95" s="175" t="s">
        <v>1559</v>
      </c>
      <c r="Q95" s="155" t="s">
        <v>1560</v>
      </c>
      <c r="R95" s="155" t="s">
        <v>1561</v>
      </c>
      <c r="S95" s="155" t="str">
        <f t="shared" si="5"/>
        <v>A-1) 입구</v>
      </c>
      <c r="T95" s="155" t="s">
        <v>1562</v>
      </c>
      <c r="U95" s="155" t="s">
        <v>1563</v>
      </c>
      <c r="V95" s="155" t="s">
        <v>1257</v>
      </c>
      <c r="W95" s="155" t="s">
        <v>1258</v>
      </c>
      <c r="X95" s="154">
        <f t="shared" si="7"/>
        <v>1500000</v>
      </c>
      <c r="Y95" s="177" t="s">
        <v>1408</v>
      </c>
      <c r="Z95" s="177"/>
    </row>
    <row r="96" ht="16.5" customHeight="1">
      <c r="A96" s="178" t="s">
        <v>1466</v>
      </c>
      <c r="B96" s="178" t="s">
        <v>598</v>
      </c>
      <c r="C96" s="178" t="s">
        <v>601</v>
      </c>
      <c r="D96" s="179" t="s">
        <v>1251</v>
      </c>
      <c r="E96" s="180" t="s">
        <v>1564</v>
      </c>
      <c r="F96" s="181">
        <v>46082.0</v>
      </c>
      <c r="G96" s="181">
        <v>46259.0</v>
      </c>
      <c r="H96" s="178"/>
      <c r="I96" s="183"/>
      <c r="J96" s="179">
        <v>2000000.0</v>
      </c>
      <c r="K96" s="179">
        <v>590000.0</v>
      </c>
      <c r="L96" s="179">
        <v>0.0</v>
      </c>
      <c r="M96" s="179">
        <f t="shared" si="8"/>
        <v>590000</v>
      </c>
      <c r="N96" s="179">
        <v>100000.0</v>
      </c>
      <c r="O96" s="178">
        <v>6.50774648E8</v>
      </c>
      <c r="P96" s="178" t="s">
        <v>1565</v>
      </c>
      <c r="Q96" s="180" t="s">
        <v>1560</v>
      </c>
      <c r="R96" s="180" t="s">
        <v>1561</v>
      </c>
      <c r="S96" s="180" t="str">
        <f t="shared" si="5"/>
        <v>B-1) 욕실 (오)</v>
      </c>
      <c r="T96" s="180" t="s">
        <v>1562</v>
      </c>
      <c r="U96" s="180" t="s">
        <v>1563</v>
      </c>
      <c r="V96" s="180" t="s">
        <v>1257</v>
      </c>
      <c r="W96" s="180" t="s">
        <v>1258</v>
      </c>
      <c r="X96" s="179">
        <f t="shared" si="7"/>
        <v>1500000</v>
      </c>
      <c r="Y96" s="184" t="s">
        <v>1408</v>
      </c>
      <c r="Z96" s="184"/>
    </row>
    <row r="97" ht="16.5" customHeight="1">
      <c r="A97" s="175" t="s">
        <v>1466</v>
      </c>
      <c r="B97" s="175" t="s">
        <v>598</v>
      </c>
      <c r="C97" s="175" t="s">
        <v>603</v>
      </c>
      <c r="D97" s="154" t="s">
        <v>1251</v>
      </c>
      <c r="E97" s="155" t="s">
        <v>1566</v>
      </c>
      <c r="F97" s="185">
        <v>46071.0</v>
      </c>
      <c r="G97" s="185">
        <v>46435.0</v>
      </c>
      <c r="H97" s="175"/>
      <c r="I97" s="186"/>
      <c r="J97" s="154">
        <v>2000000.0</v>
      </c>
      <c r="K97" s="154">
        <v>550000.0</v>
      </c>
      <c r="L97" s="154">
        <v>50000.0</v>
      </c>
      <c r="M97" s="154">
        <f t="shared" si="8"/>
        <v>500000</v>
      </c>
      <c r="N97" s="154">
        <v>100000.0</v>
      </c>
      <c r="O97" s="175" t="s">
        <v>1399</v>
      </c>
      <c r="P97" s="175" t="s">
        <v>1567</v>
      </c>
      <c r="Q97" s="155" t="s">
        <v>1560</v>
      </c>
      <c r="R97" s="155" t="s">
        <v>1561</v>
      </c>
      <c r="S97" s="155" t="str">
        <f t="shared" si="5"/>
        <v>C-1) 욕실 (왼)</v>
      </c>
      <c r="T97" s="155" t="s">
        <v>1562</v>
      </c>
      <c r="U97" s="155" t="s">
        <v>1563</v>
      </c>
      <c r="V97" s="155" t="s">
        <v>1257</v>
      </c>
      <c r="W97" s="155" t="s">
        <v>1258</v>
      </c>
      <c r="X97" s="154">
        <f t="shared" si="7"/>
        <v>1500000</v>
      </c>
      <c r="Y97" s="177" t="s">
        <v>1408</v>
      </c>
      <c r="Z97" s="177"/>
    </row>
    <row r="98" ht="16.5" customHeight="1">
      <c r="A98" s="187" t="s">
        <v>1466</v>
      </c>
      <c r="B98" s="187" t="s">
        <v>598</v>
      </c>
      <c r="C98" s="187" t="s">
        <v>606</v>
      </c>
      <c r="D98" s="188" t="s">
        <v>1251</v>
      </c>
      <c r="E98" s="189" t="s">
        <v>1568</v>
      </c>
      <c r="F98" s="190">
        <v>46082.0</v>
      </c>
      <c r="G98" s="190">
        <v>46443.0</v>
      </c>
      <c r="H98" s="187"/>
      <c r="I98" s="225"/>
      <c r="J98" s="188">
        <v>2000000.0</v>
      </c>
      <c r="K98" s="188">
        <v>490000.0</v>
      </c>
      <c r="L98" s="188">
        <v>50000.0</v>
      </c>
      <c r="M98" s="188">
        <f t="shared" si="8"/>
        <v>440000</v>
      </c>
      <c r="N98" s="188">
        <v>100000.0</v>
      </c>
      <c r="O98" s="187" t="s">
        <v>1569</v>
      </c>
      <c r="P98" s="187" t="s">
        <v>1570</v>
      </c>
      <c r="Q98" s="189" t="s">
        <v>1560</v>
      </c>
      <c r="R98" s="189" t="s">
        <v>1561</v>
      </c>
      <c r="S98" s="189" t="str">
        <f t="shared" si="5"/>
        <v>D-1) 주방 뒤</v>
      </c>
      <c r="T98" s="189" t="s">
        <v>1562</v>
      </c>
      <c r="U98" s="189" t="s">
        <v>1563</v>
      </c>
      <c r="V98" s="189" t="s">
        <v>1257</v>
      </c>
      <c r="W98" s="189" t="s">
        <v>1258</v>
      </c>
      <c r="X98" s="179">
        <f t="shared" si="7"/>
        <v>1500000</v>
      </c>
      <c r="Y98" s="184" t="s">
        <v>1408</v>
      </c>
      <c r="Z98" s="184"/>
    </row>
    <row r="99" ht="16.5" customHeight="1">
      <c r="A99" s="175" t="s">
        <v>1466</v>
      </c>
      <c r="B99" s="175" t="s">
        <v>1571</v>
      </c>
      <c r="C99" s="175" t="s">
        <v>1572</v>
      </c>
      <c r="D99" s="154" t="s">
        <v>1251</v>
      </c>
      <c r="E99" s="155" t="s">
        <v>1573</v>
      </c>
      <c r="F99" s="185">
        <v>46073.0</v>
      </c>
      <c r="G99" s="185">
        <v>46259.0</v>
      </c>
      <c r="H99" s="175"/>
      <c r="I99" s="186"/>
      <c r="J99" s="154">
        <v>2000000.0</v>
      </c>
      <c r="K99" s="154">
        <v>570000.0</v>
      </c>
      <c r="L99" s="154">
        <v>20000.0</v>
      </c>
      <c r="M99" s="154">
        <f t="shared" si="8"/>
        <v>550000</v>
      </c>
      <c r="N99" s="154">
        <v>100000.0</v>
      </c>
      <c r="O99" s="175" t="s">
        <v>1574</v>
      </c>
      <c r="P99" s="175" t="s">
        <v>1575</v>
      </c>
      <c r="Q99" s="155" t="s">
        <v>1576</v>
      </c>
      <c r="R99" s="155" t="s">
        <v>1577</v>
      </c>
      <c r="S99" s="155" t="str">
        <f t="shared" si="5"/>
        <v>A-1) </v>
      </c>
      <c r="T99" s="155" t="s">
        <v>216</v>
      </c>
      <c r="U99" s="155" t="s">
        <v>1421</v>
      </c>
      <c r="V99" s="155" t="s">
        <v>1352</v>
      </c>
      <c r="W99" s="226">
        <v>30687.0</v>
      </c>
      <c r="X99" s="154">
        <f t="shared" si="7"/>
        <v>1500000</v>
      </c>
      <c r="Y99" s="177" t="s">
        <v>1408</v>
      </c>
      <c r="Z99" s="177"/>
    </row>
    <row r="100" ht="16.5" customHeight="1">
      <c r="A100" s="178" t="s">
        <v>1466</v>
      </c>
      <c r="B100" s="178" t="s">
        <v>1571</v>
      </c>
      <c r="C100" s="178" t="s">
        <v>1578</v>
      </c>
      <c r="D100" s="179" t="s">
        <v>1251</v>
      </c>
      <c r="E100" s="180" t="s">
        <v>1579</v>
      </c>
      <c r="F100" s="181">
        <v>46096.0</v>
      </c>
      <c r="G100" s="181">
        <v>46259.0</v>
      </c>
      <c r="H100" s="178"/>
      <c r="I100" s="183"/>
      <c r="J100" s="179">
        <v>2000000.0</v>
      </c>
      <c r="K100" s="179">
        <v>550000.0</v>
      </c>
      <c r="L100" s="179">
        <v>50000.0</v>
      </c>
      <c r="M100" s="179">
        <f t="shared" si="8"/>
        <v>500000</v>
      </c>
      <c r="N100" s="179">
        <v>100000.0</v>
      </c>
      <c r="O100" s="178" t="s">
        <v>1580</v>
      </c>
      <c r="P100" s="178" t="s">
        <v>1581</v>
      </c>
      <c r="Q100" s="180" t="s">
        <v>1576</v>
      </c>
      <c r="R100" s="180" t="s">
        <v>1577</v>
      </c>
      <c r="S100" s="180" t="str">
        <f t="shared" si="5"/>
        <v>B-1) </v>
      </c>
      <c r="T100" s="180" t="s">
        <v>216</v>
      </c>
      <c r="U100" s="180" t="s">
        <v>1421</v>
      </c>
      <c r="V100" s="180" t="s">
        <v>1352</v>
      </c>
      <c r="W100" s="227">
        <v>30687.0</v>
      </c>
      <c r="X100" s="179">
        <f t="shared" si="7"/>
        <v>1500000</v>
      </c>
      <c r="Y100" s="184" t="s">
        <v>1408</v>
      </c>
      <c r="Z100" s="184"/>
    </row>
    <row r="101" ht="16.5" customHeight="1">
      <c r="A101" s="175" t="s">
        <v>1466</v>
      </c>
      <c r="B101" s="175" t="s">
        <v>1571</v>
      </c>
      <c r="C101" s="175" t="s">
        <v>1582</v>
      </c>
      <c r="D101" s="154" t="s">
        <v>1251</v>
      </c>
      <c r="E101" s="155" t="s">
        <v>1583</v>
      </c>
      <c r="F101" s="185">
        <v>46082.0</v>
      </c>
      <c r="G101" s="185">
        <v>46443.0</v>
      </c>
      <c r="H101" s="175"/>
      <c r="I101" s="186"/>
      <c r="J101" s="154">
        <v>2000000.0</v>
      </c>
      <c r="K101" s="154">
        <v>520000.0</v>
      </c>
      <c r="L101" s="154">
        <v>50000.0</v>
      </c>
      <c r="M101" s="154">
        <f t="shared" si="8"/>
        <v>470000</v>
      </c>
      <c r="N101" s="154">
        <v>100000.0</v>
      </c>
      <c r="O101" s="175" t="s">
        <v>1522</v>
      </c>
      <c r="P101" s="175" t="s">
        <v>1584</v>
      </c>
      <c r="Q101" s="155" t="s">
        <v>1576</v>
      </c>
      <c r="R101" s="155" t="s">
        <v>1577</v>
      </c>
      <c r="S101" s="155" t="str">
        <f t="shared" si="5"/>
        <v>C-1) </v>
      </c>
      <c r="T101" s="155" t="s">
        <v>216</v>
      </c>
      <c r="U101" s="155" t="s">
        <v>1421</v>
      </c>
      <c r="V101" s="155" t="s">
        <v>1352</v>
      </c>
      <c r="W101" s="226">
        <v>30687.0</v>
      </c>
      <c r="X101" s="154">
        <f t="shared" si="7"/>
        <v>1500000</v>
      </c>
      <c r="Y101" s="177" t="s">
        <v>1408</v>
      </c>
      <c r="Z101" s="177"/>
    </row>
    <row r="102" ht="16.5" customHeight="1">
      <c r="A102" s="178" t="s">
        <v>1466</v>
      </c>
      <c r="B102" s="178" t="s">
        <v>1571</v>
      </c>
      <c r="C102" s="178" t="s">
        <v>1585</v>
      </c>
      <c r="D102" s="179" t="s">
        <v>1265</v>
      </c>
      <c r="E102" s="180" t="s">
        <v>1586</v>
      </c>
      <c r="F102" s="181">
        <v>46082.0</v>
      </c>
      <c r="G102" s="181">
        <v>46259.0</v>
      </c>
      <c r="H102" s="178"/>
      <c r="I102" s="183"/>
      <c r="J102" s="179">
        <v>2000000.0</v>
      </c>
      <c r="K102" s="179">
        <v>420000.0</v>
      </c>
      <c r="L102" s="179">
        <v>0.0</v>
      </c>
      <c r="M102" s="179">
        <f t="shared" si="8"/>
        <v>420000</v>
      </c>
      <c r="N102" s="179">
        <v>100000.0</v>
      </c>
      <c r="O102" s="178" t="s">
        <v>1587</v>
      </c>
      <c r="P102" s="178" t="s">
        <v>1588</v>
      </c>
      <c r="Q102" s="180" t="s">
        <v>1576</v>
      </c>
      <c r="R102" s="180" t="s">
        <v>1577</v>
      </c>
      <c r="S102" s="180" t="str">
        <f t="shared" si="5"/>
        <v>D-1)  왼쪽</v>
      </c>
      <c r="T102" s="180" t="s">
        <v>216</v>
      </c>
      <c r="U102" s="180" t="s">
        <v>1421</v>
      </c>
      <c r="V102" s="194" t="s">
        <v>1352</v>
      </c>
      <c r="W102" s="180" t="s">
        <v>1353</v>
      </c>
      <c r="X102" s="179">
        <v>1500000.0</v>
      </c>
      <c r="Y102" s="184" t="s">
        <v>1408</v>
      </c>
      <c r="Z102" s="184"/>
    </row>
    <row r="103" ht="16.5" customHeight="1">
      <c r="A103" s="209" t="s">
        <v>1466</v>
      </c>
      <c r="B103" s="209" t="s">
        <v>1571</v>
      </c>
      <c r="C103" s="209" t="s">
        <v>467</v>
      </c>
      <c r="D103" s="210" t="s">
        <v>1265</v>
      </c>
      <c r="E103" s="211" t="s">
        <v>1589</v>
      </c>
      <c r="F103" s="212">
        <v>46079.0</v>
      </c>
      <c r="G103" s="212">
        <v>46443.0</v>
      </c>
      <c r="H103" s="209"/>
      <c r="I103" s="213"/>
      <c r="J103" s="210">
        <v>2000000.0</v>
      </c>
      <c r="K103" s="210">
        <v>450000.0</v>
      </c>
      <c r="L103" s="210">
        <v>50000.0</v>
      </c>
      <c r="M103" s="210">
        <f t="shared" si="8"/>
        <v>400000</v>
      </c>
      <c r="N103" s="210">
        <v>100000.0</v>
      </c>
      <c r="O103" s="209" t="s">
        <v>1590</v>
      </c>
      <c r="P103" s="209" t="s">
        <v>1591</v>
      </c>
      <c r="Q103" s="211" t="s">
        <v>1576</v>
      </c>
      <c r="R103" s="211" t="s">
        <v>1577</v>
      </c>
      <c r="S103" s="211" t="str">
        <f t="shared" si="5"/>
        <v>D-2) 오른쪽</v>
      </c>
      <c r="T103" s="211" t="s">
        <v>216</v>
      </c>
      <c r="U103" s="211" t="s">
        <v>1421</v>
      </c>
      <c r="V103" s="214" t="s">
        <v>1352</v>
      </c>
      <c r="W103" s="211" t="s">
        <v>1353</v>
      </c>
      <c r="X103" s="154">
        <f t="shared" ref="X103:X230" si="9">J103-500000</f>
        <v>1500000</v>
      </c>
      <c r="Y103" s="177" t="s">
        <v>1408</v>
      </c>
      <c r="Z103" s="177"/>
    </row>
    <row r="104" ht="16.5" customHeight="1">
      <c r="A104" s="178" t="s">
        <v>1592</v>
      </c>
      <c r="B104" s="178" t="s">
        <v>610</v>
      </c>
      <c r="C104" s="178" t="s">
        <v>506</v>
      </c>
      <c r="D104" s="179" t="s">
        <v>1251</v>
      </c>
      <c r="E104" s="180" t="s">
        <v>1593</v>
      </c>
      <c r="F104" s="181">
        <v>45889.0</v>
      </c>
      <c r="G104" s="181">
        <v>46259.0</v>
      </c>
      <c r="H104" s="178"/>
      <c r="I104" s="183"/>
      <c r="J104" s="179">
        <v>2000000.0</v>
      </c>
      <c r="K104" s="179">
        <v>650000.0</v>
      </c>
      <c r="L104" s="179">
        <v>20000.0</v>
      </c>
      <c r="M104" s="179">
        <f t="shared" si="8"/>
        <v>630000</v>
      </c>
      <c r="N104" s="179">
        <v>120000.0</v>
      </c>
      <c r="O104" s="178" t="s">
        <v>1594</v>
      </c>
      <c r="P104" s="178" t="s">
        <v>1595</v>
      </c>
      <c r="Q104" s="180" t="s">
        <v>1596</v>
      </c>
      <c r="R104" s="180" t="s">
        <v>1597</v>
      </c>
      <c r="S104" s="180" t="str">
        <f t="shared" si="5"/>
        <v>A-1) 입구</v>
      </c>
      <c r="T104" s="180" t="s">
        <v>1350</v>
      </c>
      <c r="U104" s="180" t="s">
        <v>1351</v>
      </c>
      <c r="V104" s="194" t="s">
        <v>1352</v>
      </c>
      <c r="W104" s="180" t="s">
        <v>1353</v>
      </c>
      <c r="X104" s="179">
        <f t="shared" si="9"/>
        <v>1500000</v>
      </c>
      <c r="Y104" s="184"/>
      <c r="Z104" s="184"/>
    </row>
    <row r="105" ht="16.5" customHeight="1">
      <c r="A105" s="175" t="s">
        <v>1592</v>
      </c>
      <c r="B105" s="175" t="s">
        <v>610</v>
      </c>
      <c r="C105" s="175" t="s">
        <v>614</v>
      </c>
      <c r="D105" s="154" t="s">
        <v>1251</v>
      </c>
      <c r="E105" s="155" t="s">
        <v>1598</v>
      </c>
      <c r="F105" s="185">
        <v>46082.0</v>
      </c>
      <c r="G105" s="185">
        <v>46259.0</v>
      </c>
      <c r="H105" s="175"/>
      <c r="I105" s="186"/>
      <c r="J105" s="154">
        <v>2000000.0</v>
      </c>
      <c r="K105" s="154">
        <v>600000.0</v>
      </c>
      <c r="L105" s="154">
        <v>40000.0</v>
      </c>
      <c r="M105" s="154">
        <f t="shared" si="8"/>
        <v>560000</v>
      </c>
      <c r="N105" s="154">
        <v>120000.0</v>
      </c>
      <c r="O105" s="175" t="s">
        <v>1599</v>
      </c>
      <c r="P105" s="175" t="s">
        <v>1600</v>
      </c>
      <c r="Q105" s="155" t="s">
        <v>1596</v>
      </c>
      <c r="R105" s="155" t="s">
        <v>1597</v>
      </c>
      <c r="S105" s="155" t="str">
        <f t="shared" si="5"/>
        <v>B-1) 거실 왼</v>
      </c>
      <c r="T105" s="155" t="s">
        <v>1350</v>
      </c>
      <c r="U105" s="155" t="s">
        <v>1351</v>
      </c>
      <c r="V105" s="157" t="s">
        <v>1352</v>
      </c>
      <c r="W105" s="155" t="s">
        <v>1353</v>
      </c>
      <c r="X105" s="154">
        <f t="shared" si="9"/>
        <v>1500000</v>
      </c>
      <c r="Y105" s="177"/>
      <c r="Z105" s="177"/>
    </row>
    <row r="106" ht="16.5" customHeight="1">
      <c r="A106" s="178" t="s">
        <v>1592</v>
      </c>
      <c r="B106" s="178" t="s">
        <v>610</v>
      </c>
      <c r="C106" s="178" t="s">
        <v>618</v>
      </c>
      <c r="D106" s="179" t="s">
        <v>1251</v>
      </c>
      <c r="E106" s="180" t="s">
        <v>619</v>
      </c>
      <c r="F106" s="181">
        <v>46079.0</v>
      </c>
      <c r="G106" s="181">
        <v>46443.0</v>
      </c>
      <c r="H106" s="178"/>
      <c r="I106" s="230"/>
      <c r="J106" s="179">
        <v>2000000.0</v>
      </c>
      <c r="K106" s="179">
        <v>620000.0</v>
      </c>
      <c r="L106" s="179">
        <v>20000.0</v>
      </c>
      <c r="M106" s="179">
        <f t="shared" si="8"/>
        <v>600000</v>
      </c>
      <c r="N106" s="179">
        <v>120000.0</v>
      </c>
      <c r="O106" s="178" t="s">
        <v>1601</v>
      </c>
      <c r="P106" s="178" t="s">
        <v>1602</v>
      </c>
      <c r="Q106" s="180" t="s">
        <v>1596</v>
      </c>
      <c r="R106" s="180" t="s">
        <v>1597</v>
      </c>
      <c r="S106" s="180" t="str">
        <f t="shared" si="5"/>
        <v>C-1) 거실 오</v>
      </c>
      <c r="T106" s="180" t="s">
        <v>1350</v>
      </c>
      <c r="U106" s="180" t="s">
        <v>1351</v>
      </c>
      <c r="V106" s="194" t="s">
        <v>1352</v>
      </c>
      <c r="W106" s="180" t="s">
        <v>1353</v>
      </c>
      <c r="X106" s="179">
        <f t="shared" si="9"/>
        <v>1500000</v>
      </c>
      <c r="Y106" s="184"/>
      <c r="Z106" s="184"/>
    </row>
    <row r="107" ht="16.5" customHeight="1">
      <c r="A107" s="175" t="s">
        <v>1592</v>
      </c>
      <c r="B107" s="175" t="s">
        <v>610</v>
      </c>
      <c r="C107" s="175" t="s">
        <v>620</v>
      </c>
      <c r="D107" s="154" t="s">
        <v>1251</v>
      </c>
      <c r="E107" s="155" t="s">
        <v>1603</v>
      </c>
      <c r="F107" s="185">
        <v>46004.0</v>
      </c>
      <c r="G107" s="185">
        <v>46247.0</v>
      </c>
      <c r="H107" s="175"/>
      <c r="I107" s="186"/>
      <c r="J107" s="154">
        <v>2000000.0</v>
      </c>
      <c r="K107" s="154">
        <v>600000.0</v>
      </c>
      <c r="L107" s="154">
        <v>0.0</v>
      </c>
      <c r="M107" s="154">
        <f t="shared" si="8"/>
        <v>600000</v>
      </c>
      <c r="N107" s="154">
        <v>120000.0</v>
      </c>
      <c r="O107" s="175" t="s">
        <v>1604</v>
      </c>
      <c r="P107" s="175" t="s">
        <v>1605</v>
      </c>
      <c r="Q107" s="155" t="s">
        <v>1596</v>
      </c>
      <c r="R107" s="155" t="s">
        <v>1597</v>
      </c>
      <c r="S107" s="155" t="str">
        <f t="shared" si="5"/>
        <v>D-1) 주방옆</v>
      </c>
      <c r="T107" s="155" t="s">
        <v>1350</v>
      </c>
      <c r="U107" s="155" t="s">
        <v>1351</v>
      </c>
      <c r="V107" s="157" t="s">
        <v>1352</v>
      </c>
      <c r="W107" s="155" t="s">
        <v>1353</v>
      </c>
      <c r="X107" s="154">
        <f t="shared" si="9"/>
        <v>1500000</v>
      </c>
      <c r="Y107" s="177"/>
      <c r="Z107" s="177"/>
    </row>
    <row r="108" ht="16.5" customHeight="1">
      <c r="A108" s="178" t="s">
        <v>1592</v>
      </c>
      <c r="B108" s="178" t="s">
        <v>610</v>
      </c>
      <c r="C108" s="178" t="s">
        <v>622</v>
      </c>
      <c r="D108" s="179" t="s">
        <v>1265</v>
      </c>
      <c r="E108" s="180" t="s">
        <v>1606</v>
      </c>
      <c r="F108" s="181">
        <v>46082.0</v>
      </c>
      <c r="G108" s="181">
        <v>46443.0</v>
      </c>
      <c r="H108" s="178"/>
      <c r="I108" s="183"/>
      <c r="J108" s="179">
        <v>2000000.0</v>
      </c>
      <c r="K108" s="179">
        <v>500000.0</v>
      </c>
      <c r="L108" s="179">
        <v>50000.0</v>
      </c>
      <c r="M108" s="179">
        <f t="shared" si="8"/>
        <v>450000</v>
      </c>
      <c r="N108" s="179">
        <v>120000.0</v>
      </c>
      <c r="O108" s="178" t="s">
        <v>1607</v>
      </c>
      <c r="P108" s="178" t="s">
        <v>1608</v>
      </c>
      <c r="Q108" s="180" t="s">
        <v>1596</v>
      </c>
      <c r="R108" s="180" t="s">
        <v>1597</v>
      </c>
      <c r="S108" s="180" t="str">
        <f t="shared" si="5"/>
        <v>E-1) 2인실 왼</v>
      </c>
      <c r="T108" s="180" t="s">
        <v>1350</v>
      </c>
      <c r="U108" s="180" t="s">
        <v>1351</v>
      </c>
      <c r="V108" s="194" t="s">
        <v>1352</v>
      </c>
      <c r="W108" s="180" t="s">
        <v>1353</v>
      </c>
      <c r="X108" s="179">
        <f t="shared" si="9"/>
        <v>1500000</v>
      </c>
      <c r="Y108" s="184"/>
      <c r="Z108" s="184"/>
    </row>
    <row r="109" ht="16.5" customHeight="1">
      <c r="A109" s="209" t="s">
        <v>1592</v>
      </c>
      <c r="B109" s="209" t="s">
        <v>610</v>
      </c>
      <c r="C109" s="209" t="s">
        <v>625</v>
      </c>
      <c r="D109" s="210" t="s">
        <v>1265</v>
      </c>
      <c r="E109" s="211" t="s">
        <v>507</v>
      </c>
      <c r="F109" s="212">
        <v>46074.0</v>
      </c>
      <c r="G109" s="212">
        <v>46438.0</v>
      </c>
      <c r="H109" s="209"/>
      <c r="I109" s="213"/>
      <c r="J109" s="210">
        <v>2000000.0</v>
      </c>
      <c r="K109" s="210">
        <v>500000.0</v>
      </c>
      <c r="L109" s="210">
        <v>50000.0</v>
      </c>
      <c r="M109" s="210">
        <f t="shared" si="8"/>
        <v>450000</v>
      </c>
      <c r="N109" s="210">
        <v>120000.0</v>
      </c>
      <c r="O109" s="209" t="s">
        <v>1609</v>
      </c>
      <c r="P109" s="209" t="s">
        <v>1610</v>
      </c>
      <c r="Q109" s="211" t="s">
        <v>1596</v>
      </c>
      <c r="R109" s="211" t="s">
        <v>1597</v>
      </c>
      <c r="S109" s="211" t="str">
        <f t="shared" si="5"/>
        <v>E-2) 2인실 오</v>
      </c>
      <c r="T109" s="211" t="s">
        <v>1350</v>
      </c>
      <c r="U109" s="211" t="s">
        <v>1351</v>
      </c>
      <c r="V109" s="214" t="s">
        <v>1352</v>
      </c>
      <c r="W109" s="211" t="s">
        <v>1353</v>
      </c>
      <c r="X109" s="154">
        <f t="shared" si="9"/>
        <v>1500000</v>
      </c>
      <c r="Y109" s="222"/>
      <c r="Z109" s="177"/>
    </row>
    <row r="110" ht="16.5" customHeight="1">
      <c r="A110" s="178" t="s">
        <v>1592</v>
      </c>
      <c r="B110" s="178" t="s">
        <v>629</v>
      </c>
      <c r="C110" s="178" t="s">
        <v>320</v>
      </c>
      <c r="D110" s="179" t="s">
        <v>1251</v>
      </c>
      <c r="E110" s="180" t="s">
        <v>630</v>
      </c>
      <c r="F110" s="181">
        <v>46079.0</v>
      </c>
      <c r="G110" s="181">
        <v>46443.0</v>
      </c>
      <c r="H110" s="178"/>
      <c r="I110" s="230"/>
      <c r="J110" s="179">
        <v>2000000.0</v>
      </c>
      <c r="K110" s="179">
        <v>620000.0</v>
      </c>
      <c r="L110" s="179">
        <v>20000.0</v>
      </c>
      <c r="M110" s="179">
        <f t="shared" si="8"/>
        <v>600000</v>
      </c>
      <c r="N110" s="179">
        <v>100000.0</v>
      </c>
      <c r="O110" s="178" t="s">
        <v>1611</v>
      </c>
      <c r="P110" s="178" t="s">
        <v>1612</v>
      </c>
      <c r="Q110" s="180" t="s">
        <v>1613</v>
      </c>
      <c r="R110" s="180" t="s">
        <v>1614</v>
      </c>
      <c r="S110" s="180" t="str">
        <f t="shared" si="5"/>
        <v>A-1</v>
      </c>
      <c r="T110" s="180" t="s">
        <v>357</v>
      </c>
      <c r="U110" s="180" t="s">
        <v>1615</v>
      </c>
      <c r="V110" s="194" t="s">
        <v>1616</v>
      </c>
      <c r="W110" s="180" t="s">
        <v>1617</v>
      </c>
      <c r="X110" s="179">
        <f t="shared" si="9"/>
        <v>1500000</v>
      </c>
      <c r="Y110" s="184"/>
      <c r="Z110" s="184"/>
    </row>
    <row r="111" ht="16.5" customHeight="1">
      <c r="A111" s="175" t="s">
        <v>1592</v>
      </c>
      <c r="B111" s="175" t="s">
        <v>629</v>
      </c>
      <c r="C111" s="175" t="s">
        <v>322</v>
      </c>
      <c r="D111" s="154" t="s">
        <v>1251</v>
      </c>
      <c r="E111" s="155" t="s">
        <v>1618</v>
      </c>
      <c r="F111" s="185">
        <v>46079.0</v>
      </c>
      <c r="G111" s="185">
        <v>46443.0</v>
      </c>
      <c r="H111" s="175"/>
      <c r="I111" s="186"/>
      <c r="J111" s="154">
        <v>2000000.0</v>
      </c>
      <c r="K111" s="154">
        <v>600000.0</v>
      </c>
      <c r="L111" s="154">
        <v>50000.0</v>
      </c>
      <c r="M111" s="154">
        <f t="shared" si="8"/>
        <v>550000</v>
      </c>
      <c r="N111" s="154">
        <v>100000.0</v>
      </c>
      <c r="O111" s="175" t="s">
        <v>1619</v>
      </c>
      <c r="P111" s="175" t="s">
        <v>1620</v>
      </c>
      <c r="Q111" s="155" t="s">
        <v>1613</v>
      </c>
      <c r="R111" s="155" t="s">
        <v>1614</v>
      </c>
      <c r="S111" s="155" t="str">
        <f t="shared" si="5"/>
        <v>B-1</v>
      </c>
      <c r="T111" s="155" t="s">
        <v>357</v>
      </c>
      <c r="U111" s="155" t="s">
        <v>1615</v>
      </c>
      <c r="V111" s="157" t="s">
        <v>1616</v>
      </c>
      <c r="W111" s="155" t="s">
        <v>1617</v>
      </c>
      <c r="X111" s="154">
        <f t="shared" si="9"/>
        <v>1500000</v>
      </c>
      <c r="Y111" s="177"/>
      <c r="Z111" s="177"/>
    </row>
    <row r="112" ht="16.5" customHeight="1">
      <c r="A112" s="178" t="s">
        <v>1592</v>
      </c>
      <c r="B112" s="178" t="s">
        <v>629</v>
      </c>
      <c r="C112" s="178" t="s">
        <v>1621</v>
      </c>
      <c r="D112" s="179" t="s">
        <v>1265</v>
      </c>
      <c r="E112" s="180" t="s">
        <v>1622</v>
      </c>
      <c r="F112" s="181">
        <v>46093.0</v>
      </c>
      <c r="G112" s="181">
        <v>46263.0</v>
      </c>
      <c r="H112" s="178"/>
      <c r="I112" s="183"/>
      <c r="J112" s="179">
        <v>2000000.0</v>
      </c>
      <c r="K112" s="179">
        <v>480000.0</v>
      </c>
      <c r="L112" s="179">
        <v>-30000.0</v>
      </c>
      <c r="M112" s="179">
        <f t="shared" si="8"/>
        <v>510000</v>
      </c>
      <c r="N112" s="179">
        <v>100000.0</v>
      </c>
      <c r="O112" s="178" t="s">
        <v>1623</v>
      </c>
      <c r="P112" s="178" t="s">
        <v>1624</v>
      </c>
      <c r="Q112" s="180" t="s">
        <v>1613</v>
      </c>
      <c r="R112" s="180" t="s">
        <v>1614</v>
      </c>
      <c r="S112" s="180" t="str">
        <f t="shared" si="5"/>
        <v>C-1 2인실 </v>
      </c>
      <c r="T112" s="180" t="s">
        <v>357</v>
      </c>
      <c r="U112" s="180" t="s">
        <v>1615</v>
      </c>
      <c r="V112" s="194" t="s">
        <v>1616</v>
      </c>
      <c r="W112" s="180" t="s">
        <v>1617</v>
      </c>
      <c r="X112" s="179">
        <f t="shared" si="9"/>
        <v>1500000</v>
      </c>
      <c r="Y112" s="184"/>
      <c r="Z112" s="184"/>
    </row>
    <row r="113" ht="16.5" customHeight="1">
      <c r="A113" s="209" t="s">
        <v>1592</v>
      </c>
      <c r="B113" s="209" t="s">
        <v>629</v>
      </c>
      <c r="C113" s="209" t="s">
        <v>1625</v>
      </c>
      <c r="D113" s="210" t="s">
        <v>1265</v>
      </c>
      <c r="E113" s="211" t="s">
        <v>642</v>
      </c>
      <c r="F113" s="212">
        <v>46079.0</v>
      </c>
      <c r="G113" s="212">
        <v>46259.0</v>
      </c>
      <c r="H113" s="209"/>
      <c r="I113" s="235"/>
      <c r="J113" s="210">
        <v>1000000.0</v>
      </c>
      <c r="K113" s="210">
        <v>480000.0</v>
      </c>
      <c r="L113" s="210">
        <v>0.0</v>
      </c>
      <c r="M113" s="210">
        <f t="shared" si="8"/>
        <v>480000</v>
      </c>
      <c r="N113" s="210">
        <v>100000.0</v>
      </c>
      <c r="O113" s="209" t="s">
        <v>1626</v>
      </c>
      <c r="P113" s="209" t="s">
        <v>1627</v>
      </c>
      <c r="Q113" s="211" t="s">
        <v>1613</v>
      </c>
      <c r="R113" s="211" t="s">
        <v>1614</v>
      </c>
      <c r="S113" s="211" t="str">
        <f t="shared" si="5"/>
        <v>C-2 2인실 </v>
      </c>
      <c r="T113" s="211" t="s">
        <v>357</v>
      </c>
      <c r="U113" s="211" t="s">
        <v>1615</v>
      </c>
      <c r="V113" s="214" t="s">
        <v>1616</v>
      </c>
      <c r="W113" s="211" t="s">
        <v>1617</v>
      </c>
      <c r="X113" s="154">
        <f t="shared" si="9"/>
        <v>500000</v>
      </c>
      <c r="Y113" s="222"/>
      <c r="Z113" s="177"/>
    </row>
    <row r="114" ht="16.5" customHeight="1">
      <c r="A114" s="178" t="s">
        <v>1628</v>
      </c>
      <c r="B114" s="178" t="s">
        <v>643</v>
      </c>
      <c r="C114" s="178">
        <v>1.0</v>
      </c>
      <c r="D114" s="179" t="s">
        <v>1251</v>
      </c>
      <c r="E114" s="180" t="s">
        <v>1629</v>
      </c>
      <c r="F114" s="178"/>
      <c r="G114" s="178"/>
      <c r="H114" s="236"/>
      <c r="I114" s="178"/>
      <c r="J114" s="178"/>
      <c r="K114" s="179">
        <v>400000.0</v>
      </c>
      <c r="L114" s="179">
        <v>0.0</v>
      </c>
      <c r="M114" s="179">
        <f t="shared" si="8"/>
        <v>400000</v>
      </c>
      <c r="N114" s="179"/>
      <c r="O114" s="178"/>
      <c r="P114" s="178"/>
      <c r="Q114" s="180" t="s">
        <v>1630</v>
      </c>
      <c r="R114" s="180" t="s">
        <v>1631</v>
      </c>
      <c r="S114" s="180">
        <f t="shared" si="5"/>
        <v>1</v>
      </c>
      <c r="T114" s="180" t="s">
        <v>645</v>
      </c>
      <c r="U114" s="194" t="s">
        <v>1632</v>
      </c>
      <c r="V114" s="194" t="s">
        <v>1633</v>
      </c>
      <c r="W114" s="180" t="s">
        <v>1634</v>
      </c>
      <c r="X114" s="237">
        <f t="shared" si="9"/>
        <v>-500000</v>
      </c>
      <c r="Y114" s="184"/>
      <c r="Z114" s="184"/>
    </row>
    <row r="115" ht="16.5" customHeight="1">
      <c r="A115" s="175" t="s">
        <v>1628</v>
      </c>
      <c r="B115" s="175" t="s">
        <v>643</v>
      </c>
      <c r="C115" s="175" t="s">
        <v>1635</v>
      </c>
      <c r="D115" s="154" t="s">
        <v>1251</v>
      </c>
      <c r="E115" s="155" t="s">
        <v>1629</v>
      </c>
      <c r="F115" s="185">
        <v>44805.0</v>
      </c>
      <c r="G115" s="185">
        <v>44985.0</v>
      </c>
      <c r="H115" s="238"/>
      <c r="I115" s="175"/>
      <c r="J115" s="154">
        <v>1000000.0</v>
      </c>
      <c r="K115" s="154">
        <v>350000.0</v>
      </c>
      <c r="L115" s="154">
        <v>0.0</v>
      </c>
      <c r="M115" s="154">
        <f t="shared" si="8"/>
        <v>350000</v>
      </c>
      <c r="N115" s="154"/>
      <c r="O115" s="175" t="s">
        <v>1636</v>
      </c>
      <c r="P115" s="175" t="s">
        <v>1637</v>
      </c>
      <c r="Q115" s="155" t="s">
        <v>1630</v>
      </c>
      <c r="R115" s="155" t="s">
        <v>1631</v>
      </c>
      <c r="S115" s="155" t="str">
        <f t="shared" si="5"/>
        <v>3층 전체</v>
      </c>
      <c r="T115" s="155" t="s">
        <v>645</v>
      </c>
      <c r="U115" s="157" t="s">
        <v>1632</v>
      </c>
      <c r="V115" s="157" t="s">
        <v>1633</v>
      </c>
      <c r="W115" s="155" t="s">
        <v>1634</v>
      </c>
      <c r="X115" s="154">
        <f t="shared" si="9"/>
        <v>500000</v>
      </c>
      <c r="Y115" s="177"/>
      <c r="Z115" s="177"/>
    </row>
    <row r="116" ht="16.5" customHeight="1">
      <c r="A116" s="178" t="s">
        <v>1628</v>
      </c>
      <c r="B116" s="178" t="s">
        <v>643</v>
      </c>
      <c r="C116" s="178">
        <v>3.0</v>
      </c>
      <c r="D116" s="179" t="s">
        <v>1251</v>
      </c>
      <c r="E116" s="180" t="s">
        <v>1629</v>
      </c>
      <c r="F116" s="178"/>
      <c r="G116" s="178"/>
      <c r="H116" s="236"/>
      <c r="I116" s="178"/>
      <c r="J116" s="178"/>
      <c r="K116" s="179">
        <v>400000.0</v>
      </c>
      <c r="L116" s="179">
        <v>0.0</v>
      </c>
      <c r="M116" s="179">
        <f t="shared" si="8"/>
        <v>400000</v>
      </c>
      <c r="N116" s="179"/>
      <c r="O116" s="178"/>
      <c r="P116" s="178"/>
      <c r="Q116" s="180" t="s">
        <v>1630</v>
      </c>
      <c r="R116" s="180" t="s">
        <v>1631</v>
      </c>
      <c r="S116" s="180">
        <f t="shared" si="5"/>
        <v>3</v>
      </c>
      <c r="T116" s="180" t="s">
        <v>645</v>
      </c>
      <c r="U116" s="194" t="s">
        <v>1632</v>
      </c>
      <c r="V116" s="194" t="s">
        <v>1633</v>
      </c>
      <c r="W116" s="180" t="s">
        <v>1634</v>
      </c>
      <c r="X116" s="237">
        <f t="shared" si="9"/>
        <v>-500000</v>
      </c>
      <c r="Y116" s="184"/>
      <c r="Z116" s="184"/>
    </row>
    <row r="117" ht="16.5" customHeight="1">
      <c r="A117" s="175" t="s">
        <v>1628</v>
      </c>
      <c r="B117" s="175" t="s">
        <v>643</v>
      </c>
      <c r="C117" s="175">
        <v>4.0</v>
      </c>
      <c r="D117" s="154" t="s">
        <v>1251</v>
      </c>
      <c r="E117" s="155" t="s">
        <v>1629</v>
      </c>
      <c r="F117" s="175"/>
      <c r="G117" s="175"/>
      <c r="H117" s="238"/>
      <c r="I117" s="175"/>
      <c r="J117" s="175"/>
      <c r="K117" s="154">
        <v>400000.0</v>
      </c>
      <c r="L117" s="154">
        <v>0.0</v>
      </c>
      <c r="M117" s="154">
        <f t="shared" si="8"/>
        <v>400000</v>
      </c>
      <c r="N117" s="154"/>
      <c r="O117" s="175"/>
      <c r="P117" s="175"/>
      <c r="Q117" s="155" t="s">
        <v>1630</v>
      </c>
      <c r="R117" s="155" t="s">
        <v>1631</v>
      </c>
      <c r="S117" s="155">
        <f t="shared" si="5"/>
        <v>4</v>
      </c>
      <c r="T117" s="155" t="s">
        <v>645</v>
      </c>
      <c r="U117" s="157" t="s">
        <v>1632</v>
      </c>
      <c r="V117" s="157" t="s">
        <v>1633</v>
      </c>
      <c r="W117" s="155" t="s">
        <v>1634</v>
      </c>
      <c r="X117" s="239">
        <f t="shared" si="9"/>
        <v>-500000</v>
      </c>
      <c r="Y117" s="177"/>
      <c r="Z117" s="177"/>
    </row>
    <row r="118" ht="16.5" customHeight="1">
      <c r="A118" s="178" t="s">
        <v>1628</v>
      </c>
      <c r="B118" s="178" t="s">
        <v>643</v>
      </c>
      <c r="C118" s="178">
        <v>5.0</v>
      </c>
      <c r="D118" s="179" t="s">
        <v>1251</v>
      </c>
      <c r="E118" s="180" t="s">
        <v>1629</v>
      </c>
      <c r="F118" s="178"/>
      <c r="G118" s="178"/>
      <c r="H118" s="236"/>
      <c r="I118" s="178"/>
      <c r="J118" s="178"/>
      <c r="K118" s="179">
        <v>400000.0</v>
      </c>
      <c r="L118" s="179">
        <v>0.0</v>
      </c>
      <c r="M118" s="179">
        <f t="shared" si="8"/>
        <v>400000</v>
      </c>
      <c r="N118" s="179"/>
      <c r="O118" s="178"/>
      <c r="P118" s="178"/>
      <c r="Q118" s="180" t="s">
        <v>1630</v>
      </c>
      <c r="R118" s="180" t="s">
        <v>1631</v>
      </c>
      <c r="S118" s="180">
        <f t="shared" si="5"/>
        <v>5</v>
      </c>
      <c r="T118" s="180" t="s">
        <v>645</v>
      </c>
      <c r="U118" s="194" t="s">
        <v>1632</v>
      </c>
      <c r="V118" s="194" t="s">
        <v>1633</v>
      </c>
      <c r="W118" s="180" t="s">
        <v>1634</v>
      </c>
      <c r="X118" s="237">
        <f t="shared" si="9"/>
        <v>-500000</v>
      </c>
      <c r="Y118" s="184"/>
      <c r="Z118" s="184"/>
    </row>
    <row r="119" ht="16.5" customHeight="1">
      <c r="A119" s="209" t="s">
        <v>1628</v>
      </c>
      <c r="B119" s="209" t="s">
        <v>643</v>
      </c>
      <c r="C119" s="209">
        <v>6.0</v>
      </c>
      <c r="D119" s="210" t="s">
        <v>1251</v>
      </c>
      <c r="E119" s="211" t="s">
        <v>1629</v>
      </c>
      <c r="F119" s="209"/>
      <c r="G119" s="209"/>
      <c r="H119" s="240"/>
      <c r="I119" s="209"/>
      <c r="J119" s="209"/>
      <c r="K119" s="210">
        <v>400000.0</v>
      </c>
      <c r="L119" s="210">
        <v>0.0</v>
      </c>
      <c r="M119" s="210">
        <f t="shared" si="8"/>
        <v>400000</v>
      </c>
      <c r="N119" s="210"/>
      <c r="O119" s="209"/>
      <c r="P119" s="209"/>
      <c r="Q119" s="211" t="s">
        <v>1630</v>
      </c>
      <c r="R119" s="211" t="s">
        <v>1631</v>
      </c>
      <c r="S119" s="211">
        <f t="shared" si="5"/>
        <v>6</v>
      </c>
      <c r="T119" s="211" t="s">
        <v>645</v>
      </c>
      <c r="U119" s="214" t="s">
        <v>1632</v>
      </c>
      <c r="V119" s="214" t="s">
        <v>1633</v>
      </c>
      <c r="W119" s="211" t="s">
        <v>1634</v>
      </c>
      <c r="X119" s="239">
        <f t="shared" si="9"/>
        <v>-500000</v>
      </c>
      <c r="Y119" s="222"/>
      <c r="Z119" s="177"/>
    </row>
    <row r="120" ht="16.5" customHeight="1">
      <c r="A120" s="178" t="s">
        <v>1628</v>
      </c>
      <c r="B120" s="178" t="s">
        <v>643</v>
      </c>
      <c r="C120" s="178" t="s">
        <v>646</v>
      </c>
      <c r="D120" s="179" t="s">
        <v>1251</v>
      </c>
      <c r="E120" s="180" t="s">
        <v>1638</v>
      </c>
      <c r="F120" s="241">
        <v>45956.0</v>
      </c>
      <c r="G120" s="181">
        <v>46326.0</v>
      </c>
      <c r="H120" s="178"/>
      <c r="I120" s="183"/>
      <c r="J120" s="179">
        <v>2000000.0</v>
      </c>
      <c r="K120" s="179">
        <v>570000.0</v>
      </c>
      <c r="L120" s="179">
        <v>50000.0</v>
      </c>
      <c r="M120" s="179">
        <f t="shared" si="8"/>
        <v>520000</v>
      </c>
      <c r="N120" s="179">
        <v>100000.0</v>
      </c>
      <c r="O120" s="178"/>
      <c r="P120" s="178" t="s">
        <v>1639</v>
      </c>
      <c r="Q120" s="180" t="s">
        <v>1640</v>
      </c>
      <c r="R120" s="180" t="s">
        <v>1641</v>
      </c>
      <c r="S120" s="180" t="str">
        <f t="shared" si="5"/>
        <v>A-1) 제일 안쪽 큰방</v>
      </c>
      <c r="T120" s="180" t="s">
        <v>645</v>
      </c>
      <c r="U120" s="194" t="s">
        <v>1632</v>
      </c>
      <c r="V120" s="180" t="s">
        <v>1633</v>
      </c>
      <c r="W120" s="180" t="s">
        <v>1634</v>
      </c>
      <c r="X120" s="179">
        <f t="shared" si="9"/>
        <v>1500000</v>
      </c>
      <c r="Y120" s="184"/>
      <c r="Z120" s="184"/>
    </row>
    <row r="121" ht="16.5" customHeight="1">
      <c r="A121" s="175" t="s">
        <v>1628</v>
      </c>
      <c r="B121" s="175" t="s">
        <v>643</v>
      </c>
      <c r="C121" s="175" t="s">
        <v>654</v>
      </c>
      <c r="D121" s="154" t="s">
        <v>1251</v>
      </c>
      <c r="E121" s="155" t="s">
        <v>1642</v>
      </c>
      <c r="F121" s="176">
        <v>46079.0</v>
      </c>
      <c r="G121" s="176">
        <v>46259.0</v>
      </c>
      <c r="H121" s="175"/>
      <c r="I121" s="175"/>
      <c r="J121" s="154">
        <v>2000000.0</v>
      </c>
      <c r="K121" s="154">
        <v>520000.0</v>
      </c>
      <c r="L121" s="154">
        <v>0.0</v>
      </c>
      <c r="M121" s="154">
        <f t="shared" si="8"/>
        <v>520000</v>
      </c>
      <c r="N121" s="154">
        <v>100000.0</v>
      </c>
      <c r="O121" s="175" t="s">
        <v>1643</v>
      </c>
      <c r="P121" s="175" t="s">
        <v>1644</v>
      </c>
      <c r="Q121" s="155" t="s">
        <v>1640</v>
      </c>
      <c r="R121" s="155" t="s">
        <v>1641</v>
      </c>
      <c r="S121" s="155" t="str">
        <f t="shared" si="5"/>
        <v>B-1) 화장실 앞방</v>
      </c>
      <c r="T121" s="155" t="s">
        <v>645</v>
      </c>
      <c r="U121" s="157" t="s">
        <v>1632</v>
      </c>
      <c r="V121" s="155" t="s">
        <v>1633</v>
      </c>
      <c r="W121" s="155" t="s">
        <v>1634</v>
      </c>
      <c r="X121" s="154">
        <f t="shared" si="9"/>
        <v>1500000</v>
      </c>
      <c r="Y121" s="177"/>
      <c r="Z121" s="177"/>
    </row>
    <row r="122" ht="16.5" customHeight="1">
      <c r="A122" s="178" t="s">
        <v>1628</v>
      </c>
      <c r="B122" s="178" t="s">
        <v>643</v>
      </c>
      <c r="C122" s="178" t="s">
        <v>662</v>
      </c>
      <c r="D122" s="179" t="s">
        <v>1251</v>
      </c>
      <c r="E122" s="180" t="s">
        <v>663</v>
      </c>
      <c r="F122" s="241">
        <v>46082.0</v>
      </c>
      <c r="G122" s="241">
        <v>46446.0</v>
      </c>
      <c r="H122" s="178"/>
      <c r="I122" s="230"/>
      <c r="J122" s="179">
        <v>1000000.0</v>
      </c>
      <c r="K122" s="179">
        <v>520000.0</v>
      </c>
      <c r="L122" s="179">
        <v>50000.0</v>
      </c>
      <c r="M122" s="179">
        <f t="shared" si="8"/>
        <v>470000</v>
      </c>
      <c r="N122" s="179">
        <v>100000.0</v>
      </c>
      <c r="O122" s="178" t="s">
        <v>1645</v>
      </c>
      <c r="P122" s="178" t="s">
        <v>1646</v>
      </c>
      <c r="Q122" s="180" t="s">
        <v>1640</v>
      </c>
      <c r="R122" s="180" t="s">
        <v>1641</v>
      </c>
      <c r="S122" s="180" t="str">
        <f t="shared" si="5"/>
        <v>C-1) 입구 오른쪽방</v>
      </c>
      <c r="T122" s="180" t="s">
        <v>645</v>
      </c>
      <c r="U122" s="194" t="s">
        <v>1632</v>
      </c>
      <c r="V122" s="180" t="s">
        <v>1633</v>
      </c>
      <c r="W122" s="180" t="s">
        <v>1634</v>
      </c>
      <c r="X122" s="179">
        <f t="shared" si="9"/>
        <v>500000</v>
      </c>
      <c r="Y122" s="184"/>
      <c r="Z122" s="184"/>
    </row>
    <row r="123" ht="16.5" customHeight="1">
      <c r="A123" s="209" t="s">
        <v>1628</v>
      </c>
      <c r="B123" s="209" t="s">
        <v>643</v>
      </c>
      <c r="C123" s="209" t="s">
        <v>664</v>
      </c>
      <c r="D123" s="210" t="s">
        <v>1251</v>
      </c>
      <c r="E123" s="211" t="s">
        <v>1647</v>
      </c>
      <c r="F123" s="242">
        <v>46082.0</v>
      </c>
      <c r="G123" s="242">
        <v>46446.0</v>
      </c>
      <c r="H123" s="240"/>
      <c r="I123" s="209"/>
      <c r="J123" s="210">
        <v>2000000.0</v>
      </c>
      <c r="K123" s="210">
        <v>520000.0</v>
      </c>
      <c r="L123" s="210">
        <v>20000.0</v>
      </c>
      <c r="M123" s="210">
        <f t="shared" si="8"/>
        <v>500000</v>
      </c>
      <c r="N123" s="210">
        <v>80000.0</v>
      </c>
      <c r="O123" s="209" t="s">
        <v>1648</v>
      </c>
      <c r="P123" s="209" t="s">
        <v>1649</v>
      </c>
      <c r="Q123" s="211" t="s">
        <v>1640</v>
      </c>
      <c r="R123" s="211" t="s">
        <v>1641</v>
      </c>
      <c r="S123" s="211" t="str">
        <f t="shared" si="5"/>
        <v>D-1) 입구 왼쪽방</v>
      </c>
      <c r="T123" s="211" t="s">
        <v>645</v>
      </c>
      <c r="U123" s="214" t="s">
        <v>1632</v>
      </c>
      <c r="V123" s="214" t="s">
        <v>1633</v>
      </c>
      <c r="W123" s="211" t="s">
        <v>1634</v>
      </c>
      <c r="X123" s="154">
        <f t="shared" si="9"/>
        <v>1500000</v>
      </c>
      <c r="Y123" s="222"/>
      <c r="Z123" s="177"/>
    </row>
    <row r="124" ht="16.5" customHeight="1">
      <c r="A124" s="178" t="s">
        <v>1592</v>
      </c>
      <c r="B124" s="178" t="s">
        <v>1650</v>
      </c>
      <c r="C124" s="178" t="s">
        <v>1651</v>
      </c>
      <c r="D124" s="179" t="s">
        <v>1251</v>
      </c>
      <c r="E124" s="180" t="s">
        <v>1652</v>
      </c>
      <c r="F124" s="241">
        <v>46079.0</v>
      </c>
      <c r="G124" s="241">
        <v>46259.0</v>
      </c>
      <c r="H124" s="243"/>
      <c r="I124" s="183"/>
      <c r="J124" s="179">
        <v>2000000.0</v>
      </c>
      <c r="K124" s="179">
        <v>620000.0</v>
      </c>
      <c r="L124" s="179">
        <v>-30000.0</v>
      </c>
      <c r="M124" s="179">
        <f t="shared" si="8"/>
        <v>650000</v>
      </c>
      <c r="N124" s="179">
        <v>100000.0</v>
      </c>
      <c r="O124" s="178" t="s">
        <v>1653</v>
      </c>
      <c r="P124" s="178" t="s">
        <v>1654</v>
      </c>
      <c r="Q124" s="180" t="s">
        <v>1655</v>
      </c>
      <c r="R124" s="180" t="s">
        <v>1656</v>
      </c>
      <c r="S124" s="180" t="str">
        <f t="shared" si="5"/>
        <v>A-1) 오른쪽방</v>
      </c>
      <c r="T124" s="180" t="s">
        <v>216</v>
      </c>
      <c r="U124" s="180" t="s">
        <v>1421</v>
      </c>
      <c r="V124" s="194" t="s">
        <v>1352</v>
      </c>
      <c r="W124" s="180" t="s">
        <v>1353</v>
      </c>
      <c r="X124" s="179">
        <f t="shared" si="9"/>
        <v>1500000</v>
      </c>
      <c r="Y124" s="184"/>
      <c r="Z124" s="184"/>
    </row>
    <row r="125" ht="16.5" customHeight="1">
      <c r="A125" s="175" t="s">
        <v>1592</v>
      </c>
      <c r="B125" s="175" t="s">
        <v>1650</v>
      </c>
      <c r="C125" s="175" t="s">
        <v>1657</v>
      </c>
      <c r="D125" s="154" t="s">
        <v>1251</v>
      </c>
      <c r="E125" s="155" t="s">
        <v>1658</v>
      </c>
      <c r="F125" s="176">
        <v>46082.0</v>
      </c>
      <c r="G125" s="176">
        <v>46259.0</v>
      </c>
      <c r="H125" s="175"/>
      <c r="I125" s="175"/>
      <c r="J125" s="154">
        <v>2000000.0</v>
      </c>
      <c r="K125" s="154">
        <v>500000.0</v>
      </c>
      <c r="L125" s="154">
        <v>0.0</v>
      </c>
      <c r="M125" s="154">
        <f t="shared" si="8"/>
        <v>500000</v>
      </c>
      <c r="N125" s="154">
        <v>100000.0</v>
      </c>
      <c r="O125" s="175" t="s">
        <v>1659</v>
      </c>
      <c r="P125" s="175" t="s">
        <v>1660</v>
      </c>
      <c r="Q125" s="155" t="s">
        <v>1655</v>
      </c>
      <c r="R125" s="155" t="s">
        <v>1656</v>
      </c>
      <c r="S125" s="155" t="str">
        <f t="shared" si="5"/>
        <v>B-1) 왼쪽방</v>
      </c>
      <c r="T125" s="155" t="s">
        <v>216</v>
      </c>
      <c r="U125" s="155" t="s">
        <v>1421</v>
      </c>
      <c r="V125" s="157" t="s">
        <v>1352</v>
      </c>
      <c r="W125" s="155" t="s">
        <v>1353</v>
      </c>
      <c r="X125" s="154">
        <f t="shared" si="9"/>
        <v>1500000</v>
      </c>
      <c r="Y125" s="177"/>
      <c r="Z125" s="177"/>
    </row>
    <row r="126" ht="16.5" customHeight="1">
      <c r="A126" s="178" t="s">
        <v>1592</v>
      </c>
      <c r="B126" s="178" t="s">
        <v>1650</v>
      </c>
      <c r="C126" s="178" t="s">
        <v>1047</v>
      </c>
      <c r="D126" s="179" t="s">
        <v>1251</v>
      </c>
      <c r="E126" s="180" t="s">
        <v>1661</v>
      </c>
      <c r="F126" s="241">
        <v>46021.0</v>
      </c>
      <c r="G126" s="241">
        <v>46259.0</v>
      </c>
      <c r="H126" s="178"/>
      <c r="I126" s="230"/>
      <c r="J126" s="179">
        <v>2000000.0</v>
      </c>
      <c r="K126" s="179">
        <v>570000.0</v>
      </c>
      <c r="L126" s="179">
        <v>0.0</v>
      </c>
      <c r="M126" s="179">
        <f t="shared" si="8"/>
        <v>570000</v>
      </c>
      <c r="N126" s="179">
        <v>100000.0</v>
      </c>
      <c r="O126" s="178"/>
      <c r="P126" s="178" t="s">
        <v>1662</v>
      </c>
      <c r="Q126" s="180" t="s">
        <v>1655</v>
      </c>
      <c r="R126" s="180" t="s">
        <v>1656</v>
      </c>
      <c r="S126" s="180" t="str">
        <f t="shared" si="5"/>
        <v>C-1) 코너방</v>
      </c>
      <c r="T126" s="180" t="s">
        <v>216</v>
      </c>
      <c r="U126" s="180" t="s">
        <v>1421</v>
      </c>
      <c r="V126" s="194" t="s">
        <v>1352</v>
      </c>
      <c r="W126" s="180" t="s">
        <v>1353</v>
      </c>
      <c r="X126" s="179">
        <f t="shared" si="9"/>
        <v>1500000</v>
      </c>
      <c r="Y126" s="184"/>
      <c r="Z126" s="184"/>
    </row>
    <row r="127" ht="16.5" customHeight="1">
      <c r="A127" s="209" t="s">
        <v>1592</v>
      </c>
      <c r="B127" s="209" t="s">
        <v>1650</v>
      </c>
      <c r="C127" s="209" t="s">
        <v>1663</v>
      </c>
      <c r="D127" s="210" t="s">
        <v>1251</v>
      </c>
      <c r="E127" s="211" t="s">
        <v>1664</v>
      </c>
      <c r="F127" s="242">
        <v>46080.0</v>
      </c>
      <c r="G127" s="242">
        <v>46444.0</v>
      </c>
      <c r="H127" s="209"/>
      <c r="I127" s="209"/>
      <c r="J127" s="210">
        <v>2000000.0</v>
      </c>
      <c r="K127" s="210">
        <v>530000.0</v>
      </c>
      <c r="L127" s="210">
        <v>50000.0</v>
      </c>
      <c r="M127" s="210">
        <f t="shared" si="8"/>
        <v>480000</v>
      </c>
      <c r="N127" s="210">
        <v>100000.0</v>
      </c>
      <c r="O127" s="209" t="s">
        <v>1665</v>
      </c>
      <c r="P127" s="209" t="s">
        <v>1666</v>
      </c>
      <c r="Q127" s="211" t="s">
        <v>1655</v>
      </c>
      <c r="R127" s="211" t="s">
        <v>1656</v>
      </c>
      <c r="S127" s="211" t="str">
        <f t="shared" si="5"/>
        <v>D-1) 안쪽방</v>
      </c>
      <c r="T127" s="211" t="s">
        <v>216</v>
      </c>
      <c r="U127" s="211" t="s">
        <v>1421</v>
      </c>
      <c r="V127" s="214" t="s">
        <v>1352</v>
      </c>
      <c r="W127" s="211" t="s">
        <v>1353</v>
      </c>
      <c r="X127" s="154">
        <f t="shared" si="9"/>
        <v>1500000</v>
      </c>
      <c r="Y127" s="222"/>
      <c r="Z127" s="177"/>
    </row>
    <row r="128" ht="16.5" customHeight="1">
      <c r="A128" s="178" t="s">
        <v>1628</v>
      </c>
      <c r="B128" s="178" t="s">
        <v>1667</v>
      </c>
      <c r="C128" s="178" t="s">
        <v>1572</v>
      </c>
      <c r="D128" s="179" t="s">
        <v>1251</v>
      </c>
      <c r="E128" s="180" t="s">
        <v>1668</v>
      </c>
      <c r="F128" s="241">
        <v>46068.0</v>
      </c>
      <c r="G128" s="241">
        <v>46432.0</v>
      </c>
      <c r="H128" s="182"/>
      <c r="I128" s="183"/>
      <c r="J128" s="179">
        <v>2000000.0</v>
      </c>
      <c r="K128" s="179">
        <v>650000.0</v>
      </c>
      <c r="L128" s="179">
        <v>50000.0</v>
      </c>
      <c r="M128" s="179">
        <f t="shared" si="8"/>
        <v>600000</v>
      </c>
      <c r="N128" s="179">
        <v>100000.0</v>
      </c>
      <c r="O128" s="178" t="s">
        <v>1669</v>
      </c>
      <c r="P128" s="178" t="s">
        <v>1670</v>
      </c>
      <c r="Q128" s="180" t="s">
        <v>1671</v>
      </c>
      <c r="R128" s="180" t="s">
        <v>1672</v>
      </c>
      <c r="S128" s="180" t="str">
        <f t="shared" si="5"/>
        <v>A-1) </v>
      </c>
      <c r="T128" s="180" t="s">
        <v>216</v>
      </c>
      <c r="U128" s="180" t="s">
        <v>1421</v>
      </c>
      <c r="V128" s="180" t="s">
        <v>1352</v>
      </c>
      <c r="W128" s="227">
        <v>30687.0</v>
      </c>
      <c r="X128" s="179">
        <f t="shared" si="9"/>
        <v>1500000</v>
      </c>
      <c r="Y128" s="184"/>
      <c r="Z128" s="184"/>
    </row>
    <row r="129" ht="16.5" customHeight="1">
      <c r="A129" s="175" t="s">
        <v>1628</v>
      </c>
      <c r="B129" s="175" t="s">
        <v>1667</v>
      </c>
      <c r="C129" s="175" t="s">
        <v>1673</v>
      </c>
      <c r="D129" s="154" t="s">
        <v>1251</v>
      </c>
      <c r="E129" s="155" t="s">
        <v>1674</v>
      </c>
      <c r="F129" s="176">
        <v>46063.0</v>
      </c>
      <c r="G129" s="176">
        <v>46428.0</v>
      </c>
      <c r="H129" s="244"/>
      <c r="I129" s="186"/>
      <c r="J129" s="154">
        <v>2000000.0</v>
      </c>
      <c r="K129" s="154">
        <v>550000.0</v>
      </c>
      <c r="L129" s="154">
        <v>50000.0</v>
      </c>
      <c r="M129" s="154">
        <f t="shared" si="8"/>
        <v>500000</v>
      </c>
      <c r="N129" s="154">
        <v>100000.0</v>
      </c>
      <c r="O129" s="175" t="s">
        <v>1675</v>
      </c>
      <c r="P129" s="175" t="s">
        <v>1676</v>
      </c>
      <c r="Q129" s="155" t="s">
        <v>1671</v>
      </c>
      <c r="R129" s="155" t="s">
        <v>1672</v>
      </c>
      <c r="S129" s="155" t="str">
        <f t="shared" si="5"/>
        <v>B-1)</v>
      </c>
      <c r="T129" s="155" t="s">
        <v>216</v>
      </c>
      <c r="U129" s="155" t="s">
        <v>1421</v>
      </c>
      <c r="V129" s="155" t="s">
        <v>1352</v>
      </c>
      <c r="W129" s="226">
        <v>30687.0</v>
      </c>
      <c r="X129" s="154">
        <f t="shared" si="9"/>
        <v>1500000</v>
      </c>
      <c r="Y129" s="177"/>
      <c r="Z129" s="177"/>
    </row>
    <row r="130" ht="16.5" customHeight="1">
      <c r="A130" s="187" t="s">
        <v>1628</v>
      </c>
      <c r="B130" s="187" t="s">
        <v>1667</v>
      </c>
      <c r="C130" s="187" t="s">
        <v>1582</v>
      </c>
      <c r="D130" s="188" t="s">
        <v>1251</v>
      </c>
      <c r="E130" s="189" t="s">
        <v>1677</v>
      </c>
      <c r="F130" s="245">
        <v>46080.0</v>
      </c>
      <c r="G130" s="245">
        <v>46444.0</v>
      </c>
      <c r="H130" s="187"/>
      <c r="I130" s="225"/>
      <c r="J130" s="188">
        <v>2000000.0</v>
      </c>
      <c r="K130" s="188">
        <v>550000.0</v>
      </c>
      <c r="L130" s="188">
        <v>50000.0</v>
      </c>
      <c r="M130" s="188">
        <f t="shared" si="8"/>
        <v>500000</v>
      </c>
      <c r="N130" s="188">
        <v>100000.0</v>
      </c>
      <c r="O130" s="187" t="s">
        <v>1678</v>
      </c>
      <c r="P130" s="187" t="s">
        <v>1679</v>
      </c>
      <c r="Q130" s="189" t="s">
        <v>1671</v>
      </c>
      <c r="R130" s="189" t="s">
        <v>1672</v>
      </c>
      <c r="S130" s="189" t="str">
        <f t="shared" si="5"/>
        <v>C-1) </v>
      </c>
      <c r="T130" s="189" t="s">
        <v>216</v>
      </c>
      <c r="U130" s="189" t="s">
        <v>1421</v>
      </c>
      <c r="V130" s="189" t="s">
        <v>1352</v>
      </c>
      <c r="W130" s="246">
        <v>30687.0</v>
      </c>
      <c r="X130" s="179">
        <f t="shared" si="9"/>
        <v>1500000</v>
      </c>
      <c r="Y130" s="233"/>
      <c r="Z130" s="184"/>
    </row>
    <row r="131" ht="16.5" customHeight="1">
      <c r="A131" s="247" t="s">
        <v>1680</v>
      </c>
      <c r="B131" s="247" t="s">
        <v>682</v>
      </c>
      <c r="C131" s="247" t="s">
        <v>667</v>
      </c>
      <c r="D131" s="248" t="s">
        <v>1251</v>
      </c>
      <c r="E131" s="249" t="s">
        <v>1681</v>
      </c>
      <c r="F131" s="250">
        <v>45708.0</v>
      </c>
      <c r="G131" s="250">
        <v>46073.0</v>
      </c>
      <c r="H131" s="251" t="s">
        <v>1682</v>
      </c>
      <c r="I131" s="252"/>
      <c r="J131" s="248">
        <v>2000000.0</v>
      </c>
      <c r="K131" s="248">
        <v>570000.0</v>
      </c>
      <c r="L131" s="248">
        <v>0.0</v>
      </c>
      <c r="M131" s="248">
        <f t="shared" si="8"/>
        <v>570000</v>
      </c>
      <c r="N131" s="248">
        <v>100000.0</v>
      </c>
      <c r="O131" s="247" t="s">
        <v>1683</v>
      </c>
      <c r="P131" s="247" t="s">
        <v>1684</v>
      </c>
      <c r="Q131" s="249" t="s">
        <v>1685</v>
      </c>
      <c r="R131" s="249" t="s">
        <v>1686</v>
      </c>
      <c r="S131" s="249" t="str">
        <f t="shared" si="5"/>
        <v>A 큰 1인실</v>
      </c>
      <c r="T131" s="249" t="s">
        <v>33</v>
      </c>
      <c r="U131" s="253" t="s">
        <v>1687</v>
      </c>
      <c r="V131" s="253" t="s">
        <v>1257</v>
      </c>
      <c r="W131" s="254" t="s">
        <v>1258</v>
      </c>
      <c r="X131" s="248">
        <f t="shared" si="9"/>
        <v>1500000</v>
      </c>
      <c r="Y131" s="255" t="s">
        <v>1259</v>
      </c>
      <c r="Z131" s="255"/>
    </row>
    <row r="132" ht="16.5" customHeight="1">
      <c r="A132" s="247" t="s">
        <v>1680</v>
      </c>
      <c r="B132" s="247" t="s">
        <v>682</v>
      </c>
      <c r="C132" s="247" t="s">
        <v>690</v>
      </c>
      <c r="D132" s="248" t="s">
        <v>1251</v>
      </c>
      <c r="E132" s="249" t="s">
        <v>1688</v>
      </c>
      <c r="F132" s="256">
        <v>45716.0</v>
      </c>
      <c r="G132" s="256">
        <v>46078.0</v>
      </c>
      <c r="H132" s="251" t="s">
        <v>1682</v>
      </c>
      <c r="I132" s="247"/>
      <c r="J132" s="248">
        <v>2000000.0</v>
      </c>
      <c r="K132" s="248">
        <v>550000.0</v>
      </c>
      <c r="L132" s="248">
        <v>0.0</v>
      </c>
      <c r="M132" s="248">
        <f t="shared" si="8"/>
        <v>550000</v>
      </c>
      <c r="N132" s="248">
        <v>100000.0</v>
      </c>
      <c r="O132" s="247"/>
      <c r="P132" s="247" t="s">
        <v>1689</v>
      </c>
      <c r="Q132" s="249" t="s">
        <v>1685</v>
      </c>
      <c r="R132" s="249" t="s">
        <v>1686</v>
      </c>
      <c r="S132" s="249" t="str">
        <f t="shared" si="5"/>
        <v>B 1인실 입구쪽</v>
      </c>
      <c r="T132" s="249" t="s">
        <v>33</v>
      </c>
      <c r="U132" s="253" t="s">
        <v>1687</v>
      </c>
      <c r="V132" s="253" t="s">
        <v>1257</v>
      </c>
      <c r="W132" s="249" t="s">
        <v>1258</v>
      </c>
      <c r="X132" s="248">
        <f t="shared" si="9"/>
        <v>1500000</v>
      </c>
      <c r="Y132" s="255" t="s">
        <v>1259</v>
      </c>
      <c r="Z132" s="255"/>
    </row>
    <row r="133" ht="16.5" customHeight="1">
      <c r="A133" s="247" t="s">
        <v>1680</v>
      </c>
      <c r="B133" s="247" t="s">
        <v>682</v>
      </c>
      <c r="C133" s="247" t="s">
        <v>693</v>
      </c>
      <c r="D133" s="248" t="s">
        <v>1265</v>
      </c>
      <c r="E133" s="249" t="s">
        <v>694</v>
      </c>
      <c r="F133" s="250">
        <v>45717.0</v>
      </c>
      <c r="G133" s="250">
        <v>46078.0</v>
      </c>
      <c r="H133" s="251" t="s">
        <v>1682</v>
      </c>
      <c r="I133" s="247"/>
      <c r="J133" s="248">
        <v>1000000.0</v>
      </c>
      <c r="K133" s="248">
        <v>420000.0</v>
      </c>
      <c r="L133" s="248">
        <v>40000.0</v>
      </c>
      <c r="M133" s="248">
        <f t="shared" si="8"/>
        <v>380000</v>
      </c>
      <c r="N133" s="248">
        <v>80000.0</v>
      </c>
      <c r="O133" s="247" t="s">
        <v>1690</v>
      </c>
      <c r="P133" s="247" t="s">
        <v>1691</v>
      </c>
      <c r="Q133" s="249" t="s">
        <v>1685</v>
      </c>
      <c r="R133" s="249" t="s">
        <v>1686</v>
      </c>
      <c r="S133" s="249" t="str">
        <f t="shared" si="5"/>
        <v>C1 2인실 왼</v>
      </c>
      <c r="T133" s="249" t="s">
        <v>33</v>
      </c>
      <c r="U133" s="253" t="s">
        <v>1687</v>
      </c>
      <c r="V133" s="253" t="s">
        <v>1257</v>
      </c>
      <c r="W133" s="249" t="s">
        <v>1258</v>
      </c>
      <c r="X133" s="248">
        <f t="shared" si="9"/>
        <v>500000</v>
      </c>
      <c r="Y133" s="255" t="s">
        <v>1259</v>
      </c>
      <c r="Z133" s="255"/>
    </row>
    <row r="134" ht="16.5" customHeight="1">
      <c r="A134" s="257" t="s">
        <v>1680</v>
      </c>
      <c r="B134" s="257" t="s">
        <v>682</v>
      </c>
      <c r="C134" s="257" t="s">
        <v>695</v>
      </c>
      <c r="D134" s="258" t="s">
        <v>1265</v>
      </c>
      <c r="E134" s="259" t="s">
        <v>696</v>
      </c>
      <c r="F134" s="260">
        <v>45717.0</v>
      </c>
      <c r="G134" s="260">
        <v>46081.0</v>
      </c>
      <c r="H134" s="261" t="s">
        <v>1682</v>
      </c>
      <c r="I134" s="257"/>
      <c r="J134" s="258">
        <v>1000000.0</v>
      </c>
      <c r="K134" s="258">
        <v>420000.0</v>
      </c>
      <c r="L134" s="258">
        <v>140000.0</v>
      </c>
      <c r="M134" s="258">
        <f t="shared" si="8"/>
        <v>280000</v>
      </c>
      <c r="N134" s="258">
        <v>80000.0</v>
      </c>
      <c r="O134" s="257" t="s">
        <v>1692</v>
      </c>
      <c r="P134" s="257" t="s">
        <v>1693</v>
      </c>
      <c r="Q134" s="259" t="s">
        <v>1685</v>
      </c>
      <c r="R134" s="259" t="s">
        <v>1686</v>
      </c>
      <c r="S134" s="259" t="str">
        <f t="shared" si="5"/>
        <v>C2 2인실 오</v>
      </c>
      <c r="T134" s="259" t="s">
        <v>33</v>
      </c>
      <c r="U134" s="262" t="s">
        <v>1687</v>
      </c>
      <c r="V134" s="262" t="s">
        <v>1257</v>
      </c>
      <c r="W134" s="259" t="s">
        <v>1258</v>
      </c>
      <c r="X134" s="248">
        <f t="shared" si="9"/>
        <v>500000</v>
      </c>
      <c r="Y134" s="255" t="s">
        <v>1259</v>
      </c>
      <c r="Z134" s="255"/>
    </row>
    <row r="135" ht="16.5" customHeight="1">
      <c r="A135" s="175" t="s">
        <v>1694</v>
      </c>
      <c r="B135" s="175" t="s">
        <v>699</v>
      </c>
      <c r="C135" s="175" t="s">
        <v>700</v>
      </c>
      <c r="D135" s="154" t="s">
        <v>1251</v>
      </c>
      <c r="E135" s="155" t="s">
        <v>1695</v>
      </c>
      <c r="F135" s="185"/>
      <c r="G135" s="185"/>
      <c r="H135" s="175"/>
      <c r="I135" s="186"/>
      <c r="J135" s="154">
        <v>2000000.0</v>
      </c>
      <c r="K135" s="154">
        <v>490000.0</v>
      </c>
      <c r="L135" s="154">
        <v>20000.0</v>
      </c>
      <c r="M135" s="154">
        <f t="shared" si="8"/>
        <v>470000</v>
      </c>
      <c r="N135" s="154">
        <v>80000.0</v>
      </c>
      <c r="O135" s="175" t="s">
        <v>1696</v>
      </c>
      <c r="P135" s="175" t="s">
        <v>1697</v>
      </c>
      <c r="Q135" s="155" t="s">
        <v>1698</v>
      </c>
      <c r="R135" s="155" t="s">
        <v>1699</v>
      </c>
      <c r="S135" s="155" t="str">
        <f t="shared" si="5"/>
        <v>A-1) 1인실</v>
      </c>
      <c r="T135" s="155" t="s">
        <v>33</v>
      </c>
      <c r="U135" s="155" t="s">
        <v>1700</v>
      </c>
      <c r="V135" s="155" t="s">
        <v>1257</v>
      </c>
      <c r="W135" s="155" t="s">
        <v>1258</v>
      </c>
      <c r="X135" s="154">
        <f t="shared" si="9"/>
        <v>1500000</v>
      </c>
      <c r="Y135" s="177" t="s">
        <v>1259</v>
      </c>
      <c r="Z135" s="177"/>
    </row>
    <row r="136" ht="16.5" customHeight="1">
      <c r="A136" s="178" t="s">
        <v>1694</v>
      </c>
      <c r="B136" s="178" t="s">
        <v>699</v>
      </c>
      <c r="C136" s="178" t="s">
        <v>710</v>
      </c>
      <c r="D136" s="179" t="s">
        <v>1251</v>
      </c>
      <c r="E136" s="180" t="s">
        <v>1695</v>
      </c>
      <c r="F136" s="181"/>
      <c r="G136" s="181"/>
      <c r="H136" s="178"/>
      <c r="I136" s="183"/>
      <c r="J136" s="179">
        <v>2000000.0</v>
      </c>
      <c r="K136" s="179">
        <v>550000.0</v>
      </c>
      <c r="L136" s="179">
        <v>30000.0</v>
      </c>
      <c r="M136" s="179">
        <f t="shared" si="8"/>
        <v>520000</v>
      </c>
      <c r="N136" s="179">
        <v>80000.0</v>
      </c>
      <c r="O136" s="178" t="s">
        <v>1701</v>
      </c>
      <c r="P136" s="178" t="s">
        <v>1702</v>
      </c>
      <c r="Q136" s="180" t="s">
        <v>1698</v>
      </c>
      <c r="R136" s="180" t="s">
        <v>1699</v>
      </c>
      <c r="S136" s="180" t="str">
        <f t="shared" si="5"/>
        <v>C-1) 현관쪽 1인실</v>
      </c>
      <c r="T136" s="180" t="s">
        <v>33</v>
      </c>
      <c r="U136" s="180" t="s">
        <v>1700</v>
      </c>
      <c r="V136" s="180" t="s">
        <v>1257</v>
      </c>
      <c r="W136" s="180" t="s">
        <v>1258</v>
      </c>
      <c r="X136" s="179">
        <f t="shared" si="9"/>
        <v>1500000</v>
      </c>
      <c r="Y136" s="184" t="s">
        <v>1259</v>
      </c>
      <c r="Z136" s="184"/>
    </row>
    <row r="137" ht="16.5" customHeight="1">
      <c r="A137" s="175" t="s">
        <v>1694</v>
      </c>
      <c r="B137" s="175" t="s">
        <v>699</v>
      </c>
      <c r="C137" s="175" t="s">
        <v>719</v>
      </c>
      <c r="D137" s="154" t="s">
        <v>1265</v>
      </c>
      <c r="E137" s="155" t="s">
        <v>1695</v>
      </c>
      <c r="F137" s="185"/>
      <c r="G137" s="185"/>
      <c r="H137" s="175"/>
      <c r="I137" s="186"/>
      <c r="J137" s="154">
        <v>1000000.0</v>
      </c>
      <c r="K137" s="154">
        <v>370000.0</v>
      </c>
      <c r="L137" s="154">
        <v>-30000.0</v>
      </c>
      <c r="M137" s="154">
        <f t="shared" si="8"/>
        <v>400000</v>
      </c>
      <c r="N137" s="154">
        <v>80000.0</v>
      </c>
      <c r="O137" s="175" t="s">
        <v>1703</v>
      </c>
      <c r="P137" s="175" t="s">
        <v>1704</v>
      </c>
      <c r="Q137" s="155" t="s">
        <v>1698</v>
      </c>
      <c r="R137" s="155" t="s">
        <v>1699</v>
      </c>
      <c r="S137" s="155" t="str">
        <f t="shared" si="5"/>
        <v>B-1) 큰2인실 왼</v>
      </c>
      <c r="T137" s="155" t="s">
        <v>33</v>
      </c>
      <c r="U137" s="155" t="s">
        <v>1700</v>
      </c>
      <c r="V137" s="155" t="s">
        <v>1257</v>
      </c>
      <c r="W137" s="155" t="s">
        <v>1258</v>
      </c>
      <c r="X137" s="154">
        <f t="shared" si="9"/>
        <v>500000</v>
      </c>
      <c r="Y137" s="177" t="s">
        <v>1259</v>
      </c>
      <c r="Z137" s="177"/>
    </row>
    <row r="138" ht="16.5" customHeight="1">
      <c r="A138" s="263" t="s">
        <v>1694</v>
      </c>
      <c r="B138" s="263" t="s">
        <v>699</v>
      </c>
      <c r="C138" s="263" t="s">
        <v>722</v>
      </c>
      <c r="D138" s="192" t="s">
        <v>1265</v>
      </c>
      <c r="E138" s="264" t="s">
        <v>1695</v>
      </c>
      <c r="F138" s="265"/>
      <c r="G138" s="265"/>
      <c r="H138" s="263"/>
      <c r="I138" s="266"/>
      <c r="J138" s="192">
        <v>1000000.0</v>
      </c>
      <c r="K138" s="192">
        <v>370000.0</v>
      </c>
      <c r="L138" s="192">
        <v>0.0</v>
      </c>
      <c r="M138" s="192">
        <f t="shared" si="8"/>
        <v>370000</v>
      </c>
      <c r="N138" s="192">
        <v>80000.0</v>
      </c>
      <c r="O138" s="263" t="s">
        <v>1705</v>
      </c>
      <c r="P138" s="263" t="s">
        <v>1706</v>
      </c>
      <c r="Q138" s="264" t="s">
        <v>1698</v>
      </c>
      <c r="R138" s="264" t="s">
        <v>1699</v>
      </c>
      <c r="S138" s="264" t="str">
        <f t="shared" si="5"/>
        <v>B-2) 큰2인실 오</v>
      </c>
      <c r="T138" s="264" t="s">
        <v>33</v>
      </c>
      <c r="U138" s="264" t="s">
        <v>1700</v>
      </c>
      <c r="V138" s="264" t="s">
        <v>1257</v>
      </c>
      <c r="W138" s="264" t="s">
        <v>1258</v>
      </c>
      <c r="X138" s="192">
        <f t="shared" si="9"/>
        <v>500000</v>
      </c>
      <c r="Y138" s="184" t="s">
        <v>1259</v>
      </c>
      <c r="Z138" s="184"/>
    </row>
    <row r="139" ht="16.5" customHeight="1">
      <c r="A139" s="175" t="s">
        <v>1694</v>
      </c>
      <c r="B139" s="175" t="s">
        <v>730</v>
      </c>
      <c r="C139" s="175" t="s">
        <v>1707</v>
      </c>
      <c r="D139" s="154" t="s">
        <v>1251</v>
      </c>
      <c r="E139" s="155" t="s">
        <v>1708</v>
      </c>
      <c r="F139" s="185">
        <v>45982.0</v>
      </c>
      <c r="G139" s="185">
        <v>46387.0</v>
      </c>
      <c r="H139" s="175"/>
      <c r="I139" s="175"/>
      <c r="J139" s="154">
        <v>2000000.0</v>
      </c>
      <c r="K139" s="154">
        <v>550000.0</v>
      </c>
      <c r="L139" s="154">
        <v>30000.0</v>
      </c>
      <c r="M139" s="154">
        <f t="shared" si="8"/>
        <v>520000</v>
      </c>
      <c r="N139" s="154">
        <v>100000.0</v>
      </c>
      <c r="O139" s="175" t="s">
        <v>1709</v>
      </c>
      <c r="P139" s="175" t="s">
        <v>1710</v>
      </c>
      <c r="Q139" s="155" t="s">
        <v>1711</v>
      </c>
      <c r="R139" s="155" t="s">
        <v>1712</v>
      </c>
      <c r="S139" s="155" t="str">
        <f t="shared" si="5"/>
        <v>A-1) 1인실(다락방)</v>
      </c>
      <c r="T139" s="155" t="s">
        <v>33</v>
      </c>
      <c r="U139" s="155" t="s">
        <v>1700</v>
      </c>
      <c r="V139" s="155" t="s">
        <v>1257</v>
      </c>
      <c r="W139" s="155" t="s">
        <v>1258</v>
      </c>
      <c r="X139" s="154">
        <f t="shared" si="9"/>
        <v>1500000</v>
      </c>
      <c r="Y139" s="177" t="s">
        <v>1259</v>
      </c>
      <c r="Z139" s="177"/>
    </row>
    <row r="140" ht="16.5" customHeight="1">
      <c r="A140" s="178" t="s">
        <v>1694</v>
      </c>
      <c r="B140" s="178" t="s">
        <v>730</v>
      </c>
      <c r="C140" s="178" t="s">
        <v>1713</v>
      </c>
      <c r="D140" s="179" t="s">
        <v>1251</v>
      </c>
      <c r="E140" s="180" t="s">
        <v>1714</v>
      </c>
      <c r="F140" s="181">
        <v>46041.0</v>
      </c>
      <c r="G140" s="181">
        <v>46234.0</v>
      </c>
      <c r="H140" s="178"/>
      <c r="I140" s="178"/>
      <c r="J140" s="179">
        <v>2000000.0</v>
      </c>
      <c r="K140" s="179">
        <v>550000.0</v>
      </c>
      <c r="L140" s="179">
        <v>0.0</v>
      </c>
      <c r="M140" s="179">
        <f t="shared" si="8"/>
        <v>550000</v>
      </c>
      <c r="N140" s="179">
        <v>100000.0</v>
      </c>
      <c r="O140" s="178" t="s">
        <v>1715</v>
      </c>
      <c r="P140" s="178" t="s">
        <v>1716</v>
      </c>
      <c r="Q140" s="180" t="s">
        <v>1711</v>
      </c>
      <c r="R140" s="180" t="s">
        <v>1712</v>
      </c>
      <c r="S140" s="180" t="str">
        <f t="shared" si="5"/>
        <v>B-1)1인실 (입구쪽)</v>
      </c>
      <c r="T140" s="180" t="s">
        <v>33</v>
      </c>
      <c r="U140" s="180" t="s">
        <v>1700</v>
      </c>
      <c r="V140" s="180" t="s">
        <v>1257</v>
      </c>
      <c r="W140" s="180" t="s">
        <v>1258</v>
      </c>
      <c r="X140" s="179">
        <f t="shared" si="9"/>
        <v>1500000</v>
      </c>
      <c r="Y140" s="184" t="s">
        <v>1259</v>
      </c>
      <c r="Z140" s="184"/>
    </row>
    <row r="141" ht="16.5" customHeight="1">
      <c r="A141" s="175" t="s">
        <v>1694</v>
      </c>
      <c r="B141" s="175" t="s">
        <v>730</v>
      </c>
      <c r="C141" s="175" t="s">
        <v>1717</v>
      </c>
      <c r="D141" s="154" t="s">
        <v>1251</v>
      </c>
      <c r="E141" s="155" t="s">
        <v>1718</v>
      </c>
      <c r="F141" s="185">
        <v>46067.0</v>
      </c>
      <c r="G141" s="185">
        <v>46443.0</v>
      </c>
      <c r="H141" s="175"/>
      <c r="I141" s="175"/>
      <c r="J141" s="154">
        <v>2000000.0</v>
      </c>
      <c r="K141" s="154">
        <v>520000.0</v>
      </c>
      <c r="L141" s="154">
        <v>50000.0</v>
      </c>
      <c r="M141" s="154">
        <f t="shared" si="8"/>
        <v>470000</v>
      </c>
      <c r="N141" s="154">
        <v>100000.0</v>
      </c>
      <c r="O141" s="175" t="s">
        <v>1719</v>
      </c>
      <c r="P141" s="175" t="s">
        <v>1720</v>
      </c>
      <c r="Q141" s="155" t="s">
        <v>1711</v>
      </c>
      <c r="R141" s="155" t="s">
        <v>1712</v>
      </c>
      <c r="S141" s="155" t="str">
        <f t="shared" si="5"/>
        <v>C-1) 1인실 (복도끝)</v>
      </c>
      <c r="T141" s="155" t="s">
        <v>33</v>
      </c>
      <c r="U141" s="155" t="s">
        <v>1700</v>
      </c>
      <c r="V141" s="155" t="s">
        <v>1257</v>
      </c>
      <c r="W141" s="155" t="s">
        <v>1258</v>
      </c>
      <c r="X141" s="154">
        <f t="shared" si="9"/>
        <v>1500000</v>
      </c>
      <c r="Y141" s="177" t="s">
        <v>1259</v>
      </c>
      <c r="Z141" s="177"/>
    </row>
    <row r="142" ht="16.5" customHeight="1">
      <c r="A142" s="178" t="s">
        <v>1694</v>
      </c>
      <c r="B142" s="178" t="s">
        <v>730</v>
      </c>
      <c r="C142" s="178" t="s">
        <v>1721</v>
      </c>
      <c r="D142" s="179" t="s">
        <v>1265</v>
      </c>
      <c r="E142" s="180" t="s">
        <v>1722</v>
      </c>
      <c r="F142" s="181">
        <v>46080.0</v>
      </c>
      <c r="G142" s="181">
        <v>46260.0</v>
      </c>
      <c r="H142" s="178"/>
      <c r="I142" s="178"/>
      <c r="J142" s="179">
        <v>2000000.0</v>
      </c>
      <c r="K142" s="179">
        <v>420000.0</v>
      </c>
      <c r="L142" s="179">
        <v>0.0</v>
      </c>
      <c r="M142" s="179">
        <f t="shared" si="8"/>
        <v>420000</v>
      </c>
      <c r="N142" s="179">
        <v>100000.0</v>
      </c>
      <c r="O142" s="178"/>
      <c r="P142" s="178" t="s">
        <v>1723</v>
      </c>
      <c r="Q142" s="180" t="s">
        <v>1711</v>
      </c>
      <c r="R142" s="180" t="s">
        <v>1712</v>
      </c>
      <c r="S142" s="180" t="str">
        <f t="shared" si="5"/>
        <v>D-1) 2인실 오</v>
      </c>
      <c r="T142" s="180" t="s">
        <v>33</v>
      </c>
      <c r="U142" s="180" t="s">
        <v>1700</v>
      </c>
      <c r="V142" s="180" t="s">
        <v>1257</v>
      </c>
      <c r="W142" s="180" t="s">
        <v>1258</v>
      </c>
      <c r="X142" s="179">
        <f t="shared" si="9"/>
        <v>1500000</v>
      </c>
      <c r="Y142" s="184" t="s">
        <v>1259</v>
      </c>
      <c r="Z142" s="184"/>
    </row>
    <row r="143" ht="16.5" customHeight="1">
      <c r="A143" s="209" t="s">
        <v>1694</v>
      </c>
      <c r="B143" s="209" t="s">
        <v>730</v>
      </c>
      <c r="C143" s="209" t="s">
        <v>1724</v>
      </c>
      <c r="D143" s="210" t="s">
        <v>1265</v>
      </c>
      <c r="E143" s="211" t="s">
        <v>1725</v>
      </c>
      <c r="F143" s="212">
        <v>46083.0</v>
      </c>
      <c r="G143" s="212">
        <v>46259.0</v>
      </c>
      <c r="H143" s="209"/>
      <c r="I143" s="213"/>
      <c r="J143" s="210">
        <v>2000000.0</v>
      </c>
      <c r="K143" s="210">
        <v>420000.0</v>
      </c>
      <c r="L143" s="210">
        <v>0.0</v>
      </c>
      <c r="M143" s="210">
        <f t="shared" si="8"/>
        <v>420000</v>
      </c>
      <c r="N143" s="210">
        <v>100000.0</v>
      </c>
      <c r="O143" s="209" t="s">
        <v>1726</v>
      </c>
      <c r="P143" s="209" t="s">
        <v>1727</v>
      </c>
      <c r="Q143" s="211" t="s">
        <v>1711</v>
      </c>
      <c r="R143" s="211" t="s">
        <v>1712</v>
      </c>
      <c r="S143" s="211" t="str">
        <f t="shared" si="5"/>
        <v>D-2) 2인실 왼</v>
      </c>
      <c r="T143" s="211" t="s">
        <v>33</v>
      </c>
      <c r="U143" s="211" t="s">
        <v>1700</v>
      </c>
      <c r="V143" s="211" t="s">
        <v>1257</v>
      </c>
      <c r="W143" s="211" t="s">
        <v>1258</v>
      </c>
      <c r="X143" s="154">
        <f t="shared" si="9"/>
        <v>1500000</v>
      </c>
      <c r="Y143" s="177" t="s">
        <v>1259</v>
      </c>
      <c r="Z143" s="177"/>
    </row>
    <row r="144" ht="16.5" customHeight="1">
      <c r="A144" s="178" t="s">
        <v>1694</v>
      </c>
      <c r="B144" s="178" t="s">
        <v>760</v>
      </c>
      <c r="C144" s="178" t="s">
        <v>1728</v>
      </c>
      <c r="D144" s="179" t="s">
        <v>1251</v>
      </c>
      <c r="E144" s="180" t="s">
        <v>1729</v>
      </c>
      <c r="F144" s="181">
        <v>46079.0</v>
      </c>
      <c r="G144" s="181">
        <v>46443.0</v>
      </c>
      <c r="H144" s="178"/>
      <c r="I144" s="178"/>
      <c r="J144" s="179">
        <v>2000000.0</v>
      </c>
      <c r="K144" s="179">
        <v>550000.0</v>
      </c>
      <c r="L144" s="179">
        <v>50000.0</v>
      </c>
      <c r="M144" s="179">
        <f t="shared" si="8"/>
        <v>500000</v>
      </c>
      <c r="N144" s="179">
        <v>100000.0</v>
      </c>
      <c r="O144" s="178" t="s">
        <v>1730</v>
      </c>
      <c r="P144" s="178" t="s">
        <v>1731</v>
      </c>
      <c r="Q144" s="180" t="s">
        <v>1732</v>
      </c>
      <c r="R144" s="180" t="s">
        <v>1733</v>
      </c>
      <c r="S144" s="180" t="str">
        <f t="shared" si="5"/>
        <v>A-1) 1인실 거실</v>
      </c>
      <c r="T144" s="180" t="s">
        <v>33</v>
      </c>
      <c r="U144" s="180" t="s">
        <v>1700</v>
      </c>
      <c r="V144" s="180" t="s">
        <v>1257</v>
      </c>
      <c r="W144" s="180" t="s">
        <v>1258</v>
      </c>
      <c r="X144" s="179">
        <f t="shared" si="9"/>
        <v>1500000</v>
      </c>
      <c r="Y144" s="184" t="s">
        <v>1259</v>
      </c>
      <c r="Z144" s="184"/>
    </row>
    <row r="145" ht="16.5" customHeight="1">
      <c r="A145" s="175" t="s">
        <v>1694</v>
      </c>
      <c r="B145" s="175" t="s">
        <v>760</v>
      </c>
      <c r="C145" s="175" t="s">
        <v>1734</v>
      </c>
      <c r="D145" s="154" t="s">
        <v>1251</v>
      </c>
      <c r="E145" s="155" t="s">
        <v>1735</v>
      </c>
      <c r="F145" s="185">
        <v>46078.0</v>
      </c>
      <c r="G145" s="185">
        <v>46443.0</v>
      </c>
      <c r="H145" s="175"/>
      <c r="I145" s="175"/>
      <c r="J145" s="154">
        <v>2000000.0</v>
      </c>
      <c r="K145" s="154">
        <v>530000.0</v>
      </c>
      <c r="L145" s="154">
        <v>50000.0</v>
      </c>
      <c r="M145" s="154">
        <f t="shared" si="8"/>
        <v>480000</v>
      </c>
      <c r="N145" s="154">
        <v>100000.0</v>
      </c>
      <c r="O145" s="175"/>
      <c r="P145" s="175" t="s">
        <v>1736</v>
      </c>
      <c r="Q145" s="155" t="s">
        <v>1732</v>
      </c>
      <c r="R145" s="155" t="s">
        <v>1733</v>
      </c>
      <c r="S145" s="155" t="str">
        <f t="shared" si="5"/>
        <v>B-1) 1인실 현관옆</v>
      </c>
      <c r="T145" s="155" t="s">
        <v>33</v>
      </c>
      <c r="U145" s="155" t="s">
        <v>1700</v>
      </c>
      <c r="V145" s="155" t="s">
        <v>1257</v>
      </c>
      <c r="W145" s="155" t="s">
        <v>1258</v>
      </c>
      <c r="X145" s="154">
        <f t="shared" si="9"/>
        <v>1500000</v>
      </c>
      <c r="Y145" s="177" t="s">
        <v>1259</v>
      </c>
      <c r="Z145" s="177"/>
    </row>
    <row r="146" ht="16.5" customHeight="1">
      <c r="A146" s="178" t="s">
        <v>1694</v>
      </c>
      <c r="B146" s="178" t="s">
        <v>760</v>
      </c>
      <c r="C146" s="178" t="s">
        <v>909</v>
      </c>
      <c r="D146" s="179" t="s">
        <v>1265</v>
      </c>
      <c r="E146" s="180" t="s">
        <v>1737</v>
      </c>
      <c r="F146" s="181">
        <v>46081.0</v>
      </c>
      <c r="G146" s="181">
        <v>46443.0</v>
      </c>
      <c r="H146" s="178"/>
      <c r="I146" s="178"/>
      <c r="J146" s="179">
        <v>2000000.0</v>
      </c>
      <c r="K146" s="179">
        <v>420000.0</v>
      </c>
      <c r="L146" s="179">
        <v>50000.0</v>
      </c>
      <c r="M146" s="179">
        <f t="shared" si="8"/>
        <v>370000</v>
      </c>
      <c r="N146" s="179">
        <v>100000.0</v>
      </c>
      <c r="O146" s="178" t="s">
        <v>1738</v>
      </c>
      <c r="P146" s="178" t="s">
        <v>1739</v>
      </c>
      <c r="Q146" s="180" t="s">
        <v>1732</v>
      </c>
      <c r="R146" s="180" t="s">
        <v>1733</v>
      </c>
      <c r="S146" s="180" t="str">
        <f t="shared" si="5"/>
        <v>C-1) 2인실 왼</v>
      </c>
      <c r="T146" s="180" t="s">
        <v>33</v>
      </c>
      <c r="U146" s="180" t="s">
        <v>1700</v>
      </c>
      <c r="V146" s="180" t="s">
        <v>1257</v>
      </c>
      <c r="W146" s="180" t="s">
        <v>1258</v>
      </c>
      <c r="X146" s="179">
        <f t="shared" si="9"/>
        <v>1500000</v>
      </c>
      <c r="Y146" s="184" t="s">
        <v>1259</v>
      </c>
      <c r="Z146" s="184"/>
    </row>
    <row r="147" ht="16.5" customHeight="1">
      <c r="A147" s="209" t="s">
        <v>1694</v>
      </c>
      <c r="B147" s="209" t="s">
        <v>760</v>
      </c>
      <c r="C147" s="209" t="s">
        <v>316</v>
      </c>
      <c r="D147" s="210" t="s">
        <v>1265</v>
      </c>
      <c r="E147" s="211" t="s">
        <v>1740</v>
      </c>
      <c r="F147" s="212">
        <v>46081.0</v>
      </c>
      <c r="G147" s="212">
        <v>46443.0</v>
      </c>
      <c r="H147" s="209"/>
      <c r="I147" s="213"/>
      <c r="J147" s="210">
        <v>2000000.0</v>
      </c>
      <c r="K147" s="210">
        <v>420000.0</v>
      </c>
      <c r="L147" s="210">
        <v>50000.0</v>
      </c>
      <c r="M147" s="210">
        <f t="shared" si="8"/>
        <v>370000</v>
      </c>
      <c r="N147" s="210">
        <v>100000.0</v>
      </c>
      <c r="O147" s="209" t="s">
        <v>1741</v>
      </c>
      <c r="P147" s="209" t="s">
        <v>1742</v>
      </c>
      <c r="Q147" s="211" t="s">
        <v>1732</v>
      </c>
      <c r="R147" s="211" t="s">
        <v>1733</v>
      </c>
      <c r="S147" s="211" t="str">
        <f t="shared" si="5"/>
        <v>C-2) 2인실 오</v>
      </c>
      <c r="T147" s="211" t="s">
        <v>33</v>
      </c>
      <c r="U147" s="211" t="s">
        <v>1700</v>
      </c>
      <c r="V147" s="211" t="s">
        <v>1257</v>
      </c>
      <c r="W147" s="211" t="s">
        <v>1258</v>
      </c>
      <c r="X147" s="154">
        <f t="shared" si="9"/>
        <v>1500000</v>
      </c>
      <c r="Y147" s="177" t="s">
        <v>1259</v>
      </c>
      <c r="Z147" s="177"/>
    </row>
    <row r="148" ht="16.5" customHeight="1">
      <c r="A148" s="178" t="s">
        <v>1694</v>
      </c>
      <c r="B148" s="178" t="s">
        <v>778</v>
      </c>
      <c r="C148" s="178" t="s">
        <v>1743</v>
      </c>
      <c r="D148" s="179" t="s">
        <v>1251</v>
      </c>
      <c r="E148" s="180" t="s">
        <v>1744</v>
      </c>
      <c r="F148" s="181">
        <v>46076.0</v>
      </c>
      <c r="G148" s="181">
        <v>46440.0</v>
      </c>
      <c r="H148" s="178"/>
      <c r="I148" s="183"/>
      <c r="J148" s="179">
        <v>2000000.0</v>
      </c>
      <c r="K148" s="179">
        <v>530000.0</v>
      </c>
      <c r="L148" s="179">
        <v>60000.0</v>
      </c>
      <c r="M148" s="179">
        <f t="shared" si="8"/>
        <v>470000</v>
      </c>
      <c r="N148" s="179">
        <v>100000.0</v>
      </c>
      <c r="O148" s="178" t="s">
        <v>1745</v>
      </c>
      <c r="P148" s="178" t="s">
        <v>1746</v>
      </c>
      <c r="Q148" s="180" t="s">
        <v>1747</v>
      </c>
      <c r="R148" s="180" t="s">
        <v>1748</v>
      </c>
      <c r="S148" s="180" t="str">
        <f t="shared" si="5"/>
        <v>A 1인실 거실오</v>
      </c>
      <c r="T148" s="180" t="s">
        <v>33</v>
      </c>
      <c r="U148" s="180" t="s">
        <v>1700</v>
      </c>
      <c r="V148" s="180" t="s">
        <v>1257</v>
      </c>
      <c r="W148" s="180" t="s">
        <v>1258</v>
      </c>
      <c r="X148" s="179">
        <f t="shared" si="9"/>
        <v>1500000</v>
      </c>
      <c r="Y148" s="184" t="s">
        <v>1259</v>
      </c>
      <c r="Z148" s="184"/>
    </row>
    <row r="149" ht="16.5" customHeight="1">
      <c r="A149" s="175" t="s">
        <v>1694</v>
      </c>
      <c r="B149" s="175" t="s">
        <v>778</v>
      </c>
      <c r="C149" s="175" t="s">
        <v>1749</v>
      </c>
      <c r="D149" s="154" t="s">
        <v>1251</v>
      </c>
      <c r="E149" s="155" t="s">
        <v>790</v>
      </c>
      <c r="F149" s="185">
        <v>46079.0</v>
      </c>
      <c r="G149" s="185">
        <v>46259.0</v>
      </c>
      <c r="H149" s="238"/>
      <c r="I149" s="175"/>
      <c r="J149" s="154">
        <v>2000000.0</v>
      </c>
      <c r="K149" s="154">
        <v>550000.0</v>
      </c>
      <c r="L149" s="154">
        <v>0.0</v>
      </c>
      <c r="M149" s="154">
        <f t="shared" si="8"/>
        <v>550000</v>
      </c>
      <c r="N149" s="154">
        <v>100000.0</v>
      </c>
      <c r="O149" s="175" t="s">
        <v>1750</v>
      </c>
      <c r="P149" s="175" t="s">
        <v>1751</v>
      </c>
      <c r="Q149" s="155" t="s">
        <v>1747</v>
      </c>
      <c r="R149" s="155" t="s">
        <v>1748</v>
      </c>
      <c r="S149" s="155" t="str">
        <f t="shared" si="5"/>
        <v>B 1인실 거실왼</v>
      </c>
      <c r="T149" s="155" t="s">
        <v>33</v>
      </c>
      <c r="U149" s="155" t="s">
        <v>1700</v>
      </c>
      <c r="V149" s="155" t="s">
        <v>1257</v>
      </c>
      <c r="W149" s="155" t="s">
        <v>1258</v>
      </c>
      <c r="X149" s="154">
        <f t="shared" si="9"/>
        <v>1500000</v>
      </c>
      <c r="Y149" s="177" t="s">
        <v>1259</v>
      </c>
      <c r="Z149" s="177"/>
    </row>
    <row r="150" ht="16.5" customHeight="1">
      <c r="A150" s="187" t="s">
        <v>1694</v>
      </c>
      <c r="B150" s="187" t="s">
        <v>778</v>
      </c>
      <c r="C150" s="187" t="s">
        <v>1752</v>
      </c>
      <c r="D150" s="188" t="s">
        <v>1251</v>
      </c>
      <c r="E150" s="189" t="s">
        <v>1753</v>
      </c>
      <c r="F150" s="190">
        <v>46081.0</v>
      </c>
      <c r="G150" s="190">
        <v>46444.0</v>
      </c>
      <c r="H150" s="267"/>
      <c r="I150" s="225"/>
      <c r="J150" s="188">
        <v>2000000.0</v>
      </c>
      <c r="K150" s="188">
        <v>620000.0</v>
      </c>
      <c r="L150" s="188">
        <v>50000.0</v>
      </c>
      <c r="M150" s="188">
        <f t="shared" si="8"/>
        <v>570000</v>
      </c>
      <c r="N150" s="188">
        <v>100000.0</v>
      </c>
      <c r="O150" s="268" t="s">
        <v>1754</v>
      </c>
      <c r="P150" s="187" t="s">
        <v>1755</v>
      </c>
      <c r="Q150" s="189" t="s">
        <v>1747</v>
      </c>
      <c r="R150" s="189" t="s">
        <v>1748</v>
      </c>
      <c r="S150" s="189" t="str">
        <f t="shared" si="5"/>
        <v>C 1인실 큰방</v>
      </c>
      <c r="T150" s="189" t="s">
        <v>33</v>
      </c>
      <c r="U150" s="189" t="s">
        <v>1700</v>
      </c>
      <c r="V150" s="189" t="s">
        <v>1257</v>
      </c>
      <c r="W150" s="189" t="s">
        <v>1258</v>
      </c>
      <c r="X150" s="179">
        <f t="shared" si="9"/>
        <v>1500000</v>
      </c>
      <c r="Y150" s="184" t="s">
        <v>1259</v>
      </c>
      <c r="Z150" s="184" t="s">
        <v>1756</v>
      </c>
    </row>
    <row r="151" ht="16.5" customHeight="1">
      <c r="A151" s="175" t="s">
        <v>1694</v>
      </c>
      <c r="B151" s="175" t="s">
        <v>804</v>
      </c>
      <c r="C151" s="175" t="s">
        <v>667</v>
      </c>
      <c r="D151" s="154" t="s">
        <v>1251</v>
      </c>
      <c r="E151" s="155" t="s">
        <v>1757</v>
      </c>
      <c r="F151" s="185">
        <v>46079.0</v>
      </c>
      <c r="G151" s="185">
        <v>46443.0</v>
      </c>
      <c r="H151" s="175"/>
      <c r="I151" s="186"/>
      <c r="J151" s="154">
        <v>2000000.0</v>
      </c>
      <c r="K151" s="154">
        <v>520000.0</v>
      </c>
      <c r="L151" s="154">
        <v>50000.0</v>
      </c>
      <c r="M151" s="154">
        <f t="shared" si="8"/>
        <v>470000</v>
      </c>
      <c r="N151" s="154">
        <v>100000.0</v>
      </c>
      <c r="O151" s="175"/>
      <c r="P151" s="175"/>
      <c r="Q151" s="155" t="s">
        <v>1758</v>
      </c>
      <c r="R151" s="155" t="s">
        <v>1759</v>
      </c>
      <c r="S151" s="155" t="str">
        <f t="shared" si="5"/>
        <v>A 큰 1인실</v>
      </c>
      <c r="T151" s="155" t="s">
        <v>33</v>
      </c>
      <c r="U151" s="155" t="s">
        <v>1700</v>
      </c>
      <c r="V151" s="155" t="s">
        <v>1257</v>
      </c>
      <c r="W151" s="155" t="s">
        <v>1258</v>
      </c>
      <c r="X151" s="154">
        <f t="shared" si="9"/>
        <v>1500000</v>
      </c>
      <c r="Y151" s="177" t="s">
        <v>1259</v>
      </c>
      <c r="Z151" s="177"/>
    </row>
    <row r="152">
      <c r="A152" s="178" t="s">
        <v>1694</v>
      </c>
      <c r="B152" s="178" t="s">
        <v>804</v>
      </c>
      <c r="C152" s="178" t="s">
        <v>690</v>
      </c>
      <c r="D152" s="179" t="s">
        <v>1251</v>
      </c>
      <c r="E152" s="180" t="s">
        <v>1760</v>
      </c>
      <c r="F152" s="181">
        <v>46081.0</v>
      </c>
      <c r="G152" s="181">
        <v>46259.0</v>
      </c>
      <c r="H152" s="178"/>
      <c r="I152" s="183"/>
      <c r="J152" s="179">
        <v>2000000.0</v>
      </c>
      <c r="K152" s="179">
        <v>490000.0</v>
      </c>
      <c r="L152" s="179">
        <v>0.0</v>
      </c>
      <c r="M152" s="179">
        <f t="shared" si="8"/>
        <v>490000</v>
      </c>
      <c r="N152" s="179">
        <v>100000.0</v>
      </c>
      <c r="O152" s="178" t="s">
        <v>1761</v>
      </c>
      <c r="P152" s="178" t="s">
        <v>1762</v>
      </c>
      <c r="Q152" s="180" t="s">
        <v>1758</v>
      </c>
      <c r="R152" s="180" t="s">
        <v>1759</v>
      </c>
      <c r="S152" s="180" t="str">
        <f t="shared" si="5"/>
        <v>B 1인실 입구쪽</v>
      </c>
      <c r="T152" s="180" t="s">
        <v>33</v>
      </c>
      <c r="U152" s="180" t="s">
        <v>1700</v>
      </c>
      <c r="V152" s="180" t="s">
        <v>1257</v>
      </c>
      <c r="W152" s="180" t="s">
        <v>1258</v>
      </c>
      <c r="X152" s="179">
        <f t="shared" si="9"/>
        <v>1500000</v>
      </c>
      <c r="Y152" s="184" t="s">
        <v>1259</v>
      </c>
      <c r="Z152" s="184"/>
    </row>
    <row r="153">
      <c r="A153" s="175" t="s">
        <v>1694</v>
      </c>
      <c r="B153" s="175" t="s">
        <v>804</v>
      </c>
      <c r="C153" s="175" t="s">
        <v>693</v>
      </c>
      <c r="D153" s="154" t="s">
        <v>1265</v>
      </c>
      <c r="E153" s="155" t="s">
        <v>1763</v>
      </c>
      <c r="F153" s="185">
        <v>46078.0</v>
      </c>
      <c r="G153" s="185">
        <v>46442.0</v>
      </c>
      <c r="H153" s="238"/>
      <c r="I153" s="186"/>
      <c r="J153" s="154">
        <v>2000000.0</v>
      </c>
      <c r="K153" s="154">
        <v>420000.0</v>
      </c>
      <c r="L153" s="154">
        <v>50000.0</v>
      </c>
      <c r="M153" s="154">
        <f t="shared" si="8"/>
        <v>370000</v>
      </c>
      <c r="N153" s="154">
        <v>100000.0</v>
      </c>
      <c r="O153" s="175" t="s">
        <v>1764</v>
      </c>
      <c r="P153" s="175" t="s">
        <v>1765</v>
      </c>
      <c r="Q153" s="155" t="s">
        <v>1758</v>
      </c>
      <c r="R153" s="155" t="s">
        <v>1759</v>
      </c>
      <c r="S153" s="155" t="str">
        <f t="shared" si="5"/>
        <v>C1 2인실 왼</v>
      </c>
      <c r="T153" s="155" t="s">
        <v>33</v>
      </c>
      <c r="U153" s="155" t="s">
        <v>1700</v>
      </c>
      <c r="V153" s="155" t="s">
        <v>1257</v>
      </c>
      <c r="W153" s="155" t="s">
        <v>1258</v>
      </c>
      <c r="X153" s="154">
        <f t="shared" si="9"/>
        <v>1500000</v>
      </c>
      <c r="Y153" s="177" t="s">
        <v>1259</v>
      </c>
      <c r="Z153" s="177"/>
    </row>
    <row r="154">
      <c r="A154" s="187" t="s">
        <v>1694</v>
      </c>
      <c r="B154" s="187" t="s">
        <v>804</v>
      </c>
      <c r="C154" s="187" t="s">
        <v>1766</v>
      </c>
      <c r="D154" s="188" t="s">
        <v>1265</v>
      </c>
      <c r="E154" s="189" t="s">
        <v>1767</v>
      </c>
      <c r="F154" s="190">
        <v>46078.0</v>
      </c>
      <c r="G154" s="190">
        <v>46442.0</v>
      </c>
      <c r="H154" s="187"/>
      <c r="I154" s="225"/>
      <c r="J154" s="188">
        <v>2000000.0</v>
      </c>
      <c r="K154" s="188">
        <v>420000.0</v>
      </c>
      <c r="L154" s="188">
        <v>50000.0</v>
      </c>
      <c r="M154" s="188">
        <f t="shared" si="8"/>
        <v>370000</v>
      </c>
      <c r="N154" s="188">
        <v>100000.0</v>
      </c>
      <c r="O154" s="187" t="s">
        <v>1768</v>
      </c>
      <c r="P154" s="187" t="s">
        <v>1769</v>
      </c>
      <c r="Q154" s="189" t="s">
        <v>1758</v>
      </c>
      <c r="R154" s="189" t="s">
        <v>1759</v>
      </c>
      <c r="S154" s="189" t="str">
        <f t="shared" si="5"/>
        <v>C2 2인실 오(안쪽)</v>
      </c>
      <c r="T154" s="189" t="s">
        <v>33</v>
      </c>
      <c r="U154" s="189" t="s">
        <v>1700</v>
      </c>
      <c r="V154" s="189" t="s">
        <v>1257</v>
      </c>
      <c r="W154" s="189" t="s">
        <v>1258</v>
      </c>
      <c r="X154" s="179">
        <f t="shared" si="9"/>
        <v>1500000</v>
      </c>
      <c r="Y154" s="184" t="s">
        <v>1259</v>
      </c>
      <c r="Z154" s="184"/>
    </row>
    <row r="155">
      <c r="A155" s="175" t="s">
        <v>1694</v>
      </c>
      <c r="B155" s="175" t="s">
        <v>822</v>
      </c>
      <c r="C155" s="175" t="s">
        <v>823</v>
      </c>
      <c r="D155" s="154" t="s">
        <v>1251</v>
      </c>
      <c r="E155" s="155" t="s">
        <v>1770</v>
      </c>
      <c r="F155" s="185">
        <v>46083.0</v>
      </c>
      <c r="G155" s="185">
        <v>46443.0</v>
      </c>
      <c r="H155" s="175"/>
      <c r="I155" s="186"/>
      <c r="J155" s="154">
        <v>2000000.0</v>
      </c>
      <c r="K155" s="154">
        <v>520000.0</v>
      </c>
      <c r="L155" s="154">
        <v>50000.0</v>
      </c>
      <c r="M155" s="154">
        <f t="shared" si="8"/>
        <v>470000</v>
      </c>
      <c r="N155" s="154">
        <v>100000.0</v>
      </c>
      <c r="O155" s="175" t="s">
        <v>1771</v>
      </c>
      <c r="P155" s="175" t="s">
        <v>1772</v>
      </c>
      <c r="Q155" s="155" t="s">
        <v>1773</v>
      </c>
      <c r="R155" s="155" t="s">
        <v>1774</v>
      </c>
      <c r="S155" s="155" t="str">
        <f t="shared" si="5"/>
        <v>A -1) 1인실 입구</v>
      </c>
      <c r="T155" s="155" t="s">
        <v>828</v>
      </c>
      <c r="U155" s="157" t="s">
        <v>1775</v>
      </c>
      <c r="V155" s="157" t="s">
        <v>1776</v>
      </c>
      <c r="W155" s="193" t="s">
        <v>1777</v>
      </c>
      <c r="X155" s="154">
        <f t="shared" si="9"/>
        <v>1500000</v>
      </c>
      <c r="Y155" s="177"/>
      <c r="Z155" s="177"/>
    </row>
    <row r="156" ht="16.5" customHeight="1">
      <c r="A156" s="178" t="s">
        <v>1694</v>
      </c>
      <c r="B156" s="178" t="s">
        <v>822</v>
      </c>
      <c r="C156" s="178" t="s">
        <v>829</v>
      </c>
      <c r="D156" s="179" t="s">
        <v>1265</v>
      </c>
      <c r="E156" s="180" t="s">
        <v>1778</v>
      </c>
      <c r="F156" s="181">
        <v>46079.0</v>
      </c>
      <c r="G156" s="181">
        <v>46443.0</v>
      </c>
      <c r="H156" s="182" t="s">
        <v>1779</v>
      </c>
      <c r="I156" s="183"/>
      <c r="J156" s="179">
        <v>2000000.0</v>
      </c>
      <c r="K156" s="179">
        <v>420000.0</v>
      </c>
      <c r="L156" s="179">
        <v>70000.0</v>
      </c>
      <c r="M156" s="179">
        <f t="shared" si="8"/>
        <v>350000</v>
      </c>
      <c r="N156" s="179">
        <v>100000.0</v>
      </c>
      <c r="O156" s="178" t="s">
        <v>1780</v>
      </c>
      <c r="P156" s="178" t="s">
        <v>1781</v>
      </c>
      <c r="Q156" s="180" t="s">
        <v>1773</v>
      </c>
      <c r="R156" s="180" t="s">
        <v>1774</v>
      </c>
      <c r="S156" s="180" t="str">
        <f t="shared" si="5"/>
        <v>B-1) 2인실큰 왼</v>
      </c>
      <c r="T156" s="180" t="s">
        <v>828</v>
      </c>
      <c r="U156" s="194" t="s">
        <v>1775</v>
      </c>
      <c r="V156" s="194" t="s">
        <v>1776</v>
      </c>
      <c r="W156" s="223" t="s">
        <v>1777</v>
      </c>
      <c r="X156" s="179">
        <f t="shared" si="9"/>
        <v>1500000</v>
      </c>
      <c r="Y156" s="184"/>
      <c r="Z156" s="184"/>
    </row>
    <row r="157" ht="16.5" customHeight="1">
      <c r="A157" s="175" t="s">
        <v>1694</v>
      </c>
      <c r="B157" s="175" t="s">
        <v>822</v>
      </c>
      <c r="C157" s="175" t="s">
        <v>832</v>
      </c>
      <c r="D157" s="154" t="s">
        <v>1265</v>
      </c>
      <c r="E157" s="155" t="s">
        <v>1782</v>
      </c>
      <c r="F157" s="185">
        <v>46081.0</v>
      </c>
      <c r="G157" s="185">
        <v>46234.0</v>
      </c>
      <c r="H157" s="175"/>
      <c r="I157" s="186"/>
      <c r="J157" s="154">
        <v>2000000.0</v>
      </c>
      <c r="K157" s="154">
        <v>420000.0</v>
      </c>
      <c r="L157" s="154">
        <v>50000.0</v>
      </c>
      <c r="M157" s="154">
        <f t="shared" si="8"/>
        <v>370000</v>
      </c>
      <c r="N157" s="154">
        <v>100000.0</v>
      </c>
      <c r="O157" s="175" t="s">
        <v>1783</v>
      </c>
      <c r="P157" s="175" t="s">
        <v>1784</v>
      </c>
      <c r="Q157" s="155" t="s">
        <v>1773</v>
      </c>
      <c r="R157" s="155" t="s">
        <v>1774</v>
      </c>
      <c r="S157" s="155" t="str">
        <f t="shared" si="5"/>
        <v>B-2) 2인실큰 오</v>
      </c>
      <c r="T157" s="155" t="s">
        <v>828</v>
      </c>
      <c r="U157" s="157" t="s">
        <v>1775</v>
      </c>
      <c r="V157" s="157" t="s">
        <v>1776</v>
      </c>
      <c r="W157" s="193" t="s">
        <v>1777</v>
      </c>
      <c r="X157" s="154">
        <f t="shared" si="9"/>
        <v>1500000</v>
      </c>
      <c r="Y157" s="177"/>
      <c r="Z157" s="177"/>
    </row>
    <row r="158" ht="16.5" customHeight="1">
      <c r="A158" s="178" t="s">
        <v>1694</v>
      </c>
      <c r="B158" s="178" t="s">
        <v>822</v>
      </c>
      <c r="C158" s="178" t="s">
        <v>837</v>
      </c>
      <c r="D158" s="179" t="s">
        <v>1265</v>
      </c>
      <c r="E158" s="180" t="s">
        <v>1785</v>
      </c>
      <c r="F158" s="181">
        <v>46078.0</v>
      </c>
      <c r="G158" s="181">
        <v>46258.0</v>
      </c>
      <c r="H158" s="178"/>
      <c r="I158" s="183"/>
      <c r="J158" s="179">
        <v>2000000.0</v>
      </c>
      <c r="K158" s="179">
        <v>390000.0</v>
      </c>
      <c r="L158" s="179">
        <v>40000.0</v>
      </c>
      <c r="M158" s="179">
        <f t="shared" si="8"/>
        <v>350000</v>
      </c>
      <c r="N158" s="179">
        <v>100000.0</v>
      </c>
      <c r="O158" s="178" t="s">
        <v>1786</v>
      </c>
      <c r="P158" s="178" t="s">
        <v>1787</v>
      </c>
      <c r="Q158" s="180" t="s">
        <v>1773</v>
      </c>
      <c r="R158" s="180" t="s">
        <v>1774</v>
      </c>
      <c r="S158" s="180" t="str">
        <f t="shared" si="5"/>
        <v>C-1) 2인실작 왼</v>
      </c>
      <c r="T158" s="180" t="s">
        <v>828</v>
      </c>
      <c r="U158" s="194" t="s">
        <v>1775</v>
      </c>
      <c r="V158" s="194" t="s">
        <v>1776</v>
      </c>
      <c r="W158" s="223" t="s">
        <v>1777</v>
      </c>
      <c r="X158" s="179">
        <f t="shared" si="9"/>
        <v>1500000</v>
      </c>
      <c r="Y158" s="184"/>
      <c r="Z158" s="184"/>
    </row>
    <row r="159" ht="16.5" customHeight="1">
      <c r="A159" s="209" t="s">
        <v>1694</v>
      </c>
      <c r="B159" s="209" t="s">
        <v>822</v>
      </c>
      <c r="C159" s="209" t="s">
        <v>842</v>
      </c>
      <c r="D159" s="210" t="s">
        <v>1265</v>
      </c>
      <c r="E159" s="211" t="s">
        <v>1788</v>
      </c>
      <c r="F159" s="203">
        <v>46070.0</v>
      </c>
      <c r="G159" s="212">
        <v>46434.0</v>
      </c>
      <c r="H159" s="209"/>
      <c r="I159" s="213"/>
      <c r="J159" s="210">
        <v>2000000.0</v>
      </c>
      <c r="K159" s="210">
        <v>390000.0</v>
      </c>
      <c r="L159" s="210">
        <v>60000.0</v>
      </c>
      <c r="M159" s="210">
        <f t="shared" si="8"/>
        <v>330000</v>
      </c>
      <c r="N159" s="210">
        <v>100000.0</v>
      </c>
      <c r="O159" s="209" t="s">
        <v>1789</v>
      </c>
      <c r="P159" s="209" t="s">
        <v>1790</v>
      </c>
      <c r="Q159" s="211" t="s">
        <v>1773</v>
      </c>
      <c r="R159" s="211" t="s">
        <v>1774</v>
      </c>
      <c r="S159" s="211" t="str">
        <f t="shared" si="5"/>
        <v>C-2) 2인실작 오</v>
      </c>
      <c r="T159" s="211" t="s">
        <v>828</v>
      </c>
      <c r="U159" s="214" t="s">
        <v>1775</v>
      </c>
      <c r="V159" s="214" t="s">
        <v>1776</v>
      </c>
      <c r="W159" s="269" t="s">
        <v>1777</v>
      </c>
      <c r="X159" s="154">
        <f t="shared" si="9"/>
        <v>1500000</v>
      </c>
      <c r="Y159" s="222"/>
      <c r="Z159" s="177"/>
    </row>
    <row r="160" ht="16.5" customHeight="1">
      <c r="A160" s="178" t="s">
        <v>1694</v>
      </c>
      <c r="B160" s="178" t="s">
        <v>848</v>
      </c>
      <c r="C160" s="178" t="s">
        <v>1791</v>
      </c>
      <c r="D160" s="179" t="s">
        <v>1251</v>
      </c>
      <c r="E160" s="180" t="s">
        <v>1792</v>
      </c>
      <c r="F160" s="181">
        <v>46074.0</v>
      </c>
      <c r="G160" s="181">
        <v>46438.0</v>
      </c>
      <c r="H160" s="178"/>
      <c r="I160" s="183"/>
      <c r="J160" s="179">
        <v>2000000.0</v>
      </c>
      <c r="K160" s="179">
        <v>550000.0</v>
      </c>
      <c r="L160" s="179">
        <v>50000.0</v>
      </c>
      <c r="M160" s="179">
        <f t="shared" si="8"/>
        <v>500000</v>
      </c>
      <c r="N160" s="179">
        <v>100000.0</v>
      </c>
      <c r="O160" s="178" t="s">
        <v>1793</v>
      </c>
      <c r="P160" s="178" t="s">
        <v>1794</v>
      </c>
      <c r="Q160" s="180" t="s">
        <v>1795</v>
      </c>
      <c r="R160" s="180" t="s">
        <v>1796</v>
      </c>
      <c r="S160" s="180" t="str">
        <f t="shared" si="5"/>
        <v>A) 1인실 창문방</v>
      </c>
      <c r="T160" s="180" t="s">
        <v>828</v>
      </c>
      <c r="U160" s="194" t="s">
        <v>1775</v>
      </c>
      <c r="V160" s="194" t="s">
        <v>1776</v>
      </c>
      <c r="W160" s="180" t="s">
        <v>1777</v>
      </c>
      <c r="X160" s="179">
        <f t="shared" si="9"/>
        <v>1500000</v>
      </c>
      <c r="Y160" s="184"/>
      <c r="Z160" s="184"/>
    </row>
    <row r="161" ht="16.5" customHeight="1">
      <c r="A161" s="175" t="s">
        <v>1694</v>
      </c>
      <c r="B161" s="175" t="s">
        <v>848</v>
      </c>
      <c r="C161" s="175" t="s">
        <v>1797</v>
      </c>
      <c r="D161" s="154" t="s">
        <v>1251</v>
      </c>
      <c r="E161" s="175" t="s">
        <v>1798</v>
      </c>
      <c r="F161" s="185">
        <v>46074.0</v>
      </c>
      <c r="G161" s="185">
        <v>46438.0</v>
      </c>
      <c r="H161" s="175"/>
      <c r="I161" s="186"/>
      <c r="J161" s="154">
        <v>2000000.0</v>
      </c>
      <c r="K161" s="154">
        <v>520000.0</v>
      </c>
      <c r="L161" s="154">
        <v>50000.0</v>
      </c>
      <c r="M161" s="154">
        <f t="shared" si="8"/>
        <v>470000</v>
      </c>
      <c r="N161" s="154">
        <v>100000.0</v>
      </c>
      <c r="O161" s="175" t="s">
        <v>1799</v>
      </c>
      <c r="P161" s="175" t="s">
        <v>1800</v>
      </c>
      <c r="Q161" s="155" t="s">
        <v>1795</v>
      </c>
      <c r="R161" s="155" t="s">
        <v>1796</v>
      </c>
      <c r="S161" s="155" t="str">
        <f t="shared" si="5"/>
        <v>B) 1인실 복도방</v>
      </c>
      <c r="T161" s="155" t="s">
        <v>828</v>
      </c>
      <c r="U161" s="157" t="s">
        <v>1775</v>
      </c>
      <c r="V161" s="157" t="s">
        <v>1776</v>
      </c>
      <c r="W161" s="155" t="s">
        <v>1777</v>
      </c>
      <c r="X161" s="154">
        <f t="shared" si="9"/>
        <v>1500000</v>
      </c>
      <c r="Y161" s="177"/>
      <c r="Z161" s="177"/>
    </row>
    <row r="162" ht="16.5" customHeight="1">
      <c r="A162" s="178" t="s">
        <v>1694</v>
      </c>
      <c r="B162" s="178" t="s">
        <v>848</v>
      </c>
      <c r="C162" s="178" t="s">
        <v>1801</v>
      </c>
      <c r="D162" s="179" t="s">
        <v>1251</v>
      </c>
      <c r="E162" s="180" t="s">
        <v>1802</v>
      </c>
      <c r="F162" s="181">
        <v>45953.0</v>
      </c>
      <c r="G162" s="181">
        <v>46226.0</v>
      </c>
      <c r="H162" s="178"/>
      <c r="I162" s="178"/>
      <c r="J162" s="179">
        <v>2000000.0</v>
      </c>
      <c r="K162" s="179">
        <v>520000.0</v>
      </c>
      <c r="L162" s="179">
        <v>50000.0</v>
      </c>
      <c r="M162" s="179">
        <f t="shared" si="8"/>
        <v>470000</v>
      </c>
      <c r="N162" s="179">
        <v>100000.0</v>
      </c>
      <c r="O162" s="178" t="s">
        <v>1803</v>
      </c>
      <c r="P162" s="178" t="s">
        <v>1804</v>
      </c>
      <c r="Q162" s="180" t="s">
        <v>1795</v>
      </c>
      <c r="R162" s="180" t="s">
        <v>1796</v>
      </c>
      <c r="S162" s="180" t="str">
        <f t="shared" si="5"/>
        <v>C) 1인실 거실방 (베)</v>
      </c>
      <c r="T162" s="180" t="s">
        <v>828</v>
      </c>
      <c r="U162" s="180" t="s">
        <v>1775</v>
      </c>
      <c r="V162" s="180" t="s">
        <v>1776</v>
      </c>
      <c r="W162" s="180" t="s">
        <v>1777</v>
      </c>
      <c r="X162" s="179">
        <f t="shared" si="9"/>
        <v>1500000</v>
      </c>
      <c r="Y162" s="184"/>
      <c r="Z162" s="184"/>
    </row>
    <row r="163" ht="16.5" customHeight="1">
      <c r="A163" s="175" t="s">
        <v>1694</v>
      </c>
      <c r="B163" s="175" t="s">
        <v>848</v>
      </c>
      <c r="C163" s="175" t="s">
        <v>1805</v>
      </c>
      <c r="D163" s="154" t="s">
        <v>1265</v>
      </c>
      <c r="E163" s="155" t="s">
        <v>1806</v>
      </c>
      <c r="F163" s="185">
        <v>45896.0</v>
      </c>
      <c r="G163" s="185">
        <v>46209.0</v>
      </c>
      <c r="H163" s="175"/>
      <c r="I163" s="186"/>
      <c r="J163" s="154">
        <v>2000000.0</v>
      </c>
      <c r="K163" s="154">
        <v>420000.0</v>
      </c>
      <c r="L163" s="154">
        <v>-70000.0</v>
      </c>
      <c r="M163" s="154">
        <f t="shared" si="8"/>
        <v>490000</v>
      </c>
      <c r="N163" s="154">
        <v>100000.0</v>
      </c>
      <c r="O163" s="175" t="s">
        <v>1807</v>
      </c>
      <c r="P163" s="175" t="s">
        <v>1808</v>
      </c>
      <c r="Q163" s="155" t="s">
        <v>1795</v>
      </c>
      <c r="R163" s="155" t="s">
        <v>1796</v>
      </c>
      <c r="S163" s="155" t="str">
        <f t="shared" si="5"/>
        <v>D1) 2인실 왼</v>
      </c>
      <c r="T163" s="155" t="s">
        <v>828</v>
      </c>
      <c r="U163" s="157" t="s">
        <v>1775</v>
      </c>
      <c r="V163" s="157" t="s">
        <v>1776</v>
      </c>
      <c r="W163" s="155" t="s">
        <v>1777</v>
      </c>
      <c r="X163" s="154">
        <f t="shared" si="9"/>
        <v>1500000</v>
      </c>
      <c r="Y163" s="177"/>
      <c r="Z163" s="177" t="s">
        <v>1285</v>
      </c>
    </row>
    <row r="164">
      <c r="A164" s="187" t="s">
        <v>1694</v>
      </c>
      <c r="B164" s="187" t="s">
        <v>848</v>
      </c>
      <c r="C164" s="187" t="s">
        <v>1809</v>
      </c>
      <c r="D164" s="188" t="s">
        <v>1265</v>
      </c>
      <c r="E164" s="189" t="s">
        <v>1810</v>
      </c>
      <c r="F164" s="190">
        <v>46082.0</v>
      </c>
      <c r="G164" s="190">
        <v>46259.0</v>
      </c>
      <c r="H164" s="187"/>
      <c r="I164" s="225"/>
      <c r="J164" s="188">
        <v>2000000.0</v>
      </c>
      <c r="K164" s="188">
        <v>420000.0</v>
      </c>
      <c r="L164" s="188">
        <v>0.0</v>
      </c>
      <c r="M164" s="188">
        <f t="shared" si="8"/>
        <v>420000</v>
      </c>
      <c r="N164" s="188">
        <v>100000.0</v>
      </c>
      <c r="O164" s="187" t="s">
        <v>1811</v>
      </c>
      <c r="P164" s="187" t="s">
        <v>1812</v>
      </c>
      <c r="Q164" s="189" t="s">
        <v>1795</v>
      </c>
      <c r="R164" s="189" t="s">
        <v>1796</v>
      </c>
      <c r="S164" s="189" t="str">
        <f t="shared" si="5"/>
        <v>D2) 2인실 오</v>
      </c>
      <c r="T164" s="189" t="s">
        <v>828</v>
      </c>
      <c r="U164" s="195" t="s">
        <v>1775</v>
      </c>
      <c r="V164" s="195" t="s">
        <v>1776</v>
      </c>
      <c r="W164" s="189" t="s">
        <v>1777</v>
      </c>
      <c r="X164" s="179">
        <f t="shared" si="9"/>
        <v>1500000</v>
      </c>
      <c r="Y164" s="233"/>
      <c r="Z164" s="184"/>
    </row>
    <row r="165" ht="16.5" customHeight="1">
      <c r="A165" s="175" t="s">
        <v>1694</v>
      </c>
      <c r="B165" s="175" t="s">
        <v>1813</v>
      </c>
      <c r="C165" s="175" t="s">
        <v>1814</v>
      </c>
      <c r="D165" s="154" t="s">
        <v>1251</v>
      </c>
      <c r="E165" s="155" t="s">
        <v>1815</v>
      </c>
      <c r="F165" s="185">
        <v>46079.0</v>
      </c>
      <c r="G165" s="185">
        <v>46259.0</v>
      </c>
      <c r="H165" s="175"/>
      <c r="I165" s="186"/>
      <c r="J165" s="154">
        <v>2000000.0</v>
      </c>
      <c r="K165" s="154">
        <v>570000.0</v>
      </c>
      <c r="L165" s="154">
        <v>0.0</v>
      </c>
      <c r="M165" s="154">
        <f t="shared" si="8"/>
        <v>570000</v>
      </c>
      <c r="N165" s="154">
        <v>100000.0</v>
      </c>
      <c r="O165" s="175" t="s">
        <v>1816</v>
      </c>
      <c r="P165" s="175" t="s">
        <v>1817</v>
      </c>
      <c r="Q165" s="155" t="s">
        <v>1818</v>
      </c>
      <c r="R165" s="155" t="s">
        <v>1819</v>
      </c>
      <c r="S165" s="155" t="str">
        <f t="shared" si="5"/>
        <v>A) 1인실 입구방</v>
      </c>
      <c r="T165" s="155" t="s">
        <v>216</v>
      </c>
      <c r="U165" s="155" t="s">
        <v>1421</v>
      </c>
      <c r="V165" s="157" t="s">
        <v>1352</v>
      </c>
      <c r="W165" s="155" t="s">
        <v>1353</v>
      </c>
      <c r="X165" s="154">
        <f t="shared" si="9"/>
        <v>1500000</v>
      </c>
      <c r="Y165" s="177"/>
      <c r="Z165" s="177"/>
    </row>
    <row r="166" ht="16.5" customHeight="1">
      <c r="A166" s="178" t="s">
        <v>1694</v>
      </c>
      <c r="B166" s="178" t="s">
        <v>1813</v>
      </c>
      <c r="C166" s="178" t="s">
        <v>1820</v>
      </c>
      <c r="D166" s="179" t="s">
        <v>1251</v>
      </c>
      <c r="E166" s="180" t="s">
        <v>1821</v>
      </c>
      <c r="F166" s="181">
        <v>46046.0</v>
      </c>
      <c r="G166" s="181">
        <v>46410.0</v>
      </c>
      <c r="H166" s="178"/>
      <c r="I166" s="178"/>
      <c r="J166" s="179">
        <v>2000000.0</v>
      </c>
      <c r="K166" s="179">
        <v>500000.0</v>
      </c>
      <c r="L166" s="179">
        <v>30000.0</v>
      </c>
      <c r="M166" s="179">
        <f t="shared" si="8"/>
        <v>470000</v>
      </c>
      <c r="N166" s="179">
        <v>100000.0</v>
      </c>
      <c r="O166" s="178" t="s">
        <v>1822</v>
      </c>
      <c r="P166" s="178" t="s">
        <v>1823</v>
      </c>
      <c r="Q166" s="180" t="s">
        <v>1818</v>
      </c>
      <c r="R166" s="180" t="s">
        <v>1819</v>
      </c>
      <c r="S166" s="180" t="str">
        <f t="shared" si="5"/>
        <v>B) 1인실 거실방</v>
      </c>
      <c r="T166" s="180" t="s">
        <v>216</v>
      </c>
      <c r="U166" s="180" t="s">
        <v>1421</v>
      </c>
      <c r="V166" s="180" t="s">
        <v>1352</v>
      </c>
      <c r="W166" s="180" t="s">
        <v>1353</v>
      </c>
      <c r="X166" s="179">
        <f t="shared" si="9"/>
        <v>1500000</v>
      </c>
      <c r="Y166" s="184"/>
      <c r="Z166" s="184"/>
    </row>
    <row r="167" ht="16.5" customHeight="1">
      <c r="A167" s="175" t="s">
        <v>1694</v>
      </c>
      <c r="B167" s="175" t="s">
        <v>1813</v>
      </c>
      <c r="C167" s="175" t="s">
        <v>1824</v>
      </c>
      <c r="D167" s="154" t="s">
        <v>1251</v>
      </c>
      <c r="E167" s="155" t="s">
        <v>1825</v>
      </c>
      <c r="F167" s="185">
        <v>46077.0</v>
      </c>
      <c r="G167" s="185">
        <v>46443.0</v>
      </c>
      <c r="H167" s="175"/>
      <c r="I167" s="186"/>
      <c r="J167" s="154">
        <v>2000000.0</v>
      </c>
      <c r="K167" s="154">
        <v>520000.0</v>
      </c>
      <c r="L167" s="154">
        <v>50000.0</v>
      </c>
      <c r="M167" s="154">
        <f t="shared" si="8"/>
        <v>470000</v>
      </c>
      <c r="N167" s="154">
        <v>100000.0</v>
      </c>
      <c r="O167" s="175" t="s">
        <v>1826</v>
      </c>
      <c r="P167" s="175" t="s">
        <v>1827</v>
      </c>
      <c r="Q167" s="155" t="s">
        <v>1818</v>
      </c>
      <c r="R167" s="155" t="s">
        <v>1819</v>
      </c>
      <c r="S167" s="155" t="str">
        <f t="shared" si="5"/>
        <v>C) 1인실 주방옆방</v>
      </c>
      <c r="T167" s="155" t="s">
        <v>216</v>
      </c>
      <c r="U167" s="155" t="s">
        <v>1421</v>
      </c>
      <c r="V167" s="157" t="s">
        <v>1352</v>
      </c>
      <c r="W167" s="155" t="s">
        <v>1353</v>
      </c>
      <c r="X167" s="154">
        <f t="shared" si="9"/>
        <v>1500000</v>
      </c>
      <c r="Y167" s="177"/>
      <c r="Z167" s="177"/>
    </row>
    <row r="168">
      <c r="A168" s="187" t="s">
        <v>1694</v>
      </c>
      <c r="B168" s="187" t="s">
        <v>1813</v>
      </c>
      <c r="C168" s="187" t="s">
        <v>1828</v>
      </c>
      <c r="D168" s="188" t="s">
        <v>1251</v>
      </c>
      <c r="E168" s="189" t="s">
        <v>1829</v>
      </c>
      <c r="F168" s="190">
        <v>46054.0</v>
      </c>
      <c r="G168" s="190">
        <v>46234.0</v>
      </c>
      <c r="H168" s="187"/>
      <c r="I168" s="225"/>
      <c r="J168" s="188">
        <v>2000000.0</v>
      </c>
      <c r="K168" s="188">
        <v>550000.0</v>
      </c>
      <c r="L168" s="188">
        <v>0.0</v>
      </c>
      <c r="M168" s="188">
        <f t="shared" si="8"/>
        <v>550000</v>
      </c>
      <c r="N168" s="188">
        <v>100000.0</v>
      </c>
      <c r="O168" s="187" t="s">
        <v>1830</v>
      </c>
      <c r="P168" s="187" t="s">
        <v>1831</v>
      </c>
      <c r="Q168" s="189" t="s">
        <v>1818</v>
      </c>
      <c r="R168" s="189" t="s">
        <v>1819</v>
      </c>
      <c r="S168" s="189" t="str">
        <f t="shared" si="5"/>
        <v>D) 1인실 베란다방</v>
      </c>
      <c r="T168" s="189" t="s">
        <v>216</v>
      </c>
      <c r="U168" s="189" t="s">
        <v>1421</v>
      </c>
      <c r="V168" s="195" t="s">
        <v>1352</v>
      </c>
      <c r="W168" s="189" t="s">
        <v>1353</v>
      </c>
      <c r="X168" s="179">
        <f t="shared" si="9"/>
        <v>1500000</v>
      </c>
      <c r="Y168" s="233"/>
      <c r="Z168" s="184"/>
    </row>
    <row r="169" ht="16.5" customHeight="1">
      <c r="A169" s="270" t="s">
        <v>1832</v>
      </c>
      <c r="B169" s="270" t="s">
        <v>888</v>
      </c>
      <c r="C169" s="270" t="s">
        <v>893</v>
      </c>
      <c r="D169" s="271" t="s">
        <v>1251</v>
      </c>
      <c r="E169" s="272" t="s">
        <v>1833</v>
      </c>
      <c r="F169" s="273"/>
      <c r="G169" s="273"/>
      <c r="H169" s="270"/>
      <c r="I169" s="274"/>
      <c r="J169" s="271"/>
      <c r="K169" s="271">
        <v>460000.0</v>
      </c>
      <c r="L169" s="271">
        <v>0.0</v>
      </c>
      <c r="M169" s="271">
        <f t="shared" si="8"/>
        <v>460000</v>
      </c>
      <c r="N169" s="271">
        <v>80000.0</v>
      </c>
      <c r="O169" s="270">
        <v>861107.0</v>
      </c>
      <c r="P169" s="270" t="s">
        <v>1834</v>
      </c>
      <c r="Q169" s="155" t="s">
        <v>1835</v>
      </c>
      <c r="R169" s="155" t="s">
        <v>1836</v>
      </c>
      <c r="S169" s="155" t="str">
        <f t="shared" si="5"/>
        <v>B 1인실 (복도쪽)</v>
      </c>
      <c r="T169" s="155" t="s">
        <v>33</v>
      </c>
      <c r="U169" s="157" t="s">
        <v>1687</v>
      </c>
      <c r="V169" s="157" t="s">
        <v>1257</v>
      </c>
      <c r="W169" s="193" t="s">
        <v>1258</v>
      </c>
      <c r="X169" s="154">
        <f t="shared" si="9"/>
        <v>-500000</v>
      </c>
      <c r="Y169" s="177" t="s">
        <v>1259</v>
      </c>
      <c r="Z169" s="177"/>
    </row>
    <row r="170" ht="16.5" customHeight="1">
      <c r="A170" s="270" t="s">
        <v>1832</v>
      </c>
      <c r="B170" s="270" t="s">
        <v>888</v>
      </c>
      <c r="C170" s="270" t="s">
        <v>894</v>
      </c>
      <c r="D170" s="271" t="s">
        <v>1251</v>
      </c>
      <c r="E170" s="272" t="s">
        <v>1833</v>
      </c>
      <c r="F170" s="273"/>
      <c r="G170" s="273"/>
      <c r="H170" s="270"/>
      <c r="I170" s="274"/>
      <c r="J170" s="271"/>
      <c r="K170" s="271">
        <v>580000.0</v>
      </c>
      <c r="L170" s="271">
        <v>0.0</v>
      </c>
      <c r="M170" s="271">
        <f t="shared" si="8"/>
        <v>580000</v>
      </c>
      <c r="N170" s="271">
        <v>80000.0</v>
      </c>
      <c r="O170" s="270" t="s">
        <v>1837</v>
      </c>
      <c r="P170" s="270" t="s">
        <v>1838</v>
      </c>
      <c r="Q170" s="180" t="s">
        <v>1835</v>
      </c>
      <c r="R170" s="180" t="s">
        <v>1836</v>
      </c>
      <c r="S170" s="180" t="str">
        <f t="shared" si="5"/>
        <v>C 1인실 (가운데)</v>
      </c>
      <c r="T170" s="180" t="s">
        <v>33</v>
      </c>
      <c r="U170" s="194" t="s">
        <v>1687</v>
      </c>
      <c r="V170" s="194" t="s">
        <v>1257</v>
      </c>
      <c r="W170" s="223" t="s">
        <v>1258</v>
      </c>
      <c r="X170" s="179">
        <f t="shared" si="9"/>
        <v>-500000</v>
      </c>
      <c r="Y170" s="184" t="s">
        <v>1259</v>
      </c>
      <c r="Z170" s="184"/>
    </row>
    <row r="171" ht="16.5" customHeight="1">
      <c r="A171" s="275" t="s">
        <v>1832</v>
      </c>
      <c r="B171" s="275" t="s">
        <v>888</v>
      </c>
      <c r="C171" s="275" t="s">
        <v>1839</v>
      </c>
      <c r="D171" s="276" t="s">
        <v>1251</v>
      </c>
      <c r="E171" s="277"/>
      <c r="F171" s="278"/>
      <c r="G171" s="278"/>
      <c r="H171" s="275"/>
      <c r="I171" s="277"/>
      <c r="J171" s="276"/>
      <c r="K171" s="276"/>
      <c r="L171" s="276">
        <v>0.0</v>
      </c>
      <c r="M171" s="276">
        <f t="shared" si="8"/>
        <v>0</v>
      </c>
      <c r="N171" s="276"/>
      <c r="O171" s="275"/>
      <c r="P171" s="275"/>
      <c r="Q171" s="211" t="s">
        <v>1835</v>
      </c>
      <c r="R171" s="211" t="s">
        <v>1836</v>
      </c>
      <c r="S171" s="211" t="str">
        <f t="shared" si="5"/>
        <v>2인실 &gt; 1인실로 변경</v>
      </c>
      <c r="T171" s="211" t="s">
        <v>33</v>
      </c>
      <c r="U171" s="214" t="s">
        <v>1687</v>
      </c>
      <c r="V171" s="214" t="s">
        <v>1257</v>
      </c>
      <c r="W171" s="269" t="s">
        <v>1258</v>
      </c>
      <c r="X171" s="154">
        <f t="shared" si="9"/>
        <v>-500000</v>
      </c>
      <c r="Y171" s="177" t="s">
        <v>1259</v>
      </c>
      <c r="Z171" s="177"/>
    </row>
    <row r="172" ht="16.5" customHeight="1">
      <c r="A172" s="178" t="s">
        <v>1832</v>
      </c>
      <c r="B172" s="178" t="s">
        <v>897</v>
      </c>
      <c r="C172" s="178" t="s">
        <v>898</v>
      </c>
      <c r="D172" s="179" t="s">
        <v>1251</v>
      </c>
      <c r="E172" s="180" t="s">
        <v>899</v>
      </c>
      <c r="F172" s="181">
        <v>46069.0</v>
      </c>
      <c r="G172" s="181">
        <v>46173.0</v>
      </c>
      <c r="H172" s="178"/>
      <c r="I172" s="230"/>
      <c r="J172" s="179">
        <v>2000000.0</v>
      </c>
      <c r="K172" s="179">
        <v>590000.0</v>
      </c>
      <c r="L172" s="179">
        <v>0.0</v>
      </c>
      <c r="M172" s="179">
        <f t="shared" si="8"/>
        <v>590000</v>
      </c>
      <c r="N172" s="179">
        <v>100000.0</v>
      </c>
      <c r="O172" s="178" t="s">
        <v>1840</v>
      </c>
      <c r="P172" s="178" t="s">
        <v>1841</v>
      </c>
      <c r="Q172" s="180" t="s">
        <v>1842</v>
      </c>
      <c r="R172" s="180" t="s">
        <v>1843</v>
      </c>
      <c r="S172" s="180" t="str">
        <f t="shared" si="5"/>
        <v>A-1) 주방</v>
      </c>
      <c r="T172" s="180" t="s">
        <v>33</v>
      </c>
      <c r="U172" s="194" t="s">
        <v>1687</v>
      </c>
      <c r="V172" s="194" t="s">
        <v>1257</v>
      </c>
      <c r="W172" s="180" t="s">
        <v>1258</v>
      </c>
      <c r="X172" s="179">
        <f t="shared" si="9"/>
        <v>1500000</v>
      </c>
      <c r="Y172" s="184" t="s">
        <v>1259</v>
      </c>
      <c r="Z172" s="184"/>
    </row>
    <row r="173" ht="16.5" customHeight="1">
      <c r="A173" s="175" t="s">
        <v>1832</v>
      </c>
      <c r="B173" s="175" t="s">
        <v>897</v>
      </c>
      <c r="C173" s="175" t="s">
        <v>614</v>
      </c>
      <c r="D173" s="154" t="s">
        <v>1251</v>
      </c>
      <c r="E173" s="155" t="s">
        <v>1844</v>
      </c>
      <c r="F173" s="185">
        <v>46082.0</v>
      </c>
      <c r="G173" s="185">
        <v>46387.0</v>
      </c>
      <c r="H173" s="175"/>
      <c r="I173" s="186"/>
      <c r="J173" s="154">
        <v>2000000.0</v>
      </c>
      <c r="K173" s="154">
        <v>560000.0</v>
      </c>
      <c r="L173" s="154">
        <v>50000.0</v>
      </c>
      <c r="M173" s="154">
        <f t="shared" si="8"/>
        <v>510000</v>
      </c>
      <c r="N173" s="154">
        <v>100000.0</v>
      </c>
      <c r="O173" s="175" t="s">
        <v>1845</v>
      </c>
      <c r="P173" s="175" t="s">
        <v>1846</v>
      </c>
      <c r="Q173" s="155" t="s">
        <v>1842</v>
      </c>
      <c r="R173" s="155" t="s">
        <v>1843</v>
      </c>
      <c r="S173" s="155" t="str">
        <f t="shared" si="5"/>
        <v>B-1) 거실 왼</v>
      </c>
      <c r="T173" s="155" t="s">
        <v>33</v>
      </c>
      <c r="U173" s="157" t="s">
        <v>1687</v>
      </c>
      <c r="V173" s="157" t="s">
        <v>1257</v>
      </c>
      <c r="W173" s="155" t="s">
        <v>1258</v>
      </c>
      <c r="X173" s="154">
        <f t="shared" si="9"/>
        <v>1500000</v>
      </c>
      <c r="Y173" s="177" t="s">
        <v>1259</v>
      </c>
      <c r="Z173" s="177"/>
    </row>
    <row r="174" ht="16.5" customHeight="1">
      <c r="A174" s="178" t="s">
        <v>1832</v>
      </c>
      <c r="B174" s="178" t="s">
        <v>897</v>
      </c>
      <c r="C174" s="178" t="s">
        <v>909</v>
      </c>
      <c r="D174" s="179" t="s">
        <v>1265</v>
      </c>
      <c r="E174" s="180" t="s">
        <v>1847</v>
      </c>
      <c r="F174" s="181">
        <v>46079.0</v>
      </c>
      <c r="G174" s="181">
        <v>46443.0</v>
      </c>
      <c r="H174" s="178"/>
      <c r="I174" s="230"/>
      <c r="J174" s="179">
        <v>1000000.0</v>
      </c>
      <c r="K174" s="179">
        <v>450000.0</v>
      </c>
      <c r="L174" s="179">
        <v>0.0</v>
      </c>
      <c r="M174" s="179">
        <f t="shared" si="8"/>
        <v>450000</v>
      </c>
      <c r="N174" s="179">
        <v>100000.0</v>
      </c>
      <c r="O174" s="178" t="s">
        <v>1848</v>
      </c>
      <c r="P174" s="178" t="s">
        <v>1849</v>
      </c>
      <c r="Q174" s="180" t="s">
        <v>1842</v>
      </c>
      <c r="R174" s="180" t="s">
        <v>1843</v>
      </c>
      <c r="S174" s="180" t="str">
        <f t="shared" si="5"/>
        <v>C-1) 2인실 왼</v>
      </c>
      <c r="T174" s="180" t="s">
        <v>33</v>
      </c>
      <c r="U174" s="194" t="s">
        <v>1687</v>
      </c>
      <c r="V174" s="194" t="s">
        <v>1257</v>
      </c>
      <c r="W174" s="180" t="s">
        <v>1258</v>
      </c>
      <c r="X174" s="179">
        <f t="shared" si="9"/>
        <v>500000</v>
      </c>
      <c r="Y174" s="184" t="s">
        <v>1259</v>
      </c>
      <c r="Z174" s="184"/>
    </row>
    <row r="175" ht="16.5" customHeight="1">
      <c r="A175" s="209" t="s">
        <v>1832</v>
      </c>
      <c r="B175" s="209" t="s">
        <v>897</v>
      </c>
      <c r="C175" s="209" t="s">
        <v>316</v>
      </c>
      <c r="D175" s="210" t="s">
        <v>1265</v>
      </c>
      <c r="E175" s="211" t="s">
        <v>915</v>
      </c>
      <c r="F175" s="212">
        <v>46079.0</v>
      </c>
      <c r="G175" s="212">
        <v>46443.0</v>
      </c>
      <c r="H175" s="209"/>
      <c r="I175" s="209"/>
      <c r="J175" s="210">
        <v>1000000.0</v>
      </c>
      <c r="K175" s="210">
        <v>450000.0</v>
      </c>
      <c r="L175" s="210">
        <v>-10000.0</v>
      </c>
      <c r="M175" s="210">
        <f t="shared" si="8"/>
        <v>460000</v>
      </c>
      <c r="N175" s="210">
        <v>100000.0</v>
      </c>
      <c r="O175" s="209" t="s">
        <v>1850</v>
      </c>
      <c r="P175" s="209" t="s">
        <v>1851</v>
      </c>
      <c r="Q175" s="211" t="s">
        <v>1842</v>
      </c>
      <c r="R175" s="211" t="s">
        <v>1843</v>
      </c>
      <c r="S175" s="211" t="str">
        <f t="shared" si="5"/>
        <v>C-2) 2인실 오</v>
      </c>
      <c r="T175" s="211" t="s">
        <v>33</v>
      </c>
      <c r="U175" s="214" t="s">
        <v>1687</v>
      </c>
      <c r="V175" s="214" t="s">
        <v>1257</v>
      </c>
      <c r="W175" s="211" t="s">
        <v>1258</v>
      </c>
      <c r="X175" s="154">
        <f t="shared" si="9"/>
        <v>500000</v>
      </c>
      <c r="Y175" s="177" t="s">
        <v>1259</v>
      </c>
      <c r="Z175" s="177"/>
    </row>
    <row r="176" ht="16.5" customHeight="1">
      <c r="A176" s="178" t="s">
        <v>1832</v>
      </c>
      <c r="B176" s="178" t="s">
        <v>918</v>
      </c>
      <c r="C176" s="178" t="s">
        <v>919</v>
      </c>
      <c r="D176" s="179" t="s">
        <v>1251</v>
      </c>
      <c r="E176" s="180" t="s">
        <v>1852</v>
      </c>
      <c r="F176" s="181">
        <v>46087.0</v>
      </c>
      <c r="G176" s="181">
        <v>46209.0</v>
      </c>
      <c r="H176" s="180"/>
      <c r="I176" s="183"/>
      <c r="J176" s="179">
        <v>2000000.0</v>
      </c>
      <c r="K176" s="179">
        <v>560000.0</v>
      </c>
      <c r="L176" s="179">
        <v>10000.0</v>
      </c>
      <c r="M176" s="179">
        <f t="shared" si="8"/>
        <v>550000</v>
      </c>
      <c r="N176" s="179">
        <v>100000.0</v>
      </c>
      <c r="O176" s="178" t="s">
        <v>1853</v>
      </c>
      <c r="P176" s="178" t="s">
        <v>1854</v>
      </c>
      <c r="Q176" s="180" t="s">
        <v>1855</v>
      </c>
      <c r="R176" s="180" t="s">
        <v>1856</v>
      </c>
      <c r="S176" s="180" t="str">
        <f t="shared" si="5"/>
        <v>A-1) 주방쪽</v>
      </c>
      <c r="T176" s="180" t="s">
        <v>33</v>
      </c>
      <c r="U176" s="194" t="s">
        <v>1687</v>
      </c>
      <c r="V176" s="194" t="s">
        <v>1257</v>
      </c>
      <c r="W176" s="223" t="s">
        <v>1258</v>
      </c>
      <c r="X176" s="179">
        <f t="shared" si="9"/>
        <v>1500000</v>
      </c>
      <c r="Y176" s="184" t="s">
        <v>1259</v>
      </c>
      <c r="Z176" s="184"/>
    </row>
    <row r="177" ht="16.5" customHeight="1">
      <c r="A177" s="175" t="s">
        <v>1832</v>
      </c>
      <c r="B177" s="175" t="s">
        <v>918</v>
      </c>
      <c r="C177" s="175" t="s">
        <v>925</v>
      </c>
      <c r="D177" s="154" t="s">
        <v>1251</v>
      </c>
      <c r="E177" s="155" t="s">
        <v>1857</v>
      </c>
      <c r="F177" s="185">
        <v>46079.0</v>
      </c>
      <c r="G177" s="185">
        <v>46443.0</v>
      </c>
      <c r="H177" s="175"/>
      <c r="I177" s="186"/>
      <c r="J177" s="154">
        <v>2000000.0</v>
      </c>
      <c r="K177" s="154">
        <v>550000.0</v>
      </c>
      <c r="L177" s="154">
        <v>0.0</v>
      </c>
      <c r="M177" s="154">
        <f t="shared" si="8"/>
        <v>550000</v>
      </c>
      <c r="N177" s="154">
        <v>100000.0</v>
      </c>
      <c r="O177" s="175" t="s">
        <v>1858</v>
      </c>
      <c r="P177" s="175" t="s">
        <v>1859</v>
      </c>
      <c r="Q177" s="155" t="s">
        <v>1855</v>
      </c>
      <c r="R177" s="155" t="s">
        <v>1856</v>
      </c>
      <c r="S177" s="155" t="str">
        <f t="shared" si="5"/>
        <v>B-1) 거실쪽</v>
      </c>
      <c r="T177" s="155" t="s">
        <v>33</v>
      </c>
      <c r="U177" s="157" t="s">
        <v>1687</v>
      </c>
      <c r="V177" s="157" t="s">
        <v>1257</v>
      </c>
      <c r="W177" s="193" t="s">
        <v>1258</v>
      </c>
      <c r="X177" s="154">
        <f t="shared" si="9"/>
        <v>1500000</v>
      </c>
      <c r="Y177" s="177" t="s">
        <v>1259</v>
      </c>
      <c r="Z177" s="177"/>
    </row>
    <row r="178" ht="16.5" customHeight="1">
      <c r="A178" s="178" t="s">
        <v>1832</v>
      </c>
      <c r="B178" s="178" t="s">
        <v>918</v>
      </c>
      <c r="C178" s="178" t="s">
        <v>909</v>
      </c>
      <c r="D178" s="179" t="s">
        <v>1265</v>
      </c>
      <c r="E178" s="180" t="s">
        <v>910</v>
      </c>
      <c r="F178" s="181">
        <v>46079.0</v>
      </c>
      <c r="G178" s="181">
        <v>46443.0</v>
      </c>
      <c r="H178" s="178"/>
      <c r="I178" s="183"/>
      <c r="J178" s="179">
        <v>1000000.0</v>
      </c>
      <c r="K178" s="179">
        <v>420000.0</v>
      </c>
      <c r="L178" s="179">
        <v>50000.0</v>
      </c>
      <c r="M178" s="179">
        <f t="shared" si="8"/>
        <v>370000</v>
      </c>
      <c r="N178" s="179">
        <v>100000.0</v>
      </c>
      <c r="O178" s="178" t="s">
        <v>1860</v>
      </c>
      <c r="P178" s="178" t="s">
        <v>1861</v>
      </c>
      <c r="Q178" s="180" t="s">
        <v>1855</v>
      </c>
      <c r="R178" s="180" t="s">
        <v>1856</v>
      </c>
      <c r="S178" s="180" t="str">
        <f t="shared" si="5"/>
        <v>C-1) 2인실 왼</v>
      </c>
      <c r="T178" s="180" t="s">
        <v>33</v>
      </c>
      <c r="U178" s="194" t="s">
        <v>1687</v>
      </c>
      <c r="V178" s="194" t="s">
        <v>1257</v>
      </c>
      <c r="W178" s="223" t="s">
        <v>1258</v>
      </c>
      <c r="X178" s="179">
        <f t="shared" si="9"/>
        <v>500000</v>
      </c>
      <c r="Y178" s="184" t="s">
        <v>1259</v>
      </c>
      <c r="Z178" s="184"/>
    </row>
    <row r="179" ht="16.5" customHeight="1">
      <c r="A179" s="209" t="s">
        <v>1832</v>
      </c>
      <c r="B179" s="209" t="s">
        <v>918</v>
      </c>
      <c r="C179" s="209" t="s">
        <v>316</v>
      </c>
      <c r="D179" s="210" t="s">
        <v>1265</v>
      </c>
      <c r="E179" s="211" t="s">
        <v>1862</v>
      </c>
      <c r="F179" s="212">
        <v>45931.0</v>
      </c>
      <c r="G179" s="212">
        <v>46295.0</v>
      </c>
      <c r="H179" s="209"/>
      <c r="I179" s="213"/>
      <c r="J179" s="210">
        <v>2000000.0</v>
      </c>
      <c r="K179" s="210">
        <v>420000.0</v>
      </c>
      <c r="L179" s="210">
        <v>50000.0</v>
      </c>
      <c r="M179" s="210">
        <f t="shared" si="8"/>
        <v>370000</v>
      </c>
      <c r="N179" s="210">
        <v>100000.0</v>
      </c>
      <c r="O179" s="200" t="s">
        <v>1863</v>
      </c>
      <c r="P179" s="200" t="s">
        <v>1864</v>
      </c>
      <c r="Q179" s="211" t="s">
        <v>1855</v>
      </c>
      <c r="R179" s="211" t="s">
        <v>1856</v>
      </c>
      <c r="S179" s="211" t="str">
        <f t="shared" si="5"/>
        <v>C-2) 2인실 오</v>
      </c>
      <c r="T179" s="211" t="s">
        <v>33</v>
      </c>
      <c r="U179" s="214" t="s">
        <v>1687</v>
      </c>
      <c r="V179" s="214" t="s">
        <v>1257</v>
      </c>
      <c r="W179" s="269" t="s">
        <v>1258</v>
      </c>
      <c r="X179" s="154">
        <f t="shared" si="9"/>
        <v>1500000</v>
      </c>
      <c r="Y179" s="177" t="s">
        <v>1259</v>
      </c>
      <c r="Z179" s="177"/>
    </row>
    <row r="180" ht="16.5" customHeight="1">
      <c r="A180" s="178" t="s">
        <v>1832</v>
      </c>
      <c r="B180" s="178" t="s">
        <v>945</v>
      </c>
      <c r="C180" s="178" t="s">
        <v>946</v>
      </c>
      <c r="D180" s="179" t="s">
        <v>1251</v>
      </c>
      <c r="E180" s="180" t="s">
        <v>952</v>
      </c>
      <c r="F180" s="181">
        <v>46079.0</v>
      </c>
      <c r="G180" s="181">
        <v>46259.0</v>
      </c>
      <c r="H180" s="182" t="s">
        <v>1865</v>
      </c>
      <c r="I180" s="183"/>
      <c r="J180" s="179">
        <v>2000000.0</v>
      </c>
      <c r="K180" s="179">
        <v>520000.0</v>
      </c>
      <c r="L180" s="179">
        <v>0.0</v>
      </c>
      <c r="M180" s="179">
        <f t="shared" si="8"/>
        <v>520000</v>
      </c>
      <c r="N180" s="179">
        <v>100000.0</v>
      </c>
      <c r="O180" s="178" t="s">
        <v>1866</v>
      </c>
      <c r="P180" s="178"/>
      <c r="Q180" s="180" t="s">
        <v>1867</v>
      </c>
      <c r="R180" s="180" t="s">
        <v>1868</v>
      </c>
      <c r="S180" s="180" t="str">
        <f t="shared" si="5"/>
        <v>A-1) 화장실 오른쪽</v>
      </c>
      <c r="T180" s="180" t="s">
        <v>953</v>
      </c>
      <c r="U180" s="194" t="s">
        <v>1869</v>
      </c>
      <c r="V180" s="194" t="s">
        <v>1870</v>
      </c>
      <c r="W180" s="180" t="s">
        <v>1871</v>
      </c>
      <c r="X180" s="179">
        <f t="shared" si="9"/>
        <v>1500000</v>
      </c>
      <c r="Y180" s="184"/>
      <c r="Z180" s="184"/>
    </row>
    <row r="181" ht="16.5" customHeight="1">
      <c r="A181" s="175" t="s">
        <v>1832</v>
      </c>
      <c r="B181" s="175" t="s">
        <v>945</v>
      </c>
      <c r="C181" s="175" t="s">
        <v>954</v>
      </c>
      <c r="D181" s="154" t="s">
        <v>1251</v>
      </c>
      <c r="E181" s="155" t="s">
        <v>1872</v>
      </c>
      <c r="F181" s="185">
        <v>46082.0</v>
      </c>
      <c r="G181" s="185">
        <v>46259.0</v>
      </c>
      <c r="H181" s="175"/>
      <c r="I181" s="186"/>
      <c r="J181" s="154">
        <v>2000000.0</v>
      </c>
      <c r="K181" s="154">
        <v>520000.0</v>
      </c>
      <c r="L181" s="154">
        <v>20000.0</v>
      </c>
      <c r="M181" s="154">
        <f t="shared" si="8"/>
        <v>500000</v>
      </c>
      <c r="N181" s="154">
        <v>100000.0</v>
      </c>
      <c r="O181" s="175" t="s">
        <v>1873</v>
      </c>
      <c r="P181" s="175" t="s">
        <v>1874</v>
      </c>
      <c r="Q181" s="155" t="s">
        <v>1867</v>
      </c>
      <c r="R181" s="155" t="s">
        <v>1868</v>
      </c>
      <c r="S181" s="155" t="str">
        <f t="shared" si="5"/>
        <v>B-1) 입구쪽</v>
      </c>
      <c r="T181" s="155" t="s">
        <v>953</v>
      </c>
      <c r="U181" s="157" t="s">
        <v>1869</v>
      </c>
      <c r="V181" s="157" t="s">
        <v>1870</v>
      </c>
      <c r="W181" s="155" t="s">
        <v>1871</v>
      </c>
      <c r="X181" s="154">
        <f t="shared" si="9"/>
        <v>1500000</v>
      </c>
      <c r="Y181" s="177"/>
      <c r="Z181" s="177"/>
    </row>
    <row r="182" ht="16.5" customHeight="1">
      <c r="A182" s="178" t="s">
        <v>1832</v>
      </c>
      <c r="B182" s="178" t="s">
        <v>945</v>
      </c>
      <c r="C182" s="178" t="s">
        <v>909</v>
      </c>
      <c r="D182" s="179" t="s">
        <v>1265</v>
      </c>
      <c r="E182" s="180" t="s">
        <v>1216</v>
      </c>
      <c r="F182" s="181">
        <v>46163.0</v>
      </c>
      <c r="G182" s="181">
        <v>46538.0</v>
      </c>
      <c r="H182" s="178"/>
      <c r="I182" s="178"/>
      <c r="J182" s="179">
        <v>2000000.0</v>
      </c>
      <c r="K182" s="179">
        <v>420000.0</v>
      </c>
      <c r="L182" s="179">
        <v>50000.0</v>
      </c>
      <c r="M182" s="179">
        <f t="shared" si="8"/>
        <v>370000</v>
      </c>
      <c r="N182" s="179">
        <v>100000.0</v>
      </c>
      <c r="O182" s="178" t="s">
        <v>1875</v>
      </c>
      <c r="P182" s="178" t="s">
        <v>1876</v>
      </c>
      <c r="Q182" s="180" t="s">
        <v>1867</v>
      </c>
      <c r="R182" s="180" t="s">
        <v>1868</v>
      </c>
      <c r="S182" s="180" t="str">
        <f t="shared" si="5"/>
        <v>C-1) 2인실 왼</v>
      </c>
      <c r="T182" s="180" t="s">
        <v>953</v>
      </c>
      <c r="U182" s="194" t="s">
        <v>1869</v>
      </c>
      <c r="V182" s="194" t="s">
        <v>1870</v>
      </c>
      <c r="W182" s="180" t="s">
        <v>1871</v>
      </c>
      <c r="X182" s="179">
        <f t="shared" si="9"/>
        <v>1500000</v>
      </c>
      <c r="Y182" s="184"/>
      <c r="Z182" s="184"/>
    </row>
    <row r="183" ht="16.5" customHeight="1">
      <c r="A183" s="209" t="s">
        <v>1832</v>
      </c>
      <c r="B183" s="209" t="s">
        <v>945</v>
      </c>
      <c r="C183" s="209" t="s">
        <v>316</v>
      </c>
      <c r="D183" s="210" t="s">
        <v>1265</v>
      </c>
      <c r="E183" s="211" t="s">
        <v>828</v>
      </c>
      <c r="F183" s="212">
        <v>46096.0</v>
      </c>
      <c r="G183" s="212">
        <v>46460.0</v>
      </c>
      <c r="H183" s="209"/>
      <c r="I183" s="213"/>
      <c r="J183" s="210">
        <v>2000000.0</v>
      </c>
      <c r="K183" s="210">
        <v>420000.0</v>
      </c>
      <c r="L183" s="210">
        <v>30000.0</v>
      </c>
      <c r="M183" s="210">
        <f t="shared" si="8"/>
        <v>390000</v>
      </c>
      <c r="N183" s="210">
        <v>100000.0</v>
      </c>
      <c r="O183" s="209" t="s">
        <v>1877</v>
      </c>
      <c r="P183" s="209" t="s">
        <v>1878</v>
      </c>
      <c r="Q183" s="211" t="s">
        <v>1867</v>
      </c>
      <c r="R183" s="211" t="s">
        <v>1868</v>
      </c>
      <c r="S183" s="211" t="str">
        <f t="shared" si="5"/>
        <v>C-2) 2인실 오</v>
      </c>
      <c r="T183" s="211" t="s">
        <v>953</v>
      </c>
      <c r="U183" s="214" t="s">
        <v>1869</v>
      </c>
      <c r="V183" s="214" t="s">
        <v>1870</v>
      </c>
      <c r="W183" s="211" t="s">
        <v>1871</v>
      </c>
      <c r="X183" s="154">
        <f t="shared" si="9"/>
        <v>1500000</v>
      </c>
      <c r="Y183" s="177"/>
      <c r="Z183" s="177"/>
    </row>
    <row r="184" ht="16.5" customHeight="1">
      <c r="A184" s="178" t="s">
        <v>1832</v>
      </c>
      <c r="B184" s="178" t="s">
        <v>967</v>
      </c>
      <c r="C184" s="178" t="s">
        <v>968</v>
      </c>
      <c r="D184" s="179" t="s">
        <v>1251</v>
      </c>
      <c r="E184" s="180" t="s">
        <v>1879</v>
      </c>
      <c r="F184" s="181">
        <v>45717.0</v>
      </c>
      <c r="G184" s="181">
        <v>46259.0</v>
      </c>
      <c r="H184" s="178"/>
      <c r="I184" s="230"/>
      <c r="J184" s="179">
        <v>2000000.0</v>
      </c>
      <c r="K184" s="179">
        <v>520000.0</v>
      </c>
      <c r="L184" s="179">
        <v>30000.0</v>
      </c>
      <c r="M184" s="179">
        <f t="shared" si="8"/>
        <v>490000</v>
      </c>
      <c r="N184" s="179">
        <v>80000.0</v>
      </c>
      <c r="O184" s="178" t="s">
        <v>1880</v>
      </c>
      <c r="P184" s="178" t="s">
        <v>1881</v>
      </c>
      <c r="Q184" s="180" t="s">
        <v>1882</v>
      </c>
      <c r="R184" s="180" t="s">
        <v>1883</v>
      </c>
      <c r="S184" s="180" t="str">
        <f t="shared" si="5"/>
        <v>A-1) 입구쪽</v>
      </c>
      <c r="T184" s="180" t="s">
        <v>953</v>
      </c>
      <c r="U184" s="194" t="s">
        <v>1869</v>
      </c>
      <c r="V184" s="194" t="s">
        <v>1870</v>
      </c>
      <c r="W184" s="223" t="s">
        <v>1871</v>
      </c>
      <c r="X184" s="179">
        <f t="shared" si="9"/>
        <v>1500000</v>
      </c>
      <c r="Y184" s="184"/>
      <c r="Z184" s="184"/>
    </row>
    <row r="185" ht="16.5" customHeight="1">
      <c r="A185" s="175" t="s">
        <v>1832</v>
      </c>
      <c r="B185" s="175" t="s">
        <v>967</v>
      </c>
      <c r="C185" s="175" t="s">
        <v>970</v>
      </c>
      <c r="D185" s="154" t="s">
        <v>1251</v>
      </c>
      <c r="E185" s="155" t="s">
        <v>971</v>
      </c>
      <c r="F185" s="185">
        <v>46054.0</v>
      </c>
      <c r="G185" s="185">
        <v>46234.0</v>
      </c>
      <c r="H185" s="175"/>
      <c r="I185" s="231"/>
      <c r="J185" s="154">
        <v>2000000.0</v>
      </c>
      <c r="K185" s="154">
        <v>550000.0</v>
      </c>
      <c r="L185" s="154">
        <v>30000.0</v>
      </c>
      <c r="M185" s="154">
        <f t="shared" si="8"/>
        <v>520000</v>
      </c>
      <c r="N185" s="154">
        <v>100000.0</v>
      </c>
      <c r="O185" s="175" t="s">
        <v>1884</v>
      </c>
      <c r="P185" s="175" t="s">
        <v>1885</v>
      </c>
      <c r="Q185" s="155" t="s">
        <v>1882</v>
      </c>
      <c r="R185" s="155" t="s">
        <v>1883</v>
      </c>
      <c r="S185" s="155" t="str">
        <f t="shared" si="5"/>
        <v>B-1) 화장실 오른쪽</v>
      </c>
      <c r="T185" s="155" t="s">
        <v>953</v>
      </c>
      <c r="U185" s="157" t="s">
        <v>1869</v>
      </c>
      <c r="V185" s="157" t="s">
        <v>1870</v>
      </c>
      <c r="W185" s="193" t="s">
        <v>1871</v>
      </c>
      <c r="X185" s="154">
        <f t="shared" si="9"/>
        <v>1500000</v>
      </c>
      <c r="Y185" s="177"/>
      <c r="Z185" s="177"/>
    </row>
    <row r="186" ht="16.5" customHeight="1">
      <c r="A186" s="178" t="s">
        <v>1832</v>
      </c>
      <c r="B186" s="178" t="s">
        <v>967</v>
      </c>
      <c r="C186" s="178" t="s">
        <v>909</v>
      </c>
      <c r="D186" s="179" t="s">
        <v>1265</v>
      </c>
      <c r="E186" s="180" t="s">
        <v>1292</v>
      </c>
      <c r="F186" s="181"/>
      <c r="G186" s="181"/>
      <c r="H186" s="178"/>
      <c r="I186" s="183" t="s">
        <v>1239</v>
      </c>
      <c r="J186" s="179">
        <v>2000000.0</v>
      </c>
      <c r="K186" s="179">
        <v>420000.0</v>
      </c>
      <c r="L186" s="179">
        <v>30000.0</v>
      </c>
      <c r="M186" s="179">
        <f t="shared" si="8"/>
        <v>390000</v>
      </c>
      <c r="N186" s="179">
        <v>100000.0</v>
      </c>
      <c r="O186" s="178" t="s">
        <v>1886</v>
      </c>
      <c r="P186" s="178" t="s">
        <v>1887</v>
      </c>
      <c r="Q186" s="180" t="s">
        <v>1882</v>
      </c>
      <c r="R186" s="180" t="s">
        <v>1883</v>
      </c>
      <c r="S186" s="180" t="str">
        <f t="shared" si="5"/>
        <v>C-1) 2인실 왼</v>
      </c>
      <c r="T186" s="180" t="s">
        <v>953</v>
      </c>
      <c r="U186" s="194" t="s">
        <v>1869</v>
      </c>
      <c r="V186" s="194" t="s">
        <v>1870</v>
      </c>
      <c r="W186" s="223" t="s">
        <v>1871</v>
      </c>
      <c r="X186" s="179">
        <f t="shared" si="9"/>
        <v>1500000</v>
      </c>
      <c r="Y186" s="184"/>
      <c r="Z186" s="184"/>
    </row>
    <row r="187" ht="16.5" customHeight="1">
      <c r="A187" s="209" t="s">
        <v>1832</v>
      </c>
      <c r="B187" s="209" t="s">
        <v>967</v>
      </c>
      <c r="C187" s="209" t="s">
        <v>316</v>
      </c>
      <c r="D187" s="210" t="s">
        <v>1265</v>
      </c>
      <c r="E187" s="211" t="s">
        <v>1292</v>
      </c>
      <c r="F187" s="212"/>
      <c r="G187" s="212"/>
      <c r="H187" s="209"/>
      <c r="I187" s="209" t="s">
        <v>1239</v>
      </c>
      <c r="J187" s="210">
        <v>1000000.0</v>
      </c>
      <c r="K187" s="210">
        <v>400000.0</v>
      </c>
      <c r="L187" s="210"/>
      <c r="M187" s="210">
        <f t="shared" si="8"/>
        <v>400000</v>
      </c>
      <c r="N187" s="210">
        <v>80000.0</v>
      </c>
      <c r="O187" s="209" t="s">
        <v>1888</v>
      </c>
      <c r="P187" s="209" t="s">
        <v>1889</v>
      </c>
      <c r="Q187" s="211" t="s">
        <v>1882</v>
      </c>
      <c r="R187" s="211" t="s">
        <v>1883</v>
      </c>
      <c r="S187" s="211" t="str">
        <f t="shared" si="5"/>
        <v>C-2) 2인실 오</v>
      </c>
      <c r="T187" s="211" t="s">
        <v>953</v>
      </c>
      <c r="U187" s="214" t="s">
        <v>1869</v>
      </c>
      <c r="V187" s="214" t="s">
        <v>1870</v>
      </c>
      <c r="W187" s="269" t="s">
        <v>1871</v>
      </c>
      <c r="X187" s="154">
        <f t="shared" si="9"/>
        <v>500000</v>
      </c>
      <c r="Y187" s="177"/>
      <c r="Z187" s="177"/>
    </row>
    <row r="188">
      <c r="A188" s="178" t="s">
        <v>1832</v>
      </c>
      <c r="B188" s="178" t="s">
        <v>986</v>
      </c>
      <c r="C188" s="178" t="s">
        <v>987</v>
      </c>
      <c r="D188" s="179" t="s">
        <v>1251</v>
      </c>
      <c r="E188" s="180" t="s">
        <v>988</v>
      </c>
      <c r="F188" s="181">
        <v>46082.0</v>
      </c>
      <c r="G188" s="181">
        <v>46446.0</v>
      </c>
      <c r="H188" s="178"/>
      <c r="I188" s="178"/>
      <c r="J188" s="179">
        <v>2000000.0</v>
      </c>
      <c r="K188" s="179">
        <v>550000.0</v>
      </c>
      <c r="L188" s="179">
        <v>10000.0</v>
      </c>
      <c r="M188" s="179">
        <f t="shared" si="8"/>
        <v>540000</v>
      </c>
      <c r="N188" s="179">
        <v>100000.0</v>
      </c>
      <c r="O188" s="178" t="s">
        <v>1890</v>
      </c>
      <c r="P188" s="178" t="s">
        <v>1891</v>
      </c>
      <c r="Q188" s="180" t="s">
        <v>1892</v>
      </c>
      <c r="R188" s="180" t="s">
        <v>1893</v>
      </c>
      <c r="S188" s="180" t="str">
        <f t="shared" si="5"/>
        <v>A-1) 거실 오</v>
      </c>
      <c r="T188" s="180" t="s">
        <v>1350</v>
      </c>
      <c r="U188" s="180" t="s">
        <v>1351</v>
      </c>
      <c r="V188" s="194" t="s">
        <v>1352</v>
      </c>
      <c r="W188" s="223" t="s">
        <v>1353</v>
      </c>
      <c r="X188" s="179">
        <f t="shared" si="9"/>
        <v>1500000</v>
      </c>
      <c r="Y188" s="184"/>
      <c r="Z188" s="184"/>
    </row>
    <row r="189" ht="16.5" customHeight="1">
      <c r="A189" s="175" t="s">
        <v>1832</v>
      </c>
      <c r="B189" s="175" t="s">
        <v>986</v>
      </c>
      <c r="C189" s="175" t="s">
        <v>989</v>
      </c>
      <c r="D189" s="154" t="s">
        <v>1251</v>
      </c>
      <c r="E189" s="155" t="s">
        <v>1894</v>
      </c>
      <c r="F189" s="185">
        <v>46078.0</v>
      </c>
      <c r="G189" s="185">
        <v>46259.0</v>
      </c>
      <c r="H189" s="175"/>
      <c r="I189" s="186"/>
      <c r="J189" s="154">
        <v>2000000.0</v>
      </c>
      <c r="K189" s="154">
        <v>520000.0</v>
      </c>
      <c r="L189" s="154">
        <v>0.0</v>
      </c>
      <c r="M189" s="154">
        <f t="shared" si="8"/>
        <v>520000</v>
      </c>
      <c r="N189" s="154">
        <v>100000.0</v>
      </c>
      <c r="O189" s="175" t="s">
        <v>1895</v>
      </c>
      <c r="P189" s="175" t="s">
        <v>1896</v>
      </c>
      <c r="Q189" s="155" t="s">
        <v>1892</v>
      </c>
      <c r="R189" s="155" t="s">
        <v>1893</v>
      </c>
      <c r="S189" s="155" t="str">
        <f t="shared" si="5"/>
        <v>B-1) 주방쪽</v>
      </c>
      <c r="T189" s="155" t="s">
        <v>1350</v>
      </c>
      <c r="U189" s="155" t="s">
        <v>1351</v>
      </c>
      <c r="V189" s="157" t="s">
        <v>1352</v>
      </c>
      <c r="W189" s="193" t="s">
        <v>1353</v>
      </c>
      <c r="X189" s="154">
        <f t="shared" si="9"/>
        <v>1500000</v>
      </c>
      <c r="Y189" s="177"/>
      <c r="Z189" s="177"/>
    </row>
    <row r="190" ht="16.5" customHeight="1">
      <c r="A190" s="178" t="s">
        <v>1832</v>
      </c>
      <c r="B190" s="178" t="s">
        <v>986</v>
      </c>
      <c r="C190" s="178" t="s">
        <v>909</v>
      </c>
      <c r="D190" s="179" t="s">
        <v>1265</v>
      </c>
      <c r="E190" s="180" t="s">
        <v>1897</v>
      </c>
      <c r="F190" s="181">
        <v>46099.0</v>
      </c>
      <c r="G190" s="181">
        <v>46282.0</v>
      </c>
      <c r="H190" s="178"/>
      <c r="I190" s="183"/>
      <c r="J190" s="179">
        <v>1000000.0</v>
      </c>
      <c r="K190" s="179">
        <v>420000.0</v>
      </c>
      <c r="L190" s="179">
        <v>0.0</v>
      </c>
      <c r="M190" s="179">
        <f t="shared" si="8"/>
        <v>420000</v>
      </c>
      <c r="N190" s="179">
        <v>100000.0</v>
      </c>
      <c r="O190" s="178" t="s">
        <v>1898</v>
      </c>
      <c r="P190" s="178" t="s">
        <v>1899</v>
      </c>
      <c r="Q190" s="180" t="s">
        <v>1892</v>
      </c>
      <c r="R190" s="180" t="s">
        <v>1893</v>
      </c>
      <c r="S190" s="180" t="str">
        <f t="shared" si="5"/>
        <v>C-1) 2인실 왼</v>
      </c>
      <c r="T190" s="180" t="s">
        <v>1350</v>
      </c>
      <c r="U190" s="180" t="s">
        <v>1351</v>
      </c>
      <c r="V190" s="194" t="s">
        <v>1352</v>
      </c>
      <c r="W190" s="223" t="s">
        <v>1353</v>
      </c>
      <c r="X190" s="179">
        <f t="shared" si="9"/>
        <v>500000</v>
      </c>
      <c r="Y190" s="184"/>
      <c r="Z190" s="184"/>
    </row>
    <row r="191" ht="16.5" customHeight="1">
      <c r="A191" s="209" t="s">
        <v>1832</v>
      </c>
      <c r="B191" s="209" t="s">
        <v>986</v>
      </c>
      <c r="C191" s="209" t="s">
        <v>316</v>
      </c>
      <c r="D191" s="210" t="s">
        <v>1265</v>
      </c>
      <c r="E191" s="211" t="s">
        <v>1900</v>
      </c>
      <c r="F191" s="212">
        <v>46079.0</v>
      </c>
      <c r="G191" s="212">
        <v>46167.0</v>
      </c>
      <c r="H191" s="209"/>
      <c r="I191" s="209"/>
      <c r="J191" s="210">
        <v>2000000.0</v>
      </c>
      <c r="K191" s="210">
        <v>420000.0</v>
      </c>
      <c r="L191" s="210">
        <v>0.0</v>
      </c>
      <c r="M191" s="210">
        <f t="shared" si="8"/>
        <v>420000</v>
      </c>
      <c r="N191" s="210">
        <v>100000.0</v>
      </c>
      <c r="O191" s="200" t="s">
        <v>1901</v>
      </c>
      <c r="P191" s="200" t="s">
        <v>1902</v>
      </c>
      <c r="Q191" s="211" t="s">
        <v>1903</v>
      </c>
      <c r="R191" s="211" t="s">
        <v>1893</v>
      </c>
      <c r="S191" s="211" t="str">
        <f t="shared" si="5"/>
        <v>C-2) 2인실 오</v>
      </c>
      <c r="T191" s="211" t="s">
        <v>1350</v>
      </c>
      <c r="U191" s="211" t="s">
        <v>1351</v>
      </c>
      <c r="V191" s="214" t="s">
        <v>1352</v>
      </c>
      <c r="W191" s="269" t="s">
        <v>1353</v>
      </c>
      <c r="X191" s="154">
        <f t="shared" si="9"/>
        <v>1500000</v>
      </c>
      <c r="Y191" s="177"/>
      <c r="Z191" s="177"/>
    </row>
    <row r="192" ht="16.5" customHeight="1">
      <c r="A192" s="178" t="s">
        <v>1832</v>
      </c>
      <c r="B192" s="178" t="s">
        <v>1006</v>
      </c>
      <c r="C192" s="178" t="s">
        <v>987</v>
      </c>
      <c r="D192" s="179" t="s">
        <v>1251</v>
      </c>
      <c r="E192" s="180" t="s">
        <v>1904</v>
      </c>
      <c r="F192" s="181">
        <v>45914.0</v>
      </c>
      <c r="G192" s="181">
        <v>46295.0</v>
      </c>
      <c r="H192" s="178"/>
      <c r="I192" s="183"/>
      <c r="J192" s="179">
        <v>2000000.0</v>
      </c>
      <c r="K192" s="179">
        <v>550000.0</v>
      </c>
      <c r="L192" s="179">
        <v>40000.0</v>
      </c>
      <c r="M192" s="179">
        <f t="shared" si="8"/>
        <v>510000</v>
      </c>
      <c r="N192" s="179">
        <v>100000.0</v>
      </c>
      <c r="O192" s="178" t="s">
        <v>1905</v>
      </c>
      <c r="P192" s="178" t="s">
        <v>1906</v>
      </c>
      <c r="Q192" s="180" t="s">
        <v>1892</v>
      </c>
      <c r="R192" s="180" t="s">
        <v>1907</v>
      </c>
      <c r="S192" s="180" t="str">
        <f t="shared" si="5"/>
        <v>A-1) 거실 오</v>
      </c>
      <c r="T192" s="180" t="s">
        <v>1350</v>
      </c>
      <c r="U192" s="180" t="s">
        <v>1351</v>
      </c>
      <c r="V192" s="194" t="s">
        <v>1352</v>
      </c>
      <c r="W192" s="180" t="s">
        <v>1353</v>
      </c>
      <c r="X192" s="179">
        <f t="shared" si="9"/>
        <v>1500000</v>
      </c>
      <c r="Y192" s="184"/>
      <c r="Z192" s="184"/>
    </row>
    <row r="193" ht="16.5" customHeight="1">
      <c r="A193" s="175" t="s">
        <v>1832</v>
      </c>
      <c r="B193" s="175" t="s">
        <v>1006</v>
      </c>
      <c r="C193" s="175" t="s">
        <v>1008</v>
      </c>
      <c r="D193" s="154" t="s">
        <v>1265</v>
      </c>
      <c r="E193" s="154" t="s">
        <v>1292</v>
      </c>
      <c r="F193" s="185"/>
      <c r="G193" s="185"/>
      <c r="H193" s="175"/>
      <c r="I193" s="186" t="s">
        <v>1239</v>
      </c>
      <c r="J193" s="154">
        <v>2000000.0</v>
      </c>
      <c r="K193" s="154">
        <v>400000.0</v>
      </c>
      <c r="L193" s="154">
        <v>0.0</v>
      </c>
      <c r="M193" s="154">
        <f t="shared" si="8"/>
        <v>400000</v>
      </c>
      <c r="N193" s="154">
        <v>100000.0</v>
      </c>
      <c r="O193" s="175" t="s">
        <v>1908</v>
      </c>
      <c r="P193" s="175" t="s">
        <v>1909</v>
      </c>
      <c r="Q193" s="155" t="s">
        <v>1892</v>
      </c>
      <c r="R193" s="155" t="s">
        <v>1907</v>
      </c>
      <c r="S193" s="155" t="str">
        <f t="shared" si="5"/>
        <v>B-1) 2인실 왼 </v>
      </c>
      <c r="T193" s="155" t="s">
        <v>1350</v>
      </c>
      <c r="U193" s="155" t="s">
        <v>1351</v>
      </c>
      <c r="V193" s="157" t="s">
        <v>1352</v>
      </c>
      <c r="W193" s="155" t="s">
        <v>1353</v>
      </c>
      <c r="X193" s="154">
        <f t="shared" si="9"/>
        <v>1500000</v>
      </c>
      <c r="Y193" s="177"/>
      <c r="Z193" s="177"/>
    </row>
    <row r="194" ht="16.5" customHeight="1">
      <c r="A194" s="187" t="s">
        <v>1832</v>
      </c>
      <c r="B194" s="187" t="s">
        <v>1006</v>
      </c>
      <c r="C194" s="187" t="s">
        <v>1013</v>
      </c>
      <c r="D194" s="188" t="s">
        <v>1265</v>
      </c>
      <c r="E194" s="188" t="s">
        <v>1910</v>
      </c>
      <c r="F194" s="190">
        <v>46079.0</v>
      </c>
      <c r="G194" s="190">
        <v>46443.0</v>
      </c>
      <c r="H194" s="187"/>
      <c r="I194" s="225"/>
      <c r="J194" s="188">
        <v>2000000.0</v>
      </c>
      <c r="K194" s="188">
        <v>400000.0</v>
      </c>
      <c r="L194" s="188">
        <v>50000.0</v>
      </c>
      <c r="M194" s="188">
        <f t="shared" si="8"/>
        <v>350000</v>
      </c>
      <c r="N194" s="188">
        <v>100000.0</v>
      </c>
      <c r="O194" s="187" t="s">
        <v>1911</v>
      </c>
      <c r="P194" s="187" t="s">
        <v>1912</v>
      </c>
      <c r="Q194" s="189" t="s">
        <v>1892</v>
      </c>
      <c r="R194" s="189" t="s">
        <v>1907</v>
      </c>
      <c r="S194" s="189" t="str">
        <f t="shared" si="5"/>
        <v>B-2) 2인실 오</v>
      </c>
      <c r="T194" s="189" t="s">
        <v>1350</v>
      </c>
      <c r="U194" s="189" t="s">
        <v>1351</v>
      </c>
      <c r="V194" s="195" t="s">
        <v>1352</v>
      </c>
      <c r="W194" s="189" t="s">
        <v>1353</v>
      </c>
      <c r="X194" s="179">
        <f t="shared" si="9"/>
        <v>1500000</v>
      </c>
      <c r="Y194" s="184"/>
      <c r="Z194" s="184"/>
    </row>
    <row r="195" ht="16.5" customHeight="1">
      <c r="A195" s="175" t="s">
        <v>1832</v>
      </c>
      <c r="B195" s="175" t="s">
        <v>1021</v>
      </c>
      <c r="C195" s="175" t="s">
        <v>506</v>
      </c>
      <c r="D195" s="154" t="s">
        <v>1251</v>
      </c>
      <c r="E195" s="155" t="s">
        <v>1913</v>
      </c>
      <c r="F195" s="185">
        <v>46116.0</v>
      </c>
      <c r="G195" s="185">
        <v>46438.0</v>
      </c>
      <c r="H195" s="175"/>
      <c r="I195" s="186"/>
      <c r="J195" s="154">
        <v>2000000.0</v>
      </c>
      <c r="K195" s="154">
        <v>520000.0</v>
      </c>
      <c r="L195" s="154">
        <v>70000.0</v>
      </c>
      <c r="M195" s="154">
        <f t="shared" si="8"/>
        <v>450000</v>
      </c>
      <c r="N195" s="154">
        <v>100000.0</v>
      </c>
      <c r="O195" s="175" t="s">
        <v>1914</v>
      </c>
      <c r="P195" s="175" t="s">
        <v>1915</v>
      </c>
      <c r="Q195" s="155" t="s">
        <v>1916</v>
      </c>
      <c r="R195" s="155" t="s">
        <v>1917</v>
      </c>
      <c r="S195" s="155" t="str">
        <f t="shared" si="5"/>
        <v>A-1) 입구</v>
      </c>
      <c r="T195" s="155" t="s">
        <v>216</v>
      </c>
      <c r="U195" s="157" t="s">
        <v>1421</v>
      </c>
      <c r="V195" s="157" t="s">
        <v>1352</v>
      </c>
      <c r="W195" s="155" t="s">
        <v>1353</v>
      </c>
      <c r="X195" s="154">
        <f t="shared" si="9"/>
        <v>1500000</v>
      </c>
      <c r="Y195" s="177"/>
      <c r="Z195" s="177"/>
    </row>
    <row r="196" ht="16.5" customHeight="1">
      <c r="A196" s="178" t="s">
        <v>1832</v>
      </c>
      <c r="B196" s="178" t="s">
        <v>1021</v>
      </c>
      <c r="C196" s="178" t="s">
        <v>1918</v>
      </c>
      <c r="D196" s="179" t="s">
        <v>1251</v>
      </c>
      <c r="E196" s="180" t="s">
        <v>1022</v>
      </c>
      <c r="F196" s="181">
        <v>46082.0</v>
      </c>
      <c r="G196" s="279">
        <v>46446.0</v>
      </c>
      <c r="H196" s="178"/>
      <c r="I196" s="230"/>
      <c r="J196" s="179">
        <v>2000000.0</v>
      </c>
      <c r="K196" s="179">
        <v>520000.0</v>
      </c>
      <c r="L196" s="179">
        <v>20000.0</v>
      </c>
      <c r="M196" s="179">
        <v>500000.0</v>
      </c>
      <c r="N196" s="179">
        <v>100000.0</v>
      </c>
      <c r="O196" s="178" t="s">
        <v>1919</v>
      </c>
      <c r="P196" s="178" t="s">
        <v>1920</v>
      </c>
      <c r="Q196" s="180" t="s">
        <v>1916</v>
      </c>
      <c r="R196" s="180" t="s">
        <v>1917</v>
      </c>
      <c r="S196" s="180" t="str">
        <f t="shared" si="5"/>
        <v>B-1) 주방쮹</v>
      </c>
      <c r="T196" s="180" t="s">
        <v>216</v>
      </c>
      <c r="U196" s="194" t="s">
        <v>1421</v>
      </c>
      <c r="V196" s="194" t="s">
        <v>1352</v>
      </c>
      <c r="W196" s="180" t="s">
        <v>1353</v>
      </c>
      <c r="X196" s="179">
        <f t="shared" si="9"/>
        <v>1500000</v>
      </c>
      <c r="Y196" s="184"/>
      <c r="Z196" s="184"/>
    </row>
    <row r="197" ht="16.5" customHeight="1">
      <c r="A197" s="280" t="s">
        <v>1832</v>
      </c>
      <c r="B197" s="280" t="s">
        <v>1021</v>
      </c>
      <c r="C197" s="280" t="s">
        <v>909</v>
      </c>
      <c r="D197" s="281" t="s">
        <v>1265</v>
      </c>
      <c r="E197" s="282" t="s">
        <v>1921</v>
      </c>
      <c r="F197" s="185">
        <v>46097.0</v>
      </c>
      <c r="G197" s="283">
        <v>46127.0</v>
      </c>
      <c r="H197" s="280"/>
      <c r="I197" s="284" t="s">
        <v>1268</v>
      </c>
      <c r="J197" s="154">
        <v>2000000.0</v>
      </c>
      <c r="K197" s="281">
        <v>420000.0</v>
      </c>
      <c r="L197" s="281">
        <v>-180000.0</v>
      </c>
      <c r="M197" s="281">
        <f t="shared" ref="M197:M219" si="10">K197-L197</f>
        <v>600000</v>
      </c>
      <c r="N197" s="154">
        <v>100000.0</v>
      </c>
      <c r="O197" s="280" t="s">
        <v>1922</v>
      </c>
      <c r="P197" s="280" t="s">
        <v>1923</v>
      </c>
      <c r="Q197" s="282" t="s">
        <v>1916</v>
      </c>
      <c r="R197" s="282" t="s">
        <v>1917</v>
      </c>
      <c r="S197" s="282" t="str">
        <f t="shared" si="5"/>
        <v>C-1) 2인실 왼</v>
      </c>
      <c r="T197" s="282" t="s">
        <v>216</v>
      </c>
      <c r="U197" s="285" t="s">
        <v>1421</v>
      </c>
      <c r="V197" s="285" t="s">
        <v>1352</v>
      </c>
      <c r="W197" s="282" t="s">
        <v>1353</v>
      </c>
      <c r="X197" s="281">
        <f t="shared" si="9"/>
        <v>1500000</v>
      </c>
      <c r="Y197" s="286"/>
      <c r="Z197" s="177"/>
    </row>
    <row r="198" ht="16.5" customHeight="1">
      <c r="A198" s="263" t="s">
        <v>1832</v>
      </c>
      <c r="B198" s="263" t="s">
        <v>1021</v>
      </c>
      <c r="C198" s="263" t="s">
        <v>316</v>
      </c>
      <c r="D198" s="192" t="s">
        <v>1265</v>
      </c>
      <c r="E198" s="189"/>
      <c r="F198" s="265"/>
      <c r="G198" s="265"/>
      <c r="H198" s="263"/>
      <c r="I198" s="266" t="s">
        <v>1268</v>
      </c>
      <c r="J198" s="192">
        <v>2000000.0</v>
      </c>
      <c r="K198" s="192">
        <v>420000.0</v>
      </c>
      <c r="L198" s="192">
        <v>0.0</v>
      </c>
      <c r="M198" s="192">
        <f t="shared" si="10"/>
        <v>420000</v>
      </c>
      <c r="N198" s="192">
        <v>100000.0</v>
      </c>
      <c r="O198" s="263"/>
      <c r="P198" s="263"/>
      <c r="Q198" s="264" t="s">
        <v>1916</v>
      </c>
      <c r="R198" s="264" t="s">
        <v>1917</v>
      </c>
      <c r="S198" s="264" t="str">
        <f t="shared" si="5"/>
        <v>C-2) 2인실 오</v>
      </c>
      <c r="T198" s="264" t="s">
        <v>216</v>
      </c>
      <c r="U198" s="287" t="s">
        <v>1421</v>
      </c>
      <c r="V198" s="287" t="s">
        <v>1352</v>
      </c>
      <c r="W198" s="264" t="s">
        <v>1353</v>
      </c>
      <c r="X198" s="192">
        <f t="shared" si="9"/>
        <v>1500000</v>
      </c>
      <c r="Y198" s="288"/>
      <c r="Z198" s="184"/>
    </row>
    <row r="199" ht="16.5" customHeight="1">
      <c r="A199" s="175" t="s">
        <v>1832</v>
      </c>
      <c r="B199" s="175" t="s">
        <v>1041</v>
      </c>
      <c r="C199" s="175" t="s">
        <v>1042</v>
      </c>
      <c r="D199" s="154" t="s">
        <v>1251</v>
      </c>
      <c r="E199" s="155" t="s">
        <v>1924</v>
      </c>
      <c r="F199" s="185">
        <v>46082.0</v>
      </c>
      <c r="G199" s="185">
        <v>46443.0</v>
      </c>
      <c r="H199" s="175"/>
      <c r="I199" s="175"/>
      <c r="J199" s="154">
        <v>2000000.0</v>
      </c>
      <c r="K199" s="154">
        <v>550000.0</v>
      </c>
      <c r="L199" s="154">
        <v>50000.0</v>
      </c>
      <c r="M199" s="154">
        <f t="shared" si="10"/>
        <v>500000</v>
      </c>
      <c r="N199" s="154">
        <v>100000.0</v>
      </c>
      <c r="O199" s="175" t="s">
        <v>1925</v>
      </c>
      <c r="P199" s="175" t="s">
        <v>1926</v>
      </c>
      <c r="Q199" s="155" t="s">
        <v>1927</v>
      </c>
      <c r="R199" s="155" t="s">
        <v>1928</v>
      </c>
      <c r="S199" s="155" t="s">
        <v>1042</v>
      </c>
      <c r="T199" s="155" t="s">
        <v>268</v>
      </c>
      <c r="U199" s="157" t="s">
        <v>1375</v>
      </c>
      <c r="V199" s="155" t="s">
        <v>1376</v>
      </c>
      <c r="W199" s="155" t="s">
        <v>1377</v>
      </c>
      <c r="X199" s="154">
        <f t="shared" si="9"/>
        <v>1500000</v>
      </c>
      <c r="Y199" s="177"/>
      <c r="Z199" s="177"/>
    </row>
    <row r="200" ht="16.5" customHeight="1">
      <c r="A200" s="178" t="s">
        <v>1832</v>
      </c>
      <c r="B200" s="178" t="s">
        <v>1041</v>
      </c>
      <c r="C200" s="178" t="s">
        <v>557</v>
      </c>
      <c r="D200" s="179" t="s">
        <v>1251</v>
      </c>
      <c r="E200" s="180" t="s">
        <v>1929</v>
      </c>
      <c r="F200" s="181">
        <v>46131.0</v>
      </c>
      <c r="G200" s="279">
        <v>46495.0</v>
      </c>
      <c r="H200" s="178"/>
      <c r="I200" s="178"/>
      <c r="J200" s="179">
        <v>2000000.0</v>
      </c>
      <c r="K200" s="179">
        <v>530000.0</v>
      </c>
      <c r="L200" s="179">
        <v>60000.0</v>
      </c>
      <c r="M200" s="179">
        <f t="shared" si="10"/>
        <v>470000</v>
      </c>
      <c r="N200" s="179">
        <v>100000.0</v>
      </c>
      <c r="O200" s="178" t="s">
        <v>1930</v>
      </c>
      <c r="P200" s="178" t="s">
        <v>1931</v>
      </c>
      <c r="Q200" s="180" t="s">
        <v>1927</v>
      </c>
      <c r="R200" s="180" t="s">
        <v>1928</v>
      </c>
      <c r="S200" s="180" t="s">
        <v>557</v>
      </c>
      <c r="T200" s="180" t="s">
        <v>268</v>
      </c>
      <c r="U200" s="194" t="s">
        <v>1375</v>
      </c>
      <c r="V200" s="180" t="s">
        <v>1376</v>
      </c>
      <c r="W200" s="180" t="s">
        <v>1377</v>
      </c>
      <c r="X200" s="179">
        <f t="shared" si="9"/>
        <v>1500000</v>
      </c>
      <c r="Y200" s="184"/>
      <c r="Z200" s="184"/>
    </row>
    <row r="201" ht="16.5" customHeight="1">
      <c r="A201" s="175" t="s">
        <v>1832</v>
      </c>
      <c r="B201" s="175" t="s">
        <v>1041</v>
      </c>
      <c r="C201" s="175" t="s">
        <v>1047</v>
      </c>
      <c r="D201" s="154" t="s">
        <v>1251</v>
      </c>
      <c r="E201" s="155" t="s">
        <v>1932</v>
      </c>
      <c r="F201" s="185">
        <v>45971.0</v>
      </c>
      <c r="G201" s="283">
        <v>46173.0</v>
      </c>
      <c r="H201" s="175"/>
      <c r="I201" s="175"/>
      <c r="J201" s="154">
        <v>2000000.0</v>
      </c>
      <c r="K201" s="154">
        <v>490000.0</v>
      </c>
      <c r="L201" s="154">
        <v>0.0</v>
      </c>
      <c r="M201" s="154">
        <f t="shared" si="10"/>
        <v>490000</v>
      </c>
      <c r="N201" s="154">
        <v>100000.0</v>
      </c>
      <c r="O201" s="175" t="s">
        <v>1933</v>
      </c>
      <c r="P201" s="175" t="s">
        <v>1934</v>
      </c>
      <c r="Q201" s="155" t="s">
        <v>1927</v>
      </c>
      <c r="R201" s="155" t="s">
        <v>1928</v>
      </c>
      <c r="S201" s="155" t="s">
        <v>1047</v>
      </c>
      <c r="T201" s="155" t="s">
        <v>268</v>
      </c>
      <c r="U201" s="157" t="s">
        <v>1375</v>
      </c>
      <c r="V201" s="155" t="s">
        <v>1376</v>
      </c>
      <c r="W201" s="155" t="s">
        <v>1377</v>
      </c>
      <c r="X201" s="154">
        <f t="shared" si="9"/>
        <v>1500000</v>
      </c>
      <c r="Y201" s="177"/>
      <c r="Z201" s="177"/>
    </row>
    <row r="202" ht="16.5" customHeight="1">
      <c r="A202" s="187" t="s">
        <v>1832</v>
      </c>
      <c r="B202" s="187" t="s">
        <v>1041</v>
      </c>
      <c r="C202" s="187" t="s">
        <v>1050</v>
      </c>
      <c r="D202" s="188" t="s">
        <v>1251</v>
      </c>
      <c r="E202" s="189" t="s">
        <v>1935</v>
      </c>
      <c r="F202" s="190">
        <v>46174.0</v>
      </c>
      <c r="G202" s="190">
        <v>46265.0</v>
      </c>
      <c r="H202" s="187"/>
      <c r="I202" s="225"/>
      <c r="J202" s="188">
        <v>2000000.0</v>
      </c>
      <c r="K202" s="188">
        <v>470000.0</v>
      </c>
      <c r="L202" s="188">
        <v>20000.0</v>
      </c>
      <c r="M202" s="192">
        <f t="shared" si="10"/>
        <v>450000</v>
      </c>
      <c r="N202" s="188">
        <v>100000.0</v>
      </c>
      <c r="O202" s="187" t="s">
        <v>1936</v>
      </c>
      <c r="P202" s="187" t="s">
        <v>1937</v>
      </c>
      <c r="Q202" s="189" t="s">
        <v>1927</v>
      </c>
      <c r="R202" s="189" t="s">
        <v>1928</v>
      </c>
      <c r="S202" s="189" t="s">
        <v>1050</v>
      </c>
      <c r="T202" s="189" t="s">
        <v>268</v>
      </c>
      <c r="U202" s="195" t="s">
        <v>1375</v>
      </c>
      <c r="V202" s="189" t="s">
        <v>1376</v>
      </c>
      <c r="W202" s="189" t="s">
        <v>1377</v>
      </c>
      <c r="X202" s="179">
        <f t="shared" si="9"/>
        <v>1500000</v>
      </c>
      <c r="Y202" s="233"/>
      <c r="Z202" s="184"/>
    </row>
    <row r="203" ht="16.5" customHeight="1">
      <c r="A203" s="175" t="s">
        <v>1938</v>
      </c>
      <c r="B203" s="175" t="s">
        <v>1055</v>
      </c>
      <c r="C203" s="175" t="s">
        <v>1056</v>
      </c>
      <c r="D203" s="154" t="s">
        <v>1251</v>
      </c>
      <c r="E203" s="155" t="s">
        <v>1939</v>
      </c>
      <c r="F203" s="185">
        <v>46075.0</v>
      </c>
      <c r="G203" s="185">
        <v>46439.0</v>
      </c>
      <c r="H203" s="244"/>
      <c r="I203" s="175"/>
      <c r="J203" s="154">
        <v>2000000.0</v>
      </c>
      <c r="K203" s="154">
        <v>550000.0</v>
      </c>
      <c r="L203" s="154">
        <v>50000.0</v>
      </c>
      <c r="M203" s="154">
        <f t="shared" si="10"/>
        <v>500000</v>
      </c>
      <c r="N203" s="154">
        <v>100000.0</v>
      </c>
      <c r="O203" s="175" t="s">
        <v>1940</v>
      </c>
      <c r="P203" s="175" t="s">
        <v>1941</v>
      </c>
      <c r="Q203" s="155" t="s">
        <v>1942</v>
      </c>
      <c r="R203" s="155" t="s">
        <v>1943</v>
      </c>
      <c r="S203" s="155" t="str">
        <f t="shared" ref="S203:S209" si="11">C203</f>
        <v>A 1인실 현관코너</v>
      </c>
      <c r="T203" s="155" t="s">
        <v>33</v>
      </c>
      <c r="U203" s="155" t="s">
        <v>1700</v>
      </c>
      <c r="V203" s="157" t="s">
        <v>1257</v>
      </c>
      <c r="W203" s="155" t="s">
        <v>1258</v>
      </c>
      <c r="X203" s="154">
        <f t="shared" si="9"/>
        <v>1500000</v>
      </c>
      <c r="Y203" s="177" t="s">
        <v>1259</v>
      </c>
      <c r="Z203" s="177"/>
    </row>
    <row r="204" ht="16.5" customHeight="1">
      <c r="A204" s="178" t="s">
        <v>1938</v>
      </c>
      <c r="B204" s="178" t="s">
        <v>1055</v>
      </c>
      <c r="C204" s="178" t="s">
        <v>1059</v>
      </c>
      <c r="D204" s="179" t="s">
        <v>1251</v>
      </c>
      <c r="E204" s="180" t="s">
        <v>1944</v>
      </c>
      <c r="F204" s="181">
        <v>46074.0</v>
      </c>
      <c r="G204" s="181">
        <v>46438.0</v>
      </c>
      <c r="H204" s="178"/>
      <c r="I204" s="183"/>
      <c r="J204" s="179">
        <v>2000000.0</v>
      </c>
      <c r="K204" s="179">
        <v>530000.0</v>
      </c>
      <c r="L204" s="179">
        <v>50000.0</v>
      </c>
      <c r="M204" s="179">
        <f t="shared" si="10"/>
        <v>480000</v>
      </c>
      <c r="N204" s="179">
        <v>100000.0</v>
      </c>
      <c r="O204" s="178" t="s">
        <v>1945</v>
      </c>
      <c r="P204" s="178" t="s">
        <v>1946</v>
      </c>
      <c r="Q204" s="180" t="s">
        <v>1942</v>
      </c>
      <c r="R204" s="180" t="s">
        <v>1943</v>
      </c>
      <c r="S204" s="180" t="str">
        <f t="shared" si="11"/>
        <v>B 1인실 부엌안쪽</v>
      </c>
      <c r="T204" s="180" t="s">
        <v>33</v>
      </c>
      <c r="U204" s="180" t="s">
        <v>1700</v>
      </c>
      <c r="V204" s="180" t="s">
        <v>1257</v>
      </c>
      <c r="W204" s="180" t="s">
        <v>1258</v>
      </c>
      <c r="X204" s="179">
        <f t="shared" si="9"/>
        <v>1500000</v>
      </c>
      <c r="Y204" s="184" t="s">
        <v>1259</v>
      </c>
      <c r="Z204" s="184"/>
    </row>
    <row r="205" ht="16.5" customHeight="1">
      <c r="A205" s="175" t="s">
        <v>1938</v>
      </c>
      <c r="B205" s="175" t="s">
        <v>1055</v>
      </c>
      <c r="C205" s="175" t="s">
        <v>1068</v>
      </c>
      <c r="D205" s="154" t="s">
        <v>1251</v>
      </c>
      <c r="E205" s="155" t="s">
        <v>1947</v>
      </c>
      <c r="F205" s="185">
        <v>46079.0</v>
      </c>
      <c r="G205" s="185">
        <v>46443.0</v>
      </c>
      <c r="H205" s="175"/>
      <c r="I205" s="186"/>
      <c r="J205" s="154">
        <v>2000000.0</v>
      </c>
      <c r="K205" s="154">
        <v>500000.0</v>
      </c>
      <c r="L205" s="154">
        <v>50000.0</v>
      </c>
      <c r="M205" s="154">
        <f t="shared" si="10"/>
        <v>450000</v>
      </c>
      <c r="N205" s="154">
        <v>100000.0</v>
      </c>
      <c r="O205" s="175" t="s">
        <v>1948</v>
      </c>
      <c r="P205" s="175" t="s">
        <v>1949</v>
      </c>
      <c r="Q205" s="155" t="s">
        <v>1942</v>
      </c>
      <c r="R205" s="155" t="s">
        <v>1943</v>
      </c>
      <c r="S205" s="155" t="str">
        <f t="shared" si="11"/>
        <v>C 미닫이</v>
      </c>
      <c r="T205" s="155" t="s">
        <v>33</v>
      </c>
      <c r="U205" s="155" t="s">
        <v>1700</v>
      </c>
      <c r="V205" s="155" t="s">
        <v>1257</v>
      </c>
      <c r="W205" s="155" t="s">
        <v>1258</v>
      </c>
      <c r="X205" s="154">
        <f t="shared" si="9"/>
        <v>1500000</v>
      </c>
      <c r="Y205" s="177" t="s">
        <v>1259</v>
      </c>
      <c r="Z205" s="177"/>
    </row>
    <row r="206" ht="16.5" customHeight="1">
      <c r="A206" s="178" t="s">
        <v>1938</v>
      </c>
      <c r="B206" s="178" t="s">
        <v>1055</v>
      </c>
      <c r="C206" s="178" t="s">
        <v>876</v>
      </c>
      <c r="D206" s="179" t="s">
        <v>1265</v>
      </c>
      <c r="E206" s="180" t="s">
        <v>1950</v>
      </c>
      <c r="F206" s="181">
        <v>45892.0</v>
      </c>
      <c r="G206" s="181">
        <v>46259.0</v>
      </c>
      <c r="H206" s="178"/>
      <c r="I206" s="183"/>
      <c r="J206" s="179">
        <v>2000000.0</v>
      </c>
      <c r="K206" s="179">
        <v>420000.0</v>
      </c>
      <c r="L206" s="179">
        <v>-20000.0</v>
      </c>
      <c r="M206" s="179">
        <f t="shared" si="10"/>
        <v>440000</v>
      </c>
      <c r="N206" s="179">
        <v>100000.0</v>
      </c>
      <c r="O206" s="178"/>
      <c r="P206" s="178" t="s">
        <v>1951</v>
      </c>
      <c r="Q206" s="180" t="s">
        <v>1942</v>
      </c>
      <c r="R206" s="180" t="s">
        <v>1943</v>
      </c>
      <c r="S206" s="180" t="str">
        <f t="shared" si="11"/>
        <v>D1 2인실 왼</v>
      </c>
      <c r="T206" s="180" t="s">
        <v>33</v>
      </c>
      <c r="U206" s="180" t="s">
        <v>1700</v>
      </c>
      <c r="V206" s="180" t="s">
        <v>1257</v>
      </c>
      <c r="W206" s="180" t="s">
        <v>1258</v>
      </c>
      <c r="X206" s="179">
        <f t="shared" si="9"/>
        <v>1500000</v>
      </c>
      <c r="Y206" s="184" t="s">
        <v>1259</v>
      </c>
      <c r="Z206" s="184" t="s">
        <v>1282</v>
      </c>
    </row>
    <row r="207" ht="16.5" customHeight="1">
      <c r="A207" s="209" t="s">
        <v>1938</v>
      </c>
      <c r="B207" s="209" t="s">
        <v>1055</v>
      </c>
      <c r="C207" s="209" t="s">
        <v>881</v>
      </c>
      <c r="D207" s="210" t="s">
        <v>1265</v>
      </c>
      <c r="E207" s="211" t="s">
        <v>1952</v>
      </c>
      <c r="F207" s="212">
        <v>46074.0</v>
      </c>
      <c r="G207" s="212">
        <v>46438.0</v>
      </c>
      <c r="H207" s="209"/>
      <c r="I207" s="213"/>
      <c r="J207" s="210">
        <v>2000000.0</v>
      </c>
      <c r="K207" s="210">
        <v>420000.0</v>
      </c>
      <c r="L207" s="210">
        <v>50000.0</v>
      </c>
      <c r="M207" s="210">
        <f t="shared" si="10"/>
        <v>370000</v>
      </c>
      <c r="N207" s="210">
        <v>100000.0</v>
      </c>
      <c r="O207" s="289" t="s">
        <v>1953</v>
      </c>
      <c r="P207" s="209" t="s">
        <v>1954</v>
      </c>
      <c r="Q207" s="211" t="s">
        <v>1942</v>
      </c>
      <c r="R207" s="211" t="s">
        <v>1943</v>
      </c>
      <c r="S207" s="211" t="str">
        <f t="shared" si="11"/>
        <v>D2 2인실 오</v>
      </c>
      <c r="T207" s="211" t="s">
        <v>33</v>
      </c>
      <c r="U207" s="211" t="s">
        <v>1700</v>
      </c>
      <c r="V207" s="211" t="s">
        <v>1257</v>
      </c>
      <c r="W207" s="211" t="s">
        <v>1258</v>
      </c>
      <c r="X207" s="154">
        <f t="shared" si="9"/>
        <v>1500000</v>
      </c>
      <c r="Y207" s="177" t="s">
        <v>1259</v>
      </c>
      <c r="Z207" s="177"/>
    </row>
    <row r="208" ht="16.5" customHeight="1">
      <c r="A208" s="270" t="s">
        <v>1938</v>
      </c>
      <c r="B208" s="270" t="s">
        <v>1955</v>
      </c>
      <c r="C208" s="270" t="s">
        <v>1956</v>
      </c>
      <c r="D208" s="271" t="s">
        <v>780</v>
      </c>
      <c r="E208" s="272" t="s">
        <v>1957</v>
      </c>
      <c r="F208" s="270"/>
      <c r="G208" s="273">
        <v>44742.0</v>
      </c>
      <c r="H208" s="270"/>
      <c r="I208" s="274"/>
      <c r="J208" s="270"/>
      <c r="K208" s="271">
        <v>2400000.0</v>
      </c>
      <c r="L208" s="271">
        <v>0.0</v>
      </c>
      <c r="M208" s="271">
        <f t="shared" si="10"/>
        <v>2400000</v>
      </c>
      <c r="N208" s="271"/>
      <c r="O208" s="270"/>
      <c r="P208" s="270"/>
      <c r="Q208" s="180" t="s">
        <v>1958</v>
      </c>
      <c r="R208" s="180" t="s">
        <v>1959</v>
      </c>
      <c r="S208" s="180" t="str">
        <f t="shared" si="11"/>
        <v>윗층</v>
      </c>
      <c r="T208" s="180" t="s">
        <v>1960</v>
      </c>
      <c r="U208" s="194" t="s">
        <v>1961</v>
      </c>
      <c r="V208" s="194" t="s">
        <v>1962</v>
      </c>
      <c r="W208" s="223" t="s">
        <v>1963</v>
      </c>
      <c r="X208" s="237">
        <f t="shared" si="9"/>
        <v>-500000</v>
      </c>
      <c r="Y208" s="184"/>
      <c r="Z208" s="184"/>
    </row>
    <row r="209" ht="16.5" customHeight="1">
      <c r="A209" s="275" t="s">
        <v>1938</v>
      </c>
      <c r="B209" s="275" t="s">
        <v>1955</v>
      </c>
      <c r="C209" s="275" t="s">
        <v>1964</v>
      </c>
      <c r="D209" s="276" t="s">
        <v>1965</v>
      </c>
      <c r="E209" s="277"/>
      <c r="F209" s="278">
        <v>44680.0</v>
      </c>
      <c r="G209" s="278">
        <v>45044.0</v>
      </c>
      <c r="H209" s="275"/>
      <c r="I209" s="290"/>
      <c r="J209" s="276">
        <v>3000000.0</v>
      </c>
      <c r="K209" s="276">
        <v>950000.0</v>
      </c>
      <c r="L209" s="276">
        <v>0.0</v>
      </c>
      <c r="M209" s="276">
        <f t="shared" si="10"/>
        <v>950000</v>
      </c>
      <c r="N209" s="276"/>
      <c r="O209" s="275"/>
      <c r="P209" s="275"/>
      <c r="Q209" s="291" t="s">
        <v>1958</v>
      </c>
      <c r="R209" s="211" t="s">
        <v>1959</v>
      </c>
      <c r="S209" s="211" t="str">
        <f t="shared" si="11"/>
        <v>아래층</v>
      </c>
      <c r="T209" s="211" t="s">
        <v>1960</v>
      </c>
      <c r="U209" s="214" t="s">
        <v>1961</v>
      </c>
      <c r="V209" s="214" t="s">
        <v>1962</v>
      </c>
      <c r="W209" s="211" t="s">
        <v>1963</v>
      </c>
      <c r="X209" s="154">
        <f t="shared" si="9"/>
        <v>2500000</v>
      </c>
      <c r="Y209" s="222"/>
      <c r="Z209" s="177"/>
    </row>
    <row r="210" ht="16.5" customHeight="1">
      <c r="A210" s="178" t="s">
        <v>1966</v>
      </c>
      <c r="B210" s="178" t="s">
        <v>1093</v>
      </c>
      <c r="C210" s="178" t="s">
        <v>320</v>
      </c>
      <c r="D210" s="179" t="s">
        <v>1251</v>
      </c>
      <c r="E210" s="180" t="s">
        <v>1967</v>
      </c>
      <c r="F210" s="181">
        <v>46082.0</v>
      </c>
      <c r="G210" s="181">
        <v>46446.0</v>
      </c>
      <c r="H210" s="178"/>
      <c r="I210" s="183"/>
      <c r="J210" s="179">
        <v>2000000.0</v>
      </c>
      <c r="K210" s="179">
        <v>550000.0</v>
      </c>
      <c r="L210" s="179">
        <v>-30000.0</v>
      </c>
      <c r="M210" s="179">
        <f t="shared" si="10"/>
        <v>580000</v>
      </c>
      <c r="N210" s="179">
        <v>100000.0</v>
      </c>
      <c r="O210" s="178" t="s">
        <v>1968</v>
      </c>
      <c r="P210" s="178" t="s">
        <v>1969</v>
      </c>
      <c r="Q210" s="180" t="s">
        <v>1970</v>
      </c>
      <c r="R210" s="180" t="str">
        <f t="shared" ref="R210:S210" si="12">B210</f>
        <v>동지</v>
      </c>
      <c r="S210" s="180" t="str">
        <f t="shared" si="12"/>
        <v>A-1</v>
      </c>
      <c r="T210" s="180" t="s">
        <v>1562</v>
      </c>
      <c r="U210" s="180" t="s">
        <v>1563</v>
      </c>
      <c r="V210" s="194" t="s">
        <v>1257</v>
      </c>
      <c r="W210" s="198" t="s">
        <v>1258</v>
      </c>
      <c r="X210" s="179">
        <f t="shared" si="9"/>
        <v>1500000</v>
      </c>
      <c r="Y210" s="184"/>
      <c r="Z210" s="184"/>
    </row>
    <row r="211" ht="16.5" customHeight="1">
      <c r="A211" s="175" t="s">
        <v>1966</v>
      </c>
      <c r="B211" s="175" t="s">
        <v>1093</v>
      </c>
      <c r="C211" s="175" t="s">
        <v>322</v>
      </c>
      <c r="D211" s="154" t="s">
        <v>1251</v>
      </c>
      <c r="E211" s="155" t="s">
        <v>1971</v>
      </c>
      <c r="F211" s="185">
        <v>46081.0</v>
      </c>
      <c r="G211" s="185">
        <v>46446.0</v>
      </c>
      <c r="H211" s="175"/>
      <c r="I211" s="186"/>
      <c r="J211" s="154">
        <v>2000000.0</v>
      </c>
      <c r="K211" s="154">
        <v>530000.0</v>
      </c>
      <c r="L211" s="154">
        <v>-30000.0</v>
      </c>
      <c r="M211" s="154">
        <f t="shared" si="10"/>
        <v>560000</v>
      </c>
      <c r="N211" s="154">
        <v>100000.0</v>
      </c>
      <c r="O211" s="175" t="s">
        <v>1972</v>
      </c>
      <c r="P211" s="175" t="s">
        <v>1973</v>
      </c>
      <c r="Q211" s="155" t="s">
        <v>1970</v>
      </c>
      <c r="R211" s="155" t="str">
        <f t="shared" ref="R211:S211" si="13">B211</f>
        <v>동지</v>
      </c>
      <c r="S211" s="155" t="str">
        <f t="shared" si="13"/>
        <v>B-1</v>
      </c>
      <c r="T211" s="155" t="s">
        <v>1562</v>
      </c>
      <c r="U211" s="155" t="s">
        <v>1563</v>
      </c>
      <c r="V211" s="157" t="s">
        <v>1257</v>
      </c>
      <c r="W211" s="292" t="s">
        <v>1258</v>
      </c>
      <c r="X211" s="154">
        <f t="shared" si="9"/>
        <v>1500000</v>
      </c>
      <c r="Y211" s="177"/>
      <c r="Z211" s="177"/>
    </row>
    <row r="212" ht="16.5" customHeight="1">
      <c r="A212" s="178" t="s">
        <v>1966</v>
      </c>
      <c r="B212" s="178" t="s">
        <v>1093</v>
      </c>
      <c r="C212" s="178" t="s">
        <v>323</v>
      </c>
      <c r="D212" s="179" t="s">
        <v>1265</v>
      </c>
      <c r="E212" s="180" t="s">
        <v>1110</v>
      </c>
      <c r="F212" s="181">
        <v>46082.0</v>
      </c>
      <c r="G212" s="181">
        <v>46259.0</v>
      </c>
      <c r="H212" s="178"/>
      <c r="I212" s="178"/>
      <c r="J212" s="179">
        <v>1000000.0</v>
      </c>
      <c r="K212" s="179">
        <v>420000.0</v>
      </c>
      <c r="L212" s="179">
        <v>-10000.0</v>
      </c>
      <c r="M212" s="179">
        <f t="shared" si="10"/>
        <v>430000</v>
      </c>
      <c r="N212" s="179">
        <v>100000.0</v>
      </c>
      <c r="O212" s="178" t="s">
        <v>1974</v>
      </c>
      <c r="P212" s="178" t="s">
        <v>1975</v>
      </c>
      <c r="Q212" s="180" t="s">
        <v>1970</v>
      </c>
      <c r="R212" s="180" t="str">
        <f t="shared" ref="R212:S212" si="14">B212</f>
        <v>동지</v>
      </c>
      <c r="S212" s="180" t="str">
        <f t="shared" si="14"/>
        <v>C-1</v>
      </c>
      <c r="T212" s="180" t="s">
        <v>1562</v>
      </c>
      <c r="U212" s="180" t="s">
        <v>1563</v>
      </c>
      <c r="V212" s="194" t="s">
        <v>1257</v>
      </c>
      <c r="W212" s="198" t="s">
        <v>1258</v>
      </c>
      <c r="X212" s="179">
        <f t="shared" si="9"/>
        <v>500000</v>
      </c>
      <c r="Y212" s="184"/>
      <c r="Z212" s="184" t="s">
        <v>1285</v>
      </c>
    </row>
    <row r="213" ht="16.5" customHeight="1">
      <c r="A213" s="209" t="s">
        <v>1966</v>
      </c>
      <c r="B213" s="209" t="s">
        <v>1093</v>
      </c>
      <c r="C213" s="209" t="s">
        <v>349</v>
      </c>
      <c r="D213" s="210" t="s">
        <v>1265</v>
      </c>
      <c r="E213" s="211" t="s">
        <v>1976</v>
      </c>
      <c r="F213" s="212">
        <v>46081.0</v>
      </c>
      <c r="G213" s="212">
        <v>46259.0</v>
      </c>
      <c r="H213" s="209"/>
      <c r="I213" s="213"/>
      <c r="J213" s="210">
        <v>2000000.0</v>
      </c>
      <c r="K213" s="210">
        <v>420000.0</v>
      </c>
      <c r="L213" s="210">
        <v>20000.0</v>
      </c>
      <c r="M213" s="210">
        <f t="shared" si="10"/>
        <v>400000</v>
      </c>
      <c r="N213" s="210">
        <v>100000.0</v>
      </c>
      <c r="O213" s="209" t="s">
        <v>1977</v>
      </c>
      <c r="P213" s="209" t="s">
        <v>1978</v>
      </c>
      <c r="Q213" s="211" t="s">
        <v>1970</v>
      </c>
      <c r="R213" s="211" t="str">
        <f t="shared" ref="R213:S213" si="15">B213</f>
        <v>동지</v>
      </c>
      <c r="S213" s="211" t="str">
        <f t="shared" si="15"/>
        <v>C-2</v>
      </c>
      <c r="T213" s="211" t="s">
        <v>1562</v>
      </c>
      <c r="U213" s="211" t="s">
        <v>1563</v>
      </c>
      <c r="V213" s="214" t="s">
        <v>1257</v>
      </c>
      <c r="W213" s="293" t="s">
        <v>1258</v>
      </c>
      <c r="X213" s="154">
        <f t="shared" si="9"/>
        <v>1500000</v>
      </c>
      <c r="Y213" s="222"/>
      <c r="Z213" s="177"/>
    </row>
    <row r="214" ht="16.5" customHeight="1">
      <c r="A214" s="178" t="s">
        <v>1966</v>
      </c>
      <c r="B214" s="178" t="s">
        <v>1122</v>
      </c>
      <c r="C214" s="178" t="s">
        <v>320</v>
      </c>
      <c r="D214" s="179" t="s">
        <v>1251</v>
      </c>
      <c r="E214" s="180" t="s">
        <v>1125</v>
      </c>
      <c r="F214" s="181">
        <v>46082.0</v>
      </c>
      <c r="G214" s="181">
        <v>46443.0</v>
      </c>
      <c r="H214" s="182"/>
      <c r="I214" s="178"/>
      <c r="J214" s="179">
        <v>2000000.0</v>
      </c>
      <c r="K214" s="179">
        <v>550000.0</v>
      </c>
      <c r="L214" s="179">
        <v>50000.0</v>
      </c>
      <c r="M214" s="179">
        <f t="shared" si="10"/>
        <v>500000</v>
      </c>
      <c r="N214" s="179">
        <v>100000.0</v>
      </c>
      <c r="O214" s="178" t="s">
        <v>1979</v>
      </c>
      <c r="P214" s="178" t="s">
        <v>1980</v>
      </c>
      <c r="Q214" s="180" t="s">
        <v>1981</v>
      </c>
      <c r="R214" s="180" t="str">
        <f t="shared" ref="R214:S214" si="16">B214</f>
        <v>동일</v>
      </c>
      <c r="S214" s="180" t="str">
        <f t="shared" si="16"/>
        <v>A-1</v>
      </c>
      <c r="T214" s="180" t="s">
        <v>1562</v>
      </c>
      <c r="U214" s="180" t="s">
        <v>1563</v>
      </c>
      <c r="V214" s="194" t="s">
        <v>1257</v>
      </c>
      <c r="W214" s="198" t="s">
        <v>1258</v>
      </c>
      <c r="X214" s="179">
        <f t="shared" si="9"/>
        <v>1500000</v>
      </c>
      <c r="Y214" s="184"/>
      <c r="Z214" s="184"/>
    </row>
    <row r="215" ht="16.5" customHeight="1">
      <c r="A215" s="175" t="s">
        <v>1966</v>
      </c>
      <c r="B215" s="175" t="s">
        <v>1122</v>
      </c>
      <c r="C215" s="175" t="s">
        <v>322</v>
      </c>
      <c r="D215" s="154" t="s">
        <v>1251</v>
      </c>
      <c r="E215" s="155" t="s">
        <v>1982</v>
      </c>
      <c r="F215" s="185">
        <v>46081.0</v>
      </c>
      <c r="G215" s="185">
        <v>46259.0</v>
      </c>
      <c r="H215" s="175"/>
      <c r="I215" s="175"/>
      <c r="J215" s="154">
        <v>2000000.0</v>
      </c>
      <c r="K215" s="154">
        <v>550000.0</v>
      </c>
      <c r="L215" s="154">
        <v>0.0</v>
      </c>
      <c r="M215" s="154">
        <f t="shared" si="10"/>
        <v>550000</v>
      </c>
      <c r="N215" s="154">
        <v>100000.0</v>
      </c>
      <c r="O215" s="175" t="s">
        <v>1983</v>
      </c>
      <c r="P215" s="175" t="s">
        <v>1984</v>
      </c>
      <c r="Q215" s="155" t="s">
        <v>1981</v>
      </c>
      <c r="R215" s="155" t="str">
        <f t="shared" ref="R215:S215" si="17">B215</f>
        <v>동일</v>
      </c>
      <c r="S215" s="155" t="str">
        <f t="shared" si="17"/>
        <v>B-1</v>
      </c>
      <c r="T215" s="155" t="s">
        <v>1562</v>
      </c>
      <c r="U215" s="155" t="s">
        <v>1563</v>
      </c>
      <c r="V215" s="157" t="s">
        <v>1257</v>
      </c>
      <c r="W215" s="292" t="s">
        <v>1258</v>
      </c>
      <c r="X215" s="154">
        <f t="shared" si="9"/>
        <v>1500000</v>
      </c>
      <c r="Y215" s="177"/>
      <c r="Z215" s="177"/>
    </row>
    <row r="216" ht="16.5" customHeight="1">
      <c r="A216" s="178" t="s">
        <v>1966</v>
      </c>
      <c r="B216" s="178" t="s">
        <v>1122</v>
      </c>
      <c r="C216" s="178" t="s">
        <v>323</v>
      </c>
      <c r="D216" s="179" t="s">
        <v>1265</v>
      </c>
      <c r="E216" s="180" t="s">
        <v>1985</v>
      </c>
      <c r="F216" s="181">
        <v>46079.0</v>
      </c>
      <c r="G216" s="181">
        <v>46443.0</v>
      </c>
      <c r="H216" s="178"/>
      <c r="I216" s="178"/>
      <c r="J216" s="179">
        <v>2000000.0</v>
      </c>
      <c r="K216" s="179">
        <v>420000.0</v>
      </c>
      <c r="L216" s="179">
        <v>50000.0</v>
      </c>
      <c r="M216" s="179">
        <f t="shared" si="10"/>
        <v>370000</v>
      </c>
      <c r="N216" s="179">
        <v>100000.0</v>
      </c>
      <c r="O216" s="178" t="s">
        <v>1986</v>
      </c>
      <c r="P216" s="178" t="s">
        <v>1987</v>
      </c>
      <c r="Q216" s="180" t="s">
        <v>1981</v>
      </c>
      <c r="R216" s="180" t="str">
        <f t="shared" ref="R216:S216" si="18">B216</f>
        <v>동일</v>
      </c>
      <c r="S216" s="180" t="str">
        <f t="shared" si="18"/>
        <v>C-1</v>
      </c>
      <c r="T216" s="180" t="s">
        <v>1562</v>
      </c>
      <c r="U216" s="180" t="s">
        <v>1563</v>
      </c>
      <c r="V216" s="194" t="s">
        <v>1257</v>
      </c>
      <c r="W216" s="198" t="s">
        <v>1258</v>
      </c>
      <c r="X216" s="179">
        <f t="shared" si="9"/>
        <v>1500000</v>
      </c>
      <c r="Y216" s="184"/>
      <c r="Z216" s="184"/>
    </row>
    <row r="217" ht="16.5" customHeight="1">
      <c r="A217" s="209" t="s">
        <v>1966</v>
      </c>
      <c r="B217" s="209" t="s">
        <v>1122</v>
      </c>
      <c r="C217" s="209" t="s">
        <v>349</v>
      </c>
      <c r="D217" s="210" t="s">
        <v>1265</v>
      </c>
      <c r="E217" s="211" t="s">
        <v>1988</v>
      </c>
      <c r="F217" s="212">
        <v>46077.0</v>
      </c>
      <c r="G217" s="212">
        <v>46257.0</v>
      </c>
      <c r="H217" s="209"/>
      <c r="I217" s="209"/>
      <c r="J217" s="210">
        <v>2000000.0</v>
      </c>
      <c r="K217" s="210">
        <v>420000.0</v>
      </c>
      <c r="L217" s="210">
        <v>0.0</v>
      </c>
      <c r="M217" s="210">
        <f t="shared" si="10"/>
        <v>420000</v>
      </c>
      <c r="N217" s="210">
        <v>100000.0</v>
      </c>
      <c r="O217" s="209" t="s">
        <v>1989</v>
      </c>
      <c r="P217" s="209" t="s">
        <v>1990</v>
      </c>
      <c r="Q217" s="211" t="s">
        <v>1981</v>
      </c>
      <c r="R217" s="211" t="str">
        <f t="shared" ref="R217:S217" si="19">B217</f>
        <v>동일</v>
      </c>
      <c r="S217" s="211" t="str">
        <f t="shared" si="19"/>
        <v>C-2</v>
      </c>
      <c r="T217" s="211" t="s">
        <v>1562</v>
      </c>
      <c r="U217" s="211" t="s">
        <v>1563</v>
      </c>
      <c r="V217" s="214" t="s">
        <v>1257</v>
      </c>
      <c r="W217" s="293" t="s">
        <v>1258</v>
      </c>
      <c r="X217" s="154">
        <f t="shared" si="9"/>
        <v>1500000</v>
      </c>
      <c r="Y217" s="177"/>
      <c r="Z217" s="177"/>
    </row>
    <row r="218" ht="16.5" customHeight="1">
      <c r="A218" s="178" t="s">
        <v>1966</v>
      </c>
      <c r="B218" s="178" t="s">
        <v>1138</v>
      </c>
      <c r="C218" s="178" t="s">
        <v>320</v>
      </c>
      <c r="D218" s="179" t="s">
        <v>1251</v>
      </c>
      <c r="E218" s="180" t="s">
        <v>1991</v>
      </c>
      <c r="F218" s="181">
        <v>46081.0</v>
      </c>
      <c r="G218" s="181">
        <v>46259.0</v>
      </c>
      <c r="H218" s="178"/>
      <c r="I218" s="183"/>
      <c r="J218" s="179">
        <v>2000000.0</v>
      </c>
      <c r="K218" s="179">
        <v>550000.0</v>
      </c>
      <c r="L218" s="179">
        <v>0.0</v>
      </c>
      <c r="M218" s="179">
        <f t="shared" si="10"/>
        <v>550000</v>
      </c>
      <c r="N218" s="179">
        <v>100000.0</v>
      </c>
      <c r="O218" s="178" t="s">
        <v>1992</v>
      </c>
      <c r="P218" s="178" t="s">
        <v>1993</v>
      </c>
      <c r="Q218" s="180" t="s">
        <v>1994</v>
      </c>
      <c r="R218" s="180" t="str">
        <f t="shared" ref="R218:S218" si="20">B218</f>
        <v>동이</v>
      </c>
      <c r="S218" s="180" t="str">
        <f t="shared" si="20"/>
        <v>A-1</v>
      </c>
      <c r="T218" s="180" t="s">
        <v>1562</v>
      </c>
      <c r="U218" s="180" t="s">
        <v>1563</v>
      </c>
      <c r="V218" s="194" t="s">
        <v>1257</v>
      </c>
      <c r="W218" s="198" t="s">
        <v>1258</v>
      </c>
      <c r="X218" s="179">
        <f t="shared" si="9"/>
        <v>1500000</v>
      </c>
      <c r="Y218" s="184"/>
      <c r="Z218" s="184"/>
    </row>
    <row r="219" ht="16.5" customHeight="1">
      <c r="A219" s="175" t="s">
        <v>1966</v>
      </c>
      <c r="B219" s="175" t="s">
        <v>1138</v>
      </c>
      <c r="C219" s="175" t="s">
        <v>322</v>
      </c>
      <c r="D219" s="154" t="s">
        <v>1251</v>
      </c>
      <c r="E219" s="155" t="s">
        <v>1995</v>
      </c>
      <c r="F219" s="185">
        <v>46082.0</v>
      </c>
      <c r="G219" s="185">
        <v>46446.0</v>
      </c>
      <c r="H219" s="154"/>
      <c r="I219" s="186"/>
      <c r="J219" s="154">
        <v>2000000.0</v>
      </c>
      <c r="K219" s="154">
        <v>530000.0</v>
      </c>
      <c r="L219" s="154"/>
      <c r="M219" s="154">
        <f t="shared" si="10"/>
        <v>530000</v>
      </c>
      <c r="N219" s="154">
        <v>100000.0</v>
      </c>
      <c r="O219" s="175"/>
      <c r="P219" s="175" t="s">
        <v>1996</v>
      </c>
      <c r="Q219" s="155" t="s">
        <v>1994</v>
      </c>
      <c r="R219" s="155" t="str">
        <f t="shared" ref="R219:S219" si="21">B219</f>
        <v>동이</v>
      </c>
      <c r="S219" s="155" t="str">
        <f t="shared" si="21"/>
        <v>B-1</v>
      </c>
      <c r="T219" s="155" t="s">
        <v>1562</v>
      </c>
      <c r="U219" s="155" t="s">
        <v>1563</v>
      </c>
      <c r="V219" s="157" t="s">
        <v>1257</v>
      </c>
      <c r="W219" s="292" t="s">
        <v>1258</v>
      </c>
      <c r="X219" s="154">
        <f t="shared" si="9"/>
        <v>1500000</v>
      </c>
      <c r="Y219" s="177"/>
      <c r="Z219" s="177" t="s">
        <v>1285</v>
      </c>
    </row>
    <row r="220">
      <c r="A220" s="178" t="s">
        <v>1966</v>
      </c>
      <c r="B220" s="178" t="s">
        <v>1138</v>
      </c>
      <c r="C220" s="178" t="s">
        <v>1997</v>
      </c>
      <c r="D220" s="179" t="s">
        <v>1265</v>
      </c>
      <c r="E220" s="180" t="s">
        <v>1998</v>
      </c>
      <c r="F220" s="181">
        <v>46081.0</v>
      </c>
      <c r="G220" s="181">
        <v>46259.0</v>
      </c>
      <c r="H220" s="182"/>
      <c r="I220" s="183"/>
      <c r="J220" s="179">
        <v>2000000.0</v>
      </c>
      <c r="K220" s="179">
        <v>420000.0</v>
      </c>
      <c r="L220" s="179"/>
      <c r="M220" s="179">
        <v>420000.0</v>
      </c>
      <c r="N220" s="179">
        <v>100000.0</v>
      </c>
      <c r="O220" s="178" t="s">
        <v>1999</v>
      </c>
      <c r="P220" s="178" t="s">
        <v>2000</v>
      </c>
      <c r="Q220" s="180" t="s">
        <v>1994</v>
      </c>
      <c r="R220" s="180" t="str">
        <f t="shared" ref="R220:S220" si="22">B220</f>
        <v>동이</v>
      </c>
      <c r="S220" s="180" t="str">
        <f t="shared" si="22"/>
        <v>C-1 오른쪽</v>
      </c>
      <c r="T220" s="180" t="s">
        <v>1562</v>
      </c>
      <c r="U220" s="180" t="s">
        <v>1563</v>
      </c>
      <c r="V220" s="194" t="s">
        <v>1257</v>
      </c>
      <c r="W220" s="198" t="s">
        <v>1258</v>
      </c>
      <c r="X220" s="179">
        <f t="shared" si="9"/>
        <v>1500000</v>
      </c>
      <c r="Y220" s="184"/>
      <c r="Z220" s="184"/>
    </row>
    <row r="221" ht="16.5" customHeight="1">
      <c r="A221" s="209" t="s">
        <v>1966</v>
      </c>
      <c r="B221" s="209" t="s">
        <v>1138</v>
      </c>
      <c r="C221" s="209" t="s">
        <v>2001</v>
      </c>
      <c r="D221" s="210" t="s">
        <v>1265</v>
      </c>
      <c r="E221" s="211" t="s">
        <v>2002</v>
      </c>
      <c r="F221" s="212">
        <v>46054.0</v>
      </c>
      <c r="G221" s="212">
        <v>46443.0</v>
      </c>
      <c r="H221" s="209"/>
      <c r="I221" s="209"/>
      <c r="J221" s="210">
        <v>2000000.0</v>
      </c>
      <c r="K221" s="210">
        <v>420000.0</v>
      </c>
      <c r="L221" s="210">
        <v>50000.0</v>
      </c>
      <c r="M221" s="210">
        <f t="shared" ref="M221:M230" si="24">K221-L221</f>
        <v>370000</v>
      </c>
      <c r="N221" s="210">
        <v>100000.0</v>
      </c>
      <c r="O221" s="209" t="s">
        <v>2003</v>
      </c>
      <c r="P221" s="209" t="s">
        <v>2004</v>
      </c>
      <c r="Q221" s="211" t="s">
        <v>1994</v>
      </c>
      <c r="R221" s="211" t="str">
        <f t="shared" ref="R221:S221" si="23">B221</f>
        <v>동이</v>
      </c>
      <c r="S221" s="211" t="str">
        <f t="shared" si="23"/>
        <v>C-2 왼쪽(문쪽)</v>
      </c>
      <c r="T221" s="211" t="s">
        <v>1562</v>
      </c>
      <c r="U221" s="211" t="s">
        <v>1563</v>
      </c>
      <c r="V221" s="214" t="s">
        <v>1257</v>
      </c>
      <c r="W221" s="293" t="s">
        <v>1258</v>
      </c>
      <c r="X221" s="154">
        <f t="shared" si="9"/>
        <v>1500000</v>
      </c>
      <c r="Y221" s="222"/>
      <c r="Z221" s="177"/>
    </row>
    <row r="222" ht="16.5" customHeight="1">
      <c r="A222" s="178" t="s">
        <v>1966</v>
      </c>
      <c r="B222" s="178" t="s">
        <v>1165</v>
      </c>
      <c r="C222" s="178" t="s">
        <v>320</v>
      </c>
      <c r="D222" s="179" t="s">
        <v>1251</v>
      </c>
      <c r="E222" s="180" t="s">
        <v>1174</v>
      </c>
      <c r="F222" s="181">
        <v>46082.0</v>
      </c>
      <c r="G222" s="181">
        <v>46443.0</v>
      </c>
      <c r="H222" s="178"/>
      <c r="I222" s="178"/>
      <c r="J222" s="179">
        <v>2000000.0</v>
      </c>
      <c r="K222" s="179">
        <v>550000.0</v>
      </c>
      <c r="L222" s="179">
        <v>50000.0</v>
      </c>
      <c r="M222" s="179">
        <f t="shared" si="24"/>
        <v>500000</v>
      </c>
      <c r="N222" s="179">
        <v>100000.0</v>
      </c>
      <c r="O222" s="178" t="s">
        <v>2005</v>
      </c>
      <c r="P222" s="178" t="s">
        <v>2006</v>
      </c>
      <c r="Q222" s="180" t="s">
        <v>2007</v>
      </c>
      <c r="R222" s="180" t="str">
        <f t="shared" ref="R222:S222" si="25">B222</f>
        <v>동삼</v>
      </c>
      <c r="S222" s="180" t="str">
        <f t="shared" si="25"/>
        <v>A-1</v>
      </c>
      <c r="T222" s="180" t="s">
        <v>1562</v>
      </c>
      <c r="U222" s="180" t="s">
        <v>1563</v>
      </c>
      <c r="V222" s="194" t="s">
        <v>1257</v>
      </c>
      <c r="W222" s="198" t="s">
        <v>1258</v>
      </c>
      <c r="X222" s="179">
        <f t="shared" si="9"/>
        <v>1500000</v>
      </c>
      <c r="Y222" s="184"/>
      <c r="Z222" s="184"/>
    </row>
    <row r="223" ht="16.5" customHeight="1">
      <c r="A223" s="175" t="s">
        <v>1966</v>
      </c>
      <c r="B223" s="175" t="s">
        <v>1165</v>
      </c>
      <c r="C223" s="175" t="s">
        <v>322</v>
      </c>
      <c r="D223" s="154" t="s">
        <v>1251</v>
      </c>
      <c r="E223" s="155" t="s">
        <v>2008</v>
      </c>
      <c r="F223" s="185">
        <v>46081.0</v>
      </c>
      <c r="G223" s="185">
        <v>46443.0</v>
      </c>
      <c r="H223" s="175"/>
      <c r="I223" s="186"/>
      <c r="J223" s="154">
        <v>2000000.0</v>
      </c>
      <c r="K223" s="154">
        <v>550000.0</v>
      </c>
      <c r="L223" s="154">
        <v>50000.0</v>
      </c>
      <c r="M223" s="154">
        <f t="shared" si="24"/>
        <v>500000</v>
      </c>
      <c r="N223" s="154">
        <v>100000.0</v>
      </c>
      <c r="O223" s="175" t="s">
        <v>2009</v>
      </c>
      <c r="P223" s="175" t="s">
        <v>2010</v>
      </c>
      <c r="Q223" s="155" t="s">
        <v>2007</v>
      </c>
      <c r="R223" s="155" t="str">
        <f t="shared" ref="R223:S223" si="26">B223</f>
        <v>동삼</v>
      </c>
      <c r="S223" s="155" t="str">
        <f t="shared" si="26"/>
        <v>B-1</v>
      </c>
      <c r="T223" s="155" t="s">
        <v>1562</v>
      </c>
      <c r="U223" s="155" t="s">
        <v>1563</v>
      </c>
      <c r="V223" s="157" t="s">
        <v>1257</v>
      </c>
      <c r="W223" s="292" t="s">
        <v>1258</v>
      </c>
      <c r="X223" s="154">
        <f t="shared" si="9"/>
        <v>1500000</v>
      </c>
      <c r="Y223" s="177"/>
      <c r="Z223" s="177"/>
    </row>
    <row r="224" ht="16.5" customHeight="1">
      <c r="A224" s="178" t="s">
        <v>1966</v>
      </c>
      <c r="B224" s="178" t="s">
        <v>1165</v>
      </c>
      <c r="C224" s="178" t="s">
        <v>323</v>
      </c>
      <c r="D224" s="179" t="s">
        <v>1265</v>
      </c>
      <c r="E224" s="180" t="s">
        <v>2011</v>
      </c>
      <c r="F224" s="181">
        <v>46082.0</v>
      </c>
      <c r="G224" s="181">
        <v>46443.0</v>
      </c>
      <c r="H224" s="178"/>
      <c r="I224" s="183"/>
      <c r="J224" s="179">
        <v>2000000.0</v>
      </c>
      <c r="K224" s="179">
        <v>420000.0</v>
      </c>
      <c r="L224" s="179">
        <v>50000.0</v>
      </c>
      <c r="M224" s="179">
        <f t="shared" si="24"/>
        <v>370000</v>
      </c>
      <c r="N224" s="179">
        <v>100000.0</v>
      </c>
      <c r="O224" s="178" t="s">
        <v>2012</v>
      </c>
      <c r="P224" s="178" t="s">
        <v>2013</v>
      </c>
      <c r="Q224" s="180" t="s">
        <v>2007</v>
      </c>
      <c r="R224" s="180" t="str">
        <f t="shared" ref="R224:S224" si="27">B224</f>
        <v>동삼</v>
      </c>
      <c r="S224" s="180" t="str">
        <f t="shared" si="27"/>
        <v>C-1</v>
      </c>
      <c r="T224" s="180" t="s">
        <v>1562</v>
      </c>
      <c r="U224" s="180" t="s">
        <v>1563</v>
      </c>
      <c r="V224" s="194" t="s">
        <v>1257</v>
      </c>
      <c r="W224" s="198" t="s">
        <v>1258</v>
      </c>
      <c r="X224" s="179">
        <f t="shared" si="9"/>
        <v>1500000</v>
      </c>
      <c r="Y224" s="184"/>
      <c r="Z224" s="184"/>
    </row>
    <row r="225" ht="16.5" customHeight="1">
      <c r="A225" s="209" t="s">
        <v>1966</v>
      </c>
      <c r="B225" s="209" t="s">
        <v>1165</v>
      </c>
      <c r="C225" s="209" t="s">
        <v>349</v>
      </c>
      <c r="D225" s="210" t="s">
        <v>1265</v>
      </c>
      <c r="E225" s="211" t="s">
        <v>2014</v>
      </c>
      <c r="F225" s="212">
        <v>46082.0</v>
      </c>
      <c r="G225" s="212">
        <v>46443.0</v>
      </c>
      <c r="H225" s="209"/>
      <c r="I225" s="213"/>
      <c r="J225" s="210">
        <v>2000000.0</v>
      </c>
      <c r="K225" s="210">
        <v>420000.0</v>
      </c>
      <c r="L225" s="210">
        <v>50000.0</v>
      </c>
      <c r="M225" s="210">
        <f t="shared" si="24"/>
        <v>370000</v>
      </c>
      <c r="N225" s="210">
        <v>100000.0</v>
      </c>
      <c r="O225" s="209" t="s">
        <v>2015</v>
      </c>
      <c r="P225" s="209" t="s">
        <v>2016</v>
      </c>
      <c r="Q225" s="211" t="s">
        <v>2007</v>
      </c>
      <c r="R225" s="211" t="str">
        <f t="shared" ref="R225:S225" si="28">B225</f>
        <v>동삼</v>
      </c>
      <c r="S225" s="211" t="str">
        <f t="shared" si="28"/>
        <v>C-2</v>
      </c>
      <c r="T225" s="211" t="s">
        <v>1562</v>
      </c>
      <c r="U225" s="211" t="s">
        <v>1563</v>
      </c>
      <c r="V225" s="214" t="s">
        <v>1257</v>
      </c>
      <c r="W225" s="293" t="s">
        <v>1258</v>
      </c>
      <c r="X225" s="154">
        <f t="shared" si="9"/>
        <v>1500000</v>
      </c>
      <c r="Y225" s="177"/>
      <c r="Z225" s="177"/>
    </row>
    <row r="226" ht="16.5" customHeight="1">
      <c r="A226" s="178" t="s">
        <v>1966</v>
      </c>
      <c r="B226" s="178" t="s">
        <v>1180</v>
      </c>
      <c r="C226" s="178" t="s">
        <v>323</v>
      </c>
      <c r="D226" s="179" t="s">
        <v>1251</v>
      </c>
      <c r="E226" s="180" t="s">
        <v>2017</v>
      </c>
      <c r="F226" s="181">
        <v>46079.0</v>
      </c>
      <c r="G226" s="181">
        <v>46443.0</v>
      </c>
      <c r="H226" s="178"/>
      <c r="I226" s="183"/>
      <c r="J226" s="179">
        <v>2000000.0</v>
      </c>
      <c r="K226" s="179">
        <v>550000.0</v>
      </c>
      <c r="L226" s="179">
        <v>50000.0</v>
      </c>
      <c r="M226" s="179">
        <f t="shared" si="24"/>
        <v>500000</v>
      </c>
      <c r="N226" s="179">
        <v>100000.0</v>
      </c>
      <c r="O226" s="178" t="s">
        <v>2018</v>
      </c>
      <c r="P226" s="178" t="s">
        <v>2019</v>
      </c>
      <c r="Q226" s="180" t="s">
        <v>2020</v>
      </c>
      <c r="R226" s="180" t="str">
        <f t="shared" ref="R226:S226" si="29">B226</f>
        <v>동동</v>
      </c>
      <c r="S226" s="180" t="str">
        <f t="shared" si="29"/>
        <v>C-1</v>
      </c>
      <c r="T226" s="180" t="s">
        <v>216</v>
      </c>
      <c r="U226" s="194" t="s">
        <v>1421</v>
      </c>
      <c r="V226" s="194" t="s">
        <v>1352</v>
      </c>
      <c r="W226" s="180" t="s">
        <v>1353</v>
      </c>
      <c r="X226" s="179">
        <f t="shared" si="9"/>
        <v>1500000</v>
      </c>
      <c r="Y226" s="184"/>
      <c r="Z226" s="184"/>
    </row>
    <row r="227" ht="16.5" customHeight="1">
      <c r="A227" s="175" t="s">
        <v>1966</v>
      </c>
      <c r="B227" s="175" t="s">
        <v>1180</v>
      </c>
      <c r="C227" s="175" t="s">
        <v>1185</v>
      </c>
      <c r="D227" s="154" t="s">
        <v>1265</v>
      </c>
      <c r="E227" s="155" t="s">
        <v>2021</v>
      </c>
      <c r="F227" s="185">
        <v>46073.0</v>
      </c>
      <c r="G227" s="185">
        <v>46254.0</v>
      </c>
      <c r="H227" s="175"/>
      <c r="I227" s="186"/>
      <c r="J227" s="154">
        <v>2000000.0</v>
      </c>
      <c r="K227" s="154">
        <v>420000.0</v>
      </c>
      <c r="L227" s="154">
        <v>-230000.0</v>
      </c>
      <c r="M227" s="154">
        <f t="shared" si="24"/>
        <v>650000</v>
      </c>
      <c r="N227" s="154">
        <v>150000.0</v>
      </c>
      <c r="O227" s="175" t="s">
        <v>2022</v>
      </c>
      <c r="P227" s="175" t="s">
        <v>2023</v>
      </c>
      <c r="Q227" s="155" t="s">
        <v>2020</v>
      </c>
      <c r="R227" s="155" t="str">
        <f t="shared" ref="R227:S227" si="30">B227</f>
        <v>동동</v>
      </c>
      <c r="S227" s="155" t="str">
        <f t="shared" si="30"/>
        <v>A-1 S</v>
      </c>
      <c r="T227" s="155" t="s">
        <v>216</v>
      </c>
      <c r="U227" s="155" t="s">
        <v>2024</v>
      </c>
      <c r="V227" s="157" t="s">
        <v>1352</v>
      </c>
      <c r="W227" s="155" t="s">
        <v>1353</v>
      </c>
      <c r="X227" s="154">
        <f t="shared" si="9"/>
        <v>1500000</v>
      </c>
      <c r="Y227" s="177"/>
      <c r="Z227" s="177"/>
    </row>
    <row r="228" ht="16.5" customHeight="1">
      <c r="A228" s="178" t="s">
        <v>1966</v>
      </c>
      <c r="B228" s="178" t="s">
        <v>1180</v>
      </c>
      <c r="C228" s="178" t="s">
        <v>1189</v>
      </c>
      <c r="D228" s="179" t="s">
        <v>1265</v>
      </c>
      <c r="E228" s="180" t="s">
        <v>2021</v>
      </c>
      <c r="F228" s="181">
        <v>46073.0</v>
      </c>
      <c r="G228" s="181">
        <v>46254.0</v>
      </c>
      <c r="H228" s="178"/>
      <c r="I228" s="183"/>
      <c r="J228" s="179">
        <v>2000000.0</v>
      </c>
      <c r="K228" s="179">
        <v>420000.0</v>
      </c>
      <c r="L228" s="179">
        <v>-230000.0</v>
      </c>
      <c r="M228" s="179">
        <f t="shared" si="24"/>
        <v>650000</v>
      </c>
      <c r="N228" s="179">
        <v>150000.0</v>
      </c>
      <c r="O228" s="178" t="s">
        <v>2022</v>
      </c>
      <c r="P228" s="178" t="s">
        <v>2023</v>
      </c>
      <c r="Q228" s="180" t="s">
        <v>2020</v>
      </c>
      <c r="R228" s="180" t="str">
        <f t="shared" ref="R228:S228" si="31">B228</f>
        <v>동동</v>
      </c>
      <c r="S228" s="180" t="str">
        <f t="shared" si="31"/>
        <v>A-2 S</v>
      </c>
      <c r="T228" s="180" t="s">
        <v>216</v>
      </c>
      <c r="U228" s="194" t="s">
        <v>1421</v>
      </c>
      <c r="V228" s="194" t="s">
        <v>1352</v>
      </c>
      <c r="W228" s="180" t="s">
        <v>1353</v>
      </c>
      <c r="X228" s="179">
        <f t="shared" si="9"/>
        <v>1500000</v>
      </c>
      <c r="Y228" s="184"/>
      <c r="Z228" s="184"/>
    </row>
    <row r="229" ht="16.5" customHeight="1">
      <c r="A229" s="175" t="s">
        <v>1966</v>
      </c>
      <c r="B229" s="175" t="s">
        <v>1180</v>
      </c>
      <c r="C229" s="175" t="s">
        <v>1192</v>
      </c>
      <c r="D229" s="154" t="s">
        <v>1265</v>
      </c>
      <c r="E229" s="155" t="s">
        <v>39</v>
      </c>
      <c r="F229" s="185">
        <v>46069.0</v>
      </c>
      <c r="G229" s="185">
        <v>46443.0</v>
      </c>
      <c r="H229" s="175"/>
      <c r="I229" s="186"/>
      <c r="J229" s="154">
        <v>1000000.0</v>
      </c>
      <c r="K229" s="154">
        <v>450000.0</v>
      </c>
      <c r="L229" s="154">
        <v>50000.0</v>
      </c>
      <c r="M229" s="154">
        <f t="shared" si="24"/>
        <v>400000</v>
      </c>
      <c r="N229" s="154">
        <v>100000.0</v>
      </c>
      <c r="O229" s="175" t="s">
        <v>2025</v>
      </c>
      <c r="P229" s="175" t="s">
        <v>2026</v>
      </c>
      <c r="Q229" s="155" t="s">
        <v>2020</v>
      </c>
      <c r="R229" s="155" t="str">
        <f t="shared" ref="R229:S229" si="32">B229</f>
        <v>동동</v>
      </c>
      <c r="S229" s="155" t="str">
        <f t="shared" si="32"/>
        <v>B-1 L</v>
      </c>
      <c r="T229" s="155" t="s">
        <v>216</v>
      </c>
      <c r="U229" s="157" t="s">
        <v>1421</v>
      </c>
      <c r="V229" s="157" t="s">
        <v>1352</v>
      </c>
      <c r="W229" s="155" t="s">
        <v>1353</v>
      </c>
      <c r="X229" s="154">
        <f t="shared" si="9"/>
        <v>500000</v>
      </c>
      <c r="Y229" s="177"/>
      <c r="Z229" s="177"/>
    </row>
    <row r="230" ht="16.5" customHeight="1">
      <c r="A230" s="187" t="s">
        <v>1966</v>
      </c>
      <c r="B230" s="187" t="s">
        <v>1180</v>
      </c>
      <c r="C230" s="187" t="s">
        <v>1196</v>
      </c>
      <c r="D230" s="188" t="s">
        <v>1265</v>
      </c>
      <c r="E230" s="189" t="s">
        <v>2027</v>
      </c>
      <c r="F230" s="190">
        <v>46082.0</v>
      </c>
      <c r="G230" s="190">
        <v>46259.0</v>
      </c>
      <c r="H230" s="294"/>
      <c r="I230" s="187"/>
      <c r="J230" s="188">
        <v>2000000.0</v>
      </c>
      <c r="K230" s="188">
        <v>450000.0</v>
      </c>
      <c r="L230" s="188">
        <v>0.0</v>
      </c>
      <c r="M230" s="188">
        <f t="shared" si="24"/>
        <v>450000</v>
      </c>
      <c r="N230" s="188">
        <v>100000.0</v>
      </c>
      <c r="O230" s="187" t="s">
        <v>2028</v>
      </c>
      <c r="P230" s="187" t="s">
        <v>2029</v>
      </c>
      <c r="Q230" s="189" t="s">
        <v>2020</v>
      </c>
      <c r="R230" s="189" t="str">
        <f t="shared" ref="R230:S230" si="33">B230</f>
        <v>동동</v>
      </c>
      <c r="S230" s="189" t="str">
        <f t="shared" si="33"/>
        <v>B-2 L</v>
      </c>
      <c r="T230" s="189" t="s">
        <v>216</v>
      </c>
      <c r="U230" s="195" t="s">
        <v>1421</v>
      </c>
      <c r="V230" s="195" t="s">
        <v>1352</v>
      </c>
      <c r="W230" s="189" t="s">
        <v>1353</v>
      </c>
      <c r="X230" s="179">
        <f t="shared" si="9"/>
        <v>1500000</v>
      </c>
      <c r="Y230" s="184"/>
      <c r="Z230" s="184"/>
    </row>
    <row r="231" ht="16.5" customHeight="1">
      <c r="A231" s="239"/>
      <c r="B231" s="175"/>
      <c r="C231" s="175"/>
      <c r="D231" s="175"/>
      <c r="E231" s="155"/>
      <c r="F231" s="175"/>
      <c r="G231" s="175"/>
      <c r="H231" s="175"/>
      <c r="I231" s="175"/>
      <c r="J231" s="175"/>
      <c r="K231" s="175"/>
      <c r="L231" s="155"/>
      <c r="M231" s="155"/>
      <c r="N231" s="175"/>
      <c r="O231" s="175"/>
      <c r="P231" s="175"/>
      <c r="Q231" s="155"/>
      <c r="R231" s="156"/>
      <c r="S231" s="156"/>
      <c r="T231" s="156"/>
      <c r="U231" s="157"/>
      <c r="V231" s="157"/>
      <c r="W231" s="156"/>
      <c r="X231" s="239"/>
      <c r="Y231" s="295"/>
      <c r="Z231" s="295"/>
    </row>
  </sheetData>
  <autoFilter ref="$A$4:$Z$230"/>
  <customSheetViews>
    <customSheetView guid="{271B9689-9ED1-4E23-B189-74F03AADFFA0}" filter="1" showAutoFilter="1">
      <autoFilter ref="$A$4:$X$209">
        <filterColumn colId="19">
          <filters>
            <filter val="(주)나마네"/>
            <filter val="(주)공진"/>
            <filter val="유재훈(곰곰쉐어)"/>
            <filter val="박미선"/>
            <filter val="(주)공진 이승민"/>
            <filter val="이승민"/>
          </filters>
        </filterColumn>
      </autoFilter>
    </customSheetView>
  </customSheetViews>
  <conditionalFormatting sqref="G5:G15 F6 G17:G29 G31:G34 G36:G43 G45:G84 H69 G87:G149 G151:G155 G157:G165 G168:G198 F181 G200:G203 G205:G216 G218:G219 G221:G231">
    <cfRule type="expression" dxfId="3" priority="1">
      <formula>AND(G5&lt;&gt;"", G5-TODAY()&lt;=45, G5-TODAY()&gt;=0)</formula>
    </cfRule>
  </conditionalFormatting>
  <dataValidations>
    <dataValidation type="list" allowBlank="1" showErrorMessage="1" sqref="A5:A230">
      <formula1>'하우스정보'!$C$3:$C$49</formula1>
    </dataValidation>
    <dataValidation type="list" allowBlank="1" showErrorMessage="1" sqref="B5:B230">
      <formula1>'데이터'!$D$3:$D$57</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Row="1"/>
  <cols>
    <col customWidth="1" min="1" max="1" width="7.0"/>
    <col customWidth="1" min="2" max="3" width="16.75"/>
    <col customWidth="1" min="4" max="4" width="15.5"/>
    <col customWidth="1" min="5" max="39" width="10.75"/>
    <col customWidth="1" hidden="1" min="42" max="43" width="16.25"/>
    <col hidden="1" min="44" max="66" width="12.63"/>
  </cols>
  <sheetData>
    <row r="1" ht="23.25" customHeight="1">
      <c r="A1" s="296" t="s">
        <v>1210</v>
      </c>
      <c r="B1" s="297" t="s">
        <v>0</v>
      </c>
      <c r="C1" s="298" t="s">
        <v>1</v>
      </c>
      <c r="D1" s="299" t="s">
        <v>2</v>
      </c>
      <c r="E1" s="300" t="s">
        <v>3</v>
      </c>
      <c r="F1" s="301">
        <v>1.0</v>
      </c>
      <c r="G1" s="299" t="s">
        <v>4</v>
      </c>
      <c r="H1" s="300" t="s">
        <v>5</v>
      </c>
      <c r="I1" s="301">
        <v>2.0</v>
      </c>
      <c r="J1" s="299" t="s">
        <v>6</v>
      </c>
      <c r="K1" s="300" t="s">
        <v>7</v>
      </c>
      <c r="L1" s="301">
        <v>3.0</v>
      </c>
      <c r="M1" s="299" t="s">
        <v>8</v>
      </c>
      <c r="N1" s="300" t="s">
        <v>9</v>
      </c>
      <c r="O1" s="301">
        <v>4.0</v>
      </c>
      <c r="P1" s="299" t="s">
        <v>10</v>
      </c>
      <c r="Q1" s="300" t="s">
        <v>11</v>
      </c>
      <c r="R1" s="301">
        <v>5.0</v>
      </c>
      <c r="S1" s="299" t="s">
        <v>12</v>
      </c>
      <c r="T1" s="300" t="s">
        <v>13</v>
      </c>
      <c r="U1" s="301">
        <v>6.0</v>
      </c>
      <c r="V1" s="299" t="s">
        <v>14</v>
      </c>
      <c r="W1" s="300" t="s">
        <v>15</v>
      </c>
      <c r="X1" s="301">
        <v>7.0</v>
      </c>
      <c r="Y1" s="299" t="s">
        <v>16</v>
      </c>
      <c r="Z1" s="300" t="s">
        <v>17</v>
      </c>
      <c r="AA1" s="301">
        <v>8.0</v>
      </c>
      <c r="AB1" s="299" t="s">
        <v>18</v>
      </c>
      <c r="AC1" s="300" t="s">
        <v>19</v>
      </c>
      <c r="AD1" s="301">
        <v>9.0</v>
      </c>
      <c r="AE1" s="299" t="s">
        <v>20</v>
      </c>
      <c r="AF1" s="300" t="s">
        <v>21</v>
      </c>
      <c r="AG1" s="301">
        <v>10.0</v>
      </c>
      <c r="AH1" s="299" t="s">
        <v>22</v>
      </c>
      <c r="AI1" s="300" t="s">
        <v>23</v>
      </c>
      <c r="AJ1" s="301">
        <v>11.0</v>
      </c>
      <c r="AK1" s="299" t="s">
        <v>24</v>
      </c>
      <c r="AL1" s="300" t="s">
        <v>25</v>
      </c>
      <c r="AM1" s="301">
        <v>12.0</v>
      </c>
      <c r="AN1" s="302" t="s">
        <v>26</v>
      </c>
      <c r="AO1" s="302" t="s">
        <v>1210</v>
      </c>
      <c r="AP1" s="302" t="s">
        <v>1210</v>
      </c>
      <c r="AQ1" s="302" t="s">
        <v>1210</v>
      </c>
      <c r="AR1" s="302" t="s">
        <v>1210</v>
      </c>
      <c r="AS1" s="302" t="s">
        <v>1210</v>
      </c>
      <c r="AT1" s="302" t="s">
        <v>1210</v>
      </c>
      <c r="AU1" s="302" t="s">
        <v>1210</v>
      </c>
      <c r="AV1" s="302" t="s">
        <v>1210</v>
      </c>
      <c r="AW1" s="302" t="s">
        <v>1210</v>
      </c>
      <c r="AX1" s="302" t="s">
        <v>1210</v>
      </c>
      <c r="AY1" s="302" t="s">
        <v>1210</v>
      </c>
      <c r="AZ1" s="302" t="s">
        <v>1210</v>
      </c>
      <c r="BA1" s="302" t="s">
        <v>1210</v>
      </c>
      <c r="BB1" s="302" t="s">
        <v>1210</v>
      </c>
      <c r="BC1" s="302" t="s">
        <v>1210</v>
      </c>
      <c r="BD1" s="302" t="s">
        <v>1210</v>
      </c>
      <c r="BE1" s="302" t="s">
        <v>1210</v>
      </c>
      <c r="BF1" s="302" t="s">
        <v>1210</v>
      </c>
      <c r="BG1" s="302" t="s">
        <v>1210</v>
      </c>
      <c r="BH1" s="302" t="s">
        <v>1210</v>
      </c>
      <c r="BI1" s="302" t="s">
        <v>1210</v>
      </c>
      <c r="BJ1" s="302" t="s">
        <v>1210</v>
      </c>
      <c r="BK1" s="302" t="s">
        <v>1210</v>
      </c>
      <c r="BL1" s="302" t="s">
        <v>1210</v>
      </c>
      <c r="BM1" s="302" t="s">
        <v>1210</v>
      </c>
      <c r="BN1" s="302" t="s">
        <v>1210</v>
      </c>
    </row>
    <row r="2">
      <c r="A2" s="303" t="s">
        <v>2030</v>
      </c>
      <c r="B2" s="304" t="s">
        <v>27</v>
      </c>
      <c r="C2" s="305" t="str">
        <f>'입주자'!C5</f>
        <v>A-1) 1인실 우측</v>
      </c>
      <c r="D2" s="306" t="s">
        <v>2031</v>
      </c>
      <c r="E2" s="307">
        <v>620000.0</v>
      </c>
      <c r="F2" s="308">
        <v>100000.0</v>
      </c>
      <c r="G2" s="309" t="s">
        <v>2032</v>
      </c>
      <c r="H2" s="307">
        <v>620000.0</v>
      </c>
      <c r="I2" s="308">
        <v>100000.0</v>
      </c>
      <c r="J2" s="310" t="s">
        <v>1252</v>
      </c>
      <c r="K2" s="311">
        <v>680000.0</v>
      </c>
      <c r="L2" s="308">
        <v>100000.0</v>
      </c>
      <c r="M2" s="312" t="s">
        <v>1252</v>
      </c>
      <c r="N2" s="311">
        <v>680000.0</v>
      </c>
      <c r="O2" s="308">
        <v>100000.0</v>
      </c>
      <c r="P2" s="312" t="s">
        <v>1252</v>
      </c>
      <c r="Q2" s="311">
        <v>680000.0</v>
      </c>
      <c r="R2" s="308">
        <v>100000.0</v>
      </c>
      <c r="S2" s="312" t="s">
        <v>2033</v>
      </c>
      <c r="T2" s="311">
        <v>544024.0</v>
      </c>
      <c r="U2" s="313">
        <v>80000.0</v>
      </c>
      <c r="V2" s="310"/>
      <c r="W2" s="314"/>
      <c r="X2" s="315"/>
      <c r="Y2" s="310"/>
      <c r="Z2" s="314"/>
      <c r="AA2" s="315"/>
      <c r="AB2" s="310"/>
      <c r="AC2" s="314"/>
      <c r="AD2" s="315"/>
      <c r="AE2" s="310"/>
      <c r="AF2" s="314"/>
      <c r="AG2" s="315"/>
      <c r="AH2" s="310"/>
      <c r="AI2" s="314"/>
      <c r="AJ2" s="315"/>
      <c r="AK2" s="310"/>
      <c r="AL2" s="314"/>
      <c r="AM2" s="315"/>
      <c r="AN2" s="316" t="s">
        <v>33</v>
      </c>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row>
    <row r="3">
      <c r="A3" s="303" t="s">
        <v>2030</v>
      </c>
      <c r="B3" s="317" t="s">
        <v>34</v>
      </c>
      <c r="C3" s="305" t="str">
        <f>'입주자'!C6</f>
        <v>B-1) 1인실 좌측</v>
      </c>
      <c r="D3" s="309" t="s">
        <v>1261</v>
      </c>
      <c r="E3" s="307">
        <v>590000.0</v>
      </c>
      <c r="F3" s="308">
        <v>100000.0</v>
      </c>
      <c r="G3" s="309" t="s">
        <v>1261</v>
      </c>
      <c r="H3" s="307">
        <v>590000.0</v>
      </c>
      <c r="I3" s="308">
        <v>100000.0</v>
      </c>
      <c r="J3" s="309" t="s">
        <v>1261</v>
      </c>
      <c r="K3" s="307">
        <v>590000.0</v>
      </c>
      <c r="L3" s="308">
        <v>100000.0</v>
      </c>
      <c r="M3" s="309" t="s">
        <v>1261</v>
      </c>
      <c r="N3" s="307">
        <v>590000.0</v>
      </c>
      <c r="O3" s="308">
        <v>100000.0</v>
      </c>
      <c r="P3" s="309" t="s">
        <v>2034</v>
      </c>
      <c r="Q3" s="307">
        <v>590000.0</v>
      </c>
      <c r="R3" s="308">
        <v>100000.0</v>
      </c>
      <c r="S3" s="310"/>
      <c r="T3" s="314"/>
      <c r="U3" s="315"/>
      <c r="V3" s="310"/>
      <c r="W3" s="314"/>
      <c r="X3" s="315"/>
      <c r="Y3" s="310"/>
      <c r="Z3" s="314"/>
      <c r="AA3" s="315"/>
      <c r="AB3" s="310"/>
      <c r="AC3" s="314"/>
      <c r="AD3" s="315"/>
      <c r="AE3" s="310"/>
      <c r="AF3" s="314"/>
      <c r="AG3" s="315"/>
      <c r="AH3" s="310"/>
      <c r="AI3" s="314"/>
      <c r="AJ3" s="315"/>
      <c r="AK3" s="310"/>
      <c r="AL3" s="314"/>
      <c r="AM3" s="315"/>
      <c r="AN3" s="316" t="s">
        <v>33</v>
      </c>
      <c r="AO3" s="316"/>
      <c r="AP3" s="316"/>
      <c r="AQ3" s="316"/>
      <c r="AR3" s="316"/>
      <c r="AS3" s="316"/>
      <c r="AT3" s="316"/>
      <c r="AU3" s="316"/>
      <c r="AV3" s="316"/>
      <c r="AW3" s="316"/>
      <c r="AX3" s="316"/>
      <c r="AY3" s="316"/>
      <c r="AZ3" s="316"/>
      <c r="BA3" s="316"/>
      <c r="BB3" s="316"/>
      <c r="BC3" s="316"/>
      <c r="BD3" s="316"/>
      <c r="BE3" s="316"/>
      <c r="BF3" s="316"/>
      <c r="BG3" s="316"/>
      <c r="BH3" s="316"/>
      <c r="BI3" s="316"/>
      <c r="BJ3" s="316"/>
      <c r="BK3" s="316"/>
      <c r="BL3" s="316"/>
      <c r="BM3" s="316"/>
      <c r="BN3" s="316"/>
    </row>
    <row r="4">
      <c r="A4" s="303" t="s">
        <v>2030</v>
      </c>
      <c r="B4" s="304" t="s">
        <v>27</v>
      </c>
      <c r="C4" s="305" t="str">
        <f>'입주자'!C7</f>
        <v>C-1) 2인실 오</v>
      </c>
      <c r="D4" s="306" t="s">
        <v>2035</v>
      </c>
      <c r="E4" s="307">
        <v>470000.0</v>
      </c>
      <c r="F4" s="308">
        <v>100000.0</v>
      </c>
      <c r="G4" s="306" t="s">
        <v>2035</v>
      </c>
      <c r="H4" s="307">
        <v>470000.0</v>
      </c>
      <c r="I4" s="308">
        <v>100000.0</v>
      </c>
      <c r="J4" s="309" t="s">
        <v>2036</v>
      </c>
      <c r="K4" s="307">
        <v>470000.0</v>
      </c>
      <c r="L4" s="308">
        <v>100000.0</v>
      </c>
      <c r="M4" s="309" t="s">
        <v>2037</v>
      </c>
      <c r="N4" s="307">
        <v>470000.0</v>
      </c>
      <c r="O4" s="318">
        <v>100000.0</v>
      </c>
      <c r="P4" s="310"/>
      <c r="Q4" s="314"/>
      <c r="R4" s="315"/>
      <c r="S4" s="310"/>
      <c r="T4" s="314"/>
      <c r="U4" s="315"/>
      <c r="V4" s="310"/>
      <c r="W4" s="314"/>
      <c r="X4" s="315"/>
      <c r="Y4" s="310"/>
      <c r="Z4" s="314"/>
      <c r="AA4" s="315"/>
      <c r="AB4" s="310"/>
      <c r="AC4" s="314"/>
      <c r="AD4" s="315"/>
      <c r="AE4" s="310"/>
      <c r="AF4" s="314"/>
      <c r="AG4" s="315"/>
      <c r="AH4" s="319"/>
      <c r="AI4" s="314"/>
      <c r="AJ4" s="315"/>
      <c r="AK4" s="319"/>
      <c r="AL4" s="314"/>
      <c r="AM4" s="315"/>
      <c r="AN4" s="316" t="s">
        <v>33</v>
      </c>
      <c r="AO4" s="316"/>
      <c r="AP4" s="316"/>
      <c r="AQ4" s="316"/>
      <c r="AR4" s="316"/>
      <c r="AS4" s="316"/>
      <c r="AT4" s="316"/>
      <c r="AU4" s="316"/>
      <c r="AV4" s="316"/>
      <c r="AW4" s="316"/>
      <c r="AX4" s="316"/>
      <c r="AY4" s="316"/>
      <c r="AZ4" s="316"/>
      <c r="BA4" s="316"/>
      <c r="BB4" s="316"/>
      <c r="BC4" s="316"/>
      <c r="BD4" s="316"/>
      <c r="BE4" s="316"/>
      <c r="BF4" s="316"/>
      <c r="BG4" s="316"/>
      <c r="BH4" s="316"/>
      <c r="BI4" s="316"/>
      <c r="BJ4" s="316"/>
      <c r="BK4" s="316"/>
      <c r="BL4" s="316"/>
      <c r="BM4" s="316"/>
      <c r="BN4" s="316"/>
    </row>
    <row r="5">
      <c r="A5" s="303" t="s">
        <v>2030</v>
      </c>
      <c r="B5" s="304" t="s">
        <v>27</v>
      </c>
      <c r="C5" s="305" t="str">
        <f>'입주자'!C8</f>
        <v>C-2) 2인실 왼 (창가)</v>
      </c>
      <c r="D5" s="306" t="s">
        <v>1272</v>
      </c>
      <c r="E5" s="307">
        <v>470000.0</v>
      </c>
      <c r="F5" s="308">
        <v>100000.0</v>
      </c>
      <c r="G5" s="306" t="s">
        <v>1272</v>
      </c>
      <c r="H5" s="307">
        <v>470000.0</v>
      </c>
      <c r="I5" s="308">
        <v>100000.0</v>
      </c>
      <c r="J5" s="306" t="s">
        <v>1272</v>
      </c>
      <c r="K5" s="307">
        <v>470000.0</v>
      </c>
      <c r="L5" s="308">
        <v>100000.0</v>
      </c>
      <c r="M5" s="309" t="s">
        <v>2038</v>
      </c>
      <c r="N5" s="307">
        <v>470000.0</v>
      </c>
      <c r="O5" s="308">
        <v>100000.0</v>
      </c>
      <c r="P5" s="310"/>
      <c r="Q5" s="314"/>
      <c r="R5" s="315"/>
      <c r="S5" s="310"/>
      <c r="T5" s="314"/>
      <c r="U5" s="315"/>
      <c r="V5" s="310"/>
      <c r="W5" s="314"/>
      <c r="X5" s="315"/>
      <c r="Y5" s="310"/>
      <c r="Z5" s="314"/>
      <c r="AA5" s="315"/>
      <c r="AB5" s="310"/>
      <c r="AC5" s="314"/>
      <c r="AD5" s="315"/>
      <c r="AE5" s="310"/>
      <c r="AF5" s="314"/>
      <c r="AG5" s="315"/>
      <c r="AH5" s="319"/>
      <c r="AI5" s="314"/>
      <c r="AJ5" s="315"/>
      <c r="AK5" s="319"/>
      <c r="AL5" s="314"/>
      <c r="AM5" s="315"/>
      <c r="AN5" s="316" t="s">
        <v>33</v>
      </c>
      <c r="AO5" s="316"/>
      <c r="AP5" s="316"/>
      <c r="AQ5" s="316"/>
      <c r="AR5" s="316"/>
      <c r="AS5" s="316"/>
      <c r="AT5" s="316"/>
      <c r="AU5" s="316"/>
      <c r="AV5" s="316"/>
      <c r="AW5" s="316"/>
      <c r="AX5" s="316"/>
      <c r="AY5" s="316"/>
      <c r="AZ5" s="316"/>
      <c r="BA5" s="316"/>
      <c r="BB5" s="316"/>
      <c r="BC5" s="316"/>
      <c r="BD5" s="316"/>
      <c r="BE5" s="316"/>
      <c r="BF5" s="316"/>
      <c r="BG5" s="316"/>
      <c r="BH5" s="316"/>
      <c r="BI5" s="316"/>
      <c r="BJ5" s="316"/>
      <c r="BK5" s="316"/>
      <c r="BL5" s="316"/>
      <c r="BM5" s="316"/>
      <c r="BN5" s="316"/>
    </row>
    <row r="6">
      <c r="A6" s="303" t="s">
        <v>2030</v>
      </c>
      <c r="B6" s="304"/>
      <c r="C6" s="305" t="s">
        <v>42</v>
      </c>
      <c r="D6" s="320"/>
      <c r="E6" s="321">
        <v>2150000.0</v>
      </c>
      <c r="F6" s="322">
        <v>400000.0</v>
      </c>
      <c r="G6" s="320"/>
      <c r="H6" s="323">
        <f t="shared" ref="H6:I6" si="1">SUM(H2:H5)</f>
        <v>2150000</v>
      </c>
      <c r="I6" s="324">
        <f t="shared" si="1"/>
        <v>400000</v>
      </c>
      <c r="J6" s="320"/>
      <c r="K6" s="323">
        <f t="shared" ref="K6:L6" si="2">SUM(K2:K5)</f>
        <v>2210000</v>
      </c>
      <c r="L6" s="324">
        <f t="shared" si="2"/>
        <v>400000</v>
      </c>
      <c r="M6" s="320"/>
      <c r="N6" s="323">
        <f t="shared" ref="N6:O6" si="3">SUM(N2:N5)</f>
        <v>2210000</v>
      </c>
      <c r="O6" s="324">
        <f t="shared" si="3"/>
        <v>400000</v>
      </c>
      <c r="P6" s="320"/>
      <c r="Q6" s="323">
        <f t="shared" ref="Q6:R6" si="4">SUM(Q2:Q5)</f>
        <v>1270000</v>
      </c>
      <c r="R6" s="324">
        <f t="shared" si="4"/>
        <v>200000</v>
      </c>
      <c r="S6" s="320"/>
      <c r="T6" s="323">
        <f t="shared" ref="T6:U6" si="5">SUM(T2:T5)</f>
        <v>544024</v>
      </c>
      <c r="U6" s="324">
        <f t="shared" si="5"/>
        <v>80000</v>
      </c>
      <c r="V6" s="320"/>
      <c r="W6" s="323">
        <f t="shared" ref="W6:X6" si="6">SUM(W2:W5)</f>
        <v>0</v>
      </c>
      <c r="X6" s="324">
        <f t="shared" si="6"/>
        <v>0</v>
      </c>
      <c r="Y6" s="320"/>
      <c r="Z6" s="323">
        <f t="shared" ref="Z6:AA6" si="7">SUM(Z2:Z5)</f>
        <v>0</v>
      </c>
      <c r="AA6" s="324">
        <f t="shared" si="7"/>
        <v>0</v>
      </c>
      <c r="AB6" s="320"/>
      <c r="AC6" s="323">
        <f t="shared" ref="AC6:AD6" si="8">SUM(AC2:AC5)</f>
        <v>0</v>
      </c>
      <c r="AD6" s="324">
        <f t="shared" si="8"/>
        <v>0</v>
      </c>
      <c r="AE6" s="320"/>
      <c r="AF6" s="323">
        <f t="shared" ref="AF6:AG6" si="9">SUM(AF2:AF5)</f>
        <v>0</v>
      </c>
      <c r="AG6" s="324">
        <f t="shared" si="9"/>
        <v>0</v>
      </c>
      <c r="AH6" s="320"/>
      <c r="AI6" s="323">
        <f t="shared" ref="AI6:AJ6" si="10">SUM(AI2:AI5)</f>
        <v>0</v>
      </c>
      <c r="AJ6" s="324">
        <f t="shared" si="10"/>
        <v>0</v>
      </c>
      <c r="AK6" s="320"/>
      <c r="AL6" s="323">
        <f t="shared" ref="AL6:AM6" si="11">SUM(AL2:AL5)</f>
        <v>0</v>
      </c>
      <c r="AM6" s="324">
        <f t="shared" si="11"/>
        <v>0</v>
      </c>
      <c r="AN6" s="316" t="s">
        <v>33</v>
      </c>
      <c r="AO6" s="316"/>
      <c r="AP6" s="316"/>
      <c r="AQ6" s="316"/>
      <c r="AR6" s="316"/>
      <c r="AS6" s="316"/>
      <c r="AT6" s="316"/>
      <c r="AU6" s="316"/>
      <c r="AV6" s="316"/>
      <c r="AW6" s="316"/>
      <c r="AX6" s="316"/>
      <c r="AY6" s="316"/>
      <c r="AZ6" s="316"/>
      <c r="BA6" s="316"/>
      <c r="BB6" s="316"/>
      <c r="BC6" s="316"/>
      <c r="BD6" s="316"/>
      <c r="BE6" s="316"/>
      <c r="BF6" s="316"/>
      <c r="BG6" s="316"/>
      <c r="BH6" s="316"/>
      <c r="BI6" s="316"/>
      <c r="BJ6" s="316"/>
      <c r="BK6" s="316"/>
      <c r="BL6" s="316"/>
      <c r="BM6" s="316"/>
      <c r="BN6" s="316"/>
    </row>
    <row r="7" collapsed="1">
      <c r="A7" s="303" t="s">
        <v>2030</v>
      </c>
      <c r="B7" s="304"/>
      <c r="C7" s="325" t="s">
        <v>43</v>
      </c>
      <c r="D7" s="326"/>
      <c r="E7" s="321">
        <v>950000.0</v>
      </c>
      <c r="F7" s="324"/>
      <c r="G7" s="326"/>
      <c r="H7" s="321">
        <v>950000.0</v>
      </c>
      <c r="I7" s="324"/>
      <c r="J7" s="326"/>
      <c r="K7" s="321">
        <v>950000.0</v>
      </c>
      <c r="L7" s="324"/>
      <c r="M7" s="326"/>
      <c r="N7" s="321">
        <v>950000.0</v>
      </c>
      <c r="O7" s="324"/>
      <c r="P7" s="326"/>
      <c r="Q7" s="321">
        <v>950000.0</v>
      </c>
      <c r="R7" s="324"/>
      <c r="S7" s="326"/>
      <c r="T7" s="321">
        <v>950000.0</v>
      </c>
      <c r="U7" s="324"/>
      <c r="V7" s="326"/>
      <c r="W7" s="321">
        <v>950000.0</v>
      </c>
      <c r="X7" s="324"/>
      <c r="Y7" s="326"/>
      <c r="Z7" s="321">
        <v>950000.0</v>
      </c>
      <c r="AA7" s="324"/>
      <c r="AB7" s="326"/>
      <c r="AC7" s="321">
        <v>950000.0</v>
      </c>
      <c r="AD7" s="324"/>
      <c r="AE7" s="326"/>
      <c r="AF7" s="321">
        <v>950000.0</v>
      </c>
      <c r="AG7" s="324"/>
      <c r="AH7" s="326"/>
      <c r="AI7" s="321">
        <v>950000.0</v>
      </c>
      <c r="AJ7" s="324"/>
      <c r="AK7" s="326"/>
      <c r="AL7" s="321">
        <v>950000.0</v>
      </c>
      <c r="AM7" s="324"/>
      <c r="AN7" s="316" t="s">
        <v>33</v>
      </c>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row>
    <row r="8" hidden="1" outlineLevel="1">
      <c r="A8" s="303" t="s">
        <v>2030</v>
      </c>
      <c r="B8" s="317" t="s">
        <v>44</v>
      </c>
      <c r="C8" s="325" t="s">
        <v>45</v>
      </c>
      <c r="D8" s="327"/>
      <c r="E8" s="321"/>
      <c r="F8" s="322" t="s">
        <v>44</v>
      </c>
      <c r="G8" s="327"/>
      <c r="H8" s="321"/>
      <c r="I8" s="322" t="s">
        <v>44</v>
      </c>
      <c r="J8" s="327"/>
      <c r="K8" s="321"/>
      <c r="L8" s="322">
        <v>0.0</v>
      </c>
      <c r="M8" s="327"/>
      <c r="N8" s="321"/>
      <c r="O8" s="322"/>
      <c r="P8" s="327"/>
      <c r="Q8" s="321"/>
      <c r="R8" s="322"/>
      <c r="S8" s="327"/>
      <c r="T8" s="321"/>
      <c r="U8" s="322"/>
      <c r="V8" s="327"/>
      <c r="W8" s="321"/>
      <c r="X8" s="322"/>
      <c r="Y8" s="327"/>
      <c r="Z8" s="321"/>
      <c r="AA8" s="322"/>
      <c r="AB8" s="327"/>
      <c r="AC8" s="321"/>
      <c r="AD8" s="322"/>
      <c r="AE8" s="327"/>
      <c r="AF8" s="321"/>
      <c r="AG8" s="322"/>
      <c r="AH8" s="327"/>
      <c r="AI8" s="321"/>
      <c r="AJ8" s="322"/>
      <c r="AK8" s="327"/>
      <c r="AL8" s="321"/>
      <c r="AM8" s="322"/>
      <c r="AN8" s="316" t="s">
        <v>33</v>
      </c>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row>
    <row r="9" hidden="1" outlineLevel="1">
      <c r="A9" s="303" t="s">
        <v>2030</v>
      </c>
      <c r="B9" s="317" t="s">
        <v>46</v>
      </c>
      <c r="C9" s="325" t="s">
        <v>47</v>
      </c>
      <c r="D9" s="327"/>
      <c r="E9" s="321"/>
      <c r="F9" s="322">
        <v>34060.0</v>
      </c>
      <c r="G9" s="327"/>
      <c r="H9" s="321"/>
      <c r="I9" s="322">
        <v>37920.0</v>
      </c>
      <c r="J9" s="327"/>
      <c r="K9" s="321"/>
      <c r="L9" s="322">
        <v>29860.0</v>
      </c>
      <c r="M9" s="327"/>
      <c r="N9" s="321"/>
      <c r="O9" s="322"/>
      <c r="P9" s="327"/>
      <c r="Q9" s="321"/>
      <c r="R9" s="322"/>
      <c r="S9" s="327"/>
      <c r="T9" s="321"/>
      <c r="U9" s="322"/>
      <c r="V9" s="327"/>
      <c r="W9" s="321"/>
      <c r="X9" s="322"/>
      <c r="Y9" s="327"/>
      <c r="Z9" s="321"/>
      <c r="AA9" s="322"/>
      <c r="AB9" s="327"/>
      <c r="AC9" s="321"/>
      <c r="AD9" s="322"/>
      <c r="AE9" s="327"/>
      <c r="AF9" s="321"/>
      <c r="AG9" s="322"/>
      <c r="AH9" s="327"/>
      <c r="AI9" s="321"/>
      <c r="AJ9" s="322"/>
      <c r="AK9" s="327"/>
      <c r="AL9" s="321"/>
      <c r="AM9" s="322"/>
      <c r="AN9" s="316" t="s">
        <v>33</v>
      </c>
      <c r="AO9" s="316"/>
      <c r="AP9" s="316"/>
      <c r="AQ9" s="316"/>
      <c r="AR9" s="316"/>
      <c r="AS9" s="316"/>
      <c r="AT9" s="316"/>
      <c r="AU9" s="316"/>
      <c r="AV9" s="316"/>
      <c r="AW9" s="316"/>
      <c r="AX9" s="316"/>
      <c r="AY9" s="316"/>
      <c r="AZ9" s="316"/>
      <c r="BA9" s="316"/>
      <c r="BB9" s="316"/>
      <c r="BC9" s="316"/>
      <c r="BD9" s="316"/>
      <c r="BE9" s="316"/>
      <c r="BF9" s="316"/>
      <c r="BG9" s="316"/>
      <c r="BH9" s="316"/>
      <c r="BI9" s="316"/>
      <c r="BJ9" s="316"/>
      <c r="BK9" s="316"/>
      <c r="BL9" s="316"/>
      <c r="BM9" s="316"/>
      <c r="BN9" s="316"/>
    </row>
    <row r="10" hidden="1" outlineLevel="1">
      <c r="A10" s="303" t="s">
        <v>2030</v>
      </c>
      <c r="B10" s="317" t="s">
        <v>48</v>
      </c>
      <c r="C10" s="325" t="s">
        <v>49</v>
      </c>
      <c r="D10" s="327"/>
      <c r="E10" s="321"/>
      <c r="F10" s="322">
        <v>173590.0</v>
      </c>
      <c r="G10" s="327"/>
      <c r="H10" s="321"/>
      <c r="I10" s="322">
        <v>168070.0</v>
      </c>
      <c r="J10" s="327"/>
      <c r="K10" s="321"/>
      <c r="L10" s="322">
        <v>149340.0</v>
      </c>
      <c r="M10" s="327"/>
      <c r="N10" s="321"/>
      <c r="O10" s="322"/>
      <c r="P10" s="327"/>
      <c r="Q10" s="321"/>
      <c r="R10" s="322"/>
      <c r="S10" s="327"/>
      <c r="T10" s="321"/>
      <c r="U10" s="322"/>
      <c r="V10" s="327"/>
      <c r="W10" s="321"/>
      <c r="X10" s="322"/>
      <c r="Y10" s="327"/>
      <c r="Z10" s="321"/>
      <c r="AA10" s="322"/>
      <c r="AB10" s="327"/>
      <c r="AC10" s="321"/>
      <c r="AD10" s="322"/>
      <c r="AE10" s="327"/>
      <c r="AF10" s="321"/>
      <c r="AG10" s="322"/>
      <c r="AH10" s="327"/>
      <c r="AI10" s="321"/>
      <c r="AJ10" s="322"/>
      <c r="AK10" s="327"/>
      <c r="AL10" s="321"/>
      <c r="AM10" s="322"/>
      <c r="AN10" s="316" t="s">
        <v>33</v>
      </c>
      <c r="AO10" s="316"/>
      <c r="AP10" s="316"/>
      <c r="AQ10" s="316"/>
      <c r="AR10" s="316"/>
      <c r="AS10" s="316"/>
      <c r="AT10" s="316"/>
      <c r="AU10" s="316"/>
      <c r="AV10" s="316"/>
      <c r="AW10" s="316"/>
      <c r="AX10" s="316"/>
      <c r="AY10" s="316"/>
      <c r="AZ10" s="316"/>
      <c r="BA10" s="316"/>
      <c r="BB10" s="316"/>
      <c r="BC10" s="316"/>
      <c r="BD10" s="316"/>
      <c r="BE10" s="316"/>
      <c r="BF10" s="316"/>
      <c r="BG10" s="316"/>
      <c r="BH10" s="316"/>
      <c r="BI10" s="316"/>
      <c r="BJ10" s="316"/>
      <c r="BK10" s="316"/>
      <c r="BL10" s="316"/>
      <c r="BM10" s="316"/>
      <c r="BN10" s="316"/>
    </row>
    <row r="11" hidden="1" outlineLevel="1">
      <c r="A11" s="303" t="s">
        <v>2030</v>
      </c>
      <c r="B11" s="317" t="s">
        <v>50</v>
      </c>
      <c r="C11" s="325" t="s">
        <v>51</v>
      </c>
      <c r="D11" s="327"/>
      <c r="E11" s="321"/>
      <c r="F11" s="322">
        <v>60000.0</v>
      </c>
      <c r="G11" s="327" t="s">
        <v>2039</v>
      </c>
      <c r="H11" s="321"/>
      <c r="I11" s="322">
        <v>60000.0</v>
      </c>
      <c r="J11" s="327" t="s">
        <v>2039</v>
      </c>
      <c r="K11" s="321"/>
      <c r="L11" s="322">
        <v>60000.0</v>
      </c>
      <c r="M11" s="327"/>
      <c r="N11" s="321"/>
      <c r="O11" s="322"/>
      <c r="P11" s="327"/>
      <c r="Q11" s="321"/>
      <c r="R11" s="322"/>
      <c r="S11" s="327"/>
      <c r="T11" s="321"/>
      <c r="U11" s="322"/>
      <c r="V11" s="327"/>
      <c r="W11" s="321"/>
      <c r="X11" s="322"/>
      <c r="Y11" s="327"/>
      <c r="Z11" s="321"/>
      <c r="AA11" s="322"/>
      <c r="AB11" s="327"/>
      <c r="AC11" s="321"/>
      <c r="AD11" s="322"/>
      <c r="AE11" s="327"/>
      <c r="AF11" s="321"/>
      <c r="AG11" s="322"/>
      <c r="AH11" s="327"/>
      <c r="AI11" s="321"/>
      <c r="AJ11" s="322"/>
      <c r="AK11" s="327"/>
      <c r="AL11" s="321"/>
      <c r="AM11" s="322"/>
      <c r="AN11" s="316" t="s">
        <v>33</v>
      </c>
      <c r="AO11" s="316"/>
      <c r="AP11" s="316"/>
      <c r="AQ11" s="316"/>
      <c r="AR11" s="316"/>
      <c r="AS11" s="316"/>
      <c r="AT11" s="316"/>
      <c r="AU11" s="316"/>
      <c r="AV11" s="316"/>
      <c r="AW11" s="316"/>
      <c r="AX11" s="316"/>
      <c r="AY11" s="316"/>
      <c r="AZ11" s="316"/>
      <c r="BA11" s="316"/>
      <c r="BB11" s="316"/>
      <c r="BC11" s="316"/>
      <c r="BD11" s="316"/>
      <c r="BE11" s="316"/>
      <c r="BF11" s="316"/>
      <c r="BG11" s="316"/>
      <c r="BH11" s="316"/>
      <c r="BI11" s="316"/>
      <c r="BJ11" s="316"/>
      <c r="BK11" s="316"/>
      <c r="BL11" s="316"/>
      <c r="BM11" s="316"/>
      <c r="BN11" s="316"/>
    </row>
    <row r="12" hidden="1" outlineLevel="1">
      <c r="A12" s="303" t="s">
        <v>2030</v>
      </c>
      <c r="B12" s="304"/>
      <c r="C12" s="325" t="s">
        <v>52</v>
      </c>
      <c r="D12" s="326"/>
      <c r="E12" s="321"/>
      <c r="F12" s="322">
        <v>22000.0</v>
      </c>
      <c r="G12" s="326"/>
      <c r="H12" s="321"/>
      <c r="I12" s="322">
        <v>22000.0</v>
      </c>
      <c r="J12" s="326"/>
      <c r="K12" s="321"/>
      <c r="L12" s="322">
        <v>22000.0</v>
      </c>
      <c r="M12" s="326"/>
      <c r="N12" s="321"/>
      <c r="O12" s="322">
        <v>22000.0</v>
      </c>
      <c r="P12" s="326"/>
      <c r="Q12" s="321"/>
      <c r="R12" s="322">
        <v>22000.0</v>
      </c>
      <c r="S12" s="326"/>
      <c r="T12" s="321"/>
      <c r="U12" s="322">
        <v>22000.0</v>
      </c>
      <c r="V12" s="326"/>
      <c r="W12" s="321"/>
      <c r="X12" s="322">
        <v>22000.0</v>
      </c>
      <c r="Y12" s="326"/>
      <c r="Z12" s="321"/>
      <c r="AA12" s="322">
        <v>22000.0</v>
      </c>
      <c r="AB12" s="326"/>
      <c r="AC12" s="321"/>
      <c r="AD12" s="322">
        <v>22000.0</v>
      </c>
      <c r="AE12" s="326"/>
      <c r="AF12" s="321"/>
      <c r="AG12" s="322">
        <v>22000.0</v>
      </c>
      <c r="AH12" s="326"/>
      <c r="AI12" s="321"/>
      <c r="AJ12" s="322">
        <v>22000.0</v>
      </c>
      <c r="AK12" s="326"/>
      <c r="AL12" s="321"/>
      <c r="AM12" s="322">
        <v>22000.0</v>
      </c>
      <c r="AN12" s="316" t="s">
        <v>33</v>
      </c>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6"/>
      <c r="BK12" s="316"/>
      <c r="BL12" s="316"/>
      <c r="BM12" s="316"/>
      <c r="BN12" s="316"/>
    </row>
    <row r="13" hidden="1" outlineLevel="1">
      <c r="A13" s="303" t="s">
        <v>2030</v>
      </c>
      <c r="B13" s="304"/>
      <c r="C13" s="325" t="s">
        <v>53</v>
      </c>
      <c r="D13" s="326"/>
      <c r="E13" s="321"/>
      <c r="F13" s="322">
        <v>11000.0</v>
      </c>
      <c r="G13" s="326"/>
      <c r="H13" s="321"/>
      <c r="I13" s="322">
        <v>11000.0</v>
      </c>
      <c r="J13" s="326"/>
      <c r="K13" s="321"/>
      <c r="L13" s="322">
        <v>11000.0</v>
      </c>
      <c r="M13" s="326"/>
      <c r="N13" s="321"/>
      <c r="O13" s="322">
        <v>11000.0</v>
      </c>
      <c r="P13" s="326"/>
      <c r="Q13" s="321"/>
      <c r="R13" s="322">
        <v>11000.0</v>
      </c>
      <c r="S13" s="326"/>
      <c r="T13" s="321"/>
      <c r="U13" s="322">
        <v>11000.0</v>
      </c>
      <c r="V13" s="326"/>
      <c r="W13" s="321"/>
      <c r="X13" s="322">
        <v>11000.0</v>
      </c>
      <c r="Y13" s="326"/>
      <c r="Z13" s="321"/>
      <c r="AA13" s="322">
        <v>11000.0</v>
      </c>
      <c r="AB13" s="326"/>
      <c r="AC13" s="321"/>
      <c r="AD13" s="322">
        <v>11000.0</v>
      </c>
      <c r="AE13" s="326"/>
      <c r="AF13" s="321"/>
      <c r="AG13" s="322">
        <v>11000.0</v>
      </c>
      <c r="AH13" s="326"/>
      <c r="AI13" s="321"/>
      <c r="AJ13" s="322">
        <v>11000.0</v>
      </c>
      <c r="AK13" s="326"/>
      <c r="AL13" s="321"/>
      <c r="AM13" s="322">
        <v>11000.0</v>
      </c>
      <c r="AN13" s="316" t="s">
        <v>33</v>
      </c>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6"/>
      <c r="BK13" s="316"/>
      <c r="BL13" s="316"/>
      <c r="BM13" s="316"/>
      <c r="BN13" s="316"/>
    </row>
    <row r="14" hidden="1" outlineLevel="1">
      <c r="A14" s="303" t="s">
        <v>2030</v>
      </c>
      <c r="B14" s="304"/>
      <c r="C14" s="325" t="s">
        <v>54</v>
      </c>
      <c r="D14" s="326"/>
      <c r="E14" s="321"/>
      <c r="F14" s="322">
        <f>SUMIFS('지출'!$G$3:$G794,'지출'!$J$3:$J794,F$1,'지출'!$C$3:$C794,"워너비")</f>
        <v>63550</v>
      </c>
      <c r="G14" s="326"/>
      <c r="H14" s="321"/>
      <c r="I14" s="322">
        <f>SUMIFS('지출'!$G$3:$G794,'지출'!$J$3:$J794,I$1,'지출'!$C$3:$C794,"워너비")</f>
        <v>85750</v>
      </c>
      <c r="J14" s="326"/>
      <c r="K14" s="321"/>
      <c r="L14" s="322">
        <f>SUMIFS('지출'!$G$3:$G794,'지출'!$J$3:$J794,L$1,'지출'!$C$3:$C794,"워너비")</f>
        <v>27020</v>
      </c>
      <c r="M14" s="326"/>
      <c r="N14" s="321"/>
      <c r="O14" s="322">
        <f>SUMIFS('지출'!$G$3:$G794,'지출'!$J$3:$J794,O$1,'지출'!$C$3:$C794,"워너비")</f>
        <v>0</v>
      </c>
      <c r="P14" s="326"/>
      <c r="Q14" s="321"/>
      <c r="R14" s="322">
        <f>SUMIFS('지출'!$G$3:$G794,'지출'!$J$3:$J794,R$1,'지출'!$C$3:$C794,"워너비")</f>
        <v>0</v>
      </c>
      <c r="S14" s="326"/>
      <c r="T14" s="321"/>
      <c r="U14" s="322">
        <f>SUMIFS('지출'!$G$3:$G794,'지출'!$J$3:$J794,U$1,'지출'!$C$3:$C794,"워너비")</f>
        <v>0</v>
      </c>
      <c r="V14" s="326"/>
      <c r="W14" s="321"/>
      <c r="X14" s="322">
        <f>SUMIFS('지출'!$G$3:$G794,'지출'!$J$3:$J794,X$1,'지출'!$C$3:$C794,"워너비")</f>
        <v>0</v>
      </c>
      <c r="Y14" s="326"/>
      <c r="Z14" s="321"/>
      <c r="AA14" s="322">
        <f>SUMIFS('지출'!$G$3:$G794,'지출'!$J$3:$J794,AA$1,'지출'!$C$3:$C794,"워너비")</f>
        <v>0</v>
      </c>
      <c r="AB14" s="326"/>
      <c r="AC14" s="321"/>
      <c r="AD14" s="322">
        <f>SUMIFS('지출'!$G$3:$G794,'지출'!$J$3:$J794,AD$1,'지출'!$C$3:$C794,"워너비")</f>
        <v>0</v>
      </c>
      <c r="AE14" s="326"/>
      <c r="AF14" s="321"/>
      <c r="AG14" s="322">
        <f>SUMIFS('지출'!$G$3:$G794,'지출'!$J$3:$J794,AG$1,'지출'!$C$3:$C794,"워너비")</f>
        <v>0</v>
      </c>
      <c r="AH14" s="326"/>
      <c r="AI14" s="321"/>
      <c r="AJ14" s="322">
        <f>SUMIFS('지출'!$G$3:$G794,'지출'!$J$3:$J794,AJ$1,'지출'!$C$3:$C794,"워너비")</f>
        <v>0</v>
      </c>
      <c r="AK14" s="326"/>
      <c r="AL14" s="321"/>
      <c r="AM14" s="322">
        <f>SUMIFS('지출'!$G$3:$G794,'지출'!$J$3:$J794,AM$1,'지출'!$C$3:$C794,"워너비")</f>
        <v>0</v>
      </c>
      <c r="AN14" s="316" t="s">
        <v>33</v>
      </c>
      <c r="AO14" s="316"/>
      <c r="AP14" s="316"/>
      <c r="AQ14" s="316"/>
      <c r="AR14" s="316"/>
      <c r="AS14" s="316"/>
      <c r="AT14" s="316"/>
      <c r="AU14" s="316"/>
      <c r="AV14" s="316"/>
      <c r="AW14" s="316"/>
      <c r="AX14" s="316"/>
      <c r="AY14" s="316"/>
      <c r="AZ14" s="316"/>
      <c r="BA14" s="316"/>
      <c r="BB14" s="316"/>
      <c r="BC14" s="316"/>
      <c r="BD14" s="316"/>
      <c r="BE14" s="316"/>
      <c r="BF14" s="316"/>
      <c r="BG14" s="316"/>
      <c r="BH14" s="316"/>
      <c r="BI14" s="316"/>
      <c r="BJ14" s="316"/>
      <c r="BK14" s="316"/>
      <c r="BL14" s="316"/>
      <c r="BM14" s="316"/>
      <c r="BN14" s="316"/>
    </row>
    <row r="15" hidden="1" outlineLevel="1">
      <c r="A15" s="303" t="s">
        <v>2030</v>
      </c>
      <c r="B15" s="304"/>
      <c r="C15" s="325" t="s">
        <v>56</v>
      </c>
      <c r="D15" s="320"/>
      <c r="E15" s="323">
        <f t="shared" ref="E15:F15" si="12">E6-(SUM(E7:E14))</f>
        <v>1200000</v>
      </c>
      <c r="F15" s="324">
        <f t="shared" si="12"/>
        <v>35800</v>
      </c>
      <c r="G15" s="320"/>
      <c r="H15" s="323">
        <f t="shared" ref="H15:I15" si="13">H6-(SUM(H7:H14))</f>
        <v>1200000</v>
      </c>
      <c r="I15" s="324">
        <f t="shared" si="13"/>
        <v>15260</v>
      </c>
      <c r="J15" s="320"/>
      <c r="K15" s="323">
        <f t="shared" ref="K15:L15" si="14">K6-(SUM(K7:K14))</f>
        <v>1260000</v>
      </c>
      <c r="L15" s="324">
        <f t="shared" si="14"/>
        <v>100780</v>
      </c>
      <c r="M15" s="320"/>
      <c r="N15" s="323">
        <f t="shared" ref="N15:O15" si="15">N6-(SUM(N7:N14))</f>
        <v>1260000</v>
      </c>
      <c r="O15" s="324">
        <f t="shared" si="15"/>
        <v>367000</v>
      </c>
      <c r="P15" s="320"/>
      <c r="Q15" s="323">
        <f t="shared" ref="Q15:R15" si="16">Q6-(SUM(Q7:Q14))</f>
        <v>320000</v>
      </c>
      <c r="R15" s="324">
        <f t="shared" si="16"/>
        <v>167000</v>
      </c>
      <c r="S15" s="320"/>
      <c r="T15" s="323">
        <f t="shared" ref="T15:U15" si="17">T6-(SUM(T7:T14))</f>
        <v>-405976</v>
      </c>
      <c r="U15" s="324">
        <f t="shared" si="17"/>
        <v>47000</v>
      </c>
      <c r="V15" s="320"/>
      <c r="W15" s="323">
        <f t="shared" ref="W15:X15" si="18">W6-(SUM(W7:W14))</f>
        <v>-950000</v>
      </c>
      <c r="X15" s="324">
        <f t="shared" si="18"/>
        <v>-33000</v>
      </c>
      <c r="Y15" s="320"/>
      <c r="Z15" s="323">
        <f t="shared" ref="Z15:AA15" si="19">Z6-(SUM(Z7:Z14))</f>
        <v>-950000</v>
      </c>
      <c r="AA15" s="324">
        <f t="shared" si="19"/>
        <v>-33000</v>
      </c>
      <c r="AB15" s="320"/>
      <c r="AC15" s="323">
        <f t="shared" ref="AC15:AD15" si="20">AC6-(SUM(AC7:AC14))</f>
        <v>-950000</v>
      </c>
      <c r="AD15" s="324">
        <f t="shared" si="20"/>
        <v>-33000</v>
      </c>
      <c r="AE15" s="320"/>
      <c r="AF15" s="323">
        <f t="shared" ref="AF15:AG15" si="21">AF6-(SUM(AF7:AF14))</f>
        <v>-950000</v>
      </c>
      <c r="AG15" s="324">
        <f t="shared" si="21"/>
        <v>-33000</v>
      </c>
      <c r="AH15" s="320"/>
      <c r="AI15" s="323">
        <f t="shared" ref="AI15:AJ15" si="22">AI6-(SUM(AI7:AI14))</f>
        <v>-950000</v>
      </c>
      <c r="AJ15" s="324">
        <f t="shared" si="22"/>
        <v>-33000</v>
      </c>
      <c r="AK15" s="320"/>
      <c r="AL15" s="323">
        <f t="shared" ref="AL15:AM15" si="23">AL6-(SUM(AL7:AL14))</f>
        <v>-950000</v>
      </c>
      <c r="AM15" s="324">
        <f t="shared" si="23"/>
        <v>-33000</v>
      </c>
      <c r="AN15" s="316" t="s">
        <v>33</v>
      </c>
      <c r="AO15" s="316"/>
      <c r="AP15" s="316"/>
      <c r="AQ15" s="316"/>
      <c r="AR15" s="316"/>
      <c r="AS15" s="316"/>
      <c r="AT15" s="316"/>
      <c r="AU15" s="316"/>
      <c r="AV15" s="316"/>
      <c r="AW15" s="316"/>
      <c r="AX15" s="316"/>
      <c r="AY15" s="316"/>
      <c r="AZ15" s="316"/>
      <c r="BA15" s="316"/>
      <c r="BB15" s="316"/>
      <c r="BC15" s="316"/>
      <c r="BD15" s="316"/>
      <c r="BE15" s="316"/>
      <c r="BF15" s="316"/>
      <c r="BG15" s="316"/>
      <c r="BH15" s="316"/>
      <c r="BI15" s="316"/>
      <c r="BJ15" s="316"/>
      <c r="BK15" s="316"/>
      <c r="BL15" s="316"/>
      <c r="BM15" s="316"/>
      <c r="BN15" s="316"/>
    </row>
    <row r="16">
      <c r="A16" s="303" t="s">
        <v>2030</v>
      </c>
      <c r="B16" s="328">
        <v>0.0</v>
      </c>
      <c r="C16" s="325" t="s">
        <v>26</v>
      </c>
      <c r="D16" s="320"/>
      <c r="E16" s="323">
        <f>E15*$B16</f>
        <v>0</v>
      </c>
      <c r="F16" s="324"/>
      <c r="G16" s="320"/>
      <c r="H16" s="323">
        <f>H15*$B16</f>
        <v>0</v>
      </c>
      <c r="I16" s="324"/>
      <c r="J16" s="320"/>
      <c r="K16" s="323">
        <f>K15*$B16</f>
        <v>0</v>
      </c>
      <c r="L16" s="324"/>
      <c r="M16" s="320"/>
      <c r="N16" s="323">
        <f>N15*$B16</f>
        <v>0</v>
      </c>
      <c r="O16" s="324"/>
      <c r="P16" s="320"/>
      <c r="Q16" s="323">
        <f>Q15*$B16</f>
        <v>0</v>
      </c>
      <c r="R16" s="324"/>
      <c r="S16" s="320"/>
      <c r="T16" s="323">
        <f>T15*$B16</f>
        <v>0</v>
      </c>
      <c r="U16" s="324"/>
      <c r="V16" s="320"/>
      <c r="W16" s="323">
        <f>W15*$B16</f>
        <v>0</v>
      </c>
      <c r="X16" s="324"/>
      <c r="Y16" s="320"/>
      <c r="Z16" s="323">
        <f>Z15*$B16</f>
        <v>0</v>
      </c>
      <c r="AA16" s="324"/>
      <c r="AB16" s="320"/>
      <c r="AC16" s="323">
        <f>AC15*$B16</f>
        <v>0</v>
      </c>
      <c r="AD16" s="324"/>
      <c r="AE16" s="320"/>
      <c r="AF16" s="323">
        <f>AF15*$B16</f>
        <v>0</v>
      </c>
      <c r="AG16" s="324"/>
      <c r="AH16" s="320"/>
      <c r="AI16" s="323">
        <f>AI15*$B16</f>
        <v>0</v>
      </c>
      <c r="AJ16" s="324"/>
      <c r="AK16" s="320"/>
      <c r="AL16" s="323">
        <f>AL15*$B16</f>
        <v>0</v>
      </c>
      <c r="AM16" s="324"/>
      <c r="AN16" s="316" t="s">
        <v>33</v>
      </c>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6"/>
      <c r="BK16" s="316"/>
      <c r="BL16" s="316"/>
      <c r="BM16" s="316"/>
      <c r="BN16" s="316"/>
    </row>
    <row r="17">
      <c r="A17" s="303" t="s">
        <v>2030</v>
      </c>
      <c r="B17" s="329">
        <v>1.0</v>
      </c>
      <c r="C17" s="330" t="s">
        <v>57</v>
      </c>
      <c r="D17" s="331"/>
      <c r="E17" s="332">
        <f>E15*$B17</f>
        <v>1200000</v>
      </c>
      <c r="F17" s="333"/>
      <c r="G17" s="331"/>
      <c r="H17" s="332">
        <f>H15*$B17</f>
        <v>1200000</v>
      </c>
      <c r="I17" s="333"/>
      <c r="J17" s="331"/>
      <c r="K17" s="332">
        <f>K15*$B17</f>
        <v>1260000</v>
      </c>
      <c r="L17" s="333"/>
      <c r="M17" s="331"/>
      <c r="N17" s="332">
        <f>N15*$B17</f>
        <v>1260000</v>
      </c>
      <c r="O17" s="333"/>
      <c r="P17" s="331"/>
      <c r="Q17" s="332">
        <f>Q15*$B17</f>
        <v>320000</v>
      </c>
      <c r="R17" s="333"/>
      <c r="S17" s="331"/>
      <c r="T17" s="332">
        <f>T15*$B17</f>
        <v>-405976</v>
      </c>
      <c r="U17" s="333"/>
      <c r="V17" s="331"/>
      <c r="W17" s="332">
        <f>W15*$B17</f>
        <v>-950000</v>
      </c>
      <c r="X17" s="333"/>
      <c r="Y17" s="331"/>
      <c r="Z17" s="332">
        <f>Z15*$B17</f>
        <v>-950000</v>
      </c>
      <c r="AA17" s="333"/>
      <c r="AB17" s="331"/>
      <c r="AC17" s="332">
        <f>AC15*$B17</f>
        <v>-950000</v>
      </c>
      <c r="AD17" s="333"/>
      <c r="AE17" s="331"/>
      <c r="AF17" s="332">
        <f>AF15*$B17</f>
        <v>-950000</v>
      </c>
      <c r="AG17" s="333"/>
      <c r="AH17" s="331"/>
      <c r="AI17" s="332">
        <f>AI15*$B17</f>
        <v>-950000</v>
      </c>
      <c r="AJ17" s="333"/>
      <c r="AK17" s="331"/>
      <c r="AL17" s="332">
        <f>AL15*$B17</f>
        <v>-950000</v>
      </c>
      <c r="AM17" s="333"/>
      <c r="AN17" s="316" t="s">
        <v>33</v>
      </c>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6"/>
      <c r="BK17" s="316"/>
      <c r="BL17" s="316"/>
      <c r="BM17" s="316"/>
      <c r="BN17" s="316"/>
    </row>
    <row r="18">
      <c r="A18" s="303" t="s">
        <v>58</v>
      </c>
      <c r="B18" s="317" t="s">
        <v>58</v>
      </c>
      <c r="C18" s="325" t="s">
        <v>59</v>
      </c>
      <c r="D18" s="334" t="s">
        <v>1275</v>
      </c>
      <c r="E18" s="335">
        <v>700000.0</v>
      </c>
      <c r="F18" s="308">
        <v>100000.0</v>
      </c>
      <c r="G18" s="334" t="s">
        <v>1275</v>
      </c>
      <c r="H18" s="335">
        <v>700000.0</v>
      </c>
      <c r="I18" s="308">
        <v>100000.0</v>
      </c>
      <c r="J18" s="334" t="s">
        <v>1275</v>
      </c>
      <c r="K18" s="335">
        <v>700000.0</v>
      </c>
      <c r="L18" s="308">
        <v>100000.0</v>
      </c>
      <c r="M18" s="336" t="s">
        <v>1275</v>
      </c>
      <c r="N18" s="335">
        <v>700000.0</v>
      </c>
      <c r="O18" s="308">
        <v>100000.0</v>
      </c>
      <c r="P18" s="337" t="s">
        <v>2040</v>
      </c>
      <c r="Q18" s="335">
        <v>700000.0</v>
      </c>
      <c r="R18" s="313">
        <v>100040.0</v>
      </c>
      <c r="S18" s="317"/>
      <c r="T18" s="321"/>
      <c r="U18" s="315"/>
      <c r="V18" s="317"/>
      <c r="W18" s="321"/>
      <c r="X18" s="315"/>
      <c r="Y18" s="317"/>
      <c r="Z18" s="321"/>
      <c r="AA18" s="315"/>
      <c r="AB18" s="317"/>
      <c r="AC18" s="321"/>
      <c r="AD18" s="315"/>
      <c r="AE18" s="317"/>
      <c r="AF18" s="321"/>
      <c r="AG18" s="315"/>
      <c r="AH18" s="317"/>
      <c r="AI18" s="321"/>
      <c r="AJ18" s="315"/>
      <c r="AK18" s="317"/>
      <c r="AL18" s="321"/>
      <c r="AM18" s="315"/>
      <c r="AN18" s="316" t="s">
        <v>63</v>
      </c>
      <c r="AO18" s="316"/>
      <c r="AP18" s="316"/>
      <c r="AQ18" s="316"/>
      <c r="AR18" s="316"/>
      <c r="AS18" s="316"/>
      <c r="AT18" s="316"/>
      <c r="AU18" s="316"/>
      <c r="AV18" s="316"/>
      <c r="AW18" s="316"/>
      <c r="AX18" s="316"/>
      <c r="AY18" s="316"/>
      <c r="AZ18" s="316"/>
      <c r="BA18" s="316"/>
      <c r="BB18" s="316"/>
      <c r="BC18" s="316"/>
      <c r="BD18" s="316"/>
      <c r="BE18" s="316"/>
      <c r="BF18" s="316"/>
      <c r="BG18" s="316"/>
      <c r="BH18" s="316"/>
      <c r="BI18" s="316"/>
      <c r="BJ18" s="316"/>
      <c r="BK18" s="316"/>
      <c r="BL18" s="316"/>
      <c r="BM18" s="316"/>
      <c r="BN18" s="316"/>
    </row>
    <row r="19">
      <c r="A19" s="303" t="s">
        <v>58</v>
      </c>
      <c r="B19" s="317" t="s">
        <v>58</v>
      </c>
      <c r="C19" s="325" t="s">
        <v>64</v>
      </c>
      <c r="D19" s="306" t="s">
        <v>2041</v>
      </c>
      <c r="E19" s="335">
        <v>587400.0</v>
      </c>
      <c r="F19" s="308">
        <v>100000.0</v>
      </c>
      <c r="G19" s="309" t="s">
        <v>2042</v>
      </c>
      <c r="H19" s="335">
        <v>587400.0</v>
      </c>
      <c r="I19" s="308">
        <v>100000.0</v>
      </c>
      <c r="J19" s="310" t="s">
        <v>1283</v>
      </c>
      <c r="K19" s="323">
        <v>700000.0</v>
      </c>
      <c r="L19" s="338">
        <v>100000.0</v>
      </c>
      <c r="M19" s="312" t="s">
        <v>1283</v>
      </c>
      <c r="N19" s="323">
        <v>700000.0</v>
      </c>
      <c r="O19" s="338">
        <v>100000.0</v>
      </c>
      <c r="P19" s="312" t="s">
        <v>1283</v>
      </c>
      <c r="Q19" s="323">
        <v>700000.0</v>
      </c>
      <c r="R19" s="338">
        <v>100000.0</v>
      </c>
      <c r="S19" s="312" t="s">
        <v>2043</v>
      </c>
      <c r="T19" s="321">
        <v>395339.0</v>
      </c>
      <c r="U19" s="315">
        <v>58017.0</v>
      </c>
      <c r="V19" s="310"/>
      <c r="W19" s="321"/>
      <c r="X19" s="315"/>
      <c r="Y19" s="310"/>
      <c r="Z19" s="321"/>
      <c r="AA19" s="315"/>
      <c r="AB19" s="310"/>
      <c r="AC19" s="321"/>
      <c r="AD19" s="315"/>
      <c r="AE19" s="310"/>
      <c r="AF19" s="321"/>
      <c r="AG19" s="315"/>
      <c r="AH19" s="310"/>
      <c r="AI19" s="321"/>
      <c r="AJ19" s="315"/>
      <c r="AK19" s="310"/>
      <c r="AL19" s="321"/>
      <c r="AM19" s="315"/>
      <c r="AN19" s="316" t="s">
        <v>63</v>
      </c>
      <c r="AO19" s="316"/>
      <c r="AP19" s="316"/>
      <c r="AQ19" s="316"/>
      <c r="AR19" s="316"/>
      <c r="AS19" s="316"/>
      <c r="AT19" s="316"/>
      <c r="AU19" s="316"/>
      <c r="AV19" s="316"/>
      <c r="AW19" s="316"/>
      <c r="AX19" s="316"/>
      <c r="AY19" s="316"/>
      <c r="AZ19" s="316"/>
      <c r="BA19" s="316"/>
      <c r="BB19" s="316"/>
      <c r="BC19" s="316"/>
      <c r="BD19" s="316"/>
      <c r="BE19" s="316"/>
      <c r="BF19" s="316"/>
      <c r="BG19" s="316"/>
      <c r="BH19" s="316"/>
      <c r="BI19" s="316"/>
      <c r="BJ19" s="316"/>
      <c r="BK19" s="316"/>
      <c r="BL19" s="316"/>
      <c r="BM19" s="316"/>
      <c r="BN19" s="316"/>
    </row>
    <row r="20">
      <c r="A20" s="303" t="s">
        <v>58</v>
      </c>
      <c r="B20" s="317" t="s">
        <v>58</v>
      </c>
      <c r="C20" s="325" t="s">
        <v>76</v>
      </c>
      <c r="D20" s="309" t="s">
        <v>2044</v>
      </c>
      <c r="E20" s="314">
        <f>156774+460000</f>
        <v>616774</v>
      </c>
      <c r="F20" s="314">
        <f>29032+76682</f>
        <v>105714</v>
      </c>
      <c r="G20" s="310" t="s">
        <v>1287</v>
      </c>
      <c r="H20" s="314">
        <v>600000.0</v>
      </c>
      <c r="I20" s="314">
        <v>100000.0</v>
      </c>
      <c r="J20" s="310" t="s">
        <v>1287</v>
      </c>
      <c r="K20" s="314">
        <v>600000.0</v>
      </c>
      <c r="L20" s="314">
        <v>100000.0</v>
      </c>
      <c r="M20" s="312" t="s">
        <v>1287</v>
      </c>
      <c r="N20" s="314">
        <v>600000.0</v>
      </c>
      <c r="O20" s="314">
        <v>100000.0</v>
      </c>
      <c r="P20" s="312" t="s">
        <v>1287</v>
      </c>
      <c r="Q20" s="314">
        <v>600000.0</v>
      </c>
      <c r="R20" s="314">
        <v>100000.0</v>
      </c>
      <c r="S20" s="312" t="s">
        <v>2045</v>
      </c>
      <c r="T20" s="314">
        <v>520000.0</v>
      </c>
      <c r="U20" s="314">
        <v>86684.0</v>
      </c>
      <c r="V20" s="310"/>
      <c r="W20" s="314"/>
      <c r="X20" s="315"/>
      <c r="Y20" s="310"/>
      <c r="Z20" s="314"/>
      <c r="AA20" s="315"/>
      <c r="AB20" s="310"/>
      <c r="AC20" s="314"/>
      <c r="AD20" s="315"/>
      <c r="AE20" s="310"/>
      <c r="AF20" s="314"/>
      <c r="AG20" s="315"/>
      <c r="AH20" s="310"/>
      <c r="AI20" s="314"/>
      <c r="AJ20" s="315"/>
      <c r="AK20" s="310"/>
      <c r="AL20" s="314"/>
      <c r="AM20" s="315"/>
      <c r="AN20" s="316" t="s">
        <v>63</v>
      </c>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6"/>
      <c r="BK20" s="316"/>
      <c r="BL20" s="316"/>
      <c r="BM20" s="316"/>
      <c r="BN20" s="316"/>
    </row>
    <row r="21">
      <c r="A21" s="303" t="s">
        <v>58</v>
      </c>
      <c r="B21" s="317" t="s">
        <v>58</v>
      </c>
      <c r="C21" s="325" t="s">
        <v>83</v>
      </c>
      <c r="D21" s="306" t="s">
        <v>88</v>
      </c>
      <c r="E21" s="311">
        <v>507300.0</v>
      </c>
      <c r="F21" s="308">
        <v>100000.0</v>
      </c>
      <c r="G21" s="306" t="s">
        <v>88</v>
      </c>
      <c r="H21" s="311">
        <v>507300.0</v>
      </c>
      <c r="I21" s="308">
        <v>100000.0</v>
      </c>
      <c r="J21" s="339" t="s">
        <v>88</v>
      </c>
      <c r="K21" s="311">
        <v>507300.0</v>
      </c>
      <c r="L21" s="308">
        <v>100000.0</v>
      </c>
      <c r="M21" s="339" t="s">
        <v>88</v>
      </c>
      <c r="N21" s="311">
        <v>507300.0</v>
      </c>
      <c r="O21" s="308">
        <v>100000.0</v>
      </c>
      <c r="P21" s="339" t="s">
        <v>88</v>
      </c>
      <c r="Q21" s="311">
        <v>507300.0</v>
      </c>
      <c r="R21" s="308">
        <v>100000.0</v>
      </c>
      <c r="S21" s="340" t="s">
        <v>2046</v>
      </c>
      <c r="T21" s="311">
        <v>507300.0</v>
      </c>
      <c r="U21" s="308">
        <v>100000.0</v>
      </c>
      <c r="V21" s="310"/>
      <c r="W21" s="314"/>
      <c r="X21" s="315"/>
      <c r="Y21" s="310"/>
      <c r="Z21" s="314"/>
      <c r="AA21" s="315"/>
      <c r="AB21" s="310"/>
      <c r="AC21" s="314"/>
      <c r="AD21" s="315"/>
      <c r="AE21" s="310"/>
      <c r="AF21" s="314"/>
      <c r="AG21" s="315"/>
      <c r="AH21" s="310"/>
      <c r="AI21" s="314"/>
      <c r="AJ21" s="315"/>
      <c r="AK21" s="310"/>
      <c r="AL21" s="314"/>
      <c r="AM21" s="315"/>
      <c r="AN21" s="316" t="s">
        <v>63</v>
      </c>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6"/>
      <c r="BK21" s="316"/>
      <c r="BL21" s="316"/>
      <c r="BM21" s="316"/>
      <c r="BN21" s="316"/>
    </row>
    <row r="22">
      <c r="A22" s="303" t="s">
        <v>58</v>
      </c>
      <c r="B22" s="317" t="s">
        <v>58</v>
      </c>
      <c r="C22" s="325" t="s">
        <v>89</v>
      </c>
      <c r="D22" s="309" t="s">
        <v>2047</v>
      </c>
      <c r="E22" s="311">
        <v>154839.0</v>
      </c>
      <c r="F22" s="313">
        <v>32258.0</v>
      </c>
      <c r="G22" s="341" t="s">
        <v>37</v>
      </c>
      <c r="H22" s="314"/>
      <c r="I22" s="315"/>
      <c r="J22" s="341" t="s">
        <v>37</v>
      </c>
      <c r="K22" s="314"/>
      <c r="L22" s="315"/>
      <c r="M22" s="310"/>
      <c r="N22" s="314"/>
      <c r="O22" s="315"/>
      <c r="P22" s="310"/>
      <c r="Q22" s="314"/>
      <c r="R22" s="315"/>
      <c r="S22" s="326"/>
      <c r="T22" s="314"/>
      <c r="U22" s="315"/>
      <c r="V22" s="310"/>
      <c r="W22" s="314"/>
      <c r="X22" s="315"/>
      <c r="Y22" s="310"/>
      <c r="Z22" s="314"/>
      <c r="AA22" s="315"/>
      <c r="AB22" s="310"/>
      <c r="AC22" s="314"/>
      <c r="AD22" s="315"/>
      <c r="AE22" s="310"/>
      <c r="AF22" s="314"/>
      <c r="AG22" s="315"/>
      <c r="AH22" s="310"/>
      <c r="AI22" s="314"/>
      <c r="AJ22" s="315"/>
      <c r="AK22" s="310"/>
      <c r="AL22" s="314"/>
      <c r="AM22" s="315"/>
      <c r="AN22" s="316" t="s">
        <v>63</v>
      </c>
      <c r="AO22" s="316"/>
      <c r="AP22" s="316"/>
      <c r="AQ22" s="316"/>
      <c r="AR22" s="316"/>
      <c r="AS22" s="316"/>
      <c r="AT22" s="316"/>
      <c r="AU22" s="316"/>
      <c r="AV22" s="316"/>
      <c r="AW22" s="316"/>
      <c r="AX22" s="316"/>
      <c r="AY22" s="316"/>
      <c r="AZ22" s="316"/>
      <c r="BA22" s="316"/>
      <c r="BB22" s="316"/>
      <c r="BC22" s="316"/>
      <c r="BD22" s="316"/>
      <c r="BE22" s="316"/>
      <c r="BF22" s="316"/>
      <c r="BG22" s="316"/>
      <c r="BH22" s="316"/>
      <c r="BI22" s="316"/>
      <c r="BJ22" s="316"/>
      <c r="BK22" s="316"/>
      <c r="BL22" s="316"/>
      <c r="BM22" s="316"/>
      <c r="BN22" s="316"/>
    </row>
    <row r="23">
      <c r="A23" s="303" t="s">
        <v>58</v>
      </c>
      <c r="B23" s="317" t="s">
        <v>58</v>
      </c>
      <c r="C23" s="325" t="s">
        <v>92</v>
      </c>
      <c r="D23" s="309" t="s">
        <v>2048</v>
      </c>
      <c r="E23" s="311">
        <v>154839.0</v>
      </c>
      <c r="F23" s="313">
        <v>32258.0</v>
      </c>
      <c r="G23" s="341" t="s">
        <v>37</v>
      </c>
      <c r="H23" s="314"/>
      <c r="I23" s="315"/>
      <c r="J23" s="341" t="s">
        <v>37</v>
      </c>
      <c r="K23" s="314"/>
      <c r="L23" s="315"/>
      <c r="M23" s="310"/>
      <c r="N23" s="314"/>
      <c r="O23" s="315"/>
      <c r="P23" s="310"/>
      <c r="Q23" s="314"/>
      <c r="R23" s="315"/>
      <c r="S23" s="326"/>
      <c r="T23" s="314"/>
      <c r="U23" s="315"/>
      <c r="V23" s="310"/>
      <c r="W23" s="314"/>
      <c r="X23" s="315"/>
      <c r="Y23" s="310"/>
      <c r="Z23" s="314"/>
      <c r="AA23" s="315"/>
      <c r="AB23" s="310"/>
      <c r="AC23" s="314"/>
      <c r="AD23" s="315"/>
      <c r="AE23" s="310"/>
      <c r="AF23" s="314"/>
      <c r="AG23" s="315"/>
      <c r="AH23" s="310"/>
      <c r="AI23" s="314"/>
      <c r="AJ23" s="315"/>
      <c r="AK23" s="310"/>
      <c r="AL23" s="314"/>
      <c r="AM23" s="315"/>
      <c r="AN23" s="316" t="s">
        <v>63</v>
      </c>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6"/>
      <c r="BK23" s="316"/>
      <c r="BL23" s="316"/>
      <c r="BM23" s="316"/>
      <c r="BN23" s="316"/>
    </row>
    <row r="24">
      <c r="A24" s="303" t="s">
        <v>58</v>
      </c>
      <c r="B24" s="304"/>
      <c r="C24" s="305" t="s">
        <v>42</v>
      </c>
      <c r="D24" s="320"/>
      <c r="E24" s="323">
        <f t="shared" ref="E24:F24" si="24">SUM(E18:E23)</f>
        <v>2721152</v>
      </c>
      <c r="F24" s="324">
        <f t="shared" si="24"/>
        <v>470230</v>
      </c>
      <c r="G24" s="320"/>
      <c r="H24" s="323">
        <f t="shared" ref="H24:I24" si="25">SUM(H18:H23)</f>
        <v>2394700</v>
      </c>
      <c r="I24" s="323">
        <f t="shared" si="25"/>
        <v>400000</v>
      </c>
      <c r="J24" s="320"/>
      <c r="K24" s="323">
        <f t="shared" ref="K24:L24" si="26">SUM(K18:K23)</f>
        <v>2507300</v>
      </c>
      <c r="L24" s="323">
        <f t="shared" si="26"/>
        <v>400000</v>
      </c>
      <c r="M24" s="320"/>
      <c r="N24" s="323">
        <f t="shared" ref="N24:O24" si="27">SUM(N18:N23)</f>
        <v>2507300</v>
      </c>
      <c r="O24" s="323">
        <f t="shared" si="27"/>
        <v>400000</v>
      </c>
      <c r="P24" s="320"/>
      <c r="Q24" s="323">
        <f t="shared" ref="Q24:R24" si="28">SUM(Q18:Q23)</f>
        <v>2507300</v>
      </c>
      <c r="R24" s="323">
        <f t="shared" si="28"/>
        <v>400040</v>
      </c>
      <c r="S24" s="320"/>
      <c r="T24" s="323">
        <f t="shared" ref="T24:U24" si="29">SUM(T18:T23)</f>
        <v>1422639</v>
      </c>
      <c r="U24" s="323">
        <f t="shared" si="29"/>
        <v>244701</v>
      </c>
      <c r="V24" s="320"/>
      <c r="W24" s="323">
        <f t="shared" ref="W24:X24" si="30">SUM(W18:W23)</f>
        <v>0</v>
      </c>
      <c r="X24" s="323">
        <f t="shared" si="30"/>
        <v>0</v>
      </c>
      <c r="Y24" s="320"/>
      <c r="Z24" s="323">
        <f t="shared" ref="Z24:AA24" si="31">SUM(Z18:Z23)</f>
        <v>0</v>
      </c>
      <c r="AA24" s="323">
        <f t="shared" si="31"/>
        <v>0</v>
      </c>
      <c r="AB24" s="320"/>
      <c r="AC24" s="323">
        <f t="shared" ref="AC24:AD24" si="32">SUM(AC18:AC23)</f>
        <v>0</v>
      </c>
      <c r="AD24" s="323">
        <f t="shared" si="32"/>
        <v>0</v>
      </c>
      <c r="AE24" s="320"/>
      <c r="AF24" s="323">
        <f t="shared" ref="AF24:AG24" si="33">SUM(AF18:AF23)</f>
        <v>0</v>
      </c>
      <c r="AG24" s="323">
        <f t="shared" si="33"/>
        <v>0</v>
      </c>
      <c r="AH24" s="320"/>
      <c r="AI24" s="323">
        <f t="shared" ref="AI24:AJ24" si="34">SUM(AI18:AI23)</f>
        <v>0</v>
      </c>
      <c r="AJ24" s="323">
        <f t="shared" si="34"/>
        <v>0</v>
      </c>
      <c r="AK24" s="320"/>
      <c r="AL24" s="323">
        <f t="shared" ref="AL24:AM24" si="35">SUM(AL18:AL23)</f>
        <v>0</v>
      </c>
      <c r="AM24" s="315">
        <f t="shared" si="35"/>
        <v>0</v>
      </c>
      <c r="AN24" s="316" t="s">
        <v>63</v>
      </c>
      <c r="AO24" s="316"/>
      <c r="AP24" s="316"/>
      <c r="AQ24" s="316"/>
      <c r="AR24" s="316"/>
      <c r="AS24" s="316"/>
      <c r="AT24" s="316"/>
      <c r="AU24" s="316"/>
      <c r="AV24" s="316"/>
      <c r="AW24" s="316"/>
      <c r="AX24" s="316"/>
      <c r="AY24" s="316"/>
      <c r="AZ24" s="316"/>
      <c r="BA24" s="316"/>
      <c r="BB24" s="316"/>
      <c r="BC24" s="316"/>
      <c r="BD24" s="316"/>
      <c r="BE24" s="316"/>
      <c r="BF24" s="316"/>
      <c r="BG24" s="316"/>
      <c r="BH24" s="316"/>
      <c r="BI24" s="316"/>
      <c r="BJ24" s="316"/>
      <c r="BK24" s="316"/>
      <c r="BL24" s="316"/>
      <c r="BM24" s="316"/>
      <c r="BN24" s="316"/>
    </row>
    <row r="25" collapsed="1">
      <c r="A25" s="303" t="s">
        <v>58</v>
      </c>
      <c r="B25" s="304"/>
      <c r="C25" s="325" t="s">
        <v>43</v>
      </c>
      <c r="D25" s="326"/>
      <c r="E25" s="321">
        <v>1500000.0</v>
      </c>
      <c r="F25" s="324"/>
      <c r="G25" s="326"/>
      <c r="H25" s="321">
        <v>1500000.0</v>
      </c>
      <c r="I25" s="324"/>
      <c r="J25" s="326"/>
      <c r="K25" s="321">
        <v>1500000.0</v>
      </c>
      <c r="L25" s="324"/>
      <c r="M25" s="326"/>
      <c r="N25" s="321">
        <v>1500000.0</v>
      </c>
      <c r="O25" s="324"/>
      <c r="P25" s="326"/>
      <c r="Q25" s="321">
        <v>1500000.0</v>
      </c>
      <c r="R25" s="324"/>
      <c r="S25" s="326"/>
      <c r="T25" s="321">
        <v>1500000.0</v>
      </c>
      <c r="U25" s="324"/>
      <c r="V25" s="326"/>
      <c r="W25" s="321">
        <v>1500000.0</v>
      </c>
      <c r="X25" s="324"/>
      <c r="Y25" s="326"/>
      <c r="Z25" s="321">
        <v>1500000.0</v>
      </c>
      <c r="AA25" s="324"/>
      <c r="AB25" s="326"/>
      <c r="AC25" s="321">
        <v>1500000.0</v>
      </c>
      <c r="AD25" s="324"/>
      <c r="AE25" s="326"/>
      <c r="AF25" s="321">
        <v>1500000.0</v>
      </c>
      <c r="AG25" s="324"/>
      <c r="AH25" s="326"/>
      <c r="AI25" s="321">
        <v>1500000.0</v>
      </c>
      <c r="AJ25" s="324"/>
      <c r="AK25" s="326"/>
      <c r="AL25" s="321">
        <v>1500000.0</v>
      </c>
      <c r="AM25" s="324"/>
      <c r="AN25" s="316" t="s">
        <v>63</v>
      </c>
      <c r="AO25" s="316"/>
      <c r="AP25" s="316"/>
      <c r="AQ25" s="316"/>
      <c r="AR25" s="316"/>
      <c r="AS25" s="316"/>
      <c r="AT25" s="316"/>
      <c r="AU25" s="316"/>
      <c r="AV25" s="316"/>
      <c r="AW25" s="316"/>
      <c r="AX25" s="316"/>
      <c r="AY25" s="316"/>
      <c r="AZ25" s="316"/>
      <c r="BA25" s="316"/>
      <c r="BB25" s="316"/>
      <c r="BC25" s="316"/>
      <c r="BD25" s="316"/>
      <c r="BE25" s="316"/>
      <c r="BF25" s="316"/>
      <c r="BG25" s="316"/>
      <c r="BH25" s="316"/>
      <c r="BI25" s="316"/>
      <c r="BJ25" s="316"/>
      <c r="BK25" s="316"/>
      <c r="BL25" s="316"/>
      <c r="BM25" s="316"/>
      <c r="BN25" s="316"/>
    </row>
    <row r="26" hidden="1" outlineLevel="1">
      <c r="A26" s="303" t="s">
        <v>58</v>
      </c>
      <c r="B26" s="317" t="s">
        <v>95</v>
      </c>
      <c r="C26" s="325" t="s">
        <v>96</v>
      </c>
      <c r="D26" s="326"/>
      <c r="E26" s="321"/>
      <c r="F26" s="322">
        <v>70000.0</v>
      </c>
      <c r="G26" s="326"/>
      <c r="H26" s="321"/>
      <c r="I26" s="322">
        <v>70000.0</v>
      </c>
      <c r="J26" s="326"/>
      <c r="K26" s="321"/>
      <c r="L26" s="322">
        <v>70000.0</v>
      </c>
      <c r="M26" s="326"/>
      <c r="N26" s="321"/>
      <c r="O26" s="322">
        <v>70000.0</v>
      </c>
      <c r="P26" s="326"/>
      <c r="Q26" s="321"/>
      <c r="R26" s="322">
        <v>70000.0</v>
      </c>
      <c r="S26" s="326"/>
      <c r="T26" s="321"/>
      <c r="U26" s="322">
        <v>70000.0</v>
      </c>
      <c r="V26" s="326"/>
      <c r="W26" s="321"/>
      <c r="X26" s="322">
        <v>70000.0</v>
      </c>
      <c r="Y26" s="326"/>
      <c r="Z26" s="321"/>
      <c r="AA26" s="322">
        <v>70000.0</v>
      </c>
      <c r="AB26" s="326"/>
      <c r="AC26" s="321"/>
      <c r="AD26" s="322">
        <v>70000.0</v>
      </c>
      <c r="AE26" s="326"/>
      <c r="AF26" s="321"/>
      <c r="AG26" s="322">
        <v>70000.0</v>
      </c>
      <c r="AH26" s="326"/>
      <c r="AI26" s="321"/>
      <c r="AJ26" s="322">
        <v>70000.0</v>
      </c>
      <c r="AK26" s="326"/>
      <c r="AL26" s="321"/>
      <c r="AM26" s="322">
        <v>70000.0</v>
      </c>
      <c r="AN26" s="316" t="s">
        <v>63</v>
      </c>
      <c r="AO26" s="316"/>
      <c r="AP26" s="316"/>
      <c r="AQ26" s="316"/>
      <c r="AR26" s="316"/>
      <c r="AS26" s="316"/>
      <c r="AT26" s="316"/>
      <c r="AU26" s="316"/>
      <c r="AV26" s="316"/>
      <c r="AW26" s="316"/>
      <c r="AX26" s="316"/>
      <c r="AY26" s="316"/>
      <c r="AZ26" s="316"/>
      <c r="BA26" s="316"/>
      <c r="BB26" s="316"/>
      <c r="BC26" s="316"/>
      <c r="BD26" s="316"/>
      <c r="BE26" s="316"/>
      <c r="BF26" s="316"/>
      <c r="BG26" s="316"/>
      <c r="BH26" s="316"/>
      <c r="BI26" s="316"/>
      <c r="BJ26" s="316"/>
      <c r="BK26" s="316"/>
      <c r="BL26" s="316"/>
      <c r="BM26" s="316"/>
      <c r="BN26" s="316"/>
    </row>
    <row r="27" hidden="1" outlineLevel="1">
      <c r="A27" s="303" t="s">
        <v>58</v>
      </c>
      <c r="B27" s="317" t="s">
        <v>95</v>
      </c>
      <c r="C27" s="325" t="s">
        <v>47</v>
      </c>
      <c r="D27" s="326"/>
      <c r="E27" s="321"/>
      <c r="F27" s="322">
        <v>139560.0</v>
      </c>
      <c r="G27" s="326"/>
      <c r="H27" s="321"/>
      <c r="I27" s="322">
        <v>130860.0</v>
      </c>
      <c r="J27" s="326" t="s">
        <v>2039</v>
      </c>
      <c r="K27" s="321"/>
      <c r="L27" s="322">
        <v>135000.0</v>
      </c>
      <c r="M27" s="326"/>
      <c r="N27" s="321"/>
      <c r="O27" s="322"/>
      <c r="P27" s="326"/>
      <c r="Q27" s="321"/>
      <c r="R27" s="322"/>
      <c r="S27" s="326"/>
      <c r="T27" s="321"/>
      <c r="U27" s="322"/>
      <c r="V27" s="326"/>
      <c r="W27" s="321"/>
      <c r="X27" s="322"/>
      <c r="Y27" s="326"/>
      <c r="Z27" s="321"/>
      <c r="AA27" s="322"/>
      <c r="AB27" s="326"/>
      <c r="AC27" s="321"/>
      <c r="AD27" s="322"/>
      <c r="AE27" s="326"/>
      <c r="AF27" s="321"/>
      <c r="AG27" s="322"/>
      <c r="AH27" s="326"/>
      <c r="AI27" s="321"/>
      <c r="AJ27" s="322"/>
      <c r="AK27" s="326"/>
      <c r="AL27" s="321"/>
      <c r="AM27" s="322"/>
      <c r="AN27" s="316" t="s">
        <v>63</v>
      </c>
      <c r="AO27" s="316"/>
      <c r="AP27" s="316"/>
      <c r="AQ27" s="316"/>
      <c r="AR27" s="316"/>
      <c r="AS27" s="316"/>
      <c r="AT27" s="316"/>
      <c r="AU27" s="316"/>
      <c r="AV27" s="316"/>
      <c r="AW27" s="316"/>
      <c r="AX27" s="316"/>
      <c r="AY27" s="316"/>
      <c r="AZ27" s="316"/>
      <c r="BA27" s="316"/>
      <c r="BB27" s="316"/>
      <c r="BC27" s="316"/>
      <c r="BD27" s="316"/>
      <c r="BE27" s="316"/>
      <c r="BF27" s="316"/>
      <c r="BG27" s="316"/>
      <c r="BH27" s="316"/>
      <c r="BI27" s="316"/>
      <c r="BJ27" s="316"/>
      <c r="BK27" s="316"/>
      <c r="BL27" s="316"/>
      <c r="BM27" s="316"/>
      <c r="BN27" s="316"/>
    </row>
    <row r="28" hidden="1" outlineLevel="1">
      <c r="A28" s="303" t="s">
        <v>58</v>
      </c>
      <c r="B28" s="317" t="s">
        <v>95</v>
      </c>
      <c r="C28" s="325" t="s">
        <v>49</v>
      </c>
      <c r="D28" s="326"/>
      <c r="E28" s="321"/>
      <c r="F28" s="322">
        <v>411560.0</v>
      </c>
      <c r="G28" s="326"/>
      <c r="H28" s="321"/>
      <c r="I28" s="322">
        <v>370520.0</v>
      </c>
      <c r="J28" s="326" t="s">
        <v>2039</v>
      </c>
      <c r="K28" s="321"/>
      <c r="L28" s="322">
        <v>400000.0</v>
      </c>
      <c r="M28" s="326"/>
      <c r="N28" s="321"/>
      <c r="O28" s="322"/>
      <c r="P28" s="326"/>
      <c r="Q28" s="321"/>
      <c r="R28" s="322"/>
      <c r="S28" s="326"/>
      <c r="T28" s="321"/>
      <c r="U28" s="322"/>
      <c r="V28" s="326"/>
      <c r="W28" s="321"/>
      <c r="X28" s="322"/>
      <c r="Y28" s="326"/>
      <c r="Z28" s="321"/>
      <c r="AA28" s="322"/>
      <c r="AB28" s="326"/>
      <c r="AC28" s="321"/>
      <c r="AD28" s="322"/>
      <c r="AE28" s="326"/>
      <c r="AF28" s="321"/>
      <c r="AG28" s="322"/>
      <c r="AH28" s="326"/>
      <c r="AI28" s="321"/>
      <c r="AJ28" s="322"/>
      <c r="AK28" s="326"/>
      <c r="AL28" s="321"/>
      <c r="AM28" s="322"/>
      <c r="AN28" s="316" t="s">
        <v>63</v>
      </c>
      <c r="AO28" s="316"/>
      <c r="AP28" s="316"/>
      <c r="AQ28" s="316"/>
      <c r="AR28" s="316"/>
      <c r="AS28" s="316"/>
      <c r="AT28" s="316"/>
      <c r="AU28" s="316"/>
      <c r="AV28" s="316"/>
      <c r="AW28" s="316"/>
      <c r="AX28" s="316"/>
      <c r="AY28" s="316"/>
      <c r="AZ28" s="316"/>
      <c r="BA28" s="316"/>
      <c r="BB28" s="316"/>
      <c r="BC28" s="316"/>
      <c r="BD28" s="316"/>
      <c r="BE28" s="316"/>
      <c r="BF28" s="316"/>
      <c r="BG28" s="316"/>
      <c r="BH28" s="316"/>
      <c r="BI28" s="316"/>
      <c r="BJ28" s="316"/>
      <c r="BK28" s="316"/>
      <c r="BL28" s="316"/>
      <c r="BM28" s="316"/>
      <c r="BN28" s="316"/>
    </row>
    <row r="29" hidden="1" outlineLevel="1">
      <c r="A29" s="303" t="s">
        <v>58</v>
      </c>
      <c r="B29" s="317" t="s">
        <v>95</v>
      </c>
      <c r="C29" s="325" t="s">
        <v>51</v>
      </c>
      <c r="D29" s="326"/>
      <c r="E29" s="321"/>
      <c r="F29" s="322">
        <v>40000.0</v>
      </c>
      <c r="G29" s="326"/>
      <c r="H29" s="321"/>
      <c r="I29" s="322">
        <v>40000.0</v>
      </c>
      <c r="J29" s="326"/>
      <c r="K29" s="321"/>
      <c r="L29" s="322">
        <v>45056.0</v>
      </c>
      <c r="M29" s="326"/>
      <c r="N29" s="321"/>
      <c r="O29" s="322"/>
      <c r="P29" s="326"/>
      <c r="Q29" s="321"/>
      <c r="R29" s="322">
        <v>80000.0</v>
      </c>
      <c r="S29" s="326"/>
      <c r="T29" s="321"/>
      <c r="U29" s="322"/>
      <c r="V29" s="326"/>
      <c r="W29" s="321"/>
      <c r="X29" s="322"/>
      <c r="Y29" s="326"/>
      <c r="Z29" s="321"/>
      <c r="AA29" s="322"/>
      <c r="AB29" s="326"/>
      <c r="AC29" s="321"/>
      <c r="AD29" s="322"/>
      <c r="AE29" s="326"/>
      <c r="AF29" s="321"/>
      <c r="AG29" s="322"/>
      <c r="AH29" s="326"/>
      <c r="AI29" s="321"/>
      <c r="AJ29" s="322"/>
      <c r="AK29" s="326"/>
      <c r="AL29" s="321"/>
      <c r="AM29" s="322"/>
      <c r="AN29" s="316" t="s">
        <v>63</v>
      </c>
      <c r="AO29" s="316"/>
      <c r="AP29" s="316"/>
      <c r="AQ29" s="316"/>
      <c r="AR29" s="316"/>
      <c r="AS29" s="316"/>
      <c r="AT29" s="316"/>
      <c r="AU29" s="316"/>
      <c r="AV29" s="316"/>
      <c r="AW29" s="316"/>
      <c r="AX29" s="316"/>
      <c r="AY29" s="316"/>
      <c r="AZ29" s="316"/>
      <c r="BA29" s="316"/>
      <c r="BB29" s="316"/>
      <c r="BC29" s="316"/>
      <c r="BD29" s="316"/>
      <c r="BE29" s="316"/>
      <c r="BF29" s="316"/>
      <c r="BG29" s="316"/>
      <c r="BH29" s="316"/>
      <c r="BI29" s="316"/>
      <c r="BJ29" s="316"/>
      <c r="BK29" s="316"/>
      <c r="BL29" s="316"/>
      <c r="BM29" s="316"/>
      <c r="BN29" s="316"/>
    </row>
    <row r="30" hidden="1" outlineLevel="1">
      <c r="A30" s="303" t="s">
        <v>58</v>
      </c>
      <c r="B30" s="317" t="s">
        <v>95</v>
      </c>
      <c r="C30" s="325" t="s">
        <v>52</v>
      </c>
      <c r="D30" s="326"/>
      <c r="E30" s="321"/>
      <c r="F30" s="322">
        <v>22000.0</v>
      </c>
      <c r="G30" s="326"/>
      <c r="H30" s="321"/>
      <c r="I30" s="322">
        <v>22000.0</v>
      </c>
      <c r="J30" s="326"/>
      <c r="K30" s="321"/>
      <c r="L30" s="322">
        <v>22000.0</v>
      </c>
      <c r="M30" s="326"/>
      <c r="N30" s="321"/>
      <c r="O30" s="322">
        <v>22000.0</v>
      </c>
      <c r="P30" s="326"/>
      <c r="Q30" s="321"/>
      <c r="R30" s="322">
        <v>22000.0</v>
      </c>
      <c r="S30" s="326"/>
      <c r="T30" s="321"/>
      <c r="U30" s="322">
        <v>22000.0</v>
      </c>
      <c r="V30" s="326"/>
      <c r="W30" s="321"/>
      <c r="X30" s="322">
        <v>22000.0</v>
      </c>
      <c r="Y30" s="326"/>
      <c r="Z30" s="321"/>
      <c r="AA30" s="322">
        <v>22000.0</v>
      </c>
      <c r="AB30" s="326"/>
      <c r="AC30" s="321"/>
      <c r="AD30" s="322">
        <v>22000.0</v>
      </c>
      <c r="AE30" s="326"/>
      <c r="AF30" s="321"/>
      <c r="AG30" s="322">
        <v>22000.0</v>
      </c>
      <c r="AH30" s="326"/>
      <c r="AI30" s="321"/>
      <c r="AJ30" s="322">
        <v>22000.0</v>
      </c>
      <c r="AK30" s="326"/>
      <c r="AL30" s="321"/>
      <c r="AM30" s="322">
        <v>22000.0</v>
      </c>
      <c r="AN30" s="316" t="s">
        <v>63</v>
      </c>
      <c r="AO30" s="316"/>
      <c r="AP30" s="316"/>
      <c r="AQ30" s="316"/>
      <c r="AR30" s="316"/>
      <c r="AS30" s="316"/>
      <c r="AT30" s="316"/>
      <c r="AU30" s="316"/>
      <c r="AV30" s="316"/>
      <c r="AW30" s="316"/>
      <c r="AX30" s="316"/>
      <c r="AY30" s="316"/>
      <c r="AZ30" s="316"/>
      <c r="BA30" s="316"/>
      <c r="BB30" s="316"/>
      <c r="BC30" s="316"/>
      <c r="BD30" s="316"/>
      <c r="BE30" s="316"/>
      <c r="BF30" s="316"/>
      <c r="BG30" s="316"/>
      <c r="BH30" s="316"/>
      <c r="BI30" s="316"/>
      <c r="BJ30" s="316"/>
      <c r="BK30" s="316"/>
      <c r="BL30" s="316"/>
      <c r="BM30" s="316"/>
      <c r="BN30" s="316"/>
    </row>
    <row r="31" hidden="1" outlineLevel="1">
      <c r="A31" s="303" t="s">
        <v>58</v>
      </c>
      <c r="B31" s="317" t="s">
        <v>95</v>
      </c>
      <c r="C31" s="325" t="s">
        <v>53</v>
      </c>
      <c r="D31" s="342"/>
      <c r="E31" s="18"/>
      <c r="F31" s="343">
        <v>11000.0</v>
      </c>
      <c r="G31" s="342"/>
      <c r="H31" s="18"/>
      <c r="I31" s="343">
        <v>11000.0</v>
      </c>
      <c r="J31" s="342"/>
      <c r="K31" s="18"/>
      <c r="L31" s="343">
        <v>11000.0</v>
      </c>
      <c r="M31" s="342"/>
      <c r="N31" s="18"/>
      <c r="O31" s="343">
        <v>11000.0</v>
      </c>
      <c r="P31" s="342"/>
      <c r="Q31" s="18"/>
      <c r="R31" s="343">
        <v>11000.0</v>
      </c>
      <c r="S31" s="342"/>
      <c r="T31" s="18"/>
      <c r="U31" s="343">
        <v>11000.0</v>
      </c>
      <c r="V31" s="342"/>
      <c r="W31" s="18"/>
      <c r="X31" s="343">
        <v>11000.0</v>
      </c>
      <c r="Y31" s="342"/>
      <c r="Z31" s="18"/>
      <c r="AA31" s="343">
        <v>11000.0</v>
      </c>
      <c r="AB31" s="342"/>
      <c r="AC31" s="18"/>
      <c r="AD31" s="343">
        <v>11000.0</v>
      </c>
      <c r="AE31" s="342"/>
      <c r="AF31" s="18"/>
      <c r="AG31" s="343">
        <v>11000.0</v>
      </c>
      <c r="AH31" s="342"/>
      <c r="AI31" s="18"/>
      <c r="AJ31" s="343">
        <v>11000.0</v>
      </c>
      <c r="AK31" s="342"/>
      <c r="AL31" s="18"/>
      <c r="AM31" s="343">
        <v>11000.0</v>
      </c>
      <c r="AN31" s="316" t="s">
        <v>63</v>
      </c>
      <c r="AO31" s="316"/>
      <c r="AP31" s="316"/>
      <c r="AQ31" s="316"/>
      <c r="AR31" s="316"/>
      <c r="AS31" s="316"/>
      <c r="AT31" s="316"/>
      <c r="AU31" s="316"/>
      <c r="AV31" s="316"/>
      <c r="AW31" s="316"/>
      <c r="AX31" s="316"/>
      <c r="AY31" s="316"/>
      <c r="AZ31" s="316"/>
      <c r="BA31" s="316"/>
      <c r="BB31" s="316"/>
      <c r="BC31" s="316"/>
      <c r="BD31" s="316"/>
      <c r="BE31" s="316"/>
      <c r="BF31" s="316"/>
      <c r="BG31" s="316"/>
      <c r="BH31" s="316"/>
      <c r="BI31" s="316"/>
      <c r="BJ31" s="316"/>
      <c r="BK31" s="316"/>
      <c r="BL31" s="316"/>
      <c r="BM31" s="316"/>
      <c r="BN31" s="316"/>
    </row>
    <row r="32" hidden="1" outlineLevel="1">
      <c r="A32" s="303" t="s">
        <v>58</v>
      </c>
      <c r="B32" s="304"/>
      <c r="C32" s="325" t="s">
        <v>54</v>
      </c>
      <c r="D32" s="326"/>
      <c r="E32" s="321"/>
      <c r="F32" s="322">
        <f>SUMIFS('지출'!$G$3:$G794,'지출'!$J$3:$J794,F$1,'지출'!$C$3:$C794,"영동")</f>
        <v>174360</v>
      </c>
      <c r="G32" s="326"/>
      <c r="H32" s="321"/>
      <c r="I32" s="322">
        <f>SUMIFS('지출'!$G$3:$G794,'지출'!$J$3:$J794,I$1,'지출'!$C$3:$C794,"영동")</f>
        <v>50000</v>
      </c>
      <c r="J32" s="326"/>
      <c r="K32" s="321"/>
      <c r="L32" s="322">
        <f>SUMIFS('지출'!$G$3:$G794,'지출'!$J$3:$J794,L$1,'지출'!$C$3:$C794,"영동")</f>
        <v>124500</v>
      </c>
      <c r="M32" s="326"/>
      <c r="N32" s="321"/>
      <c r="O32" s="322">
        <f>SUMIFS('지출'!$G$3:$G794,'지출'!$J$3:$J794,O$1,'지출'!$C$3:$C794,"영동")</f>
        <v>0</v>
      </c>
      <c r="P32" s="326"/>
      <c r="Q32" s="321"/>
      <c r="R32" s="322">
        <f>SUMIFS('지출'!$G$3:$G794,'지출'!$J$3:$J794,R$1,'지출'!$C$3:$C794,"영동")</f>
        <v>0</v>
      </c>
      <c r="S32" s="326"/>
      <c r="T32" s="321"/>
      <c r="U32" s="322">
        <f>SUMIFS('지출'!$G$3:$G794,'지출'!$J$3:$J794,U$1,'지출'!$C$3:$C794,"영동")</f>
        <v>0</v>
      </c>
      <c r="V32" s="326"/>
      <c r="W32" s="321"/>
      <c r="X32" s="322">
        <f>SUMIFS('지출'!$G$3:$G794,'지출'!$J$3:$J794,X$1,'지출'!$C$3:$C794,"영동")</f>
        <v>0</v>
      </c>
      <c r="Y32" s="326"/>
      <c r="Z32" s="321"/>
      <c r="AA32" s="322">
        <f>SUMIFS('지출'!$G$3:$G794,'지출'!$J$3:$J794,AA$1,'지출'!$C$3:$C794,"영동")</f>
        <v>0</v>
      </c>
      <c r="AB32" s="326"/>
      <c r="AC32" s="321"/>
      <c r="AD32" s="322">
        <f>SUMIFS('지출'!$G$3:$G794,'지출'!$J$3:$J794,AD$1,'지출'!$C$3:$C794,"영동")</f>
        <v>0</v>
      </c>
      <c r="AE32" s="326"/>
      <c r="AF32" s="321"/>
      <c r="AG32" s="322">
        <f>SUMIFS('지출'!$G$3:$G794,'지출'!$J$3:$J794,AG$1,'지출'!$C$3:$C794,"영동")</f>
        <v>0</v>
      </c>
      <c r="AH32" s="326"/>
      <c r="AI32" s="321"/>
      <c r="AJ32" s="322">
        <f>SUMIFS('지출'!$G$3:$G794,'지출'!$J$3:$J794,AJ$1,'지출'!$C$3:$C794,"영동")</f>
        <v>0</v>
      </c>
      <c r="AK32" s="326"/>
      <c r="AL32" s="321"/>
      <c r="AM32" s="322">
        <f>SUMIFS('지출'!$G$3:$G794,'지출'!$J$3:$J794,AM$1,'지출'!$C$3:$C794,"영동")</f>
        <v>0</v>
      </c>
      <c r="AN32" s="316" t="s">
        <v>63</v>
      </c>
      <c r="AO32" s="316"/>
      <c r="AP32" s="316"/>
      <c r="AQ32" s="316"/>
      <c r="AR32" s="316"/>
      <c r="AS32" s="316"/>
      <c r="AT32" s="316"/>
      <c r="AU32" s="316"/>
      <c r="AV32" s="316"/>
      <c r="AW32" s="316"/>
      <c r="AX32" s="316"/>
      <c r="AY32" s="316"/>
      <c r="AZ32" s="316"/>
      <c r="BA32" s="316"/>
      <c r="BB32" s="316"/>
      <c r="BC32" s="316"/>
      <c r="BD32" s="316"/>
      <c r="BE32" s="316"/>
      <c r="BF32" s="316"/>
      <c r="BG32" s="316"/>
      <c r="BH32" s="316"/>
      <c r="BI32" s="316"/>
      <c r="BJ32" s="316"/>
      <c r="BK32" s="316"/>
      <c r="BL32" s="316"/>
      <c r="BM32" s="316"/>
      <c r="BN32" s="316"/>
    </row>
    <row r="33" hidden="1" outlineLevel="1">
      <c r="A33" s="303" t="s">
        <v>58</v>
      </c>
      <c r="B33" s="304"/>
      <c r="C33" s="325" t="s">
        <v>56</v>
      </c>
      <c r="D33" s="320"/>
      <c r="E33" s="323">
        <f t="shared" ref="E33:F33" si="36">E24-(SUM(E25:E32))</f>
        <v>1221152</v>
      </c>
      <c r="F33" s="324">
        <f t="shared" si="36"/>
        <v>-398250</v>
      </c>
      <c r="G33" s="320"/>
      <c r="H33" s="323">
        <f t="shared" ref="H33:I33" si="37">H24-(SUM(H25:H32))</f>
        <v>894700</v>
      </c>
      <c r="I33" s="324">
        <f t="shared" si="37"/>
        <v>-294380</v>
      </c>
      <c r="J33" s="320"/>
      <c r="K33" s="323">
        <f t="shared" ref="K33:L33" si="38">K24-(SUM(K25:K32))</f>
        <v>1007300</v>
      </c>
      <c r="L33" s="324">
        <f t="shared" si="38"/>
        <v>-407556</v>
      </c>
      <c r="M33" s="320"/>
      <c r="N33" s="323">
        <f t="shared" ref="N33:O33" si="39">N24-(SUM(N25:N32))</f>
        <v>1007300</v>
      </c>
      <c r="O33" s="324">
        <f t="shared" si="39"/>
        <v>297000</v>
      </c>
      <c r="P33" s="320"/>
      <c r="Q33" s="323">
        <f t="shared" ref="Q33:R33" si="40">Q24-(SUM(Q25:Q32))</f>
        <v>1007300</v>
      </c>
      <c r="R33" s="324">
        <f t="shared" si="40"/>
        <v>217040</v>
      </c>
      <c r="S33" s="320"/>
      <c r="T33" s="323">
        <f t="shared" ref="T33:U33" si="41">T24-(SUM(T25:T32))</f>
        <v>-77361</v>
      </c>
      <c r="U33" s="324">
        <f t="shared" si="41"/>
        <v>141701</v>
      </c>
      <c r="V33" s="320"/>
      <c r="W33" s="323">
        <f t="shared" ref="W33:X33" si="42">W24-(SUM(W25:W32))</f>
        <v>-1500000</v>
      </c>
      <c r="X33" s="324">
        <f t="shared" si="42"/>
        <v>-103000</v>
      </c>
      <c r="Y33" s="320"/>
      <c r="Z33" s="323">
        <f t="shared" ref="Z33:AA33" si="43">Z24-(SUM(Z25:Z32))</f>
        <v>-1500000</v>
      </c>
      <c r="AA33" s="324">
        <f t="shared" si="43"/>
        <v>-103000</v>
      </c>
      <c r="AB33" s="320"/>
      <c r="AC33" s="323">
        <f t="shared" ref="AC33:AD33" si="44">AC24-(SUM(AC25:AC32))</f>
        <v>-1500000</v>
      </c>
      <c r="AD33" s="324">
        <f t="shared" si="44"/>
        <v>-103000</v>
      </c>
      <c r="AE33" s="320"/>
      <c r="AF33" s="323">
        <f t="shared" ref="AF33:AG33" si="45">AF24-(SUM(AF25:AF32))</f>
        <v>-1500000</v>
      </c>
      <c r="AG33" s="324">
        <f t="shared" si="45"/>
        <v>-103000</v>
      </c>
      <c r="AH33" s="320"/>
      <c r="AI33" s="323">
        <f t="shared" ref="AI33:AJ33" si="46">AI24-(SUM(AI25:AI32))</f>
        <v>-1500000</v>
      </c>
      <c r="AJ33" s="324">
        <f t="shared" si="46"/>
        <v>-103000</v>
      </c>
      <c r="AK33" s="320"/>
      <c r="AL33" s="323">
        <f t="shared" ref="AL33:AM33" si="47">AL24-(SUM(AL25:AL32))</f>
        <v>-1500000</v>
      </c>
      <c r="AM33" s="324">
        <f t="shared" si="47"/>
        <v>-103000</v>
      </c>
      <c r="AN33" s="316" t="s">
        <v>63</v>
      </c>
      <c r="AO33" s="316"/>
      <c r="AP33" s="316"/>
      <c r="AQ33" s="316"/>
      <c r="AR33" s="316"/>
      <c r="AS33" s="316"/>
      <c r="AT33" s="316"/>
      <c r="AU33" s="316"/>
      <c r="AV33" s="316"/>
      <c r="AW33" s="316"/>
      <c r="AX33" s="316"/>
      <c r="AY33" s="316"/>
      <c r="AZ33" s="316"/>
      <c r="BA33" s="316"/>
      <c r="BB33" s="316"/>
      <c r="BC33" s="316"/>
      <c r="BD33" s="316"/>
      <c r="BE33" s="316"/>
      <c r="BF33" s="316"/>
      <c r="BG33" s="316"/>
      <c r="BH33" s="316"/>
      <c r="BI33" s="316"/>
      <c r="BJ33" s="316"/>
      <c r="BK33" s="316"/>
      <c r="BL33" s="316"/>
      <c r="BM33" s="316"/>
      <c r="BN33" s="316"/>
    </row>
    <row r="34">
      <c r="A34" s="303" t="s">
        <v>58</v>
      </c>
      <c r="B34" s="328">
        <v>0.7</v>
      </c>
      <c r="C34" s="325" t="s">
        <v>26</v>
      </c>
      <c r="D34" s="320"/>
      <c r="E34" s="323">
        <f>E33*$B34</f>
        <v>854806.4</v>
      </c>
      <c r="F34" s="324"/>
      <c r="G34" s="320"/>
      <c r="H34" s="323">
        <f>H33*$B34</f>
        <v>626290</v>
      </c>
      <c r="I34" s="324"/>
      <c r="J34" s="320"/>
      <c r="K34" s="323">
        <f>K33*$B34</f>
        <v>705110</v>
      </c>
      <c r="L34" s="324"/>
      <c r="M34" s="320"/>
      <c r="N34" s="323">
        <f>N33*$B34</f>
        <v>705110</v>
      </c>
      <c r="O34" s="324"/>
      <c r="P34" s="320"/>
      <c r="Q34" s="323">
        <f>Q33*$B34</f>
        <v>705110</v>
      </c>
      <c r="R34" s="324"/>
      <c r="S34" s="320"/>
      <c r="T34" s="323">
        <f>T33*$B34</f>
        <v>-54152.7</v>
      </c>
      <c r="U34" s="324"/>
      <c r="V34" s="320"/>
      <c r="W34" s="323">
        <f>W33*$B34</f>
        <v>-1050000</v>
      </c>
      <c r="X34" s="324"/>
      <c r="Y34" s="320"/>
      <c r="Z34" s="323">
        <f>Z33*$B34</f>
        <v>-1050000</v>
      </c>
      <c r="AA34" s="324"/>
      <c r="AB34" s="320"/>
      <c r="AC34" s="323">
        <f>AC33*$B34</f>
        <v>-1050000</v>
      </c>
      <c r="AD34" s="324"/>
      <c r="AE34" s="320"/>
      <c r="AF34" s="323">
        <f>AF33*$B34</f>
        <v>-1050000</v>
      </c>
      <c r="AG34" s="324"/>
      <c r="AH34" s="320"/>
      <c r="AI34" s="323">
        <f>AI33*$B34</f>
        <v>-1050000</v>
      </c>
      <c r="AJ34" s="324"/>
      <c r="AK34" s="320"/>
      <c r="AL34" s="323">
        <f>AL33*$B34</f>
        <v>-1050000</v>
      </c>
      <c r="AM34" s="324"/>
      <c r="AN34" s="316" t="s">
        <v>63</v>
      </c>
      <c r="AO34" s="316"/>
      <c r="AP34" s="316"/>
      <c r="AQ34" s="316"/>
      <c r="AR34" s="316"/>
      <c r="AS34" s="316"/>
      <c r="AT34" s="316"/>
      <c r="AU34" s="316"/>
      <c r="AV34" s="316"/>
      <c r="AW34" s="316"/>
      <c r="AX34" s="316"/>
      <c r="AY34" s="316"/>
      <c r="AZ34" s="316"/>
      <c r="BA34" s="316"/>
      <c r="BB34" s="316"/>
      <c r="BC34" s="316"/>
      <c r="BD34" s="316"/>
      <c r="BE34" s="316"/>
      <c r="BF34" s="316"/>
      <c r="BG34" s="316"/>
      <c r="BH34" s="316"/>
      <c r="BI34" s="316"/>
      <c r="BJ34" s="316"/>
      <c r="BK34" s="316"/>
      <c r="BL34" s="316"/>
      <c r="BM34" s="316"/>
      <c r="BN34" s="316"/>
    </row>
    <row r="35">
      <c r="A35" s="303" t="s">
        <v>58</v>
      </c>
      <c r="B35" s="329">
        <v>0.3</v>
      </c>
      <c r="C35" s="330" t="s">
        <v>57</v>
      </c>
      <c r="D35" s="331"/>
      <c r="E35" s="332">
        <f>E33*$B35</f>
        <v>366345.6</v>
      </c>
      <c r="F35" s="333"/>
      <c r="G35" s="331"/>
      <c r="H35" s="332">
        <f>H33*$B35</f>
        <v>268410</v>
      </c>
      <c r="I35" s="333"/>
      <c r="J35" s="331"/>
      <c r="K35" s="332">
        <f>K33*$B35</f>
        <v>302190</v>
      </c>
      <c r="L35" s="333"/>
      <c r="M35" s="331"/>
      <c r="N35" s="332">
        <f>N33*$B35</f>
        <v>302190</v>
      </c>
      <c r="O35" s="333"/>
      <c r="P35" s="331"/>
      <c r="Q35" s="332">
        <f>Q33*$B35</f>
        <v>302190</v>
      </c>
      <c r="R35" s="333"/>
      <c r="S35" s="331"/>
      <c r="T35" s="332">
        <f>T33*$B35</f>
        <v>-23208.3</v>
      </c>
      <c r="U35" s="333"/>
      <c r="V35" s="331"/>
      <c r="W35" s="332">
        <f>W33*$B35</f>
        <v>-450000</v>
      </c>
      <c r="X35" s="333"/>
      <c r="Y35" s="331"/>
      <c r="Z35" s="332">
        <f>Z33*$B35</f>
        <v>-450000</v>
      </c>
      <c r="AA35" s="333"/>
      <c r="AB35" s="331"/>
      <c r="AC35" s="332">
        <f>AC33*$B35</f>
        <v>-450000</v>
      </c>
      <c r="AD35" s="333"/>
      <c r="AE35" s="331"/>
      <c r="AF35" s="332">
        <f>AF33*$B35</f>
        <v>-450000</v>
      </c>
      <c r="AG35" s="333"/>
      <c r="AH35" s="331"/>
      <c r="AI35" s="332">
        <f>AI33*$B35</f>
        <v>-450000</v>
      </c>
      <c r="AJ35" s="333"/>
      <c r="AK35" s="331"/>
      <c r="AL35" s="332">
        <f>AL33*$B35</f>
        <v>-450000</v>
      </c>
      <c r="AM35" s="333"/>
      <c r="AN35" s="316" t="s">
        <v>63</v>
      </c>
      <c r="AO35" s="316"/>
      <c r="AP35" s="316"/>
      <c r="AQ35" s="316"/>
      <c r="AR35" s="316"/>
      <c r="AS35" s="316"/>
      <c r="AT35" s="316"/>
      <c r="AU35" s="316"/>
      <c r="AV35" s="316"/>
      <c r="AW35" s="316"/>
      <c r="AX35" s="316"/>
      <c r="AY35" s="316"/>
      <c r="AZ35" s="316"/>
      <c r="BA35" s="316"/>
      <c r="BB35" s="316"/>
      <c r="BC35" s="316"/>
      <c r="BD35" s="316"/>
      <c r="BE35" s="316"/>
      <c r="BF35" s="316"/>
      <c r="BG35" s="316"/>
      <c r="BH35" s="316"/>
      <c r="BI35" s="316"/>
      <c r="BJ35" s="316"/>
      <c r="BK35" s="316"/>
      <c r="BL35" s="316"/>
      <c r="BM35" s="316"/>
      <c r="BN35" s="316"/>
    </row>
    <row r="36">
      <c r="A36" s="303" t="s">
        <v>97</v>
      </c>
      <c r="B36" s="317" t="s">
        <v>97</v>
      </c>
      <c r="C36" s="325" t="s">
        <v>98</v>
      </c>
      <c r="D36" s="334" t="s">
        <v>105</v>
      </c>
      <c r="E36" s="335">
        <v>550000.0</v>
      </c>
      <c r="F36" s="344">
        <f t="shared" ref="F36:F37" si="48">100000+50000</f>
        <v>150000</v>
      </c>
      <c r="G36" s="334" t="s">
        <v>105</v>
      </c>
      <c r="H36" s="335">
        <v>550000.0</v>
      </c>
      <c r="I36" s="344">
        <f>100000</f>
        <v>100000</v>
      </c>
      <c r="J36" s="334" t="s">
        <v>105</v>
      </c>
      <c r="K36" s="335">
        <v>550000.0</v>
      </c>
      <c r="L36" s="344">
        <v>100000.0</v>
      </c>
      <c r="M36" s="334" t="s">
        <v>105</v>
      </c>
      <c r="N36" s="335">
        <v>550000.0</v>
      </c>
      <c r="O36" s="345">
        <v>100000.0</v>
      </c>
      <c r="P36" s="334" t="s">
        <v>105</v>
      </c>
      <c r="Q36" s="335">
        <v>550000.0</v>
      </c>
      <c r="R36" s="345">
        <v>100000.0</v>
      </c>
      <c r="S36" s="334" t="s">
        <v>105</v>
      </c>
      <c r="T36" s="335">
        <v>550000.0</v>
      </c>
      <c r="U36" s="345">
        <v>100000.0</v>
      </c>
      <c r="V36" s="334" t="s">
        <v>105</v>
      </c>
      <c r="W36" s="335">
        <v>550000.0</v>
      </c>
      <c r="X36" s="345">
        <v>100000.0</v>
      </c>
      <c r="Y36" s="334" t="s">
        <v>105</v>
      </c>
      <c r="Z36" s="335">
        <v>550000.0</v>
      </c>
      <c r="AA36" s="345">
        <v>100000.0</v>
      </c>
      <c r="AB36" s="334" t="s">
        <v>105</v>
      </c>
      <c r="AC36" s="335">
        <v>550000.0</v>
      </c>
      <c r="AD36" s="345">
        <v>100000.0</v>
      </c>
      <c r="AE36" s="334" t="s">
        <v>105</v>
      </c>
      <c r="AF36" s="335">
        <v>550000.0</v>
      </c>
      <c r="AG36" s="345">
        <v>100000.0</v>
      </c>
      <c r="AH36" s="334" t="s">
        <v>105</v>
      </c>
      <c r="AI36" s="335">
        <v>550000.0</v>
      </c>
      <c r="AJ36" s="345">
        <v>100000.0</v>
      </c>
      <c r="AK36" s="334" t="s">
        <v>105</v>
      </c>
      <c r="AL36" s="335">
        <v>550000.0</v>
      </c>
      <c r="AM36" s="345">
        <v>100000.0</v>
      </c>
      <c r="AN36" s="316" t="s">
        <v>63</v>
      </c>
      <c r="AO36" s="316"/>
      <c r="AP36" s="316"/>
      <c r="AQ36" s="316"/>
      <c r="AR36" s="316"/>
      <c r="AS36" s="316"/>
      <c r="AT36" s="316"/>
      <c r="AU36" s="316"/>
      <c r="AV36" s="316"/>
      <c r="AW36" s="316"/>
      <c r="AX36" s="316"/>
      <c r="AY36" s="316"/>
      <c r="AZ36" s="316"/>
      <c r="BA36" s="316"/>
      <c r="BB36" s="316"/>
      <c r="BC36" s="316"/>
      <c r="BD36" s="316"/>
      <c r="BE36" s="316"/>
      <c r="BF36" s="316"/>
      <c r="BG36" s="316"/>
      <c r="BH36" s="316"/>
      <c r="BI36" s="316"/>
      <c r="BJ36" s="316"/>
      <c r="BK36" s="316"/>
      <c r="BL36" s="316"/>
      <c r="BM36" s="316"/>
      <c r="BN36" s="316"/>
    </row>
    <row r="37">
      <c r="A37" s="303" t="s">
        <v>97</v>
      </c>
      <c r="B37" s="317" t="s">
        <v>97</v>
      </c>
      <c r="C37" s="325" t="s">
        <v>104</v>
      </c>
      <c r="D37" s="334" t="s">
        <v>2049</v>
      </c>
      <c r="E37" s="335">
        <v>620000.0</v>
      </c>
      <c r="F37" s="345">
        <f t="shared" si="48"/>
        <v>150000</v>
      </c>
      <c r="G37" s="334" t="s">
        <v>2049</v>
      </c>
      <c r="H37" s="335">
        <v>620000.0</v>
      </c>
      <c r="I37" s="346">
        <f t="shared" ref="I37:I38" si="49">100000+85000</f>
        <v>185000</v>
      </c>
      <c r="J37" s="347" t="s">
        <v>2050</v>
      </c>
      <c r="K37" s="348">
        <v>202258.0</v>
      </c>
      <c r="L37" s="345">
        <v>35484.0</v>
      </c>
      <c r="M37" s="317" t="s">
        <v>1299</v>
      </c>
      <c r="N37" s="321">
        <v>570000.0</v>
      </c>
      <c r="O37" s="322">
        <v>100000.0</v>
      </c>
      <c r="P37" s="317" t="s">
        <v>1299</v>
      </c>
      <c r="Q37" s="321">
        <v>570000.0</v>
      </c>
      <c r="R37" s="322">
        <v>100000.0</v>
      </c>
      <c r="S37" s="317" t="s">
        <v>1299</v>
      </c>
      <c r="T37" s="321">
        <v>570000.0</v>
      </c>
      <c r="U37" s="322">
        <v>100000.0</v>
      </c>
      <c r="V37" s="317" t="s">
        <v>1299</v>
      </c>
      <c r="W37" s="321">
        <v>570000.0</v>
      </c>
      <c r="X37" s="322">
        <v>100000.0</v>
      </c>
      <c r="Y37" s="317" t="s">
        <v>1299</v>
      </c>
      <c r="Z37" s="321">
        <v>570000.0</v>
      </c>
      <c r="AA37" s="322">
        <v>100000.0</v>
      </c>
      <c r="AB37" s="317" t="s">
        <v>1299</v>
      </c>
      <c r="AC37" s="321">
        <v>570000.0</v>
      </c>
      <c r="AD37" s="322">
        <v>100000.0</v>
      </c>
      <c r="AE37" s="317" t="s">
        <v>1299</v>
      </c>
      <c r="AF37" s="321">
        <v>570000.0</v>
      </c>
      <c r="AG37" s="322">
        <v>100000.0</v>
      </c>
      <c r="AH37" s="317" t="s">
        <v>1299</v>
      </c>
      <c r="AI37" s="321">
        <v>570000.0</v>
      </c>
      <c r="AJ37" s="322">
        <v>100000.0</v>
      </c>
      <c r="AK37" s="317" t="s">
        <v>1299</v>
      </c>
      <c r="AL37" s="321">
        <v>570000.0</v>
      </c>
      <c r="AM37" s="322">
        <v>100000.0</v>
      </c>
      <c r="AN37" s="316" t="s">
        <v>63</v>
      </c>
      <c r="AO37" s="349"/>
      <c r="AP37" s="316"/>
      <c r="AQ37" s="316"/>
      <c r="AR37" s="316"/>
      <c r="AS37" s="316"/>
      <c r="AT37" s="316"/>
      <c r="AU37" s="316"/>
      <c r="AV37" s="316"/>
      <c r="AW37" s="316"/>
      <c r="AX37" s="316"/>
      <c r="AY37" s="316"/>
      <c r="AZ37" s="316"/>
      <c r="BA37" s="316"/>
      <c r="BB37" s="316"/>
      <c r="BC37" s="316"/>
      <c r="BD37" s="316"/>
      <c r="BE37" s="316"/>
      <c r="BF37" s="316"/>
      <c r="BG37" s="316"/>
      <c r="BH37" s="316"/>
      <c r="BI37" s="316"/>
      <c r="BJ37" s="316"/>
      <c r="BK37" s="316"/>
      <c r="BL37" s="316"/>
      <c r="BM37" s="316"/>
      <c r="BN37" s="316"/>
    </row>
    <row r="38">
      <c r="A38" s="303" t="s">
        <v>97</v>
      </c>
      <c r="B38" s="317" t="s">
        <v>97</v>
      </c>
      <c r="C38" s="325" t="s">
        <v>106</v>
      </c>
      <c r="D38" s="347" t="s">
        <v>2051</v>
      </c>
      <c r="E38" s="348">
        <v>650000.0</v>
      </c>
      <c r="F38" s="346">
        <f>100000-55000+50000</f>
        <v>95000</v>
      </c>
      <c r="G38" s="347" t="s">
        <v>2051</v>
      </c>
      <c r="H38" s="348">
        <v>650000.0</v>
      </c>
      <c r="I38" s="346">
        <f t="shared" si="49"/>
        <v>185000</v>
      </c>
      <c r="J38" s="317" t="s">
        <v>1302</v>
      </c>
      <c r="K38" s="348">
        <v>480000.0</v>
      </c>
      <c r="L38" s="345">
        <v>77419.0</v>
      </c>
      <c r="M38" s="317" t="s">
        <v>1302</v>
      </c>
      <c r="N38" s="321">
        <v>620000.0</v>
      </c>
      <c r="O38" s="322">
        <v>100000.0</v>
      </c>
      <c r="P38" s="317" t="s">
        <v>1302</v>
      </c>
      <c r="Q38" s="321">
        <v>620000.0</v>
      </c>
      <c r="R38" s="322">
        <v>100000.0</v>
      </c>
      <c r="S38" s="317" t="s">
        <v>2052</v>
      </c>
      <c r="T38" s="321">
        <v>144667.0</v>
      </c>
      <c r="U38" s="322">
        <v>23333.0</v>
      </c>
      <c r="V38" s="317"/>
      <c r="W38" s="321"/>
      <c r="X38" s="322"/>
      <c r="Y38" s="317"/>
      <c r="Z38" s="321"/>
      <c r="AA38" s="322"/>
      <c r="AB38" s="317"/>
      <c r="AC38" s="321"/>
      <c r="AD38" s="322"/>
      <c r="AE38" s="317"/>
      <c r="AF38" s="321"/>
      <c r="AG38" s="322"/>
      <c r="AH38" s="317"/>
      <c r="AI38" s="321"/>
      <c r="AJ38" s="322"/>
      <c r="AK38" s="317"/>
      <c r="AL38" s="321"/>
      <c r="AM38" s="322"/>
      <c r="AN38" s="316" t="s">
        <v>63</v>
      </c>
      <c r="AO38" s="349"/>
      <c r="AP38" s="316"/>
      <c r="AQ38" s="316"/>
      <c r="AR38" s="316"/>
      <c r="AS38" s="316"/>
      <c r="AT38" s="316"/>
      <c r="AU38" s="316"/>
      <c r="AV38" s="316"/>
      <c r="AW38" s="316"/>
      <c r="AX38" s="316"/>
      <c r="AY38" s="316"/>
      <c r="AZ38" s="316"/>
      <c r="BA38" s="316"/>
      <c r="BB38" s="316"/>
      <c r="BC38" s="316"/>
      <c r="BD38" s="316"/>
      <c r="BE38" s="316"/>
      <c r="BF38" s="316"/>
      <c r="BG38" s="316"/>
      <c r="BH38" s="316"/>
      <c r="BI38" s="316"/>
      <c r="BJ38" s="316"/>
      <c r="BK38" s="316"/>
      <c r="BL38" s="316"/>
      <c r="BM38" s="316"/>
      <c r="BN38" s="316"/>
    </row>
    <row r="39">
      <c r="A39" s="303" t="s">
        <v>97</v>
      </c>
      <c r="B39" s="317" t="s">
        <v>97</v>
      </c>
      <c r="C39" s="325" t="s">
        <v>112</v>
      </c>
      <c r="D39" s="347" t="s">
        <v>2053</v>
      </c>
      <c r="E39" s="335">
        <v>470000.0</v>
      </c>
      <c r="F39" s="346">
        <v>100000.0</v>
      </c>
      <c r="G39" s="341" t="s">
        <v>37</v>
      </c>
      <c r="H39" s="321"/>
      <c r="I39" s="322"/>
      <c r="J39" s="317" t="s">
        <v>2054</v>
      </c>
      <c r="K39" s="321">
        <v>290645.0</v>
      </c>
      <c r="L39" s="322">
        <v>54839.0</v>
      </c>
      <c r="M39" s="317" t="s">
        <v>1304</v>
      </c>
      <c r="N39" s="348">
        <v>530000.0</v>
      </c>
      <c r="O39" s="346">
        <v>100000.0</v>
      </c>
      <c r="P39" s="317" t="s">
        <v>1304</v>
      </c>
      <c r="Q39" s="348">
        <v>530000.0</v>
      </c>
      <c r="R39" s="346">
        <v>100000.0</v>
      </c>
      <c r="S39" s="317" t="s">
        <v>2055</v>
      </c>
      <c r="T39" s="348">
        <v>247333.0</v>
      </c>
      <c r="U39" s="345">
        <v>46667.0</v>
      </c>
      <c r="V39" s="317"/>
      <c r="W39" s="321"/>
      <c r="X39" s="322"/>
      <c r="Y39" s="317"/>
      <c r="Z39" s="321"/>
      <c r="AA39" s="322"/>
      <c r="AB39" s="317"/>
      <c r="AC39" s="321"/>
      <c r="AD39" s="322"/>
      <c r="AE39" s="317"/>
      <c r="AF39" s="321"/>
      <c r="AG39" s="322"/>
      <c r="AH39" s="317"/>
      <c r="AI39" s="321"/>
      <c r="AJ39" s="322"/>
      <c r="AK39" s="317"/>
      <c r="AL39" s="321"/>
      <c r="AM39" s="322"/>
      <c r="AN39" s="316" t="s">
        <v>63</v>
      </c>
      <c r="AO39" s="316"/>
      <c r="AP39" s="316"/>
      <c r="AQ39" s="316"/>
      <c r="AR39" s="316"/>
      <c r="AS39" s="316"/>
      <c r="AT39" s="316"/>
      <c r="AU39" s="316"/>
      <c r="AV39" s="316"/>
      <c r="AW39" s="316"/>
      <c r="AX39" s="316"/>
      <c r="AY39" s="316"/>
      <c r="AZ39" s="316"/>
      <c r="BA39" s="316"/>
      <c r="BB39" s="316"/>
      <c r="BC39" s="316"/>
      <c r="BD39" s="316"/>
      <c r="BE39" s="316"/>
      <c r="BF39" s="316"/>
      <c r="BG39" s="316"/>
      <c r="BH39" s="316"/>
      <c r="BI39" s="316"/>
      <c r="BJ39" s="316"/>
      <c r="BK39" s="316"/>
      <c r="BL39" s="316"/>
      <c r="BM39" s="316"/>
      <c r="BN39" s="316"/>
    </row>
    <row r="40">
      <c r="A40" s="303" t="s">
        <v>97</v>
      </c>
      <c r="B40" s="317" t="s">
        <v>97</v>
      </c>
      <c r="C40" s="325" t="s">
        <v>125</v>
      </c>
      <c r="D40" s="347" t="s">
        <v>1307</v>
      </c>
      <c r="E40" s="335">
        <v>550000.0</v>
      </c>
      <c r="F40" s="345">
        <f t="shared" ref="F40:F42" si="50">100000+50000</f>
        <v>150000</v>
      </c>
      <c r="G40" s="347" t="s">
        <v>1307</v>
      </c>
      <c r="H40" s="335">
        <f>128333</f>
        <v>128333</v>
      </c>
      <c r="I40" s="345">
        <f>23343+85000</f>
        <v>108343</v>
      </c>
      <c r="J40" s="334" t="s">
        <v>1307</v>
      </c>
      <c r="K40" s="335">
        <v>550000.0</v>
      </c>
      <c r="L40" s="346">
        <v>100000.0</v>
      </c>
      <c r="M40" s="336" t="s">
        <v>1307</v>
      </c>
      <c r="N40" s="335">
        <v>550000.0</v>
      </c>
      <c r="O40" s="346">
        <v>100000.0</v>
      </c>
      <c r="P40" s="336" t="s">
        <v>1307</v>
      </c>
      <c r="Q40" s="335">
        <v>550000.0</v>
      </c>
      <c r="R40" s="346">
        <v>100000.0</v>
      </c>
      <c r="S40" s="336" t="s">
        <v>1307</v>
      </c>
      <c r="T40" s="335">
        <v>550000.0</v>
      </c>
      <c r="U40" s="346">
        <v>100000.0</v>
      </c>
      <c r="V40" s="336" t="s">
        <v>1307</v>
      </c>
      <c r="W40" s="335">
        <v>550000.0</v>
      </c>
      <c r="X40" s="346">
        <v>100000.0</v>
      </c>
      <c r="Y40" s="336" t="s">
        <v>1307</v>
      </c>
      <c r="Z40" s="335">
        <v>550000.0</v>
      </c>
      <c r="AA40" s="346">
        <v>100000.0</v>
      </c>
      <c r="AB40" s="336" t="s">
        <v>1307</v>
      </c>
      <c r="AC40" s="335">
        <v>550000.0</v>
      </c>
      <c r="AD40" s="346">
        <v>100000.0</v>
      </c>
      <c r="AE40" s="337" t="s">
        <v>2056</v>
      </c>
      <c r="AF40" s="348">
        <v>128353.0</v>
      </c>
      <c r="AG40" s="345">
        <v>23323.0</v>
      </c>
      <c r="AH40" s="317"/>
      <c r="AI40" s="321"/>
      <c r="AJ40" s="322"/>
      <c r="AK40" s="317"/>
      <c r="AL40" s="321"/>
      <c r="AM40" s="322"/>
      <c r="AN40" s="316" t="s">
        <v>63</v>
      </c>
      <c r="AO40" s="316"/>
      <c r="AP40" s="316"/>
      <c r="AQ40" s="316"/>
      <c r="AR40" s="316"/>
      <c r="AS40" s="316"/>
      <c r="AT40" s="316"/>
      <c r="AU40" s="316"/>
      <c r="AV40" s="316"/>
      <c r="AW40" s="316"/>
      <c r="AX40" s="316"/>
      <c r="AY40" s="316"/>
      <c r="AZ40" s="316"/>
      <c r="BA40" s="316"/>
      <c r="BB40" s="316"/>
      <c r="BC40" s="316"/>
      <c r="BD40" s="316"/>
      <c r="BE40" s="316"/>
      <c r="BF40" s="316"/>
      <c r="BG40" s="316"/>
      <c r="BH40" s="316"/>
      <c r="BI40" s="316"/>
      <c r="BJ40" s="316"/>
      <c r="BK40" s="316"/>
      <c r="BL40" s="316"/>
      <c r="BM40" s="316"/>
      <c r="BN40" s="316"/>
    </row>
    <row r="41">
      <c r="A41" s="303" t="s">
        <v>97</v>
      </c>
      <c r="B41" s="317" t="s">
        <v>97</v>
      </c>
      <c r="C41" s="325" t="s">
        <v>135</v>
      </c>
      <c r="D41" s="334" t="s">
        <v>2057</v>
      </c>
      <c r="E41" s="335">
        <v>420000.0</v>
      </c>
      <c r="F41" s="345">
        <f t="shared" si="50"/>
        <v>150000</v>
      </c>
      <c r="G41" s="334" t="s">
        <v>2057</v>
      </c>
      <c r="H41" s="335">
        <v>420000.0</v>
      </c>
      <c r="I41" s="346">
        <f t="shared" ref="I41:I42" si="51">100000+85000</f>
        <v>185000</v>
      </c>
      <c r="J41" s="347" t="s">
        <v>2058</v>
      </c>
      <c r="K41" s="348">
        <v>298065.0</v>
      </c>
      <c r="L41" s="345">
        <f>70968+40000</f>
        <v>110968</v>
      </c>
      <c r="M41" s="317" t="s">
        <v>2059</v>
      </c>
      <c r="N41" s="321">
        <v>378000.0</v>
      </c>
      <c r="O41" s="322">
        <v>90000.0</v>
      </c>
      <c r="P41" s="317" t="s">
        <v>1309</v>
      </c>
      <c r="Q41" s="335">
        <v>420000.0</v>
      </c>
      <c r="R41" s="346">
        <v>100000.0</v>
      </c>
      <c r="S41" s="317" t="s">
        <v>1309</v>
      </c>
      <c r="T41" s="335">
        <v>420000.0</v>
      </c>
      <c r="U41" s="346">
        <v>100000.0</v>
      </c>
      <c r="V41" s="317" t="s">
        <v>1309</v>
      </c>
      <c r="W41" s="335">
        <v>420000.0</v>
      </c>
      <c r="X41" s="346">
        <v>100000.0</v>
      </c>
      <c r="Y41" s="317" t="s">
        <v>1309</v>
      </c>
      <c r="Z41" s="335">
        <v>420000.0</v>
      </c>
      <c r="AA41" s="346">
        <v>100000.0</v>
      </c>
      <c r="AB41" s="317" t="s">
        <v>1309</v>
      </c>
      <c r="AC41" s="335">
        <v>420000.0</v>
      </c>
      <c r="AD41" s="346">
        <v>100000.0</v>
      </c>
      <c r="AE41" s="317" t="s">
        <v>1309</v>
      </c>
      <c r="AF41" s="335">
        <v>420000.0</v>
      </c>
      <c r="AG41" s="346">
        <v>100000.0</v>
      </c>
      <c r="AH41" s="317" t="s">
        <v>1309</v>
      </c>
      <c r="AI41" s="335">
        <v>420000.0</v>
      </c>
      <c r="AJ41" s="346">
        <v>100000.0</v>
      </c>
      <c r="AK41" s="317" t="s">
        <v>1309</v>
      </c>
      <c r="AL41" s="335">
        <v>420000.0</v>
      </c>
      <c r="AM41" s="346">
        <v>100000.0</v>
      </c>
      <c r="AN41" s="316" t="s">
        <v>63</v>
      </c>
      <c r="AO41" s="316"/>
      <c r="AP41" s="321">
        <v>110000.0</v>
      </c>
      <c r="AQ41" s="322">
        <f>650000/31</f>
        <v>20967.74194</v>
      </c>
      <c r="AR41" s="316">
        <f t="shared" ref="AR41:AR42" si="52">AQ41*7</f>
        <v>146774.1935</v>
      </c>
      <c r="AS41" s="316"/>
      <c r="AT41" s="316"/>
      <c r="AU41" s="316"/>
      <c r="AV41" s="316"/>
      <c r="AW41" s="316"/>
      <c r="AX41" s="316"/>
      <c r="AY41" s="316"/>
      <c r="AZ41" s="316"/>
      <c r="BA41" s="316"/>
      <c r="BB41" s="316"/>
      <c r="BC41" s="316"/>
      <c r="BD41" s="316"/>
      <c r="BE41" s="316"/>
      <c r="BF41" s="316"/>
      <c r="BG41" s="316"/>
      <c r="BH41" s="316"/>
      <c r="BI41" s="316"/>
      <c r="BJ41" s="316"/>
      <c r="BK41" s="316"/>
      <c r="BL41" s="316"/>
      <c r="BM41" s="316"/>
      <c r="BN41" s="316"/>
    </row>
    <row r="42">
      <c r="A42" s="303" t="s">
        <v>97</v>
      </c>
      <c r="B42" s="317" t="s">
        <v>97</v>
      </c>
      <c r="C42" s="325" t="s">
        <v>143</v>
      </c>
      <c r="D42" s="347" t="s">
        <v>2060</v>
      </c>
      <c r="E42" s="348">
        <v>500000.0</v>
      </c>
      <c r="F42" s="345">
        <f t="shared" si="50"/>
        <v>150000</v>
      </c>
      <c r="G42" s="347" t="s">
        <v>2060</v>
      </c>
      <c r="H42" s="348">
        <v>500000.0</v>
      </c>
      <c r="I42" s="346">
        <f t="shared" si="51"/>
        <v>185000</v>
      </c>
      <c r="J42" s="347" t="s">
        <v>2060</v>
      </c>
      <c r="K42" s="348">
        <v>500000.0</v>
      </c>
      <c r="L42" s="346">
        <v>100000.0</v>
      </c>
      <c r="M42" s="347" t="s">
        <v>2060</v>
      </c>
      <c r="N42" s="348">
        <v>500000.0</v>
      </c>
      <c r="O42" s="346">
        <v>100000.0</v>
      </c>
      <c r="P42" s="347" t="s">
        <v>2061</v>
      </c>
      <c r="Q42" s="348">
        <v>500000.0</v>
      </c>
      <c r="R42" s="346">
        <v>100000.0</v>
      </c>
      <c r="S42" s="317"/>
      <c r="T42" s="321"/>
      <c r="U42" s="322"/>
      <c r="V42" s="317"/>
      <c r="W42" s="321"/>
      <c r="X42" s="322"/>
      <c r="Y42" s="317"/>
      <c r="Z42" s="321"/>
      <c r="AA42" s="322"/>
      <c r="AB42" s="317"/>
      <c r="AC42" s="321"/>
      <c r="AD42" s="322"/>
      <c r="AE42" s="317"/>
      <c r="AF42" s="321"/>
      <c r="AG42" s="322"/>
      <c r="AH42" s="317"/>
      <c r="AI42" s="321"/>
      <c r="AJ42" s="322"/>
      <c r="AK42" s="317"/>
      <c r="AL42" s="321"/>
      <c r="AM42" s="322"/>
      <c r="AN42" s="316" t="s">
        <v>63</v>
      </c>
      <c r="AO42" s="316"/>
      <c r="AP42" s="349">
        <v>147000.0</v>
      </c>
      <c r="AQ42" s="322">
        <f>490000/31</f>
        <v>15806.45161</v>
      </c>
      <c r="AR42" s="316">
        <f t="shared" si="52"/>
        <v>110645.1613</v>
      </c>
      <c r="AS42" s="316"/>
      <c r="AT42" s="316"/>
      <c r="AU42" s="316"/>
      <c r="AV42" s="316"/>
      <c r="AW42" s="316"/>
      <c r="AX42" s="316"/>
      <c r="AY42" s="316"/>
      <c r="AZ42" s="316"/>
      <c r="BA42" s="316"/>
      <c r="BB42" s="316"/>
      <c r="BC42" s="316"/>
      <c r="BD42" s="316"/>
      <c r="BE42" s="316"/>
      <c r="BF42" s="316"/>
      <c r="BG42" s="316"/>
      <c r="BH42" s="316"/>
      <c r="BI42" s="316"/>
      <c r="BJ42" s="316"/>
      <c r="BK42" s="316"/>
      <c r="BL42" s="316"/>
      <c r="BM42" s="316"/>
      <c r="BN42" s="316"/>
    </row>
    <row r="43">
      <c r="A43" s="303" t="s">
        <v>97</v>
      </c>
      <c r="B43" s="317" t="s">
        <v>97</v>
      </c>
      <c r="C43" s="325" t="s">
        <v>145</v>
      </c>
      <c r="D43" s="341" t="s">
        <v>37</v>
      </c>
      <c r="E43" s="350"/>
      <c r="F43" s="351"/>
      <c r="G43" s="341" t="s">
        <v>37</v>
      </c>
      <c r="H43" s="321"/>
      <c r="I43" s="322"/>
      <c r="J43" s="341" t="s">
        <v>37</v>
      </c>
      <c r="K43" s="321"/>
      <c r="L43" s="322"/>
      <c r="M43" s="341" t="s">
        <v>37</v>
      </c>
      <c r="N43" s="321"/>
      <c r="O43" s="322"/>
      <c r="P43" s="326"/>
      <c r="Q43" s="321"/>
      <c r="R43" s="322"/>
      <c r="S43" s="326"/>
      <c r="T43" s="321"/>
      <c r="U43" s="322"/>
      <c r="V43" s="326"/>
      <c r="W43" s="321"/>
      <c r="X43" s="322"/>
      <c r="Y43" s="326"/>
      <c r="Z43" s="321"/>
      <c r="AA43" s="322"/>
      <c r="AB43" s="326"/>
      <c r="AC43" s="321"/>
      <c r="AD43" s="322"/>
      <c r="AE43" s="326"/>
      <c r="AF43" s="321"/>
      <c r="AG43" s="322"/>
      <c r="AH43" s="326"/>
      <c r="AI43" s="321"/>
      <c r="AJ43" s="322"/>
      <c r="AK43" s="326"/>
      <c r="AL43" s="321"/>
      <c r="AM43" s="322"/>
      <c r="AN43" s="316" t="s">
        <v>63</v>
      </c>
      <c r="AO43" s="316"/>
      <c r="AP43" s="349">
        <f>AP42-AP41</f>
        <v>37000</v>
      </c>
      <c r="AQ43" s="316"/>
      <c r="AR43" s="316"/>
      <c r="AS43" s="316"/>
      <c r="AT43" s="316"/>
      <c r="AU43" s="316"/>
      <c r="AV43" s="316"/>
      <c r="AW43" s="316"/>
      <c r="AX43" s="316"/>
      <c r="AY43" s="316"/>
      <c r="AZ43" s="316"/>
      <c r="BA43" s="316"/>
      <c r="BB43" s="316"/>
      <c r="BC43" s="316"/>
      <c r="BD43" s="316"/>
      <c r="BE43" s="316"/>
      <c r="BF43" s="316"/>
      <c r="BG43" s="316"/>
      <c r="BH43" s="316"/>
      <c r="BI43" s="316"/>
      <c r="BJ43" s="316"/>
      <c r="BK43" s="316"/>
      <c r="BL43" s="316"/>
      <c r="BM43" s="316"/>
      <c r="BN43" s="316"/>
    </row>
    <row r="44">
      <c r="A44" s="303" t="s">
        <v>97</v>
      </c>
      <c r="B44" s="317" t="s">
        <v>97</v>
      </c>
      <c r="C44" s="325" t="s">
        <v>150</v>
      </c>
      <c r="D44" s="334" t="s">
        <v>153</v>
      </c>
      <c r="E44" s="335">
        <v>450000.0</v>
      </c>
      <c r="F44" s="352">
        <v>80000.0</v>
      </c>
      <c r="G44" s="347" t="s">
        <v>153</v>
      </c>
      <c r="H44" s="335">
        <v>450000.0</v>
      </c>
      <c r="I44" s="352">
        <v>80000.0</v>
      </c>
      <c r="J44" s="347" t="s">
        <v>2062</v>
      </c>
      <c r="K44" s="335">
        <v>450000.0</v>
      </c>
      <c r="L44" s="352">
        <v>80000.0</v>
      </c>
      <c r="M44" s="341" t="s">
        <v>37</v>
      </c>
      <c r="N44" s="321"/>
      <c r="O44" s="322"/>
      <c r="P44" s="317"/>
      <c r="Q44" s="321"/>
      <c r="R44" s="322"/>
      <c r="S44" s="317"/>
      <c r="T44" s="321"/>
      <c r="U44" s="322"/>
      <c r="V44" s="317"/>
      <c r="W44" s="321"/>
      <c r="X44" s="322"/>
      <c r="Y44" s="317"/>
      <c r="Z44" s="321"/>
      <c r="AA44" s="322"/>
      <c r="AB44" s="317"/>
      <c r="AC44" s="321"/>
      <c r="AD44" s="322"/>
      <c r="AE44" s="317"/>
      <c r="AF44" s="321"/>
      <c r="AG44" s="322"/>
      <c r="AH44" s="317"/>
      <c r="AI44" s="321"/>
      <c r="AJ44" s="322"/>
      <c r="AK44" s="317"/>
      <c r="AL44" s="321"/>
      <c r="AM44" s="322"/>
      <c r="AN44" s="316" t="s">
        <v>63</v>
      </c>
      <c r="AO44" s="316"/>
      <c r="AP44" s="316"/>
      <c r="AQ44" s="316"/>
      <c r="AR44" s="316"/>
      <c r="AS44" s="316"/>
      <c r="AT44" s="316"/>
      <c r="AU44" s="316"/>
      <c r="AV44" s="316"/>
      <c r="AW44" s="316"/>
      <c r="AX44" s="316"/>
      <c r="AY44" s="316"/>
      <c r="AZ44" s="316"/>
      <c r="BA44" s="316"/>
      <c r="BB44" s="316"/>
      <c r="BC44" s="316"/>
      <c r="BD44" s="316"/>
      <c r="BE44" s="316"/>
      <c r="BF44" s="316"/>
      <c r="BG44" s="316"/>
      <c r="BH44" s="316"/>
      <c r="BI44" s="316"/>
      <c r="BJ44" s="316"/>
      <c r="BK44" s="316"/>
      <c r="BL44" s="316"/>
      <c r="BM44" s="316"/>
      <c r="BN44" s="316"/>
    </row>
    <row r="45">
      <c r="A45" s="303" t="s">
        <v>97</v>
      </c>
      <c r="B45" s="304"/>
      <c r="C45" s="305" t="s">
        <v>42</v>
      </c>
      <c r="D45" s="320"/>
      <c r="E45" s="323">
        <f t="shared" ref="E45:F45" si="53">SUM(E36:E44)</f>
        <v>4210000</v>
      </c>
      <c r="F45" s="324">
        <f t="shared" si="53"/>
        <v>1025000</v>
      </c>
      <c r="G45" s="320"/>
      <c r="H45" s="323">
        <f t="shared" ref="H45:I45" si="54">SUM(H36:H44)</f>
        <v>3318333</v>
      </c>
      <c r="I45" s="324">
        <f t="shared" si="54"/>
        <v>1028343</v>
      </c>
      <c r="J45" s="320"/>
      <c r="K45" s="323">
        <f t="shared" ref="K45:L45" si="55">SUM(K36:K44)</f>
        <v>3320968</v>
      </c>
      <c r="L45" s="324">
        <f t="shared" si="55"/>
        <v>658710</v>
      </c>
      <c r="M45" s="320"/>
      <c r="N45" s="323">
        <f t="shared" ref="N45:O45" si="56">SUM(N36:N44)</f>
        <v>3698000</v>
      </c>
      <c r="O45" s="324">
        <f t="shared" si="56"/>
        <v>690000</v>
      </c>
      <c r="P45" s="320"/>
      <c r="Q45" s="323">
        <f t="shared" ref="Q45:R45" si="57">SUM(Q36:Q44)</f>
        <v>3740000</v>
      </c>
      <c r="R45" s="324">
        <f t="shared" si="57"/>
        <v>700000</v>
      </c>
      <c r="S45" s="320"/>
      <c r="T45" s="323">
        <f t="shared" ref="T45:U45" si="58">SUM(T36:T44)</f>
        <v>2482000</v>
      </c>
      <c r="U45" s="324">
        <f t="shared" si="58"/>
        <v>470000</v>
      </c>
      <c r="V45" s="320"/>
      <c r="W45" s="323">
        <f t="shared" ref="W45:X45" si="59">SUM(W36:W44)</f>
        <v>2090000</v>
      </c>
      <c r="X45" s="324">
        <f t="shared" si="59"/>
        <v>400000</v>
      </c>
      <c r="Y45" s="320"/>
      <c r="Z45" s="323">
        <f t="shared" ref="Z45:AA45" si="60">SUM(Z36:Z44)</f>
        <v>2090000</v>
      </c>
      <c r="AA45" s="324">
        <f t="shared" si="60"/>
        <v>400000</v>
      </c>
      <c r="AB45" s="320"/>
      <c r="AC45" s="323">
        <f t="shared" ref="AC45:AD45" si="61">SUM(AC36:AC44)</f>
        <v>2090000</v>
      </c>
      <c r="AD45" s="324">
        <f t="shared" si="61"/>
        <v>400000</v>
      </c>
      <c r="AE45" s="320"/>
      <c r="AF45" s="323">
        <f t="shared" ref="AF45:AG45" si="62">SUM(AF36:AF44)</f>
        <v>1668353</v>
      </c>
      <c r="AG45" s="324">
        <f t="shared" si="62"/>
        <v>323323</v>
      </c>
      <c r="AH45" s="320"/>
      <c r="AI45" s="323">
        <f t="shared" ref="AI45:AJ45" si="63">SUM(AI36:AI44)</f>
        <v>1540000</v>
      </c>
      <c r="AJ45" s="324">
        <f t="shared" si="63"/>
        <v>300000</v>
      </c>
      <c r="AK45" s="320"/>
      <c r="AL45" s="323">
        <f t="shared" ref="AL45:AM45" si="64">SUM(AL36:AL44)</f>
        <v>1540000</v>
      </c>
      <c r="AM45" s="324">
        <f t="shared" si="64"/>
        <v>300000</v>
      </c>
      <c r="AN45" s="316" t="s">
        <v>63</v>
      </c>
      <c r="AO45" s="316"/>
      <c r="AP45" s="316"/>
      <c r="AQ45" s="316"/>
      <c r="AR45" s="316"/>
      <c r="AS45" s="316"/>
      <c r="AT45" s="316"/>
      <c r="AU45" s="316"/>
      <c r="AV45" s="316"/>
      <c r="AW45" s="316"/>
      <c r="AX45" s="316"/>
      <c r="AY45" s="316"/>
      <c r="AZ45" s="316"/>
      <c r="BA45" s="316"/>
      <c r="BB45" s="316"/>
      <c r="BC45" s="316"/>
      <c r="BD45" s="316"/>
      <c r="BE45" s="316"/>
      <c r="BF45" s="316"/>
      <c r="BG45" s="316"/>
      <c r="BH45" s="316"/>
      <c r="BI45" s="316"/>
      <c r="BJ45" s="316"/>
      <c r="BK45" s="316"/>
      <c r="BL45" s="316"/>
      <c r="BM45" s="316"/>
      <c r="BN45" s="316"/>
    </row>
    <row r="46" collapsed="1">
      <c r="A46" s="303" t="s">
        <v>97</v>
      </c>
      <c r="B46" s="304"/>
      <c r="C46" s="325" t="s">
        <v>43</v>
      </c>
      <c r="D46" s="326"/>
      <c r="E46" s="321">
        <v>2900000.0</v>
      </c>
      <c r="F46" s="324"/>
      <c r="G46" s="326"/>
      <c r="H46" s="321">
        <v>2900000.0</v>
      </c>
      <c r="I46" s="324"/>
      <c r="J46" s="326"/>
      <c r="K46" s="321">
        <v>2900000.0</v>
      </c>
      <c r="L46" s="324"/>
      <c r="M46" s="326"/>
      <c r="N46" s="321">
        <v>2900000.0</v>
      </c>
      <c r="O46" s="324"/>
      <c r="P46" s="326"/>
      <c r="Q46" s="321">
        <v>2900000.0</v>
      </c>
      <c r="R46" s="324"/>
      <c r="S46" s="326"/>
      <c r="T46" s="321">
        <v>2900000.0</v>
      </c>
      <c r="U46" s="324"/>
      <c r="V46" s="326"/>
      <c r="W46" s="321">
        <v>2900000.0</v>
      </c>
      <c r="X46" s="324"/>
      <c r="Y46" s="326"/>
      <c r="Z46" s="321">
        <v>2900000.0</v>
      </c>
      <c r="AA46" s="324"/>
      <c r="AB46" s="326"/>
      <c r="AC46" s="321">
        <v>2900000.0</v>
      </c>
      <c r="AD46" s="324"/>
      <c r="AE46" s="326"/>
      <c r="AF46" s="321">
        <v>2900000.0</v>
      </c>
      <c r="AG46" s="324"/>
      <c r="AH46" s="326"/>
      <c r="AI46" s="321">
        <v>2900000.0</v>
      </c>
      <c r="AJ46" s="324"/>
      <c r="AK46" s="326"/>
      <c r="AL46" s="321">
        <v>2900000.0</v>
      </c>
      <c r="AM46" s="324"/>
      <c r="AN46" s="316" t="s">
        <v>63</v>
      </c>
      <c r="AO46" s="316"/>
      <c r="AP46" s="316"/>
      <c r="AQ46" s="316"/>
      <c r="AR46" s="316"/>
      <c r="AS46" s="316"/>
      <c r="AT46" s="316"/>
      <c r="AU46" s="316"/>
      <c r="AV46" s="316"/>
      <c r="AW46" s="316"/>
      <c r="AX46" s="316"/>
      <c r="AY46" s="316"/>
      <c r="AZ46" s="316"/>
      <c r="BA46" s="316"/>
      <c r="BB46" s="316"/>
      <c r="BC46" s="316"/>
      <c r="BD46" s="316"/>
      <c r="BE46" s="316"/>
      <c r="BF46" s="316"/>
      <c r="BG46" s="316"/>
      <c r="BH46" s="316"/>
      <c r="BI46" s="316"/>
      <c r="BJ46" s="316"/>
      <c r="BK46" s="316"/>
      <c r="BL46" s="316"/>
      <c r="BM46" s="316"/>
      <c r="BN46" s="316"/>
    </row>
    <row r="47" hidden="1" outlineLevel="1">
      <c r="A47" s="303" t="s">
        <v>97</v>
      </c>
      <c r="B47" s="317" t="s">
        <v>95</v>
      </c>
      <c r="C47" s="325" t="s">
        <v>2063</v>
      </c>
      <c r="D47" s="326"/>
      <c r="E47" s="321"/>
      <c r="F47" s="322">
        <v>150000.0</v>
      </c>
      <c r="G47" s="326"/>
      <c r="H47" s="321"/>
      <c r="I47" s="322">
        <v>150000.0</v>
      </c>
      <c r="J47" s="326"/>
      <c r="K47" s="321"/>
      <c r="L47" s="322">
        <v>150000.0</v>
      </c>
      <c r="M47" s="326"/>
      <c r="N47" s="321"/>
      <c r="O47" s="322">
        <v>150000.0</v>
      </c>
      <c r="P47" s="326"/>
      <c r="Q47" s="321"/>
      <c r="R47" s="322">
        <v>150000.0</v>
      </c>
      <c r="S47" s="326"/>
      <c r="T47" s="321"/>
      <c r="U47" s="322">
        <v>150000.0</v>
      </c>
      <c r="V47" s="326"/>
      <c r="W47" s="321"/>
      <c r="X47" s="322">
        <v>150000.0</v>
      </c>
      <c r="Y47" s="326"/>
      <c r="Z47" s="321"/>
      <c r="AA47" s="322">
        <v>150000.0</v>
      </c>
      <c r="AB47" s="326"/>
      <c r="AC47" s="321"/>
      <c r="AD47" s="322">
        <v>150000.0</v>
      </c>
      <c r="AE47" s="326"/>
      <c r="AF47" s="321"/>
      <c r="AG47" s="322">
        <v>150000.0</v>
      </c>
      <c r="AH47" s="326"/>
      <c r="AI47" s="321"/>
      <c r="AJ47" s="322">
        <v>150000.0</v>
      </c>
      <c r="AK47" s="326"/>
      <c r="AL47" s="321"/>
      <c r="AM47" s="322">
        <v>150000.0</v>
      </c>
      <c r="AN47" s="316" t="s">
        <v>63</v>
      </c>
      <c r="AO47" s="316"/>
      <c r="AP47" s="316"/>
      <c r="AQ47" s="316"/>
      <c r="AR47" s="316"/>
      <c r="AS47" s="316"/>
      <c r="AT47" s="316"/>
      <c r="AU47" s="316"/>
      <c r="AV47" s="316"/>
      <c r="AW47" s="316"/>
      <c r="AX47" s="316"/>
      <c r="AY47" s="316"/>
      <c r="AZ47" s="316"/>
      <c r="BA47" s="316"/>
      <c r="BB47" s="316"/>
      <c r="BC47" s="316"/>
      <c r="BD47" s="316"/>
      <c r="BE47" s="316"/>
      <c r="BF47" s="316"/>
      <c r="BG47" s="316"/>
      <c r="BH47" s="316"/>
      <c r="BI47" s="316"/>
      <c r="BJ47" s="316"/>
      <c r="BK47" s="316"/>
      <c r="BL47" s="316"/>
      <c r="BM47" s="316"/>
      <c r="BN47" s="316"/>
    </row>
    <row r="48" hidden="1" outlineLevel="1">
      <c r="A48" s="303" t="s">
        <v>97</v>
      </c>
      <c r="B48" s="317" t="s">
        <v>95</v>
      </c>
      <c r="C48" s="325" t="s">
        <v>47</v>
      </c>
      <c r="D48" s="326"/>
      <c r="E48" s="321"/>
      <c r="F48" s="322">
        <v>200390.0</v>
      </c>
      <c r="G48" s="326"/>
      <c r="H48" s="321"/>
      <c r="I48" s="322">
        <v>215430.0</v>
      </c>
      <c r="J48" s="326" t="s">
        <v>2039</v>
      </c>
      <c r="K48" s="321"/>
      <c r="L48" s="322">
        <v>200000.0</v>
      </c>
      <c r="M48" s="326"/>
      <c r="N48" s="321"/>
      <c r="O48" s="322"/>
      <c r="P48" s="326"/>
      <c r="Q48" s="321"/>
      <c r="R48" s="322"/>
      <c r="S48" s="326"/>
      <c r="T48" s="321"/>
      <c r="U48" s="322"/>
      <c r="V48" s="326"/>
      <c r="W48" s="321"/>
      <c r="X48" s="322"/>
      <c r="Y48" s="326"/>
      <c r="Z48" s="321"/>
      <c r="AA48" s="322"/>
      <c r="AB48" s="326"/>
      <c r="AC48" s="321"/>
      <c r="AD48" s="322"/>
      <c r="AE48" s="326"/>
      <c r="AF48" s="321"/>
      <c r="AG48" s="322"/>
      <c r="AH48" s="326"/>
      <c r="AI48" s="321"/>
      <c r="AJ48" s="322"/>
      <c r="AK48" s="326"/>
      <c r="AL48" s="321"/>
      <c r="AM48" s="322"/>
      <c r="AN48" s="316" t="s">
        <v>63</v>
      </c>
      <c r="AO48" s="316"/>
      <c r="AP48" s="316"/>
      <c r="AQ48" s="316"/>
      <c r="AR48" s="316"/>
      <c r="AS48" s="316"/>
      <c r="AT48" s="316"/>
      <c r="AU48" s="316"/>
      <c r="AV48" s="316"/>
      <c r="AW48" s="316"/>
      <c r="AX48" s="316"/>
      <c r="AY48" s="316"/>
      <c r="AZ48" s="316"/>
      <c r="BA48" s="316"/>
      <c r="BB48" s="316"/>
      <c r="BC48" s="316"/>
      <c r="BD48" s="316"/>
      <c r="BE48" s="316"/>
      <c r="BF48" s="316"/>
      <c r="BG48" s="316"/>
      <c r="BH48" s="316"/>
      <c r="BI48" s="316"/>
      <c r="BJ48" s="316"/>
      <c r="BK48" s="316"/>
      <c r="BL48" s="316"/>
      <c r="BM48" s="316"/>
      <c r="BN48" s="316"/>
    </row>
    <row r="49" hidden="1" outlineLevel="1">
      <c r="A49" s="303" t="s">
        <v>97</v>
      </c>
      <c r="B49" s="317" t="s">
        <v>95</v>
      </c>
      <c r="C49" s="325" t="s">
        <v>49</v>
      </c>
      <c r="D49" s="326"/>
      <c r="E49" s="321"/>
      <c r="F49" s="322">
        <v>805300.0</v>
      </c>
      <c r="G49" s="326"/>
      <c r="H49" s="321"/>
      <c r="I49" s="322">
        <v>607570.0</v>
      </c>
      <c r="J49" s="326" t="s">
        <v>2039</v>
      </c>
      <c r="K49" s="321"/>
      <c r="L49" s="322">
        <v>700000.0</v>
      </c>
      <c r="M49" s="326"/>
      <c r="N49" s="321"/>
      <c r="O49" s="322"/>
      <c r="P49" s="326"/>
      <c r="Q49" s="321"/>
      <c r="R49" s="322"/>
      <c r="S49" s="326"/>
      <c r="T49" s="321"/>
      <c r="U49" s="322"/>
      <c r="V49" s="326"/>
      <c r="W49" s="321"/>
      <c r="X49" s="322"/>
      <c r="Y49" s="326"/>
      <c r="Z49" s="321"/>
      <c r="AA49" s="322"/>
      <c r="AB49" s="326"/>
      <c r="AC49" s="321"/>
      <c r="AD49" s="322"/>
      <c r="AE49" s="326"/>
      <c r="AF49" s="321"/>
      <c r="AG49" s="322"/>
      <c r="AH49" s="326"/>
      <c r="AI49" s="321"/>
      <c r="AJ49" s="322"/>
      <c r="AK49" s="326"/>
      <c r="AL49" s="321"/>
      <c r="AM49" s="322"/>
      <c r="AN49" s="316" t="s">
        <v>63</v>
      </c>
      <c r="AO49" s="316"/>
      <c r="AP49" s="316"/>
      <c r="AQ49" s="316"/>
      <c r="AR49" s="316"/>
      <c r="AS49" s="316"/>
      <c r="AT49" s="316"/>
      <c r="AU49" s="316"/>
      <c r="AV49" s="316"/>
      <c r="AW49" s="316"/>
      <c r="AX49" s="316"/>
      <c r="AY49" s="316"/>
      <c r="AZ49" s="316"/>
      <c r="BA49" s="316"/>
      <c r="BB49" s="316"/>
      <c r="BC49" s="316"/>
      <c r="BD49" s="316"/>
      <c r="BE49" s="316"/>
      <c r="BF49" s="316"/>
      <c r="BG49" s="316"/>
      <c r="BH49" s="316"/>
      <c r="BI49" s="316"/>
      <c r="BJ49" s="316"/>
      <c r="BK49" s="316"/>
      <c r="BL49" s="316"/>
      <c r="BM49" s="316"/>
      <c r="BN49" s="316"/>
    </row>
    <row r="50" hidden="1" outlineLevel="1">
      <c r="A50" s="303" t="s">
        <v>97</v>
      </c>
      <c r="B50" s="317" t="s">
        <v>95</v>
      </c>
      <c r="C50" s="325" t="s">
        <v>51</v>
      </c>
      <c r="D50" s="326"/>
      <c r="E50" s="321"/>
      <c r="F50" s="322">
        <v>0.0</v>
      </c>
      <c r="G50" s="326"/>
      <c r="H50" s="321"/>
      <c r="I50" s="322">
        <v>0.0</v>
      </c>
      <c r="J50" s="326"/>
      <c r="K50" s="321"/>
      <c r="L50" s="322">
        <v>0.0</v>
      </c>
      <c r="M50" s="326"/>
      <c r="N50" s="321"/>
      <c r="O50" s="322"/>
      <c r="P50" s="326"/>
      <c r="Q50" s="321"/>
      <c r="R50" s="322"/>
      <c r="S50" s="326"/>
      <c r="T50" s="321"/>
      <c r="U50" s="322"/>
      <c r="V50" s="326"/>
      <c r="W50" s="321"/>
      <c r="X50" s="322"/>
      <c r="Y50" s="326"/>
      <c r="Z50" s="321"/>
      <c r="AA50" s="322"/>
      <c r="AB50" s="326"/>
      <c r="AC50" s="321"/>
      <c r="AD50" s="322"/>
      <c r="AE50" s="326"/>
      <c r="AF50" s="321"/>
      <c r="AG50" s="322"/>
      <c r="AH50" s="326"/>
      <c r="AI50" s="321"/>
      <c r="AJ50" s="322"/>
      <c r="AK50" s="326"/>
      <c r="AL50" s="321"/>
      <c r="AM50" s="322"/>
      <c r="AN50" s="316" t="s">
        <v>63</v>
      </c>
      <c r="AO50" s="316"/>
      <c r="AP50" s="316"/>
      <c r="AQ50" s="316"/>
      <c r="AR50" s="316"/>
      <c r="AS50" s="316"/>
      <c r="AT50" s="316"/>
      <c r="AU50" s="316"/>
      <c r="AV50" s="316"/>
      <c r="AW50" s="316"/>
      <c r="AX50" s="316"/>
      <c r="AY50" s="316"/>
      <c r="AZ50" s="316"/>
      <c r="BA50" s="316"/>
      <c r="BB50" s="316"/>
      <c r="BC50" s="316"/>
      <c r="BD50" s="316"/>
      <c r="BE50" s="316"/>
      <c r="BF50" s="316"/>
      <c r="BG50" s="316"/>
      <c r="BH50" s="316"/>
      <c r="BI50" s="316"/>
      <c r="BJ50" s="316"/>
      <c r="BK50" s="316"/>
      <c r="BL50" s="316"/>
      <c r="BM50" s="316"/>
      <c r="BN50" s="316"/>
    </row>
    <row r="51" hidden="1" outlineLevel="1">
      <c r="A51" s="303" t="s">
        <v>97</v>
      </c>
      <c r="B51" s="317" t="s">
        <v>95</v>
      </c>
      <c r="C51" s="325" t="s">
        <v>52</v>
      </c>
      <c r="D51" s="326"/>
      <c r="E51" s="321"/>
      <c r="F51" s="322">
        <v>22000.0</v>
      </c>
      <c r="G51" s="326"/>
      <c r="H51" s="321"/>
      <c r="I51" s="322">
        <v>22000.0</v>
      </c>
      <c r="J51" s="326"/>
      <c r="K51" s="321"/>
      <c r="L51" s="322">
        <v>22000.0</v>
      </c>
      <c r="M51" s="326"/>
      <c r="N51" s="321"/>
      <c r="O51" s="322">
        <v>22000.0</v>
      </c>
      <c r="P51" s="326"/>
      <c r="Q51" s="321"/>
      <c r="R51" s="322">
        <v>22000.0</v>
      </c>
      <c r="S51" s="326"/>
      <c r="T51" s="321"/>
      <c r="U51" s="322">
        <v>22000.0</v>
      </c>
      <c r="V51" s="326"/>
      <c r="W51" s="321"/>
      <c r="X51" s="322">
        <v>22000.0</v>
      </c>
      <c r="Y51" s="326"/>
      <c r="Z51" s="321"/>
      <c r="AA51" s="322">
        <v>22000.0</v>
      </c>
      <c r="AB51" s="326"/>
      <c r="AC51" s="321"/>
      <c r="AD51" s="322">
        <v>22000.0</v>
      </c>
      <c r="AE51" s="326"/>
      <c r="AF51" s="321"/>
      <c r="AG51" s="322">
        <v>22000.0</v>
      </c>
      <c r="AH51" s="326"/>
      <c r="AI51" s="321"/>
      <c r="AJ51" s="322">
        <v>22000.0</v>
      </c>
      <c r="AK51" s="326"/>
      <c r="AL51" s="321"/>
      <c r="AM51" s="322">
        <v>22000.0</v>
      </c>
      <c r="AN51" s="316" t="s">
        <v>63</v>
      </c>
      <c r="AO51" s="316"/>
      <c r="AP51" s="316"/>
      <c r="AQ51" s="316"/>
      <c r="AR51" s="316"/>
      <c r="AS51" s="316"/>
      <c r="AT51" s="316"/>
      <c r="AU51" s="316"/>
      <c r="AV51" s="316"/>
      <c r="AW51" s="316"/>
      <c r="AX51" s="316"/>
      <c r="AY51" s="316"/>
      <c r="AZ51" s="316"/>
      <c r="BA51" s="316"/>
      <c r="BB51" s="316"/>
      <c r="BC51" s="316"/>
      <c r="BD51" s="316"/>
      <c r="BE51" s="316"/>
      <c r="BF51" s="316"/>
      <c r="BG51" s="316"/>
      <c r="BH51" s="316"/>
      <c r="BI51" s="316"/>
      <c r="BJ51" s="316"/>
      <c r="BK51" s="316"/>
      <c r="BL51" s="316"/>
      <c r="BM51" s="316"/>
      <c r="BN51" s="316"/>
    </row>
    <row r="52" hidden="1" outlineLevel="1">
      <c r="A52" s="303" t="s">
        <v>97</v>
      </c>
      <c r="B52" s="317" t="s">
        <v>95</v>
      </c>
      <c r="C52" s="325" t="s">
        <v>53</v>
      </c>
      <c r="D52" s="326"/>
      <c r="E52" s="321"/>
      <c r="F52" s="322">
        <v>19900.0</v>
      </c>
      <c r="G52" s="326"/>
      <c r="H52" s="321"/>
      <c r="I52" s="322">
        <v>19900.0</v>
      </c>
      <c r="J52" s="326"/>
      <c r="K52" s="321"/>
      <c r="L52" s="322">
        <v>19900.0</v>
      </c>
      <c r="M52" s="326"/>
      <c r="N52" s="321"/>
      <c r="O52" s="322">
        <v>19900.0</v>
      </c>
      <c r="P52" s="326"/>
      <c r="Q52" s="321"/>
      <c r="R52" s="322">
        <v>19900.0</v>
      </c>
      <c r="S52" s="326"/>
      <c r="T52" s="321"/>
      <c r="U52" s="322">
        <v>19900.0</v>
      </c>
      <c r="V52" s="326"/>
      <c r="W52" s="321"/>
      <c r="X52" s="322">
        <v>19900.0</v>
      </c>
      <c r="Y52" s="326"/>
      <c r="Z52" s="321"/>
      <c r="AA52" s="322">
        <v>19900.0</v>
      </c>
      <c r="AB52" s="326"/>
      <c r="AC52" s="321"/>
      <c r="AD52" s="322">
        <v>19900.0</v>
      </c>
      <c r="AE52" s="326"/>
      <c r="AF52" s="321"/>
      <c r="AG52" s="322">
        <v>19900.0</v>
      </c>
      <c r="AH52" s="326"/>
      <c r="AI52" s="321"/>
      <c r="AJ52" s="322">
        <v>19900.0</v>
      </c>
      <c r="AK52" s="326"/>
      <c r="AL52" s="321"/>
      <c r="AM52" s="322">
        <v>19900.0</v>
      </c>
      <c r="AN52" s="316" t="s">
        <v>63</v>
      </c>
      <c r="AO52" s="316"/>
      <c r="AP52" s="316"/>
      <c r="AQ52" s="316"/>
      <c r="AR52" s="316"/>
      <c r="AS52" s="316"/>
      <c r="AT52" s="316"/>
      <c r="AU52" s="316"/>
      <c r="AV52" s="316"/>
      <c r="AW52" s="316"/>
      <c r="AX52" s="316"/>
      <c r="AY52" s="316"/>
      <c r="AZ52" s="316"/>
      <c r="BA52" s="316"/>
      <c r="BB52" s="316"/>
      <c r="BC52" s="316"/>
      <c r="BD52" s="316"/>
      <c r="BE52" s="316"/>
      <c r="BF52" s="316"/>
      <c r="BG52" s="316"/>
      <c r="BH52" s="316"/>
      <c r="BI52" s="316"/>
      <c r="BJ52" s="316"/>
      <c r="BK52" s="316"/>
      <c r="BL52" s="316"/>
      <c r="BM52" s="316"/>
      <c r="BN52" s="316"/>
    </row>
    <row r="53" hidden="1" outlineLevel="1">
      <c r="A53" s="303" t="s">
        <v>97</v>
      </c>
      <c r="B53" s="304"/>
      <c r="C53" s="325" t="s">
        <v>54</v>
      </c>
      <c r="D53" s="326"/>
      <c r="E53" s="321"/>
      <c r="F53" s="322">
        <f>SUMIFS('지출'!$G$3:$G794,'지출'!$J$3:$J794,F$1,'지출'!$C$3:$C794,"삼중")</f>
        <v>224910</v>
      </c>
      <c r="G53" s="326"/>
      <c r="H53" s="321"/>
      <c r="I53" s="322">
        <f>SUMIFS('지출'!$G$3:$G794,'지출'!$J$3:$J794,I$1,'지출'!$C$3:$C794,"삼중")</f>
        <v>205650</v>
      </c>
      <c r="J53" s="326"/>
      <c r="K53" s="321"/>
      <c r="L53" s="322">
        <f>SUMIFS('지출'!$G$3:$G794,'지출'!$J$3:$J794,L$1,'지출'!$C$3:$C794,"삼중")</f>
        <v>169470</v>
      </c>
      <c r="M53" s="326"/>
      <c r="N53" s="321"/>
      <c r="O53" s="322">
        <f>SUMIFS('지출'!$G$3:$G794,'지출'!$J$3:$J794,O$1,'지출'!$C$3:$C794,"삼중")</f>
        <v>24900</v>
      </c>
      <c r="P53" s="326"/>
      <c r="Q53" s="321"/>
      <c r="R53" s="322">
        <f>SUMIFS('지출'!$G$3:$G794,'지출'!$J$3:$J794,R$1,'지출'!$C$3:$C794,"삼중")</f>
        <v>0</v>
      </c>
      <c r="S53" s="326"/>
      <c r="T53" s="321"/>
      <c r="U53" s="322">
        <f>SUMIFS('지출'!$G$3:$G794,'지출'!$J$3:$J794,U$1,'지출'!$C$3:$C794,"삼중")</f>
        <v>0</v>
      </c>
      <c r="V53" s="326"/>
      <c r="W53" s="321"/>
      <c r="X53" s="322">
        <f>SUMIFS('지출'!$G$3:$G794,'지출'!$J$3:$J794,X$1,'지출'!$C$3:$C794,"삼중")</f>
        <v>0</v>
      </c>
      <c r="Y53" s="326"/>
      <c r="Z53" s="321"/>
      <c r="AA53" s="322">
        <f>SUMIFS('지출'!$G$3:$G794,'지출'!$J$3:$J794,AA$1,'지출'!$C$3:$C794,"삼중")</f>
        <v>0</v>
      </c>
      <c r="AB53" s="326"/>
      <c r="AC53" s="321"/>
      <c r="AD53" s="322">
        <f>SUMIFS('지출'!$G$3:$G794,'지출'!$J$3:$J794,AD$1,'지출'!$C$3:$C794,"삼중")</f>
        <v>0</v>
      </c>
      <c r="AE53" s="326"/>
      <c r="AF53" s="321"/>
      <c r="AG53" s="322">
        <f>SUMIFS('지출'!$G$3:$G794,'지출'!$J$3:$J794,AG$1,'지출'!$C$3:$C794,"삼중")</f>
        <v>0</v>
      </c>
      <c r="AH53" s="326"/>
      <c r="AI53" s="321"/>
      <c r="AJ53" s="322">
        <f>SUMIFS('지출'!$G$3:$G794,'지출'!$J$3:$J794,AJ$1,'지출'!$C$3:$C794,"삼중")</f>
        <v>0</v>
      </c>
      <c r="AK53" s="326"/>
      <c r="AL53" s="321"/>
      <c r="AM53" s="322">
        <f>SUMIFS('지출'!$G$3:$G794,'지출'!$J$3:$J794,AM$1,'지출'!$C$3:$C794,"삼중")</f>
        <v>0</v>
      </c>
      <c r="AN53" s="316" t="s">
        <v>63</v>
      </c>
      <c r="AO53" s="316"/>
      <c r="AP53" s="316"/>
      <c r="AQ53" s="316"/>
      <c r="AR53" s="316"/>
      <c r="AS53" s="316"/>
      <c r="AT53" s="316"/>
      <c r="AU53" s="316"/>
      <c r="AV53" s="316"/>
      <c r="AW53" s="316"/>
      <c r="AX53" s="316"/>
      <c r="AY53" s="316"/>
      <c r="AZ53" s="316"/>
      <c r="BA53" s="316"/>
      <c r="BB53" s="316"/>
      <c r="BC53" s="316"/>
      <c r="BD53" s="316"/>
      <c r="BE53" s="316"/>
      <c r="BF53" s="316"/>
      <c r="BG53" s="316"/>
      <c r="BH53" s="316"/>
      <c r="BI53" s="316"/>
      <c r="BJ53" s="316"/>
      <c r="BK53" s="316"/>
      <c r="BL53" s="316"/>
      <c r="BM53" s="316"/>
      <c r="BN53" s="316"/>
    </row>
    <row r="54" hidden="1" outlineLevel="1">
      <c r="A54" s="303" t="s">
        <v>97</v>
      </c>
      <c r="B54" s="304"/>
      <c r="C54" s="325" t="s">
        <v>56</v>
      </c>
      <c r="D54" s="320"/>
      <c r="E54" s="323">
        <f t="shared" ref="E54:F54" si="65">E45-(SUM(E46:E53))</f>
        <v>1310000</v>
      </c>
      <c r="F54" s="324">
        <f t="shared" si="65"/>
        <v>-397500</v>
      </c>
      <c r="G54" s="320"/>
      <c r="H54" s="323">
        <f t="shared" ref="H54:I54" si="66">H45-(SUM(H46:H53))</f>
        <v>418333</v>
      </c>
      <c r="I54" s="324">
        <f t="shared" si="66"/>
        <v>-192207</v>
      </c>
      <c r="J54" s="320"/>
      <c r="K54" s="323">
        <f t="shared" ref="K54:L54" si="67">K45-(SUM(K46:K53))</f>
        <v>420968</v>
      </c>
      <c r="L54" s="324">
        <f t="shared" si="67"/>
        <v>-602660</v>
      </c>
      <c r="M54" s="320"/>
      <c r="N54" s="323">
        <f t="shared" ref="N54:O54" si="68">N45-(SUM(N46:N53))</f>
        <v>798000</v>
      </c>
      <c r="O54" s="324">
        <f t="shared" si="68"/>
        <v>473200</v>
      </c>
      <c r="P54" s="320"/>
      <c r="Q54" s="323">
        <f t="shared" ref="Q54:R54" si="69">Q45-(SUM(Q46:Q53))</f>
        <v>840000</v>
      </c>
      <c r="R54" s="324">
        <f t="shared" si="69"/>
        <v>508100</v>
      </c>
      <c r="S54" s="320"/>
      <c r="T54" s="323">
        <f t="shared" ref="T54:U54" si="70">T45-(SUM(T46:T53))</f>
        <v>-418000</v>
      </c>
      <c r="U54" s="324">
        <f t="shared" si="70"/>
        <v>278100</v>
      </c>
      <c r="V54" s="320"/>
      <c r="W54" s="323">
        <f t="shared" ref="W54:X54" si="71">W45-(SUM(W46:W53))</f>
        <v>-810000</v>
      </c>
      <c r="X54" s="324">
        <f t="shared" si="71"/>
        <v>208100</v>
      </c>
      <c r="Y54" s="320"/>
      <c r="Z54" s="323">
        <f t="shared" ref="Z54:AA54" si="72">Z45-(SUM(Z46:Z53))</f>
        <v>-810000</v>
      </c>
      <c r="AA54" s="324">
        <f t="shared" si="72"/>
        <v>208100</v>
      </c>
      <c r="AB54" s="320"/>
      <c r="AC54" s="323">
        <f t="shared" ref="AC54:AD54" si="73">AC45-(SUM(AC46:AC53))</f>
        <v>-810000</v>
      </c>
      <c r="AD54" s="324">
        <f t="shared" si="73"/>
        <v>208100</v>
      </c>
      <c r="AE54" s="320"/>
      <c r="AF54" s="323">
        <f t="shared" ref="AF54:AG54" si="74">AF45-(SUM(AF46:AF53))</f>
        <v>-1231647</v>
      </c>
      <c r="AG54" s="324">
        <f t="shared" si="74"/>
        <v>131423</v>
      </c>
      <c r="AH54" s="320"/>
      <c r="AI54" s="323">
        <f t="shared" ref="AI54:AJ54" si="75">AI45-(SUM(AI46:AI53))</f>
        <v>-1360000</v>
      </c>
      <c r="AJ54" s="324">
        <f t="shared" si="75"/>
        <v>108100</v>
      </c>
      <c r="AK54" s="320"/>
      <c r="AL54" s="323">
        <f t="shared" ref="AL54:AM54" si="76">AL45-(SUM(AL46:AL53))</f>
        <v>-1360000</v>
      </c>
      <c r="AM54" s="324">
        <f t="shared" si="76"/>
        <v>108100</v>
      </c>
      <c r="AN54" s="316" t="s">
        <v>63</v>
      </c>
      <c r="AO54" s="316"/>
      <c r="AP54" s="316"/>
      <c r="AQ54" s="316"/>
      <c r="AR54" s="316"/>
      <c r="AS54" s="316"/>
      <c r="AT54" s="316"/>
      <c r="AU54" s="316"/>
      <c r="AV54" s="316"/>
      <c r="AW54" s="316"/>
      <c r="AX54" s="316"/>
      <c r="AY54" s="316"/>
      <c r="AZ54" s="316"/>
      <c r="BA54" s="316"/>
      <c r="BB54" s="316"/>
      <c r="BC54" s="316"/>
      <c r="BD54" s="316"/>
      <c r="BE54" s="316"/>
      <c r="BF54" s="316"/>
      <c r="BG54" s="316"/>
      <c r="BH54" s="316"/>
      <c r="BI54" s="316"/>
      <c r="BJ54" s="316"/>
      <c r="BK54" s="316"/>
      <c r="BL54" s="316"/>
      <c r="BM54" s="316"/>
      <c r="BN54" s="316"/>
    </row>
    <row r="55">
      <c r="A55" s="303" t="s">
        <v>97</v>
      </c>
      <c r="B55" s="328">
        <v>0.7</v>
      </c>
      <c r="C55" s="325" t="s">
        <v>26</v>
      </c>
      <c r="D55" s="320"/>
      <c r="E55" s="323">
        <f>E54*$B55</f>
        <v>917000</v>
      </c>
      <c r="F55" s="324"/>
      <c r="G55" s="320"/>
      <c r="H55" s="323">
        <f>H54*$B55</f>
        <v>292833.1</v>
      </c>
      <c r="I55" s="324"/>
      <c r="J55" s="320"/>
      <c r="K55" s="323">
        <f>K54*$B55</f>
        <v>294677.6</v>
      </c>
      <c r="L55" s="324"/>
      <c r="M55" s="320"/>
      <c r="N55" s="323">
        <f>N54*$B55</f>
        <v>558600</v>
      </c>
      <c r="O55" s="324"/>
      <c r="P55" s="320"/>
      <c r="Q55" s="323">
        <f>Q54*$B55</f>
        <v>588000</v>
      </c>
      <c r="R55" s="324"/>
      <c r="S55" s="320"/>
      <c r="T55" s="323">
        <f>T54*$B55</f>
        <v>-292600</v>
      </c>
      <c r="U55" s="324"/>
      <c r="V55" s="320"/>
      <c r="W55" s="323">
        <f>W54*$B55</f>
        <v>-567000</v>
      </c>
      <c r="X55" s="324"/>
      <c r="Y55" s="320"/>
      <c r="Z55" s="323">
        <f>Z54*$B55</f>
        <v>-567000</v>
      </c>
      <c r="AA55" s="324"/>
      <c r="AB55" s="320"/>
      <c r="AC55" s="323">
        <f>AC54*$B55</f>
        <v>-567000</v>
      </c>
      <c r="AD55" s="324"/>
      <c r="AE55" s="320"/>
      <c r="AF55" s="323">
        <f>AF54*$B55</f>
        <v>-862152.9</v>
      </c>
      <c r="AG55" s="324"/>
      <c r="AH55" s="320"/>
      <c r="AI55" s="323">
        <f>AI54*$B55</f>
        <v>-952000</v>
      </c>
      <c r="AJ55" s="324"/>
      <c r="AK55" s="320"/>
      <c r="AL55" s="323">
        <f>AL54*$B55</f>
        <v>-952000</v>
      </c>
      <c r="AM55" s="324"/>
      <c r="AN55" s="316" t="s">
        <v>63</v>
      </c>
      <c r="AO55" s="316"/>
      <c r="AP55" s="316"/>
      <c r="AQ55" s="316"/>
      <c r="AR55" s="316"/>
      <c r="AS55" s="316"/>
      <c r="AT55" s="316"/>
      <c r="AU55" s="316"/>
      <c r="AV55" s="316"/>
      <c r="AW55" s="316"/>
      <c r="AX55" s="316"/>
      <c r="AY55" s="316"/>
      <c r="AZ55" s="316"/>
      <c r="BA55" s="316"/>
      <c r="BB55" s="316"/>
      <c r="BC55" s="316"/>
      <c r="BD55" s="316"/>
      <c r="BE55" s="316"/>
      <c r="BF55" s="316"/>
      <c r="BG55" s="316"/>
      <c r="BH55" s="316"/>
      <c r="BI55" s="316"/>
      <c r="BJ55" s="316"/>
      <c r="BK55" s="316"/>
      <c r="BL55" s="316"/>
      <c r="BM55" s="316"/>
      <c r="BN55" s="316"/>
    </row>
    <row r="56">
      <c r="A56" s="303" t="s">
        <v>97</v>
      </c>
      <c r="B56" s="329">
        <v>0.3</v>
      </c>
      <c r="C56" s="330" t="s">
        <v>57</v>
      </c>
      <c r="D56" s="331"/>
      <c r="E56" s="332">
        <f>E54*$B56</f>
        <v>393000</v>
      </c>
      <c r="F56" s="333"/>
      <c r="G56" s="331"/>
      <c r="H56" s="332">
        <f>H54*$B56</f>
        <v>125499.9</v>
      </c>
      <c r="I56" s="333"/>
      <c r="J56" s="331"/>
      <c r="K56" s="332">
        <f>K54*$B56</f>
        <v>126290.4</v>
      </c>
      <c r="L56" s="333"/>
      <c r="M56" s="331"/>
      <c r="N56" s="332">
        <f>N54*$B56</f>
        <v>239400</v>
      </c>
      <c r="O56" s="333"/>
      <c r="P56" s="331"/>
      <c r="Q56" s="332">
        <f>Q54*$B56</f>
        <v>252000</v>
      </c>
      <c r="R56" s="333"/>
      <c r="S56" s="331"/>
      <c r="T56" s="332">
        <f>T54*$B56</f>
        <v>-125400</v>
      </c>
      <c r="U56" s="333"/>
      <c r="V56" s="331"/>
      <c r="W56" s="332">
        <f>W54*$B56</f>
        <v>-243000</v>
      </c>
      <c r="X56" s="333"/>
      <c r="Y56" s="331"/>
      <c r="Z56" s="332">
        <f>Z54*$B56</f>
        <v>-243000</v>
      </c>
      <c r="AA56" s="333"/>
      <c r="AB56" s="331"/>
      <c r="AC56" s="332">
        <f>AC54*$B56</f>
        <v>-243000</v>
      </c>
      <c r="AD56" s="333"/>
      <c r="AE56" s="331"/>
      <c r="AF56" s="332">
        <f>AF54*$B56</f>
        <v>-369494.1</v>
      </c>
      <c r="AG56" s="333"/>
      <c r="AH56" s="331"/>
      <c r="AI56" s="332">
        <f>AI54*$B56</f>
        <v>-408000</v>
      </c>
      <c r="AJ56" s="333"/>
      <c r="AK56" s="331"/>
      <c r="AL56" s="332">
        <f>AL54*$B56</f>
        <v>-408000</v>
      </c>
      <c r="AM56" s="333"/>
      <c r="AN56" s="316" t="s">
        <v>63</v>
      </c>
      <c r="AO56" s="316"/>
      <c r="AP56" s="316"/>
      <c r="AQ56" s="316"/>
      <c r="AR56" s="316"/>
      <c r="AS56" s="316"/>
      <c r="AT56" s="316"/>
      <c r="AU56" s="316"/>
      <c r="AV56" s="316"/>
      <c r="AW56" s="316"/>
      <c r="AX56" s="316"/>
      <c r="AY56" s="316"/>
      <c r="AZ56" s="316"/>
      <c r="BA56" s="316"/>
      <c r="BB56" s="316"/>
      <c r="BC56" s="316"/>
      <c r="BD56" s="316"/>
      <c r="BE56" s="316"/>
      <c r="BF56" s="316"/>
      <c r="BG56" s="316"/>
      <c r="BH56" s="316"/>
      <c r="BI56" s="316"/>
      <c r="BJ56" s="316"/>
      <c r="BK56" s="316"/>
      <c r="BL56" s="316"/>
      <c r="BM56" s="316"/>
      <c r="BN56" s="316"/>
    </row>
    <row r="57">
      <c r="A57" s="303" t="s">
        <v>154</v>
      </c>
      <c r="B57" s="317" t="s">
        <v>154</v>
      </c>
      <c r="C57" s="325" t="s">
        <v>155</v>
      </c>
      <c r="D57" s="334" t="s">
        <v>1318</v>
      </c>
      <c r="E57" s="335">
        <v>650000.0</v>
      </c>
      <c r="F57" s="346">
        <f t="shared" ref="F57:F59" si="77">100000+25000</f>
        <v>125000</v>
      </c>
      <c r="G57" s="334" t="s">
        <v>1318</v>
      </c>
      <c r="H57" s="335">
        <v>650000.0</v>
      </c>
      <c r="I57" s="346">
        <f t="shared" ref="I57:I60" si="78">100000+45000</f>
        <v>145000</v>
      </c>
      <c r="J57" s="334" t="s">
        <v>1318</v>
      </c>
      <c r="K57" s="335">
        <v>650000.0</v>
      </c>
      <c r="L57" s="346">
        <v>100000.0</v>
      </c>
      <c r="M57" s="334" t="s">
        <v>1318</v>
      </c>
      <c r="N57" s="335">
        <v>650000.0</v>
      </c>
      <c r="O57" s="346">
        <v>100000.0</v>
      </c>
      <c r="P57" s="334" t="s">
        <v>1318</v>
      </c>
      <c r="Q57" s="335">
        <v>650000.0</v>
      </c>
      <c r="R57" s="346">
        <v>100000.0</v>
      </c>
      <c r="S57" s="334" t="s">
        <v>1318</v>
      </c>
      <c r="T57" s="335">
        <v>650000.0</v>
      </c>
      <c r="U57" s="346">
        <v>100000.0</v>
      </c>
      <c r="V57" s="347" t="s">
        <v>2064</v>
      </c>
      <c r="W57" s="335">
        <v>650000.0</v>
      </c>
      <c r="X57" s="346">
        <v>100000.0</v>
      </c>
      <c r="Y57" s="317"/>
      <c r="Z57" s="321"/>
      <c r="AA57" s="322"/>
      <c r="AB57" s="317"/>
      <c r="AC57" s="321"/>
      <c r="AD57" s="322"/>
      <c r="AE57" s="317"/>
      <c r="AF57" s="321"/>
      <c r="AG57" s="322"/>
      <c r="AH57" s="317"/>
      <c r="AI57" s="321"/>
      <c r="AJ57" s="322"/>
      <c r="AK57" s="317"/>
      <c r="AL57" s="321"/>
      <c r="AM57" s="322"/>
      <c r="AN57" s="316" t="s">
        <v>63</v>
      </c>
      <c r="AO57" s="316"/>
      <c r="AP57" s="316"/>
      <c r="AQ57" s="316"/>
      <c r="AR57" s="316"/>
      <c r="AS57" s="316"/>
      <c r="AT57" s="316"/>
      <c r="AU57" s="316"/>
      <c r="AV57" s="316"/>
      <c r="AW57" s="316"/>
      <c r="AX57" s="316"/>
      <c r="AY57" s="316"/>
      <c r="AZ57" s="316"/>
      <c r="BA57" s="316"/>
      <c r="BB57" s="316"/>
      <c r="BC57" s="316"/>
      <c r="BD57" s="316"/>
      <c r="BE57" s="316"/>
      <c r="BF57" s="316"/>
      <c r="BG57" s="316"/>
      <c r="BH57" s="316"/>
      <c r="BI57" s="316"/>
      <c r="BJ57" s="316"/>
      <c r="BK57" s="316"/>
      <c r="BL57" s="316"/>
      <c r="BM57" s="316"/>
      <c r="BN57" s="316"/>
    </row>
    <row r="58">
      <c r="A58" s="303" t="s">
        <v>154</v>
      </c>
      <c r="B58" s="317" t="s">
        <v>154</v>
      </c>
      <c r="C58" s="325" t="s">
        <v>160</v>
      </c>
      <c r="D58" s="341" t="s">
        <v>2065</v>
      </c>
      <c r="E58" s="348">
        <v>600000.0</v>
      </c>
      <c r="F58" s="346">
        <f t="shared" si="77"/>
        <v>125000</v>
      </c>
      <c r="G58" s="341" t="s">
        <v>2065</v>
      </c>
      <c r="H58" s="348">
        <v>600000.0</v>
      </c>
      <c r="I58" s="346">
        <f t="shared" si="78"/>
        <v>145000</v>
      </c>
      <c r="J58" s="341" t="s">
        <v>2065</v>
      </c>
      <c r="K58" s="348">
        <v>600000.0</v>
      </c>
      <c r="L58" s="346">
        <v>100000.0</v>
      </c>
      <c r="M58" s="341" t="s">
        <v>2065</v>
      </c>
      <c r="N58" s="348">
        <v>600000.0</v>
      </c>
      <c r="O58" s="346">
        <v>100000.0</v>
      </c>
      <c r="P58" s="341" t="s">
        <v>2065</v>
      </c>
      <c r="Q58" s="348">
        <v>600000.0</v>
      </c>
      <c r="R58" s="346">
        <v>100000.0</v>
      </c>
      <c r="S58" s="341" t="s">
        <v>2065</v>
      </c>
      <c r="T58" s="348">
        <v>600000.0</v>
      </c>
      <c r="U58" s="346">
        <v>100000.0</v>
      </c>
      <c r="V58" s="341" t="s">
        <v>2065</v>
      </c>
      <c r="W58" s="348">
        <v>600000.0</v>
      </c>
      <c r="X58" s="346">
        <v>100000.0</v>
      </c>
      <c r="Y58" s="341" t="s">
        <v>2065</v>
      </c>
      <c r="Z58" s="348">
        <v>600000.0</v>
      </c>
      <c r="AA58" s="346">
        <v>100000.0</v>
      </c>
      <c r="AB58" s="341" t="s">
        <v>2065</v>
      </c>
      <c r="AC58" s="348">
        <v>600000.0</v>
      </c>
      <c r="AD58" s="346">
        <v>100000.0</v>
      </c>
      <c r="AE58" s="341" t="s">
        <v>2065</v>
      </c>
      <c r="AF58" s="348">
        <v>600000.0</v>
      </c>
      <c r="AG58" s="346">
        <v>100000.0</v>
      </c>
      <c r="AH58" s="341" t="s">
        <v>2065</v>
      </c>
      <c r="AI58" s="348">
        <v>600000.0</v>
      </c>
      <c r="AJ58" s="346">
        <v>100000.0</v>
      </c>
      <c r="AK58" s="353" t="s">
        <v>2066</v>
      </c>
      <c r="AL58" s="348">
        <v>600000.0</v>
      </c>
      <c r="AM58" s="346">
        <v>100000.0</v>
      </c>
      <c r="AN58" s="316" t="s">
        <v>63</v>
      </c>
      <c r="AO58" s="316"/>
      <c r="AP58" s="316"/>
      <c r="AQ58" s="316"/>
      <c r="AR58" s="316"/>
      <c r="AS58" s="316"/>
      <c r="AT58" s="316"/>
      <c r="AU58" s="316"/>
      <c r="AV58" s="316"/>
      <c r="AW58" s="316"/>
      <c r="AX58" s="316"/>
      <c r="AY58" s="316"/>
      <c r="AZ58" s="316"/>
      <c r="BA58" s="316"/>
      <c r="BB58" s="316"/>
      <c r="BC58" s="316"/>
      <c r="BD58" s="316"/>
      <c r="BE58" s="316"/>
      <c r="BF58" s="316"/>
      <c r="BG58" s="316"/>
      <c r="BH58" s="316"/>
      <c r="BI58" s="316"/>
      <c r="BJ58" s="316"/>
      <c r="BK58" s="316"/>
      <c r="BL58" s="316"/>
      <c r="BM58" s="316"/>
      <c r="BN58" s="316"/>
    </row>
    <row r="59">
      <c r="A59" s="303" t="s">
        <v>154</v>
      </c>
      <c r="B59" s="317" t="s">
        <v>154</v>
      </c>
      <c r="C59" s="325" t="s">
        <v>165</v>
      </c>
      <c r="D59" s="334" t="s">
        <v>192</v>
      </c>
      <c r="E59" s="335">
        <v>570000.0</v>
      </c>
      <c r="F59" s="346">
        <f t="shared" si="77"/>
        <v>125000</v>
      </c>
      <c r="G59" s="334" t="s">
        <v>192</v>
      </c>
      <c r="H59" s="335">
        <v>570000.0</v>
      </c>
      <c r="I59" s="346">
        <f t="shared" si="78"/>
        <v>145000</v>
      </c>
      <c r="J59" s="334" t="s">
        <v>192</v>
      </c>
      <c r="K59" s="335">
        <v>570000.0</v>
      </c>
      <c r="L59" s="346">
        <v>100000.0</v>
      </c>
      <c r="M59" s="334" t="s">
        <v>192</v>
      </c>
      <c r="N59" s="335">
        <v>570000.0</v>
      </c>
      <c r="O59" s="346">
        <v>100000.0</v>
      </c>
      <c r="P59" s="334" t="s">
        <v>192</v>
      </c>
      <c r="Q59" s="335">
        <v>570000.0</v>
      </c>
      <c r="R59" s="346">
        <v>100000.0</v>
      </c>
      <c r="S59" s="334" t="s">
        <v>192</v>
      </c>
      <c r="T59" s="335">
        <v>570000.0</v>
      </c>
      <c r="U59" s="346">
        <v>100000.0</v>
      </c>
      <c r="V59" s="347" t="s">
        <v>2067</v>
      </c>
      <c r="W59" s="335">
        <v>570000.0</v>
      </c>
      <c r="X59" s="346">
        <v>100000.0</v>
      </c>
      <c r="Y59" s="317"/>
      <c r="Z59" s="321"/>
      <c r="AA59" s="322"/>
      <c r="AB59" s="317"/>
      <c r="AC59" s="321"/>
      <c r="AD59" s="322"/>
      <c r="AE59" s="317"/>
      <c r="AF59" s="321"/>
      <c r="AG59" s="322"/>
      <c r="AH59" s="317"/>
      <c r="AI59" s="321"/>
      <c r="AJ59" s="322"/>
      <c r="AK59" s="317"/>
      <c r="AL59" s="321"/>
      <c r="AM59" s="322"/>
      <c r="AN59" s="316" t="s">
        <v>63</v>
      </c>
      <c r="AO59" s="316"/>
      <c r="AP59" s="316"/>
      <c r="AQ59" s="316"/>
      <c r="AR59" s="316"/>
      <c r="AS59" s="316"/>
      <c r="AT59" s="316"/>
      <c r="AU59" s="316"/>
      <c r="AV59" s="316"/>
      <c r="AW59" s="316"/>
      <c r="AX59" s="316"/>
      <c r="AY59" s="316"/>
      <c r="AZ59" s="316"/>
      <c r="BA59" s="316"/>
      <c r="BB59" s="316"/>
      <c r="BC59" s="316"/>
      <c r="BD59" s="316"/>
      <c r="BE59" s="316"/>
      <c r="BF59" s="316"/>
      <c r="BG59" s="316"/>
      <c r="BH59" s="316"/>
      <c r="BI59" s="316"/>
      <c r="BJ59" s="316"/>
      <c r="BK59" s="316"/>
      <c r="BL59" s="316"/>
      <c r="BM59" s="316"/>
      <c r="BN59" s="316"/>
    </row>
    <row r="60">
      <c r="A60" s="303" t="s">
        <v>154</v>
      </c>
      <c r="B60" s="317" t="s">
        <v>154</v>
      </c>
      <c r="C60" s="325" t="s">
        <v>167</v>
      </c>
      <c r="D60" s="334" t="s">
        <v>2068</v>
      </c>
      <c r="E60" s="348">
        <f>180000+390323</f>
        <v>570323</v>
      </c>
      <c r="F60" s="345">
        <f>30006+70968+25000</f>
        <v>125974</v>
      </c>
      <c r="G60" s="317" t="s">
        <v>1330</v>
      </c>
      <c r="H60" s="348">
        <v>550000.0</v>
      </c>
      <c r="I60" s="346">
        <f t="shared" si="78"/>
        <v>145000</v>
      </c>
      <c r="J60" s="317" t="s">
        <v>1330</v>
      </c>
      <c r="K60" s="348">
        <v>550000.0</v>
      </c>
      <c r="L60" s="346">
        <v>100000.0</v>
      </c>
      <c r="M60" s="317" t="s">
        <v>1330</v>
      </c>
      <c r="N60" s="348">
        <v>550000.0</v>
      </c>
      <c r="O60" s="346">
        <v>100000.0</v>
      </c>
      <c r="P60" s="317" t="s">
        <v>1330</v>
      </c>
      <c r="Q60" s="348">
        <v>550000.0</v>
      </c>
      <c r="R60" s="346">
        <v>100000.0</v>
      </c>
      <c r="S60" s="317" t="s">
        <v>1330</v>
      </c>
      <c r="T60" s="348">
        <v>550000.0</v>
      </c>
      <c r="U60" s="346">
        <v>100000.0</v>
      </c>
      <c r="V60" s="317" t="s">
        <v>2069</v>
      </c>
      <c r="W60" s="348">
        <v>159677.0</v>
      </c>
      <c r="X60" s="345">
        <v>29032.0</v>
      </c>
      <c r="Y60" s="317"/>
      <c r="Z60" s="321"/>
      <c r="AA60" s="322"/>
      <c r="AB60" s="317"/>
      <c r="AC60" s="321"/>
      <c r="AD60" s="322"/>
      <c r="AE60" s="317"/>
      <c r="AF60" s="321"/>
      <c r="AG60" s="322"/>
      <c r="AH60" s="317"/>
      <c r="AI60" s="321"/>
      <c r="AJ60" s="322"/>
      <c r="AK60" s="317"/>
      <c r="AL60" s="321"/>
      <c r="AM60" s="322"/>
      <c r="AN60" s="316" t="s">
        <v>63</v>
      </c>
      <c r="AO60" s="316"/>
      <c r="AP60" s="316"/>
      <c r="AQ60" s="316"/>
      <c r="AR60" s="316"/>
      <c r="AS60" s="316"/>
      <c r="AT60" s="316"/>
      <c r="AU60" s="316"/>
      <c r="AV60" s="316"/>
      <c r="AW60" s="316"/>
      <c r="AX60" s="316"/>
      <c r="AY60" s="316"/>
      <c r="AZ60" s="316"/>
      <c r="BA60" s="316"/>
      <c r="BB60" s="316"/>
      <c r="BC60" s="316"/>
      <c r="BD60" s="316"/>
      <c r="BE60" s="316"/>
      <c r="BF60" s="316"/>
      <c r="BG60" s="316"/>
      <c r="BH60" s="316"/>
      <c r="BI60" s="316"/>
      <c r="BJ60" s="316"/>
      <c r="BK60" s="316"/>
      <c r="BL60" s="316"/>
      <c r="BM60" s="316"/>
      <c r="BN60" s="316"/>
    </row>
    <row r="61">
      <c r="A61" s="303" t="s">
        <v>154</v>
      </c>
      <c r="B61" s="317" t="s">
        <v>154</v>
      </c>
      <c r="C61" s="325" t="s">
        <v>173</v>
      </c>
      <c r="D61" s="334" t="s">
        <v>2070</v>
      </c>
      <c r="E61" s="335">
        <v>550000.0</v>
      </c>
      <c r="F61" s="346">
        <v>100000.0</v>
      </c>
      <c r="G61" s="334" t="s">
        <v>2070</v>
      </c>
      <c r="H61" s="335">
        <v>550000.0</v>
      </c>
      <c r="I61" s="346">
        <v>100000.0</v>
      </c>
      <c r="J61" s="347" t="s">
        <v>2071</v>
      </c>
      <c r="K61" s="348">
        <f>25000+402581</f>
        <v>427581</v>
      </c>
      <c r="L61" s="345">
        <f>5000+83871</f>
        <v>88871</v>
      </c>
      <c r="M61" s="317"/>
      <c r="N61" s="321"/>
      <c r="O61" s="322"/>
      <c r="P61" s="317"/>
      <c r="Q61" s="321"/>
      <c r="R61" s="322"/>
      <c r="S61" s="317"/>
      <c r="T61" s="321"/>
      <c r="U61" s="322"/>
      <c r="V61" s="317"/>
      <c r="W61" s="321"/>
      <c r="X61" s="322"/>
      <c r="Y61" s="317"/>
      <c r="Z61" s="321"/>
      <c r="AA61" s="322"/>
      <c r="AB61" s="317"/>
      <c r="AC61" s="321"/>
      <c r="AD61" s="322"/>
      <c r="AE61" s="317"/>
      <c r="AF61" s="321"/>
      <c r="AG61" s="322"/>
      <c r="AH61" s="317"/>
      <c r="AI61" s="321"/>
      <c r="AJ61" s="322"/>
      <c r="AK61" s="317"/>
      <c r="AL61" s="321"/>
      <c r="AM61" s="322"/>
      <c r="AN61" s="316" t="s">
        <v>63</v>
      </c>
      <c r="AO61" s="316"/>
      <c r="AP61" s="316"/>
      <c r="AQ61" s="316"/>
      <c r="AR61" s="316"/>
      <c r="AS61" s="316"/>
      <c r="AT61" s="316"/>
      <c r="AU61" s="316"/>
      <c r="AV61" s="316"/>
      <c r="AW61" s="316"/>
      <c r="AX61" s="316"/>
      <c r="AY61" s="316"/>
      <c r="AZ61" s="316"/>
      <c r="BA61" s="316"/>
      <c r="BB61" s="316"/>
      <c r="BC61" s="316"/>
      <c r="BD61" s="316"/>
      <c r="BE61" s="316"/>
      <c r="BF61" s="316"/>
      <c r="BG61" s="316"/>
      <c r="BH61" s="316"/>
      <c r="BI61" s="316"/>
      <c r="BJ61" s="316"/>
      <c r="BK61" s="316"/>
      <c r="BL61" s="316"/>
      <c r="BM61" s="316"/>
      <c r="BN61" s="316"/>
    </row>
    <row r="62">
      <c r="A62" s="303" t="s">
        <v>154</v>
      </c>
      <c r="B62" s="317" t="s">
        <v>154</v>
      </c>
      <c r="C62" s="325" t="s">
        <v>178</v>
      </c>
      <c r="D62" s="334" t="s">
        <v>2072</v>
      </c>
      <c r="E62" s="335">
        <v>550000.0</v>
      </c>
      <c r="F62" s="346">
        <v>100000.0</v>
      </c>
      <c r="G62" s="334" t="s">
        <v>2072</v>
      </c>
      <c r="H62" s="335">
        <v>550000.0</v>
      </c>
      <c r="I62" s="346">
        <v>100000.0</v>
      </c>
      <c r="J62" s="347" t="s">
        <v>2073</v>
      </c>
      <c r="K62" s="348">
        <v>25000.0</v>
      </c>
      <c r="L62" s="345">
        <v>5000.0</v>
      </c>
      <c r="M62" s="317"/>
      <c r="N62" s="321"/>
      <c r="O62" s="322"/>
      <c r="P62" s="317"/>
      <c r="Q62" s="321"/>
      <c r="R62" s="322"/>
      <c r="S62" s="326"/>
      <c r="T62" s="321"/>
      <c r="U62" s="322"/>
      <c r="V62" s="326"/>
      <c r="W62" s="321"/>
      <c r="X62" s="322"/>
      <c r="Y62" s="317"/>
      <c r="Z62" s="321"/>
      <c r="AA62" s="322"/>
      <c r="AB62" s="317"/>
      <c r="AC62" s="321"/>
      <c r="AD62" s="322"/>
      <c r="AE62" s="317"/>
      <c r="AF62" s="321"/>
      <c r="AG62" s="322"/>
      <c r="AH62" s="317"/>
      <c r="AI62" s="321"/>
      <c r="AJ62" s="322"/>
      <c r="AK62" s="317"/>
      <c r="AL62" s="321"/>
      <c r="AM62" s="322"/>
      <c r="AN62" s="316" t="s">
        <v>63</v>
      </c>
      <c r="AO62" s="316"/>
      <c r="AP62" s="316"/>
      <c r="AQ62" s="316"/>
      <c r="AR62" s="316"/>
      <c r="AS62" s="316"/>
      <c r="AT62" s="316"/>
      <c r="AU62" s="316"/>
      <c r="AV62" s="316"/>
      <c r="AW62" s="316"/>
      <c r="AX62" s="316"/>
      <c r="AY62" s="316"/>
      <c r="AZ62" s="316"/>
      <c r="BA62" s="316"/>
      <c r="BB62" s="316"/>
      <c r="BC62" s="316"/>
      <c r="BD62" s="316"/>
      <c r="BE62" s="316"/>
      <c r="BF62" s="316"/>
      <c r="BG62" s="316"/>
      <c r="BH62" s="316"/>
      <c r="BI62" s="316"/>
      <c r="BJ62" s="316"/>
      <c r="BK62" s="316"/>
      <c r="BL62" s="316"/>
      <c r="BM62" s="316"/>
      <c r="BN62" s="316"/>
    </row>
    <row r="63">
      <c r="A63" s="303" t="s">
        <v>154</v>
      </c>
      <c r="B63" s="317" t="s">
        <v>154</v>
      </c>
      <c r="C63" s="325" t="s">
        <v>187</v>
      </c>
      <c r="D63" s="347" t="s">
        <v>37</v>
      </c>
      <c r="E63" s="335"/>
      <c r="F63" s="346"/>
      <c r="G63" s="317" t="s">
        <v>2074</v>
      </c>
      <c r="H63" s="321">
        <v>45000.0</v>
      </c>
      <c r="I63" s="322">
        <v>10714.0</v>
      </c>
      <c r="J63" s="326" t="s">
        <v>1333</v>
      </c>
      <c r="K63" s="348">
        <v>420000.0</v>
      </c>
      <c r="L63" s="346">
        <v>100000.0</v>
      </c>
      <c r="M63" s="326" t="s">
        <v>1333</v>
      </c>
      <c r="N63" s="348">
        <v>420000.0</v>
      </c>
      <c r="O63" s="346">
        <v>100000.0</v>
      </c>
      <c r="P63" s="326" t="s">
        <v>1333</v>
      </c>
      <c r="Q63" s="348">
        <v>420000.0</v>
      </c>
      <c r="R63" s="346">
        <v>100000.0</v>
      </c>
      <c r="S63" s="326" t="s">
        <v>1333</v>
      </c>
      <c r="T63" s="348">
        <v>420000.0</v>
      </c>
      <c r="U63" s="346">
        <v>100000.0</v>
      </c>
      <c r="V63" s="326" t="s">
        <v>1333</v>
      </c>
      <c r="W63" s="348">
        <v>420000.0</v>
      </c>
      <c r="X63" s="346">
        <v>100000.0</v>
      </c>
      <c r="Y63" s="326" t="s">
        <v>1333</v>
      </c>
      <c r="Z63" s="348">
        <v>420000.0</v>
      </c>
      <c r="AA63" s="346">
        <v>100000.0</v>
      </c>
      <c r="AB63" s="326" t="s">
        <v>1333</v>
      </c>
      <c r="AC63" s="348">
        <v>420000.0</v>
      </c>
      <c r="AD63" s="346">
        <v>100000.0</v>
      </c>
      <c r="AE63" s="326" t="s">
        <v>1333</v>
      </c>
      <c r="AF63" s="348">
        <v>420000.0</v>
      </c>
      <c r="AG63" s="346">
        <v>100000.0</v>
      </c>
      <c r="AH63" s="326" t="s">
        <v>1333</v>
      </c>
      <c r="AI63" s="348">
        <v>420000.0</v>
      </c>
      <c r="AJ63" s="346">
        <v>100000.0</v>
      </c>
      <c r="AK63" s="326" t="s">
        <v>1333</v>
      </c>
      <c r="AL63" s="348">
        <v>420000.0</v>
      </c>
      <c r="AM63" s="346">
        <v>100000.0</v>
      </c>
      <c r="AN63" s="316" t="s">
        <v>63</v>
      </c>
      <c r="AO63" s="316"/>
      <c r="AP63" s="316"/>
      <c r="AQ63" s="316"/>
      <c r="AR63" s="316"/>
      <c r="AS63" s="316"/>
      <c r="AT63" s="316"/>
      <c r="AU63" s="316"/>
      <c r="AV63" s="316"/>
      <c r="AW63" s="316"/>
      <c r="AX63" s="316"/>
      <c r="AY63" s="316"/>
      <c r="AZ63" s="316"/>
      <c r="BA63" s="316"/>
      <c r="BB63" s="316"/>
      <c r="BC63" s="316"/>
      <c r="BD63" s="316"/>
      <c r="BE63" s="316"/>
      <c r="BF63" s="316"/>
      <c r="BG63" s="316"/>
      <c r="BH63" s="316"/>
      <c r="BI63" s="316"/>
      <c r="BJ63" s="316"/>
      <c r="BK63" s="316"/>
      <c r="BL63" s="316"/>
      <c r="BM63" s="316"/>
      <c r="BN63" s="316"/>
    </row>
    <row r="64">
      <c r="A64" s="303" t="s">
        <v>154</v>
      </c>
      <c r="B64" s="317" t="s">
        <v>154</v>
      </c>
      <c r="C64" s="325" t="s">
        <v>193</v>
      </c>
      <c r="D64" s="334" t="s">
        <v>1336</v>
      </c>
      <c r="E64" s="335">
        <v>480000.0</v>
      </c>
      <c r="F64" s="346">
        <v>100000.0</v>
      </c>
      <c r="G64" s="334" t="s">
        <v>1336</v>
      </c>
      <c r="H64" s="335">
        <v>480000.0</v>
      </c>
      <c r="I64" s="352">
        <v>100000.0</v>
      </c>
      <c r="J64" s="347" t="s">
        <v>2075</v>
      </c>
      <c r="K64" s="335">
        <v>480000.0</v>
      </c>
      <c r="L64" s="346">
        <v>100000.0</v>
      </c>
      <c r="M64" s="317"/>
      <c r="N64" s="321"/>
      <c r="O64" s="322"/>
      <c r="P64" s="317"/>
      <c r="Q64" s="321"/>
      <c r="R64" s="322"/>
      <c r="S64" s="317"/>
      <c r="T64" s="321"/>
      <c r="U64" s="322"/>
      <c r="V64" s="326"/>
      <c r="W64" s="321"/>
      <c r="X64" s="322"/>
      <c r="Y64" s="326"/>
      <c r="Z64" s="321"/>
      <c r="AA64" s="322"/>
      <c r="AB64" s="317"/>
      <c r="AC64" s="321"/>
      <c r="AD64" s="322"/>
      <c r="AE64" s="317"/>
      <c r="AF64" s="321"/>
      <c r="AG64" s="322"/>
      <c r="AH64" s="317"/>
      <c r="AI64" s="321"/>
      <c r="AJ64" s="322"/>
      <c r="AK64" s="317"/>
      <c r="AL64" s="321"/>
      <c r="AM64" s="322"/>
      <c r="AN64" s="316" t="s">
        <v>63</v>
      </c>
      <c r="AO64" s="316"/>
      <c r="AP64" s="316"/>
      <c r="AQ64" s="316"/>
      <c r="AR64" s="316"/>
      <c r="AS64" s="316"/>
      <c r="AT64" s="316"/>
      <c r="AU64" s="316"/>
      <c r="AV64" s="316"/>
      <c r="AW64" s="316"/>
      <c r="AX64" s="316"/>
      <c r="AY64" s="316"/>
      <c r="AZ64" s="316"/>
      <c r="BA64" s="316"/>
      <c r="BB64" s="316"/>
      <c r="BC64" s="316"/>
      <c r="BD64" s="316"/>
      <c r="BE64" s="316"/>
      <c r="BF64" s="316"/>
      <c r="BG64" s="316"/>
      <c r="BH64" s="316"/>
      <c r="BI64" s="316"/>
      <c r="BJ64" s="316"/>
      <c r="BK64" s="316"/>
      <c r="BL64" s="316"/>
      <c r="BM64" s="316"/>
      <c r="BN64" s="316"/>
    </row>
    <row r="65">
      <c r="A65" s="303" t="s">
        <v>154</v>
      </c>
      <c r="B65" s="317" t="s">
        <v>154</v>
      </c>
      <c r="C65" s="325" t="s">
        <v>1339</v>
      </c>
      <c r="D65" s="341" t="s">
        <v>1340</v>
      </c>
      <c r="E65" s="335">
        <v>420000.0</v>
      </c>
      <c r="F65" s="346">
        <v>100000.0</v>
      </c>
      <c r="G65" s="341" t="s">
        <v>1340</v>
      </c>
      <c r="H65" s="335">
        <v>420000.0</v>
      </c>
      <c r="I65" s="352">
        <v>100000.0</v>
      </c>
      <c r="J65" s="341" t="s">
        <v>1340</v>
      </c>
      <c r="K65" s="335">
        <v>420000.0</v>
      </c>
      <c r="L65" s="346">
        <v>100000.0</v>
      </c>
      <c r="M65" s="341" t="s">
        <v>1340</v>
      </c>
      <c r="N65" s="335">
        <v>420000.0</v>
      </c>
      <c r="O65" s="346">
        <v>100000.0</v>
      </c>
      <c r="P65" s="353" t="s">
        <v>2076</v>
      </c>
      <c r="Q65" s="335">
        <v>420000.0</v>
      </c>
      <c r="R65" s="346">
        <v>100000.0</v>
      </c>
      <c r="S65" s="317"/>
      <c r="T65" s="321"/>
      <c r="U65" s="322"/>
      <c r="V65" s="326"/>
      <c r="W65" s="354"/>
      <c r="X65" s="322"/>
      <c r="Y65" s="317"/>
      <c r="Z65" s="321"/>
      <c r="AA65" s="322"/>
      <c r="AB65" s="317"/>
      <c r="AC65" s="321"/>
      <c r="AD65" s="322"/>
      <c r="AE65" s="326"/>
      <c r="AF65" s="321"/>
      <c r="AG65" s="322"/>
      <c r="AH65" s="317"/>
      <c r="AI65" s="321"/>
      <c r="AJ65" s="322"/>
      <c r="AK65" s="317"/>
      <c r="AL65" s="321"/>
      <c r="AM65" s="322"/>
      <c r="AN65" s="316" t="s">
        <v>63</v>
      </c>
      <c r="AO65" s="316"/>
      <c r="AP65" s="316"/>
      <c r="AQ65" s="316"/>
      <c r="AR65" s="316"/>
      <c r="AS65" s="316"/>
      <c r="AT65" s="316"/>
      <c r="AU65" s="316"/>
      <c r="AV65" s="316"/>
      <c r="AW65" s="316"/>
      <c r="AX65" s="316"/>
      <c r="AY65" s="316"/>
      <c r="AZ65" s="316"/>
      <c r="BA65" s="316"/>
      <c r="BB65" s="316"/>
      <c r="BC65" s="316"/>
      <c r="BD65" s="316"/>
      <c r="BE65" s="316"/>
      <c r="BF65" s="316"/>
      <c r="BG65" s="316"/>
      <c r="BH65" s="316"/>
      <c r="BI65" s="316"/>
      <c r="BJ65" s="316"/>
      <c r="BK65" s="316"/>
      <c r="BL65" s="316"/>
      <c r="BM65" s="316"/>
      <c r="BN65" s="316"/>
    </row>
    <row r="66">
      <c r="A66" s="303" t="s">
        <v>154</v>
      </c>
      <c r="B66" s="317" t="s">
        <v>154</v>
      </c>
      <c r="C66" s="325" t="s">
        <v>1343</v>
      </c>
      <c r="D66" s="334" t="s">
        <v>206</v>
      </c>
      <c r="E66" s="335">
        <v>410000.0</v>
      </c>
      <c r="F66" s="346">
        <v>100000.0</v>
      </c>
      <c r="G66" s="334" t="s">
        <v>206</v>
      </c>
      <c r="H66" s="335">
        <v>410000.0</v>
      </c>
      <c r="I66" s="352">
        <v>100000.0</v>
      </c>
      <c r="J66" s="334" t="s">
        <v>206</v>
      </c>
      <c r="K66" s="335">
        <v>410000.0</v>
      </c>
      <c r="L66" s="346">
        <v>100000.0</v>
      </c>
      <c r="M66" s="334" t="s">
        <v>206</v>
      </c>
      <c r="N66" s="335">
        <v>410000.0</v>
      </c>
      <c r="O66" s="346">
        <v>100000.0</v>
      </c>
      <c r="P66" s="347" t="s">
        <v>181</v>
      </c>
      <c r="Q66" s="335">
        <v>410000.0</v>
      </c>
      <c r="R66" s="346">
        <v>100000.0</v>
      </c>
      <c r="S66" s="317"/>
      <c r="T66" s="321"/>
      <c r="U66" s="322"/>
      <c r="V66" s="317"/>
      <c r="W66" s="321"/>
      <c r="X66" s="322"/>
      <c r="Y66" s="317"/>
      <c r="Z66" s="321"/>
      <c r="AA66" s="322"/>
      <c r="AB66" s="317"/>
      <c r="AC66" s="321"/>
      <c r="AD66" s="322"/>
      <c r="AE66" s="317"/>
      <c r="AF66" s="321"/>
      <c r="AG66" s="322"/>
      <c r="AH66" s="317"/>
      <c r="AI66" s="321"/>
      <c r="AJ66" s="322"/>
      <c r="AK66" s="317"/>
      <c r="AL66" s="321"/>
      <c r="AM66" s="322"/>
      <c r="AN66" s="316" t="s">
        <v>63</v>
      </c>
      <c r="AO66" s="316"/>
      <c r="AP66" s="316"/>
      <c r="AQ66" s="316"/>
      <c r="AR66" s="316"/>
      <c r="AS66" s="316"/>
      <c r="AT66" s="316"/>
      <c r="AU66" s="316"/>
      <c r="AV66" s="316"/>
      <c r="AW66" s="316"/>
      <c r="AX66" s="316"/>
      <c r="AY66" s="316"/>
      <c r="AZ66" s="316"/>
      <c r="BA66" s="316"/>
      <c r="BB66" s="316"/>
      <c r="BC66" s="316"/>
      <c r="BD66" s="316"/>
      <c r="BE66" s="316"/>
      <c r="BF66" s="316"/>
      <c r="BG66" s="316"/>
      <c r="BH66" s="316"/>
      <c r="BI66" s="316"/>
      <c r="BJ66" s="316"/>
      <c r="BK66" s="316"/>
      <c r="BL66" s="316"/>
      <c r="BM66" s="316"/>
      <c r="BN66" s="316"/>
    </row>
    <row r="67">
      <c r="A67" s="303" t="s">
        <v>154</v>
      </c>
      <c r="B67" s="304"/>
      <c r="C67" s="305" t="s">
        <v>42</v>
      </c>
      <c r="D67" s="320"/>
      <c r="E67" s="323">
        <f t="shared" ref="E67:F67" si="79">SUM(E57:E66)</f>
        <v>4800323</v>
      </c>
      <c r="F67" s="324">
        <f t="shared" si="79"/>
        <v>1000974</v>
      </c>
      <c r="G67" s="320"/>
      <c r="H67" s="323">
        <f t="shared" ref="H67:I67" si="80">SUM(H57:H66)</f>
        <v>4825000</v>
      </c>
      <c r="I67" s="323">
        <f t="shared" si="80"/>
        <v>1090714</v>
      </c>
      <c r="J67" s="320"/>
      <c r="K67" s="323">
        <f t="shared" ref="K67:L67" si="81">SUM(K57:K66)</f>
        <v>4552581</v>
      </c>
      <c r="L67" s="323">
        <f t="shared" si="81"/>
        <v>893871</v>
      </c>
      <c r="M67" s="320"/>
      <c r="N67" s="323">
        <f t="shared" ref="N67:O67" si="82">SUM(N57:N66)</f>
        <v>3620000</v>
      </c>
      <c r="O67" s="323">
        <f t="shared" si="82"/>
        <v>700000</v>
      </c>
      <c r="P67" s="320"/>
      <c r="Q67" s="323">
        <f t="shared" ref="Q67:R67" si="83">SUM(Q57:Q66)</f>
        <v>3620000</v>
      </c>
      <c r="R67" s="323">
        <f t="shared" si="83"/>
        <v>700000</v>
      </c>
      <c r="S67" s="320"/>
      <c r="T67" s="323">
        <f t="shared" ref="T67:U67" si="84">SUM(T57:T66)</f>
        <v>2790000</v>
      </c>
      <c r="U67" s="323">
        <f t="shared" si="84"/>
        <v>500000</v>
      </c>
      <c r="V67" s="320"/>
      <c r="W67" s="323">
        <f t="shared" ref="W67:X67" si="85">SUM(W57:W66)</f>
        <v>2399677</v>
      </c>
      <c r="X67" s="323">
        <f t="shared" si="85"/>
        <v>429032</v>
      </c>
      <c r="Y67" s="320"/>
      <c r="Z67" s="323">
        <f t="shared" ref="Z67:AA67" si="86">SUM(Z57:Z66)</f>
        <v>1020000</v>
      </c>
      <c r="AA67" s="323">
        <f t="shared" si="86"/>
        <v>200000</v>
      </c>
      <c r="AB67" s="320"/>
      <c r="AC67" s="323">
        <f t="shared" ref="AC67:AD67" si="87">SUM(AC57:AC66)</f>
        <v>1020000</v>
      </c>
      <c r="AD67" s="323">
        <f t="shared" si="87"/>
        <v>200000</v>
      </c>
      <c r="AE67" s="320"/>
      <c r="AF67" s="323">
        <f t="shared" ref="AF67:AG67" si="88">SUM(AF57:AF66)</f>
        <v>1020000</v>
      </c>
      <c r="AG67" s="323">
        <f t="shared" si="88"/>
        <v>200000</v>
      </c>
      <c r="AH67" s="320"/>
      <c r="AI67" s="323">
        <f t="shared" ref="AI67:AJ67" si="89">SUM(AI57:AI66)</f>
        <v>1020000</v>
      </c>
      <c r="AJ67" s="323">
        <f t="shared" si="89"/>
        <v>200000</v>
      </c>
      <c r="AK67" s="320"/>
      <c r="AL67" s="323">
        <f t="shared" ref="AL67:AM67" si="90">SUM(AL57:AL66)</f>
        <v>1020000</v>
      </c>
      <c r="AM67" s="322">
        <f t="shared" si="90"/>
        <v>200000</v>
      </c>
      <c r="AN67" s="316" t="s">
        <v>63</v>
      </c>
      <c r="AO67" s="316"/>
      <c r="AP67" s="316"/>
      <c r="AQ67" s="316"/>
      <c r="AR67" s="316"/>
      <c r="AS67" s="316"/>
      <c r="AT67" s="316"/>
      <c r="AU67" s="316"/>
      <c r="AV67" s="316"/>
      <c r="AW67" s="316"/>
      <c r="AX67" s="316"/>
      <c r="AY67" s="316"/>
      <c r="AZ67" s="316"/>
      <c r="BA67" s="316"/>
      <c r="BB67" s="316"/>
      <c r="BC67" s="316"/>
      <c r="BD67" s="316"/>
      <c r="BE67" s="316"/>
      <c r="BF67" s="316"/>
      <c r="BG67" s="316"/>
      <c r="BH67" s="316"/>
      <c r="BI67" s="316"/>
      <c r="BJ67" s="316"/>
      <c r="BK67" s="316"/>
      <c r="BL67" s="316"/>
      <c r="BM67" s="316"/>
      <c r="BN67" s="316"/>
    </row>
    <row r="68" collapsed="1">
      <c r="A68" s="303" t="s">
        <v>154</v>
      </c>
      <c r="B68" s="304"/>
      <c r="C68" s="325" t="s">
        <v>43</v>
      </c>
      <c r="D68" s="326"/>
      <c r="E68" s="321">
        <v>2800000.0</v>
      </c>
      <c r="F68" s="324"/>
      <c r="G68" s="326"/>
      <c r="H68" s="321">
        <v>2800000.0</v>
      </c>
      <c r="I68" s="324"/>
      <c r="J68" s="326"/>
      <c r="K68" s="321">
        <v>2800000.0</v>
      </c>
      <c r="L68" s="324"/>
      <c r="M68" s="326"/>
      <c r="N68" s="321">
        <v>2800000.0</v>
      </c>
      <c r="O68" s="324"/>
      <c r="P68" s="326"/>
      <c r="Q68" s="321">
        <v>2800000.0</v>
      </c>
      <c r="R68" s="324"/>
      <c r="S68" s="326"/>
      <c r="T68" s="321">
        <v>2800000.0</v>
      </c>
      <c r="U68" s="324"/>
      <c r="V68" s="326"/>
      <c r="W68" s="321">
        <v>2800000.0</v>
      </c>
      <c r="X68" s="324"/>
      <c r="Y68" s="326"/>
      <c r="Z68" s="321">
        <v>2800000.0</v>
      </c>
      <c r="AA68" s="324"/>
      <c r="AB68" s="326"/>
      <c r="AC68" s="321">
        <v>2800000.0</v>
      </c>
      <c r="AD68" s="324"/>
      <c r="AE68" s="326"/>
      <c r="AF68" s="321">
        <v>2800000.0</v>
      </c>
      <c r="AG68" s="324"/>
      <c r="AH68" s="326"/>
      <c r="AI68" s="321">
        <v>2800000.0</v>
      </c>
      <c r="AJ68" s="324"/>
      <c r="AK68" s="326"/>
      <c r="AL68" s="321">
        <v>2800000.0</v>
      </c>
      <c r="AM68" s="324"/>
      <c r="AN68" s="316" t="s">
        <v>63</v>
      </c>
      <c r="AO68" s="316"/>
      <c r="AP68" s="316"/>
      <c r="AQ68" s="316"/>
      <c r="AR68" s="316"/>
      <c r="AS68" s="316"/>
      <c r="AT68" s="316"/>
      <c r="AU68" s="316"/>
      <c r="AV68" s="316"/>
      <c r="AW68" s="316"/>
      <c r="AX68" s="316"/>
      <c r="AY68" s="316"/>
      <c r="AZ68" s="316"/>
      <c r="BA68" s="316"/>
      <c r="BB68" s="316"/>
      <c r="BC68" s="316"/>
      <c r="BD68" s="316"/>
      <c r="BE68" s="316"/>
      <c r="BF68" s="316"/>
      <c r="BG68" s="316"/>
      <c r="BH68" s="316"/>
      <c r="BI68" s="316"/>
      <c r="BJ68" s="316"/>
      <c r="BK68" s="316"/>
      <c r="BL68" s="316"/>
      <c r="BM68" s="316"/>
      <c r="BN68" s="316"/>
    </row>
    <row r="69" hidden="1" outlineLevel="1">
      <c r="A69" s="303" t="s">
        <v>154</v>
      </c>
      <c r="B69" s="317" t="s">
        <v>95</v>
      </c>
      <c r="C69" s="325" t="s">
        <v>2063</v>
      </c>
      <c r="D69" s="326"/>
      <c r="E69" s="321"/>
      <c r="F69" s="322">
        <v>130000.0</v>
      </c>
      <c r="G69" s="326"/>
      <c r="H69" s="321"/>
      <c r="I69" s="322">
        <v>130000.0</v>
      </c>
      <c r="J69" s="326"/>
      <c r="K69" s="321"/>
      <c r="L69" s="322">
        <v>130000.0</v>
      </c>
      <c r="M69" s="326"/>
      <c r="N69" s="321"/>
      <c r="O69" s="322">
        <v>130000.0</v>
      </c>
      <c r="P69" s="326"/>
      <c r="Q69" s="321"/>
      <c r="R69" s="322">
        <v>130000.0</v>
      </c>
      <c r="S69" s="326"/>
      <c r="T69" s="321"/>
      <c r="U69" s="322">
        <v>130000.0</v>
      </c>
      <c r="V69" s="326"/>
      <c r="W69" s="321"/>
      <c r="X69" s="322">
        <v>130000.0</v>
      </c>
      <c r="Y69" s="326"/>
      <c r="Z69" s="321"/>
      <c r="AA69" s="322">
        <v>130000.0</v>
      </c>
      <c r="AB69" s="326"/>
      <c r="AC69" s="321"/>
      <c r="AD69" s="322">
        <v>130000.0</v>
      </c>
      <c r="AE69" s="326"/>
      <c r="AF69" s="321"/>
      <c r="AG69" s="322">
        <v>130000.0</v>
      </c>
      <c r="AH69" s="326"/>
      <c r="AI69" s="321"/>
      <c r="AJ69" s="322">
        <v>130000.0</v>
      </c>
      <c r="AK69" s="326"/>
      <c r="AL69" s="321"/>
      <c r="AM69" s="322">
        <v>130000.0</v>
      </c>
      <c r="AN69" s="316" t="s">
        <v>63</v>
      </c>
      <c r="AO69" s="316"/>
      <c r="AP69" s="316"/>
      <c r="AQ69" s="316"/>
      <c r="AR69" s="316"/>
      <c r="AS69" s="316"/>
      <c r="AT69" s="316"/>
      <c r="AU69" s="316"/>
      <c r="AV69" s="316"/>
      <c r="AW69" s="316"/>
      <c r="AX69" s="316"/>
      <c r="AY69" s="316"/>
      <c r="AZ69" s="316"/>
      <c r="BA69" s="316"/>
      <c r="BB69" s="316"/>
      <c r="BC69" s="316"/>
      <c r="BD69" s="316"/>
      <c r="BE69" s="316"/>
      <c r="BF69" s="316"/>
      <c r="BG69" s="316"/>
      <c r="BH69" s="316"/>
      <c r="BI69" s="316"/>
      <c r="BJ69" s="316"/>
      <c r="BK69" s="316"/>
      <c r="BL69" s="316"/>
      <c r="BM69" s="316"/>
      <c r="BN69" s="316"/>
    </row>
    <row r="70" hidden="1" outlineLevel="1">
      <c r="A70" s="303" t="s">
        <v>154</v>
      </c>
      <c r="B70" s="317" t="s">
        <v>95</v>
      </c>
      <c r="C70" s="325" t="s">
        <v>47</v>
      </c>
      <c r="D70" s="326"/>
      <c r="E70" s="321"/>
      <c r="F70" s="322">
        <v>100580.0</v>
      </c>
      <c r="G70" s="326"/>
      <c r="H70" s="321"/>
      <c r="I70" s="322">
        <v>115010.0</v>
      </c>
      <c r="J70" s="326" t="s">
        <v>2039</v>
      </c>
      <c r="K70" s="321"/>
      <c r="L70" s="322">
        <v>120000.0</v>
      </c>
      <c r="M70" s="326"/>
      <c r="N70" s="321"/>
      <c r="O70" s="322"/>
      <c r="P70" s="326"/>
      <c r="Q70" s="321"/>
      <c r="R70" s="322"/>
      <c r="S70" s="326"/>
      <c r="T70" s="321"/>
      <c r="U70" s="322"/>
      <c r="V70" s="326"/>
      <c r="W70" s="321"/>
      <c r="X70" s="322"/>
      <c r="Y70" s="326"/>
      <c r="Z70" s="321"/>
      <c r="AA70" s="322"/>
      <c r="AB70" s="326"/>
      <c r="AC70" s="321"/>
      <c r="AD70" s="322"/>
      <c r="AE70" s="326"/>
      <c r="AF70" s="321"/>
      <c r="AG70" s="322"/>
      <c r="AH70" s="326"/>
      <c r="AI70" s="321"/>
      <c r="AJ70" s="322"/>
      <c r="AK70" s="326"/>
      <c r="AL70" s="321"/>
      <c r="AM70" s="322"/>
      <c r="AN70" s="316" t="s">
        <v>63</v>
      </c>
      <c r="AO70" s="316"/>
      <c r="AP70" s="316"/>
      <c r="AQ70" s="316"/>
      <c r="AR70" s="316"/>
      <c r="AS70" s="316"/>
      <c r="AT70" s="316"/>
      <c r="AU70" s="316"/>
      <c r="AV70" s="316"/>
      <c r="AW70" s="316"/>
      <c r="AX70" s="316"/>
      <c r="AY70" s="316"/>
      <c r="AZ70" s="316"/>
      <c r="BA70" s="316"/>
      <c r="BB70" s="316"/>
      <c r="BC70" s="316"/>
      <c r="BD70" s="316"/>
      <c r="BE70" s="316"/>
      <c r="BF70" s="316"/>
      <c r="BG70" s="316"/>
      <c r="BH70" s="316"/>
      <c r="BI70" s="316"/>
      <c r="BJ70" s="316"/>
      <c r="BK70" s="316"/>
      <c r="BL70" s="316"/>
      <c r="BM70" s="316"/>
      <c r="BN70" s="316"/>
    </row>
    <row r="71" hidden="1" outlineLevel="1">
      <c r="A71" s="303" t="s">
        <v>154</v>
      </c>
      <c r="B71" s="317" t="s">
        <v>95</v>
      </c>
      <c r="C71" s="325" t="s">
        <v>49</v>
      </c>
      <c r="D71" s="326"/>
      <c r="E71" s="321"/>
      <c r="F71" s="322">
        <v>704940.0</v>
      </c>
      <c r="G71" s="326"/>
      <c r="H71" s="321"/>
      <c r="I71" s="322">
        <v>916290.0</v>
      </c>
      <c r="J71" s="326" t="s">
        <v>2039</v>
      </c>
      <c r="K71" s="321"/>
      <c r="L71" s="322">
        <v>900000.0</v>
      </c>
      <c r="M71" s="326"/>
      <c r="N71" s="321"/>
      <c r="O71" s="322"/>
      <c r="P71" s="326"/>
      <c r="Q71" s="321"/>
      <c r="R71" s="322"/>
      <c r="S71" s="326"/>
      <c r="T71" s="321"/>
      <c r="U71" s="322"/>
      <c r="V71" s="326"/>
      <c r="W71" s="321"/>
      <c r="X71" s="322"/>
      <c r="Y71" s="326"/>
      <c r="Z71" s="321"/>
      <c r="AA71" s="322"/>
      <c r="AB71" s="326"/>
      <c r="AC71" s="321"/>
      <c r="AD71" s="322"/>
      <c r="AE71" s="326"/>
      <c r="AF71" s="321"/>
      <c r="AG71" s="322"/>
      <c r="AH71" s="326"/>
      <c r="AI71" s="321"/>
      <c r="AJ71" s="322"/>
      <c r="AK71" s="326"/>
      <c r="AL71" s="321"/>
      <c r="AM71" s="322"/>
      <c r="AN71" s="316" t="s">
        <v>63</v>
      </c>
      <c r="AO71" s="316"/>
      <c r="AP71" s="316"/>
      <c r="AQ71" s="316"/>
      <c r="AR71" s="316"/>
      <c r="AS71" s="316"/>
      <c r="AT71" s="316"/>
      <c r="AU71" s="316"/>
      <c r="AV71" s="316"/>
      <c r="AW71" s="316"/>
      <c r="AX71" s="316"/>
      <c r="AY71" s="316"/>
      <c r="AZ71" s="316"/>
      <c r="BA71" s="316"/>
      <c r="BB71" s="316"/>
      <c r="BC71" s="316"/>
      <c r="BD71" s="316"/>
      <c r="BE71" s="316"/>
      <c r="BF71" s="316"/>
      <c r="BG71" s="316"/>
      <c r="BH71" s="316"/>
      <c r="BI71" s="316"/>
      <c r="BJ71" s="316"/>
      <c r="BK71" s="316"/>
      <c r="BL71" s="316"/>
      <c r="BM71" s="316"/>
      <c r="BN71" s="316"/>
    </row>
    <row r="72" hidden="1" outlineLevel="1">
      <c r="A72" s="303" t="s">
        <v>154</v>
      </c>
      <c r="B72" s="317" t="s">
        <v>95</v>
      </c>
      <c r="C72" s="325" t="s">
        <v>51</v>
      </c>
      <c r="D72" s="326"/>
      <c r="E72" s="321"/>
      <c r="F72" s="322" t="s">
        <v>627</v>
      </c>
      <c r="G72" s="326"/>
      <c r="H72" s="321"/>
      <c r="I72" s="322" t="s">
        <v>627</v>
      </c>
      <c r="J72" s="326"/>
      <c r="K72" s="321"/>
      <c r="L72" s="322" t="s">
        <v>627</v>
      </c>
      <c r="M72" s="326"/>
      <c r="N72" s="321"/>
      <c r="O72" s="322" t="s">
        <v>627</v>
      </c>
      <c r="P72" s="326"/>
      <c r="Q72" s="321"/>
      <c r="R72" s="322"/>
      <c r="S72" s="326"/>
      <c r="T72" s="321"/>
      <c r="U72" s="322"/>
      <c r="V72" s="326"/>
      <c r="W72" s="321"/>
      <c r="X72" s="322"/>
      <c r="Y72" s="326"/>
      <c r="Z72" s="321"/>
      <c r="AA72" s="322"/>
      <c r="AB72" s="326"/>
      <c r="AC72" s="321"/>
      <c r="AD72" s="322"/>
      <c r="AE72" s="326"/>
      <c r="AF72" s="321"/>
      <c r="AG72" s="322"/>
      <c r="AH72" s="326"/>
      <c r="AI72" s="321"/>
      <c r="AJ72" s="322"/>
      <c r="AK72" s="326"/>
      <c r="AL72" s="321"/>
      <c r="AM72" s="322"/>
      <c r="AN72" s="316" t="s">
        <v>63</v>
      </c>
      <c r="AO72" s="316"/>
      <c r="AP72" s="316"/>
      <c r="AQ72" s="316"/>
      <c r="AR72" s="316"/>
      <c r="AS72" s="316"/>
      <c r="AT72" s="316"/>
      <c r="AU72" s="316"/>
      <c r="AV72" s="316"/>
      <c r="AW72" s="316"/>
      <c r="AX72" s="316"/>
      <c r="AY72" s="316"/>
      <c r="AZ72" s="316"/>
      <c r="BA72" s="316"/>
      <c r="BB72" s="316"/>
      <c r="BC72" s="316"/>
      <c r="BD72" s="316"/>
      <c r="BE72" s="316"/>
      <c r="BF72" s="316"/>
      <c r="BG72" s="316"/>
      <c r="BH72" s="316"/>
      <c r="BI72" s="316"/>
      <c r="BJ72" s="316"/>
      <c r="BK72" s="316"/>
      <c r="BL72" s="316"/>
      <c r="BM72" s="316"/>
      <c r="BN72" s="316"/>
    </row>
    <row r="73" hidden="1" outlineLevel="1">
      <c r="A73" s="303" t="s">
        <v>154</v>
      </c>
      <c r="B73" s="317" t="s">
        <v>95</v>
      </c>
      <c r="C73" s="325" t="s">
        <v>52</v>
      </c>
      <c r="D73" s="326"/>
      <c r="E73" s="321"/>
      <c r="F73" s="322">
        <v>22000.0</v>
      </c>
      <c r="G73" s="326"/>
      <c r="H73" s="321"/>
      <c r="I73" s="322">
        <v>22000.0</v>
      </c>
      <c r="J73" s="326"/>
      <c r="K73" s="321"/>
      <c r="L73" s="322">
        <v>22000.0</v>
      </c>
      <c r="M73" s="326"/>
      <c r="N73" s="321"/>
      <c r="O73" s="322">
        <v>22000.0</v>
      </c>
      <c r="P73" s="326"/>
      <c r="Q73" s="321"/>
      <c r="R73" s="322">
        <v>22000.0</v>
      </c>
      <c r="S73" s="326"/>
      <c r="T73" s="321"/>
      <c r="U73" s="322">
        <v>22000.0</v>
      </c>
      <c r="V73" s="326"/>
      <c r="W73" s="321"/>
      <c r="X73" s="322">
        <v>22000.0</v>
      </c>
      <c r="Y73" s="326"/>
      <c r="Z73" s="321"/>
      <c r="AA73" s="322">
        <v>22000.0</v>
      </c>
      <c r="AB73" s="326"/>
      <c r="AC73" s="321"/>
      <c r="AD73" s="322">
        <v>22000.0</v>
      </c>
      <c r="AE73" s="326"/>
      <c r="AF73" s="321"/>
      <c r="AG73" s="322">
        <v>22000.0</v>
      </c>
      <c r="AH73" s="326"/>
      <c r="AI73" s="321"/>
      <c r="AJ73" s="322">
        <v>22000.0</v>
      </c>
      <c r="AK73" s="326"/>
      <c r="AL73" s="321"/>
      <c r="AM73" s="322">
        <v>22000.0</v>
      </c>
      <c r="AN73" s="316" t="s">
        <v>63</v>
      </c>
      <c r="AO73" s="316"/>
      <c r="AP73" s="316"/>
      <c r="AQ73" s="316"/>
      <c r="AR73" s="316"/>
      <c r="AS73" s="316"/>
      <c r="AT73" s="316"/>
      <c r="AU73" s="316"/>
      <c r="AV73" s="316"/>
      <c r="AW73" s="316"/>
      <c r="AX73" s="316"/>
      <c r="AY73" s="316"/>
      <c r="AZ73" s="316"/>
      <c r="BA73" s="316"/>
      <c r="BB73" s="316"/>
      <c r="BC73" s="316"/>
      <c r="BD73" s="316"/>
      <c r="BE73" s="316"/>
      <c r="BF73" s="316"/>
      <c r="BG73" s="316"/>
      <c r="BH73" s="316"/>
      <c r="BI73" s="316"/>
      <c r="BJ73" s="316"/>
      <c r="BK73" s="316"/>
      <c r="BL73" s="316"/>
      <c r="BM73" s="316"/>
      <c r="BN73" s="316"/>
    </row>
    <row r="74" hidden="1" outlineLevel="1">
      <c r="A74" s="303" t="s">
        <v>154</v>
      </c>
      <c r="B74" s="317" t="s">
        <v>95</v>
      </c>
      <c r="C74" s="325" t="s">
        <v>53</v>
      </c>
      <c r="D74" s="326"/>
      <c r="E74" s="321"/>
      <c r="F74" s="322">
        <v>19900.0</v>
      </c>
      <c r="G74" s="326"/>
      <c r="H74" s="321"/>
      <c r="I74" s="322">
        <v>19900.0</v>
      </c>
      <c r="J74" s="326"/>
      <c r="K74" s="321"/>
      <c r="L74" s="322">
        <v>19900.0</v>
      </c>
      <c r="M74" s="326"/>
      <c r="N74" s="321"/>
      <c r="O74" s="322">
        <v>19900.0</v>
      </c>
      <c r="P74" s="326"/>
      <c r="Q74" s="321"/>
      <c r="R74" s="322">
        <v>19900.0</v>
      </c>
      <c r="S74" s="326"/>
      <c r="T74" s="321"/>
      <c r="U74" s="322">
        <v>19900.0</v>
      </c>
      <c r="V74" s="326"/>
      <c r="W74" s="321"/>
      <c r="X74" s="322">
        <v>19900.0</v>
      </c>
      <c r="Y74" s="326"/>
      <c r="Z74" s="321"/>
      <c r="AA74" s="322">
        <v>19900.0</v>
      </c>
      <c r="AB74" s="326"/>
      <c r="AC74" s="321"/>
      <c r="AD74" s="322">
        <v>19900.0</v>
      </c>
      <c r="AE74" s="326"/>
      <c r="AF74" s="321"/>
      <c r="AG74" s="322">
        <v>19900.0</v>
      </c>
      <c r="AH74" s="326"/>
      <c r="AI74" s="321"/>
      <c r="AJ74" s="322">
        <v>19900.0</v>
      </c>
      <c r="AK74" s="326"/>
      <c r="AL74" s="321"/>
      <c r="AM74" s="322">
        <v>19900.0</v>
      </c>
      <c r="AN74" s="316" t="s">
        <v>63</v>
      </c>
      <c r="AO74" s="316"/>
      <c r="AP74" s="316"/>
      <c r="AQ74" s="316"/>
      <c r="AR74" s="316"/>
      <c r="AS74" s="316"/>
      <c r="AT74" s="316"/>
      <c r="AU74" s="316"/>
      <c r="AV74" s="316"/>
      <c r="AW74" s="316"/>
      <c r="AX74" s="316"/>
      <c r="AY74" s="316"/>
      <c r="AZ74" s="316"/>
      <c r="BA74" s="316"/>
      <c r="BB74" s="316"/>
      <c r="BC74" s="316"/>
      <c r="BD74" s="316"/>
      <c r="BE74" s="316"/>
      <c r="BF74" s="316"/>
      <c r="BG74" s="316"/>
      <c r="BH74" s="316"/>
      <c r="BI74" s="316"/>
      <c r="BJ74" s="316"/>
      <c r="BK74" s="316"/>
      <c r="BL74" s="316"/>
      <c r="BM74" s="316"/>
      <c r="BN74" s="316"/>
    </row>
    <row r="75" hidden="1" outlineLevel="1">
      <c r="A75" s="303" t="s">
        <v>154</v>
      </c>
      <c r="B75" s="304"/>
      <c r="C75" s="325" t="s">
        <v>54</v>
      </c>
      <c r="D75" s="327"/>
      <c r="E75" s="321"/>
      <c r="F75" s="322">
        <f>SUMIFS('지출'!$G$3:$G794,'지출'!$J$3:$J794,F$1,'지출'!$C$3:$C794,"반포")</f>
        <v>270020</v>
      </c>
      <c r="G75" s="327"/>
      <c r="H75" s="321"/>
      <c r="I75" s="322">
        <f>SUMIFS('지출'!$G$3:$G794,'지출'!$J$3:$J794,I$1,'지출'!$C$3:$C794,"반포")</f>
        <v>221090</v>
      </c>
      <c r="J75" s="327"/>
      <c r="K75" s="321"/>
      <c r="L75" s="322">
        <f>SUMIFS('지출'!$G$3:$G794,'지출'!$J$3:$J794,L$1,'지출'!$C$3:$C794,"반포")</f>
        <v>219070</v>
      </c>
      <c r="M75" s="327"/>
      <c r="N75" s="321"/>
      <c r="O75" s="322">
        <f>SUMIFS('지출'!$G$3:$G794,'지출'!$J$3:$J794,O$1,'지출'!$C$3:$C794,"반포")</f>
        <v>0</v>
      </c>
      <c r="P75" s="327"/>
      <c r="Q75" s="321"/>
      <c r="R75" s="322">
        <f>SUMIFS('지출'!$G$3:$G794,'지출'!$J$3:$J794,R$1,'지출'!$C$3:$C794,"반포")</f>
        <v>0</v>
      </c>
      <c r="S75" s="327"/>
      <c r="T75" s="321"/>
      <c r="U75" s="322">
        <f>SUMIFS('지출'!$G$3:$G794,'지출'!$J$3:$J794,U$1,'지출'!$C$3:$C794,"반포")</f>
        <v>0</v>
      </c>
      <c r="V75" s="327"/>
      <c r="W75" s="321"/>
      <c r="X75" s="322">
        <f>SUMIFS('지출'!$G$3:$G794,'지출'!$J$3:$J794,X$1,'지출'!$C$3:$C794,"반포")</f>
        <v>0</v>
      </c>
      <c r="Y75" s="327"/>
      <c r="Z75" s="321"/>
      <c r="AA75" s="322">
        <f>SUMIFS('지출'!$G$3:$G794,'지출'!$J$3:$J794,AA$1,'지출'!$C$3:$C794,"반포")</f>
        <v>0</v>
      </c>
      <c r="AB75" s="327"/>
      <c r="AC75" s="321"/>
      <c r="AD75" s="322">
        <f>SUMIFS('지출'!$G$3:$G794,'지출'!$J$3:$J794,AD$1,'지출'!$C$3:$C794,"반포")</f>
        <v>0</v>
      </c>
      <c r="AE75" s="327"/>
      <c r="AF75" s="321"/>
      <c r="AG75" s="322">
        <f>SUMIFS('지출'!$G$3:$G794,'지출'!$J$3:$J794,AG$1,'지출'!$C$3:$C794,"반포")</f>
        <v>0</v>
      </c>
      <c r="AH75" s="327"/>
      <c r="AI75" s="321"/>
      <c r="AJ75" s="322">
        <f>SUMIFS('지출'!$G$3:$G794,'지출'!$J$3:$J794,AJ$1,'지출'!$C$3:$C794,"반포")</f>
        <v>0</v>
      </c>
      <c r="AK75" s="327"/>
      <c r="AL75" s="321"/>
      <c r="AM75" s="322">
        <f>SUMIFS('지출'!$G$3:$G794,'지출'!$J$3:$J794,AM$1,'지출'!$C$3:$C794,"반포")</f>
        <v>0</v>
      </c>
      <c r="AN75" s="316" t="s">
        <v>63</v>
      </c>
      <c r="AO75" s="316"/>
      <c r="AP75" s="316"/>
      <c r="AQ75" s="316"/>
      <c r="AR75" s="316"/>
      <c r="AS75" s="316"/>
      <c r="AT75" s="316"/>
      <c r="AU75" s="316"/>
      <c r="AV75" s="316"/>
      <c r="AW75" s="316"/>
      <c r="AX75" s="316"/>
      <c r="AY75" s="316"/>
      <c r="AZ75" s="316"/>
      <c r="BA75" s="316"/>
      <c r="BB75" s="316"/>
      <c r="BC75" s="316"/>
      <c r="BD75" s="316"/>
      <c r="BE75" s="316"/>
      <c r="BF75" s="316"/>
      <c r="BG75" s="316"/>
      <c r="BH75" s="316"/>
      <c r="BI75" s="316"/>
      <c r="BJ75" s="316"/>
      <c r="BK75" s="316"/>
      <c r="BL75" s="316"/>
      <c r="BM75" s="316"/>
      <c r="BN75" s="316"/>
    </row>
    <row r="76" hidden="1" outlineLevel="1">
      <c r="A76" s="303" t="s">
        <v>154</v>
      </c>
      <c r="B76" s="304"/>
      <c r="C76" s="325" t="s">
        <v>56</v>
      </c>
      <c r="D76" s="320"/>
      <c r="E76" s="323">
        <f t="shared" ref="E76:F76" si="91">E67-(SUM(E68:E75))</f>
        <v>2000323</v>
      </c>
      <c r="F76" s="324">
        <f t="shared" si="91"/>
        <v>-246466</v>
      </c>
      <c r="G76" s="320"/>
      <c r="H76" s="323">
        <f t="shared" ref="H76:I76" si="92">H67-(SUM(H68:H75))</f>
        <v>2025000</v>
      </c>
      <c r="I76" s="324">
        <f t="shared" si="92"/>
        <v>-333576</v>
      </c>
      <c r="J76" s="320"/>
      <c r="K76" s="323">
        <f t="shared" ref="K76:L76" si="93">K67-(SUM(K68:K75))</f>
        <v>1752581</v>
      </c>
      <c r="L76" s="324">
        <f t="shared" si="93"/>
        <v>-517099</v>
      </c>
      <c r="M76" s="320"/>
      <c r="N76" s="323">
        <f t="shared" ref="N76:O76" si="94">N67-(SUM(N68:N75))</f>
        <v>820000</v>
      </c>
      <c r="O76" s="324">
        <f t="shared" si="94"/>
        <v>528100</v>
      </c>
      <c r="P76" s="320"/>
      <c r="Q76" s="323">
        <f t="shared" ref="Q76:R76" si="95">Q67-(SUM(Q68:Q75))</f>
        <v>820000</v>
      </c>
      <c r="R76" s="324">
        <f t="shared" si="95"/>
        <v>528100</v>
      </c>
      <c r="S76" s="320"/>
      <c r="T76" s="323">
        <f t="shared" ref="T76:U76" si="96">T67-(SUM(T68:T75))</f>
        <v>-10000</v>
      </c>
      <c r="U76" s="324">
        <f t="shared" si="96"/>
        <v>328100</v>
      </c>
      <c r="V76" s="320"/>
      <c r="W76" s="323">
        <f t="shared" ref="W76:X76" si="97">W67-(SUM(W68:W75))</f>
        <v>-400323</v>
      </c>
      <c r="X76" s="324">
        <f t="shared" si="97"/>
        <v>257132</v>
      </c>
      <c r="Y76" s="320"/>
      <c r="Z76" s="323">
        <f t="shared" ref="Z76:AA76" si="98">Z67-(SUM(Z68:Z75))</f>
        <v>-1780000</v>
      </c>
      <c r="AA76" s="324">
        <f t="shared" si="98"/>
        <v>28100</v>
      </c>
      <c r="AB76" s="320"/>
      <c r="AC76" s="323">
        <f t="shared" ref="AC76:AD76" si="99">AC67-(SUM(AC68:AC75))</f>
        <v>-1780000</v>
      </c>
      <c r="AD76" s="324">
        <f t="shared" si="99"/>
        <v>28100</v>
      </c>
      <c r="AE76" s="320"/>
      <c r="AF76" s="323">
        <f t="shared" ref="AF76:AG76" si="100">AF67-(SUM(AF68:AF75))</f>
        <v>-1780000</v>
      </c>
      <c r="AG76" s="324">
        <f t="shared" si="100"/>
        <v>28100</v>
      </c>
      <c r="AH76" s="320"/>
      <c r="AI76" s="323">
        <f t="shared" ref="AI76:AJ76" si="101">AI67-(SUM(AI68:AI75))</f>
        <v>-1780000</v>
      </c>
      <c r="AJ76" s="324">
        <f t="shared" si="101"/>
        <v>28100</v>
      </c>
      <c r="AK76" s="320"/>
      <c r="AL76" s="323">
        <f t="shared" ref="AL76:AM76" si="102">AL67-(SUM(AL68:AL75))</f>
        <v>-1780000</v>
      </c>
      <c r="AM76" s="324">
        <f t="shared" si="102"/>
        <v>28100</v>
      </c>
      <c r="AN76" s="316" t="s">
        <v>63</v>
      </c>
      <c r="AO76" s="316"/>
      <c r="AP76" s="316"/>
      <c r="AQ76" s="316"/>
      <c r="AR76" s="316"/>
      <c r="AS76" s="316"/>
      <c r="AT76" s="316"/>
      <c r="AU76" s="316"/>
      <c r="AV76" s="316"/>
      <c r="AW76" s="316"/>
      <c r="AX76" s="316"/>
      <c r="AY76" s="316"/>
      <c r="AZ76" s="316"/>
      <c r="BA76" s="316"/>
      <c r="BB76" s="316"/>
      <c r="BC76" s="316"/>
      <c r="BD76" s="316"/>
      <c r="BE76" s="316"/>
      <c r="BF76" s="316"/>
      <c r="BG76" s="316"/>
      <c r="BH76" s="316"/>
      <c r="BI76" s="316"/>
      <c r="BJ76" s="316"/>
      <c r="BK76" s="316"/>
      <c r="BL76" s="316"/>
      <c r="BM76" s="316"/>
      <c r="BN76" s="316"/>
    </row>
    <row r="77">
      <c r="A77" s="303" t="s">
        <v>154</v>
      </c>
      <c r="B77" s="328">
        <v>0.7</v>
      </c>
      <c r="C77" s="325" t="s">
        <v>26</v>
      </c>
      <c r="D77" s="320"/>
      <c r="E77" s="323">
        <f>E76*$B77</f>
        <v>1400226.1</v>
      </c>
      <c r="F77" s="324"/>
      <c r="G77" s="320"/>
      <c r="H77" s="323">
        <f>H76*$B77</f>
        <v>1417500</v>
      </c>
      <c r="I77" s="324"/>
      <c r="J77" s="320"/>
      <c r="K77" s="323">
        <f>K76*$B77</f>
        <v>1226806.7</v>
      </c>
      <c r="L77" s="324"/>
      <c r="M77" s="320"/>
      <c r="N77" s="323">
        <f>N76*$B77</f>
        <v>574000</v>
      </c>
      <c r="O77" s="324"/>
      <c r="P77" s="320"/>
      <c r="Q77" s="323">
        <f>Q76*$B77</f>
        <v>574000</v>
      </c>
      <c r="R77" s="324"/>
      <c r="S77" s="320"/>
      <c r="T77" s="323">
        <f>T76*$B77</f>
        <v>-7000</v>
      </c>
      <c r="U77" s="324"/>
      <c r="V77" s="320"/>
      <c r="W77" s="323">
        <f>W76*$B77</f>
        <v>-280226.1</v>
      </c>
      <c r="X77" s="324"/>
      <c r="Y77" s="320"/>
      <c r="Z77" s="323">
        <f>Z76*$B77</f>
        <v>-1246000</v>
      </c>
      <c r="AA77" s="324"/>
      <c r="AB77" s="320"/>
      <c r="AC77" s="323">
        <f>AC76*$B77</f>
        <v>-1246000</v>
      </c>
      <c r="AD77" s="324"/>
      <c r="AE77" s="320"/>
      <c r="AF77" s="323">
        <f>AF76*$B77</f>
        <v>-1246000</v>
      </c>
      <c r="AG77" s="324"/>
      <c r="AH77" s="320"/>
      <c r="AI77" s="323">
        <f>AI76*$B77</f>
        <v>-1246000</v>
      </c>
      <c r="AJ77" s="324"/>
      <c r="AK77" s="320"/>
      <c r="AL77" s="323">
        <f>AL76*$B77</f>
        <v>-1246000</v>
      </c>
      <c r="AM77" s="324"/>
      <c r="AN77" s="316" t="s">
        <v>63</v>
      </c>
      <c r="AO77" s="316"/>
      <c r="AP77" s="316"/>
      <c r="AQ77" s="316"/>
      <c r="AR77" s="316"/>
      <c r="AS77" s="316"/>
      <c r="AT77" s="316"/>
      <c r="AU77" s="316"/>
      <c r="AV77" s="316"/>
      <c r="AW77" s="316"/>
      <c r="AX77" s="316"/>
      <c r="AY77" s="316"/>
      <c r="AZ77" s="316"/>
      <c r="BA77" s="316"/>
      <c r="BB77" s="316"/>
      <c r="BC77" s="316"/>
      <c r="BD77" s="316"/>
      <c r="BE77" s="316"/>
      <c r="BF77" s="316"/>
      <c r="BG77" s="316"/>
      <c r="BH77" s="316"/>
      <c r="BI77" s="316"/>
      <c r="BJ77" s="316"/>
      <c r="BK77" s="316"/>
      <c r="BL77" s="316"/>
      <c r="BM77" s="316"/>
      <c r="BN77" s="316"/>
    </row>
    <row r="78">
      <c r="A78" s="303" t="s">
        <v>154</v>
      </c>
      <c r="B78" s="329">
        <v>0.3</v>
      </c>
      <c r="C78" s="330" t="s">
        <v>57</v>
      </c>
      <c r="D78" s="331"/>
      <c r="E78" s="332">
        <f>E76*$B78</f>
        <v>600096.9</v>
      </c>
      <c r="F78" s="333"/>
      <c r="G78" s="331"/>
      <c r="H78" s="332">
        <f>H76*$B78</f>
        <v>607500</v>
      </c>
      <c r="I78" s="333"/>
      <c r="J78" s="331"/>
      <c r="K78" s="332">
        <f>K76*$B78</f>
        <v>525774.3</v>
      </c>
      <c r="L78" s="333"/>
      <c r="M78" s="331"/>
      <c r="N78" s="332">
        <f>N76*$B78</f>
        <v>246000</v>
      </c>
      <c r="O78" s="333"/>
      <c r="P78" s="331"/>
      <c r="Q78" s="332">
        <f>Q76*$B78</f>
        <v>246000</v>
      </c>
      <c r="R78" s="333"/>
      <c r="S78" s="331"/>
      <c r="T78" s="332">
        <f>T76*$B78</f>
        <v>-3000</v>
      </c>
      <c r="U78" s="333"/>
      <c r="V78" s="331"/>
      <c r="W78" s="332">
        <f>W76*$B78</f>
        <v>-120096.9</v>
      </c>
      <c r="X78" s="333"/>
      <c r="Y78" s="331"/>
      <c r="Z78" s="332">
        <f>Z76*$B78</f>
        <v>-534000</v>
      </c>
      <c r="AA78" s="333"/>
      <c r="AB78" s="331"/>
      <c r="AC78" s="332">
        <f>AC76*$B78</f>
        <v>-534000</v>
      </c>
      <c r="AD78" s="333"/>
      <c r="AE78" s="331"/>
      <c r="AF78" s="332">
        <f>AF76*$B78</f>
        <v>-534000</v>
      </c>
      <c r="AG78" s="333"/>
      <c r="AH78" s="331"/>
      <c r="AI78" s="332">
        <f>AI76*$B78</f>
        <v>-534000</v>
      </c>
      <c r="AJ78" s="333"/>
      <c r="AK78" s="331"/>
      <c r="AL78" s="332">
        <f>AL76*$B78</f>
        <v>-534000</v>
      </c>
      <c r="AM78" s="333"/>
      <c r="AN78" s="316" t="s">
        <v>63</v>
      </c>
      <c r="AO78" s="316"/>
      <c r="AP78" s="316"/>
      <c r="AQ78" s="316"/>
      <c r="AR78" s="316"/>
      <c r="AS78" s="316"/>
      <c r="AT78" s="316"/>
      <c r="AU78" s="316"/>
      <c r="AV78" s="316"/>
      <c r="AW78" s="316"/>
      <c r="AX78" s="316"/>
      <c r="AY78" s="316"/>
      <c r="AZ78" s="316"/>
      <c r="BA78" s="316"/>
      <c r="BB78" s="316"/>
      <c r="BC78" s="316"/>
      <c r="BD78" s="316"/>
      <c r="BE78" s="316"/>
      <c r="BF78" s="316"/>
      <c r="BG78" s="316"/>
      <c r="BH78" s="316"/>
      <c r="BI78" s="316"/>
      <c r="BJ78" s="316"/>
      <c r="BK78" s="316"/>
      <c r="BL78" s="316"/>
      <c r="BM78" s="316"/>
      <c r="BN78" s="316"/>
    </row>
    <row r="79">
      <c r="A79" s="303" t="s">
        <v>210</v>
      </c>
      <c r="B79" s="317" t="s">
        <v>210</v>
      </c>
      <c r="C79" s="325" t="s">
        <v>211</v>
      </c>
      <c r="D79" s="347" t="s">
        <v>2077</v>
      </c>
      <c r="E79" s="335">
        <v>650000.0</v>
      </c>
      <c r="F79" s="346">
        <v>100000.0</v>
      </c>
      <c r="G79" s="317" t="s">
        <v>2078</v>
      </c>
      <c r="H79" s="355">
        <v>21429.0</v>
      </c>
      <c r="I79" s="322">
        <v>3571.0</v>
      </c>
      <c r="J79" s="317" t="s">
        <v>1346</v>
      </c>
      <c r="K79" s="321">
        <v>600000.0</v>
      </c>
      <c r="L79" s="346">
        <v>100000.0</v>
      </c>
      <c r="M79" s="317" t="s">
        <v>1346</v>
      </c>
      <c r="N79" s="321">
        <v>600000.0</v>
      </c>
      <c r="O79" s="346">
        <v>100000.0</v>
      </c>
      <c r="P79" s="317" t="s">
        <v>1346</v>
      </c>
      <c r="Q79" s="321">
        <v>600000.0</v>
      </c>
      <c r="R79" s="346">
        <v>100000.0</v>
      </c>
      <c r="S79" s="317" t="s">
        <v>1346</v>
      </c>
      <c r="T79" s="321">
        <v>600000.0</v>
      </c>
      <c r="U79" s="346">
        <v>100000.0</v>
      </c>
      <c r="V79" s="317" t="s">
        <v>1346</v>
      </c>
      <c r="W79" s="321">
        <v>600000.0</v>
      </c>
      <c r="X79" s="346">
        <v>100000.0</v>
      </c>
      <c r="Y79" s="317" t="s">
        <v>1346</v>
      </c>
      <c r="Z79" s="321">
        <v>600000.0</v>
      </c>
      <c r="AA79" s="346">
        <v>100000.0</v>
      </c>
      <c r="AB79" s="317" t="s">
        <v>1346</v>
      </c>
      <c r="AC79" s="321">
        <v>600000.0</v>
      </c>
      <c r="AD79" s="346">
        <v>100000.0</v>
      </c>
      <c r="AE79" s="317" t="s">
        <v>1346</v>
      </c>
      <c r="AF79" s="321">
        <v>600000.0</v>
      </c>
      <c r="AG79" s="346">
        <v>100000.0</v>
      </c>
      <c r="AH79" s="317" t="s">
        <v>1346</v>
      </c>
      <c r="AI79" s="321">
        <v>600000.0</v>
      </c>
      <c r="AJ79" s="346">
        <v>100000.0</v>
      </c>
      <c r="AK79" s="317" t="s">
        <v>1346</v>
      </c>
      <c r="AL79" s="321">
        <v>600000.0</v>
      </c>
      <c r="AM79" s="346">
        <v>100000.0</v>
      </c>
      <c r="AN79" s="316" t="s">
        <v>216</v>
      </c>
      <c r="AO79" s="316"/>
      <c r="AP79" s="316"/>
      <c r="AQ79" s="316"/>
      <c r="AR79" s="316"/>
      <c r="AS79" s="316"/>
      <c r="AT79" s="316"/>
      <c r="AU79" s="316"/>
      <c r="AV79" s="316"/>
      <c r="AW79" s="316"/>
      <c r="AX79" s="316"/>
      <c r="AY79" s="316"/>
      <c r="AZ79" s="316"/>
      <c r="BA79" s="316"/>
      <c r="BB79" s="316"/>
      <c r="BC79" s="316"/>
      <c r="BD79" s="316"/>
      <c r="BE79" s="316"/>
      <c r="BF79" s="316"/>
      <c r="BG79" s="316"/>
      <c r="BH79" s="316"/>
      <c r="BI79" s="316"/>
      <c r="BJ79" s="316"/>
      <c r="BK79" s="316"/>
      <c r="BL79" s="316"/>
      <c r="BM79" s="316"/>
      <c r="BN79" s="316"/>
    </row>
    <row r="80">
      <c r="A80" s="303" t="s">
        <v>210</v>
      </c>
      <c r="B80" s="317" t="s">
        <v>210</v>
      </c>
      <c r="C80" s="325" t="s">
        <v>217</v>
      </c>
      <c r="D80" s="341" t="s">
        <v>2079</v>
      </c>
      <c r="E80" s="335">
        <v>650000.0</v>
      </c>
      <c r="F80" s="346">
        <v>100000.0</v>
      </c>
      <c r="G80" s="353" t="s">
        <v>2080</v>
      </c>
      <c r="H80" s="335">
        <f>650000+162500</f>
        <v>812500</v>
      </c>
      <c r="I80" s="352">
        <f>100000+65000+25000</f>
        <v>190000</v>
      </c>
      <c r="J80" s="317" t="s">
        <v>1354</v>
      </c>
      <c r="K80" s="321">
        <v>650000.0</v>
      </c>
      <c r="L80" s="346">
        <v>100000.0</v>
      </c>
      <c r="M80" s="317" t="s">
        <v>1354</v>
      </c>
      <c r="N80" s="321">
        <v>650000.0</v>
      </c>
      <c r="O80" s="346">
        <v>100000.0</v>
      </c>
      <c r="P80" s="317" t="s">
        <v>1354</v>
      </c>
      <c r="Q80" s="321">
        <v>650000.0</v>
      </c>
      <c r="R80" s="346">
        <v>100000.0</v>
      </c>
      <c r="S80" s="317" t="s">
        <v>1354</v>
      </c>
      <c r="T80" s="321">
        <v>650000.0</v>
      </c>
      <c r="U80" s="346">
        <v>100000.0</v>
      </c>
      <c r="V80" s="317" t="s">
        <v>1354</v>
      </c>
      <c r="W80" s="321">
        <v>650000.0</v>
      </c>
      <c r="X80" s="346">
        <v>100000.0</v>
      </c>
      <c r="Y80" s="317" t="s">
        <v>2081</v>
      </c>
      <c r="Z80" s="321">
        <v>440323.0</v>
      </c>
      <c r="AA80" s="345">
        <v>67742.0</v>
      </c>
      <c r="AB80" s="326"/>
      <c r="AC80" s="321"/>
      <c r="AD80" s="322"/>
      <c r="AE80" s="326"/>
      <c r="AF80" s="321"/>
      <c r="AG80" s="322"/>
      <c r="AH80" s="326"/>
      <c r="AI80" s="321"/>
      <c r="AJ80" s="322"/>
      <c r="AK80" s="326"/>
      <c r="AL80" s="321"/>
      <c r="AM80" s="322"/>
      <c r="AN80" s="316" t="s">
        <v>216</v>
      </c>
      <c r="AO80" s="316"/>
      <c r="AP80" s="316"/>
      <c r="AQ80" s="316"/>
      <c r="AR80" s="316"/>
      <c r="AS80" s="316"/>
      <c r="AT80" s="316"/>
      <c r="AU80" s="316"/>
      <c r="AV80" s="316"/>
      <c r="AW80" s="316"/>
      <c r="AX80" s="316"/>
      <c r="AY80" s="316"/>
      <c r="AZ80" s="316"/>
      <c r="BA80" s="316"/>
      <c r="BB80" s="316"/>
      <c r="BC80" s="316"/>
      <c r="BD80" s="316"/>
      <c r="BE80" s="316"/>
      <c r="BF80" s="316"/>
      <c r="BG80" s="316"/>
      <c r="BH80" s="316"/>
      <c r="BI80" s="316"/>
      <c r="BJ80" s="316"/>
      <c r="BK80" s="316"/>
      <c r="BL80" s="316"/>
      <c r="BM80" s="316"/>
      <c r="BN80" s="316"/>
    </row>
    <row r="81">
      <c r="A81" s="303" t="s">
        <v>210</v>
      </c>
      <c r="B81" s="317" t="s">
        <v>210</v>
      </c>
      <c r="C81" s="325" t="s">
        <v>222</v>
      </c>
      <c r="D81" s="155" t="s">
        <v>1357</v>
      </c>
      <c r="E81" s="348">
        <v>460000.0</v>
      </c>
      <c r="F81" s="345">
        <v>74194.0</v>
      </c>
      <c r="G81" s="317" t="s">
        <v>1357</v>
      </c>
      <c r="H81" s="321">
        <v>620000.0</v>
      </c>
      <c r="I81" s="352">
        <v>100000.0</v>
      </c>
      <c r="J81" s="317" t="s">
        <v>1357</v>
      </c>
      <c r="K81" s="321">
        <v>620000.0</v>
      </c>
      <c r="L81" s="346">
        <v>100000.0</v>
      </c>
      <c r="M81" s="317" t="s">
        <v>2082</v>
      </c>
      <c r="N81" s="321">
        <f>496000+392667</f>
        <v>888667</v>
      </c>
      <c r="O81" s="346">
        <f>80000+63333</f>
        <v>143333</v>
      </c>
      <c r="P81" s="317" t="s">
        <v>2083</v>
      </c>
      <c r="Q81" s="321">
        <v>620000.0</v>
      </c>
      <c r="R81" s="346">
        <v>100000.0</v>
      </c>
      <c r="S81" s="317" t="s">
        <v>2083</v>
      </c>
      <c r="T81" s="321">
        <v>620000.0</v>
      </c>
      <c r="U81" s="346">
        <v>100000.0</v>
      </c>
      <c r="V81" s="317" t="s">
        <v>2083</v>
      </c>
      <c r="W81" s="321">
        <v>620000.0</v>
      </c>
      <c r="X81" s="346">
        <v>100000.0</v>
      </c>
      <c r="Y81" s="317" t="s">
        <v>2083</v>
      </c>
      <c r="Z81" s="321">
        <v>620000.0</v>
      </c>
      <c r="AA81" s="346">
        <v>100000.0</v>
      </c>
      <c r="AB81" s="317" t="s">
        <v>2084</v>
      </c>
      <c r="AC81" s="321">
        <v>620000.0</v>
      </c>
      <c r="AD81" s="346">
        <v>100000.0</v>
      </c>
      <c r="AE81" s="317"/>
      <c r="AF81" s="321"/>
      <c r="AG81" s="322"/>
      <c r="AH81" s="317"/>
      <c r="AI81" s="321"/>
      <c r="AJ81" s="322"/>
      <c r="AK81" s="317"/>
      <c r="AL81" s="321"/>
      <c r="AM81" s="322"/>
      <c r="AN81" s="316" t="s">
        <v>216</v>
      </c>
      <c r="AO81" s="316"/>
      <c r="AP81" s="316"/>
      <c r="AQ81" s="316"/>
      <c r="AR81" s="316"/>
      <c r="AS81" s="316"/>
      <c r="AT81" s="316"/>
      <c r="AU81" s="316"/>
      <c r="AV81" s="316"/>
      <c r="AW81" s="316"/>
      <c r="AX81" s="316"/>
      <c r="AY81" s="316"/>
      <c r="AZ81" s="316"/>
      <c r="BA81" s="316"/>
      <c r="BB81" s="316"/>
      <c r="BC81" s="316"/>
      <c r="BD81" s="316"/>
      <c r="BE81" s="316"/>
      <c r="BF81" s="316"/>
      <c r="BG81" s="316"/>
      <c r="BH81" s="316"/>
      <c r="BI81" s="316"/>
      <c r="BJ81" s="316"/>
      <c r="BK81" s="316"/>
      <c r="BL81" s="316"/>
      <c r="BM81" s="316"/>
      <c r="BN81" s="316"/>
    </row>
    <row r="82">
      <c r="A82" s="303" t="s">
        <v>210</v>
      </c>
      <c r="B82" s="317" t="s">
        <v>210</v>
      </c>
      <c r="C82" s="325" t="s">
        <v>226</v>
      </c>
      <c r="D82" s="353" t="s">
        <v>2085</v>
      </c>
      <c r="E82" s="348">
        <f>465789+19407 </f>
        <v>485196</v>
      </c>
      <c r="F82" s="345">
        <v>78947.0</v>
      </c>
      <c r="G82" s="326" t="s">
        <v>2086</v>
      </c>
      <c r="H82" s="321">
        <v>680000.0</v>
      </c>
      <c r="I82" s="352">
        <v>100000.0</v>
      </c>
      <c r="J82" s="326" t="s">
        <v>1360</v>
      </c>
      <c r="K82" s="321">
        <v>680000.0</v>
      </c>
      <c r="L82" s="346">
        <v>100000.0</v>
      </c>
      <c r="M82" s="356" t="s">
        <v>1360</v>
      </c>
      <c r="N82" s="321">
        <v>680000.0</v>
      </c>
      <c r="O82" s="346">
        <v>100000.0</v>
      </c>
      <c r="P82" s="356" t="s">
        <v>1360</v>
      </c>
      <c r="Q82" s="321">
        <v>680000.0</v>
      </c>
      <c r="R82" s="346">
        <v>100000.0</v>
      </c>
      <c r="S82" s="356" t="s">
        <v>2087</v>
      </c>
      <c r="T82" s="321">
        <v>628694.0</v>
      </c>
      <c r="U82" s="345">
        <v>73333.0</v>
      </c>
      <c r="V82" s="326"/>
      <c r="W82" s="321"/>
      <c r="X82" s="322"/>
      <c r="Y82" s="326"/>
      <c r="Z82" s="321"/>
      <c r="AA82" s="322"/>
      <c r="AB82" s="326"/>
      <c r="AC82" s="321"/>
      <c r="AD82" s="322"/>
      <c r="AE82" s="326"/>
      <c r="AF82" s="321"/>
      <c r="AG82" s="322"/>
      <c r="AH82" s="326"/>
      <c r="AI82" s="321"/>
      <c r="AJ82" s="322"/>
      <c r="AK82" s="326"/>
      <c r="AL82" s="321"/>
      <c r="AM82" s="322"/>
      <c r="AN82" s="316" t="s">
        <v>216</v>
      </c>
      <c r="AO82" s="316"/>
      <c r="AP82" s="316"/>
      <c r="AQ82" s="316"/>
      <c r="AR82" s="316"/>
      <c r="AS82" s="316"/>
      <c r="AT82" s="316"/>
      <c r="AU82" s="316"/>
      <c r="AV82" s="316"/>
      <c r="AW82" s="316"/>
      <c r="AX82" s="316"/>
      <c r="AY82" s="316"/>
      <c r="AZ82" s="316"/>
      <c r="BA82" s="316"/>
      <c r="BB82" s="316"/>
      <c r="BC82" s="316"/>
      <c r="BD82" s="316"/>
      <c r="BE82" s="316"/>
      <c r="BF82" s="316"/>
      <c r="BG82" s="316"/>
      <c r="BH82" s="316"/>
      <c r="BI82" s="316"/>
      <c r="BJ82" s="316"/>
      <c r="BK82" s="316"/>
      <c r="BL82" s="316"/>
      <c r="BM82" s="316"/>
      <c r="BN82" s="316"/>
    </row>
    <row r="83">
      <c r="A83" s="303" t="s">
        <v>210</v>
      </c>
      <c r="B83" s="317" t="s">
        <v>210</v>
      </c>
      <c r="C83" s="325" t="s">
        <v>231</v>
      </c>
      <c r="D83" s="347" t="s">
        <v>2088</v>
      </c>
      <c r="E83" s="348">
        <v>469677.0</v>
      </c>
      <c r="F83" s="345">
        <v>90323.0</v>
      </c>
      <c r="G83" s="347" t="s">
        <v>2089</v>
      </c>
      <c r="H83" s="321">
        <v>520000.0</v>
      </c>
      <c r="I83" s="352">
        <v>100000.0</v>
      </c>
      <c r="J83" s="347" t="s">
        <v>2089</v>
      </c>
      <c r="K83" s="321">
        <v>520000.0</v>
      </c>
      <c r="L83" s="346">
        <v>100000.0</v>
      </c>
      <c r="M83" s="347" t="s">
        <v>2089</v>
      </c>
      <c r="N83" s="321">
        <v>520000.0</v>
      </c>
      <c r="O83" s="346">
        <v>100000.0</v>
      </c>
      <c r="P83" s="347" t="s">
        <v>2089</v>
      </c>
      <c r="Q83" s="321">
        <v>520000.0</v>
      </c>
      <c r="R83" s="346">
        <v>100000.0</v>
      </c>
      <c r="S83" s="347" t="s">
        <v>2089</v>
      </c>
      <c r="T83" s="321">
        <v>520000.0</v>
      </c>
      <c r="U83" s="346">
        <v>100000.0</v>
      </c>
      <c r="V83" s="347" t="s">
        <v>2090</v>
      </c>
      <c r="W83" s="321">
        <v>50323.0</v>
      </c>
      <c r="X83" s="345">
        <v>9677.0</v>
      </c>
      <c r="Y83" s="317"/>
      <c r="Z83" s="321"/>
      <c r="AA83" s="322"/>
      <c r="AB83" s="317"/>
      <c r="AC83" s="321"/>
      <c r="AD83" s="322"/>
      <c r="AE83" s="317"/>
      <c r="AF83" s="321"/>
      <c r="AG83" s="322"/>
      <c r="AH83" s="317"/>
      <c r="AI83" s="321"/>
      <c r="AJ83" s="322"/>
      <c r="AK83" s="317"/>
      <c r="AL83" s="321"/>
      <c r="AM83" s="322"/>
      <c r="AN83" s="316" t="s">
        <v>216</v>
      </c>
      <c r="AO83" s="316"/>
      <c r="AP83" s="316"/>
      <c r="AQ83" s="316"/>
      <c r="AR83" s="316"/>
      <c r="AS83" s="316"/>
      <c r="AT83" s="316"/>
      <c r="AU83" s="316"/>
      <c r="AV83" s="316"/>
      <c r="AW83" s="316"/>
      <c r="AX83" s="316"/>
      <c r="AY83" s="316"/>
      <c r="AZ83" s="316"/>
      <c r="BA83" s="316"/>
      <c r="BB83" s="316"/>
      <c r="BC83" s="316"/>
      <c r="BD83" s="316"/>
      <c r="BE83" s="316"/>
      <c r="BF83" s="316"/>
      <c r="BG83" s="316"/>
      <c r="BH83" s="316"/>
      <c r="BI83" s="316"/>
      <c r="BJ83" s="316"/>
      <c r="BK83" s="316"/>
      <c r="BL83" s="316"/>
      <c r="BM83" s="316"/>
      <c r="BN83" s="316"/>
    </row>
    <row r="84">
      <c r="A84" s="303" t="s">
        <v>210</v>
      </c>
      <c r="B84" s="317" t="s">
        <v>210</v>
      </c>
      <c r="C84" s="325" t="s">
        <v>240</v>
      </c>
      <c r="D84" s="347" t="s">
        <v>37</v>
      </c>
      <c r="E84" s="348"/>
      <c r="F84" s="345"/>
      <c r="G84" s="347" t="s">
        <v>37</v>
      </c>
      <c r="H84" s="321"/>
      <c r="I84" s="322"/>
      <c r="J84" s="326" t="s">
        <v>2091</v>
      </c>
      <c r="K84" s="321">
        <v>530000.0</v>
      </c>
      <c r="L84" s="346">
        <v>100000.0</v>
      </c>
      <c r="M84" s="326" t="s">
        <v>2091</v>
      </c>
      <c r="N84" s="321">
        <v>530000.0</v>
      </c>
      <c r="O84" s="346">
        <v>100000.0</v>
      </c>
      <c r="P84" s="326" t="s">
        <v>2091</v>
      </c>
      <c r="Q84" s="321">
        <v>530000.0</v>
      </c>
      <c r="R84" s="346">
        <v>100000.0</v>
      </c>
      <c r="S84" s="326" t="s">
        <v>2091</v>
      </c>
      <c r="T84" s="321">
        <v>530000.0</v>
      </c>
      <c r="U84" s="346">
        <v>100000.0</v>
      </c>
      <c r="V84" s="326" t="s">
        <v>2092</v>
      </c>
      <c r="W84" s="321">
        <v>51290.0</v>
      </c>
      <c r="X84" s="345">
        <v>9677.0</v>
      </c>
      <c r="Y84" s="326"/>
      <c r="Z84" s="321"/>
      <c r="AA84" s="322"/>
      <c r="AB84" s="326"/>
      <c r="AC84" s="321"/>
      <c r="AD84" s="322"/>
      <c r="AE84" s="326"/>
      <c r="AF84" s="321"/>
      <c r="AG84" s="322"/>
      <c r="AH84" s="326"/>
      <c r="AI84" s="321"/>
      <c r="AJ84" s="322"/>
      <c r="AK84" s="326"/>
      <c r="AL84" s="321"/>
      <c r="AM84" s="322"/>
      <c r="AN84" s="316" t="s">
        <v>216</v>
      </c>
      <c r="AO84" s="316"/>
      <c r="AP84" s="316"/>
      <c r="AQ84" s="316"/>
      <c r="AR84" s="316"/>
      <c r="AS84" s="316"/>
      <c r="AT84" s="316"/>
      <c r="AU84" s="316"/>
      <c r="AV84" s="316"/>
      <c r="AW84" s="316"/>
      <c r="AX84" s="316"/>
      <c r="AY84" s="316"/>
      <c r="AZ84" s="316"/>
      <c r="BA84" s="316"/>
      <c r="BB84" s="316"/>
      <c r="BC84" s="316"/>
      <c r="BD84" s="316"/>
      <c r="BE84" s="316"/>
      <c r="BF84" s="316"/>
      <c r="BG84" s="316"/>
      <c r="BH84" s="316"/>
      <c r="BI84" s="316"/>
      <c r="BJ84" s="316"/>
      <c r="BK84" s="316"/>
      <c r="BL84" s="316"/>
      <c r="BM84" s="316"/>
      <c r="BN84" s="316"/>
    </row>
    <row r="85">
      <c r="A85" s="303" t="s">
        <v>210</v>
      </c>
      <c r="B85" s="317" t="s">
        <v>210</v>
      </c>
      <c r="C85" s="325" t="s">
        <v>243</v>
      </c>
      <c r="D85" s="334" t="s">
        <v>1365</v>
      </c>
      <c r="E85" s="348">
        <v>469920.0</v>
      </c>
      <c r="F85" s="345">
        <v>100000.0</v>
      </c>
      <c r="G85" s="334" t="s">
        <v>1365</v>
      </c>
      <c r="H85" s="348">
        <v>469920.0</v>
      </c>
      <c r="I85" s="345">
        <f t="shared" ref="I85:I86" si="103">100000+65000</f>
        <v>165000</v>
      </c>
      <c r="J85" s="336" t="s">
        <v>1365</v>
      </c>
      <c r="K85" s="348">
        <v>469920.0</v>
      </c>
      <c r="L85" s="345">
        <v>100000.0</v>
      </c>
      <c r="M85" s="336" t="s">
        <v>1365</v>
      </c>
      <c r="N85" s="348">
        <v>469920.0</v>
      </c>
      <c r="O85" s="345">
        <v>100000.0</v>
      </c>
      <c r="P85" s="336" t="s">
        <v>1365</v>
      </c>
      <c r="Q85" s="348">
        <v>469920.0</v>
      </c>
      <c r="R85" s="345">
        <v>100000.0</v>
      </c>
      <c r="S85" s="336" t="s">
        <v>1365</v>
      </c>
      <c r="T85" s="348">
        <v>469920.0</v>
      </c>
      <c r="U85" s="345">
        <v>100000.0</v>
      </c>
      <c r="V85" s="336" t="s">
        <v>1365</v>
      </c>
      <c r="W85" s="348">
        <v>469920.0</v>
      </c>
      <c r="X85" s="345">
        <v>100000.0</v>
      </c>
      <c r="Y85" s="336" t="s">
        <v>1365</v>
      </c>
      <c r="Z85" s="348">
        <v>469920.0</v>
      </c>
      <c r="AA85" s="345">
        <v>100000.0</v>
      </c>
      <c r="AB85" s="336" t="s">
        <v>1365</v>
      </c>
      <c r="AC85" s="348">
        <v>469920.0</v>
      </c>
      <c r="AD85" s="345">
        <v>100000.0</v>
      </c>
      <c r="AE85" s="336" t="s">
        <v>1365</v>
      </c>
      <c r="AF85" s="348">
        <v>469920.0</v>
      </c>
      <c r="AG85" s="345">
        <v>100000.0</v>
      </c>
      <c r="AH85" s="337" t="s">
        <v>2093</v>
      </c>
      <c r="AI85" s="348">
        <v>469920.0</v>
      </c>
      <c r="AJ85" s="345">
        <v>100000.0</v>
      </c>
      <c r="AK85" s="317"/>
      <c r="AL85" s="321"/>
      <c r="AM85" s="322"/>
      <c r="AN85" s="316" t="s">
        <v>216</v>
      </c>
      <c r="AO85" s="316"/>
      <c r="AP85" s="316"/>
      <c r="AQ85" s="316"/>
      <c r="AR85" s="316"/>
      <c r="AS85" s="316"/>
      <c r="AT85" s="316"/>
      <c r="AU85" s="316"/>
      <c r="AV85" s="316"/>
      <c r="AW85" s="316"/>
      <c r="AX85" s="316"/>
      <c r="AY85" s="316"/>
      <c r="AZ85" s="316"/>
      <c r="BA85" s="316"/>
      <c r="BB85" s="316"/>
      <c r="BC85" s="316"/>
      <c r="BD85" s="316"/>
      <c r="BE85" s="316"/>
      <c r="BF85" s="316"/>
      <c r="BG85" s="316"/>
      <c r="BH85" s="316"/>
      <c r="BI85" s="316"/>
      <c r="BJ85" s="316"/>
      <c r="BK85" s="316"/>
      <c r="BL85" s="316"/>
      <c r="BM85" s="316"/>
      <c r="BN85" s="316"/>
    </row>
    <row r="86">
      <c r="A86" s="303" t="s">
        <v>210</v>
      </c>
      <c r="B86" s="317" t="s">
        <v>210</v>
      </c>
      <c r="C86" s="325" t="s">
        <v>252</v>
      </c>
      <c r="D86" s="334" t="s">
        <v>1368</v>
      </c>
      <c r="E86" s="335">
        <v>469920.0</v>
      </c>
      <c r="F86" s="346">
        <v>100000.0</v>
      </c>
      <c r="G86" s="334" t="s">
        <v>1368</v>
      </c>
      <c r="H86" s="335">
        <v>469920.0</v>
      </c>
      <c r="I86" s="345">
        <f t="shared" si="103"/>
        <v>165000</v>
      </c>
      <c r="J86" s="336" t="s">
        <v>1368</v>
      </c>
      <c r="K86" s="335">
        <v>469920.0</v>
      </c>
      <c r="L86" s="346">
        <v>100000.0</v>
      </c>
      <c r="M86" s="337" t="s">
        <v>2094</v>
      </c>
      <c r="N86" s="335">
        <v>469920.0</v>
      </c>
      <c r="O86" s="346">
        <v>100000.0</v>
      </c>
      <c r="P86" s="317"/>
      <c r="Q86" s="321"/>
      <c r="R86" s="322"/>
      <c r="S86" s="317"/>
      <c r="T86" s="321"/>
      <c r="U86" s="322"/>
      <c r="V86" s="317"/>
      <c r="W86" s="321"/>
      <c r="X86" s="322"/>
      <c r="Y86" s="317"/>
      <c r="Z86" s="321"/>
      <c r="AA86" s="322"/>
      <c r="AB86" s="317"/>
      <c r="AC86" s="321"/>
      <c r="AD86" s="322"/>
      <c r="AE86" s="317"/>
      <c r="AF86" s="321"/>
      <c r="AG86" s="322"/>
      <c r="AH86" s="317"/>
      <c r="AI86" s="321"/>
      <c r="AJ86" s="322"/>
      <c r="AK86" s="317"/>
      <c r="AL86" s="321"/>
      <c r="AM86" s="322"/>
      <c r="AN86" s="316" t="s">
        <v>216</v>
      </c>
      <c r="AO86" s="316"/>
      <c r="AP86" s="316"/>
      <c r="AQ86" s="316"/>
      <c r="AR86" s="316"/>
      <c r="AS86" s="316"/>
      <c r="AT86" s="316"/>
      <c r="AU86" s="316"/>
      <c r="AV86" s="316"/>
      <c r="AW86" s="316"/>
      <c r="AX86" s="316"/>
      <c r="AY86" s="316"/>
      <c r="AZ86" s="316"/>
      <c r="BA86" s="316"/>
      <c r="BB86" s="316"/>
      <c r="BC86" s="316"/>
      <c r="BD86" s="316"/>
      <c r="BE86" s="316"/>
      <c r="BF86" s="316"/>
      <c r="BG86" s="316"/>
      <c r="BH86" s="316"/>
      <c r="BI86" s="316"/>
      <c r="BJ86" s="316"/>
      <c r="BK86" s="316"/>
      <c r="BL86" s="316"/>
      <c r="BM86" s="316"/>
      <c r="BN86" s="316"/>
    </row>
    <row r="87">
      <c r="A87" s="303" t="s">
        <v>210</v>
      </c>
      <c r="B87" s="304"/>
      <c r="C87" s="305" t="s">
        <v>42</v>
      </c>
      <c r="D87" s="320"/>
      <c r="E87" s="323">
        <f t="shared" ref="E87:F87" si="104">SUM(E79:E86)</f>
        <v>3654713</v>
      </c>
      <c r="F87" s="324">
        <f t="shared" si="104"/>
        <v>643464</v>
      </c>
      <c r="G87" s="320"/>
      <c r="H87" s="323">
        <f t="shared" ref="H87:I87" si="105">SUM(H79:H86)</f>
        <v>3593769</v>
      </c>
      <c r="I87" s="324">
        <f t="shared" si="105"/>
        <v>823571</v>
      </c>
      <c r="J87" s="320"/>
      <c r="K87" s="323">
        <f t="shared" ref="K87:L87" si="106">SUM(K79:K86)</f>
        <v>4539840</v>
      </c>
      <c r="L87" s="324">
        <f t="shared" si="106"/>
        <v>800000</v>
      </c>
      <c r="M87" s="320"/>
      <c r="N87" s="323">
        <f t="shared" ref="N87:O87" si="107">SUM(N79:N86)</f>
        <v>4808507</v>
      </c>
      <c r="O87" s="324">
        <f t="shared" si="107"/>
        <v>843333</v>
      </c>
      <c r="P87" s="320"/>
      <c r="Q87" s="323">
        <f t="shared" ref="Q87:R87" si="108">SUM(Q79:Q86)</f>
        <v>4069920</v>
      </c>
      <c r="R87" s="324">
        <f t="shared" si="108"/>
        <v>700000</v>
      </c>
      <c r="S87" s="320"/>
      <c r="T87" s="323">
        <f t="shared" ref="T87:U87" si="109">SUM(T79:T86)</f>
        <v>4018614</v>
      </c>
      <c r="U87" s="324">
        <f t="shared" si="109"/>
        <v>673333</v>
      </c>
      <c r="V87" s="320"/>
      <c r="W87" s="323">
        <f t="shared" ref="W87:X87" si="110">SUM(W79:W86)</f>
        <v>2441533</v>
      </c>
      <c r="X87" s="324">
        <f t="shared" si="110"/>
        <v>419354</v>
      </c>
      <c r="Y87" s="320"/>
      <c r="Z87" s="323">
        <f t="shared" ref="Z87:AA87" si="111">SUM(Z79:Z86)</f>
        <v>2130243</v>
      </c>
      <c r="AA87" s="324">
        <f t="shared" si="111"/>
        <v>367742</v>
      </c>
      <c r="AB87" s="320"/>
      <c r="AC87" s="323">
        <f t="shared" ref="AC87:AD87" si="112">SUM(AC79:AC86)</f>
        <v>1689920</v>
      </c>
      <c r="AD87" s="324">
        <f t="shared" si="112"/>
        <v>300000</v>
      </c>
      <c r="AE87" s="320"/>
      <c r="AF87" s="323">
        <f t="shared" ref="AF87:AG87" si="113">SUM(AF79:AF86)</f>
        <v>1069920</v>
      </c>
      <c r="AG87" s="324">
        <f t="shared" si="113"/>
        <v>200000</v>
      </c>
      <c r="AH87" s="320"/>
      <c r="AI87" s="323">
        <f t="shared" ref="AI87:AJ87" si="114">SUM(AI79:AI86)</f>
        <v>1069920</v>
      </c>
      <c r="AJ87" s="324">
        <f t="shared" si="114"/>
        <v>200000</v>
      </c>
      <c r="AK87" s="320"/>
      <c r="AL87" s="323">
        <f t="shared" ref="AL87:AM87" si="115">SUM(AL79:AL86)</f>
        <v>600000</v>
      </c>
      <c r="AM87" s="324">
        <f t="shared" si="115"/>
        <v>100000</v>
      </c>
      <c r="AN87" s="316" t="s">
        <v>216</v>
      </c>
      <c r="AO87" s="316"/>
      <c r="AP87" s="316"/>
      <c r="AQ87" s="316"/>
      <c r="AR87" s="316"/>
      <c r="AS87" s="316"/>
      <c r="AT87" s="316"/>
      <c r="AU87" s="316"/>
      <c r="AV87" s="316"/>
      <c r="AW87" s="316"/>
      <c r="AX87" s="316"/>
      <c r="AY87" s="316"/>
      <c r="AZ87" s="316"/>
      <c r="BA87" s="316"/>
      <c r="BB87" s="316"/>
      <c r="BC87" s="316"/>
      <c r="BD87" s="316"/>
      <c r="BE87" s="316"/>
      <c r="BF87" s="316"/>
      <c r="BG87" s="316"/>
      <c r="BH87" s="316"/>
      <c r="BI87" s="316"/>
      <c r="BJ87" s="316"/>
      <c r="BK87" s="316"/>
      <c r="BL87" s="316"/>
      <c r="BM87" s="316"/>
      <c r="BN87" s="316"/>
    </row>
    <row r="88" collapsed="1">
      <c r="A88" s="303" t="s">
        <v>210</v>
      </c>
      <c r="B88" s="304"/>
      <c r="C88" s="325" t="s">
        <v>43</v>
      </c>
      <c r="D88" s="326"/>
      <c r="E88" s="321">
        <v>2350000.0</v>
      </c>
      <c r="F88" s="324"/>
      <c r="G88" s="326"/>
      <c r="H88" s="321">
        <v>2350000.0</v>
      </c>
      <c r="I88" s="324"/>
      <c r="J88" s="326"/>
      <c r="K88" s="321">
        <v>2350000.0</v>
      </c>
      <c r="L88" s="324"/>
      <c r="M88" s="326"/>
      <c r="N88" s="321">
        <v>2350000.0</v>
      </c>
      <c r="O88" s="324"/>
      <c r="P88" s="326"/>
      <c r="Q88" s="321">
        <v>2350000.0</v>
      </c>
      <c r="R88" s="324"/>
      <c r="S88" s="326"/>
      <c r="T88" s="321">
        <v>2350000.0</v>
      </c>
      <c r="U88" s="324"/>
      <c r="V88" s="326"/>
      <c r="W88" s="321">
        <v>2350000.0</v>
      </c>
      <c r="X88" s="324"/>
      <c r="Y88" s="326"/>
      <c r="Z88" s="321">
        <v>2350000.0</v>
      </c>
      <c r="AA88" s="324"/>
      <c r="AB88" s="326"/>
      <c r="AC88" s="321">
        <v>2350000.0</v>
      </c>
      <c r="AD88" s="324"/>
      <c r="AE88" s="326"/>
      <c r="AF88" s="321">
        <v>2350000.0</v>
      </c>
      <c r="AG88" s="324"/>
      <c r="AH88" s="326"/>
      <c r="AI88" s="321">
        <v>2350000.0</v>
      </c>
      <c r="AJ88" s="324"/>
      <c r="AK88" s="326"/>
      <c r="AL88" s="321">
        <v>2350000.0</v>
      </c>
      <c r="AM88" s="324"/>
      <c r="AN88" s="316" t="s">
        <v>216</v>
      </c>
      <c r="AO88" s="316"/>
      <c r="AP88" s="316"/>
      <c r="AQ88" s="316"/>
      <c r="AR88" s="316"/>
      <c r="AS88" s="316"/>
      <c r="AT88" s="316"/>
      <c r="AU88" s="316"/>
      <c r="AV88" s="316"/>
      <c r="AW88" s="316"/>
      <c r="AX88" s="316"/>
      <c r="AY88" s="316"/>
      <c r="AZ88" s="316"/>
      <c r="BA88" s="316"/>
      <c r="BB88" s="316"/>
      <c r="BC88" s="316"/>
      <c r="BD88" s="316"/>
      <c r="BE88" s="316"/>
      <c r="BF88" s="316"/>
      <c r="BG88" s="316"/>
      <c r="BH88" s="316"/>
      <c r="BI88" s="316"/>
      <c r="BJ88" s="316"/>
      <c r="BK88" s="316"/>
      <c r="BL88" s="316"/>
      <c r="BM88" s="316"/>
      <c r="BN88" s="316"/>
    </row>
    <row r="89" hidden="1" outlineLevel="1">
      <c r="A89" s="303" t="s">
        <v>210</v>
      </c>
      <c r="B89" s="317"/>
      <c r="C89" s="325" t="s">
        <v>45</v>
      </c>
      <c r="D89" s="327"/>
      <c r="E89" s="321"/>
      <c r="F89" s="322" t="s">
        <v>44</v>
      </c>
      <c r="G89" s="327"/>
      <c r="H89" s="321"/>
      <c r="I89" s="322" t="s">
        <v>44</v>
      </c>
      <c r="J89" s="327"/>
      <c r="K89" s="321"/>
      <c r="L89" s="322"/>
      <c r="M89" s="327"/>
      <c r="N89" s="321"/>
      <c r="O89" s="322"/>
      <c r="P89" s="327"/>
      <c r="Q89" s="321"/>
      <c r="R89" s="322"/>
      <c r="S89" s="327"/>
      <c r="T89" s="321"/>
      <c r="U89" s="322"/>
      <c r="V89" s="327"/>
      <c r="W89" s="321"/>
      <c r="X89" s="322"/>
      <c r="Y89" s="327"/>
      <c r="Z89" s="321"/>
      <c r="AA89" s="322"/>
      <c r="AB89" s="327"/>
      <c r="AC89" s="321"/>
      <c r="AD89" s="322"/>
      <c r="AE89" s="327"/>
      <c r="AF89" s="321"/>
      <c r="AG89" s="322"/>
      <c r="AH89" s="327"/>
      <c r="AI89" s="321"/>
      <c r="AJ89" s="322"/>
      <c r="AK89" s="327"/>
      <c r="AL89" s="321"/>
      <c r="AM89" s="322"/>
      <c r="AN89" s="316" t="s">
        <v>216</v>
      </c>
      <c r="AO89" s="316"/>
      <c r="AP89" s="316"/>
      <c r="AQ89" s="316"/>
      <c r="AR89" s="316"/>
      <c r="AS89" s="316"/>
      <c r="AT89" s="316"/>
      <c r="AU89" s="316"/>
      <c r="AV89" s="316"/>
      <c r="AW89" s="316"/>
      <c r="AX89" s="316"/>
      <c r="AY89" s="316"/>
      <c r="AZ89" s="316"/>
      <c r="BA89" s="316"/>
      <c r="BB89" s="316"/>
      <c r="BC89" s="316"/>
      <c r="BD89" s="316"/>
      <c r="BE89" s="316"/>
      <c r="BF89" s="316"/>
      <c r="BG89" s="316"/>
      <c r="BH89" s="316"/>
      <c r="BI89" s="316"/>
      <c r="BJ89" s="316"/>
      <c r="BK89" s="316"/>
      <c r="BL89" s="316"/>
      <c r="BM89" s="316"/>
      <c r="BN89" s="316"/>
    </row>
    <row r="90" hidden="1" outlineLevel="1">
      <c r="A90" s="303" t="s">
        <v>210</v>
      </c>
      <c r="B90" s="317" t="s">
        <v>259</v>
      </c>
      <c r="C90" s="325" t="s">
        <v>47</v>
      </c>
      <c r="D90" s="327"/>
      <c r="E90" s="321"/>
      <c r="F90" s="322">
        <v>73000.0</v>
      </c>
      <c r="G90" s="327"/>
      <c r="H90" s="321"/>
      <c r="I90" s="322">
        <v>125000.0</v>
      </c>
      <c r="J90" s="327" t="s">
        <v>2039</v>
      </c>
      <c r="K90" s="321"/>
      <c r="L90" s="322">
        <v>100000.0</v>
      </c>
      <c r="M90" s="327"/>
      <c r="N90" s="321"/>
      <c r="O90" s="322"/>
      <c r="P90" s="327"/>
      <c r="Q90" s="321"/>
      <c r="R90" s="322"/>
      <c r="S90" s="327"/>
      <c r="T90" s="321"/>
      <c r="U90" s="322"/>
      <c r="V90" s="327"/>
      <c r="W90" s="321"/>
      <c r="X90" s="322"/>
      <c r="Y90" s="327"/>
      <c r="Z90" s="321"/>
      <c r="AA90" s="322"/>
      <c r="AB90" s="327"/>
      <c r="AC90" s="321"/>
      <c r="AD90" s="322"/>
      <c r="AE90" s="327"/>
      <c r="AF90" s="321"/>
      <c r="AG90" s="322"/>
      <c r="AH90" s="327"/>
      <c r="AI90" s="321"/>
      <c r="AJ90" s="322"/>
      <c r="AK90" s="327"/>
      <c r="AL90" s="321"/>
      <c r="AM90" s="322"/>
      <c r="AN90" s="316" t="s">
        <v>216</v>
      </c>
      <c r="AO90" s="316"/>
      <c r="AP90" s="316"/>
      <c r="AQ90" s="316"/>
      <c r="AR90" s="316"/>
      <c r="AS90" s="316"/>
      <c r="AT90" s="316"/>
      <c r="AU90" s="316"/>
      <c r="AV90" s="316"/>
      <c r="AW90" s="316"/>
      <c r="AX90" s="316"/>
      <c r="AY90" s="316"/>
      <c r="AZ90" s="316"/>
      <c r="BA90" s="316"/>
      <c r="BB90" s="316"/>
      <c r="BC90" s="316"/>
      <c r="BD90" s="316"/>
      <c r="BE90" s="316"/>
      <c r="BF90" s="316"/>
      <c r="BG90" s="316"/>
      <c r="BH90" s="316"/>
      <c r="BI90" s="316"/>
      <c r="BJ90" s="316"/>
      <c r="BK90" s="316"/>
      <c r="BL90" s="316"/>
      <c r="BM90" s="316"/>
      <c r="BN90" s="316"/>
    </row>
    <row r="91" hidden="1" outlineLevel="1">
      <c r="A91" s="303" t="s">
        <v>210</v>
      </c>
      <c r="B91" s="317" t="s">
        <v>260</v>
      </c>
      <c r="C91" s="325" t="s">
        <v>261</v>
      </c>
      <c r="D91" s="327"/>
      <c r="E91" s="321"/>
      <c r="F91" s="322">
        <f>205710+197420</f>
        <v>403130</v>
      </c>
      <c r="G91" s="327"/>
      <c r="H91" s="321"/>
      <c r="I91" s="322">
        <f>437520+159690</f>
        <v>597210</v>
      </c>
      <c r="J91" s="327" t="s">
        <v>2039</v>
      </c>
      <c r="K91" s="321"/>
      <c r="L91" s="322">
        <v>600000.0</v>
      </c>
      <c r="M91" s="327"/>
      <c r="N91" s="321"/>
      <c r="O91" s="322"/>
      <c r="P91" s="327"/>
      <c r="Q91" s="321"/>
      <c r="R91" s="322"/>
      <c r="S91" s="327"/>
      <c r="T91" s="321"/>
      <c r="U91" s="322"/>
      <c r="V91" s="327"/>
      <c r="W91" s="321"/>
      <c r="X91" s="322"/>
      <c r="Y91" s="327"/>
      <c r="Z91" s="321"/>
      <c r="AA91" s="322"/>
      <c r="AB91" s="327"/>
      <c r="AC91" s="321"/>
      <c r="AD91" s="322"/>
      <c r="AE91" s="327"/>
      <c r="AF91" s="321"/>
      <c r="AG91" s="322">
        <v>145000.0</v>
      </c>
      <c r="AH91" s="327"/>
      <c r="AI91" s="321"/>
      <c r="AJ91" s="322"/>
      <c r="AK91" s="327"/>
      <c r="AL91" s="321"/>
      <c r="AM91" s="322"/>
      <c r="AN91" s="316" t="s">
        <v>216</v>
      </c>
      <c r="AO91" s="316"/>
      <c r="AP91" s="316"/>
      <c r="AQ91" s="316"/>
      <c r="AR91" s="316"/>
      <c r="AS91" s="316"/>
      <c r="AT91" s="316"/>
      <c r="AU91" s="316"/>
      <c r="AV91" s="316"/>
      <c r="AW91" s="316"/>
      <c r="AX91" s="316"/>
      <c r="AY91" s="316"/>
      <c r="AZ91" s="316"/>
      <c r="BA91" s="316"/>
      <c r="BB91" s="316"/>
      <c r="BC91" s="316"/>
      <c r="BD91" s="316"/>
      <c r="BE91" s="316"/>
      <c r="BF91" s="316"/>
      <c r="BG91" s="316"/>
      <c r="BH91" s="316"/>
      <c r="BI91" s="316"/>
      <c r="BJ91" s="316"/>
      <c r="BK91" s="316"/>
      <c r="BL91" s="316"/>
      <c r="BM91" s="316"/>
      <c r="BN91" s="316"/>
    </row>
    <row r="92" hidden="1" outlineLevel="1">
      <c r="A92" s="303" t="s">
        <v>210</v>
      </c>
      <c r="B92" s="317" t="s">
        <v>262</v>
      </c>
      <c r="C92" s="325" t="s">
        <v>51</v>
      </c>
      <c r="D92" s="327"/>
      <c r="E92" s="321"/>
      <c r="F92" s="322">
        <v>40000.0</v>
      </c>
      <c r="G92" s="327"/>
      <c r="H92" s="321"/>
      <c r="I92" s="322">
        <v>40000.0</v>
      </c>
      <c r="J92" s="327"/>
      <c r="K92" s="321"/>
      <c r="L92" s="322">
        <v>40000.0</v>
      </c>
      <c r="M92" s="327"/>
      <c r="N92" s="321"/>
      <c r="O92" s="322">
        <v>40000.0</v>
      </c>
      <c r="P92" s="327"/>
      <c r="Q92" s="321"/>
      <c r="R92" s="322">
        <v>40000.0</v>
      </c>
      <c r="S92" s="327"/>
      <c r="T92" s="321"/>
      <c r="U92" s="322">
        <v>40000.0</v>
      </c>
      <c r="V92" s="327"/>
      <c r="W92" s="321"/>
      <c r="X92" s="322">
        <v>40000.0</v>
      </c>
      <c r="Y92" s="327"/>
      <c r="Z92" s="321"/>
      <c r="AA92" s="322"/>
      <c r="AB92" s="327"/>
      <c r="AC92" s="321"/>
      <c r="AD92" s="322"/>
      <c r="AE92" s="327"/>
      <c r="AF92" s="321"/>
      <c r="AG92" s="322"/>
      <c r="AH92" s="327"/>
      <c r="AI92" s="321"/>
      <c r="AJ92" s="322"/>
      <c r="AK92" s="327"/>
      <c r="AL92" s="321"/>
      <c r="AM92" s="322"/>
      <c r="AN92" s="316" t="s">
        <v>216</v>
      </c>
      <c r="AO92" s="316"/>
      <c r="AP92" s="316"/>
      <c r="AQ92" s="316"/>
      <c r="AR92" s="316"/>
      <c r="AS92" s="316"/>
      <c r="AT92" s="316"/>
      <c r="AU92" s="316"/>
      <c r="AV92" s="316"/>
      <c r="AW92" s="316"/>
      <c r="AX92" s="316"/>
      <c r="AY92" s="316"/>
      <c r="AZ92" s="316"/>
      <c r="BA92" s="316"/>
      <c r="BB92" s="316"/>
      <c r="BC92" s="316"/>
      <c r="BD92" s="316"/>
      <c r="BE92" s="316"/>
      <c r="BF92" s="316"/>
      <c r="BG92" s="316"/>
      <c r="BH92" s="316"/>
      <c r="BI92" s="316"/>
      <c r="BJ92" s="316"/>
      <c r="BK92" s="316"/>
      <c r="BL92" s="316"/>
      <c r="BM92" s="316"/>
      <c r="BN92" s="316"/>
    </row>
    <row r="93" hidden="1" outlineLevel="1">
      <c r="A93" s="303" t="s">
        <v>210</v>
      </c>
      <c r="B93" s="304"/>
      <c r="C93" s="325" t="s">
        <v>52</v>
      </c>
      <c r="D93" s="327"/>
      <c r="E93" s="321"/>
      <c r="F93" s="322">
        <v>28000.0</v>
      </c>
      <c r="G93" s="327"/>
      <c r="H93" s="321"/>
      <c r="I93" s="322">
        <v>28000.0</v>
      </c>
      <c r="J93" s="327"/>
      <c r="K93" s="321"/>
      <c r="L93" s="322">
        <v>28000.0</v>
      </c>
      <c r="M93" s="327"/>
      <c r="N93" s="321"/>
      <c r="O93" s="322">
        <v>28000.0</v>
      </c>
      <c r="P93" s="327"/>
      <c r="Q93" s="321"/>
      <c r="R93" s="322">
        <v>28000.0</v>
      </c>
      <c r="S93" s="327"/>
      <c r="T93" s="321"/>
      <c r="U93" s="322">
        <v>28000.0</v>
      </c>
      <c r="V93" s="327"/>
      <c r="W93" s="321"/>
      <c r="X93" s="322">
        <v>28000.0</v>
      </c>
      <c r="Y93" s="327"/>
      <c r="Z93" s="321"/>
      <c r="AA93" s="322">
        <v>28000.0</v>
      </c>
      <c r="AB93" s="327"/>
      <c r="AC93" s="321"/>
      <c r="AD93" s="322">
        <v>28000.0</v>
      </c>
      <c r="AE93" s="327"/>
      <c r="AF93" s="321"/>
      <c r="AG93" s="322">
        <v>28000.0</v>
      </c>
      <c r="AH93" s="327"/>
      <c r="AI93" s="321"/>
      <c r="AJ93" s="322">
        <v>28000.0</v>
      </c>
      <c r="AK93" s="327"/>
      <c r="AL93" s="321"/>
      <c r="AM93" s="322">
        <v>28000.0</v>
      </c>
      <c r="AN93" s="316" t="s">
        <v>216</v>
      </c>
      <c r="AO93" s="316"/>
      <c r="AP93" s="316"/>
      <c r="AQ93" s="316"/>
      <c r="AR93" s="316"/>
      <c r="AS93" s="316"/>
      <c r="AT93" s="316"/>
      <c r="AU93" s="316"/>
      <c r="AV93" s="316"/>
      <c r="AW93" s="316"/>
      <c r="AX93" s="316"/>
      <c r="AY93" s="316"/>
      <c r="AZ93" s="316"/>
      <c r="BA93" s="316"/>
      <c r="BB93" s="316"/>
      <c r="BC93" s="316"/>
      <c r="BD93" s="316"/>
      <c r="BE93" s="316"/>
      <c r="BF93" s="316"/>
      <c r="BG93" s="316"/>
      <c r="BH93" s="316"/>
      <c r="BI93" s="316"/>
      <c r="BJ93" s="316"/>
      <c r="BK93" s="316"/>
      <c r="BL93" s="316"/>
      <c r="BM93" s="316"/>
      <c r="BN93" s="316"/>
    </row>
    <row r="94" hidden="1" outlineLevel="1">
      <c r="A94" s="303" t="s">
        <v>210</v>
      </c>
      <c r="B94" s="317" t="s">
        <v>264</v>
      </c>
      <c r="C94" s="325" t="s">
        <v>53</v>
      </c>
      <c r="D94" s="326"/>
      <c r="E94" s="140"/>
      <c r="F94" s="322">
        <v>11000.0</v>
      </c>
      <c r="G94" s="326"/>
      <c r="H94" s="140"/>
      <c r="I94" s="322">
        <v>11000.0</v>
      </c>
      <c r="J94" s="326"/>
      <c r="K94" s="140"/>
      <c r="L94" s="322">
        <v>11000.0</v>
      </c>
      <c r="M94" s="326"/>
      <c r="N94" s="140"/>
      <c r="O94" s="322">
        <v>11000.0</v>
      </c>
      <c r="P94" s="326"/>
      <c r="Q94" s="140"/>
      <c r="R94" s="322">
        <v>11000.0</v>
      </c>
      <c r="S94" s="326"/>
      <c r="T94" s="140"/>
      <c r="U94" s="322">
        <v>11000.0</v>
      </c>
      <c r="V94" s="326"/>
      <c r="W94" s="140"/>
      <c r="X94" s="322">
        <v>11000.0</v>
      </c>
      <c r="Y94" s="326"/>
      <c r="Z94" s="140"/>
      <c r="AA94" s="322">
        <v>11000.0</v>
      </c>
      <c r="AB94" s="326"/>
      <c r="AC94" s="140"/>
      <c r="AD94" s="322">
        <v>11000.0</v>
      </c>
      <c r="AE94" s="326"/>
      <c r="AF94" s="140"/>
      <c r="AG94" s="322">
        <v>11000.0</v>
      </c>
      <c r="AH94" s="326"/>
      <c r="AI94" s="140"/>
      <c r="AJ94" s="322">
        <v>11000.0</v>
      </c>
      <c r="AK94" s="326"/>
      <c r="AL94" s="140"/>
      <c r="AM94" s="322">
        <v>11000.0</v>
      </c>
      <c r="AN94" s="316" t="s">
        <v>216</v>
      </c>
      <c r="AO94" s="316"/>
      <c r="AP94" s="316"/>
      <c r="AQ94" s="316"/>
      <c r="AR94" s="316"/>
      <c r="AS94" s="316"/>
      <c r="AT94" s="316"/>
      <c r="AU94" s="316"/>
      <c r="AV94" s="316"/>
      <c r="AW94" s="316"/>
      <c r="AX94" s="316"/>
      <c r="AY94" s="316"/>
      <c r="AZ94" s="316"/>
      <c r="BA94" s="316"/>
      <c r="BB94" s="316"/>
      <c r="BC94" s="316"/>
      <c r="BD94" s="316"/>
      <c r="BE94" s="316"/>
      <c r="BF94" s="316"/>
      <c r="BG94" s="316"/>
      <c r="BH94" s="316"/>
      <c r="BI94" s="316"/>
      <c r="BJ94" s="316"/>
      <c r="BK94" s="316"/>
      <c r="BL94" s="316"/>
      <c r="BM94" s="316"/>
      <c r="BN94" s="316"/>
    </row>
    <row r="95" hidden="1" outlineLevel="1">
      <c r="A95" s="303" t="s">
        <v>210</v>
      </c>
      <c r="B95" s="317" t="s">
        <v>264</v>
      </c>
      <c r="C95" s="325" t="s">
        <v>265</v>
      </c>
      <c r="D95" s="327"/>
      <c r="E95" s="321"/>
      <c r="F95" s="322">
        <v>10000.0</v>
      </c>
      <c r="G95" s="327"/>
      <c r="H95" s="321"/>
      <c r="I95" s="322">
        <v>10000.0</v>
      </c>
      <c r="J95" s="327"/>
      <c r="K95" s="321"/>
      <c r="L95" s="322">
        <v>10000.0</v>
      </c>
      <c r="M95" s="327"/>
      <c r="N95" s="321"/>
      <c r="O95" s="322">
        <v>10000.0</v>
      </c>
      <c r="P95" s="327"/>
      <c r="Q95" s="321"/>
      <c r="R95" s="322">
        <v>10000.0</v>
      </c>
      <c r="S95" s="327"/>
      <c r="T95" s="321"/>
      <c r="U95" s="322">
        <v>10000.0</v>
      </c>
      <c r="V95" s="327"/>
      <c r="W95" s="321"/>
      <c r="X95" s="322">
        <v>10000.0</v>
      </c>
      <c r="Y95" s="327"/>
      <c r="Z95" s="321"/>
      <c r="AA95" s="322">
        <v>10000.0</v>
      </c>
      <c r="AB95" s="327"/>
      <c r="AC95" s="321"/>
      <c r="AD95" s="322">
        <v>10000.0</v>
      </c>
      <c r="AE95" s="327"/>
      <c r="AF95" s="321"/>
      <c r="AG95" s="322">
        <v>10000.0</v>
      </c>
      <c r="AH95" s="327"/>
      <c r="AI95" s="321"/>
      <c r="AJ95" s="322">
        <v>10000.0</v>
      </c>
      <c r="AK95" s="327"/>
      <c r="AL95" s="321"/>
      <c r="AM95" s="322">
        <v>10000.0</v>
      </c>
      <c r="AN95" s="316" t="s">
        <v>216</v>
      </c>
      <c r="AO95" s="316"/>
      <c r="AP95" s="316"/>
      <c r="AQ95" s="316"/>
      <c r="AR95" s="316"/>
      <c r="AS95" s="316"/>
      <c r="AT95" s="316"/>
      <c r="AU95" s="316"/>
      <c r="AV95" s="316"/>
      <c r="AW95" s="316"/>
      <c r="AX95" s="316"/>
      <c r="AY95" s="316"/>
      <c r="AZ95" s="316"/>
      <c r="BA95" s="316"/>
      <c r="BB95" s="316"/>
      <c r="BC95" s="316"/>
      <c r="BD95" s="316"/>
      <c r="BE95" s="316"/>
      <c r="BF95" s="316"/>
      <c r="BG95" s="316"/>
      <c r="BH95" s="316"/>
      <c r="BI95" s="316"/>
      <c r="BJ95" s="316"/>
      <c r="BK95" s="316"/>
      <c r="BL95" s="316"/>
      <c r="BM95" s="316"/>
      <c r="BN95" s="316"/>
    </row>
    <row r="96" hidden="1" outlineLevel="1">
      <c r="A96" s="303" t="s">
        <v>210</v>
      </c>
      <c r="B96" s="304"/>
      <c r="C96" s="325" t="s">
        <v>54</v>
      </c>
      <c r="D96" s="327"/>
      <c r="E96" s="321"/>
      <c r="F96" s="322">
        <f>SUMIFS('지출'!$G$3:$G794,'지출'!$J$3:$J794,F$1,'지출'!$C$3:$C794,"신사")</f>
        <v>161130</v>
      </c>
      <c r="G96" s="327"/>
      <c r="H96" s="321"/>
      <c r="I96" s="322">
        <f>SUMIFS('지출'!$G$3:$G794,'지출'!$J$3:$J794,I$1,'지출'!$C$3:$C794,"신사")</f>
        <v>254920</v>
      </c>
      <c r="J96" s="327"/>
      <c r="K96" s="321"/>
      <c r="L96" s="322">
        <f>SUMIFS('지출'!$G$3:$G794,'지출'!$J$3:$J794,L$1,'지출'!$C$3:$C794,"신사")</f>
        <v>43000</v>
      </c>
      <c r="M96" s="327"/>
      <c r="N96" s="321"/>
      <c r="O96" s="322">
        <f>SUMIFS('지출'!$G$3:$G794,'지출'!$J$3:$J794,O$1,'지출'!$C$3:$C794,"신사")</f>
        <v>0</v>
      </c>
      <c r="P96" s="327"/>
      <c r="Q96" s="321"/>
      <c r="R96" s="322">
        <f>SUMIFS('지출'!$G$3:$G794,'지출'!$J$3:$J794,R$1,'지출'!$C$3:$C794,"신사")</f>
        <v>0</v>
      </c>
      <c r="S96" s="327"/>
      <c r="T96" s="321"/>
      <c r="U96" s="322">
        <f>SUMIFS('지출'!$G$3:$G794,'지출'!$J$3:$J794,U$1,'지출'!$C$3:$C794,"신사")</f>
        <v>0</v>
      </c>
      <c r="V96" s="327"/>
      <c r="W96" s="321"/>
      <c r="X96" s="322">
        <f>SUMIFS('지출'!$G$3:$G794,'지출'!$J$3:$J794,X$1,'지출'!$C$3:$C794,"신사")</f>
        <v>0</v>
      </c>
      <c r="Y96" s="327"/>
      <c r="Z96" s="321"/>
      <c r="AA96" s="322">
        <f>SUMIFS('지출'!$G$3:$G794,'지출'!$J$3:$J794,AA$1,'지출'!$C$3:$C794,"신사")</f>
        <v>0</v>
      </c>
      <c r="AB96" s="327"/>
      <c r="AC96" s="321"/>
      <c r="AD96" s="322">
        <f>SUMIFS('지출'!$G$3:$G794,'지출'!$J$3:$J794,AD$1,'지출'!$C$3:$C794,"신사")</f>
        <v>0</v>
      </c>
      <c r="AE96" s="327"/>
      <c r="AF96" s="321"/>
      <c r="AG96" s="322">
        <f>SUMIFS('지출'!$G$3:$G794,'지출'!$J$3:$J794,AG$1,'지출'!$C$3:$C794,"신사")</f>
        <v>0</v>
      </c>
      <c r="AH96" s="327"/>
      <c r="AI96" s="321"/>
      <c r="AJ96" s="322">
        <f>SUMIFS('지출'!$G$3:$G794,'지출'!$J$3:$J794,AJ$1,'지출'!$C$3:$C794,"신사")</f>
        <v>0</v>
      </c>
      <c r="AK96" s="327"/>
      <c r="AL96" s="321"/>
      <c r="AM96" s="322">
        <f>SUMIFS('지출'!$G$3:$G794,'지출'!$J$3:$J794,AM$1,'지출'!$C$3:$C794,"신사")</f>
        <v>0</v>
      </c>
      <c r="AN96" s="316" t="s">
        <v>216</v>
      </c>
      <c r="AO96" s="316"/>
      <c r="AP96" s="316"/>
      <c r="AQ96" s="316"/>
      <c r="AR96" s="316"/>
      <c r="AS96" s="316"/>
      <c r="AT96" s="316"/>
      <c r="AU96" s="316"/>
      <c r="AV96" s="316"/>
      <c r="AW96" s="316"/>
      <c r="AX96" s="316"/>
      <c r="AY96" s="316"/>
      <c r="AZ96" s="316"/>
      <c r="BA96" s="316"/>
      <c r="BB96" s="316"/>
      <c r="BC96" s="316"/>
      <c r="BD96" s="316"/>
      <c r="BE96" s="316"/>
      <c r="BF96" s="316"/>
      <c r="BG96" s="316"/>
      <c r="BH96" s="316"/>
      <c r="BI96" s="316"/>
      <c r="BJ96" s="316"/>
      <c r="BK96" s="316"/>
      <c r="BL96" s="316"/>
      <c r="BM96" s="316"/>
      <c r="BN96" s="316"/>
    </row>
    <row r="97" hidden="1" outlineLevel="1">
      <c r="A97" s="303" t="s">
        <v>210</v>
      </c>
      <c r="B97" s="304"/>
      <c r="C97" s="325" t="s">
        <v>56</v>
      </c>
      <c r="D97" s="320"/>
      <c r="E97" s="323">
        <f t="shared" ref="E97:F97" si="116">E87-(SUM(E88:E96))</f>
        <v>1304713</v>
      </c>
      <c r="F97" s="324">
        <f t="shared" si="116"/>
        <v>-82796</v>
      </c>
      <c r="G97" s="320"/>
      <c r="H97" s="323">
        <f t="shared" ref="H97:I97" si="117">H87-(SUM(H88:H96))</f>
        <v>1243769</v>
      </c>
      <c r="I97" s="324">
        <f t="shared" si="117"/>
        <v>-242559</v>
      </c>
      <c r="J97" s="320"/>
      <c r="K97" s="323">
        <f t="shared" ref="K97:L97" si="118">K87-(SUM(K88:K96))</f>
        <v>2189840</v>
      </c>
      <c r="L97" s="324">
        <f t="shared" si="118"/>
        <v>-32000</v>
      </c>
      <c r="M97" s="320"/>
      <c r="N97" s="323">
        <f t="shared" ref="N97:O97" si="119">N87-(SUM(N88:N96))</f>
        <v>2458507</v>
      </c>
      <c r="O97" s="324">
        <f t="shared" si="119"/>
        <v>754333</v>
      </c>
      <c r="P97" s="320"/>
      <c r="Q97" s="323">
        <f t="shared" ref="Q97:R97" si="120">Q87-(SUM(Q88:Q96))</f>
        <v>1719920</v>
      </c>
      <c r="R97" s="324">
        <f t="shared" si="120"/>
        <v>611000</v>
      </c>
      <c r="S97" s="320"/>
      <c r="T97" s="323">
        <f t="shared" ref="T97:U97" si="121">T87-(SUM(T88:T96))</f>
        <v>1668614</v>
      </c>
      <c r="U97" s="324">
        <f t="shared" si="121"/>
        <v>584333</v>
      </c>
      <c r="V97" s="320"/>
      <c r="W97" s="323">
        <f t="shared" ref="W97:X97" si="122">W87-(SUM(W88:W96))</f>
        <v>91533</v>
      </c>
      <c r="X97" s="324">
        <f t="shared" si="122"/>
        <v>330354</v>
      </c>
      <c r="Y97" s="320"/>
      <c r="Z97" s="323">
        <f t="shared" ref="Z97:AA97" si="123">Z87-(SUM(Z88:Z96))</f>
        <v>-219757</v>
      </c>
      <c r="AA97" s="324">
        <f t="shared" si="123"/>
        <v>318742</v>
      </c>
      <c r="AB97" s="320"/>
      <c r="AC97" s="323">
        <f t="shared" ref="AC97:AD97" si="124">AC87-(SUM(AC88:AC96))</f>
        <v>-660080</v>
      </c>
      <c r="AD97" s="324">
        <f t="shared" si="124"/>
        <v>251000</v>
      </c>
      <c r="AE97" s="320"/>
      <c r="AF97" s="323">
        <f t="shared" ref="AF97:AG97" si="125">AF87-(SUM(AF88:AF96))</f>
        <v>-1280080</v>
      </c>
      <c r="AG97" s="324">
        <f t="shared" si="125"/>
        <v>6000</v>
      </c>
      <c r="AH97" s="320"/>
      <c r="AI97" s="323">
        <f t="shared" ref="AI97:AJ97" si="126">AI87-(SUM(AI88:AI96))</f>
        <v>-1280080</v>
      </c>
      <c r="AJ97" s="324">
        <f t="shared" si="126"/>
        <v>151000</v>
      </c>
      <c r="AK97" s="320"/>
      <c r="AL97" s="323">
        <f t="shared" ref="AL97:AM97" si="127">AL87-(SUM(AL88:AL96))</f>
        <v>-1750000</v>
      </c>
      <c r="AM97" s="324">
        <f t="shared" si="127"/>
        <v>51000</v>
      </c>
      <c r="AN97" s="316" t="s">
        <v>216</v>
      </c>
      <c r="AO97" s="316"/>
      <c r="AP97" s="316"/>
      <c r="AQ97" s="316"/>
      <c r="AR97" s="316"/>
      <c r="AS97" s="316"/>
      <c r="AT97" s="316"/>
      <c r="AU97" s="316"/>
      <c r="AV97" s="316"/>
      <c r="AW97" s="316"/>
      <c r="AX97" s="316"/>
      <c r="AY97" s="316"/>
      <c r="AZ97" s="316"/>
      <c r="BA97" s="316"/>
      <c r="BB97" s="316"/>
      <c r="BC97" s="316"/>
      <c r="BD97" s="316"/>
      <c r="BE97" s="316"/>
      <c r="BF97" s="316"/>
      <c r="BG97" s="316"/>
      <c r="BH97" s="316"/>
      <c r="BI97" s="316"/>
      <c r="BJ97" s="316"/>
      <c r="BK97" s="316"/>
      <c r="BL97" s="316"/>
      <c r="BM97" s="316"/>
      <c r="BN97" s="316"/>
    </row>
    <row r="98">
      <c r="A98" s="303" t="s">
        <v>210</v>
      </c>
      <c r="B98" s="328">
        <v>0.0</v>
      </c>
      <c r="C98" s="325" t="s">
        <v>26</v>
      </c>
      <c r="D98" s="320"/>
      <c r="E98" s="323">
        <f>E97*$B98</f>
        <v>0</v>
      </c>
      <c r="F98" s="324"/>
      <c r="G98" s="320"/>
      <c r="H98" s="323">
        <f>H97*$B98</f>
        <v>0</v>
      </c>
      <c r="I98" s="324"/>
      <c r="J98" s="320"/>
      <c r="K98" s="323">
        <f>K97*$B98</f>
        <v>0</v>
      </c>
      <c r="L98" s="324"/>
      <c r="M98" s="320"/>
      <c r="N98" s="323">
        <f>N97*$B98</f>
        <v>0</v>
      </c>
      <c r="O98" s="324"/>
      <c r="P98" s="320"/>
      <c r="Q98" s="323">
        <f>Q97*$B98</f>
        <v>0</v>
      </c>
      <c r="R98" s="324"/>
      <c r="S98" s="320"/>
      <c r="T98" s="323">
        <f>T97*$B98</f>
        <v>0</v>
      </c>
      <c r="U98" s="324"/>
      <c r="V98" s="320"/>
      <c r="W98" s="323">
        <f>W97*$B98</f>
        <v>0</v>
      </c>
      <c r="X98" s="324"/>
      <c r="Y98" s="320"/>
      <c r="Z98" s="323">
        <f>Z97*$B98</f>
        <v>0</v>
      </c>
      <c r="AA98" s="324"/>
      <c r="AB98" s="320"/>
      <c r="AC98" s="323">
        <f>AC97*$B98</f>
        <v>0</v>
      </c>
      <c r="AD98" s="324"/>
      <c r="AE98" s="320"/>
      <c r="AF98" s="323">
        <f>AF97*$B98</f>
        <v>0</v>
      </c>
      <c r="AG98" s="324"/>
      <c r="AH98" s="320"/>
      <c r="AI98" s="323">
        <f>AI97*$B98</f>
        <v>0</v>
      </c>
      <c r="AJ98" s="324"/>
      <c r="AK98" s="320"/>
      <c r="AL98" s="323">
        <f>AL97*$B98</f>
        <v>0</v>
      </c>
      <c r="AM98" s="324"/>
      <c r="AN98" s="316" t="s">
        <v>216</v>
      </c>
      <c r="AO98" s="316"/>
      <c r="AP98" s="316"/>
      <c r="AQ98" s="316"/>
      <c r="AR98" s="316"/>
      <c r="AS98" s="316"/>
      <c r="AT98" s="316"/>
      <c r="AU98" s="316"/>
      <c r="AV98" s="316"/>
      <c r="AW98" s="316"/>
      <c r="AX98" s="316"/>
      <c r="AY98" s="316"/>
      <c r="AZ98" s="316"/>
      <c r="BA98" s="316"/>
      <c r="BB98" s="316"/>
      <c r="BC98" s="316"/>
      <c r="BD98" s="316"/>
      <c r="BE98" s="316"/>
      <c r="BF98" s="316"/>
      <c r="BG98" s="316"/>
      <c r="BH98" s="316"/>
      <c r="BI98" s="316"/>
      <c r="BJ98" s="316"/>
      <c r="BK98" s="316"/>
      <c r="BL98" s="316"/>
      <c r="BM98" s="316"/>
      <c r="BN98" s="316"/>
    </row>
    <row r="99">
      <c r="A99" s="303" t="s">
        <v>210</v>
      </c>
      <c r="B99" s="329">
        <v>1.0</v>
      </c>
      <c r="C99" s="330" t="s">
        <v>57</v>
      </c>
      <c r="D99" s="331"/>
      <c r="E99" s="332">
        <f>E97*$B99</f>
        <v>1304713</v>
      </c>
      <c r="F99" s="333"/>
      <c r="G99" s="331"/>
      <c r="H99" s="332">
        <f>H97*$B99</f>
        <v>1243769</v>
      </c>
      <c r="I99" s="333"/>
      <c r="J99" s="331"/>
      <c r="K99" s="332">
        <f>K97*$B99</f>
        <v>2189840</v>
      </c>
      <c r="L99" s="333"/>
      <c r="M99" s="331"/>
      <c r="N99" s="332">
        <f>N97*$B99</f>
        <v>2458507</v>
      </c>
      <c r="O99" s="333"/>
      <c r="P99" s="331"/>
      <c r="Q99" s="332">
        <f>Q97*$B99</f>
        <v>1719920</v>
      </c>
      <c r="R99" s="333"/>
      <c r="S99" s="331"/>
      <c r="T99" s="332">
        <f>T97*$B99</f>
        <v>1668614</v>
      </c>
      <c r="U99" s="333"/>
      <c r="V99" s="331"/>
      <c r="W99" s="332">
        <f>W97*$B99</f>
        <v>91533</v>
      </c>
      <c r="X99" s="333"/>
      <c r="Y99" s="331"/>
      <c r="Z99" s="332">
        <f>Z97*$B99</f>
        <v>-219757</v>
      </c>
      <c r="AA99" s="333"/>
      <c r="AB99" s="331"/>
      <c r="AC99" s="332">
        <f>AC97*$B99</f>
        <v>-660080</v>
      </c>
      <c r="AD99" s="333"/>
      <c r="AE99" s="331"/>
      <c r="AF99" s="332">
        <f>AF97*$B99</f>
        <v>-1280080</v>
      </c>
      <c r="AG99" s="333"/>
      <c r="AH99" s="331"/>
      <c r="AI99" s="332">
        <f>AI97*$B99</f>
        <v>-1280080</v>
      </c>
      <c r="AJ99" s="333"/>
      <c r="AK99" s="331"/>
      <c r="AL99" s="332">
        <f>AL97*$B99</f>
        <v>-1750000</v>
      </c>
      <c r="AM99" s="333"/>
      <c r="AN99" s="316" t="s">
        <v>216</v>
      </c>
      <c r="AO99" s="316"/>
      <c r="AP99" s="316"/>
      <c r="AQ99" s="316"/>
      <c r="AR99" s="316"/>
      <c r="AS99" s="316"/>
      <c r="AT99" s="316"/>
      <c r="AU99" s="316"/>
      <c r="AV99" s="316"/>
      <c r="AW99" s="316"/>
      <c r="AX99" s="316"/>
      <c r="AY99" s="316"/>
      <c r="AZ99" s="316"/>
      <c r="BA99" s="316"/>
      <c r="BB99" s="316"/>
      <c r="BC99" s="316"/>
      <c r="BD99" s="316"/>
      <c r="BE99" s="316"/>
      <c r="BF99" s="316"/>
      <c r="BG99" s="316"/>
      <c r="BH99" s="316"/>
      <c r="BI99" s="316"/>
      <c r="BJ99" s="316"/>
      <c r="BK99" s="316"/>
      <c r="BL99" s="316"/>
      <c r="BM99" s="316"/>
      <c r="BN99" s="316"/>
    </row>
    <row r="100">
      <c r="A100" s="303" t="s">
        <v>266</v>
      </c>
      <c r="B100" s="317" t="s">
        <v>266</v>
      </c>
      <c r="C100" s="325" t="s">
        <v>267</v>
      </c>
      <c r="D100" s="341" t="s">
        <v>1369</v>
      </c>
      <c r="E100" s="335">
        <v>680000.0</v>
      </c>
      <c r="F100" s="346">
        <v>100000.0</v>
      </c>
      <c r="G100" s="341" t="s">
        <v>1369</v>
      </c>
      <c r="H100" s="335">
        <v>680000.0</v>
      </c>
      <c r="I100" s="346">
        <v>100000.0</v>
      </c>
      <c r="J100" s="341" t="s">
        <v>1369</v>
      </c>
      <c r="K100" s="335">
        <v>680000.0</v>
      </c>
      <c r="L100" s="346">
        <v>100000.0</v>
      </c>
      <c r="M100" s="341" t="s">
        <v>1369</v>
      </c>
      <c r="N100" s="335">
        <v>680000.0</v>
      </c>
      <c r="O100" s="346">
        <v>100000.0</v>
      </c>
      <c r="P100" s="353" t="s">
        <v>2095</v>
      </c>
      <c r="Q100" s="335">
        <v>680000.0</v>
      </c>
      <c r="R100" s="346">
        <v>100000.0</v>
      </c>
      <c r="S100" s="317"/>
      <c r="T100" s="348"/>
      <c r="U100" s="345"/>
      <c r="V100" s="317"/>
      <c r="W100" s="348"/>
      <c r="X100" s="345"/>
      <c r="Y100" s="317"/>
      <c r="Z100" s="348"/>
      <c r="AA100" s="345"/>
      <c r="AB100" s="317"/>
      <c r="AC100" s="348"/>
      <c r="AD100" s="345"/>
      <c r="AE100" s="317"/>
      <c r="AF100" s="348"/>
      <c r="AG100" s="345"/>
      <c r="AH100" s="317"/>
      <c r="AI100" s="348"/>
      <c r="AJ100" s="345"/>
      <c r="AK100" s="317"/>
      <c r="AL100" s="348"/>
      <c r="AM100" s="345"/>
      <c r="AN100" s="316" t="s">
        <v>268</v>
      </c>
      <c r="AO100" s="316"/>
      <c r="AP100" s="316"/>
      <c r="AQ100" s="316"/>
      <c r="AR100" s="316"/>
      <c r="AS100" s="316"/>
      <c r="AT100" s="316"/>
      <c r="AU100" s="316"/>
      <c r="AV100" s="316"/>
      <c r="AW100" s="316"/>
      <c r="AX100" s="316"/>
      <c r="AY100" s="316"/>
      <c r="AZ100" s="316"/>
      <c r="BA100" s="316"/>
      <c r="BB100" s="316"/>
      <c r="BC100" s="316"/>
      <c r="BD100" s="316"/>
      <c r="BE100" s="316"/>
      <c r="BF100" s="316"/>
      <c r="BG100" s="316"/>
      <c r="BH100" s="316"/>
      <c r="BI100" s="316"/>
      <c r="BJ100" s="316"/>
      <c r="BK100" s="316"/>
      <c r="BL100" s="316"/>
      <c r="BM100" s="316"/>
      <c r="BN100" s="316"/>
    </row>
    <row r="101">
      <c r="A101" s="303" t="s">
        <v>266</v>
      </c>
      <c r="B101" s="317" t="s">
        <v>266</v>
      </c>
      <c r="C101" s="325" t="s">
        <v>269</v>
      </c>
      <c r="D101" s="347" t="s">
        <v>2096</v>
      </c>
      <c r="E101" s="348">
        <f>198000+411613</f>
        <v>609613</v>
      </c>
      <c r="F101" s="345">
        <f>30006+70968</f>
        <v>100974</v>
      </c>
      <c r="G101" s="317" t="s">
        <v>1046</v>
      </c>
      <c r="H101" s="348">
        <v>580000.0</v>
      </c>
      <c r="I101" s="345">
        <v>100000.0</v>
      </c>
      <c r="J101" s="317" t="s">
        <v>1046</v>
      </c>
      <c r="K101" s="348">
        <v>580000.0</v>
      </c>
      <c r="L101" s="345">
        <v>100000.0</v>
      </c>
      <c r="M101" s="317" t="s">
        <v>1046</v>
      </c>
      <c r="N101" s="348">
        <v>580000.0</v>
      </c>
      <c r="O101" s="345">
        <v>100000.0</v>
      </c>
      <c r="P101" s="317" t="s">
        <v>1046</v>
      </c>
      <c r="Q101" s="348">
        <v>580000.0</v>
      </c>
      <c r="R101" s="345">
        <v>100000.0</v>
      </c>
      <c r="S101" s="317" t="s">
        <v>1046</v>
      </c>
      <c r="T101" s="348">
        <v>580000.0</v>
      </c>
      <c r="U101" s="345">
        <v>100000.0</v>
      </c>
      <c r="V101" s="317" t="s">
        <v>2097</v>
      </c>
      <c r="W101" s="348">
        <v>168387.0</v>
      </c>
      <c r="X101" s="345">
        <v>29032.0</v>
      </c>
      <c r="Y101" s="317"/>
      <c r="Z101" s="348"/>
      <c r="AA101" s="345"/>
      <c r="AB101" s="317"/>
      <c r="AC101" s="348"/>
      <c r="AD101" s="345"/>
      <c r="AE101" s="317"/>
      <c r="AF101" s="348"/>
      <c r="AG101" s="345"/>
      <c r="AH101" s="317"/>
      <c r="AI101" s="348"/>
      <c r="AJ101" s="345"/>
      <c r="AK101" s="317"/>
      <c r="AL101" s="348"/>
      <c r="AM101" s="345"/>
      <c r="AN101" s="316" t="s">
        <v>268</v>
      </c>
      <c r="AO101" s="316"/>
      <c r="AP101" s="316"/>
      <c r="AQ101" s="316"/>
      <c r="AR101" s="316"/>
      <c r="AS101" s="316"/>
      <c r="AT101" s="316"/>
      <c r="AU101" s="316"/>
      <c r="AV101" s="316"/>
      <c r="AW101" s="316"/>
      <c r="AX101" s="316"/>
      <c r="AY101" s="316"/>
      <c r="AZ101" s="316"/>
      <c r="BA101" s="316"/>
      <c r="BB101" s="316"/>
      <c r="BC101" s="316"/>
      <c r="BD101" s="316"/>
      <c r="BE101" s="316"/>
      <c r="BF101" s="316"/>
      <c r="BG101" s="316"/>
      <c r="BH101" s="316"/>
      <c r="BI101" s="316"/>
      <c r="BJ101" s="316"/>
      <c r="BK101" s="316"/>
      <c r="BL101" s="316"/>
      <c r="BM101" s="316"/>
      <c r="BN101" s="316"/>
    </row>
    <row r="102">
      <c r="A102" s="303" t="s">
        <v>266</v>
      </c>
      <c r="B102" s="317" t="s">
        <v>266</v>
      </c>
      <c r="C102" s="325" t="s">
        <v>1380</v>
      </c>
      <c r="D102" s="341" t="s">
        <v>2098</v>
      </c>
      <c r="E102" s="335">
        <v>450000.0</v>
      </c>
      <c r="F102" s="346">
        <v>100000.0</v>
      </c>
      <c r="G102" s="341" t="s">
        <v>2098</v>
      </c>
      <c r="H102" s="335">
        <v>450000.0</v>
      </c>
      <c r="I102" s="346">
        <v>100000.0</v>
      </c>
      <c r="J102" s="353" t="s">
        <v>2099</v>
      </c>
      <c r="K102" s="335">
        <v>450000.0</v>
      </c>
      <c r="L102" s="346">
        <v>100000.0</v>
      </c>
      <c r="M102" s="317"/>
      <c r="N102" s="348"/>
      <c r="O102" s="345"/>
      <c r="P102" s="317"/>
      <c r="Q102" s="348"/>
      <c r="R102" s="345"/>
      <c r="S102" s="317"/>
      <c r="T102" s="348"/>
      <c r="U102" s="345"/>
      <c r="V102" s="317"/>
      <c r="W102" s="348"/>
      <c r="X102" s="345"/>
      <c r="Y102" s="317"/>
      <c r="Z102" s="348"/>
      <c r="AA102" s="345"/>
      <c r="AB102" s="317"/>
      <c r="AC102" s="348"/>
      <c r="AD102" s="345"/>
      <c r="AE102" s="317"/>
      <c r="AF102" s="348"/>
      <c r="AG102" s="345"/>
      <c r="AH102" s="317"/>
      <c r="AI102" s="348"/>
      <c r="AJ102" s="345"/>
      <c r="AK102" s="317"/>
      <c r="AL102" s="348"/>
      <c r="AM102" s="345"/>
      <c r="AN102" s="316" t="s">
        <v>268</v>
      </c>
      <c r="AO102" s="316"/>
      <c r="AP102" s="316"/>
      <c r="AQ102" s="316"/>
      <c r="AR102" s="316"/>
      <c r="AS102" s="316"/>
      <c r="AT102" s="316"/>
      <c r="AU102" s="316"/>
      <c r="AV102" s="316"/>
      <c r="AW102" s="316"/>
      <c r="AX102" s="316"/>
      <c r="AY102" s="316"/>
      <c r="AZ102" s="316"/>
      <c r="BA102" s="316"/>
      <c r="BB102" s="316"/>
      <c r="BC102" s="316"/>
      <c r="BD102" s="316"/>
      <c r="BE102" s="316"/>
      <c r="BF102" s="316"/>
      <c r="BG102" s="316"/>
      <c r="BH102" s="316"/>
      <c r="BI102" s="316"/>
      <c r="BJ102" s="316"/>
      <c r="BK102" s="316"/>
      <c r="BL102" s="316"/>
      <c r="BM102" s="316"/>
      <c r="BN102" s="316"/>
    </row>
    <row r="103">
      <c r="A103" s="303" t="s">
        <v>266</v>
      </c>
      <c r="B103" s="317" t="s">
        <v>266</v>
      </c>
      <c r="C103" s="325" t="s">
        <v>1383</v>
      </c>
      <c r="D103" s="341" t="s">
        <v>1384</v>
      </c>
      <c r="E103" s="335">
        <v>480000.0</v>
      </c>
      <c r="F103" s="346">
        <v>100000.0</v>
      </c>
      <c r="G103" s="353" t="s">
        <v>1384</v>
      </c>
      <c r="H103" s="335">
        <v>480000.0</v>
      </c>
      <c r="I103" s="346">
        <v>100000.0</v>
      </c>
      <c r="J103" s="353" t="s">
        <v>1384</v>
      </c>
      <c r="K103" s="348">
        <v>490000.0</v>
      </c>
      <c r="L103" s="346">
        <v>100000.0</v>
      </c>
      <c r="M103" s="353" t="s">
        <v>1384</v>
      </c>
      <c r="N103" s="348">
        <v>490000.0</v>
      </c>
      <c r="O103" s="346">
        <v>100000.0</v>
      </c>
      <c r="P103" s="353" t="s">
        <v>1384</v>
      </c>
      <c r="Q103" s="348">
        <v>490000.0</v>
      </c>
      <c r="R103" s="346">
        <v>100000.0</v>
      </c>
      <c r="S103" s="317"/>
      <c r="T103" s="348"/>
      <c r="U103" s="345"/>
      <c r="V103" s="317"/>
      <c r="W103" s="348"/>
      <c r="X103" s="345"/>
      <c r="Y103" s="317"/>
      <c r="Z103" s="348"/>
      <c r="AA103" s="345"/>
      <c r="AB103" s="317"/>
      <c r="AC103" s="348"/>
      <c r="AD103" s="345"/>
      <c r="AE103" s="317"/>
      <c r="AF103" s="348"/>
      <c r="AG103" s="345"/>
      <c r="AH103" s="317"/>
      <c r="AI103" s="348"/>
      <c r="AJ103" s="345"/>
      <c r="AK103" s="317"/>
      <c r="AL103" s="348"/>
      <c r="AM103" s="345"/>
      <c r="AN103" s="316" t="s">
        <v>268</v>
      </c>
      <c r="AO103" s="316"/>
      <c r="AP103" s="316"/>
      <c r="AQ103" s="316"/>
      <c r="AR103" s="316"/>
      <c r="AS103" s="316"/>
      <c r="AT103" s="316"/>
      <c r="AU103" s="316"/>
      <c r="AV103" s="316"/>
      <c r="AW103" s="316"/>
      <c r="AX103" s="316"/>
      <c r="AY103" s="316"/>
      <c r="AZ103" s="316"/>
      <c r="BA103" s="316"/>
      <c r="BB103" s="316"/>
      <c r="BC103" s="316"/>
      <c r="BD103" s="316"/>
      <c r="BE103" s="316"/>
      <c r="BF103" s="316"/>
      <c r="BG103" s="316"/>
      <c r="BH103" s="316"/>
      <c r="BI103" s="316"/>
      <c r="BJ103" s="316"/>
      <c r="BK103" s="316"/>
      <c r="BL103" s="316"/>
      <c r="BM103" s="316"/>
      <c r="BN103" s="316"/>
    </row>
    <row r="104">
      <c r="A104" s="303" t="s">
        <v>266</v>
      </c>
      <c r="B104" s="304"/>
      <c r="C104" s="305" t="s">
        <v>42</v>
      </c>
      <c r="D104" s="317"/>
      <c r="E104" s="323">
        <f>SUM(E100:E103)</f>
        <v>2219613</v>
      </c>
      <c r="F104" s="345"/>
      <c r="G104" s="317"/>
      <c r="H104" s="323">
        <f t="shared" ref="H104:I104" si="128">SUM(H100:H103)</f>
        <v>2190000</v>
      </c>
      <c r="I104" s="323">
        <f t="shared" si="128"/>
        <v>400000</v>
      </c>
      <c r="J104" s="317"/>
      <c r="K104" s="323">
        <f t="shared" ref="K104:L104" si="129">SUM(K100:K103)</f>
        <v>2200000</v>
      </c>
      <c r="L104" s="323">
        <f t="shared" si="129"/>
        <v>400000</v>
      </c>
      <c r="M104" s="317"/>
      <c r="N104" s="323">
        <f t="shared" ref="N104:O104" si="130">SUM(N100:N103)</f>
        <v>1750000</v>
      </c>
      <c r="O104" s="323">
        <f t="shared" si="130"/>
        <v>300000</v>
      </c>
      <c r="P104" s="317"/>
      <c r="Q104" s="323">
        <f t="shared" ref="Q104:R104" si="131">SUM(Q100:Q103)</f>
        <v>1750000</v>
      </c>
      <c r="R104" s="323">
        <f t="shared" si="131"/>
        <v>300000</v>
      </c>
      <c r="S104" s="317"/>
      <c r="T104" s="323">
        <f t="shared" ref="T104:U104" si="132">SUM(T100:T103)</f>
        <v>580000</v>
      </c>
      <c r="U104" s="323">
        <f t="shared" si="132"/>
        <v>100000</v>
      </c>
      <c r="V104" s="317"/>
      <c r="W104" s="323">
        <f t="shared" ref="W104:X104" si="133">SUM(W100:W103)</f>
        <v>168387</v>
      </c>
      <c r="X104" s="323">
        <f t="shared" si="133"/>
        <v>29032</v>
      </c>
      <c r="Y104" s="317"/>
      <c r="Z104" s="323">
        <f t="shared" ref="Z104:AA104" si="134">SUM(Z100:Z103)</f>
        <v>0</v>
      </c>
      <c r="AA104" s="323">
        <f t="shared" si="134"/>
        <v>0</v>
      </c>
      <c r="AB104" s="317"/>
      <c r="AC104" s="323">
        <f t="shared" ref="AC104:AD104" si="135">SUM(AC100:AC103)</f>
        <v>0</v>
      </c>
      <c r="AD104" s="323">
        <f t="shared" si="135"/>
        <v>0</v>
      </c>
      <c r="AE104" s="317"/>
      <c r="AF104" s="323">
        <f t="shared" ref="AF104:AG104" si="136">SUM(AF100:AF103)</f>
        <v>0</v>
      </c>
      <c r="AG104" s="323">
        <f t="shared" si="136"/>
        <v>0</v>
      </c>
      <c r="AH104" s="317"/>
      <c r="AI104" s="323">
        <f t="shared" ref="AI104:AJ104" si="137">SUM(AI100:AI103)</f>
        <v>0</v>
      </c>
      <c r="AJ104" s="323">
        <f t="shared" si="137"/>
        <v>0</v>
      </c>
      <c r="AK104" s="317"/>
      <c r="AL104" s="323">
        <f t="shared" ref="AL104:AM104" si="138">SUM(AL100:AL103)</f>
        <v>0</v>
      </c>
      <c r="AM104" s="345">
        <f t="shared" si="138"/>
        <v>0</v>
      </c>
      <c r="AN104" s="316" t="s">
        <v>268</v>
      </c>
      <c r="AO104" s="316"/>
      <c r="AP104" s="316"/>
      <c r="AQ104" s="316"/>
      <c r="AR104" s="316"/>
      <c r="AS104" s="316"/>
      <c r="AT104" s="316"/>
      <c r="AU104" s="316"/>
      <c r="AV104" s="316"/>
      <c r="AW104" s="316"/>
      <c r="AX104" s="316"/>
      <c r="AY104" s="316"/>
      <c r="AZ104" s="316"/>
      <c r="BA104" s="316"/>
      <c r="BB104" s="316"/>
      <c r="BC104" s="316"/>
      <c r="BD104" s="316"/>
      <c r="BE104" s="316"/>
      <c r="BF104" s="316"/>
      <c r="BG104" s="316"/>
      <c r="BH104" s="316"/>
      <c r="BI104" s="316"/>
      <c r="BJ104" s="316"/>
      <c r="BK104" s="316"/>
      <c r="BL104" s="316"/>
      <c r="BM104" s="316"/>
      <c r="BN104" s="316"/>
    </row>
    <row r="105" collapsed="1">
      <c r="A105" s="303" t="s">
        <v>266</v>
      </c>
      <c r="B105" s="304"/>
      <c r="C105" s="325" t="s">
        <v>43</v>
      </c>
      <c r="D105" s="317"/>
      <c r="E105" s="321">
        <v>1300000.0</v>
      </c>
      <c r="F105" s="345"/>
      <c r="G105" s="317"/>
      <c r="H105" s="321">
        <v>1300000.0</v>
      </c>
      <c r="I105" s="345"/>
      <c r="J105" s="317"/>
      <c r="K105" s="321">
        <v>1300000.0</v>
      </c>
      <c r="L105" s="345"/>
      <c r="M105" s="317"/>
      <c r="N105" s="321">
        <v>1300000.0</v>
      </c>
      <c r="O105" s="345"/>
      <c r="P105" s="317"/>
      <c r="Q105" s="321">
        <v>1400000.0</v>
      </c>
      <c r="R105" s="345"/>
      <c r="S105" s="317"/>
      <c r="T105" s="321">
        <v>1400000.0</v>
      </c>
      <c r="U105" s="345"/>
      <c r="V105" s="317"/>
      <c r="W105" s="321">
        <v>1400000.0</v>
      </c>
      <c r="X105" s="345"/>
      <c r="Y105" s="317"/>
      <c r="Z105" s="321">
        <v>1400000.0</v>
      </c>
      <c r="AA105" s="345"/>
      <c r="AB105" s="317"/>
      <c r="AC105" s="321">
        <v>1400000.0</v>
      </c>
      <c r="AD105" s="345"/>
      <c r="AE105" s="317"/>
      <c r="AF105" s="321">
        <v>1400000.0</v>
      </c>
      <c r="AG105" s="345"/>
      <c r="AH105" s="317"/>
      <c r="AI105" s="321">
        <v>1400000.0</v>
      </c>
      <c r="AJ105" s="345"/>
      <c r="AK105" s="317"/>
      <c r="AL105" s="321">
        <v>1400000.0</v>
      </c>
      <c r="AM105" s="345"/>
      <c r="AN105" s="316" t="s">
        <v>268</v>
      </c>
      <c r="AO105" s="316"/>
      <c r="AP105" s="316"/>
      <c r="AQ105" s="316"/>
      <c r="AR105" s="316"/>
      <c r="AS105" s="316"/>
      <c r="AT105" s="316"/>
      <c r="AU105" s="316"/>
      <c r="AV105" s="316"/>
      <c r="AW105" s="316"/>
      <c r="AX105" s="316"/>
      <c r="AY105" s="316"/>
      <c r="AZ105" s="316"/>
      <c r="BA105" s="316"/>
      <c r="BB105" s="316"/>
      <c r="BC105" s="316"/>
      <c r="BD105" s="316"/>
      <c r="BE105" s="316"/>
      <c r="BF105" s="316"/>
      <c r="BG105" s="316"/>
      <c r="BH105" s="316"/>
      <c r="BI105" s="316"/>
      <c r="BJ105" s="316"/>
      <c r="BK105" s="316"/>
      <c r="BL105" s="316"/>
      <c r="BM105" s="316"/>
      <c r="BN105" s="316"/>
    </row>
    <row r="106" hidden="1" outlineLevel="1">
      <c r="A106" s="303" t="s">
        <v>266</v>
      </c>
      <c r="B106" s="317"/>
      <c r="C106" s="325" t="s">
        <v>45</v>
      </c>
      <c r="D106" s="317"/>
      <c r="E106" s="348"/>
      <c r="F106" s="345" t="s">
        <v>44</v>
      </c>
      <c r="G106" s="317"/>
      <c r="H106" s="348"/>
      <c r="I106" s="345" t="s">
        <v>44</v>
      </c>
      <c r="J106" s="317"/>
      <c r="K106" s="348"/>
      <c r="L106" s="345"/>
      <c r="M106" s="317"/>
      <c r="N106" s="348"/>
      <c r="O106" s="345"/>
      <c r="P106" s="317"/>
      <c r="Q106" s="348"/>
      <c r="R106" s="345"/>
      <c r="S106" s="317"/>
      <c r="T106" s="348"/>
      <c r="U106" s="345"/>
      <c r="V106" s="317"/>
      <c r="W106" s="348"/>
      <c r="X106" s="345"/>
      <c r="Y106" s="317"/>
      <c r="Z106" s="348"/>
      <c r="AA106" s="345"/>
      <c r="AB106" s="317"/>
      <c r="AC106" s="348"/>
      <c r="AD106" s="345"/>
      <c r="AE106" s="317"/>
      <c r="AF106" s="348"/>
      <c r="AG106" s="345"/>
      <c r="AH106" s="317"/>
      <c r="AI106" s="348"/>
      <c r="AJ106" s="345"/>
      <c r="AK106" s="317"/>
      <c r="AL106" s="348"/>
      <c r="AM106" s="345"/>
      <c r="AN106" s="316" t="s">
        <v>268</v>
      </c>
      <c r="AO106" s="316"/>
      <c r="AP106" s="316"/>
      <c r="AQ106" s="316"/>
      <c r="AR106" s="316"/>
      <c r="AS106" s="316"/>
      <c r="AT106" s="316"/>
      <c r="AU106" s="316"/>
      <c r="AV106" s="316"/>
      <c r="AW106" s="316"/>
      <c r="AX106" s="316"/>
      <c r="AY106" s="316"/>
      <c r="AZ106" s="316"/>
      <c r="BA106" s="316"/>
      <c r="BB106" s="316"/>
      <c r="BC106" s="316"/>
      <c r="BD106" s="316"/>
      <c r="BE106" s="316"/>
      <c r="BF106" s="316"/>
      <c r="BG106" s="316"/>
      <c r="BH106" s="316"/>
      <c r="BI106" s="316"/>
      <c r="BJ106" s="316"/>
      <c r="BK106" s="316"/>
      <c r="BL106" s="316"/>
      <c r="BM106" s="316"/>
      <c r="BN106" s="316"/>
    </row>
    <row r="107" hidden="1" outlineLevel="1">
      <c r="A107" s="303" t="s">
        <v>266</v>
      </c>
      <c r="B107" s="317" t="s">
        <v>2100</v>
      </c>
      <c r="C107" s="325" t="s">
        <v>47</v>
      </c>
      <c r="D107" s="317"/>
      <c r="E107" s="348"/>
      <c r="F107" s="345">
        <v>32140.0</v>
      </c>
      <c r="G107" s="317"/>
      <c r="H107" s="348"/>
      <c r="I107" s="345">
        <v>34320.0</v>
      </c>
      <c r="J107" s="317" t="s">
        <v>2039</v>
      </c>
      <c r="K107" s="348"/>
      <c r="L107" s="345">
        <v>35000.0</v>
      </c>
      <c r="M107" s="317"/>
      <c r="N107" s="348"/>
      <c r="O107" s="345"/>
      <c r="P107" s="317"/>
      <c r="Q107" s="348"/>
      <c r="R107" s="345"/>
      <c r="S107" s="317"/>
      <c r="T107" s="348"/>
      <c r="U107" s="345"/>
      <c r="V107" s="317"/>
      <c r="W107" s="348"/>
      <c r="X107" s="345"/>
      <c r="Y107" s="317"/>
      <c r="Z107" s="348"/>
      <c r="AA107" s="345"/>
      <c r="AB107" s="317"/>
      <c r="AC107" s="348"/>
      <c r="AD107" s="345"/>
      <c r="AE107" s="317"/>
      <c r="AF107" s="348"/>
      <c r="AG107" s="345"/>
      <c r="AH107" s="317"/>
      <c r="AI107" s="348"/>
      <c r="AJ107" s="345"/>
      <c r="AK107" s="317"/>
      <c r="AL107" s="348"/>
      <c r="AM107" s="345"/>
      <c r="AN107" s="316" t="s">
        <v>268</v>
      </c>
      <c r="AO107" s="316"/>
      <c r="AP107" s="316"/>
      <c r="AQ107" s="316"/>
      <c r="AR107" s="316"/>
      <c r="AS107" s="316"/>
      <c r="AT107" s="316"/>
      <c r="AU107" s="316"/>
      <c r="AV107" s="316"/>
      <c r="AW107" s="316"/>
      <c r="AX107" s="316"/>
      <c r="AY107" s="316"/>
      <c r="AZ107" s="316"/>
      <c r="BA107" s="316"/>
      <c r="BB107" s="316"/>
      <c r="BC107" s="316"/>
      <c r="BD107" s="316"/>
      <c r="BE107" s="316"/>
      <c r="BF107" s="316"/>
      <c r="BG107" s="316"/>
      <c r="BH107" s="316"/>
      <c r="BI107" s="316"/>
      <c r="BJ107" s="316"/>
      <c r="BK107" s="316"/>
      <c r="BL107" s="316"/>
      <c r="BM107" s="316"/>
      <c r="BN107" s="316"/>
    </row>
    <row r="108" hidden="1" outlineLevel="1">
      <c r="A108" s="303" t="s">
        <v>266</v>
      </c>
      <c r="B108" s="317">
        <v>2.2683826E7</v>
      </c>
      <c r="C108" s="325" t="s">
        <v>261</v>
      </c>
      <c r="D108" s="317"/>
      <c r="E108" s="348"/>
      <c r="F108" s="345">
        <v>202600.0</v>
      </c>
      <c r="G108" s="317"/>
      <c r="H108" s="348"/>
      <c r="I108" s="345">
        <v>184570.0</v>
      </c>
      <c r="J108" s="317" t="s">
        <v>2039</v>
      </c>
      <c r="K108" s="348"/>
      <c r="L108" s="345">
        <v>200000.0</v>
      </c>
      <c r="M108" s="317"/>
      <c r="N108" s="348"/>
      <c r="O108" s="345"/>
      <c r="P108" s="317"/>
      <c r="Q108" s="348"/>
      <c r="R108" s="345"/>
      <c r="S108" s="317"/>
      <c r="T108" s="348"/>
      <c r="U108" s="345"/>
      <c r="V108" s="317"/>
      <c r="W108" s="348"/>
      <c r="X108" s="345"/>
      <c r="Y108" s="317"/>
      <c r="Z108" s="348"/>
      <c r="AA108" s="345"/>
      <c r="AB108" s="317"/>
      <c r="AC108" s="348"/>
      <c r="AD108" s="345"/>
      <c r="AE108" s="317"/>
      <c r="AF108" s="348"/>
      <c r="AG108" s="345"/>
      <c r="AH108" s="317"/>
      <c r="AI108" s="348"/>
      <c r="AJ108" s="345"/>
      <c r="AK108" s="317"/>
      <c r="AL108" s="348"/>
      <c r="AM108" s="345"/>
      <c r="AN108" s="316" t="s">
        <v>268</v>
      </c>
      <c r="AO108" s="316"/>
      <c r="AP108" s="316"/>
      <c r="AQ108" s="316"/>
      <c r="AR108" s="316"/>
      <c r="AS108" s="316"/>
      <c r="AT108" s="316"/>
      <c r="AU108" s="316"/>
      <c r="AV108" s="316"/>
      <c r="AW108" s="316"/>
      <c r="AX108" s="316"/>
      <c r="AY108" s="316"/>
      <c r="AZ108" s="316"/>
      <c r="BA108" s="316"/>
      <c r="BB108" s="316"/>
      <c r="BC108" s="316"/>
      <c r="BD108" s="316"/>
      <c r="BE108" s="316"/>
      <c r="BF108" s="316"/>
      <c r="BG108" s="316"/>
      <c r="BH108" s="316"/>
      <c r="BI108" s="316"/>
      <c r="BJ108" s="316"/>
      <c r="BK108" s="316"/>
      <c r="BL108" s="316"/>
      <c r="BM108" s="316"/>
      <c r="BN108" s="316"/>
    </row>
    <row r="109" hidden="1" outlineLevel="1">
      <c r="A109" s="303" t="s">
        <v>266</v>
      </c>
      <c r="B109" s="317"/>
      <c r="C109" s="325" t="s">
        <v>51</v>
      </c>
      <c r="D109" s="317"/>
      <c r="E109" s="348"/>
      <c r="F109" s="345">
        <v>30000.0</v>
      </c>
      <c r="G109" s="317"/>
      <c r="H109" s="348"/>
      <c r="I109" s="345">
        <v>30000.0</v>
      </c>
      <c r="J109" s="317"/>
      <c r="K109" s="348"/>
      <c r="L109" s="345">
        <v>30000.0</v>
      </c>
      <c r="M109" s="317"/>
      <c r="N109" s="348"/>
      <c r="O109" s="345">
        <v>30000.0</v>
      </c>
      <c r="P109" s="317"/>
      <c r="Q109" s="348"/>
      <c r="R109" s="345"/>
      <c r="S109" s="317"/>
      <c r="T109" s="348"/>
      <c r="U109" s="345"/>
      <c r="V109" s="317"/>
      <c r="W109" s="348"/>
      <c r="X109" s="345"/>
      <c r="Y109" s="317"/>
      <c r="Z109" s="348"/>
      <c r="AA109" s="345"/>
      <c r="AB109" s="317"/>
      <c r="AC109" s="348"/>
      <c r="AD109" s="345"/>
      <c r="AE109" s="317"/>
      <c r="AF109" s="348"/>
      <c r="AG109" s="345"/>
      <c r="AH109" s="317"/>
      <c r="AI109" s="348"/>
      <c r="AJ109" s="345"/>
      <c r="AK109" s="317"/>
      <c r="AL109" s="348"/>
      <c r="AM109" s="345"/>
      <c r="AN109" s="316" t="s">
        <v>268</v>
      </c>
      <c r="AO109" s="316"/>
      <c r="AP109" s="316"/>
      <c r="AQ109" s="316"/>
      <c r="AR109" s="316"/>
      <c r="AS109" s="316"/>
      <c r="AT109" s="316"/>
      <c r="AU109" s="316"/>
      <c r="AV109" s="316"/>
      <c r="AW109" s="316"/>
      <c r="AX109" s="316"/>
      <c r="AY109" s="316"/>
      <c r="AZ109" s="316"/>
      <c r="BA109" s="316"/>
      <c r="BB109" s="316"/>
      <c r="BC109" s="316"/>
      <c r="BD109" s="316"/>
      <c r="BE109" s="316"/>
      <c r="BF109" s="316"/>
      <c r="BG109" s="316"/>
      <c r="BH109" s="316"/>
      <c r="BI109" s="316"/>
      <c r="BJ109" s="316"/>
      <c r="BK109" s="316"/>
      <c r="BL109" s="316"/>
      <c r="BM109" s="316"/>
      <c r="BN109" s="316"/>
    </row>
    <row r="110" hidden="1" outlineLevel="1">
      <c r="A110" s="303" t="s">
        <v>266</v>
      </c>
      <c r="B110" s="304"/>
      <c r="C110" s="325" t="s">
        <v>52</v>
      </c>
      <c r="D110" s="317"/>
      <c r="E110" s="348"/>
      <c r="F110" s="345">
        <v>23100.0</v>
      </c>
      <c r="G110" s="317"/>
      <c r="H110" s="348"/>
      <c r="I110" s="345">
        <v>23100.0</v>
      </c>
      <c r="J110" s="317"/>
      <c r="K110" s="348"/>
      <c r="L110" s="345">
        <v>23100.0</v>
      </c>
      <c r="M110" s="317"/>
      <c r="N110" s="348"/>
      <c r="O110" s="345">
        <v>23100.0</v>
      </c>
      <c r="P110" s="317"/>
      <c r="Q110" s="348"/>
      <c r="R110" s="346">
        <v>23100.0</v>
      </c>
      <c r="S110" s="317"/>
      <c r="T110" s="348"/>
      <c r="U110" s="346">
        <v>23100.0</v>
      </c>
      <c r="V110" s="317"/>
      <c r="W110" s="348"/>
      <c r="X110" s="346">
        <v>23100.0</v>
      </c>
      <c r="Y110" s="317"/>
      <c r="Z110" s="348"/>
      <c r="AA110" s="346">
        <v>23100.0</v>
      </c>
      <c r="AB110" s="317"/>
      <c r="AC110" s="348"/>
      <c r="AD110" s="346">
        <v>23100.0</v>
      </c>
      <c r="AE110" s="317"/>
      <c r="AF110" s="348"/>
      <c r="AG110" s="346">
        <v>23100.0</v>
      </c>
      <c r="AH110" s="317"/>
      <c r="AI110" s="348"/>
      <c r="AJ110" s="346">
        <v>23100.0</v>
      </c>
      <c r="AK110" s="317"/>
      <c r="AL110" s="348"/>
      <c r="AM110" s="346">
        <v>23100.0</v>
      </c>
      <c r="AN110" s="316" t="s">
        <v>268</v>
      </c>
      <c r="AO110" s="316"/>
      <c r="AP110" s="316"/>
      <c r="AQ110" s="316"/>
      <c r="AR110" s="316"/>
      <c r="AS110" s="316"/>
      <c r="AT110" s="316"/>
      <c r="AU110" s="316"/>
      <c r="AV110" s="316"/>
      <c r="AW110" s="316"/>
      <c r="AX110" s="316"/>
      <c r="AY110" s="316"/>
      <c r="AZ110" s="316"/>
      <c r="BA110" s="316"/>
      <c r="BB110" s="316"/>
      <c r="BC110" s="316"/>
      <c r="BD110" s="316"/>
      <c r="BE110" s="316"/>
      <c r="BF110" s="316"/>
      <c r="BG110" s="316"/>
      <c r="BH110" s="316"/>
      <c r="BI110" s="316"/>
      <c r="BJ110" s="316"/>
      <c r="BK110" s="316"/>
      <c r="BL110" s="316"/>
      <c r="BM110" s="316"/>
      <c r="BN110" s="316"/>
    </row>
    <row r="111" hidden="1" outlineLevel="1">
      <c r="A111" s="303" t="s">
        <v>266</v>
      </c>
      <c r="B111" s="317" t="s">
        <v>264</v>
      </c>
      <c r="C111" s="325" t="s">
        <v>53</v>
      </c>
      <c r="D111" s="317"/>
      <c r="E111" s="348"/>
      <c r="F111" s="345">
        <v>10000.0</v>
      </c>
      <c r="G111" s="317"/>
      <c r="H111" s="348"/>
      <c r="I111" s="345">
        <v>10000.0</v>
      </c>
      <c r="J111" s="317"/>
      <c r="K111" s="348"/>
      <c r="L111" s="345">
        <v>10000.0</v>
      </c>
      <c r="M111" s="317"/>
      <c r="N111" s="348"/>
      <c r="O111" s="345">
        <v>10000.0</v>
      </c>
      <c r="P111" s="317"/>
      <c r="Q111" s="348"/>
      <c r="R111" s="346">
        <v>10000.0</v>
      </c>
      <c r="S111" s="317"/>
      <c r="T111" s="348"/>
      <c r="U111" s="346">
        <v>10000.0</v>
      </c>
      <c r="V111" s="317"/>
      <c r="W111" s="348"/>
      <c r="X111" s="346">
        <v>10000.0</v>
      </c>
      <c r="Y111" s="317"/>
      <c r="Z111" s="348"/>
      <c r="AA111" s="346">
        <v>10000.0</v>
      </c>
      <c r="AB111" s="317"/>
      <c r="AC111" s="348"/>
      <c r="AD111" s="346">
        <v>10000.0</v>
      </c>
      <c r="AE111" s="317"/>
      <c r="AF111" s="348"/>
      <c r="AG111" s="346">
        <v>10000.0</v>
      </c>
      <c r="AH111" s="317"/>
      <c r="AI111" s="348"/>
      <c r="AJ111" s="346">
        <v>10000.0</v>
      </c>
      <c r="AK111" s="317"/>
      <c r="AL111" s="348"/>
      <c r="AM111" s="346">
        <v>10000.0</v>
      </c>
      <c r="AN111" s="316" t="s">
        <v>268</v>
      </c>
      <c r="AO111" s="316"/>
      <c r="AP111" s="316"/>
      <c r="AQ111" s="316"/>
      <c r="AR111" s="316"/>
      <c r="AS111" s="316"/>
      <c r="AT111" s="316"/>
      <c r="AU111" s="316"/>
      <c r="AV111" s="316"/>
      <c r="AW111" s="316"/>
      <c r="AX111" s="316"/>
      <c r="AY111" s="316"/>
      <c r="AZ111" s="316"/>
      <c r="BA111" s="316"/>
      <c r="BB111" s="316"/>
      <c r="BC111" s="316"/>
      <c r="BD111" s="316"/>
      <c r="BE111" s="316"/>
      <c r="BF111" s="316"/>
      <c r="BG111" s="316"/>
      <c r="BH111" s="316"/>
      <c r="BI111" s="316"/>
      <c r="BJ111" s="316"/>
      <c r="BK111" s="316"/>
      <c r="BL111" s="316"/>
      <c r="BM111" s="316"/>
      <c r="BN111" s="316"/>
    </row>
    <row r="112" hidden="1" outlineLevel="1">
      <c r="A112" s="303" t="s">
        <v>266</v>
      </c>
      <c r="B112" s="317" t="s">
        <v>264</v>
      </c>
      <c r="C112" s="325" t="s">
        <v>274</v>
      </c>
      <c r="D112" s="317"/>
      <c r="E112" s="348"/>
      <c r="F112" s="345">
        <v>10000.0</v>
      </c>
      <c r="G112" s="317"/>
      <c r="H112" s="348"/>
      <c r="I112" s="345">
        <v>10000.0</v>
      </c>
      <c r="J112" s="317"/>
      <c r="K112" s="348"/>
      <c r="L112" s="345">
        <v>10000.0</v>
      </c>
      <c r="M112" s="317"/>
      <c r="N112" s="348"/>
      <c r="O112" s="345">
        <v>10000.0</v>
      </c>
      <c r="P112" s="317"/>
      <c r="Q112" s="348"/>
      <c r="R112" s="346">
        <v>10000.0</v>
      </c>
      <c r="S112" s="317"/>
      <c r="T112" s="348"/>
      <c r="U112" s="346">
        <v>10000.0</v>
      </c>
      <c r="V112" s="317"/>
      <c r="W112" s="348"/>
      <c r="X112" s="346">
        <v>10000.0</v>
      </c>
      <c r="Y112" s="317"/>
      <c r="Z112" s="348"/>
      <c r="AA112" s="346">
        <v>10000.0</v>
      </c>
      <c r="AB112" s="317"/>
      <c r="AC112" s="348"/>
      <c r="AD112" s="346">
        <v>10000.0</v>
      </c>
      <c r="AE112" s="317"/>
      <c r="AF112" s="348"/>
      <c r="AG112" s="346">
        <v>10000.0</v>
      </c>
      <c r="AH112" s="317"/>
      <c r="AI112" s="348"/>
      <c r="AJ112" s="346">
        <v>10000.0</v>
      </c>
      <c r="AK112" s="317"/>
      <c r="AL112" s="348"/>
      <c r="AM112" s="346">
        <v>10000.0</v>
      </c>
      <c r="AN112" s="316" t="s">
        <v>268</v>
      </c>
      <c r="AO112" s="316"/>
      <c r="AP112" s="316"/>
      <c r="AQ112" s="316"/>
      <c r="AR112" s="316"/>
      <c r="AS112" s="316"/>
      <c r="AT112" s="316"/>
      <c r="AU112" s="316"/>
      <c r="AV112" s="316"/>
      <c r="AW112" s="316"/>
      <c r="AX112" s="316"/>
      <c r="AY112" s="316"/>
      <c r="AZ112" s="316"/>
      <c r="BA112" s="316"/>
      <c r="BB112" s="316"/>
      <c r="BC112" s="316"/>
      <c r="BD112" s="316"/>
      <c r="BE112" s="316"/>
      <c r="BF112" s="316"/>
      <c r="BG112" s="316"/>
      <c r="BH112" s="316"/>
      <c r="BI112" s="316"/>
      <c r="BJ112" s="316"/>
      <c r="BK112" s="316"/>
      <c r="BL112" s="316"/>
      <c r="BM112" s="316"/>
      <c r="BN112" s="316"/>
    </row>
    <row r="113" hidden="1" outlineLevel="1">
      <c r="A113" s="303" t="s">
        <v>266</v>
      </c>
      <c r="B113" s="304"/>
      <c r="C113" s="325" t="s">
        <v>54</v>
      </c>
      <c r="D113" s="317"/>
      <c r="E113" s="348"/>
      <c r="F113" s="322">
        <f>SUMIFS('지출'!$G$3:$G794,'지출'!$J$3:$J794,F$1,'지출'!$C$3:$C794,"선릉")</f>
        <v>102310</v>
      </c>
      <c r="G113" s="317"/>
      <c r="H113" s="348"/>
      <c r="I113" s="322">
        <f>SUMIFS('지출'!$G$3:$G794,'지출'!$J$3:$J794,I$1,'지출'!$C$3:$C794,"선릉")</f>
        <v>49610</v>
      </c>
      <c r="J113" s="317"/>
      <c r="K113" s="348"/>
      <c r="L113" s="322">
        <f>SUMIFS('지출'!$G$3:$G794,'지출'!$J$3:$J794,L$1,'지출'!$C$3:$C794,"선릉")</f>
        <v>9630</v>
      </c>
      <c r="M113" s="317"/>
      <c r="N113" s="348"/>
      <c r="O113" s="322">
        <f>SUMIFS('지출'!$G$3:$G794,'지출'!$J$3:$J794,O$1,'지출'!$C$3:$C794,"선릉")</f>
        <v>0</v>
      </c>
      <c r="P113" s="317"/>
      <c r="Q113" s="348"/>
      <c r="R113" s="322">
        <f>SUMIFS('지출'!$G$3:$G794,'지출'!$J$3:$J794,R$1,'지출'!$C$3:$C794,"선릉")</f>
        <v>0</v>
      </c>
      <c r="S113" s="317"/>
      <c r="T113" s="348"/>
      <c r="U113" s="322">
        <f>SUMIFS('지출'!$G$3:$G794,'지출'!$J$3:$J794,U$1,'지출'!$C$3:$C794,"선릉")</f>
        <v>0</v>
      </c>
      <c r="V113" s="317"/>
      <c r="W113" s="348"/>
      <c r="X113" s="322">
        <f>SUMIFS('지출'!$G$3:$G794,'지출'!$J$3:$J794,X$1,'지출'!$C$3:$C794,"선릉")</f>
        <v>0</v>
      </c>
      <c r="Y113" s="317"/>
      <c r="Z113" s="348"/>
      <c r="AA113" s="322">
        <f>SUMIFS('지출'!$G$3:$G794,'지출'!$J$3:$J794,AA$1,'지출'!$C$3:$C794,"선릉")</f>
        <v>0</v>
      </c>
      <c r="AB113" s="317"/>
      <c r="AC113" s="348"/>
      <c r="AD113" s="322">
        <f>SUMIFS('지출'!$G$3:$G794,'지출'!$J$3:$J794,AD$1,'지출'!$C$3:$C794,"선릉")</f>
        <v>0</v>
      </c>
      <c r="AE113" s="317"/>
      <c r="AF113" s="348"/>
      <c r="AG113" s="322">
        <f>SUMIFS('지출'!$G$3:$G794,'지출'!$J$3:$J794,AG$1,'지출'!$C$3:$C794,"선릉")</f>
        <v>0</v>
      </c>
      <c r="AH113" s="317"/>
      <c r="AI113" s="348"/>
      <c r="AJ113" s="322">
        <f>SUMIFS('지출'!$G$3:$G794,'지출'!$J$3:$J794,AJ$1,'지출'!$C$3:$C794,"선릉")</f>
        <v>0</v>
      </c>
      <c r="AK113" s="317"/>
      <c r="AL113" s="348"/>
      <c r="AM113" s="322">
        <f>SUMIFS('지출'!$G$3:$G794,'지출'!$J$3:$J794,AM$1,'지출'!$C$3:$C794,"선릉")</f>
        <v>0</v>
      </c>
      <c r="AN113" s="316" t="s">
        <v>268</v>
      </c>
      <c r="AO113" s="316"/>
      <c r="AP113" s="316"/>
      <c r="AQ113" s="316"/>
      <c r="AR113" s="316"/>
      <c r="AS113" s="316"/>
      <c r="AT113" s="316"/>
      <c r="AU113" s="316"/>
      <c r="AV113" s="316"/>
      <c r="AW113" s="316"/>
      <c r="AX113" s="316"/>
      <c r="AY113" s="316"/>
      <c r="AZ113" s="316"/>
      <c r="BA113" s="316"/>
      <c r="BB113" s="316"/>
      <c r="BC113" s="316"/>
      <c r="BD113" s="316"/>
      <c r="BE113" s="316"/>
      <c r="BF113" s="316"/>
      <c r="BG113" s="316"/>
      <c r="BH113" s="316"/>
      <c r="BI113" s="316"/>
      <c r="BJ113" s="316"/>
      <c r="BK113" s="316"/>
      <c r="BL113" s="316"/>
      <c r="BM113" s="316"/>
      <c r="BN113" s="316"/>
    </row>
    <row r="114">
      <c r="A114" s="303" t="s">
        <v>266</v>
      </c>
      <c r="B114" s="304"/>
      <c r="C114" s="325" t="s">
        <v>56</v>
      </c>
      <c r="D114" s="317"/>
      <c r="E114" s="323">
        <f>E104-(SUM(E105:E113))</f>
        <v>919613</v>
      </c>
      <c r="F114" s="345"/>
      <c r="G114" s="317"/>
      <c r="H114" s="323">
        <f>H104-(SUM(H105:H113))</f>
        <v>890000</v>
      </c>
      <c r="I114" s="345"/>
      <c r="J114" s="317"/>
      <c r="K114" s="323">
        <f>K104-(SUM(K105:K113))</f>
        <v>900000</v>
      </c>
      <c r="L114" s="345"/>
      <c r="M114" s="317"/>
      <c r="N114" s="323">
        <f>N104-(SUM(N105:N113))</f>
        <v>450000</v>
      </c>
      <c r="O114" s="345"/>
      <c r="P114" s="317"/>
      <c r="Q114" s="323">
        <f>Q104-(SUM(Q105:Q113))</f>
        <v>350000</v>
      </c>
      <c r="R114" s="345"/>
      <c r="S114" s="317"/>
      <c r="T114" s="323">
        <f>T104-(SUM(T105:T113))</f>
        <v>-820000</v>
      </c>
      <c r="U114" s="345"/>
      <c r="V114" s="317"/>
      <c r="W114" s="323">
        <f>W104-(SUM(W105:W113))</f>
        <v>-1231613</v>
      </c>
      <c r="X114" s="345"/>
      <c r="Y114" s="317"/>
      <c r="Z114" s="323">
        <f>Z104-(SUM(Z105:Z113))</f>
        <v>-1400000</v>
      </c>
      <c r="AA114" s="345"/>
      <c r="AB114" s="317"/>
      <c r="AC114" s="323">
        <f>AC104-(SUM(AC105:AC113))</f>
        <v>-1400000</v>
      </c>
      <c r="AD114" s="345"/>
      <c r="AE114" s="317"/>
      <c r="AF114" s="323">
        <f>AF104-(SUM(AF105:AF113))</f>
        <v>-1400000</v>
      </c>
      <c r="AG114" s="345"/>
      <c r="AH114" s="317"/>
      <c r="AI114" s="323">
        <f>AI104-(SUM(AI105:AI113))</f>
        <v>-1400000</v>
      </c>
      <c r="AJ114" s="345"/>
      <c r="AK114" s="317"/>
      <c r="AL114" s="323">
        <f>AL104-(SUM(AL105:AL113))</f>
        <v>-1400000</v>
      </c>
      <c r="AM114" s="345"/>
      <c r="AN114" s="316" t="s">
        <v>268</v>
      </c>
      <c r="AO114" s="316"/>
      <c r="AP114" s="316"/>
      <c r="AQ114" s="316"/>
      <c r="AR114" s="316"/>
      <c r="AS114" s="316"/>
      <c r="AT114" s="316"/>
      <c r="AU114" s="316"/>
      <c r="AV114" s="316"/>
      <c r="AW114" s="316"/>
      <c r="AX114" s="316"/>
      <c r="AY114" s="316"/>
      <c r="AZ114" s="316"/>
      <c r="BA114" s="316"/>
      <c r="BB114" s="316"/>
      <c r="BC114" s="316"/>
      <c r="BD114" s="316"/>
      <c r="BE114" s="316"/>
      <c r="BF114" s="316"/>
      <c r="BG114" s="316"/>
      <c r="BH114" s="316"/>
      <c r="BI114" s="316"/>
      <c r="BJ114" s="316"/>
      <c r="BK114" s="316"/>
      <c r="BL114" s="316"/>
      <c r="BM114" s="316"/>
      <c r="BN114" s="316"/>
    </row>
    <row r="115">
      <c r="A115" s="303" t="s">
        <v>266</v>
      </c>
      <c r="B115" s="328">
        <v>0.7</v>
      </c>
      <c r="C115" s="325" t="s">
        <v>26</v>
      </c>
      <c r="D115" s="317"/>
      <c r="E115" s="323">
        <f>E114*$B115</f>
        <v>643729.1</v>
      </c>
      <c r="F115" s="345"/>
      <c r="G115" s="317"/>
      <c r="H115" s="323">
        <f>H114*$B115</f>
        <v>623000</v>
      </c>
      <c r="I115" s="345"/>
      <c r="J115" s="317"/>
      <c r="K115" s="323">
        <f>K114*$B115</f>
        <v>630000</v>
      </c>
      <c r="L115" s="345"/>
      <c r="M115" s="317"/>
      <c r="N115" s="323">
        <f>N114*$B115</f>
        <v>315000</v>
      </c>
      <c r="O115" s="345"/>
      <c r="P115" s="317"/>
      <c r="Q115" s="323">
        <f>Q114*$B115</f>
        <v>245000</v>
      </c>
      <c r="R115" s="345"/>
      <c r="S115" s="317"/>
      <c r="T115" s="323">
        <f>T114*$B115</f>
        <v>-574000</v>
      </c>
      <c r="U115" s="345"/>
      <c r="V115" s="317"/>
      <c r="W115" s="323">
        <f>W114*$B115</f>
        <v>-862129.1</v>
      </c>
      <c r="X115" s="345"/>
      <c r="Y115" s="317"/>
      <c r="Z115" s="323">
        <f>Z114*$B115</f>
        <v>-980000</v>
      </c>
      <c r="AA115" s="345"/>
      <c r="AB115" s="317"/>
      <c r="AC115" s="323">
        <f>AC114*$B115</f>
        <v>-980000</v>
      </c>
      <c r="AD115" s="345"/>
      <c r="AE115" s="317"/>
      <c r="AF115" s="323">
        <f>AF114*$B115</f>
        <v>-980000</v>
      </c>
      <c r="AG115" s="345"/>
      <c r="AH115" s="317"/>
      <c r="AI115" s="323">
        <f>AI114*$B115</f>
        <v>-980000</v>
      </c>
      <c r="AJ115" s="345"/>
      <c r="AK115" s="317"/>
      <c r="AL115" s="323">
        <f>AL114*$B115</f>
        <v>-980000</v>
      </c>
      <c r="AM115" s="345"/>
      <c r="AN115" s="316" t="s">
        <v>268</v>
      </c>
      <c r="AO115" s="316"/>
      <c r="AP115" s="316"/>
      <c r="AQ115" s="316"/>
      <c r="AR115" s="316"/>
      <c r="AS115" s="316"/>
      <c r="AT115" s="316"/>
      <c r="AU115" s="316"/>
      <c r="AV115" s="316"/>
      <c r="AW115" s="316"/>
      <c r="AX115" s="316"/>
      <c r="AY115" s="316"/>
      <c r="AZ115" s="316"/>
      <c r="BA115" s="316"/>
      <c r="BB115" s="316"/>
      <c r="BC115" s="316"/>
      <c r="BD115" s="316"/>
      <c r="BE115" s="316"/>
      <c r="BF115" s="316"/>
      <c r="BG115" s="316"/>
      <c r="BH115" s="316"/>
      <c r="BI115" s="316"/>
      <c r="BJ115" s="316"/>
      <c r="BK115" s="316"/>
      <c r="BL115" s="316"/>
      <c r="BM115" s="316"/>
      <c r="BN115" s="316"/>
    </row>
    <row r="116">
      <c r="A116" s="303" t="s">
        <v>266</v>
      </c>
      <c r="B116" s="329">
        <v>0.3</v>
      </c>
      <c r="C116" s="330" t="s">
        <v>57</v>
      </c>
      <c r="D116" s="331"/>
      <c r="E116" s="332">
        <f>E114*$B116</f>
        <v>275883.9</v>
      </c>
      <c r="F116" s="333"/>
      <c r="G116" s="331"/>
      <c r="H116" s="332">
        <f>H114*$B116</f>
        <v>267000</v>
      </c>
      <c r="I116" s="333"/>
      <c r="J116" s="331"/>
      <c r="K116" s="332">
        <f>K114*$B116</f>
        <v>270000</v>
      </c>
      <c r="L116" s="333"/>
      <c r="M116" s="331"/>
      <c r="N116" s="332">
        <f>N114*$B116</f>
        <v>135000</v>
      </c>
      <c r="O116" s="333"/>
      <c r="P116" s="331"/>
      <c r="Q116" s="332">
        <f>Q114*$B116</f>
        <v>105000</v>
      </c>
      <c r="R116" s="333"/>
      <c r="S116" s="331"/>
      <c r="T116" s="332">
        <f>T114*$B116</f>
        <v>-246000</v>
      </c>
      <c r="U116" s="333"/>
      <c r="V116" s="331"/>
      <c r="W116" s="332">
        <f>W114*$B116</f>
        <v>-369483.9</v>
      </c>
      <c r="X116" s="333"/>
      <c r="Y116" s="331"/>
      <c r="Z116" s="332">
        <f>Z114*$B116</f>
        <v>-420000</v>
      </c>
      <c r="AA116" s="333"/>
      <c r="AB116" s="331"/>
      <c r="AC116" s="332">
        <f>AC114*$B116</f>
        <v>-420000</v>
      </c>
      <c r="AD116" s="333"/>
      <c r="AE116" s="331"/>
      <c r="AF116" s="332">
        <f>AF114*$B116</f>
        <v>-420000</v>
      </c>
      <c r="AG116" s="333"/>
      <c r="AH116" s="331"/>
      <c r="AI116" s="332">
        <f>AI114*$B116</f>
        <v>-420000</v>
      </c>
      <c r="AJ116" s="333"/>
      <c r="AK116" s="331"/>
      <c r="AL116" s="332">
        <f>AL114*$B116</f>
        <v>-420000</v>
      </c>
      <c r="AM116" s="333"/>
      <c r="AN116" s="316" t="s">
        <v>268</v>
      </c>
      <c r="AO116" s="316"/>
      <c r="AP116" s="316"/>
      <c r="AQ116" s="316"/>
      <c r="AR116" s="316"/>
      <c r="AS116" s="316"/>
      <c r="AT116" s="316"/>
      <c r="AU116" s="316"/>
      <c r="AV116" s="316"/>
      <c r="AW116" s="316"/>
      <c r="AX116" s="316"/>
      <c r="AY116" s="316"/>
      <c r="AZ116" s="316"/>
      <c r="BA116" s="316"/>
      <c r="BB116" s="316"/>
      <c r="BC116" s="316"/>
      <c r="BD116" s="316"/>
      <c r="BE116" s="316"/>
      <c r="BF116" s="316"/>
      <c r="BG116" s="316"/>
      <c r="BH116" s="316"/>
      <c r="BI116" s="316"/>
      <c r="BJ116" s="316"/>
      <c r="BK116" s="316"/>
      <c r="BL116" s="316"/>
      <c r="BM116" s="316"/>
      <c r="BN116" s="316"/>
    </row>
    <row r="117">
      <c r="A117" s="303" t="s">
        <v>275</v>
      </c>
      <c r="B117" s="317" t="s">
        <v>275</v>
      </c>
      <c r="C117" s="325" t="s">
        <v>276</v>
      </c>
      <c r="D117" s="317" t="s">
        <v>279</v>
      </c>
      <c r="E117" s="348">
        <v>300000.0</v>
      </c>
      <c r="F117" s="346">
        <v>80000.0</v>
      </c>
      <c r="G117" s="317" t="s">
        <v>279</v>
      </c>
      <c r="H117" s="348">
        <v>300000.0</v>
      </c>
      <c r="I117" s="346">
        <v>80000.0</v>
      </c>
      <c r="J117" s="347" t="s">
        <v>279</v>
      </c>
      <c r="K117" s="348">
        <v>430000.0</v>
      </c>
      <c r="L117" s="345">
        <v>100000.0</v>
      </c>
      <c r="M117" s="347" t="s">
        <v>279</v>
      </c>
      <c r="N117" s="348">
        <v>430000.0</v>
      </c>
      <c r="O117" s="345">
        <v>100000.0</v>
      </c>
      <c r="P117" s="347" t="s">
        <v>279</v>
      </c>
      <c r="Q117" s="348">
        <v>430000.0</v>
      </c>
      <c r="R117" s="345">
        <v>100000.0</v>
      </c>
      <c r="S117" s="347" t="s">
        <v>279</v>
      </c>
      <c r="T117" s="348">
        <v>430000.0</v>
      </c>
      <c r="U117" s="345">
        <v>100000.0</v>
      </c>
      <c r="V117" s="347" t="s">
        <v>279</v>
      </c>
      <c r="W117" s="348">
        <v>430000.0</v>
      </c>
      <c r="X117" s="345">
        <v>100000.0</v>
      </c>
      <c r="Y117" s="347" t="s">
        <v>279</v>
      </c>
      <c r="Z117" s="348">
        <v>430000.0</v>
      </c>
      <c r="AA117" s="345">
        <v>100000.0</v>
      </c>
      <c r="AB117" s="347" t="s">
        <v>279</v>
      </c>
      <c r="AC117" s="348">
        <v>430000.0</v>
      </c>
      <c r="AD117" s="345">
        <v>100000.0</v>
      </c>
      <c r="AE117" s="347" t="s">
        <v>279</v>
      </c>
      <c r="AF117" s="348">
        <v>430000.0</v>
      </c>
      <c r="AG117" s="345">
        <v>100000.0</v>
      </c>
      <c r="AH117" s="347" t="s">
        <v>279</v>
      </c>
      <c r="AI117" s="348">
        <v>430000.0</v>
      </c>
      <c r="AJ117" s="345">
        <v>100000.0</v>
      </c>
      <c r="AK117" s="347" t="s">
        <v>279</v>
      </c>
      <c r="AL117" s="348">
        <v>430000.0</v>
      </c>
      <c r="AM117" s="345">
        <v>100000.0</v>
      </c>
      <c r="AN117" s="316" t="s">
        <v>280</v>
      </c>
      <c r="AO117" s="316"/>
      <c r="AP117" s="316"/>
      <c r="AQ117" s="316"/>
      <c r="AR117" s="316"/>
      <c r="AS117" s="316"/>
      <c r="AT117" s="316"/>
      <c r="AU117" s="316"/>
      <c r="AV117" s="316"/>
      <c r="AW117" s="316"/>
      <c r="AX117" s="316"/>
      <c r="AY117" s="316"/>
      <c r="AZ117" s="316"/>
      <c r="BA117" s="316"/>
      <c r="BB117" s="316"/>
      <c r="BC117" s="316"/>
      <c r="BD117" s="316"/>
      <c r="BE117" s="316"/>
      <c r="BF117" s="316"/>
      <c r="BG117" s="316"/>
      <c r="BH117" s="316"/>
      <c r="BI117" s="316"/>
      <c r="BJ117" s="316"/>
      <c r="BK117" s="316"/>
      <c r="BL117" s="316"/>
      <c r="BM117" s="316"/>
      <c r="BN117" s="316"/>
    </row>
    <row r="118">
      <c r="A118" s="303" t="s">
        <v>275</v>
      </c>
      <c r="B118" s="317" t="s">
        <v>275</v>
      </c>
      <c r="C118" s="325" t="s">
        <v>281</v>
      </c>
      <c r="D118" s="341" t="s">
        <v>2101</v>
      </c>
      <c r="E118" s="335">
        <v>462800.0</v>
      </c>
      <c r="F118" s="346">
        <v>100000.0</v>
      </c>
      <c r="G118" s="353" t="s">
        <v>2102</v>
      </c>
      <c r="H118" s="335">
        <v>462800.0</v>
      </c>
      <c r="I118" s="346">
        <v>100000.0</v>
      </c>
      <c r="J118" s="347" t="s">
        <v>37</v>
      </c>
      <c r="K118" s="321"/>
      <c r="L118" s="322"/>
      <c r="M118" s="326"/>
      <c r="N118" s="321"/>
      <c r="O118" s="322"/>
      <c r="P118" s="326"/>
      <c r="Q118" s="321"/>
      <c r="R118" s="322"/>
      <c r="S118" s="326"/>
      <c r="T118" s="321"/>
      <c r="U118" s="322"/>
      <c r="V118" s="326"/>
      <c r="W118" s="321"/>
      <c r="X118" s="322"/>
      <c r="Y118" s="326"/>
      <c r="Z118" s="321"/>
      <c r="AA118" s="322"/>
      <c r="AB118" s="326"/>
      <c r="AC118" s="321"/>
      <c r="AD118" s="322"/>
      <c r="AE118" s="326"/>
      <c r="AF118" s="321"/>
      <c r="AG118" s="322"/>
      <c r="AH118" s="326"/>
      <c r="AI118" s="321"/>
      <c r="AJ118" s="322"/>
      <c r="AK118" s="326"/>
      <c r="AL118" s="321"/>
      <c r="AM118" s="322"/>
      <c r="AN118" s="316" t="s">
        <v>280</v>
      </c>
      <c r="AO118" s="316"/>
      <c r="AP118" s="316"/>
      <c r="AQ118" s="316"/>
      <c r="AR118" s="316"/>
      <c r="AS118" s="316"/>
      <c r="AT118" s="316"/>
      <c r="AU118" s="316"/>
      <c r="AV118" s="316"/>
      <c r="AW118" s="316"/>
      <c r="AX118" s="316"/>
      <c r="AY118" s="316"/>
      <c r="AZ118" s="316"/>
      <c r="BA118" s="316"/>
      <c r="BB118" s="316"/>
      <c r="BC118" s="316"/>
      <c r="BD118" s="316"/>
      <c r="BE118" s="316"/>
      <c r="BF118" s="316"/>
      <c r="BG118" s="316"/>
      <c r="BH118" s="316"/>
      <c r="BI118" s="316"/>
      <c r="BJ118" s="316"/>
      <c r="BK118" s="316"/>
      <c r="BL118" s="316"/>
      <c r="BM118" s="316"/>
      <c r="BN118" s="316"/>
    </row>
    <row r="119">
      <c r="A119" s="303" t="s">
        <v>275</v>
      </c>
      <c r="B119" s="317" t="s">
        <v>275</v>
      </c>
      <c r="C119" s="325" t="s">
        <v>289</v>
      </c>
      <c r="D119" s="334" t="s">
        <v>2103</v>
      </c>
      <c r="E119" s="348">
        <v>290000.0</v>
      </c>
      <c r="F119" s="346">
        <v>100000.0</v>
      </c>
      <c r="G119" s="347" t="s">
        <v>2104</v>
      </c>
      <c r="H119" s="348">
        <f>290000-31071</f>
        <v>258929</v>
      </c>
      <c r="I119" s="346">
        <f>100000-10714</f>
        <v>89286</v>
      </c>
      <c r="J119" s="347" t="s">
        <v>37</v>
      </c>
      <c r="K119" s="321"/>
      <c r="L119" s="322"/>
      <c r="M119" s="317"/>
      <c r="N119" s="321"/>
      <c r="O119" s="322"/>
      <c r="P119" s="317"/>
      <c r="Q119" s="321"/>
      <c r="R119" s="322"/>
      <c r="S119" s="317"/>
      <c r="T119" s="321"/>
      <c r="U119" s="322"/>
      <c r="V119" s="317"/>
      <c r="W119" s="321"/>
      <c r="X119" s="322"/>
      <c r="Y119" s="317"/>
      <c r="Z119" s="321"/>
      <c r="AA119" s="322"/>
      <c r="AB119" s="317"/>
      <c r="AC119" s="321"/>
      <c r="AD119" s="322"/>
      <c r="AE119" s="317"/>
      <c r="AF119" s="321"/>
      <c r="AG119" s="322"/>
      <c r="AH119" s="317"/>
      <c r="AI119" s="321"/>
      <c r="AJ119" s="322"/>
      <c r="AK119" s="317"/>
      <c r="AL119" s="321"/>
      <c r="AM119" s="322"/>
      <c r="AN119" s="331" t="s">
        <v>280</v>
      </c>
      <c r="AO119" s="332"/>
      <c r="AP119" s="316"/>
      <c r="AQ119" s="316"/>
      <c r="AR119" s="316"/>
      <c r="AS119" s="316"/>
      <c r="AT119" s="316"/>
      <c r="AU119" s="316"/>
      <c r="AV119" s="316"/>
      <c r="AW119" s="316"/>
      <c r="AX119" s="316"/>
      <c r="AY119" s="316"/>
      <c r="AZ119" s="316"/>
      <c r="BA119" s="316"/>
      <c r="BB119" s="316"/>
      <c r="BC119" s="316"/>
      <c r="BD119" s="316"/>
      <c r="BE119" s="316"/>
      <c r="BF119" s="316"/>
      <c r="BG119" s="316"/>
      <c r="BH119" s="316"/>
      <c r="BI119" s="316"/>
      <c r="BJ119" s="316"/>
      <c r="BK119" s="316"/>
      <c r="BL119" s="316"/>
      <c r="BM119" s="316"/>
      <c r="BN119" s="316"/>
    </row>
    <row r="120">
      <c r="A120" s="303" t="s">
        <v>275</v>
      </c>
      <c r="B120" s="317" t="s">
        <v>275</v>
      </c>
      <c r="C120" s="325" t="s">
        <v>296</v>
      </c>
      <c r="D120" s="334" t="s">
        <v>2105</v>
      </c>
      <c r="E120" s="335">
        <v>400000.0</v>
      </c>
      <c r="F120" s="346">
        <v>80000.0</v>
      </c>
      <c r="G120" s="347" t="s">
        <v>2106</v>
      </c>
      <c r="H120" s="335">
        <f>400000+15000</f>
        <v>415000</v>
      </c>
      <c r="I120" s="346">
        <f>80000+3571</f>
        <v>83571</v>
      </c>
      <c r="J120" s="317" t="s">
        <v>1398</v>
      </c>
      <c r="K120" s="321">
        <v>420000.0</v>
      </c>
      <c r="L120" s="322">
        <v>100000.0</v>
      </c>
      <c r="M120" s="317" t="s">
        <v>1398</v>
      </c>
      <c r="N120" s="321">
        <v>420000.0</v>
      </c>
      <c r="O120" s="322">
        <v>100000.0</v>
      </c>
      <c r="P120" s="317" t="s">
        <v>1398</v>
      </c>
      <c r="Q120" s="321">
        <v>420000.0</v>
      </c>
      <c r="R120" s="322">
        <v>100000.0</v>
      </c>
      <c r="S120" s="317" t="s">
        <v>1398</v>
      </c>
      <c r="T120" s="321">
        <v>420000.0</v>
      </c>
      <c r="U120" s="322">
        <v>100000.0</v>
      </c>
      <c r="V120" s="317" t="s">
        <v>1398</v>
      </c>
      <c r="W120" s="321">
        <v>420000.0</v>
      </c>
      <c r="X120" s="322">
        <v>100000.0</v>
      </c>
      <c r="Y120" s="317" t="s">
        <v>1398</v>
      </c>
      <c r="Z120" s="321">
        <v>420000.0</v>
      </c>
      <c r="AA120" s="322">
        <v>100000.0</v>
      </c>
      <c r="AB120" s="317" t="s">
        <v>1398</v>
      </c>
      <c r="AC120" s="321">
        <v>420000.0</v>
      </c>
      <c r="AD120" s="322">
        <v>100000.0</v>
      </c>
      <c r="AE120" s="317" t="s">
        <v>1398</v>
      </c>
      <c r="AF120" s="321">
        <v>420000.0</v>
      </c>
      <c r="AG120" s="322">
        <v>100000.0</v>
      </c>
      <c r="AH120" s="317" t="s">
        <v>1398</v>
      </c>
      <c r="AI120" s="321">
        <v>420000.0</v>
      </c>
      <c r="AJ120" s="322">
        <v>100000.0</v>
      </c>
      <c r="AK120" s="317" t="s">
        <v>1398</v>
      </c>
      <c r="AL120" s="321">
        <v>420000.0</v>
      </c>
      <c r="AM120" s="322">
        <v>100000.0</v>
      </c>
      <c r="AN120" s="316" t="s">
        <v>280</v>
      </c>
      <c r="AO120" s="316"/>
      <c r="AP120" s="316"/>
      <c r="AQ120" s="316"/>
      <c r="AR120" s="316"/>
      <c r="AS120" s="316"/>
      <c r="AT120" s="316"/>
      <c r="AU120" s="316"/>
      <c r="AV120" s="316"/>
      <c r="AW120" s="316"/>
      <c r="AX120" s="316"/>
      <c r="AY120" s="316"/>
      <c r="AZ120" s="316"/>
      <c r="BA120" s="316"/>
      <c r="BB120" s="316"/>
      <c r="BC120" s="316"/>
      <c r="BD120" s="316"/>
      <c r="BE120" s="316"/>
      <c r="BF120" s="316"/>
      <c r="BG120" s="316"/>
      <c r="BH120" s="316"/>
      <c r="BI120" s="316"/>
      <c r="BJ120" s="316"/>
      <c r="BK120" s="316"/>
      <c r="BL120" s="316"/>
      <c r="BM120" s="316"/>
      <c r="BN120" s="316"/>
    </row>
    <row r="121">
      <c r="A121" s="303" t="s">
        <v>275</v>
      </c>
      <c r="B121" s="304"/>
      <c r="C121" s="305" t="s">
        <v>42</v>
      </c>
      <c r="D121" s="320"/>
      <c r="E121" s="323">
        <f t="shared" ref="E121:F121" si="139">SUM(E117:E120)</f>
        <v>1452800</v>
      </c>
      <c r="F121" s="324">
        <f t="shared" si="139"/>
        <v>360000</v>
      </c>
      <c r="G121" s="320"/>
      <c r="H121" s="323">
        <f t="shared" ref="H121:I121" si="140">SUM(H117:H120)</f>
        <v>1436729</v>
      </c>
      <c r="I121" s="324">
        <f t="shared" si="140"/>
        <v>352857</v>
      </c>
      <c r="J121" s="320"/>
      <c r="K121" s="323">
        <f t="shared" ref="K121:L121" si="141">SUM(K117:K120)</f>
        <v>850000</v>
      </c>
      <c r="L121" s="324">
        <f t="shared" si="141"/>
        <v>200000</v>
      </c>
      <c r="M121" s="320"/>
      <c r="N121" s="323">
        <f t="shared" ref="N121:O121" si="142">SUM(N117:N120)</f>
        <v>850000</v>
      </c>
      <c r="O121" s="324">
        <f t="shared" si="142"/>
        <v>200000</v>
      </c>
      <c r="P121" s="320"/>
      <c r="Q121" s="323">
        <f t="shared" ref="Q121:R121" si="143">SUM(Q117:Q120)</f>
        <v>850000</v>
      </c>
      <c r="R121" s="324">
        <f t="shared" si="143"/>
        <v>200000</v>
      </c>
      <c r="S121" s="320"/>
      <c r="T121" s="323">
        <f t="shared" ref="T121:U121" si="144">SUM(T117:T120)</f>
        <v>850000</v>
      </c>
      <c r="U121" s="324">
        <f t="shared" si="144"/>
        <v>200000</v>
      </c>
      <c r="V121" s="320"/>
      <c r="W121" s="323">
        <f t="shared" ref="W121:X121" si="145">SUM(W117:W120)</f>
        <v>850000</v>
      </c>
      <c r="X121" s="324">
        <f t="shared" si="145"/>
        <v>200000</v>
      </c>
      <c r="Y121" s="320"/>
      <c r="Z121" s="323">
        <f t="shared" ref="Z121:AA121" si="146">SUM(Z117:Z120)</f>
        <v>850000</v>
      </c>
      <c r="AA121" s="324">
        <f t="shared" si="146"/>
        <v>200000</v>
      </c>
      <c r="AB121" s="320"/>
      <c r="AC121" s="323">
        <f t="shared" ref="AC121:AD121" si="147">SUM(AC117:AC120)</f>
        <v>850000</v>
      </c>
      <c r="AD121" s="324">
        <f t="shared" si="147"/>
        <v>200000</v>
      </c>
      <c r="AE121" s="320"/>
      <c r="AF121" s="323">
        <f t="shared" ref="AF121:AG121" si="148">SUM(AF117:AF120)</f>
        <v>850000</v>
      </c>
      <c r="AG121" s="324">
        <f t="shared" si="148"/>
        <v>200000</v>
      </c>
      <c r="AH121" s="320"/>
      <c r="AI121" s="323">
        <f t="shared" ref="AI121:AJ121" si="149">SUM(AI117:AI120)</f>
        <v>850000</v>
      </c>
      <c r="AJ121" s="324">
        <f t="shared" si="149"/>
        <v>200000</v>
      </c>
      <c r="AK121" s="320"/>
      <c r="AL121" s="323">
        <f t="shared" ref="AL121:AM121" si="150">SUM(AL117:AL120)</f>
        <v>850000</v>
      </c>
      <c r="AM121" s="324">
        <f t="shared" si="150"/>
        <v>200000</v>
      </c>
      <c r="AN121" s="316" t="s">
        <v>280</v>
      </c>
      <c r="AO121" s="316"/>
      <c r="AP121" s="316"/>
      <c r="AQ121" s="316"/>
      <c r="AR121" s="316"/>
      <c r="AS121" s="316"/>
      <c r="AT121" s="316"/>
      <c r="AU121" s="316"/>
      <c r="AV121" s="316"/>
      <c r="AW121" s="316"/>
      <c r="AX121" s="316"/>
      <c r="AY121" s="316"/>
      <c r="AZ121" s="316"/>
      <c r="BA121" s="316"/>
      <c r="BB121" s="316"/>
      <c r="BC121" s="316"/>
      <c r="BD121" s="316"/>
      <c r="BE121" s="316"/>
      <c r="BF121" s="316"/>
      <c r="BG121" s="316"/>
      <c r="BH121" s="316"/>
      <c r="BI121" s="316"/>
      <c r="BJ121" s="316"/>
      <c r="BK121" s="316"/>
      <c r="BL121" s="316"/>
      <c r="BM121" s="316"/>
      <c r="BN121" s="316"/>
    </row>
    <row r="122" collapsed="1">
      <c r="A122" s="303" t="s">
        <v>275</v>
      </c>
      <c r="B122" s="304"/>
      <c r="C122" s="325" t="s">
        <v>43</v>
      </c>
      <c r="D122" s="326"/>
      <c r="E122" s="321">
        <v>850000.0</v>
      </c>
      <c r="F122" s="324"/>
      <c r="G122" s="326"/>
      <c r="H122" s="321">
        <v>850000.0</v>
      </c>
      <c r="I122" s="324"/>
      <c r="J122" s="326"/>
      <c r="K122" s="321">
        <v>850000.0</v>
      </c>
      <c r="L122" s="324"/>
      <c r="M122" s="326"/>
      <c r="N122" s="321">
        <v>850000.0</v>
      </c>
      <c r="O122" s="324"/>
      <c r="P122" s="326"/>
      <c r="Q122" s="321">
        <v>850000.0</v>
      </c>
      <c r="R122" s="324"/>
      <c r="S122" s="326"/>
      <c r="T122" s="321">
        <v>850000.0</v>
      </c>
      <c r="U122" s="324"/>
      <c r="V122" s="326"/>
      <c r="W122" s="321">
        <v>850000.0</v>
      </c>
      <c r="X122" s="324"/>
      <c r="Y122" s="326"/>
      <c r="Z122" s="321">
        <v>850000.0</v>
      </c>
      <c r="AA122" s="324"/>
      <c r="AB122" s="326"/>
      <c r="AC122" s="321">
        <v>850000.0</v>
      </c>
      <c r="AD122" s="324"/>
      <c r="AE122" s="326"/>
      <c r="AF122" s="321">
        <v>850000.0</v>
      </c>
      <c r="AG122" s="324"/>
      <c r="AH122" s="326"/>
      <c r="AI122" s="321">
        <v>850000.0</v>
      </c>
      <c r="AJ122" s="324"/>
      <c r="AK122" s="326"/>
      <c r="AL122" s="321">
        <v>850000.0</v>
      </c>
      <c r="AM122" s="324"/>
      <c r="AN122" s="316" t="s">
        <v>280</v>
      </c>
      <c r="AO122" s="316"/>
      <c r="AP122" s="316"/>
      <c r="AQ122" s="316"/>
      <c r="AR122" s="316"/>
      <c r="AS122" s="316"/>
      <c r="AT122" s="316"/>
      <c r="AU122" s="316"/>
      <c r="AV122" s="316"/>
      <c r="AW122" s="316"/>
      <c r="AX122" s="316"/>
      <c r="AY122" s="316"/>
      <c r="AZ122" s="316"/>
      <c r="BA122" s="316"/>
      <c r="BB122" s="316"/>
      <c r="BC122" s="316"/>
      <c r="BD122" s="316"/>
      <c r="BE122" s="316"/>
      <c r="BF122" s="316"/>
      <c r="BG122" s="316"/>
      <c r="BH122" s="316"/>
      <c r="BI122" s="316"/>
      <c r="BJ122" s="316"/>
      <c r="BK122" s="316"/>
      <c r="BL122" s="316"/>
      <c r="BM122" s="316"/>
      <c r="BN122" s="316"/>
    </row>
    <row r="123" hidden="1" outlineLevel="1">
      <c r="A123" s="303" t="s">
        <v>275</v>
      </c>
      <c r="B123" s="304"/>
      <c r="C123" s="325" t="s">
        <v>45</v>
      </c>
      <c r="D123" s="326"/>
      <c r="E123" s="321"/>
      <c r="F123" s="322"/>
      <c r="G123" s="326"/>
      <c r="H123" s="321"/>
      <c r="I123" s="322"/>
      <c r="J123" s="326"/>
      <c r="K123" s="321"/>
      <c r="L123" s="322"/>
      <c r="M123" s="326"/>
      <c r="N123" s="321"/>
      <c r="O123" s="322"/>
      <c r="P123" s="326"/>
      <c r="Q123" s="321"/>
      <c r="R123" s="322"/>
      <c r="S123" s="326"/>
      <c r="T123" s="321"/>
      <c r="U123" s="322"/>
      <c r="V123" s="326"/>
      <c r="W123" s="321"/>
      <c r="X123" s="322"/>
      <c r="Y123" s="326"/>
      <c r="Z123" s="321"/>
      <c r="AA123" s="322"/>
      <c r="AB123" s="326"/>
      <c r="AC123" s="321"/>
      <c r="AD123" s="322"/>
      <c r="AE123" s="326"/>
      <c r="AF123" s="321"/>
      <c r="AG123" s="322"/>
      <c r="AH123" s="326"/>
      <c r="AI123" s="321"/>
      <c r="AJ123" s="322"/>
      <c r="AK123" s="326"/>
      <c r="AL123" s="321"/>
      <c r="AM123" s="322"/>
      <c r="AN123" s="316" t="s">
        <v>280</v>
      </c>
      <c r="AO123" s="316"/>
      <c r="AP123" s="316"/>
      <c r="AQ123" s="316"/>
      <c r="AR123" s="316"/>
      <c r="AS123" s="316"/>
      <c r="AT123" s="316"/>
      <c r="AU123" s="316"/>
      <c r="AV123" s="316"/>
      <c r="AW123" s="316"/>
      <c r="AX123" s="316"/>
      <c r="AY123" s="316"/>
      <c r="AZ123" s="316"/>
      <c r="BA123" s="316"/>
      <c r="BB123" s="316"/>
      <c r="BC123" s="316"/>
      <c r="BD123" s="316"/>
      <c r="BE123" s="316"/>
      <c r="BF123" s="316"/>
      <c r="BG123" s="316"/>
      <c r="BH123" s="316"/>
      <c r="BI123" s="316"/>
      <c r="BJ123" s="316"/>
      <c r="BK123" s="316"/>
      <c r="BL123" s="316"/>
      <c r="BM123" s="316"/>
      <c r="BN123" s="316"/>
    </row>
    <row r="124" hidden="1" outlineLevel="1">
      <c r="A124" s="303" t="s">
        <v>275</v>
      </c>
      <c r="B124" s="317" t="s">
        <v>302</v>
      </c>
      <c r="C124" s="325" t="s">
        <v>303</v>
      </c>
      <c r="D124" s="326"/>
      <c r="E124" s="321"/>
      <c r="F124" s="322">
        <v>27750.0</v>
      </c>
      <c r="G124" s="326"/>
      <c r="H124" s="321"/>
      <c r="I124" s="322">
        <v>29740.0</v>
      </c>
      <c r="J124" s="326" t="s">
        <v>2039</v>
      </c>
      <c r="K124" s="321"/>
      <c r="L124" s="322">
        <v>30000.0</v>
      </c>
      <c r="M124" s="326"/>
      <c r="N124" s="321"/>
      <c r="O124" s="322"/>
      <c r="P124" s="326"/>
      <c r="Q124" s="321"/>
      <c r="R124" s="322"/>
      <c r="S124" s="326"/>
      <c r="T124" s="321"/>
      <c r="U124" s="322"/>
      <c r="V124" s="326"/>
      <c r="W124" s="321"/>
      <c r="X124" s="322"/>
      <c r="Y124" s="326"/>
      <c r="Z124" s="321"/>
      <c r="AA124" s="322"/>
      <c r="AB124" s="326"/>
      <c r="AC124" s="321"/>
      <c r="AD124" s="322"/>
      <c r="AE124" s="326"/>
      <c r="AF124" s="321"/>
      <c r="AG124" s="322"/>
      <c r="AH124" s="326"/>
      <c r="AI124" s="321"/>
      <c r="AJ124" s="322"/>
      <c r="AK124" s="326"/>
      <c r="AL124" s="321"/>
      <c r="AM124" s="322"/>
      <c r="AN124" s="316" t="s">
        <v>280</v>
      </c>
      <c r="AO124" s="316"/>
      <c r="AP124" s="316"/>
      <c r="AQ124" s="316"/>
      <c r="AR124" s="316"/>
      <c r="AS124" s="316"/>
      <c r="AT124" s="316"/>
      <c r="AU124" s="316"/>
      <c r="AV124" s="316"/>
      <c r="AW124" s="316"/>
      <c r="AX124" s="316"/>
      <c r="AY124" s="316"/>
      <c r="AZ124" s="316"/>
      <c r="BA124" s="316"/>
      <c r="BB124" s="316"/>
      <c r="BC124" s="316"/>
      <c r="BD124" s="316"/>
      <c r="BE124" s="316"/>
      <c r="BF124" s="316"/>
      <c r="BG124" s="316"/>
      <c r="BH124" s="316"/>
      <c r="BI124" s="316"/>
      <c r="BJ124" s="316"/>
      <c r="BK124" s="316"/>
      <c r="BL124" s="316"/>
      <c r="BM124" s="316"/>
      <c r="BN124" s="316"/>
    </row>
    <row r="125" hidden="1" outlineLevel="1">
      <c r="A125" s="303" t="s">
        <v>275</v>
      </c>
      <c r="B125" s="317" t="s">
        <v>2107</v>
      </c>
      <c r="C125" s="325" t="s">
        <v>261</v>
      </c>
      <c r="D125" s="326"/>
      <c r="E125" s="321"/>
      <c r="F125" s="322">
        <v>205280.0</v>
      </c>
      <c r="G125" s="326"/>
      <c r="H125" s="321"/>
      <c r="I125" s="322">
        <v>205360.0</v>
      </c>
      <c r="J125" s="326"/>
      <c r="K125" s="321"/>
      <c r="L125" s="322">
        <v>202580.0</v>
      </c>
      <c r="M125" s="326"/>
      <c r="N125" s="321"/>
      <c r="O125" s="322"/>
      <c r="P125" s="326"/>
      <c r="Q125" s="321"/>
      <c r="R125" s="322"/>
      <c r="S125" s="326"/>
      <c r="T125" s="321"/>
      <c r="U125" s="322"/>
      <c r="V125" s="326"/>
      <c r="W125" s="321"/>
      <c r="X125" s="322"/>
      <c r="Y125" s="326"/>
      <c r="Z125" s="321"/>
      <c r="AA125" s="322"/>
      <c r="AB125" s="326"/>
      <c r="AC125" s="321"/>
      <c r="AD125" s="322"/>
      <c r="AE125" s="326"/>
      <c r="AF125" s="321"/>
      <c r="AG125" s="322"/>
      <c r="AH125" s="326"/>
      <c r="AI125" s="321"/>
      <c r="AJ125" s="322"/>
      <c r="AK125" s="326"/>
      <c r="AL125" s="321"/>
      <c r="AM125" s="322"/>
      <c r="AN125" s="316" t="s">
        <v>280</v>
      </c>
      <c r="AO125" s="316"/>
      <c r="AP125" s="316"/>
      <c r="AQ125" s="316"/>
      <c r="AR125" s="316"/>
      <c r="AS125" s="316"/>
      <c r="AT125" s="316"/>
      <c r="AU125" s="316"/>
      <c r="AV125" s="316"/>
      <c r="AW125" s="316"/>
      <c r="AX125" s="316"/>
      <c r="AY125" s="316"/>
      <c r="AZ125" s="316"/>
      <c r="BA125" s="316"/>
      <c r="BB125" s="316"/>
      <c r="BC125" s="316"/>
      <c r="BD125" s="316"/>
      <c r="BE125" s="316"/>
      <c r="BF125" s="316"/>
      <c r="BG125" s="316"/>
      <c r="BH125" s="316"/>
      <c r="BI125" s="316"/>
      <c r="BJ125" s="316"/>
      <c r="BK125" s="316"/>
      <c r="BL125" s="316"/>
      <c r="BM125" s="316"/>
      <c r="BN125" s="316"/>
    </row>
    <row r="126" hidden="1" outlineLevel="1">
      <c r="A126" s="303" t="s">
        <v>275</v>
      </c>
      <c r="B126" s="317" t="s">
        <v>26</v>
      </c>
      <c r="C126" s="325" t="s">
        <v>51</v>
      </c>
      <c r="D126" s="326"/>
      <c r="E126" s="321"/>
      <c r="F126" s="322">
        <v>30000.0</v>
      </c>
      <c r="G126" s="326"/>
      <c r="H126" s="321"/>
      <c r="I126" s="322">
        <v>30000.0</v>
      </c>
      <c r="J126" s="326" t="s">
        <v>2039</v>
      </c>
      <c r="K126" s="321"/>
      <c r="L126" s="322">
        <v>30000.0</v>
      </c>
      <c r="M126" s="326"/>
      <c r="N126" s="321"/>
      <c r="O126" s="322">
        <v>30000.0</v>
      </c>
      <c r="P126" s="326"/>
      <c r="Q126" s="321"/>
      <c r="R126" s="322">
        <v>30000.0</v>
      </c>
      <c r="S126" s="326"/>
      <c r="T126" s="321"/>
      <c r="U126" s="322">
        <v>30000.0</v>
      </c>
      <c r="V126" s="326"/>
      <c r="W126" s="321"/>
      <c r="X126" s="322">
        <v>30000.0</v>
      </c>
      <c r="Y126" s="326"/>
      <c r="Z126" s="321"/>
      <c r="AA126" s="322">
        <v>30000.0</v>
      </c>
      <c r="AB126" s="326"/>
      <c r="AC126" s="321"/>
      <c r="AD126" s="322">
        <v>30000.0</v>
      </c>
      <c r="AE126" s="326"/>
      <c r="AF126" s="321"/>
      <c r="AG126" s="322">
        <v>30000.0</v>
      </c>
      <c r="AH126" s="326"/>
      <c r="AI126" s="321"/>
      <c r="AJ126" s="322">
        <v>30000.0</v>
      </c>
      <c r="AK126" s="326"/>
      <c r="AL126" s="321"/>
      <c r="AM126" s="322">
        <v>30000.0</v>
      </c>
      <c r="AN126" s="316" t="s">
        <v>280</v>
      </c>
      <c r="AO126" s="316"/>
      <c r="AP126" s="316"/>
      <c r="AQ126" s="316"/>
      <c r="AR126" s="316"/>
      <c r="AS126" s="316"/>
      <c r="AT126" s="316"/>
      <c r="AU126" s="316"/>
      <c r="AV126" s="316"/>
      <c r="AW126" s="316"/>
      <c r="AX126" s="316"/>
      <c r="AY126" s="316"/>
      <c r="AZ126" s="316"/>
      <c r="BA126" s="316"/>
      <c r="BB126" s="316"/>
      <c r="BC126" s="316"/>
      <c r="BD126" s="316"/>
      <c r="BE126" s="316"/>
      <c r="BF126" s="316"/>
      <c r="BG126" s="316"/>
      <c r="BH126" s="316"/>
      <c r="BI126" s="316"/>
      <c r="BJ126" s="316"/>
      <c r="BK126" s="316"/>
      <c r="BL126" s="316"/>
      <c r="BM126" s="316"/>
      <c r="BN126" s="316"/>
    </row>
    <row r="127" hidden="1" outlineLevel="1">
      <c r="A127" s="303" t="s">
        <v>275</v>
      </c>
      <c r="B127" s="304"/>
      <c r="C127" s="325" t="s">
        <v>52</v>
      </c>
      <c r="D127" s="326"/>
      <c r="E127" s="321"/>
      <c r="F127" s="322">
        <v>33000.0</v>
      </c>
      <c r="G127" s="326"/>
      <c r="H127" s="321"/>
      <c r="I127" s="322">
        <v>33000.0</v>
      </c>
      <c r="J127" s="326"/>
      <c r="K127" s="321"/>
      <c r="L127" s="322">
        <v>33000.0</v>
      </c>
      <c r="M127" s="326"/>
      <c r="N127" s="321"/>
      <c r="O127" s="322">
        <v>33000.0</v>
      </c>
      <c r="P127" s="326"/>
      <c r="Q127" s="321"/>
      <c r="R127" s="322">
        <v>33000.0</v>
      </c>
      <c r="S127" s="326"/>
      <c r="T127" s="321"/>
      <c r="U127" s="322">
        <v>33000.0</v>
      </c>
      <c r="V127" s="326"/>
      <c r="W127" s="321"/>
      <c r="X127" s="322">
        <v>33000.0</v>
      </c>
      <c r="Y127" s="326"/>
      <c r="Z127" s="321"/>
      <c r="AA127" s="322">
        <v>33000.0</v>
      </c>
      <c r="AB127" s="326"/>
      <c r="AC127" s="321"/>
      <c r="AD127" s="322">
        <v>33000.0</v>
      </c>
      <c r="AE127" s="326"/>
      <c r="AF127" s="321"/>
      <c r="AG127" s="322">
        <v>33000.0</v>
      </c>
      <c r="AH127" s="326"/>
      <c r="AI127" s="321"/>
      <c r="AJ127" s="322">
        <v>33000.0</v>
      </c>
      <c r="AK127" s="326"/>
      <c r="AL127" s="321"/>
      <c r="AM127" s="322">
        <v>33000.0</v>
      </c>
      <c r="AN127" s="316" t="s">
        <v>280</v>
      </c>
      <c r="AO127" s="316"/>
      <c r="AP127" s="316"/>
      <c r="AQ127" s="316"/>
      <c r="AR127" s="316"/>
      <c r="AS127" s="316"/>
      <c r="AT127" s="316"/>
      <c r="AU127" s="316"/>
      <c r="AV127" s="316"/>
      <c r="AW127" s="316"/>
      <c r="AX127" s="316"/>
      <c r="AY127" s="316"/>
      <c r="AZ127" s="316"/>
      <c r="BA127" s="316"/>
      <c r="BB127" s="316"/>
      <c r="BC127" s="316"/>
      <c r="BD127" s="316"/>
      <c r="BE127" s="316"/>
      <c r="BF127" s="316"/>
      <c r="BG127" s="316"/>
      <c r="BH127" s="316"/>
      <c r="BI127" s="316"/>
      <c r="BJ127" s="316"/>
      <c r="BK127" s="316"/>
      <c r="BL127" s="316"/>
      <c r="BM127" s="316"/>
      <c r="BN127" s="316"/>
    </row>
    <row r="128" hidden="1" outlineLevel="1">
      <c r="A128" s="303" t="s">
        <v>275</v>
      </c>
      <c r="B128" s="304"/>
      <c r="C128" s="325" t="s">
        <v>53</v>
      </c>
      <c r="D128" s="326"/>
      <c r="E128" s="321"/>
      <c r="F128" s="322">
        <v>19000.0</v>
      </c>
      <c r="G128" s="326"/>
      <c r="H128" s="321"/>
      <c r="I128" s="322">
        <v>19000.0</v>
      </c>
      <c r="J128" s="326"/>
      <c r="K128" s="321"/>
      <c r="L128" s="322">
        <v>19000.0</v>
      </c>
      <c r="M128" s="326"/>
      <c r="N128" s="321"/>
      <c r="O128" s="322">
        <v>19000.0</v>
      </c>
      <c r="P128" s="326"/>
      <c r="Q128" s="321"/>
      <c r="R128" s="322">
        <v>19000.0</v>
      </c>
      <c r="S128" s="326"/>
      <c r="T128" s="321"/>
      <c r="U128" s="322">
        <v>19000.0</v>
      </c>
      <c r="V128" s="326"/>
      <c r="W128" s="321"/>
      <c r="X128" s="322">
        <v>19000.0</v>
      </c>
      <c r="Y128" s="326"/>
      <c r="Z128" s="321"/>
      <c r="AA128" s="322">
        <v>19000.0</v>
      </c>
      <c r="AB128" s="326"/>
      <c r="AC128" s="321"/>
      <c r="AD128" s="322">
        <v>19000.0</v>
      </c>
      <c r="AE128" s="326"/>
      <c r="AF128" s="321"/>
      <c r="AG128" s="322">
        <v>19000.0</v>
      </c>
      <c r="AH128" s="326"/>
      <c r="AI128" s="321"/>
      <c r="AJ128" s="322">
        <v>19000.0</v>
      </c>
      <c r="AK128" s="326"/>
      <c r="AL128" s="321"/>
      <c r="AM128" s="322">
        <v>19000.0</v>
      </c>
      <c r="AN128" s="316" t="s">
        <v>280</v>
      </c>
      <c r="AO128" s="316"/>
      <c r="AP128" s="316"/>
      <c r="AQ128" s="316"/>
      <c r="AR128" s="316"/>
      <c r="AS128" s="316"/>
      <c r="AT128" s="316"/>
      <c r="AU128" s="316"/>
      <c r="AV128" s="316"/>
      <c r="AW128" s="316"/>
      <c r="AX128" s="316"/>
      <c r="AY128" s="316"/>
      <c r="AZ128" s="316"/>
      <c r="BA128" s="316"/>
      <c r="BB128" s="316"/>
      <c r="BC128" s="316"/>
      <c r="BD128" s="316"/>
      <c r="BE128" s="316"/>
      <c r="BF128" s="316"/>
      <c r="BG128" s="316"/>
      <c r="BH128" s="316"/>
      <c r="BI128" s="316"/>
      <c r="BJ128" s="316"/>
      <c r="BK128" s="316"/>
      <c r="BL128" s="316"/>
      <c r="BM128" s="316"/>
      <c r="BN128" s="316"/>
    </row>
    <row r="129" hidden="1" outlineLevel="1">
      <c r="A129" s="303" t="s">
        <v>275</v>
      </c>
      <c r="B129" s="304"/>
      <c r="C129" s="325" t="s">
        <v>54</v>
      </c>
      <c r="D129" s="327"/>
      <c r="E129" s="321"/>
      <c r="F129" s="322">
        <f>SUMIFS('지출'!$G$3:$G794,'지출'!$J$3:$J794,F$1,'지출'!$C$3:$C794,"대학")</f>
        <v>57000</v>
      </c>
      <c r="G129" s="327"/>
      <c r="H129" s="321"/>
      <c r="I129" s="322">
        <f>SUMIFS('지출'!$G$3:$G794,'지출'!$J$3:$J794,I$1,'지출'!$C$3:$C794,"대학")</f>
        <v>66630</v>
      </c>
      <c r="J129" s="327"/>
      <c r="K129" s="321"/>
      <c r="L129" s="322">
        <f>SUMIFS('지출'!$G$3:$G794,'지출'!$J$3:$J794,L$1,'지출'!$C$3:$C794,"대학")</f>
        <v>99000</v>
      </c>
      <c r="M129" s="327"/>
      <c r="N129" s="321"/>
      <c r="O129" s="322">
        <f>SUMIFS('지출'!$G$3:$G794,'지출'!$J$3:$J794,O$1,'지출'!$C$3:$C794,"대학")</f>
        <v>0</v>
      </c>
      <c r="P129" s="327"/>
      <c r="Q129" s="321"/>
      <c r="R129" s="322">
        <f>SUMIFS('지출'!$G$3:$G794,'지출'!$J$3:$J794,R$1,'지출'!$C$3:$C794,"대학")</f>
        <v>0</v>
      </c>
      <c r="S129" s="327"/>
      <c r="T129" s="321"/>
      <c r="U129" s="322">
        <f>SUMIFS('지출'!$G$3:$G794,'지출'!$J$3:$J794,U$1,'지출'!$C$3:$C794,"대학")</f>
        <v>0</v>
      </c>
      <c r="V129" s="327"/>
      <c r="W129" s="321"/>
      <c r="X129" s="322">
        <f>SUMIFS('지출'!$G$3:$G794,'지출'!$J$3:$J794,X$1,'지출'!$C$3:$C794,"대학")</f>
        <v>0</v>
      </c>
      <c r="Y129" s="327"/>
      <c r="Z129" s="321"/>
      <c r="AA129" s="322">
        <f>SUMIFS('지출'!$G$3:$G794,'지출'!$J$3:$J794,AA$1,'지출'!$C$3:$C794,"대학")</f>
        <v>0</v>
      </c>
      <c r="AB129" s="327"/>
      <c r="AC129" s="321"/>
      <c r="AD129" s="322">
        <f>SUMIFS('지출'!$G$3:$G794,'지출'!$J$3:$J794,AD$1,'지출'!$C$3:$C794,"대학")</f>
        <v>0</v>
      </c>
      <c r="AE129" s="327"/>
      <c r="AF129" s="321"/>
      <c r="AG129" s="322">
        <f>SUMIFS('지출'!$G$3:$G794,'지출'!$J$3:$J794,AG$1,'지출'!$C$3:$C794,"대학")</f>
        <v>0</v>
      </c>
      <c r="AH129" s="327"/>
      <c r="AI129" s="321"/>
      <c r="AJ129" s="322">
        <f>SUMIFS('지출'!$G$3:$G794,'지출'!$J$3:$J794,AJ$1,'지출'!$C$3:$C794,"대학")</f>
        <v>0</v>
      </c>
      <c r="AK129" s="327"/>
      <c r="AL129" s="321"/>
      <c r="AM129" s="322">
        <f>SUMIFS('지출'!$G$3:$G794,'지출'!$J$3:$J794,AM$1,'지출'!$C$3:$C794,"대학")</f>
        <v>0</v>
      </c>
      <c r="AN129" s="316" t="s">
        <v>280</v>
      </c>
      <c r="AO129" s="316"/>
      <c r="AP129" s="316"/>
      <c r="AQ129" s="316"/>
      <c r="AR129" s="316"/>
      <c r="AS129" s="316"/>
      <c r="AT129" s="316"/>
      <c r="AU129" s="316"/>
      <c r="AV129" s="316"/>
      <c r="AW129" s="316"/>
      <c r="AX129" s="316"/>
      <c r="AY129" s="316"/>
      <c r="AZ129" s="316"/>
      <c r="BA129" s="316"/>
      <c r="BB129" s="316"/>
      <c r="BC129" s="316"/>
      <c r="BD129" s="316"/>
      <c r="BE129" s="316"/>
      <c r="BF129" s="316"/>
      <c r="BG129" s="316"/>
      <c r="BH129" s="316"/>
      <c r="BI129" s="316"/>
      <c r="BJ129" s="316"/>
      <c r="BK129" s="316"/>
      <c r="BL129" s="316"/>
      <c r="BM129" s="316"/>
      <c r="BN129" s="316"/>
    </row>
    <row r="130" hidden="1" outlineLevel="1">
      <c r="A130" s="303" t="s">
        <v>275</v>
      </c>
      <c r="B130" s="357"/>
      <c r="C130" s="325" t="s">
        <v>56</v>
      </c>
      <c r="D130" s="320"/>
      <c r="E130" s="323">
        <f t="shared" ref="E130:F130" si="151">E121-(SUM(E122:E129))</f>
        <v>602800</v>
      </c>
      <c r="F130" s="324">
        <f t="shared" si="151"/>
        <v>-12030</v>
      </c>
      <c r="G130" s="320"/>
      <c r="H130" s="323">
        <f t="shared" ref="H130:I130" si="152">H121-(SUM(H122:H129))</f>
        <v>586729</v>
      </c>
      <c r="I130" s="324">
        <f t="shared" si="152"/>
        <v>-30873</v>
      </c>
      <c r="J130" s="320"/>
      <c r="K130" s="323">
        <f t="shared" ref="K130:L130" si="153">K121-(SUM(K122:K129))</f>
        <v>0</v>
      </c>
      <c r="L130" s="324">
        <f t="shared" si="153"/>
        <v>-213580</v>
      </c>
      <c r="M130" s="320"/>
      <c r="N130" s="323">
        <f t="shared" ref="N130:O130" si="154">N121-(SUM(N122:N129))</f>
        <v>0</v>
      </c>
      <c r="O130" s="324">
        <f t="shared" si="154"/>
        <v>118000</v>
      </c>
      <c r="P130" s="320"/>
      <c r="Q130" s="323">
        <f t="shared" ref="Q130:R130" si="155">Q121-(SUM(Q122:Q129))</f>
        <v>0</v>
      </c>
      <c r="R130" s="324">
        <f t="shared" si="155"/>
        <v>118000</v>
      </c>
      <c r="S130" s="320"/>
      <c r="T130" s="323">
        <f t="shared" ref="T130:U130" si="156">T121-(SUM(T122:T129))</f>
        <v>0</v>
      </c>
      <c r="U130" s="324">
        <f t="shared" si="156"/>
        <v>118000</v>
      </c>
      <c r="V130" s="320"/>
      <c r="W130" s="323">
        <f t="shared" ref="W130:X130" si="157">W121-(SUM(W122:W129))</f>
        <v>0</v>
      </c>
      <c r="X130" s="324">
        <f t="shared" si="157"/>
        <v>118000</v>
      </c>
      <c r="Y130" s="320"/>
      <c r="Z130" s="323">
        <f t="shared" ref="Z130:AA130" si="158">Z121-(SUM(Z122:Z129))</f>
        <v>0</v>
      </c>
      <c r="AA130" s="324">
        <f t="shared" si="158"/>
        <v>118000</v>
      </c>
      <c r="AB130" s="320"/>
      <c r="AC130" s="323">
        <f t="shared" ref="AC130:AD130" si="159">AC121-(SUM(AC122:AC129))</f>
        <v>0</v>
      </c>
      <c r="AD130" s="324">
        <f t="shared" si="159"/>
        <v>118000</v>
      </c>
      <c r="AE130" s="320"/>
      <c r="AF130" s="323">
        <f t="shared" ref="AF130:AG130" si="160">AF121-(SUM(AF122:AF129))</f>
        <v>0</v>
      </c>
      <c r="AG130" s="324">
        <f t="shared" si="160"/>
        <v>118000</v>
      </c>
      <c r="AH130" s="320"/>
      <c r="AI130" s="323">
        <f t="shared" ref="AI130:AJ130" si="161">AI121-(SUM(AI122:AI129))</f>
        <v>0</v>
      </c>
      <c r="AJ130" s="324">
        <f t="shared" si="161"/>
        <v>118000</v>
      </c>
      <c r="AK130" s="320"/>
      <c r="AL130" s="323">
        <f t="shared" ref="AL130:AM130" si="162">AL121-(SUM(AL122:AL129))</f>
        <v>0</v>
      </c>
      <c r="AM130" s="324">
        <f t="shared" si="162"/>
        <v>118000</v>
      </c>
      <c r="AN130" s="316" t="s">
        <v>280</v>
      </c>
      <c r="AO130" s="316"/>
      <c r="AP130" s="316"/>
      <c r="AQ130" s="316"/>
      <c r="AR130" s="316"/>
      <c r="AS130" s="316"/>
      <c r="AT130" s="316"/>
      <c r="AU130" s="316"/>
      <c r="AV130" s="316"/>
      <c r="AW130" s="316"/>
      <c r="AX130" s="316"/>
      <c r="AY130" s="316"/>
      <c r="AZ130" s="316"/>
      <c r="BA130" s="316"/>
      <c r="BB130" s="316"/>
      <c r="BC130" s="316"/>
      <c r="BD130" s="316"/>
      <c r="BE130" s="316"/>
      <c r="BF130" s="316"/>
      <c r="BG130" s="316"/>
      <c r="BH130" s="316"/>
      <c r="BI130" s="316"/>
      <c r="BJ130" s="316"/>
      <c r="BK130" s="316"/>
      <c r="BL130" s="316"/>
      <c r="BM130" s="316"/>
      <c r="BN130" s="316"/>
    </row>
    <row r="131">
      <c r="A131" s="303" t="s">
        <v>275</v>
      </c>
      <c r="B131" s="328">
        <v>0.7</v>
      </c>
      <c r="C131" s="325" t="s">
        <v>26</v>
      </c>
      <c r="D131" s="320"/>
      <c r="E131" s="323">
        <f>E130*$B131</f>
        <v>421960</v>
      </c>
      <c r="F131" s="324"/>
      <c r="G131" s="320"/>
      <c r="H131" s="323">
        <f>H130*$B131</f>
        <v>410710.3</v>
      </c>
      <c r="I131" s="324"/>
      <c r="J131" s="320"/>
      <c r="K131" s="323">
        <f>K130*$B131</f>
        <v>0</v>
      </c>
      <c r="L131" s="324"/>
      <c r="M131" s="320"/>
      <c r="N131" s="323">
        <f>N130*$B131</f>
        <v>0</v>
      </c>
      <c r="O131" s="324"/>
      <c r="P131" s="320"/>
      <c r="Q131" s="323">
        <f>Q130*$B131</f>
        <v>0</v>
      </c>
      <c r="R131" s="324"/>
      <c r="S131" s="320"/>
      <c r="T131" s="323">
        <f>T130*$B131</f>
        <v>0</v>
      </c>
      <c r="U131" s="324"/>
      <c r="V131" s="320"/>
      <c r="W131" s="323">
        <f>W130*$B131</f>
        <v>0</v>
      </c>
      <c r="X131" s="324"/>
      <c r="Y131" s="320"/>
      <c r="Z131" s="323">
        <f>Z130*$B131</f>
        <v>0</v>
      </c>
      <c r="AA131" s="324"/>
      <c r="AB131" s="320"/>
      <c r="AC131" s="323">
        <f>AC130*$B131</f>
        <v>0</v>
      </c>
      <c r="AD131" s="324"/>
      <c r="AE131" s="320"/>
      <c r="AF131" s="323">
        <f>AF130*$B131</f>
        <v>0</v>
      </c>
      <c r="AG131" s="324"/>
      <c r="AH131" s="320"/>
      <c r="AI131" s="323">
        <f>AI130*$B131</f>
        <v>0</v>
      </c>
      <c r="AJ131" s="324"/>
      <c r="AK131" s="320"/>
      <c r="AL131" s="323">
        <f>AL130*$B131</f>
        <v>0</v>
      </c>
      <c r="AM131" s="324"/>
      <c r="AN131" s="316" t="s">
        <v>280</v>
      </c>
      <c r="AO131" s="316"/>
      <c r="AP131" s="316"/>
      <c r="AQ131" s="316"/>
      <c r="AR131" s="316"/>
      <c r="AS131" s="316"/>
      <c r="AT131" s="316"/>
      <c r="AU131" s="316"/>
      <c r="AV131" s="316"/>
      <c r="AW131" s="316"/>
      <c r="AX131" s="316"/>
      <c r="AY131" s="316"/>
      <c r="AZ131" s="316"/>
      <c r="BA131" s="316"/>
      <c r="BB131" s="316"/>
      <c r="BC131" s="316"/>
      <c r="BD131" s="316"/>
      <c r="BE131" s="316"/>
      <c r="BF131" s="316"/>
      <c r="BG131" s="316"/>
      <c r="BH131" s="316"/>
      <c r="BI131" s="316"/>
      <c r="BJ131" s="316"/>
      <c r="BK131" s="316"/>
      <c r="BL131" s="316"/>
      <c r="BM131" s="316"/>
      <c r="BN131" s="316"/>
    </row>
    <row r="132">
      <c r="A132" s="303" t="s">
        <v>275</v>
      </c>
      <c r="B132" s="329">
        <v>0.3</v>
      </c>
      <c r="C132" s="330" t="s">
        <v>57</v>
      </c>
      <c r="D132" s="331"/>
      <c r="E132" s="332">
        <f>E130*$B132</f>
        <v>180840</v>
      </c>
      <c r="F132" s="333"/>
      <c r="G132" s="331"/>
      <c r="H132" s="332">
        <f>H130*$B132</f>
        <v>176018.7</v>
      </c>
      <c r="I132" s="333"/>
      <c r="J132" s="331"/>
      <c r="K132" s="332">
        <f>K130*$B132</f>
        <v>0</v>
      </c>
      <c r="L132" s="333"/>
      <c r="M132" s="331"/>
      <c r="N132" s="332">
        <f>N130*$B132</f>
        <v>0</v>
      </c>
      <c r="O132" s="333"/>
      <c r="P132" s="331"/>
      <c r="Q132" s="332">
        <f>Q130*$B132</f>
        <v>0</v>
      </c>
      <c r="R132" s="333"/>
      <c r="S132" s="331"/>
      <c r="T132" s="332">
        <f>T130*$B132</f>
        <v>0</v>
      </c>
      <c r="U132" s="333"/>
      <c r="V132" s="331"/>
      <c r="W132" s="332">
        <f>W130*$B132</f>
        <v>0</v>
      </c>
      <c r="X132" s="333"/>
      <c r="Y132" s="331"/>
      <c r="Z132" s="332">
        <f>Z130*$B132</f>
        <v>0</v>
      </c>
      <c r="AA132" s="333"/>
      <c r="AB132" s="331"/>
      <c r="AC132" s="332">
        <f>AC130*$B132</f>
        <v>0</v>
      </c>
      <c r="AD132" s="333"/>
      <c r="AE132" s="331"/>
      <c r="AF132" s="332">
        <f>AF130*$B132</f>
        <v>0</v>
      </c>
      <c r="AG132" s="333"/>
      <c r="AH132" s="331"/>
      <c r="AI132" s="332">
        <f>AI130*$B132</f>
        <v>0</v>
      </c>
      <c r="AJ132" s="333"/>
      <c r="AK132" s="331"/>
      <c r="AL132" s="332">
        <f>AL130*$B132</f>
        <v>0</v>
      </c>
      <c r="AM132" s="333"/>
      <c r="AN132" s="316" t="s">
        <v>280</v>
      </c>
      <c r="AO132" s="316"/>
      <c r="AP132" s="316"/>
      <c r="AQ132" s="316"/>
      <c r="AR132" s="316"/>
      <c r="AS132" s="316"/>
      <c r="AT132" s="316"/>
      <c r="AU132" s="316"/>
      <c r="AV132" s="316"/>
      <c r="AW132" s="316"/>
      <c r="AX132" s="316"/>
      <c r="AY132" s="316"/>
      <c r="AZ132" s="316"/>
      <c r="BA132" s="316"/>
      <c r="BB132" s="316"/>
      <c r="BC132" s="316"/>
      <c r="BD132" s="316"/>
      <c r="BE132" s="316"/>
      <c r="BF132" s="316"/>
      <c r="BG132" s="316"/>
      <c r="BH132" s="316"/>
      <c r="BI132" s="316"/>
      <c r="BJ132" s="316"/>
      <c r="BK132" s="316"/>
      <c r="BL132" s="316"/>
      <c r="BM132" s="316"/>
      <c r="BN132" s="316"/>
    </row>
    <row r="133">
      <c r="A133" s="303" t="s">
        <v>305</v>
      </c>
      <c r="B133" s="317" t="s">
        <v>305</v>
      </c>
      <c r="C133" s="325" t="s">
        <v>306</v>
      </c>
      <c r="D133" s="334" t="s">
        <v>2108</v>
      </c>
      <c r="E133" s="335">
        <v>510000.0</v>
      </c>
      <c r="F133" s="346">
        <v>100000.0</v>
      </c>
      <c r="G133" s="347" t="s">
        <v>2109</v>
      </c>
      <c r="H133" s="348">
        <v>455357.0</v>
      </c>
      <c r="I133" s="345">
        <v>89286.0</v>
      </c>
      <c r="J133" s="334" t="s">
        <v>312</v>
      </c>
      <c r="K133" s="348">
        <v>510000.0</v>
      </c>
      <c r="L133" s="345">
        <v>100000.0</v>
      </c>
      <c r="M133" s="334" t="s">
        <v>312</v>
      </c>
      <c r="N133" s="348">
        <v>510000.0</v>
      </c>
      <c r="O133" s="345">
        <v>100000.0</v>
      </c>
      <c r="P133" s="334" t="s">
        <v>312</v>
      </c>
      <c r="Q133" s="348">
        <v>510000.0</v>
      </c>
      <c r="R133" s="345">
        <v>100000.0</v>
      </c>
      <c r="S133" s="334" t="s">
        <v>312</v>
      </c>
      <c r="T133" s="348">
        <v>510000.0</v>
      </c>
      <c r="U133" s="345">
        <v>100000.0</v>
      </c>
      <c r="V133" s="334" t="s">
        <v>312</v>
      </c>
      <c r="W133" s="348">
        <v>510000.0</v>
      </c>
      <c r="X133" s="345">
        <v>100000.0</v>
      </c>
      <c r="Y133" s="334" t="s">
        <v>312</v>
      </c>
      <c r="Z133" s="348">
        <v>510000.0</v>
      </c>
      <c r="AA133" s="345">
        <v>100000.0</v>
      </c>
      <c r="AB133" s="334" t="s">
        <v>312</v>
      </c>
      <c r="AC133" s="348">
        <v>510000.0</v>
      </c>
      <c r="AD133" s="345">
        <v>100000.0</v>
      </c>
      <c r="AE133" s="334" t="s">
        <v>312</v>
      </c>
      <c r="AF133" s="348">
        <v>510000.0</v>
      </c>
      <c r="AG133" s="345">
        <v>100000.0</v>
      </c>
      <c r="AH133" s="334" t="s">
        <v>312</v>
      </c>
      <c r="AI133" s="348">
        <v>510000.0</v>
      </c>
      <c r="AJ133" s="345">
        <v>100000.0</v>
      </c>
      <c r="AK133" s="334" t="s">
        <v>312</v>
      </c>
      <c r="AL133" s="348">
        <v>510000.0</v>
      </c>
      <c r="AM133" s="345">
        <v>100000.0</v>
      </c>
      <c r="AN133" s="316" t="s">
        <v>310</v>
      </c>
      <c r="AO133" s="316"/>
      <c r="AP133" s="316"/>
      <c r="AQ133" s="316"/>
      <c r="AR133" s="316"/>
      <c r="AS133" s="316"/>
      <c r="AT133" s="316"/>
      <c r="AU133" s="316"/>
      <c r="AV133" s="316"/>
      <c r="AW133" s="316"/>
      <c r="AX133" s="316"/>
      <c r="AY133" s="316"/>
      <c r="AZ133" s="316"/>
      <c r="BA133" s="316"/>
      <c r="BB133" s="316"/>
      <c r="BC133" s="316"/>
      <c r="BD133" s="316"/>
      <c r="BE133" s="316"/>
      <c r="BF133" s="316"/>
      <c r="BG133" s="316"/>
      <c r="BH133" s="316"/>
      <c r="BI133" s="316"/>
      <c r="BJ133" s="316"/>
      <c r="BK133" s="316"/>
      <c r="BL133" s="316"/>
      <c r="BM133" s="316"/>
      <c r="BN133" s="316"/>
    </row>
    <row r="134">
      <c r="A134" s="303" t="s">
        <v>305</v>
      </c>
      <c r="B134" s="317" t="s">
        <v>305</v>
      </c>
      <c r="C134" s="325" t="s">
        <v>311</v>
      </c>
      <c r="D134" s="334" t="s">
        <v>312</v>
      </c>
      <c r="E134" s="335">
        <v>480000.0</v>
      </c>
      <c r="F134" s="346">
        <v>80000.0</v>
      </c>
      <c r="G134" s="358" t="s">
        <v>2110</v>
      </c>
      <c r="H134" s="335">
        <f>480000+500000</f>
        <v>980000</v>
      </c>
      <c r="I134" s="346">
        <f>80000</f>
        <v>80000</v>
      </c>
      <c r="J134" s="334" t="s">
        <v>317</v>
      </c>
      <c r="K134" s="348">
        <v>470000.0</v>
      </c>
      <c r="L134" s="322">
        <v>100000.0</v>
      </c>
      <c r="M134" s="334" t="s">
        <v>317</v>
      </c>
      <c r="N134" s="348">
        <v>470000.0</v>
      </c>
      <c r="O134" s="322">
        <v>100000.0</v>
      </c>
      <c r="P134" s="334" t="s">
        <v>317</v>
      </c>
      <c r="Q134" s="348">
        <v>470000.0</v>
      </c>
      <c r="R134" s="322">
        <v>100000.0</v>
      </c>
      <c r="S134" s="334" t="s">
        <v>317</v>
      </c>
      <c r="T134" s="348">
        <v>470000.0</v>
      </c>
      <c r="U134" s="322">
        <v>100000.0</v>
      </c>
      <c r="V134" s="334" t="s">
        <v>317</v>
      </c>
      <c r="W134" s="348">
        <v>470000.0</v>
      </c>
      <c r="X134" s="322">
        <v>100000.0</v>
      </c>
      <c r="Y134" s="334" t="s">
        <v>317</v>
      </c>
      <c r="Z134" s="348">
        <v>470000.0</v>
      </c>
      <c r="AA134" s="322">
        <v>100000.0</v>
      </c>
      <c r="AB134" s="334" t="s">
        <v>317</v>
      </c>
      <c r="AC134" s="348">
        <v>470000.0</v>
      </c>
      <c r="AD134" s="322">
        <v>100000.0</v>
      </c>
      <c r="AE134" s="334" t="s">
        <v>317</v>
      </c>
      <c r="AF134" s="348">
        <v>470000.0</v>
      </c>
      <c r="AG134" s="322">
        <v>100000.0</v>
      </c>
      <c r="AH134" s="334" t="s">
        <v>317</v>
      </c>
      <c r="AI134" s="348">
        <v>470000.0</v>
      </c>
      <c r="AJ134" s="322">
        <v>100000.0</v>
      </c>
      <c r="AK134" s="334" t="s">
        <v>317</v>
      </c>
      <c r="AL134" s="348">
        <v>470000.0</v>
      </c>
      <c r="AM134" s="322">
        <v>100000.0</v>
      </c>
      <c r="AN134" s="316" t="s">
        <v>310</v>
      </c>
      <c r="AO134" s="316"/>
      <c r="AP134" s="316"/>
      <c r="AQ134" s="316"/>
      <c r="AR134" s="316"/>
      <c r="AS134" s="316"/>
      <c r="AT134" s="316"/>
      <c r="AU134" s="316"/>
      <c r="AV134" s="316"/>
      <c r="AW134" s="316"/>
      <c r="AX134" s="316"/>
      <c r="AY134" s="316"/>
      <c r="AZ134" s="316"/>
      <c r="BA134" s="316"/>
      <c r="BB134" s="316"/>
      <c r="BC134" s="316"/>
      <c r="BD134" s="316"/>
      <c r="BE134" s="316"/>
      <c r="BF134" s="316"/>
      <c r="BG134" s="316"/>
      <c r="BH134" s="316"/>
      <c r="BI134" s="316"/>
      <c r="BJ134" s="316"/>
      <c r="BK134" s="316"/>
      <c r="BL134" s="316"/>
      <c r="BM134" s="316"/>
      <c r="BN134" s="316"/>
    </row>
    <row r="135">
      <c r="A135" s="303" t="s">
        <v>305</v>
      </c>
      <c r="B135" s="317" t="s">
        <v>305</v>
      </c>
      <c r="C135" s="325" t="s">
        <v>313</v>
      </c>
      <c r="D135" s="347" t="s">
        <v>2111</v>
      </c>
      <c r="E135" s="335">
        <v>390000.0</v>
      </c>
      <c r="F135" s="346">
        <v>100000.0</v>
      </c>
      <c r="G135" s="317" t="s">
        <v>2112</v>
      </c>
      <c r="H135" s="321">
        <v>15000.0</v>
      </c>
      <c r="I135" s="322">
        <v>3571.0</v>
      </c>
      <c r="J135" s="317" t="s">
        <v>1412</v>
      </c>
      <c r="K135" s="348">
        <v>420000.0</v>
      </c>
      <c r="L135" s="322">
        <v>100000.0</v>
      </c>
      <c r="M135" s="317" t="s">
        <v>1412</v>
      </c>
      <c r="N135" s="348">
        <v>420000.0</v>
      </c>
      <c r="O135" s="322">
        <v>100000.0</v>
      </c>
      <c r="P135" s="317" t="s">
        <v>1412</v>
      </c>
      <c r="Q135" s="348">
        <v>420000.0</v>
      </c>
      <c r="R135" s="322">
        <v>100000.0</v>
      </c>
      <c r="S135" s="317" t="s">
        <v>1412</v>
      </c>
      <c r="T135" s="348">
        <v>420000.0</v>
      </c>
      <c r="U135" s="322">
        <v>100000.0</v>
      </c>
      <c r="V135" s="317" t="s">
        <v>1412</v>
      </c>
      <c r="W135" s="348">
        <v>420000.0</v>
      </c>
      <c r="X135" s="322">
        <v>100000.0</v>
      </c>
      <c r="Y135" s="317" t="s">
        <v>2113</v>
      </c>
      <c r="Z135" s="348">
        <v>420000.0</v>
      </c>
      <c r="AA135" s="322">
        <v>100000.0</v>
      </c>
      <c r="AB135" s="317"/>
      <c r="AC135" s="321"/>
      <c r="AD135" s="322"/>
      <c r="AE135" s="317"/>
      <c r="AF135" s="321"/>
      <c r="AG135" s="322"/>
      <c r="AH135" s="317"/>
      <c r="AI135" s="321"/>
      <c r="AJ135" s="322"/>
      <c r="AK135" s="317"/>
      <c r="AL135" s="321"/>
      <c r="AM135" s="322"/>
      <c r="AN135" s="316" t="s">
        <v>310</v>
      </c>
      <c r="AO135" s="316"/>
      <c r="AP135" s="316"/>
      <c r="AQ135" s="316"/>
      <c r="AR135" s="316"/>
      <c r="AS135" s="316"/>
      <c r="AT135" s="316"/>
      <c r="AU135" s="316"/>
      <c r="AV135" s="316"/>
      <c r="AW135" s="316"/>
      <c r="AX135" s="316"/>
      <c r="AY135" s="316"/>
      <c r="AZ135" s="316"/>
      <c r="BA135" s="316"/>
      <c r="BB135" s="316"/>
      <c r="BC135" s="316"/>
      <c r="BD135" s="316"/>
      <c r="BE135" s="316"/>
      <c r="BF135" s="316"/>
      <c r="BG135" s="316"/>
      <c r="BH135" s="316"/>
      <c r="BI135" s="316"/>
      <c r="BJ135" s="316"/>
      <c r="BK135" s="316"/>
      <c r="BL135" s="316"/>
      <c r="BM135" s="316"/>
      <c r="BN135" s="316"/>
    </row>
    <row r="136">
      <c r="A136" s="303" t="s">
        <v>305</v>
      </c>
      <c r="B136" s="317" t="s">
        <v>305</v>
      </c>
      <c r="C136" s="325" t="s">
        <v>316</v>
      </c>
      <c r="D136" s="334" t="s">
        <v>317</v>
      </c>
      <c r="E136" s="335">
        <v>380000.0</v>
      </c>
      <c r="F136" s="346">
        <v>80000.0</v>
      </c>
      <c r="G136" s="334" t="s">
        <v>317</v>
      </c>
      <c r="H136" s="348">
        <v>280000.0</v>
      </c>
      <c r="I136" s="346">
        <v>80000.0</v>
      </c>
      <c r="J136" s="317" t="s">
        <v>37</v>
      </c>
      <c r="K136" s="348"/>
      <c r="L136" s="322"/>
      <c r="M136" s="334"/>
      <c r="N136" s="348"/>
      <c r="O136" s="322"/>
      <c r="P136" s="334"/>
      <c r="Q136" s="348"/>
      <c r="R136" s="322"/>
      <c r="S136" s="334"/>
      <c r="T136" s="348"/>
      <c r="U136" s="322"/>
      <c r="V136" s="334"/>
      <c r="W136" s="348"/>
      <c r="X136" s="322"/>
      <c r="Y136" s="334"/>
      <c r="Z136" s="348"/>
      <c r="AA136" s="322"/>
      <c r="AB136" s="334"/>
      <c r="AC136" s="348"/>
      <c r="AD136" s="322"/>
      <c r="AE136" s="334"/>
      <c r="AF136" s="348"/>
      <c r="AG136" s="322"/>
      <c r="AH136" s="334"/>
      <c r="AI136" s="348"/>
      <c r="AJ136" s="322"/>
      <c r="AK136" s="334"/>
      <c r="AL136" s="348"/>
      <c r="AM136" s="322"/>
      <c r="AN136" s="316" t="s">
        <v>310</v>
      </c>
      <c r="AO136" s="316"/>
      <c r="AP136" s="316"/>
      <c r="AQ136" s="316"/>
      <c r="AR136" s="316"/>
      <c r="AS136" s="316"/>
      <c r="AT136" s="316"/>
      <c r="AU136" s="316"/>
      <c r="AV136" s="316"/>
      <c r="AW136" s="316"/>
      <c r="AX136" s="316"/>
      <c r="AY136" s="316"/>
      <c r="AZ136" s="316"/>
      <c r="BA136" s="316"/>
      <c r="BB136" s="316"/>
      <c r="BC136" s="316"/>
      <c r="BD136" s="316"/>
      <c r="BE136" s="316"/>
      <c r="BF136" s="316"/>
      <c r="BG136" s="316"/>
      <c r="BH136" s="316"/>
      <c r="BI136" s="316"/>
      <c r="BJ136" s="316"/>
      <c r="BK136" s="316"/>
      <c r="BL136" s="316"/>
      <c r="BM136" s="316"/>
      <c r="BN136" s="316"/>
    </row>
    <row r="137">
      <c r="A137" s="303" t="s">
        <v>305</v>
      </c>
      <c r="B137" s="304"/>
      <c r="C137" s="305" t="s">
        <v>42</v>
      </c>
      <c r="D137" s="320"/>
      <c r="E137" s="323">
        <f t="shared" ref="E137:F137" si="163">SUM(E133:E136)</f>
        <v>1760000</v>
      </c>
      <c r="F137" s="324">
        <f t="shared" si="163"/>
        <v>360000</v>
      </c>
      <c r="G137" s="320"/>
      <c r="H137" s="323">
        <f t="shared" ref="H137:I137" si="164">SUM(H133:H136)</f>
        <v>1730357</v>
      </c>
      <c r="I137" s="324">
        <f t="shared" si="164"/>
        <v>252857</v>
      </c>
      <c r="J137" s="320"/>
      <c r="K137" s="323">
        <f t="shared" ref="K137:L137" si="165">SUM(K133:K136)</f>
        <v>1400000</v>
      </c>
      <c r="L137" s="324">
        <f t="shared" si="165"/>
        <v>300000</v>
      </c>
      <c r="M137" s="320"/>
      <c r="N137" s="323">
        <f t="shared" ref="N137:O137" si="166">SUM(N133:N136)</f>
        <v>1400000</v>
      </c>
      <c r="O137" s="324">
        <f t="shared" si="166"/>
        <v>300000</v>
      </c>
      <c r="P137" s="320"/>
      <c r="Q137" s="323">
        <f t="shared" ref="Q137:R137" si="167">SUM(Q133:Q136)</f>
        <v>1400000</v>
      </c>
      <c r="R137" s="324">
        <f t="shared" si="167"/>
        <v>300000</v>
      </c>
      <c r="S137" s="320"/>
      <c r="T137" s="323">
        <f t="shared" ref="T137:U137" si="168">SUM(T133:T136)</f>
        <v>1400000</v>
      </c>
      <c r="U137" s="324">
        <f t="shared" si="168"/>
        <v>300000</v>
      </c>
      <c r="V137" s="320"/>
      <c r="W137" s="323">
        <f t="shared" ref="W137:X137" si="169">SUM(W133:W136)</f>
        <v>1400000</v>
      </c>
      <c r="X137" s="324">
        <f t="shared" si="169"/>
        <v>300000</v>
      </c>
      <c r="Y137" s="320"/>
      <c r="Z137" s="323">
        <f t="shared" ref="Z137:AA137" si="170">SUM(Z133:Z136)</f>
        <v>1400000</v>
      </c>
      <c r="AA137" s="324">
        <f t="shared" si="170"/>
        <v>300000</v>
      </c>
      <c r="AB137" s="320"/>
      <c r="AC137" s="323">
        <f t="shared" ref="AC137:AD137" si="171">SUM(AC133:AC136)</f>
        <v>980000</v>
      </c>
      <c r="AD137" s="324">
        <f t="shared" si="171"/>
        <v>200000</v>
      </c>
      <c r="AE137" s="320"/>
      <c r="AF137" s="323">
        <f t="shared" ref="AF137:AG137" si="172">SUM(AF133:AF136)</f>
        <v>980000</v>
      </c>
      <c r="AG137" s="324">
        <f t="shared" si="172"/>
        <v>200000</v>
      </c>
      <c r="AH137" s="320"/>
      <c r="AI137" s="323">
        <f t="shared" ref="AI137:AJ137" si="173">SUM(AI133:AI136)</f>
        <v>980000</v>
      </c>
      <c r="AJ137" s="324">
        <f t="shared" si="173"/>
        <v>200000</v>
      </c>
      <c r="AK137" s="320"/>
      <c r="AL137" s="323">
        <f t="shared" ref="AL137:AM137" si="174">SUM(AL133:AL136)</f>
        <v>980000</v>
      </c>
      <c r="AM137" s="324">
        <f t="shared" si="174"/>
        <v>200000</v>
      </c>
      <c r="AN137" s="316" t="s">
        <v>310</v>
      </c>
      <c r="AO137" s="316"/>
      <c r="AP137" s="316"/>
      <c r="AQ137" s="316"/>
      <c r="AR137" s="316"/>
      <c r="AS137" s="316"/>
      <c r="AT137" s="316"/>
      <c r="AU137" s="316"/>
      <c r="AV137" s="316"/>
      <c r="AW137" s="316"/>
      <c r="AX137" s="316"/>
      <c r="AY137" s="316"/>
      <c r="AZ137" s="316"/>
      <c r="BA137" s="316"/>
      <c r="BB137" s="316"/>
      <c r="BC137" s="316"/>
      <c r="BD137" s="316"/>
      <c r="BE137" s="316"/>
      <c r="BF137" s="316"/>
      <c r="BG137" s="316"/>
      <c r="BH137" s="316"/>
      <c r="BI137" s="316"/>
      <c r="BJ137" s="316"/>
      <c r="BK137" s="316"/>
      <c r="BL137" s="316"/>
      <c r="BM137" s="316"/>
      <c r="BN137" s="316"/>
    </row>
    <row r="138" collapsed="1">
      <c r="A138" s="303" t="s">
        <v>305</v>
      </c>
      <c r="B138" s="304"/>
      <c r="C138" s="325" t="s">
        <v>43</v>
      </c>
      <c r="D138" s="326"/>
      <c r="E138" s="321">
        <v>850000.0</v>
      </c>
      <c r="F138" s="324"/>
      <c r="G138" s="326"/>
      <c r="H138" s="321">
        <v>850000.0</v>
      </c>
      <c r="I138" s="324"/>
      <c r="J138" s="326"/>
      <c r="K138" s="321">
        <v>850000.0</v>
      </c>
      <c r="L138" s="324"/>
      <c r="M138" s="320"/>
      <c r="N138" s="321">
        <v>850000.0</v>
      </c>
      <c r="O138" s="324"/>
      <c r="P138" s="326"/>
      <c r="Q138" s="321">
        <v>850000.0</v>
      </c>
      <c r="R138" s="324"/>
      <c r="S138" s="326"/>
      <c r="T138" s="321">
        <v>850000.0</v>
      </c>
      <c r="U138" s="324"/>
      <c r="V138" s="326"/>
      <c r="W138" s="321">
        <v>850000.0</v>
      </c>
      <c r="X138" s="324"/>
      <c r="Y138" s="326"/>
      <c r="Z138" s="321">
        <v>850000.0</v>
      </c>
      <c r="AA138" s="324"/>
      <c r="AB138" s="326"/>
      <c r="AC138" s="321">
        <v>850000.0</v>
      </c>
      <c r="AD138" s="324"/>
      <c r="AE138" s="326"/>
      <c r="AF138" s="321">
        <v>850000.0</v>
      </c>
      <c r="AG138" s="324"/>
      <c r="AH138" s="326"/>
      <c r="AI138" s="321">
        <v>850000.0</v>
      </c>
      <c r="AJ138" s="324"/>
      <c r="AK138" s="326"/>
      <c r="AL138" s="321">
        <v>850000.0</v>
      </c>
      <c r="AM138" s="324"/>
      <c r="AN138" s="316" t="s">
        <v>310</v>
      </c>
      <c r="AO138" s="316"/>
      <c r="AP138" s="316"/>
      <c r="AQ138" s="316"/>
      <c r="AR138" s="316"/>
      <c r="AS138" s="316"/>
      <c r="AT138" s="316"/>
      <c r="AU138" s="316"/>
      <c r="AV138" s="316"/>
      <c r="AW138" s="316"/>
      <c r="AX138" s="316"/>
      <c r="AY138" s="316"/>
      <c r="AZ138" s="316"/>
      <c r="BA138" s="316"/>
      <c r="BB138" s="316"/>
      <c r="BC138" s="316"/>
      <c r="BD138" s="316"/>
      <c r="BE138" s="316"/>
      <c r="BF138" s="316"/>
      <c r="BG138" s="316"/>
      <c r="BH138" s="316"/>
      <c r="BI138" s="316"/>
      <c r="BJ138" s="316"/>
      <c r="BK138" s="316"/>
      <c r="BL138" s="316"/>
      <c r="BM138" s="316"/>
      <c r="BN138" s="316"/>
    </row>
    <row r="139" hidden="1" outlineLevel="1">
      <c r="A139" s="303" t="s">
        <v>305</v>
      </c>
      <c r="B139" s="304"/>
      <c r="C139" s="325" t="s">
        <v>45</v>
      </c>
      <c r="D139" s="326"/>
      <c r="E139" s="321"/>
      <c r="F139" s="322" t="s">
        <v>44</v>
      </c>
      <c r="G139" s="326"/>
      <c r="H139" s="321"/>
      <c r="I139" s="322" t="s">
        <v>44</v>
      </c>
      <c r="J139" s="326"/>
      <c r="K139" s="321"/>
      <c r="L139" s="322"/>
      <c r="M139" s="320"/>
      <c r="N139" s="321"/>
      <c r="O139" s="322"/>
      <c r="P139" s="326"/>
      <c r="Q139" s="321"/>
      <c r="R139" s="322"/>
      <c r="S139" s="326"/>
      <c r="T139" s="321"/>
      <c r="U139" s="322"/>
      <c r="V139" s="326"/>
      <c r="W139" s="321"/>
      <c r="X139" s="322"/>
      <c r="Y139" s="326"/>
      <c r="Z139" s="321"/>
      <c r="AA139" s="322"/>
      <c r="AB139" s="326"/>
      <c r="AC139" s="321"/>
      <c r="AD139" s="322"/>
      <c r="AE139" s="326"/>
      <c r="AF139" s="321"/>
      <c r="AG139" s="322"/>
      <c r="AH139" s="326"/>
      <c r="AI139" s="321"/>
      <c r="AJ139" s="322"/>
      <c r="AK139" s="326"/>
      <c r="AL139" s="321"/>
      <c r="AM139" s="322"/>
      <c r="AN139" s="316" t="s">
        <v>310</v>
      </c>
      <c r="AO139" s="316"/>
      <c r="AP139" s="316"/>
      <c r="AQ139" s="316"/>
      <c r="AR139" s="316"/>
      <c r="AS139" s="316"/>
      <c r="AT139" s="316"/>
      <c r="AU139" s="316"/>
      <c r="AV139" s="316"/>
      <c r="AW139" s="316"/>
      <c r="AX139" s="316"/>
      <c r="AY139" s="316"/>
      <c r="AZ139" s="316"/>
      <c r="BA139" s="316"/>
      <c r="BB139" s="316"/>
      <c r="BC139" s="316"/>
      <c r="BD139" s="316"/>
      <c r="BE139" s="316"/>
      <c r="BF139" s="316"/>
      <c r="BG139" s="316"/>
      <c r="BH139" s="316"/>
      <c r="BI139" s="316"/>
      <c r="BJ139" s="316"/>
      <c r="BK139" s="316"/>
      <c r="BL139" s="316"/>
      <c r="BM139" s="316"/>
      <c r="BN139" s="316"/>
    </row>
    <row r="140" hidden="1" outlineLevel="1">
      <c r="A140" s="303" t="s">
        <v>305</v>
      </c>
      <c r="B140" s="317" t="s">
        <v>318</v>
      </c>
      <c r="C140" s="325" t="s">
        <v>303</v>
      </c>
      <c r="D140" s="326"/>
      <c r="E140" s="321"/>
      <c r="F140" s="322">
        <v>47710.0</v>
      </c>
      <c r="G140" s="326"/>
      <c r="H140" s="321"/>
      <c r="I140" s="322">
        <v>47710.0</v>
      </c>
      <c r="J140" s="326" t="s">
        <v>2039</v>
      </c>
      <c r="K140" s="321"/>
      <c r="L140" s="322">
        <v>50000.0</v>
      </c>
      <c r="M140" s="320"/>
      <c r="N140" s="321"/>
      <c r="O140" s="322"/>
      <c r="P140" s="326"/>
      <c r="Q140" s="321"/>
      <c r="R140" s="322"/>
      <c r="S140" s="326"/>
      <c r="T140" s="321"/>
      <c r="U140" s="322"/>
      <c r="V140" s="326"/>
      <c r="W140" s="321"/>
      <c r="X140" s="322"/>
      <c r="Y140" s="326"/>
      <c r="Z140" s="321"/>
      <c r="AA140" s="322"/>
      <c r="AB140" s="326"/>
      <c r="AC140" s="321"/>
      <c r="AD140" s="322"/>
      <c r="AE140" s="326"/>
      <c r="AF140" s="321"/>
      <c r="AG140" s="322"/>
      <c r="AH140" s="326"/>
      <c r="AI140" s="321"/>
      <c r="AJ140" s="322"/>
      <c r="AK140" s="326"/>
      <c r="AL140" s="321"/>
      <c r="AM140" s="322"/>
      <c r="AN140" s="316" t="s">
        <v>310</v>
      </c>
      <c r="AO140" s="316"/>
      <c r="AP140" s="316"/>
      <c r="AQ140" s="316"/>
      <c r="AR140" s="316"/>
      <c r="AS140" s="316"/>
      <c r="AT140" s="316"/>
      <c r="AU140" s="316"/>
      <c r="AV140" s="316"/>
      <c r="AW140" s="316"/>
      <c r="AX140" s="316"/>
      <c r="AY140" s="316"/>
      <c r="AZ140" s="316"/>
      <c r="BA140" s="316"/>
      <c r="BB140" s="316"/>
      <c r="BC140" s="316"/>
      <c r="BD140" s="316"/>
      <c r="BE140" s="316"/>
      <c r="BF140" s="316"/>
      <c r="BG140" s="316"/>
      <c r="BH140" s="316"/>
      <c r="BI140" s="316"/>
      <c r="BJ140" s="316"/>
      <c r="BK140" s="316"/>
      <c r="BL140" s="316"/>
      <c r="BM140" s="316"/>
      <c r="BN140" s="316"/>
    </row>
    <row r="141" hidden="1" outlineLevel="1">
      <c r="A141" s="303" t="s">
        <v>305</v>
      </c>
      <c r="B141" s="317">
        <v>6.004897043E9</v>
      </c>
      <c r="C141" s="325" t="s">
        <v>261</v>
      </c>
      <c r="D141" s="326"/>
      <c r="E141" s="321"/>
      <c r="F141" s="322">
        <v>175100.0</v>
      </c>
      <c r="G141" s="326"/>
      <c r="H141" s="321"/>
      <c r="I141" s="322">
        <v>235520.0</v>
      </c>
      <c r="J141" s="326"/>
      <c r="K141" s="321"/>
      <c r="L141" s="322">
        <v>231650.0</v>
      </c>
      <c r="M141" s="320"/>
      <c r="N141" s="321"/>
      <c r="O141" s="322"/>
      <c r="P141" s="326"/>
      <c r="Q141" s="321"/>
      <c r="R141" s="322"/>
      <c r="S141" s="326"/>
      <c r="T141" s="321"/>
      <c r="U141" s="322"/>
      <c r="V141" s="326"/>
      <c r="W141" s="321"/>
      <c r="X141" s="322"/>
      <c r="Y141" s="326"/>
      <c r="Z141" s="321"/>
      <c r="AA141" s="322"/>
      <c r="AB141" s="326"/>
      <c r="AC141" s="321"/>
      <c r="AD141" s="322"/>
      <c r="AE141" s="326"/>
      <c r="AF141" s="321"/>
      <c r="AG141" s="322"/>
      <c r="AH141" s="326"/>
      <c r="AI141" s="321"/>
      <c r="AJ141" s="322"/>
      <c r="AK141" s="326"/>
      <c r="AL141" s="321"/>
      <c r="AM141" s="322"/>
      <c r="AN141" s="316" t="s">
        <v>310</v>
      </c>
      <c r="AO141" s="316"/>
      <c r="AP141" s="316"/>
      <c r="AQ141" s="316"/>
      <c r="AR141" s="316"/>
      <c r="AS141" s="316"/>
      <c r="AT141" s="316"/>
      <c r="AU141" s="316"/>
      <c r="AV141" s="316"/>
      <c r="AW141" s="316"/>
      <c r="AX141" s="316"/>
      <c r="AY141" s="316"/>
      <c r="AZ141" s="316"/>
      <c r="BA141" s="316"/>
      <c r="BB141" s="316"/>
      <c r="BC141" s="316"/>
      <c r="BD141" s="316"/>
      <c r="BE141" s="316"/>
      <c r="BF141" s="316"/>
      <c r="BG141" s="316"/>
      <c r="BH141" s="316"/>
      <c r="BI141" s="316"/>
      <c r="BJ141" s="316"/>
      <c r="BK141" s="316"/>
      <c r="BL141" s="316"/>
      <c r="BM141" s="316"/>
      <c r="BN141" s="316"/>
    </row>
    <row r="142" hidden="1" outlineLevel="1">
      <c r="A142" s="303" t="s">
        <v>305</v>
      </c>
      <c r="B142" s="317" t="s">
        <v>26</v>
      </c>
      <c r="C142" s="325" t="s">
        <v>51</v>
      </c>
      <c r="D142" s="326" t="s">
        <v>2039</v>
      </c>
      <c r="E142" s="321"/>
      <c r="F142" s="322">
        <v>30000.0</v>
      </c>
      <c r="G142" s="326" t="s">
        <v>2039</v>
      </c>
      <c r="H142" s="321"/>
      <c r="I142" s="322">
        <v>30000.0</v>
      </c>
      <c r="J142" s="326" t="s">
        <v>2039</v>
      </c>
      <c r="K142" s="321"/>
      <c r="L142" s="322">
        <v>30000.0</v>
      </c>
      <c r="M142" s="320"/>
      <c r="N142" s="321"/>
      <c r="O142" s="322">
        <v>30000.0</v>
      </c>
      <c r="P142" s="326" t="s">
        <v>2039</v>
      </c>
      <c r="Q142" s="321"/>
      <c r="R142" s="322">
        <v>30000.0</v>
      </c>
      <c r="S142" s="326" t="s">
        <v>2039</v>
      </c>
      <c r="T142" s="321"/>
      <c r="U142" s="322">
        <v>30000.0</v>
      </c>
      <c r="V142" s="326" t="s">
        <v>2039</v>
      </c>
      <c r="W142" s="321"/>
      <c r="X142" s="322">
        <v>30000.0</v>
      </c>
      <c r="Y142" s="326" t="s">
        <v>2039</v>
      </c>
      <c r="Z142" s="321"/>
      <c r="AA142" s="322">
        <v>30000.0</v>
      </c>
      <c r="AB142" s="326" t="s">
        <v>2039</v>
      </c>
      <c r="AC142" s="321"/>
      <c r="AD142" s="322">
        <v>30000.0</v>
      </c>
      <c r="AE142" s="326" t="s">
        <v>2039</v>
      </c>
      <c r="AF142" s="321"/>
      <c r="AG142" s="322">
        <v>30000.0</v>
      </c>
      <c r="AH142" s="326" t="s">
        <v>2039</v>
      </c>
      <c r="AI142" s="321"/>
      <c r="AJ142" s="322">
        <v>30000.0</v>
      </c>
      <c r="AK142" s="326" t="s">
        <v>2039</v>
      </c>
      <c r="AL142" s="321"/>
      <c r="AM142" s="322">
        <v>30000.0</v>
      </c>
      <c r="AN142" s="316" t="s">
        <v>310</v>
      </c>
      <c r="AO142" s="316"/>
      <c r="AP142" s="316"/>
      <c r="AQ142" s="316"/>
      <c r="AR142" s="316"/>
      <c r="AS142" s="316"/>
      <c r="AT142" s="316"/>
      <c r="AU142" s="316"/>
      <c r="AV142" s="316"/>
      <c r="AW142" s="316"/>
      <c r="AX142" s="316"/>
      <c r="AY142" s="316"/>
      <c r="AZ142" s="316"/>
      <c r="BA142" s="316"/>
      <c r="BB142" s="316"/>
      <c r="BC142" s="316"/>
      <c r="BD142" s="316"/>
      <c r="BE142" s="316"/>
      <c r="BF142" s="316"/>
      <c r="BG142" s="316"/>
      <c r="BH142" s="316"/>
      <c r="BI142" s="316"/>
      <c r="BJ142" s="316"/>
      <c r="BK142" s="316"/>
      <c r="BL142" s="316"/>
      <c r="BM142" s="316"/>
      <c r="BN142" s="316"/>
    </row>
    <row r="143" hidden="1" outlineLevel="1">
      <c r="A143" s="303" t="s">
        <v>305</v>
      </c>
      <c r="B143" s="304"/>
      <c r="C143" s="325" t="s">
        <v>52</v>
      </c>
      <c r="D143" s="326"/>
      <c r="E143" s="321"/>
      <c r="F143" s="322">
        <v>25000.0</v>
      </c>
      <c r="G143" s="326"/>
      <c r="H143" s="321"/>
      <c r="I143" s="322">
        <v>25000.0</v>
      </c>
      <c r="J143" s="326"/>
      <c r="K143" s="321"/>
      <c r="L143" s="322">
        <v>25000.0</v>
      </c>
      <c r="M143" s="320"/>
      <c r="N143" s="321"/>
      <c r="O143" s="322">
        <v>25000.0</v>
      </c>
      <c r="P143" s="326"/>
      <c r="Q143" s="321"/>
      <c r="R143" s="322">
        <v>25000.0</v>
      </c>
      <c r="S143" s="326"/>
      <c r="T143" s="321"/>
      <c r="U143" s="322">
        <v>25000.0</v>
      </c>
      <c r="V143" s="326"/>
      <c r="W143" s="321"/>
      <c r="X143" s="322">
        <v>25000.0</v>
      </c>
      <c r="Y143" s="326"/>
      <c r="Z143" s="321"/>
      <c r="AA143" s="322">
        <v>25000.0</v>
      </c>
      <c r="AB143" s="326"/>
      <c r="AC143" s="321"/>
      <c r="AD143" s="322">
        <v>25000.0</v>
      </c>
      <c r="AE143" s="326"/>
      <c r="AF143" s="321"/>
      <c r="AG143" s="322">
        <v>25000.0</v>
      </c>
      <c r="AH143" s="326"/>
      <c r="AI143" s="321"/>
      <c r="AJ143" s="322">
        <v>25000.0</v>
      </c>
      <c r="AK143" s="326"/>
      <c r="AL143" s="321"/>
      <c r="AM143" s="322">
        <v>25000.0</v>
      </c>
      <c r="AN143" s="316" t="s">
        <v>310</v>
      </c>
      <c r="AO143" s="316"/>
      <c r="AP143" s="316"/>
      <c r="AQ143" s="316"/>
      <c r="AR143" s="316"/>
      <c r="AS143" s="316"/>
      <c r="AT143" s="316"/>
      <c r="AU143" s="316"/>
      <c r="AV143" s="316"/>
      <c r="AW143" s="316"/>
      <c r="AX143" s="316"/>
      <c r="AY143" s="316"/>
      <c r="AZ143" s="316"/>
      <c r="BA143" s="316"/>
      <c r="BB143" s="316"/>
      <c r="BC143" s="316"/>
      <c r="BD143" s="316"/>
      <c r="BE143" s="316"/>
      <c r="BF143" s="316"/>
      <c r="BG143" s="316"/>
      <c r="BH143" s="316"/>
      <c r="BI143" s="316"/>
      <c r="BJ143" s="316"/>
      <c r="BK143" s="316"/>
      <c r="BL143" s="316"/>
      <c r="BM143" s="316"/>
      <c r="BN143" s="316"/>
    </row>
    <row r="144" hidden="1" outlineLevel="1">
      <c r="A144" s="303" t="s">
        <v>305</v>
      </c>
      <c r="B144" s="304"/>
      <c r="C144" s="325" t="s">
        <v>53</v>
      </c>
      <c r="D144" s="326"/>
      <c r="E144" s="321"/>
      <c r="F144" s="322">
        <v>10000.0</v>
      </c>
      <c r="G144" s="326"/>
      <c r="H144" s="321"/>
      <c r="I144" s="322">
        <v>10000.0</v>
      </c>
      <c r="J144" s="326"/>
      <c r="K144" s="321"/>
      <c r="L144" s="322">
        <v>10000.0</v>
      </c>
      <c r="M144" s="320"/>
      <c r="N144" s="321"/>
      <c r="O144" s="322">
        <v>10000.0</v>
      </c>
      <c r="P144" s="326"/>
      <c r="Q144" s="321"/>
      <c r="R144" s="322">
        <v>10000.0</v>
      </c>
      <c r="S144" s="326"/>
      <c r="T144" s="321"/>
      <c r="U144" s="322">
        <v>10000.0</v>
      </c>
      <c r="V144" s="326"/>
      <c r="W144" s="321"/>
      <c r="X144" s="322">
        <v>10000.0</v>
      </c>
      <c r="Y144" s="326"/>
      <c r="Z144" s="321"/>
      <c r="AA144" s="322">
        <v>10000.0</v>
      </c>
      <c r="AB144" s="326"/>
      <c r="AC144" s="321"/>
      <c r="AD144" s="322">
        <v>10000.0</v>
      </c>
      <c r="AE144" s="326"/>
      <c r="AF144" s="321"/>
      <c r="AG144" s="322">
        <v>10000.0</v>
      </c>
      <c r="AH144" s="326"/>
      <c r="AI144" s="321"/>
      <c r="AJ144" s="322">
        <v>10000.0</v>
      </c>
      <c r="AK144" s="326"/>
      <c r="AL144" s="321"/>
      <c r="AM144" s="322">
        <v>10000.0</v>
      </c>
      <c r="AN144" s="316" t="s">
        <v>310</v>
      </c>
      <c r="AO144" s="316"/>
      <c r="AP144" s="316"/>
      <c r="AQ144" s="316"/>
      <c r="AR144" s="316"/>
      <c r="AS144" s="316"/>
      <c r="AT144" s="316"/>
      <c r="AU144" s="316"/>
      <c r="AV144" s="316"/>
      <c r="AW144" s="316"/>
      <c r="AX144" s="316"/>
      <c r="AY144" s="316"/>
      <c r="AZ144" s="316"/>
      <c r="BA144" s="316"/>
      <c r="BB144" s="316"/>
      <c r="BC144" s="316"/>
      <c r="BD144" s="316"/>
      <c r="BE144" s="316"/>
      <c r="BF144" s="316"/>
      <c r="BG144" s="316"/>
      <c r="BH144" s="316"/>
      <c r="BI144" s="316"/>
      <c r="BJ144" s="316"/>
      <c r="BK144" s="316"/>
      <c r="BL144" s="316"/>
      <c r="BM144" s="316"/>
      <c r="BN144" s="316"/>
    </row>
    <row r="145" hidden="1" outlineLevel="1">
      <c r="A145" s="303" t="s">
        <v>305</v>
      </c>
      <c r="B145" s="304"/>
      <c r="C145" s="325" t="s">
        <v>54</v>
      </c>
      <c r="D145" s="327"/>
      <c r="E145" s="321"/>
      <c r="F145" s="322">
        <f>SUMIFS('지출'!$G$3:$G794,'지출'!$J$3:$J794,F$1,'지출'!$C$3:$C794,"샤네")</f>
        <v>50730</v>
      </c>
      <c r="G145" s="327"/>
      <c r="H145" s="321"/>
      <c r="I145" s="322">
        <f>SUMIFS('지출'!$G$3:$G794,'지출'!$J$3:$J794,I$1,'지출'!$C$3:$C794,"샤네")</f>
        <v>82750</v>
      </c>
      <c r="J145" s="327"/>
      <c r="K145" s="321"/>
      <c r="L145" s="322">
        <f>SUMIFS('지출'!$G$3:$G794,'지출'!$J$3:$J794,L$1,'지출'!$C$3:$C794,"샤네")</f>
        <v>0</v>
      </c>
      <c r="M145" s="320"/>
      <c r="N145" s="321"/>
      <c r="O145" s="322">
        <f>SUMIFS('지출'!$G$3:$G794,'지출'!$J$3:$J794,O$1,'지출'!$C$3:$C794,"샤네")</f>
        <v>0</v>
      </c>
      <c r="P145" s="327"/>
      <c r="Q145" s="321"/>
      <c r="R145" s="322">
        <f>SUMIFS('지출'!$G$3:$G794,'지출'!$J$3:$J794,R$1,'지출'!$C$3:$C794,"샤네")</f>
        <v>0</v>
      </c>
      <c r="S145" s="327"/>
      <c r="T145" s="321"/>
      <c r="U145" s="322">
        <f>SUMIFS('지출'!$G$3:$G794,'지출'!$J$3:$J794,U$1,'지출'!$C$3:$C794,"샤네")</f>
        <v>0</v>
      </c>
      <c r="V145" s="327"/>
      <c r="W145" s="321"/>
      <c r="X145" s="322">
        <f>SUMIFS('지출'!$G$3:$G794,'지출'!$J$3:$J794,X$1,'지출'!$C$3:$C794,"샤네")</f>
        <v>0</v>
      </c>
      <c r="Y145" s="327"/>
      <c r="Z145" s="321"/>
      <c r="AA145" s="322">
        <f>SUMIFS('지출'!$G$3:$G794,'지출'!$J$3:$J794,AA$1,'지출'!$C$3:$C794,"샤네")</f>
        <v>0</v>
      </c>
      <c r="AB145" s="327"/>
      <c r="AC145" s="321"/>
      <c r="AD145" s="322">
        <f>SUMIFS('지출'!$G$3:$G794,'지출'!$J$3:$J794,AD$1,'지출'!$C$3:$C794,"샤네")</f>
        <v>0</v>
      </c>
      <c r="AE145" s="327"/>
      <c r="AF145" s="321"/>
      <c r="AG145" s="322">
        <f>SUMIFS('지출'!$G$3:$G794,'지출'!$J$3:$J794,AG$1,'지출'!$C$3:$C794,"샤네")</f>
        <v>0</v>
      </c>
      <c r="AH145" s="327"/>
      <c r="AI145" s="321"/>
      <c r="AJ145" s="322">
        <f>SUMIFS('지출'!$G$3:$G794,'지출'!$J$3:$J794,AJ$1,'지출'!$C$3:$C794,"샤네")</f>
        <v>0</v>
      </c>
      <c r="AK145" s="327"/>
      <c r="AL145" s="321"/>
      <c r="AM145" s="322">
        <f>SUMIFS('지출'!$G$3:$G794,'지출'!$J$3:$J794,AM$1,'지출'!$C$3:$C794,"샤네")</f>
        <v>0</v>
      </c>
      <c r="AN145" s="316" t="s">
        <v>310</v>
      </c>
      <c r="AO145" s="316"/>
      <c r="AP145" s="316"/>
      <c r="AQ145" s="316"/>
      <c r="AR145" s="316"/>
      <c r="AS145" s="316"/>
      <c r="AT145" s="316"/>
      <c r="AU145" s="316"/>
      <c r="AV145" s="316"/>
      <c r="AW145" s="316"/>
      <c r="AX145" s="316"/>
      <c r="AY145" s="316"/>
      <c r="AZ145" s="316"/>
      <c r="BA145" s="316"/>
      <c r="BB145" s="316"/>
      <c r="BC145" s="316"/>
      <c r="BD145" s="316"/>
      <c r="BE145" s="316"/>
      <c r="BF145" s="316"/>
      <c r="BG145" s="316"/>
      <c r="BH145" s="316"/>
      <c r="BI145" s="316"/>
      <c r="BJ145" s="316"/>
      <c r="BK145" s="316"/>
      <c r="BL145" s="316"/>
      <c r="BM145" s="316"/>
      <c r="BN145" s="316"/>
    </row>
    <row r="146" hidden="1" outlineLevel="1">
      <c r="A146" s="303" t="s">
        <v>305</v>
      </c>
      <c r="B146" s="304"/>
      <c r="C146" s="325" t="s">
        <v>56</v>
      </c>
      <c r="D146" s="320"/>
      <c r="E146" s="323">
        <f t="shared" ref="E146:F146" si="175">E137-(SUM(E138:E145))</f>
        <v>910000</v>
      </c>
      <c r="F146" s="324">
        <f t="shared" si="175"/>
        <v>21460</v>
      </c>
      <c r="G146" s="320"/>
      <c r="H146" s="323">
        <f t="shared" ref="H146:I146" si="176">H137-(SUM(H138:H145))</f>
        <v>880357</v>
      </c>
      <c r="I146" s="324">
        <f t="shared" si="176"/>
        <v>-178123</v>
      </c>
      <c r="J146" s="320"/>
      <c r="K146" s="323">
        <f t="shared" ref="K146:L146" si="177">K137-(SUM(K138:K145))</f>
        <v>550000</v>
      </c>
      <c r="L146" s="324">
        <f t="shared" si="177"/>
        <v>-46650</v>
      </c>
      <c r="M146" s="320"/>
      <c r="N146" s="323">
        <f t="shared" ref="N146:O146" si="178">N137-(SUM(N138:N145))</f>
        <v>550000</v>
      </c>
      <c r="O146" s="324">
        <f t="shared" si="178"/>
        <v>235000</v>
      </c>
      <c r="P146" s="320"/>
      <c r="Q146" s="323">
        <f t="shared" ref="Q146:R146" si="179">Q137-(SUM(Q138:Q145))</f>
        <v>550000</v>
      </c>
      <c r="R146" s="324">
        <f t="shared" si="179"/>
        <v>235000</v>
      </c>
      <c r="S146" s="320"/>
      <c r="T146" s="323">
        <f t="shared" ref="T146:U146" si="180">T137-(SUM(T138:T145))</f>
        <v>550000</v>
      </c>
      <c r="U146" s="324">
        <f t="shared" si="180"/>
        <v>235000</v>
      </c>
      <c r="V146" s="320"/>
      <c r="W146" s="323">
        <f t="shared" ref="W146:X146" si="181">W137-(SUM(W138:W145))</f>
        <v>550000</v>
      </c>
      <c r="X146" s="324">
        <f t="shared" si="181"/>
        <v>235000</v>
      </c>
      <c r="Y146" s="320"/>
      <c r="Z146" s="323">
        <f t="shared" ref="Z146:AA146" si="182">Z137-(SUM(Z138:Z145))</f>
        <v>550000</v>
      </c>
      <c r="AA146" s="324">
        <f t="shared" si="182"/>
        <v>235000</v>
      </c>
      <c r="AB146" s="320"/>
      <c r="AC146" s="323">
        <f t="shared" ref="AC146:AD146" si="183">AC137-(SUM(AC138:AC145))</f>
        <v>130000</v>
      </c>
      <c r="AD146" s="324">
        <f t="shared" si="183"/>
        <v>135000</v>
      </c>
      <c r="AE146" s="320"/>
      <c r="AF146" s="323">
        <f t="shared" ref="AF146:AG146" si="184">AF137-(SUM(AF138:AF145))</f>
        <v>130000</v>
      </c>
      <c r="AG146" s="324">
        <f t="shared" si="184"/>
        <v>135000</v>
      </c>
      <c r="AH146" s="320"/>
      <c r="AI146" s="323">
        <f t="shared" ref="AI146:AJ146" si="185">AI137-(SUM(AI138:AI145))</f>
        <v>130000</v>
      </c>
      <c r="AJ146" s="324">
        <f t="shared" si="185"/>
        <v>135000</v>
      </c>
      <c r="AK146" s="320"/>
      <c r="AL146" s="323">
        <f t="shared" ref="AL146:AM146" si="186">AL137-(SUM(AL138:AL145))</f>
        <v>130000</v>
      </c>
      <c r="AM146" s="324">
        <f t="shared" si="186"/>
        <v>135000</v>
      </c>
      <c r="AN146" s="316" t="s">
        <v>310</v>
      </c>
      <c r="AO146" s="316"/>
      <c r="AP146" s="316"/>
      <c r="AQ146" s="316"/>
      <c r="AR146" s="316"/>
      <c r="AS146" s="316"/>
      <c r="AT146" s="316"/>
      <c r="AU146" s="316"/>
      <c r="AV146" s="316"/>
      <c r="AW146" s="316"/>
      <c r="AX146" s="316"/>
      <c r="AY146" s="316"/>
      <c r="AZ146" s="316"/>
      <c r="BA146" s="316"/>
      <c r="BB146" s="316"/>
      <c r="BC146" s="316"/>
      <c r="BD146" s="316"/>
      <c r="BE146" s="316"/>
      <c r="BF146" s="316"/>
      <c r="BG146" s="316"/>
      <c r="BH146" s="316"/>
      <c r="BI146" s="316"/>
      <c r="BJ146" s="316"/>
      <c r="BK146" s="316"/>
      <c r="BL146" s="316"/>
      <c r="BM146" s="316"/>
      <c r="BN146" s="316"/>
    </row>
    <row r="147">
      <c r="A147" s="303" t="s">
        <v>305</v>
      </c>
      <c r="B147" s="328">
        <v>0.75</v>
      </c>
      <c r="C147" s="325" t="s">
        <v>26</v>
      </c>
      <c r="D147" s="320"/>
      <c r="E147" s="323">
        <f>E146*$B147</f>
        <v>682500</v>
      </c>
      <c r="F147" s="324"/>
      <c r="G147" s="320"/>
      <c r="H147" s="323">
        <f>H146*$B147</f>
        <v>660267.75</v>
      </c>
      <c r="I147" s="324"/>
      <c r="J147" s="320"/>
      <c r="K147" s="323">
        <f>K146*$B147</f>
        <v>412500</v>
      </c>
      <c r="L147" s="324"/>
      <c r="M147" s="320"/>
      <c r="N147" s="323">
        <f>N146*$B147</f>
        <v>412500</v>
      </c>
      <c r="O147" s="324"/>
      <c r="P147" s="320"/>
      <c r="Q147" s="323">
        <f>Q146*$B147</f>
        <v>412500</v>
      </c>
      <c r="R147" s="324"/>
      <c r="S147" s="320"/>
      <c r="T147" s="323">
        <f>T146*$B147</f>
        <v>412500</v>
      </c>
      <c r="U147" s="324"/>
      <c r="V147" s="320"/>
      <c r="W147" s="323">
        <f>W146*$B147</f>
        <v>412500</v>
      </c>
      <c r="X147" s="324"/>
      <c r="Y147" s="320"/>
      <c r="Z147" s="323">
        <f>Z146*$B147</f>
        <v>412500</v>
      </c>
      <c r="AA147" s="324"/>
      <c r="AB147" s="320"/>
      <c r="AC147" s="323">
        <f>AC146*$B147</f>
        <v>97500</v>
      </c>
      <c r="AD147" s="324"/>
      <c r="AE147" s="320"/>
      <c r="AF147" s="323">
        <f>AF146*$B147</f>
        <v>97500</v>
      </c>
      <c r="AG147" s="324"/>
      <c r="AH147" s="320"/>
      <c r="AI147" s="323">
        <f>AI146*$B147</f>
        <v>97500</v>
      </c>
      <c r="AJ147" s="324"/>
      <c r="AK147" s="320"/>
      <c r="AL147" s="323">
        <f>AL146*$B147</f>
        <v>97500</v>
      </c>
      <c r="AM147" s="324"/>
      <c r="AN147" s="316" t="s">
        <v>310</v>
      </c>
      <c r="AO147" s="316"/>
      <c r="AP147" s="316"/>
      <c r="AQ147" s="316"/>
      <c r="AR147" s="316"/>
      <c r="AS147" s="316"/>
      <c r="AT147" s="316"/>
      <c r="AU147" s="316"/>
      <c r="AV147" s="316"/>
      <c r="AW147" s="316"/>
      <c r="AX147" s="316"/>
      <c r="AY147" s="316"/>
      <c r="AZ147" s="316"/>
      <c r="BA147" s="316"/>
      <c r="BB147" s="316"/>
      <c r="BC147" s="316"/>
      <c r="BD147" s="316"/>
      <c r="BE147" s="316"/>
      <c r="BF147" s="316"/>
      <c r="BG147" s="316"/>
      <c r="BH147" s="316"/>
      <c r="BI147" s="316"/>
      <c r="BJ147" s="316"/>
      <c r="BK147" s="316"/>
      <c r="BL147" s="316"/>
      <c r="BM147" s="316"/>
      <c r="BN147" s="316"/>
    </row>
    <row r="148">
      <c r="A148" s="303" t="s">
        <v>305</v>
      </c>
      <c r="B148" s="329">
        <v>0.25</v>
      </c>
      <c r="C148" s="330" t="s">
        <v>57</v>
      </c>
      <c r="D148" s="331"/>
      <c r="E148" s="332">
        <f>E146*$B148</f>
        <v>227500</v>
      </c>
      <c r="F148" s="333"/>
      <c r="G148" s="331"/>
      <c r="H148" s="332">
        <f>H146*$B148</f>
        <v>220089.25</v>
      </c>
      <c r="I148" s="333"/>
      <c r="J148" s="331"/>
      <c r="K148" s="332">
        <f>K146*$B148</f>
        <v>137500</v>
      </c>
      <c r="L148" s="333"/>
      <c r="M148" s="331"/>
      <c r="N148" s="332">
        <f>N146*$B148</f>
        <v>137500</v>
      </c>
      <c r="O148" s="333"/>
      <c r="P148" s="331"/>
      <c r="Q148" s="332">
        <f>Q146*$B148</f>
        <v>137500</v>
      </c>
      <c r="R148" s="333"/>
      <c r="S148" s="331"/>
      <c r="T148" s="332">
        <f>T146*$B148</f>
        <v>137500</v>
      </c>
      <c r="U148" s="333"/>
      <c r="V148" s="331"/>
      <c r="W148" s="332">
        <f>W146*$B148</f>
        <v>137500</v>
      </c>
      <c r="X148" s="333"/>
      <c r="Y148" s="331"/>
      <c r="Z148" s="332">
        <f>Z146*$B148</f>
        <v>137500</v>
      </c>
      <c r="AA148" s="333"/>
      <c r="AB148" s="331"/>
      <c r="AC148" s="332">
        <f>AC146*$B148</f>
        <v>32500</v>
      </c>
      <c r="AD148" s="333"/>
      <c r="AE148" s="331"/>
      <c r="AF148" s="332">
        <f>AF146*$B148</f>
        <v>32500</v>
      </c>
      <c r="AG148" s="333"/>
      <c r="AH148" s="331"/>
      <c r="AI148" s="332">
        <f>AI146*$B148</f>
        <v>32500</v>
      </c>
      <c r="AJ148" s="333"/>
      <c r="AK148" s="331"/>
      <c r="AL148" s="332">
        <f>AL146*$B148</f>
        <v>32500</v>
      </c>
      <c r="AM148" s="333"/>
      <c r="AN148" s="316" t="s">
        <v>310</v>
      </c>
      <c r="AO148" s="316"/>
      <c r="AP148" s="316"/>
      <c r="AQ148" s="316"/>
      <c r="AR148" s="316"/>
      <c r="AS148" s="316"/>
      <c r="AT148" s="316"/>
      <c r="AU148" s="316"/>
      <c r="AV148" s="316"/>
      <c r="AW148" s="316"/>
      <c r="AX148" s="316"/>
      <c r="AY148" s="316"/>
      <c r="AZ148" s="316"/>
      <c r="BA148" s="316"/>
      <c r="BB148" s="316"/>
      <c r="BC148" s="316"/>
      <c r="BD148" s="316"/>
      <c r="BE148" s="316"/>
      <c r="BF148" s="316"/>
      <c r="BG148" s="316"/>
      <c r="BH148" s="316"/>
      <c r="BI148" s="316"/>
      <c r="BJ148" s="316"/>
      <c r="BK148" s="316"/>
      <c r="BL148" s="316"/>
      <c r="BM148" s="316"/>
      <c r="BN148" s="316"/>
    </row>
    <row r="149">
      <c r="A149" s="303" t="s">
        <v>328</v>
      </c>
      <c r="B149" s="317" t="s">
        <v>328</v>
      </c>
      <c r="C149" s="325" t="s">
        <v>320</v>
      </c>
      <c r="D149" s="334" t="s">
        <v>2008</v>
      </c>
      <c r="E149" s="348">
        <v>420000.0</v>
      </c>
      <c r="F149" s="346">
        <v>100000.0</v>
      </c>
      <c r="G149" s="347" t="s">
        <v>2114</v>
      </c>
      <c r="H149" s="335">
        <f>330000+137500+715338</f>
        <v>1182838</v>
      </c>
      <c r="I149" s="346">
        <f>78572+25000+98399</f>
        <v>201971</v>
      </c>
      <c r="J149" s="347" t="s">
        <v>1416</v>
      </c>
      <c r="K149" s="348">
        <v>550000.0</v>
      </c>
      <c r="L149" s="346">
        <v>100000.0</v>
      </c>
      <c r="M149" s="347" t="s">
        <v>1416</v>
      </c>
      <c r="N149" s="348">
        <v>550000.0</v>
      </c>
      <c r="O149" s="346">
        <v>100000.0</v>
      </c>
      <c r="P149" s="347" t="s">
        <v>1416</v>
      </c>
      <c r="Q149" s="348">
        <v>550000.0</v>
      </c>
      <c r="R149" s="346">
        <v>100000.0</v>
      </c>
      <c r="S149" s="347" t="s">
        <v>1416</v>
      </c>
      <c r="T149" s="348">
        <v>550000.0</v>
      </c>
      <c r="U149" s="346">
        <v>100000.0</v>
      </c>
      <c r="V149" s="347" t="s">
        <v>1416</v>
      </c>
      <c r="W149" s="348">
        <v>550000.0</v>
      </c>
      <c r="X149" s="346">
        <v>100000.0</v>
      </c>
      <c r="Y149" s="347" t="s">
        <v>2115</v>
      </c>
      <c r="Z149" s="348">
        <v>443548.0</v>
      </c>
      <c r="AA149" s="345">
        <v>80645.0</v>
      </c>
      <c r="AB149" s="334"/>
      <c r="AC149" s="348"/>
      <c r="AD149" s="346"/>
      <c r="AE149" s="334"/>
      <c r="AF149" s="348"/>
      <c r="AG149" s="346"/>
      <c r="AH149" s="334"/>
      <c r="AI149" s="348"/>
      <c r="AJ149" s="346"/>
      <c r="AK149" s="334"/>
      <c r="AL149" s="348"/>
      <c r="AM149" s="346"/>
      <c r="AN149" s="316" t="s">
        <v>321</v>
      </c>
      <c r="AO149" s="316"/>
      <c r="AP149" s="316"/>
      <c r="AQ149" s="316"/>
      <c r="AR149" s="316"/>
      <c r="AS149" s="316"/>
      <c r="AT149" s="316"/>
      <c r="AU149" s="316"/>
      <c r="AV149" s="316"/>
      <c r="AW149" s="316"/>
      <c r="AX149" s="316"/>
      <c r="AY149" s="316"/>
      <c r="AZ149" s="316"/>
      <c r="BA149" s="316"/>
      <c r="BB149" s="316"/>
      <c r="BC149" s="316"/>
      <c r="BD149" s="316"/>
      <c r="BE149" s="316"/>
      <c r="BF149" s="316"/>
      <c r="BG149" s="316"/>
      <c r="BH149" s="316"/>
      <c r="BI149" s="316"/>
      <c r="BJ149" s="316"/>
      <c r="BK149" s="316"/>
      <c r="BL149" s="316"/>
      <c r="BM149" s="316"/>
      <c r="BN149" s="316"/>
    </row>
    <row r="150">
      <c r="A150" s="303" t="s">
        <v>328</v>
      </c>
      <c r="B150" s="317" t="s">
        <v>328</v>
      </c>
      <c r="C150" s="325" t="s">
        <v>332</v>
      </c>
      <c r="D150" s="317" t="s">
        <v>37</v>
      </c>
      <c r="E150" s="321"/>
      <c r="F150" s="322"/>
      <c r="G150" s="317" t="s">
        <v>2116</v>
      </c>
      <c r="H150" s="321">
        <v>96429.0</v>
      </c>
      <c r="I150" s="322">
        <v>21429.0</v>
      </c>
      <c r="J150" s="317" t="s">
        <v>1422</v>
      </c>
      <c r="K150" s="321">
        <v>450000.0</v>
      </c>
      <c r="L150" s="346">
        <v>100000.0</v>
      </c>
      <c r="M150" s="317" t="s">
        <v>1422</v>
      </c>
      <c r="N150" s="321">
        <v>450000.0</v>
      </c>
      <c r="O150" s="324">
        <v>100000.0</v>
      </c>
      <c r="P150" s="317" t="s">
        <v>1422</v>
      </c>
      <c r="Q150" s="321">
        <v>450000.0</v>
      </c>
      <c r="R150" s="324">
        <v>100000.0</v>
      </c>
      <c r="S150" s="317" t="s">
        <v>1422</v>
      </c>
      <c r="T150" s="321">
        <v>450000.0</v>
      </c>
      <c r="U150" s="324">
        <v>100000.0</v>
      </c>
      <c r="V150" s="317" t="s">
        <v>1422</v>
      </c>
      <c r="W150" s="321">
        <v>450000.0</v>
      </c>
      <c r="X150" s="324">
        <v>100000.0</v>
      </c>
      <c r="Y150" s="317" t="s">
        <v>2117</v>
      </c>
      <c r="Z150" s="321">
        <v>450000.0</v>
      </c>
      <c r="AA150" s="324">
        <v>100000.0</v>
      </c>
      <c r="AB150" s="317"/>
      <c r="AC150" s="321"/>
      <c r="AD150" s="322"/>
      <c r="AE150" s="317"/>
      <c r="AF150" s="321"/>
      <c r="AG150" s="322"/>
      <c r="AH150" s="317"/>
      <c r="AI150" s="321"/>
      <c r="AJ150" s="322"/>
      <c r="AK150" s="317"/>
      <c r="AL150" s="321"/>
      <c r="AM150" s="322"/>
      <c r="AN150" s="316" t="s">
        <v>321</v>
      </c>
      <c r="AO150" s="316"/>
      <c r="AP150" s="316"/>
      <c r="AQ150" s="316"/>
      <c r="AR150" s="316"/>
      <c r="AS150" s="316"/>
      <c r="AT150" s="316"/>
      <c r="AU150" s="316"/>
      <c r="AV150" s="316"/>
      <c r="AW150" s="316"/>
      <c r="AX150" s="316"/>
      <c r="AY150" s="316"/>
      <c r="AZ150" s="316"/>
      <c r="BA150" s="316"/>
      <c r="BB150" s="316"/>
      <c r="BC150" s="316"/>
      <c r="BD150" s="316"/>
      <c r="BE150" s="316"/>
      <c r="BF150" s="316"/>
      <c r="BG150" s="316"/>
      <c r="BH150" s="316"/>
      <c r="BI150" s="316"/>
      <c r="BJ150" s="316"/>
      <c r="BK150" s="316"/>
      <c r="BL150" s="316"/>
      <c r="BM150" s="316"/>
      <c r="BN150" s="316"/>
    </row>
    <row r="151">
      <c r="A151" s="303" t="s">
        <v>328</v>
      </c>
      <c r="B151" s="317" t="s">
        <v>328</v>
      </c>
      <c r="C151" s="325" t="s">
        <v>338</v>
      </c>
      <c r="D151" s="334" t="s">
        <v>346</v>
      </c>
      <c r="E151" s="335">
        <v>420000.0</v>
      </c>
      <c r="F151" s="346">
        <v>100000.0</v>
      </c>
      <c r="G151" s="334" t="s">
        <v>346</v>
      </c>
      <c r="H151" s="348">
        <v>220000.0</v>
      </c>
      <c r="I151" s="346">
        <v>100000.0</v>
      </c>
      <c r="J151" s="334" t="s">
        <v>346</v>
      </c>
      <c r="K151" s="335">
        <v>420000.0</v>
      </c>
      <c r="L151" s="346">
        <v>100000.0</v>
      </c>
      <c r="M151" s="334" t="s">
        <v>346</v>
      </c>
      <c r="N151" s="335">
        <v>420000.0</v>
      </c>
      <c r="O151" s="346">
        <v>100000.0</v>
      </c>
      <c r="P151" s="334" t="s">
        <v>346</v>
      </c>
      <c r="Q151" s="335">
        <v>420000.0</v>
      </c>
      <c r="R151" s="346">
        <v>100000.0</v>
      </c>
      <c r="S151" s="334" t="s">
        <v>346</v>
      </c>
      <c r="T151" s="335">
        <v>420000.0</v>
      </c>
      <c r="U151" s="346">
        <v>100000.0</v>
      </c>
      <c r="V151" s="317"/>
      <c r="W151" s="321"/>
      <c r="X151" s="322"/>
      <c r="Y151" s="317"/>
      <c r="Z151" s="321"/>
      <c r="AA151" s="322"/>
      <c r="AB151" s="317"/>
      <c r="AC151" s="321"/>
      <c r="AD151" s="322"/>
      <c r="AE151" s="317"/>
      <c r="AF151" s="321"/>
      <c r="AG151" s="322"/>
      <c r="AH151" s="317"/>
      <c r="AI151" s="321"/>
      <c r="AJ151" s="322"/>
      <c r="AK151" s="317"/>
      <c r="AL151" s="321"/>
      <c r="AM151" s="322"/>
      <c r="AN151" s="316" t="s">
        <v>321</v>
      </c>
      <c r="AO151" s="316"/>
      <c r="AP151" s="316"/>
      <c r="AQ151" s="316"/>
      <c r="AR151" s="316"/>
      <c r="AS151" s="316"/>
      <c r="AT151" s="316"/>
      <c r="AU151" s="316"/>
      <c r="AV151" s="316"/>
      <c r="AW151" s="316"/>
      <c r="AX151" s="316"/>
      <c r="AY151" s="316"/>
      <c r="AZ151" s="316"/>
      <c r="BA151" s="316"/>
      <c r="BB151" s="316"/>
      <c r="BC151" s="316"/>
      <c r="BD151" s="316"/>
      <c r="BE151" s="316"/>
      <c r="BF151" s="316"/>
      <c r="BG151" s="316"/>
      <c r="BH151" s="316"/>
      <c r="BI151" s="316"/>
      <c r="BJ151" s="316"/>
      <c r="BK151" s="316"/>
      <c r="BL151" s="316"/>
      <c r="BM151" s="316"/>
      <c r="BN151" s="316"/>
    </row>
    <row r="152">
      <c r="A152" s="303" t="s">
        <v>328</v>
      </c>
      <c r="B152" s="317" t="s">
        <v>328</v>
      </c>
      <c r="C152" s="325" t="s">
        <v>323</v>
      </c>
      <c r="D152" s="334" t="s">
        <v>1428</v>
      </c>
      <c r="E152" s="335">
        <v>420000.0</v>
      </c>
      <c r="F152" s="346">
        <v>100000.0</v>
      </c>
      <c r="G152" s="334" t="s">
        <v>1428</v>
      </c>
      <c r="H152" s="335">
        <v>420000.0</v>
      </c>
      <c r="I152" s="346">
        <v>100000.0</v>
      </c>
      <c r="J152" s="334" t="s">
        <v>1428</v>
      </c>
      <c r="K152" s="348">
        <v>400000.0</v>
      </c>
      <c r="L152" s="346">
        <v>100000.0</v>
      </c>
      <c r="M152" s="334" t="s">
        <v>1428</v>
      </c>
      <c r="N152" s="348">
        <v>400000.0</v>
      </c>
      <c r="O152" s="346">
        <v>100000.0</v>
      </c>
      <c r="P152" s="334" t="s">
        <v>1428</v>
      </c>
      <c r="Q152" s="348">
        <v>400000.0</v>
      </c>
      <c r="R152" s="346">
        <v>100000.0</v>
      </c>
      <c r="S152" s="334" t="s">
        <v>1428</v>
      </c>
      <c r="T152" s="348">
        <v>400000.0</v>
      </c>
      <c r="U152" s="346">
        <v>100000.0</v>
      </c>
      <c r="V152" s="334" t="s">
        <v>1428</v>
      </c>
      <c r="W152" s="348">
        <v>400000.0</v>
      </c>
      <c r="X152" s="346">
        <v>100000.0</v>
      </c>
      <c r="Y152" s="334" t="s">
        <v>1428</v>
      </c>
      <c r="Z152" s="348">
        <v>400000.0</v>
      </c>
      <c r="AA152" s="346">
        <v>100000.0</v>
      </c>
      <c r="AB152" s="334" t="s">
        <v>1428</v>
      </c>
      <c r="AC152" s="348">
        <v>400000.0</v>
      </c>
      <c r="AD152" s="346">
        <v>100000.0</v>
      </c>
      <c r="AE152" s="334" t="s">
        <v>1428</v>
      </c>
      <c r="AF152" s="348">
        <v>400000.0</v>
      </c>
      <c r="AG152" s="346">
        <v>100000.0</v>
      </c>
      <c r="AH152" s="334" t="s">
        <v>1428</v>
      </c>
      <c r="AI152" s="348">
        <v>400000.0</v>
      </c>
      <c r="AJ152" s="346">
        <v>100000.0</v>
      </c>
      <c r="AK152" s="334" t="s">
        <v>1428</v>
      </c>
      <c r="AL152" s="348">
        <v>400000.0</v>
      </c>
      <c r="AM152" s="346">
        <v>100000.0</v>
      </c>
      <c r="AN152" s="316" t="s">
        <v>321</v>
      </c>
      <c r="AO152" s="316"/>
      <c r="AP152" s="316"/>
      <c r="AQ152" s="316"/>
      <c r="AR152" s="316"/>
      <c r="AS152" s="316"/>
      <c r="AT152" s="316"/>
      <c r="AU152" s="316"/>
      <c r="AV152" s="316"/>
      <c r="AW152" s="316"/>
      <c r="AX152" s="316"/>
      <c r="AY152" s="316"/>
      <c r="AZ152" s="316"/>
      <c r="BA152" s="316"/>
      <c r="BB152" s="316"/>
      <c r="BC152" s="316"/>
      <c r="BD152" s="316"/>
      <c r="BE152" s="316"/>
      <c r="BF152" s="316"/>
      <c r="BG152" s="316"/>
      <c r="BH152" s="316"/>
      <c r="BI152" s="316"/>
      <c r="BJ152" s="316"/>
      <c r="BK152" s="316"/>
      <c r="BL152" s="316"/>
      <c r="BM152" s="316"/>
      <c r="BN152" s="316"/>
    </row>
    <row r="153">
      <c r="A153" s="303" t="s">
        <v>328</v>
      </c>
      <c r="B153" s="317" t="s">
        <v>328</v>
      </c>
      <c r="C153" s="325" t="s">
        <v>349</v>
      </c>
      <c r="D153" s="334" t="s">
        <v>2118</v>
      </c>
      <c r="E153" s="335">
        <v>390000.0</v>
      </c>
      <c r="F153" s="346">
        <v>100000.0</v>
      </c>
      <c r="G153" s="347" t="s">
        <v>2119</v>
      </c>
      <c r="H153" s="335">
        <f>295004+75000</f>
        <v>370004</v>
      </c>
      <c r="I153" s="346">
        <f>75854
+17857</f>
        <v>93711</v>
      </c>
      <c r="J153" s="317" t="s">
        <v>1431</v>
      </c>
      <c r="K153" s="348">
        <v>420000.0</v>
      </c>
      <c r="L153" s="346">
        <v>100000.0</v>
      </c>
      <c r="M153" s="317" t="s">
        <v>1431</v>
      </c>
      <c r="N153" s="348">
        <v>420000.0</v>
      </c>
      <c r="O153" s="346">
        <v>100000.0</v>
      </c>
      <c r="P153" s="317" t="s">
        <v>1431</v>
      </c>
      <c r="Q153" s="348">
        <v>420000.0</v>
      </c>
      <c r="R153" s="346">
        <v>100000.0</v>
      </c>
      <c r="S153" s="317" t="s">
        <v>1431</v>
      </c>
      <c r="T153" s="348">
        <v>420000.0</v>
      </c>
      <c r="U153" s="346">
        <v>100000.0</v>
      </c>
      <c r="V153" s="317" t="s">
        <v>1431</v>
      </c>
      <c r="W153" s="348">
        <v>420000.0</v>
      </c>
      <c r="X153" s="346">
        <v>100000.0</v>
      </c>
      <c r="Y153" s="317" t="s">
        <v>2120</v>
      </c>
      <c r="Z153" s="348">
        <v>420000.0</v>
      </c>
      <c r="AA153" s="346">
        <v>100000.0</v>
      </c>
      <c r="AB153" s="317"/>
      <c r="AC153" s="321"/>
      <c r="AD153" s="322"/>
      <c r="AE153" s="317"/>
      <c r="AF153" s="321"/>
      <c r="AG153" s="322"/>
      <c r="AH153" s="317"/>
      <c r="AI153" s="321"/>
      <c r="AJ153" s="322"/>
      <c r="AK153" s="317"/>
      <c r="AL153" s="321"/>
      <c r="AM153" s="322"/>
      <c r="AN153" s="316" t="s">
        <v>321</v>
      </c>
      <c r="AO153" s="316"/>
      <c r="AP153" s="316"/>
      <c r="AQ153" s="316"/>
      <c r="AR153" s="316"/>
      <c r="AS153" s="316"/>
      <c r="AT153" s="316"/>
      <c r="AU153" s="316"/>
      <c r="AV153" s="316"/>
      <c r="AW153" s="316"/>
      <c r="AX153" s="316"/>
      <c r="AY153" s="316"/>
      <c r="AZ153" s="316"/>
      <c r="BA153" s="316"/>
      <c r="BB153" s="316"/>
      <c r="BC153" s="316"/>
      <c r="BD153" s="316"/>
      <c r="BE153" s="316"/>
      <c r="BF153" s="316"/>
      <c r="BG153" s="316"/>
      <c r="BH153" s="316"/>
      <c r="BI153" s="316"/>
      <c r="BJ153" s="316"/>
      <c r="BK153" s="316"/>
      <c r="BL153" s="316"/>
      <c r="BM153" s="316"/>
      <c r="BN153" s="316"/>
    </row>
    <row r="154">
      <c r="A154" s="303" t="s">
        <v>328</v>
      </c>
      <c r="B154" s="304"/>
      <c r="C154" s="305" t="s">
        <v>42</v>
      </c>
      <c r="D154" s="320"/>
      <c r="E154" s="323">
        <f t="shared" ref="E154:F154" si="187">SUM(E149:E153)</f>
        <v>1650000</v>
      </c>
      <c r="F154" s="324">
        <f t="shared" si="187"/>
        <v>400000</v>
      </c>
      <c r="G154" s="320"/>
      <c r="H154" s="323">
        <f t="shared" ref="H154:I154" si="188">SUM(H149:H153)</f>
        <v>2289271</v>
      </c>
      <c r="I154" s="324">
        <f t="shared" si="188"/>
        <v>517111</v>
      </c>
      <c r="J154" s="320"/>
      <c r="K154" s="323">
        <f t="shared" ref="K154:L154" si="189">SUM(K149:K153)</f>
        <v>2240000</v>
      </c>
      <c r="L154" s="324">
        <f t="shared" si="189"/>
        <v>500000</v>
      </c>
      <c r="M154" s="320"/>
      <c r="N154" s="323">
        <f t="shared" ref="N154:O154" si="190">SUM(N149:N153)</f>
        <v>2240000</v>
      </c>
      <c r="O154" s="324">
        <f t="shared" si="190"/>
        <v>500000</v>
      </c>
      <c r="P154" s="320"/>
      <c r="Q154" s="323">
        <f t="shared" ref="Q154:R154" si="191">SUM(Q149:Q153)</f>
        <v>2240000</v>
      </c>
      <c r="R154" s="324">
        <f t="shared" si="191"/>
        <v>500000</v>
      </c>
      <c r="S154" s="320"/>
      <c r="T154" s="323">
        <f t="shared" ref="T154:U154" si="192">SUM(T149:T153)</f>
        <v>2240000</v>
      </c>
      <c r="U154" s="324">
        <f t="shared" si="192"/>
        <v>500000</v>
      </c>
      <c r="V154" s="320"/>
      <c r="W154" s="323">
        <f t="shared" ref="W154:X154" si="193">SUM(W149:W153)</f>
        <v>1820000</v>
      </c>
      <c r="X154" s="324">
        <f t="shared" si="193"/>
        <v>400000</v>
      </c>
      <c r="Y154" s="320"/>
      <c r="Z154" s="323">
        <f t="shared" ref="Z154:AA154" si="194">SUM(Z149:Z153)</f>
        <v>1713548</v>
      </c>
      <c r="AA154" s="324">
        <f t="shared" si="194"/>
        <v>380645</v>
      </c>
      <c r="AB154" s="320"/>
      <c r="AC154" s="323">
        <f t="shared" ref="AC154:AD154" si="195">SUM(AC149:AC153)</f>
        <v>400000</v>
      </c>
      <c r="AD154" s="324">
        <f t="shared" si="195"/>
        <v>100000</v>
      </c>
      <c r="AE154" s="320"/>
      <c r="AF154" s="323">
        <f t="shared" ref="AF154:AG154" si="196">SUM(AF149:AF153)</f>
        <v>400000</v>
      </c>
      <c r="AG154" s="324">
        <f t="shared" si="196"/>
        <v>100000</v>
      </c>
      <c r="AH154" s="320"/>
      <c r="AI154" s="323">
        <f t="shared" ref="AI154:AJ154" si="197">SUM(AI149:AI153)</f>
        <v>400000</v>
      </c>
      <c r="AJ154" s="324">
        <f t="shared" si="197"/>
        <v>100000</v>
      </c>
      <c r="AK154" s="320"/>
      <c r="AL154" s="323">
        <f t="shared" ref="AL154:AM154" si="198">SUM(AL149:AL153)</f>
        <v>400000</v>
      </c>
      <c r="AM154" s="324">
        <f t="shared" si="198"/>
        <v>100000</v>
      </c>
      <c r="AN154" s="316" t="s">
        <v>321</v>
      </c>
      <c r="AO154" s="316"/>
      <c r="AP154" s="316"/>
      <c r="AQ154" s="316"/>
      <c r="AR154" s="316"/>
      <c r="AS154" s="316"/>
      <c r="AT154" s="316"/>
      <c r="AU154" s="316"/>
      <c r="AV154" s="316"/>
      <c r="AW154" s="316"/>
      <c r="AX154" s="316"/>
      <c r="AY154" s="316"/>
      <c r="AZ154" s="316"/>
      <c r="BA154" s="316"/>
      <c r="BB154" s="316"/>
      <c r="BC154" s="316"/>
      <c r="BD154" s="316"/>
      <c r="BE154" s="316"/>
      <c r="BF154" s="316"/>
      <c r="BG154" s="316"/>
      <c r="BH154" s="316"/>
      <c r="BI154" s="316"/>
      <c r="BJ154" s="316"/>
      <c r="BK154" s="316"/>
      <c r="BL154" s="316"/>
      <c r="BM154" s="316"/>
      <c r="BN154" s="316"/>
    </row>
    <row r="155" collapsed="1">
      <c r="A155" s="303" t="s">
        <v>328</v>
      </c>
      <c r="B155" s="304"/>
      <c r="C155" s="325" t="s">
        <v>43</v>
      </c>
      <c r="D155" s="326"/>
      <c r="E155" s="321">
        <v>1100000.0</v>
      </c>
      <c r="F155" s="324"/>
      <c r="G155" s="326"/>
      <c r="H155" s="321">
        <v>1100000.0</v>
      </c>
      <c r="I155" s="324"/>
      <c r="J155" s="326"/>
      <c r="K155" s="321">
        <v>1100000.0</v>
      </c>
      <c r="L155" s="324"/>
      <c r="M155" s="326"/>
      <c r="N155" s="321">
        <v>1100000.0</v>
      </c>
      <c r="O155" s="324"/>
      <c r="P155" s="326"/>
      <c r="Q155" s="321">
        <v>1100000.0</v>
      </c>
      <c r="R155" s="324"/>
      <c r="S155" s="326"/>
      <c r="T155" s="321">
        <v>1100000.0</v>
      </c>
      <c r="U155" s="324"/>
      <c r="V155" s="326"/>
      <c r="W155" s="321">
        <v>1100000.0</v>
      </c>
      <c r="X155" s="324"/>
      <c r="Y155" s="326"/>
      <c r="Z155" s="321">
        <v>1100000.0</v>
      </c>
      <c r="AA155" s="324"/>
      <c r="AB155" s="326"/>
      <c r="AC155" s="321">
        <v>1100000.0</v>
      </c>
      <c r="AD155" s="324"/>
      <c r="AE155" s="326"/>
      <c r="AF155" s="321">
        <v>1100000.0</v>
      </c>
      <c r="AG155" s="324"/>
      <c r="AH155" s="326"/>
      <c r="AI155" s="321">
        <v>1100000.0</v>
      </c>
      <c r="AJ155" s="324"/>
      <c r="AK155" s="326"/>
      <c r="AL155" s="321">
        <v>1100000.0</v>
      </c>
      <c r="AM155" s="324"/>
      <c r="AN155" s="316" t="s">
        <v>321</v>
      </c>
      <c r="AO155" s="316"/>
      <c r="AP155" s="316"/>
      <c r="AQ155" s="316"/>
      <c r="AR155" s="316"/>
      <c r="AS155" s="316"/>
      <c r="AT155" s="316"/>
      <c r="AU155" s="316"/>
      <c r="AV155" s="316"/>
      <c r="AW155" s="316"/>
      <c r="AX155" s="316"/>
      <c r="AY155" s="316"/>
      <c r="AZ155" s="316"/>
      <c r="BA155" s="316"/>
      <c r="BB155" s="316"/>
      <c r="BC155" s="316"/>
      <c r="BD155" s="316"/>
      <c r="BE155" s="316"/>
      <c r="BF155" s="316"/>
      <c r="BG155" s="316"/>
      <c r="BH155" s="316"/>
      <c r="BI155" s="316"/>
      <c r="BJ155" s="316"/>
      <c r="BK155" s="316"/>
      <c r="BL155" s="316"/>
      <c r="BM155" s="316"/>
      <c r="BN155" s="316"/>
    </row>
    <row r="156" hidden="1" outlineLevel="1">
      <c r="A156" s="303" t="s">
        <v>328</v>
      </c>
      <c r="B156" s="304"/>
      <c r="C156" s="325" t="s">
        <v>45</v>
      </c>
      <c r="D156" s="326"/>
      <c r="E156" s="321"/>
      <c r="F156" s="322" t="s">
        <v>44</v>
      </c>
      <c r="G156" s="326"/>
      <c r="H156" s="321"/>
      <c r="I156" s="322" t="s">
        <v>44</v>
      </c>
      <c r="J156" s="326"/>
      <c r="K156" s="321"/>
      <c r="L156" s="322"/>
      <c r="M156" s="326"/>
      <c r="N156" s="321"/>
      <c r="O156" s="322"/>
      <c r="P156" s="326"/>
      <c r="Q156" s="321"/>
      <c r="R156" s="322"/>
      <c r="S156" s="326"/>
      <c r="T156" s="321"/>
      <c r="U156" s="322"/>
      <c r="V156" s="326"/>
      <c r="W156" s="321"/>
      <c r="X156" s="322"/>
      <c r="Y156" s="326"/>
      <c r="Z156" s="321"/>
      <c r="AA156" s="322"/>
      <c r="AB156" s="326"/>
      <c r="AC156" s="321"/>
      <c r="AD156" s="322"/>
      <c r="AE156" s="326"/>
      <c r="AF156" s="321"/>
      <c r="AG156" s="322"/>
      <c r="AH156" s="326"/>
      <c r="AI156" s="321"/>
      <c r="AJ156" s="322"/>
      <c r="AK156" s="326"/>
      <c r="AL156" s="321"/>
      <c r="AM156" s="322"/>
      <c r="AN156" s="316" t="s">
        <v>321</v>
      </c>
      <c r="AO156" s="316"/>
      <c r="AP156" s="316"/>
      <c r="AQ156" s="316"/>
      <c r="AR156" s="316"/>
      <c r="AS156" s="316"/>
      <c r="AT156" s="316"/>
      <c r="AU156" s="316"/>
      <c r="AV156" s="316"/>
      <c r="AW156" s="316"/>
      <c r="AX156" s="316"/>
      <c r="AY156" s="316"/>
      <c r="AZ156" s="316"/>
      <c r="BA156" s="316"/>
      <c r="BB156" s="316"/>
      <c r="BC156" s="316"/>
      <c r="BD156" s="316"/>
      <c r="BE156" s="316"/>
      <c r="BF156" s="316"/>
      <c r="BG156" s="316"/>
      <c r="BH156" s="316"/>
      <c r="BI156" s="316"/>
      <c r="BJ156" s="316"/>
      <c r="BK156" s="316"/>
      <c r="BL156" s="316"/>
      <c r="BM156" s="316"/>
      <c r="BN156" s="316"/>
    </row>
    <row r="157" hidden="1" outlineLevel="1">
      <c r="A157" s="303" t="s">
        <v>328</v>
      </c>
      <c r="B157" s="317" t="s">
        <v>352</v>
      </c>
      <c r="C157" s="325" t="s">
        <v>303</v>
      </c>
      <c r="D157" s="326"/>
      <c r="E157" s="321"/>
      <c r="F157" s="322">
        <v>49260.0</v>
      </c>
      <c r="G157" s="326"/>
      <c r="H157" s="321"/>
      <c r="I157" s="322">
        <v>52340.0</v>
      </c>
      <c r="J157" s="326" t="s">
        <v>2039</v>
      </c>
      <c r="K157" s="321"/>
      <c r="L157" s="322">
        <v>60000.0</v>
      </c>
      <c r="M157" s="326"/>
      <c r="N157" s="321"/>
      <c r="O157" s="322"/>
      <c r="P157" s="326"/>
      <c r="Q157" s="321"/>
      <c r="R157" s="322"/>
      <c r="S157" s="326"/>
      <c r="T157" s="321"/>
      <c r="U157" s="322"/>
      <c r="V157" s="326"/>
      <c r="W157" s="321"/>
      <c r="X157" s="322"/>
      <c r="Y157" s="326"/>
      <c r="Z157" s="321"/>
      <c r="AA157" s="322"/>
      <c r="AB157" s="326"/>
      <c r="AC157" s="321"/>
      <c r="AD157" s="322"/>
      <c r="AE157" s="326"/>
      <c r="AF157" s="321"/>
      <c r="AG157" s="322"/>
      <c r="AH157" s="326"/>
      <c r="AI157" s="321"/>
      <c r="AJ157" s="322"/>
      <c r="AK157" s="326"/>
      <c r="AL157" s="321"/>
      <c r="AM157" s="322"/>
      <c r="AN157" s="316" t="s">
        <v>321</v>
      </c>
      <c r="AO157" s="316"/>
      <c r="AP157" s="316"/>
      <c r="AQ157" s="316"/>
      <c r="AR157" s="316"/>
      <c r="AS157" s="316"/>
      <c r="AT157" s="316"/>
      <c r="AU157" s="316"/>
      <c r="AV157" s="316"/>
      <c r="AW157" s="316"/>
      <c r="AX157" s="316"/>
      <c r="AY157" s="316"/>
      <c r="AZ157" s="316"/>
      <c r="BA157" s="316"/>
      <c r="BB157" s="316"/>
      <c r="BC157" s="316"/>
      <c r="BD157" s="316"/>
      <c r="BE157" s="316"/>
      <c r="BF157" s="316"/>
      <c r="BG157" s="316"/>
      <c r="BH157" s="316"/>
      <c r="BI157" s="316"/>
      <c r="BJ157" s="316"/>
      <c r="BK157" s="316"/>
      <c r="BL157" s="316"/>
      <c r="BM157" s="316"/>
      <c r="BN157" s="316"/>
    </row>
    <row r="158" hidden="1" outlineLevel="1">
      <c r="A158" s="303" t="s">
        <v>328</v>
      </c>
      <c r="B158" s="317">
        <v>6.007620582E9</v>
      </c>
      <c r="C158" s="325" t="s">
        <v>261</v>
      </c>
      <c r="D158" s="326"/>
      <c r="E158" s="321"/>
      <c r="F158" s="322">
        <v>290710.0</v>
      </c>
      <c r="G158" s="326"/>
      <c r="H158" s="321"/>
      <c r="I158" s="322">
        <v>324130.0</v>
      </c>
      <c r="J158" s="326"/>
      <c r="K158" s="321"/>
      <c r="L158" s="322">
        <v>254730.0</v>
      </c>
      <c r="M158" s="326"/>
      <c r="N158" s="321"/>
      <c r="O158" s="322"/>
      <c r="P158" s="326"/>
      <c r="Q158" s="321"/>
      <c r="R158" s="322"/>
      <c r="S158" s="326"/>
      <c r="T158" s="321"/>
      <c r="U158" s="322"/>
      <c r="V158" s="326"/>
      <c r="W158" s="321"/>
      <c r="X158" s="322"/>
      <c r="Y158" s="326"/>
      <c r="Z158" s="321"/>
      <c r="AA158" s="322"/>
      <c r="AB158" s="326"/>
      <c r="AC158" s="321"/>
      <c r="AD158" s="322"/>
      <c r="AE158" s="326"/>
      <c r="AF158" s="321"/>
      <c r="AG158" s="322"/>
      <c r="AH158" s="326"/>
      <c r="AI158" s="321"/>
      <c r="AJ158" s="322"/>
      <c r="AK158" s="326"/>
      <c r="AL158" s="321"/>
      <c r="AM158" s="322"/>
      <c r="AN158" s="316" t="s">
        <v>321</v>
      </c>
      <c r="AO158" s="316"/>
      <c r="AP158" s="316"/>
      <c r="AQ158" s="316"/>
      <c r="AR158" s="316"/>
      <c r="AS158" s="316"/>
      <c r="AT158" s="316"/>
      <c r="AU158" s="316"/>
      <c r="AV158" s="316"/>
      <c r="AW158" s="316"/>
      <c r="AX158" s="316"/>
      <c r="AY158" s="316"/>
      <c r="AZ158" s="316"/>
      <c r="BA158" s="316"/>
      <c r="BB158" s="316"/>
      <c r="BC158" s="316"/>
      <c r="BD158" s="316"/>
      <c r="BE158" s="316"/>
      <c r="BF158" s="316"/>
      <c r="BG158" s="316"/>
      <c r="BH158" s="316"/>
      <c r="BI158" s="316"/>
      <c r="BJ158" s="316"/>
      <c r="BK158" s="316"/>
      <c r="BL158" s="316"/>
      <c r="BM158" s="316"/>
      <c r="BN158" s="316"/>
    </row>
    <row r="159" hidden="1" outlineLevel="1">
      <c r="A159" s="303" t="s">
        <v>328</v>
      </c>
      <c r="B159" s="317"/>
      <c r="C159" s="325" t="s">
        <v>51</v>
      </c>
      <c r="D159" s="326"/>
      <c r="E159" s="321"/>
      <c r="F159" s="322">
        <v>30000.0</v>
      </c>
      <c r="G159" s="326"/>
      <c r="H159" s="321"/>
      <c r="I159" s="322">
        <v>30000.0</v>
      </c>
      <c r="J159" s="326"/>
      <c r="K159" s="321"/>
      <c r="L159" s="322">
        <v>30000.0</v>
      </c>
      <c r="M159" s="326"/>
      <c r="N159" s="321"/>
      <c r="O159" s="322">
        <v>30000.0</v>
      </c>
      <c r="P159" s="326"/>
      <c r="Q159" s="321"/>
      <c r="R159" s="322">
        <v>30000.0</v>
      </c>
      <c r="S159" s="326"/>
      <c r="T159" s="321"/>
      <c r="U159" s="322">
        <v>30000.0</v>
      </c>
      <c r="V159" s="326"/>
      <c r="W159" s="321"/>
      <c r="X159" s="322">
        <v>30000.0</v>
      </c>
      <c r="Y159" s="326"/>
      <c r="Z159" s="321"/>
      <c r="AA159" s="322"/>
      <c r="AB159" s="326"/>
      <c r="AC159" s="321"/>
      <c r="AD159" s="322">
        <v>45000.0</v>
      </c>
      <c r="AE159" s="326"/>
      <c r="AF159" s="321"/>
      <c r="AG159" s="322"/>
      <c r="AH159" s="326"/>
      <c r="AI159" s="321"/>
      <c r="AJ159" s="322">
        <v>45000.0</v>
      </c>
      <c r="AK159" s="326"/>
      <c r="AL159" s="321"/>
      <c r="AM159" s="322"/>
      <c r="AN159" s="316" t="s">
        <v>321</v>
      </c>
      <c r="AO159" s="316"/>
      <c r="AP159" s="316"/>
      <c r="AQ159" s="316"/>
      <c r="AR159" s="316"/>
      <c r="AS159" s="316"/>
      <c r="AT159" s="316"/>
      <c r="AU159" s="316"/>
      <c r="AV159" s="316"/>
      <c r="AW159" s="316"/>
      <c r="AX159" s="316"/>
      <c r="AY159" s="316"/>
      <c r="AZ159" s="316"/>
      <c r="BA159" s="316"/>
      <c r="BB159" s="316"/>
      <c r="BC159" s="316"/>
      <c r="BD159" s="316"/>
      <c r="BE159" s="316"/>
      <c r="BF159" s="316"/>
      <c r="BG159" s="316"/>
      <c r="BH159" s="316"/>
      <c r="BI159" s="316"/>
      <c r="BJ159" s="316"/>
      <c r="BK159" s="316"/>
      <c r="BL159" s="316"/>
      <c r="BM159" s="316"/>
      <c r="BN159" s="316"/>
    </row>
    <row r="160" hidden="1" outlineLevel="1">
      <c r="A160" s="303" t="s">
        <v>328</v>
      </c>
      <c r="B160" s="304"/>
      <c r="C160" s="325" t="s">
        <v>52</v>
      </c>
      <c r="D160" s="326"/>
      <c r="E160" s="321"/>
      <c r="F160" s="322">
        <v>25000.0</v>
      </c>
      <c r="G160" s="326"/>
      <c r="H160" s="321"/>
      <c r="I160" s="322">
        <v>25000.0</v>
      </c>
      <c r="J160" s="326"/>
      <c r="K160" s="321"/>
      <c r="L160" s="322">
        <v>25000.0</v>
      </c>
      <c r="M160" s="326"/>
      <c r="N160" s="321"/>
      <c r="O160" s="322">
        <v>25000.0</v>
      </c>
      <c r="P160" s="326"/>
      <c r="Q160" s="321"/>
      <c r="R160" s="322">
        <v>25000.0</v>
      </c>
      <c r="S160" s="326"/>
      <c r="T160" s="321"/>
      <c r="U160" s="322">
        <v>25000.0</v>
      </c>
      <c r="V160" s="326"/>
      <c r="W160" s="321"/>
      <c r="X160" s="322">
        <v>25000.0</v>
      </c>
      <c r="Y160" s="326"/>
      <c r="Z160" s="321"/>
      <c r="AA160" s="322">
        <v>25000.0</v>
      </c>
      <c r="AB160" s="326"/>
      <c r="AC160" s="321"/>
      <c r="AD160" s="322">
        <v>25000.0</v>
      </c>
      <c r="AE160" s="326"/>
      <c r="AF160" s="321"/>
      <c r="AG160" s="322">
        <v>25000.0</v>
      </c>
      <c r="AH160" s="326"/>
      <c r="AI160" s="321"/>
      <c r="AJ160" s="322">
        <v>25000.0</v>
      </c>
      <c r="AK160" s="326"/>
      <c r="AL160" s="321"/>
      <c r="AM160" s="322">
        <v>25000.0</v>
      </c>
      <c r="AN160" s="316" t="s">
        <v>321</v>
      </c>
      <c r="AO160" s="316"/>
      <c r="AP160" s="316"/>
      <c r="AQ160" s="316"/>
      <c r="AR160" s="316"/>
      <c r="AS160" s="316"/>
      <c r="AT160" s="316"/>
      <c r="AU160" s="316"/>
      <c r="AV160" s="316"/>
      <c r="AW160" s="316"/>
      <c r="AX160" s="316"/>
      <c r="AY160" s="316"/>
      <c r="AZ160" s="316"/>
      <c r="BA160" s="316"/>
      <c r="BB160" s="316"/>
      <c r="BC160" s="316"/>
      <c r="BD160" s="316"/>
      <c r="BE160" s="316"/>
      <c r="BF160" s="316"/>
      <c r="BG160" s="316"/>
      <c r="BH160" s="316"/>
      <c r="BI160" s="316"/>
      <c r="BJ160" s="316"/>
      <c r="BK160" s="316"/>
      <c r="BL160" s="316"/>
      <c r="BM160" s="316"/>
      <c r="BN160" s="316"/>
    </row>
    <row r="161" hidden="1" outlineLevel="1">
      <c r="A161" s="303" t="s">
        <v>328</v>
      </c>
      <c r="B161" s="304"/>
      <c r="C161" s="325" t="s">
        <v>53</v>
      </c>
      <c r="D161" s="326"/>
      <c r="E161" s="321"/>
      <c r="F161" s="322">
        <v>10000.0</v>
      </c>
      <c r="G161" s="326"/>
      <c r="H161" s="321"/>
      <c r="I161" s="322">
        <v>10000.0</v>
      </c>
      <c r="J161" s="326"/>
      <c r="K161" s="321"/>
      <c r="L161" s="322">
        <v>10000.0</v>
      </c>
      <c r="M161" s="326"/>
      <c r="N161" s="321"/>
      <c r="O161" s="322">
        <v>10000.0</v>
      </c>
      <c r="P161" s="326"/>
      <c r="Q161" s="321"/>
      <c r="R161" s="322">
        <v>10000.0</v>
      </c>
      <c r="S161" s="326"/>
      <c r="T161" s="321"/>
      <c r="U161" s="322">
        <v>10000.0</v>
      </c>
      <c r="V161" s="326"/>
      <c r="W161" s="321"/>
      <c r="X161" s="322">
        <v>10000.0</v>
      </c>
      <c r="Y161" s="326"/>
      <c r="Z161" s="321"/>
      <c r="AA161" s="322">
        <v>10000.0</v>
      </c>
      <c r="AB161" s="326"/>
      <c r="AC161" s="321"/>
      <c r="AD161" s="322">
        <v>10000.0</v>
      </c>
      <c r="AE161" s="326"/>
      <c r="AF161" s="321"/>
      <c r="AG161" s="322">
        <v>10000.0</v>
      </c>
      <c r="AH161" s="326"/>
      <c r="AI161" s="321"/>
      <c r="AJ161" s="322">
        <v>10000.0</v>
      </c>
      <c r="AK161" s="326"/>
      <c r="AL161" s="321"/>
      <c r="AM161" s="322">
        <v>10000.0</v>
      </c>
      <c r="AN161" s="316" t="s">
        <v>321</v>
      </c>
      <c r="AO161" s="316"/>
      <c r="AP161" s="316"/>
      <c r="AQ161" s="316"/>
      <c r="AR161" s="316"/>
      <c r="AS161" s="316"/>
      <c r="AT161" s="316"/>
      <c r="AU161" s="316"/>
      <c r="AV161" s="316"/>
      <c r="AW161" s="316"/>
      <c r="AX161" s="316"/>
      <c r="AY161" s="316"/>
      <c r="AZ161" s="316"/>
      <c r="BA161" s="316"/>
      <c r="BB161" s="316"/>
      <c r="BC161" s="316"/>
      <c r="BD161" s="316"/>
      <c r="BE161" s="316"/>
      <c r="BF161" s="316"/>
      <c r="BG161" s="316"/>
      <c r="BH161" s="316"/>
      <c r="BI161" s="316"/>
      <c r="BJ161" s="316"/>
      <c r="BK161" s="316"/>
      <c r="BL161" s="316"/>
      <c r="BM161" s="316"/>
      <c r="BN161" s="316"/>
    </row>
    <row r="162" hidden="1" outlineLevel="1">
      <c r="A162" s="303" t="s">
        <v>328</v>
      </c>
      <c r="B162" s="304"/>
      <c r="C162" s="325" t="s">
        <v>54</v>
      </c>
      <c r="D162" s="327"/>
      <c r="E162" s="321"/>
      <c r="F162" s="322">
        <f>SUMIFS('지출'!$G$3:$G794,'지출'!$J$3:$J794,F$1,'지출'!$C$3:$C794,"낙성")</f>
        <v>66520</v>
      </c>
      <c r="G162" s="327"/>
      <c r="H162" s="321"/>
      <c r="I162" s="322">
        <f>SUMIFS('지출'!$G$3:$G794,'지출'!$J$3:$J794,I$1,'지출'!$C$3:$C794,"낙성")</f>
        <v>62990</v>
      </c>
      <c r="J162" s="327"/>
      <c r="K162" s="321"/>
      <c r="L162" s="322">
        <f>SUMIFS('지출'!$G$3:$G794,'지출'!$J$3:$J794,L$1,'지출'!$C$3:$C794,"낙성")</f>
        <v>17400</v>
      </c>
      <c r="M162" s="327"/>
      <c r="N162" s="321"/>
      <c r="O162" s="322">
        <f>SUMIFS('지출'!$G$3:$G794,'지출'!$J$3:$J794,O$1,'지출'!$C$3:$C794,"낙성")</f>
        <v>0</v>
      </c>
      <c r="P162" s="327"/>
      <c r="Q162" s="321"/>
      <c r="R162" s="322">
        <f>SUMIFS('지출'!$G$3:$G794,'지출'!$J$3:$J794,R$1,'지출'!$C$3:$C794,"낙성")</f>
        <v>0</v>
      </c>
      <c r="S162" s="327"/>
      <c r="T162" s="321"/>
      <c r="U162" s="322">
        <f>SUMIFS('지출'!$G$3:$G794,'지출'!$J$3:$J794,U$1,'지출'!$C$3:$C794,"낙성")</f>
        <v>0</v>
      </c>
      <c r="V162" s="327"/>
      <c r="W162" s="321"/>
      <c r="X162" s="322">
        <f>SUMIFS('지출'!$G$3:$G794,'지출'!$J$3:$J794,X$1,'지출'!$C$3:$C794,"낙성")</f>
        <v>0</v>
      </c>
      <c r="Y162" s="327"/>
      <c r="Z162" s="321"/>
      <c r="AA162" s="322">
        <f>SUMIFS('지출'!$G$3:$G794,'지출'!$J$3:$J794,AA$1,'지출'!$C$3:$C794,"낙성")</f>
        <v>0</v>
      </c>
      <c r="AB162" s="327"/>
      <c r="AC162" s="321"/>
      <c r="AD162" s="322">
        <f>SUMIFS('지출'!$G$3:$G794,'지출'!$J$3:$J794,AD$1,'지출'!$C$3:$C794,"낙성")</f>
        <v>0</v>
      </c>
      <c r="AE162" s="327"/>
      <c r="AF162" s="321"/>
      <c r="AG162" s="322">
        <f>SUMIFS('지출'!$G$3:$G794,'지출'!$J$3:$J794,AG$1,'지출'!$C$3:$C794,"낙성")</f>
        <v>0</v>
      </c>
      <c r="AH162" s="327"/>
      <c r="AI162" s="321"/>
      <c r="AJ162" s="322">
        <f>SUMIFS('지출'!$G$3:$G794,'지출'!$J$3:$J794,AJ$1,'지출'!$C$3:$C794,"낙성")</f>
        <v>0</v>
      </c>
      <c r="AK162" s="327"/>
      <c r="AL162" s="321"/>
      <c r="AM162" s="322">
        <f>SUMIFS('지출'!$G$3:$G794,'지출'!$J$3:$J794,AM$1,'지출'!$C$3:$C794,"벤처")</f>
        <v>0</v>
      </c>
      <c r="AN162" s="316" t="s">
        <v>321</v>
      </c>
      <c r="AO162" s="316"/>
      <c r="AP162" s="316"/>
      <c r="AQ162" s="316"/>
      <c r="AR162" s="316"/>
      <c r="AS162" s="316"/>
      <c r="AT162" s="316"/>
      <c r="AU162" s="316"/>
      <c r="AV162" s="316"/>
      <c r="AW162" s="316"/>
      <c r="AX162" s="316"/>
      <c r="AY162" s="316"/>
      <c r="AZ162" s="316"/>
      <c r="BA162" s="316"/>
      <c r="BB162" s="316"/>
      <c r="BC162" s="316"/>
      <c r="BD162" s="316"/>
      <c r="BE162" s="316"/>
      <c r="BF162" s="316"/>
      <c r="BG162" s="316"/>
      <c r="BH162" s="316"/>
      <c r="BI162" s="316"/>
      <c r="BJ162" s="316"/>
      <c r="BK162" s="316"/>
      <c r="BL162" s="316"/>
      <c r="BM162" s="316"/>
      <c r="BN162" s="316"/>
    </row>
    <row r="163" hidden="1" outlineLevel="1">
      <c r="A163" s="303" t="s">
        <v>328</v>
      </c>
      <c r="B163" s="304"/>
      <c r="C163" s="325" t="s">
        <v>56</v>
      </c>
      <c r="D163" s="320"/>
      <c r="E163" s="323">
        <f t="shared" ref="E163:F163" si="199">E154-(SUM(E155:E162))</f>
        <v>550000</v>
      </c>
      <c r="F163" s="324">
        <f t="shared" si="199"/>
        <v>-71490</v>
      </c>
      <c r="G163" s="320"/>
      <c r="H163" s="323">
        <f t="shared" ref="H163:I163" si="200">H154-(SUM(H155:H162))</f>
        <v>1189271</v>
      </c>
      <c r="I163" s="324">
        <f t="shared" si="200"/>
        <v>12651</v>
      </c>
      <c r="J163" s="320"/>
      <c r="K163" s="323">
        <f t="shared" ref="K163:L163" si="201">K154-(SUM(K155:K162))</f>
        <v>1140000</v>
      </c>
      <c r="L163" s="324">
        <f t="shared" si="201"/>
        <v>102870</v>
      </c>
      <c r="M163" s="320"/>
      <c r="N163" s="323">
        <f t="shared" ref="N163:O163" si="202">N154-(SUM(N155:N162))</f>
        <v>1140000</v>
      </c>
      <c r="O163" s="324">
        <f t="shared" si="202"/>
        <v>435000</v>
      </c>
      <c r="P163" s="320"/>
      <c r="Q163" s="323">
        <f t="shared" ref="Q163:R163" si="203">Q154-(SUM(Q155:Q162))</f>
        <v>1140000</v>
      </c>
      <c r="R163" s="324">
        <f t="shared" si="203"/>
        <v>435000</v>
      </c>
      <c r="S163" s="320"/>
      <c r="T163" s="323">
        <f t="shared" ref="T163:U163" si="204">T154-(SUM(T155:T162))</f>
        <v>1140000</v>
      </c>
      <c r="U163" s="324">
        <f t="shared" si="204"/>
        <v>435000</v>
      </c>
      <c r="V163" s="320"/>
      <c r="W163" s="323">
        <f t="shared" ref="W163:X163" si="205">W154-(SUM(W155:W162))</f>
        <v>720000</v>
      </c>
      <c r="X163" s="324">
        <f t="shared" si="205"/>
        <v>335000</v>
      </c>
      <c r="Y163" s="320"/>
      <c r="Z163" s="323">
        <f t="shared" ref="Z163:AA163" si="206">Z154-(SUM(Z155:Z162))</f>
        <v>613548</v>
      </c>
      <c r="AA163" s="324">
        <f t="shared" si="206"/>
        <v>345645</v>
      </c>
      <c r="AB163" s="320"/>
      <c r="AC163" s="323">
        <f t="shared" ref="AC163:AD163" si="207">AC154-(SUM(AC155:AC162))</f>
        <v>-700000</v>
      </c>
      <c r="AD163" s="324">
        <f t="shared" si="207"/>
        <v>20000</v>
      </c>
      <c r="AE163" s="320"/>
      <c r="AF163" s="323">
        <f t="shared" ref="AF163:AG163" si="208">AF154-(SUM(AF155:AF162))</f>
        <v>-700000</v>
      </c>
      <c r="AG163" s="324">
        <f t="shared" si="208"/>
        <v>65000</v>
      </c>
      <c r="AH163" s="320"/>
      <c r="AI163" s="323">
        <f t="shared" ref="AI163:AJ163" si="209">AI154-(SUM(AI155:AI162))</f>
        <v>-700000</v>
      </c>
      <c r="AJ163" s="324">
        <f t="shared" si="209"/>
        <v>20000</v>
      </c>
      <c r="AK163" s="320"/>
      <c r="AL163" s="323">
        <f t="shared" ref="AL163:AM163" si="210">AL154-(SUM(AL155:AL162))</f>
        <v>-700000</v>
      </c>
      <c r="AM163" s="324">
        <f t="shared" si="210"/>
        <v>65000</v>
      </c>
      <c r="AN163" s="316" t="s">
        <v>321</v>
      </c>
      <c r="AO163" s="316"/>
      <c r="AP163" s="316"/>
      <c r="AQ163" s="316"/>
      <c r="AR163" s="316"/>
      <c r="AS163" s="316"/>
      <c r="AT163" s="316"/>
      <c r="AU163" s="316"/>
      <c r="AV163" s="316"/>
      <c r="AW163" s="316"/>
      <c r="AX163" s="316"/>
      <c r="AY163" s="316"/>
      <c r="AZ163" s="316"/>
      <c r="BA163" s="316"/>
      <c r="BB163" s="316"/>
      <c r="BC163" s="316"/>
      <c r="BD163" s="316"/>
      <c r="BE163" s="316"/>
      <c r="BF163" s="316"/>
      <c r="BG163" s="316"/>
      <c r="BH163" s="316"/>
      <c r="BI163" s="316"/>
      <c r="BJ163" s="316"/>
      <c r="BK163" s="316"/>
      <c r="BL163" s="316"/>
      <c r="BM163" s="316"/>
      <c r="BN163" s="316"/>
    </row>
    <row r="164">
      <c r="A164" s="303" t="s">
        <v>328</v>
      </c>
      <c r="B164" s="328">
        <v>0.0</v>
      </c>
      <c r="C164" s="325" t="s">
        <v>26</v>
      </c>
      <c r="D164" s="320"/>
      <c r="E164" s="323">
        <f>E163*$B164</f>
        <v>0</v>
      </c>
      <c r="F164" s="324"/>
      <c r="G164" s="320"/>
      <c r="H164" s="323">
        <f>H163*$B164</f>
        <v>0</v>
      </c>
      <c r="I164" s="324"/>
      <c r="J164" s="320"/>
      <c r="K164" s="323">
        <f>K163*$B164</f>
        <v>0</v>
      </c>
      <c r="L164" s="324"/>
      <c r="M164" s="320"/>
      <c r="N164" s="323">
        <f>N163*$B164</f>
        <v>0</v>
      </c>
      <c r="O164" s="324"/>
      <c r="P164" s="320"/>
      <c r="Q164" s="323">
        <f>Q163*$B164</f>
        <v>0</v>
      </c>
      <c r="R164" s="324"/>
      <c r="S164" s="320"/>
      <c r="T164" s="323">
        <f>T163*$B164</f>
        <v>0</v>
      </c>
      <c r="U164" s="324"/>
      <c r="V164" s="320"/>
      <c r="W164" s="323">
        <f>W163*$B164</f>
        <v>0</v>
      </c>
      <c r="X164" s="324"/>
      <c r="Y164" s="320"/>
      <c r="Z164" s="323">
        <f>Z163*$B164</f>
        <v>0</v>
      </c>
      <c r="AA164" s="324"/>
      <c r="AB164" s="320"/>
      <c r="AC164" s="323">
        <f>AC163*$B164</f>
        <v>0</v>
      </c>
      <c r="AD164" s="324"/>
      <c r="AE164" s="320"/>
      <c r="AF164" s="323">
        <f>AF163*$B164</f>
        <v>0</v>
      </c>
      <c r="AG164" s="324"/>
      <c r="AH164" s="320"/>
      <c r="AI164" s="323">
        <f>AI163*$B164</f>
        <v>0</v>
      </c>
      <c r="AJ164" s="324"/>
      <c r="AK164" s="320"/>
      <c r="AL164" s="323">
        <f>AL163*$B164</f>
        <v>0</v>
      </c>
      <c r="AM164" s="324"/>
      <c r="AN164" s="316" t="s">
        <v>321</v>
      </c>
      <c r="AO164" s="316"/>
      <c r="AP164" s="316"/>
      <c r="AQ164" s="316"/>
      <c r="AR164" s="316"/>
      <c r="AS164" s="316"/>
      <c r="AT164" s="316"/>
      <c r="AU164" s="316"/>
      <c r="AV164" s="316"/>
      <c r="AW164" s="316"/>
      <c r="AX164" s="316"/>
      <c r="AY164" s="316"/>
      <c r="AZ164" s="316"/>
      <c r="BA164" s="316"/>
      <c r="BB164" s="316"/>
      <c r="BC164" s="316"/>
      <c r="BD164" s="316"/>
      <c r="BE164" s="316"/>
      <c r="BF164" s="316"/>
      <c r="BG164" s="316"/>
      <c r="BH164" s="316"/>
      <c r="BI164" s="316"/>
      <c r="BJ164" s="316"/>
      <c r="BK164" s="316"/>
      <c r="BL164" s="316"/>
      <c r="BM164" s="316"/>
      <c r="BN164" s="316"/>
    </row>
    <row r="165">
      <c r="A165" s="303" t="s">
        <v>328</v>
      </c>
      <c r="B165" s="329">
        <v>1.0</v>
      </c>
      <c r="C165" s="330" t="s">
        <v>57</v>
      </c>
      <c r="D165" s="331"/>
      <c r="E165" s="332">
        <f>E163*$B165</f>
        <v>550000</v>
      </c>
      <c r="F165" s="333"/>
      <c r="G165" s="331"/>
      <c r="H165" s="332">
        <f>H163*$B165</f>
        <v>1189271</v>
      </c>
      <c r="I165" s="333"/>
      <c r="J165" s="331"/>
      <c r="K165" s="332">
        <f>K163*$B165</f>
        <v>1140000</v>
      </c>
      <c r="L165" s="333"/>
      <c r="M165" s="331"/>
      <c r="N165" s="332">
        <f>N163*$B165</f>
        <v>1140000</v>
      </c>
      <c r="O165" s="333"/>
      <c r="P165" s="331"/>
      <c r="Q165" s="332">
        <f>Q163*$B165</f>
        <v>1140000</v>
      </c>
      <c r="R165" s="333"/>
      <c r="S165" s="331"/>
      <c r="T165" s="332">
        <f>T163*$B165</f>
        <v>1140000</v>
      </c>
      <c r="U165" s="333"/>
      <c r="V165" s="331"/>
      <c r="W165" s="332">
        <f>W163*$B165</f>
        <v>720000</v>
      </c>
      <c r="X165" s="333"/>
      <c r="Y165" s="331"/>
      <c r="Z165" s="332">
        <f>Z163*$B165</f>
        <v>613548</v>
      </c>
      <c r="AA165" s="333"/>
      <c r="AB165" s="331"/>
      <c r="AC165" s="332">
        <f>AC163*$B165</f>
        <v>-700000</v>
      </c>
      <c r="AD165" s="333"/>
      <c r="AE165" s="331"/>
      <c r="AF165" s="332">
        <f>AF163*$B165</f>
        <v>-700000</v>
      </c>
      <c r="AG165" s="333"/>
      <c r="AH165" s="331"/>
      <c r="AI165" s="332">
        <f>AI163*$B165</f>
        <v>-700000</v>
      </c>
      <c r="AJ165" s="333"/>
      <c r="AK165" s="331"/>
      <c r="AL165" s="332">
        <f>AL163*$B165</f>
        <v>-700000</v>
      </c>
      <c r="AM165" s="333"/>
      <c r="AN165" s="316" t="s">
        <v>321</v>
      </c>
      <c r="AO165" s="316"/>
      <c r="AP165" s="316"/>
      <c r="AQ165" s="316"/>
      <c r="AR165" s="316"/>
      <c r="AS165" s="316"/>
      <c r="AT165" s="316"/>
      <c r="AU165" s="316"/>
      <c r="AV165" s="316"/>
      <c r="AW165" s="316"/>
      <c r="AX165" s="316"/>
      <c r="AY165" s="316"/>
      <c r="AZ165" s="316"/>
      <c r="BA165" s="316"/>
      <c r="BB165" s="316"/>
      <c r="BC165" s="316"/>
      <c r="BD165" s="316"/>
      <c r="BE165" s="316"/>
      <c r="BF165" s="316"/>
      <c r="BG165" s="316"/>
      <c r="BH165" s="316"/>
      <c r="BI165" s="316"/>
      <c r="BJ165" s="316"/>
      <c r="BK165" s="316"/>
      <c r="BL165" s="316"/>
      <c r="BM165" s="316"/>
      <c r="BN165" s="316"/>
    </row>
    <row r="166">
      <c r="A166" s="303" t="s">
        <v>374</v>
      </c>
      <c r="B166" s="317" t="s">
        <v>374</v>
      </c>
      <c r="C166" s="325" t="s">
        <v>375</v>
      </c>
      <c r="D166" s="359" t="s">
        <v>2121</v>
      </c>
      <c r="E166" s="335">
        <v>550000.0</v>
      </c>
      <c r="F166" s="346">
        <f t="shared" ref="F166:F167" si="211">100000+40000</f>
        <v>140000</v>
      </c>
      <c r="G166" s="353" t="s">
        <v>2122</v>
      </c>
      <c r="H166" s="321">
        <v>45000.0</v>
      </c>
      <c r="I166" s="322">
        <f>22000+8000</f>
        <v>30000</v>
      </c>
      <c r="J166" s="360"/>
      <c r="K166" s="321"/>
      <c r="L166" s="322"/>
      <c r="M166" s="360"/>
      <c r="N166" s="321"/>
      <c r="O166" s="322"/>
      <c r="P166" s="360"/>
      <c r="Q166" s="321"/>
      <c r="R166" s="322"/>
      <c r="S166" s="360"/>
      <c r="T166" s="321"/>
      <c r="U166" s="322"/>
      <c r="V166" s="360"/>
      <c r="W166" s="321"/>
      <c r="X166" s="322"/>
      <c r="Y166" s="360"/>
      <c r="Z166" s="321"/>
      <c r="AA166" s="322"/>
      <c r="AB166" s="360"/>
      <c r="AC166" s="321"/>
      <c r="AD166" s="322"/>
      <c r="AE166" s="360"/>
      <c r="AF166" s="321"/>
      <c r="AG166" s="322"/>
      <c r="AH166" s="360"/>
      <c r="AI166" s="321"/>
      <c r="AJ166" s="322"/>
      <c r="AK166" s="360"/>
      <c r="AL166" s="321"/>
      <c r="AM166" s="322"/>
      <c r="AN166" s="316" t="s">
        <v>63</v>
      </c>
      <c r="AO166" s="316"/>
      <c r="AP166" s="316"/>
      <c r="AQ166" s="316"/>
      <c r="AR166" s="316"/>
      <c r="AS166" s="316"/>
      <c r="AT166" s="316"/>
      <c r="AU166" s="316"/>
      <c r="AV166" s="316"/>
      <c r="AW166" s="316"/>
      <c r="AX166" s="316"/>
      <c r="AY166" s="316"/>
      <c r="AZ166" s="316"/>
      <c r="BA166" s="316"/>
      <c r="BB166" s="316"/>
      <c r="BC166" s="316"/>
      <c r="BD166" s="316"/>
      <c r="BE166" s="316"/>
      <c r="BF166" s="316"/>
      <c r="BG166" s="316"/>
      <c r="BH166" s="316"/>
      <c r="BI166" s="316"/>
      <c r="BJ166" s="316"/>
      <c r="BK166" s="316"/>
      <c r="BL166" s="316"/>
      <c r="BM166" s="316"/>
      <c r="BN166" s="316"/>
    </row>
    <row r="167">
      <c r="A167" s="303" t="s">
        <v>374</v>
      </c>
      <c r="B167" s="317" t="s">
        <v>381</v>
      </c>
      <c r="C167" s="325" t="s">
        <v>382</v>
      </c>
      <c r="D167" s="341" t="s">
        <v>2123</v>
      </c>
      <c r="E167" s="335">
        <v>570000.0</v>
      </c>
      <c r="F167" s="346">
        <f t="shared" si="211"/>
        <v>140000</v>
      </c>
      <c r="G167" s="353" t="s">
        <v>2124</v>
      </c>
      <c r="H167" s="321">
        <v>123000.0</v>
      </c>
      <c r="I167" s="322">
        <f>22000+22000</f>
        <v>44000</v>
      </c>
      <c r="J167" s="326"/>
      <c r="K167" s="321"/>
      <c r="L167" s="322"/>
      <c r="M167" s="326"/>
      <c r="N167" s="321"/>
      <c r="O167" s="322"/>
      <c r="P167" s="326"/>
      <c r="Q167" s="321"/>
      <c r="R167" s="322"/>
      <c r="S167" s="326"/>
      <c r="T167" s="321"/>
      <c r="U167" s="322"/>
      <c r="V167" s="326"/>
      <c r="W167" s="321"/>
      <c r="X167" s="322"/>
      <c r="Y167" s="317"/>
      <c r="Z167" s="321"/>
      <c r="AA167" s="322"/>
      <c r="AB167" s="317"/>
      <c r="AC167" s="321"/>
      <c r="AD167" s="322"/>
      <c r="AE167" s="317"/>
      <c r="AF167" s="321"/>
      <c r="AG167" s="322"/>
      <c r="AH167" s="317"/>
      <c r="AI167" s="321"/>
      <c r="AJ167" s="322"/>
      <c r="AK167" s="317"/>
      <c r="AL167" s="321"/>
      <c r="AM167" s="322"/>
      <c r="AN167" s="316" t="s">
        <v>63</v>
      </c>
      <c r="AO167" s="316"/>
      <c r="AP167" s="316"/>
      <c r="AQ167" s="316"/>
      <c r="AR167" s="316"/>
      <c r="AS167" s="316"/>
      <c r="AT167" s="316"/>
      <c r="AU167" s="316"/>
      <c r="AV167" s="316"/>
      <c r="AW167" s="316"/>
      <c r="AX167" s="316"/>
      <c r="AY167" s="316"/>
      <c r="AZ167" s="316"/>
      <c r="BA167" s="316"/>
      <c r="BB167" s="316"/>
      <c r="BC167" s="316"/>
      <c r="BD167" s="316"/>
      <c r="BE167" s="316"/>
      <c r="BF167" s="316"/>
      <c r="BG167" s="316"/>
      <c r="BH167" s="316"/>
      <c r="BI167" s="316"/>
      <c r="BJ167" s="316"/>
      <c r="BK167" s="316"/>
      <c r="BL167" s="316"/>
      <c r="BM167" s="316"/>
      <c r="BN167" s="316"/>
    </row>
    <row r="168">
      <c r="A168" s="303" t="s">
        <v>374</v>
      </c>
      <c r="B168" s="317" t="s">
        <v>374</v>
      </c>
      <c r="C168" s="325" t="s">
        <v>391</v>
      </c>
      <c r="D168" s="341" t="s">
        <v>389</v>
      </c>
      <c r="E168" s="335">
        <v>400000.0</v>
      </c>
      <c r="F168" s="346">
        <f>80000+40000</f>
        <v>120000</v>
      </c>
      <c r="G168" s="341" t="s">
        <v>389</v>
      </c>
      <c r="H168" s="335">
        <v>400000.0</v>
      </c>
      <c r="I168" s="345">
        <f>80000+22000+15000 </f>
        <v>117000</v>
      </c>
      <c r="J168" s="353" t="s">
        <v>2125</v>
      </c>
      <c r="K168" s="348">
        <v>370000.0</v>
      </c>
      <c r="L168" s="345">
        <v>100000.0</v>
      </c>
      <c r="M168" s="341"/>
      <c r="N168" s="348"/>
      <c r="O168" s="345"/>
      <c r="P168" s="341"/>
      <c r="Q168" s="348"/>
      <c r="R168" s="345"/>
      <c r="S168" s="341"/>
      <c r="T168" s="348"/>
      <c r="U168" s="345"/>
      <c r="V168" s="341"/>
      <c r="W168" s="348"/>
      <c r="X168" s="345"/>
      <c r="Y168" s="341"/>
      <c r="Z168" s="348"/>
      <c r="AA168" s="345"/>
      <c r="AB168" s="341"/>
      <c r="AC168" s="348"/>
      <c r="AD168" s="345"/>
      <c r="AE168" s="341"/>
      <c r="AF168" s="348"/>
      <c r="AG168" s="345"/>
      <c r="AH168" s="341"/>
      <c r="AI168" s="348"/>
      <c r="AJ168" s="345"/>
      <c r="AK168" s="341"/>
      <c r="AL168" s="348"/>
      <c r="AM168" s="345"/>
      <c r="AN168" s="316" t="s">
        <v>63</v>
      </c>
      <c r="AO168" s="316"/>
      <c r="AP168" s="316"/>
      <c r="AQ168" s="316"/>
      <c r="AR168" s="316"/>
      <c r="AS168" s="316"/>
      <c r="AT168" s="316"/>
      <c r="AU168" s="316"/>
      <c r="AV168" s="316"/>
      <c r="AW168" s="316"/>
      <c r="AX168" s="316"/>
      <c r="AY168" s="316"/>
      <c r="AZ168" s="316"/>
      <c r="BA168" s="316"/>
      <c r="BB168" s="316"/>
      <c r="BC168" s="316"/>
      <c r="BD168" s="316"/>
      <c r="BE168" s="316"/>
      <c r="BF168" s="316"/>
      <c r="BG168" s="316"/>
      <c r="BH168" s="316"/>
      <c r="BI168" s="316"/>
      <c r="BJ168" s="316"/>
      <c r="BK168" s="316"/>
      <c r="BL168" s="316"/>
      <c r="BM168" s="316"/>
      <c r="BN168" s="316"/>
    </row>
    <row r="169">
      <c r="A169" s="303" t="s">
        <v>374</v>
      </c>
      <c r="B169" s="317" t="s">
        <v>374</v>
      </c>
      <c r="C169" s="325" t="s">
        <v>395</v>
      </c>
      <c r="D169" s="341" t="s">
        <v>37</v>
      </c>
      <c r="E169" s="350"/>
      <c r="F169" s="351"/>
      <c r="G169" s="341" t="s">
        <v>37</v>
      </c>
      <c r="H169" s="321"/>
      <c r="I169" s="322"/>
      <c r="J169" s="326"/>
      <c r="K169" s="321"/>
      <c r="L169" s="322"/>
      <c r="M169" s="326"/>
      <c r="N169" s="321"/>
      <c r="O169" s="322"/>
      <c r="P169" s="326"/>
      <c r="Q169" s="321"/>
      <c r="R169" s="322"/>
      <c r="S169" s="326"/>
      <c r="T169" s="321"/>
      <c r="U169" s="322"/>
      <c r="V169" s="326"/>
      <c r="W169" s="321"/>
      <c r="X169" s="322"/>
      <c r="Y169" s="326"/>
      <c r="Z169" s="321"/>
      <c r="AA169" s="322"/>
      <c r="AB169" s="326"/>
      <c r="AC169" s="321"/>
      <c r="AD169" s="322"/>
      <c r="AE169" s="326"/>
      <c r="AF169" s="321"/>
      <c r="AG169" s="322"/>
      <c r="AH169" s="326"/>
      <c r="AI169" s="321"/>
      <c r="AJ169" s="322"/>
      <c r="AK169" s="326"/>
      <c r="AL169" s="321"/>
      <c r="AM169" s="322"/>
      <c r="AN169" s="316" t="s">
        <v>63</v>
      </c>
      <c r="AO169" s="316"/>
      <c r="AP169" s="316"/>
      <c r="AQ169" s="316"/>
      <c r="AR169" s="316"/>
      <c r="AS169" s="316"/>
      <c r="AT169" s="316"/>
      <c r="AU169" s="316"/>
      <c r="AV169" s="316"/>
      <c r="AW169" s="316"/>
      <c r="AX169" s="316"/>
      <c r="AY169" s="316"/>
      <c r="AZ169" s="316"/>
      <c r="BA169" s="316"/>
      <c r="BB169" s="316"/>
      <c r="BC169" s="316"/>
      <c r="BD169" s="316"/>
      <c r="BE169" s="316"/>
      <c r="BF169" s="316"/>
      <c r="BG169" s="316"/>
      <c r="BH169" s="316"/>
      <c r="BI169" s="316"/>
      <c r="BJ169" s="316"/>
      <c r="BK169" s="316"/>
      <c r="BL169" s="316"/>
      <c r="BM169" s="316"/>
      <c r="BN169" s="316"/>
    </row>
    <row r="170">
      <c r="A170" s="303" t="s">
        <v>374</v>
      </c>
      <c r="B170" s="317" t="s">
        <v>374</v>
      </c>
      <c r="C170" s="325" t="s">
        <v>402</v>
      </c>
      <c r="D170" s="347" t="s">
        <v>2126</v>
      </c>
      <c r="E170" s="335">
        <v>450000.0</v>
      </c>
      <c r="F170" s="346">
        <f>100000+40000</f>
        <v>140000</v>
      </c>
      <c r="G170" s="353" t="s">
        <v>2126</v>
      </c>
      <c r="H170" s="321"/>
      <c r="I170" s="322">
        <v>22000.0</v>
      </c>
      <c r="J170" s="317"/>
      <c r="K170" s="321"/>
      <c r="L170" s="322"/>
      <c r="M170" s="317"/>
      <c r="N170" s="321"/>
      <c r="O170" s="322"/>
      <c r="P170" s="317"/>
      <c r="Q170" s="321"/>
      <c r="R170" s="322"/>
      <c r="S170" s="317"/>
      <c r="T170" s="321"/>
      <c r="U170" s="322"/>
      <c r="V170" s="317"/>
      <c r="W170" s="321"/>
      <c r="X170" s="322"/>
      <c r="Y170" s="317"/>
      <c r="Z170" s="321"/>
      <c r="AA170" s="322"/>
      <c r="AB170" s="317"/>
      <c r="AC170" s="321"/>
      <c r="AD170" s="322"/>
      <c r="AE170" s="317"/>
      <c r="AF170" s="321"/>
      <c r="AG170" s="322"/>
      <c r="AH170" s="317"/>
      <c r="AI170" s="321"/>
      <c r="AJ170" s="322"/>
      <c r="AK170" s="317"/>
      <c r="AL170" s="321"/>
      <c r="AM170" s="322"/>
      <c r="AN170" s="316" t="s">
        <v>63</v>
      </c>
      <c r="AO170" s="316"/>
      <c r="AP170" s="316"/>
      <c r="AQ170" s="316"/>
      <c r="AR170" s="316"/>
      <c r="AS170" s="316"/>
      <c r="AT170" s="316"/>
      <c r="AU170" s="316"/>
      <c r="AV170" s="316"/>
      <c r="AW170" s="316"/>
      <c r="AX170" s="316"/>
      <c r="AY170" s="316"/>
      <c r="AZ170" s="316"/>
      <c r="BA170" s="316"/>
      <c r="BB170" s="316"/>
      <c r="BC170" s="316"/>
      <c r="BD170" s="316"/>
      <c r="BE170" s="316"/>
      <c r="BF170" s="316"/>
      <c r="BG170" s="316"/>
      <c r="BH170" s="316"/>
      <c r="BI170" s="316"/>
      <c r="BJ170" s="316"/>
      <c r="BK170" s="316"/>
      <c r="BL170" s="316"/>
      <c r="BM170" s="316"/>
      <c r="BN170" s="316"/>
    </row>
    <row r="171">
      <c r="A171" s="303" t="s">
        <v>374</v>
      </c>
      <c r="B171" s="317" t="s">
        <v>374</v>
      </c>
      <c r="C171" s="325" t="s">
        <v>410</v>
      </c>
      <c r="D171" s="341" t="s">
        <v>37</v>
      </c>
      <c r="E171" s="350"/>
      <c r="F171" s="351"/>
      <c r="G171" s="341" t="s">
        <v>37</v>
      </c>
      <c r="H171" s="321"/>
      <c r="I171" s="322"/>
      <c r="J171" s="317"/>
      <c r="K171" s="321"/>
      <c r="L171" s="322"/>
      <c r="M171" s="317"/>
      <c r="N171" s="321"/>
      <c r="O171" s="322"/>
      <c r="P171" s="317"/>
      <c r="Q171" s="321"/>
      <c r="R171" s="322"/>
      <c r="S171" s="317"/>
      <c r="T171" s="321"/>
      <c r="U171" s="322"/>
      <c r="V171" s="317"/>
      <c r="W171" s="321"/>
      <c r="X171" s="322"/>
      <c r="Y171" s="326"/>
      <c r="Z171" s="321"/>
      <c r="AA171" s="322"/>
      <c r="AB171" s="326"/>
      <c r="AC171" s="321"/>
      <c r="AD171" s="322"/>
      <c r="AE171" s="326"/>
      <c r="AF171" s="321"/>
      <c r="AG171" s="322"/>
      <c r="AH171" s="326"/>
      <c r="AI171" s="321"/>
      <c r="AJ171" s="322"/>
      <c r="AK171" s="326"/>
      <c r="AL171" s="321"/>
      <c r="AM171" s="322"/>
      <c r="AN171" s="316" t="s">
        <v>63</v>
      </c>
      <c r="AO171" s="316"/>
      <c r="AP171" s="316"/>
      <c r="AQ171" s="316"/>
      <c r="AR171" s="316"/>
      <c r="AS171" s="316"/>
      <c r="AT171" s="316"/>
      <c r="AU171" s="316"/>
      <c r="AV171" s="316"/>
      <c r="AW171" s="316"/>
      <c r="AX171" s="316"/>
      <c r="AY171" s="316"/>
      <c r="AZ171" s="316"/>
      <c r="BA171" s="316"/>
      <c r="BB171" s="316"/>
      <c r="BC171" s="316"/>
      <c r="BD171" s="316"/>
      <c r="BE171" s="316"/>
      <c r="BF171" s="316"/>
      <c r="BG171" s="316"/>
      <c r="BH171" s="316"/>
      <c r="BI171" s="316"/>
      <c r="BJ171" s="316"/>
      <c r="BK171" s="316"/>
      <c r="BL171" s="316"/>
      <c r="BM171" s="316"/>
      <c r="BN171" s="316"/>
    </row>
    <row r="172">
      <c r="A172" s="303" t="s">
        <v>374</v>
      </c>
      <c r="B172" s="304"/>
      <c r="C172" s="305" t="s">
        <v>42</v>
      </c>
      <c r="D172" s="320"/>
      <c r="E172" s="323">
        <f t="shared" ref="E172:F172" si="212">SUM(E166:E171)</f>
        <v>1970000</v>
      </c>
      <c r="F172" s="324">
        <f t="shared" si="212"/>
        <v>540000</v>
      </c>
      <c r="G172" s="320"/>
      <c r="H172" s="323">
        <f t="shared" ref="H172:I172" si="213">SUM(H166:H171)</f>
        <v>568000</v>
      </c>
      <c r="I172" s="324">
        <f t="shared" si="213"/>
        <v>213000</v>
      </c>
      <c r="J172" s="320"/>
      <c r="K172" s="323">
        <f t="shared" ref="K172:L172" si="214">SUM(K166:K171)</f>
        <v>370000</v>
      </c>
      <c r="L172" s="324">
        <f t="shared" si="214"/>
        <v>100000</v>
      </c>
      <c r="M172" s="320"/>
      <c r="N172" s="323">
        <f t="shared" ref="N172:O172" si="215">SUM(N166:N171)</f>
        <v>0</v>
      </c>
      <c r="O172" s="324">
        <f t="shared" si="215"/>
        <v>0</v>
      </c>
      <c r="P172" s="320"/>
      <c r="Q172" s="323">
        <f t="shared" ref="Q172:R172" si="216">SUM(Q166:Q171)</f>
        <v>0</v>
      </c>
      <c r="R172" s="324">
        <f t="shared" si="216"/>
        <v>0</v>
      </c>
      <c r="S172" s="320"/>
      <c r="T172" s="323">
        <f t="shared" ref="T172:U172" si="217">SUM(T166:T171)</f>
        <v>0</v>
      </c>
      <c r="U172" s="324">
        <f t="shared" si="217"/>
        <v>0</v>
      </c>
      <c r="V172" s="320"/>
      <c r="W172" s="323">
        <f t="shared" ref="W172:X172" si="218">SUM(W166:W171)</f>
        <v>0</v>
      </c>
      <c r="X172" s="324">
        <f t="shared" si="218"/>
        <v>0</v>
      </c>
      <c r="Y172" s="320"/>
      <c r="Z172" s="323">
        <f t="shared" ref="Z172:AA172" si="219">SUM(Z166:Z171)</f>
        <v>0</v>
      </c>
      <c r="AA172" s="324">
        <f t="shared" si="219"/>
        <v>0</v>
      </c>
      <c r="AB172" s="320"/>
      <c r="AC172" s="323">
        <f t="shared" ref="AC172:AD172" si="220">SUM(AC166:AC171)</f>
        <v>0</v>
      </c>
      <c r="AD172" s="324">
        <f t="shared" si="220"/>
        <v>0</v>
      </c>
      <c r="AE172" s="320"/>
      <c r="AF172" s="323">
        <f t="shared" ref="AF172:AG172" si="221">SUM(AF166:AF171)</f>
        <v>0</v>
      </c>
      <c r="AG172" s="324">
        <f t="shared" si="221"/>
        <v>0</v>
      </c>
      <c r="AH172" s="320"/>
      <c r="AI172" s="323">
        <f t="shared" ref="AI172:AJ172" si="222">SUM(AI166:AI171)</f>
        <v>0</v>
      </c>
      <c r="AJ172" s="324">
        <f t="shared" si="222"/>
        <v>0</v>
      </c>
      <c r="AK172" s="320"/>
      <c r="AL172" s="323">
        <f t="shared" ref="AL172:AM172" si="223">SUM(AL166:AL171)</f>
        <v>0</v>
      </c>
      <c r="AM172" s="324">
        <f t="shared" si="223"/>
        <v>0</v>
      </c>
      <c r="AN172" s="316" t="s">
        <v>63</v>
      </c>
      <c r="AO172" s="316"/>
      <c r="AP172" s="316"/>
      <c r="AQ172" s="316"/>
      <c r="AR172" s="316"/>
      <c r="AS172" s="316"/>
      <c r="AT172" s="316"/>
      <c r="AU172" s="316"/>
      <c r="AV172" s="316"/>
      <c r="AW172" s="316"/>
      <c r="AX172" s="316"/>
      <c r="AY172" s="316"/>
      <c r="AZ172" s="316"/>
      <c r="BA172" s="316"/>
      <c r="BB172" s="316"/>
      <c r="BC172" s="316"/>
      <c r="BD172" s="316"/>
      <c r="BE172" s="316"/>
      <c r="BF172" s="316"/>
      <c r="BG172" s="316"/>
      <c r="BH172" s="316"/>
      <c r="BI172" s="316"/>
      <c r="BJ172" s="316"/>
      <c r="BK172" s="316"/>
      <c r="BL172" s="316"/>
      <c r="BM172" s="316"/>
      <c r="BN172" s="316"/>
    </row>
    <row r="173" collapsed="1">
      <c r="A173" s="303" t="s">
        <v>374</v>
      </c>
      <c r="B173" s="304"/>
      <c r="C173" s="325" t="s">
        <v>43</v>
      </c>
      <c r="D173" s="326"/>
      <c r="E173" s="321">
        <v>1300000.0</v>
      </c>
      <c r="F173" s="324"/>
      <c r="G173" s="326"/>
      <c r="H173" s="321">
        <v>1300000.0</v>
      </c>
      <c r="I173" s="324"/>
      <c r="J173" s="326"/>
      <c r="K173" s="321">
        <v>1300000.0</v>
      </c>
      <c r="L173" s="324"/>
      <c r="M173" s="326"/>
      <c r="N173" s="321">
        <v>1300000.0</v>
      </c>
      <c r="O173" s="324"/>
      <c r="P173" s="326"/>
      <c r="Q173" s="321">
        <v>1300000.0</v>
      </c>
      <c r="R173" s="324"/>
      <c r="S173" s="326"/>
      <c r="T173" s="321">
        <v>1300000.0</v>
      </c>
      <c r="U173" s="324"/>
      <c r="V173" s="326"/>
      <c r="W173" s="321">
        <v>1300000.0</v>
      </c>
      <c r="X173" s="324"/>
      <c r="Y173" s="326"/>
      <c r="Z173" s="321">
        <v>1300000.0</v>
      </c>
      <c r="AA173" s="324"/>
      <c r="AB173" s="326"/>
      <c r="AC173" s="321">
        <v>1300000.0</v>
      </c>
      <c r="AD173" s="324"/>
      <c r="AE173" s="326"/>
      <c r="AF173" s="321">
        <v>1300000.0</v>
      </c>
      <c r="AG173" s="324"/>
      <c r="AH173" s="326"/>
      <c r="AI173" s="321">
        <v>1300000.0</v>
      </c>
      <c r="AJ173" s="324"/>
      <c r="AK173" s="326"/>
      <c r="AL173" s="321">
        <v>1300000.0</v>
      </c>
      <c r="AM173" s="324"/>
      <c r="AN173" s="316" t="s">
        <v>63</v>
      </c>
      <c r="AO173" s="316"/>
      <c r="AP173" s="316"/>
      <c r="AQ173" s="316"/>
      <c r="AR173" s="316"/>
      <c r="AS173" s="316"/>
      <c r="AT173" s="316"/>
      <c r="AU173" s="316"/>
      <c r="AV173" s="316"/>
      <c r="AW173" s="316"/>
      <c r="AX173" s="316"/>
      <c r="AY173" s="316"/>
      <c r="AZ173" s="316"/>
      <c r="BA173" s="316"/>
      <c r="BB173" s="316"/>
      <c r="BC173" s="316"/>
      <c r="BD173" s="316"/>
      <c r="BE173" s="316"/>
      <c r="BF173" s="316"/>
      <c r="BG173" s="316"/>
      <c r="BH173" s="316"/>
      <c r="BI173" s="316"/>
      <c r="BJ173" s="316"/>
      <c r="BK173" s="316"/>
      <c r="BL173" s="316"/>
      <c r="BM173" s="316"/>
      <c r="BN173" s="316"/>
    </row>
    <row r="174" hidden="1" outlineLevel="1">
      <c r="A174" s="303" t="s">
        <v>374</v>
      </c>
      <c r="B174" s="317" t="s">
        <v>95</v>
      </c>
      <c r="C174" s="325" t="s">
        <v>414</v>
      </c>
      <c r="D174" s="326"/>
      <c r="E174" s="321"/>
      <c r="F174" s="322">
        <v>10000.0</v>
      </c>
      <c r="G174" s="326"/>
      <c r="H174" s="321"/>
      <c r="I174" s="322">
        <v>10000.0</v>
      </c>
      <c r="J174" s="326"/>
      <c r="K174" s="321"/>
      <c r="L174" s="322">
        <v>10000.0</v>
      </c>
      <c r="M174" s="326"/>
      <c r="N174" s="321"/>
      <c r="O174" s="322">
        <v>10000.0</v>
      </c>
      <c r="P174" s="326"/>
      <c r="Q174" s="321"/>
      <c r="R174" s="322">
        <v>10000.0</v>
      </c>
      <c r="S174" s="326"/>
      <c r="T174" s="321"/>
      <c r="U174" s="322">
        <v>10000.0</v>
      </c>
      <c r="V174" s="326"/>
      <c r="W174" s="321"/>
      <c r="X174" s="322">
        <v>10000.0</v>
      </c>
      <c r="Y174" s="326"/>
      <c r="Z174" s="321"/>
      <c r="AA174" s="322">
        <v>10000.0</v>
      </c>
      <c r="AB174" s="326"/>
      <c r="AC174" s="321"/>
      <c r="AD174" s="322">
        <v>10000.0</v>
      </c>
      <c r="AE174" s="326"/>
      <c r="AF174" s="321"/>
      <c r="AG174" s="322">
        <v>10000.0</v>
      </c>
      <c r="AH174" s="326"/>
      <c r="AI174" s="321"/>
      <c r="AJ174" s="322">
        <v>10000.0</v>
      </c>
      <c r="AK174" s="326"/>
      <c r="AL174" s="321"/>
      <c r="AM174" s="322">
        <v>10000.0</v>
      </c>
      <c r="AN174" s="316" t="s">
        <v>63</v>
      </c>
      <c r="AO174" s="316"/>
      <c r="AP174" s="316"/>
      <c r="AQ174" s="316"/>
      <c r="AR174" s="316"/>
      <c r="AS174" s="316"/>
      <c r="AT174" s="316"/>
      <c r="AU174" s="316"/>
      <c r="AV174" s="316"/>
      <c r="AW174" s="316"/>
      <c r="AX174" s="316"/>
      <c r="AY174" s="316"/>
      <c r="AZ174" s="316"/>
      <c r="BA174" s="316"/>
      <c r="BB174" s="316"/>
      <c r="BC174" s="316"/>
      <c r="BD174" s="316"/>
      <c r="BE174" s="316"/>
      <c r="BF174" s="316"/>
      <c r="BG174" s="316"/>
      <c r="BH174" s="316"/>
      <c r="BI174" s="316"/>
      <c r="BJ174" s="316"/>
      <c r="BK174" s="316"/>
      <c r="BL174" s="316"/>
      <c r="BM174" s="316"/>
      <c r="BN174" s="316"/>
    </row>
    <row r="175" hidden="1" outlineLevel="1">
      <c r="A175" s="303" t="s">
        <v>374</v>
      </c>
      <c r="B175" s="317" t="s">
        <v>95</v>
      </c>
      <c r="C175" s="325" t="s">
        <v>47</v>
      </c>
      <c r="D175" s="326"/>
      <c r="E175" s="321"/>
      <c r="F175" s="322">
        <v>27600.0</v>
      </c>
      <c r="G175" s="326"/>
      <c r="H175" s="321"/>
      <c r="I175" s="322">
        <v>29710.0</v>
      </c>
      <c r="J175" s="326" t="s">
        <v>2039</v>
      </c>
      <c r="K175" s="321"/>
      <c r="L175" s="322">
        <v>30000.0</v>
      </c>
      <c r="M175" s="326"/>
      <c r="N175" s="321"/>
      <c r="O175" s="322"/>
      <c r="P175" s="326"/>
      <c r="Q175" s="321"/>
      <c r="R175" s="322"/>
      <c r="S175" s="326"/>
      <c r="T175" s="321"/>
      <c r="U175" s="322"/>
      <c r="V175" s="326"/>
      <c r="W175" s="321"/>
      <c r="X175" s="322"/>
      <c r="Y175" s="326"/>
      <c r="Z175" s="321"/>
      <c r="AA175" s="322"/>
      <c r="AB175" s="326"/>
      <c r="AC175" s="321"/>
      <c r="AD175" s="322"/>
      <c r="AE175" s="326"/>
      <c r="AF175" s="321"/>
      <c r="AG175" s="322"/>
      <c r="AH175" s="326"/>
      <c r="AI175" s="321"/>
      <c r="AJ175" s="322"/>
      <c r="AK175" s="326"/>
      <c r="AL175" s="321"/>
      <c r="AM175" s="322"/>
      <c r="AN175" s="316" t="s">
        <v>63</v>
      </c>
      <c r="AO175" s="316"/>
      <c r="AP175" s="316"/>
      <c r="AQ175" s="316"/>
      <c r="AR175" s="316"/>
      <c r="AS175" s="316"/>
      <c r="AT175" s="316"/>
      <c r="AU175" s="316"/>
      <c r="AV175" s="316"/>
      <c r="AW175" s="316"/>
      <c r="AX175" s="316"/>
      <c r="AY175" s="316"/>
      <c r="AZ175" s="316"/>
      <c r="BA175" s="316"/>
      <c r="BB175" s="316"/>
      <c r="BC175" s="316"/>
      <c r="BD175" s="316"/>
      <c r="BE175" s="316"/>
      <c r="BF175" s="316"/>
      <c r="BG175" s="316"/>
      <c r="BH175" s="316"/>
      <c r="BI175" s="316"/>
      <c r="BJ175" s="316"/>
      <c r="BK175" s="316"/>
      <c r="BL175" s="316"/>
      <c r="BM175" s="316"/>
      <c r="BN175" s="316"/>
    </row>
    <row r="176" hidden="1" outlineLevel="1">
      <c r="A176" s="303" t="s">
        <v>374</v>
      </c>
      <c r="B176" s="317" t="s">
        <v>95</v>
      </c>
      <c r="C176" s="325" t="s">
        <v>49</v>
      </c>
      <c r="D176" s="326"/>
      <c r="E176" s="321"/>
      <c r="F176" s="322">
        <v>321030.0</v>
      </c>
      <c r="G176" s="326"/>
      <c r="H176" s="321"/>
      <c r="I176" s="322">
        <v>372800.0</v>
      </c>
      <c r="J176" s="326"/>
      <c r="K176" s="321"/>
      <c r="L176" s="322">
        <v>84020.0</v>
      </c>
      <c r="M176" s="326"/>
      <c r="N176" s="321"/>
      <c r="O176" s="322"/>
      <c r="P176" s="326"/>
      <c r="Q176" s="321"/>
      <c r="R176" s="322"/>
      <c r="S176" s="326"/>
      <c r="T176" s="321"/>
      <c r="U176" s="322"/>
      <c r="V176" s="326"/>
      <c r="W176" s="321"/>
      <c r="X176" s="322"/>
      <c r="Y176" s="326"/>
      <c r="Z176" s="321"/>
      <c r="AA176" s="322"/>
      <c r="AB176" s="326"/>
      <c r="AC176" s="321"/>
      <c r="AD176" s="322"/>
      <c r="AE176" s="326"/>
      <c r="AF176" s="321"/>
      <c r="AG176" s="322"/>
      <c r="AH176" s="326"/>
      <c r="AI176" s="321"/>
      <c r="AJ176" s="322"/>
      <c r="AK176" s="326"/>
      <c r="AL176" s="321"/>
      <c r="AM176" s="322"/>
      <c r="AN176" s="316" t="s">
        <v>63</v>
      </c>
      <c r="AO176" s="316"/>
      <c r="AP176" s="316"/>
      <c r="AQ176" s="316"/>
      <c r="AR176" s="316"/>
      <c r="AS176" s="316"/>
      <c r="AT176" s="316"/>
      <c r="AU176" s="316"/>
      <c r="AV176" s="316"/>
      <c r="AW176" s="316"/>
      <c r="AX176" s="316"/>
      <c r="AY176" s="316"/>
      <c r="AZ176" s="316"/>
      <c r="BA176" s="316"/>
      <c r="BB176" s="316"/>
      <c r="BC176" s="316"/>
      <c r="BD176" s="316"/>
      <c r="BE176" s="316"/>
      <c r="BF176" s="316"/>
      <c r="BG176" s="316"/>
      <c r="BH176" s="316"/>
      <c r="BI176" s="316"/>
      <c r="BJ176" s="316"/>
      <c r="BK176" s="316"/>
      <c r="BL176" s="316"/>
      <c r="BM176" s="316"/>
      <c r="BN176" s="316"/>
    </row>
    <row r="177" hidden="1" outlineLevel="1">
      <c r="A177" s="303" t="s">
        <v>374</v>
      </c>
      <c r="B177" s="317" t="s">
        <v>95</v>
      </c>
      <c r="C177" s="325" t="s">
        <v>51</v>
      </c>
      <c r="D177" s="326" t="s">
        <v>2039</v>
      </c>
      <c r="E177" s="321"/>
      <c r="F177" s="322">
        <v>50000.0</v>
      </c>
      <c r="G177" s="326" t="s">
        <v>2039</v>
      </c>
      <c r="H177" s="321"/>
      <c r="I177" s="322">
        <v>30000.0</v>
      </c>
      <c r="J177" s="326" t="s">
        <v>2039</v>
      </c>
      <c r="K177" s="321"/>
      <c r="L177" s="322">
        <v>10000.0</v>
      </c>
      <c r="M177" s="326"/>
      <c r="N177" s="321"/>
      <c r="O177" s="322"/>
      <c r="P177" s="326"/>
      <c r="Q177" s="321"/>
      <c r="R177" s="322"/>
      <c r="S177" s="326"/>
      <c r="T177" s="321"/>
      <c r="U177" s="322"/>
      <c r="V177" s="326"/>
      <c r="W177" s="321"/>
      <c r="X177" s="322"/>
      <c r="Y177" s="326"/>
      <c r="Z177" s="321"/>
      <c r="AA177" s="322"/>
      <c r="AB177" s="326"/>
      <c r="AC177" s="321"/>
      <c r="AD177" s="322"/>
      <c r="AE177" s="326"/>
      <c r="AF177" s="321"/>
      <c r="AG177" s="322"/>
      <c r="AH177" s="326"/>
      <c r="AI177" s="321"/>
      <c r="AJ177" s="322"/>
      <c r="AK177" s="326"/>
      <c r="AL177" s="321"/>
      <c r="AM177" s="322"/>
      <c r="AN177" s="316" t="s">
        <v>63</v>
      </c>
      <c r="AO177" s="316"/>
      <c r="AP177" s="316"/>
      <c r="AQ177" s="316"/>
      <c r="AR177" s="316"/>
      <c r="AS177" s="316"/>
      <c r="AT177" s="316"/>
      <c r="AU177" s="316"/>
      <c r="AV177" s="316"/>
      <c r="AW177" s="316"/>
      <c r="AX177" s="316"/>
      <c r="AY177" s="316"/>
      <c r="AZ177" s="316"/>
      <c r="BA177" s="316"/>
      <c r="BB177" s="316"/>
      <c r="BC177" s="316"/>
      <c r="BD177" s="316"/>
      <c r="BE177" s="316"/>
      <c r="BF177" s="316"/>
      <c r="BG177" s="316"/>
      <c r="BH177" s="316"/>
      <c r="BI177" s="316"/>
      <c r="BJ177" s="316"/>
      <c r="BK177" s="316"/>
      <c r="BL177" s="316"/>
      <c r="BM177" s="316"/>
      <c r="BN177" s="316"/>
    </row>
    <row r="178" hidden="1" outlineLevel="1">
      <c r="A178" s="303" t="s">
        <v>374</v>
      </c>
      <c r="B178" s="317" t="s">
        <v>95</v>
      </c>
      <c r="C178" s="325" t="s">
        <v>52</v>
      </c>
      <c r="D178" s="326"/>
      <c r="E178" s="321"/>
      <c r="F178" s="322">
        <v>22869.0</v>
      </c>
      <c r="G178" s="326"/>
      <c r="H178" s="321"/>
      <c r="I178" s="322">
        <v>22869.0</v>
      </c>
      <c r="J178" s="326"/>
      <c r="K178" s="321"/>
      <c r="L178" s="322">
        <v>22869.0</v>
      </c>
      <c r="M178" s="326"/>
      <c r="N178" s="321"/>
      <c r="O178" s="322">
        <v>22869.0</v>
      </c>
      <c r="P178" s="326"/>
      <c r="Q178" s="321"/>
      <c r="R178" s="322">
        <v>22869.0</v>
      </c>
      <c r="S178" s="326"/>
      <c r="T178" s="321"/>
      <c r="U178" s="322">
        <v>22869.0</v>
      </c>
      <c r="V178" s="326"/>
      <c r="W178" s="321"/>
      <c r="X178" s="322">
        <v>22869.0</v>
      </c>
      <c r="Y178" s="326"/>
      <c r="Z178" s="321"/>
      <c r="AA178" s="322">
        <v>22869.0</v>
      </c>
      <c r="AB178" s="326"/>
      <c r="AC178" s="321"/>
      <c r="AD178" s="322">
        <v>22869.0</v>
      </c>
      <c r="AE178" s="326"/>
      <c r="AF178" s="321"/>
      <c r="AG178" s="322">
        <v>22869.0</v>
      </c>
      <c r="AH178" s="326"/>
      <c r="AI178" s="321"/>
      <c r="AJ178" s="322">
        <v>22869.0</v>
      </c>
      <c r="AK178" s="326"/>
      <c r="AL178" s="321"/>
      <c r="AM178" s="322">
        <v>22869.0</v>
      </c>
      <c r="AN178" s="316" t="s">
        <v>63</v>
      </c>
      <c r="AO178" s="316"/>
      <c r="AP178" s="316"/>
      <c r="AQ178" s="316"/>
      <c r="AR178" s="316"/>
      <c r="AS178" s="316"/>
      <c r="AT178" s="316"/>
      <c r="AU178" s="316"/>
      <c r="AV178" s="316"/>
      <c r="AW178" s="316"/>
      <c r="AX178" s="316"/>
      <c r="AY178" s="316"/>
      <c r="AZ178" s="316"/>
      <c r="BA178" s="316"/>
      <c r="BB178" s="316"/>
      <c r="BC178" s="316"/>
      <c r="BD178" s="316"/>
      <c r="BE178" s="316"/>
      <c r="BF178" s="316"/>
      <c r="BG178" s="316"/>
      <c r="BH178" s="316"/>
      <c r="BI178" s="316"/>
      <c r="BJ178" s="316"/>
      <c r="BK178" s="316"/>
      <c r="BL178" s="316"/>
      <c r="BM178" s="316"/>
      <c r="BN178" s="316"/>
    </row>
    <row r="179" hidden="1" outlineLevel="1">
      <c r="A179" s="303" t="s">
        <v>374</v>
      </c>
      <c r="B179" s="317" t="s">
        <v>95</v>
      </c>
      <c r="C179" s="325" t="s">
        <v>53</v>
      </c>
      <c r="D179" s="326"/>
      <c r="E179" s="321"/>
      <c r="F179" s="322">
        <v>19900.0</v>
      </c>
      <c r="G179" s="326"/>
      <c r="H179" s="321"/>
      <c r="I179" s="322">
        <v>19900.0</v>
      </c>
      <c r="J179" s="326"/>
      <c r="K179" s="321"/>
      <c r="L179" s="322">
        <v>19900.0</v>
      </c>
      <c r="M179" s="326"/>
      <c r="N179" s="321"/>
      <c r="O179" s="322">
        <v>19900.0</v>
      </c>
      <c r="P179" s="326"/>
      <c r="Q179" s="321"/>
      <c r="R179" s="322">
        <v>19900.0</v>
      </c>
      <c r="S179" s="326"/>
      <c r="T179" s="321"/>
      <c r="U179" s="322">
        <v>19900.0</v>
      </c>
      <c r="V179" s="326"/>
      <c r="W179" s="321"/>
      <c r="X179" s="322">
        <v>19900.0</v>
      </c>
      <c r="Y179" s="326"/>
      <c r="Z179" s="321"/>
      <c r="AA179" s="322">
        <v>19900.0</v>
      </c>
      <c r="AB179" s="326"/>
      <c r="AC179" s="321"/>
      <c r="AD179" s="322">
        <v>19900.0</v>
      </c>
      <c r="AE179" s="326"/>
      <c r="AF179" s="321"/>
      <c r="AG179" s="322">
        <v>19900.0</v>
      </c>
      <c r="AH179" s="326"/>
      <c r="AI179" s="321"/>
      <c r="AJ179" s="322">
        <v>19900.0</v>
      </c>
      <c r="AK179" s="326"/>
      <c r="AL179" s="321"/>
      <c r="AM179" s="322">
        <v>19900.0</v>
      </c>
      <c r="AN179" s="316" t="s">
        <v>63</v>
      </c>
      <c r="AO179" s="316"/>
      <c r="AP179" s="316"/>
      <c r="AQ179" s="316"/>
      <c r="AR179" s="316"/>
      <c r="AS179" s="316"/>
      <c r="AT179" s="316"/>
      <c r="AU179" s="316"/>
      <c r="AV179" s="316"/>
      <c r="AW179" s="316"/>
      <c r="AX179" s="316"/>
      <c r="AY179" s="316"/>
      <c r="AZ179" s="316"/>
      <c r="BA179" s="316"/>
      <c r="BB179" s="316"/>
      <c r="BC179" s="316"/>
      <c r="BD179" s="316"/>
      <c r="BE179" s="316"/>
      <c r="BF179" s="316"/>
      <c r="BG179" s="316"/>
      <c r="BH179" s="316"/>
      <c r="BI179" s="316"/>
      <c r="BJ179" s="316"/>
      <c r="BK179" s="316"/>
      <c r="BL179" s="316"/>
      <c r="BM179" s="316"/>
      <c r="BN179" s="316"/>
    </row>
    <row r="180" hidden="1" outlineLevel="1">
      <c r="A180" s="303" t="s">
        <v>374</v>
      </c>
      <c r="B180" s="304"/>
      <c r="C180" s="325" t="s">
        <v>54</v>
      </c>
      <c r="D180" s="327"/>
      <c r="E180" s="321"/>
      <c r="F180" s="322">
        <f>SUMIFS('지출'!$G$3:$G794,'지출'!$J$3:$J794,F$1,'지출'!$C$3:$C794,"구디")</f>
        <v>60000</v>
      </c>
      <c r="G180" s="327"/>
      <c r="H180" s="321"/>
      <c r="I180" s="322">
        <f>SUMIFS('지출'!$G$3:$G794,'지출'!$J$3:$J794,I$1,'지출'!$C$3:$C794,"구디")</f>
        <v>19500</v>
      </c>
      <c r="J180" s="327"/>
      <c r="K180" s="321"/>
      <c r="L180" s="322">
        <f>SUMIFS('지출'!$G$3:$G794,'지출'!$J$3:$J794,L$1,'지출'!$C$3:$C794,"구디")</f>
        <v>0</v>
      </c>
      <c r="M180" s="327"/>
      <c r="N180" s="321"/>
      <c r="O180" s="322">
        <f>SUMIFS('지출'!$G$3:$G794,'지출'!$J$3:$J794,O$1,'지출'!$C$3:$C794,"구디")</f>
        <v>0</v>
      </c>
      <c r="P180" s="327"/>
      <c r="Q180" s="321"/>
      <c r="R180" s="322">
        <f>SUMIFS('지출'!$G$3:$G794,'지출'!$J$3:$J794,R$1,'지출'!$C$3:$C794,"구디")</f>
        <v>0</v>
      </c>
      <c r="S180" s="327"/>
      <c r="T180" s="321"/>
      <c r="U180" s="322">
        <f>SUMIFS('지출'!$G$3:$G794,'지출'!$J$3:$J794,U$1,'지출'!$C$3:$C794,"구디")</f>
        <v>0</v>
      </c>
      <c r="V180" s="327"/>
      <c r="W180" s="321"/>
      <c r="X180" s="322">
        <f>SUMIFS('지출'!$G$3:$G794,'지출'!$J$3:$J794,X$1,'지출'!$C$3:$C794,"구디")</f>
        <v>0</v>
      </c>
      <c r="Y180" s="327"/>
      <c r="Z180" s="321"/>
      <c r="AA180" s="322">
        <f>SUMIFS('지출'!$G$3:$G794,'지출'!$J$3:$J794,AA$1,'지출'!$C$3:$C794,"구디")</f>
        <v>0</v>
      </c>
      <c r="AB180" s="327"/>
      <c r="AC180" s="321"/>
      <c r="AD180" s="322">
        <f>SUMIFS('지출'!$G$3:$G794,'지출'!$J$3:$J794,AD$1,'지출'!$C$3:$C794,"구디")</f>
        <v>0</v>
      </c>
      <c r="AE180" s="327"/>
      <c r="AF180" s="321"/>
      <c r="AG180" s="322">
        <f>SUMIFS('지출'!$G$3:$G794,'지출'!$J$3:$J794,AG$1,'지출'!$C$3:$C794,"구디")</f>
        <v>0</v>
      </c>
      <c r="AH180" s="327"/>
      <c r="AI180" s="321"/>
      <c r="AJ180" s="322">
        <f>SUMIFS('지출'!$G$3:$G794,'지출'!$J$3:$J794,AJ$1,'지출'!$C$3:$C794,"구디")</f>
        <v>0</v>
      </c>
      <c r="AK180" s="327"/>
      <c r="AL180" s="321"/>
      <c r="AM180" s="322">
        <f>SUMIFS('지출'!$G$3:$G794,'지출'!$J$3:$J794,AM$1,'지출'!$C$3:$C794,"구디")</f>
        <v>0</v>
      </c>
      <c r="AN180" s="316" t="s">
        <v>63</v>
      </c>
      <c r="AO180" s="316"/>
      <c r="AP180" s="316"/>
      <c r="AQ180" s="316"/>
      <c r="AR180" s="316"/>
      <c r="AS180" s="316"/>
      <c r="AT180" s="316"/>
      <c r="AU180" s="316"/>
      <c r="AV180" s="316"/>
      <c r="AW180" s="316"/>
      <c r="AX180" s="316"/>
      <c r="AY180" s="316"/>
      <c r="AZ180" s="316"/>
      <c r="BA180" s="316"/>
      <c r="BB180" s="316"/>
      <c r="BC180" s="316"/>
      <c r="BD180" s="316"/>
      <c r="BE180" s="316"/>
      <c r="BF180" s="316"/>
      <c r="BG180" s="316"/>
      <c r="BH180" s="316"/>
      <c r="BI180" s="316"/>
      <c r="BJ180" s="316"/>
      <c r="BK180" s="316"/>
      <c r="BL180" s="316"/>
      <c r="BM180" s="316"/>
      <c r="BN180" s="316"/>
    </row>
    <row r="181" hidden="1" outlineLevel="1">
      <c r="A181" s="303" t="s">
        <v>374</v>
      </c>
      <c r="B181" s="304"/>
      <c r="C181" s="325" t="s">
        <v>56</v>
      </c>
      <c r="D181" s="320"/>
      <c r="E181" s="323">
        <f t="shared" ref="E181:F181" si="224">E172-(SUM(E173:E180))</f>
        <v>670000</v>
      </c>
      <c r="F181" s="324">
        <f t="shared" si="224"/>
        <v>28601</v>
      </c>
      <c r="G181" s="320"/>
      <c r="H181" s="323">
        <f t="shared" ref="H181:I181" si="225">H172-(SUM(H173:H180))</f>
        <v>-732000</v>
      </c>
      <c r="I181" s="324">
        <f t="shared" si="225"/>
        <v>-291779</v>
      </c>
      <c r="J181" s="320"/>
      <c r="K181" s="323">
        <f t="shared" ref="K181:L181" si="226">K172-(SUM(K173:K180))</f>
        <v>-930000</v>
      </c>
      <c r="L181" s="324">
        <f t="shared" si="226"/>
        <v>-76789</v>
      </c>
      <c r="M181" s="320"/>
      <c r="N181" s="323">
        <f t="shared" ref="N181:O181" si="227">N172-(SUM(N173:N180))</f>
        <v>-1300000</v>
      </c>
      <c r="O181" s="324">
        <f t="shared" si="227"/>
        <v>-52769</v>
      </c>
      <c r="P181" s="320"/>
      <c r="Q181" s="323">
        <f t="shared" ref="Q181:R181" si="228">Q172-(SUM(Q173:Q180))</f>
        <v>-1300000</v>
      </c>
      <c r="R181" s="324">
        <f t="shared" si="228"/>
        <v>-52769</v>
      </c>
      <c r="S181" s="320"/>
      <c r="T181" s="323">
        <f t="shared" ref="T181:U181" si="229">T172-(SUM(T173:T180))</f>
        <v>-1300000</v>
      </c>
      <c r="U181" s="324">
        <f t="shared" si="229"/>
        <v>-52769</v>
      </c>
      <c r="V181" s="320"/>
      <c r="W181" s="323">
        <f t="shared" ref="W181:X181" si="230">W172-(SUM(W173:W180))</f>
        <v>-1300000</v>
      </c>
      <c r="X181" s="324">
        <f t="shared" si="230"/>
        <v>-52769</v>
      </c>
      <c r="Y181" s="320"/>
      <c r="Z181" s="323">
        <f t="shared" ref="Z181:AA181" si="231">Z172-(SUM(Z173:Z180))</f>
        <v>-1300000</v>
      </c>
      <c r="AA181" s="324">
        <f t="shared" si="231"/>
        <v>-52769</v>
      </c>
      <c r="AB181" s="320"/>
      <c r="AC181" s="323">
        <f t="shared" ref="AC181:AD181" si="232">AC172-(SUM(AC173:AC180))</f>
        <v>-1300000</v>
      </c>
      <c r="AD181" s="324">
        <f t="shared" si="232"/>
        <v>-52769</v>
      </c>
      <c r="AE181" s="320"/>
      <c r="AF181" s="323">
        <f t="shared" ref="AF181:AG181" si="233">AF172-(SUM(AF173:AF180))</f>
        <v>-1300000</v>
      </c>
      <c r="AG181" s="324">
        <f t="shared" si="233"/>
        <v>-52769</v>
      </c>
      <c r="AH181" s="320"/>
      <c r="AI181" s="323">
        <f t="shared" ref="AI181:AJ181" si="234">AI172-(SUM(AI173:AI180))</f>
        <v>-1300000</v>
      </c>
      <c r="AJ181" s="324">
        <f t="shared" si="234"/>
        <v>-52769</v>
      </c>
      <c r="AK181" s="320"/>
      <c r="AL181" s="323">
        <f t="shared" ref="AL181:AM181" si="235">AL172-(SUM(AL173:AL180))</f>
        <v>-1300000</v>
      </c>
      <c r="AM181" s="324">
        <f t="shared" si="235"/>
        <v>-52769</v>
      </c>
      <c r="AN181" s="316" t="s">
        <v>63</v>
      </c>
      <c r="AO181" s="316"/>
      <c r="AP181" s="316"/>
      <c r="AQ181" s="316"/>
      <c r="AR181" s="316"/>
      <c r="AS181" s="316"/>
      <c r="AT181" s="316"/>
      <c r="AU181" s="316"/>
      <c r="AV181" s="316"/>
      <c r="AW181" s="316"/>
      <c r="AX181" s="316"/>
      <c r="AY181" s="316"/>
      <c r="AZ181" s="316"/>
      <c r="BA181" s="316"/>
      <c r="BB181" s="316"/>
      <c r="BC181" s="316"/>
      <c r="BD181" s="316"/>
      <c r="BE181" s="316"/>
      <c r="BF181" s="316"/>
      <c r="BG181" s="316"/>
      <c r="BH181" s="316"/>
      <c r="BI181" s="316"/>
      <c r="BJ181" s="316"/>
      <c r="BK181" s="316"/>
      <c r="BL181" s="316"/>
      <c r="BM181" s="316"/>
      <c r="BN181" s="316"/>
    </row>
    <row r="182">
      <c r="A182" s="303" t="s">
        <v>374</v>
      </c>
      <c r="B182" s="328">
        <v>0.7</v>
      </c>
      <c r="C182" s="325" t="s">
        <v>26</v>
      </c>
      <c r="D182" s="320"/>
      <c r="E182" s="323">
        <f>E181*$B182</f>
        <v>469000</v>
      </c>
      <c r="F182" s="324"/>
      <c r="G182" s="320"/>
      <c r="H182" s="323">
        <f>H181*$B182</f>
        <v>-512400</v>
      </c>
      <c r="I182" s="324"/>
      <c r="J182" s="320"/>
      <c r="K182" s="323">
        <f>K181*$B182</f>
        <v>-651000</v>
      </c>
      <c r="L182" s="324"/>
      <c r="M182" s="320"/>
      <c r="N182" s="323">
        <f>N181*$B182</f>
        <v>-910000</v>
      </c>
      <c r="O182" s="324"/>
      <c r="P182" s="320"/>
      <c r="Q182" s="323">
        <f>Q181*$B182</f>
        <v>-910000</v>
      </c>
      <c r="R182" s="324"/>
      <c r="S182" s="320"/>
      <c r="T182" s="323">
        <f>T181*$B182</f>
        <v>-910000</v>
      </c>
      <c r="U182" s="324"/>
      <c r="V182" s="320"/>
      <c r="W182" s="323">
        <f>W181*$B182</f>
        <v>-910000</v>
      </c>
      <c r="X182" s="324"/>
      <c r="Y182" s="320"/>
      <c r="Z182" s="323">
        <f>Z181*$B182</f>
        <v>-910000</v>
      </c>
      <c r="AA182" s="324"/>
      <c r="AB182" s="320"/>
      <c r="AC182" s="323">
        <f>AC181*$B182</f>
        <v>-910000</v>
      </c>
      <c r="AD182" s="324"/>
      <c r="AE182" s="320"/>
      <c r="AF182" s="323">
        <f>AF181*$B182</f>
        <v>-910000</v>
      </c>
      <c r="AG182" s="324"/>
      <c r="AH182" s="320"/>
      <c r="AI182" s="323">
        <f>AI181*$B182</f>
        <v>-910000</v>
      </c>
      <c r="AJ182" s="324"/>
      <c r="AK182" s="320"/>
      <c r="AL182" s="323">
        <f>AL181*$B182</f>
        <v>-910000</v>
      </c>
      <c r="AM182" s="324"/>
      <c r="AN182" s="316" t="s">
        <v>63</v>
      </c>
      <c r="AO182" s="316"/>
      <c r="AP182" s="316"/>
      <c r="AQ182" s="316"/>
      <c r="AR182" s="316"/>
      <c r="AS182" s="316"/>
      <c r="AT182" s="316"/>
      <c r="AU182" s="316"/>
      <c r="AV182" s="316"/>
      <c r="AW182" s="316"/>
      <c r="AX182" s="316"/>
      <c r="AY182" s="316"/>
      <c r="AZ182" s="316"/>
      <c r="BA182" s="316"/>
      <c r="BB182" s="316"/>
      <c r="BC182" s="316"/>
      <c r="BD182" s="316"/>
      <c r="BE182" s="316"/>
      <c r="BF182" s="316"/>
      <c r="BG182" s="316"/>
      <c r="BH182" s="316"/>
      <c r="BI182" s="316"/>
      <c r="BJ182" s="316"/>
      <c r="BK182" s="316"/>
      <c r="BL182" s="316"/>
      <c r="BM182" s="316"/>
      <c r="BN182" s="316"/>
    </row>
    <row r="183">
      <c r="A183" s="303" t="s">
        <v>374</v>
      </c>
      <c r="B183" s="329">
        <v>0.3</v>
      </c>
      <c r="C183" s="330" t="s">
        <v>57</v>
      </c>
      <c r="D183" s="331"/>
      <c r="E183" s="332">
        <f>E181*$B183</f>
        <v>201000</v>
      </c>
      <c r="F183" s="333"/>
      <c r="G183" s="331"/>
      <c r="H183" s="332">
        <f>H181*$B183</f>
        <v>-219600</v>
      </c>
      <c r="I183" s="333"/>
      <c r="J183" s="331"/>
      <c r="K183" s="332">
        <f>K181*$B183</f>
        <v>-279000</v>
      </c>
      <c r="L183" s="333"/>
      <c r="M183" s="331"/>
      <c r="N183" s="332">
        <f>N181*$B183</f>
        <v>-390000</v>
      </c>
      <c r="O183" s="333"/>
      <c r="P183" s="331"/>
      <c r="Q183" s="332">
        <f>Q181*$B183</f>
        <v>-390000</v>
      </c>
      <c r="R183" s="333"/>
      <c r="S183" s="331"/>
      <c r="T183" s="332">
        <f>T181*$B183</f>
        <v>-390000</v>
      </c>
      <c r="U183" s="333"/>
      <c r="V183" s="331"/>
      <c r="W183" s="332">
        <f>W181*$B183</f>
        <v>-390000</v>
      </c>
      <c r="X183" s="333"/>
      <c r="Y183" s="331"/>
      <c r="Z183" s="332">
        <f>Z181*$B183</f>
        <v>-390000</v>
      </c>
      <c r="AA183" s="333"/>
      <c r="AB183" s="331"/>
      <c r="AC183" s="332">
        <f>AC181*$B183</f>
        <v>-390000</v>
      </c>
      <c r="AD183" s="333"/>
      <c r="AE183" s="331"/>
      <c r="AF183" s="332">
        <f>AF181*$B183</f>
        <v>-390000</v>
      </c>
      <c r="AG183" s="333"/>
      <c r="AH183" s="331"/>
      <c r="AI183" s="332">
        <f>AI181*$B183</f>
        <v>-390000</v>
      </c>
      <c r="AJ183" s="333"/>
      <c r="AK183" s="331"/>
      <c r="AL183" s="332">
        <f>AL181*$B183</f>
        <v>-390000</v>
      </c>
      <c r="AM183" s="333"/>
      <c r="AN183" s="316" t="s">
        <v>63</v>
      </c>
      <c r="AO183" s="316"/>
      <c r="AP183" s="316"/>
      <c r="AQ183" s="316"/>
      <c r="AR183" s="316"/>
      <c r="AS183" s="316"/>
      <c r="AT183" s="316"/>
      <c r="AU183" s="316"/>
      <c r="AV183" s="316"/>
      <c r="AW183" s="316"/>
      <c r="AX183" s="316"/>
      <c r="AY183" s="316"/>
      <c r="AZ183" s="316"/>
      <c r="BA183" s="316"/>
      <c r="BB183" s="316"/>
      <c r="BC183" s="316"/>
      <c r="BD183" s="316"/>
      <c r="BE183" s="316"/>
      <c r="BF183" s="316"/>
      <c r="BG183" s="316"/>
      <c r="BH183" s="316"/>
      <c r="BI183" s="316"/>
      <c r="BJ183" s="316"/>
      <c r="BK183" s="316"/>
      <c r="BL183" s="316"/>
      <c r="BM183" s="316"/>
      <c r="BN183" s="316"/>
    </row>
    <row r="184">
      <c r="A184" s="303" t="s">
        <v>415</v>
      </c>
      <c r="B184" s="317" t="s">
        <v>415</v>
      </c>
      <c r="C184" s="325" t="s">
        <v>416</v>
      </c>
      <c r="D184" s="359" t="s">
        <v>2127</v>
      </c>
      <c r="E184" s="335">
        <v>520000.0</v>
      </c>
      <c r="F184" s="346">
        <v>120000.0</v>
      </c>
      <c r="G184" s="361" t="s">
        <v>2128</v>
      </c>
      <c r="H184" s="335">
        <f>520000+17857</f>
        <v>537857</v>
      </c>
      <c r="I184" s="346">
        <f>120000+4286</f>
        <v>124286</v>
      </c>
      <c r="J184" s="362" t="s">
        <v>1449</v>
      </c>
      <c r="K184" s="348">
        <v>500000.0</v>
      </c>
      <c r="L184" s="346">
        <v>120000.0</v>
      </c>
      <c r="M184" s="362" t="s">
        <v>1449</v>
      </c>
      <c r="N184" s="348">
        <v>500000.0</v>
      </c>
      <c r="O184" s="346">
        <v>120000.0</v>
      </c>
      <c r="P184" s="362" t="s">
        <v>1449</v>
      </c>
      <c r="Q184" s="348">
        <v>500000.0</v>
      </c>
      <c r="R184" s="346">
        <v>120000.0</v>
      </c>
      <c r="S184" s="362" t="s">
        <v>1449</v>
      </c>
      <c r="T184" s="348">
        <v>500000.0</v>
      </c>
      <c r="U184" s="346">
        <v>120000.0</v>
      </c>
      <c r="V184" s="362" t="s">
        <v>1449</v>
      </c>
      <c r="W184" s="348">
        <v>500000.0</v>
      </c>
      <c r="X184" s="346">
        <v>120000.0</v>
      </c>
      <c r="Y184" s="362" t="s">
        <v>1449</v>
      </c>
      <c r="Z184" s="348">
        <v>500000.0</v>
      </c>
      <c r="AA184" s="346">
        <v>120000.0</v>
      </c>
      <c r="AB184" s="362" t="s">
        <v>1449</v>
      </c>
      <c r="AC184" s="348">
        <v>500000.0</v>
      </c>
      <c r="AD184" s="346">
        <v>120000.0</v>
      </c>
      <c r="AE184" s="362" t="s">
        <v>1449</v>
      </c>
      <c r="AF184" s="348">
        <v>500000.0</v>
      </c>
      <c r="AG184" s="346">
        <v>120000.0</v>
      </c>
      <c r="AH184" s="362" t="s">
        <v>1449</v>
      </c>
      <c r="AI184" s="348">
        <v>500000.0</v>
      </c>
      <c r="AJ184" s="346">
        <v>120000.0</v>
      </c>
      <c r="AK184" s="362" t="s">
        <v>1449</v>
      </c>
      <c r="AL184" s="348">
        <v>500000.0</v>
      </c>
      <c r="AM184" s="346">
        <v>120000.0</v>
      </c>
      <c r="AN184" s="316" t="s">
        <v>268</v>
      </c>
      <c r="AO184" s="316"/>
      <c r="AP184" s="316"/>
      <c r="AQ184" s="316"/>
      <c r="AR184" s="316"/>
      <c r="AS184" s="316"/>
      <c r="AT184" s="316"/>
      <c r="AU184" s="316"/>
      <c r="AV184" s="316"/>
      <c r="AW184" s="316"/>
      <c r="AX184" s="316"/>
      <c r="AY184" s="316"/>
      <c r="AZ184" s="316"/>
      <c r="BA184" s="316"/>
      <c r="BB184" s="316"/>
      <c r="BC184" s="316"/>
      <c r="BD184" s="316"/>
      <c r="BE184" s="316"/>
      <c r="BF184" s="316"/>
      <c r="BG184" s="316"/>
      <c r="BH184" s="316"/>
      <c r="BI184" s="316"/>
      <c r="BJ184" s="316"/>
      <c r="BK184" s="316"/>
      <c r="BL184" s="316"/>
      <c r="BM184" s="316"/>
      <c r="BN184" s="316"/>
    </row>
    <row r="185">
      <c r="A185" s="303" t="s">
        <v>415</v>
      </c>
      <c r="B185" s="317" t="s">
        <v>415</v>
      </c>
      <c r="C185" s="325" t="s">
        <v>422</v>
      </c>
      <c r="D185" s="353" t="s">
        <v>2129</v>
      </c>
      <c r="E185" s="335">
        <v>490000.0</v>
      </c>
      <c r="F185" s="346">
        <v>120000.0</v>
      </c>
      <c r="G185" s="353" t="s">
        <v>2130</v>
      </c>
      <c r="H185" s="335">
        <f>437500</f>
        <v>437500</v>
      </c>
      <c r="I185" s="346">
        <f>107143</f>
        <v>107143</v>
      </c>
      <c r="J185" s="326" t="s">
        <v>2131</v>
      </c>
      <c r="K185" s="348">
        <v>500000.0</v>
      </c>
      <c r="L185" s="346">
        <v>120000.0</v>
      </c>
      <c r="M185" s="326" t="s">
        <v>1455</v>
      </c>
      <c r="N185" s="348">
        <v>500000.0</v>
      </c>
      <c r="O185" s="346">
        <v>120000.0</v>
      </c>
      <c r="P185" s="326" t="s">
        <v>1455</v>
      </c>
      <c r="Q185" s="348">
        <v>500000.0</v>
      </c>
      <c r="R185" s="346">
        <v>120000.0</v>
      </c>
      <c r="S185" s="326" t="s">
        <v>1455</v>
      </c>
      <c r="T185" s="348">
        <v>500000.0</v>
      </c>
      <c r="U185" s="346">
        <v>120000.0</v>
      </c>
      <c r="V185" s="326" t="s">
        <v>1455</v>
      </c>
      <c r="W185" s="348">
        <v>500000.0</v>
      </c>
      <c r="X185" s="346">
        <v>120000.0</v>
      </c>
      <c r="Y185" s="326" t="s">
        <v>1455</v>
      </c>
      <c r="Z185" s="348">
        <v>500000.0</v>
      </c>
      <c r="AA185" s="346">
        <v>120000.0</v>
      </c>
      <c r="AB185" s="326" t="s">
        <v>1455</v>
      </c>
      <c r="AC185" s="348">
        <v>500000.0</v>
      </c>
      <c r="AD185" s="346">
        <v>120000.0</v>
      </c>
      <c r="AE185" s="326" t="s">
        <v>1455</v>
      </c>
      <c r="AF185" s="348">
        <v>500000.0</v>
      </c>
      <c r="AG185" s="346">
        <v>120000.0</v>
      </c>
      <c r="AH185" s="326" t="s">
        <v>1455</v>
      </c>
      <c r="AI185" s="348">
        <v>500000.0</v>
      </c>
      <c r="AJ185" s="346">
        <v>120000.0</v>
      </c>
      <c r="AK185" s="326" t="s">
        <v>1455</v>
      </c>
      <c r="AL185" s="348">
        <v>500000.0</v>
      </c>
      <c r="AM185" s="346">
        <v>120000.0</v>
      </c>
      <c r="AN185" s="316" t="s">
        <v>268</v>
      </c>
      <c r="AO185" s="316"/>
      <c r="AP185" s="316"/>
      <c r="AQ185" s="316"/>
      <c r="AR185" s="316"/>
      <c r="AS185" s="316"/>
      <c r="AT185" s="316"/>
      <c r="AU185" s="316"/>
      <c r="AV185" s="316"/>
      <c r="AW185" s="316"/>
      <c r="AX185" s="316"/>
      <c r="AY185" s="316"/>
      <c r="AZ185" s="316"/>
      <c r="BA185" s="316"/>
      <c r="BB185" s="316"/>
      <c r="BC185" s="316"/>
      <c r="BD185" s="316"/>
      <c r="BE185" s="316"/>
      <c r="BF185" s="316"/>
      <c r="BG185" s="316"/>
      <c r="BH185" s="316"/>
      <c r="BI185" s="316"/>
      <c r="BJ185" s="316"/>
      <c r="BK185" s="316"/>
      <c r="BL185" s="316"/>
      <c r="BM185" s="316"/>
      <c r="BN185" s="316"/>
    </row>
    <row r="186">
      <c r="A186" s="303" t="s">
        <v>415</v>
      </c>
      <c r="B186" s="317" t="s">
        <v>415</v>
      </c>
      <c r="C186" s="325" t="s">
        <v>424</v>
      </c>
      <c r="D186" s="341" t="s">
        <v>1044</v>
      </c>
      <c r="E186" s="335">
        <v>620000.0</v>
      </c>
      <c r="F186" s="346">
        <v>120000.0</v>
      </c>
      <c r="G186" s="341" t="s">
        <v>1044</v>
      </c>
      <c r="H186" s="335">
        <v>620000.0</v>
      </c>
      <c r="I186" s="346">
        <v>120000.0</v>
      </c>
      <c r="J186" s="341" t="s">
        <v>1044</v>
      </c>
      <c r="K186" s="348">
        <v>650000.0</v>
      </c>
      <c r="L186" s="346">
        <v>120000.0</v>
      </c>
      <c r="M186" s="341" t="s">
        <v>1044</v>
      </c>
      <c r="N186" s="348">
        <v>650000.0</v>
      </c>
      <c r="O186" s="346">
        <v>120000.0</v>
      </c>
      <c r="P186" s="341" t="s">
        <v>1044</v>
      </c>
      <c r="Q186" s="348">
        <v>650000.0</v>
      </c>
      <c r="R186" s="346">
        <v>120000.0</v>
      </c>
      <c r="S186" s="341" t="s">
        <v>1044</v>
      </c>
      <c r="T186" s="348">
        <v>650000.0</v>
      </c>
      <c r="U186" s="346">
        <v>120000.0</v>
      </c>
      <c r="V186" s="341" t="s">
        <v>1044</v>
      </c>
      <c r="W186" s="348">
        <v>650000.0</v>
      </c>
      <c r="X186" s="346">
        <v>120000.0</v>
      </c>
      <c r="Y186" s="353" t="s">
        <v>2132</v>
      </c>
      <c r="Z186" s="348">
        <v>650000.0</v>
      </c>
      <c r="AA186" s="346">
        <v>120000.0</v>
      </c>
      <c r="AB186" s="326"/>
      <c r="AC186" s="321"/>
      <c r="AD186" s="322"/>
      <c r="AE186" s="326"/>
      <c r="AF186" s="321"/>
      <c r="AG186" s="322"/>
      <c r="AH186" s="326"/>
      <c r="AI186" s="321"/>
      <c r="AJ186" s="322"/>
      <c r="AK186" s="326"/>
      <c r="AL186" s="321"/>
      <c r="AM186" s="322"/>
      <c r="AN186" s="316" t="s">
        <v>268</v>
      </c>
      <c r="AO186" s="316"/>
      <c r="AP186" s="316"/>
      <c r="AQ186" s="316"/>
      <c r="AR186" s="316"/>
      <c r="AS186" s="316"/>
      <c r="AT186" s="316"/>
      <c r="AU186" s="316"/>
      <c r="AV186" s="316"/>
      <c r="AW186" s="316"/>
      <c r="AX186" s="316"/>
      <c r="AY186" s="316"/>
      <c r="AZ186" s="316"/>
      <c r="BA186" s="316"/>
      <c r="BB186" s="316"/>
      <c r="BC186" s="316"/>
      <c r="BD186" s="316"/>
      <c r="BE186" s="316"/>
      <c r="BF186" s="316"/>
      <c r="BG186" s="316"/>
      <c r="BH186" s="316"/>
      <c r="BI186" s="316"/>
      <c r="BJ186" s="316"/>
      <c r="BK186" s="316"/>
      <c r="BL186" s="316"/>
      <c r="BM186" s="316"/>
      <c r="BN186" s="316"/>
    </row>
    <row r="187">
      <c r="A187" s="303" t="s">
        <v>415</v>
      </c>
      <c r="B187" s="317" t="s">
        <v>415</v>
      </c>
      <c r="C187" s="325" t="s">
        <v>430</v>
      </c>
      <c r="D187" s="341" t="s">
        <v>1460</v>
      </c>
      <c r="E187" s="335">
        <v>630000.0</v>
      </c>
      <c r="F187" s="346">
        <v>120000.0</v>
      </c>
      <c r="G187" s="341" t="s">
        <v>1460</v>
      </c>
      <c r="H187" s="335">
        <v>630000.0</v>
      </c>
      <c r="I187" s="346">
        <v>120000.0</v>
      </c>
      <c r="J187" s="341" t="s">
        <v>1460</v>
      </c>
      <c r="K187" s="335">
        <v>630000.0</v>
      </c>
      <c r="L187" s="346">
        <v>120000.0</v>
      </c>
      <c r="M187" s="326"/>
      <c r="N187" s="321"/>
      <c r="O187" s="322"/>
      <c r="P187" s="326"/>
      <c r="Q187" s="321"/>
      <c r="R187" s="322"/>
      <c r="S187" s="326"/>
      <c r="T187" s="321"/>
      <c r="U187" s="322"/>
      <c r="V187" s="326"/>
      <c r="W187" s="321"/>
      <c r="X187" s="322"/>
      <c r="Y187" s="326"/>
      <c r="Z187" s="321"/>
      <c r="AA187" s="322"/>
      <c r="AB187" s="326"/>
      <c r="AC187" s="321"/>
      <c r="AD187" s="322"/>
      <c r="AE187" s="326"/>
      <c r="AF187" s="321"/>
      <c r="AG187" s="322"/>
      <c r="AH187" s="326"/>
      <c r="AI187" s="321"/>
      <c r="AJ187" s="322"/>
      <c r="AK187" s="326"/>
      <c r="AL187" s="321"/>
      <c r="AM187" s="322"/>
      <c r="AN187" s="316" t="s">
        <v>268</v>
      </c>
      <c r="AO187" s="316"/>
      <c r="AP187" s="316"/>
      <c r="AQ187" s="316"/>
      <c r="AR187" s="316"/>
      <c r="AS187" s="316"/>
      <c r="AT187" s="316"/>
      <c r="AU187" s="316"/>
      <c r="AV187" s="316"/>
      <c r="AW187" s="316"/>
      <c r="AX187" s="316"/>
      <c r="AY187" s="316"/>
      <c r="AZ187" s="316"/>
      <c r="BA187" s="316"/>
      <c r="BB187" s="316"/>
      <c r="BC187" s="316"/>
      <c r="BD187" s="316"/>
      <c r="BE187" s="316"/>
      <c r="BF187" s="316"/>
      <c r="BG187" s="316"/>
      <c r="BH187" s="316"/>
      <c r="BI187" s="316"/>
      <c r="BJ187" s="316"/>
      <c r="BK187" s="316"/>
      <c r="BL187" s="316"/>
      <c r="BM187" s="316"/>
      <c r="BN187" s="316"/>
    </row>
    <row r="188">
      <c r="A188" s="303" t="s">
        <v>415</v>
      </c>
      <c r="B188" s="317" t="s">
        <v>415</v>
      </c>
      <c r="C188" s="325" t="s">
        <v>437</v>
      </c>
      <c r="D188" s="341" t="s">
        <v>1463</v>
      </c>
      <c r="E188" s="335">
        <v>650000.0</v>
      </c>
      <c r="F188" s="346">
        <v>120000.0</v>
      </c>
      <c r="G188" s="341" t="s">
        <v>1463</v>
      </c>
      <c r="H188" s="335">
        <v>650000.0</v>
      </c>
      <c r="I188" s="346">
        <v>120000.0</v>
      </c>
      <c r="J188" s="341" t="s">
        <v>1463</v>
      </c>
      <c r="K188" s="335">
        <v>650000.0</v>
      </c>
      <c r="L188" s="346">
        <v>120000.0</v>
      </c>
      <c r="M188" s="353" t="s">
        <v>1463</v>
      </c>
      <c r="N188" s="335">
        <v>650000.0</v>
      </c>
      <c r="O188" s="346">
        <v>120000.0</v>
      </c>
      <c r="P188" s="353" t="s">
        <v>1463</v>
      </c>
      <c r="Q188" s="335">
        <v>650000.0</v>
      </c>
      <c r="R188" s="346">
        <v>120000.0</v>
      </c>
      <c r="S188" s="353" t="s">
        <v>1463</v>
      </c>
      <c r="T188" s="335">
        <v>650000.0</v>
      </c>
      <c r="U188" s="346">
        <v>120000.0</v>
      </c>
      <c r="V188" s="353" t="s">
        <v>1463</v>
      </c>
      <c r="W188" s="335">
        <v>650000.0</v>
      </c>
      <c r="X188" s="346">
        <v>120000.0</v>
      </c>
      <c r="Y188" s="353" t="s">
        <v>1463</v>
      </c>
      <c r="Z188" s="335">
        <v>650000.0</v>
      </c>
      <c r="AA188" s="346">
        <v>120000.0</v>
      </c>
      <c r="AB188" s="353" t="s">
        <v>1463</v>
      </c>
      <c r="AC188" s="335">
        <v>650000.0</v>
      </c>
      <c r="AD188" s="346">
        <v>120000.0</v>
      </c>
      <c r="AE188" s="353" t="s">
        <v>1463</v>
      </c>
      <c r="AF188" s="335">
        <v>650000.0</v>
      </c>
      <c r="AG188" s="346">
        <v>120000.0</v>
      </c>
      <c r="AH188" s="353" t="s">
        <v>1463</v>
      </c>
      <c r="AI188" s="335">
        <v>650000.0</v>
      </c>
      <c r="AJ188" s="346">
        <v>120000.0</v>
      </c>
      <c r="AK188" s="353" t="s">
        <v>1463</v>
      </c>
      <c r="AL188" s="335">
        <v>650000.0</v>
      </c>
      <c r="AM188" s="346">
        <v>120000.0</v>
      </c>
      <c r="AN188" s="316" t="s">
        <v>268</v>
      </c>
      <c r="AO188" s="316"/>
      <c r="AP188" s="316"/>
      <c r="AQ188" s="316"/>
      <c r="AR188" s="316"/>
      <c r="AS188" s="316"/>
      <c r="AT188" s="316"/>
      <c r="AU188" s="316"/>
      <c r="AV188" s="316"/>
      <c r="AW188" s="316"/>
      <c r="AX188" s="316"/>
      <c r="AY188" s="316"/>
      <c r="AZ188" s="316"/>
      <c r="BA188" s="316"/>
      <c r="BB188" s="316"/>
      <c r="BC188" s="316"/>
      <c r="BD188" s="316"/>
      <c r="BE188" s="316"/>
      <c r="BF188" s="316"/>
      <c r="BG188" s="316"/>
      <c r="BH188" s="316"/>
      <c r="BI188" s="316"/>
      <c r="BJ188" s="316"/>
      <c r="BK188" s="316"/>
      <c r="BL188" s="316"/>
      <c r="BM188" s="316"/>
      <c r="BN188" s="316"/>
    </row>
    <row r="189">
      <c r="A189" s="303" t="s">
        <v>415</v>
      </c>
      <c r="B189" s="304"/>
      <c r="C189" s="305" t="s">
        <v>42</v>
      </c>
      <c r="D189" s="320"/>
      <c r="E189" s="323">
        <f t="shared" ref="E189:F189" si="236">SUM(E184:E188)</f>
        <v>2910000</v>
      </c>
      <c r="F189" s="324">
        <f t="shared" si="236"/>
        <v>600000</v>
      </c>
      <c r="G189" s="320"/>
      <c r="H189" s="323">
        <f t="shared" ref="H189:I189" si="237">SUM(H184:H188)</f>
        <v>2875357</v>
      </c>
      <c r="I189" s="324">
        <f t="shared" si="237"/>
        <v>591429</v>
      </c>
      <c r="J189" s="320"/>
      <c r="K189" s="323">
        <f t="shared" ref="K189:L189" si="238">SUM(K184:K188)</f>
        <v>2930000</v>
      </c>
      <c r="L189" s="324">
        <f t="shared" si="238"/>
        <v>600000</v>
      </c>
      <c r="M189" s="320"/>
      <c r="N189" s="323">
        <f t="shared" ref="N189:O189" si="239">SUM(N184:N188)</f>
        <v>2300000</v>
      </c>
      <c r="O189" s="324">
        <f t="shared" si="239"/>
        <v>480000</v>
      </c>
      <c r="P189" s="320"/>
      <c r="Q189" s="323">
        <f t="shared" ref="Q189:R189" si="240">SUM(Q184:Q188)</f>
        <v>2300000</v>
      </c>
      <c r="R189" s="324">
        <f t="shared" si="240"/>
        <v>480000</v>
      </c>
      <c r="S189" s="320"/>
      <c r="T189" s="323">
        <f t="shared" ref="T189:U189" si="241">SUM(T184:T188)</f>
        <v>2300000</v>
      </c>
      <c r="U189" s="324">
        <f t="shared" si="241"/>
        <v>480000</v>
      </c>
      <c r="V189" s="320"/>
      <c r="W189" s="323">
        <f t="shared" ref="W189:X189" si="242">SUM(W184:W188)</f>
        <v>2300000</v>
      </c>
      <c r="X189" s="324">
        <f t="shared" si="242"/>
        <v>480000</v>
      </c>
      <c r="Y189" s="320"/>
      <c r="Z189" s="323">
        <f t="shared" ref="Z189:AA189" si="243">SUM(Z184:Z188)</f>
        <v>2300000</v>
      </c>
      <c r="AA189" s="324">
        <f t="shared" si="243"/>
        <v>480000</v>
      </c>
      <c r="AB189" s="320"/>
      <c r="AC189" s="323">
        <f t="shared" ref="AC189:AD189" si="244">SUM(AC184:AC188)</f>
        <v>1650000</v>
      </c>
      <c r="AD189" s="324">
        <f t="shared" si="244"/>
        <v>360000</v>
      </c>
      <c r="AE189" s="320"/>
      <c r="AF189" s="323">
        <f t="shared" ref="AF189:AG189" si="245">SUM(AF184:AF188)</f>
        <v>1650000</v>
      </c>
      <c r="AG189" s="324">
        <f t="shared" si="245"/>
        <v>360000</v>
      </c>
      <c r="AH189" s="320"/>
      <c r="AI189" s="323">
        <f t="shared" ref="AI189:AJ189" si="246">SUM(AI184:AI188)</f>
        <v>1650000</v>
      </c>
      <c r="AJ189" s="324">
        <f t="shared" si="246"/>
        <v>360000</v>
      </c>
      <c r="AK189" s="320"/>
      <c r="AL189" s="323">
        <f t="shared" ref="AL189:AM189" si="247">SUM(AL184:AL188)</f>
        <v>1650000</v>
      </c>
      <c r="AM189" s="324">
        <f t="shared" si="247"/>
        <v>360000</v>
      </c>
      <c r="AN189" s="316" t="s">
        <v>268</v>
      </c>
      <c r="AO189" s="316"/>
      <c r="AP189" s="316"/>
      <c r="AQ189" s="316"/>
      <c r="AR189" s="316"/>
      <c r="AS189" s="316"/>
      <c r="AT189" s="316"/>
      <c r="AU189" s="316"/>
      <c r="AV189" s="316"/>
      <c r="AW189" s="316"/>
      <c r="AX189" s="316"/>
      <c r="AY189" s="316"/>
      <c r="AZ189" s="316"/>
      <c r="BA189" s="316"/>
      <c r="BB189" s="316"/>
      <c r="BC189" s="316"/>
      <c r="BD189" s="316"/>
      <c r="BE189" s="316"/>
      <c r="BF189" s="316"/>
      <c r="BG189" s="316"/>
      <c r="BH189" s="316"/>
      <c r="BI189" s="316"/>
      <c r="BJ189" s="316"/>
      <c r="BK189" s="316"/>
      <c r="BL189" s="316"/>
      <c r="BM189" s="316"/>
      <c r="BN189" s="316"/>
    </row>
    <row r="190" collapsed="1">
      <c r="A190" s="303" t="s">
        <v>415</v>
      </c>
      <c r="B190" s="304"/>
      <c r="C190" s="325" t="s">
        <v>43</v>
      </c>
      <c r="D190" s="326"/>
      <c r="E190" s="321">
        <v>1600000.0</v>
      </c>
      <c r="F190" s="324"/>
      <c r="G190" s="326"/>
      <c r="H190" s="321">
        <v>1600000.0</v>
      </c>
      <c r="I190" s="324"/>
      <c r="J190" s="326"/>
      <c r="K190" s="321">
        <v>1600000.0</v>
      </c>
      <c r="L190" s="324"/>
      <c r="M190" s="326"/>
      <c r="N190" s="321">
        <v>1600000.0</v>
      </c>
      <c r="O190" s="324"/>
      <c r="P190" s="326"/>
      <c r="Q190" s="321">
        <v>1600000.0</v>
      </c>
      <c r="R190" s="324"/>
      <c r="S190" s="326"/>
      <c r="T190" s="321">
        <v>1600000.0</v>
      </c>
      <c r="U190" s="324"/>
      <c r="V190" s="326"/>
      <c r="W190" s="321">
        <v>1600000.0</v>
      </c>
      <c r="X190" s="324"/>
      <c r="Y190" s="326"/>
      <c r="Z190" s="321">
        <v>1600000.0</v>
      </c>
      <c r="AA190" s="324"/>
      <c r="AB190" s="326"/>
      <c r="AC190" s="321">
        <v>1600000.0</v>
      </c>
      <c r="AD190" s="324"/>
      <c r="AE190" s="326"/>
      <c r="AF190" s="321">
        <v>1600000.0</v>
      </c>
      <c r="AG190" s="324"/>
      <c r="AH190" s="326"/>
      <c r="AI190" s="321">
        <v>1600000.0</v>
      </c>
      <c r="AJ190" s="324"/>
      <c r="AK190" s="326"/>
      <c r="AL190" s="321">
        <v>1600000.0</v>
      </c>
      <c r="AM190" s="324"/>
      <c r="AN190" s="316" t="s">
        <v>268</v>
      </c>
      <c r="AO190" s="316"/>
      <c r="AP190" s="316"/>
      <c r="AQ190" s="316"/>
      <c r="AR190" s="316"/>
      <c r="AS190" s="316"/>
      <c r="AT190" s="316"/>
      <c r="AU190" s="316"/>
      <c r="AV190" s="316"/>
      <c r="AW190" s="316"/>
      <c r="AX190" s="316"/>
      <c r="AY190" s="316"/>
      <c r="AZ190" s="316"/>
      <c r="BA190" s="316"/>
      <c r="BB190" s="316"/>
      <c r="BC190" s="316"/>
      <c r="BD190" s="316"/>
      <c r="BE190" s="316"/>
      <c r="BF190" s="316"/>
      <c r="BG190" s="316"/>
      <c r="BH190" s="316"/>
      <c r="BI190" s="316"/>
      <c r="BJ190" s="316"/>
      <c r="BK190" s="316"/>
      <c r="BL190" s="316"/>
      <c r="BM190" s="316"/>
      <c r="BN190" s="316"/>
    </row>
    <row r="191" hidden="1" outlineLevel="1">
      <c r="A191" s="303" t="s">
        <v>415</v>
      </c>
      <c r="B191" s="317" t="s">
        <v>95</v>
      </c>
      <c r="C191" s="325" t="s">
        <v>2133</v>
      </c>
      <c r="D191" s="326"/>
      <c r="E191" s="321"/>
      <c r="F191" s="322">
        <v>10000.0</v>
      </c>
      <c r="G191" s="326"/>
      <c r="H191" s="321"/>
      <c r="I191" s="322">
        <v>10000.0</v>
      </c>
      <c r="J191" s="326"/>
      <c r="K191" s="321"/>
      <c r="L191" s="322">
        <v>10000.0</v>
      </c>
      <c r="M191" s="326"/>
      <c r="N191" s="321"/>
      <c r="O191" s="322">
        <v>10000.0</v>
      </c>
      <c r="P191" s="326"/>
      <c r="Q191" s="321"/>
      <c r="R191" s="322">
        <v>10000.0</v>
      </c>
      <c r="S191" s="326"/>
      <c r="T191" s="321"/>
      <c r="U191" s="322">
        <v>10000.0</v>
      </c>
      <c r="V191" s="326"/>
      <c r="W191" s="321"/>
      <c r="X191" s="322">
        <v>10000.0</v>
      </c>
      <c r="Y191" s="326"/>
      <c r="Z191" s="321"/>
      <c r="AA191" s="322">
        <v>10000.0</v>
      </c>
      <c r="AB191" s="326"/>
      <c r="AC191" s="321"/>
      <c r="AD191" s="322">
        <v>10000.0</v>
      </c>
      <c r="AE191" s="326"/>
      <c r="AF191" s="321"/>
      <c r="AG191" s="322">
        <v>10000.0</v>
      </c>
      <c r="AH191" s="326"/>
      <c r="AI191" s="321"/>
      <c r="AJ191" s="322">
        <v>10000.0</v>
      </c>
      <c r="AK191" s="326"/>
      <c r="AL191" s="321"/>
      <c r="AM191" s="322">
        <v>10000.0</v>
      </c>
      <c r="AN191" s="316" t="s">
        <v>268</v>
      </c>
      <c r="AO191" s="316"/>
      <c r="AP191" s="316"/>
      <c r="AQ191" s="316"/>
      <c r="AR191" s="316"/>
      <c r="AS191" s="316"/>
      <c r="AT191" s="316"/>
      <c r="AU191" s="316"/>
      <c r="AV191" s="316"/>
      <c r="AW191" s="316"/>
      <c r="AX191" s="316"/>
      <c r="AY191" s="316"/>
      <c r="AZ191" s="316"/>
      <c r="BA191" s="316"/>
      <c r="BB191" s="316"/>
      <c r="BC191" s="316"/>
      <c r="BD191" s="316"/>
      <c r="BE191" s="316"/>
      <c r="BF191" s="316"/>
      <c r="BG191" s="316"/>
      <c r="BH191" s="316"/>
      <c r="BI191" s="316"/>
      <c r="BJ191" s="316"/>
      <c r="BK191" s="316"/>
      <c r="BL191" s="316"/>
      <c r="BM191" s="316"/>
      <c r="BN191" s="316"/>
    </row>
    <row r="192" hidden="1" outlineLevel="1">
      <c r="A192" s="303" t="s">
        <v>415</v>
      </c>
      <c r="B192" s="317" t="s">
        <v>95</v>
      </c>
      <c r="C192" s="325" t="s">
        <v>45</v>
      </c>
      <c r="D192" s="326"/>
      <c r="E192" s="321"/>
      <c r="F192" s="322">
        <v>303920.0</v>
      </c>
      <c r="G192" s="326"/>
      <c r="H192" s="321" t="s">
        <v>1210</v>
      </c>
      <c r="I192" s="322">
        <v>271530.0</v>
      </c>
      <c r="J192" s="326" t="s">
        <v>2039</v>
      </c>
      <c r="K192" s="321"/>
      <c r="L192" s="322">
        <v>300000.0</v>
      </c>
      <c r="M192" s="326"/>
      <c r="N192" s="321"/>
      <c r="O192" s="322"/>
      <c r="P192" s="326"/>
      <c r="Q192" s="321"/>
      <c r="R192" s="322"/>
      <c r="S192" s="326"/>
      <c r="T192" s="321"/>
      <c r="U192" s="322"/>
      <c r="V192" s="326"/>
      <c r="W192" s="321"/>
      <c r="X192" s="322"/>
      <c r="Y192" s="326"/>
      <c r="Z192" s="321"/>
      <c r="AA192" s="322"/>
      <c r="AB192" s="326"/>
      <c r="AC192" s="321"/>
      <c r="AD192" s="322"/>
      <c r="AE192" s="326"/>
      <c r="AF192" s="321"/>
      <c r="AG192" s="322"/>
      <c r="AH192" s="326"/>
      <c r="AI192" s="321"/>
      <c r="AJ192" s="322"/>
      <c r="AK192" s="326"/>
      <c r="AL192" s="321"/>
      <c r="AM192" s="322"/>
      <c r="AN192" s="316" t="s">
        <v>268</v>
      </c>
      <c r="AO192" s="316"/>
      <c r="AP192" s="316"/>
      <c r="AQ192" s="316"/>
      <c r="AR192" s="316"/>
      <c r="AS192" s="316"/>
      <c r="AT192" s="316"/>
      <c r="AU192" s="316"/>
      <c r="AV192" s="316"/>
      <c r="AW192" s="316"/>
      <c r="AX192" s="316"/>
      <c r="AY192" s="316"/>
      <c r="AZ192" s="316"/>
      <c r="BA192" s="316"/>
      <c r="BB192" s="316"/>
      <c r="BC192" s="316"/>
      <c r="BD192" s="316"/>
      <c r="BE192" s="316"/>
      <c r="BF192" s="316"/>
      <c r="BG192" s="316"/>
      <c r="BH192" s="316"/>
      <c r="BI192" s="316"/>
      <c r="BJ192" s="316"/>
      <c r="BK192" s="316"/>
      <c r="BL192" s="316"/>
      <c r="BM192" s="316"/>
      <c r="BN192" s="316"/>
    </row>
    <row r="193" hidden="1" outlineLevel="1">
      <c r="A193" s="303" t="s">
        <v>415</v>
      </c>
      <c r="B193" s="317" t="s">
        <v>95</v>
      </c>
      <c r="C193" s="325" t="s">
        <v>445</v>
      </c>
      <c r="D193" s="326"/>
      <c r="E193" s="321"/>
      <c r="F193" s="363" t="s">
        <v>446</v>
      </c>
      <c r="G193" s="326"/>
      <c r="H193" s="321"/>
      <c r="I193" s="363" t="s">
        <v>446</v>
      </c>
      <c r="K193" s="321"/>
      <c r="L193" s="363" t="s">
        <v>446</v>
      </c>
      <c r="M193" s="326"/>
      <c r="N193" s="321"/>
      <c r="O193" s="363" t="s">
        <v>446</v>
      </c>
      <c r="P193" s="326"/>
      <c r="Q193" s="321"/>
      <c r="R193" s="363" t="s">
        <v>446</v>
      </c>
      <c r="S193" s="326"/>
      <c r="T193" s="321"/>
      <c r="U193" s="363" t="s">
        <v>446</v>
      </c>
      <c r="V193" s="326"/>
      <c r="W193" s="321"/>
      <c r="X193" s="363" t="s">
        <v>446</v>
      </c>
      <c r="Y193" s="326"/>
      <c r="Z193" s="321"/>
      <c r="AA193" s="363" t="s">
        <v>446</v>
      </c>
      <c r="AB193" s="326"/>
      <c r="AC193" s="321"/>
      <c r="AD193" s="363" t="s">
        <v>446</v>
      </c>
      <c r="AE193" s="326"/>
      <c r="AF193" s="321"/>
      <c r="AG193" s="363" t="s">
        <v>446</v>
      </c>
      <c r="AH193" s="326"/>
      <c r="AI193" s="321"/>
      <c r="AJ193" s="363" t="s">
        <v>446</v>
      </c>
      <c r="AK193" s="326"/>
      <c r="AL193" s="321"/>
      <c r="AM193" s="363" t="s">
        <v>446</v>
      </c>
      <c r="AN193" s="316" t="s">
        <v>268</v>
      </c>
      <c r="AO193" s="316"/>
      <c r="AP193" s="316"/>
      <c r="AQ193" s="316"/>
      <c r="AR193" s="316"/>
      <c r="AS193" s="316"/>
      <c r="AT193" s="316"/>
      <c r="AU193" s="316"/>
      <c r="AV193" s="316"/>
      <c r="AW193" s="316"/>
      <c r="AX193" s="316"/>
      <c r="AY193" s="316"/>
      <c r="AZ193" s="316"/>
      <c r="BA193" s="316"/>
      <c r="BB193" s="316"/>
      <c r="BC193" s="316"/>
      <c r="BD193" s="316"/>
      <c r="BE193" s="316"/>
      <c r="BF193" s="316"/>
      <c r="BG193" s="316"/>
      <c r="BH193" s="316"/>
      <c r="BI193" s="316"/>
      <c r="BJ193" s="316"/>
      <c r="BK193" s="316"/>
      <c r="BL193" s="316"/>
      <c r="BM193" s="316"/>
      <c r="BN193" s="316"/>
    </row>
    <row r="194" hidden="1" outlineLevel="1">
      <c r="A194" s="303" t="s">
        <v>415</v>
      </c>
      <c r="B194" s="317" t="s">
        <v>95</v>
      </c>
      <c r="C194" s="325" t="s">
        <v>261</v>
      </c>
      <c r="D194" s="326"/>
      <c r="E194" s="321"/>
      <c r="F194" s="322">
        <v>354040.0</v>
      </c>
      <c r="G194" s="326"/>
      <c r="H194" s="321"/>
      <c r="I194" s="322">
        <v>438460.0</v>
      </c>
      <c r="J194" s="326"/>
      <c r="K194" s="321"/>
      <c r="L194" s="322">
        <v>438810.0</v>
      </c>
      <c r="M194" s="326"/>
      <c r="N194" s="321"/>
      <c r="O194" s="322"/>
      <c r="P194" s="326"/>
      <c r="Q194" s="321"/>
      <c r="R194" s="322"/>
      <c r="S194" s="326"/>
      <c r="T194" s="321"/>
      <c r="U194" s="322"/>
      <c r="V194" s="326"/>
      <c r="W194" s="321"/>
      <c r="X194" s="322"/>
      <c r="Y194" s="326"/>
      <c r="Z194" s="321"/>
      <c r="AA194" s="322"/>
      <c r="AB194" s="326"/>
      <c r="AC194" s="321"/>
      <c r="AD194" s="322"/>
      <c r="AE194" s="326"/>
      <c r="AF194" s="321"/>
      <c r="AG194" s="322"/>
      <c r="AH194" s="326"/>
      <c r="AI194" s="321"/>
      <c r="AJ194" s="322"/>
      <c r="AK194" s="326"/>
      <c r="AL194" s="321"/>
      <c r="AM194" s="322"/>
      <c r="AN194" s="316" t="s">
        <v>268</v>
      </c>
      <c r="AO194" s="316"/>
      <c r="AP194" s="316"/>
      <c r="AQ194" s="316"/>
      <c r="AR194" s="316"/>
      <c r="AS194" s="316"/>
      <c r="AT194" s="316"/>
      <c r="AU194" s="316"/>
      <c r="AV194" s="316"/>
      <c r="AW194" s="316"/>
      <c r="AX194" s="316"/>
      <c r="AY194" s="316"/>
      <c r="AZ194" s="316"/>
      <c r="BA194" s="316"/>
      <c r="BB194" s="316"/>
      <c r="BC194" s="316"/>
      <c r="BD194" s="316"/>
      <c r="BE194" s="316"/>
      <c r="BF194" s="316"/>
      <c r="BG194" s="316"/>
      <c r="BH194" s="316"/>
      <c r="BI194" s="316"/>
      <c r="BJ194" s="316"/>
      <c r="BK194" s="316"/>
      <c r="BL194" s="316"/>
      <c r="BM194" s="316"/>
      <c r="BN194" s="316"/>
    </row>
    <row r="195" hidden="1" outlineLevel="1">
      <c r="A195" s="303" t="s">
        <v>415</v>
      </c>
      <c r="B195" s="317" t="s">
        <v>95</v>
      </c>
      <c r="C195" s="325" t="s">
        <v>447</v>
      </c>
      <c r="D195" s="326"/>
      <c r="E195" s="321"/>
      <c r="F195" s="363" t="s">
        <v>446</v>
      </c>
      <c r="G195" s="326"/>
      <c r="H195" s="321"/>
      <c r="I195" s="363" t="s">
        <v>446</v>
      </c>
      <c r="J195" s="326"/>
      <c r="K195" s="321"/>
      <c r="L195" s="363" t="s">
        <v>446</v>
      </c>
      <c r="M195" s="326"/>
      <c r="N195" s="321"/>
      <c r="O195" s="363" t="s">
        <v>446</v>
      </c>
      <c r="P195" s="326"/>
      <c r="Q195" s="321"/>
      <c r="R195" s="363" t="s">
        <v>446</v>
      </c>
      <c r="S195" s="326"/>
      <c r="T195" s="321"/>
      <c r="U195" s="363" t="s">
        <v>446</v>
      </c>
      <c r="V195" s="326"/>
      <c r="W195" s="321"/>
      <c r="X195" s="363" t="s">
        <v>446</v>
      </c>
      <c r="Y195" s="326"/>
      <c r="Z195" s="321"/>
      <c r="AA195" s="363" t="s">
        <v>446</v>
      </c>
      <c r="AB195" s="326"/>
      <c r="AC195" s="321"/>
      <c r="AD195" s="363" t="s">
        <v>446</v>
      </c>
      <c r="AE195" s="326"/>
      <c r="AF195" s="321"/>
      <c r="AG195" s="363" t="s">
        <v>446</v>
      </c>
      <c r="AH195" s="326"/>
      <c r="AI195" s="321"/>
      <c r="AJ195" s="363" t="s">
        <v>446</v>
      </c>
      <c r="AK195" s="326"/>
      <c r="AL195" s="321"/>
      <c r="AM195" s="363" t="s">
        <v>446</v>
      </c>
      <c r="AN195" s="316" t="s">
        <v>268</v>
      </c>
      <c r="AO195" s="316"/>
      <c r="AP195" s="316"/>
      <c r="AQ195" s="316"/>
      <c r="AR195" s="316"/>
      <c r="AS195" s="316"/>
      <c r="AT195" s="316"/>
      <c r="AU195" s="316"/>
      <c r="AV195" s="316"/>
      <c r="AW195" s="316"/>
      <c r="AX195" s="316"/>
      <c r="AY195" s="316"/>
      <c r="AZ195" s="316"/>
      <c r="BA195" s="316"/>
      <c r="BB195" s="316"/>
      <c r="BC195" s="316"/>
      <c r="BD195" s="316"/>
      <c r="BE195" s="316"/>
      <c r="BF195" s="316"/>
      <c r="BG195" s="316"/>
      <c r="BH195" s="316"/>
      <c r="BI195" s="316"/>
      <c r="BJ195" s="316"/>
      <c r="BK195" s="316"/>
      <c r="BL195" s="316"/>
      <c r="BM195" s="316"/>
      <c r="BN195" s="316"/>
    </row>
    <row r="196" hidden="1" outlineLevel="1">
      <c r="A196" s="303" t="s">
        <v>415</v>
      </c>
      <c r="B196" s="317" t="s">
        <v>95</v>
      </c>
      <c r="C196" s="325" t="s">
        <v>52</v>
      </c>
      <c r="D196" s="326"/>
      <c r="E196" s="321"/>
      <c r="F196" s="322">
        <v>23100.0</v>
      </c>
      <c r="G196" s="326"/>
      <c r="H196" s="321"/>
      <c r="I196" s="322">
        <v>23100.0</v>
      </c>
      <c r="J196" s="326"/>
      <c r="K196" s="321"/>
      <c r="L196" s="322">
        <v>23100.0</v>
      </c>
      <c r="M196" s="326"/>
      <c r="N196" s="321"/>
      <c r="O196" s="322">
        <v>23100.0</v>
      </c>
      <c r="P196" s="326"/>
      <c r="Q196" s="321"/>
      <c r="R196" s="322">
        <v>23100.0</v>
      </c>
      <c r="S196" s="326"/>
      <c r="T196" s="321"/>
      <c r="U196" s="322">
        <v>23100.0</v>
      </c>
      <c r="V196" s="326"/>
      <c r="W196" s="321"/>
      <c r="X196" s="322">
        <v>23100.0</v>
      </c>
      <c r="Y196" s="326"/>
      <c r="Z196" s="321"/>
      <c r="AA196" s="322">
        <v>23100.0</v>
      </c>
      <c r="AB196" s="326"/>
      <c r="AC196" s="321"/>
      <c r="AD196" s="322">
        <v>23100.0</v>
      </c>
      <c r="AE196" s="326"/>
      <c r="AF196" s="321"/>
      <c r="AG196" s="322">
        <v>23100.0</v>
      </c>
      <c r="AH196" s="326"/>
      <c r="AI196" s="321"/>
      <c r="AJ196" s="322">
        <v>23100.0</v>
      </c>
      <c r="AK196" s="326"/>
      <c r="AL196" s="321"/>
      <c r="AM196" s="322">
        <v>23100.0</v>
      </c>
      <c r="AN196" s="316" t="s">
        <v>268</v>
      </c>
      <c r="AO196" s="316"/>
      <c r="AP196" s="316"/>
      <c r="AQ196" s="316"/>
      <c r="AR196" s="316"/>
      <c r="AS196" s="316"/>
      <c r="AT196" s="316"/>
      <c r="AU196" s="316"/>
      <c r="AV196" s="316"/>
      <c r="AW196" s="316"/>
      <c r="AX196" s="316"/>
      <c r="AY196" s="316"/>
      <c r="AZ196" s="316"/>
      <c r="BA196" s="316"/>
      <c r="BB196" s="316"/>
      <c r="BC196" s="316"/>
      <c r="BD196" s="316"/>
      <c r="BE196" s="316"/>
      <c r="BF196" s="316"/>
      <c r="BG196" s="316"/>
      <c r="BH196" s="316"/>
      <c r="BI196" s="316"/>
      <c r="BJ196" s="316"/>
      <c r="BK196" s="316"/>
      <c r="BL196" s="316"/>
      <c r="BM196" s="316"/>
      <c r="BN196" s="316"/>
    </row>
    <row r="197" hidden="1" outlineLevel="1">
      <c r="A197" s="303" t="s">
        <v>415</v>
      </c>
      <c r="B197" s="317" t="s">
        <v>95</v>
      </c>
      <c r="C197" s="325" t="s">
        <v>53</v>
      </c>
      <c r="D197" s="326"/>
      <c r="E197" s="321"/>
      <c r="F197" s="322">
        <v>11000.0</v>
      </c>
      <c r="G197" s="326"/>
      <c r="H197" s="321"/>
      <c r="I197" s="322">
        <v>11000.0</v>
      </c>
      <c r="J197" s="326"/>
      <c r="K197" s="321"/>
      <c r="L197" s="322">
        <v>11000.0</v>
      </c>
      <c r="M197" s="326"/>
      <c r="N197" s="321"/>
      <c r="O197" s="322">
        <v>11000.0</v>
      </c>
      <c r="P197" s="326"/>
      <c r="Q197" s="321"/>
      <c r="R197" s="322">
        <v>11000.0</v>
      </c>
      <c r="S197" s="326"/>
      <c r="T197" s="321"/>
      <c r="U197" s="322">
        <v>11000.0</v>
      </c>
      <c r="V197" s="326"/>
      <c r="W197" s="321"/>
      <c r="X197" s="322">
        <v>11000.0</v>
      </c>
      <c r="Y197" s="326"/>
      <c r="Z197" s="321"/>
      <c r="AA197" s="322">
        <v>11000.0</v>
      </c>
      <c r="AB197" s="326"/>
      <c r="AC197" s="321"/>
      <c r="AD197" s="322">
        <v>11000.0</v>
      </c>
      <c r="AE197" s="326"/>
      <c r="AF197" s="321"/>
      <c r="AG197" s="322">
        <v>11000.0</v>
      </c>
      <c r="AH197" s="326"/>
      <c r="AI197" s="321"/>
      <c r="AJ197" s="322">
        <v>11000.0</v>
      </c>
      <c r="AK197" s="326"/>
      <c r="AL197" s="321"/>
      <c r="AM197" s="322">
        <v>11000.0</v>
      </c>
      <c r="AN197" s="316" t="s">
        <v>268</v>
      </c>
      <c r="AO197" s="316"/>
      <c r="AP197" s="316"/>
      <c r="AQ197" s="316"/>
      <c r="AR197" s="316"/>
      <c r="AS197" s="316"/>
      <c r="AT197" s="316"/>
      <c r="AU197" s="316"/>
      <c r="AV197" s="316"/>
      <c r="AW197" s="316"/>
      <c r="AX197" s="316"/>
      <c r="AY197" s="316"/>
      <c r="AZ197" s="316"/>
      <c r="BA197" s="316"/>
      <c r="BB197" s="316"/>
      <c r="BC197" s="316"/>
      <c r="BD197" s="316"/>
      <c r="BE197" s="316"/>
      <c r="BF197" s="316"/>
      <c r="BG197" s="316"/>
      <c r="BH197" s="316"/>
      <c r="BI197" s="316"/>
      <c r="BJ197" s="316"/>
      <c r="BK197" s="316"/>
      <c r="BL197" s="316"/>
      <c r="BM197" s="316"/>
      <c r="BN197" s="316"/>
    </row>
    <row r="198" hidden="1" outlineLevel="1">
      <c r="A198" s="303" t="s">
        <v>415</v>
      </c>
      <c r="B198" s="304"/>
      <c r="C198" s="325" t="s">
        <v>54</v>
      </c>
      <c r="D198" s="327"/>
      <c r="E198" s="321"/>
      <c r="F198" s="322">
        <f>SUMIFS('지출'!$G$3:$G794,'지출'!$J$3:$J794,F$1,'지출'!$C$3:$C794,"쌍용")</f>
        <v>85270</v>
      </c>
      <c r="G198" s="327"/>
      <c r="H198" s="321"/>
      <c r="I198" s="322">
        <f>SUMIFS('지출'!$G$3:$G794,'지출'!$J$3:$J794,I$1,'지출'!$C$3:$C794,"쌍용")</f>
        <v>50000</v>
      </c>
      <c r="J198" s="327"/>
      <c r="K198" s="321"/>
      <c r="L198" s="322">
        <f>SUMIFS('지출'!$G$3:$G794,'지출'!$J$3:$J794,L$1,'지출'!$C$3:$C794,"쌍용")</f>
        <v>58980</v>
      </c>
      <c r="M198" s="327"/>
      <c r="N198" s="321"/>
      <c r="O198" s="322">
        <f>SUMIFS('지출'!$G$3:$G794,'지출'!$J$3:$J794,O$1,'지출'!$C$3:$C794,"쌍용")</f>
        <v>0</v>
      </c>
      <c r="P198" s="327"/>
      <c r="Q198" s="321"/>
      <c r="R198" s="322">
        <f>SUMIFS('지출'!$G$3:$G794,'지출'!$J$3:$J794,R$1,'지출'!$C$3:$C794,"쌍용")</f>
        <v>0</v>
      </c>
      <c r="S198" s="327"/>
      <c r="T198" s="321"/>
      <c r="U198" s="322">
        <f>SUMIFS('지출'!$G$3:$G794,'지출'!$J$3:$J794,U$1,'지출'!$C$3:$C794,"쌍용")</f>
        <v>0</v>
      </c>
      <c r="V198" s="327"/>
      <c r="W198" s="321"/>
      <c r="X198" s="322">
        <f>SUMIFS('지출'!$G$3:$G794,'지출'!$J$3:$J794,X$1,'지출'!$C$3:$C794,"쌍용")</f>
        <v>0</v>
      </c>
      <c r="Y198" s="327"/>
      <c r="Z198" s="321"/>
      <c r="AA198" s="322">
        <f>SUMIFS('지출'!$G$3:$G794,'지출'!$J$3:$J794,AA$1,'지출'!$C$3:$C794,"쌍용")</f>
        <v>0</v>
      </c>
      <c r="AB198" s="327"/>
      <c r="AC198" s="321"/>
      <c r="AD198" s="322">
        <f>SUMIFS('지출'!$G$3:$G794,'지출'!$J$3:$J794,AD$1,'지출'!$C$3:$C794,"쌍용")</f>
        <v>0</v>
      </c>
      <c r="AE198" s="327"/>
      <c r="AF198" s="321"/>
      <c r="AG198" s="322">
        <f>SUMIFS('지출'!$G$3:$G794,'지출'!$J$3:$J794,AG$1,'지출'!$C$3:$C794,"쌍용")</f>
        <v>0</v>
      </c>
      <c r="AH198" s="327"/>
      <c r="AI198" s="321"/>
      <c r="AJ198" s="322">
        <f>SUMIFS('지출'!$G$3:$G794,'지출'!$J$3:$J794,AJ$1,'지출'!$C$3:$C794,"쌍용")</f>
        <v>0</v>
      </c>
      <c r="AK198" s="327"/>
      <c r="AL198" s="321"/>
      <c r="AM198" s="322">
        <f>SUMIFS('지출'!$G$3:$G794,'지출'!$J$3:$J794,AM$1,'지출'!$C$3:$C794,"쌍용")</f>
        <v>0</v>
      </c>
      <c r="AN198" s="316" t="s">
        <v>268</v>
      </c>
      <c r="AO198" s="316"/>
      <c r="AP198" s="316"/>
      <c r="AQ198" s="316"/>
      <c r="AR198" s="316"/>
      <c r="AS198" s="316"/>
      <c r="AT198" s="316"/>
      <c r="AU198" s="316"/>
      <c r="AV198" s="316"/>
      <c r="AW198" s="316"/>
      <c r="AX198" s="316"/>
      <c r="AY198" s="316"/>
      <c r="AZ198" s="316"/>
      <c r="BA198" s="316"/>
      <c r="BB198" s="316"/>
      <c r="BC198" s="316"/>
      <c r="BD198" s="316"/>
      <c r="BE198" s="316"/>
      <c r="BF198" s="316"/>
      <c r="BG198" s="316"/>
      <c r="BH198" s="316"/>
      <c r="BI198" s="316"/>
      <c r="BJ198" s="316"/>
      <c r="BK198" s="316"/>
      <c r="BL198" s="316"/>
      <c r="BM198" s="316"/>
      <c r="BN198" s="316"/>
    </row>
    <row r="199">
      <c r="A199" s="303" t="s">
        <v>415</v>
      </c>
      <c r="B199" s="304"/>
      <c r="C199" s="325" t="s">
        <v>56</v>
      </c>
      <c r="D199" s="320"/>
      <c r="E199" s="323">
        <f t="shared" ref="E199:F199" si="248">E189-(SUM(E190:E198))</f>
        <v>1310000</v>
      </c>
      <c r="F199" s="324">
        <f t="shared" si="248"/>
        <v>-187330</v>
      </c>
      <c r="G199" s="320"/>
      <c r="H199" s="323">
        <f t="shared" ref="H199:I199" si="249">H189-(SUM(H190:H198))</f>
        <v>1275357</v>
      </c>
      <c r="I199" s="324">
        <f t="shared" si="249"/>
        <v>-212661</v>
      </c>
      <c r="J199" s="320"/>
      <c r="K199" s="323">
        <f t="shared" ref="K199:L199" si="250">K189-(SUM(K190:K198))</f>
        <v>1330000</v>
      </c>
      <c r="L199" s="324">
        <f t="shared" si="250"/>
        <v>-241890</v>
      </c>
      <c r="M199" s="320"/>
      <c r="N199" s="323">
        <f t="shared" ref="N199:O199" si="251">N189-(SUM(N190:N198))</f>
        <v>700000</v>
      </c>
      <c r="O199" s="324">
        <f t="shared" si="251"/>
        <v>435900</v>
      </c>
      <c r="P199" s="320"/>
      <c r="Q199" s="323">
        <f t="shared" ref="Q199:R199" si="252">Q189-(SUM(Q190:Q198))</f>
        <v>700000</v>
      </c>
      <c r="R199" s="324">
        <f t="shared" si="252"/>
        <v>435900</v>
      </c>
      <c r="S199" s="320"/>
      <c r="T199" s="323">
        <f t="shared" ref="T199:U199" si="253">T189-(SUM(T190:T198))</f>
        <v>700000</v>
      </c>
      <c r="U199" s="324">
        <f t="shared" si="253"/>
        <v>435900</v>
      </c>
      <c r="V199" s="320"/>
      <c r="W199" s="323">
        <f t="shared" ref="W199:X199" si="254">W189-(SUM(W190:W198))</f>
        <v>700000</v>
      </c>
      <c r="X199" s="324">
        <f t="shared" si="254"/>
        <v>435900</v>
      </c>
      <c r="Y199" s="320"/>
      <c r="Z199" s="323">
        <f t="shared" ref="Z199:AA199" si="255">Z189-(SUM(Z190:Z198))</f>
        <v>700000</v>
      </c>
      <c r="AA199" s="324">
        <f t="shared" si="255"/>
        <v>435900</v>
      </c>
      <c r="AB199" s="320"/>
      <c r="AC199" s="323">
        <f t="shared" ref="AC199:AD199" si="256">AC189-(SUM(AC190:AC198))</f>
        <v>50000</v>
      </c>
      <c r="AD199" s="324">
        <f t="shared" si="256"/>
        <v>315900</v>
      </c>
      <c r="AE199" s="320"/>
      <c r="AF199" s="323">
        <f t="shared" ref="AF199:AG199" si="257">AF189-(SUM(AF190:AF198))</f>
        <v>50000</v>
      </c>
      <c r="AG199" s="324">
        <f t="shared" si="257"/>
        <v>315900</v>
      </c>
      <c r="AH199" s="320"/>
      <c r="AI199" s="323">
        <f t="shared" ref="AI199:AJ199" si="258">AI189-(SUM(AI190:AI198))</f>
        <v>50000</v>
      </c>
      <c r="AJ199" s="324">
        <f t="shared" si="258"/>
        <v>315900</v>
      </c>
      <c r="AK199" s="320"/>
      <c r="AL199" s="323">
        <f t="shared" ref="AL199:AM199" si="259">AL189-(SUM(AL190:AL198))</f>
        <v>50000</v>
      </c>
      <c r="AM199" s="324">
        <f t="shared" si="259"/>
        <v>315900</v>
      </c>
      <c r="AN199" s="316" t="s">
        <v>268</v>
      </c>
      <c r="AO199" s="316"/>
      <c r="AP199" s="316"/>
      <c r="AQ199" s="316"/>
      <c r="AR199" s="316"/>
      <c r="AS199" s="316"/>
      <c r="AT199" s="316"/>
      <c r="AU199" s="316"/>
      <c r="AV199" s="316"/>
      <c r="AW199" s="316"/>
      <c r="AX199" s="316"/>
      <c r="AY199" s="316"/>
      <c r="AZ199" s="316"/>
      <c r="BA199" s="316"/>
      <c r="BB199" s="316"/>
      <c r="BC199" s="316"/>
      <c r="BD199" s="316"/>
      <c r="BE199" s="316"/>
      <c r="BF199" s="316"/>
      <c r="BG199" s="316"/>
      <c r="BH199" s="316"/>
      <c r="BI199" s="316"/>
      <c r="BJ199" s="316"/>
      <c r="BK199" s="316"/>
      <c r="BL199" s="316"/>
      <c r="BM199" s="316"/>
      <c r="BN199" s="316"/>
    </row>
    <row r="200">
      <c r="A200" s="303" t="s">
        <v>415</v>
      </c>
      <c r="B200" s="328">
        <v>0.8</v>
      </c>
      <c r="C200" s="325" t="s">
        <v>26</v>
      </c>
      <c r="D200" s="320"/>
      <c r="E200" s="323">
        <f>E199*$B200</f>
        <v>1048000</v>
      </c>
      <c r="F200" s="324"/>
      <c r="G200" s="320"/>
      <c r="H200" s="323">
        <f>H199*$B200</f>
        <v>1020285.6</v>
      </c>
      <c r="I200" s="324"/>
      <c r="J200" s="320"/>
      <c r="K200" s="323">
        <f>K199*$B200</f>
        <v>1064000</v>
      </c>
      <c r="L200" s="324"/>
      <c r="M200" s="320"/>
      <c r="N200" s="323">
        <f>N199*$B200</f>
        <v>560000</v>
      </c>
      <c r="O200" s="324"/>
      <c r="P200" s="320"/>
      <c r="Q200" s="323">
        <f>Q199*$B200</f>
        <v>560000</v>
      </c>
      <c r="R200" s="324"/>
      <c r="S200" s="320"/>
      <c r="T200" s="323">
        <f>T199*$B200</f>
        <v>560000</v>
      </c>
      <c r="U200" s="324"/>
      <c r="V200" s="320"/>
      <c r="W200" s="323">
        <f>W199*$B200</f>
        <v>560000</v>
      </c>
      <c r="X200" s="324"/>
      <c r="Y200" s="320"/>
      <c r="Z200" s="323">
        <f>Z199*$B200</f>
        <v>560000</v>
      </c>
      <c r="AA200" s="324"/>
      <c r="AB200" s="320"/>
      <c r="AC200" s="323">
        <f>AC199*$B200</f>
        <v>40000</v>
      </c>
      <c r="AD200" s="324"/>
      <c r="AE200" s="320"/>
      <c r="AF200" s="323">
        <f>AF199*$B200</f>
        <v>40000</v>
      </c>
      <c r="AG200" s="324"/>
      <c r="AH200" s="320"/>
      <c r="AI200" s="323">
        <f>AI199*$B200</f>
        <v>40000</v>
      </c>
      <c r="AJ200" s="324"/>
      <c r="AK200" s="320"/>
      <c r="AL200" s="323">
        <f>AL199*$B200</f>
        <v>40000</v>
      </c>
      <c r="AM200" s="324"/>
      <c r="AN200" s="316" t="s">
        <v>268</v>
      </c>
      <c r="AO200" s="316"/>
      <c r="AP200" s="316"/>
      <c r="AQ200" s="316"/>
      <c r="AR200" s="316"/>
      <c r="AS200" s="316"/>
      <c r="AT200" s="316"/>
      <c r="AU200" s="316"/>
      <c r="AV200" s="316"/>
      <c r="AW200" s="316"/>
      <c r="AX200" s="316"/>
      <c r="AY200" s="316"/>
      <c r="AZ200" s="316"/>
      <c r="BA200" s="316"/>
      <c r="BB200" s="316"/>
      <c r="BC200" s="316"/>
      <c r="BD200" s="316"/>
      <c r="BE200" s="316"/>
      <c r="BF200" s="316"/>
      <c r="BG200" s="316"/>
      <c r="BH200" s="316"/>
      <c r="BI200" s="316"/>
      <c r="BJ200" s="316"/>
      <c r="BK200" s="316"/>
      <c r="BL200" s="316"/>
      <c r="BM200" s="316"/>
      <c r="BN200" s="316"/>
    </row>
    <row r="201">
      <c r="A201" s="303" t="s">
        <v>415</v>
      </c>
      <c r="B201" s="329">
        <v>0.2</v>
      </c>
      <c r="C201" s="330" t="s">
        <v>57</v>
      </c>
      <c r="D201" s="331"/>
      <c r="E201" s="332">
        <f>E199*$B201</f>
        <v>262000</v>
      </c>
      <c r="F201" s="333"/>
      <c r="G201" s="331"/>
      <c r="H201" s="332">
        <f>H199*$B201</f>
        <v>255071.4</v>
      </c>
      <c r="I201" s="333"/>
      <c r="J201" s="331"/>
      <c r="K201" s="332">
        <f>K199*$B201</f>
        <v>266000</v>
      </c>
      <c r="L201" s="333"/>
      <c r="M201" s="331"/>
      <c r="N201" s="332">
        <f>N199*$B201</f>
        <v>140000</v>
      </c>
      <c r="O201" s="333"/>
      <c r="P201" s="331"/>
      <c r="Q201" s="332">
        <f>Q199*$B201</f>
        <v>140000</v>
      </c>
      <c r="R201" s="333"/>
      <c r="S201" s="331"/>
      <c r="T201" s="332">
        <f>T199*$B201</f>
        <v>140000</v>
      </c>
      <c r="U201" s="333"/>
      <c r="V201" s="331"/>
      <c r="W201" s="332">
        <f>W199*$B201</f>
        <v>140000</v>
      </c>
      <c r="X201" s="333"/>
      <c r="Y201" s="331"/>
      <c r="Z201" s="332">
        <f>Z199*$B201</f>
        <v>140000</v>
      </c>
      <c r="AA201" s="333"/>
      <c r="AB201" s="331"/>
      <c r="AC201" s="332">
        <f>AC199*$B201</f>
        <v>10000</v>
      </c>
      <c r="AD201" s="333"/>
      <c r="AE201" s="331"/>
      <c r="AF201" s="332">
        <f>AF199*$B201</f>
        <v>10000</v>
      </c>
      <c r="AG201" s="333"/>
      <c r="AH201" s="331"/>
      <c r="AI201" s="332">
        <f>AI199*$B201</f>
        <v>10000</v>
      </c>
      <c r="AJ201" s="333"/>
      <c r="AK201" s="331"/>
      <c r="AL201" s="332">
        <f>AL199*$B201</f>
        <v>10000</v>
      </c>
      <c r="AM201" s="333"/>
      <c r="AN201" s="316" t="s">
        <v>268</v>
      </c>
      <c r="AO201" s="316"/>
      <c r="AP201" s="316"/>
      <c r="AQ201" s="316"/>
      <c r="AR201" s="316"/>
      <c r="AS201" s="316"/>
      <c r="AT201" s="316"/>
      <c r="AU201" s="316"/>
      <c r="AV201" s="316"/>
      <c r="AW201" s="316"/>
      <c r="AX201" s="316"/>
      <c r="AY201" s="316"/>
      <c r="AZ201" s="316"/>
      <c r="BA201" s="316"/>
      <c r="BB201" s="316"/>
      <c r="BC201" s="316"/>
      <c r="BD201" s="316"/>
      <c r="BE201" s="316"/>
      <c r="BF201" s="316"/>
      <c r="BG201" s="316"/>
      <c r="BH201" s="316"/>
      <c r="BI201" s="316"/>
      <c r="BJ201" s="316"/>
      <c r="BK201" s="316"/>
      <c r="BL201" s="316"/>
      <c r="BM201" s="316"/>
      <c r="BN201" s="316"/>
    </row>
    <row r="202">
      <c r="A202" s="303" t="s">
        <v>448</v>
      </c>
      <c r="B202" s="317" t="s">
        <v>448</v>
      </c>
      <c r="C202" s="325" t="s">
        <v>449</v>
      </c>
      <c r="D202" s="353" t="s">
        <v>1467</v>
      </c>
      <c r="E202" s="348">
        <v>580000.0</v>
      </c>
      <c r="F202" s="346">
        <v>100000.0</v>
      </c>
      <c r="G202" s="353" t="s">
        <v>1467</v>
      </c>
      <c r="H202" s="348">
        <v>580000.0</v>
      </c>
      <c r="I202" s="346">
        <v>100000.0</v>
      </c>
      <c r="J202" s="353" t="s">
        <v>1467</v>
      </c>
      <c r="K202" s="348">
        <v>580000.0</v>
      </c>
      <c r="L202" s="346">
        <v>100000.0</v>
      </c>
      <c r="M202" s="353" t="s">
        <v>1467</v>
      </c>
      <c r="N202" s="348">
        <v>580000.0</v>
      </c>
      <c r="O202" s="346">
        <v>100000.0</v>
      </c>
      <c r="P202" s="353" t="s">
        <v>1467</v>
      </c>
      <c r="Q202" s="348">
        <v>580000.0</v>
      </c>
      <c r="R202" s="346">
        <v>100000.0</v>
      </c>
      <c r="S202" s="353" t="s">
        <v>1467</v>
      </c>
      <c r="T202" s="348">
        <v>580000.0</v>
      </c>
      <c r="U202" s="346">
        <v>100000.0</v>
      </c>
      <c r="V202" s="353" t="s">
        <v>1467</v>
      </c>
      <c r="W202" s="348">
        <v>580000.0</v>
      </c>
      <c r="X202" s="346">
        <v>100000.0</v>
      </c>
      <c r="Y202" s="353" t="s">
        <v>1467</v>
      </c>
      <c r="Z202" s="348">
        <v>580000.0</v>
      </c>
      <c r="AA202" s="346">
        <v>100000.0</v>
      </c>
      <c r="AB202" s="353" t="s">
        <v>1467</v>
      </c>
      <c r="AC202" s="348">
        <v>580000.0</v>
      </c>
      <c r="AD202" s="346">
        <v>100000.0</v>
      </c>
      <c r="AE202" s="353" t="s">
        <v>1467</v>
      </c>
      <c r="AF202" s="348">
        <v>580000.0</v>
      </c>
      <c r="AG202" s="346">
        <v>100000.0</v>
      </c>
      <c r="AH202" s="353" t="s">
        <v>1467</v>
      </c>
      <c r="AI202" s="348">
        <v>580000.0</v>
      </c>
      <c r="AJ202" s="346">
        <v>100000.0</v>
      </c>
      <c r="AK202" s="353" t="s">
        <v>1467</v>
      </c>
      <c r="AL202" s="348">
        <v>580000.0</v>
      </c>
      <c r="AM202" s="346">
        <v>100000.0</v>
      </c>
      <c r="AN202" s="316" t="s">
        <v>63</v>
      </c>
      <c r="AO202" s="316"/>
      <c r="AP202" s="316"/>
      <c r="AQ202" s="316"/>
      <c r="AR202" s="316"/>
      <c r="AS202" s="316"/>
      <c r="AT202" s="316"/>
      <c r="AU202" s="316"/>
      <c r="AV202" s="316"/>
      <c r="AW202" s="316"/>
      <c r="AX202" s="316"/>
      <c r="AY202" s="316"/>
      <c r="AZ202" s="316"/>
      <c r="BA202" s="316"/>
      <c r="BB202" s="316"/>
      <c r="BC202" s="316"/>
      <c r="BD202" s="316"/>
      <c r="BE202" s="316"/>
      <c r="BF202" s="316"/>
      <c r="BG202" s="316"/>
      <c r="BH202" s="316"/>
      <c r="BI202" s="316"/>
      <c r="BJ202" s="316"/>
      <c r="BK202" s="316"/>
      <c r="BL202" s="316"/>
      <c r="BM202" s="316"/>
      <c r="BN202" s="316"/>
    </row>
    <row r="203">
      <c r="A203" s="303" t="s">
        <v>448</v>
      </c>
      <c r="B203" s="317" t="s">
        <v>448</v>
      </c>
      <c r="C203" s="325" t="s">
        <v>454</v>
      </c>
      <c r="D203" s="341" t="s">
        <v>455</v>
      </c>
      <c r="E203" s="335">
        <v>500000.0</v>
      </c>
      <c r="F203" s="346">
        <v>100000.0</v>
      </c>
      <c r="G203" s="341" t="s">
        <v>455</v>
      </c>
      <c r="H203" s="335">
        <v>500000.0</v>
      </c>
      <c r="I203" s="346">
        <v>100000.0</v>
      </c>
      <c r="J203" s="341" t="s">
        <v>455</v>
      </c>
      <c r="K203" s="348">
        <v>530000.0</v>
      </c>
      <c r="L203" s="346">
        <v>100000.0</v>
      </c>
      <c r="M203" s="341" t="s">
        <v>455</v>
      </c>
      <c r="N203" s="348">
        <v>530000.0</v>
      </c>
      <c r="O203" s="346">
        <v>100000.0</v>
      </c>
      <c r="P203" s="341" t="s">
        <v>455</v>
      </c>
      <c r="Q203" s="348">
        <v>530000.0</v>
      </c>
      <c r="R203" s="346">
        <v>100000.0</v>
      </c>
      <c r="S203" s="341" t="s">
        <v>455</v>
      </c>
      <c r="T203" s="348">
        <v>530000.0</v>
      </c>
      <c r="U203" s="346">
        <v>100000.0</v>
      </c>
      <c r="V203" s="341" t="s">
        <v>455</v>
      </c>
      <c r="W203" s="348">
        <v>530000.0</v>
      </c>
      <c r="X203" s="346">
        <v>100000.0</v>
      </c>
      <c r="Y203" s="353" t="s">
        <v>2134</v>
      </c>
      <c r="Z203" s="348">
        <v>530000.0</v>
      </c>
      <c r="AA203" s="346">
        <v>100000.0</v>
      </c>
      <c r="AB203" s="326"/>
      <c r="AC203" s="321"/>
      <c r="AD203" s="322"/>
      <c r="AE203" s="326"/>
      <c r="AF203" s="321"/>
      <c r="AG203" s="322"/>
      <c r="AH203" s="326"/>
      <c r="AI203" s="321"/>
      <c r="AJ203" s="322"/>
      <c r="AK203" s="326"/>
      <c r="AL203" s="321"/>
      <c r="AM203" s="322"/>
      <c r="AN203" s="316" t="s">
        <v>63</v>
      </c>
      <c r="AO203" s="316"/>
      <c r="AP203" s="316"/>
      <c r="AQ203" s="316"/>
      <c r="AR203" s="316"/>
      <c r="AS203" s="316"/>
      <c r="AT203" s="316"/>
      <c r="AU203" s="316"/>
      <c r="AV203" s="316"/>
      <c r="AW203" s="316"/>
      <c r="AX203" s="316"/>
      <c r="AY203" s="316"/>
      <c r="AZ203" s="316"/>
      <c r="BA203" s="316"/>
      <c r="BB203" s="316"/>
      <c r="BC203" s="316"/>
      <c r="BD203" s="316"/>
      <c r="BE203" s="316"/>
      <c r="BF203" s="316"/>
      <c r="BG203" s="316"/>
      <c r="BH203" s="316"/>
      <c r="BI203" s="316"/>
      <c r="BJ203" s="316"/>
      <c r="BK203" s="316"/>
      <c r="BL203" s="316"/>
      <c r="BM203" s="316"/>
      <c r="BN203" s="316"/>
    </row>
    <row r="204">
      <c r="A204" s="303" t="s">
        <v>448</v>
      </c>
      <c r="B204" s="317" t="s">
        <v>448</v>
      </c>
      <c r="C204" s="325" t="s">
        <v>456</v>
      </c>
      <c r="D204" s="341" t="s">
        <v>1474</v>
      </c>
      <c r="E204" s="348">
        <v>420000.0</v>
      </c>
      <c r="F204" s="346">
        <v>100000.0</v>
      </c>
      <c r="G204" s="341" t="s">
        <v>1474</v>
      </c>
      <c r="H204" s="348">
        <v>420000.0</v>
      </c>
      <c r="I204" s="346">
        <v>100000.0</v>
      </c>
      <c r="J204" s="341" t="s">
        <v>1474</v>
      </c>
      <c r="K204" s="348">
        <v>500000.0</v>
      </c>
      <c r="L204" s="346">
        <v>100000.0</v>
      </c>
      <c r="M204" s="341" t="s">
        <v>1474</v>
      </c>
      <c r="N204" s="348">
        <v>500000.0</v>
      </c>
      <c r="O204" s="346">
        <v>100000.0</v>
      </c>
      <c r="P204" s="341" t="s">
        <v>1474</v>
      </c>
      <c r="Q204" s="348">
        <v>500000.0</v>
      </c>
      <c r="R204" s="346">
        <v>100000.0</v>
      </c>
      <c r="S204" s="341" t="s">
        <v>1474</v>
      </c>
      <c r="T204" s="348">
        <v>500000.0</v>
      </c>
      <c r="U204" s="346">
        <v>100000.0</v>
      </c>
      <c r="V204" s="341" t="s">
        <v>1474</v>
      </c>
      <c r="W204" s="348">
        <v>500000.0</v>
      </c>
      <c r="X204" s="346">
        <v>100000.0</v>
      </c>
      <c r="Y204" s="341" t="s">
        <v>1474</v>
      </c>
      <c r="Z204" s="348">
        <v>500000.0</v>
      </c>
      <c r="AA204" s="346">
        <v>100000.0</v>
      </c>
      <c r="AB204" s="341" t="s">
        <v>1474</v>
      </c>
      <c r="AC204" s="348">
        <v>500000.0</v>
      </c>
      <c r="AD204" s="346">
        <v>100000.0</v>
      </c>
      <c r="AE204" s="341" t="s">
        <v>1474</v>
      </c>
      <c r="AF204" s="348">
        <v>500000.0</v>
      </c>
      <c r="AG204" s="346">
        <v>100000.0</v>
      </c>
      <c r="AH204" s="341" t="s">
        <v>1474</v>
      </c>
      <c r="AI204" s="348">
        <v>500000.0</v>
      </c>
      <c r="AJ204" s="346">
        <v>100000.0</v>
      </c>
      <c r="AK204" s="341" t="s">
        <v>1474</v>
      </c>
      <c r="AL204" s="348">
        <v>500000.0</v>
      </c>
      <c r="AM204" s="346">
        <v>100000.0</v>
      </c>
      <c r="AN204" s="316" t="s">
        <v>63</v>
      </c>
      <c r="AO204" s="316"/>
      <c r="AP204" s="316"/>
      <c r="AQ204" s="316"/>
      <c r="AR204" s="316"/>
      <c r="AS204" s="316"/>
      <c r="AT204" s="316"/>
      <c r="AU204" s="316"/>
      <c r="AV204" s="316"/>
      <c r="AW204" s="316"/>
      <c r="AX204" s="316"/>
      <c r="AY204" s="316"/>
      <c r="AZ204" s="316"/>
      <c r="BA204" s="316"/>
      <c r="BB204" s="316"/>
      <c r="BC204" s="316"/>
      <c r="BD204" s="316"/>
      <c r="BE204" s="316"/>
      <c r="BF204" s="316"/>
      <c r="BG204" s="316"/>
      <c r="BH204" s="316"/>
      <c r="BI204" s="316"/>
      <c r="BJ204" s="316"/>
      <c r="BK204" s="316"/>
      <c r="BL204" s="316"/>
      <c r="BM204" s="316"/>
      <c r="BN204" s="316"/>
    </row>
    <row r="205">
      <c r="A205" s="303" t="s">
        <v>448</v>
      </c>
      <c r="B205" s="317" t="s">
        <v>448</v>
      </c>
      <c r="C205" s="325" t="s">
        <v>462</v>
      </c>
      <c r="D205" s="341" t="s">
        <v>2135</v>
      </c>
      <c r="E205" s="335">
        <v>480000.0</v>
      </c>
      <c r="F205" s="346">
        <v>100000.0</v>
      </c>
      <c r="G205" s="364" t="s">
        <v>2136</v>
      </c>
      <c r="H205" s="335">
        <v>480000.0</v>
      </c>
      <c r="I205" s="352">
        <v>100000.0</v>
      </c>
      <c r="J205" s="356" t="s">
        <v>1478</v>
      </c>
      <c r="K205" s="348">
        <v>550000.0</v>
      </c>
      <c r="L205" s="346">
        <v>100000.0</v>
      </c>
      <c r="M205" s="356" t="s">
        <v>1478</v>
      </c>
      <c r="N205" s="348">
        <v>550000.0</v>
      </c>
      <c r="O205" s="346">
        <v>100000.0</v>
      </c>
      <c r="P205" s="356" t="s">
        <v>1478</v>
      </c>
      <c r="Q205" s="348">
        <v>550000.0</v>
      </c>
      <c r="R205" s="346">
        <v>100000.0</v>
      </c>
      <c r="S205" s="356" t="s">
        <v>1478</v>
      </c>
      <c r="T205" s="348">
        <v>550000.0</v>
      </c>
      <c r="U205" s="346">
        <v>100000.0</v>
      </c>
      <c r="V205" s="356" t="s">
        <v>1478</v>
      </c>
      <c r="W205" s="348">
        <v>550000.0</v>
      </c>
      <c r="X205" s="346">
        <v>100000.0</v>
      </c>
      <c r="Y205" s="326"/>
      <c r="Z205" s="321"/>
      <c r="AA205" s="322"/>
      <c r="AB205" s="326"/>
      <c r="AC205" s="321"/>
      <c r="AD205" s="322"/>
      <c r="AE205" s="326"/>
      <c r="AF205" s="321"/>
      <c r="AG205" s="322"/>
      <c r="AH205" s="326"/>
      <c r="AI205" s="321"/>
      <c r="AJ205" s="322"/>
      <c r="AK205" s="326"/>
      <c r="AL205" s="321"/>
      <c r="AM205" s="322"/>
      <c r="AN205" s="316" t="s">
        <v>63</v>
      </c>
      <c r="AO205" s="316"/>
      <c r="AP205" s="316"/>
      <c r="AQ205" s="316"/>
      <c r="AR205" s="316"/>
      <c r="AS205" s="316"/>
      <c r="AT205" s="316"/>
      <c r="AU205" s="316"/>
      <c r="AV205" s="316"/>
      <c r="AW205" s="316"/>
      <c r="AX205" s="316"/>
      <c r="AY205" s="316"/>
      <c r="AZ205" s="316"/>
      <c r="BA205" s="316"/>
      <c r="BB205" s="316"/>
      <c r="BC205" s="316"/>
      <c r="BD205" s="316"/>
      <c r="BE205" s="316"/>
      <c r="BF205" s="316"/>
      <c r="BG205" s="316"/>
      <c r="BH205" s="316"/>
      <c r="BI205" s="316"/>
      <c r="BJ205" s="316"/>
      <c r="BK205" s="316"/>
      <c r="BL205" s="316"/>
      <c r="BM205" s="316"/>
      <c r="BN205" s="316"/>
    </row>
    <row r="206">
      <c r="A206" s="303" t="s">
        <v>448</v>
      </c>
      <c r="B206" s="317" t="s">
        <v>448</v>
      </c>
      <c r="C206" s="325" t="s">
        <v>467</v>
      </c>
      <c r="D206" s="341" t="s">
        <v>37</v>
      </c>
      <c r="E206" s="350"/>
      <c r="F206" s="351"/>
      <c r="G206" s="353" t="s">
        <v>2137</v>
      </c>
      <c r="H206" s="321">
        <v>16071.0</v>
      </c>
      <c r="I206" s="322">
        <v>3571.0</v>
      </c>
      <c r="J206" s="326" t="s">
        <v>1481</v>
      </c>
      <c r="K206" s="348">
        <v>450000.0</v>
      </c>
      <c r="L206" s="346">
        <v>100000.0</v>
      </c>
      <c r="M206" s="326" t="s">
        <v>1481</v>
      </c>
      <c r="N206" s="348">
        <v>450000.0</v>
      </c>
      <c r="O206" s="346">
        <v>100000.0</v>
      </c>
      <c r="P206" s="326" t="s">
        <v>1481</v>
      </c>
      <c r="Q206" s="348">
        <v>450000.0</v>
      </c>
      <c r="R206" s="346">
        <v>100000.0</v>
      </c>
      <c r="S206" s="326" t="s">
        <v>1481</v>
      </c>
      <c r="T206" s="348">
        <v>450000.0</v>
      </c>
      <c r="U206" s="346">
        <v>100000.0</v>
      </c>
      <c r="V206" s="326" t="s">
        <v>1481</v>
      </c>
      <c r="W206" s="348">
        <v>450000.0</v>
      </c>
      <c r="X206" s="346">
        <v>100000.0</v>
      </c>
      <c r="Y206" s="326" t="s">
        <v>2138</v>
      </c>
      <c r="Z206" s="348">
        <v>450000.0</v>
      </c>
      <c r="AA206" s="346">
        <v>100000.0</v>
      </c>
      <c r="AB206" s="326"/>
      <c r="AC206" s="321"/>
      <c r="AD206" s="322"/>
      <c r="AE206" s="326"/>
      <c r="AF206" s="321"/>
      <c r="AG206" s="322"/>
      <c r="AH206" s="326"/>
      <c r="AI206" s="321"/>
      <c r="AJ206" s="322"/>
      <c r="AK206" s="326"/>
      <c r="AL206" s="321"/>
      <c r="AM206" s="322"/>
      <c r="AN206" s="316" t="s">
        <v>63</v>
      </c>
      <c r="AO206" s="316"/>
      <c r="AP206" s="316"/>
      <c r="AQ206" s="316"/>
      <c r="AR206" s="316"/>
      <c r="AS206" s="316"/>
      <c r="AT206" s="316"/>
      <c r="AU206" s="316"/>
      <c r="AV206" s="316"/>
      <c r="AW206" s="316"/>
      <c r="AX206" s="316"/>
      <c r="AY206" s="316"/>
      <c r="AZ206" s="316"/>
      <c r="BA206" s="316"/>
      <c r="BB206" s="316"/>
      <c r="BC206" s="316"/>
      <c r="BD206" s="316"/>
      <c r="BE206" s="316"/>
      <c r="BF206" s="316"/>
      <c r="BG206" s="316"/>
      <c r="BH206" s="316"/>
      <c r="BI206" s="316"/>
      <c r="BJ206" s="316"/>
      <c r="BK206" s="316"/>
      <c r="BL206" s="316"/>
      <c r="BM206" s="316"/>
      <c r="BN206" s="316"/>
    </row>
    <row r="207">
      <c r="A207" s="303" t="s">
        <v>448</v>
      </c>
      <c r="B207" s="304"/>
      <c r="C207" s="305" t="s">
        <v>42</v>
      </c>
      <c r="D207" s="320"/>
      <c r="E207" s="323">
        <f t="shared" ref="E207:F207" si="260">SUM(E202:E206)</f>
        <v>1980000</v>
      </c>
      <c r="F207" s="324">
        <f t="shared" si="260"/>
        <v>400000</v>
      </c>
      <c r="G207" s="320"/>
      <c r="H207" s="323">
        <f t="shared" ref="H207:I207" si="261">SUM(H202:H206)</f>
        <v>1996071</v>
      </c>
      <c r="I207" s="324">
        <f t="shared" si="261"/>
        <v>403571</v>
      </c>
      <c r="J207" s="320"/>
      <c r="K207" s="323">
        <f t="shared" ref="K207:L207" si="262">SUM(K202:K206)</f>
        <v>2610000</v>
      </c>
      <c r="L207" s="324">
        <f t="shared" si="262"/>
        <v>500000</v>
      </c>
      <c r="M207" s="320"/>
      <c r="N207" s="323">
        <f t="shared" ref="N207:O207" si="263">SUM(N202:N206)</f>
        <v>2610000</v>
      </c>
      <c r="O207" s="324">
        <f t="shared" si="263"/>
        <v>500000</v>
      </c>
      <c r="P207" s="320"/>
      <c r="Q207" s="323">
        <f t="shared" ref="Q207:R207" si="264">SUM(Q202:Q206)</f>
        <v>2610000</v>
      </c>
      <c r="R207" s="324">
        <f t="shared" si="264"/>
        <v>500000</v>
      </c>
      <c r="S207" s="320"/>
      <c r="T207" s="323">
        <f t="shared" ref="T207:U207" si="265">SUM(T202:T206)</f>
        <v>2610000</v>
      </c>
      <c r="U207" s="324">
        <f t="shared" si="265"/>
        <v>500000</v>
      </c>
      <c r="V207" s="320"/>
      <c r="W207" s="323">
        <f t="shared" ref="W207:X207" si="266">SUM(W202:W206)</f>
        <v>2610000</v>
      </c>
      <c r="X207" s="324">
        <f t="shared" si="266"/>
        <v>500000</v>
      </c>
      <c r="Y207" s="320"/>
      <c r="Z207" s="323">
        <f t="shared" ref="Z207:AA207" si="267">SUM(Z202:Z206)</f>
        <v>2060000</v>
      </c>
      <c r="AA207" s="324">
        <f t="shared" si="267"/>
        <v>400000</v>
      </c>
      <c r="AB207" s="320"/>
      <c r="AC207" s="323">
        <f t="shared" ref="AC207:AD207" si="268">SUM(AC202:AC206)</f>
        <v>1080000</v>
      </c>
      <c r="AD207" s="324">
        <f t="shared" si="268"/>
        <v>200000</v>
      </c>
      <c r="AE207" s="320"/>
      <c r="AF207" s="323">
        <f t="shared" ref="AF207:AG207" si="269">SUM(AF202:AF206)</f>
        <v>1080000</v>
      </c>
      <c r="AG207" s="324">
        <f t="shared" si="269"/>
        <v>200000</v>
      </c>
      <c r="AH207" s="320"/>
      <c r="AI207" s="323">
        <f t="shared" ref="AI207:AJ207" si="270">SUM(AI202:AI206)</f>
        <v>1080000</v>
      </c>
      <c r="AJ207" s="324">
        <f t="shared" si="270"/>
        <v>200000</v>
      </c>
      <c r="AK207" s="320"/>
      <c r="AL207" s="323">
        <f t="shared" ref="AL207:AM207" si="271">SUM(AL202:AL206)</f>
        <v>1080000</v>
      </c>
      <c r="AM207" s="324">
        <f t="shared" si="271"/>
        <v>200000</v>
      </c>
      <c r="AN207" s="316" t="s">
        <v>63</v>
      </c>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c r="BK207" s="316"/>
      <c r="BL207" s="316"/>
      <c r="BM207" s="316"/>
      <c r="BN207" s="316"/>
    </row>
    <row r="208" collapsed="1">
      <c r="A208" s="303" t="s">
        <v>448</v>
      </c>
      <c r="B208" s="304"/>
      <c r="C208" s="325" t="s">
        <v>43</v>
      </c>
      <c r="D208" s="326"/>
      <c r="E208" s="321">
        <v>950000.0</v>
      </c>
      <c r="F208" s="324"/>
      <c r="G208" s="326"/>
      <c r="H208" s="321">
        <v>950000.0</v>
      </c>
      <c r="I208" s="324"/>
      <c r="J208" s="326"/>
      <c r="K208" s="321">
        <v>950000.0</v>
      </c>
      <c r="L208" s="324"/>
      <c r="M208" s="326"/>
      <c r="N208" s="321">
        <v>950000.0</v>
      </c>
      <c r="O208" s="324"/>
      <c r="P208" s="326"/>
      <c r="Q208" s="321">
        <v>950000.0</v>
      </c>
      <c r="R208" s="324"/>
      <c r="S208" s="326"/>
      <c r="T208" s="321">
        <v>950000.0</v>
      </c>
      <c r="U208" s="324"/>
      <c r="V208" s="326"/>
      <c r="W208" s="321">
        <v>950000.0</v>
      </c>
      <c r="X208" s="324"/>
      <c r="Y208" s="326"/>
      <c r="Z208" s="321">
        <v>950000.0</v>
      </c>
      <c r="AA208" s="324"/>
      <c r="AB208" s="326"/>
      <c r="AC208" s="321">
        <v>950000.0</v>
      </c>
      <c r="AD208" s="324"/>
      <c r="AE208" s="326"/>
      <c r="AF208" s="321">
        <v>950000.0</v>
      </c>
      <c r="AG208" s="324"/>
      <c r="AH208" s="326"/>
      <c r="AI208" s="321">
        <v>950000.0</v>
      </c>
      <c r="AJ208" s="324"/>
      <c r="AK208" s="326"/>
      <c r="AL208" s="321">
        <v>950000.0</v>
      </c>
      <c r="AM208" s="324"/>
      <c r="AN208" s="316" t="s">
        <v>63</v>
      </c>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c r="BK208" s="316"/>
      <c r="BL208" s="316"/>
      <c r="BM208" s="316"/>
      <c r="BN208" s="316"/>
    </row>
    <row r="209" hidden="1" outlineLevel="1">
      <c r="A209" s="303" t="s">
        <v>448</v>
      </c>
      <c r="B209" s="317" t="s">
        <v>95</v>
      </c>
      <c r="C209" s="325" t="s">
        <v>45</v>
      </c>
      <c r="D209" s="326"/>
      <c r="E209" s="321"/>
      <c r="F209" s="322"/>
      <c r="G209" s="326"/>
      <c r="H209" s="321"/>
      <c r="I209" s="322"/>
      <c r="J209" s="326"/>
      <c r="K209" s="321"/>
      <c r="L209" s="322"/>
      <c r="M209" s="326"/>
      <c r="N209" s="321"/>
      <c r="O209" s="322"/>
      <c r="P209" s="326"/>
      <c r="Q209" s="321"/>
      <c r="R209" s="322"/>
      <c r="S209" s="326"/>
      <c r="T209" s="321"/>
      <c r="U209" s="322"/>
      <c r="V209" s="326"/>
      <c r="W209" s="321"/>
      <c r="X209" s="322"/>
      <c r="Y209" s="326"/>
      <c r="Z209" s="321"/>
      <c r="AA209" s="322"/>
      <c r="AB209" s="326"/>
      <c r="AC209" s="321"/>
      <c r="AD209" s="322"/>
      <c r="AE209" s="326"/>
      <c r="AF209" s="321"/>
      <c r="AG209" s="322"/>
      <c r="AH209" s="326"/>
      <c r="AI209" s="321"/>
      <c r="AJ209" s="322"/>
      <c r="AK209" s="326"/>
      <c r="AL209" s="321"/>
      <c r="AM209" s="322"/>
      <c r="AN209" s="316" t="s">
        <v>63</v>
      </c>
      <c r="AO209" s="316"/>
      <c r="AP209" s="316"/>
      <c r="AQ209" s="316"/>
      <c r="AR209" s="316"/>
      <c r="AS209" s="316"/>
      <c r="AT209" s="316"/>
      <c r="AU209" s="316"/>
      <c r="AV209" s="316"/>
      <c r="AW209" s="316"/>
      <c r="AX209" s="316"/>
      <c r="AY209" s="316"/>
      <c r="AZ209" s="316"/>
      <c r="BA209" s="316"/>
      <c r="BB209" s="316"/>
      <c r="BC209" s="316"/>
      <c r="BD209" s="316"/>
      <c r="BE209" s="316"/>
      <c r="BF209" s="316"/>
      <c r="BG209" s="316"/>
      <c r="BH209" s="316"/>
      <c r="BI209" s="316"/>
      <c r="BJ209" s="316"/>
      <c r="BK209" s="316"/>
      <c r="BL209" s="316"/>
      <c r="BM209" s="316"/>
      <c r="BN209" s="316"/>
    </row>
    <row r="210" hidden="1" outlineLevel="1">
      <c r="A210" s="303" t="s">
        <v>448</v>
      </c>
      <c r="B210" s="317" t="s">
        <v>95</v>
      </c>
      <c r="C210" s="325" t="s">
        <v>47</v>
      </c>
      <c r="D210" s="326"/>
      <c r="E210" s="321"/>
      <c r="F210" s="322">
        <v>45140.0</v>
      </c>
      <c r="G210" s="326"/>
      <c r="H210" s="321"/>
      <c r="I210" s="322">
        <v>56730.0</v>
      </c>
      <c r="J210" s="326" t="s">
        <v>2039</v>
      </c>
      <c r="K210" s="321"/>
      <c r="L210" s="322">
        <v>80000.0</v>
      </c>
      <c r="M210" s="326"/>
      <c r="N210" s="321"/>
      <c r="O210" s="322"/>
      <c r="P210" s="326"/>
      <c r="Q210" s="321"/>
      <c r="R210" s="322"/>
      <c r="S210" s="326"/>
      <c r="T210" s="321"/>
      <c r="U210" s="322"/>
      <c r="V210" s="326"/>
      <c r="W210" s="321"/>
      <c r="X210" s="322"/>
      <c r="Y210" s="326"/>
      <c r="Z210" s="321"/>
      <c r="AA210" s="322"/>
      <c r="AB210" s="326"/>
      <c r="AC210" s="321"/>
      <c r="AD210" s="322"/>
      <c r="AE210" s="326"/>
      <c r="AF210" s="321"/>
      <c r="AG210" s="322"/>
      <c r="AH210" s="326"/>
      <c r="AI210" s="321"/>
      <c r="AJ210" s="322"/>
      <c r="AK210" s="326"/>
      <c r="AL210" s="321"/>
      <c r="AM210" s="322"/>
      <c r="AN210" s="316" t="s">
        <v>63</v>
      </c>
      <c r="AO210" s="316"/>
      <c r="AP210" s="316"/>
      <c r="AQ210" s="316"/>
      <c r="AR210" s="316"/>
      <c r="AS210" s="316"/>
      <c r="AT210" s="316"/>
      <c r="AU210" s="316"/>
      <c r="AV210" s="316"/>
      <c r="AW210" s="316"/>
      <c r="AX210" s="316"/>
      <c r="AY210" s="316"/>
      <c r="AZ210" s="316"/>
      <c r="BA210" s="316"/>
      <c r="BB210" s="316"/>
      <c r="BC210" s="316"/>
      <c r="BD210" s="316"/>
      <c r="BE210" s="316"/>
      <c r="BF210" s="316"/>
      <c r="BG210" s="316"/>
      <c r="BH210" s="316"/>
      <c r="BI210" s="316"/>
      <c r="BJ210" s="316"/>
      <c r="BK210" s="316"/>
      <c r="BL210" s="316"/>
      <c r="BM210" s="316"/>
      <c r="BN210" s="316"/>
    </row>
    <row r="211" hidden="1" outlineLevel="1">
      <c r="A211" s="303" t="s">
        <v>448</v>
      </c>
      <c r="B211" s="317" t="s">
        <v>95</v>
      </c>
      <c r="C211" s="325" t="s">
        <v>49</v>
      </c>
      <c r="D211" s="326"/>
      <c r="E211" s="321"/>
      <c r="F211" s="322">
        <v>181080.0</v>
      </c>
      <c r="G211" s="326"/>
      <c r="H211" s="321"/>
      <c r="I211" s="322">
        <v>383140.0</v>
      </c>
      <c r="J211" s="326" t="s">
        <v>2039</v>
      </c>
      <c r="K211" s="321"/>
      <c r="L211" s="322">
        <v>450000.0</v>
      </c>
      <c r="M211" s="326"/>
      <c r="N211" s="321"/>
      <c r="O211" s="322"/>
      <c r="P211" s="326"/>
      <c r="Q211" s="321"/>
      <c r="R211" s="322"/>
      <c r="S211" s="326"/>
      <c r="T211" s="321"/>
      <c r="U211" s="322"/>
      <c r="V211" s="326"/>
      <c r="W211" s="321"/>
      <c r="X211" s="322"/>
      <c r="Y211" s="326"/>
      <c r="Z211" s="321"/>
      <c r="AA211" s="322"/>
      <c r="AB211" s="326"/>
      <c r="AC211" s="321"/>
      <c r="AD211" s="322"/>
      <c r="AE211" s="326"/>
      <c r="AF211" s="321"/>
      <c r="AG211" s="322"/>
      <c r="AH211" s="326"/>
      <c r="AI211" s="321"/>
      <c r="AJ211" s="322"/>
      <c r="AK211" s="326"/>
      <c r="AL211" s="321"/>
      <c r="AM211" s="322"/>
      <c r="AN211" s="316" t="s">
        <v>63</v>
      </c>
      <c r="AO211" s="316"/>
      <c r="AP211" s="316"/>
      <c r="AQ211" s="316"/>
      <c r="AR211" s="316"/>
      <c r="AS211" s="316"/>
      <c r="AT211" s="316"/>
      <c r="AU211" s="316"/>
      <c r="AV211" s="316"/>
      <c r="AW211" s="316"/>
      <c r="AX211" s="316"/>
      <c r="AY211" s="316"/>
      <c r="AZ211" s="316"/>
      <c r="BA211" s="316"/>
      <c r="BB211" s="316"/>
      <c r="BC211" s="316"/>
      <c r="BD211" s="316"/>
      <c r="BE211" s="316"/>
      <c r="BF211" s="316"/>
      <c r="BG211" s="316"/>
      <c r="BH211" s="316"/>
      <c r="BI211" s="316"/>
      <c r="BJ211" s="316"/>
      <c r="BK211" s="316"/>
      <c r="BL211" s="316"/>
      <c r="BM211" s="316"/>
      <c r="BN211" s="316"/>
    </row>
    <row r="212" hidden="1" outlineLevel="1">
      <c r="A212" s="303" t="s">
        <v>448</v>
      </c>
      <c r="B212" s="317" t="s">
        <v>95</v>
      </c>
      <c r="C212" s="325" t="s">
        <v>51</v>
      </c>
      <c r="D212" s="326"/>
      <c r="E212" s="321"/>
      <c r="F212" s="322">
        <v>0.0</v>
      </c>
      <c r="G212" s="326"/>
      <c r="H212" s="321"/>
      <c r="I212" s="322">
        <v>39570.0</v>
      </c>
      <c r="J212" s="326" t="s">
        <v>2039</v>
      </c>
      <c r="K212" s="321"/>
      <c r="L212" s="322">
        <v>20000.0</v>
      </c>
      <c r="M212" s="326"/>
      <c r="N212" s="321"/>
      <c r="O212" s="322"/>
      <c r="P212" s="326"/>
      <c r="Q212" s="321"/>
      <c r="R212" s="322"/>
      <c r="S212" s="326"/>
      <c r="T212" s="321"/>
      <c r="U212" s="322"/>
      <c r="V212" s="326"/>
      <c r="W212" s="321"/>
      <c r="X212" s="322"/>
      <c r="Y212" s="326"/>
      <c r="Z212" s="321"/>
      <c r="AA212" s="322"/>
      <c r="AB212" s="326"/>
      <c r="AC212" s="321"/>
      <c r="AD212" s="322"/>
      <c r="AE212" s="326"/>
      <c r="AF212" s="321"/>
      <c r="AG212" s="322"/>
      <c r="AH212" s="326"/>
      <c r="AI212" s="321"/>
      <c r="AJ212" s="322"/>
      <c r="AK212" s="326"/>
      <c r="AL212" s="321"/>
      <c r="AM212" s="322"/>
      <c r="AN212" s="316" t="s">
        <v>63</v>
      </c>
      <c r="AO212" s="316"/>
      <c r="AP212" s="316"/>
      <c r="AQ212" s="316"/>
      <c r="AR212" s="316"/>
      <c r="AS212" s="316"/>
      <c r="AT212" s="316"/>
      <c r="AU212" s="316"/>
      <c r="AV212" s="316"/>
      <c r="AW212" s="316"/>
      <c r="AX212" s="316"/>
      <c r="AY212" s="316"/>
      <c r="AZ212" s="316"/>
      <c r="BA212" s="316"/>
      <c r="BB212" s="316"/>
      <c r="BC212" s="316"/>
      <c r="BD212" s="316"/>
      <c r="BE212" s="316"/>
      <c r="BF212" s="316"/>
      <c r="BG212" s="316"/>
      <c r="BH212" s="316"/>
      <c r="BI212" s="316"/>
      <c r="BJ212" s="316"/>
      <c r="BK212" s="316"/>
      <c r="BL212" s="316"/>
      <c r="BM212" s="316"/>
      <c r="BN212" s="316"/>
    </row>
    <row r="213" hidden="1" outlineLevel="1">
      <c r="A213" s="303" t="s">
        <v>448</v>
      </c>
      <c r="B213" s="317" t="s">
        <v>95</v>
      </c>
      <c r="C213" s="325" t="s">
        <v>52</v>
      </c>
      <c r="D213" s="326"/>
      <c r="E213" s="321"/>
      <c r="F213" s="322">
        <v>22869.0</v>
      </c>
      <c r="G213" s="326"/>
      <c r="H213" s="321"/>
      <c r="I213" s="322">
        <v>22869.0</v>
      </c>
      <c r="J213" s="326"/>
      <c r="K213" s="321"/>
      <c r="L213" s="322">
        <v>22869.0</v>
      </c>
      <c r="M213" s="326"/>
      <c r="N213" s="321"/>
      <c r="O213" s="322">
        <v>22869.0</v>
      </c>
      <c r="P213" s="326"/>
      <c r="Q213" s="321"/>
      <c r="R213" s="322">
        <v>22869.0</v>
      </c>
      <c r="S213" s="326"/>
      <c r="T213" s="321"/>
      <c r="U213" s="322">
        <v>22869.0</v>
      </c>
      <c r="V213" s="326"/>
      <c r="W213" s="321"/>
      <c r="X213" s="322">
        <v>22869.0</v>
      </c>
      <c r="Y213" s="326"/>
      <c r="Z213" s="321"/>
      <c r="AA213" s="322">
        <v>22869.0</v>
      </c>
      <c r="AB213" s="326"/>
      <c r="AC213" s="321"/>
      <c r="AD213" s="322">
        <v>22869.0</v>
      </c>
      <c r="AE213" s="326"/>
      <c r="AF213" s="321"/>
      <c r="AG213" s="322">
        <v>22869.0</v>
      </c>
      <c r="AH213" s="326"/>
      <c r="AI213" s="321"/>
      <c r="AJ213" s="322">
        <v>22869.0</v>
      </c>
      <c r="AK213" s="326"/>
      <c r="AL213" s="321"/>
      <c r="AM213" s="322">
        <v>22869.0</v>
      </c>
      <c r="AN213" s="316" t="s">
        <v>63</v>
      </c>
      <c r="AO213" s="316"/>
      <c r="AP213" s="316"/>
      <c r="AQ213" s="316"/>
      <c r="AR213" s="316"/>
      <c r="AS213" s="316"/>
      <c r="AT213" s="316"/>
      <c r="AU213" s="316"/>
      <c r="AV213" s="316"/>
      <c r="AW213" s="316"/>
      <c r="AX213" s="316"/>
      <c r="AY213" s="316"/>
      <c r="AZ213" s="316"/>
      <c r="BA213" s="316"/>
      <c r="BB213" s="316"/>
      <c r="BC213" s="316"/>
      <c r="BD213" s="316"/>
      <c r="BE213" s="316"/>
      <c r="BF213" s="316"/>
      <c r="BG213" s="316"/>
      <c r="BH213" s="316"/>
      <c r="BI213" s="316"/>
      <c r="BJ213" s="316"/>
      <c r="BK213" s="316"/>
      <c r="BL213" s="316"/>
      <c r="BM213" s="316"/>
      <c r="BN213" s="316"/>
    </row>
    <row r="214" hidden="1" outlineLevel="1">
      <c r="A214" s="303" t="s">
        <v>448</v>
      </c>
      <c r="B214" s="317" t="s">
        <v>95</v>
      </c>
      <c r="C214" s="325" t="s">
        <v>53</v>
      </c>
      <c r="D214" s="326"/>
      <c r="E214" s="321"/>
      <c r="F214" s="322">
        <v>19900.0</v>
      </c>
      <c r="G214" s="326"/>
      <c r="H214" s="321"/>
      <c r="I214" s="322">
        <v>19900.0</v>
      </c>
      <c r="J214" s="326"/>
      <c r="K214" s="321"/>
      <c r="L214" s="322">
        <v>19900.0</v>
      </c>
      <c r="M214" s="326"/>
      <c r="N214" s="321"/>
      <c r="O214" s="322">
        <v>19900.0</v>
      </c>
      <c r="P214" s="326"/>
      <c r="Q214" s="321"/>
      <c r="R214" s="322">
        <v>19900.0</v>
      </c>
      <c r="S214" s="326"/>
      <c r="T214" s="321"/>
      <c r="U214" s="322">
        <v>19900.0</v>
      </c>
      <c r="V214" s="326"/>
      <c r="W214" s="321"/>
      <c r="X214" s="322">
        <v>19900.0</v>
      </c>
      <c r="Y214" s="326"/>
      <c r="Z214" s="321"/>
      <c r="AA214" s="322">
        <v>19900.0</v>
      </c>
      <c r="AB214" s="326"/>
      <c r="AC214" s="321"/>
      <c r="AD214" s="322">
        <v>19900.0</v>
      </c>
      <c r="AE214" s="326"/>
      <c r="AF214" s="321"/>
      <c r="AG214" s="322">
        <v>19900.0</v>
      </c>
      <c r="AH214" s="326"/>
      <c r="AI214" s="321"/>
      <c r="AJ214" s="322">
        <v>19900.0</v>
      </c>
      <c r="AK214" s="326"/>
      <c r="AL214" s="321"/>
      <c r="AM214" s="322">
        <v>19900.0</v>
      </c>
      <c r="AN214" s="316" t="s">
        <v>63</v>
      </c>
      <c r="AO214" s="316"/>
      <c r="AP214" s="316"/>
      <c r="AQ214" s="316"/>
      <c r="AR214" s="316"/>
      <c r="AS214" s="316"/>
      <c r="AT214" s="316"/>
      <c r="AU214" s="316"/>
      <c r="AV214" s="316"/>
      <c r="AW214" s="316"/>
      <c r="AX214" s="316"/>
      <c r="AY214" s="316"/>
      <c r="AZ214" s="316"/>
      <c r="BA214" s="316"/>
      <c r="BB214" s="316"/>
      <c r="BC214" s="316"/>
      <c r="BD214" s="316"/>
      <c r="BE214" s="316"/>
      <c r="BF214" s="316"/>
      <c r="BG214" s="316"/>
      <c r="BH214" s="316"/>
      <c r="BI214" s="316"/>
      <c r="BJ214" s="316"/>
      <c r="BK214" s="316"/>
      <c r="BL214" s="316"/>
      <c r="BM214" s="316"/>
      <c r="BN214" s="316"/>
    </row>
    <row r="215" hidden="1" outlineLevel="1">
      <c r="A215" s="303" t="s">
        <v>448</v>
      </c>
      <c r="B215" s="304"/>
      <c r="C215" s="325" t="s">
        <v>54</v>
      </c>
      <c r="D215" s="327"/>
      <c r="E215" s="321"/>
      <c r="F215" s="322">
        <f>SUMIFS('지출'!$G$3:$G794,'지출'!$J$3:$J794,F$1,'지출'!$C$3:$C794,"이문")</f>
        <v>69290</v>
      </c>
      <c r="G215" s="327"/>
      <c r="H215" s="321"/>
      <c r="I215" s="322">
        <f>SUMIFS('지출'!$G$3:$G794,'지출'!$J$3:$J794,I$1,'지출'!$C$3:$C794,"이문")</f>
        <v>81780</v>
      </c>
      <c r="J215" s="327"/>
      <c r="K215" s="321"/>
      <c r="L215" s="322">
        <f>SUMIFS('지출'!$G$3:$G794,'지출'!$J$3:$J794,L$1,'지출'!$C$3:$C794,"이문")</f>
        <v>50090</v>
      </c>
      <c r="M215" s="327"/>
      <c r="N215" s="321"/>
      <c r="O215" s="322">
        <f>SUMIFS('지출'!$G$3:$G794,'지출'!$J$3:$J794,O$1,'지출'!$C$3:$C794,"이문")</f>
        <v>0</v>
      </c>
      <c r="P215" s="327"/>
      <c r="Q215" s="321"/>
      <c r="R215" s="322">
        <f>SUMIFS('지출'!$G$3:$G794,'지출'!$J$3:$J794,R$1,'지출'!$C$3:$C794,"이문")</f>
        <v>0</v>
      </c>
      <c r="S215" s="327"/>
      <c r="T215" s="321"/>
      <c r="U215" s="322">
        <f>SUMIFS('지출'!$G$3:$G794,'지출'!$J$3:$J794,U$1,'지출'!$C$3:$C794,"이문")</f>
        <v>0</v>
      </c>
      <c r="V215" s="327"/>
      <c r="W215" s="321"/>
      <c r="X215" s="322">
        <f>SUMIFS('지출'!$G$3:$G794,'지출'!$J$3:$J794,X$1,'지출'!$C$3:$C794,"이문")</f>
        <v>0</v>
      </c>
      <c r="Y215" s="327"/>
      <c r="Z215" s="321"/>
      <c r="AA215" s="322">
        <f>SUMIFS('지출'!$G$3:$G794,'지출'!$J$3:$J794,AA$1,'지출'!$C$3:$C794,"이문")</f>
        <v>0</v>
      </c>
      <c r="AB215" s="327"/>
      <c r="AC215" s="321"/>
      <c r="AD215" s="322">
        <f>SUMIFS('지출'!$G$3:$G794,'지출'!$J$3:$J794,AD$1,'지출'!$C$3:$C794,"이문")</f>
        <v>0</v>
      </c>
      <c r="AE215" s="327"/>
      <c r="AF215" s="321"/>
      <c r="AG215" s="322">
        <f>SUMIFS('지출'!$G$3:$G794,'지출'!$J$3:$J794,AG$1,'지출'!$C$3:$C794,"이문")</f>
        <v>0</v>
      </c>
      <c r="AH215" s="327"/>
      <c r="AI215" s="321"/>
      <c r="AJ215" s="322">
        <f>SUMIFS('지출'!$G$3:$G794,'지출'!$J$3:$J794,AJ$1,'지출'!$C$3:$C794,"이문")</f>
        <v>0</v>
      </c>
      <c r="AK215" s="327"/>
      <c r="AL215" s="321"/>
      <c r="AM215" s="322">
        <f>SUMIFS('지출'!$G$3:$G794,'지출'!$J$3:$J794,AM$1,'지출'!$C$3:$C794,"이문")</f>
        <v>0</v>
      </c>
      <c r="AN215" s="316" t="s">
        <v>63</v>
      </c>
      <c r="AO215" s="316"/>
      <c r="AP215" s="316"/>
      <c r="AQ215" s="316"/>
      <c r="AR215" s="316"/>
      <c r="AS215" s="316"/>
      <c r="AT215" s="316"/>
      <c r="AU215" s="316"/>
      <c r="AV215" s="316"/>
      <c r="AW215" s="316"/>
      <c r="AX215" s="316"/>
      <c r="AY215" s="316"/>
      <c r="AZ215" s="316"/>
      <c r="BA215" s="316"/>
      <c r="BB215" s="316"/>
      <c r="BC215" s="316"/>
      <c r="BD215" s="316"/>
      <c r="BE215" s="316"/>
      <c r="BF215" s="316"/>
      <c r="BG215" s="316"/>
      <c r="BH215" s="316"/>
      <c r="BI215" s="316"/>
      <c r="BJ215" s="316"/>
      <c r="BK215" s="316"/>
      <c r="BL215" s="316"/>
      <c r="BM215" s="316"/>
      <c r="BN215" s="316"/>
    </row>
    <row r="216" hidden="1" outlineLevel="1">
      <c r="A216" s="303" t="s">
        <v>448</v>
      </c>
      <c r="B216" s="304"/>
      <c r="C216" s="325" t="s">
        <v>56</v>
      </c>
      <c r="D216" s="320"/>
      <c r="E216" s="323">
        <f t="shared" ref="E216:F216" si="272">E207-(SUM(E208:E215))</f>
        <v>1030000</v>
      </c>
      <c r="F216" s="324">
        <f t="shared" si="272"/>
        <v>61721</v>
      </c>
      <c r="G216" s="320"/>
      <c r="H216" s="323">
        <f t="shared" ref="H216:I216" si="273">H207-(SUM(H208:H215))</f>
        <v>1046071</v>
      </c>
      <c r="I216" s="324">
        <f t="shared" si="273"/>
        <v>-200418</v>
      </c>
      <c r="J216" s="320"/>
      <c r="K216" s="323">
        <f t="shared" ref="K216:L216" si="274">K207-(SUM(K208:K215))</f>
        <v>1660000</v>
      </c>
      <c r="L216" s="324">
        <f t="shared" si="274"/>
        <v>-142859</v>
      </c>
      <c r="M216" s="320"/>
      <c r="N216" s="323">
        <f t="shared" ref="N216:O216" si="275">N207-(SUM(N208:N215))</f>
        <v>1660000</v>
      </c>
      <c r="O216" s="324">
        <f t="shared" si="275"/>
        <v>457231</v>
      </c>
      <c r="P216" s="320"/>
      <c r="Q216" s="323">
        <f t="shared" ref="Q216:R216" si="276">Q207-(SUM(Q208:Q215))</f>
        <v>1660000</v>
      </c>
      <c r="R216" s="324">
        <f t="shared" si="276"/>
        <v>457231</v>
      </c>
      <c r="S216" s="320"/>
      <c r="T216" s="323">
        <f t="shared" ref="T216:U216" si="277">T207-(SUM(T208:T215))</f>
        <v>1660000</v>
      </c>
      <c r="U216" s="324">
        <f t="shared" si="277"/>
        <v>457231</v>
      </c>
      <c r="V216" s="320"/>
      <c r="W216" s="323">
        <f t="shared" ref="W216:X216" si="278">W207-(SUM(W208:W215))</f>
        <v>1660000</v>
      </c>
      <c r="X216" s="324">
        <f t="shared" si="278"/>
        <v>457231</v>
      </c>
      <c r="Y216" s="320"/>
      <c r="Z216" s="323">
        <f t="shared" ref="Z216:AA216" si="279">Z207-(SUM(Z208:Z215))</f>
        <v>1110000</v>
      </c>
      <c r="AA216" s="324">
        <f t="shared" si="279"/>
        <v>357231</v>
      </c>
      <c r="AB216" s="320"/>
      <c r="AC216" s="323">
        <f t="shared" ref="AC216:AD216" si="280">AC207-(SUM(AC208:AC215))</f>
        <v>130000</v>
      </c>
      <c r="AD216" s="324">
        <f t="shared" si="280"/>
        <v>157231</v>
      </c>
      <c r="AE216" s="320"/>
      <c r="AF216" s="323">
        <f t="shared" ref="AF216:AG216" si="281">AF207-(SUM(AF208:AF215))</f>
        <v>130000</v>
      </c>
      <c r="AG216" s="324">
        <f t="shared" si="281"/>
        <v>157231</v>
      </c>
      <c r="AH216" s="320"/>
      <c r="AI216" s="323">
        <f t="shared" ref="AI216:AJ216" si="282">AI207-(SUM(AI208:AI215))</f>
        <v>130000</v>
      </c>
      <c r="AJ216" s="324">
        <f t="shared" si="282"/>
        <v>157231</v>
      </c>
      <c r="AK216" s="320"/>
      <c r="AL216" s="323">
        <f t="shared" ref="AL216:AM216" si="283">AL207-(SUM(AL208:AL215))</f>
        <v>130000</v>
      </c>
      <c r="AM216" s="324">
        <f t="shared" si="283"/>
        <v>157231</v>
      </c>
      <c r="AN216" s="316" t="s">
        <v>63</v>
      </c>
      <c r="AO216" s="316"/>
      <c r="AP216" s="316"/>
      <c r="AQ216" s="316"/>
      <c r="AR216" s="316"/>
      <c r="AS216" s="316"/>
      <c r="AT216" s="316"/>
      <c r="AU216" s="316"/>
      <c r="AV216" s="316"/>
      <c r="AW216" s="316"/>
      <c r="AX216" s="316"/>
      <c r="AY216" s="316"/>
      <c r="AZ216" s="316"/>
      <c r="BA216" s="316"/>
      <c r="BB216" s="316"/>
      <c r="BC216" s="316"/>
      <c r="BD216" s="316"/>
      <c r="BE216" s="316"/>
      <c r="BF216" s="316"/>
      <c r="BG216" s="316"/>
      <c r="BH216" s="316"/>
      <c r="BI216" s="316"/>
      <c r="BJ216" s="316"/>
      <c r="BK216" s="316"/>
      <c r="BL216" s="316"/>
      <c r="BM216" s="316"/>
      <c r="BN216" s="316"/>
    </row>
    <row r="217">
      <c r="A217" s="303" t="s">
        <v>448</v>
      </c>
      <c r="B217" s="328">
        <v>0.7</v>
      </c>
      <c r="C217" s="325" t="s">
        <v>26</v>
      </c>
      <c r="D217" s="320"/>
      <c r="E217" s="323">
        <f>E216*$B217</f>
        <v>721000</v>
      </c>
      <c r="F217" s="324"/>
      <c r="G217" s="320"/>
      <c r="H217" s="323">
        <f>H216*$B217</f>
        <v>732249.7</v>
      </c>
      <c r="I217" s="324"/>
      <c r="J217" s="320"/>
      <c r="K217" s="323">
        <f>K216*$B217</f>
        <v>1162000</v>
      </c>
      <c r="L217" s="324"/>
      <c r="M217" s="320"/>
      <c r="N217" s="323">
        <f>N216*$B217</f>
        <v>1162000</v>
      </c>
      <c r="O217" s="324"/>
      <c r="P217" s="320"/>
      <c r="Q217" s="323">
        <f>Q216*$B217</f>
        <v>1162000</v>
      </c>
      <c r="R217" s="324"/>
      <c r="S217" s="320"/>
      <c r="T217" s="323">
        <f>T216*$B217</f>
        <v>1162000</v>
      </c>
      <c r="U217" s="324"/>
      <c r="V217" s="320"/>
      <c r="W217" s="323">
        <f>W216*$B217</f>
        <v>1162000</v>
      </c>
      <c r="X217" s="324"/>
      <c r="Y217" s="320"/>
      <c r="Z217" s="323">
        <f>Z216*$B217</f>
        <v>777000</v>
      </c>
      <c r="AA217" s="324"/>
      <c r="AB217" s="320"/>
      <c r="AC217" s="323">
        <f>AC216*$B217</f>
        <v>91000</v>
      </c>
      <c r="AD217" s="324"/>
      <c r="AE217" s="320"/>
      <c r="AF217" s="323">
        <f>AF216*$B217</f>
        <v>91000</v>
      </c>
      <c r="AG217" s="324"/>
      <c r="AH217" s="320"/>
      <c r="AI217" s="323">
        <f>AI216*$B217</f>
        <v>91000</v>
      </c>
      <c r="AJ217" s="324"/>
      <c r="AK217" s="320"/>
      <c r="AL217" s="323">
        <f>AL216*$B217</f>
        <v>91000</v>
      </c>
      <c r="AM217" s="324"/>
      <c r="AN217" s="316" t="s">
        <v>63</v>
      </c>
      <c r="AO217" s="316"/>
      <c r="AP217" s="316"/>
      <c r="AQ217" s="316"/>
      <c r="AR217" s="316"/>
      <c r="AS217" s="316"/>
      <c r="AT217" s="316"/>
      <c r="AU217" s="316"/>
      <c r="AV217" s="316"/>
      <c r="AW217" s="316"/>
      <c r="AX217" s="316"/>
      <c r="AY217" s="316"/>
      <c r="AZ217" s="316"/>
      <c r="BA217" s="316"/>
      <c r="BB217" s="316"/>
      <c r="BC217" s="316"/>
      <c r="BD217" s="316"/>
      <c r="BE217" s="316"/>
      <c r="BF217" s="316"/>
      <c r="BG217" s="316"/>
      <c r="BH217" s="316"/>
      <c r="BI217" s="316"/>
      <c r="BJ217" s="316"/>
      <c r="BK217" s="316"/>
      <c r="BL217" s="316"/>
      <c r="BM217" s="316"/>
      <c r="BN217" s="316"/>
    </row>
    <row r="218">
      <c r="A218" s="303" t="s">
        <v>448</v>
      </c>
      <c r="B218" s="329">
        <v>0.3</v>
      </c>
      <c r="C218" s="330" t="s">
        <v>57</v>
      </c>
      <c r="D218" s="331"/>
      <c r="E218" s="332">
        <f>E216*$B218</f>
        <v>309000</v>
      </c>
      <c r="F218" s="333"/>
      <c r="G218" s="331"/>
      <c r="H218" s="332">
        <f>H216*$B218</f>
        <v>313821.3</v>
      </c>
      <c r="I218" s="333"/>
      <c r="J218" s="331"/>
      <c r="K218" s="332">
        <f>K216*$B218</f>
        <v>498000</v>
      </c>
      <c r="L218" s="333"/>
      <c r="M218" s="331"/>
      <c r="N218" s="332">
        <f>N216*$B218</f>
        <v>498000</v>
      </c>
      <c r="O218" s="333"/>
      <c r="P218" s="331"/>
      <c r="Q218" s="332">
        <f>Q216*$B218</f>
        <v>498000</v>
      </c>
      <c r="R218" s="333"/>
      <c r="S218" s="331"/>
      <c r="T218" s="332">
        <f>T216*$B218</f>
        <v>498000</v>
      </c>
      <c r="U218" s="333"/>
      <c r="V218" s="331"/>
      <c r="W218" s="332">
        <f>W216*$B218</f>
        <v>498000</v>
      </c>
      <c r="X218" s="333"/>
      <c r="Y218" s="331"/>
      <c r="Z218" s="332">
        <f>Z216*$B218</f>
        <v>333000</v>
      </c>
      <c r="AA218" s="333"/>
      <c r="AB218" s="331"/>
      <c r="AC218" s="332">
        <f>AC216*$B218</f>
        <v>39000</v>
      </c>
      <c r="AD218" s="333"/>
      <c r="AE218" s="331"/>
      <c r="AF218" s="332">
        <f>AF216*$B218</f>
        <v>39000</v>
      </c>
      <c r="AG218" s="333"/>
      <c r="AH218" s="331"/>
      <c r="AI218" s="332">
        <f>AI216*$B218</f>
        <v>39000</v>
      </c>
      <c r="AJ218" s="333"/>
      <c r="AK218" s="331"/>
      <c r="AL218" s="332">
        <f>AL216*$B218</f>
        <v>39000</v>
      </c>
      <c r="AM218" s="333"/>
      <c r="AN218" s="316" t="s">
        <v>63</v>
      </c>
      <c r="AO218" s="316"/>
      <c r="AP218" s="316"/>
      <c r="AQ218" s="316"/>
      <c r="AR218" s="316"/>
      <c r="AS218" s="316"/>
      <c r="AT218" s="316"/>
      <c r="AU218" s="316"/>
      <c r="AV218" s="316"/>
      <c r="AW218" s="316"/>
      <c r="AX218" s="316"/>
      <c r="AY218" s="316"/>
      <c r="AZ218" s="316"/>
      <c r="BA218" s="316"/>
      <c r="BB218" s="316"/>
      <c r="BC218" s="316"/>
      <c r="BD218" s="316"/>
      <c r="BE218" s="316"/>
      <c r="BF218" s="316"/>
      <c r="BG218" s="316"/>
      <c r="BH218" s="316"/>
      <c r="BI218" s="316"/>
      <c r="BJ218" s="316"/>
      <c r="BK218" s="316"/>
      <c r="BL218" s="316"/>
      <c r="BM218" s="316"/>
      <c r="BN218" s="316"/>
    </row>
    <row r="219">
      <c r="A219" s="303" t="s">
        <v>474</v>
      </c>
      <c r="B219" s="317" t="s">
        <v>474</v>
      </c>
      <c r="C219" s="325" t="s">
        <v>475</v>
      </c>
      <c r="D219" s="341" t="s">
        <v>2139</v>
      </c>
      <c r="E219" s="348">
        <v>450000.0</v>
      </c>
      <c r="F219" s="346">
        <v>100000.0</v>
      </c>
      <c r="G219" s="353" t="s">
        <v>2140</v>
      </c>
      <c r="H219" s="348">
        <v>450000.0</v>
      </c>
      <c r="I219" s="346">
        <v>100000.0</v>
      </c>
      <c r="J219" s="326" t="s">
        <v>1484</v>
      </c>
      <c r="K219" s="348">
        <v>560000.0</v>
      </c>
      <c r="L219" s="346">
        <v>100000.0</v>
      </c>
      <c r="M219" s="326" t="s">
        <v>1484</v>
      </c>
      <c r="N219" s="348">
        <v>560000.0</v>
      </c>
      <c r="O219" s="346">
        <v>100000.0</v>
      </c>
      <c r="P219" s="326" t="s">
        <v>1484</v>
      </c>
      <c r="Q219" s="348">
        <v>560000.0</v>
      </c>
      <c r="R219" s="346">
        <v>100000.0</v>
      </c>
      <c r="S219" s="326" t="s">
        <v>1484</v>
      </c>
      <c r="T219" s="348">
        <v>560000.0</v>
      </c>
      <c r="U219" s="346">
        <v>100000.0</v>
      </c>
      <c r="V219" s="326" t="s">
        <v>1484</v>
      </c>
      <c r="W219" s="348">
        <v>560000.0</v>
      </c>
      <c r="X219" s="346">
        <v>100000.0</v>
      </c>
      <c r="Y219" s="326" t="s">
        <v>1484</v>
      </c>
      <c r="Z219" s="348">
        <v>560000.0</v>
      </c>
      <c r="AA219" s="346">
        <v>100000.0</v>
      </c>
      <c r="AB219" s="326" t="s">
        <v>1484</v>
      </c>
      <c r="AC219" s="348">
        <v>560000.0</v>
      </c>
      <c r="AD219" s="346">
        <v>100000.0</v>
      </c>
      <c r="AE219" s="326" t="s">
        <v>1484</v>
      </c>
      <c r="AF219" s="348">
        <v>560000.0</v>
      </c>
      <c r="AG219" s="346">
        <v>100000.0</v>
      </c>
      <c r="AH219" s="326" t="s">
        <v>1484</v>
      </c>
      <c r="AI219" s="348">
        <v>560000.0</v>
      </c>
      <c r="AJ219" s="346">
        <v>100000.0</v>
      </c>
      <c r="AK219" s="326" t="s">
        <v>1484</v>
      </c>
      <c r="AL219" s="348">
        <v>560000.0</v>
      </c>
      <c r="AM219" s="346">
        <v>100000.0</v>
      </c>
      <c r="AN219" s="316" t="s">
        <v>321</v>
      </c>
      <c r="AO219" s="316"/>
      <c r="AP219" s="316"/>
      <c r="AQ219" s="316"/>
      <c r="AR219" s="316"/>
      <c r="AS219" s="316"/>
      <c r="AT219" s="316"/>
      <c r="AU219" s="316"/>
      <c r="AV219" s="316"/>
      <c r="AW219" s="316"/>
      <c r="AX219" s="316"/>
      <c r="AY219" s="316"/>
      <c r="AZ219" s="316"/>
      <c r="BA219" s="316"/>
      <c r="BB219" s="316"/>
      <c r="BC219" s="316"/>
      <c r="BD219" s="316"/>
      <c r="BE219" s="316"/>
      <c r="BF219" s="316"/>
      <c r="BG219" s="316"/>
      <c r="BH219" s="316"/>
      <c r="BI219" s="316"/>
      <c r="BJ219" s="316"/>
      <c r="BK219" s="316"/>
      <c r="BL219" s="316"/>
      <c r="BM219" s="316"/>
      <c r="BN219" s="316"/>
    </row>
    <row r="220">
      <c r="A220" s="303" t="s">
        <v>474</v>
      </c>
      <c r="B220" s="317" t="s">
        <v>474</v>
      </c>
      <c r="C220" s="325" t="s">
        <v>480</v>
      </c>
      <c r="D220" s="341" t="s">
        <v>2141</v>
      </c>
      <c r="E220" s="348">
        <v>420000.0</v>
      </c>
      <c r="F220" s="346">
        <v>100000.0</v>
      </c>
      <c r="G220" s="353" t="s">
        <v>2142</v>
      </c>
      <c r="H220" s="335">
        <f>420000+17857</f>
        <v>437857</v>
      </c>
      <c r="I220" s="346">
        <f>100000+3571</f>
        <v>103571</v>
      </c>
      <c r="J220" s="326" t="s">
        <v>1489</v>
      </c>
      <c r="K220" s="348">
        <v>500000.0</v>
      </c>
      <c r="L220" s="346">
        <v>100000.0</v>
      </c>
      <c r="M220" s="326" t="s">
        <v>1489</v>
      </c>
      <c r="N220" s="348">
        <v>500000.0</v>
      </c>
      <c r="O220" s="346">
        <v>100000.0</v>
      </c>
      <c r="P220" s="326" t="s">
        <v>1489</v>
      </c>
      <c r="Q220" s="348">
        <v>500000.0</v>
      </c>
      <c r="R220" s="346">
        <v>100000.0</v>
      </c>
      <c r="S220" s="326" t="s">
        <v>1489</v>
      </c>
      <c r="T220" s="348">
        <v>500000.0</v>
      </c>
      <c r="U220" s="346">
        <v>100000.0</v>
      </c>
      <c r="V220" s="326" t="s">
        <v>1489</v>
      </c>
      <c r="W220" s="348">
        <v>500000.0</v>
      </c>
      <c r="X220" s="346">
        <v>100000.0</v>
      </c>
      <c r="Y220" s="326" t="s">
        <v>1489</v>
      </c>
      <c r="Z220" s="348">
        <v>500000.0</v>
      </c>
      <c r="AA220" s="346">
        <v>100000.0</v>
      </c>
      <c r="AB220" s="326" t="s">
        <v>1489</v>
      </c>
      <c r="AC220" s="348">
        <v>500000.0</v>
      </c>
      <c r="AD220" s="346">
        <v>100000.0</v>
      </c>
      <c r="AE220" s="326" t="s">
        <v>1489</v>
      </c>
      <c r="AF220" s="348">
        <v>500000.0</v>
      </c>
      <c r="AG220" s="346">
        <v>100000.0</v>
      </c>
      <c r="AH220" s="326" t="s">
        <v>1489</v>
      </c>
      <c r="AI220" s="348">
        <v>500000.0</v>
      </c>
      <c r="AJ220" s="346">
        <v>100000.0</v>
      </c>
      <c r="AK220" s="326" t="s">
        <v>1489</v>
      </c>
      <c r="AL220" s="348">
        <v>500000.0</v>
      </c>
      <c r="AM220" s="346">
        <v>100000.0</v>
      </c>
      <c r="AN220" s="316" t="s">
        <v>321</v>
      </c>
      <c r="AO220" s="316"/>
      <c r="AP220" s="316"/>
      <c r="AQ220" s="316"/>
      <c r="AR220" s="316"/>
      <c r="AS220" s="316"/>
      <c r="AT220" s="316"/>
      <c r="AU220" s="316"/>
      <c r="AV220" s="316"/>
      <c r="AW220" s="316"/>
      <c r="AX220" s="316"/>
      <c r="AY220" s="316"/>
      <c r="AZ220" s="316"/>
      <c r="BA220" s="316"/>
      <c r="BB220" s="316"/>
      <c r="BC220" s="316"/>
      <c r="BD220" s="316"/>
      <c r="BE220" s="316"/>
      <c r="BF220" s="316"/>
      <c r="BG220" s="316"/>
      <c r="BH220" s="316"/>
      <c r="BI220" s="316"/>
      <c r="BJ220" s="316"/>
      <c r="BK220" s="316"/>
      <c r="BL220" s="316"/>
      <c r="BM220" s="316"/>
      <c r="BN220" s="316"/>
    </row>
    <row r="221">
      <c r="A221" s="303" t="s">
        <v>474</v>
      </c>
      <c r="B221" s="317" t="s">
        <v>474</v>
      </c>
      <c r="C221" s="325" t="s">
        <v>484</v>
      </c>
      <c r="D221" s="341" t="s">
        <v>488</v>
      </c>
      <c r="E221" s="335">
        <v>460000.0</v>
      </c>
      <c r="F221" s="346">
        <v>100000.0</v>
      </c>
      <c r="G221" s="341" t="s">
        <v>488</v>
      </c>
      <c r="H221" s="335">
        <v>460000.0</v>
      </c>
      <c r="I221" s="346">
        <v>100000.0</v>
      </c>
      <c r="J221" s="341" t="s">
        <v>488</v>
      </c>
      <c r="K221" s="335">
        <v>460000.0</v>
      </c>
      <c r="L221" s="346">
        <v>100000.0</v>
      </c>
      <c r="M221" s="341" t="s">
        <v>488</v>
      </c>
      <c r="N221" s="335">
        <v>460000.0</v>
      </c>
      <c r="O221" s="346">
        <v>100000.0</v>
      </c>
      <c r="P221" s="341" t="s">
        <v>488</v>
      </c>
      <c r="Q221" s="335">
        <v>460000.0</v>
      </c>
      <c r="R221" s="346">
        <v>100000.0</v>
      </c>
      <c r="S221" s="341" t="s">
        <v>488</v>
      </c>
      <c r="T221" s="335">
        <v>460000.0</v>
      </c>
      <c r="U221" s="346">
        <v>100000.0</v>
      </c>
      <c r="V221" s="341" t="s">
        <v>488</v>
      </c>
      <c r="W221" s="335">
        <v>460000.0</v>
      </c>
      <c r="X221" s="346">
        <v>100000.0</v>
      </c>
      <c r="Y221" s="353" t="s">
        <v>2143</v>
      </c>
      <c r="Z221" s="335">
        <v>460000.0</v>
      </c>
      <c r="AA221" s="346">
        <v>100000.0</v>
      </c>
      <c r="AB221" s="326"/>
      <c r="AC221" s="321"/>
      <c r="AD221" s="322"/>
      <c r="AE221" s="326"/>
      <c r="AF221" s="321"/>
      <c r="AG221" s="322"/>
      <c r="AH221" s="326"/>
      <c r="AI221" s="321"/>
      <c r="AJ221" s="322"/>
      <c r="AK221" s="326"/>
      <c r="AL221" s="321"/>
      <c r="AM221" s="322"/>
      <c r="AN221" s="316" t="s">
        <v>321</v>
      </c>
      <c r="AO221" s="316"/>
      <c r="AP221" s="316"/>
      <c r="AQ221" s="316"/>
      <c r="AR221" s="316"/>
      <c r="AS221" s="316"/>
      <c r="AT221" s="316"/>
      <c r="AU221" s="316"/>
      <c r="AV221" s="316"/>
      <c r="AW221" s="316"/>
      <c r="AX221" s="316"/>
      <c r="AY221" s="316"/>
      <c r="AZ221" s="316"/>
      <c r="BA221" s="316"/>
      <c r="BB221" s="316"/>
      <c r="BC221" s="316"/>
      <c r="BD221" s="316"/>
      <c r="BE221" s="316"/>
      <c r="BF221" s="316"/>
      <c r="BG221" s="316"/>
      <c r="BH221" s="316"/>
      <c r="BI221" s="316"/>
      <c r="BJ221" s="316"/>
      <c r="BK221" s="316"/>
      <c r="BL221" s="316"/>
      <c r="BM221" s="316"/>
      <c r="BN221" s="316"/>
    </row>
    <row r="222">
      <c r="A222" s="303" t="s">
        <v>474</v>
      </c>
      <c r="B222" s="317" t="s">
        <v>474</v>
      </c>
      <c r="C222" s="325" t="s">
        <v>489</v>
      </c>
      <c r="D222" s="341" t="s">
        <v>2144</v>
      </c>
      <c r="E222" s="348">
        <v>430000.0</v>
      </c>
      <c r="F222" s="346">
        <v>100000.0</v>
      </c>
      <c r="G222" s="353" t="s">
        <v>2145</v>
      </c>
      <c r="H222" s="348">
        <v>364286.0</v>
      </c>
      <c r="I222" s="345">
        <v>89286.0</v>
      </c>
      <c r="J222" s="326" t="s">
        <v>2146</v>
      </c>
      <c r="K222" s="348">
        <v>500000.0</v>
      </c>
      <c r="L222" s="346">
        <v>100000.0</v>
      </c>
      <c r="M222" s="326" t="s">
        <v>1494</v>
      </c>
      <c r="N222" s="348">
        <v>500000.0</v>
      </c>
      <c r="O222" s="346">
        <v>100000.0</v>
      </c>
      <c r="P222" s="326" t="s">
        <v>1494</v>
      </c>
      <c r="Q222" s="348">
        <v>500000.0</v>
      </c>
      <c r="R222" s="346">
        <v>100000.0</v>
      </c>
      <c r="S222" s="326" t="s">
        <v>1494</v>
      </c>
      <c r="T222" s="348">
        <v>500000.0</v>
      </c>
      <c r="U222" s="346">
        <v>100000.0</v>
      </c>
      <c r="V222" s="326" t="s">
        <v>1494</v>
      </c>
      <c r="W222" s="348">
        <v>500000.0</v>
      </c>
      <c r="X222" s="346">
        <v>100000.0</v>
      </c>
      <c r="Y222" s="326" t="s">
        <v>1494</v>
      </c>
      <c r="Z222" s="348">
        <v>500000.0</v>
      </c>
      <c r="AA222" s="346">
        <v>100000.0</v>
      </c>
      <c r="AB222" s="326" t="s">
        <v>1494</v>
      </c>
      <c r="AC222" s="348">
        <v>500000.0</v>
      </c>
      <c r="AD222" s="346">
        <v>100000.0</v>
      </c>
      <c r="AE222" s="326" t="s">
        <v>1494</v>
      </c>
      <c r="AF222" s="348">
        <v>500000.0</v>
      </c>
      <c r="AG222" s="346">
        <v>100000.0</v>
      </c>
      <c r="AH222" s="326" t="s">
        <v>1494</v>
      </c>
      <c r="AI222" s="348">
        <v>500000.0</v>
      </c>
      <c r="AJ222" s="346">
        <v>100000.0</v>
      </c>
      <c r="AK222" s="326" t="s">
        <v>1494</v>
      </c>
      <c r="AL222" s="348">
        <v>500000.0</v>
      </c>
      <c r="AM222" s="346">
        <v>100000.0</v>
      </c>
      <c r="AN222" s="316" t="s">
        <v>321</v>
      </c>
      <c r="AO222" s="316"/>
      <c r="AP222" s="316"/>
      <c r="AQ222" s="316"/>
      <c r="AR222" s="316"/>
      <c r="AS222" s="316"/>
      <c r="AT222" s="316"/>
      <c r="AU222" s="316"/>
      <c r="AV222" s="316"/>
      <c r="AW222" s="316"/>
      <c r="AX222" s="316"/>
      <c r="AY222" s="316"/>
      <c r="AZ222" s="316"/>
      <c r="BA222" s="316"/>
      <c r="BB222" s="316"/>
      <c r="BC222" s="316"/>
      <c r="BD222" s="316"/>
      <c r="BE222" s="316"/>
      <c r="BF222" s="316"/>
      <c r="BG222" s="316"/>
      <c r="BH222" s="316"/>
      <c r="BI222" s="316"/>
      <c r="BJ222" s="316"/>
      <c r="BK222" s="316"/>
      <c r="BL222" s="316"/>
      <c r="BM222" s="316"/>
      <c r="BN222" s="316"/>
    </row>
    <row r="223">
      <c r="A223" s="303" t="s">
        <v>474</v>
      </c>
      <c r="B223" s="317" t="s">
        <v>474</v>
      </c>
      <c r="C223" s="325" t="s">
        <v>496</v>
      </c>
      <c r="D223" s="341" t="s">
        <v>1484</v>
      </c>
      <c r="E223" s="335">
        <v>520000.0</v>
      </c>
      <c r="F223" s="346">
        <v>100000.0</v>
      </c>
      <c r="G223" s="353" t="s">
        <v>2147</v>
      </c>
      <c r="H223" s="335">
        <v>520000.0</v>
      </c>
      <c r="I223" s="346">
        <v>100000.0</v>
      </c>
      <c r="J223" s="326" t="s">
        <v>2148</v>
      </c>
      <c r="K223" s="348">
        <v>500000.0</v>
      </c>
      <c r="L223" s="346">
        <v>100000.0</v>
      </c>
      <c r="M223" s="326" t="s">
        <v>1497</v>
      </c>
      <c r="N223" s="348">
        <v>500000.0</v>
      </c>
      <c r="O223" s="346">
        <v>100000.0</v>
      </c>
      <c r="P223" s="326" t="s">
        <v>1497</v>
      </c>
      <c r="Q223" s="348">
        <v>500000.0</v>
      </c>
      <c r="R223" s="346">
        <v>100000.0</v>
      </c>
      <c r="S223" s="326" t="s">
        <v>1497</v>
      </c>
      <c r="T223" s="348">
        <v>500000.0</v>
      </c>
      <c r="U223" s="346">
        <v>100000.0</v>
      </c>
      <c r="V223" s="326" t="s">
        <v>1497</v>
      </c>
      <c r="W223" s="348">
        <v>500000.0</v>
      </c>
      <c r="X223" s="346">
        <v>100000.0</v>
      </c>
      <c r="Y223" s="326" t="s">
        <v>1497</v>
      </c>
      <c r="Z223" s="348">
        <v>500000.0</v>
      </c>
      <c r="AA223" s="346">
        <v>100000.0</v>
      </c>
      <c r="AB223" s="326" t="s">
        <v>1497</v>
      </c>
      <c r="AC223" s="348">
        <v>500000.0</v>
      </c>
      <c r="AD223" s="346">
        <v>100000.0</v>
      </c>
      <c r="AE223" s="326" t="s">
        <v>1497</v>
      </c>
      <c r="AF223" s="348">
        <v>500000.0</v>
      </c>
      <c r="AG223" s="346">
        <v>100000.0</v>
      </c>
      <c r="AH223" s="326" t="s">
        <v>1497</v>
      </c>
      <c r="AI223" s="348">
        <v>500000.0</v>
      </c>
      <c r="AJ223" s="346">
        <v>100000.0</v>
      </c>
      <c r="AK223" s="326" t="s">
        <v>1497</v>
      </c>
      <c r="AL223" s="348">
        <v>500000.0</v>
      </c>
      <c r="AM223" s="346">
        <v>100000.0</v>
      </c>
      <c r="AN223" s="316" t="s">
        <v>321</v>
      </c>
      <c r="AO223" s="316"/>
      <c r="AP223" s="316"/>
      <c r="AQ223" s="316"/>
      <c r="AR223" s="316"/>
      <c r="AS223" s="316"/>
      <c r="AT223" s="316"/>
      <c r="AU223" s="316"/>
      <c r="AV223" s="316"/>
      <c r="AW223" s="316"/>
      <c r="AX223" s="316"/>
      <c r="AY223" s="316"/>
      <c r="AZ223" s="316"/>
      <c r="BA223" s="316"/>
      <c r="BB223" s="316"/>
      <c r="BC223" s="316"/>
      <c r="BD223" s="316"/>
      <c r="BE223" s="316"/>
      <c r="BF223" s="316"/>
      <c r="BG223" s="316"/>
      <c r="BH223" s="316"/>
      <c r="BI223" s="316"/>
      <c r="BJ223" s="316"/>
      <c r="BK223" s="316"/>
      <c r="BL223" s="316"/>
      <c r="BM223" s="316"/>
      <c r="BN223" s="316"/>
    </row>
    <row r="224">
      <c r="A224" s="303" t="s">
        <v>474</v>
      </c>
      <c r="B224" s="304"/>
      <c r="C224" s="305" t="s">
        <v>42</v>
      </c>
      <c r="D224" s="320"/>
      <c r="E224" s="323">
        <f t="shared" ref="E224:F224" si="284">SUM(E219:E223)</f>
        <v>2280000</v>
      </c>
      <c r="F224" s="324">
        <f t="shared" si="284"/>
        <v>500000</v>
      </c>
      <c r="G224" s="320"/>
      <c r="H224" s="323">
        <f t="shared" ref="H224:I224" si="285">SUM(H219:H223)</f>
        <v>2232143</v>
      </c>
      <c r="I224" s="324">
        <f t="shared" si="285"/>
        <v>492857</v>
      </c>
      <c r="J224" s="320"/>
      <c r="K224" s="323">
        <f t="shared" ref="K224:L224" si="286">SUM(K219:K223)</f>
        <v>2520000</v>
      </c>
      <c r="L224" s="324">
        <f t="shared" si="286"/>
        <v>500000</v>
      </c>
      <c r="M224" s="320"/>
      <c r="N224" s="323">
        <f t="shared" ref="N224:O224" si="287">SUM(N219:N223)</f>
        <v>2520000</v>
      </c>
      <c r="O224" s="324">
        <f t="shared" si="287"/>
        <v>500000</v>
      </c>
      <c r="P224" s="320"/>
      <c r="Q224" s="323">
        <f t="shared" ref="Q224:R224" si="288">SUM(Q219:Q223)</f>
        <v>2520000</v>
      </c>
      <c r="R224" s="324">
        <f t="shared" si="288"/>
        <v>500000</v>
      </c>
      <c r="S224" s="320"/>
      <c r="T224" s="323">
        <f t="shared" ref="T224:U224" si="289">SUM(T219:T223)</f>
        <v>2520000</v>
      </c>
      <c r="U224" s="324">
        <f t="shared" si="289"/>
        <v>500000</v>
      </c>
      <c r="V224" s="320"/>
      <c r="W224" s="323">
        <f t="shared" ref="W224:X224" si="290">SUM(W219:W223)</f>
        <v>2520000</v>
      </c>
      <c r="X224" s="324">
        <f t="shared" si="290"/>
        <v>500000</v>
      </c>
      <c r="Y224" s="320"/>
      <c r="Z224" s="323">
        <f t="shared" ref="Z224:AA224" si="291">SUM(Z219:Z223)</f>
        <v>2520000</v>
      </c>
      <c r="AA224" s="324">
        <f t="shared" si="291"/>
        <v>500000</v>
      </c>
      <c r="AB224" s="320"/>
      <c r="AC224" s="323">
        <f t="shared" ref="AC224:AD224" si="292">SUM(AC219:AC223)</f>
        <v>2060000</v>
      </c>
      <c r="AD224" s="324">
        <f t="shared" si="292"/>
        <v>400000</v>
      </c>
      <c r="AE224" s="320"/>
      <c r="AF224" s="323">
        <f t="shared" ref="AF224:AG224" si="293">SUM(AF219:AF223)</f>
        <v>2060000</v>
      </c>
      <c r="AG224" s="324">
        <f t="shared" si="293"/>
        <v>400000</v>
      </c>
      <c r="AH224" s="320"/>
      <c r="AI224" s="323">
        <f t="shared" ref="AI224:AJ224" si="294">SUM(AI219:AI223)</f>
        <v>2060000</v>
      </c>
      <c r="AJ224" s="324">
        <f t="shared" si="294"/>
        <v>400000</v>
      </c>
      <c r="AK224" s="320"/>
      <c r="AL224" s="323">
        <f t="shared" ref="AL224:AM224" si="295">SUM(AL219:AL223)</f>
        <v>2060000</v>
      </c>
      <c r="AM224" s="324">
        <f t="shared" si="295"/>
        <v>400000</v>
      </c>
      <c r="AN224" s="316" t="s">
        <v>321</v>
      </c>
      <c r="AO224" s="316"/>
      <c r="AP224" s="316"/>
      <c r="AQ224" s="316"/>
      <c r="AR224" s="316"/>
      <c r="AS224" s="316"/>
      <c r="AT224" s="316"/>
      <c r="AU224" s="316"/>
      <c r="AV224" s="316"/>
      <c r="AW224" s="316"/>
      <c r="AX224" s="316"/>
      <c r="AY224" s="316"/>
      <c r="AZ224" s="316"/>
      <c r="BA224" s="316"/>
      <c r="BB224" s="316"/>
      <c r="BC224" s="316"/>
      <c r="BD224" s="316"/>
      <c r="BE224" s="316"/>
      <c r="BF224" s="316"/>
      <c r="BG224" s="316"/>
      <c r="BH224" s="316"/>
      <c r="BI224" s="316"/>
      <c r="BJ224" s="316"/>
      <c r="BK224" s="316"/>
      <c r="BL224" s="316"/>
      <c r="BM224" s="316"/>
      <c r="BN224" s="316"/>
    </row>
    <row r="225" collapsed="1">
      <c r="A225" s="303" t="s">
        <v>474</v>
      </c>
      <c r="B225" s="304"/>
      <c r="C225" s="325" t="s">
        <v>43</v>
      </c>
      <c r="D225" s="326"/>
      <c r="E225" s="321">
        <v>900000.0</v>
      </c>
      <c r="F225" s="324"/>
      <c r="G225" s="326"/>
      <c r="H225" s="321">
        <v>900000.0</v>
      </c>
      <c r="I225" s="324"/>
      <c r="J225" s="326"/>
      <c r="K225" s="321">
        <v>900000.0</v>
      </c>
      <c r="L225" s="324"/>
      <c r="M225" s="326"/>
      <c r="N225" s="321">
        <v>900000.0</v>
      </c>
      <c r="O225" s="324"/>
      <c r="P225" s="326"/>
      <c r="Q225" s="321">
        <v>900000.0</v>
      </c>
      <c r="R225" s="324"/>
      <c r="S225" s="326"/>
      <c r="T225" s="321">
        <v>900000.0</v>
      </c>
      <c r="U225" s="324"/>
      <c r="V225" s="326"/>
      <c r="W225" s="321">
        <v>900000.0</v>
      </c>
      <c r="X225" s="324"/>
      <c r="Y225" s="326"/>
      <c r="Z225" s="321">
        <v>900000.0</v>
      </c>
      <c r="AA225" s="324"/>
      <c r="AB225" s="326"/>
      <c r="AC225" s="321">
        <v>900000.0</v>
      </c>
      <c r="AD225" s="324"/>
      <c r="AE225" s="326"/>
      <c r="AF225" s="321">
        <v>900000.0</v>
      </c>
      <c r="AG225" s="324"/>
      <c r="AH225" s="326"/>
      <c r="AI225" s="321">
        <v>900000.0</v>
      </c>
      <c r="AJ225" s="324"/>
      <c r="AK225" s="326"/>
      <c r="AL225" s="321">
        <v>900000.0</v>
      </c>
      <c r="AM225" s="324"/>
      <c r="AN225" s="316" t="s">
        <v>321</v>
      </c>
      <c r="AO225" s="316"/>
      <c r="AP225" s="316"/>
      <c r="AQ225" s="316"/>
      <c r="AR225" s="316"/>
      <c r="AS225" s="316"/>
      <c r="AT225" s="316"/>
      <c r="AU225" s="316"/>
      <c r="AV225" s="316"/>
      <c r="AW225" s="316"/>
      <c r="AX225" s="316"/>
      <c r="AY225" s="316"/>
      <c r="AZ225" s="316"/>
      <c r="BA225" s="316"/>
      <c r="BB225" s="316"/>
      <c r="BC225" s="316"/>
      <c r="BD225" s="316"/>
      <c r="BE225" s="316"/>
      <c r="BF225" s="316"/>
      <c r="BG225" s="316"/>
      <c r="BH225" s="316"/>
      <c r="BI225" s="316"/>
      <c r="BJ225" s="316"/>
      <c r="BK225" s="316"/>
      <c r="BL225" s="316"/>
      <c r="BM225" s="316"/>
      <c r="BN225" s="316"/>
    </row>
    <row r="226" hidden="1" outlineLevel="1">
      <c r="A226" s="303" t="s">
        <v>474</v>
      </c>
      <c r="B226" s="317"/>
      <c r="C226" s="325" t="s">
        <v>45</v>
      </c>
      <c r="D226" s="326"/>
      <c r="E226" s="321"/>
      <c r="F226" s="322" t="s">
        <v>44</v>
      </c>
      <c r="G226" s="326"/>
      <c r="H226" s="321"/>
      <c r="I226" s="322" t="s">
        <v>44</v>
      </c>
      <c r="J226" s="326"/>
      <c r="K226" s="321"/>
      <c r="L226" s="322" t="s">
        <v>44</v>
      </c>
      <c r="M226" s="326"/>
      <c r="N226" s="321"/>
      <c r="O226" s="322"/>
      <c r="P226" s="326"/>
      <c r="Q226" s="321"/>
      <c r="R226" s="322"/>
      <c r="S226" s="326"/>
      <c r="T226" s="321"/>
      <c r="U226" s="322"/>
      <c r="V226" s="326"/>
      <c r="W226" s="321"/>
      <c r="X226" s="322"/>
      <c r="Y226" s="326"/>
      <c r="Z226" s="321"/>
      <c r="AA226" s="322"/>
      <c r="AB226" s="326"/>
      <c r="AC226" s="321"/>
      <c r="AD226" s="322"/>
      <c r="AE226" s="326"/>
      <c r="AF226" s="321"/>
      <c r="AG226" s="322"/>
      <c r="AH226" s="326"/>
      <c r="AI226" s="321"/>
      <c r="AJ226" s="322"/>
      <c r="AK226" s="326"/>
      <c r="AL226" s="321"/>
      <c r="AM226" s="322"/>
      <c r="AN226" s="316" t="s">
        <v>321</v>
      </c>
      <c r="AO226" s="316"/>
      <c r="AP226" s="316"/>
      <c r="AQ226" s="316"/>
      <c r="AR226" s="316"/>
      <c r="AS226" s="316"/>
      <c r="AT226" s="316"/>
      <c r="AU226" s="316"/>
      <c r="AV226" s="316"/>
      <c r="AW226" s="316"/>
      <c r="AX226" s="316"/>
      <c r="AY226" s="316"/>
      <c r="AZ226" s="316"/>
      <c r="BA226" s="316"/>
      <c r="BB226" s="316"/>
      <c r="BC226" s="316"/>
      <c r="BD226" s="316"/>
      <c r="BE226" s="316"/>
      <c r="BF226" s="316"/>
      <c r="BG226" s="316"/>
      <c r="BH226" s="316"/>
      <c r="BI226" s="316"/>
      <c r="BJ226" s="316"/>
      <c r="BK226" s="316"/>
      <c r="BL226" s="316"/>
      <c r="BM226" s="316"/>
      <c r="BN226" s="316"/>
    </row>
    <row r="227" hidden="1" outlineLevel="1">
      <c r="A227" s="303" t="s">
        <v>474</v>
      </c>
      <c r="B227" s="317" t="s">
        <v>2149</v>
      </c>
      <c r="C227" s="325" t="s">
        <v>503</v>
      </c>
      <c r="D227" s="326"/>
      <c r="E227" s="321"/>
      <c r="F227" s="322">
        <v>73400.0</v>
      </c>
      <c r="G227" s="326"/>
      <c r="H227" s="321"/>
      <c r="I227" s="322">
        <v>62100.0</v>
      </c>
      <c r="J227" s="326" t="s">
        <v>2039</v>
      </c>
      <c r="K227" s="321"/>
      <c r="L227" s="322">
        <v>60000.0</v>
      </c>
      <c r="M227" s="326"/>
      <c r="N227" s="321"/>
      <c r="O227" s="322"/>
      <c r="P227" s="326"/>
      <c r="Q227" s="321"/>
      <c r="R227" s="322"/>
      <c r="S227" s="326"/>
      <c r="T227" s="321"/>
      <c r="U227" s="322"/>
      <c r="V227" s="326"/>
      <c r="W227" s="321"/>
      <c r="X227" s="322"/>
      <c r="Y227" s="326"/>
      <c r="Z227" s="321"/>
      <c r="AA227" s="322"/>
      <c r="AB227" s="326"/>
      <c r="AC227" s="321"/>
      <c r="AD227" s="322"/>
      <c r="AE227" s="326"/>
      <c r="AF227" s="321"/>
      <c r="AG227" s="322"/>
      <c r="AH227" s="326"/>
      <c r="AI227" s="321"/>
      <c r="AJ227" s="322"/>
      <c r="AK227" s="326"/>
      <c r="AL227" s="321"/>
      <c r="AM227" s="322"/>
      <c r="AN227" s="316" t="s">
        <v>321</v>
      </c>
      <c r="AO227" s="316"/>
      <c r="AP227" s="316"/>
      <c r="AQ227" s="316"/>
      <c r="AR227" s="316"/>
      <c r="AS227" s="316"/>
      <c r="AT227" s="316"/>
      <c r="AU227" s="316"/>
      <c r="AV227" s="316"/>
      <c r="AW227" s="316"/>
      <c r="AX227" s="316"/>
      <c r="AY227" s="316"/>
      <c r="AZ227" s="316"/>
      <c r="BA227" s="316"/>
      <c r="BB227" s="316"/>
      <c r="BC227" s="316"/>
      <c r="BD227" s="316"/>
      <c r="BE227" s="316"/>
      <c r="BF227" s="316"/>
      <c r="BG227" s="316"/>
      <c r="BH227" s="316"/>
      <c r="BI227" s="316"/>
      <c r="BJ227" s="316"/>
      <c r="BK227" s="316"/>
      <c r="BL227" s="316"/>
      <c r="BM227" s="316"/>
      <c r="BN227" s="316"/>
    </row>
    <row r="228" hidden="1" outlineLevel="1">
      <c r="A228" s="303" t="s">
        <v>474</v>
      </c>
      <c r="B228" s="317" t="s">
        <v>504</v>
      </c>
      <c r="C228" s="325" t="s">
        <v>49</v>
      </c>
      <c r="D228" s="326"/>
      <c r="E228" s="321"/>
      <c r="F228" s="322">
        <v>269560.0</v>
      </c>
      <c r="G228" s="326"/>
      <c r="H228" s="321"/>
      <c r="I228" s="322">
        <v>186870.0</v>
      </c>
      <c r="J228" s="326" t="s">
        <v>2039</v>
      </c>
      <c r="K228" s="321"/>
      <c r="L228" s="322">
        <v>350000.0</v>
      </c>
      <c r="M228" s="326"/>
      <c r="N228" s="321"/>
      <c r="O228" s="322"/>
      <c r="P228" s="326"/>
      <c r="Q228" s="321"/>
      <c r="R228" s="322"/>
      <c r="S228" s="326"/>
      <c r="T228" s="321"/>
      <c r="U228" s="322"/>
      <c r="V228" s="326"/>
      <c r="W228" s="321"/>
      <c r="X228" s="322"/>
      <c r="Y228" s="326"/>
      <c r="Z228" s="321"/>
      <c r="AA228" s="322"/>
      <c r="AB228" s="326"/>
      <c r="AC228" s="321"/>
      <c r="AD228" s="322"/>
      <c r="AE228" s="326"/>
      <c r="AF228" s="321"/>
      <c r="AG228" s="322"/>
      <c r="AH228" s="326"/>
      <c r="AI228" s="321"/>
      <c r="AJ228" s="322"/>
      <c r="AK228" s="326"/>
      <c r="AL228" s="321"/>
      <c r="AM228" s="322"/>
      <c r="AN228" s="316" t="s">
        <v>321</v>
      </c>
      <c r="AO228" s="316"/>
      <c r="AP228" s="316"/>
      <c r="AQ228" s="316"/>
      <c r="AR228" s="316"/>
      <c r="AS228" s="316"/>
      <c r="AT228" s="316"/>
      <c r="AU228" s="316"/>
      <c r="AV228" s="316"/>
      <c r="AW228" s="316"/>
      <c r="AX228" s="316"/>
      <c r="AY228" s="316"/>
      <c r="AZ228" s="316"/>
      <c r="BA228" s="316"/>
      <c r="BB228" s="316"/>
      <c r="BC228" s="316"/>
      <c r="BD228" s="316"/>
      <c r="BE228" s="316"/>
      <c r="BF228" s="316"/>
      <c r="BG228" s="316"/>
      <c r="BH228" s="316"/>
      <c r="BI228" s="316"/>
      <c r="BJ228" s="316"/>
      <c r="BK228" s="316"/>
      <c r="BL228" s="316"/>
      <c r="BM228" s="316"/>
      <c r="BN228" s="316"/>
    </row>
    <row r="229" hidden="1" outlineLevel="1">
      <c r="A229" s="303" t="s">
        <v>474</v>
      </c>
      <c r="B229" s="317" t="s">
        <v>373</v>
      </c>
      <c r="C229" s="325" t="s">
        <v>51</v>
      </c>
      <c r="D229" s="326" t="s">
        <v>2039</v>
      </c>
      <c r="E229" s="321"/>
      <c r="F229" s="322">
        <v>35000.0</v>
      </c>
      <c r="G229" s="326" t="s">
        <v>2039</v>
      </c>
      <c r="H229" s="321"/>
      <c r="I229" s="322">
        <v>35000.0</v>
      </c>
      <c r="J229" s="326" t="s">
        <v>2039</v>
      </c>
      <c r="K229" s="321"/>
      <c r="L229" s="322">
        <v>35000.0</v>
      </c>
      <c r="M229" s="326"/>
      <c r="N229" s="321"/>
      <c r="O229" s="322"/>
      <c r="P229" s="326"/>
      <c r="Q229" s="321"/>
      <c r="R229" s="322"/>
      <c r="S229" s="326"/>
      <c r="T229" s="321"/>
      <c r="U229" s="322"/>
      <c r="V229" s="326"/>
      <c r="W229" s="321"/>
      <c r="X229" s="322"/>
      <c r="Y229" s="326"/>
      <c r="Z229" s="321"/>
      <c r="AA229" s="322"/>
      <c r="AB229" s="326"/>
      <c r="AC229" s="321"/>
      <c r="AD229" s="322"/>
      <c r="AE229" s="326"/>
      <c r="AF229" s="321"/>
      <c r="AG229" s="322"/>
      <c r="AH229" s="326"/>
      <c r="AI229" s="321"/>
      <c r="AJ229" s="322"/>
      <c r="AK229" s="326"/>
      <c r="AL229" s="321"/>
      <c r="AM229" s="322"/>
      <c r="AN229" s="316" t="s">
        <v>321</v>
      </c>
      <c r="AO229" s="316"/>
      <c r="AP229" s="316"/>
      <c r="AQ229" s="316"/>
      <c r="AR229" s="316"/>
      <c r="AS229" s="316"/>
      <c r="AT229" s="316"/>
      <c r="AU229" s="316"/>
      <c r="AV229" s="316"/>
      <c r="AW229" s="316"/>
      <c r="AX229" s="316"/>
      <c r="AY229" s="316"/>
      <c r="AZ229" s="316"/>
      <c r="BA229" s="316"/>
      <c r="BB229" s="316"/>
      <c r="BC229" s="316"/>
      <c r="BD229" s="316"/>
      <c r="BE229" s="316"/>
      <c r="BF229" s="316"/>
      <c r="BG229" s="316"/>
      <c r="BH229" s="316"/>
      <c r="BI229" s="316"/>
      <c r="BJ229" s="316"/>
      <c r="BK229" s="316"/>
      <c r="BL229" s="316"/>
      <c r="BM229" s="316"/>
      <c r="BN229" s="316"/>
    </row>
    <row r="230" hidden="1" outlineLevel="1">
      <c r="A230" s="303" t="s">
        <v>474</v>
      </c>
      <c r="B230" s="304"/>
      <c r="C230" s="325" t="s">
        <v>52</v>
      </c>
      <c r="D230" s="327"/>
      <c r="E230" s="321"/>
      <c r="F230" s="322">
        <v>25000.0</v>
      </c>
      <c r="G230" s="327"/>
      <c r="H230" s="321"/>
      <c r="I230" s="322">
        <v>25000.0</v>
      </c>
      <c r="J230" s="327"/>
      <c r="K230" s="321"/>
      <c r="L230" s="322">
        <v>25000.0</v>
      </c>
      <c r="M230" s="327"/>
      <c r="N230" s="321"/>
      <c r="O230" s="322">
        <v>25000.0</v>
      </c>
      <c r="P230" s="327"/>
      <c r="Q230" s="321"/>
      <c r="R230" s="322">
        <v>25000.0</v>
      </c>
      <c r="S230" s="327"/>
      <c r="T230" s="321"/>
      <c r="U230" s="322">
        <v>25000.0</v>
      </c>
      <c r="V230" s="327"/>
      <c r="W230" s="321"/>
      <c r="X230" s="322">
        <v>25000.0</v>
      </c>
      <c r="Y230" s="327"/>
      <c r="Z230" s="321"/>
      <c r="AA230" s="322">
        <v>25000.0</v>
      </c>
      <c r="AB230" s="327"/>
      <c r="AC230" s="321"/>
      <c r="AD230" s="322">
        <v>25000.0</v>
      </c>
      <c r="AE230" s="327"/>
      <c r="AF230" s="321"/>
      <c r="AG230" s="322">
        <v>25000.0</v>
      </c>
      <c r="AH230" s="327"/>
      <c r="AI230" s="321"/>
      <c r="AJ230" s="322">
        <v>25000.0</v>
      </c>
      <c r="AK230" s="327"/>
      <c r="AL230" s="321"/>
      <c r="AM230" s="322">
        <v>25000.0</v>
      </c>
      <c r="AN230" s="316" t="s">
        <v>321</v>
      </c>
      <c r="AO230" s="316"/>
      <c r="AP230" s="316"/>
      <c r="AQ230" s="316"/>
      <c r="AR230" s="316"/>
      <c r="AS230" s="316"/>
      <c r="AT230" s="316"/>
      <c r="AU230" s="316"/>
      <c r="AV230" s="316"/>
      <c r="AW230" s="316"/>
      <c r="AX230" s="316"/>
      <c r="AY230" s="316"/>
      <c r="AZ230" s="316"/>
      <c r="BA230" s="316"/>
      <c r="BB230" s="316"/>
      <c r="BC230" s="316"/>
      <c r="BD230" s="316"/>
      <c r="BE230" s="316"/>
      <c r="BF230" s="316"/>
      <c r="BG230" s="316"/>
      <c r="BH230" s="316"/>
      <c r="BI230" s="316"/>
      <c r="BJ230" s="316"/>
      <c r="BK230" s="316"/>
      <c r="BL230" s="316"/>
      <c r="BM230" s="316"/>
      <c r="BN230" s="316"/>
    </row>
    <row r="231" hidden="1" outlineLevel="1">
      <c r="A231" s="303" t="s">
        <v>474</v>
      </c>
      <c r="B231" s="317" t="s">
        <v>264</v>
      </c>
      <c r="C231" s="325" t="s">
        <v>53</v>
      </c>
      <c r="D231" s="326"/>
      <c r="E231" s="321"/>
      <c r="F231" s="322">
        <v>11000.0</v>
      </c>
      <c r="G231" s="326"/>
      <c r="H231" s="321"/>
      <c r="I231" s="322">
        <v>11000.0</v>
      </c>
      <c r="J231" s="326"/>
      <c r="K231" s="321"/>
      <c r="L231" s="322">
        <v>11000.0</v>
      </c>
      <c r="M231" s="326"/>
      <c r="N231" s="321"/>
      <c r="O231" s="322">
        <v>11000.0</v>
      </c>
      <c r="P231" s="326"/>
      <c r="Q231" s="321"/>
      <c r="R231" s="322">
        <v>11000.0</v>
      </c>
      <c r="S231" s="326"/>
      <c r="T231" s="321"/>
      <c r="U231" s="322">
        <v>11000.0</v>
      </c>
      <c r="V231" s="326"/>
      <c r="W231" s="321"/>
      <c r="X231" s="322">
        <v>11000.0</v>
      </c>
      <c r="Y231" s="326"/>
      <c r="Z231" s="321"/>
      <c r="AA231" s="322">
        <v>11000.0</v>
      </c>
      <c r="AB231" s="326"/>
      <c r="AC231" s="321"/>
      <c r="AD231" s="322">
        <v>11000.0</v>
      </c>
      <c r="AE231" s="326"/>
      <c r="AF231" s="321"/>
      <c r="AG231" s="322">
        <v>11000.0</v>
      </c>
      <c r="AH231" s="326"/>
      <c r="AI231" s="321"/>
      <c r="AJ231" s="322">
        <v>11000.0</v>
      </c>
      <c r="AK231" s="326"/>
      <c r="AL231" s="321"/>
      <c r="AM231" s="322">
        <v>11000.0</v>
      </c>
      <c r="AN231" s="316" t="s">
        <v>321</v>
      </c>
      <c r="AO231" s="316"/>
      <c r="AP231" s="316"/>
      <c r="AQ231" s="316"/>
      <c r="AR231" s="316"/>
      <c r="AS231" s="316"/>
      <c r="AT231" s="316"/>
      <c r="AU231" s="316"/>
      <c r="AV231" s="316"/>
      <c r="AW231" s="316"/>
      <c r="AX231" s="316"/>
      <c r="AY231" s="316"/>
      <c r="AZ231" s="316"/>
      <c r="BA231" s="316"/>
      <c r="BB231" s="316"/>
      <c r="BC231" s="316"/>
      <c r="BD231" s="316"/>
      <c r="BE231" s="316"/>
      <c r="BF231" s="316"/>
      <c r="BG231" s="316"/>
      <c r="BH231" s="316"/>
      <c r="BI231" s="316"/>
      <c r="BJ231" s="316"/>
      <c r="BK231" s="316"/>
      <c r="BL231" s="316"/>
      <c r="BM231" s="316"/>
      <c r="BN231" s="316"/>
    </row>
    <row r="232" hidden="1" outlineLevel="1">
      <c r="A232" s="303" t="s">
        <v>474</v>
      </c>
      <c r="B232" s="304"/>
      <c r="C232" s="325" t="s">
        <v>54</v>
      </c>
      <c r="D232" s="327"/>
      <c r="E232" s="321"/>
      <c r="F232" s="322">
        <f>SUMIFS('지출'!$G$3:$G794,'지출'!$J$3:$J794,F$1,'지출'!$C$3:$C794,"빠방")</f>
        <v>59990</v>
      </c>
      <c r="G232" s="327"/>
      <c r="H232" s="321"/>
      <c r="I232" s="322">
        <f>SUMIFS('지출'!$G$3:$G794,'지출'!$J$3:$J794,I$1,'지출'!$C$3:$C794,"빠방")</f>
        <v>40000</v>
      </c>
      <c r="J232" s="327"/>
      <c r="K232" s="321"/>
      <c r="L232" s="322">
        <f>SUMIFS('지출'!$G$3:$G794,'지출'!$J$3:$J794,L$1,'지출'!$C$3:$C794,"빠방")</f>
        <v>29480</v>
      </c>
      <c r="M232" s="327"/>
      <c r="N232" s="321"/>
      <c r="O232" s="322">
        <f>SUMIFS('지출'!$G$3:$G794,'지출'!$J$3:$J794,O$1,'지출'!$C$3:$C794,"빠방")</f>
        <v>0</v>
      </c>
      <c r="P232" s="327"/>
      <c r="Q232" s="321"/>
      <c r="R232" s="322">
        <f>SUMIFS('지출'!$G$3:$G794,'지출'!$J$3:$J794,R$1,'지출'!$C$3:$C794,"빠방")</f>
        <v>0</v>
      </c>
      <c r="S232" s="327"/>
      <c r="T232" s="321"/>
      <c r="U232" s="322">
        <f>SUMIFS('지출'!$G$3:$G794,'지출'!$J$3:$J794,U$1,'지출'!$C$3:$C794,"빠방")</f>
        <v>0</v>
      </c>
      <c r="V232" s="327"/>
      <c r="W232" s="321"/>
      <c r="X232" s="322">
        <f>SUMIFS('지출'!$G$3:$G794,'지출'!$J$3:$J794,X$1,'지출'!$C$3:$C794,"빠방")</f>
        <v>0</v>
      </c>
      <c r="Y232" s="327"/>
      <c r="Z232" s="321"/>
      <c r="AA232" s="322">
        <f>SUMIFS('지출'!$G$3:$G794,'지출'!$J$3:$J794,AA$1,'지출'!$C$3:$C794,"빠방")</f>
        <v>0</v>
      </c>
      <c r="AB232" s="327"/>
      <c r="AC232" s="321"/>
      <c r="AD232" s="322">
        <f>SUMIFS('지출'!$G$3:$G794,'지출'!$J$3:$J794,AD$1,'지출'!$C$3:$C794,"빠방")</f>
        <v>0</v>
      </c>
      <c r="AE232" s="327"/>
      <c r="AF232" s="321"/>
      <c r="AG232" s="322">
        <f>SUMIFS('지출'!$G$3:$G794,'지출'!$J$3:$J794,AG$1,'지출'!$C$3:$C794,"빠방")</f>
        <v>0</v>
      </c>
      <c r="AH232" s="327"/>
      <c r="AI232" s="321"/>
      <c r="AJ232" s="322">
        <f>SUMIFS('지출'!$G$3:$G794,'지출'!$J$3:$J794,AJ$1,'지출'!$C$3:$C794,"빠방")</f>
        <v>0</v>
      </c>
      <c r="AK232" s="327"/>
      <c r="AL232" s="321"/>
      <c r="AM232" s="322">
        <f>SUMIFS('지출'!$G$3:$G794,'지출'!$J$3:$J794,AM$1,'지출'!$C$3:$C794,"빠방")</f>
        <v>0</v>
      </c>
      <c r="AN232" s="316" t="s">
        <v>321</v>
      </c>
      <c r="AO232" s="316"/>
      <c r="AP232" s="316"/>
      <c r="AQ232" s="316"/>
      <c r="AR232" s="316"/>
      <c r="AS232" s="316"/>
      <c r="AT232" s="316"/>
      <c r="AU232" s="316"/>
      <c r="AV232" s="316"/>
      <c r="AW232" s="316"/>
      <c r="AX232" s="316"/>
      <c r="AY232" s="316"/>
      <c r="AZ232" s="316"/>
      <c r="BA232" s="316"/>
      <c r="BB232" s="316"/>
      <c r="BC232" s="316"/>
      <c r="BD232" s="316"/>
      <c r="BE232" s="316"/>
      <c r="BF232" s="316"/>
      <c r="BG232" s="316"/>
      <c r="BH232" s="316"/>
      <c r="BI232" s="316"/>
      <c r="BJ232" s="316"/>
      <c r="BK232" s="316"/>
      <c r="BL232" s="316"/>
      <c r="BM232" s="316"/>
      <c r="BN232" s="316"/>
    </row>
    <row r="233" hidden="1" outlineLevel="1">
      <c r="A233" s="303" t="s">
        <v>474</v>
      </c>
      <c r="B233" s="304"/>
      <c r="C233" s="325" t="s">
        <v>56</v>
      </c>
      <c r="D233" s="320"/>
      <c r="E233" s="323">
        <f t="shared" ref="E233:F233" si="296">E224-(SUM(E225:E232))</f>
        <v>1380000</v>
      </c>
      <c r="F233" s="324">
        <f t="shared" si="296"/>
        <v>26050</v>
      </c>
      <c r="G233" s="320"/>
      <c r="H233" s="323">
        <f t="shared" ref="H233:I233" si="297">H224-(SUM(H225:H232))</f>
        <v>1332143</v>
      </c>
      <c r="I233" s="324">
        <f t="shared" si="297"/>
        <v>132887</v>
      </c>
      <c r="J233" s="320"/>
      <c r="K233" s="323">
        <f t="shared" ref="K233:L233" si="298">K224-(SUM(K225:K232))</f>
        <v>1620000</v>
      </c>
      <c r="L233" s="324">
        <f t="shared" si="298"/>
        <v>-10480</v>
      </c>
      <c r="M233" s="320"/>
      <c r="N233" s="323">
        <f t="shared" ref="N233:O233" si="299">N224-(SUM(N225:N232))</f>
        <v>1620000</v>
      </c>
      <c r="O233" s="324">
        <f t="shared" si="299"/>
        <v>464000</v>
      </c>
      <c r="P233" s="320"/>
      <c r="Q233" s="323">
        <f t="shared" ref="Q233:R233" si="300">Q224-(SUM(Q225:Q232))</f>
        <v>1620000</v>
      </c>
      <c r="R233" s="324">
        <f t="shared" si="300"/>
        <v>464000</v>
      </c>
      <c r="S233" s="320"/>
      <c r="T233" s="323">
        <f t="shared" ref="T233:U233" si="301">T224-(SUM(T225:T232))</f>
        <v>1620000</v>
      </c>
      <c r="U233" s="324">
        <f t="shared" si="301"/>
        <v>464000</v>
      </c>
      <c r="V233" s="320"/>
      <c r="W233" s="323">
        <f t="shared" ref="W233:X233" si="302">W224-(SUM(W225:W232))</f>
        <v>1620000</v>
      </c>
      <c r="X233" s="324">
        <f t="shared" si="302"/>
        <v>464000</v>
      </c>
      <c r="Y233" s="320"/>
      <c r="Z233" s="323">
        <f t="shared" ref="Z233:AA233" si="303">Z224-(SUM(Z225:Z232))</f>
        <v>1620000</v>
      </c>
      <c r="AA233" s="324">
        <f t="shared" si="303"/>
        <v>464000</v>
      </c>
      <c r="AB233" s="320"/>
      <c r="AC233" s="323">
        <f t="shared" ref="AC233:AD233" si="304">AC224-(SUM(AC225:AC232))</f>
        <v>1160000</v>
      </c>
      <c r="AD233" s="324">
        <f t="shared" si="304"/>
        <v>364000</v>
      </c>
      <c r="AE233" s="320"/>
      <c r="AF233" s="323">
        <f t="shared" ref="AF233:AG233" si="305">AF224-(SUM(AF225:AF232))</f>
        <v>1160000</v>
      </c>
      <c r="AG233" s="324">
        <f t="shared" si="305"/>
        <v>364000</v>
      </c>
      <c r="AH233" s="320"/>
      <c r="AI233" s="323">
        <f t="shared" ref="AI233:AJ233" si="306">AI224-(SUM(AI225:AI232))</f>
        <v>1160000</v>
      </c>
      <c r="AJ233" s="324">
        <f t="shared" si="306"/>
        <v>364000</v>
      </c>
      <c r="AK233" s="320"/>
      <c r="AL233" s="323">
        <f t="shared" ref="AL233:AM233" si="307">AL224-(SUM(AL225:AL232))</f>
        <v>1160000</v>
      </c>
      <c r="AM233" s="324">
        <f t="shared" si="307"/>
        <v>364000</v>
      </c>
      <c r="AN233" s="316" t="s">
        <v>321</v>
      </c>
      <c r="AO233" s="316"/>
      <c r="AP233" s="316"/>
      <c r="AQ233" s="316"/>
      <c r="AR233" s="316"/>
      <c r="AS233" s="316"/>
      <c r="AT233" s="316"/>
      <c r="AU233" s="316"/>
      <c r="AV233" s="316"/>
      <c r="AW233" s="316"/>
      <c r="AX233" s="316"/>
      <c r="AY233" s="316"/>
      <c r="AZ233" s="316"/>
      <c r="BA233" s="316"/>
      <c r="BB233" s="316"/>
      <c r="BC233" s="316"/>
      <c r="BD233" s="316"/>
      <c r="BE233" s="316"/>
      <c r="BF233" s="316"/>
      <c r="BG233" s="316"/>
      <c r="BH233" s="316"/>
      <c r="BI233" s="316"/>
      <c r="BJ233" s="316"/>
      <c r="BK233" s="316"/>
      <c r="BL233" s="316"/>
      <c r="BM233" s="316"/>
      <c r="BN233" s="316"/>
    </row>
    <row r="234">
      <c r="A234" s="303" t="s">
        <v>474</v>
      </c>
      <c r="B234" s="328">
        <v>0.0</v>
      </c>
      <c r="C234" s="325" t="s">
        <v>26</v>
      </c>
      <c r="D234" s="320"/>
      <c r="E234" s="323">
        <f>E233*$B234</f>
        <v>0</v>
      </c>
      <c r="F234" s="324"/>
      <c r="G234" s="320"/>
      <c r="H234" s="323">
        <f>H233*$B234</f>
        <v>0</v>
      </c>
      <c r="I234" s="324"/>
      <c r="J234" s="320"/>
      <c r="K234" s="323">
        <f>K233*$B234</f>
        <v>0</v>
      </c>
      <c r="L234" s="324"/>
      <c r="M234" s="320"/>
      <c r="N234" s="323">
        <f>N233*$B234</f>
        <v>0</v>
      </c>
      <c r="O234" s="324"/>
      <c r="P234" s="320"/>
      <c r="Q234" s="323">
        <f>Q233*$B234</f>
        <v>0</v>
      </c>
      <c r="R234" s="324"/>
      <c r="S234" s="320"/>
      <c r="T234" s="323">
        <f>T233*$B234</f>
        <v>0</v>
      </c>
      <c r="U234" s="324"/>
      <c r="V234" s="320"/>
      <c r="W234" s="323">
        <f>W233*$B234</f>
        <v>0</v>
      </c>
      <c r="X234" s="324"/>
      <c r="Y234" s="320"/>
      <c r="Z234" s="323">
        <f>Z233*$B234</f>
        <v>0</v>
      </c>
      <c r="AA234" s="324"/>
      <c r="AB234" s="320"/>
      <c r="AC234" s="323">
        <f>AC233*$B234</f>
        <v>0</v>
      </c>
      <c r="AD234" s="324"/>
      <c r="AE234" s="320"/>
      <c r="AF234" s="323">
        <f>AF233*$B234</f>
        <v>0</v>
      </c>
      <c r="AG234" s="324"/>
      <c r="AH234" s="320"/>
      <c r="AI234" s="323">
        <f>AI233*$B234</f>
        <v>0</v>
      </c>
      <c r="AJ234" s="324"/>
      <c r="AK234" s="320"/>
      <c r="AL234" s="323">
        <f>AL233*$B234</f>
        <v>0</v>
      </c>
      <c r="AM234" s="324"/>
      <c r="AN234" s="316" t="s">
        <v>321</v>
      </c>
      <c r="AO234" s="316"/>
      <c r="AP234" s="316"/>
      <c r="AQ234" s="316"/>
      <c r="AR234" s="316"/>
      <c r="AS234" s="316"/>
      <c r="AT234" s="316"/>
      <c r="AU234" s="316"/>
      <c r="AV234" s="316"/>
      <c r="AW234" s="316"/>
      <c r="AX234" s="316"/>
      <c r="AY234" s="316"/>
      <c r="AZ234" s="316"/>
      <c r="BA234" s="316"/>
      <c r="BB234" s="316"/>
      <c r="BC234" s="316"/>
      <c r="BD234" s="316"/>
      <c r="BE234" s="316"/>
      <c r="BF234" s="316"/>
      <c r="BG234" s="316"/>
      <c r="BH234" s="316"/>
      <c r="BI234" s="316"/>
      <c r="BJ234" s="316"/>
      <c r="BK234" s="316"/>
      <c r="BL234" s="316"/>
      <c r="BM234" s="316"/>
      <c r="BN234" s="316"/>
    </row>
    <row r="235">
      <c r="A235" s="303" t="s">
        <v>474</v>
      </c>
      <c r="B235" s="329">
        <v>1.0</v>
      </c>
      <c r="C235" s="330" t="s">
        <v>57</v>
      </c>
      <c r="D235" s="331"/>
      <c r="E235" s="332">
        <f>E233*$B235</f>
        <v>1380000</v>
      </c>
      <c r="F235" s="333"/>
      <c r="G235" s="331"/>
      <c r="H235" s="332">
        <f>H233*$B235</f>
        <v>1332143</v>
      </c>
      <c r="I235" s="333"/>
      <c r="J235" s="331"/>
      <c r="K235" s="332">
        <f>K233*$B235</f>
        <v>1620000</v>
      </c>
      <c r="L235" s="333"/>
      <c r="M235" s="331"/>
      <c r="N235" s="332">
        <f>N233*$B235</f>
        <v>1620000</v>
      </c>
      <c r="O235" s="333"/>
      <c r="P235" s="331"/>
      <c r="Q235" s="332">
        <f>Q233*$B235</f>
        <v>1620000</v>
      </c>
      <c r="R235" s="333"/>
      <c r="S235" s="331"/>
      <c r="T235" s="332">
        <f>T233*$B235</f>
        <v>1620000</v>
      </c>
      <c r="U235" s="333"/>
      <c r="V235" s="331"/>
      <c r="W235" s="332">
        <f>W233*$B235</f>
        <v>1620000</v>
      </c>
      <c r="X235" s="333"/>
      <c r="Y235" s="331"/>
      <c r="Z235" s="332">
        <f>Z233*$B235</f>
        <v>1620000</v>
      </c>
      <c r="AA235" s="333"/>
      <c r="AB235" s="331"/>
      <c r="AC235" s="332">
        <f>AC233*$B235</f>
        <v>1160000</v>
      </c>
      <c r="AD235" s="333"/>
      <c r="AE235" s="331"/>
      <c r="AF235" s="332">
        <f>AF233*$B235</f>
        <v>1160000</v>
      </c>
      <c r="AG235" s="333"/>
      <c r="AH235" s="331"/>
      <c r="AI235" s="332">
        <f>AI233*$B235</f>
        <v>1160000</v>
      </c>
      <c r="AJ235" s="333"/>
      <c r="AK235" s="331"/>
      <c r="AL235" s="332">
        <f>AL233*$B235</f>
        <v>1160000</v>
      </c>
      <c r="AM235" s="333"/>
      <c r="AN235" s="316" t="s">
        <v>321</v>
      </c>
      <c r="AO235" s="316"/>
      <c r="AP235" s="316"/>
      <c r="AQ235" s="316"/>
      <c r="AR235" s="316"/>
      <c r="AS235" s="316"/>
      <c r="AT235" s="316"/>
      <c r="AU235" s="316"/>
      <c r="AV235" s="316"/>
      <c r="AW235" s="316"/>
      <c r="AX235" s="316"/>
      <c r="AY235" s="316"/>
      <c r="AZ235" s="316"/>
      <c r="BA235" s="316"/>
      <c r="BB235" s="316"/>
      <c r="BC235" s="316"/>
      <c r="BD235" s="316"/>
      <c r="BE235" s="316"/>
      <c r="BF235" s="316"/>
      <c r="BG235" s="316"/>
      <c r="BH235" s="316"/>
      <c r="BI235" s="316"/>
      <c r="BJ235" s="316"/>
      <c r="BK235" s="316"/>
      <c r="BL235" s="316"/>
      <c r="BM235" s="316"/>
      <c r="BN235" s="316"/>
    </row>
    <row r="236">
      <c r="A236" s="303" t="s">
        <v>505</v>
      </c>
      <c r="B236" s="317" t="s">
        <v>505</v>
      </c>
      <c r="C236" s="325" t="s">
        <v>506</v>
      </c>
      <c r="D236" s="341" t="s">
        <v>1499</v>
      </c>
      <c r="E236" s="335">
        <v>550000.0</v>
      </c>
      <c r="F236" s="346">
        <v>100000.0</v>
      </c>
      <c r="G236" s="341" t="s">
        <v>1499</v>
      </c>
      <c r="H236" s="335">
        <v>550000.0</v>
      </c>
      <c r="I236" s="346">
        <v>100000.0</v>
      </c>
      <c r="J236" s="341" t="s">
        <v>1499</v>
      </c>
      <c r="K236" s="335">
        <v>550000.0</v>
      </c>
      <c r="L236" s="346">
        <v>100000.0</v>
      </c>
      <c r="M236" s="341" t="s">
        <v>1499</v>
      </c>
      <c r="N236" s="335">
        <v>550000.0</v>
      </c>
      <c r="O236" s="346">
        <v>100000.0</v>
      </c>
      <c r="P236" s="341" t="s">
        <v>1499</v>
      </c>
      <c r="Q236" s="335">
        <v>550000.0</v>
      </c>
      <c r="R236" s="346">
        <v>100000.0</v>
      </c>
      <c r="S236" s="341" t="s">
        <v>1499</v>
      </c>
      <c r="T236" s="335">
        <v>550000.0</v>
      </c>
      <c r="U236" s="346">
        <v>100000.0</v>
      </c>
      <c r="V236" s="341" t="s">
        <v>1499</v>
      </c>
      <c r="W236" s="335">
        <v>550000.0</v>
      </c>
      <c r="X236" s="346">
        <v>100000.0</v>
      </c>
      <c r="Y236" s="341" t="s">
        <v>1499</v>
      </c>
      <c r="Z236" s="335">
        <v>550000.0</v>
      </c>
      <c r="AA236" s="346">
        <v>100000.0</v>
      </c>
      <c r="AB236" s="341" t="s">
        <v>1499</v>
      </c>
      <c r="AC236" s="335">
        <v>550000.0</v>
      </c>
      <c r="AD236" s="346">
        <v>100000.0</v>
      </c>
      <c r="AE236" s="341" t="s">
        <v>1499</v>
      </c>
      <c r="AF236" s="335">
        <v>550000.0</v>
      </c>
      <c r="AG236" s="346">
        <v>100000.0</v>
      </c>
      <c r="AH236" s="353" t="s">
        <v>2150</v>
      </c>
      <c r="AI236" s="335">
        <v>550000.0</v>
      </c>
      <c r="AJ236" s="346">
        <v>100000.0</v>
      </c>
      <c r="AK236" s="326"/>
      <c r="AL236" s="321"/>
      <c r="AM236" s="322"/>
      <c r="AN236" s="316" t="s">
        <v>216</v>
      </c>
      <c r="AO236" s="316"/>
      <c r="AP236" s="316"/>
      <c r="AQ236" s="316"/>
      <c r="AR236" s="316"/>
      <c r="AS236" s="316"/>
      <c r="AT236" s="316"/>
      <c r="AU236" s="316"/>
      <c r="AV236" s="316"/>
      <c r="AW236" s="316"/>
      <c r="AX236" s="316"/>
      <c r="AY236" s="316"/>
      <c r="AZ236" s="316"/>
      <c r="BA236" s="316"/>
      <c r="BB236" s="316"/>
      <c r="BC236" s="316"/>
      <c r="BD236" s="316"/>
      <c r="BE236" s="316"/>
      <c r="BF236" s="316"/>
      <c r="BG236" s="316"/>
      <c r="BH236" s="316"/>
      <c r="BI236" s="316"/>
      <c r="BJ236" s="316"/>
      <c r="BK236" s="316"/>
      <c r="BL236" s="316"/>
      <c r="BM236" s="316"/>
      <c r="BN236" s="316"/>
    </row>
    <row r="237">
      <c r="A237" s="303" t="s">
        <v>505</v>
      </c>
      <c r="B237" s="317" t="s">
        <v>512</v>
      </c>
      <c r="C237" s="325" t="s">
        <v>513</v>
      </c>
      <c r="D237" s="353" t="s">
        <v>1504</v>
      </c>
      <c r="E237" s="348">
        <v>590000.0</v>
      </c>
      <c r="F237" s="345">
        <v>120000.0</v>
      </c>
      <c r="G237" s="353" t="s">
        <v>1504</v>
      </c>
      <c r="H237" s="348">
        <v>590000.0</v>
      </c>
      <c r="I237" s="345">
        <v>120000.0</v>
      </c>
      <c r="J237" s="353" t="s">
        <v>1504</v>
      </c>
      <c r="K237" s="348">
        <v>590000.0</v>
      </c>
      <c r="L237" s="345">
        <v>120000.0</v>
      </c>
      <c r="M237" s="353" t="s">
        <v>1504</v>
      </c>
      <c r="N237" s="348">
        <v>590000.0</v>
      </c>
      <c r="O237" s="345">
        <v>120000.0</v>
      </c>
      <c r="P237" s="353" t="s">
        <v>1504</v>
      </c>
      <c r="Q237" s="348">
        <v>590000.0</v>
      </c>
      <c r="R237" s="345">
        <v>120000.0</v>
      </c>
      <c r="S237" s="353" t="s">
        <v>1504</v>
      </c>
      <c r="T237" s="348">
        <v>590000.0</v>
      </c>
      <c r="U237" s="345">
        <v>120000.0</v>
      </c>
      <c r="V237" s="353" t="s">
        <v>1504</v>
      </c>
      <c r="W237" s="348">
        <v>590000.0</v>
      </c>
      <c r="X237" s="345">
        <v>120000.0</v>
      </c>
      <c r="Y237" s="353" t="s">
        <v>1504</v>
      </c>
      <c r="Z237" s="348">
        <v>590000.0</v>
      </c>
      <c r="AA237" s="345">
        <v>120000.0</v>
      </c>
      <c r="AB237" s="353" t="s">
        <v>1504</v>
      </c>
      <c r="AC237" s="348">
        <v>590000.0</v>
      </c>
      <c r="AD237" s="345">
        <v>120000.0</v>
      </c>
      <c r="AE237" s="353" t="s">
        <v>1504</v>
      </c>
      <c r="AF237" s="348">
        <v>590000.0</v>
      </c>
      <c r="AG237" s="345">
        <v>120000.0</v>
      </c>
      <c r="AH237" s="353" t="s">
        <v>1504</v>
      </c>
      <c r="AI237" s="348">
        <v>590000.0</v>
      </c>
      <c r="AJ237" s="345">
        <v>120000.0</v>
      </c>
      <c r="AK237" s="353" t="s">
        <v>1504</v>
      </c>
      <c r="AL237" s="348">
        <v>590000.0</v>
      </c>
      <c r="AM237" s="345">
        <v>120000.0</v>
      </c>
      <c r="AN237" s="316" t="s">
        <v>216</v>
      </c>
      <c r="AO237" s="316"/>
      <c r="AP237" s="316"/>
      <c r="AQ237" s="316"/>
      <c r="AR237" s="316"/>
      <c r="AS237" s="316"/>
      <c r="AT237" s="316"/>
      <c r="AU237" s="316"/>
      <c r="AV237" s="316"/>
      <c r="AW237" s="316"/>
      <c r="AX237" s="316"/>
      <c r="AY237" s="316"/>
      <c r="AZ237" s="316"/>
      <c r="BA237" s="316"/>
      <c r="BB237" s="316"/>
      <c r="BC237" s="316"/>
      <c r="BD237" s="316"/>
      <c r="BE237" s="316"/>
      <c r="BF237" s="316"/>
      <c r="BG237" s="316"/>
      <c r="BH237" s="316"/>
      <c r="BI237" s="316"/>
      <c r="BJ237" s="316"/>
      <c r="BK237" s="316"/>
      <c r="BL237" s="316"/>
      <c r="BM237" s="316"/>
      <c r="BN237" s="316"/>
    </row>
    <row r="238">
      <c r="A238" s="303" t="s">
        <v>505</v>
      </c>
      <c r="B238" s="317" t="s">
        <v>505</v>
      </c>
      <c r="C238" s="325" t="s">
        <v>519</v>
      </c>
      <c r="D238" s="341" t="s">
        <v>529</v>
      </c>
      <c r="E238" s="335">
        <v>570000.0</v>
      </c>
      <c r="F238" s="346">
        <v>100000.0</v>
      </c>
      <c r="G238" s="341" t="s">
        <v>529</v>
      </c>
      <c r="H238" s="335">
        <v>570000.0</v>
      </c>
      <c r="I238" s="346">
        <v>100000.0</v>
      </c>
      <c r="J238" s="341" t="s">
        <v>529</v>
      </c>
      <c r="K238" s="335">
        <v>570000.0</v>
      </c>
      <c r="L238" s="346">
        <v>120000.0</v>
      </c>
      <c r="M238" s="341" t="s">
        <v>529</v>
      </c>
      <c r="N238" s="335">
        <v>570000.0</v>
      </c>
      <c r="O238" s="345">
        <v>120000.0</v>
      </c>
      <c r="P238" s="341" t="s">
        <v>529</v>
      </c>
      <c r="Q238" s="335">
        <v>570000.0</v>
      </c>
      <c r="R238" s="345">
        <v>120000.0</v>
      </c>
      <c r="S238" s="341" t="s">
        <v>529</v>
      </c>
      <c r="T238" s="335">
        <v>570000.0</v>
      </c>
      <c r="U238" s="345">
        <v>120000.0</v>
      </c>
      <c r="V238" s="341" t="s">
        <v>529</v>
      </c>
      <c r="W238" s="335">
        <v>570000.0</v>
      </c>
      <c r="X238" s="345">
        <v>120000.0</v>
      </c>
      <c r="Y238" s="341" t="s">
        <v>529</v>
      </c>
      <c r="Z238" s="335">
        <v>570000.0</v>
      </c>
      <c r="AA238" s="345">
        <v>120000.0</v>
      </c>
      <c r="AB238" s="341" t="s">
        <v>529</v>
      </c>
      <c r="AC238" s="335">
        <v>570000.0</v>
      </c>
      <c r="AD238" s="345">
        <v>120000.0</v>
      </c>
      <c r="AE238" s="341" t="s">
        <v>529</v>
      </c>
      <c r="AF238" s="335">
        <v>570000.0</v>
      </c>
      <c r="AG238" s="345">
        <v>120000.0</v>
      </c>
      <c r="AH238" s="341" t="s">
        <v>529</v>
      </c>
      <c r="AI238" s="335">
        <v>570000.0</v>
      </c>
      <c r="AJ238" s="345">
        <v>120000.0</v>
      </c>
      <c r="AK238" s="341" t="s">
        <v>529</v>
      </c>
      <c r="AL238" s="335">
        <v>570000.0</v>
      </c>
      <c r="AM238" s="345">
        <v>120000.0</v>
      </c>
      <c r="AN238" s="316" t="s">
        <v>216</v>
      </c>
      <c r="AO238" s="316"/>
      <c r="AP238" s="316"/>
      <c r="AQ238" s="316"/>
      <c r="AR238" s="316"/>
      <c r="AS238" s="316"/>
      <c r="AT238" s="316"/>
      <c r="AU238" s="316"/>
      <c r="AV238" s="316"/>
      <c r="AW238" s="316"/>
      <c r="AX238" s="316"/>
      <c r="AY238" s="316"/>
      <c r="AZ238" s="316"/>
      <c r="BA238" s="316"/>
      <c r="BB238" s="316"/>
      <c r="BC238" s="316"/>
      <c r="BD238" s="316"/>
      <c r="BE238" s="316"/>
      <c r="BF238" s="316"/>
      <c r="BG238" s="316"/>
      <c r="BH238" s="316"/>
      <c r="BI238" s="316"/>
      <c r="BJ238" s="316"/>
      <c r="BK238" s="316"/>
      <c r="BL238" s="316"/>
      <c r="BM238" s="316"/>
      <c r="BN238" s="316"/>
    </row>
    <row r="239">
      <c r="A239" s="303" t="s">
        <v>505</v>
      </c>
      <c r="B239" s="317" t="s">
        <v>505</v>
      </c>
      <c r="C239" s="325" t="s">
        <v>525</v>
      </c>
      <c r="D239" s="341" t="s">
        <v>2151</v>
      </c>
      <c r="E239" s="348">
        <v>470000.0</v>
      </c>
      <c r="F239" s="346">
        <v>120000.0</v>
      </c>
      <c r="G239" s="353" t="s">
        <v>2152</v>
      </c>
      <c r="H239" s="335">
        <f>470000+58929</f>
        <v>528929</v>
      </c>
      <c r="I239" s="346">
        <f>120000+12857</f>
        <v>132857</v>
      </c>
      <c r="J239" s="326" t="s">
        <v>1510</v>
      </c>
      <c r="K239" s="348">
        <v>550000.0</v>
      </c>
      <c r="L239" s="346">
        <v>120000.0</v>
      </c>
      <c r="M239" s="326" t="s">
        <v>1510</v>
      </c>
      <c r="N239" s="348">
        <v>550000.0</v>
      </c>
      <c r="O239" s="346">
        <v>120000.0</v>
      </c>
      <c r="P239" s="326" t="s">
        <v>1510</v>
      </c>
      <c r="Q239" s="348">
        <v>550000.0</v>
      </c>
      <c r="R239" s="346">
        <v>120000.0</v>
      </c>
      <c r="S239" s="326" t="s">
        <v>1510</v>
      </c>
      <c r="T239" s="348">
        <v>550000.0</v>
      </c>
      <c r="U239" s="346">
        <v>120000.0</v>
      </c>
      <c r="V239" s="326" t="s">
        <v>1510</v>
      </c>
      <c r="W239" s="348">
        <v>550000.0</v>
      </c>
      <c r="X239" s="346">
        <v>120000.0</v>
      </c>
      <c r="Y239" s="326" t="s">
        <v>1510</v>
      </c>
      <c r="Z239" s="348">
        <v>550000.0</v>
      </c>
      <c r="AA239" s="346">
        <v>120000.0</v>
      </c>
      <c r="AB239" s="326" t="s">
        <v>1510</v>
      </c>
      <c r="AC239" s="348">
        <v>550000.0</v>
      </c>
      <c r="AD239" s="346">
        <v>120000.0</v>
      </c>
      <c r="AE239" s="326" t="s">
        <v>1510</v>
      </c>
      <c r="AF239" s="348">
        <v>550000.0</v>
      </c>
      <c r="AG239" s="346">
        <v>120000.0</v>
      </c>
      <c r="AH239" s="326" t="s">
        <v>1510</v>
      </c>
      <c r="AI239" s="348">
        <v>550000.0</v>
      </c>
      <c r="AJ239" s="346">
        <v>120000.0</v>
      </c>
      <c r="AK239" s="326" t="s">
        <v>1510</v>
      </c>
      <c r="AL239" s="348">
        <v>550000.0</v>
      </c>
      <c r="AM239" s="346">
        <v>120000.0</v>
      </c>
      <c r="AN239" s="316" t="s">
        <v>216</v>
      </c>
      <c r="AO239" s="316"/>
      <c r="AP239" s="365"/>
      <c r="AQ239" s="365"/>
      <c r="AR239" s="316"/>
      <c r="AS239" s="316"/>
      <c r="AT239" s="316"/>
      <c r="AU239" s="316"/>
      <c r="AV239" s="316"/>
      <c r="AW239" s="316"/>
      <c r="AX239" s="316"/>
      <c r="AY239" s="316"/>
      <c r="AZ239" s="316"/>
      <c r="BA239" s="316"/>
      <c r="BB239" s="316"/>
      <c r="BC239" s="316"/>
      <c r="BD239" s="316"/>
      <c r="BE239" s="316"/>
      <c r="BF239" s="316"/>
      <c r="BG239" s="316"/>
      <c r="BH239" s="316"/>
      <c r="BI239" s="316"/>
      <c r="BJ239" s="316"/>
      <c r="BK239" s="316"/>
      <c r="BL239" s="316"/>
      <c r="BM239" s="316"/>
      <c r="BN239" s="316"/>
    </row>
    <row r="240">
      <c r="A240" s="303" t="s">
        <v>505</v>
      </c>
      <c r="B240" s="317" t="s">
        <v>505</v>
      </c>
      <c r="C240" s="325" t="s">
        <v>530</v>
      </c>
      <c r="D240" s="353" t="s">
        <v>2153</v>
      </c>
      <c r="E240" s="335">
        <v>530000.0</v>
      </c>
      <c r="F240" s="346">
        <v>120000.0</v>
      </c>
      <c r="G240" s="353" t="s">
        <v>2154</v>
      </c>
      <c r="H240" s="335">
        <f>530000+446429+500000</f>
        <v>1476429</v>
      </c>
      <c r="I240" s="346">
        <f>120000+107143+120000</f>
        <v>347143</v>
      </c>
      <c r="J240" s="353" t="s">
        <v>2155</v>
      </c>
      <c r="K240" s="335">
        <f>530000+403226</f>
        <v>933226</v>
      </c>
      <c r="L240" s="346">
        <f>120000+96774</f>
        <v>216774</v>
      </c>
      <c r="M240" s="353" t="s">
        <v>1514</v>
      </c>
      <c r="N240" s="348">
        <v>500000.0</v>
      </c>
      <c r="O240" s="346">
        <v>120000.0</v>
      </c>
      <c r="P240" s="353" t="s">
        <v>1514</v>
      </c>
      <c r="Q240" s="348">
        <v>500000.0</v>
      </c>
      <c r="R240" s="346">
        <v>120000.0</v>
      </c>
      <c r="S240" s="353" t="s">
        <v>1514</v>
      </c>
      <c r="T240" s="348">
        <v>500000.0</v>
      </c>
      <c r="U240" s="346">
        <v>120000.0</v>
      </c>
      <c r="V240" s="353" t="s">
        <v>1514</v>
      </c>
      <c r="W240" s="348">
        <v>500000.0</v>
      </c>
      <c r="X240" s="346">
        <v>120000.0</v>
      </c>
      <c r="Y240" s="353" t="s">
        <v>1514</v>
      </c>
      <c r="Z240" s="348">
        <v>403226.0</v>
      </c>
      <c r="AA240" s="345">
        <v>96774.0</v>
      </c>
      <c r="AB240" s="326"/>
      <c r="AC240" s="321"/>
      <c r="AD240" s="322"/>
      <c r="AE240" s="317"/>
      <c r="AF240" s="321"/>
      <c r="AG240" s="322"/>
      <c r="AH240" s="317"/>
      <c r="AI240" s="321"/>
      <c r="AJ240" s="322"/>
      <c r="AK240" s="317"/>
      <c r="AL240" s="321"/>
      <c r="AM240" s="322"/>
      <c r="AN240" s="316" t="s">
        <v>216</v>
      </c>
      <c r="AO240" s="316"/>
      <c r="AP240" s="365"/>
      <c r="AQ240" s="365"/>
      <c r="AR240" s="316"/>
      <c r="AS240" s="316"/>
      <c r="AT240" s="316"/>
      <c r="AU240" s="316"/>
      <c r="AV240" s="316"/>
      <c r="AW240" s="316"/>
      <c r="AX240" s="316"/>
      <c r="AY240" s="316"/>
      <c r="AZ240" s="316"/>
      <c r="BA240" s="316"/>
      <c r="BB240" s="316"/>
      <c r="BC240" s="316"/>
      <c r="BD240" s="316"/>
      <c r="BE240" s="316"/>
      <c r="BF240" s="316"/>
      <c r="BG240" s="316"/>
      <c r="BH240" s="316"/>
      <c r="BI240" s="316"/>
      <c r="BJ240" s="316"/>
      <c r="BK240" s="316"/>
      <c r="BL240" s="316"/>
      <c r="BM240" s="316"/>
      <c r="BN240" s="316"/>
    </row>
    <row r="241">
      <c r="A241" s="303" t="s">
        <v>505</v>
      </c>
      <c r="B241" s="317" t="s">
        <v>505</v>
      </c>
      <c r="C241" s="325" t="s">
        <v>542</v>
      </c>
      <c r="D241" s="353" t="s">
        <v>2156</v>
      </c>
      <c r="E241" s="335">
        <v>530000.0</v>
      </c>
      <c r="F241" s="346">
        <v>120000.0</v>
      </c>
      <c r="G241" s="353" t="s">
        <v>2157</v>
      </c>
      <c r="H241" s="335">
        <f>530000+285714</f>
        <v>815714</v>
      </c>
      <c r="I241" s="346">
        <f>120000+68571</f>
        <v>188571</v>
      </c>
      <c r="J241" s="353" t="s">
        <v>2158</v>
      </c>
      <c r="K241" s="348">
        <f>530000+450000</f>
        <v>980000</v>
      </c>
      <c r="L241" s="346">
        <f>120000+120000</f>
        <v>240000</v>
      </c>
      <c r="M241" s="353" t="s">
        <v>2159</v>
      </c>
      <c r="N241" s="348">
        <v>450000.0</v>
      </c>
      <c r="O241" s="346">
        <v>120000.0</v>
      </c>
      <c r="P241" s="353" t="s">
        <v>2159</v>
      </c>
      <c r="Q241" s="348">
        <v>450000.0</v>
      </c>
      <c r="R241" s="346">
        <v>120000.0</v>
      </c>
      <c r="S241" s="353" t="s">
        <v>2159</v>
      </c>
      <c r="T241" s="348">
        <v>450000.0</v>
      </c>
      <c r="U241" s="346">
        <v>120000.0</v>
      </c>
      <c r="V241" s="353" t="s">
        <v>2159</v>
      </c>
      <c r="W241" s="348">
        <v>450000.0</v>
      </c>
      <c r="X241" s="346">
        <v>120000.0</v>
      </c>
      <c r="Y241" s="353" t="s">
        <v>2159</v>
      </c>
      <c r="Z241" s="348">
        <v>450000.0</v>
      </c>
      <c r="AA241" s="346">
        <v>120000.0</v>
      </c>
      <c r="AB241" s="353" t="s">
        <v>2159</v>
      </c>
      <c r="AC241" s="348">
        <v>450000.0</v>
      </c>
      <c r="AD241" s="346">
        <v>120000.0</v>
      </c>
      <c r="AE241" s="353" t="s">
        <v>2159</v>
      </c>
      <c r="AF241" s="348">
        <v>450000.0</v>
      </c>
      <c r="AG241" s="346">
        <v>120000.0</v>
      </c>
      <c r="AH241" s="353" t="s">
        <v>2159</v>
      </c>
      <c r="AI241" s="348">
        <v>450000.0</v>
      </c>
      <c r="AJ241" s="346">
        <v>120000.0</v>
      </c>
      <c r="AK241" s="353" t="s">
        <v>2159</v>
      </c>
      <c r="AL241" s="348">
        <v>450000.0</v>
      </c>
      <c r="AM241" s="346">
        <v>120000.0</v>
      </c>
      <c r="AN241" s="316" t="s">
        <v>216</v>
      </c>
      <c r="AO241" s="316"/>
      <c r="AP241" s="316"/>
      <c r="AQ241" s="316"/>
      <c r="AR241" s="316"/>
      <c r="AS241" s="316"/>
      <c r="AT241" s="316"/>
      <c r="AU241" s="316"/>
      <c r="AV241" s="316"/>
      <c r="AW241" s="316"/>
      <c r="AX241" s="316"/>
      <c r="AY241" s="316"/>
      <c r="AZ241" s="316"/>
      <c r="BA241" s="316"/>
      <c r="BB241" s="316"/>
      <c r="BC241" s="316"/>
      <c r="BD241" s="316"/>
      <c r="BE241" s="316"/>
      <c r="BF241" s="316"/>
      <c r="BG241" s="316"/>
      <c r="BH241" s="316"/>
      <c r="BI241" s="316"/>
      <c r="BJ241" s="316"/>
      <c r="BK241" s="316"/>
      <c r="BL241" s="316"/>
      <c r="BM241" s="316"/>
      <c r="BN241" s="316"/>
    </row>
    <row r="242">
      <c r="A242" s="303" t="s">
        <v>505</v>
      </c>
      <c r="B242" s="304"/>
      <c r="C242" s="305" t="s">
        <v>42</v>
      </c>
      <c r="D242" s="320"/>
      <c r="E242" s="323">
        <f t="shared" ref="E242:F242" si="308">SUM(E236:E241)</f>
        <v>3240000</v>
      </c>
      <c r="F242" s="324">
        <f t="shared" si="308"/>
        <v>680000</v>
      </c>
      <c r="G242" s="320"/>
      <c r="H242" s="323">
        <f t="shared" ref="H242:I242" si="309">SUM(H236:H241)</f>
        <v>4531072</v>
      </c>
      <c r="I242" s="324">
        <f t="shared" si="309"/>
        <v>988571</v>
      </c>
      <c r="J242" s="320"/>
      <c r="K242" s="323">
        <f t="shared" ref="K242:L242" si="310">SUM(K236:K241)</f>
        <v>4173226</v>
      </c>
      <c r="L242" s="324">
        <f t="shared" si="310"/>
        <v>916774</v>
      </c>
      <c r="M242" s="320"/>
      <c r="N242" s="323">
        <f t="shared" ref="N242:O242" si="311">SUM(N236:N241)</f>
        <v>3210000</v>
      </c>
      <c r="O242" s="324">
        <f t="shared" si="311"/>
        <v>700000</v>
      </c>
      <c r="P242" s="320"/>
      <c r="Q242" s="323">
        <f t="shared" ref="Q242:R242" si="312">SUM(Q236:Q241)</f>
        <v>3210000</v>
      </c>
      <c r="R242" s="324">
        <f t="shared" si="312"/>
        <v>700000</v>
      </c>
      <c r="S242" s="320"/>
      <c r="T242" s="323">
        <f t="shared" ref="T242:U242" si="313">SUM(T236:T241)</f>
        <v>3210000</v>
      </c>
      <c r="U242" s="324">
        <f t="shared" si="313"/>
        <v>700000</v>
      </c>
      <c r="V242" s="320"/>
      <c r="W242" s="323">
        <f t="shared" ref="W242:X242" si="314">SUM(W236:W241)</f>
        <v>3210000</v>
      </c>
      <c r="X242" s="324">
        <f t="shared" si="314"/>
        <v>700000</v>
      </c>
      <c r="Y242" s="320"/>
      <c r="Z242" s="323">
        <f t="shared" ref="Z242:AA242" si="315">SUM(Z236:Z241)</f>
        <v>3113226</v>
      </c>
      <c r="AA242" s="324">
        <f t="shared" si="315"/>
        <v>676774</v>
      </c>
      <c r="AB242" s="320"/>
      <c r="AC242" s="323">
        <f t="shared" ref="AC242:AD242" si="316">SUM(AC236:AC241)</f>
        <v>2710000</v>
      </c>
      <c r="AD242" s="324">
        <f t="shared" si="316"/>
        <v>580000</v>
      </c>
      <c r="AE242" s="320"/>
      <c r="AF242" s="323">
        <f t="shared" ref="AF242:AG242" si="317">SUM(AF236:AF241)</f>
        <v>2710000</v>
      </c>
      <c r="AG242" s="324">
        <f t="shared" si="317"/>
        <v>580000</v>
      </c>
      <c r="AH242" s="320"/>
      <c r="AI242" s="323">
        <f t="shared" ref="AI242:AJ242" si="318">SUM(AI236:AI241)</f>
        <v>2710000</v>
      </c>
      <c r="AJ242" s="324">
        <f t="shared" si="318"/>
        <v>580000</v>
      </c>
      <c r="AK242" s="320"/>
      <c r="AL242" s="323">
        <f t="shared" ref="AL242:AM242" si="319">SUM(AL236:AL241)</f>
        <v>2160000</v>
      </c>
      <c r="AM242" s="324">
        <f t="shared" si="319"/>
        <v>480000</v>
      </c>
      <c r="AN242" s="316" t="s">
        <v>216</v>
      </c>
      <c r="AO242" s="316"/>
      <c r="AP242" s="316"/>
      <c r="AQ242" s="316"/>
      <c r="AR242" s="316"/>
      <c r="AS242" s="316"/>
      <c r="AT242" s="316"/>
      <c r="AU242" s="316"/>
      <c r="AV242" s="316"/>
      <c r="AW242" s="316"/>
      <c r="AX242" s="316"/>
      <c r="AY242" s="316"/>
      <c r="AZ242" s="316"/>
      <c r="BA242" s="316"/>
      <c r="BB242" s="316"/>
      <c r="BC242" s="316"/>
      <c r="BD242" s="316"/>
      <c r="BE242" s="316"/>
      <c r="BF242" s="316"/>
      <c r="BG242" s="316"/>
      <c r="BH242" s="316"/>
      <c r="BI242" s="316"/>
      <c r="BJ242" s="316"/>
      <c r="BK242" s="316"/>
      <c r="BL242" s="316"/>
      <c r="BM242" s="316"/>
      <c r="BN242" s="316"/>
    </row>
    <row r="243" collapsed="1">
      <c r="A243" s="303" t="s">
        <v>505</v>
      </c>
      <c r="B243" s="304"/>
      <c r="C243" s="325" t="s">
        <v>43</v>
      </c>
      <c r="D243" s="326"/>
      <c r="E243" s="321">
        <v>1800000.0</v>
      </c>
      <c r="F243" s="324"/>
      <c r="G243" s="326"/>
      <c r="H243" s="321">
        <v>1800000.0</v>
      </c>
      <c r="I243" s="324"/>
      <c r="J243" s="326"/>
      <c r="K243" s="321">
        <v>1800000.0</v>
      </c>
      <c r="L243" s="324"/>
      <c r="M243" s="326"/>
      <c r="N243" s="321">
        <v>1800000.0</v>
      </c>
      <c r="O243" s="324"/>
      <c r="P243" s="326"/>
      <c r="Q243" s="321">
        <v>1800000.0</v>
      </c>
      <c r="R243" s="324"/>
      <c r="S243" s="326"/>
      <c r="T243" s="321">
        <v>1800000.0</v>
      </c>
      <c r="U243" s="324"/>
      <c r="V243" s="326"/>
      <c r="W243" s="321">
        <v>1800000.0</v>
      </c>
      <c r="X243" s="324"/>
      <c r="Y243" s="326"/>
      <c r="Z243" s="321">
        <v>1800000.0</v>
      </c>
      <c r="AA243" s="324"/>
      <c r="AB243" s="326"/>
      <c r="AC243" s="321">
        <v>1800000.0</v>
      </c>
      <c r="AD243" s="324"/>
      <c r="AE243" s="326"/>
      <c r="AF243" s="321">
        <v>1800000.0</v>
      </c>
      <c r="AG243" s="324"/>
      <c r="AH243" s="326"/>
      <c r="AI243" s="321">
        <v>1800000.0</v>
      </c>
      <c r="AJ243" s="324"/>
      <c r="AK243" s="326"/>
      <c r="AL243" s="321">
        <v>1800000.0</v>
      </c>
      <c r="AM243" s="324"/>
      <c r="AN243" s="316" t="s">
        <v>216</v>
      </c>
      <c r="AO243" s="316"/>
      <c r="AP243" s="316"/>
      <c r="AQ243" s="316"/>
      <c r="AR243" s="316"/>
      <c r="AS243" s="316"/>
      <c r="AT243" s="316"/>
      <c r="AU243" s="316"/>
      <c r="AV243" s="316"/>
      <c r="AW243" s="316"/>
      <c r="AX243" s="316"/>
      <c r="AY243" s="316"/>
      <c r="AZ243" s="316"/>
      <c r="BA243" s="316"/>
      <c r="BB243" s="316"/>
      <c r="BC243" s="316"/>
      <c r="BD243" s="316"/>
      <c r="BE243" s="316"/>
      <c r="BF243" s="316"/>
      <c r="BG243" s="316"/>
      <c r="BH243" s="316"/>
      <c r="BI243" s="316"/>
      <c r="BJ243" s="316"/>
      <c r="BK243" s="316"/>
      <c r="BL243" s="316"/>
      <c r="BM243" s="316"/>
      <c r="BN243" s="316"/>
    </row>
    <row r="244" hidden="1" outlineLevel="1">
      <c r="A244" s="303" t="s">
        <v>505</v>
      </c>
      <c r="B244" s="317" t="s">
        <v>551</v>
      </c>
      <c r="C244" s="325" t="s">
        <v>45</v>
      </c>
      <c r="D244" s="327"/>
      <c r="E244" s="321"/>
      <c r="F244" s="322">
        <v>235650.0</v>
      </c>
      <c r="G244" s="327" t="s">
        <v>2039</v>
      </c>
      <c r="H244" s="321"/>
      <c r="I244" s="322">
        <v>250000.0</v>
      </c>
      <c r="J244" s="327" t="s">
        <v>2039</v>
      </c>
      <c r="K244" s="321"/>
      <c r="L244" s="322">
        <v>250000.0</v>
      </c>
      <c r="M244" s="327"/>
      <c r="N244" s="321"/>
      <c r="O244" s="322"/>
      <c r="P244" s="327"/>
      <c r="Q244" s="321"/>
      <c r="R244" s="322"/>
      <c r="S244" s="327"/>
      <c r="T244" s="321"/>
      <c r="U244" s="322"/>
      <c r="V244" s="327"/>
      <c r="W244" s="321"/>
      <c r="X244" s="322"/>
      <c r="Y244" s="327"/>
      <c r="Z244" s="321"/>
      <c r="AA244" s="322"/>
      <c r="AB244" s="327"/>
      <c r="AC244" s="321"/>
      <c r="AD244" s="322"/>
      <c r="AE244" s="327"/>
      <c r="AF244" s="321"/>
      <c r="AG244" s="322"/>
      <c r="AH244" s="327"/>
      <c r="AI244" s="321"/>
      <c r="AJ244" s="322"/>
      <c r="AK244" s="327"/>
      <c r="AL244" s="321"/>
      <c r="AM244" s="322"/>
      <c r="AN244" s="316" t="s">
        <v>216</v>
      </c>
      <c r="AO244" s="316"/>
      <c r="AP244" s="316"/>
      <c r="AQ244" s="316"/>
      <c r="AR244" s="316"/>
      <c r="AS244" s="316"/>
      <c r="AT244" s="316"/>
      <c r="AU244" s="316"/>
      <c r="AV244" s="316"/>
      <c r="AW244" s="316"/>
      <c r="AX244" s="316"/>
      <c r="AY244" s="316"/>
      <c r="AZ244" s="316"/>
      <c r="BA244" s="316"/>
      <c r="BB244" s="316"/>
      <c r="BC244" s="316"/>
      <c r="BD244" s="316"/>
      <c r="BE244" s="316"/>
      <c r="BF244" s="316"/>
      <c r="BG244" s="316"/>
      <c r="BH244" s="316"/>
      <c r="BI244" s="316"/>
      <c r="BJ244" s="316"/>
      <c r="BK244" s="316"/>
      <c r="BL244" s="316"/>
      <c r="BM244" s="316"/>
      <c r="BN244" s="316"/>
    </row>
    <row r="245" hidden="1" outlineLevel="1">
      <c r="A245" s="303" t="s">
        <v>505</v>
      </c>
      <c r="B245" s="317" t="s">
        <v>446</v>
      </c>
      <c r="C245" s="325" t="s">
        <v>47</v>
      </c>
      <c r="D245" s="327"/>
      <c r="E245" s="321"/>
      <c r="F245" s="322" t="s">
        <v>446</v>
      </c>
      <c r="G245" s="327"/>
      <c r="H245" s="321"/>
      <c r="I245" s="322" t="s">
        <v>446</v>
      </c>
      <c r="J245" s="327"/>
      <c r="K245" s="321"/>
      <c r="L245" s="322" t="s">
        <v>446</v>
      </c>
      <c r="M245" s="327"/>
      <c r="N245" s="321"/>
      <c r="O245" s="322" t="s">
        <v>446</v>
      </c>
      <c r="P245" s="327"/>
      <c r="Q245" s="321"/>
      <c r="R245" s="322" t="s">
        <v>446</v>
      </c>
      <c r="S245" s="327"/>
      <c r="T245" s="321"/>
      <c r="U245" s="322" t="s">
        <v>446</v>
      </c>
      <c r="V245" s="327"/>
      <c r="W245" s="321"/>
      <c r="X245" s="322" t="s">
        <v>446</v>
      </c>
      <c r="Y245" s="327"/>
      <c r="Z245" s="321"/>
      <c r="AA245" s="322" t="s">
        <v>446</v>
      </c>
      <c r="AB245" s="327"/>
      <c r="AC245" s="321"/>
      <c r="AD245" s="322" t="s">
        <v>446</v>
      </c>
      <c r="AE245" s="327"/>
      <c r="AF245" s="321"/>
      <c r="AG245" s="322" t="s">
        <v>446</v>
      </c>
      <c r="AH245" s="327"/>
      <c r="AI245" s="321"/>
      <c r="AJ245" s="322" t="s">
        <v>446</v>
      </c>
      <c r="AK245" s="327"/>
      <c r="AL245" s="321"/>
      <c r="AM245" s="322" t="s">
        <v>446</v>
      </c>
      <c r="AN245" s="316" t="s">
        <v>216</v>
      </c>
      <c r="AO245" s="316"/>
      <c r="AP245" s="316"/>
      <c r="AQ245" s="316"/>
      <c r="AR245" s="316"/>
      <c r="AS245" s="316"/>
      <c r="AT245" s="316"/>
      <c r="AU245" s="316"/>
      <c r="AV245" s="316"/>
      <c r="AW245" s="316"/>
      <c r="AX245" s="316"/>
      <c r="AY245" s="316"/>
      <c r="AZ245" s="316"/>
      <c r="BA245" s="316"/>
      <c r="BB245" s="316"/>
      <c r="BC245" s="316"/>
      <c r="BD245" s="316"/>
      <c r="BE245" s="316"/>
      <c r="BF245" s="316"/>
      <c r="BG245" s="316"/>
      <c r="BH245" s="316"/>
      <c r="BI245" s="316"/>
      <c r="BJ245" s="316"/>
      <c r="BK245" s="316"/>
      <c r="BL245" s="316"/>
      <c r="BM245" s="316"/>
      <c r="BN245" s="316"/>
    </row>
    <row r="246" hidden="1" outlineLevel="1">
      <c r="A246" s="303" t="s">
        <v>505</v>
      </c>
      <c r="B246" s="317" t="s">
        <v>552</v>
      </c>
      <c r="C246" s="325" t="s">
        <v>49</v>
      </c>
      <c r="D246" s="327"/>
      <c r="E246" s="321"/>
      <c r="F246" s="322">
        <v>297610.0</v>
      </c>
      <c r="G246" s="327"/>
      <c r="H246" s="321"/>
      <c r="I246" s="322">
        <v>286930.0</v>
      </c>
      <c r="J246" s="327"/>
      <c r="K246" s="321"/>
      <c r="L246" s="322">
        <v>288280.0</v>
      </c>
      <c r="M246" s="327"/>
      <c r="N246" s="321"/>
      <c r="O246" s="322"/>
      <c r="P246" s="327"/>
      <c r="Q246" s="321"/>
      <c r="R246" s="322"/>
      <c r="S246" s="327"/>
      <c r="T246" s="321"/>
      <c r="U246" s="322"/>
      <c r="V246" s="327"/>
      <c r="W246" s="321"/>
      <c r="X246" s="322"/>
      <c r="Y246" s="327"/>
      <c r="Z246" s="321"/>
      <c r="AA246" s="322"/>
      <c r="AB246" s="327"/>
      <c r="AC246" s="321"/>
      <c r="AD246" s="322"/>
      <c r="AE246" s="327"/>
      <c r="AF246" s="321"/>
      <c r="AG246" s="322"/>
      <c r="AH246" s="327"/>
      <c r="AI246" s="321"/>
      <c r="AJ246" s="322"/>
      <c r="AK246" s="327"/>
      <c r="AL246" s="321"/>
      <c r="AM246" s="322"/>
      <c r="AN246" s="316" t="s">
        <v>216</v>
      </c>
      <c r="AO246" s="316"/>
      <c r="AP246" s="316"/>
      <c r="AQ246" s="316"/>
      <c r="AR246" s="316"/>
      <c r="AS246" s="316"/>
      <c r="AT246" s="316"/>
      <c r="AU246" s="316"/>
      <c r="AV246" s="316"/>
      <c r="AW246" s="316"/>
      <c r="AX246" s="316"/>
      <c r="AY246" s="316"/>
      <c r="AZ246" s="316"/>
      <c r="BA246" s="316"/>
      <c r="BB246" s="316"/>
      <c r="BC246" s="316"/>
      <c r="BD246" s="316"/>
      <c r="BE246" s="316"/>
      <c r="BF246" s="316"/>
      <c r="BG246" s="316"/>
      <c r="BH246" s="316"/>
      <c r="BI246" s="316"/>
      <c r="BJ246" s="316"/>
      <c r="BK246" s="316"/>
      <c r="BL246" s="316"/>
      <c r="BM246" s="316"/>
      <c r="BN246" s="316"/>
    </row>
    <row r="247" hidden="1" outlineLevel="1">
      <c r="A247" s="303" t="s">
        <v>505</v>
      </c>
      <c r="B247" s="317" t="s">
        <v>446</v>
      </c>
      <c r="C247" s="325" t="s">
        <v>51</v>
      </c>
      <c r="D247" s="327"/>
      <c r="E247" s="321"/>
      <c r="F247" s="322" t="s">
        <v>446</v>
      </c>
      <c r="G247" s="327"/>
      <c r="H247" s="321"/>
      <c r="I247" s="322" t="s">
        <v>446</v>
      </c>
      <c r="J247" s="327"/>
      <c r="K247" s="321"/>
      <c r="L247" s="322" t="s">
        <v>446</v>
      </c>
      <c r="M247" s="327"/>
      <c r="N247" s="321"/>
      <c r="O247" s="322" t="s">
        <v>446</v>
      </c>
      <c r="P247" s="327"/>
      <c r="Q247" s="321"/>
      <c r="R247" s="322" t="s">
        <v>446</v>
      </c>
      <c r="S247" s="327"/>
      <c r="T247" s="321"/>
      <c r="U247" s="322" t="s">
        <v>446</v>
      </c>
      <c r="V247" s="327"/>
      <c r="W247" s="321"/>
      <c r="X247" s="322" t="s">
        <v>446</v>
      </c>
      <c r="Y247" s="327"/>
      <c r="Z247" s="321"/>
      <c r="AA247" s="322" t="s">
        <v>446</v>
      </c>
      <c r="AB247" s="327"/>
      <c r="AC247" s="321"/>
      <c r="AD247" s="322" t="s">
        <v>446</v>
      </c>
      <c r="AE247" s="327"/>
      <c r="AF247" s="321"/>
      <c r="AG247" s="322" t="s">
        <v>446</v>
      </c>
      <c r="AH247" s="327"/>
      <c r="AI247" s="321"/>
      <c r="AJ247" s="322" t="s">
        <v>446</v>
      </c>
      <c r="AK247" s="327"/>
      <c r="AL247" s="321"/>
      <c r="AM247" s="322" t="s">
        <v>446</v>
      </c>
      <c r="AN247" s="316" t="s">
        <v>216</v>
      </c>
      <c r="AO247" s="316"/>
      <c r="AP247" s="316"/>
      <c r="AQ247" s="316"/>
      <c r="AR247" s="316"/>
      <c r="AS247" s="316"/>
      <c r="AT247" s="316"/>
      <c r="AU247" s="316"/>
      <c r="AV247" s="316"/>
      <c r="AW247" s="316"/>
      <c r="AX247" s="316"/>
      <c r="AY247" s="316"/>
      <c r="AZ247" s="316"/>
      <c r="BA247" s="316"/>
      <c r="BB247" s="316"/>
      <c r="BC247" s="316"/>
      <c r="BD247" s="316"/>
      <c r="BE247" s="316"/>
      <c r="BF247" s="316"/>
      <c r="BG247" s="316"/>
      <c r="BH247" s="316"/>
      <c r="BI247" s="316"/>
      <c r="BJ247" s="316"/>
      <c r="BK247" s="316"/>
      <c r="BL247" s="316"/>
      <c r="BM247" s="316"/>
      <c r="BN247" s="316"/>
    </row>
    <row r="248" hidden="1" outlineLevel="1">
      <c r="A248" s="303" t="s">
        <v>505</v>
      </c>
      <c r="B248" s="304"/>
      <c r="C248" s="325" t="s">
        <v>52</v>
      </c>
      <c r="D248" s="327"/>
      <c r="E248" s="321"/>
      <c r="F248" s="322">
        <v>25000.0</v>
      </c>
      <c r="G248" s="327"/>
      <c r="H248" s="321"/>
      <c r="I248" s="322">
        <v>25000.0</v>
      </c>
      <c r="J248" s="327"/>
      <c r="K248" s="321"/>
      <c r="L248" s="322">
        <v>25000.0</v>
      </c>
      <c r="M248" s="327"/>
      <c r="N248" s="321"/>
      <c r="O248" s="322">
        <v>25000.0</v>
      </c>
      <c r="P248" s="327"/>
      <c r="Q248" s="321"/>
      <c r="R248" s="322">
        <v>25000.0</v>
      </c>
      <c r="S248" s="327"/>
      <c r="T248" s="321"/>
      <c r="U248" s="322">
        <v>25000.0</v>
      </c>
      <c r="V248" s="327"/>
      <c r="W248" s="321"/>
      <c r="X248" s="322">
        <v>25000.0</v>
      </c>
      <c r="Y248" s="327"/>
      <c r="Z248" s="321"/>
      <c r="AA248" s="322">
        <v>25000.0</v>
      </c>
      <c r="AB248" s="327"/>
      <c r="AC248" s="321"/>
      <c r="AD248" s="322">
        <v>25000.0</v>
      </c>
      <c r="AE248" s="327"/>
      <c r="AF248" s="321"/>
      <c r="AG248" s="322">
        <v>25000.0</v>
      </c>
      <c r="AH248" s="327"/>
      <c r="AI248" s="321"/>
      <c r="AJ248" s="322">
        <v>25000.0</v>
      </c>
      <c r="AK248" s="327"/>
      <c r="AL248" s="321"/>
      <c r="AM248" s="322">
        <v>25000.0</v>
      </c>
      <c r="AN248" s="316" t="s">
        <v>216</v>
      </c>
      <c r="AO248" s="316"/>
      <c r="AP248" s="316"/>
      <c r="AQ248" s="316"/>
      <c r="AR248" s="316"/>
      <c r="AS248" s="316"/>
      <c r="AT248" s="316"/>
      <c r="AU248" s="316"/>
      <c r="AV248" s="316"/>
      <c r="AW248" s="316"/>
      <c r="AX248" s="316"/>
      <c r="AY248" s="316"/>
      <c r="AZ248" s="316"/>
      <c r="BA248" s="316"/>
      <c r="BB248" s="316"/>
      <c r="BC248" s="316"/>
      <c r="BD248" s="316"/>
      <c r="BE248" s="316"/>
      <c r="BF248" s="316"/>
      <c r="BG248" s="316"/>
      <c r="BH248" s="316"/>
      <c r="BI248" s="316"/>
      <c r="BJ248" s="316"/>
      <c r="BK248" s="316"/>
      <c r="BL248" s="316"/>
      <c r="BM248" s="316"/>
      <c r="BN248" s="316"/>
    </row>
    <row r="249" hidden="1" outlineLevel="1">
      <c r="A249" s="303" t="s">
        <v>505</v>
      </c>
      <c r="B249" s="317" t="s">
        <v>264</v>
      </c>
      <c r="C249" s="325" t="s">
        <v>53</v>
      </c>
      <c r="D249" s="326"/>
      <c r="E249" s="321"/>
      <c r="F249" s="322">
        <v>11000.0</v>
      </c>
      <c r="G249" s="326"/>
      <c r="H249" s="321"/>
      <c r="I249" s="322">
        <v>11000.0</v>
      </c>
      <c r="J249" s="326"/>
      <c r="K249" s="321"/>
      <c r="L249" s="322">
        <v>11000.0</v>
      </c>
      <c r="M249" s="326"/>
      <c r="N249" s="321"/>
      <c r="O249" s="322">
        <v>11000.0</v>
      </c>
      <c r="P249" s="326"/>
      <c r="Q249" s="321"/>
      <c r="R249" s="322">
        <v>11000.0</v>
      </c>
      <c r="S249" s="326"/>
      <c r="T249" s="321"/>
      <c r="U249" s="322">
        <v>11000.0</v>
      </c>
      <c r="V249" s="326"/>
      <c r="W249" s="321"/>
      <c r="X249" s="322">
        <v>11000.0</v>
      </c>
      <c r="Y249" s="326"/>
      <c r="Z249" s="321"/>
      <c r="AA249" s="322">
        <v>11000.0</v>
      </c>
      <c r="AB249" s="326"/>
      <c r="AC249" s="321"/>
      <c r="AD249" s="322">
        <v>11000.0</v>
      </c>
      <c r="AE249" s="326"/>
      <c r="AF249" s="321"/>
      <c r="AG249" s="322">
        <v>11000.0</v>
      </c>
      <c r="AH249" s="326"/>
      <c r="AI249" s="321"/>
      <c r="AJ249" s="322">
        <v>11000.0</v>
      </c>
      <c r="AK249" s="326"/>
      <c r="AL249" s="321"/>
      <c r="AM249" s="322">
        <v>11000.0</v>
      </c>
      <c r="AN249" s="316" t="s">
        <v>216</v>
      </c>
      <c r="AO249" s="316"/>
      <c r="AP249" s="316"/>
      <c r="AQ249" s="316"/>
      <c r="AR249" s="316"/>
      <c r="AS249" s="316"/>
      <c r="AT249" s="316"/>
      <c r="AU249" s="316"/>
      <c r="AV249" s="316"/>
      <c r="AW249" s="316"/>
      <c r="AX249" s="316"/>
      <c r="AY249" s="316"/>
      <c r="AZ249" s="316"/>
      <c r="BA249" s="316"/>
      <c r="BB249" s="316"/>
      <c r="BC249" s="316"/>
      <c r="BD249" s="316"/>
      <c r="BE249" s="316"/>
      <c r="BF249" s="316"/>
      <c r="BG249" s="316"/>
      <c r="BH249" s="316"/>
      <c r="BI249" s="316"/>
      <c r="BJ249" s="316"/>
      <c r="BK249" s="316"/>
      <c r="BL249" s="316"/>
      <c r="BM249" s="316"/>
      <c r="BN249" s="316"/>
    </row>
    <row r="250" hidden="1" outlineLevel="1">
      <c r="A250" s="303" t="s">
        <v>505</v>
      </c>
      <c r="B250" s="317" t="s">
        <v>264</v>
      </c>
      <c r="C250" s="325" t="s">
        <v>265</v>
      </c>
      <c r="D250" s="327"/>
      <c r="E250" s="321"/>
      <c r="F250" s="322">
        <v>10000.0</v>
      </c>
      <c r="G250" s="327"/>
      <c r="H250" s="321"/>
      <c r="I250" s="322">
        <v>10000.0</v>
      </c>
      <c r="J250" s="327"/>
      <c r="K250" s="321"/>
      <c r="L250" s="322">
        <v>10000.0</v>
      </c>
      <c r="M250" s="327"/>
      <c r="N250" s="321"/>
      <c r="O250" s="322">
        <v>10000.0</v>
      </c>
      <c r="P250" s="327"/>
      <c r="Q250" s="321"/>
      <c r="R250" s="322">
        <v>10000.0</v>
      </c>
      <c r="S250" s="327"/>
      <c r="T250" s="321"/>
      <c r="U250" s="322">
        <v>10000.0</v>
      </c>
      <c r="V250" s="327"/>
      <c r="W250" s="321"/>
      <c r="X250" s="322">
        <v>10000.0</v>
      </c>
      <c r="Y250" s="327"/>
      <c r="Z250" s="321"/>
      <c r="AA250" s="322">
        <v>10000.0</v>
      </c>
      <c r="AB250" s="327"/>
      <c r="AC250" s="321"/>
      <c r="AD250" s="322">
        <v>10000.0</v>
      </c>
      <c r="AE250" s="327"/>
      <c r="AF250" s="321"/>
      <c r="AG250" s="322">
        <v>10000.0</v>
      </c>
      <c r="AH250" s="327"/>
      <c r="AI250" s="321"/>
      <c r="AJ250" s="322">
        <v>10000.0</v>
      </c>
      <c r="AK250" s="327"/>
      <c r="AL250" s="321"/>
      <c r="AM250" s="322">
        <v>10000.0</v>
      </c>
      <c r="AN250" s="316"/>
      <c r="AO250" s="316"/>
      <c r="AP250" s="316"/>
      <c r="AQ250" s="316"/>
      <c r="AR250" s="316"/>
      <c r="AS250" s="316"/>
      <c r="AT250" s="316"/>
      <c r="AU250" s="316"/>
      <c r="AV250" s="316"/>
      <c r="AW250" s="316"/>
      <c r="AX250" s="316"/>
      <c r="AY250" s="316"/>
      <c r="AZ250" s="316"/>
      <c r="BA250" s="316"/>
      <c r="BB250" s="316"/>
      <c r="BC250" s="316"/>
      <c r="BD250" s="316"/>
      <c r="BE250" s="316"/>
      <c r="BF250" s="316"/>
      <c r="BG250" s="316"/>
      <c r="BH250" s="316"/>
      <c r="BI250" s="316"/>
      <c r="BJ250" s="316"/>
      <c r="BK250" s="316"/>
      <c r="BL250" s="316"/>
      <c r="BM250" s="316"/>
      <c r="BN250" s="316"/>
    </row>
    <row r="251" hidden="1" outlineLevel="1">
      <c r="A251" s="303" t="s">
        <v>505</v>
      </c>
      <c r="B251" s="304"/>
      <c r="C251" s="325" t="s">
        <v>54</v>
      </c>
      <c r="D251" s="327"/>
      <c r="E251" s="321"/>
      <c r="F251" s="322">
        <f>SUMIFS('지출'!$G$3:$G794,'지출'!$J$3:$J794,F$1,'지출'!$C$3:$C794,"청량")</f>
        <v>54900</v>
      </c>
      <c r="G251" s="327"/>
      <c r="H251" s="321"/>
      <c r="I251" s="322">
        <f>SUMIFS('지출'!$G$3:$G794,'지출'!$J$3:$J794,I$1,'지출'!$C$3:$C794,"청량")</f>
        <v>63690</v>
      </c>
      <c r="J251" s="327"/>
      <c r="K251" s="321"/>
      <c r="L251" s="322">
        <f>SUMIFS('지출'!$G$3:$G794,'지출'!$J$3:$J794,L$1,'지출'!$C$3:$C794,"청량")</f>
        <v>82920</v>
      </c>
      <c r="M251" s="327"/>
      <c r="N251" s="321"/>
      <c r="O251" s="322">
        <f>SUMIFS('지출'!$G$3:$G794,'지출'!$J$3:$J794,O$1,'지출'!$C$3:$C794,"청량")</f>
        <v>0</v>
      </c>
      <c r="P251" s="327"/>
      <c r="Q251" s="321"/>
      <c r="R251" s="322">
        <f>SUMIFS('지출'!$G$3:$G794,'지출'!$J$3:$J794,R$1,'지출'!$C$3:$C794,"청량")</f>
        <v>0</v>
      </c>
      <c r="S251" s="327"/>
      <c r="T251" s="321"/>
      <c r="U251" s="322">
        <f>SUMIFS('지출'!$G$3:$G794,'지출'!$J$3:$J794,U$1,'지출'!$C$3:$C794,"청량")</f>
        <v>0</v>
      </c>
      <c r="V251" s="327"/>
      <c r="W251" s="321"/>
      <c r="X251" s="322">
        <f>SUMIFS('지출'!$G$3:$G794,'지출'!$J$3:$J794,X$1,'지출'!$C$3:$C794,"청량")</f>
        <v>0</v>
      </c>
      <c r="Y251" s="327"/>
      <c r="Z251" s="321"/>
      <c r="AA251" s="322">
        <f>SUMIFS('지출'!$G$3:$G794,'지출'!$J$3:$J794,AA$1,'지출'!$C$3:$C794,"청량")</f>
        <v>0</v>
      </c>
      <c r="AB251" s="327"/>
      <c r="AC251" s="321"/>
      <c r="AD251" s="322">
        <f>SUMIFS('지출'!$G$3:$G794,'지출'!$J$3:$J794,AD$1,'지출'!$C$3:$C794,"청량")</f>
        <v>0</v>
      </c>
      <c r="AE251" s="327"/>
      <c r="AF251" s="321"/>
      <c r="AG251" s="322">
        <f>SUMIFS('지출'!$G$3:$G794,'지출'!$J$3:$J794,AG$1,'지출'!$C$3:$C794,"청량")</f>
        <v>0</v>
      </c>
      <c r="AH251" s="327"/>
      <c r="AI251" s="321"/>
      <c r="AJ251" s="322">
        <f>SUMIFS('지출'!$G$3:$G794,'지출'!$J$3:$J794,AJ$1,'지출'!$C$3:$C794,"청량")</f>
        <v>0</v>
      </c>
      <c r="AK251" s="327"/>
      <c r="AL251" s="321"/>
      <c r="AM251" s="322">
        <f>SUMIFS('지출'!$G$3:$G794,'지출'!$J$3:$J794,AM$1,'지출'!$C$3:$C794,"청량")</f>
        <v>0</v>
      </c>
      <c r="AN251" s="316" t="s">
        <v>216</v>
      </c>
      <c r="AO251" s="316"/>
      <c r="AP251" s="316"/>
      <c r="AQ251" s="316"/>
      <c r="AR251" s="316"/>
      <c r="AS251" s="316"/>
      <c r="AT251" s="316"/>
      <c r="AU251" s="316"/>
      <c r="AV251" s="316"/>
      <c r="AW251" s="316"/>
      <c r="AX251" s="316"/>
      <c r="AY251" s="316"/>
      <c r="AZ251" s="316"/>
      <c r="BA251" s="316"/>
      <c r="BB251" s="316"/>
      <c r="BC251" s="316"/>
      <c r="BD251" s="316"/>
      <c r="BE251" s="316"/>
      <c r="BF251" s="316"/>
      <c r="BG251" s="316"/>
      <c r="BH251" s="316"/>
      <c r="BI251" s="316"/>
      <c r="BJ251" s="316"/>
      <c r="BK251" s="316"/>
      <c r="BL251" s="316"/>
      <c r="BM251" s="316"/>
      <c r="BN251" s="316"/>
    </row>
    <row r="252" hidden="1" outlineLevel="1">
      <c r="A252" s="303" t="s">
        <v>505</v>
      </c>
      <c r="B252" s="304"/>
      <c r="C252" s="325" t="s">
        <v>56</v>
      </c>
      <c r="D252" s="320"/>
      <c r="E252" s="323">
        <f t="shared" ref="E252:F252" si="320">E242-(SUM(E243:E251))</f>
        <v>1440000</v>
      </c>
      <c r="F252" s="324">
        <f t="shared" si="320"/>
        <v>45840</v>
      </c>
      <c r="G252" s="320"/>
      <c r="H252" s="323">
        <f t="shared" ref="H252:I252" si="321">H242-(SUM(H243:H251))</f>
        <v>2731072</v>
      </c>
      <c r="I252" s="324">
        <f t="shared" si="321"/>
        <v>341951</v>
      </c>
      <c r="J252" s="320"/>
      <c r="K252" s="323">
        <f t="shared" ref="K252:L252" si="322">K242-(SUM(K243:K251))</f>
        <v>2373226</v>
      </c>
      <c r="L252" s="324">
        <f t="shared" si="322"/>
        <v>249574</v>
      </c>
      <c r="M252" s="320"/>
      <c r="N252" s="323">
        <f t="shared" ref="N252:O252" si="323">N242-(SUM(N243:N251))</f>
        <v>1410000</v>
      </c>
      <c r="O252" s="324">
        <f t="shared" si="323"/>
        <v>654000</v>
      </c>
      <c r="P252" s="320"/>
      <c r="Q252" s="323">
        <f t="shared" ref="Q252:R252" si="324">Q242-(SUM(Q243:Q251))</f>
        <v>1410000</v>
      </c>
      <c r="R252" s="324">
        <f t="shared" si="324"/>
        <v>654000</v>
      </c>
      <c r="S252" s="320"/>
      <c r="T252" s="323">
        <f t="shared" ref="T252:U252" si="325">T242-(SUM(T243:T251))</f>
        <v>1410000</v>
      </c>
      <c r="U252" s="324">
        <f t="shared" si="325"/>
        <v>654000</v>
      </c>
      <c r="V252" s="320"/>
      <c r="W252" s="323">
        <f t="shared" ref="W252:X252" si="326">W242-(SUM(W243:W251))</f>
        <v>1410000</v>
      </c>
      <c r="X252" s="324">
        <f t="shared" si="326"/>
        <v>654000</v>
      </c>
      <c r="Y252" s="320"/>
      <c r="Z252" s="323">
        <f t="shared" ref="Z252:AA252" si="327">Z242-(SUM(Z243:Z251))</f>
        <v>1313226</v>
      </c>
      <c r="AA252" s="324">
        <f t="shared" si="327"/>
        <v>630774</v>
      </c>
      <c r="AB252" s="320"/>
      <c r="AC252" s="323">
        <f t="shared" ref="AC252:AD252" si="328">AC242-(SUM(AC243:AC251))</f>
        <v>910000</v>
      </c>
      <c r="AD252" s="324">
        <f t="shared" si="328"/>
        <v>534000</v>
      </c>
      <c r="AE252" s="320"/>
      <c r="AF252" s="323">
        <f t="shared" ref="AF252:AG252" si="329">AF242-(SUM(AF243:AF251))</f>
        <v>910000</v>
      </c>
      <c r="AG252" s="324">
        <f t="shared" si="329"/>
        <v>534000</v>
      </c>
      <c r="AH252" s="320"/>
      <c r="AI252" s="323">
        <f t="shared" ref="AI252:AJ252" si="330">AI242-(SUM(AI243:AI251))</f>
        <v>910000</v>
      </c>
      <c r="AJ252" s="324">
        <f t="shared" si="330"/>
        <v>534000</v>
      </c>
      <c r="AK252" s="320"/>
      <c r="AL252" s="323">
        <f t="shared" ref="AL252:AM252" si="331">AL242-(SUM(AL243:AL251))</f>
        <v>360000</v>
      </c>
      <c r="AM252" s="324">
        <f t="shared" si="331"/>
        <v>434000</v>
      </c>
      <c r="AN252" s="316" t="s">
        <v>216</v>
      </c>
      <c r="AO252" s="316"/>
      <c r="AP252" s="316"/>
      <c r="AQ252" s="316"/>
      <c r="AR252" s="316"/>
      <c r="AS252" s="316"/>
      <c r="AT252" s="316"/>
      <c r="AU252" s="316"/>
      <c r="AV252" s="316"/>
      <c r="AW252" s="316"/>
      <c r="AX252" s="316"/>
      <c r="AY252" s="316"/>
      <c r="AZ252" s="316"/>
      <c r="BA252" s="316"/>
      <c r="BB252" s="316"/>
      <c r="BC252" s="316"/>
      <c r="BD252" s="316"/>
      <c r="BE252" s="316"/>
      <c r="BF252" s="316"/>
      <c r="BG252" s="316"/>
      <c r="BH252" s="316"/>
      <c r="BI252" s="316"/>
      <c r="BJ252" s="316"/>
      <c r="BK252" s="316"/>
      <c r="BL252" s="316"/>
      <c r="BM252" s="316"/>
      <c r="BN252" s="316"/>
    </row>
    <row r="253">
      <c r="A253" s="303" t="s">
        <v>505</v>
      </c>
      <c r="B253" s="328">
        <v>0.0</v>
      </c>
      <c r="C253" s="325" t="s">
        <v>26</v>
      </c>
      <c r="D253" s="320"/>
      <c r="E253" s="323">
        <f>E252*$B253</f>
        <v>0</v>
      </c>
      <c r="F253" s="324"/>
      <c r="G253" s="320"/>
      <c r="H253" s="323">
        <f>H252*$B253</f>
        <v>0</v>
      </c>
      <c r="I253" s="324"/>
      <c r="J253" s="320"/>
      <c r="K253" s="323">
        <f>K252*$B253</f>
        <v>0</v>
      </c>
      <c r="L253" s="324"/>
      <c r="M253" s="320"/>
      <c r="N253" s="323">
        <f>N252*$B253</f>
        <v>0</v>
      </c>
      <c r="O253" s="324"/>
      <c r="P253" s="320"/>
      <c r="Q253" s="323">
        <f>Q252*$B253</f>
        <v>0</v>
      </c>
      <c r="R253" s="324"/>
      <c r="S253" s="320"/>
      <c r="T253" s="323">
        <f>T252*$B253</f>
        <v>0</v>
      </c>
      <c r="U253" s="324"/>
      <c r="V253" s="320"/>
      <c r="W253" s="323">
        <f>W252*$B253</f>
        <v>0</v>
      </c>
      <c r="X253" s="324"/>
      <c r="Y253" s="320"/>
      <c r="Z253" s="323">
        <f>Z252*$B253</f>
        <v>0</v>
      </c>
      <c r="AA253" s="324"/>
      <c r="AB253" s="320"/>
      <c r="AC253" s="323">
        <f>AC252*$B253</f>
        <v>0</v>
      </c>
      <c r="AD253" s="324"/>
      <c r="AE253" s="320"/>
      <c r="AF253" s="323">
        <f>AF252*$B253</f>
        <v>0</v>
      </c>
      <c r="AG253" s="324"/>
      <c r="AH253" s="320"/>
      <c r="AI253" s="323">
        <f>AI252*$B253</f>
        <v>0</v>
      </c>
      <c r="AJ253" s="324"/>
      <c r="AK253" s="320"/>
      <c r="AL253" s="323">
        <f>AL252*$B253</f>
        <v>0</v>
      </c>
      <c r="AM253" s="324"/>
      <c r="AN253" s="316" t="s">
        <v>216</v>
      </c>
      <c r="AO253" s="316"/>
      <c r="AP253" s="316"/>
      <c r="AQ253" s="316"/>
      <c r="AR253" s="316"/>
      <c r="AS253" s="316"/>
      <c r="AT253" s="316"/>
      <c r="AU253" s="316"/>
      <c r="AV253" s="316"/>
      <c r="AW253" s="316"/>
      <c r="AX253" s="316"/>
      <c r="AY253" s="316"/>
      <c r="AZ253" s="316"/>
      <c r="BA253" s="316"/>
      <c r="BB253" s="316"/>
      <c r="BC253" s="316"/>
      <c r="BD253" s="316"/>
      <c r="BE253" s="316"/>
      <c r="BF253" s="316"/>
      <c r="BG253" s="316"/>
      <c r="BH253" s="316"/>
      <c r="BI253" s="316"/>
      <c r="BJ253" s="316"/>
      <c r="BK253" s="316"/>
      <c r="BL253" s="316"/>
      <c r="BM253" s="316"/>
      <c r="BN253" s="316"/>
    </row>
    <row r="254">
      <c r="A254" s="303" t="s">
        <v>505</v>
      </c>
      <c r="B254" s="329">
        <v>1.0</v>
      </c>
      <c r="C254" s="330" t="s">
        <v>57</v>
      </c>
      <c r="D254" s="331"/>
      <c r="E254" s="332">
        <f>E252*$B254</f>
        <v>1440000</v>
      </c>
      <c r="F254" s="333"/>
      <c r="G254" s="331"/>
      <c r="H254" s="332">
        <f>H252*$B254</f>
        <v>2731072</v>
      </c>
      <c r="I254" s="333"/>
      <c r="J254" s="331"/>
      <c r="K254" s="332">
        <f>K252*$B254</f>
        <v>2373226</v>
      </c>
      <c r="L254" s="333"/>
      <c r="M254" s="331"/>
      <c r="N254" s="332">
        <f>N252*$B254</f>
        <v>1410000</v>
      </c>
      <c r="O254" s="333"/>
      <c r="P254" s="331"/>
      <c r="Q254" s="332">
        <f>Q252*$B254</f>
        <v>1410000</v>
      </c>
      <c r="R254" s="333"/>
      <c r="S254" s="331"/>
      <c r="T254" s="332">
        <f>T252*$B254</f>
        <v>1410000</v>
      </c>
      <c r="U254" s="333"/>
      <c r="V254" s="331"/>
      <c r="W254" s="332">
        <f>W252*$B254</f>
        <v>1410000</v>
      </c>
      <c r="X254" s="333"/>
      <c r="Y254" s="331"/>
      <c r="Z254" s="332">
        <f>Z252*$B254</f>
        <v>1313226</v>
      </c>
      <c r="AA254" s="333"/>
      <c r="AB254" s="331"/>
      <c r="AC254" s="332">
        <f>AC252*$B254</f>
        <v>910000</v>
      </c>
      <c r="AD254" s="333"/>
      <c r="AE254" s="331"/>
      <c r="AF254" s="332">
        <f>AF252*$B254</f>
        <v>910000</v>
      </c>
      <c r="AG254" s="333"/>
      <c r="AH254" s="331"/>
      <c r="AI254" s="332">
        <f>AI252*$B254</f>
        <v>910000</v>
      </c>
      <c r="AJ254" s="333"/>
      <c r="AK254" s="331"/>
      <c r="AL254" s="332">
        <f>AL252*$B254</f>
        <v>360000</v>
      </c>
      <c r="AM254" s="333"/>
      <c r="AN254" s="316" t="s">
        <v>216</v>
      </c>
      <c r="AO254" s="316"/>
      <c r="AP254" s="316"/>
      <c r="AQ254" s="316"/>
      <c r="AR254" s="316"/>
      <c r="AS254" s="316"/>
      <c r="AT254" s="316"/>
      <c r="AU254" s="316"/>
      <c r="AV254" s="316"/>
      <c r="AW254" s="316"/>
      <c r="AX254" s="316"/>
      <c r="AY254" s="316"/>
      <c r="AZ254" s="316"/>
      <c r="BA254" s="316"/>
      <c r="BB254" s="316"/>
      <c r="BC254" s="316"/>
      <c r="BD254" s="316"/>
      <c r="BE254" s="316"/>
      <c r="BF254" s="316"/>
      <c r="BG254" s="316"/>
      <c r="BH254" s="316"/>
      <c r="BI254" s="316"/>
      <c r="BJ254" s="316"/>
      <c r="BK254" s="316"/>
      <c r="BL254" s="316"/>
      <c r="BM254" s="316"/>
      <c r="BN254" s="316"/>
    </row>
    <row r="255">
      <c r="A255" s="303" t="s">
        <v>553</v>
      </c>
      <c r="B255" s="317" t="s">
        <v>553</v>
      </c>
      <c r="C255" s="325" t="s">
        <v>506</v>
      </c>
      <c r="D255" s="341" t="s">
        <v>2160</v>
      </c>
      <c r="E255" s="348">
        <v>420000.0</v>
      </c>
      <c r="F255" s="346">
        <f t="shared" ref="F255:F256" si="332">100000+40000</f>
        <v>140000</v>
      </c>
      <c r="G255" s="353" t="s">
        <v>2161</v>
      </c>
      <c r="H255" s="348">
        <f>420000+500000+75714</f>
        <v>995714</v>
      </c>
      <c r="I255" s="346">
        <f>100000+50000+14286</f>
        <v>164286</v>
      </c>
      <c r="J255" s="326" t="s">
        <v>1521</v>
      </c>
      <c r="K255" s="321">
        <v>530000.0</v>
      </c>
      <c r="L255" s="322">
        <v>100000.0</v>
      </c>
      <c r="M255" s="326" t="s">
        <v>1521</v>
      </c>
      <c r="N255" s="321">
        <v>530000.0</v>
      </c>
      <c r="O255" s="322">
        <v>100000.0</v>
      </c>
      <c r="P255" s="326" t="s">
        <v>1521</v>
      </c>
      <c r="Q255" s="321">
        <v>530000.0</v>
      </c>
      <c r="R255" s="322">
        <v>100000.0</v>
      </c>
      <c r="S255" s="326" t="s">
        <v>1521</v>
      </c>
      <c r="T255" s="321">
        <v>530000.0</v>
      </c>
      <c r="U255" s="322">
        <v>100000.0</v>
      </c>
      <c r="V255" s="326" t="s">
        <v>1521</v>
      </c>
      <c r="W255" s="321">
        <v>530000.0</v>
      </c>
      <c r="X255" s="322">
        <v>100000.0</v>
      </c>
      <c r="Y255" s="326" t="s">
        <v>2162</v>
      </c>
      <c r="Z255" s="321">
        <v>410323.0</v>
      </c>
      <c r="AA255" s="322">
        <v>77419.0</v>
      </c>
      <c r="AB255" s="326"/>
      <c r="AC255" s="321"/>
      <c r="AD255" s="322"/>
      <c r="AE255" s="326"/>
      <c r="AF255" s="321"/>
      <c r="AG255" s="322"/>
      <c r="AH255" s="326"/>
      <c r="AI255" s="321"/>
      <c r="AJ255" s="322"/>
      <c r="AK255" s="326"/>
      <c r="AL255" s="321"/>
      <c r="AM255" s="322"/>
      <c r="AN255" s="316" t="s">
        <v>63</v>
      </c>
      <c r="AO255" s="316"/>
      <c r="AP255" s="316"/>
      <c r="AQ255" s="316"/>
      <c r="AR255" s="316"/>
      <c r="AS255" s="316"/>
      <c r="AT255" s="316"/>
      <c r="AU255" s="316"/>
      <c r="AV255" s="316"/>
      <c r="AW255" s="316"/>
      <c r="AX255" s="316"/>
      <c r="AY255" s="316"/>
      <c r="AZ255" s="316"/>
      <c r="BA255" s="316"/>
      <c r="BB255" s="316"/>
      <c r="BC255" s="316"/>
      <c r="BD255" s="316"/>
      <c r="BE255" s="316"/>
      <c r="BF255" s="316"/>
      <c r="BG255" s="316"/>
      <c r="BH255" s="316"/>
      <c r="BI255" s="316"/>
      <c r="BJ255" s="316"/>
      <c r="BK255" s="316"/>
      <c r="BL255" s="316"/>
      <c r="BM255" s="316"/>
      <c r="BN255" s="316"/>
    </row>
    <row r="256">
      <c r="A256" s="303" t="s">
        <v>553</v>
      </c>
      <c r="B256" s="317" t="s">
        <v>553</v>
      </c>
      <c r="C256" s="325" t="s">
        <v>557</v>
      </c>
      <c r="D256" s="341" t="s">
        <v>2163</v>
      </c>
      <c r="E256" s="348">
        <v>420000.0</v>
      </c>
      <c r="F256" s="346">
        <f t="shared" si="332"/>
        <v>140000</v>
      </c>
      <c r="G256" s="353" t="s">
        <v>2164</v>
      </c>
      <c r="H256" s="348">
        <f>210000+216071</f>
        <v>426071</v>
      </c>
      <c r="I256" s="345">
        <f>50000++25000+39286</f>
        <v>114286</v>
      </c>
      <c r="J256" s="326" t="s">
        <v>1527</v>
      </c>
      <c r="K256" s="321">
        <v>550000.0</v>
      </c>
      <c r="L256" s="322">
        <v>100000.0</v>
      </c>
      <c r="M256" s="326" t="s">
        <v>1527</v>
      </c>
      <c r="N256" s="321">
        <v>550000.0</v>
      </c>
      <c r="O256" s="322">
        <v>100000.0</v>
      </c>
      <c r="P256" s="326" t="s">
        <v>1527</v>
      </c>
      <c r="Q256" s="321">
        <v>550000.0</v>
      </c>
      <c r="R256" s="322">
        <v>100000.0</v>
      </c>
      <c r="S256" s="326" t="s">
        <v>1527</v>
      </c>
      <c r="T256" s="321">
        <v>550000.0</v>
      </c>
      <c r="U256" s="322">
        <v>100000.0</v>
      </c>
      <c r="V256" s="326" t="s">
        <v>1527</v>
      </c>
      <c r="W256" s="321">
        <v>550000.0</v>
      </c>
      <c r="X256" s="322">
        <v>100000.0</v>
      </c>
      <c r="Y256" s="326" t="s">
        <v>2165</v>
      </c>
      <c r="Z256" s="321">
        <v>550000.0</v>
      </c>
      <c r="AA256" s="322">
        <v>100000.0</v>
      </c>
      <c r="AB256" s="326"/>
      <c r="AC256" s="321"/>
      <c r="AD256" s="322"/>
      <c r="AE256" s="326"/>
      <c r="AF256" s="321"/>
      <c r="AG256" s="322"/>
      <c r="AH256" s="326"/>
      <c r="AI256" s="321"/>
      <c r="AJ256" s="322"/>
      <c r="AK256" s="326"/>
      <c r="AL256" s="321"/>
      <c r="AM256" s="322"/>
      <c r="AN256" s="316" t="s">
        <v>63</v>
      </c>
      <c r="AO256" s="316"/>
      <c r="AP256" s="316"/>
      <c r="AQ256" s="316"/>
      <c r="AR256" s="316"/>
      <c r="AS256" s="316"/>
      <c r="AT256" s="316"/>
      <c r="AU256" s="316"/>
      <c r="AV256" s="316"/>
      <c r="AW256" s="316"/>
      <c r="AX256" s="316"/>
      <c r="AY256" s="316"/>
      <c r="AZ256" s="316"/>
      <c r="BA256" s="316"/>
      <c r="BB256" s="316"/>
      <c r="BC256" s="316"/>
      <c r="BD256" s="316"/>
      <c r="BE256" s="316"/>
      <c r="BF256" s="316"/>
      <c r="BG256" s="316"/>
      <c r="BH256" s="316"/>
      <c r="BI256" s="316"/>
      <c r="BJ256" s="316"/>
      <c r="BK256" s="316"/>
      <c r="BL256" s="316"/>
      <c r="BM256" s="316"/>
      <c r="BN256" s="316"/>
    </row>
    <row r="257">
      <c r="A257" s="303" t="s">
        <v>553</v>
      </c>
      <c r="B257" s="317" t="s">
        <v>553</v>
      </c>
      <c r="C257" s="325" t="s">
        <v>564</v>
      </c>
      <c r="D257" s="341" t="s">
        <v>569</v>
      </c>
      <c r="E257" s="348">
        <v>350000.0</v>
      </c>
      <c r="F257" s="346">
        <f>80000+5000</f>
        <v>85000</v>
      </c>
      <c r="G257" s="353" t="s">
        <v>2166</v>
      </c>
      <c r="H257" s="348">
        <f>350000+71429</f>
        <v>421429</v>
      </c>
      <c r="I257" s="346">
        <f>80000+30000+17857</f>
        <v>127857</v>
      </c>
      <c r="J257" s="353" t="s">
        <v>2167</v>
      </c>
      <c r="K257" s="321">
        <f>450000+400000</f>
        <v>850000</v>
      </c>
      <c r="L257" s="322">
        <f>100000+100000</f>
        <v>200000</v>
      </c>
      <c r="M257" s="353" t="s">
        <v>1531</v>
      </c>
      <c r="N257" s="321">
        <v>400000.0</v>
      </c>
      <c r="O257" s="322">
        <v>100000.0</v>
      </c>
      <c r="P257" s="353" t="s">
        <v>1531</v>
      </c>
      <c r="Q257" s="321">
        <v>400000.0</v>
      </c>
      <c r="R257" s="322">
        <v>100000.0</v>
      </c>
      <c r="S257" s="353" t="s">
        <v>1531</v>
      </c>
      <c r="T257" s="321">
        <v>400000.0</v>
      </c>
      <c r="U257" s="322">
        <v>100000.0</v>
      </c>
      <c r="V257" s="353" t="s">
        <v>1531</v>
      </c>
      <c r="W257" s="321">
        <v>400000.0</v>
      </c>
      <c r="X257" s="322">
        <v>100000.0</v>
      </c>
      <c r="Y257" s="353" t="s">
        <v>2168</v>
      </c>
      <c r="Z257" s="321">
        <v>400000.0</v>
      </c>
      <c r="AA257" s="322">
        <v>100000.0</v>
      </c>
      <c r="AB257" s="326"/>
      <c r="AC257" s="321"/>
      <c r="AD257" s="322"/>
      <c r="AE257" s="326"/>
      <c r="AF257" s="321"/>
      <c r="AG257" s="322"/>
      <c r="AH257" s="326"/>
      <c r="AI257" s="321"/>
      <c r="AJ257" s="322"/>
      <c r="AK257" s="326"/>
      <c r="AL257" s="321"/>
      <c r="AM257" s="322"/>
      <c r="AN257" s="316" t="s">
        <v>63</v>
      </c>
      <c r="AO257" s="316"/>
      <c r="AP257" s="316"/>
      <c r="AQ257" s="349">
        <f t="shared" ref="AQ257:AQ258" si="333">E269+E217+E182+E77+E55+E34</f>
        <v>4810032.5</v>
      </c>
      <c r="AR257" s="316"/>
      <c r="AS257" s="316"/>
      <c r="AT257" s="316"/>
      <c r="AU257" s="316"/>
      <c r="AV257" s="316"/>
      <c r="AW257" s="316"/>
      <c r="AX257" s="316"/>
      <c r="AY257" s="316"/>
      <c r="AZ257" s="316"/>
      <c r="BA257" s="316"/>
      <c r="BB257" s="316"/>
      <c r="BC257" s="316"/>
      <c r="BD257" s="316"/>
      <c r="BE257" s="316"/>
      <c r="BF257" s="316"/>
      <c r="BG257" s="316"/>
      <c r="BH257" s="316"/>
      <c r="BI257" s="316"/>
      <c r="BJ257" s="316"/>
      <c r="BK257" s="316"/>
      <c r="BL257" s="316"/>
      <c r="BM257" s="316"/>
      <c r="BN257" s="316"/>
    </row>
    <row r="258">
      <c r="A258" s="303" t="s">
        <v>553</v>
      </c>
      <c r="B258" s="317" t="s">
        <v>553</v>
      </c>
      <c r="C258" s="325" t="s">
        <v>570</v>
      </c>
      <c r="D258" s="341" t="s">
        <v>575</v>
      </c>
      <c r="E258" s="348">
        <v>350000.0</v>
      </c>
      <c r="F258" s="346">
        <f>80000+10000</f>
        <v>90000</v>
      </c>
      <c r="G258" s="341" t="s">
        <v>575</v>
      </c>
      <c r="H258" s="348">
        <v>250000.0</v>
      </c>
      <c r="I258" s="346">
        <f>80000+5000</f>
        <v>85000</v>
      </c>
      <c r="J258" s="341" t="s">
        <v>575</v>
      </c>
      <c r="K258" s="348">
        <v>400000.0</v>
      </c>
      <c r="L258" s="345">
        <v>100000.0</v>
      </c>
      <c r="M258" s="341" t="s">
        <v>575</v>
      </c>
      <c r="N258" s="348">
        <v>400000.0</v>
      </c>
      <c r="O258" s="345">
        <v>100000.0</v>
      </c>
      <c r="P258" s="341" t="s">
        <v>575</v>
      </c>
      <c r="Q258" s="348">
        <v>400000.0</v>
      </c>
      <c r="R258" s="345">
        <v>100000.0</v>
      </c>
      <c r="S258" s="341" t="s">
        <v>575</v>
      </c>
      <c r="T258" s="348">
        <v>400000.0</v>
      </c>
      <c r="U258" s="345">
        <v>100000.0</v>
      </c>
      <c r="V258" s="341" t="s">
        <v>575</v>
      </c>
      <c r="W258" s="348">
        <v>400000.0</v>
      </c>
      <c r="X258" s="345">
        <v>100000.0</v>
      </c>
      <c r="Y258" s="341" t="s">
        <v>575</v>
      </c>
      <c r="Z258" s="348">
        <v>400000.0</v>
      </c>
      <c r="AA258" s="345">
        <v>100000.0</v>
      </c>
      <c r="AB258" s="341" t="s">
        <v>575</v>
      </c>
      <c r="AC258" s="348">
        <v>400000.0</v>
      </c>
      <c r="AD258" s="345">
        <v>100000.0</v>
      </c>
      <c r="AE258" s="341" t="s">
        <v>575</v>
      </c>
      <c r="AF258" s="348">
        <v>400000.0</v>
      </c>
      <c r="AG258" s="345">
        <v>100000.0</v>
      </c>
      <c r="AH258" s="341" t="s">
        <v>575</v>
      </c>
      <c r="AI258" s="348">
        <v>400000.0</v>
      </c>
      <c r="AJ258" s="345">
        <v>100000.0</v>
      </c>
      <c r="AK258" s="341" t="s">
        <v>575</v>
      </c>
      <c r="AL258" s="348">
        <v>400000.0</v>
      </c>
      <c r="AM258" s="345">
        <v>100000.0</v>
      </c>
      <c r="AN258" s="316" t="s">
        <v>63</v>
      </c>
      <c r="AO258" s="316"/>
      <c r="AP258" s="316"/>
      <c r="AQ258" s="349">
        <f t="shared" si="333"/>
        <v>2061442.5</v>
      </c>
      <c r="AR258" s="316"/>
      <c r="AS258" s="316"/>
      <c r="AT258" s="316"/>
      <c r="AU258" s="316"/>
      <c r="AV258" s="316"/>
      <c r="AW258" s="316"/>
      <c r="AX258" s="316"/>
      <c r="AY258" s="316"/>
      <c r="AZ258" s="316"/>
      <c r="BA258" s="316"/>
      <c r="BB258" s="316"/>
      <c r="BC258" s="316"/>
      <c r="BD258" s="316"/>
      <c r="BE258" s="316"/>
      <c r="BF258" s="316"/>
      <c r="BG258" s="316"/>
      <c r="BH258" s="316"/>
      <c r="BI258" s="316"/>
      <c r="BJ258" s="316"/>
      <c r="BK258" s="316"/>
      <c r="BL258" s="316"/>
      <c r="BM258" s="316"/>
      <c r="BN258" s="316"/>
    </row>
    <row r="259">
      <c r="A259" s="303" t="s">
        <v>553</v>
      </c>
      <c r="B259" s="304"/>
      <c r="C259" s="305" t="s">
        <v>42</v>
      </c>
      <c r="D259" s="320"/>
      <c r="E259" s="323">
        <f t="shared" ref="E259:F259" si="334">SUM(E255:E258)</f>
        <v>1540000</v>
      </c>
      <c r="F259" s="324">
        <f t="shared" si="334"/>
        <v>455000</v>
      </c>
      <c r="G259" s="320"/>
      <c r="H259" s="323">
        <f t="shared" ref="H259:I259" si="335">SUM(H255:H258)</f>
        <v>2093214</v>
      </c>
      <c r="I259" s="324">
        <f t="shared" si="335"/>
        <v>491429</v>
      </c>
      <c r="J259" s="320"/>
      <c r="K259" s="323">
        <f t="shared" ref="K259:L259" si="336">SUM(K255:K258)</f>
        <v>2330000</v>
      </c>
      <c r="L259" s="324">
        <f t="shared" si="336"/>
        <v>500000</v>
      </c>
      <c r="M259" s="320"/>
      <c r="N259" s="323">
        <f t="shared" ref="N259:O259" si="337">SUM(N255:N258)</f>
        <v>1880000</v>
      </c>
      <c r="O259" s="324">
        <f t="shared" si="337"/>
        <v>400000</v>
      </c>
      <c r="P259" s="320"/>
      <c r="Q259" s="323">
        <f t="shared" ref="Q259:R259" si="338">SUM(Q255:Q258)</f>
        <v>1880000</v>
      </c>
      <c r="R259" s="324">
        <f t="shared" si="338"/>
        <v>400000</v>
      </c>
      <c r="S259" s="320"/>
      <c r="T259" s="323">
        <f t="shared" ref="T259:U259" si="339">SUM(T255:T258)</f>
        <v>1880000</v>
      </c>
      <c r="U259" s="324">
        <f t="shared" si="339"/>
        <v>400000</v>
      </c>
      <c r="V259" s="320"/>
      <c r="W259" s="323">
        <f t="shared" ref="W259:X259" si="340">SUM(W255:W258)</f>
        <v>1880000</v>
      </c>
      <c r="X259" s="324">
        <f t="shared" si="340"/>
        <v>400000</v>
      </c>
      <c r="Y259" s="320"/>
      <c r="Z259" s="323">
        <f t="shared" ref="Z259:AA259" si="341">SUM(Z255:Z258)</f>
        <v>1760323</v>
      </c>
      <c r="AA259" s="324">
        <f t="shared" si="341"/>
        <v>377419</v>
      </c>
      <c r="AB259" s="320"/>
      <c r="AC259" s="323">
        <f t="shared" ref="AC259:AD259" si="342">SUM(AC255:AC258)</f>
        <v>400000</v>
      </c>
      <c r="AD259" s="324">
        <f t="shared" si="342"/>
        <v>100000</v>
      </c>
      <c r="AE259" s="320"/>
      <c r="AF259" s="323">
        <f t="shared" ref="AF259:AG259" si="343">SUM(AF255:AF258)</f>
        <v>400000</v>
      </c>
      <c r="AG259" s="324">
        <f t="shared" si="343"/>
        <v>100000</v>
      </c>
      <c r="AH259" s="320"/>
      <c r="AI259" s="323">
        <f t="shared" ref="AI259:AJ259" si="344">SUM(AI255:AI258)</f>
        <v>400000</v>
      </c>
      <c r="AJ259" s="324">
        <f t="shared" si="344"/>
        <v>100000</v>
      </c>
      <c r="AK259" s="320"/>
      <c r="AL259" s="323">
        <f t="shared" ref="AL259:AM259" si="345">SUM(AL255:AL258)</f>
        <v>400000</v>
      </c>
      <c r="AM259" s="324">
        <f t="shared" si="345"/>
        <v>100000</v>
      </c>
      <c r="AN259" s="316" t="s">
        <v>63</v>
      </c>
      <c r="AO259" s="316"/>
      <c r="AP259" s="316"/>
      <c r="AQ259" s="316"/>
      <c r="AR259" s="316"/>
      <c r="AS259" s="316"/>
      <c r="AT259" s="316"/>
      <c r="AU259" s="316"/>
      <c r="AV259" s="316"/>
      <c r="AW259" s="316"/>
      <c r="AX259" s="316"/>
      <c r="AY259" s="316"/>
      <c r="AZ259" s="316"/>
      <c r="BA259" s="316"/>
      <c r="BB259" s="316"/>
      <c r="BC259" s="316"/>
      <c r="BD259" s="316"/>
      <c r="BE259" s="316"/>
      <c r="BF259" s="316"/>
      <c r="BG259" s="316"/>
      <c r="BH259" s="316"/>
      <c r="BI259" s="316"/>
      <c r="BJ259" s="316"/>
      <c r="BK259" s="316"/>
      <c r="BL259" s="316"/>
      <c r="BM259" s="316"/>
      <c r="BN259" s="316"/>
    </row>
    <row r="260" collapsed="1">
      <c r="A260" s="303" t="s">
        <v>553</v>
      </c>
      <c r="B260" s="304"/>
      <c r="C260" s="325" t="s">
        <v>43</v>
      </c>
      <c r="D260" s="326"/>
      <c r="E260" s="321">
        <v>900000.0</v>
      </c>
      <c r="F260" s="324"/>
      <c r="G260" s="326"/>
      <c r="H260" s="321">
        <v>900000.0</v>
      </c>
      <c r="I260" s="324"/>
      <c r="J260" s="326"/>
      <c r="K260" s="321">
        <v>900000.0</v>
      </c>
      <c r="L260" s="324"/>
      <c r="M260" s="326"/>
      <c r="N260" s="321">
        <v>900000.0</v>
      </c>
      <c r="O260" s="324"/>
      <c r="P260" s="326"/>
      <c r="Q260" s="321">
        <v>900000.0</v>
      </c>
      <c r="R260" s="324"/>
      <c r="S260" s="326"/>
      <c r="T260" s="321">
        <v>900000.0</v>
      </c>
      <c r="U260" s="324"/>
      <c r="V260" s="326"/>
      <c r="W260" s="321">
        <v>900000.0</v>
      </c>
      <c r="X260" s="324"/>
      <c r="Y260" s="326"/>
      <c r="Z260" s="321">
        <v>900000.0</v>
      </c>
      <c r="AA260" s="324"/>
      <c r="AB260" s="326"/>
      <c r="AC260" s="321">
        <v>900000.0</v>
      </c>
      <c r="AD260" s="324"/>
      <c r="AE260" s="326"/>
      <c r="AF260" s="321">
        <v>900000.0</v>
      </c>
      <c r="AG260" s="324"/>
      <c r="AH260" s="326"/>
      <c r="AI260" s="321">
        <v>900000.0</v>
      </c>
      <c r="AJ260" s="324"/>
      <c r="AK260" s="326"/>
      <c r="AL260" s="321">
        <v>900000.0</v>
      </c>
      <c r="AM260" s="324"/>
      <c r="AN260" s="316" t="s">
        <v>63</v>
      </c>
      <c r="AO260" s="316"/>
      <c r="AP260" s="316"/>
      <c r="AQ260" s="316"/>
      <c r="AR260" s="316"/>
      <c r="AS260" s="316"/>
      <c r="AT260" s="316"/>
      <c r="AU260" s="316"/>
      <c r="AV260" s="316"/>
      <c r="AW260" s="316"/>
      <c r="AX260" s="316"/>
      <c r="AY260" s="316"/>
      <c r="AZ260" s="316"/>
      <c r="BA260" s="316"/>
      <c r="BB260" s="316"/>
      <c r="BC260" s="316"/>
      <c r="BD260" s="316"/>
      <c r="BE260" s="316"/>
      <c r="BF260" s="316"/>
      <c r="BG260" s="316"/>
      <c r="BH260" s="316"/>
      <c r="BI260" s="316"/>
      <c r="BJ260" s="316"/>
      <c r="BK260" s="316"/>
      <c r="BL260" s="316"/>
      <c r="BM260" s="316"/>
      <c r="BN260" s="316"/>
    </row>
    <row r="261" hidden="1" outlineLevel="1">
      <c r="A261" s="303" t="s">
        <v>553</v>
      </c>
      <c r="B261" s="317" t="s">
        <v>95</v>
      </c>
      <c r="C261" s="325" t="s">
        <v>45</v>
      </c>
      <c r="D261" s="326"/>
      <c r="E261" s="321"/>
      <c r="F261" s="322">
        <v>0.0</v>
      </c>
      <c r="G261" s="326"/>
      <c r="H261" s="321"/>
      <c r="I261" s="322"/>
      <c r="J261" s="326"/>
      <c r="K261" s="321"/>
      <c r="L261" s="322"/>
      <c r="M261" s="326"/>
      <c r="N261" s="321"/>
      <c r="O261" s="322"/>
      <c r="P261" s="326"/>
      <c r="Q261" s="321"/>
      <c r="R261" s="322"/>
      <c r="S261" s="326"/>
      <c r="T261" s="321"/>
      <c r="U261" s="322"/>
      <c r="V261" s="326"/>
      <c r="W261" s="321"/>
      <c r="X261" s="322"/>
      <c r="Y261" s="326"/>
      <c r="Z261" s="321"/>
      <c r="AA261" s="322"/>
      <c r="AB261" s="326"/>
      <c r="AC261" s="321"/>
      <c r="AD261" s="322"/>
      <c r="AE261" s="326"/>
      <c r="AF261" s="321"/>
      <c r="AG261" s="322"/>
      <c r="AH261" s="326"/>
      <c r="AI261" s="321"/>
      <c r="AJ261" s="322"/>
      <c r="AK261" s="326"/>
      <c r="AL261" s="321"/>
      <c r="AM261" s="322"/>
      <c r="AN261" s="316" t="s">
        <v>63</v>
      </c>
      <c r="AO261" s="316"/>
      <c r="AP261" s="316"/>
      <c r="AQ261" s="316"/>
      <c r="AR261" s="316"/>
      <c r="AS261" s="316"/>
      <c r="AT261" s="316"/>
      <c r="AU261" s="316"/>
      <c r="AV261" s="316"/>
      <c r="AW261" s="316"/>
      <c r="AX261" s="316"/>
      <c r="AY261" s="316"/>
      <c r="AZ261" s="316"/>
      <c r="BA261" s="316"/>
      <c r="BB261" s="316"/>
      <c r="BC261" s="316"/>
      <c r="BD261" s="316"/>
      <c r="BE261" s="316"/>
      <c r="BF261" s="316"/>
      <c r="BG261" s="316"/>
      <c r="BH261" s="316"/>
      <c r="BI261" s="316"/>
      <c r="BJ261" s="316"/>
      <c r="BK261" s="316"/>
      <c r="BL261" s="316"/>
      <c r="BM261" s="316"/>
      <c r="BN261" s="316"/>
    </row>
    <row r="262" hidden="1" outlineLevel="1">
      <c r="A262" s="303" t="s">
        <v>553</v>
      </c>
      <c r="B262" s="317" t="s">
        <v>95</v>
      </c>
      <c r="C262" s="325" t="s">
        <v>47</v>
      </c>
      <c r="D262" s="326"/>
      <c r="E262" s="321"/>
      <c r="F262" s="322">
        <v>44880.0</v>
      </c>
      <c r="G262" s="326"/>
      <c r="H262" s="321"/>
      <c r="I262" s="322">
        <v>33810.0</v>
      </c>
      <c r="J262" s="326" t="s">
        <v>2039</v>
      </c>
      <c r="K262" s="321"/>
      <c r="L262" s="322">
        <v>40000.0</v>
      </c>
      <c r="M262" s="326"/>
      <c r="N262" s="321"/>
      <c r="O262" s="322"/>
      <c r="P262" s="326"/>
      <c r="Q262" s="321"/>
      <c r="R262" s="322"/>
      <c r="S262" s="326"/>
      <c r="T262" s="321"/>
      <c r="U262" s="322"/>
      <c r="V262" s="326"/>
      <c r="W262" s="321"/>
      <c r="X262" s="322"/>
      <c r="Y262" s="326"/>
      <c r="Z262" s="321"/>
      <c r="AA262" s="322"/>
      <c r="AB262" s="326"/>
      <c r="AC262" s="321"/>
      <c r="AD262" s="322"/>
      <c r="AE262" s="326"/>
      <c r="AF262" s="321"/>
      <c r="AG262" s="322"/>
      <c r="AH262" s="326"/>
      <c r="AI262" s="321"/>
      <c r="AJ262" s="322"/>
      <c r="AK262" s="326"/>
      <c r="AL262" s="321"/>
      <c r="AM262" s="322"/>
      <c r="AN262" s="316" t="s">
        <v>63</v>
      </c>
      <c r="AO262" s="316"/>
      <c r="AP262" s="316"/>
      <c r="AQ262" s="316"/>
      <c r="AR262" s="316"/>
      <c r="AS262" s="316"/>
      <c r="AT262" s="316"/>
      <c r="AU262" s="316"/>
      <c r="AV262" s="316"/>
      <c r="AW262" s="316"/>
      <c r="AX262" s="316"/>
      <c r="AY262" s="316"/>
      <c r="AZ262" s="316"/>
      <c r="BA262" s="316"/>
      <c r="BB262" s="316"/>
      <c r="BC262" s="316"/>
      <c r="BD262" s="316"/>
      <c r="BE262" s="316"/>
      <c r="BF262" s="316"/>
      <c r="BG262" s="316"/>
      <c r="BH262" s="316"/>
      <c r="BI262" s="316"/>
      <c r="BJ262" s="316"/>
      <c r="BK262" s="316"/>
      <c r="BL262" s="316"/>
      <c r="BM262" s="316"/>
      <c r="BN262" s="316"/>
    </row>
    <row r="263" hidden="1" outlineLevel="1">
      <c r="A263" s="303" t="s">
        <v>553</v>
      </c>
      <c r="B263" s="317" t="s">
        <v>95</v>
      </c>
      <c r="C263" s="325" t="s">
        <v>49</v>
      </c>
      <c r="D263" s="326"/>
      <c r="E263" s="321"/>
      <c r="F263" s="322">
        <v>307990.0</v>
      </c>
      <c r="G263" s="326"/>
      <c r="H263" s="321"/>
      <c r="I263" s="322">
        <v>271300.0</v>
      </c>
      <c r="J263" s="326" t="s">
        <v>2039</v>
      </c>
      <c r="K263" s="321"/>
      <c r="L263" s="322">
        <v>300000.0</v>
      </c>
      <c r="M263" s="326"/>
      <c r="N263" s="321"/>
      <c r="O263" s="322"/>
      <c r="P263" s="326"/>
      <c r="Q263" s="321"/>
      <c r="R263" s="322"/>
      <c r="S263" s="326"/>
      <c r="T263" s="321"/>
      <c r="U263" s="322"/>
      <c r="V263" s="326"/>
      <c r="W263" s="321"/>
      <c r="X263" s="322"/>
      <c r="Y263" s="326"/>
      <c r="Z263" s="321"/>
      <c r="AA263" s="322"/>
      <c r="AB263" s="326"/>
      <c r="AC263" s="321"/>
      <c r="AD263" s="322"/>
      <c r="AE263" s="326"/>
      <c r="AF263" s="321"/>
      <c r="AG263" s="322"/>
      <c r="AH263" s="326"/>
      <c r="AI263" s="321"/>
      <c r="AJ263" s="322"/>
      <c r="AK263" s="326"/>
      <c r="AL263" s="321"/>
      <c r="AM263" s="322"/>
      <c r="AN263" s="316" t="s">
        <v>63</v>
      </c>
      <c r="AO263" s="316"/>
      <c r="AP263" s="316"/>
      <c r="AQ263" s="316"/>
      <c r="AR263" s="316"/>
      <c r="AS263" s="316"/>
      <c r="AT263" s="316"/>
      <c r="AU263" s="316"/>
      <c r="AV263" s="316"/>
      <c r="AW263" s="316"/>
      <c r="AX263" s="316"/>
      <c r="AY263" s="316"/>
      <c r="AZ263" s="316"/>
      <c r="BA263" s="316"/>
      <c r="BB263" s="316"/>
      <c r="BC263" s="316"/>
      <c r="BD263" s="316"/>
      <c r="BE263" s="316"/>
      <c r="BF263" s="316"/>
      <c r="BG263" s="316"/>
      <c r="BH263" s="316"/>
      <c r="BI263" s="316"/>
      <c r="BJ263" s="316"/>
      <c r="BK263" s="316"/>
      <c r="BL263" s="316"/>
      <c r="BM263" s="316"/>
      <c r="BN263" s="316"/>
    </row>
    <row r="264" hidden="1" outlineLevel="1">
      <c r="A264" s="303" t="s">
        <v>553</v>
      </c>
      <c r="B264" s="317" t="s">
        <v>95</v>
      </c>
      <c r="C264" s="325" t="s">
        <v>576</v>
      </c>
      <c r="D264" s="326"/>
      <c r="E264" s="321"/>
      <c r="F264" s="322">
        <v>100000.0</v>
      </c>
      <c r="G264" s="326"/>
      <c r="H264" s="321"/>
      <c r="I264" s="322">
        <v>100000.0</v>
      </c>
      <c r="J264" s="326"/>
      <c r="K264" s="321"/>
      <c r="L264" s="322">
        <v>100000.0</v>
      </c>
      <c r="M264" s="326"/>
      <c r="N264" s="321"/>
      <c r="O264" s="322">
        <v>100000.0</v>
      </c>
      <c r="P264" s="326"/>
      <c r="Q264" s="321"/>
      <c r="R264" s="322">
        <v>100000.0</v>
      </c>
      <c r="S264" s="326"/>
      <c r="T264" s="321"/>
      <c r="U264" s="322">
        <v>100000.0</v>
      </c>
      <c r="V264" s="326"/>
      <c r="W264" s="321"/>
      <c r="X264" s="322">
        <v>100000.0</v>
      </c>
      <c r="Y264" s="326"/>
      <c r="Z264" s="321"/>
      <c r="AA264" s="322">
        <v>100000.0</v>
      </c>
      <c r="AB264" s="326"/>
      <c r="AC264" s="321"/>
      <c r="AD264" s="322">
        <v>100000.0</v>
      </c>
      <c r="AE264" s="326"/>
      <c r="AF264" s="321"/>
      <c r="AG264" s="322">
        <v>100000.0</v>
      </c>
      <c r="AH264" s="326"/>
      <c r="AI264" s="321"/>
      <c r="AJ264" s="322">
        <v>100000.0</v>
      </c>
      <c r="AK264" s="326"/>
      <c r="AL264" s="321"/>
      <c r="AM264" s="322">
        <v>100000.0</v>
      </c>
      <c r="AN264" s="316" t="s">
        <v>63</v>
      </c>
      <c r="AO264" s="316"/>
      <c r="AP264" s="316"/>
      <c r="AQ264" s="316"/>
      <c r="AR264" s="316"/>
      <c r="AS264" s="316"/>
      <c r="AT264" s="316"/>
      <c r="AU264" s="316"/>
      <c r="AV264" s="316"/>
      <c r="AW264" s="316"/>
      <c r="AX264" s="316"/>
      <c r="AY264" s="316"/>
      <c r="AZ264" s="316"/>
      <c r="BA264" s="316"/>
      <c r="BB264" s="316"/>
      <c r="BC264" s="316"/>
      <c r="BD264" s="316"/>
      <c r="BE264" s="316"/>
      <c r="BF264" s="316"/>
      <c r="BG264" s="316"/>
      <c r="BH264" s="316"/>
      <c r="BI264" s="316"/>
      <c r="BJ264" s="316"/>
      <c r="BK264" s="316"/>
      <c r="BL264" s="316"/>
      <c r="BM264" s="316"/>
      <c r="BN264" s="316"/>
    </row>
    <row r="265" hidden="1" outlineLevel="1">
      <c r="A265" s="303" t="s">
        <v>553</v>
      </c>
      <c r="B265" s="317" t="s">
        <v>95</v>
      </c>
      <c r="C265" s="325" t="s">
        <v>52</v>
      </c>
      <c r="D265" s="326"/>
      <c r="E265" s="321"/>
      <c r="F265" s="322">
        <v>23100.0</v>
      </c>
      <c r="G265" s="326"/>
      <c r="H265" s="321"/>
      <c r="I265" s="322">
        <v>23100.0</v>
      </c>
      <c r="J265" s="326"/>
      <c r="K265" s="321"/>
      <c r="L265" s="322">
        <v>23100.0</v>
      </c>
      <c r="M265" s="326"/>
      <c r="N265" s="321"/>
      <c r="O265" s="322">
        <v>23100.0</v>
      </c>
      <c r="P265" s="326"/>
      <c r="Q265" s="321"/>
      <c r="R265" s="322">
        <v>23100.0</v>
      </c>
      <c r="S265" s="326"/>
      <c r="T265" s="321"/>
      <c r="U265" s="322">
        <v>23100.0</v>
      </c>
      <c r="V265" s="326"/>
      <c r="W265" s="321"/>
      <c r="X265" s="322">
        <v>23100.0</v>
      </c>
      <c r="Y265" s="326"/>
      <c r="Z265" s="321"/>
      <c r="AA265" s="322">
        <v>23100.0</v>
      </c>
      <c r="AB265" s="326"/>
      <c r="AC265" s="321"/>
      <c r="AD265" s="322">
        <v>23100.0</v>
      </c>
      <c r="AE265" s="326"/>
      <c r="AF265" s="321"/>
      <c r="AG265" s="322">
        <v>23100.0</v>
      </c>
      <c r="AH265" s="326"/>
      <c r="AI265" s="321"/>
      <c r="AJ265" s="322">
        <v>23100.0</v>
      </c>
      <c r="AK265" s="326"/>
      <c r="AL265" s="321"/>
      <c r="AM265" s="322">
        <v>23100.0</v>
      </c>
      <c r="AN265" s="316" t="s">
        <v>63</v>
      </c>
      <c r="AO265" s="316"/>
      <c r="AP265" s="316"/>
      <c r="AQ265" s="316"/>
      <c r="AR265" s="316"/>
      <c r="AS265" s="316"/>
      <c r="AT265" s="316"/>
      <c r="AU265" s="316"/>
      <c r="AV265" s="316"/>
      <c r="AW265" s="316"/>
      <c r="AX265" s="316"/>
      <c r="AY265" s="316"/>
      <c r="AZ265" s="316"/>
      <c r="BA265" s="316"/>
      <c r="BB265" s="316"/>
      <c r="BC265" s="316"/>
      <c r="BD265" s="316"/>
      <c r="BE265" s="316"/>
      <c r="BF265" s="316"/>
      <c r="BG265" s="316"/>
      <c r="BH265" s="316"/>
      <c r="BI265" s="316"/>
      <c r="BJ265" s="316"/>
      <c r="BK265" s="316"/>
      <c r="BL265" s="316"/>
      <c r="BM265" s="316"/>
      <c r="BN265" s="316"/>
    </row>
    <row r="266" hidden="1" outlineLevel="1">
      <c r="A266" s="303" t="s">
        <v>553</v>
      </c>
      <c r="B266" s="317" t="s">
        <v>95</v>
      </c>
      <c r="C266" s="325" t="s">
        <v>53</v>
      </c>
      <c r="D266" s="326"/>
      <c r="E266" s="321"/>
      <c r="F266" s="322">
        <v>19900.0</v>
      </c>
      <c r="G266" s="326"/>
      <c r="H266" s="321"/>
      <c r="I266" s="322">
        <v>19900.0</v>
      </c>
      <c r="J266" s="326"/>
      <c r="K266" s="321"/>
      <c r="L266" s="322">
        <v>19900.0</v>
      </c>
      <c r="M266" s="326"/>
      <c r="N266" s="321"/>
      <c r="O266" s="322">
        <v>19900.0</v>
      </c>
      <c r="P266" s="326"/>
      <c r="Q266" s="321"/>
      <c r="R266" s="322">
        <v>19900.0</v>
      </c>
      <c r="S266" s="326"/>
      <c r="T266" s="321"/>
      <c r="U266" s="322">
        <v>19900.0</v>
      </c>
      <c r="V266" s="326"/>
      <c r="W266" s="321"/>
      <c r="X266" s="322">
        <v>19900.0</v>
      </c>
      <c r="Y266" s="326"/>
      <c r="Z266" s="321"/>
      <c r="AA266" s="322">
        <v>19900.0</v>
      </c>
      <c r="AB266" s="326"/>
      <c r="AC266" s="321"/>
      <c r="AD266" s="322">
        <v>19900.0</v>
      </c>
      <c r="AE266" s="326"/>
      <c r="AF266" s="321"/>
      <c r="AG266" s="322">
        <v>19900.0</v>
      </c>
      <c r="AH266" s="326"/>
      <c r="AI266" s="321"/>
      <c r="AJ266" s="322">
        <v>19900.0</v>
      </c>
      <c r="AK266" s="326"/>
      <c r="AL266" s="321"/>
      <c r="AM266" s="322">
        <v>19900.0</v>
      </c>
      <c r="AN266" s="316" t="s">
        <v>63</v>
      </c>
      <c r="AO266" s="316"/>
      <c r="AP266" s="316"/>
      <c r="AQ266" s="316"/>
      <c r="AR266" s="316"/>
      <c r="AS266" s="316"/>
      <c r="AT266" s="316"/>
      <c r="AU266" s="316"/>
      <c r="AV266" s="316"/>
      <c r="AW266" s="316"/>
      <c r="AX266" s="316"/>
      <c r="AY266" s="316"/>
      <c r="AZ266" s="316"/>
      <c r="BA266" s="316"/>
      <c r="BB266" s="316"/>
      <c r="BC266" s="316"/>
      <c r="BD266" s="316"/>
      <c r="BE266" s="316"/>
      <c r="BF266" s="316"/>
      <c r="BG266" s="316"/>
      <c r="BH266" s="316"/>
      <c r="BI266" s="316"/>
      <c r="BJ266" s="316"/>
      <c r="BK266" s="316"/>
      <c r="BL266" s="316"/>
      <c r="BM266" s="316"/>
      <c r="BN266" s="316"/>
    </row>
    <row r="267" hidden="1" outlineLevel="1">
      <c r="A267" s="303" t="s">
        <v>553</v>
      </c>
      <c r="B267" s="304"/>
      <c r="C267" s="325" t="s">
        <v>54</v>
      </c>
      <c r="D267" s="327"/>
      <c r="E267" s="321"/>
      <c r="F267" s="322">
        <f>SUMIFS('지출'!$G$3:$G794,'지출'!$J$3:$J794,F$1,'지출'!$C$3:$C794,"휘경")</f>
        <v>40000</v>
      </c>
      <c r="G267" s="327"/>
      <c r="H267" s="321"/>
      <c r="I267" s="322">
        <f>SUMIFS('지출'!$G$3:$G794,'지출'!$J$3:$J794,I$1,'지출'!$C$3:$C794,"휘경")</f>
        <v>51900</v>
      </c>
      <c r="J267" s="327"/>
      <c r="K267" s="321"/>
      <c r="L267" s="322">
        <f>SUMIFS('지출'!$G$3:$G794,'지출'!$J$3:$J794,L$1,'지출'!$C$3:$C794,"휘경")</f>
        <v>28800</v>
      </c>
      <c r="M267" s="327"/>
      <c r="N267" s="321"/>
      <c r="O267" s="322">
        <f>SUMIFS('지출'!$G$3:$G794,'지출'!$J$3:$J794,O$1,'지출'!$C$3:$C794,"휘경")</f>
        <v>0</v>
      </c>
      <c r="P267" s="327"/>
      <c r="Q267" s="321"/>
      <c r="R267" s="322">
        <f>SUMIFS('지출'!$G$3:$G794,'지출'!$J$3:$J794,R$1,'지출'!$C$3:$C794,"휘경")</f>
        <v>0</v>
      </c>
      <c r="S267" s="327"/>
      <c r="T267" s="321"/>
      <c r="U267" s="322">
        <f>SUMIFS('지출'!$G$3:$G794,'지출'!$J$3:$J794,U$1,'지출'!$C$3:$C794,"휘경")</f>
        <v>0</v>
      </c>
      <c r="V267" s="327"/>
      <c r="W267" s="321"/>
      <c r="X267" s="322">
        <f>SUMIFS('지출'!$G$3:$G794,'지출'!$J$3:$J794,X$1,'지출'!$C$3:$C794,"휘경")</f>
        <v>0</v>
      </c>
      <c r="Y267" s="327"/>
      <c r="Z267" s="321"/>
      <c r="AA267" s="322">
        <f>SUMIFS('지출'!$G$3:$G794,'지출'!$J$3:$J794,AA$1,'지출'!$C$3:$C794,"휘경")</f>
        <v>0</v>
      </c>
      <c r="AB267" s="327"/>
      <c r="AC267" s="321"/>
      <c r="AD267" s="322">
        <f>SUMIFS('지출'!$G$3:$G794,'지출'!$J$3:$J794,AD$1,'지출'!$C$3:$C794,"휘경")</f>
        <v>0</v>
      </c>
      <c r="AE267" s="327"/>
      <c r="AF267" s="321"/>
      <c r="AG267" s="322">
        <f>SUMIFS('지출'!$G$3:$G794,'지출'!$J$3:$J794,AG$1,'지출'!$C$3:$C794,"휘경")</f>
        <v>0</v>
      </c>
      <c r="AH267" s="327"/>
      <c r="AI267" s="321"/>
      <c r="AJ267" s="322">
        <f>SUMIFS('지출'!$G$3:$G794,'지출'!$J$3:$J794,AJ$1,'지출'!$C$3:$C794,"휘경")</f>
        <v>0</v>
      </c>
      <c r="AK267" s="327"/>
      <c r="AL267" s="321"/>
      <c r="AM267" s="322">
        <f>SUMIFS('지출'!$G$3:$G794,'지출'!$J$3:$J794,AM$1,'지출'!$C$3:$C794,"휘경")</f>
        <v>0</v>
      </c>
      <c r="AN267" s="316" t="s">
        <v>63</v>
      </c>
      <c r="AO267" s="316"/>
      <c r="AP267" s="316"/>
      <c r="AQ267" s="316"/>
      <c r="AR267" s="316"/>
      <c r="AS267" s="316"/>
      <c r="AT267" s="316"/>
      <c r="AU267" s="316"/>
      <c r="AV267" s="316"/>
      <c r="AW267" s="316"/>
      <c r="AX267" s="316"/>
      <c r="AY267" s="316"/>
      <c r="AZ267" s="316"/>
      <c r="BA267" s="316"/>
      <c r="BB267" s="316"/>
      <c r="BC267" s="316"/>
      <c r="BD267" s="316"/>
      <c r="BE267" s="316"/>
      <c r="BF267" s="316"/>
      <c r="BG267" s="316"/>
      <c r="BH267" s="316"/>
      <c r="BI267" s="316"/>
      <c r="BJ267" s="316"/>
      <c r="BK267" s="316"/>
      <c r="BL267" s="316"/>
      <c r="BM267" s="316"/>
      <c r="BN267" s="316"/>
    </row>
    <row r="268" hidden="1" outlineLevel="1">
      <c r="A268" s="303" t="s">
        <v>553</v>
      </c>
      <c r="B268" s="304"/>
      <c r="C268" s="325" t="s">
        <v>56</v>
      </c>
      <c r="D268" s="320"/>
      <c r="E268" s="323">
        <f t="shared" ref="E268:F268" si="346">E259-(SUM(E260:E267))</f>
        <v>640000</v>
      </c>
      <c r="F268" s="324">
        <f t="shared" si="346"/>
        <v>-80870</v>
      </c>
      <c r="G268" s="320"/>
      <c r="H268" s="323">
        <f t="shared" ref="H268:I268" si="347">H259-(SUM(H260:H267))</f>
        <v>1193214</v>
      </c>
      <c r="I268" s="324">
        <f t="shared" si="347"/>
        <v>-8581</v>
      </c>
      <c r="J268" s="320"/>
      <c r="K268" s="323">
        <f t="shared" ref="K268:L268" si="348">K259-(SUM(K260:K267))</f>
        <v>1430000</v>
      </c>
      <c r="L268" s="324">
        <f t="shared" si="348"/>
        <v>-11800</v>
      </c>
      <c r="M268" s="320"/>
      <c r="N268" s="323">
        <f t="shared" ref="N268:O268" si="349">N259-(SUM(N260:N267))</f>
        <v>980000</v>
      </c>
      <c r="O268" s="324">
        <f t="shared" si="349"/>
        <v>257000</v>
      </c>
      <c r="P268" s="320"/>
      <c r="Q268" s="323">
        <f t="shared" ref="Q268:R268" si="350">Q259-(SUM(Q260:Q267))</f>
        <v>980000</v>
      </c>
      <c r="R268" s="324">
        <f t="shared" si="350"/>
        <v>257000</v>
      </c>
      <c r="S268" s="320"/>
      <c r="T268" s="323">
        <f t="shared" ref="T268:U268" si="351">T259-(SUM(T260:T267))</f>
        <v>980000</v>
      </c>
      <c r="U268" s="324">
        <f t="shared" si="351"/>
        <v>257000</v>
      </c>
      <c r="V268" s="320"/>
      <c r="W268" s="323">
        <f t="shared" ref="W268:X268" si="352">W259-(SUM(W260:W267))</f>
        <v>980000</v>
      </c>
      <c r="X268" s="324">
        <f t="shared" si="352"/>
        <v>257000</v>
      </c>
      <c r="Y268" s="320"/>
      <c r="Z268" s="323">
        <f t="shared" ref="Z268:AA268" si="353">Z259-(SUM(Z260:Z267))</f>
        <v>860323</v>
      </c>
      <c r="AA268" s="324">
        <f t="shared" si="353"/>
        <v>234419</v>
      </c>
      <c r="AB268" s="320"/>
      <c r="AC268" s="323">
        <f t="shared" ref="AC268:AD268" si="354">AC259-(SUM(AC260:AC267))</f>
        <v>-500000</v>
      </c>
      <c r="AD268" s="324">
        <f t="shared" si="354"/>
        <v>-43000</v>
      </c>
      <c r="AE268" s="320"/>
      <c r="AF268" s="323">
        <f t="shared" ref="AF268:AG268" si="355">AF259-(SUM(AF260:AF267))</f>
        <v>-500000</v>
      </c>
      <c r="AG268" s="324">
        <f t="shared" si="355"/>
        <v>-43000</v>
      </c>
      <c r="AH268" s="320"/>
      <c r="AI268" s="323">
        <f t="shared" ref="AI268:AJ268" si="356">AI259-(SUM(AI260:AI267))</f>
        <v>-500000</v>
      </c>
      <c r="AJ268" s="324">
        <f t="shared" si="356"/>
        <v>-43000</v>
      </c>
      <c r="AK268" s="320"/>
      <c r="AL268" s="323">
        <f t="shared" ref="AL268:AM268" si="357">AL259-(SUM(AL260:AL267))</f>
        <v>-500000</v>
      </c>
      <c r="AM268" s="324">
        <f t="shared" si="357"/>
        <v>-43000</v>
      </c>
      <c r="AN268" s="316" t="s">
        <v>63</v>
      </c>
      <c r="AO268" s="316"/>
      <c r="AP268" s="316"/>
      <c r="AQ268" s="316"/>
      <c r="AR268" s="316"/>
      <c r="AS268" s="316"/>
      <c r="AT268" s="316"/>
      <c r="AU268" s="316"/>
      <c r="AV268" s="316"/>
      <c r="AW268" s="316"/>
      <c r="AX268" s="316"/>
      <c r="AY268" s="316"/>
      <c r="AZ268" s="316"/>
      <c r="BA268" s="316"/>
      <c r="BB268" s="316"/>
      <c r="BC268" s="316"/>
      <c r="BD268" s="316"/>
      <c r="BE268" s="316"/>
      <c r="BF268" s="316"/>
      <c r="BG268" s="316"/>
      <c r="BH268" s="316"/>
      <c r="BI268" s="316"/>
      <c r="BJ268" s="316"/>
      <c r="BK268" s="316"/>
      <c r="BL268" s="316"/>
      <c r="BM268" s="316"/>
      <c r="BN268" s="316"/>
    </row>
    <row r="269">
      <c r="A269" s="303" t="s">
        <v>553</v>
      </c>
      <c r="B269" s="328">
        <v>0.7</v>
      </c>
      <c r="C269" s="325" t="s">
        <v>26</v>
      </c>
      <c r="D269" s="320"/>
      <c r="E269" s="323">
        <f>E268*$B269</f>
        <v>448000</v>
      </c>
      <c r="F269" s="324"/>
      <c r="G269" s="320"/>
      <c r="H269" s="323">
        <f>H268*$B269</f>
        <v>835249.8</v>
      </c>
      <c r="I269" s="324"/>
      <c r="J269" s="320"/>
      <c r="K269" s="323">
        <f>K268*$B269</f>
        <v>1001000</v>
      </c>
      <c r="L269" s="324"/>
      <c r="M269" s="320"/>
      <c r="N269" s="323">
        <f>N268*$B269</f>
        <v>686000</v>
      </c>
      <c r="O269" s="324"/>
      <c r="P269" s="320"/>
      <c r="Q269" s="323">
        <f>Q268*$B269</f>
        <v>686000</v>
      </c>
      <c r="R269" s="324"/>
      <c r="S269" s="320"/>
      <c r="T269" s="323">
        <f>T268*$B269</f>
        <v>686000</v>
      </c>
      <c r="U269" s="324"/>
      <c r="V269" s="320"/>
      <c r="W269" s="323">
        <f>W268*$B269</f>
        <v>686000</v>
      </c>
      <c r="X269" s="324"/>
      <c r="Y269" s="320"/>
      <c r="Z269" s="323">
        <f>Z268*$B269</f>
        <v>602226.1</v>
      </c>
      <c r="AA269" s="324"/>
      <c r="AB269" s="320"/>
      <c r="AC269" s="323">
        <f>AC268*$B269</f>
        <v>-350000</v>
      </c>
      <c r="AD269" s="324"/>
      <c r="AE269" s="320"/>
      <c r="AF269" s="323">
        <f>AF268*$B269</f>
        <v>-350000</v>
      </c>
      <c r="AG269" s="324"/>
      <c r="AH269" s="320"/>
      <c r="AI269" s="323">
        <f>AI268*$B269</f>
        <v>-350000</v>
      </c>
      <c r="AJ269" s="324"/>
      <c r="AK269" s="320"/>
      <c r="AL269" s="323">
        <f>AL268*$B269</f>
        <v>-350000</v>
      </c>
      <c r="AM269" s="324"/>
      <c r="AN269" s="316" t="s">
        <v>63</v>
      </c>
      <c r="AO269" s="316"/>
      <c r="AP269" s="316"/>
      <c r="AQ269" s="316"/>
      <c r="AR269" s="316"/>
      <c r="AS269" s="316"/>
      <c r="AT269" s="316"/>
      <c r="AU269" s="316"/>
      <c r="AV269" s="316"/>
      <c r="AW269" s="316"/>
      <c r="AX269" s="316"/>
      <c r="AY269" s="316"/>
      <c r="AZ269" s="316"/>
      <c r="BA269" s="316"/>
      <c r="BB269" s="316"/>
      <c r="BC269" s="316"/>
      <c r="BD269" s="316"/>
      <c r="BE269" s="316"/>
      <c r="BF269" s="316"/>
      <c r="BG269" s="316"/>
      <c r="BH269" s="316"/>
      <c r="BI269" s="316"/>
      <c r="BJ269" s="316"/>
      <c r="BK269" s="316"/>
      <c r="BL269" s="316"/>
      <c r="BM269" s="316"/>
      <c r="BN269" s="316"/>
    </row>
    <row r="270">
      <c r="A270" s="303" t="s">
        <v>553</v>
      </c>
      <c r="B270" s="329">
        <v>0.3</v>
      </c>
      <c r="C270" s="330" t="s">
        <v>57</v>
      </c>
      <c r="D270" s="331"/>
      <c r="E270" s="332">
        <f>E268*$B270</f>
        <v>192000</v>
      </c>
      <c r="F270" s="333"/>
      <c r="G270" s="331"/>
      <c r="H270" s="332">
        <f>H268*$B270</f>
        <v>357964.2</v>
      </c>
      <c r="I270" s="333"/>
      <c r="J270" s="331"/>
      <c r="K270" s="332">
        <f>K268*$B270</f>
        <v>429000</v>
      </c>
      <c r="L270" s="333"/>
      <c r="M270" s="331"/>
      <c r="N270" s="332">
        <f>N268*$B270</f>
        <v>294000</v>
      </c>
      <c r="O270" s="333"/>
      <c r="P270" s="331"/>
      <c r="Q270" s="332">
        <f>Q268*$B270</f>
        <v>294000</v>
      </c>
      <c r="R270" s="333"/>
      <c r="S270" s="331"/>
      <c r="T270" s="332">
        <f>T268*$B270</f>
        <v>294000</v>
      </c>
      <c r="U270" s="333"/>
      <c r="V270" s="331"/>
      <c r="W270" s="332">
        <f>W268*$B270</f>
        <v>294000</v>
      </c>
      <c r="X270" s="333"/>
      <c r="Y270" s="331"/>
      <c r="Z270" s="332">
        <f>Z268*$B270</f>
        <v>258096.9</v>
      </c>
      <c r="AA270" s="333"/>
      <c r="AB270" s="331"/>
      <c r="AC270" s="332">
        <f>AC268*$B270</f>
        <v>-150000</v>
      </c>
      <c r="AD270" s="333"/>
      <c r="AE270" s="331"/>
      <c r="AF270" s="332">
        <f>AF268*$B270</f>
        <v>-150000</v>
      </c>
      <c r="AG270" s="333"/>
      <c r="AH270" s="331"/>
      <c r="AI270" s="332">
        <f>AI268*$B270</f>
        <v>-150000</v>
      </c>
      <c r="AJ270" s="333"/>
      <c r="AK270" s="331"/>
      <c r="AL270" s="332">
        <f>AL268*$B270</f>
        <v>-150000</v>
      </c>
      <c r="AM270" s="333"/>
      <c r="AN270" s="316" t="s">
        <v>63</v>
      </c>
      <c r="AO270" s="316"/>
      <c r="AP270" s="316"/>
      <c r="AQ270" s="316"/>
      <c r="AR270" s="316"/>
      <c r="AS270" s="316"/>
      <c r="AT270" s="316"/>
      <c r="AU270" s="316"/>
      <c r="AV270" s="316"/>
      <c r="AW270" s="316"/>
      <c r="AX270" s="316"/>
      <c r="AY270" s="316"/>
      <c r="AZ270" s="316"/>
      <c r="BA270" s="316"/>
      <c r="BB270" s="316"/>
      <c r="BC270" s="316"/>
      <c r="BD270" s="316"/>
      <c r="BE270" s="316"/>
      <c r="BF270" s="316"/>
      <c r="BG270" s="316"/>
      <c r="BH270" s="316"/>
      <c r="BI270" s="316"/>
      <c r="BJ270" s="316"/>
      <c r="BK270" s="316"/>
      <c r="BL270" s="316"/>
      <c r="BM270" s="316"/>
      <c r="BN270" s="316"/>
    </row>
    <row r="271">
      <c r="A271" s="303" t="s">
        <v>577</v>
      </c>
      <c r="B271" s="317" t="s">
        <v>577</v>
      </c>
      <c r="C271" s="325" t="s">
        <v>320</v>
      </c>
      <c r="D271" s="341" t="s">
        <v>578</v>
      </c>
      <c r="E271" s="335">
        <v>570000.0</v>
      </c>
      <c r="F271" s="346">
        <v>80000.0</v>
      </c>
      <c r="G271" s="341" t="s">
        <v>578</v>
      </c>
      <c r="H271" s="335">
        <v>570000.0</v>
      </c>
      <c r="I271" s="346">
        <v>80000.0</v>
      </c>
      <c r="J271" s="341" t="s">
        <v>578</v>
      </c>
      <c r="K271" s="335">
        <v>570000.0</v>
      </c>
      <c r="L271" s="346">
        <v>80000.0</v>
      </c>
      <c r="M271" s="341" t="s">
        <v>578</v>
      </c>
      <c r="N271" s="335">
        <v>570000.0</v>
      </c>
      <c r="O271" s="346">
        <v>80000.0</v>
      </c>
      <c r="P271" s="341" t="s">
        <v>578</v>
      </c>
      <c r="Q271" s="335">
        <v>570000.0</v>
      </c>
      <c r="R271" s="346">
        <v>80000.0</v>
      </c>
      <c r="S271" s="341" t="s">
        <v>578</v>
      </c>
      <c r="T271" s="335">
        <v>570000.0</v>
      </c>
      <c r="U271" s="346">
        <v>80000.0</v>
      </c>
      <c r="V271" s="341" t="s">
        <v>578</v>
      </c>
      <c r="W271" s="335">
        <v>570000.0</v>
      </c>
      <c r="X271" s="346">
        <v>80000.0</v>
      </c>
      <c r="Y271" s="353" t="s">
        <v>2169</v>
      </c>
      <c r="Z271" s="335">
        <v>570000.0</v>
      </c>
      <c r="AA271" s="346">
        <v>80000.0</v>
      </c>
      <c r="AB271" s="326"/>
      <c r="AC271" s="321"/>
      <c r="AD271" s="322"/>
      <c r="AE271" s="326"/>
      <c r="AF271" s="321"/>
      <c r="AG271" s="322"/>
      <c r="AH271" s="326"/>
      <c r="AI271" s="321"/>
      <c r="AJ271" s="322"/>
      <c r="AK271" s="326"/>
      <c r="AL271" s="321"/>
      <c r="AM271" s="322"/>
      <c r="AN271" s="316" t="s">
        <v>579</v>
      </c>
      <c r="AO271" s="316"/>
      <c r="AP271" s="316"/>
      <c r="AQ271" s="316"/>
      <c r="AR271" s="316"/>
      <c r="AS271" s="316"/>
      <c r="AT271" s="316"/>
      <c r="AU271" s="316"/>
      <c r="AV271" s="316"/>
      <c r="AW271" s="316"/>
      <c r="AX271" s="316"/>
      <c r="AY271" s="316"/>
      <c r="AZ271" s="316"/>
      <c r="BA271" s="316"/>
      <c r="BB271" s="316"/>
      <c r="BC271" s="316"/>
      <c r="BD271" s="316"/>
      <c r="BE271" s="316"/>
      <c r="BF271" s="316"/>
      <c r="BG271" s="316"/>
      <c r="BH271" s="316"/>
      <c r="BI271" s="316"/>
      <c r="BJ271" s="316"/>
      <c r="BK271" s="316"/>
      <c r="BL271" s="316"/>
      <c r="BM271" s="316"/>
      <c r="BN271" s="316"/>
    </row>
    <row r="272">
      <c r="A272" s="303" t="s">
        <v>577</v>
      </c>
      <c r="B272" s="317" t="s">
        <v>580</v>
      </c>
      <c r="C272" s="325" t="s">
        <v>322</v>
      </c>
      <c r="D272" s="341" t="s">
        <v>581</v>
      </c>
      <c r="E272" s="335">
        <v>391600.0</v>
      </c>
      <c r="F272" s="346">
        <v>80000.0</v>
      </c>
      <c r="G272" s="341" t="s">
        <v>581</v>
      </c>
      <c r="H272" s="335">
        <v>391600.0</v>
      </c>
      <c r="I272" s="346">
        <v>80000.0</v>
      </c>
      <c r="J272" s="341" t="s">
        <v>581</v>
      </c>
      <c r="K272" s="335">
        <v>391600.0</v>
      </c>
      <c r="L272" s="346">
        <v>80000.0</v>
      </c>
      <c r="M272" s="341" t="s">
        <v>581</v>
      </c>
      <c r="N272" s="335">
        <v>391600.0</v>
      </c>
      <c r="O272" s="346">
        <v>80000.0</v>
      </c>
      <c r="P272" s="341" t="s">
        <v>581</v>
      </c>
      <c r="Q272" s="335">
        <v>391600.0</v>
      </c>
      <c r="R272" s="346">
        <v>80000.0</v>
      </c>
      <c r="S272" s="341" t="s">
        <v>581</v>
      </c>
      <c r="T272" s="335">
        <v>391600.0</v>
      </c>
      <c r="U272" s="346">
        <v>80000.0</v>
      </c>
      <c r="V272" s="341" t="s">
        <v>581</v>
      </c>
      <c r="W272" s="335">
        <v>391600.0</v>
      </c>
      <c r="X272" s="346">
        <v>80000.0</v>
      </c>
      <c r="Y272" s="353" t="s">
        <v>2170</v>
      </c>
      <c r="Z272" s="335">
        <v>391600.0</v>
      </c>
      <c r="AA272" s="346">
        <v>80000.0</v>
      </c>
      <c r="AB272" s="326"/>
      <c r="AC272" s="321"/>
      <c r="AD272" s="322"/>
      <c r="AE272" s="326"/>
      <c r="AF272" s="321"/>
      <c r="AG272" s="322"/>
      <c r="AH272" s="326"/>
      <c r="AI272" s="321"/>
      <c r="AJ272" s="322"/>
      <c r="AK272" s="326"/>
      <c r="AL272" s="321"/>
      <c r="AM272" s="322"/>
      <c r="AN272" s="316" t="s">
        <v>579</v>
      </c>
      <c r="AO272" s="316"/>
      <c r="AP272" s="316"/>
      <c r="AQ272" s="316"/>
      <c r="AR272" s="316"/>
      <c r="AS272" s="316"/>
      <c r="AT272" s="316"/>
      <c r="AU272" s="316"/>
      <c r="AV272" s="316"/>
      <c r="AW272" s="316"/>
      <c r="AX272" s="316"/>
      <c r="AY272" s="316"/>
      <c r="AZ272" s="316"/>
      <c r="BA272" s="316"/>
      <c r="BB272" s="316"/>
      <c r="BC272" s="316"/>
      <c r="BD272" s="316"/>
      <c r="BE272" s="316"/>
      <c r="BF272" s="316"/>
      <c r="BG272" s="316"/>
      <c r="BH272" s="316"/>
      <c r="BI272" s="316"/>
      <c r="BJ272" s="316"/>
      <c r="BK272" s="316"/>
      <c r="BL272" s="316"/>
      <c r="BM272" s="316"/>
      <c r="BN272" s="316"/>
    </row>
    <row r="273">
      <c r="A273" s="303" t="s">
        <v>577</v>
      </c>
      <c r="B273" s="317" t="s">
        <v>580</v>
      </c>
      <c r="C273" s="325" t="s">
        <v>582</v>
      </c>
      <c r="D273" s="334" t="s">
        <v>546</v>
      </c>
      <c r="E273" s="335">
        <v>390000.0</v>
      </c>
      <c r="F273" s="346">
        <v>100000.0</v>
      </c>
      <c r="G273" s="334" t="s">
        <v>546</v>
      </c>
      <c r="H273" s="335">
        <v>390000.0</v>
      </c>
      <c r="I273" s="346">
        <v>100000.0</v>
      </c>
      <c r="J273" s="334" t="s">
        <v>546</v>
      </c>
      <c r="K273" s="348">
        <v>370000.0</v>
      </c>
      <c r="L273" s="346">
        <v>100000.0</v>
      </c>
      <c r="M273" s="334" t="s">
        <v>546</v>
      </c>
      <c r="N273" s="348">
        <v>370000.0</v>
      </c>
      <c r="O273" s="346">
        <v>100000.0</v>
      </c>
      <c r="P273" s="334" t="s">
        <v>546</v>
      </c>
      <c r="Q273" s="348">
        <v>370000.0</v>
      </c>
      <c r="R273" s="346">
        <v>100000.0</v>
      </c>
      <c r="S273" s="334" t="s">
        <v>546</v>
      </c>
      <c r="T273" s="348">
        <v>370000.0</v>
      </c>
      <c r="U273" s="346">
        <v>100000.0</v>
      </c>
      <c r="V273" s="334" t="s">
        <v>546</v>
      </c>
      <c r="W273" s="348">
        <v>370000.0</v>
      </c>
      <c r="X273" s="346">
        <v>100000.0</v>
      </c>
      <c r="Y273" s="334" t="s">
        <v>546</v>
      </c>
      <c r="Z273" s="348">
        <v>370000.0</v>
      </c>
      <c r="AA273" s="346">
        <v>100000.0</v>
      </c>
      <c r="AB273" s="334" t="s">
        <v>546</v>
      </c>
      <c r="AC273" s="348">
        <v>370000.0</v>
      </c>
      <c r="AD273" s="346">
        <v>100000.0</v>
      </c>
      <c r="AE273" s="334" t="s">
        <v>546</v>
      </c>
      <c r="AF273" s="348">
        <v>370000.0</v>
      </c>
      <c r="AG273" s="346">
        <v>100000.0</v>
      </c>
      <c r="AH273" s="334" t="s">
        <v>546</v>
      </c>
      <c r="AI273" s="348">
        <v>370000.0</v>
      </c>
      <c r="AJ273" s="346">
        <v>100000.0</v>
      </c>
      <c r="AK273" s="334" t="s">
        <v>546</v>
      </c>
      <c r="AL273" s="348">
        <v>370000.0</v>
      </c>
      <c r="AM273" s="346">
        <v>100000.0</v>
      </c>
      <c r="AN273" s="316" t="s">
        <v>579</v>
      </c>
      <c r="AO273" s="316"/>
      <c r="AP273" s="316"/>
      <c r="AQ273" s="316"/>
      <c r="AR273" s="316"/>
      <c r="AS273" s="316"/>
      <c r="AT273" s="316"/>
      <c r="AU273" s="316"/>
      <c r="AV273" s="316"/>
      <c r="AW273" s="316"/>
      <c r="AX273" s="316"/>
      <c r="AY273" s="316"/>
      <c r="AZ273" s="316"/>
      <c r="BA273" s="316"/>
      <c r="BB273" s="316"/>
      <c r="BC273" s="316"/>
      <c r="BD273" s="316"/>
      <c r="BE273" s="316"/>
      <c r="BF273" s="316"/>
      <c r="BG273" s="316"/>
      <c r="BH273" s="316"/>
      <c r="BI273" s="316"/>
      <c r="BJ273" s="316"/>
      <c r="BK273" s="316"/>
      <c r="BL273" s="316"/>
      <c r="BM273" s="316"/>
      <c r="BN273" s="316"/>
    </row>
    <row r="274">
      <c r="A274" s="303" t="s">
        <v>577</v>
      </c>
      <c r="B274" s="317" t="s">
        <v>580</v>
      </c>
      <c r="C274" s="325" t="s">
        <v>323</v>
      </c>
      <c r="D274" s="353" t="s">
        <v>2171</v>
      </c>
      <c r="E274" s="335">
        <v>370000.0</v>
      </c>
      <c r="F274" s="346">
        <v>100000.0</v>
      </c>
      <c r="G274" s="353" t="s">
        <v>2172</v>
      </c>
      <c r="H274" s="335">
        <f>370000+52857</f>
        <v>422857</v>
      </c>
      <c r="I274" s="346">
        <f>100000+14286</f>
        <v>114286</v>
      </c>
      <c r="J274" s="317" t="s">
        <v>1550</v>
      </c>
      <c r="K274" s="335">
        <v>370000.0</v>
      </c>
      <c r="L274" s="346">
        <v>100000.0</v>
      </c>
      <c r="M274" s="317" t="s">
        <v>1550</v>
      </c>
      <c r="N274" s="335">
        <v>370000.0</v>
      </c>
      <c r="O274" s="346">
        <v>100000.0</v>
      </c>
      <c r="P274" s="317" t="s">
        <v>1550</v>
      </c>
      <c r="Q274" s="335">
        <v>370000.0</v>
      </c>
      <c r="R274" s="346">
        <v>100000.0</v>
      </c>
      <c r="S274" s="317" t="s">
        <v>1550</v>
      </c>
      <c r="T274" s="335">
        <v>370000.0</v>
      </c>
      <c r="U274" s="346">
        <v>100000.0</v>
      </c>
      <c r="V274" s="317" t="s">
        <v>1550</v>
      </c>
      <c r="W274" s="335">
        <v>370000.0</v>
      </c>
      <c r="X274" s="346">
        <v>100000.0</v>
      </c>
      <c r="Y274" s="317" t="s">
        <v>1550</v>
      </c>
      <c r="Z274" s="335">
        <v>370000.0</v>
      </c>
      <c r="AA274" s="346">
        <v>100000.0</v>
      </c>
      <c r="AB274" s="317" t="s">
        <v>1550</v>
      </c>
      <c r="AC274" s="335">
        <v>370000.0</v>
      </c>
      <c r="AD274" s="346">
        <v>100000.0</v>
      </c>
      <c r="AE274" s="317" t="s">
        <v>1550</v>
      </c>
      <c r="AF274" s="335">
        <v>370000.0</v>
      </c>
      <c r="AG274" s="346">
        <v>100000.0</v>
      </c>
      <c r="AH274" s="317" t="s">
        <v>1550</v>
      </c>
      <c r="AI274" s="335">
        <v>370000.0</v>
      </c>
      <c r="AJ274" s="346">
        <v>100000.0</v>
      </c>
      <c r="AK274" s="317" t="s">
        <v>1550</v>
      </c>
      <c r="AL274" s="335">
        <v>370000.0</v>
      </c>
      <c r="AM274" s="346">
        <v>100000.0</v>
      </c>
      <c r="AN274" s="316" t="s">
        <v>579</v>
      </c>
      <c r="AO274" s="316"/>
      <c r="AP274" s="316"/>
      <c r="AQ274" s="316"/>
      <c r="AR274" s="316"/>
      <c r="AS274" s="316"/>
      <c r="AT274" s="316"/>
      <c r="AU274" s="316"/>
      <c r="AV274" s="316"/>
      <c r="AW274" s="316"/>
      <c r="AX274" s="316"/>
      <c r="AY274" s="316"/>
      <c r="AZ274" s="316"/>
      <c r="BA274" s="316"/>
      <c r="BB274" s="316"/>
      <c r="BC274" s="316"/>
      <c r="BD274" s="316"/>
      <c r="BE274" s="316"/>
      <c r="BF274" s="316"/>
      <c r="BG274" s="316"/>
      <c r="BH274" s="316"/>
      <c r="BI274" s="316"/>
      <c r="BJ274" s="316"/>
      <c r="BK274" s="316"/>
      <c r="BL274" s="316"/>
      <c r="BM274" s="316"/>
      <c r="BN274" s="316"/>
    </row>
    <row r="275">
      <c r="A275" s="303" t="s">
        <v>577</v>
      </c>
      <c r="B275" s="317" t="s">
        <v>580</v>
      </c>
      <c r="C275" s="325" t="s">
        <v>349</v>
      </c>
      <c r="D275" s="341" t="s">
        <v>2173</v>
      </c>
      <c r="E275" s="335">
        <v>370000.0</v>
      </c>
      <c r="F275" s="346">
        <v>100000.0</v>
      </c>
      <c r="G275" s="353" t="s">
        <v>2174</v>
      </c>
      <c r="H275" s="335">
        <f>370000+26429</f>
        <v>396429</v>
      </c>
      <c r="I275" s="346">
        <f>100000+7143</f>
        <v>107143</v>
      </c>
      <c r="J275" s="317" t="s">
        <v>1554</v>
      </c>
      <c r="K275" s="335">
        <v>370000.0</v>
      </c>
      <c r="L275" s="346">
        <v>100000.0</v>
      </c>
      <c r="M275" s="317" t="s">
        <v>1554</v>
      </c>
      <c r="N275" s="335">
        <v>370000.0</v>
      </c>
      <c r="O275" s="346">
        <v>100000.0</v>
      </c>
      <c r="P275" s="317" t="s">
        <v>1554</v>
      </c>
      <c r="Q275" s="335">
        <v>370000.0</v>
      </c>
      <c r="R275" s="346">
        <v>100000.0</v>
      </c>
      <c r="S275" s="317" t="s">
        <v>1554</v>
      </c>
      <c r="T275" s="335">
        <v>370000.0</v>
      </c>
      <c r="U275" s="346">
        <v>100000.0</v>
      </c>
      <c r="V275" s="317" t="s">
        <v>1554</v>
      </c>
      <c r="W275" s="335">
        <v>370000.0</v>
      </c>
      <c r="X275" s="346">
        <v>100000.0</v>
      </c>
      <c r="Y275" s="317" t="s">
        <v>1554</v>
      </c>
      <c r="Z275" s="335">
        <v>370000.0</v>
      </c>
      <c r="AA275" s="346">
        <v>100000.0</v>
      </c>
      <c r="AB275" s="317" t="s">
        <v>1554</v>
      </c>
      <c r="AC275" s="335">
        <v>370000.0</v>
      </c>
      <c r="AD275" s="346">
        <v>100000.0</v>
      </c>
      <c r="AE275" s="317" t="s">
        <v>1554</v>
      </c>
      <c r="AF275" s="335">
        <v>370000.0</v>
      </c>
      <c r="AG275" s="346">
        <v>100000.0</v>
      </c>
      <c r="AH275" s="317" t="s">
        <v>1554</v>
      </c>
      <c r="AI275" s="335">
        <v>370000.0</v>
      </c>
      <c r="AJ275" s="346">
        <v>100000.0</v>
      </c>
      <c r="AK275" s="317" t="s">
        <v>1554</v>
      </c>
      <c r="AL275" s="335">
        <v>370000.0</v>
      </c>
      <c r="AM275" s="346">
        <v>100000.0</v>
      </c>
      <c r="AN275" s="316" t="s">
        <v>579</v>
      </c>
      <c r="AO275" s="316"/>
      <c r="AP275" s="316"/>
      <c r="AQ275" s="316"/>
      <c r="AR275" s="316"/>
      <c r="AS275" s="316"/>
      <c r="AT275" s="316"/>
      <c r="AU275" s="316"/>
      <c r="AV275" s="316"/>
      <c r="AW275" s="316"/>
      <c r="AX275" s="316"/>
      <c r="AY275" s="316"/>
      <c r="AZ275" s="316"/>
      <c r="BA275" s="316"/>
      <c r="BB275" s="316"/>
      <c r="BC275" s="316"/>
      <c r="BD275" s="316"/>
      <c r="BE275" s="316"/>
      <c r="BF275" s="316"/>
      <c r="BG275" s="316"/>
      <c r="BH275" s="316"/>
      <c r="BI275" s="316"/>
      <c r="BJ275" s="316"/>
      <c r="BK275" s="316"/>
      <c r="BL275" s="316"/>
      <c r="BM275" s="316"/>
      <c r="BN275" s="316"/>
    </row>
    <row r="276">
      <c r="A276" s="303" t="s">
        <v>577</v>
      </c>
      <c r="B276" s="304"/>
      <c r="C276" s="305" t="s">
        <v>42</v>
      </c>
      <c r="D276" s="320"/>
      <c r="E276" s="323">
        <f t="shared" ref="E276:F276" si="358">SUM(E271:E275)</f>
        <v>2091600</v>
      </c>
      <c r="F276" s="324">
        <f t="shared" si="358"/>
        <v>460000</v>
      </c>
      <c r="G276" s="320"/>
      <c r="H276" s="323">
        <f t="shared" ref="H276:I276" si="359">SUM(H271:H275)</f>
        <v>2170886</v>
      </c>
      <c r="I276" s="324">
        <f t="shared" si="359"/>
        <v>481429</v>
      </c>
      <c r="J276" s="320"/>
      <c r="K276" s="323">
        <f t="shared" ref="K276:L276" si="360">SUM(K271:K275)</f>
        <v>2071600</v>
      </c>
      <c r="L276" s="324">
        <f t="shared" si="360"/>
        <v>460000</v>
      </c>
      <c r="M276" s="320"/>
      <c r="N276" s="323">
        <f t="shared" ref="N276:O276" si="361">SUM(N271:N275)</f>
        <v>2071600</v>
      </c>
      <c r="O276" s="324">
        <f t="shared" si="361"/>
        <v>460000</v>
      </c>
      <c r="P276" s="320"/>
      <c r="Q276" s="323">
        <f t="shared" ref="Q276:R276" si="362">SUM(Q271:Q275)</f>
        <v>2071600</v>
      </c>
      <c r="R276" s="324">
        <f t="shared" si="362"/>
        <v>460000</v>
      </c>
      <c r="S276" s="320"/>
      <c r="T276" s="323">
        <f t="shared" ref="T276:U276" si="363">SUM(T271:T275)</f>
        <v>2071600</v>
      </c>
      <c r="U276" s="324">
        <f t="shared" si="363"/>
        <v>460000</v>
      </c>
      <c r="V276" s="320"/>
      <c r="W276" s="323">
        <f t="shared" ref="W276:X276" si="364">SUM(W271:W275)</f>
        <v>2071600</v>
      </c>
      <c r="X276" s="324">
        <f t="shared" si="364"/>
        <v>460000</v>
      </c>
      <c r="Y276" s="320"/>
      <c r="Z276" s="323">
        <f t="shared" ref="Z276:AA276" si="365">SUM(Z271:Z275)</f>
        <v>2071600</v>
      </c>
      <c r="AA276" s="324">
        <f t="shared" si="365"/>
        <v>460000</v>
      </c>
      <c r="AB276" s="320"/>
      <c r="AC276" s="323">
        <f t="shared" ref="AC276:AD276" si="366">SUM(AC271:AC275)</f>
        <v>1110000</v>
      </c>
      <c r="AD276" s="324">
        <f t="shared" si="366"/>
        <v>300000</v>
      </c>
      <c r="AE276" s="320"/>
      <c r="AF276" s="323">
        <f t="shared" ref="AF276:AG276" si="367">SUM(AF271:AF275)</f>
        <v>1110000</v>
      </c>
      <c r="AG276" s="324">
        <f t="shared" si="367"/>
        <v>300000</v>
      </c>
      <c r="AH276" s="320"/>
      <c r="AI276" s="323">
        <f t="shared" ref="AI276:AJ276" si="368">SUM(AI271:AI275)</f>
        <v>1110000</v>
      </c>
      <c r="AJ276" s="324">
        <f t="shared" si="368"/>
        <v>300000</v>
      </c>
      <c r="AK276" s="320"/>
      <c r="AL276" s="323">
        <f t="shared" ref="AL276:AM276" si="369">SUM(AL271:AL275)</f>
        <v>1110000</v>
      </c>
      <c r="AM276" s="324">
        <f t="shared" si="369"/>
        <v>300000</v>
      </c>
      <c r="AN276" s="316" t="s">
        <v>579</v>
      </c>
      <c r="AO276" s="316"/>
      <c r="AP276" s="316"/>
      <c r="AQ276" s="316"/>
      <c r="AR276" s="316"/>
      <c r="AS276" s="316"/>
      <c r="AT276" s="316"/>
      <c r="AU276" s="316"/>
      <c r="AV276" s="316"/>
      <c r="AW276" s="316"/>
      <c r="AX276" s="316"/>
      <c r="AY276" s="316"/>
      <c r="AZ276" s="316"/>
      <c r="BA276" s="316"/>
      <c r="BB276" s="316"/>
      <c r="BC276" s="316"/>
      <c r="BD276" s="316"/>
      <c r="BE276" s="316"/>
      <c r="BF276" s="316"/>
      <c r="BG276" s="316"/>
      <c r="BH276" s="316"/>
      <c r="BI276" s="316"/>
      <c r="BJ276" s="316"/>
      <c r="BK276" s="316"/>
      <c r="BL276" s="316"/>
      <c r="BM276" s="316"/>
      <c r="BN276" s="316"/>
    </row>
    <row r="277" collapsed="1">
      <c r="A277" s="303" t="s">
        <v>577</v>
      </c>
      <c r="B277" s="304"/>
      <c r="C277" s="325" t="s">
        <v>43</v>
      </c>
      <c r="D277" s="326"/>
      <c r="E277" s="321">
        <v>1050000.0</v>
      </c>
      <c r="F277" s="324"/>
      <c r="G277" s="326"/>
      <c r="H277" s="321">
        <v>1050000.0</v>
      </c>
      <c r="I277" s="324"/>
      <c r="J277" s="326"/>
      <c r="K277" s="321">
        <v>1050000.0</v>
      </c>
      <c r="L277" s="324"/>
      <c r="M277" s="326"/>
      <c r="N277" s="321">
        <v>1050000.0</v>
      </c>
      <c r="O277" s="324"/>
      <c r="P277" s="326"/>
      <c r="Q277" s="321">
        <v>1050000.0</v>
      </c>
      <c r="R277" s="324"/>
      <c r="S277" s="326"/>
      <c r="T277" s="321">
        <v>1050000.0</v>
      </c>
      <c r="U277" s="324"/>
      <c r="V277" s="326"/>
      <c r="W277" s="321">
        <v>1050000.0</v>
      </c>
      <c r="X277" s="324"/>
      <c r="Y277" s="326"/>
      <c r="Z277" s="321">
        <v>1050000.0</v>
      </c>
      <c r="AA277" s="324"/>
      <c r="AB277" s="326"/>
      <c r="AC277" s="321">
        <v>1050000.0</v>
      </c>
      <c r="AD277" s="324"/>
      <c r="AE277" s="326"/>
      <c r="AF277" s="321">
        <v>1050000.0</v>
      </c>
      <c r="AG277" s="324"/>
      <c r="AH277" s="326"/>
      <c r="AI277" s="321">
        <v>1050000.0</v>
      </c>
      <c r="AJ277" s="324"/>
      <c r="AK277" s="326"/>
      <c r="AL277" s="321">
        <v>1050000.0</v>
      </c>
      <c r="AM277" s="324"/>
      <c r="AN277" s="316" t="s">
        <v>579</v>
      </c>
      <c r="AO277" s="316"/>
      <c r="AP277" s="316"/>
      <c r="AQ277" s="316"/>
      <c r="AR277" s="316"/>
      <c r="AS277" s="316"/>
      <c r="AT277" s="316"/>
      <c r="AU277" s="316"/>
      <c r="AV277" s="316"/>
      <c r="AW277" s="316"/>
      <c r="AX277" s="316"/>
      <c r="AY277" s="316"/>
      <c r="AZ277" s="316"/>
      <c r="BA277" s="316"/>
      <c r="BB277" s="316"/>
      <c r="BC277" s="316"/>
      <c r="BD277" s="316"/>
      <c r="BE277" s="316"/>
      <c r="BF277" s="316"/>
      <c r="BG277" s="316"/>
      <c r="BH277" s="316"/>
      <c r="BI277" s="316"/>
      <c r="BJ277" s="316"/>
      <c r="BK277" s="316"/>
      <c r="BL277" s="316"/>
      <c r="BM277" s="316"/>
      <c r="BN277" s="316"/>
    </row>
    <row r="278" hidden="1" outlineLevel="1">
      <c r="A278" s="303" t="s">
        <v>577</v>
      </c>
      <c r="B278" s="317" t="s">
        <v>95</v>
      </c>
      <c r="C278" s="325" t="s">
        <v>45</v>
      </c>
      <c r="D278" s="326"/>
      <c r="E278" s="321">
        <v>50000.0</v>
      </c>
      <c r="F278" s="322"/>
      <c r="G278" s="326"/>
      <c r="H278" s="321">
        <v>50000.0</v>
      </c>
      <c r="I278" s="322"/>
      <c r="J278" s="326"/>
      <c r="K278" s="321">
        <v>50000.0</v>
      </c>
      <c r="L278" s="322"/>
      <c r="M278" s="326"/>
      <c r="N278" s="321">
        <v>50000.0</v>
      </c>
      <c r="O278" s="322"/>
      <c r="P278" s="326"/>
      <c r="Q278" s="321">
        <v>50000.0</v>
      </c>
      <c r="R278" s="322"/>
      <c r="S278" s="326"/>
      <c r="T278" s="321">
        <v>50000.0</v>
      </c>
      <c r="U278" s="322"/>
      <c r="V278" s="326"/>
      <c r="W278" s="321">
        <v>50000.0</v>
      </c>
      <c r="X278" s="322"/>
      <c r="Y278" s="326"/>
      <c r="Z278" s="321">
        <v>50000.0</v>
      </c>
      <c r="AA278" s="322"/>
      <c r="AB278" s="326"/>
      <c r="AC278" s="321">
        <v>50000.0</v>
      </c>
      <c r="AD278" s="322"/>
      <c r="AE278" s="326"/>
      <c r="AF278" s="321">
        <v>50000.0</v>
      </c>
      <c r="AG278" s="322"/>
      <c r="AH278" s="326"/>
      <c r="AI278" s="321">
        <v>50000.0</v>
      </c>
      <c r="AJ278" s="322"/>
      <c r="AK278" s="326"/>
      <c r="AL278" s="321">
        <v>50000.0</v>
      </c>
      <c r="AM278" s="322"/>
      <c r="AN278" s="316" t="s">
        <v>579</v>
      </c>
      <c r="AO278" s="316"/>
      <c r="AP278" s="316"/>
      <c r="AQ278" s="316"/>
      <c r="AR278" s="316"/>
      <c r="AS278" s="316"/>
      <c r="AT278" s="316"/>
      <c r="AU278" s="316"/>
      <c r="AV278" s="316"/>
      <c r="AW278" s="316"/>
      <c r="AX278" s="316"/>
      <c r="AY278" s="316"/>
      <c r="AZ278" s="316"/>
      <c r="BA278" s="316"/>
      <c r="BB278" s="316"/>
      <c r="BC278" s="316"/>
      <c r="BD278" s="316"/>
      <c r="BE278" s="316"/>
      <c r="BF278" s="316"/>
      <c r="BG278" s="316"/>
      <c r="BH278" s="316"/>
      <c r="BI278" s="316"/>
      <c r="BJ278" s="316"/>
      <c r="BK278" s="316"/>
      <c r="BL278" s="316"/>
      <c r="BM278" s="316"/>
      <c r="BN278" s="316"/>
    </row>
    <row r="279" hidden="1" outlineLevel="1">
      <c r="A279" s="303" t="s">
        <v>577</v>
      </c>
      <c r="B279" s="317" t="s">
        <v>95</v>
      </c>
      <c r="C279" s="325" t="s">
        <v>47</v>
      </c>
      <c r="D279" s="326"/>
      <c r="E279" s="321"/>
      <c r="F279" s="322"/>
      <c r="G279" s="326"/>
      <c r="H279" s="321"/>
      <c r="I279" s="322"/>
      <c r="J279" s="326"/>
      <c r="K279" s="321"/>
      <c r="L279" s="322"/>
      <c r="M279" s="326"/>
      <c r="N279" s="321"/>
      <c r="O279" s="322"/>
      <c r="P279" s="326"/>
      <c r="Q279" s="321"/>
      <c r="R279" s="322"/>
      <c r="S279" s="326"/>
      <c r="T279" s="321"/>
      <c r="U279" s="322"/>
      <c r="V279" s="326"/>
      <c r="W279" s="321"/>
      <c r="X279" s="322"/>
      <c r="Y279" s="326"/>
      <c r="Z279" s="321"/>
      <c r="AA279" s="322"/>
      <c r="AB279" s="326"/>
      <c r="AC279" s="321"/>
      <c r="AD279" s="322"/>
      <c r="AE279" s="326"/>
      <c r="AF279" s="321"/>
      <c r="AG279" s="322"/>
      <c r="AH279" s="326"/>
      <c r="AI279" s="321"/>
      <c r="AJ279" s="322"/>
      <c r="AK279" s="326"/>
      <c r="AL279" s="321"/>
      <c r="AM279" s="322"/>
      <c r="AN279" s="316" t="s">
        <v>579</v>
      </c>
      <c r="AO279" s="316"/>
      <c r="AP279" s="316"/>
      <c r="AQ279" s="316"/>
      <c r="AR279" s="316"/>
      <c r="AS279" s="316"/>
      <c r="AT279" s="316"/>
      <c r="AU279" s="316"/>
      <c r="AV279" s="316"/>
      <c r="AW279" s="316"/>
      <c r="AX279" s="316"/>
      <c r="AY279" s="316"/>
      <c r="AZ279" s="316"/>
      <c r="BA279" s="316"/>
      <c r="BB279" s="316"/>
      <c r="BC279" s="316"/>
      <c r="BD279" s="316"/>
      <c r="BE279" s="316"/>
      <c r="BF279" s="316"/>
      <c r="BG279" s="316"/>
      <c r="BH279" s="316"/>
      <c r="BI279" s="316"/>
      <c r="BJ279" s="316"/>
      <c r="BK279" s="316"/>
      <c r="BL279" s="316"/>
      <c r="BM279" s="316"/>
      <c r="BN279" s="316"/>
    </row>
    <row r="280" hidden="1" outlineLevel="1">
      <c r="A280" s="303" t="s">
        <v>577</v>
      </c>
      <c r="B280" s="317" t="s">
        <v>95</v>
      </c>
      <c r="C280" s="325" t="s">
        <v>49</v>
      </c>
      <c r="D280" s="326"/>
      <c r="E280" s="321"/>
      <c r="F280" s="322"/>
      <c r="G280" s="326"/>
      <c r="H280" s="321"/>
      <c r="I280" s="322"/>
      <c r="J280" s="326"/>
      <c r="K280" s="321"/>
      <c r="L280" s="322"/>
      <c r="M280" s="326"/>
      <c r="N280" s="321"/>
      <c r="O280" s="322"/>
      <c r="P280" s="326"/>
      <c r="Q280" s="321"/>
      <c r="R280" s="322"/>
      <c r="S280" s="326"/>
      <c r="T280" s="321"/>
      <c r="U280" s="322"/>
      <c r="V280" s="326"/>
      <c r="W280" s="321"/>
      <c r="X280" s="322"/>
      <c r="Y280" s="326"/>
      <c r="Z280" s="321"/>
      <c r="AA280" s="322"/>
      <c r="AB280" s="326"/>
      <c r="AC280" s="321"/>
      <c r="AD280" s="322"/>
      <c r="AE280" s="326"/>
      <c r="AF280" s="321"/>
      <c r="AG280" s="322"/>
      <c r="AH280" s="326"/>
      <c r="AI280" s="321"/>
      <c r="AJ280" s="322"/>
      <c r="AK280" s="326"/>
      <c r="AL280" s="321"/>
      <c r="AM280" s="322"/>
      <c r="AN280" s="316" t="s">
        <v>579</v>
      </c>
      <c r="AO280" s="316"/>
      <c r="AP280" s="316"/>
      <c r="AQ280" s="316"/>
      <c r="AR280" s="316"/>
      <c r="AS280" s="316"/>
      <c r="AT280" s="316"/>
      <c r="AU280" s="316"/>
      <c r="AV280" s="316"/>
      <c r="AW280" s="316"/>
      <c r="AX280" s="316"/>
      <c r="AY280" s="316"/>
      <c r="AZ280" s="316"/>
      <c r="BA280" s="316"/>
      <c r="BB280" s="316"/>
      <c r="BC280" s="316"/>
      <c r="BD280" s="316"/>
      <c r="BE280" s="316"/>
      <c r="BF280" s="316"/>
      <c r="BG280" s="316"/>
      <c r="BH280" s="316"/>
      <c r="BI280" s="316"/>
      <c r="BJ280" s="316"/>
      <c r="BK280" s="316"/>
      <c r="BL280" s="316"/>
      <c r="BM280" s="316"/>
      <c r="BN280" s="316"/>
    </row>
    <row r="281" hidden="1" outlineLevel="1">
      <c r="A281" s="303" t="s">
        <v>577</v>
      </c>
      <c r="B281" s="317" t="s">
        <v>95</v>
      </c>
      <c r="C281" s="325" t="s">
        <v>51</v>
      </c>
      <c r="D281" s="326"/>
      <c r="E281" s="321"/>
      <c r="F281" s="322"/>
      <c r="G281" s="326"/>
      <c r="H281" s="321"/>
      <c r="I281" s="322"/>
      <c r="J281" s="326"/>
      <c r="K281" s="321"/>
      <c r="L281" s="322"/>
      <c r="M281" s="326"/>
      <c r="N281" s="321"/>
      <c r="O281" s="322"/>
      <c r="P281" s="326"/>
      <c r="Q281" s="321"/>
      <c r="R281" s="322"/>
      <c r="S281" s="326"/>
      <c r="T281" s="321"/>
      <c r="U281" s="322"/>
      <c r="V281" s="326"/>
      <c r="W281" s="321"/>
      <c r="X281" s="322"/>
      <c r="Y281" s="326"/>
      <c r="Z281" s="321"/>
      <c r="AA281" s="322"/>
      <c r="AB281" s="326"/>
      <c r="AC281" s="321"/>
      <c r="AD281" s="322"/>
      <c r="AE281" s="326"/>
      <c r="AF281" s="321"/>
      <c r="AG281" s="322"/>
      <c r="AH281" s="326"/>
      <c r="AI281" s="321"/>
      <c r="AJ281" s="322"/>
      <c r="AK281" s="326"/>
      <c r="AL281" s="321"/>
      <c r="AM281" s="322"/>
      <c r="AN281" s="316" t="s">
        <v>579</v>
      </c>
      <c r="AO281" s="316"/>
      <c r="AP281" s="316"/>
      <c r="AQ281" s="316"/>
      <c r="AR281" s="316"/>
      <c r="AS281" s="316"/>
      <c r="AT281" s="316"/>
      <c r="AU281" s="316"/>
      <c r="AV281" s="316"/>
      <c r="AW281" s="316"/>
      <c r="AX281" s="316"/>
      <c r="AY281" s="316"/>
      <c r="AZ281" s="316"/>
      <c r="BA281" s="316"/>
      <c r="BB281" s="316"/>
      <c r="BC281" s="316"/>
      <c r="BD281" s="316"/>
      <c r="BE281" s="316"/>
      <c r="BF281" s="316"/>
      <c r="BG281" s="316"/>
      <c r="BH281" s="316"/>
      <c r="BI281" s="316"/>
      <c r="BJ281" s="316"/>
      <c r="BK281" s="316"/>
      <c r="BL281" s="316"/>
      <c r="BM281" s="316"/>
      <c r="BN281" s="316"/>
    </row>
    <row r="282" hidden="1" outlineLevel="1">
      <c r="A282" s="303" t="s">
        <v>577</v>
      </c>
      <c r="B282" s="317" t="s">
        <v>95</v>
      </c>
      <c r="C282" s="325" t="s">
        <v>52</v>
      </c>
      <c r="D282" s="326"/>
      <c r="E282" s="321"/>
      <c r="F282" s="322"/>
      <c r="G282" s="326"/>
      <c r="H282" s="321"/>
      <c r="I282" s="322"/>
      <c r="J282" s="326"/>
      <c r="K282" s="321"/>
      <c r="L282" s="322"/>
      <c r="M282" s="326"/>
      <c r="N282" s="321"/>
      <c r="O282" s="322"/>
      <c r="P282" s="326"/>
      <c r="Q282" s="321"/>
      <c r="R282" s="322"/>
      <c r="S282" s="326"/>
      <c r="T282" s="321"/>
      <c r="U282" s="322"/>
      <c r="V282" s="326"/>
      <c r="W282" s="321"/>
      <c r="X282" s="322"/>
      <c r="Y282" s="326"/>
      <c r="Z282" s="321"/>
      <c r="AA282" s="322"/>
      <c r="AB282" s="326"/>
      <c r="AC282" s="321"/>
      <c r="AD282" s="322"/>
      <c r="AE282" s="326"/>
      <c r="AF282" s="321"/>
      <c r="AG282" s="322"/>
      <c r="AH282" s="326"/>
      <c r="AI282" s="321"/>
      <c r="AJ282" s="322"/>
      <c r="AK282" s="326"/>
      <c r="AL282" s="321"/>
      <c r="AM282" s="322"/>
      <c r="AN282" s="316" t="s">
        <v>579</v>
      </c>
      <c r="AO282" s="316"/>
      <c r="AP282" s="316"/>
      <c r="AQ282" s="316"/>
      <c r="AR282" s="316"/>
      <c r="AS282" s="316"/>
      <c r="AT282" s="316"/>
      <c r="AU282" s="316"/>
      <c r="AV282" s="316"/>
      <c r="AW282" s="316"/>
      <c r="AX282" s="316"/>
      <c r="AY282" s="316"/>
      <c r="AZ282" s="316"/>
      <c r="BA282" s="316"/>
      <c r="BB282" s="316"/>
      <c r="BC282" s="316"/>
      <c r="BD282" s="316"/>
      <c r="BE282" s="316"/>
      <c r="BF282" s="316"/>
      <c r="BG282" s="316"/>
      <c r="BH282" s="316"/>
      <c r="BI282" s="316"/>
      <c r="BJ282" s="316"/>
      <c r="BK282" s="316"/>
      <c r="BL282" s="316"/>
      <c r="BM282" s="316"/>
      <c r="BN282" s="316"/>
    </row>
    <row r="283" hidden="1" outlineLevel="1">
      <c r="A283" s="303" t="s">
        <v>577</v>
      </c>
      <c r="B283" s="317" t="s">
        <v>95</v>
      </c>
      <c r="C283" s="325" t="s">
        <v>53</v>
      </c>
      <c r="D283" s="326"/>
      <c r="E283" s="321"/>
      <c r="F283" s="322"/>
      <c r="G283" s="326"/>
      <c r="H283" s="321"/>
      <c r="I283" s="322"/>
      <c r="J283" s="326"/>
      <c r="K283" s="321"/>
      <c r="L283" s="322"/>
      <c r="M283" s="326"/>
      <c r="N283" s="321"/>
      <c r="O283" s="322"/>
      <c r="P283" s="326"/>
      <c r="Q283" s="321"/>
      <c r="R283" s="322"/>
      <c r="S283" s="326"/>
      <c r="T283" s="321"/>
      <c r="U283" s="322"/>
      <c r="V283" s="326"/>
      <c r="W283" s="321"/>
      <c r="X283" s="322"/>
      <c r="Y283" s="326"/>
      <c r="Z283" s="321"/>
      <c r="AA283" s="322"/>
      <c r="AB283" s="326"/>
      <c r="AC283" s="321"/>
      <c r="AD283" s="322"/>
      <c r="AE283" s="326"/>
      <c r="AF283" s="321"/>
      <c r="AG283" s="322"/>
      <c r="AH283" s="326"/>
      <c r="AI283" s="321"/>
      <c r="AJ283" s="322"/>
      <c r="AK283" s="326"/>
      <c r="AL283" s="321"/>
      <c r="AM283" s="322"/>
      <c r="AN283" s="316" t="s">
        <v>579</v>
      </c>
      <c r="AO283" s="316"/>
      <c r="AP283" s="316"/>
      <c r="AQ283" s="316"/>
      <c r="AR283" s="316"/>
      <c r="AS283" s="316"/>
      <c r="AT283" s="316"/>
      <c r="AU283" s="316"/>
      <c r="AV283" s="316"/>
      <c r="AW283" s="316"/>
      <c r="AX283" s="316"/>
      <c r="AY283" s="316"/>
      <c r="AZ283" s="316"/>
      <c r="BA283" s="316"/>
      <c r="BB283" s="316"/>
      <c r="BC283" s="316"/>
      <c r="BD283" s="316"/>
      <c r="BE283" s="316"/>
      <c r="BF283" s="316"/>
      <c r="BG283" s="316"/>
      <c r="BH283" s="316"/>
      <c r="BI283" s="316"/>
      <c r="BJ283" s="316"/>
      <c r="BK283" s="316"/>
      <c r="BL283" s="316"/>
      <c r="BM283" s="316"/>
      <c r="BN283" s="316"/>
    </row>
    <row r="284" hidden="1" outlineLevel="1">
      <c r="A284" s="303" t="s">
        <v>577</v>
      </c>
      <c r="B284" s="304"/>
      <c r="C284" s="325" t="s">
        <v>54</v>
      </c>
      <c r="D284" s="327"/>
      <c r="E284" s="321"/>
      <c r="F284" s="322">
        <f>SUMIFS('지출'!$G$3:$G794,'지출'!$J$3:$J794,F$1,'지출'!$C$3:$C794,"회기")</f>
        <v>0</v>
      </c>
      <c r="G284" s="327"/>
      <c r="H284" s="321"/>
      <c r="I284" s="322">
        <f>SUMIFS('지출'!$G$3:$G794,'지출'!$J$3:$J794,I$1,'지출'!$C$3:$C794,"회기")</f>
        <v>0</v>
      </c>
      <c r="J284" s="327"/>
      <c r="K284" s="321"/>
      <c r="L284" s="322">
        <f>SUMIFS('지출'!$G$3:$G794,'지출'!$J$3:$J794,L$1,'지출'!$C$3:$C794,"회기")</f>
        <v>0</v>
      </c>
      <c r="M284" s="327"/>
      <c r="N284" s="321"/>
      <c r="O284" s="322">
        <f>SUMIFS('지출'!$G$3:$G794,'지출'!$J$3:$J794,O$1,'지출'!$C$3:$C794,"회기")</f>
        <v>0</v>
      </c>
      <c r="P284" s="327"/>
      <c r="Q284" s="321"/>
      <c r="R284" s="322">
        <f>SUMIFS('지출'!$G$3:$G794,'지출'!$J$3:$J794,R$1,'지출'!$C$3:$C794,"회기")</f>
        <v>0</v>
      </c>
      <c r="S284" s="327"/>
      <c r="T284" s="321"/>
      <c r="U284" s="322">
        <f>SUMIFS('지출'!$G$3:$G794,'지출'!$J$3:$J794,U$1,'지출'!$C$3:$C794,"회기")</f>
        <v>0</v>
      </c>
      <c r="V284" s="327"/>
      <c r="W284" s="321"/>
      <c r="X284" s="322">
        <f>SUMIFS('지출'!$G$3:$G794,'지출'!$J$3:$J794,X$1,'지출'!$C$3:$C794,"회기")</f>
        <v>0</v>
      </c>
      <c r="Y284" s="327"/>
      <c r="Z284" s="321"/>
      <c r="AA284" s="322">
        <f>SUMIFS('지출'!$G$3:$G794,'지출'!$J$3:$J794,AA$1,'지출'!$C$3:$C794,"회기")</f>
        <v>0</v>
      </c>
      <c r="AB284" s="327"/>
      <c r="AC284" s="321"/>
      <c r="AD284" s="322">
        <f>SUMIFS('지출'!$G$3:$G794,'지출'!$J$3:$J794,AD$1,'지출'!$C$3:$C794,"회기")</f>
        <v>0</v>
      </c>
      <c r="AE284" s="327"/>
      <c r="AF284" s="321"/>
      <c r="AG284" s="322">
        <f>SUMIFS('지출'!$G$3:$G794,'지출'!$J$3:$J794,AG$1,'지출'!$C$3:$C794,"회기")</f>
        <v>0</v>
      </c>
      <c r="AH284" s="327"/>
      <c r="AI284" s="321"/>
      <c r="AJ284" s="322">
        <f>SUMIFS('지출'!$G$3:$G794,'지출'!$J$3:$J794,AJ$1,'지출'!$C$3:$C794,"회기")</f>
        <v>0</v>
      </c>
      <c r="AK284" s="327"/>
      <c r="AL284" s="321"/>
      <c r="AM284" s="322">
        <f>SUMIFS('지출'!$G$3:$G794,'지출'!$J$3:$J794,AM$1,'지출'!$C$3:$C794,"회기")</f>
        <v>0</v>
      </c>
      <c r="AN284" s="316" t="s">
        <v>579</v>
      </c>
      <c r="AO284" s="316"/>
      <c r="AP284" s="316"/>
      <c r="AQ284" s="316"/>
      <c r="AR284" s="316"/>
      <c r="AS284" s="316"/>
      <c r="AT284" s="316"/>
      <c r="AU284" s="316"/>
      <c r="AV284" s="316"/>
      <c r="AW284" s="316"/>
      <c r="AX284" s="316"/>
      <c r="AY284" s="316"/>
      <c r="AZ284" s="316"/>
      <c r="BA284" s="316"/>
      <c r="BB284" s="316"/>
      <c r="BC284" s="316"/>
      <c r="BD284" s="316"/>
      <c r="BE284" s="316"/>
      <c r="BF284" s="316"/>
      <c r="BG284" s="316"/>
      <c r="BH284" s="316"/>
      <c r="BI284" s="316"/>
      <c r="BJ284" s="316"/>
      <c r="BK284" s="316"/>
      <c r="BL284" s="316"/>
      <c r="BM284" s="316"/>
      <c r="BN284" s="316"/>
    </row>
    <row r="285" hidden="1" outlineLevel="1">
      <c r="A285" s="303" t="s">
        <v>577</v>
      </c>
      <c r="B285" s="304"/>
      <c r="C285" s="325" t="s">
        <v>56</v>
      </c>
      <c r="D285" s="320"/>
      <c r="E285" s="323">
        <f t="shared" ref="E285:F285" si="370">E276-(SUM(E277:E284))</f>
        <v>991600</v>
      </c>
      <c r="F285" s="324">
        <f t="shared" si="370"/>
        <v>460000</v>
      </c>
      <c r="G285" s="320"/>
      <c r="H285" s="323">
        <f t="shared" ref="H285:I285" si="371">H276-(SUM(H277:H284))</f>
        <v>1070886</v>
      </c>
      <c r="I285" s="324">
        <f t="shared" si="371"/>
        <v>481429</v>
      </c>
      <c r="J285" s="320"/>
      <c r="K285" s="323">
        <f t="shared" ref="K285:L285" si="372">K276-(SUM(K277:K284))</f>
        <v>971600</v>
      </c>
      <c r="L285" s="324">
        <f t="shared" si="372"/>
        <v>460000</v>
      </c>
      <c r="M285" s="320"/>
      <c r="N285" s="323">
        <f t="shared" ref="N285:O285" si="373">N276-(SUM(N277:N284))</f>
        <v>971600</v>
      </c>
      <c r="O285" s="324">
        <f t="shared" si="373"/>
        <v>460000</v>
      </c>
      <c r="P285" s="320"/>
      <c r="Q285" s="323">
        <f t="shared" ref="Q285:R285" si="374">Q276-(SUM(Q277:Q284))</f>
        <v>971600</v>
      </c>
      <c r="R285" s="324">
        <f t="shared" si="374"/>
        <v>460000</v>
      </c>
      <c r="S285" s="320"/>
      <c r="T285" s="323">
        <f t="shared" ref="T285:U285" si="375">T276-(SUM(T277:T284))</f>
        <v>971600</v>
      </c>
      <c r="U285" s="324">
        <f t="shared" si="375"/>
        <v>460000</v>
      </c>
      <c r="V285" s="320"/>
      <c r="W285" s="323">
        <f t="shared" ref="W285:X285" si="376">W276-(SUM(W277:W284))</f>
        <v>971600</v>
      </c>
      <c r="X285" s="324">
        <f t="shared" si="376"/>
        <v>460000</v>
      </c>
      <c r="Y285" s="320"/>
      <c r="Z285" s="323">
        <f t="shared" ref="Z285:AA285" si="377">Z276-(SUM(Z277:Z284))</f>
        <v>971600</v>
      </c>
      <c r="AA285" s="324">
        <f t="shared" si="377"/>
        <v>460000</v>
      </c>
      <c r="AB285" s="320"/>
      <c r="AC285" s="323">
        <f t="shared" ref="AC285:AD285" si="378">AC276-(SUM(AC277:AC284))</f>
        <v>10000</v>
      </c>
      <c r="AD285" s="324">
        <f t="shared" si="378"/>
        <v>300000</v>
      </c>
      <c r="AE285" s="320"/>
      <c r="AF285" s="323">
        <f t="shared" ref="AF285:AG285" si="379">AF276-(SUM(AF277:AF284))</f>
        <v>10000</v>
      </c>
      <c r="AG285" s="324">
        <f t="shared" si="379"/>
        <v>300000</v>
      </c>
      <c r="AH285" s="320"/>
      <c r="AI285" s="323">
        <f t="shared" ref="AI285:AJ285" si="380">AI276-(SUM(AI277:AI284))</f>
        <v>10000</v>
      </c>
      <c r="AJ285" s="324">
        <f t="shared" si="380"/>
        <v>300000</v>
      </c>
      <c r="AK285" s="320"/>
      <c r="AL285" s="323">
        <f t="shared" ref="AL285:AM285" si="381">AL276-(SUM(AL277:AL284))</f>
        <v>10000</v>
      </c>
      <c r="AM285" s="324">
        <f t="shared" si="381"/>
        <v>300000</v>
      </c>
      <c r="AN285" s="316" t="s">
        <v>579</v>
      </c>
      <c r="AO285" s="316"/>
      <c r="AP285" s="316"/>
      <c r="AQ285" s="316"/>
      <c r="AR285" s="316"/>
      <c r="AS285" s="316"/>
      <c r="AT285" s="316"/>
      <c r="AU285" s="316"/>
      <c r="AV285" s="316"/>
      <c r="AW285" s="316"/>
      <c r="AX285" s="316"/>
      <c r="AY285" s="316"/>
      <c r="AZ285" s="316"/>
      <c r="BA285" s="316"/>
      <c r="BB285" s="316"/>
      <c r="BC285" s="316"/>
      <c r="BD285" s="316"/>
      <c r="BE285" s="316"/>
      <c r="BF285" s="316"/>
      <c r="BG285" s="316"/>
      <c r="BH285" s="316"/>
      <c r="BI285" s="316"/>
      <c r="BJ285" s="316"/>
      <c r="BK285" s="316"/>
      <c r="BL285" s="316"/>
      <c r="BM285" s="316"/>
      <c r="BN285" s="316"/>
    </row>
    <row r="286">
      <c r="A286" s="303" t="s">
        <v>577</v>
      </c>
      <c r="B286" s="328">
        <v>0.8</v>
      </c>
      <c r="C286" s="325" t="s">
        <v>26</v>
      </c>
      <c r="D286" s="320"/>
      <c r="E286" s="323">
        <f>E285*$B286</f>
        <v>793280</v>
      </c>
      <c r="F286" s="324"/>
      <c r="G286" s="320"/>
      <c r="H286" s="323">
        <f>H285*$B286</f>
        <v>856708.8</v>
      </c>
      <c r="I286" s="324"/>
      <c r="J286" s="320"/>
      <c r="K286" s="323">
        <f>K285*$B286</f>
        <v>777280</v>
      </c>
      <c r="L286" s="324"/>
      <c r="M286" s="320"/>
      <c r="N286" s="323">
        <f>N285*$B286</f>
        <v>777280</v>
      </c>
      <c r="O286" s="324"/>
      <c r="P286" s="320"/>
      <c r="Q286" s="323">
        <f>Q285*$B286</f>
        <v>777280</v>
      </c>
      <c r="R286" s="324"/>
      <c r="S286" s="320"/>
      <c r="T286" s="323">
        <f>T285*$B286</f>
        <v>777280</v>
      </c>
      <c r="U286" s="324"/>
      <c r="V286" s="320"/>
      <c r="W286" s="323">
        <f>W285*$B286</f>
        <v>777280</v>
      </c>
      <c r="X286" s="324"/>
      <c r="Y286" s="320"/>
      <c r="Z286" s="323">
        <f>Z285*$B286</f>
        <v>777280</v>
      </c>
      <c r="AA286" s="324"/>
      <c r="AB286" s="320"/>
      <c r="AC286" s="323">
        <f>AC285*$B286</f>
        <v>8000</v>
      </c>
      <c r="AD286" s="324"/>
      <c r="AE286" s="320"/>
      <c r="AF286" s="323">
        <f>AF285*$B286</f>
        <v>8000</v>
      </c>
      <c r="AG286" s="324"/>
      <c r="AH286" s="320"/>
      <c r="AI286" s="323">
        <f>AI285*$B286</f>
        <v>8000</v>
      </c>
      <c r="AJ286" s="324"/>
      <c r="AK286" s="320"/>
      <c r="AL286" s="323">
        <f>AL285*$B286</f>
        <v>8000</v>
      </c>
      <c r="AM286" s="324"/>
      <c r="AN286" s="316" t="s">
        <v>579</v>
      </c>
      <c r="AO286" s="316"/>
      <c r="AP286" s="316"/>
      <c r="AQ286" s="316"/>
      <c r="AR286" s="316"/>
      <c r="AS286" s="316"/>
      <c r="AT286" s="316"/>
      <c r="AU286" s="316"/>
      <c r="AV286" s="316"/>
      <c r="AW286" s="316"/>
      <c r="AX286" s="316"/>
      <c r="AY286" s="316"/>
      <c r="AZ286" s="316"/>
      <c r="BA286" s="316"/>
      <c r="BB286" s="316"/>
      <c r="BC286" s="316"/>
      <c r="BD286" s="316"/>
      <c r="BE286" s="316"/>
      <c r="BF286" s="316"/>
      <c r="BG286" s="316"/>
      <c r="BH286" s="316"/>
      <c r="BI286" s="316"/>
      <c r="BJ286" s="316"/>
      <c r="BK286" s="316"/>
      <c r="BL286" s="316"/>
      <c r="BM286" s="316"/>
      <c r="BN286" s="316"/>
    </row>
    <row r="287">
      <c r="A287" s="303" t="s">
        <v>577</v>
      </c>
      <c r="B287" s="329">
        <v>0.2</v>
      </c>
      <c r="C287" s="330" t="s">
        <v>57</v>
      </c>
      <c r="D287" s="331"/>
      <c r="E287" s="332">
        <f>E285*$B287</f>
        <v>198320</v>
      </c>
      <c r="F287" s="333"/>
      <c r="G287" s="331"/>
      <c r="H287" s="332">
        <f>H285*$B287</f>
        <v>214177.2</v>
      </c>
      <c r="I287" s="333"/>
      <c r="J287" s="331"/>
      <c r="K287" s="332">
        <f>K285*$B287</f>
        <v>194320</v>
      </c>
      <c r="L287" s="333"/>
      <c r="M287" s="331"/>
      <c r="N287" s="332">
        <f>N285*$B287</f>
        <v>194320</v>
      </c>
      <c r="O287" s="333"/>
      <c r="P287" s="331"/>
      <c r="Q287" s="332">
        <f>Q285*$B287</f>
        <v>194320</v>
      </c>
      <c r="R287" s="333"/>
      <c r="S287" s="331"/>
      <c r="T287" s="332">
        <f>T285*$B287</f>
        <v>194320</v>
      </c>
      <c r="U287" s="333"/>
      <c r="V287" s="331"/>
      <c r="W287" s="332">
        <f>W285*$B287</f>
        <v>194320</v>
      </c>
      <c r="X287" s="333"/>
      <c r="Y287" s="331"/>
      <c r="Z287" s="332">
        <f>Z285*$B287</f>
        <v>194320</v>
      </c>
      <c r="AA287" s="333"/>
      <c r="AB287" s="331"/>
      <c r="AC287" s="332">
        <f>AC285*$B287</f>
        <v>2000</v>
      </c>
      <c r="AD287" s="333"/>
      <c r="AE287" s="331"/>
      <c r="AF287" s="332">
        <f>AF285*$B287</f>
        <v>2000</v>
      </c>
      <c r="AG287" s="333"/>
      <c r="AH287" s="331"/>
      <c r="AI287" s="332">
        <f>AI285*$B287</f>
        <v>2000</v>
      </c>
      <c r="AJ287" s="333"/>
      <c r="AK287" s="331"/>
      <c r="AL287" s="332">
        <f>AL285*$B287</f>
        <v>2000</v>
      </c>
      <c r="AM287" s="333"/>
      <c r="AN287" s="316" t="s">
        <v>579</v>
      </c>
      <c r="AO287" s="316"/>
      <c r="AP287" s="316"/>
      <c r="AQ287" s="316"/>
      <c r="AR287" s="316"/>
      <c r="AS287" s="316"/>
      <c r="AT287" s="316"/>
      <c r="AU287" s="316"/>
      <c r="AV287" s="316"/>
      <c r="AW287" s="316"/>
      <c r="AX287" s="316"/>
      <c r="AY287" s="316"/>
      <c r="AZ287" s="316"/>
      <c r="BA287" s="316"/>
      <c r="BB287" s="316"/>
      <c r="BC287" s="316"/>
      <c r="BD287" s="316"/>
      <c r="BE287" s="316"/>
      <c r="BF287" s="316"/>
      <c r="BG287" s="316"/>
      <c r="BH287" s="316"/>
      <c r="BI287" s="316"/>
      <c r="BJ287" s="316"/>
      <c r="BK287" s="316"/>
      <c r="BL287" s="316"/>
      <c r="BM287" s="316"/>
      <c r="BN287" s="316"/>
    </row>
    <row r="288">
      <c r="A288" s="303" t="s">
        <v>598</v>
      </c>
      <c r="B288" s="347" t="s">
        <v>598</v>
      </c>
      <c r="C288" s="366" t="s">
        <v>506</v>
      </c>
      <c r="D288" s="341" t="s">
        <v>1872</v>
      </c>
      <c r="E288" s="348">
        <v>390000.0</v>
      </c>
      <c r="F288" s="346">
        <v>100000.0</v>
      </c>
      <c r="G288" s="353" t="s">
        <v>2175</v>
      </c>
      <c r="H288" s="335">
        <f>390000+53571</f>
        <v>443571</v>
      </c>
      <c r="I288" s="346">
        <f>100000+10714</f>
        <v>110714</v>
      </c>
      <c r="J288" s="353" t="s">
        <v>1557</v>
      </c>
      <c r="K288" s="348">
        <v>500000.0</v>
      </c>
      <c r="L288" s="346">
        <v>100000.0</v>
      </c>
      <c r="M288" s="353" t="s">
        <v>1557</v>
      </c>
      <c r="N288" s="348">
        <v>500000.0</v>
      </c>
      <c r="O288" s="346">
        <v>100000.0</v>
      </c>
      <c r="P288" s="353" t="s">
        <v>1557</v>
      </c>
      <c r="Q288" s="348">
        <v>500000.0</v>
      </c>
      <c r="R288" s="346">
        <v>100000.0</v>
      </c>
      <c r="S288" s="353" t="s">
        <v>1557</v>
      </c>
      <c r="T288" s="348">
        <v>500000.0</v>
      </c>
      <c r="U288" s="346">
        <v>100000.0</v>
      </c>
      <c r="V288" s="353" t="s">
        <v>1557</v>
      </c>
      <c r="W288" s="348">
        <v>500000.0</v>
      </c>
      <c r="X288" s="346">
        <v>100000.0</v>
      </c>
      <c r="Y288" s="353" t="s">
        <v>2176</v>
      </c>
      <c r="Z288" s="348">
        <v>500000.0</v>
      </c>
      <c r="AA288" s="346">
        <v>100000.0</v>
      </c>
      <c r="AB288" s="353"/>
      <c r="AC288" s="348"/>
      <c r="AD288" s="345"/>
      <c r="AE288" s="353"/>
      <c r="AF288" s="348"/>
      <c r="AG288" s="345"/>
      <c r="AH288" s="353"/>
      <c r="AI288" s="348"/>
      <c r="AJ288" s="345"/>
      <c r="AK288" s="353"/>
      <c r="AL288" s="348"/>
      <c r="AM288" s="345"/>
      <c r="AN288" s="316" t="s">
        <v>2177</v>
      </c>
      <c r="AO288" s="367"/>
      <c r="AP288" s="368"/>
      <c r="AQ288" s="368"/>
      <c r="AR288" s="368"/>
      <c r="AS288" s="368"/>
      <c r="AT288" s="368"/>
      <c r="AU288" s="368"/>
      <c r="AV288" s="368"/>
      <c r="AW288" s="368"/>
      <c r="AX288" s="368"/>
      <c r="AY288" s="368"/>
      <c r="AZ288" s="368"/>
      <c r="BA288" s="368"/>
      <c r="BB288" s="368"/>
      <c r="BC288" s="368"/>
      <c r="BD288" s="368"/>
      <c r="BE288" s="368"/>
      <c r="BF288" s="368"/>
      <c r="BG288" s="368"/>
      <c r="BH288" s="368"/>
      <c r="BI288" s="368"/>
      <c r="BJ288" s="368"/>
      <c r="BK288" s="368"/>
      <c r="BL288" s="368"/>
      <c r="BM288" s="368"/>
      <c r="BN288" s="368"/>
    </row>
    <row r="289">
      <c r="A289" s="303" t="s">
        <v>598</v>
      </c>
      <c r="B289" s="347" t="s">
        <v>2178</v>
      </c>
      <c r="C289" s="366" t="s">
        <v>601</v>
      </c>
      <c r="D289" s="341" t="s">
        <v>2179</v>
      </c>
      <c r="E289" s="335">
        <v>550000.0</v>
      </c>
      <c r="F289" s="346">
        <v>100000.0</v>
      </c>
      <c r="G289" s="353" t="s">
        <v>2179</v>
      </c>
      <c r="H289" s="335">
        <v>550000.0</v>
      </c>
      <c r="I289" s="346">
        <v>100000.0</v>
      </c>
      <c r="J289" s="326" t="s">
        <v>2180</v>
      </c>
      <c r="K289" s="348">
        <v>590000.0</v>
      </c>
      <c r="L289" s="346">
        <v>100000.0</v>
      </c>
      <c r="M289" s="353" t="s">
        <v>1564</v>
      </c>
      <c r="N289" s="348">
        <v>590000.0</v>
      </c>
      <c r="O289" s="346">
        <v>100000.0</v>
      </c>
      <c r="P289" s="353" t="s">
        <v>1564</v>
      </c>
      <c r="Q289" s="348">
        <v>590000.0</v>
      </c>
      <c r="R289" s="346">
        <v>100000.0</v>
      </c>
      <c r="S289" s="353" t="s">
        <v>1564</v>
      </c>
      <c r="T289" s="348">
        <v>590000.0</v>
      </c>
      <c r="U289" s="346">
        <v>100000.0</v>
      </c>
      <c r="V289" s="353" t="s">
        <v>1564</v>
      </c>
      <c r="W289" s="348">
        <v>590000.0</v>
      </c>
      <c r="X289" s="346">
        <v>100000.0</v>
      </c>
      <c r="Y289" s="353" t="s">
        <v>2181</v>
      </c>
      <c r="Z289" s="348">
        <v>590000.0</v>
      </c>
      <c r="AA289" s="346">
        <v>100000.0</v>
      </c>
      <c r="AB289" s="353"/>
      <c r="AC289" s="348"/>
      <c r="AD289" s="345"/>
      <c r="AE289" s="353"/>
      <c r="AF289" s="348"/>
      <c r="AG289" s="345"/>
      <c r="AH289" s="353"/>
      <c r="AI289" s="348"/>
      <c r="AJ289" s="345"/>
      <c r="AK289" s="353"/>
      <c r="AL289" s="348"/>
      <c r="AM289" s="345"/>
      <c r="AN289" s="316" t="s">
        <v>2177</v>
      </c>
      <c r="AO289" s="367"/>
      <c r="AP289" s="368"/>
      <c r="AQ289" s="368"/>
      <c r="AR289" s="368"/>
      <c r="AS289" s="368"/>
      <c r="AT289" s="368"/>
      <c r="AU289" s="368"/>
      <c r="AV289" s="368"/>
      <c r="AW289" s="368"/>
      <c r="AX289" s="368"/>
      <c r="AY289" s="368"/>
      <c r="AZ289" s="368"/>
      <c r="BA289" s="368"/>
      <c r="BB289" s="368"/>
      <c r="BC289" s="368"/>
      <c r="BD289" s="368"/>
      <c r="BE289" s="368"/>
      <c r="BF289" s="368"/>
      <c r="BG289" s="368"/>
      <c r="BH289" s="368"/>
      <c r="BI289" s="368"/>
      <c r="BJ289" s="368"/>
      <c r="BK289" s="368"/>
      <c r="BL289" s="368"/>
      <c r="BM289" s="368"/>
      <c r="BN289" s="368"/>
    </row>
    <row r="290" ht="16.5" customHeight="1">
      <c r="A290" s="303" t="s">
        <v>598</v>
      </c>
      <c r="B290" s="347" t="s">
        <v>598</v>
      </c>
      <c r="C290" s="366" t="s">
        <v>603</v>
      </c>
      <c r="D290" s="341" t="s">
        <v>37</v>
      </c>
      <c r="E290" s="350"/>
      <c r="F290" s="351"/>
      <c r="G290" s="353" t="s">
        <v>2182</v>
      </c>
      <c r="H290" s="348">
        <v>196429.0</v>
      </c>
      <c r="I290" s="345">
        <v>39286.0</v>
      </c>
      <c r="J290" s="353" t="s">
        <v>1566</v>
      </c>
      <c r="K290" s="348">
        <v>500000.0</v>
      </c>
      <c r="L290" s="346">
        <v>100000.0</v>
      </c>
      <c r="M290" s="353" t="s">
        <v>1566</v>
      </c>
      <c r="N290" s="348">
        <v>500000.0</v>
      </c>
      <c r="O290" s="346">
        <v>100000.0</v>
      </c>
      <c r="P290" s="353" t="s">
        <v>1566</v>
      </c>
      <c r="Q290" s="348">
        <v>500000.0</v>
      </c>
      <c r="R290" s="346">
        <v>100000.0</v>
      </c>
      <c r="S290" s="353" t="s">
        <v>1566</v>
      </c>
      <c r="T290" s="348">
        <v>500000.0</v>
      </c>
      <c r="U290" s="346">
        <v>100000.0</v>
      </c>
      <c r="V290" s="353" t="s">
        <v>1566</v>
      </c>
      <c r="W290" s="348">
        <v>500000.0</v>
      </c>
      <c r="X290" s="346">
        <v>100000.0</v>
      </c>
      <c r="Y290" s="353" t="s">
        <v>1566</v>
      </c>
      <c r="Z290" s="348">
        <v>500000.0</v>
      </c>
      <c r="AA290" s="346">
        <v>100000.0</v>
      </c>
      <c r="AB290" s="353" t="s">
        <v>1566</v>
      </c>
      <c r="AC290" s="348">
        <v>500000.0</v>
      </c>
      <c r="AD290" s="346">
        <v>100000.0</v>
      </c>
      <c r="AE290" s="353" t="s">
        <v>1566</v>
      </c>
      <c r="AF290" s="348">
        <v>500000.0</v>
      </c>
      <c r="AG290" s="346">
        <v>100000.0</v>
      </c>
      <c r="AH290" s="353" t="s">
        <v>1566</v>
      </c>
      <c r="AI290" s="348">
        <v>500000.0</v>
      </c>
      <c r="AJ290" s="346">
        <v>100000.0</v>
      </c>
      <c r="AK290" s="353" t="s">
        <v>1566</v>
      </c>
      <c r="AL290" s="348">
        <v>500000.0</v>
      </c>
      <c r="AM290" s="346">
        <v>100000.0</v>
      </c>
      <c r="AN290" s="316" t="s">
        <v>2177</v>
      </c>
      <c r="AO290" s="367"/>
      <c r="AP290" s="368"/>
      <c r="AQ290" s="368"/>
      <c r="AR290" s="368"/>
      <c r="AS290" s="368"/>
      <c r="AT290" s="368"/>
      <c r="AU290" s="368"/>
      <c r="AV290" s="368"/>
      <c r="AW290" s="368"/>
      <c r="AX290" s="368"/>
      <c r="AY290" s="368"/>
      <c r="AZ290" s="368"/>
      <c r="BA290" s="368"/>
      <c r="BB290" s="368"/>
      <c r="BC290" s="368"/>
      <c r="BD290" s="368"/>
      <c r="BE290" s="368"/>
      <c r="BF290" s="368"/>
      <c r="BG290" s="368"/>
      <c r="BH290" s="368"/>
      <c r="BI290" s="368"/>
      <c r="BJ290" s="368"/>
      <c r="BK290" s="368"/>
      <c r="BL290" s="368"/>
      <c r="BM290" s="368"/>
      <c r="BN290" s="368"/>
    </row>
    <row r="291">
      <c r="A291" s="303" t="s">
        <v>598</v>
      </c>
      <c r="B291" s="347" t="s">
        <v>598</v>
      </c>
      <c r="C291" s="366" t="s">
        <v>606</v>
      </c>
      <c r="D291" s="341" t="s">
        <v>2183</v>
      </c>
      <c r="E291" s="348">
        <v>360000.0</v>
      </c>
      <c r="F291" s="346">
        <v>100000.0</v>
      </c>
      <c r="G291" s="353" t="s">
        <v>2184</v>
      </c>
      <c r="H291" s="348">
        <f>295714+53571</f>
        <v>349285</v>
      </c>
      <c r="I291" s="345">
        <f>64286+10714</f>
        <v>75000</v>
      </c>
      <c r="J291" s="353" t="s">
        <v>2185</v>
      </c>
      <c r="K291" s="348">
        <f>440000-6660 </f>
        <v>433340</v>
      </c>
      <c r="L291" s="346">
        <v>100000.0</v>
      </c>
      <c r="M291" s="353" t="s">
        <v>1568</v>
      </c>
      <c r="N291" s="348">
        <f>440000-6660 </f>
        <v>433340</v>
      </c>
      <c r="O291" s="346">
        <v>100000.0</v>
      </c>
      <c r="P291" s="353" t="s">
        <v>1568</v>
      </c>
      <c r="Q291" s="348">
        <f>440000-6660 </f>
        <v>433340</v>
      </c>
      <c r="R291" s="346">
        <v>100000.0</v>
      </c>
      <c r="S291" s="353" t="s">
        <v>1568</v>
      </c>
      <c r="T291" s="348">
        <f>440000-6660 </f>
        <v>433340</v>
      </c>
      <c r="U291" s="346">
        <v>100000.0</v>
      </c>
      <c r="V291" s="353" t="s">
        <v>1568</v>
      </c>
      <c r="W291" s="348">
        <f>440000-6660 </f>
        <v>433340</v>
      </c>
      <c r="X291" s="346">
        <v>100000.0</v>
      </c>
      <c r="Y291" s="353" t="s">
        <v>1568</v>
      </c>
      <c r="Z291" s="348">
        <f>440000-6660 </f>
        <v>433340</v>
      </c>
      <c r="AA291" s="346">
        <v>100000.0</v>
      </c>
      <c r="AB291" s="353" t="s">
        <v>1568</v>
      </c>
      <c r="AC291" s="348">
        <f>440000-6660 </f>
        <v>433340</v>
      </c>
      <c r="AD291" s="346">
        <v>100000.0</v>
      </c>
      <c r="AE291" s="353" t="s">
        <v>1568</v>
      </c>
      <c r="AF291" s="348">
        <f>440000-6660 </f>
        <v>433340</v>
      </c>
      <c r="AG291" s="346">
        <v>100000.0</v>
      </c>
      <c r="AH291" s="353" t="s">
        <v>1568</v>
      </c>
      <c r="AI291" s="348">
        <f>440000-6660 </f>
        <v>433340</v>
      </c>
      <c r="AJ291" s="346">
        <v>100000.0</v>
      </c>
      <c r="AK291" s="353" t="s">
        <v>1568</v>
      </c>
      <c r="AL291" s="348">
        <f>440000-6660 </f>
        <v>433340</v>
      </c>
      <c r="AM291" s="346">
        <v>100000.0</v>
      </c>
      <c r="AN291" s="316" t="s">
        <v>2177</v>
      </c>
      <c r="AO291" s="367"/>
      <c r="AP291" s="368"/>
      <c r="AQ291" s="368"/>
      <c r="AR291" s="368"/>
      <c r="AS291" s="368"/>
      <c r="AT291" s="368"/>
      <c r="AU291" s="368"/>
      <c r="AV291" s="368"/>
      <c r="AW291" s="368"/>
      <c r="AX291" s="368"/>
      <c r="AY291" s="368"/>
      <c r="AZ291" s="368"/>
      <c r="BA291" s="368"/>
      <c r="BB291" s="368"/>
      <c r="BC291" s="368"/>
      <c r="BD291" s="368"/>
      <c r="BE291" s="368"/>
      <c r="BF291" s="368"/>
      <c r="BG291" s="368"/>
      <c r="BH291" s="368"/>
      <c r="BI291" s="368"/>
      <c r="BJ291" s="368"/>
      <c r="BK291" s="368"/>
      <c r="BL291" s="368"/>
      <c r="BM291" s="368"/>
      <c r="BN291" s="368"/>
    </row>
    <row r="292">
      <c r="A292" s="303" t="s">
        <v>598</v>
      </c>
      <c r="B292" s="369"/>
      <c r="C292" s="370" t="s">
        <v>42</v>
      </c>
      <c r="D292" s="371"/>
      <c r="E292" s="335">
        <f t="shared" ref="E292:F292" si="382">SUM(E288:E291)</f>
        <v>1300000</v>
      </c>
      <c r="F292" s="346">
        <f t="shared" si="382"/>
        <v>300000</v>
      </c>
      <c r="G292" s="371"/>
      <c r="H292" s="335">
        <f t="shared" ref="H292:I292" si="383">SUM(H288:H291)</f>
        <v>1539285</v>
      </c>
      <c r="I292" s="346">
        <f t="shared" si="383"/>
        <v>325000</v>
      </c>
      <c r="J292" s="371"/>
      <c r="K292" s="335">
        <f t="shared" ref="K292:L292" si="384">SUM(K288:K291)</f>
        <v>2023340</v>
      </c>
      <c r="L292" s="346">
        <f t="shared" si="384"/>
        <v>400000</v>
      </c>
      <c r="M292" s="371"/>
      <c r="N292" s="335">
        <f t="shared" ref="N292:O292" si="385">SUM(N288:N291)</f>
        <v>2023340</v>
      </c>
      <c r="O292" s="346">
        <f t="shared" si="385"/>
        <v>400000</v>
      </c>
      <c r="P292" s="371"/>
      <c r="Q292" s="335">
        <f t="shared" ref="Q292:R292" si="386">SUM(Q288:Q291)</f>
        <v>2023340</v>
      </c>
      <c r="R292" s="346">
        <f t="shared" si="386"/>
        <v>400000</v>
      </c>
      <c r="S292" s="371"/>
      <c r="T292" s="335">
        <f t="shared" ref="T292:U292" si="387">SUM(T288:T291)</f>
        <v>2023340</v>
      </c>
      <c r="U292" s="346">
        <f t="shared" si="387"/>
        <v>400000</v>
      </c>
      <c r="V292" s="371"/>
      <c r="W292" s="335">
        <f t="shared" ref="W292:X292" si="388">SUM(W288:W291)</f>
        <v>2023340</v>
      </c>
      <c r="X292" s="346">
        <f t="shared" si="388"/>
        <v>400000</v>
      </c>
      <c r="Y292" s="371"/>
      <c r="Z292" s="335">
        <f t="shared" ref="Z292:AA292" si="389">SUM(Z288:Z291)</f>
        <v>2023340</v>
      </c>
      <c r="AA292" s="346">
        <f t="shared" si="389"/>
        <v>400000</v>
      </c>
      <c r="AB292" s="371"/>
      <c r="AC292" s="335">
        <f t="shared" ref="AC292:AD292" si="390">SUM(AC288:AC291)</f>
        <v>933340</v>
      </c>
      <c r="AD292" s="346">
        <f t="shared" si="390"/>
        <v>200000</v>
      </c>
      <c r="AE292" s="371"/>
      <c r="AF292" s="335">
        <f t="shared" ref="AF292:AG292" si="391">SUM(AF288:AF291)</f>
        <v>933340</v>
      </c>
      <c r="AG292" s="346">
        <f t="shared" si="391"/>
        <v>200000</v>
      </c>
      <c r="AH292" s="371"/>
      <c r="AI292" s="335">
        <f t="shared" ref="AI292:AJ292" si="392">SUM(AI288:AI291)</f>
        <v>933340</v>
      </c>
      <c r="AJ292" s="346">
        <f t="shared" si="392"/>
        <v>200000</v>
      </c>
      <c r="AK292" s="371"/>
      <c r="AL292" s="335">
        <f t="shared" ref="AL292:AM292" si="393">SUM(AL288:AL291)</f>
        <v>933340</v>
      </c>
      <c r="AM292" s="346">
        <f t="shared" si="393"/>
        <v>200000</v>
      </c>
      <c r="AN292" s="316" t="s">
        <v>2177</v>
      </c>
      <c r="AO292" s="368"/>
      <c r="AP292" s="368"/>
      <c r="AQ292" s="368"/>
      <c r="AR292" s="368"/>
      <c r="AS292" s="368"/>
      <c r="AT292" s="368"/>
      <c r="AU292" s="368"/>
      <c r="AV292" s="368"/>
      <c r="AW292" s="368"/>
      <c r="AX292" s="368"/>
      <c r="AY292" s="368"/>
      <c r="AZ292" s="368"/>
      <c r="BA292" s="368"/>
      <c r="BB292" s="368"/>
      <c r="BC292" s="368"/>
      <c r="BD292" s="368"/>
      <c r="BE292" s="368"/>
      <c r="BF292" s="368"/>
      <c r="BG292" s="368"/>
      <c r="BH292" s="368"/>
      <c r="BI292" s="368"/>
      <c r="BJ292" s="368"/>
      <c r="BK292" s="368"/>
      <c r="BL292" s="368"/>
      <c r="BM292" s="368"/>
      <c r="BN292" s="368"/>
    </row>
    <row r="293">
      <c r="A293" s="303" t="s">
        <v>598</v>
      </c>
      <c r="B293" s="369"/>
      <c r="C293" s="370" t="s">
        <v>43</v>
      </c>
      <c r="D293" s="371"/>
      <c r="E293" s="348">
        <v>700000.0</v>
      </c>
      <c r="F293" s="372"/>
      <c r="G293" s="371"/>
      <c r="H293" s="348">
        <v>700000.0</v>
      </c>
      <c r="I293" s="372"/>
      <c r="J293" s="371"/>
      <c r="K293" s="348">
        <v>700000.0</v>
      </c>
      <c r="L293" s="372"/>
      <c r="M293" s="371"/>
      <c r="N293" s="348">
        <v>700000.0</v>
      </c>
      <c r="O293" s="372"/>
      <c r="P293" s="371"/>
      <c r="Q293" s="348">
        <v>700000.0</v>
      </c>
      <c r="R293" s="372"/>
      <c r="S293" s="371"/>
      <c r="T293" s="348">
        <v>700000.0</v>
      </c>
      <c r="U293" s="372"/>
      <c r="V293" s="371"/>
      <c r="W293" s="348">
        <v>700000.0</v>
      </c>
      <c r="X293" s="372"/>
      <c r="Y293" s="371"/>
      <c r="Z293" s="348">
        <v>700000.0</v>
      </c>
      <c r="AA293" s="372"/>
      <c r="AB293" s="371"/>
      <c r="AC293" s="348">
        <v>700000.0</v>
      </c>
      <c r="AD293" s="372"/>
      <c r="AE293" s="371"/>
      <c r="AF293" s="348">
        <v>700000.0</v>
      </c>
      <c r="AG293" s="372"/>
      <c r="AH293" s="371"/>
      <c r="AI293" s="348">
        <v>700000.0</v>
      </c>
      <c r="AJ293" s="372"/>
      <c r="AK293" s="371"/>
      <c r="AL293" s="348">
        <v>700000.0</v>
      </c>
      <c r="AM293" s="372"/>
      <c r="AN293" s="316" t="s">
        <v>2177</v>
      </c>
      <c r="AO293" s="368"/>
      <c r="AP293" s="368"/>
      <c r="AQ293" s="368"/>
      <c r="AR293" s="368"/>
      <c r="AS293" s="368"/>
      <c r="AT293" s="368"/>
      <c r="AU293" s="368"/>
      <c r="AV293" s="368"/>
      <c r="AW293" s="368"/>
      <c r="AX293" s="368"/>
      <c r="AY293" s="368"/>
      <c r="AZ293" s="368"/>
      <c r="BA293" s="368"/>
      <c r="BB293" s="368"/>
      <c r="BC293" s="368"/>
      <c r="BD293" s="368"/>
      <c r="BE293" s="368"/>
      <c r="BF293" s="368"/>
      <c r="BG293" s="368"/>
      <c r="BH293" s="368"/>
      <c r="BI293" s="368"/>
      <c r="BJ293" s="368"/>
      <c r="BK293" s="368"/>
      <c r="BL293" s="368"/>
      <c r="BM293" s="368"/>
      <c r="BN293" s="368"/>
    </row>
    <row r="294">
      <c r="A294" s="303" t="s">
        <v>598</v>
      </c>
      <c r="B294" s="373"/>
      <c r="C294" s="370" t="s">
        <v>45</v>
      </c>
      <c r="D294" s="371"/>
      <c r="E294" s="335"/>
      <c r="F294" s="322" t="s">
        <v>44</v>
      </c>
      <c r="G294" s="371"/>
      <c r="H294" s="335"/>
      <c r="I294" s="322" t="s">
        <v>44</v>
      </c>
      <c r="J294" s="371"/>
      <c r="K294" s="335"/>
      <c r="L294" s="372"/>
      <c r="M294" s="371"/>
      <c r="N294" s="335"/>
      <c r="O294" s="372"/>
      <c r="P294" s="371"/>
      <c r="Q294" s="335"/>
      <c r="R294" s="346"/>
      <c r="S294" s="371"/>
      <c r="T294" s="335"/>
      <c r="U294" s="372"/>
      <c r="V294" s="371"/>
      <c r="W294" s="335"/>
      <c r="X294" s="372"/>
      <c r="Y294" s="371"/>
      <c r="Z294" s="335"/>
      <c r="AA294" s="372"/>
      <c r="AB294" s="371"/>
      <c r="AC294" s="335"/>
      <c r="AD294" s="372"/>
      <c r="AE294" s="371"/>
      <c r="AF294" s="335"/>
      <c r="AG294" s="372"/>
      <c r="AH294" s="371"/>
      <c r="AI294" s="335"/>
      <c r="AJ294" s="372"/>
      <c r="AK294" s="371"/>
      <c r="AL294" s="335"/>
      <c r="AM294" s="372"/>
      <c r="AN294" s="316" t="s">
        <v>2177</v>
      </c>
      <c r="AO294" s="368"/>
      <c r="AP294" s="368"/>
      <c r="AQ294" s="368"/>
      <c r="AR294" s="368"/>
      <c r="AS294" s="368"/>
      <c r="AT294" s="368"/>
      <c r="AU294" s="368"/>
      <c r="AV294" s="368"/>
      <c r="AW294" s="368"/>
      <c r="AX294" s="368"/>
      <c r="AY294" s="368"/>
      <c r="AZ294" s="368"/>
      <c r="BA294" s="368"/>
      <c r="BB294" s="368"/>
      <c r="BC294" s="368"/>
      <c r="BD294" s="368"/>
      <c r="BE294" s="368"/>
      <c r="BF294" s="368"/>
      <c r="BG294" s="368"/>
      <c r="BH294" s="368"/>
      <c r="BI294" s="368"/>
      <c r="BJ294" s="368"/>
      <c r="BK294" s="368"/>
      <c r="BL294" s="368"/>
      <c r="BM294" s="368"/>
      <c r="BN294" s="368"/>
    </row>
    <row r="295">
      <c r="A295" s="303" t="s">
        <v>598</v>
      </c>
      <c r="B295" s="347">
        <v>1.14073984E8</v>
      </c>
      <c r="C295" s="370" t="s">
        <v>47</v>
      </c>
      <c r="D295" s="371"/>
      <c r="E295" s="374"/>
      <c r="F295" s="345">
        <v>52350.0</v>
      </c>
      <c r="G295" s="375"/>
      <c r="H295" s="374"/>
      <c r="I295" s="345">
        <v>42040.0</v>
      </c>
      <c r="J295" s="371"/>
      <c r="K295" s="374"/>
      <c r="L295" s="372"/>
      <c r="M295" s="371"/>
      <c r="N295" s="374"/>
      <c r="O295" s="346"/>
      <c r="P295" s="371"/>
      <c r="Q295" s="374"/>
      <c r="R295" s="346"/>
      <c r="S295" s="371"/>
      <c r="T295" s="374"/>
      <c r="U295" s="372"/>
      <c r="V295" s="371"/>
      <c r="W295" s="374"/>
      <c r="X295" s="372"/>
      <c r="Y295" s="371"/>
      <c r="Z295" s="374"/>
      <c r="AA295" s="372"/>
      <c r="AB295" s="371"/>
      <c r="AC295" s="374"/>
      <c r="AD295" s="372"/>
      <c r="AE295" s="371"/>
      <c r="AF295" s="374"/>
      <c r="AG295" s="372"/>
      <c r="AH295" s="371"/>
      <c r="AI295" s="374"/>
      <c r="AJ295" s="372"/>
      <c r="AK295" s="371"/>
      <c r="AL295" s="374"/>
      <c r="AM295" s="372"/>
      <c r="AN295" s="316" t="s">
        <v>2177</v>
      </c>
      <c r="AO295" s="368"/>
      <c r="AP295" s="368"/>
      <c r="AQ295" s="368"/>
      <c r="AR295" s="368"/>
      <c r="AS295" s="368"/>
      <c r="AT295" s="368"/>
      <c r="AU295" s="368"/>
      <c r="AV295" s="368"/>
      <c r="AW295" s="368"/>
      <c r="AX295" s="368"/>
      <c r="AY295" s="368"/>
      <c r="AZ295" s="368"/>
      <c r="BA295" s="368"/>
      <c r="BB295" s="368"/>
      <c r="BC295" s="368"/>
      <c r="BD295" s="368"/>
      <c r="BE295" s="368"/>
      <c r="BF295" s="368"/>
      <c r="BG295" s="368"/>
      <c r="BH295" s="368"/>
      <c r="BI295" s="368"/>
      <c r="BJ295" s="368"/>
      <c r="BK295" s="368"/>
      <c r="BL295" s="368"/>
      <c r="BM295" s="368"/>
      <c r="BN295" s="368"/>
    </row>
    <row r="296">
      <c r="A296" s="303" t="s">
        <v>598</v>
      </c>
      <c r="B296" s="347" t="s">
        <v>609</v>
      </c>
      <c r="C296" s="370" t="s">
        <v>49</v>
      </c>
      <c r="D296" s="371"/>
      <c r="E296" s="374"/>
      <c r="F296" s="345">
        <v>154170.0</v>
      </c>
      <c r="G296" s="371"/>
      <c r="H296" s="374"/>
      <c r="I296" s="345">
        <v>191760.0</v>
      </c>
      <c r="J296" s="371"/>
      <c r="K296" s="374"/>
      <c r="L296" s="376">
        <v>134820.0</v>
      </c>
      <c r="M296" s="371"/>
      <c r="N296" s="374"/>
      <c r="O296" s="346"/>
      <c r="P296" s="371"/>
      <c r="Q296" s="374"/>
      <c r="R296" s="346"/>
      <c r="S296" s="371"/>
      <c r="T296" s="374"/>
      <c r="U296" s="376"/>
      <c r="V296" s="371"/>
      <c r="W296" s="374"/>
      <c r="X296" s="376"/>
      <c r="Y296" s="371"/>
      <c r="Z296" s="374"/>
      <c r="AA296" s="376"/>
      <c r="AB296" s="371"/>
      <c r="AC296" s="377"/>
      <c r="AD296" s="377"/>
      <c r="AE296" s="371"/>
      <c r="AF296" s="374"/>
      <c r="AG296" s="376"/>
      <c r="AH296" s="371"/>
      <c r="AI296" s="374"/>
      <c r="AJ296" s="376"/>
      <c r="AK296" s="371"/>
      <c r="AL296" s="374"/>
      <c r="AM296" s="376"/>
      <c r="AN296" s="316" t="s">
        <v>2177</v>
      </c>
      <c r="AO296" s="368"/>
      <c r="AP296" s="368"/>
      <c r="AQ296" s="368"/>
      <c r="AR296" s="368"/>
      <c r="AS296" s="368"/>
      <c r="AT296" s="368"/>
      <c r="AU296" s="368"/>
      <c r="AV296" s="368"/>
      <c r="AW296" s="368"/>
      <c r="AX296" s="368"/>
      <c r="AY296" s="368"/>
      <c r="AZ296" s="368"/>
      <c r="BA296" s="368"/>
      <c r="BB296" s="368"/>
      <c r="BC296" s="368"/>
      <c r="BD296" s="368"/>
      <c r="BE296" s="368"/>
      <c r="BF296" s="368"/>
      <c r="BG296" s="368"/>
      <c r="BH296" s="368"/>
      <c r="BI296" s="368"/>
      <c r="BJ296" s="368"/>
      <c r="BK296" s="368"/>
      <c r="BL296" s="368"/>
      <c r="BM296" s="368"/>
      <c r="BN296" s="368"/>
    </row>
    <row r="297">
      <c r="A297" s="303" t="s">
        <v>598</v>
      </c>
      <c r="B297" s="373"/>
      <c r="C297" s="370" t="s">
        <v>51</v>
      </c>
      <c r="D297" s="371"/>
      <c r="E297" s="374"/>
      <c r="F297" s="345">
        <v>30000.0</v>
      </c>
      <c r="G297" s="375"/>
      <c r="H297" s="374"/>
      <c r="I297" s="376">
        <v>30000.0</v>
      </c>
      <c r="J297" s="375"/>
      <c r="K297" s="374"/>
      <c r="L297" s="376">
        <v>30000.0</v>
      </c>
      <c r="M297" s="375"/>
      <c r="N297" s="374"/>
      <c r="O297" s="376">
        <v>30000.0</v>
      </c>
      <c r="P297" s="375"/>
      <c r="Q297" s="374"/>
      <c r="R297" s="376">
        <v>30000.0</v>
      </c>
      <c r="S297" s="375"/>
      <c r="T297" s="374"/>
      <c r="U297" s="376">
        <v>30000.0</v>
      </c>
      <c r="V297" s="375"/>
      <c r="W297" s="374"/>
      <c r="X297" s="376">
        <v>30000.0</v>
      </c>
      <c r="Y297" s="375"/>
      <c r="Z297" s="374"/>
      <c r="AA297" s="376">
        <v>30000.0</v>
      </c>
      <c r="AB297" s="375"/>
      <c r="AC297" s="374"/>
      <c r="AD297" s="376">
        <v>30000.0</v>
      </c>
      <c r="AE297" s="375"/>
      <c r="AF297" s="374"/>
      <c r="AG297" s="376">
        <v>30000.0</v>
      </c>
      <c r="AH297" s="375"/>
      <c r="AI297" s="374"/>
      <c r="AJ297" s="376">
        <v>30000.0</v>
      </c>
      <c r="AK297" s="375"/>
      <c r="AL297" s="374"/>
      <c r="AM297" s="376">
        <v>30000.0</v>
      </c>
      <c r="AN297" s="316" t="s">
        <v>2177</v>
      </c>
      <c r="AO297" s="368"/>
      <c r="AP297" s="368"/>
      <c r="AQ297" s="368"/>
      <c r="AR297" s="368"/>
      <c r="AS297" s="368"/>
      <c r="AT297" s="368"/>
      <c r="AU297" s="368"/>
      <c r="AV297" s="368"/>
      <c r="AW297" s="368"/>
      <c r="AX297" s="368"/>
      <c r="AY297" s="368"/>
      <c r="AZ297" s="368"/>
      <c r="BA297" s="368"/>
      <c r="BB297" s="368"/>
      <c r="BC297" s="368"/>
      <c r="BD297" s="368"/>
      <c r="BE297" s="368"/>
      <c r="BF297" s="368"/>
      <c r="BG297" s="368"/>
      <c r="BH297" s="368"/>
      <c r="BI297" s="368"/>
      <c r="BJ297" s="368"/>
      <c r="BK297" s="368"/>
      <c r="BL297" s="368"/>
      <c r="BM297" s="368"/>
      <c r="BN297" s="368"/>
    </row>
    <row r="298">
      <c r="A298" s="303" t="s">
        <v>598</v>
      </c>
      <c r="B298" s="373"/>
      <c r="C298" s="370" t="s">
        <v>52</v>
      </c>
      <c r="D298" s="371"/>
      <c r="E298" s="374"/>
      <c r="F298" s="346">
        <v>25000.0</v>
      </c>
      <c r="G298" s="371"/>
      <c r="H298" s="374"/>
      <c r="I298" s="346">
        <v>25000.0</v>
      </c>
      <c r="J298" s="371"/>
      <c r="K298" s="374"/>
      <c r="L298" s="346">
        <v>25000.0</v>
      </c>
      <c r="M298" s="371"/>
      <c r="N298" s="374"/>
      <c r="O298" s="346">
        <v>25000.0</v>
      </c>
      <c r="P298" s="371"/>
      <c r="Q298" s="374"/>
      <c r="R298" s="346">
        <v>25000.0</v>
      </c>
      <c r="S298" s="371"/>
      <c r="T298" s="374"/>
      <c r="U298" s="346">
        <v>25000.0</v>
      </c>
      <c r="V298" s="371"/>
      <c r="W298" s="374"/>
      <c r="X298" s="346">
        <v>25000.0</v>
      </c>
      <c r="Y298" s="371"/>
      <c r="Z298" s="374"/>
      <c r="AA298" s="346">
        <v>25000.0</v>
      </c>
      <c r="AB298" s="371"/>
      <c r="AC298" s="374"/>
      <c r="AD298" s="346">
        <v>25000.0</v>
      </c>
      <c r="AE298" s="371"/>
      <c r="AF298" s="374"/>
      <c r="AG298" s="346">
        <v>25000.0</v>
      </c>
      <c r="AH298" s="371"/>
      <c r="AI298" s="374"/>
      <c r="AJ298" s="346">
        <v>25000.0</v>
      </c>
      <c r="AK298" s="371"/>
      <c r="AL298" s="374"/>
      <c r="AM298" s="346">
        <v>25000.0</v>
      </c>
      <c r="AN298" s="316" t="s">
        <v>2177</v>
      </c>
      <c r="AO298" s="368"/>
      <c r="AP298" s="368"/>
      <c r="AQ298" s="368"/>
      <c r="AR298" s="368"/>
      <c r="AS298" s="368"/>
      <c r="AT298" s="368"/>
      <c r="AU298" s="368"/>
      <c r="AV298" s="368"/>
      <c r="AW298" s="368"/>
      <c r="AX298" s="368"/>
      <c r="AY298" s="368"/>
      <c r="AZ298" s="368"/>
      <c r="BA298" s="368"/>
      <c r="BB298" s="368"/>
      <c r="BC298" s="368"/>
      <c r="BD298" s="368"/>
      <c r="BE298" s="368"/>
      <c r="BF298" s="368"/>
      <c r="BG298" s="368"/>
      <c r="BH298" s="368"/>
      <c r="BI298" s="368"/>
      <c r="BJ298" s="368"/>
      <c r="BK298" s="368"/>
      <c r="BL298" s="368"/>
      <c r="BM298" s="368"/>
      <c r="BN298" s="368"/>
    </row>
    <row r="299">
      <c r="A299" s="303" t="s">
        <v>598</v>
      </c>
      <c r="B299" s="373"/>
      <c r="C299" s="370" t="s">
        <v>53</v>
      </c>
      <c r="D299" s="371"/>
      <c r="E299" s="374"/>
      <c r="F299" s="346">
        <v>11000.0</v>
      </c>
      <c r="G299" s="371"/>
      <c r="H299" s="374"/>
      <c r="I299" s="346">
        <v>11000.0</v>
      </c>
      <c r="J299" s="371"/>
      <c r="K299" s="374"/>
      <c r="L299" s="346">
        <v>11000.0</v>
      </c>
      <c r="M299" s="371"/>
      <c r="N299" s="374"/>
      <c r="O299" s="346">
        <v>11000.0</v>
      </c>
      <c r="P299" s="371"/>
      <c r="Q299" s="374"/>
      <c r="R299" s="346">
        <v>11000.0</v>
      </c>
      <c r="S299" s="371"/>
      <c r="T299" s="374"/>
      <c r="U299" s="346">
        <v>11000.0</v>
      </c>
      <c r="V299" s="371"/>
      <c r="W299" s="374"/>
      <c r="X299" s="346">
        <v>11000.0</v>
      </c>
      <c r="Y299" s="371"/>
      <c r="Z299" s="374"/>
      <c r="AA299" s="346">
        <v>11000.0</v>
      </c>
      <c r="AB299" s="371"/>
      <c r="AC299" s="374"/>
      <c r="AD299" s="346">
        <v>11000.0</v>
      </c>
      <c r="AE299" s="371"/>
      <c r="AF299" s="374"/>
      <c r="AG299" s="346">
        <v>11000.0</v>
      </c>
      <c r="AH299" s="371"/>
      <c r="AI299" s="374"/>
      <c r="AJ299" s="346">
        <v>11000.0</v>
      </c>
      <c r="AK299" s="371"/>
      <c r="AL299" s="374"/>
      <c r="AM299" s="346">
        <v>11000.0</v>
      </c>
      <c r="AN299" s="316" t="s">
        <v>2177</v>
      </c>
      <c r="AO299" s="368"/>
      <c r="AP299" s="368"/>
      <c r="AQ299" s="368"/>
      <c r="AR299" s="368"/>
      <c r="AS299" s="368"/>
      <c r="AT299" s="368"/>
      <c r="AU299" s="368"/>
      <c r="AV299" s="368"/>
      <c r="AW299" s="368"/>
      <c r="AX299" s="368"/>
      <c r="AY299" s="368"/>
      <c r="AZ299" s="368"/>
      <c r="BA299" s="368"/>
      <c r="BB299" s="368"/>
      <c r="BC299" s="368"/>
      <c r="BD299" s="368"/>
      <c r="BE299" s="368"/>
      <c r="BF299" s="368"/>
      <c r="BG299" s="368"/>
      <c r="BH299" s="368"/>
      <c r="BI299" s="368"/>
      <c r="BJ299" s="368"/>
      <c r="BK299" s="368"/>
      <c r="BL299" s="368"/>
      <c r="BM299" s="368"/>
      <c r="BN299" s="368"/>
    </row>
    <row r="300">
      <c r="A300" s="303" t="s">
        <v>598</v>
      </c>
      <c r="B300" s="369"/>
      <c r="C300" s="370" t="s">
        <v>54</v>
      </c>
      <c r="D300" s="371"/>
      <c r="E300" s="374"/>
      <c r="F300" s="346">
        <f>SUMIFS('지출'!$G$3:$G794,'지출'!$J$3:$J794,F$1,'지출'!$C$3:$C794,"시립")</f>
        <v>57920</v>
      </c>
      <c r="G300" s="371"/>
      <c r="H300" s="374"/>
      <c r="I300" s="346">
        <f>SUMIFS('지출'!$G$3:$G794,'지출'!$J$3:$J794,I$1,'지출'!$C$3:$C794,"시립")</f>
        <v>63600</v>
      </c>
      <c r="J300" s="371"/>
      <c r="K300" s="374"/>
      <c r="L300" s="346">
        <f>SUMIFS('지출'!$G$3:$G794,'지출'!$J$3:$J794,L$1,'지출'!$C$3:$C794,"시립")</f>
        <v>18540</v>
      </c>
      <c r="M300" s="371"/>
      <c r="N300" s="374"/>
      <c r="O300" s="346">
        <f>SUMIFS('지출'!$G$3:$G794,'지출'!$J$3:$J794,O$1,'지출'!$C$3:$C794,"시립")</f>
        <v>0</v>
      </c>
      <c r="P300" s="371"/>
      <c r="Q300" s="374"/>
      <c r="R300" s="346">
        <f>SUMIFS('지출'!$G$3:$G794,'지출'!$J$3:$J794,R$1,'지출'!$C$3:$C794,"시립")</f>
        <v>0</v>
      </c>
      <c r="S300" s="371"/>
      <c r="T300" s="374"/>
      <c r="U300" s="346">
        <f>SUMIFS('지출'!$G$3:$G794,'지출'!$J$3:$J794,U$1,'지출'!$C$3:$C794,"시립")</f>
        <v>0</v>
      </c>
      <c r="V300" s="371"/>
      <c r="W300" s="374"/>
      <c r="X300" s="346">
        <f>SUMIFS('지출'!$G$3:$G794,'지출'!$J$3:$J794,X$1,'지출'!$C$3:$C794,"시립")</f>
        <v>0</v>
      </c>
      <c r="Y300" s="371"/>
      <c r="Z300" s="374"/>
      <c r="AA300" s="346">
        <f>SUMIFS('지출'!$G$3:$G794,'지출'!$J$3:$J794,AA$1,'지출'!$C$3:$C794,"시립")</f>
        <v>0</v>
      </c>
      <c r="AB300" s="371"/>
      <c r="AC300" s="374"/>
      <c r="AD300" s="346">
        <f>SUMIFS('지출'!$G$3:$G794,'지출'!$J$3:$J794,AD$1,'지출'!$C$3:$C794,"시립")</f>
        <v>0</v>
      </c>
      <c r="AE300" s="371"/>
      <c r="AF300" s="374"/>
      <c r="AG300" s="346">
        <f>SUMIFS('지출'!$G$3:$G794,'지출'!$J$3:$J794,AG$1,'지출'!$C$3:$C794,"시립")</f>
        <v>0</v>
      </c>
      <c r="AH300" s="371"/>
      <c r="AI300" s="374"/>
      <c r="AJ300" s="346">
        <f>SUMIFS('지출'!$G$3:$G794,'지출'!$J$3:$J794,AJ$1,'지출'!$C$3:$C794,"시립")</f>
        <v>0</v>
      </c>
      <c r="AK300" s="371"/>
      <c r="AL300" s="374"/>
      <c r="AM300" s="346">
        <f>SUMIFS('지출'!$G$3:$G794,'지출'!$J$3:$J794,AM$1,'지출'!$C$3:$C794,"시립")</f>
        <v>0</v>
      </c>
      <c r="AN300" s="316" t="s">
        <v>2177</v>
      </c>
      <c r="AO300" s="368"/>
      <c r="AP300" s="368"/>
      <c r="AQ300" s="368"/>
      <c r="AR300" s="368"/>
      <c r="AS300" s="368"/>
      <c r="AT300" s="368"/>
      <c r="AU300" s="368"/>
      <c r="AV300" s="368"/>
      <c r="AW300" s="368"/>
      <c r="AX300" s="368"/>
      <c r="AY300" s="368"/>
      <c r="AZ300" s="368"/>
      <c r="BA300" s="368"/>
      <c r="BB300" s="368"/>
      <c r="BC300" s="368"/>
      <c r="BD300" s="368"/>
      <c r="BE300" s="368"/>
      <c r="BF300" s="368"/>
      <c r="BG300" s="368"/>
      <c r="BH300" s="368"/>
      <c r="BI300" s="368"/>
      <c r="BJ300" s="368"/>
      <c r="BK300" s="368"/>
      <c r="BL300" s="368"/>
      <c r="BM300" s="368"/>
      <c r="BN300" s="368"/>
    </row>
    <row r="301">
      <c r="A301" s="303" t="s">
        <v>598</v>
      </c>
      <c r="B301" s="369"/>
      <c r="C301" s="370" t="s">
        <v>56</v>
      </c>
      <c r="D301" s="371"/>
      <c r="E301" s="335">
        <f t="shared" ref="E301:F301" si="394">E292-(SUM(E293:E300))</f>
        <v>600000</v>
      </c>
      <c r="F301" s="346">
        <f t="shared" si="394"/>
        <v>-30440</v>
      </c>
      <c r="G301" s="371"/>
      <c r="H301" s="335">
        <f t="shared" ref="H301:I301" si="395">H292-(SUM(H293:H300))</f>
        <v>839285</v>
      </c>
      <c r="I301" s="346">
        <f t="shared" si="395"/>
        <v>-38400</v>
      </c>
      <c r="J301" s="371"/>
      <c r="K301" s="335">
        <f t="shared" ref="K301:L301" si="396">K292-(SUM(K293:K300))</f>
        <v>1323340</v>
      </c>
      <c r="L301" s="346">
        <f t="shared" si="396"/>
        <v>180640</v>
      </c>
      <c r="M301" s="371"/>
      <c r="N301" s="335">
        <f t="shared" ref="N301:O301" si="397">N292-(SUM(N293:N300))</f>
        <v>1323340</v>
      </c>
      <c r="O301" s="346">
        <f t="shared" si="397"/>
        <v>334000</v>
      </c>
      <c r="P301" s="371"/>
      <c r="Q301" s="335">
        <f t="shared" ref="Q301:R301" si="398">Q292-(SUM(Q293:Q300))</f>
        <v>1323340</v>
      </c>
      <c r="R301" s="346">
        <f t="shared" si="398"/>
        <v>334000</v>
      </c>
      <c r="S301" s="371"/>
      <c r="T301" s="335">
        <f t="shared" ref="T301:U301" si="399">T292-(SUM(T293:T300))</f>
        <v>1323340</v>
      </c>
      <c r="U301" s="346">
        <f t="shared" si="399"/>
        <v>334000</v>
      </c>
      <c r="V301" s="371"/>
      <c r="W301" s="335">
        <f t="shared" ref="W301:X301" si="400">W292-(SUM(W293:W300))</f>
        <v>1323340</v>
      </c>
      <c r="X301" s="346">
        <f t="shared" si="400"/>
        <v>334000</v>
      </c>
      <c r="Y301" s="371"/>
      <c r="Z301" s="335">
        <f t="shared" ref="Z301:AA301" si="401">Z292-(SUM(Z293:Z300))</f>
        <v>1323340</v>
      </c>
      <c r="AA301" s="346">
        <f t="shared" si="401"/>
        <v>334000</v>
      </c>
      <c r="AB301" s="371"/>
      <c r="AC301" s="335">
        <f t="shared" ref="AC301:AD301" si="402">AC292-(SUM(AC293:AC300))</f>
        <v>233340</v>
      </c>
      <c r="AD301" s="346">
        <f t="shared" si="402"/>
        <v>134000</v>
      </c>
      <c r="AE301" s="371"/>
      <c r="AF301" s="335">
        <f t="shared" ref="AF301:AG301" si="403">AF292-(SUM(AF293:AF300))</f>
        <v>233340</v>
      </c>
      <c r="AG301" s="346">
        <f t="shared" si="403"/>
        <v>134000</v>
      </c>
      <c r="AH301" s="371"/>
      <c r="AI301" s="335">
        <f t="shared" ref="AI301:AJ301" si="404">AI292-(SUM(AI293:AI300))</f>
        <v>233340</v>
      </c>
      <c r="AJ301" s="346">
        <f t="shared" si="404"/>
        <v>134000</v>
      </c>
      <c r="AK301" s="371"/>
      <c r="AL301" s="335">
        <f t="shared" ref="AL301:AM301" si="405">AL292-(SUM(AL293:AL300))</f>
        <v>233340</v>
      </c>
      <c r="AM301" s="346">
        <f t="shared" si="405"/>
        <v>134000</v>
      </c>
      <c r="AN301" s="316" t="s">
        <v>2177</v>
      </c>
      <c r="AO301" s="368"/>
      <c r="AP301" s="368"/>
      <c r="AQ301" s="368"/>
      <c r="AR301" s="368"/>
      <c r="AS301" s="368"/>
      <c r="AT301" s="368"/>
      <c r="AU301" s="368"/>
      <c r="AV301" s="368"/>
      <c r="AW301" s="368"/>
      <c r="AX301" s="368"/>
      <c r="AY301" s="368"/>
      <c r="AZ301" s="368"/>
      <c r="BA301" s="368"/>
      <c r="BB301" s="368"/>
      <c r="BC301" s="368"/>
      <c r="BD301" s="368"/>
      <c r="BE301" s="368"/>
      <c r="BF301" s="368"/>
      <c r="BG301" s="368"/>
      <c r="BH301" s="368"/>
      <c r="BI301" s="368"/>
      <c r="BJ301" s="368"/>
      <c r="BK301" s="368"/>
      <c r="BL301" s="368"/>
      <c r="BM301" s="368"/>
      <c r="BN301" s="368"/>
    </row>
    <row r="302">
      <c r="A302" s="303" t="s">
        <v>598</v>
      </c>
      <c r="B302" s="378">
        <v>0.0</v>
      </c>
      <c r="C302" s="370" t="s">
        <v>26</v>
      </c>
      <c r="D302" s="371"/>
      <c r="E302" s="335">
        <f>E301*$B302</f>
        <v>0</v>
      </c>
      <c r="F302" s="372"/>
      <c r="G302" s="371"/>
      <c r="H302" s="335">
        <f>H301*$B302</f>
        <v>0</v>
      </c>
      <c r="I302" s="372"/>
      <c r="J302" s="371"/>
      <c r="K302" s="335">
        <f>K301*$B302</f>
        <v>0</v>
      </c>
      <c r="L302" s="372"/>
      <c r="M302" s="371"/>
      <c r="N302" s="335">
        <f>N301*$B302</f>
        <v>0</v>
      </c>
      <c r="O302" s="372"/>
      <c r="P302" s="371"/>
      <c r="Q302" s="335">
        <f>Q301*$B302</f>
        <v>0</v>
      </c>
      <c r="R302" s="372"/>
      <c r="S302" s="371"/>
      <c r="T302" s="335">
        <f>T301*$B302</f>
        <v>0</v>
      </c>
      <c r="U302" s="372"/>
      <c r="V302" s="371"/>
      <c r="W302" s="335">
        <f>W301*$B302</f>
        <v>0</v>
      </c>
      <c r="X302" s="372"/>
      <c r="Y302" s="371"/>
      <c r="Z302" s="335">
        <f>Z301*$B302</f>
        <v>0</v>
      </c>
      <c r="AA302" s="372"/>
      <c r="AB302" s="371"/>
      <c r="AC302" s="335">
        <f>AC301*$B302</f>
        <v>0</v>
      </c>
      <c r="AD302" s="372"/>
      <c r="AE302" s="371"/>
      <c r="AF302" s="335">
        <f>AF301*$B302</f>
        <v>0</v>
      </c>
      <c r="AG302" s="372"/>
      <c r="AH302" s="371"/>
      <c r="AI302" s="335">
        <f>AI301*$B302</f>
        <v>0</v>
      </c>
      <c r="AJ302" s="372"/>
      <c r="AK302" s="371"/>
      <c r="AL302" s="335">
        <f>AL301*$B302</f>
        <v>0</v>
      </c>
      <c r="AM302" s="372"/>
      <c r="AN302" s="316" t="s">
        <v>2177</v>
      </c>
      <c r="AO302" s="368"/>
      <c r="AP302" s="368"/>
      <c r="AQ302" s="368"/>
      <c r="AR302" s="368"/>
      <c r="AS302" s="368"/>
      <c r="AT302" s="368"/>
      <c r="AU302" s="368"/>
      <c r="AV302" s="368"/>
      <c r="AW302" s="368"/>
      <c r="AX302" s="368"/>
      <c r="AY302" s="368"/>
      <c r="AZ302" s="368"/>
      <c r="BA302" s="368"/>
      <c r="BB302" s="368"/>
      <c r="BC302" s="368"/>
      <c r="BD302" s="368"/>
      <c r="BE302" s="368"/>
      <c r="BF302" s="368"/>
      <c r="BG302" s="368"/>
      <c r="BH302" s="368"/>
      <c r="BI302" s="368"/>
      <c r="BJ302" s="368"/>
      <c r="BK302" s="368"/>
      <c r="BL302" s="368"/>
      <c r="BM302" s="368"/>
      <c r="BN302" s="368"/>
    </row>
    <row r="303">
      <c r="A303" s="303" t="s">
        <v>598</v>
      </c>
      <c r="B303" s="379">
        <v>1.0</v>
      </c>
      <c r="C303" s="380" t="s">
        <v>57</v>
      </c>
      <c r="D303" s="381"/>
      <c r="E303" s="382">
        <f>E301*$B303</f>
        <v>600000</v>
      </c>
      <c r="F303" s="383"/>
      <c r="G303" s="381"/>
      <c r="H303" s="382">
        <f>H301*$B303</f>
        <v>839285</v>
      </c>
      <c r="I303" s="383"/>
      <c r="J303" s="381"/>
      <c r="K303" s="382">
        <f>K301*$B303</f>
        <v>1323340</v>
      </c>
      <c r="L303" s="383"/>
      <c r="M303" s="381"/>
      <c r="N303" s="382">
        <f>N301*$B303</f>
        <v>1323340</v>
      </c>
      <c r="O303" s="383"/>
      <c r="P303" s="381"/>
      <c r="Q303" s="382">
        <f>Q301*$B303</f>
        <v>1323340</v>
      </c>
      <c r="R303" s="383"/>
      <c r="S303" s="381"/>
      <c r="T303" s="382">
        <f>T301*$B303</f>
        <v>1323340</v>
      </c>
      <c r="U303" s="383"/>
      <c r="V303" s="381"/>
      <c r="W303" s="382">
        <f>W301*$B303</f>
        <v>1323340</v>
      </c>
      <c r="X303" s="383"/>
      <c r="Y303" s="381"/>
      <c r="Z303" s="382">
        <f>Z301*$B303</f>
        <v>1323340</v>
      </c>
      <c r="AA303" s="383"/>
      <c r="AB303" s="381"/>
      <c r="AC303" s="382">
        <f>AC301*$B303</f>
        <v>233340</v>
      </c>
      <c r="AD303" s="383"/>
      <c r="AE303" s="381"/>
      <c r="AF303" s="382">
        <f>AF301*$B303</f>
        <v>233340</v>
      </c>
      <c r="AG303" s="383"/>
      <c r="AH303" s="381"/>
      <c r="AI303" s="382">
        <f>AI301*$B303</f>
        <v>233340</v>
      </c>
      <c r="AJ303" s="383"/>
      <c r="AK303" s="381"/>
      <c r="AL303" s="382">
        <f>AL301*$B303</f>
        <v>233340</v>
      </c>
      <c r="AM303" s="383"/>
      <c r="AN303" s="316" t="s">
        <v>2177</v>
      </c>
      <c r="AO303" s="368"/>
      <c r="AP303" s="368"/>
      <c r="AQ303" s="368"/>
      <c r="AR303" s="368"/>
      <c r="AS303" s="368"/>
      <c r="AT303" s="368"/>
      <c r="AU303" s="368"/>
      <c r="AV303" s="368"/>
      <c r="AW303" s="368"/>
      <c r="AX303" s="368"/>
      <c r="AY303" s="368"/>
      <c r="AZ303" s="368"/>
      <c r="BA303" s="368"/>
      <c r="BB303" s="368"/>
      <c r="BC303" s="368"/>
      <c r="BD303" s="368"/>
      <c r="BE303" s="368"/>
      <c r="BF303" s="368"/>
      <c r="BG303" s="368"/>
      <c r="BH303" s="368"/>
      <c r="BI303" s="368"/>
      <c r="BJ303" s="368"/>
      <c r="BK303" s="368"/>
      <c r="BL303" s="368"/>
      <c r="BM303" s="368"/>
      <c r="BN303" s="368"/>
    </row>
    <row r="304" ht="16.5" customHeight="1">
      <c r="A304" s="303" t="s">
        <v>1571</v>
      </c>
      <c r="B304" s="347" t="s">
        <v>1571</v>
      </c>
      <c r="C304" s="366" t="s">
        <v>700</v>
      </c>
      <c r="D304" s="341" t="s">
        <v>37</v>
      </c>
      <c r="E304" s="348"/>
      <c r="F304" s="345"/>
      <c r="G304" s="353" t="s">
        <v>2186</v>
      </c>
      <c r="H304" s="348">
        <v>176786.0</v>
      </c>
      <c r="I304" s="345">
        <v>32143.0</v>
      </c>
      <c r="J304" s="353" t="s">
        <v>1573</v>
      </c>
      <c r="K304" s="348">
        <v>550000.0</v>
      </c>
      <c r="L304" s="345">
        <v>100000.0</v>
      </c>
      <c r="M304" s="353" t="s">
        <v>1573</v>
      </c>
      <c r="N304" s="348">
        <v>550000.0</v>
      </c>
      <c r="O304" s="345">
        <v>100000.0</v>
      </c>
      <c r="P304" s="353" t="s">
        <v>1573</v>
      </c>
      <c r="Q304" s="348">
        <v>550000.0</v>
      </c>
      <c r="R304" s="345">
        <v>100000.0</v>
      </c>
      <c r="S304" s="353" t="s">
        <v>1573</v>
      </c>
      <c r="T304" s="348">
        <v>550000.0</v>
      </c>
      <c r="U304" s="345">
        <v>100000.0</v>
      </c>
      <c r="V304" s="353" t="s">
        <v>1573</v>
      </c>
      <c r="W304" s="348">
        <v>550000.0</v>
      </c>
      <c r="X304" s="345">
        <v>100000.0</v>
      </c>
      <c r="Y304" s="353" t="s">
        <v>2187</v>
      </c>
      <c r="Z304" s="348">
        <v>550000.0</v>
      </c>
      <c r="AA304" s="345">
        <v>100000.0</v>
      </c>
      <c r="AB304" s="353"/>
      <c r="AC304" s="348"/>
      <c r="AD304" s="345"/>
      <c r="AE304" s="353"/>
      <c r="AF304" s="348"/>
      <c r="AG304" s="345"/>
      <c r="AH304" s="353"/>
      <c r="AI304" s="348"/>
      <c r="AJ304" s="345"/>
      <c r="AK304" s="353"/>
      <c r="AL304" s="348"/>
      <c r="AM304" s="345"/>
      <c r="AN304" s="316" t="s">
        <v>2177</v>
      </c>
      <c r="AO304" s="367"/>
      <c r="AP304" s="368"/>
      <c r="AQ304" s="368"/>
      <c r="AR304" s="368"/>
      <c r="AS304" s="368"/>
      <c r="AT304" s="368"/>
      <c r="AU304" s="368"/>
      <c r="AV304" s="368"/>
      <c r="AW304" s="368"/>
      <c r="AX304" s="368"/>
      <c r="AY304" s="368"/>
      <c r="AZ304" s="368"/>
      <c r="BA304" s="368"/>
      <c r="BB304" s="368"/>
      <c r="BC304" s="368"/>
      <c r="BD304" s="368"/>
      <c r="BE304" s="368"/>
      <c r="BF304" s="368"/>
      <c r="BG304" s="368"/>
      <c r="BH304" s="368"/>
      <c r="BI304" s="368"/>
      <c r="BJ304" s="368"/>
      <c r="BK304" s="368"/>
      <c r="BL304" s="368"/>
      <c r="BM304" s="368"/>
      <c r="BN304" s="368"/>
    </row>
    <row r="305">
      <c r="A305" s="303" t="s">
        <v>1571</v>
      </c>
      <c r="B305" s="347" t="s">
        <v>1571</v>
      </c>
      <c r="C305" s="366" t="s">
        <v>2188</v>
      </c>
      <c r="D305" s="341" t="s">
        <v>37</v>
      </c>
      <c r="E305" s="348"/>
      <c r="F305" s="345"/>
      <c r="G305" s="341" t="s">
        <v>37</v>
      </c>
      <c r="H305" s="348"/>
      <c r="I305" s="345"/>
      <c r="J305" s="353" t="s">
        <v>2189</v>
      </c>
      <c r="K305" s="348">
        <f>532258+274194</f>
        <v>806452</v>
      </c>
      <c r="L305" s="345">
        <f>96774+54839</f>
        <v>151613</v>
      </c>
      <c r="M305" s="353" t="s">
        <v>2190</v>
      </c>
      <c r="N305" s="348">
        <f>500000+500000</f>
        <v>1000000</v>
      </c>
      <c r="O305" s="345">
        <f>100000+100000</f>
        <v>200000</v>
      </c>
      <c r="P305" s="353" t="s">
        <v>1579</v>
      </c>
      <c r="Q305" s="348">
        <v>500000.0</v>
      </c>
      <c r="R305" s="345">
        <v>100000.0</v>
      </c>
      <c r="S305" s="353" t="s">
        <v>1579</v>
      </c>
      <c r="T305" s="348">
        <v>500000.0</v>
      </c>
      <c r="U305" s="345">
        <v>100000.0</v>
      </c>
      <c r="V305" s="353" t="s">
        <v>1579</v>
      </c>
      <c r="W305" s="348">
        <v>500000.0</v>
      </c>
      <c r="X305" s="345">
        <v>100000.0</v>
      </c>
      <c r="Y305" s="353" t="s">
        <v>2191</v>
      </c>
      <c r="Z305" s="348">
        <v>500000.0</v>
      </c>
      <c r="AA305" s="345">
        <v>100000.0</v>
      </c>
      <c r="AB305" s="353"/>
      <c r="AC305" s="348"/>
      <c r="AD305" s="345"/>
      <c r="AE305" s="353"/>
      <c r="AF305" s="348"/>
      <c r="AG305" s="345"/>
      <c r="AH305" s="353"/>
      <c r="AI305" s="348"/>
      <c r="AJ305" s="345"/>
      <c r="AK305" s="353"/>
      <c r="AL305" s="348"/>
      <c r="AM305" s="345"/>
      <c r="AN305" s="316" t="s">
        <v>2177</v>
      </c>
      <c r="AO305" s="367"/>
      <c r="AP305" s="368"/>
      <c r="AQ305" s="368"/>
      <c r="AR305" s="368"/>
      <c r="AS305" s="368"/>
      <c r="AT305" s="368"/>
      <c r="AU305" s="368"/>
      <c r="AV305" s="368"/>
      <c r="AW305" s="368"/>
      <c r="AX305" s="368"/>
      <c r="AY305" s="368"/>
      <c r="AZ305" s="368"/>
      <c r="BA305" s="368"/>
      <c r="BB305" s="368"/>
      <c r="BC305" s="368"/>
      <c r="BD305" s="368"/>
      <c r="BE305" s="368"/>
      <c r="BF305" s="368"/>
      <c r="BG305" s="368"/>
      <c r="BH305" s="368"/>
      <c r="BI305" s="368"/>
      <c r="BJ305" s="368"/>
      <c r="BK305" s="368"/>
      <c r="BL305" s="368"/>
      <c r="BM305" s="368"/>
      <c r="BN305" s="368"/>
    </row>
    <row r="306" ht="16.5" customHeight="1">
      <c r="A306" s="303" t="s">
        <v>1571</v>
      </c>
      <c r="B306" s="347" t="s">
        <v>1571</v>
      </c>
      <c r="C306" s="366" t="s">
        <v>2192</v>
      </c>
      <c r="D306" s="341" t="s">
        <v>37</v>
      </c>
      <c r="E306" s="348"/>
      <c r="F306" s="345"/>
      <c r="G306" s="341" t="s">
        <v>37</v>
      </c>
      <c r="H306" s="348"/>
      <c r="I306" s="345"/>
      <c r="J306" s="353" t="s">
        <v>2193</v>
      </c>
      <c r="K306" s="348">
        <v>470000.0</v>
      </c>
      <c r="L306" s="345">
        <v>100000.0</v>
      </c>
      <c r="M306" s="353" t="s">
        <v>1583</v>
      </c>
      <c r="N306" s="348">
        <v>470000.0</v>
      </c>
      <c r="O306" s="345">
        <v>100000.0</v>
      </c>
      <c r="P306" s="353" t="s">
        <v>1583</v>
      </c>
      <c r="Q306" s="348">
        <v>470000.0</v>
      </c>
      <c r="R306" s="345">
        <v>100000.0</v>
      </c>
      <c r="S306" s="353" t="s">
        <v>1583</v>
      </c>
      <c r="T306" s="348">
        <v>470000.0</v>
      </c>
      <c r="U306" s="345">
        <v>100000.0</v>
      </c>
      <c r="V306" s="353" t="s">
        <v>1583</v>
      </c>
      <c r="W306" s="348">
        <v>470000.0</v>
      </c>
      <c r="X306" s="345">
        <v>100000.0</v>
      </c>
      <c r="Y306" s="353" t="s">
        <v>1583</v>
      </c>
      <c r="Z306" s="348">
        <v>470000.0</v>
      </c>
      <c r="AA306" s="345">
        <v>100000.0</v>
      </c>
      <c r="AB306" s="353" t="s">
        <v>1583</v>
      </c>
      <c r="AC306" s="348">
        <v>470000.0</v>
      </c>
      <c r="AD306" s="345">
        <v>100000.0</v>
      </c>
      <c r="AE306" s="353" t="s">
        <v>1583</v>
      </c>
      <c r="AF306" s="348">
        <v>470000.0</v>
      </c>
      <c r="AG306" s="345">
        <v>100000.0</v>
      </c>
      <c r="AH306" s="353" t="s">
        <v>1583</v>
      </c>
      <c r="AI306" s="348">
        <v>470000.0</v>
      </c>
      <c r="AJ306" s="345">
        <v>100000.0</v>
      </c>
      <c r="AK306" s="353" t="s">
        <v>1583</v>
      </c>
      <c r="AL306" s="348">
        <v>470000.0</v>
      </c>
      <c r="AM306" s="345">
        <v>100000.0</v>
      </c>
      <c r="AN306" s="316" t="s">
        <v>2177</v>
      </c>
      <c r="AO306" s="367"/>
      <c r="AP306" s="368"/>
      <c r="AQ306" s="368"/>
      <c r="AR306" s="368"/>
      <c r="AS306" s="368"/>
      <c r="AT306" s="368"/>
      <c r="AU306" s="368"/>
      <c r="AV306" s="368"/>
      <c r="AW306" s="368"/>
      <c r="AX306" s="368"/>
      <c r="AY306" s="368"/>
      <c r="AZ306" s="368"/>
      <c r="BA306" s="368"/>
      <c r="BB306" s="368"/>
      <c r="BC306" s="368"/>
      <c r="BD306" s="368"/>
      <c r="BE306" s="368"/>
      <c r="BF306" s="368"/>
      <c r="BG306" s="368"/>
      <c r="BH306" s="368"/>
      <c r="BI306" s="368"/>
      <c r="BJ306" s="368"/>
      <c r="BK306" s="368"/>
      <c r="BL306" s="368"/>
      <c r="BM306" s="368"/>
      <c r="BN306" s="368"/>
    </row>
    <row r="307">
      <c r="A307" s="303" t="s">
        <v>1571</v>
      </c>
      <c r="B307" s="347" t="s">
        <v>1571</v>
      </c>
      <c r="C307" s="366" t="s">
        <v>2194</v>
      </c>
      <c r="D307" s="341" t="s">
        <v>37</v>
      </c>
      <c r="E307" s="348"/>
      <c r="F307" s="345"/>
      <c r="G307" s="341" t="s">
        <v>37</v>
      </c>
      <c r="H307" s="348"/>
      <c r="I307" s="345"/>
      <c r="J307" s="353" t="s">
        <v>2195</v>
      </c>
      <c r="K307" s="348">
        <v>420000.0</v>
      </c>
      <c r="L307" s="345">
        <v>100000.0</v>
      </c>
      <c r="M307" s="353" t="s">
        <v>1586</v>
      </c>
      <c r="N307" s="348">
        <v>420000.0</v>
      </c>
      <c r="O307" s="345">
        <v>100000.0</v>
      </c>
      <c r="P307" s="353" t="s">
        <v>1586</v>
      </c>
      <c r="Q307" s="348">
        <v>420000.0</v>
      </c>
      <c r="R307" s="345">
        <v>100000.0</v>
      </c>
      <c r="S307" s="353" t="s">
        <v>1586</v>
      </c>
      <c r="T307" s="348">
        <v>420000.0</v>
      </c>
      <c r="U307" s="345">
        <v>100000.0</v>
      </c>
      <c r="V307" s="353" t="s">
        <v>1586</v>
      </c>
      <c r="W307" s="348">
        <v>420000.0</v>
      </c>
      <c r="X307" s="345">
        <v>100000.0</v>
      </c>
      <c r="Y307" s="353" t="s">
        <v>2196</v>
      </c>
      <c r="Z307" s="348">
        <v>420000.0</v>
      </c>
      <c r="AA307" s="345">
        <v>100000.0</v>
      </c>
      <c r="AB307" s="353"/>
      <c r="AC307" s="348"/>
      <c r="AD307" s="345"/>
      <c r="AE307" s="353"/>
      <c r="AF307" s="348"/>
      <c r="AG307" s="345"/>
      <c r="AH307" s="353"/>
      <c r="AI307" s="348"/>
      <c r="AJ307" s="345"/>
      <c r="AK307" s="353"/>
      <c r="AL307" s="348"/>
      <c r="AM307" s="345"/>
      <c r="AN307" s="316" t="s">
        <v>2177</v>
      </c>
      <c r="AO307" s="367"/>
      <c r="AP307" s="368"/>
      <c r="AQ307" s="368"/>
      <c r="AR307" s="368"/>
      <c r="AS307" s="368"/>
      <c r="AT307" s="368"/>
      <c r="AU307" s="368"/>
      <c r="AV307" s="368"/>
      <c r="AW307" s="368"/>
      <c r="AX307" s="368"/>
      <c r="AY307" s="368"/>
      <c r="AZ307" s="368"/>
      <c r="BA307" s="368"/>
      <c r="BB307" s="368"/>
      <c r="BC307" s="368"/>
      <c r="BD307" s="368"/>
      <c r="BE307" s="368"/>
      <c r="BF307" s="368"/>
      <c r="BG307" s="368"/>
      <c r="BH307" s="368"/>
      <c r="BI307" s="368"/>
      <c r="BJ307" s="368"/>
      <c r="BK307" s="368"/>
      <c r="BL307" s="368"/>
      <c r="BM307" s="368"/>
      <c r="BN307" s="368"/>
    </row>
    <row r="308">
      <c r="A308" s="303" t="s">
        <v>1571</v>
      </c>
      <c r="B308" s="347" t="s">
        <v>1571</v>
      </c>
      <c r="C308" s="366" t="s">
        <v>2197</v>
      </c>
      <c r="D308" s="341" t="s">
        <v>37</v>
      </c>
      <c r="E308" s="348"/>
      <c r="F308" s="345"/>
      <c r="G308" s="353" t="s">
        <v>2198</v>
      </c>
      <c r="H308" s="348">
        <v>42857.0</v>
      </c>
      <c r="I308" s="345">
        <v>10714.0</v>
      </c>
      <c r="J308" s="353" t="s">
        <v>2199</v>
      </c>
      <c r="K308" s="348">
        <v>400000.0</v>
      </c>
      <c r="L308" s="345">
        <v>100000.0</v>
      </c>
      <c r="M308" s="353" t="s">
        <v>2199</v>
      </c>
      <c r="N308" s="348">
        <v>400000.0</v>
      </c>
      <c r="O308" s="345">
        <v>100000.0</v>
      </c>
      <c r="P308" s="353" t="s">
        <v>2199</v>
      </c>
      <c r="Q308" s="348">
        <v>400000.0</v>
      </c>
      <c r="R308" s="345">
        <v>100000.0</v>
      </c>
      <c r="S308" s="353" t="s">
        <v>2199</v>
      </c>
      <c r="T308" s="348">
        <v>400000.0</v>
      </c>
      <c r="U308" s="345">
        <v>100000.0</v>
      </c>
      <c r="V308" s="353" t="s">
        <v>2199</v>
      </c>
      <c r="W308" s="348">
        <v>400000.0</v>
      </c>
      <c r="X308" s="345">
        <v>100000.0</v>
      </c>
      <c r="Y308" s="353" t="s">
        <v>2199</v>
      </c>
      <c r="Z308" s="348">
        <v>400000.0</v>
      </c>
      <c r="AA308" s="345">
        <v>100000.0</v>
      </c>
      <c r="AB308" s="353" t="s">
        <v>2199</v>
      </c>
      <c r="AC308" s="348">
        <v>400000.0</v>
      </c>
      <c r="AD308" s="345">
        <v>100000.0</v>
      </c>
      <c r="AE308" s="353" t="s">
        <v>2199</v>
      </c>
      <c r="AF308" s="348">
        <v>400000.0</v>
      </c>
      <c r="AG308" s="345">
        <v>100000.0</v>
      </c>
      <c r="AH308" s="353" t="s">
        <v>2199</v>
      </c>
      <c r="AI308" s="348">
        <v>400000.0</v>
      </c>
      <c r="AJ308" s="345">
        <v>100000.0</v>
      </c>
      <c r="AK308" s="353" t="s">
        <v>2199</v>
      </c>
      <c r="AL308" s="348">
        <v>400000.0</v>
      </c>
      <c r="AM308" s="345">
        <v>100000.0</v>
      </c>
      <c r="AN308" s="316" t="s">
        <v>2177</v>
      </c>
      <c r="AO308" s="367"/>
      <c r="AP308" s="368"/>
      <c r="AQ308" s="368"/>
      <c r="AR308" s="368"/>
      <c r="AS308" s="368"/>
      <c r="AT308" s="368"/>
      <c r="AU308" s="368"/>
      <c r="AV308" s="368"/>
      <c r="AW308" s="368"/>
      <c r="AX308" s="368"/>
      <c r="AY308" s="368"/>
      <c r="AZ308" s="368"/>
      <c r="BA308" s="368"/>
      <c r="BB308" s="368"/>
      <c r="BC308" s="368"/>
      <c r="BD308" s="368"/>
      <c r="BE308" s="368"/>
      <c r="BF308" s="368"/>
      <c r="BG308" s="368"/>
      <c r="BH308" s="368"/>
      <c r="BI308" s="368"/>
      <c r="BJ308" s="368"/>
      <c r="BK308" s="368"/>
      <c r="BL308" s="368"/>
      <c r="BM308" s="368"/>
      <c r="BN308" s="368"/>
    </row>
    <row r="309">
      <c r="A309" s="303" t="s">
        <v>1571</v>
      </c>
      <c r="B309" s="369"/>
      <c r="C309" s="370" t="s">
        <v>42</v>
      </c>
      <c r="D309" s="371"/>
      <c r="E309" s="335">
        <f t="shared" ref="E309:F309" si="406">SUM(E304:E308)</f>
        <v>0</v>
      </c>
      <c r="F309" s="346">
        <f t="shared" si="406"/>
        <v>0</v>
      </c>
      <c r="G309" s="371"/>
      <c r="H309" s="335">
        <f t="shared" ref="H309:I309" si="407">SUM(H304:H308)</f>
        <v>219643</v>
      </c>
      <c r="I309" s="346">
        <f t="shared" si="407"/>
        <v>42857</v>
      </c>
      <c r="J309" s="371"/>
      <c r="K309" s="335">
        <f t="shared" ref="K309:L309" si="408">SUM(K304:K308)</f>
        <v>2646452</v>
      </c>
      <c r="L309" s="346">
        <f t="shared" si="408"/>
        <v>551613</v>
      </c>
      <c r="M309" s="371"/>
      <c r="N309" s="335">
        <f t="shared" ref="N309:O309" si="409">SUM(N304:N308)</f>
        <v>2840000</v>
      </c>
      <c r="O309" s="346">
        <f t="shared" si="409"/>
        <v>600000</v>
      </c>
      <c r="P309" s="371"/>
      <c r="Q309" s="335">
        <f t="shared" ref="Q309:R309" si="410">SUM(Q304:Q308)</f>
        <v>2340000</v>
      </c>
      <c r="R309" s="346">
        <f t="shared" si="410"/>
        <v>500000</v>
      </c>
      <c r="S309" s="371"/>
      <c r="T309" s="335">
        <f t="shared" ref="T309:U309" si="411">SUM(T304:T308)</f>
        <v>2340000</v>
      </c>
      <c r="U309" s="346">
        <f t="shared" si="411"/>
        <v>500000</v>
      </c>
      <c r="V309" s="371"/>
      <c r="W309" s="335">
        <f t="shared" ref="W309:X309" si="412">SUM(W304:W308)</f>
        <v>2340000</v>
      </c>
      <c r="X309" s="346">
        <f t="shared" si="412"/>
        <v>500000</v>
      </c>
      <c r="Y309" s="371"/>
      <c r="Z309" s="335">
        <f t="shared" ref="Z309:AA309" si="413">SUM(Z304:Z308)</f>
        <v>2340000</v>
      </c>
      <c r="AA309" s="346">
        <f t="shared" si="413"/>
        <v>500000</v>
      </c>
      <c r="AB309" s="371"/>
      <c r="AC309" s="335">
        <f t="shared" ref="AC309:AD309" si="414">SUM(AC304:AC308)</f>
        <v>870000</v>
      </c>
      <c r="AD309" s="346">
        <f t="shared" si="414"/>
        <v>200000</v>
      </c>
      <c r="AE309" s="371"/>
      <c r="AF309" s="335">
        <f t="shared" ref="AF309:AG309" si="415">SUM(AF304:AF308)</f>
        <v>870000</v>
      </c>
      <c r="AG309" s="346">
        <f t="shared" si="415"/>
        <v>200000</v>
      </c>
      <c r="AH309" s="371"/>
      <c r="AI309" s="335">
        <f t="shared" ref="AI309:AJ309" si="416">SUM(AI304:AI308)</f>
        <v>870000</v>
      </c>
      <c r="AJ309" s="346">
        <f t="shared" si="416"/>
        <v>200000</v>
      </c>
      <c r="AK309" s="371"/>
      <c r="AL309" s="335">
        <f t="shared" ref="AL309:AM309" si="417">SUM(AL304:AL308)</f>
        <v>870000</v>
      </c>
      <c r="AM309" s="346">
        <f t="shared" si="417"/>
        <v>200000</v>
      </c>
      <c r="AN309" s="316" t="s">
        <v>2177</v>
      </c>
      <c r="AO309" s="368"/>
      <c r="AP309" s="368"/>
      <c r="AQ309" s="368"/>
      <c r="AR309" s="368"/>
      <c r="AS309" s="368"/>
      <c r="AT309" s="368"/>
      <c r="AU309" s="368"/>
      <c r="AV309" s="368"/>
      <c r="AW309" s="368"/>
      <c r="AX309" s="368"/>
      <c r="AY309" s="368"/>
      <c r="AZ309" s="368"/>
      <c r="BA309" s="368"/>
      <c r="BB309" s="368"/>
      <c r="BC309" s="368"/>
      <c r="BD309" s="368"/>
      <c r="BE309" s="368"/>
      <c r="BF309" s="368"/>
      <c r="BG309" s="368"/>
      <c r="BH309" s="368"/>
      <c r="BI309" s="368"/>
      <c r="BJ309" s="368"/>
      <c r="BK309" s="368"/>
      <c r="BL309" s="368"/>
      <c r="BM309" s="368"/>
      <c r="BN309" s="368"/>
    </row>
    <row r="310">
      <c r="A310" s="303" t="s">
        <v>1571</v>
      </c>
      <c r="B310" s="369"/>
      <c r="C310" s="370" t="s">
        <v>43</v>
      </c>
      <c r="D310" s="371"/>
      <c r="E310" s="348">
        <v>1200000.0</v>
      </c>
      <c r="F310" s="372"/>
      <c r="G310" s="371"/>
      <c r="H310" s="348">
        <v>1200000.0</v>
      </c>
      <c r="I310" s="372"/>
      <c r="J310" s="371"/>
      <c r="K310" s="348">
        <v>1200000.0</v>
      </c>
      <c r="L310" s="372"/>
      <c r="M310" s="371"/>
      <c r="N310" s="348">
        <v>1200000.0</v>
      </c>
      <c r="O310" s="372"/>
      <c r="P310" s="371"/>
      <c r="Q310" s="348">
        <v>1200000.0</v>
      </c>
      <c r="R310" s="372"/>
      <c r="S310" s="371"/>
      <c r="T310" s="348">
        <v>1200000.0</v>
      </c>
      <c r="U310" s="372"/>
      <c r="V310" s="371"/>
      <c r="W310" s="348">
        <v>1200000.0</v>
      </c>
      <c r="X310" s="372"/>
      <c r="Y310" s="371"/>
      <c r="Z310" s="348">
        <v>1200000.0</v>
      </c>
      <c r="AA310" s="372"/>
      <c r="AB310" s="371"/>
      <c r="AC310" s="348">
        <v>1200000.0</v>
      </c>
      <c r="AD310" s="372"/>
      <c r="AE310" s="371"/>
      <c r="AF310" s="348">
        <v>1200000.0</v>
      </c>
      <c r="AG310" s="372"/>
      <c r="AH310" s="371"/>
      <c r="AI310" s="348">
        <v>1200000.0</v>
      </c>
      <c r="AJ310" s="372"/>
      <c r="AK310" s="371"/>
      <c r="AL310" s="348">
        <v>1200000.0</v>
      </c>
      <c r="AM310" s="372"/>
      <c r="AN310" s="316" t="s">
        <v>2177</v>
      </c>
      <c r="AO310" s="368"/>
      <c r="AP310" s="368"/>
      <c r="AQ310" s="368"/>
      <c r="AR310" s="368"/>
      <c r="AS310" s="368"/>
      <c r="AT310" s="368"/>
      <c r="AU310" s="368"/>
      <c r="AV310" s="368"/>
      <c r="AW310" s="368"/>
      <c r="AX310" s="368"/>
      <c r="AY310" s="368"/>
      <c r="AZ310" s="368"/>
      <c r="BA310" s="368"/>
      <c r="BB310" s="368"/>
      <c r="BC310" s="368"/>
      <c r="BD310" s="368"/>
      <c r="BE310" s="368"/>
      <c r="BF310" s="368"/>
      <c r="BG310" s="368"/>
      <c r="BH310" s="368"/>
      <c r="BI310" s="368"/>
      <c r="BJ310" s="368"/>
      <c r="BK310" s="368"/>
      <c r="BL310" s="368"/>
      <c r="BM310" s="368"/>
      <c r="BN310" s="368"/>
    </row>
    <row r="311">
      <c r="A311" s="303" t="s">
        <v>1571</v>
      </c>
      <c r="B311" s="373"/>
      <c r="C311" s="370" t="s">
        <v>45</v>
      </c>
      <c r="D311" s="371"/>
      <c r="E311" s="335"/>
      <c r="F311" s="322" t="s">
        <v>44</v>
      </c>
      <c r="G311" s="371"/>
      <c r="H311" s="335"/>
      <c r="I311" s="322" t="s">
        <v>44</v>
      </c>
      <c r="J311" s="371"/>
      <c r="K311" s="335"/>
      <c r="L311" s="372"/>
      <c r="M311" s="371"/>
      <c r="N311" s="335"/>
      <c r="O311" s="372"/>
      <c r="P311" s="371"/>
      <c r="Q311" s="335"/>
      <c r="R311" s="346"/>
      <c r="S311" s="371"/>
      <c r="T311" s="335"/>
      <c r="U311" s="372"/>
      <c r="V311" s="371"/>
      <c r="W311" s="335"/>
      <c r="X311" s="372"/>
      <c r="Y311" s="371"/>
      <c r="Z311" s="335"/>
      <c r="AA311" s="372"/>
      <c r="AB311" s="371"/>
      <c r="AC311" s="335"/>
      <c r="AD311" s="372"/>
      <c r="AE311" s="371"/>
      <c r="AF311" s="335"/>
      <c r="AG311" s="372"/>
      <c r="AH311" s="371"/>
      <c r="AI311" s="335"/>
      <c r="AJ311" s="372"/>
      <c r="AK311" s="371"/>
      <c r="AL311" s="335"/>
      <c r="AM311" s="372"/>
      <c r="AN311" s="316" t="s">
        <v>2177</v>
      </c>
      <c r="AO311" s="368"/>
      <c r="AP311" s="368"/>
      <c r="AQ311" s="368"/>
      <c r="AR311" s="368"/>
      <c r="AS311" s="368"/>
      <c r="AT311" s="368"/>
      <c r="AU311" s="368"/>
      <c r="AV311" s="368"/>
      <c r="AW311" s="368"/>
      <c r="AX311" s="368"/>
      <c r="AY311" s="368"/>
      <c r="AZ311" s="368"/>
      <c r="BA311" s="368"/>
      <c r="BB311" s="368"/>
      <c r="BC311" s="368"/>
      <c r="BD311" s="368"/>
      <c r="BE311" s="368"/>
      <c r="BF311" s="368"/>
      <c r="BG311" s="368"/>
      <c r="BH311" s="368"/>
      <c r="BI311" s="368"/>
      <c r="BJ311" s="368"/>
      <c r="BK311" s="368"/>
      <c r="BL311" s="368"/>
      <c r="BM311" s="368"/>
      <c r="BN311" s="368"/>
    </row>
    <row r="312">
      <c r="A312" s="303" t="s">
        <v>1571</v>
      </c>
      <c r="B312" s="347" t="s">
        <v>2200</v>
      </c>
      <c r="C312" s="370" t="s">
        <v>47</v>
      </c>
      <c r="D312" s="371"/>
      <c r="E312" s="374"/>
      <c r="F312" s="346"/>
      <c r="G312" s="375"/>
      <c r="H312" s="374"/>
      <c r="I312" s="376"/>
      <c r="J312" s="371"/>
      <c r="K312" s="374"/>
      <c r="L312" s="372"/>
      <c r="M312" s="371"/>
      <c r="N312" s="374"/>
      <c r="O312" s="346"/>
      <c r="P312" s="371"/>
      <c r="Q312" s="374"/>
      <c r="R312" s="346"/>
      <c r="S312" s="371"/>
      <c r="T312" s="374"/>
      <c r="U312" s="372"/>
      <c r="V312" s="371"/>
      <c r="W312" s="374"/>
      <c r="X312" s="372"/>
      <c r="Y312" s="371"/>
      <c r="Z312" s="374"/>
      <c r="AA312" s="372"/>
      <c r="AB312" s="371"/>
      <c r="AC312" s="374"/>
      <c r="AD312" s="372"/>
      <c r="AE312" s="371"/>
      <c r="AF312" s="374"/>
      <c r="AG312" s="372"/>
      <c r="AH312" s="371"/>
      <c r="AI312" s="374"/>
      <c r="AJ312" s="372"/>
      <c r="AK312" s="371"/>
      <c r="AL312" s="374"/>
      <c r="AM312" s="372"/>
      <c r="AN312" s="316" t="s">
        <v>2177</v>
      </c>
      <c r="AO312" s="368"/>
      <c r="AP312" s="368"/>
      <c r="AQ312" s="368"/>
      <c r="AR312" s="368"/>
      <c r="AS312" s="368"/>
      <c r="AT312" s="368"/>
      <c r="AU312" s="368"/>
      <c r="AV312" s="368"/>
      <c r="AW312" s="368"/>
      <c r="AX312" s="368"/>
      <c r="AY312" s="368"/>
      <c r="AZ312" s="368"/>
      <c r="BA312" s="368"/>
      <c r="BB312" s="368"/>
      <c r="BC312" s="368"/>
      <c r="BD312" s="368"/>
      <c r="BE312" s="368"/>
      <c r="BF312" s="368"/>
      <c r="BG312" s="368"/>
      <c r="BH312" s="368"/>
      <c r="BI312" s="368"/>
      <c r="BJ312" s="368"/>
      <c r="BK312" s="368"/>
      <c r="BL312" s="368"/>
      <c r="BM312" s="368"/>
      <c r="BN312" s="368"/>
    </row>
    <row r="313">
      <c r="A313" s="303" t="s">
        <v>1571</v>
      </c>
      <c r="B313" s="347" t="s">
        <v>2201</v>
      </c>
      <c r="C313" s="370" t="s">
        <v>49</v>
      </c>
      <c r="D313" s="371"/>
      <c r="E313" s="374"/>
      <c r="F313" s="345">
        <v>33640.0</v>
      </c>
      <c r="G313" s="371"/>
      <c r="H313" s="374"/>
      <c r="I313" s="345">
        <v>160550.0</v>
      </c>
      <c r="J313" s="371"/>
      <c r="K313" s="374"/>
      <c r="L313" s="376">
        <v>241150.0</v>
      </c>
      <c r="M313" s="371"/>
      <c r="N313" s="374"/>
      <c r="O313" s="346"/>
      <c r="P313" s="371"/>
      <c r="Q313" s="374"/>
      <c r="R313" s="346"/>
      <c r="S313" s="371"/>
      <c r="T313" s="374"/>
      <c r="U313" s="376"/>
      <c r="V313" s="371"/>
      <c r="W313" s="374"/>
      <c r="X313" s="376"/>
      <c r="Y313" s="371"/>
      <c r="Z313" s="374"/>
      <c r="AA313" s="376"/>
      <c r="AB313" s="371"/>
      <c r="AC313" s="377"/>
      <c r="AD313" s="377"/>
      <c r="AE313" s="371"/>
      <c r="AF313" s="374"/>
      <c r="AG313" s="376"/>
      <c r="AH313" s="371"/>
      <c r="AI313" s="374"/>
      <c r="AJ313" s="376"/>
      <c r="AK313" s="371"/>
      <c r="AL313" s="374"/>
      <c r="AM313" s="376"/>
      <c r="AN313" s="316" t="s">
        <v>2177</v>
      </c>
      <c r="AO313" s="368"/>
      <c r="AP313" s="368"/>
      <c r="AQ313" s="368"/>
      <c r="AR313" s="368"/>
      <c r="AS313" s="368"/>
      <c r="AT313" s="368"/>
      <c r="AU313" s="368"/>
      <c r="AV313" s="368"/>
      <c r="AW313" s="368"/>
      <c r="AX313" s="368"/>
      <c r="AY313" s="368"/>
      <c r="AZ313" s="368"/>
      <c r="BA313" s="368"/>
      <c r="BB313" s="368"/>
      <c r="BC313" s="368"/>
      <c r="BD313" s="368"/>
      <c r="BE313" s="368"/>
      <c r="BF313" s="368"/>
      <c r="BG313" s="368"/>
      <c r="BH313" s="368"/>
      <c r="BI313" s="368"/>
      <c r="BJ313" s="368"/>
      <c r="BK313" s="368"/>
      <c r="BL313" s="368"/>
      <c r="BM313" s="368"/>
      <c r="BN313" s="368"/>
    </row>
    <row r="314">
      <c r="A314" s="303" t="s">
        <v>1571</v>
      </c>
      <c r="B314" s="347"/>
      <c r="C314" s="370" t="s">
        <v>51</v>
      </c>
      <c r="D314" s="371"/>
      <c r="E314" s="374"/>
      <c r="F314" s="345">
        <v>30000.0</v>
      </c>
      <c r="G314" s="375"/>
      <c r="H314" s="374"/>
      <c r="I314" s="345">
        <v>30000.0</v>
      </c>
      <c r="J314" s="371"/>
      <c r="K314" s="374"/>
      <c r="L314" s="345">
        <v>30000.0</v>
      </c>
      <c r="M314" s="371"/>
      <c r="N314" s="374"/>
      <c r="O314" s="345">
        <v>30000.0</v>
      </c>
      <c r="P314" s="371"/>
      <c r="Q314" s="374"/>
      <c r="R314" s="345">
        <v>30000.0</v>
      </c>
      <c r="S314" s="371"/>
      <c r="T314" s="374"/>
      <c r="U314" s="372"/>
      <c r="V314" s="371"/>
      <c r="W314" s="374"/>
      <c r="X314" s="372"/>
      <c r="Y314" s="371"/>
      <c r="Z314" s="374"/>
      <c r="AA314" s="376"/>
      <c r="AB314" s="371"/>
      <c r="AC314" s="374"/>
      <c r="AD314" s="372"/>
      <c r="AE314" s="371"/>
      <c r="AF314" s="374"/>
      <c r="AG314" s="372"/>
      <c r="AH314" s="371"/>
      <c r="AI314" s="374"/>
      <c r="AJ314" s="372"/>
      <c r="AK314" s="371"/>
      <c r="AL314" s="374"/>
      <c r="AM314" s="372"/>
      <c r="AN314" s="316" t="s">
        <v>2177</v>
      </c>
      <c r="AO314" s="368"/>
      <c r="AP314" s="368"/>
      <c r="AQ314" s="368"/>
      <c r="AR314" s="368"/>
      <c r="AS314" s="368"/>
      <c r="AT314" s="368"/>
      <c r="AU314" s="368"/>
      <c r="AV314" s="368"/>
      <c r="AW314" s="368"/>
      <c r="AX314" s="368"/>
      <c r="AY314" s="368"/>
      <c r="AZ314" s="368"/>
      <c r="BA314" s="368"/>
      <c r="BB314" s="368"/>
      <c r="BC314" s="368"/>
      <c r="BD314" s="368"/>
      <c r="BE314" s="368"/>
      <c r="BF314" s="368"/>
      <c r="BG314" s="368"/>
      <c r="BH314" s="368"/>
      <c r="BI314" s="368"/>
      <c r="BJ314" s="368"/>
      <c r="BK314" s="368"/>
      <c r="BL314" s="368"/>
      <c r="BM314" s="368"/>
      <c r="BN314" s="368"/>
    </row>
    <row r="315">
      <c r="A315" s="303" t="s">
        <v>1571</v>
      </c>
      <c r="B315" s="373"/>
      <c r="C315" s="370" t="s">
        <v>52</v>
      </c>
      <c r="D315" s="371"/>
      <c r="E315" s="374"/>
      <c r="F315" s="346">
        <v>25000.0</v>
      </c>
      <c r="G315" s="371"/>
      <c r="H315" s="374"/>
      <c r="I315" s="346">
        <v>25000.0</v>
      </c>
      <c r="J315" s="371"/>
      <c r="K315" s="374"/>
      <c r="L315" s="346">
        <v>25000.0</v>
      </c>
      <c r="M315" s="371"/>
      <c r="N315" s="374"/>
      <c r="O315" s="346">
        <v>25000.0</v>
      </c>
      <c r="P315" s="371"/>
      <c r="Q315" s="374"/>
      <c r="R315" s="346">
        <v>25000.0</v>
      </c>
      <c r="S315" s="371"/>
      <c r="T315" s="374"/>
      <c r="U315" s="346">
        <v>25000.0</v>
      </c>
      <c r="V315" s="371"/>
      <c r="W315" s="374"/>
      <c r="X315" s="346">
        <v>25000.0</v>
      </c>
      <c r="Y315" s="371"/>
      <c r="Z315" s="374"/>
      <c r="AA315" s="346">
        <v>25000.0</v>
      </c>
      <c r="AB315" s="371"/>
      <c r="AC315" s="374"/>
      <c r="AD315" s="346">
        <v>25000.0</v>
      </c>
      <c r="AE315" s="371"/>
      <c r="AF315" s="374"/>
      <c r="AG315" s="346">
        <v>25000.0</v>
      </c>
      <c r="AH315" s="371"/>
      <c r="AI315" s="374"/>
      <c r="AJ315" s="346">
        <v>25000.0</v>
      </c>
      <c r="AK315" s="371"/>
      <c r="AL315" s="374"/>
      <c r="AM315" s="346">
        <v>25000.0</v>
      </c>
      <c r="AN315" s="316" t="s">
        <v>2177</v>
      </c>
      <c r="AO315" s="368"/>
      <c r="AP315" s="368"/>
      <c r="AQ315" s="368"/>
      <c r="AR315" s="368"/>
      <c r="AS315" s="368"/>
      <c r="AT315" s="368"/>
      <c r="AU315" s="368"/>
      <c r="AV315" s="368"/>
      <c r="AW315" s="368"/>
      <c r="AX315" s="368"/>
      <c r="AY315" s="368"/>
      <c r="AZ315" s="368"/>
      <c r="BA315" s="368"/>
      <c r="BB315" s="368"/>
      <c r="BC315" s="368"/>
      <c r="BD315" s="368"/>
      <c r="BE315" s="368"/>
      <c r="BF315" s="368"/>
      <c r="BG315" s="368"/>
      <c r="BH315" s="368"/>
      <c r="BI315" s="368"/>
      <c r="BJ315" s="368"/>
      <c r="BK315" s="368"/>
      <c r="BL315" s="368"/>
      <c r="BM315" s="368"/>
      <c r="BN315" s="368"/>
    </row>
    <row r="316">
      <c r="A316" s="303" t="s">
        <v>1571</v>
      </c>
      <c r="B316" s="373"/>
      <c r="C316" s="370" t="s">
        <v>53</v>
      </c>
      <c r="D316" s="371"/>
      <c r="E316" s="374"/>
      <c r="F316" s="346">
        <v>11000.0</v>
      </c>
      <c r="G316" s="371"/>
      <c r="H316" s="374"/>
      <c r="I316" s="346">
        <v>11000.0</v>
      </c>
      <c r="J316" s="371"/>
      <c r="K316" s="374"/>
      <c r="L316" s="346">
        <v>11000.0</v>
      </c>
      <c r="M316" s="371"/>
      <c r="N316" s="374"/>
      <c r="O316" s="346">
        <v>11000.0</v>
      </c>
      <c r="P316" s="371"/>
      <c r="Q316" s="374"/>
      <c r="R316" s="346">
        <v>11000.0</v>
      </c>
      <c r="S316" s="371"/>
      <c r="T316" s="374"/>
      <c r="U316" s="346">
        <v>11000.0</v>
      </c>
      <c r="V316" s="371"/>
      <c r="W316" s="374"/>
      <c r="X316" s="346">
        <v>11000.0</v>
      </c>
      <c r="Y316" s="371"/>
      <c r="Z316" s="374"/>
      <c r="AA316" s="346">
        <v>11000.0</v>
      </c>
      <c r="AB316" s="371"/>
      <c r="AC316" s="374"/>
      <c r="AD316" s="346">
        <v>11000.0</v>
      </c>
      <c r="AE316" s="371"/>
      <c r="AF316" s="374"/>
      <c r="AG316" s="346">
        <v>11000.0</v>
      </c>
      <c r="AH316" s="371"/>
      <c r="AI316" s="374"/>
      <c r="AJ316" s="346">
        <v>11000.0</v>
      </c>
      <c r="AK316" s="371"/>
      <c r="AL316" s="374"/>
      <c r="AM316" s="346">
        <v>11000.0</v>
      </c>
      <c r="AN316" s="316" t="s">
        <v>2177</v>
      </c>
      <c r="AO316" s="368"/>
      <c r="AP316" s="368"/>
      <c r="AQ316" s="368"/>
      <c r="AR316" s="368"/>
      <c r="AS316" s="368"/>
      <c r="AT316" s="368"/>
      <c r="AU316" s="368"/>
      <c r="AV316" s="368"/>
      <c r="AW316" s="368"/>
      <c r="AX316" s="368"/>
      <c r="AY316" s="368"/>
      <c r="AZ316" s="368"/>
      <c r="BA316" s="368"/>
      <c r="BB316" s="368"/>
      <c r="BC316" s="368"/>
      <c r="BD316" s="368"/>
      <c r="BE316" s="368"/>
      <c r="BF316" s="368"/>
      <c r="BG316" s="368"/>
      <c r="BH316" s="368"/>
      <c r="BI316" s="368"/>
      <c r="BJ316" s="368"/>
      <c r="BK316" s="368"/>
      <c r="BL316" s="368"/>
      <c r="BM316" s="368"/>
      <c r="BN316" s="368"/>
    </row>
    <row r="317">
      <c r="A317" s="303" t="s">
        <v>1571</v>
      </c>
      <c r="B317" s="369"/>
      <c r="C317" s="370" t="s">
        <v>54</v>
      </c>
      <c r="D317" s="371"/>
      <c r="E317" s="374"/>
      <c r="F317" s="346">
        <f>SUMIFS('지출'!$G$3:$G794,'지출'!$J$3:$J794,F$1,'지출'!$C$3:$C794,"외대")</f>
        <v>0</v>
      </c>
      <c r="G317" s="371"/>
      <c r="H317" s="374"/>
      <c r="I317" s="346">
        <f>SUMIFS('지출'!$G$3:$G794,'지출'!$J$3:$J794,I$1,'지출'!$C$3:$C794,"외대")</f>
        <v>0</v>
      </c>
      <c r="J317" s="371"/>
      <c r="K317" s="374"/>
      <c r="L317" s="346">
        <f>SUMIFS('지출'!$G$3:$G794,'지출'!$J$3:$J794,L$1,'지출'!$C$3:$C794,"외대")</f>
        <v>28230</v>
      </c>
      <c r="M317" s="371"/>
      <c r="N317" s="374"/>
      <c r="O317" s="346">
        <f>SUMIFS('지출'!$G$3:$G794,'지출'!$J$3:$J794,O$1,'지출'!$C$3:$C794,"외대")</f>
        <v>0</v>
      </c>
      <c r="P317" s="371"/>
      <c r="Q317" s="374"/>
      <c r="R317" s="346">
        <f>SUMIFS('지출'!$G$3:$G794,'지출'!$J$3:$J794,R$1,'지출'!$C$3:$C794,"외대")</f>
        <v>0</v>
      </c>
      <c r="S317" s="371"/>
      <c r="T317" s="374"/>
      <c r="U317" s="346">
        <f>SUMIFS('지출'!$G$3:$G794,'지출'!$J$3:$J794,U$1,'지출'!$C$3:$C794,"외대")</f>
        <v>0</v>
      </c>
      <c r="V317" s="371"/>
      <c r="W317" s="374"/>
      <c r="X317" s="346">
        <f>SUMIFS('지출'!$G$3:$G794,'지출'!$J$3:$J794,X$1,'지출'!$C$3:$C794,"외대")</f>
        <v>0</v>
      </c>
      <c r="Y317" s="371"/>
      <c r="Z317" s="374"/>
      <c r="AA317" s="346">
        <f>SUMIFS('지출'!$G$3:$G794,'지출'!$J$3:$J794,AA$1,'지출'!$C$3:$C794,"외대")</f>
        <v>0</v>
      </c>
      <c r="AB317" s="371"/>
      <c r="AC317" s="374"/>
      <c r="AD317" s="346">
        <f>SUMIFS('지출'!$G$3:$G794,'지출'!$J$3:$J794,AD$1,'지출'!$C$3:$C794,"외대")</f>
        <v>0</v>
      </c>
      <c r="AE317" s="371"/>
      <c r="AF317" s="374"/>
      <c r="AG317" s="346">
        <f>SUMIFS('지출'!$G$3:$G794,'지출'!$J$3:$J794,AG$1,'지출'!$C$3:$C794,"외대")</f>
        <v>0</v>
      </c>
      <c r="AH317" s="371"/>
      <c r="AI317" s="374"/>
      <c r="AJ317" s="346">
        <f>SUMIFS('지출'!$G$3:$G794,'지출'!$J$3:$J794,AJ$1,'지출'!$C$3:$C794,"외대")</f>
        <v>0</v>
      </c>
      <c r="AK317" s="371"/>
      <c r="AL317" s="374"/>
      <c r="AM317" s="346">
        <f>SUMIFS('지출'!$G$3:$G794,'지출'!$J$3:$J794,AM$1,'지출'!$C$3:$C794,"외대")</f>
        <v>0</v>
      </c>
      <c r="AN317" s="316" t="s">
        <v>2177</v>
      </c>
      <c r="AO317" s="368"/>
      <c r="AP317" s="368"/>
      <c r="AQ317" s="368"/>
      <c r="AR317" s="368"/>
      <c r="AS317" s="368"/>
      <c r="AT317" s="368"/>
      <c r="AU317" s="368"/>
      <c r="AV317" s="368"/>
      <c r="AW317" s="368"/>
      <c r="AX317" s="368"/>
      <c r="AY317" s="368"/>
      <c r="AZ317" s="368"/>
      <c r="BA317" s="368"/>
      <c r="BB317" s="368"/>
      <c r="BC317" s="368"/>
      <c r="BD317" s="368"/>
      <c r="BE317" s="368"/>
      <c r="BF317" s="368"/>
      <c r="BG317" s="368"/>
      <c r="BH317" s="368"/>
      <c r="BI317" s="368"/>
      <c r="BJ317" s="368"/>
      <c r="BK317" s="368"/>
      <c r="BL317" s="368"/>
      <c r="BM317" s="368"/>
      <c r="BN317" s="368"/>
    </row>
    <row r="318">
      <c r="A318" s="303" t="s">
        <v>1571</v>
      </c>
      <c r="B318" s="369"/>
      <c r="C318" s="370" t="s">
        <v>56</v>
      </c>
      <c r="D318" s="371"/>
      <c r="E318" s="335">
        <f t="shared" ref="E318:F318" si="418">E309-(SUM(E310:E317))</f>
        <v>-1200000</v>
      </c>
      <c r="F318" s="346">
        <f t="shared" si="418"/>
        <v>-99640</v>
      </c>
      <c r="G318" s="371"/>
      <c r="H318" s="335">
        <f t="shared" ref="H318:I318" si="419">H309-(SUM(H310:H317))</f>
        <v>-980357</v>
      </c>
      <c r="I318" s="346">
        <f t="shared" si="419"/>
        <v>-183693</v>
      </c>
      <c r="J318" s="371"/>
      <c r="K318" s="335">
        <f t="shared" ref="K318:L318" si="420">K309-(SUM(K310:K317))</f>
        <v>1446452</v>
      </c>
      <c r="L318" s="346">
        <f t="shared" si="420"/>
        <v>216233</v>
      </c>
      <c r="M318" s="371"/>
      <c r="N318" s="335">
        <f t="shared" ref="N318:O318" si="421">N309-(SUM(N310:N317))</f>
        <v>1640000</v>
      </c>
      <c r="O318" s="346">
        <f t="shared" si="421"/>
        <v>534000</v>
      </c>
      <c r="P318" s="371"/>
      <c r="Q318" s="335">
        <f t="shared" ref="Q318:R318" si="422">Q309-(SUM(Q310:Q317))</f>
        <v>1140000</v>
      </c>
      <c r="R318" s="346">
        <f t="shared" si="422"/>
        <v>434000</v>
      </c>
      <c r="S318" s="371"/>
      <c r="T318" s="335">
        <f t="shared" ref="T318:U318" si="423">T309-(SUM(T310:T317))</f>
        <v>1140000</v>
      </c>
      <c r="U318" s="346">
        <f t="shared" si="423"/>
        <v>464000</v>
      </c>
      <c r="V318" s="371"/>
      <c r="W318" s="335">
        <f t="shared" ref="W318:X318" si="424">W309-(SUM(W310:W317))</f>
        <v>1140000</v>
      </c>
      <c r="X318" s="346">
        <f t="shared" si="424"/>
        <v>464000</v>
      </c>
      <c r="Y318" s="371"/>
      <c r="Z318" s="335">
        <f t="shared" ref="Z318:AA318" si="425">Z309-(SUM(Z310:Z317))</f>
        <v>1140000</v>
      </c>
      <c r="AA318" s="346">
        <f t="shared" si="425"/>
        <v>464000</v>
      </c>
      <c r="AB318" s="371"/>
      <c r="AC318" s="335">
        <f t="shared" ref="AC318:AD318" si="426">AC309-(SUM(AC310:AC317))</f>
        <v>-330000</v>
      </c>
      <c r="AD318" s="346">
        <f t="shared" si="426"/>
        <v>164000</v>
      </c>
      <c r="AE318" s="371"/>
      <c r="AF318" s="335">
        <f t="shared" ref="AF318:AG318" si="427">AF309-(SUM(AF310:AF317))</f>
        <v>-330000</v>
      </c>
      <c r="AG318" s="346">
        <f t="shared" si="427"/>
        <v>164000</v>
      </c>
      <c r="AH318" s="371"/>
      <c r="AI318" s="335">
        <f t="shared" ref="AI318:AJ318" si="428">AI309-(SUM(AI310:AI317))</f>
        <v>-330000</v>
      </c>
      <c r="AJ318" s="346">
        <f t="shared" si="428"/>
        <v>164000</v>
      </c>
      <c r="AK318" s="371"/>
      <c r="AL318" s="335">
        <f t="shared" ref="AL318:AM318" si="429">AL309-(SUM(AL310:AL317))</f>
        <v>-330000</v>
      </c>
      <c r="AM318" s="346">
        <f t="shared" si="429"/>
        <v>164000</v>
      </c>
      <c r="AN318" s="316" t="s">
        <v>2177</v>
      </c>
      <c r="AO318" s="368"/>
      <c r="AP318" s="368"/>
      <c r="AQ318" s="368"/>
      <c r="AR318" s="368"/>
      <c r="AS318" s="368"/>
      <c r="AT318" s="368"/>
      <c r="AU318" s="368"/>
      <c r="AV318" s="368"/>
      <c r="AW318" s="368"/>
      <c r="AX318" s="368"/>
      <c r="AY318" s="368"/>
      <c r="AZ318" s="368"/>
      <c r="BA318" s="368"/>
      <c r="BB318" s="368"/>
      <c r="BC318" s="368"/>
      <c r="BD318" s="368"/>
      <c r="BE318" s="368"/>
      <c r="BF318" s="368"/>
      <c r="BG318" s="368"/>
      <c r="BH318" s="368"/>
      <c r="BI318" s="368"/>
      <c r="BJ318" s="368"/>
      <c r="BK318" s="368"/>
      <c r="BL318" s="368"/>
      <c r="BM318" s="368"/>
      <c r="BN318" s="368"/>
    </row>
    <row r="319">
      <c r="A319" s="303" t="s">
        <v>1571</v>
      </c>
      <c r="B319" s="378">
        <v>0.0</v>
      </c>
      <c r="C319" s="370" t="s">
        <v>26</v>
      </c>
      <c r="D319" s="371"/>
      <c r="E319" s="335">
        <f>E318*$B319</f>
        <v>0</v>
      </c>
      <c r="F319" s="372"/>
      <c r="G319" s="371"/>
      <c r="H319" s="335">
        <f>H318*$B319</f>
        <v>0</v>
      </c>
      <c r="I319" s="372"/>
      <c r="J319" s="371"/>
      <c r="K319" s="335">
        <f>K318*$B319</f>
        <v>0</v>
      </c>
      <c r="L319" s="372"/>
      <c r="M319" s="371"/>
      <c r="N319" s="335">
        <f>N318*$B319</f>
        <v>0</v>
      </c>
      <c r="O319" s="372"/>
      <c r="P319" s="371"/>
      <c r="Q319" s="335">
        <f>Q318*$B319</f>
        <v>0</v>
      </c>
      <c r="R319" s="372"/>
      <c r="S319" s="371"/>
      <c r="T319" s="335">
        <f>T318*$B319</f>
        <v>0</v>
      </c>
      <c r="U319" s="372"/>
      <c r="V319" s="371"/>
      <c r="W319" s="335">
        <f>W318*$B319</f>
        <v>0</v>
      </c>
      <c r="X319" s="372"/>
      <c r="Y319" s="371"/>
      <c r="Z319" s="335">
        <f>Z318*$B319</f>
        <v>0</v>
      </c>
      <c r="AA319" s="372"/>
      <c r="AB319" s="371"/>
      <c r="AC319" s="335">
        <f>AC318*$B319</f>
        <v>0</v>
      </c>
      <c r="AD319" s="372"/>
      <c r="AE319" s="371"/>
      <c r="AF319" s="335">
        <f>AF318*$B319</f>
        <v>0</v>
      </c>
      <c r="AG319" s="372"/>
      <c r="AH319" s="371"/>
      <c r="AI319" s="335">
        <f>AI318*$B319</f>
        <v>0</v>
      </c>
      <c r="AJ319" s="372"/>
      <c r="AK319" s="371"/>
      <c r="AL319" s="335">
        <f>AL318*$B319</f>
        <v>0</v>
      </c>
      <c r="AM319" s="372"/>
      <c r="AN319" s="316" t="s">
        <v>2177</v>
      </c>
      <c r="AO319" s="368"/>
      <c r="AP319" s="368"/>
      <c r="AQ319" s="368"/>
      <c r="AR319" s="368"/>
      <c r="AS319" s="368"/>
      <c r="AT319" s="368"/>
      <c r="AU319" s="368"/>
      <c r="AV319" s="368"/>
      <c r="AW319" s="368"/>
      <c r="AX319" s="368"/>
      <c r="AY319" s="368"/>
      <c r="AZ319" s="368"/>
      <c r="BA319" s="368"/>
      <c r="BB319" s="368"/>
      <c r="BC319" s="368"/>
      <c r="BD319" s="368"/>
      <c r="BE319" s="368"/>
      <c r="BF319" s="368"/>
      <c r="BG319" s="368"/>
      <c r="BH319" s="368"/>
      <c r="BI319" s="368"/>
      <c r="BJ319" s="368"/>
      <c r="BK319" s="368"/>
      <c r="BL319" s="368"/>
      <c r="BM319" s="368"/>
      <c r="BN319" s="368"/>
    </row>
    <row r="320">
      <c r="A320" s="303" t="s">
        <v>1571</v>
      </c>
      <c r="B320" s="379">
        <v>1.0</v>
      </c>
      <c r="C320" s="380" t="s">
        <v>57</v>
      </c>
      <c r="D320" s="381"/>
      <c r="E320" s="382">
        <f>E318*$B320</f>
        <v>-1200000</v>
      </c>
      <c r="F320" s="383"/>
      <c r="G320" s="381"/>
      <c r="H320" s="382">
        <f>H318*$B320</f>
        <v>-980357</v>
      </c>
      <c r="I320" s="383"/>
      <c r="J320" s="381"/>
      <c r="K320" s="382">
        <f>K318*$B320</f>
        <v>1446452</v>
      </c>
      <c r="L320" s="383"/>
      <c r="M320" s="381"/>
      <c r="N320" s="382">
        <f>N318*$B320</f>
        <v>1640000</v>
      </c>
      <c r="O320" s="383"/>
      <c r="P320" s="381"/>
      <c r="Q320" s="382">
        <f>Q318*$B320</f>
        <v>1140000</v>
      </c>
      <c r="R320" s="383"/>
      <c r="S320" s="381"/>
      <c r="T320" s="382">
        <f>T318*$B320</f>
        <v>1140000</v>
      </c>
      <c r="U320" s="383"/>
      <c r="V320" s="381"/>
      <c r="W320" s="382">
        <f>W318*$B320</f>
        <v>1140000</v>
      </c>
      <c r="X320" s="383"/>
      <c r="Y320" s="381"/>
      <c r="Z320" s="382">
        <f>Z318*$B320</f>
        <v>1140000</v>
      </c>
      <c r="AA320" s="383"/>
      <c r="AB320" s="381"/>
      <c r="AC320" s="382">
        <f>AC318*$B320</f>
        <v>-330000</v>
      </c>
      <c r="AD320" s="383"/>
      <c r="AE320" s="381"/>
      <c r="AF320" s="382">
        <f>AF318*$B320</f>
        <v>-330000</v>
      </c>
      <c r="AG320" s="383"/>
      <c r="AH320" s="381"/>
      <c r="AI320" s="382">
        <f>AI318*$B320</f>
        <v>-330000</v>
      </c>
      <c r="AJ320" s="383"/>
      <c r="AK320" s="381"/>
      <c r="AL320" s="382">
        <f>AL318*$B320</f>
        <v>-330000</v>
      </c>
      <c r="AM320" s="383"/>
      <c r="AN320" s="316" t="s">
        <v>2177</v>
      </c>
      <c r="AO320" s="368"/>
      <c r="AP320" s="368"/>
      <c r="AQ320" s="368"/>
      <c r="AR320" s="368"/>
      <c r="AS320" s="368"/>
      <c r="AT320" s="368"/>
      <c r="AU320" s="368"/>
      <c r="AV320" s="368"/>
      <c r="AW320" s="368"/>
      <c r="AX320" s="368"/>
      <c r="AY320" s="368"/>
      <c r="AZ320" s="368"/>
      <c r="BA320" s="368"/>
      <c r="BB320" s="368"/>
      <c r="BC320" s="368"/>
      <c r="BD320" s="368"/>
      <c r="BE320" s="368"/>
      <c r="BF320" s="368"/>
      <c r="BG320" s="368"/>
      <c r="BH320" s="368"/>
      <c r="BI320" s="368"/>
      <c r="BJ320" s="368"/>
      <c r="BK320" s="368"/>
      <c r="BL320" s="368"/>
      <c r="BM320" s="368"/>
      <c r="BN320" s="368"/>
    </row>
    <row r="321">
      <c r="A321" s="303" t="s">
        <v>610</v>
      </c>
      <c r="B321" s="317" t="s">
        <v>610</v>
      </c>
      <c r="C321" s="325" t="s">
        <v>506</v>
      </c>
      <c r="D321" s="341" t="s">
        <v>1593</v>
      </c>
      <c r="E321" s="348">
        <v>520000.0</v>
      </c>
      <c r="F321" s="346">
        <v>120000.0</v>
      </c>
      <c r="G321" s="341" t="s">
        <v>1593</v>
      </c>
      <c r="H321" s="348">
        <v>520000.0</v>
      </c>
      <c r="I321" s="346">
        <f t="shared" ref="I321:I322" si="430">120000+30000</f>
        <v>150000</v>
      </c>
      <c r="J321" s="341" t="s">
        <v>1593</v>
      </c>
      <c r="K321" s="335">
        <v>620000.0</v>
      </c>
      <c r="L321" s="346">
        <v>120000.0</v>
      </c>
      <c r="M321" s="341" t="s">
        <v>1593</v>
      </c>
      <c r="N321" s="335">
        <v>620000.0</v>
      </c>
      <c r="O321" s="346">
        <v>120000.0</v>
      </c>
      <c r="P321" s="341" t="s">
        <v>1593</v>
      </c>
      <c r="Q321" s="335">
        <v>620000.0</v>
      </c>
      <c r="R321" s="346">
        <v>120000.0</v>
      </c>
      <c r="S321" s="341" t="s">
        <v>1593</v>
      </c>
      <c r="T321" s="335">
        <v>620000.0</v>
      </c>
      <c r="U321" s="346">
        <v>120000.0</v>
      </c>
      <c r="V321" s="341" t="s">
        <v>1593</v>
      </c>
      <c r="W321" s="335">
        <v>620000.0</v>
      </c>
      <c r="X321" s="346">
        <v>120000.0</v>
      </c>
      <c r="Y321" s="353" t="s">
        <v>2202</v>
      </c>
      <c r="Z321" s="335">
        <v>620000.0</v>
      </c>
      <c r="AA321" s="346">
        <v>120000.0</v>
      </c>
      <c r="AB321" s="326"/>
      <c r="AC321" s="321"/>
      <c r="AD321" s="322"/>
      <c r="AE321" s="326"/>
      <c r="AF321" s="321"/>
      <c r="AG321" s="322"/>
      <c r="AH321" s="326"/>
      <c r="AI321" s="321"/>
      <c r="AJ321" s="322"/>
      <c r="AK321" s="326"/>
      <c r="AL321" s="321"/>
      <c r="AM321" s="322"/>
      <c r="AN321" s="316" t="s">
        <v>216</v>
      </c>
      <c r="AO321" s="316"/>
      <c r="AP321" s="316"/>
      <c r="AQ321" s="316"/>
      <c r="AR321" s="316"/>
      <c r="AS321" s="316"/>
      <c r="AT321" s="316"/>
      <c r="AU321" s="316"/>
      <c r="AV321" s="316"/>
      <c r="AW321" s="316"/>
      <c r="AX321" s="316"/>
      <c r="AY321" s="316"/>
      <c r="AZ321" s="316"/>
      <c r="BA321" s="316"/>
      <c r="BB321" s="316"/>
      <c r="BC321" s="316"/>
      <c r="BD321" s="316"/>
      <c r="BE321" s="316"/>
      <c r="BF321" s="316"/>
      <c r="BG321" s="316"/>
      <c r="BH321" s="316"/>
      <c r="BI321" s="316"/>
      <c r="BJ321" s="316"/>
      <c r="BK321" s="316"/>
      <c r="BL321" s="316"/>
      <c r="BM321" s="316"/>
      <c r="BN321" s="316"/>
    </row>
    <row r="322">
      <c r="A322" s="303" t="s">
        <v>610</v>
      </c>
      <c r="B322" s="317" t="s">
        <v>610</v>
      </c>
      <c r="C322" s="325" t="s">
        <v>614</v>
      </c>
      <c r="D322" s="341" t="s">
        <v>1598</v>
      </c>
      <c r="E322" s="335">
        <v>560000.0</v>
      </c>
      <c r="F322" s="346">
        <v>120000.0</v>
      </c>
      <c r="G322" s="341" t="s">
        <v>1598</v>
      </c>
      <c r="H322" s="335">
        <v>560000.0</v>
      </c>
      <c r="I322" s="346">
        <f t="shared" si="430"/>
        <v>150000</v>
      </c>
      <c r="J322" s="341" t="s">
        <v>1598</v>
      </c>
      <c r="K322" s="335">
        <v>560000.0</v>
      </c>
      <c r="L322" s="346">
        <v>120000.0</v>
      </c>
      <c r="M322" s="341" t="s">
        <v>1598</v>
      </c>
      <c r="N322" s="335">
        <v>560000.0</v>
      </c>
      <c r="O322" s="346">
        <v>120000.0</v>
      </c>
      <c r="P322" s="341" t="s">
        <v>1598</v>
      </c>
      <c r="Q322" s="335">
        <v>560000.0</v>
      </c>
      <c r="R322" s="346">
        <v>120000.0</v>
      </c>
      <c r="S322" s="341" t="s">
        <v>1598</v>
      </c>
      <c r="T322" s="335">
        <v>560000.0</v>
      </c>
      <c r="U322" s="346">
        <v>120000.0</v>
      </c>
      <c r="V322" s="341" t="s">
        <v>1598</v>
      </c>
      <c r="W322" s="335">
        <v>560000.0</v>
      </c>
      <c r="X322" s="346">
        <v>120000.0</v>
      </c>
      <c r="Y322" s="353" t="s">
        <v>2203</v>
      </c>
      <c r="Z322" s="335">
        <v>560000.0</v>
      </c>
      <c r="AA322" s="346">
        <v>120000.0</v>
      </c>
      <c r="AB322" s="326"/>
      <c r="AC322" s="321"/>
      <c r="AD322" s="322"/>
      <c r="AE322" s="326"/>
      <c r="AF322" s="321"/>
      <c r="AG322" s="322"/>
      <c r="AH322" s="326"/>
      <c r="AI322" s="321"/>
      <c r="AJ322" s="322"/>
      <c r="AK322" s="326"/>
      <c r="AL322" s="321"/>
      <c r="AM322" s="322"/>
      <c r="AN322" s="316" t="s">
        <v>216</v>
      </c>
      <c r="AO322" s="316"/>
      <c r="AP322" s="316"/>
      <c r="AQ322" s="316"/>
      <c r="AR322" s="316"/>
      <c r="AS322" s="316"/>
      <c r="AT322" s="316"/>
      <c r="AU322" s="316"/>
      <c r="AV322" s="316"/>
      <c r="AW322" s="316"/>
      <c r="AX322" s="316"/>
      <c r="AY322" s="316"/>
      <c r="AZ322" s="316"/>
      <c r="BA322" s="316"/>
      <c r="BB322" s="316"/>
      <c r="BC322" s="316"/>
      <c r="BD322" s="316"/>
      <c r="BE322" s="316"/>
      <c r="BF322" s="316"/>
      <c r="BG322" s="316"/>
      <c r="BH322" s="316"/>
      <c r="BI322" s="316"/>
      <c r="BJ322" s="316"/>
      <c r="BK322" s="316"/>
      <c r="BL322" s="316"/>
      <c r="BM322" s="316"/>
      <c r="BN322" s="316"/>
    </row>
    <row r="323">
      <c r="A323" s="303" t="s">
        <v>610</v>
      </c>
      <c r="B323" s="317" t="s">
        <v>610</v>
      </c>
      <c r="C323" s="325" t="s">
        <v>618</v>
      </c>
      <c r="D323" s="341" t="s">
        <v>619</v>
      </c>
      <c r="E323" s="335">
        <v>620000.0</v>
      </c>
      <c r="F323" s="346">
        <v>100000.0</v>
      </c>
      <c r="G323" s="341" t="s">
        <v>619</v>
      </c>
      <c r="H323" s="335">
        <v>620000.0</v>
      </c>
      <c r="I323" s="346">
        <f>100000+15000</f>
        <v>115000</v>
      </c>
      <c r="J323" s="341" t="s">
        <v>619</v>
      </c>
      <c r="K323" s="348">
        <v>600000.0</v>
      </c>
      <c r="L323" s="346">
        <v>120000.0</v>
      </c>
      <c r="M323" s="341" t="s">
        <v>619</v>
      </c>
      <c r="N323" s="348">
        <v>600000.0</v>
      </c>
      <c r="O323" s="346">
        <v>120000.0</v>
      </c>
      <c r="P323" s="341" t="s">
        <v>619</v>
      </c>
      <c r="Q323" s="348">
        <v>600000.0</v>
      </c>
      <c r="R323" s="346">
        <v>120000.0</v>
      </c>
      <c r="S323" s="341" t="s">
        <v>619</v>
      </c>
      <c r="T323" s="348">
        <v>600000.0</v>
      </c>
      <c r="U323" s="346">
        <v>120000.0</v>
      </c>
      <c r="V323" s="341" t="s">
        <v>619</v>
      </c>
      <c r="W323" s="348">
        <v>600000.0</v>
      </c>
      <c r="X323" s="346">
        <v>120000.0</v>
      </c>
      <c r="Y323" s="341" t="s">
        <v>619</v>
      </c>
      <c r="Z323" s="348">
        <v>600000.0</v>
      </c>
      <c r="AA323" s="346">
        <v>120000.0</v>
      </c>
      <c r="AB323" s="341" t="s">
        <v>619</v>
      </c>
      <c r="AC323" s="348">
        <v>600000.0</v>
      </c>
      <c r="AD323" s="346">
        <v>120000.0</v>
      </c>
      <c r="AE323" s="341" t="s">
        <v>619</v>
      </c>
      <c r="AF323" s="348">
        <v>600000.0</v>
      </c>
      <c r="AG323" s="346">
        <v>120000.0</v>
      </c>
      <c r="AH323" s="341" t="s">
        <v>619</v>
      </c>
      <c r="AI323" s="348">
        <v>600000.0</v>
      </c>
      <c r="AJ323" s="346">
        <v>120000.0</v>
      </c>
      <c r="AK323" s="341" t="s">
        <v>619</v>
      </c>
      <c r="AL323" s="348">
        <v>600000.0</v>
      </c>
      <c r="AM323" s="346">
        <v>120000.0</v>
      </c>
      <c r="AN323" s="316" t="s">
        <v>216</v>
      </c>
      <c r="AO323" s="316"/>
      <c r="AP323" s="316"/>
      <c r="AQ323" s="316"/>
      <c r="AR323" s="316"/>
      <c r="AS323" s="316"/>
      <c r="AT323" s="316"/>
      <c r="AU323" s="316"/>
      <c r="AV323" s="316"/>
      <c r="AW323" s="316"/>
      <c r="AX323" s="316"/>
      <c r="AY323" s="316"/>
      <c r="AZ323" s="316"/>
      <c r="BA323" s="316"/>
      <c r="BB323" s="316"/>
      <c r="BC323" s="316"/>
      <c r="BD323" s="316"/>
      <c r="BE323" s="316"/>
      <c r="BF323" s="316"/>
      <c r="BG323" s="316"/>
      <c r="BH323" s="316"/>
      <c r="BI323" s="316"/>
      <c r="BJ323" s="316"/>
      <c r="BK323" s="316"/>
      <c r="BL323" s="316"/>
      <c r="BM323" s="316"/>
      <c r="BN323" s="316"/>
    </row>
    <row r="324">
      <c r="A324" s="303" t="s">
        <v>610</v>
      </c>
      <c r="B324" s="317" t="s">
        <v>610</v>
      </c>
      <c r="C324" s="325" t="s">
        <v>620</v>
      </c>
      <c r="D324" s="353" t="s">
        <v>2204</v>
      </c>
      <c r="E324" s="335">
        <f>570000+600000</f>
        <v>1170000</v>
      </c>
      <c r="F324" s="346">
        <f>120000+120000</f>
        <v>240000</v>
      </c>
      <c r="G324" s="326" t="s">
        <v>1603</v>
      </c>
      <c r="H324" s="348">
        <v>600000.0</v>
      </c>
      <c r="I324" s="346">
        <f>120000+30000</f>
        <v>150000</v>
      </c>
      <c r="J324" s="326" t="s">
        <v>1603</v>
      </c>
      <c r="K324" s="348">
        <v>600000.0</v>
      </c>
      <c r="L324" s="346">
        <v>120000.0</v>
      </c>
      <c r="M324" s="326" t="s">
        <v>1603</v>
      </c>
      <c r="N324" s="348">
        <v>600000.0</v>
      </c>
      <c r="O324" s="346">
        <v>120000.0</v>
      </c>
      <c r="P324" s="326" t="s">
        <v>1603</v>
      </c>
      <c r="Q324" s="348">
        <v>600000.0</v>
      </c>
      <c r="R324" s="346">
        <v>120000.0</v>
      </c>
      <c r="S324" s="326" t="s">
        <v>1603</v>
      </c>
      <c r="T324" s="348">
        <v>600000.0</v>
      </c>
      <c r="U324" s="346">
        <v>120000.0</v>
      </c>
      <c r="V324" s="326" t="s">
        <v>1603</v>
      </c>
      <c r="W324" s="348">
        <v>600000.0</v>
      </c>
      <c r="X324" s="346">
        <v>120000.0</v>
      </c>
      <c r="Y324" s="326" t="s">
        <v>2205</v>
      </c>
      <c r="Z324" s="348">
        <v>251613.0</v>
      </c>
      <c r="AA324" s="345">
        <v>50323.0</v>
      </c>
      <c r="AB324" s="326"/>
      <c r="AC324" s="321"/>
      <c r="AD324" s="322"/>
      <c r="AE324" s="326"/>
      <c r="AF324" s="321"/>
      <c r="AG324" s="322"/>
      <c r="AH324" s="326"/>
      <c r="AI324" s="321"/>
      <c r="AJ324" s="322"/>
      <c r="AK324" s="326"/>
      <c r="AL324" s="321"/>
      <c r="AM324" s="322"/>
      <c r="AN324" s="316" t="s">
        <v>216</v>
      </c>
      <c r="AO324" s="316"/>
      <c r="AP324" s="316"/>
      <c r="AQ324" s="316"/>
      <c r="AR324" s="316"/>
      <c r="AS324" s="316"/>
      <c r="AT324" s="316"/>
      <c r="AU324" s="316"/>
      <c r="AV324" s="316"/>
      <c r="AW324" s="316"/>
      <c r="AX324" s="316"/>
      <c r="AY324" s="316"/>
      <c r="AZ324" s="316"/>
      <c r="BA324" s="316"/>
      <c r="BB324" s="316"/>
      <c r="BC324" s="316"/>
      <c r="BD324" s="316"/>
      <c r="BE324" s="316"/>
      <c r="BF324" s="316"/>
      <c r="BG324" s="316"/>
      <c r="BH324" s="316"/>
      <c r="BI324" s="316"/>
      <c r="BJ324" s="316"/>
      <c r="BK324" s="316"/>
      <c r="BL324" s="316"/>
      <c r="BM324" s="316"/>
      <c r="BN324" s="316"/>
    </row>
    <row r="325">
      <c r="A325" s="303" t="s">
        <v>610</v>
      </c>
      <c r="B325" s="317" t="s">
        <v>610</v>
      </c>
      <c r="C325" s="325" t="s">
        <v>622</v>
      </c>
      <c r="D325" s="341" t="s">
        <v>2206</v>
      </c>
      <c r="E325" s="348">
        <v>350000.0</v>
      </c>
      <c r="F325" s="346">
        <f t="shared" ref="F325:F326" si="431">120000+30000</f>
        <v>150000</v>
      </c>
      <c r="G325" s="353" t="s">
        <v>2207</v>
      </c>
      <c r="H325" s="348">
        <v>321429.0</v>
      </c>
      <c r="I325" s="345">
        <f>85714+40000</f>
        <v>125714</v>
      </c>
      <c r="J325" s="326" t="s">
        <v>2208</v>
      </c>
      <c r="K325" s="321">
        <v>450000.0</v>
      </c>
      <c r="L325" s="346">
        <v>120000.0</v>
      </c>
      <c r="M325" s="326" t="s">
        <v>1606</v>
      </c>
      <c r="N325" s="321">
        <v>450000.0</v>
      </c>
      <c r="O325" s="346">
        <v>120000.0</v>
      </c>
      <c r="P325" s="326" t="s">
        <v>1606</v>
      </c>
      <c r="Q325" s="321">
        <v>450000.0</v>
      </c>
      <c r="R325" s="346">
        <v>120000.0</v>
      </c>
      <c r="S325" s="326" t="s">
        <v>1606</v>
      </c>
      <c r="T325" s="321">
        <v>450000.0</v>
      </c>
      <c r="U325" s="346">
        <v>120000.0</v>
      </c>
      <c r="V325" s="326" t="s">
        <v>1606</v>
      </c>
      <c r="W325" s="321">
        <v>450000.0</v>
      </c>
      <c r="X325" s="346">
        <v>120000.0</v>
      </c>
      <c r="Y325" s="326" t="s">
        <v>1606</v>
      </c>
      <c r="Z325" s="321">
        <v>450000.0</v>
      </c>
      <c r="AA325" s="346">
        <v>120000.0</v>
      </c>
      <c r="AB325" s="326" t="s">
        <v>1606</v>
      </c>
      <c r="AC325" s="321">
        <v>450000.0</v>
      </c>
      <c r="AD325" s="346">
        <v>120000.0</v>
      </c>
      <c r="AE325" s="326" t="s">
        <v>1606</v>
      </c>
      <c r="AF325" s="321">
        <v>450000.0</v>
      </c>
      <c r="AG325" s="346">
        <v>120000.0</v>
      </c>
      <c r="AH325" s="326" t="s">
        <v>1606</v>
      </c>
      <c r="AI325" s="321">
        <v>450000.0</v>
      </c>
      <c r="AJ325" s="346">
        <v>120000.0</v>
      </c>
      <c r="AK325" s="326" t="s">
        <v>1606</v>
      </c>
      <c r="AL325" s="321">
        <v>450000.0</v>
      </c>
      <c r="AM325" s="346">
        <v>120000.0</v>
      </c>
      <c r="AN325" s="316" t="s">
        <v>216</v>
      </c>
      <c r="AO325" s="316"/>
      <c r="AP325" s="316"/>
      <c r="AQ325" s="316"/>
      <c r="AR325" s="316"/>
      <c r="AS325" s="316"/>
      <c r="AT325" s="316"/>
      <c r="AU325" s="316"/>
      <c r="AV325" s="316"/>
      <c r="AW325" s="316"/>
      <c r="AX325" s="316"/>
      <c r="AY325" s="316"/>
      <c r="AZ325" s="316"/>
      <c r="BA325" s="316"/>
      <c r="BB325" s="316"/>
      <c r="BC325" s="316"/>
      <c r="BD325" s="316"/>
      <c r="BE325" s="316"/>
      <c r="BF325" s="316"/>
      <c r="BG325" s="316"/>
      <c r="BH325" s="316"/>
      <c r="BI325" s="316"/>
      <c r="BJ325" s="316"/>
      <c r="BK325" s="316"/>
      <c r="BL325" s="316"/>
      <c r="BM325" s="316"/>
      <c r="BN325" s="316"/>
    </row>
    <row r="326">
      <c r="A326" s="303" t="s">
        <v>610</v>
      </c>
      <c r="B326" s="317" t="s">
        <v>610</v>
      </c>
      <c r="C326" s="325" t="s">
        <v>625</v>
      </c>
      <c r="D326" s="341" t="s">
        <v>1810</v>
      </c>
      <c r="E326" s="335">
        <v>450000.0</v>
      </c>
      <c r="F326" s="346">
        <f t="shared" si="431"/>
        <v>150000</v>
      </c>
      <c r="G326" s="353" t="s">
        <v>2209</v>
      </c>
      <c r="H326" s="335">
        <f>321429+128571</f>
        <v>450000</v>
      </c>
      <c r="I326" s="346">
        <f>85714+40000+34286</f>
        <v>160000</v>
      </c>
      <c r="J326" s="326" t="s">
        <v>507</v>
      </c>
      <c r="K326" s="321">
        <v>450000.0</v>
      </c>
      <c r="L326" s="346">
        <v>120000.0</v>
      </c>
      <c r="M326" s="326" t="s">
        <v>507</v>
      </c>
      <c r="N326" s="321">
        <v>450000.0</v>
      </c>
      <c r="O326" s="346">
        <v>120000.0</v>
      </c>
      <c r="P326" s="326" t="s">
        <v>507</v>
      </c>
      <c r="Q326" s="321">
        <v>450000.0</v>
      </c>
      <c r="R326" s="346">
        <v>120000.0</v>
      </c>
      <c r="S326" s="326" t="s">
        <v>507</v>
      </c>
      <c r="T326" s="321">
        <v>450000.0</v>
      </c>
      <c r="U326" s="346">
        <v>120000.0</v>
      </c>
      <c r="V326" s="326" t="s">
        <v>507</v>
      </c>
      <c r="W326" s="321">
        <v>450000.0</v>
      </c>
      <c r="X326" s="346">
        <v>120000.0</v>
      </c>
      <c r="Y326" s="326" t="s">
        <v>507</v>
      </c>
      <c r="Z326" s="321">
        <v>450000.0</v>
      </c>
      <c r="AA326" s="346">
        <v>120000.0</v>
      </c>
      <c r="AB326" s="326" t="s">
        <v>507</v>
      </c>
      <c r="AC326" s="321">
        <v>450000.0</v>
      </c>
      <c r="AD326" s="346">
        <v>120000.0</v>
      </c>
      <c r="AE326" s="326" t="s">
        <v>507</v>
      </c>
      <c r="AF326" s="321">
        <v>450000.0</v>
      </c>
      <c r="AG326" s="346">
        <v>120000.0</v>
      </c>
      <c r="AH326" s="326" t="s">
        <v>507</v>
      </c>
      <c r="AI326" s="321">
        <v>450000.0</v>
      </c>
      <c r="AJ326" s="346">
        <v>120000.0</v>
      </c>
      <c r="AK326" s="326" t="s">
        <v>507</v>
      </c>
      <c r="AL326" s="321">
        <v>450000.0</v>
      </c>
      <c r="AM326" s="346">
        <v>120000.0</v>
      </c>
      <c r="AN326" s="316" t="s">
        <v>216</v>
      </c>
      <c r="AO326" s="316"/>
      <c r="AP326" s="316"/>
      <c r="AQ326" s="316"/>
      <c r="AR326" s="316"/>
      <c r="AS326" s="316"/>
      <c r="AT326" s="316"/>
      <c r="AU326" s="316"/>
      <c r="AV326" s="316"/>
      <c r="AW326" s="316"/>
      <c r="AX326" s="316"/>
      <c r="AY326" s="316"/>
      <c r="AZ326" s="316"/>
      <c r="BA326" s="316"/>
      <c r="BB326" s="316"/>
      <c r="BC326" s="316"/>
      <c r="BD326" s="316"/>
      <c r="BE326" s="316"/>
      <c r="BF326" s="316"/>
      <c r="BG326" s="316"/>
      <c r="BH326" s="316"/>
      <c r="BI326" s="316"/>
      <c r="BJ326" s="316"/>
      <c r="BK326" s="316"/>
      <c r="BL326" s="316"/>
      <c r="BM326" s="316"/>
      <c r="BN326" s="316"/>
    </row>
    <row r="327">
      <c r="A327" s="303" t="s">
        <v>610</v>
      </c>
      <c r="B327" s="304"/>
      <c r="C327" s="305" t="s">
        <v>42</v>
      </c>
      <c r="D327" s="320"/>
      <c r="E327" s="323">
        <f t="shared" ref="E327:F327" si="432">SUM(E321:E326)</f>
        <v>3670000</v>
      </c>
      <c r="F327" s="324">
        <f t="shared" si="432"/>
        <v>880000</v>
      </c>
      <c r="G327" s="320"/>
      <c r="H327" s="323">
        <f t="shared" ref="H327:I327" si="433">SUM(H321:H326)</f>
        <v>3071429</v>
      </c>
      <c r="I327" s="324">
        <f t="shared" si="433"/>
        <v>850714</v>
      </c>
      <c r="J327" s="320"/>
      <c r="K327" s="323">
        <f t="shared" ref="K327:L327" si="434">SUM(K321:K326)</f>
        <v>3280000</v>
      </c>
      <c r="L327" s="324">
        <f t="shared" si="434"/>
        <v>720000</v>
      </c>
      <c r="M327" s="320"/>
      <c r="N327" s="323">
        <f t="shared" ref="N327:O327" si="435">SUM(N321:N326)</f>
        <v>3280000</v>
      </c>
      <c r="O327" s="324">
        <f t="shared" si="435"/>
        <v>720000</v>
      </c>
      <c r="P327" s="320"/>
      <c r="Q327" s="323">
        <f t="shared" ref="Q327:R327" si="436">SUM(Q321:Q326)</f>
        <v>3280000</v>
      </c>
      <c r="R327" s="324">
        <f t="shared" si="436"/>
        <v>720000</v>
      </c>
      <c r="S327" s="320"/>
      <c r="T327" s="323">
        <f t="shared" ref="T327:U327" si="437">SUM(T321:T326)</f>
        <v>3280000</v>
      </c>
      <c r="U327" s="324">
        <f t="shared" si="437"/>
        <v>720000</v>
      </c>
      <c r="V327" s="320"/>
      <c r="W327" s="323">
        <f t="shared" ref="W327:X327" si="438">SUM(W321:W326)</f>
        <v>3280000</v>
      </c>
      <c r="X327" s="324">
        <f t="shared" si="438"/>
        <v>720000</v>
      </c>
      <c r="Y327" s="320"/>
      <c r="Z327" s="323">
        <f t="shared" ref="Z327:AA327" si="439">SUM(Z321:Z326)</f>
        <v>2931613</v>
      </c>
      <c r="AA327" s="324">
        <f t="shared" si="439"/>
        <v>650323</v>
      </c>
      <c r="AB327" s="320"/>
      <c r="AC327" s="323">
        <f t="shared" ref="AC327:AD327" si="440">SUM(AC321:AC326)</f>
        <v>1500000</v>
      </c>
      <c r="AD327" s="324">
        <f t="shared" si="440"/>
        <v>360000</v>
      </c>
      <c r="AE327" s="320"/>
      <c r="AF327" s="323">
        <f t="shared" ref="AF327:AG327" si="441">SUM(AF321:AF326)</f>
        <v>1500000</v>
      </c>
      <c r="AG327" s="324">
        <f t="shared" si="441"/>
        <v>360000</v>
      </c>
      <c r="AH327" s="320"/>
      <c r="AI327" s="323">
        <f t="shared" ref="AI327:AJ327" si="442">SUM(AI321:AI326)</f>
        <v>1500000</v>
      </c>
      <c r="AJ327" s="324">
        <f t="shared" si="442"/>
        <v>360000</v>
      </c>
      <c r="AK327" s="320"/>
      <c r="AL327" s="323">
        <f t="shared" ref="AL327:AM327" si="443">SUM(AL321:AL326)</f>
        <v>1500000</v>
      </c>
      <c r="AM327" s="324">
        <f t="shared" si="443"/>
        <v>360000</v>
      </c>
      <c r="AN327" s="316" t="s">
        <v>216</v>
      </c>
      <c r="AO327" s="316"/>
      <c r="AP327" s="316"/>
      <c r="AQ327" s="316"/>
      <c r="AR327" s="316"/>
      <c r="AS327" s="316"/>
      <c r="AT327" s="316"/>
      <c r="AU327" s="316"/>
      <c r="AV327" s="316"/>
      <c r="AW327" s="316"/>
      <c r="AX327" s="316"/>
      <c r="AY327" s="316"/>
      <c r="AZ327" s="316"/>
      <c r="BA327" s="316"/>
      <c r="BB327" s="316"/>
      <c r="BC327" s="316"/>
      <c r="BD327" s="316"/>
      <c r="BE327" s="316"/>
      <c r="BF327" s="316"/>
      <c r="BG327" s="316"/>
      <c r="BH327" s="316"/>
      <c r="BI327" s="316"/>
      <c r="BJ327" s="316"/>
      <c r="BK327" s="316"/>
      <c r="BL327" s="316"/>
      <c r="BM327" s="316"/>
      <c r="BN327" s="316"/>
    </row>
    <row r="328" collapsed="1">
      <c r="A328" s="303" t="s">
        <v>610</v>
      </c>
      <c r="B328" s="304"/>
      <c r="C328" s="325" t="s">
        <v>43</v>
      </c>
      <c r="D328" s="326"/>
      <c r="E328" s="321">
        <v>1900000.0</v>
      </c>
      <c r="F328" s="324"/>
      <c r="G328" s="326"/>
      <c r="H328" s="321">
        <v>1900000.0</v>
      </c>
      <c r="I328" s="324"/>
      <c r="J328" s="326"/>
      <c r="K328" s="321">
        <v>1900000.0</v>
      </c>
      <c r="L328" s="324"/>
      <c r="M328" s="326"/>
      <c r="N328" s="321">
        <v>1900000.0</v>
      </c>
      <c r="O328" s="324"/>
      <c r="P328" s="326"/>
      <c r="Q328" s="321">
        <v>1900000.0</v>
      </c>
      <c r="R328" s="324"/>
      <c r="S328" s="326"/>
      <c r="T328" s="321">
        <v>1900000.0</v>
      </c>
      <c r="U328" s="324"/>
      <c r="V328" s="326"/>
      <c r="W328" s="321">
        <v>1900000.0</v>
      </c>
      <c r="X328" s="324"/>
      <c r="Y328" s="326"/>
      <c r="Z328" s="321">
        <v>1900000.0</v>
      </c>
      <c r="AA328" s="324"/>
      <c r="AB328" s="326"/>
      <c r="AC328" s="321">
        <v>1900000.0</v>
      </c>
      <c r="AD328" s="324"/>
      <c r="AE328" s="326"/>
      <c r="AF328" s="321">
        <v>1900000.0</v>
      </c>
      <c r="AG328" s="324"/>
      <c r="AH328" s="326"/>
      <c r="AI328" s="321">
        <v>1900000.0</v>
      </c>
      <c r="AJ328" s="324"/>
      <c r="AK328" s="326"/>
      <c r="AL328" s="321">
        <v>1900000.0</v>
      </c>
      <c r="AM328" s="324"/>
      <c r="AN328" s="316" t="s">
        <v>216</v>
      </c>
      <c r="AO328" s="316"/>
      <c r="AP328" s="316"/>
      <c r="AQ328" s="316"/>
      <c r="AR328" s="316"/>
      <c r="AS328" s="316"/>
      <c r="AT328" s="316"/>
      <c r="AU328" s="316"/>
      <c r="AV328" s="316"/>
      <c r="AW328" s="316"/>
      <c r="AX328" s="316"/>
      <c r="AY328" s="316"/>
      <c r="AZ328" s="316"/>
      <c r="BA328" s="316"/>
      <c r="BB328" s="316"/>
      <c r="BC328" s="316"/>
      <c r="BD328" s="316"/>
      <c r="BE328" s="316"/>
      <c r="BF328" s="316"/>
      <c r="BG328" s="316"/>
      <c r="BH328" s="316"/>
      <c r="BI328" s="316"/>
      <c r="BJ328" s="316"/>
      <c r="BK328" s="316"/>
      <c r="BL328" s="316"/>
      <c r="BM328" s="316"/>
      <c r="BN328" s="316"/>
    </row>
    <row r="329" hidden="1" outlineLevel="1">
      <c r="A329" s="303" t="s">
        <v>610</v>
      </c>
      <c r="B329" s="317" t="s">
        <v>626</v>
      </c>
      <c r="C329" s="325" t="s">
        <v>45</v>
      </c>
      <c r="D329" s="327"/>
      <c r="E329" s="321"/>
      <c r="F329" s="322">
        <v>371450.0</v>
      </c>
      <c r="G329" s="327" t="s">
        <v>2039</v>
      </c>
      <c r="H329" s="321"/>
      <c r="I329" s="322">
        <v>450000.0</v>
      </c>
      <c r="J329" s="327" t="s">
        <v>2039</v>
      </c>
      <c r="K329" s="321"/>
      <c r="L329" s="322">
        <v>450000.0</v>
      </c>
      <c r="M329" s="327"/>
      <c r="N329" s="321"/>
      <c r="O329" s="322"/>
      <c r="P329" s="327"/>
      <c r="Q329" s="321"/>
      <c r="R329" s="322"/>
      <c r="S329" s="327"/>
      <c r="T329" s="321"/>
      <c r="U329" s="322"/>
      <c r="V329" s="327"/>
      <c r="W329" s="321"/>
      <c r="X329" s="322"/>
      <c r="Y329" s="327"/>
      <c r="Z329" s="321"/>
      <c r="AA329" s="322"/>
      <c r="AB329" s="327"/>
      <c r="AC329" s="321"/>
      <c r="AD329" s="322"/>
      <c r="AE329" s="327"/>
      <c r="AF329" s="321"/>
      <c r="AG329" s="322"/>
      <c r="AH329" s="327"/>
      <c r="AI329" s="321"/>
      <c r="AJ329" s="322"/>
      <c r="AK329" s="327"/>
      <c r="AL329" s="321"/>
      <c r="AM329" s="322"/>
      <c r="AN329" s="316" t="s">
        <v>216</v>
      </c>
      <c r="AO329" s="316"/>
      <c r="AP329" s="316"/>
      <c r="AQ329" s="316"/>
      <c r="AR329" s="316"/>
      <c r="AS329" s="316"/>
      <c r="AT329" s="316"/>
      <c r="AU329" s="316"/>
      <c r="AV329" s="316"/>
      <c r="AW329" s="316"/>
      <c r="AX329" s="316"/>
      <c r="AY329" s="316"/>
      <c r="AZ329" s="316"/>
      <c r="BA329" s="316"/>
      <c r="BB329" s="316"/>
      <c r="BC329" s="316"/>
      <c r="BD329" s="316"/>
      <c r="BE329" s="316"/>
      <c r="BF329" s="316"/>
      <c r="BG329" s="316"/>
      <c r="BH329" s="316"/>
      <c r="BI329" s="316"/>
      <c r="BJ329" s="316"/>
      <c r="BK329" s="316"/>
      <c r="BL329" s="316"/>
      <c r="BM329" s="316"/>
      <c r="BN329" s="316"/>
    </row>
    <row r="330" hidden="1" outlineLevel="1">
      <c r="A330" s="303" t="s">
        <v>610</v>
      </c>
      <c r="B330" s="317" t="s">
        <v>446</v>
      </c>
      <c r="C330" s="325" t="s">
        <v>47</v>
      </c>
      <c r="D330" s="327"/>
      <c r="E330" s="321"/>
      <c r="F330" s="322" t="s">
        <v>627</v>
      </c>
      <c r="G330" s="327"/>
      <c r="H330" s="321"/>
      <c r="I330" s="322" t="s">
        <v>627</v>
      </c>
      <c r="J330" s="327"/>
      <c r="K330" s="321"/>
      <c r="L330" s="322" t="s">
        <v>627</v>
      </c>
      <c r="M330" s="327"/>
      <c r="N330" s="321"/>
      <c r="O330" s="322" t="s">
        <v>627</v>
      </c>
      <c r="P330" s="327"/>
      <c r="Q330" s="321"/>
      <c r="R330" s="322" t="s">
        <v>627</v>
      </c>
      <c r="S330" s="327"/>
      <c r="T330" s="321"/>
      <c r="U330" s="322" t="s">
        <v>627</v>
      </c>
      <c r="V330" s="327"/>
      <c r="W330" s="321"/>
      <c r="X330" s="322" t="s">
        <v>627</v>
      </c>
      <c r="Y330" s="327"/>
      <c r="Z330" s="321"/>
      <c r="AA330" s="322" t="s">
        <v>627</v>
      </c>
      <c r="AB330" s="327"/>
      <c r="AC330" s="321"/>
      <c r="AD330" s="322" t="s">
        <v>627</v>
      </c>
      <c r="AE330" s="327"/>
      <c r="AF330" s="321"/>
      <c r="AG330" s="322" t="s">
        <v>627</v>
      </c>
      <c r="AH330" s="327"/>
      <c r="AI330" s="321"/>
      <c r="AJ330" s="322" t="s">
        <v>627</v>
      </c>
      <c r="AK330" s="327"/>
      <c r="AL330" s="321"/>
      <c r="AM330" s="322" t="s">
        <v>627</v>
      </c>
      <c r="AN330" s="316" t="s">
        <v>216</v>
      </c>
      <c r="AO330" s="316"/>
      <c r="AP330" s="316"/>
      <c r="AQ330" s="316"/>
      <c r="AR330" s="316"/>
      <c r="AS330" s="316"/>
      <c r="AT330" s="316"/>
      <c r="AU330" s="316"/>
      <c r="AV330" s="316"/>
      <c r="AW330" s="316"/>
      <c r="AX330" s="316"/>
      <c r="AY330" s="316"/>
      <c r="AZ330" s="316"/>
      <c r="BA330" s="316"/>
      <c r="BB330" s="316"/>
      <c r="BC330" s="316"/>
      <c r="BD330" s="316"/>
      <c r="BE330" s="316"/>
      <c r="BF330" s="316"/>
      <c r="BG330" s="316"/>
      <c r="BH330" s="316"/>
      <c r="BI330" s="316"/>
      <c r="BJ330" s="316"/>
      <c r="BK330" s="316"/>
      <c r="BL330" s="316"/>
      <c r="BM330" s="316"/>
      <c r="BN330" s="316"/>
    </row>
    <row r="331" hidden="1" outlineLevel="1">
      <c r="A331" s="303" t="s">
        <v>610</v>
      </c>
      <c r="B331" s="317">
        <v>6.006077482E9</v>
      </c>
      <c r="C331" s="325" t="s">
        <v>261</v>
      </c>
      <c r="D331" s="327"/>
      <c r="E331" s="321"/>
      <c r="F331" s="322">
        <v>274970.0</v>
      </c>
      <c r="G331" s="327"/>
      <c r="H331" s="321"/>
      <c r="I331" s="322">
        <v>419720.0</v>
      </c>
      <c r="J331" s="327"/>
      <c r="K331" s="321"/>
      <c r="L331" s="322">
        <v>434830.0</v>
      </c>
      <c r="M331" s="327"/>
      <c r="N331" s="321"/>
      <c r="O331" s="322"/>
      <c r="P331" s="327"/>
      <c r="Q331" s="321"/>
      <c r="R331" s="322"/>
      <c r="S331" s="327"/>
      <c r="T331" s="321"/>
      <c r="U331" s="322"/>
      <c r="V331" s="327"/>
      <c r="W331" s="321"/>
      <c r="X331" s="322"/>
      <c r="Y331" s="327"/>
      <c r="Z331" s="321"/>
      <c r="AA331" s="322"/>
      <c r="AB331" s="327"/>
      <c r="AC331" s="321"/>
      <c r="AD331" s="322"/>
      <c r="AE331" s="327"/>
      <c r="AF331" s="321"/>
      <c r="AG331" s="322"/>
      <c r="AH331" s="327"/>
      <c r="AI331" s="321"/>
      <c r="AJ331" s="322"/>
      <c r="AK331" s="327"/>
      <c r="AL331" s="321"/>
      <c r="AM331" s="322"/>
      <c r="AN331" s="316" t="s">
        <v>216</v>
      </c>
      <c r="AO331" s="316"/>
      <c r="AP331" s="316"/>
      <c r="AQ331" s="316"/>
      <c r="AR331" s="316"/>
      <c r="AS331" s="316"/>
      <c r="AT331" s="316"/>
      <c r="AU331" s="316"/>
      <c r="AV331" s="316"/>
      <c r="AW331" s="316"/>
      <c r="AX331" s="316"/>
      <c r="AY331" s="316"/>
      <c r="AZ331" s="316"/>
      <c r="BA331" s="316"/>
      <c r="BB331" s="316"/>
      <c r="BC331" s="316"/>
      <c r="BD331" s="316"/>
      <c r="BE331" s="316"/>
      <c r="BF331" s="316"/>
      <c r="BG331" s="316"/>
      <c r="BH331" s="316"/>
      <c r="BI331" s="316"/>
      <c r="BJ331" s="316"/>
      <c r="BK331" s="316"/>
      <c r="BL331" s="316"/>
      <c r="BM331" s="316"/>
      <c r="BN331" s="316"/>
    </row>
    <row r="332" hidden="1" outlineLevel="1">
      <c r="A332" s="303" t="s">
        <v>610</v>
      </c>
      <c r="B332" s="317"/>
      <c r="C332" s="325" t="s">
        <v>51</v>
      </c>
      <c r="D332" s="327"/>
      <c r="E332" s="321"/>
      <c r="F332" s="322" t="s">
        <v>627</v>
      </c>
      <c r="G332" s="327"/>
      <c r="H332" s="321"/>
      <c r="I332" s="322" t="s">
        <v>627</v>
      </c>
      <c r="J332" s="327"/>
      <c r="K332" s="321"/>
      <c r="L332" s="322" t="s">
        <v>627</v>
      </c>
      <c r="M332" s="327"/>
      <c r="N332" s="321"/>
      <c r="O332" s="322" t="s">
        <v>627</v>
      </c>
      <c r="P332" s="327"/>
      <c r="Q332" s="321"/>
      <c r="R332" s="322" t="s">
        <v>627</v>
      </c>
      <c r="S332" s="327"/>
      <c r="T332" s="321"/>
      <c r="U332" s="322" t="s">
        <v>627</v>
      </c>
      <c r="V332" s="327"/>
      <c r="W332" s="321"/>
      <c r="X332" s="322" t="s">
        <v>627</v>
      </c>
      <c r="Y332" s="327"/>
      <c r="Z332" s="321"/>
      <c r="AA332" s="322" t="s">
        <v>627</v>
      </c>
      <c r="AB332" s="327"/>
      <c r="AC332" s="321"/>
      <c r="AD332" s="322" t="s">
        <v>627</v>
      </c>
      <c r="AE332" s="327"/>
      <c r="AF332" s="321"/>
      <c r="AG332" s="322" t="s">
        <v>627</v>
      </c>
      <c r="AH332" s="327"/>
      <c r="AI332" s="321"/>
      <c r="AJ332" s="322" t="s">
        <v>627</v>
      </c>
      <c r="AK332" s="327"/>
      <c r="AL332" s="321"/>
      <c r="AM332" s="322" t="s">
        <v>627</v>
      </c>
      <c r="AN332" s="316" t="s">
        <v>216</v>
      </c>
      <c r="AO332" s="316"/>
      <c r="AP332" s="316"/>
      <c r="AQ332" s="316"/>
      <c r="AR332" s="316"/>
      <c r="AS332" s="316"/>
      <c r="AT332" s="316"/>
      <c r="AU332" s="316"/>
      <c r="AV332" s="316"/>
      <c r="AW332" s="316"/>
      <c r="AX332" s="316"/>
      <c r="AY332" s="316"/>
      <c r="AZ332" s="316"/>
      <c r="BA332" s="316"/>
      <c r="BB332" s="316"/>
      <c r="BC332" s="316"/>
      <c r="BD332" s="316"/>
      <c r="BE332" s="316"/>
      <c r="BF332" s="316"/>
      <c r="BG332" s="316"/>
      <c r="BH332" s="316"/>
      <c r="BI332" s="316"/>
      <c r="BJ332" s="316"/>
      <c r="BK332" s="316"/>
      <c r="BL332" s="316"/>
      <c r="BM332" s="316"/>
      <c r="BN332" s="316"/>
    </row>
    <row r="333" hidden="1" outlineLevel="1">
      <c r="A333" s="303" t="s">
        <v>610</v>
      </c>
      <c r="B333" s="317" t="s">
        <v>628</v>
      </c>
      <c r="C333" s="325" t="s">
        <v>52</v>
      </c>
      <c r="D333" s="327"/>
      <c r="E333" s="321"/>
      <c r="F333" s="322">
        <v>25000.0</v>
      </c>
      <c r="G333" s="327"/>
      <c r="H333" s="321"/>
      <c r="I333" s="322">
        <v>25000.0</v>
      </c>
      <c r="J333" s="327"/>
      <c r="K333" s="321"/>
      <c r="L333" s="322">
        <v>25000.0</v>
      </c>
      <c r="M333" s="327"/>
      <c r="N333" s="321"/>
      <c r="O333" s="322">
        <v>25000.0</v>
      </c>
      <c r="P333" s="327"/>
      <c r="Q333" s="321"/>
      <c r="R333" s="322">
        <v>25000.0</v>
      </c>
      <c r="S333" s="327"/>
      <c r="T333" s="321"/>
      <c r="U333" s="322">
        <v>25000.0</v>
      </c>
      <c r="V333" s="327"/>
      <c r="W333" s="321"/>
      <c r="X333" s="322">
        <v>25000.0</v>
      </c>
      <c r="Y333" s="327"/>
      <c r="Z333" s="321"/>
      <c r="AA333" s="322">
        <v>25000.0</v>
      </c>
      <c r="AB333" s="327"/>
      <c r="AC333" s="321"/>
      <c r="AD333" s="322">
        <v>25000.0</v>
      </c>
      <c r="AE333" s="327"/>
      <c r="AF333" s="321"/>
      <c r="AG333" s="322">
        <v>25000.0</v>
      </c>
      <c r="AH333" s="327"/>
      <c r="AI333" s="321"/>
      <c r="AJ333" s="322">
        <v>25000.0</v>
      </c>
      <c r="AK333" s="327"/>
      <c r="AL333" s="321"/>
      <c r="AM333" s="322">
        <v>25000.0</v>
      </c>
      <c r="AN333" s="316" t="s">
        <v>216</v>
      </c>
      <c r="AO333" s="316"/>
      <c r="AP333" s="316"/>
      <c r="AQ333" s="316"/>
      <c r="AR333" s="316"/>
      <c r="AS333" s="316"/>
      <c r="AT333" s="316"/>
      <c r="AU333" s="316"/>
      <c r="AV333" s="316"/>
      <c r="AW333" s="316"/>
      <c r="AX333" s="316"/>
      <c r="AY333" s="316"/>
      <c r="AZ333" s="316"/>
      <c r="BA333" s="316"/>
      <c r="BB333" s="316"/>
      <c r="BC333" s="316"/>
      <c r="BD333" s="316"/>
      <c r="BE333" s="316"/>
      <c r="BF333" s="316"/>
      <c r="BG333" s="316"/>
      <c r="BH333" s="316"/>
      <c r="BI333" s="316"/>
      <c r="BJ333" s="316"/>
      <c r="BK333" s="316"/>
      <c r="BL333" s="316"/>
      <c r="BM333" s="316"/>
      <c r="BN333" s="316"/>
    </row>
    <row r="334" hidden="1" outlineLevel="1">
      <c r="A334" s="303" t="s">
        <v>610</v>
      </c>
      <c r="B334" s="317" t="s">
        <v>264</v>
      </c>
      <c r="C334" s="325" t="s">
        <v>53</v>
      </c>
      <c r="D334" s="326"/>
      <c r="E334" s="321"/>
      <c r="F334" s="322">
        <v>11000.0</v>
      </c>
      <c r="G334" s="326"/>
      <c r="H334" s="321"/>
      <c r="I334" s="322">
        <v>11000.0</v>
      </c>
      <c r="J334" s="326"/>
      <c r="K334" s="321"/>
      <c r="L334" s="322">
        <v>11000.0</v>
      </c>
      <c r="M334" s="326"/>
      <c r="N334" s="321"/>
      <c r="O334" s="322">
        <v>11000.0</v>
      </c>
      <c r="P334" s="326"/>
      <c r="Q334" s="321"/>
      <c r="R334" s="322">
        <v>11000.0</v>
      </c>
      <c r="S334" s="326"/>
      <c r="T334" s="321"/>
      <c r="U334" s="322">
        <v>11000.0</v>
      </c>
      <c r="V334" s="326"/>
      <c r="W334" s="321"/>
      <c r="X334" s="322">
        <v>11000.0</v>
      </c>
      <c r="Y334" s="326"/>
      <c r="Z334" s="321"/>
      <c r="AA334" s="322">
        <v>11000.0</v>
      </c>
      <c r="AB334" s="326"/>
      <c r="AC334" s="321"/>
      <c r="AD334" s="322">
        <v>11000.0</v>
      </c>
      <c r="AE334" s="326"/>
      <c r="AF334" s="321"/>
      <c r="AG334" s="322">
        <v>11000.0</v>
      </c>
      <c r="AH334" s="326"/>
      <c r="AI334" s="321"/>
      <c r="AJ334" s="322">
        <v>11000.0</v>
      </c>
      <c r="AK334" s="326"/>
      <c r="AL334" s="321"/>
      <c r="AM334" s="322">
        <v>11000.0</v>
      </c>
      <c r="AN334" s="316" t="s">
        <v>216</v>
      </c>
      <c r="AO334" s="316"/>
      <c r="AP334" s="316"/>
      <c r="AQ334" s="316"/>
      <c r="AR334" s="316"/>
      <c r="AS334" s="316"/>
      <c r="AT334" s="316"/>
      <c r="AU334" s="316"/>
      <c r="AV334" s="316"/>
      <c r="AW334" s="316"/>
      <c r="AX334" s="316"/>
      <c r="AY334" s="316"/>
      <c r="AZ334" s="316"/>
      <c r="BA334" s="316"/>
      <c r="BB334" s="316"/>
      <c r="BC334" s="316"/>
      <c r="BD334" s="316"/>
      <c r="BE334" s="316"/>
      <c r="BF334" s="316"/>
      <c r="BG334" s="316"/>
      <c r="BH334" s="316"/>
      <c r="BI334" s="316"/>
      <c r="BJ334" s="316"/>
      <c r="BK334" s="316"/>
      <c r="BL334" s="316"/>
      <c r="BM334" s="316"/>
      <c r="BN334" s="316"/>
    </row>
    <row r="335" hidden="1" outlineLevel="1">
      <c r="A335" s="303" t="s">
        <v>610</v>
      </c>
      <c r="B335" s="317" t="s">
        <v>264</v>
      </c>
      <c r="C335" s="325" t="s">
        <v>265</v>
      </c>
      <c r="D335" s="327"/>
      <c r="E335" s="321"/>
      <c r="F335" s="322">
        <v>10000.0</v>
      </c>
      <c r="G335" s="327"/>
      <c r="H335" s="321"/>
      <c r="I335" s="322">
        <v>10000.0</v>
      </c>
      <c r="J335" s="327"/>
      <c r="K335" s="321"/>
      <c r="L335" s="322">
        <v>10000.0</v>
      </c>
      <c r="M335" s="327"/>
      <c r="N335" s="321"/>
      <c r="O335" s="322">
        <v>10000.0</v>
      </c>
      <c r="P335" s="327"/>
      <c r="Q335" s="321"/>
      <c r="R335" s="322">
        <v>10000.0</v>
      </c>
      <c r="S335" s="327"/>
      <c r="T335" s="321"/>
      <c r="U335" s="322">
        <v>10000.0</v>
      </c>
      <c r="V335" s="327"/>
      <c r="W335" s="321"/>
      <c r="X335" s="322">
        <v>10000.0</v>
      </c>
      <c r="Y335" s="327"/>
      <c r="Z335" s="321"/>
      <c r="AA335" s="322">
        <v>10000.0</v>
      </c>
      <c r="AB335" s="327"/>
      <c r="AC335" s="321"/>
      <c r="AD335" s="322">
        <v>10000.0</v>
      </c>
      <c r="AE335" s="327"/>
      <c r="AF335" s="321"/>
      <c r="AG335" s="322">
        <v>10000.0</v>
      </c>
      <c r="AH335" s="327"/>
      <c r="AI335" s="321"/>
      <c r="AJ335" s="322">
        <v>10000.0</v>
      </c>
      <c r="AK335" s="327"/>
      <c r="AL335" s="321"/>
      <c r="AM335" s="322">
        <v>10000.0</v>
      </c>
      <c r="AN335" s="316" t="s">
        <v>216</v>
      </c>
      <c r="AO335" s="316"/>
      <c r="AP335" s="316"/>
      <c r="AQ335" s="316"/>
      <c r="AR335" s="316"/>
      <c r="AS335" s="316"/>
      <c r="AT335" s="316"/>
      <c r="AU335" s="316"/>
      <c r="AV335" s="316"/>
      <c r="AW335" s="316"/>
      <c r="AX335" s="316"/>
      <c r="AY335" s="316"/>
      <c r="AZ335" s="316"/>
      <c r="BA335" s="316"/>
      <c r="BB335" s="316"/>
      <c r="BC335" s="316"/>
      <c r="BD335" s="316"/>
      <c r="BE335" s="316"/>
      <c r="BF335" s="316"/>
      <c r="BG335" s="316"/>
      <c r="BH335" s="316"/>
      <c r="BI335" s="316"/>
      <c r="BJ335" s="316"/>
      <c r="BK335" s="316"/>
      <c r="BL335" s="316"/>
      <c r="BM335" s="316"/>
      <c r="BN335" s="316"/>
    </row>
    <row r="336" hidden="1" outlineLevel="1">
      <c r="A336" s="303" t="s">
        <v>610</v>
      </c>
      <c r="B336" s="304"/>
      <c r="C336" s="325" t="s">
        <v>54</v>
      </c>
      <c r="D336" s="327"/>
      <c r="E336" s="321"/>
      <c r="F336" s="322">
        <f>SUMIFS('지출'!$G$3:$G794,'지출'!$J$3:$J794,F$1,'지출'!$C$3:$C794,"광흥")</f>
        <v>131550</v>
      </c>
      <c r="G336" s="327"/>
      <c r="H336" s="321"/>
      <c r="I336" s="322">
        <f>SUMIFS('지출'!$G$3:$G794,'지출'!$J$3:$J794,I$1,'지출'!$C$3:$C794,"광흥")</f>
        <v>111700</v>
      </c>
      <c r="J336" s="327"/>
      <c r="K336" s="321"/>
      <c r="L336" s="322">
        <f>SUMIFS('지출'!$G$3:$G794,'지출'!$J$3:$J794,L$1,'지출'!$C$3:$C794,"광흥")</f>
        <v>86540</v>
      </c>
      <c r="M336" s="327"/>
      <c r="N336" s="321"/>
      <c r="O336" s="322">
        <f>SUMIFS('지출'!$G$3:$G794,'지출'!$J$3:$J794,O$1,'지출'!$C$3:$C794,"광흥")</f>
        <v>0</v>
      </c>
      <c r="P336" s="327"/>
      <c r="Q336" s="321"/>
      <c r="R336" s="322">
        <f>SUMIFS('지출'!$G$3:$G794,'지출'!$J$3:$J794,R$1,'지출'!$C$3:$C794,"광흥")</f>
        <v>0</v>
      </c>
      <c r="S336" s="327"/>
      <c r="T336" s="321"/>
      <c r="U336" s="322">
        <f>SUMIFS('지출'!$G$3:$G794,'지출'!$J$3:$J794,U$1,'지출'!$C$3:$C794,"광흥")</f>
        <v>0</v>
      </c>
      <c r="V336" s="327"/>
      <c r="W336" s="321"/>
      <c r="X336" s="322">
        <f>SUMIFS('지출'!$G$3:$G794,'지출'!$J$3:$J794,X$1,'지출'!$C$3:$C794,"광흥")</f>
        <v>0</v>
      </c>
      <c r="Y336" s="327"/>
      <c r="Z336" s="321"/>
      <c r="AA336" s="322">
        <f>SUMIFS('지출'!$G$3:$G794,'지출'!$J$3:$J794,AA$1,'지출'!$C$3:$C794,"광흥")</f>
        <v>0</v>
      </c>
      <c r="AB336" s="327"/>
      <c r="AC336" s="321"/>
      <c r="AD336" s="322">
        <f>SUMIFS('지출'!$G$3:$G794,'지출'!$J$3:$J794,AD$1,'지출'!$C$3:$C794,"광흥")</f>
        <v>0</v>
      </c>
      <c r="AE336" s="327"/>
      <c r="AF336" s="321"/>
      <c r="AG336" s="322">
        <f>SUMIFS('지출'!$G$3:$G794,'지출'!$J$3:$J794,AG$1,'지출'!$C$3:$C794,"광흥")</f>
        <v>0</v>
      </c>
      <c r="AH336" s="327"/>
      <c r="AI336" s="321"/>
      <c r="AJ336" s="322">
        <f>SUMIFS('지출'!$G$3:$G794,'지출'!$J$3:$J794,AJ$1,'지출'!$C$3:$C794,"광흥")</f>
        <v>0</v>
      </c>
      <c r="AK336" s="327"/>
      <c r="AL336" s="321"/>
      <c r="AM336" s="322">
        <f>SUMIFS('지출'!$G$3:$G794,'지출'!$J$3:$J794,AM$1,'지출'!$C$3:$C794,"광흥")</f>
        <v>0</v>
      </c>
      <c r="AN336" s="316" t="s">
        <v>216</v>
      </c>
      <c r="AO336" s="316"/>
      <c r="AP336" s="316"/>
      <c r="AQ336" s="316"/>
      <c r="AR336" s="316"/>
      <c r="AS336" s="316"/>
      <c r="AT336" s="316"/>
      <c r="AU336" s="316"/>
      <c r="AV336" s="316"/>
      <c r="AW336" s="316"/>
      <c r="AX336" s="316"/>
      <c r="AY336" s="316"/>
      <c r="AZ336" s="316"/>
      <c r="BA336" s="316"/>
      <c r="BB336" s="316"/>
      <c r="BC336" s="316"/>
      <c r="BD336" s="316"/>
      <c r="BE336" s="316"/>
      <c r="BF336" s="316"/>
      <c r="BG336" s="316"/>
      <c r="BH336" s="316"/>
      <c r="BI336" s="316"/>
      <c r="BJ336" s="316"/>
      <c r="BK336" s="316"/>
      <c r="BL336" s="316"/>
      <c r="BM336" s="316"/>
      <c r="BN336" s="316"/>
    </row>
    <row r="337" hidden="1" outlineLevel="1">
      <c r="A337" s="303" t="s">
        <v>610</v>
      </c>
      <c r="B337" s="304"/>
      <c r="C337" s="325" t="s">
        <v>56</v>
      </c>
      <c r="D337" s="320"/>
      <c r="E337" s="323">
        <f t="shared" ref="E337:F337" si="444">E327-(SUM(E328:E334))</f>
        <v>1770000</v>
      </c>
      <c r="F337" s="324">
        <f t="shared" si="444"/>
        <v>197580</v>
      </c>
      <c r="G337" s="320"/>
      <c r="H337" s="323">
        <f t="shared" ref="H337:I337" si="445">H327-(SUM(H328:H334))</f>
        <v>1171429</v>
      </c>
      <c r="I337" s="324">
        <f t="shared" si="445"/>
        <v>-55006</v>
      </c>
      <c r="J337" s="320"/>
      <c r="K337" s="323">
        <f t="shared" ref="K337:L337" si="446">K327-(SUM(K328:K334))</f>
        <v>1380000</v>
      </c>
      <c r="L337" s="324">
        <f t="shared" si="446"/>
        <v>-200830</v>
      </c>
      <c r="M337" s="320"/>
      <c r="N337" s="323">
        <f t="shared" ref="N337:O337" si="447">N327-(SUM(N328:N334))</f>
        <v>1380000</v>
      </c>
      <c r="O337" s="324">
        <f t="shared" si="447"/>
        <v>684000</v>
      </c>
      <c r="P337" s="320"/>
      <c r="Q337" s="323">
        <f t="shared" ref="Q337:R337" si="448">Q327-(SUM(Q328:Q334))</f>
        <v>1380000</v>
      </c>
      <c r="R337" s="324">
        <f t="shared" si="448"/>
        <v>684000</v>
      </c>
      <c r="S337" s="320"/>
      <c r="T337" s="323">
        <f t="shared" ref="T337:U337" si="449">T327-(SUM(T328:T334))</f>
        <v>1380000</v>
      </c>
      <c r="U337" s="324">
        <f t="shared" si="449"/>
        <v>684000</v>
      </c>
      <c r="V337" s="320"/>
      <c r="W337" s="323">
        <f t="shared" ref="W337:X337" si="450">W327-(SUM(W328:W334))</f>
        <v>1380000</v>
      </c>
      <c r="X337" s="324">
        <f t="shared" si="450"/>
        <v>684000</v>
      </c>
      <c r="Y337" s="320"/>
      <c r="Z337" s="323">
        <f t="shared" ref="Z337:AA337" si="451">Z327-(SUM(Z328:Z334))</f>
        <v>1031613</v>
      </c>
      <c r="AA337" s="324">
        <f t="shared" si="451"/>
        <v>614323</v>
      </c>
      <c r="AB337" s="320"/>
      <c r="AC337" s="323">
        <f t="shared" ref="AC337:AD337" si="452">AC327-(SUM(AC328:AC334))</f>
        <v>-400000</v>
      </c>
      <c r="AD337" s="324">
        <f t="shared" si="452"/>
        <v>324000</v>
      </c>
      <c r="AE337" s="320"/>
      <c r="AF337" s="323">
        <f t="shared" ref="AF337:AG337" si="453">AF327-(SUM(AF328:AF334))</f>
        <v>-400000</v>
      </c>
      <c r="AG337" s="324">
        <f t="shared" si="453"/>
        <v>324000</v>
      </c>
      <c r="AH337" s="320"/>
      <c r="AI337" s="323">
        <f t="shared" ref="AI337:AJ337" si="454">AI327-(SUM(AI328:AI334))</f>
        <v>-400000</v>
      </c>
      <c r="AJ337" s="324">
        <f t="shared" si="454"/>
        <v>324000</v>
      </c>
      <c r="AK337" s="320"/>
      <c r="AL337" s="323">
        <f t="shared" ref="AL337:AM337" si="455">AL327-(SUM(AL328:AL334))</f>
        <v>-400000</v>
      </c>
      <c r="AM337" s="324">
        <f t="shared" si="455"/>
        <v>324000</v>
      </c>
      <c r="AN337" s="316" t="s">
        <v>216</v>
      </c>
      <c r="AO337" s="316"/>
      <c r="AP337" s="316"/>
      <c r="AQ337" s="316"/>
      <c r="AR337" s="316"/>
      <c r="AS337" s="316"/>
      <c r="AT337" s="316"/>
      <c r="AU337" s="316"/>
      <c r="AV337" s="316"/>
      <c r="AW337" s="316"/>
      <c r="AX337" s="316"/>
      <c r="AY337" s="316"/>
      <c r="AZ337" s="316"/>
      <c r="BA337" s="316"/>
      <c r="BB337" s="316"/>
      <c r="BC337" s="316"/>
      <c r="BD337" s="316"/>
      <c r="BE337" s="316"/>
      <c r="BF337" s="316"/>
      <c r="BG337" s="316"/>
      <c r="BH337" s="316"/>
      <c r="BI337" s="316"/>
      <c r="BJ337" s="316"/>
      <c r="BK337" s="316"/>
      <c r="BL337" s="316"/>
      <c r="BM337" s="316"/>
      <c r="BN337" s="316"/>
    </row>
    <row r="338">
      <c r="A338" s="303" t="s">
        <v>610</v>
      </c>
      <c r="B338" s="328">
        <v>0.0</v>
      </c>
      <c r="C338" s="325" t="s">
        <v>26</v>
      </c>
      <c r="D338" s="320"/>
      <c r="E338" s="323">
        <f>E337*$B338</f>
        <v>0</v>
      </c>
      <c r="F338" s="324"/>
      <c r="G338" s="320"/>
      <c r="H338" s="323">
        <f>H337*$B338</f>
        <v>0</v>
      </c>
      <c r="I338" s="324"/>
      <c r="J338" s="320"/>
      <c r="K338" s="323">
        <f>K337*$B338</f>
        <v>0</v>
      </c>
      <c r="L338" s="324"/>
      <c r="M338" s="320"/>
      <c r="N338" s="323">
        <f>N337*$B338</f>
        <v>0</v>
      </c>
      <c r="O338" s="324"/>
      <c r="P338" s="320"/>
      <c r="Q338" s="323">
        <f>Q337*$B338</f>
        <v>0</v>
      </c>
      <c r="R338" s="324"/>
      <c r="S338" s="320"/>
      <c r="T338" s="323">
        <f>T337*$B338</f>
        <v>0</v>
      </c>
      <c r="U338" s="324"/>
      <c r="V338" s="320"/>
      <c r="W338" s="323">
        <f>W337*$B338</f>
        <v>0</v>
      </c>
      <c r="X338" s="324"/>
      <c r="Y338" s="320"/>
      <c r="Z338" s="323">
        <f>Z337*$B338</f>
        <v>0</v>
      </c>
      <c r="AA338" s="324"/>
      <c r="AB338" s="320"/>
      <c r="AC338" s="323">
        <f>AC337*$B338</f>
        <v>0</v>
      </c>
      <c r="AD338" s="324"/>
      <c r="AE338" s="320"/>
      <c r="AF338" s="323">
        <f>AF337*$B338</f>
        <v>0</v>
      </c>
      <c r="AG338" s="324"/>
      <c r="AH338" s="320"/>
      <c r="AI338" s="323">
        <f>AI337*$B338</f>
        <v>0</v>
      </c>
      <c r="AJ338" s="324"/>
      <c r="AK338" s="320"/>
      <c r="AL338" s="323">
        <f>AL337*$B338</f>
        <v>0</v>
      </c>
      <c r="AM338" s="324"/>
      <c r="AN338" s="316" t="s">
        <v>216</v>
      </c>
      <c r="AO338" s="316"/>
      <c r="AP338" s="316"/>
      <c r="AQ338" s="316"/>
      <c r="AR338" s="316"/>
      <c r="AS338" s="316"/>
      <c r="AT338" s="316"/>
      <c r="AU338" s="316"/>
      <c r="AV338" s="316"/>
      <c r="AW338" s="316"/>
      <c r="AX338" s="316"/>
      <c r="AY338" s="316"/>
      <c r="AZ338" s="316"/>
      <c r="BA338" s="316"/>
      <c r="BB338" s="316"/>
      <c r="BC338" s="316"/>
      <c r="BD338" s="316"/>
      <c r="BE338" s="316"/>
      <c r="BF338" s="316"/>
      <c r="BG338" s="316"/>
      <c r="BH338" s="316"/>
      <c r="BI338" s="316"/>
      <c r="BJ338" s="316"/>
      <c r="BK338" s="316"/>
      <c r="BL338" s="316"/>
      <c r="BM338" s="316"/>
      <c r="BN338" s="316"/>
    </row>
    <row r="339">
      <c r="A339" s="303" t="s">
        <v>610</v>
      </c>
      <c r="B339" s="329">
        <v>1.0</v>
      </c>
      <c r="C339" s="330" t="s">
        <v>57</v>
      </c>
      <c r="D339" s="331"/>
      <c r="E339" s="332">
        <f>E337*$B339</f>
        <v>1770000</v>
      </c>
      <c r="F339" s="333"/>
      <c r="G339" s="331"/>
      <c r="H339" s="332">
        <f>H337*$B339</f>
        <v>1171429</v>
      </c>
      <c r="I339" s="333"/>
      <c r="J339" s="331"/>
      <c r="K339" s="332">
        <f>K337*$B339</f>
        <v>1380000</v>
      </c>
      <c r="L339" s="333"/>
      <c r="M339" s="331"/>
      <c r="N339" s="332">
        <f>N337*$B339</f>
        <v>1380000</v>
      </c>
      <c r="O339" s="333"/>
      <c r="P339" s="331"/>
      <c r="Q339" s="332">
        <f>Q337*$B339</f>
        <v>1380000</v>
      </c>
      <c r="R339" s="333"/>
      <c r="S339" s="331"/>
      <c r="T339" s="332">
        <f>T337*$B339</f>
        <v>1380000</v>
      </c>
      <c r="U339" s="333"/>
      <c r="V339" s="331"/>
      <c r="W339" s="332">
        <f>W337*$B339</f>
        <v>1380000</v>
      </c>
      <c r="X339" s="333"/>
      <c r="Y339" s="331"/>
      <c r="Z339" s="332">
        <f>Z337*$B339</f>
        <v>1031613</v>
      </c>
      <c r="AA339" s="333"/>
      <c r="AB339" s="331"/>
      <c r="AC339" s="332">
        <f>AC337*$B339</f>
        <v>-400000</v>
      </c>
      <c r="AD339" s="333"/>
      <c r="AE339" s="331"/>
      <c r="AF339" s="332">
        <f>AF337*$B339</f>
        <v>-400000</v>
      </c>
      <c r="AG339" s="333"/>
      <c r="AH339" s="331"/>
      <c r="AI339" s="332">
        <f>AI337*$B339</f>
        <v>-400000</v>
      </c>
      <c r="AJ339" s="333"/>
      <c r="AK339" s="331"/>
      <c r="AL339" s="332">
        <f>AL337*$B339</f>
        <v>-400000</v>
      </c>
      <c r="AM339" s="333"/>
      <c r="AN339" s="316" t="s">
        <v>216</v>
      </c>
      <c r="AO339" s="316"/>
      <c r="AP339" s="316"/>
      <c r="AQ339" s="316"/>
      <c r="AR339" s="316"/>
      <c r="AS339" s="316"/>
      <c r="AT339" s="316"/>
      <c r="AU339" s="316"/>
      <c r="AV339" s="316"/>
      <c r="AW339" s="316"/>
      <c r="AX339" s="316"/>
      <c r="AY339" s="316"/>
      <c r="AZ339" s="316"/>
      <c r="BA339" s="316"/>
      <c r="BB339" s="316"/>
      <c r="BC339" s="316"/>
      <c r="BD339" s="316"/>
      <c r="BE339" s="316"/>
      <c r="BF339" s="316"/>
      <c r="BG339" s="316"/>
      <c r="BH339" s="316"/>
      <c r="BI339" s="316"/>
      <c r="BJ339" s="316"/>
      <c r="BK339" s="316"/>
      <c r="BL339" s="316"/>
      <c r="BM339" s="316"/>
      <c r="BN339" s="316"/>
    </row>
    <row r="340">
      <c r="A340" s="303" t="s">
        <v>629</v>
      </c>
      <c r="B340" s="384" t="s">
        <v>629</v>
      </c>
      <c r="C340" s="385" t="s">
        <v>320</v>
      </c>
      <c r="D340" s="341" t="s">
        <v>631</v>
      </c>
      <c r="E340" s="335">
        <v>600000.0</v>
      </c>
      <c r="F340" s="346">
        <v>80000.0</v>
      </c>
      <c r="G340" s="341" t="s">
        <v>631</v>
      </c>
      <c r="H340" s="335">
        <v>600000.0</v>
      </c>
      <c r="I340" s="346">
        <v>80000.0</v>
      </c>
      <c r="J340" s="341" t="s">
        <v>631</v>
      </c>
      <c r="K340" s="335">
        <v>600000.0</v>
      </c>
      <c r="L340" s="345">
        <v>100000.0</v>
      </c>
      <c r="M340" s="341" t="s">
        <v>631</v>
      </c>
      <c r="N340" s="335">
        <v>600000.0</v>
      </c>
      <c r="O340" s="345">
        <v>100000.0</v>
      </c>
      <c r="P340" s="341" t="s">
        <v>631</v>
      </c>
      <c r="Q340" s="335">
        <v>600000.0</v>
      </c>
      <c r="R340" s="345">
        <v>100000.0</v>
      </c>
      <c r="S340" s="341" t="s">
        <v>631</v>
      </c>
      <c r="T340" s="335">
        <v>600000.0</v>
      </c>
      <c r="U340" s="345">
        <v>100000.0</v>
      </c>
      <c r="V340" s="341" t="s">
        <v>631</v>
      </c>
      <c r="W340" s="335">
        <v>600000.0</v>
      </c>
      <c r="X340" s="345">
        <v>100000.0</v>
      </c>
      <c r="Y340" s="341" t="s">
        <v>631</v>
      </c>
      <c r="Z340" s="335">
        <v>600000.0</v>
      </c>
      <c r="AA340" s="345">
        <v>100000.0</v>
      </c>
      <c r="AB340" s="341" t="s">
        <v>631</v>
      </c>
      <c r="AC340" s="335">
        <v>600000.0</v>
      </c>
      <c r="AD340" s="345">
        <v>100000.0</v>
      </c>
      <c r="AE340" s="341" t="s">
        <v>631</v>
      </c>
      <c r="AF340" s="335">
        <v>600000.0</v>
      </c>
      <c r="AG340" s="345">
        <v>100000.0</v>
      </c>
      <c r="AH340" s="341" t="s">
        <v>631</v>
      </c>
      <c r="AI340" s="335">
        <v>600000.0</v>
      </c>
      <c r="AJ340" s="345">
        <v>100000.0</v>
      </c>
      <c r="AK340" s="341" t="s">
        <v>631</v>
      </c>
      <c r="AL340" s="335">
        <v>600000.0</v>
      </c>
      <c r="AM340" s="345">
        <v>100000.0</v>
      </c>
      <c r="AN340" s="316" t="s">
        <v>357</v>
      </c>
      <c r="AO340" s="316"/>
      <c r="AP340" s="316"/>
      <c r="AQ340" s="316"/>
      <c r="AR340" s="316"/>
      <c r="AS340" s="316"/>
      <c r="AT340" s="316"/>
      <c r="AU340" s="316"/>
      <c r="AV340" s="316"/>
      <c r="AW340" s="316"/>
      <c r="AX340" s="316"/>
      <c r="AY340" s="316"/>
      <c r="AZ340" s="316"/>
      <c r="BA340" s="316"/>
      <c r="BB340" s="316"/>
      <c r="BC340" s="316"/>
      <c r="BD340" s="316"/>
      <c r="BE340" s="316"/>
      <c r="BF340" s="316"/>
      <c r="BG340" s="316"/>
      <c r="BH340" s="316"/>
      <c r="BI340" s="316"/>
      <c r="BJ340" s="316"/>
      <c r="BK340" s="316"/>
      <c r="BL340" s="316"/>
      <c r="BM340" s="316"/>
      <c r="BN340" s="316"/>
    </row>
    <row r="341">
      <c r="A341" s="303" t="s">
        <v>629</v>
      </c>
      <c r="B341" s="384" t="s">
        <v>629</v>
      </c>
      <c r="C341" s="385" t="s">
        <v>322</v>
      </c>
      <c r="D341" s="341" t="s">
        <v>1618</v>
      </c>
      <c r="E341" s="348">
        <v>470000.0</v>
      </c>
      <c r="F341" s="346">
        <v>100000.0</v>
      </c>
      <c r="G341" s="341" t="s">
        <v>1618</v>
      </c>
      <c r="H341" s="348">
        <v>470000.0</v>
      </c>
      <c r="I341" s="346">
        <v>100000.0</v>
      </c>
      <c r="J341" s="341" t="s">
        <v>1618</v>
      </c>
      <c r="K341" s="348">
        <v>550000.0</v>
      </c>
      <c r="L341" s="346">
        <v>100000.0</v>
      </c>
      <c r="M341" s="341" t="s">
        <v>1618</v>
      </c>
      <c r="N341" s="348">
        <v>550000.0</v>
      </c>
      <c r="O341" s="346">
        <v>100000.0</v>
      </c>
      <c r="P341" s="341" t="s">
        <v>1618</v>
      </c>
      <c r="Q341" s="348">
        <v>550000.0</v>
      </c>
      <c r="R341" s="346">
        <v>100000.0</v>
      </c>
      <c r="S341" s="341" t="s">
        <v>1618</v>
      </c>
      <c r="T341" s="348">
        <v>550000.0</v>
      </c>
      <c r="U341" s="346">
        <v>100000.0</v>
      </c>
      <c r="V341" s="341" t="s">
        <v>1618</v>
      </c>
      <c r="W341" s="348">
        <v>550000.0</v>
      </c>
      <c r="X341" s="346">
        <v>100000.0</v>
      </c>
      <c r="Y341" s="341" t="s">
        <v>1618</v>
      </c>
      <c r="Z341" s="348">
        <v>550000.0</v>
      </c>
      <c r="AA341" s="346">
        <v>100000.0</v>
      </c>
      <c r="AB341" s="341" t="s">
        <v>1618</v>
      </c>
      <c r="AC341" s="348">
        <v>550000.0</v>
      </c>
      <c r="AD341" s="346">
        <v>100000.0</v>
      </c>
      <c r="AE341" s="341" t="s">
        <v>1618</v>
      </c>
      <c r="AF341" s="348">
        <v>550000.0</v>
      </c>
      <c r="AG341" s="346">
        <v>100000.0</v>
      </c>
      <c r="AH341" s="341" t="s">
        <v>1618</v>
      </c>
      <c r="AI341" s="348">
        <v>550000.0</v>
      </c>
      <c r="AJ341" s="346">
        <v>100000.0</v>
      </c>
      <c r="AK341" s="341" t="s">
        <v>1618</v>
      </c>
      <c r="AL341" s="348">
        <v>550000.0</v>
      </c>
      <c r="AM341" s="346">
        <v>100000.0</v>
      </c>
      <c r="AN341" s="316" t="s">
        <v>357</v>
      </c>
      <c r="AO341" s="316"/>
      <c r="AP341" s="316"/>
      <c r="AQ341" s="316"/>
      <c r="AR341" s="316"/>
      <c r="AS341" s="316"/>
      <c r="AT341" s="316"/>
      <c r="AU341" s="316"/>
      <c r="AV341" s="316"/>
      <c r="AW341" s="316"/>
      <c r="AX341" s="316"/>
      <c r="AY341" s="316"/>
      <c r="AZ341" s="316"/>
      <c r="BA341" s="316"/>
      <c r="BB341" s="316"/>
      <c r="BC341" s="316"/>
      <c r="BD341" s="316"/>
      <c r="BE341" s="316"/>
      <c r="BF341" s="316"/>
      <c r="BG341" s="316"/>
      <c r="BH341" s="316"/>
      <c r="BI341" s="316"/>
      <c r="BJ341" s="316"/>
      <c r="BK341" s="316"/>
      <c r="BL341" s="316"/>
      <c r="BM341" s="316"/>
      <c r="BN341" s="316"/>
    </row>
    <row r="342">
      <c r="A342" s="303" t="s">
        <v>629</v>
      </c>
      <c r="B342" s="384" t="s">
        <v>629</v>
      </c>
      <c r="C342" s="385" t="s">
        <v>323</v>
      </c>
      <c r="D342" s="341" t="s">
        <v>37</v>
      </c>
      <c r="E342" s="335"/>
      <c r="F342" s="346"/>
      <c r="G342" s="341" t="s">
        <v>37</v>
      </c>
      <c r="H342" s="323"/>
      <c r="I342" s="322"/>
      <c r="J342" s="326" t="s">
        <v>2210</v>
      </c>
      <c r="K342" s="321">
        <v>329032.0</v>
      </c>
      <c r="L342" s="386">
        <v>64516.0</v>
      </c>
      <c r="M342" s="326" t="s">
        <v>2211</v>
      </c>
      <c r="N342" s="348">
        <v>510000.0</v>
      </c>
      <c r="O342" s="346">
        <v>100000.0</v>
      </c>
      <c r="P342" s="326" t="s">
        <v>2211</v>
      </c>
      <c r="Q342" s="348">
        <v>510000.0</v>
      </c>
      <c r="R342" s="346">
        <v>100000.0</v>
      </c>
      <c r="S342" s="326" t="s">
        <v>2211</v>
      </c>
      <c r="T342" s="348">
        <v>510000.0</v>
      </c>
      <c r="U342" s="346">
        <v>100000.0</v>
      </c>
      <c r="V342" s="326" t="s">
        <v>2211</v>
      </c>
      <c r="W342" s="348">
        <v>510000.0</v>
      </c>
      <c r="X342" s="346">
        <v>100000.0</v>
      </c>
      <c r="Y342" s="326" t="s">
        <v>2212</v>
      </c>
      <c r="Z342" s="348">
        <v>510000.0</v>
      </c>
      <c r="AA342" s="346">
        <v>100000.0</v>
      </c>
      <c r="AB342" s="326"/>
      <c r="AC342" s="321"/>
      <c r="AD342" s="322"/>
      <c r="AE342" s="326"/>
      <c r="AF342" s="321"/>
      <c r="AG342" s="322"/>
      <c r="AH342" s="326"/>
      <c r="AI342" s="321"/>
      <c r="AJ342" s="322"/>
      <c r="AK342" s="326"/>
      <c r="AL342" s="321"/>
      <c r="AM342" s="322"/>
      <c r="AN342" s="316" t="s">
        <v>357</v>
      </c>
      <c r="AO342" s="323"/>
      <c r="AP342" s="387"/>
      <c r="AQ342" s="387"/>
      <c r="AR342" s="321"/>
      <c r="AS342" s="388"/>
      <c r="AT342" s="387"/>
      <c r="AU342" s="387"/>
      <c r="AV342" s="387"/>
      <c r="AW342" s="387"/>
      <c r="AX342" s="387"/>
      <c r="AY342" s="387"/>
      <c r="AZ342" s="387"/>
      <c r="BA342" s="387"/>
      <c r="BB342" s="387"/>
      <c r="BC342" s="387"/>
      <c r="BD342" s="387"/>
      <c r="BE342" s="387"/>
      <c r="BF342" s="387"/>
      <c r="BG342" s="387"/>
      <c r="BH342" s="387"/>
      <c r="BI342" s="387"/>
      <c r="BJ342" s="387"/>
      <c r="BK342" s="387"/>
      <c r="BL342" s="387"/>
      <c r="BM342" s="387"/>
      <c r="BN342" s="387"/>
    </row>
    <row r="343">
      <c r="A343" s="303" t="s">
        <v>629</v>
      </c>
      <c r="B343" s="384" t="s">
        <v>629</v>
      </c>
      <c r="C343" s="385" t="s">
        <v>349</v>
      </c>
      <c r="D343" s="341" t="s">
        <v>642</v>
      </c>
      <c r="E343" s="335">
        <v>480000.0</v>
      </c>
      <c r="F343" s="346">
        <v>80000.0</v>
      </c>
      <c r="G343" s="341" t="s">
        <v>642</v>
      </c>
      <c r="H343" s="335">
        <v>480000.0</v>
      </c>
      <c r="I343" s="346">
        <v>80000.0</v>
      </c>
      <c r="J343" s="341" t="s">
        <v>642</v>
      </c>
      <c r="K343" s="335">
        <v>480000.0</v>
      </c>
      <c r="L343" s="346">
        <v>100000.0</v>
      </c>
      <c r="M343" s="341" t="s">
        <v>642</v>
      </c>
      <c r="N343" s="335">
        <v>480000.0</v>
      </c>
      <c r="O343" s="346">
        <v>100000.0</v>
      </c>
      <c r="P343" s="341" t="s">
        <v>642</v>
      </c>
      <c r="Q343" s="335">
        <v>480000.0</v>
      </c>
      <c r="R343" s="346">
        <v>100000.0</v>
      </c>
      <c r="S343" s="341" t="s">
        <v>642</v>
      </c>
      <c r="T343" s="335">
        <v>480000.0</v>
      </c>
      <c r="U343" s="346">
        <v>100000.0</v>
      </c>
      <c r="V343" s="341" t="s">
        <v>642</v>
      </c>
      <c r="W343" s="335">
        <v>480000.0</v>
      </c>
      <c r="X343" s="346">
        <v>100000.0</v>
      </c>
      <c r="Y343" s="353" t="s">
        <v>2213</v>
      </c>
      <c r="Z343" s="335">
        <v>480000.0</v>
      </c>
      <c r="AA343" s="346">
        <v>100000.0</v>
      </c>
      <c r="AB343" s="326"/>
      <c r="AC343" s="323"/>
      <c r="AD343" s="322"/>
      <c r="AE343" s="326"/>
      <c r="AF343" s="323"/>
      <c r="AG343" s="322"/>
      <c r="AH343" s="326"/>
      <c r="AI343" s="323"/>
      <c r="AJ343" s="322"/>
      <c r="AK343" s="326"/>
      <c r="AL343" s="323"/>
      <c r="AM343" s="322"/>
      <c r="AN343" s="316" t="s">
        <v>357</v>
      </c>
      <c r="AO343" s="316"/>
      <c r="AP343" s="316"/>
      <c r="AQ343" s="316"/>
      <c r="AR343" s="316"/>
      <c r="AS343" s="316"/>
      <c r="AT343" s="316"/>
      <c r="AU343" s="316"/>
      <c r="AV343" s="316"/>
      <c r="AW343" s="316"/>
      <c r="AX343" s="316"/>
      <c r="AY343" s="316"/>
      <c r="AZ343" s="316"/>
      <c r="BA343" s="316"/>
      <c r="BB343" s="316"/>
      <c r="BC343" s="316"/>
      <c r="BD343" s="316"/>
      <c r="BE343" s="316"/>
      <c r="BF343" s="316"/>
      <c r="BG343" s="316"/>
      <c r="BH343" s="316"/>
      <c r="BI343" s="316"/>
      <c r="BJ343" s="316"/>
      <c r="BK343" s="316"/>
      <c r="BL343" s="316"/>
      <c r="BM343" s="316"/>
      <c r="BN343" s="316"/>
    </row>
    <row r="344">
      <c r="A344" s="303" t="s">
        <v>629</v>
      </c>
      <c r="B344" s="304"/>
      <c r="C344" s="305" t="s">
        <v>42</v>
      </c>
      <c r="D344" s="320"/>
      <c r="E344" s="323">
        <f t="shared" ref="E344:F344" si="456">SUM(E340:E343)</f>
        <v>1550000</v>
      </c>
      <c r="F344" s="324">
        <f t="shared" si="456"/>
        <v>260000</v>
      </c>
      <c r="G344" s="320"/>
      <c r="H344" s="323">
        <f t="shared" ref="H344:I344" si="457">SUM(H340:H343)</f>
        <v>1550000</v>
      </c>
      <c r="I344" s="324">
        <f t="shared" si="457"/>
        <v>260000</v>
      </c>
      <c r="J344" s="320"/>
      <c r="K344" s="323">
        <f t="shared" ref="K344:L344" si="458">SUM(K340:K343)</f>
        <v>1959032</v>
      </c>
      <c r="L344" s="324">
        <f t="shared" si="458"/>
        <v>364516</v>
      </c>
      <c r="M344" s="320"/>
      <c r="N344" s="323">
        <f t="shared" ref="N344:O344" si="459">SUM(N340:N343)</f>
        <v>2140000</v>
      </c>
      <c r="O344" s="324">
        <f t="shared" si="459"/>
        <v>400000</v>
      </c>
      <c r="P344" s="320"/>
      <c r="Q344" s="323">
        <f t="shared" ref="Q344:R344" si="460">SUM(Q340:Q343)</f>
        <v>2140000</v>
      </c>
      <c r="R344" s="324">
        <f t="shared" si="460"/>
        <v>400000</v>
      </c>
      <c r="S344" s="320"/>
      <c r="T344" s="323">
        <f t="shared" ref="T344:U344" si="461">SUM(T340:T343)</f>
        <v>2140000</v>
      </c>
      <c r="U344" s="324">
        <f t="shared" si="461"/>
        <v>400000</v>
      </c>
      <c r="V344" s="320"/>
      <c r="W344" s="323">
        <f t="shared" ref="W344:X344" si="462">SUM(W340:W343)</f>
        <v>2140000</v>
      </c>
      <c r="X344" s="324">
        <f t="shared" si="462"/>
        <v>400000</v>
      </c>
      <c r="Y344" s="320"/>
      <c r="Z344" s="323">
        <f t="shared" ref="Z344:AA344" si="463">SUM(Z340:Z343)</f>
        <v>2140000</v>
      </c>
      <c r="AA344" s="324">
        <f t="shared" si="463"/>
        <v>400000</v>
      </c>
      <c r="AB344" s="320"/>
      <c r="AC344" s="323">
        <f t="shared" ref="AC344:AD344" si="464">SUM(AC340:AC343)</f>
        <v>1150000</v>
      </c>
      <c r="AD344" s="324">
        <f t="shared" si="464"/>
        <v>200000</v>
      </c>
      <c r="AE344" s="320"/>
      <c r="AF344" s="323">
        <f t="shared" ref="AF344:AG344" si="465">SUM(AF340:AF343)</f>
        <v>1150000</v>
      </c>
      <c r="AG344" s="324">
        <f t="shared" si="465"/>
        <v>200000</v>
      </c>
      <c r="AH344" s="320"/>
      <c r="AI344" s="323">
        <f t="shared" ref="AI344:AJ344" si="466">SUM(AI340:AI343)</f>
        <v>1150000</v>
      </c>
      <c r="AJ344" s="324">
        <f t="shared" si="466"/>
        <v>200000</v>
      </c>
      <c r="AK344" s="320"/>
      <c r="AL344" s="323">
        <f t="shared" ref="AL344:AM344" si="467">SUM(AL340:AL343)</f>
        <v>1150000</v>
      </c>
      <c r="AM344" s="324">
        <f t="shared" si="467"/>
        <v>200000</v>
      </c>
      <c r="AN344" s="316" t="s">
        <v>357</v>
      </c>
      <c r="AO344" s="316"/>
      <c r="AP344" s="316"/>
      <c r="AQ344" s="316"/>
      <c r="AR344" s="316"/>
      <c r="AS344" s="316"/>
      <c r="AT344" s="316"/>
      <c r="AU344" s="316"/>
      <c r="AV344" s="316"/>
      <c r="AW344" s="316"/>
      <c r="AX344" s="316"/>
      <c r="AY344" s="316"/>
      <c r="AZ344" s="316"/>
      <c r="BA344" s="316"/>
      <c r="BB344" s="316"/>
      <c r="BC344" s="316"/>
      <c r="BD344" s="316"/>
      <c r="BE344" s="316"/>
      <c r="BF344" s="316"/>
      <c r="BG344" s="316"/>
      <c r="BH344" s="316"/>
      <c r="BI344" s="316"/>
      <c r="BJ344" s="316"/>
      <c r="BK344" s="316"/>
      <c r="BL344" s="316"/>
      <c r="BM344" s="316"/>
      <c r="BN344" s="316"/>
    </row>
    <row r="345" collapsed="1">
      <c r="A345" s="303" t="s">
        <v>629</v>
      </c>
      <c r="B345" s="304"/>
      <c r="C345" s="325" t="s">
        <v>43</v>
      </c>
      <c r="D345" s="326"/>
      <c r="E345" s="321"/>
      <c r="F345" s="324"/>
      <c r="G345" s="326"/>
      <c r="H345" s="321"/>
      <c r="I345" s="324"/>
      <c r="J345" s="326"/>
      <c r="K345" s="321"/>
      <c r="L345" s="324"/>
      <c r="M345" s="326"/>
      <c r="N345" s="321"/>
      <c r="O345" s="324"/>
      <c r="P345" s="326"/>
      <c r="Q345" s="321"/>
      <c r="R345" s="324"/>
      <c r="S345" s="326"/>
      <c r="T345" s="321"/>
      <c r="U345" s="324"/>
      <c r="V345" s="326"/>
      <c r="W345" s="321"/>
      <c r="X345" s="324"/>
      <c r="Y345" s="326"/>
      <c r="Z345" s="321"/>
      <c r="AA345" s="324"/>
      <c r="AB345" s="326"/>
      <c r="AC345" s="321"/>
      <c r="AD345" s="324"/>
      <c r="AE345" s="326"/>
      <c r="AF345" s="321"/>
      <c r="AG345" s="324"/>
      <c r="AH345" s="326"/>
      <c r="AI345" s="321"/>
      <c r="AJ345" s="324"/>
      <c r="AK345" s="326"/>
      <c r="AL345" s="321"/>
      <c r="AM345" s="324"/>
      <c r="AN345" s="316" t="s">
        <v>357</v>
      </c>
      <c r="AO345" s="316"/>
      <c r="AP345" s="316"/>
      <c r="AQ345" s="316"/>
      <c r="AR345" s="316"/>
      <c r="AS345" s="316"/>
      <c r="AT345" s="316"/>
      <c r="AU345" s="316"/>
      <c r="AV345" s="316"/>
      <c r="AW345" s="316"/>
      <c r="AX345" s="316"/>
      <c r="AY345" s="316"/>
      <c r="AZ345" s="316"/>
      <c r="BA345" s="316"/>
      <c r="BB345" s="316"/>
      <c r="BC345" s="316"/>
      <c r="BD345" s="316"/>
      <c r="BE345" s="316"/>
      <c r="BF345" s="316"/>
      <c r="BG345" s="316"/>
      <c r="BH345" s="316"/>
      <c r="BI345" s="316"/>
      <c r="BJ345" s="316"/>
      <c r="BK345" s="316"/>
      <c r="BL345" s="316"/>
      <c r="BM345" s="316"/>
      <c r="BN345" s="316"/>
    </row>
    <row r="346" hidden="1" outlineLevel="1">
      <c r="A346" s="303" t="s">
        <v>629</v>
      </c>
      <c r="B346" s="317" t="s">
        <v>95</v>
      </c>
      <c r="C346" s="325" t="s">
        <v>45</v>
      </c>
      <c r="D346" s="326"/>
      <c r="E346" s="321"/>
      <c r="F346" s="322">
        <v>12500.0</v>
      </c>
      <c r="G346" s="326"/>
      <c r="H346" s="321"/>
      <c r="I346" s="322">
        <v>12500.0</v>
      </c>
      <c r="J346" s="326"/>
      <c r="K346" s="321"/>
      <c r="L346" s="322"/>
      <c r="M346" s="326"/>
      <c r="N346" s="321"/>
      <c r="O346" s="322"/>
      <c r="P346" s="326"/>
      <c r="Q346" s="321"/>
      <c r="R346" s="322"/>
      <c r="S346" s="326"/>
      <c r="T346" s="321"/>
      <c r="U346" s="322"/>
      <c r="V346" s="326"/>
      <c r="W346" s="321"/>
      <c r="X346" s="322"/>
      <c r="Y346" s="326"/>
      <c r="Z346" s="321"/>
      <c r="AA346" s="322"/>
      <c r="AB346" s="326"/>
      <c r="AC346" s="321"/>
      <c r="AD346" s="322"/>
      <c r="AE346" s="326"/>
      <c r="AF346" s="321"/>
      <c r="AG346" s="322"/>
      <c r="AH346" s="326"/>
      <c r="AI346" s="321"/>
      <c r="AJ346" s="322"/>
      <c r="AK346" s="326"/>
      <c r="AL346" s="321"/>
      <c r="AM346" s="322"/>
      <c r="AN346" s="316" t="s">
        <v>357</v>
      </c>
      <c r="AO346" s="316"/>
      <c r="AP346" s="316"/>
      <c r="AQ346" s="316"/>
      <c r="AR346" s="316"/>
      <c r="AS346" s="316"/>
      <c r="AT346" s="316"/>
      <c r="AU346" s="316"/>
      <c r="AV346" s="316"/>
      <c r="AW346" s="316"/>
      <c r="AX346" s="316"/>
      <c r="AY346" s="316"/>
      <c r="AZ346" s="316"/>
      <c r="BA346" s="316"/>
      <c r="BB346" s="316"/>
      <c r="BC346" s="316"/>
      <c r="BD346" s="316"/>
      <c r="BE346" s="316"/>
      <c r="BF346" s="316"/>
      <c r="BG346" s="316"/>
      <c r="BH346" s="316"/>
      <c r="BI346" s="316"/>
      <c r="BJ346" s="316"/>
      <c r="BK346" s="316"/>
      <c r="BL346" s="316"/>
      <c r="BM346" s="316"/>
      <c r="BN346" s="316"/>
    </row>
    <row r="347" hidden="1" outlineLevel="1">
      <c r="A347" s="303" t="s">
        <v>629</v>
      </c>
      <c r="B347" s="317" t="s">
        <v>95</v>
      </c>
      <c r="C347" s="325" t="s">
        <v>47</v>
      </c>
      <c r="D347" s="326"/>
      <c r="E347" s="321"/>
      <c r="F347" s="322">
        <v>33000.0</v>
      </c>
      <c r="G347" s="326"/>
      <c r="H347" s="321"/>
      <c r="I347" s="322">
        <v>33000.0</v>
      </c>
      <c r="J347" s="326"/>
      <c r="K347" s="321"/>
      <c r="L347" s="322"/>
      <c r="M347" s="326"/>
      <c r="N347" s="321"/>
      <c r="O347" s="322"/>
      <c r="P347" s="326"/>
      <c r="Q347" s="321"/>
      <c r="R347" s="322"/>
      <c r="S347" s="326"/>
      <c r="T347" s="321"/>
      <c r="U347" s="322"/>
      <c r="V347" s="326"/>
      <c r="W347" s="321"/>
      <c r="X347" s="322"/>
      <c r="Y347" s="326"/>
      <c r="Z347" s="321"/>
      <c r="AA347" s="322"/>
      <c r="AB347" s="326"/>
      <c r="AC347" s="321"/>
      <c r="AD347" s="322"/>
      <c r="AE347" s="326"/>
      <c r="AF347" s="321"/>
      <c r="AG347" s="322"/>
      <c r="AH347" s="326"/>
      <c r="AI347" s="321"/>
      <c r="AJ347" s="322"/>
      <c r="AK347" s="326"/>
      <c r="AL347" s="321"/>
      <c r="AM347" s="322"/>
      <c r="AN347" s="316" t="s">
        <v>357</v>
      </c>
      <c r="AO347" s="316"/>
      <c r="AP347" s="316"/>
      <c r="AQ347" s="316"/>
      <c r="AR347" s="316"/>
      <c r="AS347" s="316"/>
      <c r="AT347" s="316"/>
      <c r="AU347" s="316"/>
      <c r="AV347" s="316"/>
      <c r="AW347" s="316"/>
      <c r="AX347" s="316"/>
      <c r="AY347" s="316"/>
      <c r="AZ347" s="316"/>
      <c r="BA347" s="316"/>
      <c r="BB347" s="316"/>
      <c r="BC347" s="316"/>
      <c r="BD347" s="316"/>
      <c r="BE347" s="316"/>
      <c r="BF347" s="316"/>
      <c r="BG347" s="316"/>
      <c r="BH347" s="316"/>
      <c r="BI347" s="316"/>
      <c r="BJ347" s="316"/>
      <c r="BK347" s="316"/>
      <c r="BL347" s="316"/>
      <c r="BM347" s="316"/>
      <c r="BN347" s="316"/>
    </row>
    <row r="348" hidden="1" outlineLevel="1">
      <c r="A348" s="303" t="s">
        <v>629</v>
      </c>
      <c r="B348" s="317" t="s">
        <v>95</v>
      </c>
      <c r="C348" s="325" t="s">
        <v>49</v>
      </c>
      <c r="D348" s="326"/>
      <c r="E348" s="321"/>
      <c r="F348" s="322">
        <v>200430.0</v>
      </c>
      <c r="G348" s="326"/>
      <c r="H348" s="321"/>
      <c r="I348" s="322">
        <v>243870.0</v>
      </c>
      <c r="J348" s="326"/>
      <c r="K348" s="321"/>
      <c r="L348" s="322"/>
      <c r="M348" s="326"/>
      <c r="N348" s="321"/>
      <c r="O348" s="322"/>
      <c r="P348" s="326"/>
      <c r="Q348" s="321"/>
      <c r="R348" s="322"/>
      <c r="S348" s="326"/>
      <c r="T348" s="321"/>
      <c r="U348" s="322"/>
      <c r="V348" s="326"/>
      <c r="W348" s="321"/>
      <c r="X348" s="322"/>
      <c r="Y348" s="326"/>
      <c r="Z348" s="321"/>
      <c r="AA348" s="322"/>
      <c r="AB348" s="326"/>
      <c r="AC348" s="321"/>
      <c r="AD348" s="322"/>
      <c r="AE348" s="326"/>
      <c r="AF348" s="321"/>
      <c r="AG348" s="322"/>
      <c r="AH348" s="326"/>
      <c r="AI348" s="321"/>
      <c r="AJ348" s="322"/>
      <c r="AK348" s="326"/>
      <c r="AL348" s="321"/>
      <c r="AM348" s="322"/>
      <c r="AN348" s="316" t="s">
        <v>357</v>
      </c>
      <c r="AO348" s="316"/>
      <c r="AP348" s="316"/>
      <c r="AQ348" s="316"/>
      <c r="AR348" s="316"/>
      <c r="AS348" s="316"/>
      <c r="AT348" s="316"/>
      <c r="AU348" s="316"/>
      <c r="AV348" s="316"/>
      <c r="AW348" s="316"/>
      <c r="AX348" s="316"/>
      <c r="AY348" s="316"/>
      <c r="AZ348" s="316"/>
      <c r="BA348" s="316"/>
      <c r="BB348" s="316"/>
      <c r="BC348" s="316"/>
      <c r="BD348" s="316"/>
      <c r="BE348" s="316"/>
      <c r="BF348" s="316"/>
      <c r="BG348" s="316"/>
      <c r="BH348" s="316"/>
      <c r="BI348" s="316"/>
      <c r="BJ348" s="316"/>
      <c r="BK348" s="316"/>
      <c r="BL348" s="316"/>
      <c r="BM348" s="316"/>
      <c r="BN348" s="316"/>
    </row>
    <row r="349" hidden="1" outlineLevel="1">
      <c r="A349" s="303" t="s">
        <v>629</v>
      </c>
      <c r="B349" s="317" t="s">
        <v>95</v>
      </c>
      <c r="C349" s="325" t="s">
        <v>51</v>
      </c>
      <c r="D349" s="326"/>
      <c r="E349" s="321"/>
      <c r="F349" s="322">
        <v>30000.0</v>
      </c>
      <c r="G349" s="326"/>
      <c r="H349" s="321"/>
      <c r="I349" s="322">
        <v>30000.0</v>
      </c>
      <c r="J349" s="326"/>
      <c r="K349" s="321"/>
      <c r="L349" s="322"/>
      <c r="M349" s="326"/>
      <c r="N349" s="321"/>
      <c r="O349" s="322"/>
      <c r="P349" s="326"/>
      <c r="Q349" s="321"/>
      <c r="R349" s="322"/>
      <c r="S349" s="326"/>
      <c r="T349" s="321"/>
      <c r="U349" s="322"/>
      <c r="V349" s="326"/>
      <c r="W349" s="321"/>
      <c r="X349" s="322"/>
      <c r="Y349" s="326"/>
      <c r="Z349" s="321"/>
      <c r="AA349" s="322"/>
      <c r="AB349" s="326"/>
      <c r="AC349" s="321"/>
      <c r="AD349" s="322"/>
      <c r="AE349" s="326"/>
      <c r="AF349" s="321"/>
      <c r="AG349" s="322"/>
      <c r="AH349" s="326"/>
      <c r="AI349" s="321"/>
      <c r="AJ349" s="322"/>
      <c r="AK349" s="326"/>
      <c r="AL349" s="321"/>
      <c r="AM349" s="322"/>
      <c r="AN349" s="316" t="s">
        <v>357</v>
      </c>
      <c r="AO349" s="316"/>
      <c r="AP349" s="316"/>
      <c r="AQ349" s="316"/>
      <c r="AR349" s="316"/>
      <c r="AS349" s="316"/>
      <c r="AT349" s="316"/>
      <c r="AU349" s="316"/>
      <c r="AV349" s="316"/>
      <c r="AW349" s="316"/>
      <c r="AX349" s="316"/>
      <c r="AY349" s="316"/>
      <c r="AZ349" s="316"/>
      <c r="BA349" s="316"/>
      <c r="BB349" s="316"/>
      <c r="BC349" s="316"/>
      <c r="BD349" s="316"/>
      <c r="BE349" s="316"/>
      <c r="BF349" s="316"/>
      <c r="BG349" s="316"/>
      <c r="BH349" s="316"/>
      <c r="BI349" s="316"/>
      <c r="BJ349" s="316"/>
      <c r="BK349" s="316"/>
      <c r="BL349" s="316"/>
      <c r="BM349" s="316"/>
      <c r="BN349" s="316"/>
    </row>
    <row r="350" hidden="1" outlineLevel="1">
      <c r="A350" s="303" t="s">
        <v>629</v>
      </c>
      <c r="B350" s="317" t="s">
        <v>95</v>
      </c>
      <c r="C350" s="325" t="s">
        <v>52</v>
      </c>
      <c r="D350" s="326"/>
      <c r="E350" s="321"/>
      <c r="F350" s="322">
        <v>30000.0</v>
      </c>
      <c r="G350" s="326"/>
      <c r="H350" s="321"/>
      <c r="I350" s="322">
        <v>30000.0</v>
      </c>
      <c r="J350" s="326"/>
      <c r="K350" s="321"/>
      <c r="L350" s="322"/>
      <c r="M350" s="326"/>
      <c r="N350" s="321"/>
      <c r="O350" s="322"/>
      <c r="P350" s="326"/>
      <c r="Q350" s="321"/>
      <c r="R350" s="322"/>
      <c r="S350" s="326"/>
      <c r="T350" s="321"/>
      <c r="U350" s="322"/>
      <c r="V350" s="326"/>
      <c r="W350" s="321"/>
      <c r="X350" s="322"/>
      <c r="Y350" s="326"/>
      <c r="Z350" s="321"/>
      <c r="AA350" s="322"/>
      <c r="AB350" s="326"/>
      <c r="AC350" s="321"/>
      <c r="AD350" s="322"/>
      <c r="AE350" s="326"/>
      <c r="AF350" s="321"/>
      <c r="AG350" s="322"/>
      <c r="AH350" s="326"/>
      <c r="AI350" s="321"/>
      <c r="AJ350" s="322"/>
      <c r="AK350" s="326"/>
      <c r="AL350" s="321"/>
      <c r="AM350" s="322"/>
      <c r="AN350" s="316" t="s">
        <v>357</v>
      </c>
      <c r="AO350" s="316"/>
      <c r="AP350" s="316"/>
      <c r="AQ350" s="316"/>
      <c r="AR350" s="316"/>
      <c r="AS350" s="316"/>
      <c r="AT350" s="316"/>
      <c r="AU350" s="316"/>
      <c r="AV350" s="316"/>
      <c r="AW350" s="316"/>
      <c r="AX350" s="316"/>
      <c r="AY350" s="316"/>
      <c r="AZ350" s="316"/>
      <c r="BA350" s="316"/>
      <c r="BB350" s="316"/>
      <c r="BC350" s="316"/>
      <c r="BD350" s="316"/>
      <c r="BE350" s="316"/>
      <c r="BF350" s="316"/>
      <c r="BG350" s="316"/>
      <c r="BH350" s="316"/>
      <c r="BI350" s="316"/>
      <c r="BJ350" s="316"/>
      <c r="BK350" s="316"/>
      <c r="BL350" s="316"/>
      <c r="BM350" s="316"/>
      <c r="BN350" s="316"/>
    </row>
    <row r="351" hidden="1" outlineLevel="1">
      <c r="A351" s="303" t="s">
        <v>629</v>
      </c>
      <c r="B351" s="317" t="s">
        <v>95</v>
      </c>
      <c r="C351" s="325" t="s">
        <v>53</v>
      </c>
      <c r="D351" s="326"/>
      <c r="E351" s="321"/>
      <c r="F351" s="322">
        <v>30000.0</v>
      </c>
      <c r="G351" s="326"/>
      <c r="H351" s="321"/>
      <c r="I351" s="322">
        <v>30000.0</v>
      </c>
      <c r="J351" s="326"/>
      <c r="K351" s="321"/>
      <c r="L351" s="322"/>
      <c r="M351" s="326"/>
      <c r="N351" s="321"/>
      <c r="O351" s="322"/>
      <c r="P351" s="326"/>
      <c r="Q351" s="321"/>
      <c r="R351" s="322"/>
      <c r="S351" s="326"/>
      <c r="T351" s="321"/>
      <c r="U351" s="322"/>
      <c r="V351" s="326"/>
      <c r="W351" s="321"/>
      <c r="X351" s="322"/>
      <c r="Y351" s="326"/>
      <c r="Z351" s="321"/>
      <c r="AA351" s="322"/>
      <c r="AB351" s="326"/>
      <c r="AC351" s="321"/>
      <c r="AD351" s="322"/>
      <c r="AE351" s="326"/>
      <c r="AF351" s="321"/>
      <c r="AG351" s="322"/>
      <c r="AH351" s="326"/>
      <c r="AI351" s="321"/>
      <c r="AJ351" s="322"/>
      <c r="AK351" s="326"/>
      <c r="AL351" s="321"/>
      <c r="AM351" s="322"/>
      <c r="AN351" s="316" t="s">
        <v>357</v>
      </c>
      <c r="AO351" s="316"/>
      <c r="AP351" s="316"/>
      <c r="AQ351" s="316"/>
      <c r="AR351" s="316"/>
      <c r="AS351" s="316"/>
      <c r="AT351" s="316"/>
      <c r="AU351" s="316"/>
      <c r="AV351" s="316"/>
      <c r="AW351" s="316"/>
      <c r="AX351" s="316"/>
      <c r="AY351" s="316"/>
      <c r="AZ351" s="316"/>
      <c r="BA351" s="316"/>
      <c r="BB351" s="316"/>
      <c r="BC351" s="316"/>
      <c r="BD351" s="316"/>
      <c r="BE351" s="316"/>
      <c r="BF351" s="316"/>
      <c r="BG351" s="316"/>
      <c r="BH351" s="316"/>
      <c r="BI351" s="316"/>
      <c r="BJ351" s="316"/>
      <c r="BK351" s="316"/>
      <c r="BL351" s="316"/>
      <c r="BM351" s="316"/>
      <c r="BN351" s="316"/>
    </row>
    <row r="352" hidden="1" outlineLevel="1">
      <c r="A352" s="303" t="s">
        <v>629</v>
      </c>
      <c r="B352" s="304"/>
      <c r="C352" s="325" t="s">
        <v>54</v>
      </c>
      <c r="D352" s="327"/>
      <c r="E352" s="321"/>
      <c r="F352" s="322">
        <f>SUMIFS('지출'!$G$3:$G794,'지출'!$J$3:$J794,F$1,'지출'!$C$3:$C794,"와이지")</f>
        <v>58340</v>
      </c>
      <c r="G352" s="327"/>
      <c r="H352" s="321"/>
      <c r="I352" s="322">
        <f>SUMIFS('지출'!$G$3:$G794,'지출'!$J$3:$J794,I$1,'지출'!$C$3:$C794,"와이지")</f>
        <v>50000</v>
      </c>
      <c r="J352" s="327"/>
      <c r="K352" s="321"/>
      <c r="L352" s="322">
        <f>SUMIFS('지출'!$G$3:$G794,'지출'!$J$3:$J794,L$1,'지출'!$C$3:$C794,"와이지")</f>
        <v>9800</v>
      </c>
      <c r="M352" s="327"/>
      <c r="N352" s="321"/>
      <c r="O352" s="322">
        <f>SUMIFS('지출'!$G$3:$G794,'지출'!$J$3:$J794,O$1,'지출'!$C$3:$C794,"와이지")</f>
        <v>0</v>
      </c>
      <c r="P352" s="327"/>
      <c r="Q352" s="321"/>
      <c r="R352" s="322">
        <f>SUMIFS('지출'!$G$3:$G794,'지출'!$J$3:$J794,R$1,'지출'!$C$3:$C794,"와이지")</f>
        <v>0</v>
      </c>
      <c r="S352" s="327"/>
      <c r="T352" s="321"/>
      <c r="U352" s="322">
        <f>SUMIFS('지출'!$G$3:$G794,'지출'!$J$3:$J794,U$1,'지출'!$C$3:$C794,"와이지")</f>
        <v>0</v>
      </c>
      <c r="V352" s="327"/>
      <c r="W352" s="321"/>
      <c r="X352" s="322">
        <f>SUMIFS('지출'!$G$3:$G794,'지출'!$J$3:$J794,X$1,'지출'!$C$3:$C794,"와이지")</f>
        <v>0</v>
      </c>
      <c r="Y352" s="327"/>
      <c r="Z352" s="321"/>
      <c r="AA352" s="322">
        <f>SUMIFS('지출'!$G$3:$G794,'지출'!$J$3:$J794,AA$1,'지출'!$C$3:$C794,"와이지")</f>
        <v>0</v>
      </c>
      <c r="AB352" s="327"/>
      <c r="AC352" s="321"/>
      <c r="AD352" s="322">
        <f>SUMIFS('지출'!$G$3:$G794,'지출'!$J$3:$J794,AD$1,'지출'!$C$3:$C794,"와이지")</f>
        <v>0</v>
      </c>
      <c r="AE352" s="327"/>
      <c r="AF352" s="321"/>
      <c r="AG352" s="322">
        <f>SUMIFS('지출'!$G$3:$G794,'지출'!$J$3:$J794,AG$1,'지출'!$C$3:$C794,"와이지")</f>
        <v>0</v>
      </c>
      <c r="AH352" s="327"/>
      <c r="AI352" s="321"/>
      <c r="AJ352" s="322">
        <f>SUMIFS('지출'!$G$3:$G794,'지출'!$J$3:$J794,AJ$1,'지출'!$C$3:$C794,"와이지")</f>
        <v>0</v>
      </c>
      <c r="AK352" s="327"/>
      <c r="AL352" s="321"/>
      <c r="AM352" s="322">
        <f>SUMIFS('지출'!$G$3:$G794,'지출'!$J$3:$J794,AM$1,'지출'!$C$3:$C794,"와이지")</f>
        <v>0</v>
      </c>
      <c r="AN352" s="316" t="s">
        <v>357</v>
      </c>
      <c r="AO352" s="316"/>
      <c r="AP352" s="316"/>
      <c r="AQ352" s="316"/>
      <c r="AR352" s="316"/>
      <c r="AS352" s="316"/>
      <c r="AT352" s="316"/>
      <c r="AU352" s="316"/>
      <c r="AV352" s="316"/>
      <c r="AW352" s="316"/>
      <c r="AX352" s="316"/>
      <c r="AY352" s="316"/>
      <c r="AZ352" s="316"/>
      <c r="BA352" s="316"/>
      <c r="BB352" s="316"/>
      <c r="BC352" s="316"/>
      <c r="BD352" s="316"/>
      <c r="BE352" s="316"/>
      <c r="BF352" s="316"/>
      <c r="BG352" s="316"/>
      <c r="BH352" s="316"/>
      <c r="BI352" s="316"/>
      <c r="BJ352" s="316"/>
      <c r="BK352" s="316"/>
      <c r="BL352" s="316"/>
      <c r="BM352" s="316"/>
      <c r="BN352" s="316"/>
    </row>
    <row r="353" hidden="1" outlineLevel="1">
      <c r="A353" s="303" t="s">
        <v>629</v>
      </c>
      <c r="B353" s="304"/>
      <c r="C353" s="325" t="s">
        <v>56</v>
      </c>
      <c r="D353" s="320"/>
      <c r="E353" s="323">
        <f t="shared" ref="E353:F353" si="468">E344-(SUM(E345:E352))</f>
        <v>1550000</v>
      </c>
      <c r="F353" s="324">
        <f t="shared" si="468"/>
        <v>-134270</v>
      </c>
      <c r="G353" s="320"/>
      <c r="H353" s="323">
        <f t="shared" ref="H353:I353" si="469">H344-(SUM(H345:H352))</f>
        <v>1550000</v>
      </c>
      <c r="I353" s="324">
        <f t="shared" si="469"/>
        <v>-169370</v>
      </c>
      <c r="J353" s="320"/>
      <c r="K353" s="323">
        <f t="shared" ref="K353:L353" si="470">K344-(SUM(K345:K352))</f>
        <v>1959032</v>
      </c>
      <c r="L353" s="324">
        <f t="shared" si="470"/>
        <v>354716</v>
      </c>
      <c r="M353" s="320"/>
      <c r="N353" s="323">
        <f t="shared" ref="N353:O353" si="471">N344-(SUM(N345:N352))</f>
        <v>2140000</v>
      </c>
      <c r="O353" s="324">
        <f t="shared" si="471"/>
        <v>400000</v>
      </c>
      <c r="P353" s="320"/>
      <c r="Q353" s="323">
        <f t="shared" ref="Q353:R353" si="472">Q344-(SUM(Q345:Q352))</f>
        <v>2140000</v>
      </c>
      <c r="R353" s="324">
        <f t="shared" si="472"/>
        <v>400000</v>
      </c>
      <c r="S353" s="320"/>
      <c r="T353" s="323">
        <f t="shared" ref="T353:U353" si="473">T344-(SUM(T345:T352))</f>
        <v>2140000</v>
      </c>
      <c r="U353" s="324">
        <f t="shared" si="473"/>
        <v>400000</v>
      </c>
      <c r="V353" s="320"/>
      <c r="W353" s="323">
        <f t="shared" ref="W353:X353" si="474">W344-(SUM(W345:W352))</f>
        <v>2140000</v>
      </c>
      <c r="X353" s="324">
        <f t="shared" si="474"/>
        <v>400000</v>
      </c>
      <c r="Y353" s="320"/>
      <c r="Z353" s="323">
        <f t="shared" ref="Z353:AA353" si="475">Z344-(SUM(Z345:Z352))</f>
        <v>2140000</v>
      </c>
      <c r="AA353" s="324">
        <f t="shared" si="475"/>
        <v>400000</v>
      </c>
      <c r="AB353" s="320"/>
      <c r="AC353" s="323">
        <f t="shared" ref="AC353:AD353" si="476">AC344-(SUM(AC345:AC352))</f>
        <v>1150000</v>
      </c>
      <c r="AD353" s="324">
        <f t="shared" si="476"/>
        <v>200000</v>
      </c>
      <c r="AE353" s="320"/>
      <c r="AF353" s="323">
        <f t="shared" ref="AF353:AG353" si="477">AF344-(SUM(AF345:AF352))</f>
        <v>1150000</v>
      </c>
      <c r="AG353" s="324">
        <f t="shared" si="477"/>
        <v>200000</v>
      </c>
      <c r="AH353" s="320"/>
      <c r="AI353" s="323">
        <f t="shared" ref="AI353:AJ353" si="478">AI344-(SUM(AI345:AI352))</f>
        <v>1150000</v>
      </c>
      <c r="AJ353" s="324">
        <f t="shared" si="478"/>
        <v>200000</v>
      </c>
      <c r="AK353" s="320"/>
      <c r="AL353" s="323">
        <f t="shared" ref="AL353:AM353" si="479">AL344-(SUM(AL345:AL352))</f>
        <v>1150000</v>
      </c>
      <c r="AM353" s="324">
        <f t="shared" si="479"/>
        <v>200000</v>
      </c>
      <c r="AN353" s="316" t="s">
        <v>357</v>
      </c>
      <c r="AO353" s="316"/>
      <c r="AP353" s="316"/>
      <c r="AQ353" s="316"/>
      <c r="AR353" s="316"/>
      <c r="AS353" s="316"/>
      <c r="AT353" s="316"/>
      <c r="AU353" s="316"/>
      <c r="AV353" s="316"/>
      <c r="AW353" s="316"/>
      <c r="AX353" s="316"/>
      <c r="AY353" s="316"/>
      <c r="AZ353" s="316"/>
      <c r="BA353" s="316"/>
      <c r="BB353" s="316"/>
      <c r="BC353" s="316"/>
      <c r="BD353" s="316"/>
      <c r="BE353" s="316"/>
      <c r="BF353" s="316"/>
      <c r="BG353" s="316"/>
      <c r="BH353" s="316"/>
      <c r="BI353" s="316"/>
      <c r="BJ353" s="316"/>
      <c r="BK353" s="316"/>
      <c r="BL353" s="316"/>
      <c r="BM353" s="316"/>
      <c r="BN353" s="316"/>
    </row>
    <row r="354">
      <c r="A354" s="303" t="s">
        <v>629</v>
      </c>
      <c r="B354" s="328">
        <v>0.85</v>
      </c>
      <c r="C354" s="325" t="s">
        <v>26</v>
      </c>
      <c r="D354" s="320"/>
      <c r="E354" s="323">
        <f>E353*$B354</f>
        <v>1317500</v>
      </c>
      <c r="F354" s="324"/>
      <c r="G354" s="320"/>
      <c r="H354" s="323">
        <f>H353*$B354</f>
        <v>1317500</v>
      </c>
      <c r="I354" s="324"/>
      <c r="J354" s="320"/>
      <c r="K354" s="323">
        <f>K353*$B354</f>
        <v>1665177.2</v>
      </c>
      <c r="L354" s="324"/>
      <c r="M354" s="320"/>
      <c r="N354" s="323">
        <f>N353*$B354</f>
        <v>1819000</v>
      </c>
      <c r="O354" s="324"/>
      <c r="P354" s="320"/>
      <c r="Q354" s="323">
        <f>Q353*$B354</f>
        <v>1819000</v>
      </c>
      <c r="R354" s="324"/>
      <c r="S354" s="320"/>
      <c r="T354" s="323">
        <f>T353*$B354</f>
        <v>1819000</v>
      </c>
      <c r="U354" s="324"/>
      <c r="V354" s="320"/>
      <c r="W354" s="323">
        <f>W353*$B354</f>
        <v>1819000</v>
      </c>
      <c r="X354" s="324"/>
      <c r="Y354" s="320"/>
      <c r="Z354" s="323">
        <f>Z353*$B354</f>
        <v>1819000</v>
      </c>
      <c r="AA354" s="324"/>
      <c r="AB354" s="320"/>
      <c r="AC354" s="323">
        <f>AC353*$B354</f>
        <v>977500</v>
      </c>
      <c r="AD354" s="324"/>
      <c r="AE354" s="320"/>
      <c r="AF354" s="323">
        <f>AF353*$B354</f>
        <v>977500</v>
      </c>
      <c r="AG354" s="324"/>
      <c r="AH354" s="320"/>
      <c r="AI354" s="323">
        <f>AI353*$B354</f>
        <v>977500</v>
      </c>
      <c r="AJ354" s="324"/>
      <c r="AK354" s="320"/>
      <c r="AL354" s="323">
        <f>AL353*$B354</f>
        <v>977500</v>
      </c>
      <c r="AM354" s="324"/>
      <c r="AN354" s="316" t="s">
        <v>357</v>
      </c>
      <c r="AO354" s="316"/>
      <c r="AP354" s="316"/>
      <c r="AQ354" s="316"/>
      <c r="AR354" s="316"/>
      <c r="AS354" s="316"/>
      <c r="AT354" s="316"/>
      <c r="AU354" s="316"/>
      <c r="AV354" s="316"/>
      <c r="AW354" s="316"/>
      <c r="AX354" s="316"/>
      <c r="AY354" s="316"/>
      <c r="AZ354" s="316"/>
      <c r="BA354" s="316"/>
      <c r="BB354" s="316"/>
      <c r="BC354" s="316"/>
      <c r="BD354" s="316"/>
      <c r="BE354" s="316"/>
      <c r="BF354" s="316"/>
      <c r="BG354" s="316"/>
      <c r="BH354" s="316"/>
      <c r="BI354" s="316"/>
      <c r="BJ354" s="316"/>
      <c r="BK354" s="316"/>
      <c r="BL354" s="316"/>
      <c r="BM354" s="316"/>
      <c r="BN354" s="316"/>
    </row>
    <row r="355">
      <c r="A355" s="303" t="s">
        <v>629</v>
      </c>
      <c r="B355" s="329">
        <v>0.15</v>
      </c>
      <c r="C355" s="330" t="s">
        <v>57</v>
      </c>
      <c r="D355" s="331"/>
      <c r="E355" s="332">
        <f>E353*$B355</f>
        <v>232500</v>
      </c>
      <c r="F355" s="333"/>
      <c r="G355" s="331"/>
      <c r="H355" s="332">
        <f>H353*$B355</f>
        <v>232500</v>
      </c>
      <c r="I355" s="333"/>
      <c r="J355" s="331"/>
      <c r="K355" s="332">
        <f>K353*$B355</f>
        <v>293854.8</v>
      </c>
      <c r="L355" s="333"/>
      <c r="M355" s="331"/>
      <c r="N355" s="332">
        <f>N353*$B355</f>
        <v>321000</v>
      </c>
      <c r="O355" s="333"/>
      <c r="P355" s="331"/>
      <c r="Q355" s="332">
        <f>Q353*$B355</f>
        <v>321000</v>
      </c>
      <c r="R355" s="333"/>
      <c r="S355" s="331"/>
      <c r="T355" s="332">
        <f>T353*$B355</f>
        <v>321000</v>
      </c>
      <c r="U355" s="333"/>
      <c r="V355" s="331"/>
      <c r="W355" s="332">
        <f>W353*$B355</f>
        <v>321000</v>
      </c>
      <c r="X355" s="333"/>
      <c r="Y355" s="331"/>
      <c r="Z355" s="332">
        <f>Z353*$B355</f>
        <v>321000</v>
      </c>
      <c r="AA355" s="333"/>
      <c r="AB355" s="331"/>
      <c r="AC355" s="332">
        <f>AC353*$B355</f>
        <v>172500</v>
      </c>
      <c r="AD355" s="333"/>
      <c r="AE355" s="331"/>
      <c r="AF355" s="332">
        <f>AF353*$B355</f>
        <v>172500</v>
      </c>
      <c r="AG355" s="333"/>
      <c r="AH355" s="331"/>
      <c r="AI355" s="332">
        <f>AI353*$B355</f>
        <v>172500</v>
      </c>
      <c r="AJ355" s="333"/>
      <c r="AK355" s="331"/>
      <c r="AL355" s="332">
        <f>AL353*$B355</f>
        <v>172500</v>
      </c>
      <c r="AM355" s="333"/>
      <c r="AN355" s="316" t="s">
        <v>357</v>
      </c>
      <c r="AO355" s="316"/>
      <c r="AP355" s="316"/>
      <c r="AQ355" s="316"/>
      <c r="AR355" s="316"/>
      <c r="AS355" s="316"/>
      <c r="AT355" s="316"/>
      <c r="AU355" s="316"/>
      <c r="AV355" s="316"/>
      <c r="AW355" s="316"/>
      <c r="AX355" s="316"/>
      <c r="AY355" s="316"/>
      <c r="AZ355" s="316"/>
      <c r="BA355" s="316"/>
      <c r="BB355" s="316"/>
      <c r="BC355" s="316"/>
      <c r="BD355" s="316"/>
      <c r="BE355" s="316"/>
      <c r="BF355" s="316"/>
      <c r="BG355" s="316"/>
      <c r="BH355" s="316"/>
      <c r="BI355" s="316"/>
      <c r="BJ355" s="316"/>
      <c r="BK355" s="316"/>
      <c r="BL355" s="316"/>
      <c r="BM355" s="316"/>
      <c r="BN355" s="316"/>
    </row>
    <row r="356">
      <c r="A356" s="303" t="s">
        <v>643</v>
      </c>
      <c r="B356" s="317" t="s">
        <v>643</v>
      </c>
      <c r="C356" s="325">
        <v>1.0</v>
      </c>
      <c r="D356" s="326" t="s">
        <v>644</v>
      </c>
      <c r="E356" s="321">
        <v>1600000.0</v>
      </c>
      <c r="F356" s="324"/>
      <c r="G356" s="326" t="s">
        <v>644</v>
      </c>
      <c r="H356" s="321">
        <v>1600000.0</v>
      </c>
      <c r="I356" s="324"/>
      <c r="J356" s="326" t="s">
        <v>644</v>
      </c>
      <c r="K356" s="321">
        <v>1600000.0</v>
      </c>
      <c r="L356" s="324"/>
      <c r="M356" s="326" t="s">
        <v>644</v>
      </c>
      <c r="N356" s="321">
        <v>1600000.0</v>
      </c>
      <c r="O356" s="324"/>
      <c r="P356" s="326" t="s">
        <v>644</v>
      </c>
      <c r="Q356" s="321">
        <v>1600000.0</v>
      </c>
      <c r="R356" s="324"/>
      <c r="S356" s="326" t="s">
        <v>644</v>
      </c>
      <c r="T356" s="321">
        <v>1600000.0</v>
      </c>
      <c r="U356" s="324"/>
      <c r="V356" s="326" t="s">
        <v>644</v>
      </c>
      <c r="W356" s="321">
        <v>1600000.0</v>
      </c>
      <c r="X356" s="324"/>
      <c r="Y356" s="326" t="s">
        <v>644</v>
      </c>
      <c r="Z356" s="321">
        <v>1600000.0</v>
      </c>
      <c r="AA356" s="324"/>
      <c r="AB356" s="326" t="s">
        <v>644</v>
      </c>
      <c r="AC356" s="321">
        <v>1600000.0</v>
      </c>
      <c r="AD356" s="324"/>
      <c r="AE356" s="326" t="s">
        <v>644</v>
      </c>
      <c r="AF356" s="321">
        <v>1600000.0</v>
      </c>
      <c r="AG356" s="324"/>
      <c r="AH356" s="326" t="s">
        <v>644</v>
      </c>
      <c r="AI356" s="321">
        <v>1600000.0</v>
      </c>
      <c r="AJ356" s="324"/>
      <c r="AK356" s="326" t="s">
        <v>644</v>
      </c>
      <c r="AL356" s="321">
        <v>1600000.0</v>
      </c>
      <c r="AM356" s="324"/>
      <c r="AN356" s="316" t="s">
        <v>645</v>
      </c>
      <c r="AO356" s="316"/>
      <c r="AP356" s="316"/>
      <c r="AQ356" s="316"/>
      <c r="AR356" s="316"/>
      <c r="AS356" s="316"/>
      <c r="AT356" s="316"/>
      <c r="AU356" s="316"/>
      <c r="AV356" s="316"/>
      <c r="AW356" s="316"/>
      <c r="AX356" s="316"/>
      <c r="AY356" s="316"/>
      <c r="AZ356" s="316"/>
      <c r="BA356" s="316"/>
      <c r="BB356" s="316"/>
      <c r="BC356" s="316"/>
      <c r="BD356" s="316"/>
      <c r="BE356" s="316"/>
      <c r="BF356" s="316"/>
      <c r="BG356" s="316"/>
      <c r="BH356" s="316"/>
      <c r="BI356" s="316"/>
      <c r="BJ356" s="316"/>
      <c r="BK356" s="316"/>
      <c r="BL356" s="316"/>
      <c r="BM356" s="316"/>
      <c r="BN356" s="316"/>
    </row>
    <row r="357">
      <c r="A357" s="303" t="s">
        <v>643</v>
      </c>
      <c r="B357" s="317" t="s">
        <v>643</v>
      </c>
      <c r="C357" s="325">
        <v>2.0</v>
      </c>
      <c r="D357" s="326"/>
      <c r="E357" s="321"/>
      <c r="F357" s="324"/>
      <c r="G357" s="326"/>
      <c r="H357" s="321"/>
      <c r="I357" s="324"/>
      <c r="J357" s="326"/>
      <c r="K357" s="321"/>
      <c r="L357" s="324"/>
      <c r="M357" s="326"/>
      <c r="N357" s="321"/>
      <c r="O357" s="324"/>
      <c r="P357" s="326"/>
      <c r="Q357" s="321"/>
      <c r="R357" s="324"/>
      <c r="S357" s="326"/>
      <c r="T357" s="321"/>
      <c r="U357" s="324"/>
      <c r="V357" s="326"/>
      <c r="W357" s="321"/>
      <c r="X357" s="324"/>
      <c r="Y357" s="326"/>
      <c r="Z357" s="321"/>
      <c r="AA357" s="324"/>
      <c r="AB357" s="326"/>
      <c r="AC357" s="321"/>
      <c r="AD357" s="324"/>
      <c r="AE357" s="326"/>
      <c r="AF357" s="321"/>
      <c r="AG357" s="324"/>
      <c r="AH357" s="326"/>
      <c r="AI357" s="321"/>
      <c r="AJ357" s="324"/>
      <c r="AK357" s="326"/>
      <c r="AL357" s="321"/>
      <c r="AM357" s="324"/>
      <c r="AN357" s="316" t="s">
        <v>645</v>
      </c>
      <c r="AO357" s="316"/>
      <c r="AP357" s="316"/>
      <c r="AQ357" s="316"/>
      <c r="AR357" s="316"/>
      <c r="AS357" s="316"/>
      <c r="AT357" s="316"/>
      <c r="AU357" s="316"/>
      <c r="AV357" s="316"/>
      <c r="AW357" s="316"/>
      <c r="AX357" s="316"/>
      <c r="AY357" s="316"/>
      <c r="AZ357" s="316"/>
      <c r="BA357" s="316"/>
      <c r="BB357" s="316"/>
      <c r="BC357" s="316"/>
      <c r="BD357" s="316"/>
      <c r="BE357" s="316"/>
      <c r="BF357" s="316"/>
      <c r="BG357" s="316"/>
      <c r="BH357" s="316"/>
      <c r="BI357" s="316"/>
      <c r="BJ357" s="316"/>
      <c r="BK357" s="316"/>
      <c r="BL357" s="316"/>
      <c r="BM357" s="316"/>
      <c r="BN357" s="316"/>
    </row>
    <row r="358">
      <c r="A358" s="303" t="s">
        <v>643</v>
      </c>
      <c r="B358" s="317" t="s">
        <v>643</v>
      </c>
      <c r="C358" s="325">
        <v>3.0</v>
      </c>
      <c r="D358" s="326"/>
      <c r="E358" s="321"/>
      <c r="F358" s="324"/>
      <c r="G358" s="326"/>
      <c r="H358" s="321"/>
      <c r="I358" s="324"/>
      <c r="J358" s="326"/>
      <c r="K358" s="321"/>
      <c r="L358" s="324"/>
      <c r="M358" s="326"/>
      <c r="N358" s="321"/>
      <c r="O358" s="324"/>
      <c r="P358" s="326"/>
      <c r="Q358" s="321"/>
      <c r="R358" s="324"/>
      <c r="S358" s="326"/>
      <c r="T358" s="321"/>
      <c r="U358" s="324"/>
      <c r="V358" s="326"/>
      <c r="W358" s="321"/>
      <c r="X358" s="324"/>
      <c r="Y358" s="326"/>
      <c r="Z358" s="321"/>
      <c r="AA358" s="324"/>
      <c r="AB358" s="326"/>
      <c r="AC358" s="321"/>
      <c r="AD358" s="324"/>
      <c r="AE358" s="326"/>
      <c r="AF358" s="321"/>
      <c r="AG358" s="324"/>
      <c r="AH358" s="326"/>
      <c r="AI358" s="321"/>
      <c r="AJ358" s="324"/>
      <c r="AK358" s="326"/>
      <c r="AL358" s="321"/>
      <c r="AM358" s="324"/>
      <c r="AN358" s="316" t="s">
        <v>645</v>
      </c>
      <c r="AO358" s="316"/>
      <c r="AP358" s="316"/>
      <c r="AQ358" s="316"/>
      <c r="AR358" s="316"/>
      <c r="AS358" s="316"/>
      <c r="AT358" s="316"/>
      <c r="AU358" s="316"/>
      <c r="AV358" s="316"/>
      <c r="AW358" s="316"/>
      <c r="AX358" s="316"/>
      <c r="AY358" s="316"/>
      <c r="AZ358" s="316"/>
      <c r="BA358" s="316"/>
      <c r="BB358" s="316"/>
      <c r="BC358" s="316"/>
      <c r="BD358" s="316"/>
      <c r="BE358" s="316"/>
      <c r="BF358" s="316"/>
      <c r="BG358" s="316"/>
      <c r="BH358" s="316"/>
      <c r="BI358" s="316"/>
      <c r="BJ358" s="316"/>
      <c r="BK358" s="316"/>
      <c r="BL358" s="316"/>
      <c r="BM358" s="316"/>
      <c r="BN358" s="316"/>
    </row>
    <row r="359">
      <c r="A359" s="303" t="s">
        <v>643</v>
      </c>
      <c r="B359" s="317" t="s">
        <v>643</v>
      </c>
      <c r="C359" s="325">
        <v>4.0</v>
      </c>
      <c r="D359" s="326"/>
      <c r="E359" s="321"/>
      <c r="F359" s="324"/>
      <c r="G359" s="326"/>
      <c r="H359" s="321"/>
      <c r="I359" s="324"/>
      <c r="J359" s="326"/>
      <c r="K359" s="321"/>
      <c r="L359" s="324"/>
      <c r="M359" s="326"/>
      <c r="N359" s="321"/>
      <c r="O359" s="324"/>
      <c r="P359" s="326"/>
      <c r="Q359" s="321"/>
      <c r="R359" s="324"/>
      <c r="S359" s="326"/>
      <c r="T359" s="321"/>
      <c r="U359" s="324"/>
      <c r="V359" s="326"/>
      <c r="W359" s="321"/>
      <c r="X359" s="324"/>
      <c r="Y359" s="326"/>
      <c r="Z359" s="321"/>
      <c r="AA359" s="324"/>
      <c r="AB359" s="326"/>
      <c r="AC359" s="321"/>
      <c r="AD359" s="324"/>
      <c r="AE359" s="326"/>
      <c r="AF359" s="321"/>
      <c r="AG359" s="324"/>
      <c r="AH359" s="326"/>
      <c r="AI359" s="321"/>
      <c r="AJ359" s="324"/>
      <c r="AK359" s="326"/>
      <c r="AL359" s="321"/>
      <c r="AM359" s="324"/>
      <c r="AN359" s="316" t="s">
        <v>645</v>
      </c>
      <c r="AO359" s="316"/>
      <c r="AP359" s="316"/>
      <c r="AQ359" s="316"/>
      <c r="AR359" s="316"/>
      <c r="AS359" s="316"/>
      <c r="AT359" s="316"/>
      <c r="AU359" s="316"/>
      <c r="AV359" s="316"/>
      <c r="AW359" s="316"/>
      <c r="AX359" s="316"/>
      <c r="AY359" s="316"/>
      <c r="AZ359" s="316"/>
      <c r="BA359" s="316"/>
      <c r="BB359" s="316"/>
      <c r="BC359" s="316"/>
      <c r="BD359" s="316"/>
      <c r="BE359" s="316"/>
      <c r="BF359" s="316"/>
      <c r="BG359" s="316"/>
      <c r="BH359" s="316"/>
      <c r="BI359" s="316"/>
      <c r="BJ359" s="316"/>
      <c r="BK359" s="316"/>
      <c r="BL359" s="316"/>
      <c r="BM359" s="316"/>
      <c r="BN359" s="316"/>
    </row>
    <row r="360">
      <c r="A360" s="303" t="s">
        <v>643</v>
      </c>
      <c r="B360" s="317" t="s">
        <v>643</v>
      </c>
      <c r="C360" s="325">
        <v>5.0</v>
      </c>
      <c r="D360" s="326"/>
      <c r="E360" s="321"/>
      <c r="F360" s="324"/>
      <c r="G360" s="326"/>
      <c r="H360" s="321"/>
      <c r="I360" s="324"/>
      <c r="J360" s="326"/>
      <c r="K360" s="321"/>
      <c r="L360" s="324"/>
      <c r="M360" s="326"/>
      <c r="N360" s="321"/>
      <c r="O360" s="324"/>
      <c r="P360" s="326"/>
      <c r="Q360" s="321"/>
      <c r="R360" s="324"/>
      <c r="S360" s="326"/>
      <c r="T360" s="321"/>
      <c r="U360" s="324"/>
      <c r="V360" s="326"/>
      <c r="W360" s="321"/>
      <c r="X360" s="324"/>
      <c r="Y360" s="326"/>
      <c r="Z360" s="321"/>
      <c r="AA360" s="324"/>
      <c r="AB360" s="326"/>
      <c r="AC360" s="321"/>
      <c r="AD360" s="324"/>
      <c r="AE360" s="326"/>
      <c r="AF360" s="321"/>
      <c r="AG360" s="324"/>
      <c r="AH360" s="326"/>
      <c r="AI360" s="321"/>
      <c r="AJ360" s="324"/>
      <c r="AK360" s="326"/>
      <c r="AL360" s="321"/>
      <c r="AM360" s="324"/>
      <c r="AN360" s="316" t="s">
        <v>645</v>
      </c>
      <c r="AO360" s="316"/>
      <c r="AP360" s="316"/>
      <c r="AQ360" s="316"/>
      <c r="AR360" s="316"/>
      <c r="AS360" s="316"/>
      <c r="AT360" s="316"/>
      <c r="AU360" s="316"/>
      <c r="AV360" s="316"/>
      <c r="AW360" s="316"/>
      <c r="AX360" s="316"/>
      <c r="AY360" s="316"/>
      <c r="AZ360" s="316"/>
      <c r="BA360" s="316"/>
      <c r="BB360" s="316"/>
      <c r="BC360" s="316"/>
      <c r="BD360" s="316"/>
      <c r="BE360" s="316"/>
      <c r="BF360" s="316"/>
      <c r="BG360" s="316"/>
      <c r="BH360" s="316"/>
      <c r="BI360" s="316"/>
      <c r="BJ360" s="316"/>
      <c r="BK360" s="316"/>
      <c r="BL360" s="316"/>
      <c r="BM360" s="316"/>
      <c r="BN360" s="316"/>
    </row>
    <row r="361">
      <c r="A361" s="303" t="s">
        <v>643</v>
      </c>
      <c r="B361" s="317" t="s">
        <v>643</v>
      </c>
      <c r="C361" s="325">
        <v>6.0</v>
      </c>
      <c r="D361" s="326"/>
      <c r="E361" s="321"/>
      <c r="F361" s="324"/>
      <c r="G361" s="326"/>
      <c r="H361" s="321"/>
      <c r="I361" s="324"/>
      <c r="J361" s="326"/>
      <c r="K361" s="321"/>
      <c r="L361" s="324"/>
      <c r="M361" s="326"/>
      <c r="N361" s="321"/>
      <c r="O361" s="324"/>
      <c r="P361" s="326"/>
      <c r="Q361" s="321"/>
      <c r="R361" s="324"/>
      <c r="S361" s="326"/>
      <c r="T361" s="321"/>
      <c r="U361" s="324"/>
      <c r="V361" s="326"/>
      <c r="W361" s="321"/>
      <c r="X361" s="324"/>
      <c r="Y361" s="326"/>
      <c r="Z361" s="321"/>
      <c r="AA361" s="324"/>
      <c r="AB361" s="326"/>
      <c r="AC361" s="321"/>
      <c r="AD361" s="324"/>
      <c r="AE361" s="326"/>
      <c r="AF361" s="321"/>
      <c r="AG361" s="324"/>
      <c r="AH361" s="326"/>
      <c r="AI361" s="321"/>
      <c r="AJ361" s="324"/>
      <c r="AK361" s="326"/>
      <c r="AL361" s="321"/>
      <c r="AM361" s="324"/>
      <c r="AN361" s="316" t="s">
        <v>645</v>
      </c>
      <c r="AO361" s="316"/>
      <c r="AP361" s="316"/>
      <c r="AQ361" s="316"/>
      <c r="AR361" s="316"/>
      <c r="AS361" s="316"/>
      <c r="AT361" s="316"/>
      <c r="AU361" s="316"/>
      <c r="AV361" s="316"/>
      <c r="AW361" s="316"/>
      <c r="AX361" s="316"/>
      <c r="AY361" s="316"/>
      <c r="AZ361" s="316"/>
      <c r="BA361" s="316"/>
      <c r="BB361" s="316"/>
      <c r="BC361" s="316"/>
      <c r="BD361" s="316"/>
      <c r="BE361" s="316"/>
      <c r="BF361" s="316"/>
      <c r="BG361" s="316"/>
      <c r="BH361" s="316"/>
      <c r="BI361" s="316"/>
      <c r="BJ361" s="316"/>
      <c r="BK361" s="316"/>
      <c r="BL361" s="316"/>
      <c r="BM361" s="316"/>
      <c r="BN361" s="316"/>
    </row>
    <row r="362">
      <c r="A362" s="303" t="s">
        <v>643</v>
      </c>
      <c r="B362" s="317" t="s">
        <v>643</v>
      </c>
      <c r="C362" s="325" t="s">
        <v>646</v>
      </c>
      <c r="D362" s="341" t="s">
        <v>1638</v>
      </c>
      <c r="E362" s="335">
        <v>520000.0</v>
      </c>
      <c r="F362" s="346">
        <v>100000.0</v>
      </c>
      <c r="G362" s="341" t="s">
        <v>1638</v>
      </c>
      <c r="H362" s="335">
        <v>520000.0</v>
      </c>
      <c r="I362" s="346">
        <v>100000.0</v>
      </c>
      <c r="J362" s="341" t="s">
        <v>1638</v>
      </c>
      <c r="K362" s="335">
        <v>520000.0</v>
      </c>
      <c r="L362" s="346">
        <v>100000.0</v>
      </c>
      <c r="M362" s="341" t="s">
        <v>1638</v>
      </c>
      <c r="N362" s="335">
        <v>520000.0</v>
      </c>
      <c r="O362" s="346">
        <v>100000.0</v>
      </c>
      <c r="P362" s="341" t="s">
        <v>1638</v>
      </c>
      <c r="Q362" s="335">
        <v>520000.0</v>
      </c>
      <c r="R362" s="346">
        <v>100000.0</v>
      </c>
      <c r="S362" s="341" t="s">
        <v>1638</v>
      </c>
      <c r="T362" s="335">
        <v>520000.0</v>
      </c>
      <c r="U362" s="346">
        <v>100000.0</v>
      </c>
      <c r="V362" s="341" t="s">
        <v>1638</v>
      </c>
      <c r="W362" s="335">
        <v>520000.0</v>
      </c>
      <c r="X362" s="346">
        <v>100000.0</v>
      </c>
      <c r="Y362" s="341" t="s">
        <v>1638</v>
      </c>
      <c r="Z362" s="335">
        <v>520000.0</v>
      </c>
      <c r="AA362" s="346">
        <v>100000.0</v>
      </c>
      <c r="AB362" s="341" t="s">
        <v>1638</v>
      </c>
      <c r="AC362" s="335">
        <v>520000.0</v>
      </c>
      <c r="AD362" s="346">
        <v>100000.0</v>
      </c>
      <c r="AE362" s="341" t="s">
        <v>1638</v>
      </c>
      <c r="AF362" s="335">
        <v>520000.0</v>
      </c>
      <c r="AG362" s="346">
        <v>100000.0</v>
      </c>
      <c r="AH362" s="326"/>
      <c r="AI362" s="321"/>
      <c r="AJ362" s="322"/>
      <c r="AK362" s="326"/>
      <c r="AL362" s="321"/>
      <c r="AM362" s="322"/>
      <c r="AN362" s="316" t="s">
        <v>645</v>
      </c>
      <c r="AO362" s="316"/>
      <c r="AP362" s="316"/>
      <c r="AQ362" s="316"/>
      <c r="AR362" s="316"/>
      <c r="AS362" s="316"/>
      <c r="AT362" s="316"/>
      <c r="AU362" s="316"/>
      <c r="AV362" s="316"/>
      <c r="AW362" s="316"/>
      <c r="AX362" s="316"/>
      <c r="AY362" s="316"/>
      <c r="AZ362" s="316"/>
      <c r="BA362" s="316"/>
      <c r="BB362" s="316"/>
      <c r="BC362" s="316"/>
      <c r="BD362" s="316"/>
      <c r="BE362" s="316"/>
      <c r="BF362" s="316"/>
      <c r="BG362" s="316"/>
      <c r="BH362" s="316"/>
      <c r="BI362" s="316"/>
      <c r="BJ362" s="316"/>
      <c r="BK362" s="316"/>
      <c r="BL362" s="316"/>
      <c r="BM362" s="316"/>
      <c r="BN362" s="316"/>
    </row>
    <row r="363">
      <c r="A363" s="303" t="s">
        <v>643</v>
      </c>
      <c r="B363" s="317" t="s">
        <v>643</v>
      </c>
      <c r="C363" s="325" t="s">
        <v>654</v>
      </c>
      <c r="D363" s="341" t="s">
        <v>1642</v>
      </c>
      <c r="E363" s="335">
        <v>470000.0</v>
      </c>
      <c r="F363" s="346">
        <v>100000.0</v>
      </c>
      <c r="G363" s="353" t="s">
        <v>1642</v>
      </c>
      <c r="H363" s="335">
        <v>470000.0</v>
      </c>
      <c r="I363" s="346">
        <v>100000.0</v>
      </c>
      <c r="J363" s="353" t="s">
        <v>1642</v>
      </c>
      <c r="K363" s="335">
        <v>520000.0</v>
      </c>
      <c r="L363" s="346">
        <v>100000.0</v>
      </c>
      <c r="M363" s="353" t="s">
        <v>1642</v>
      </c>
      <c r="N363" s="335">
        <v>520000.0</v>
      </c>
      <c r="O363" s="346">
        <v>100000.0</v>
      </c>
      <c r="P363" s="353" t="s">
        <v>1642</v>
      </c>
      <c r="Q363" s="335">
        <v>520000.0</v>
      </c>
      <c r="R363" s="346">
        <v>100000.0</v>
      </c>
      <c r="S363" s="353" t="s">
        <v>1642</v>
      </c>
      <c r="T363" s="335">
        <v>520000.0</v>
      </c>
      <c r="U363" s="346">
        <v>100000.0</v>
      </c>
      <c r="V363" s="353" t="s">
        <v>1642</v>
      </c>
      <c r="W363" s="335">
        <v>520000.0</v>
      </c>
      <c r="X363" s="346">
        <v>100000.0</v>
      </c>
      <c r="Y363" s="353" t="s">
        <v>2214</v>
      </c>
      <c r="Z363" s="335">
        <v>520000.0</v>
      </c>
      <c r="AA363" s="346">
        <v>100000.0</v>
      </c>
      <c r="AB363" s="326"/>
      <c r="AC363" s="321"/>
      <c r="AD363" s="322"/>
      <c r="AE363" s="326"/>
      <c r="AF363" s="321"/>
      <c r="AG363" s="322"/>
      <c r="AH363" s="326"/>
      <c r="AI363" s="321"/>
      <c r="AJ363" s="322"/>
      <c r="AK363" s="326"/>
      <c r="AL363" s="321"/>
      <c r="AM363" s="322"/>
      <c r="AN363" s="316" t="s">
        <v>645</v>
      </c>
      <c r="AO363" s="316"/>
      <c r="AP363" s="316"/>
      <c r="AQ363" s="316"/>
      <c r="AR363" s="316"/>
      <c r="AS363" s="316"/>
      <c r="AT363" s="316"/>
      <c r="AU363" s="316"/>
      <c r="AV363" s="316"/>
      <c r="AW363" s="316"/>
      <c r="AX363" s="316"/>
      <c r="AY363" s="316"/>
      <c r="AZ363" s="316"/>
      <c r="BA363" s="316"/>
      <c r="BB363" s="316"/>
      <c r="BC363" s="316"/>
      <c r="BD363" s="316"/>
      <c r="BE363" s="316"/>
      <c r="BF363" s="316"/>
      <c r="BG363" s="316"/>
      <c r="BH363" s="316"/>
      <c r="BI363" s="316"/>
      <c r="BJ363" s="316"/>
      <c r="BK363" s="316"/>
      <c r="BL363" s="316"/>
      <c r="BM363" s="316"/>
      <c r="BN363" s="316"/>
    </row>
    <row r="364">
      <c r="A364" s="303" t="s">
        <v>643</v>
      </c>
      <c r="B364" s="317" t="s">
        <v>643</v>
      </c>
      <c r="C364" s="325" t="s">
        <v>662</v>
      </c>
      <c r="D364" s="341" t="s">
        <v>663</v>
      </c>
      <c r="E364" s="348">
        <v>350000.0</v>
      </c>
      <c r="F364" s="346">
        <v>80000.0</v>
      </c>
      <c r="G364" s="341" t="s">
        <v>663</v>
      </c>
      <c r="H364" s="348">
        <v>350000.0</v>
      </c>
      <c r="I364" s="346">
        <v>80000.0</v>
      </c>
      <c r="J364" s="341" t="s">
        <v>663</v>
      </c>
      <c r="K364" s="348">
        <v>420000.0</v>
      </c>
      <c r="L364" s="346">
        <v>100000.0</v>
      </c>
      <c r="M364" s="341" t="s">
        <v>663</v>
      </c>
      <c r="N364" s="348">
        <v>420000.0</v>
      </c>
      <c r="O364" s="346">
        <v>100000.0</v>
      </c>
      <c r="P364" s="341" t="s">
        <v>663</v>
      </c>
      <c r="Q364" s="348">
        <v>420000.0</v>
      </c>
      <c r="R364" s="346">
        <v>100000.0</v>
      </c>
      <c r="S364" s="341" t="s">
        <v>663</v>
      </c>
      <c r="T364" s="348">
        <v>420000.0</v>
      </c>
      <c r="U364" s="346">
        <v>100000.0</v>
      </c>
      <c r="V364" s="341" t="s">
        <v>663</v>
      </c>
      <c r="W364" s="348">
        <v>420000.0</v>
      </c>
      <c r="X364" s="346">
        <v>100000.0</v>
      </c>
      <c r="Y364" s="341" t="s">
        <v>663</v>
      </c>
      <c r="Z364" s="348">
        <v>420000.0</v>
      </c>
      <c r="AA364" s="346">
        <v>100000.0</v>
      </c>
      <c r="AB364" s="341" t="s">
        <v>663</v>
      </c>
      <c r="AC364" s="348">
        <v>420000.0</v>
      </c>
      <c r="AD364" s="346">
        <v>100000.0</v>
      </c>
      <c r="AE364" s="341" t="s">
        <v>663</v>
      </c>
      <c r="AF364" s="348">
        <v>420000.0</v>
      </c>
      <c r="AG364" s="346">
        <v>100000.0</v>
      </c>
      <c r="AH364" s="341" t="s">
        <v>663</v>
      </c>
      <c r="AI364" s="348">
        <v>420000.0</v>
      </c>
      <c r="AJ364" s="346">
        <v>100000.0</v>
      </c>
      <c r="AK364" s="341" t="s">
        <v>663</v>
      </c>
      <c r="AL364" s="348">
        <v>420000.0</v>
      </c>
      <c r="AM364" s="346">
        <v>100000.0</v>
      </c>
      <c r="AN364" s="316" t="s">
        <v>645</v>
      </c>
      <c r="AO364" s="316"/>
      <c r="AP364" s="316"/>
      <c r="AQ364" s="316"/>
      <c r="AR364" s="316"/>
      <c r="AS364" s="316"/>
      <c r="AT364" s="316"/>
      <c r="AU364" s="316"/>
      <c r="AV364" s="316"/>
      <c r="AW364" s="316"/>
      <c r="AX364" s="316"/>
      <c r="AY364" s="316"/>
      <c r="AZ364" s="316"/>
      <c r="BA364" s="316"/>
      <c r="BB364" s="316"/>
      <c r="BC364" s="316"/>
      <c r="BD364" s="316"/>
      <c r="BE364" s="316"/>
      <c r="BF364" s="316"/>
      <c r="BG364" s="316"/>
      <c r="BH364" s="316"/>
      <c r="BI364" s="316"/>
      <c r="BJ364" s="316"/>
      <c r="BK364" s="316"/>
      <c r="BL364" s="316"/>
      <c r="BM364" s="316"/>
      <c r="BN364" s="316"/>
    </row>
    <row r="365">
      <c r="A365" s="303" t="s">
        <v>643</v>
      </c>
      <c r="B365" s="317" t="s">
        <v>643</v>
      </c>
      <c r="C365" s="325" t="s">
        <v>664</v>
      </c>
      <c r="D365" s="341" t="s">
        <v>665</v>
      </c>
      <c r="E365" s="335">
        <v>450000.0</v>
      </c>
      <c r="F365" s="346">
        <v>100000.0</v>
      </c>
      <c r="G365" s="341" t="s">
        <v>665</v>
      </c>
      <c r="H365" s="335">
        <v>450000.0</v>
      </c>
      <c r="I365" s="346">
        <v>80000.0</v>
      </c>
      <c r="J365" s="341" t="s">
        <v>665</v>
      </c>
      <c r="K365" s="335">
        <v>450000.0</v>
      </c>
      <c r="L365" s="346">
        <v>100000.0</v>
      </c>
      <c r="M365" s="341" t="s">
        <v>665</v>
      </c>
      <c r="N365" s="335">
        <v>450000.0</v>
      </c>
      <c r="O365" s="346">
        <v>100000.0</v>
      </c>
      <c r="P365" s="341" t="s">
        <v>665</v>
      </c>
      <c r="Q365" s="335">
        <v>450000.0</v>
      </c>
      <c r="R365" s="346">
        <v>100000.0</v>
      </c>
      <c r="S365" s="341" t="s">
        <v>665</v>
      </c>
      <c r="T365" s="335">
        <v>450000.0</v>
      </c>
      <c r="U365" s="346">
        <v>100000.0</v>
      </c>
      <c r="V365" s="341" t="s">
        <v>665</v>
      </c>
      <c r="W365" s="335">
        <v>450000.0</v>
      </c>
      <c r="X365" s="346">
        <v>100000.0</v>
      </c>
      <c r="Y365" s="341" t="s">
        <v>665</v>
      </c>
      <c r="Z365" s="335">
        <v>450000.0</v>
      </c>
      <c r="AA365" s="346">
        <v>100000.0</v>
      </c>
      <c r="AB365" s="341" t="s">
        <v>665</v>
      </c>
      <c r="AC365" s="335">
        <v>450000.0</v>
      </c>
      <c r="AD365" s="346">
        <v>100000.0</v>
      </c>
      <c r="AE365" s="341" t="s">
        <v>665</v>
      </c>
      <c r="AF365" s="335">
        <v>450000.0</v>
      </c>
      <c r="AG365" s="346">
        <v>100000.0</v>
      </c>
      <c r="AH365" s="341" t="s">
        <v>665</v>
      </c>
      <c r="AI365" s="335">
        <v>450000.0</v>
      </c>
      <c r="AJ365" s="346">
        <v>100000.0</v>
      </c>
      <c r="AK365" s="341" t="s">
        <v>665</v>
      </c>
      <c r="AL365" s="335">
        <v>450000.0</v>
      </c>
      <c r="AM365" s="346">
        <v>100000.0</v>
      </c>
      <c r="AN365" s="316" t="s">
        <v>645</v>
      </c>
      <c r="AO365" s="316"/>
      <c r="AP365" s="316"/>
      <c r="AQ365" s="316"/>
      <c r="AR365" s="316"/>
      <c r="AS365" s="316"/>
      <c r="AT365" s="316"/>
      <c r="AU365" s="316"/>
      <c r="AV365" s="316"/>
      <c r="AW365" s="316"/>
      <c r="AX365" s="316"/>
      <c r="AY365" s="316"/>
      <c r="AZ365" s="316"/>
      <c r="BA365" s="316"/>
      <c r="BB365" s="316"/>
      <c r="BC365" s="316"/>
      <c r="BD365" s="316"/>
      <c r="BE365" s="316"/>
      <c r="BF365" s="316"/>
      <c r="BG365" s="316"/>
      <c r="BH365" s="316"/>
      <c r="BI365" s="316"/>
      <c r="BJ365" s="316"/>
      <c r="BK365" s="316"/>
      <c r="BL365" s="316"/>
      <c r="BM365" s="316"/>
      <c r="BN365" s="316"/>
    </row>
    <row r="366">
      <c r="A366" s="303" t="s">
        <v>643</v>
      </c>
      <c r="B366" s="304"/>
      <c r="C366" s="305" t="s">
        <v>42</v>
      </c>
      <c r="D366" s="320"/>
      <c r="E366" s="323">
        <f>SUM(E356:E365)</f>
        <v>3390000</v>
      </c>
      <c r="F366" s="324">
        <f>SUM(F363:F365)</f>
        <v>280000</v>
      </c>
      <c r="G366" s="320"/>
      <c r="H366" s="323">
        <f t="shared" ref="H366:I366" si="480">SUM(H356:H365)</f>
        <v>3390000</v>
      </c>
      <c r="I366" s="324">
        <f t="shared" si="480"/>
        <v>360000</v>
      </c>
      <c r="J366" s="320"/>
      <c r="K366" s="323">
        <f t="shared" ref="K366:L366" si="481">SUM(K356:K365)</f>
        <v>3510000</v>
      </c>
      <c r="L366" s="324">
        <f t="shared" si="481"/>
        <v>400000</v>
      </c>
      <c r="M366" s="320"/>
      <c r="N366" s="323">
        <f t="shared" ref="N366:O366" si="482">SUM(N356:N365)</f>
        <v>3510000</v>
      </c>
      <c r="O366" s="324">
        <f t="shared" si="482"/>
        <v>400000</v>
      </c>
      <c r="P366" s="320"/>
      <c r="Q366" s="323">
        <f t="shared" ref="Q366:R366" si="483">SUM(Q356:Q365)</f>
        <v>3510000</v>
      </c>
      <c r="R366" s="324">
        <f t="shared" si="483"/>
        <v>400000</v>
      </c>
      <c r="S366" s="320"/>
      <c r="T366" s="323">
        <f t="shared" ref="T366:U366" si="484">SUM(T356:T365)</f>
        <v>3510000</v>
      </c>
      <c r="U366" s="324">
        <f t="shared" si="484"/>
        <v>400000</v>
      </c>
      <c r="V366" s="320"/>
      <c r="W366" s="323">
        <f t="shared" ref="W366:X366" si="485">SUM(W356:W365)</f>
        <v>3510000</v>
      </c>
      <c r="X366" s="324">
        <f t="shared" si="485"/>
        <v>400000</v>
      </c>
      <c r="Y366" s="320"/>
      <c r="Z366" s="323">
        <f t="shared" ref="Z366:AA366" si="486">SUM(Z356:Z365)</f>
        <v>3510000</v>
      </c>
      <c r="AA366" s="324">
        <f t="shared" si="486"/>
        <v>400000</v>
      </c>
      <c r="AB366" s="320"/>
      <c r="AC366" s="323">
        <f t="shared" ref="AC366:AD366" si="487">SUM(AC356:AC365)</f>
        <v>2990000</v>
      </c>
      <c r="AD366" s="324">
        <f t="shared" si="487"/>
        <v>300000</v>
      </c>
      <c r="AE366" s="320"/>
      <c r="AF366" s="323">
        <f t="shared" ref="AF366:AG366" si="488">SUM(AF356:AF365)</f>
        <v>2990000</v>
      </c>
      <c r="AG366" s="324">
        <f t="shared" si="488"/>
        <v>300000</v>
      </c>
      <c r="AH366" s="320"/>
      <c r="AI366" s="323">
        <f t="shared" ref="AI366:AJ366" si="489">SUM(AI356:AI365)</f>
        <v>2470000</v>
      </c>
      <c r="AJ366" s="324">
        <f t="shared" si="489"/>
        <v>200000</v>
      </c>
      <c r="AK366" s="320"/>
      <c r="AL366" s="323">
        <f t="shared" ref="AL366:AM366" si="490">SUM(AL356:AL365)</f>
        <v>2470000</v>
      </c>
      <c r="AM366" s="324">
        <f t="shared" si="490"/>
        <v>200000</v>
      </c>
      <c r="AN366" s="316" t="s">
        <v>645</v>
      </c>
      <c r="AO366" s="316"/>
      <c r="AP366" s="316"/>
      <c r="AQ366" s="316"/>
      <c r="AR366" s="316"/>
      <c r="AS366" s="316"/>
      <c r="AT366" s="316"/>
      <c r="AU366" s="316"/>
      <c r="AV366" s="316"/>
      <c r="AW366" s="316"/>
      <c r="AX366" s="316"/>
      <c r="AY366" s="316"/>
      <c r="AZ366" s="316"/>
      <c r="BA366" s="316"/>
      <c r="BB366" s="316"/>
      <c r="BC366" s="316"/>
      <c r="BD366" s="316"/>
      <c r="BE366" s="316"/>
      <c r="BF366" s="316"/>
      <c r="BG366" s="316"/>
      <c r="BH366" s="316"/>
      <c r="BI366" s="316"/>
      <c r="BJ366" s="316"/>
      <c r="BK366" s="316"/>
      <c r="BL366" s="316"/>
      <c r="BM366" s="316"/>
      <c r="BN366" s="316"/>
    </row>
    <row r="367" collapsed="1">
      <c r="A367" s="303" t="s">
        <v>643</v>
      </c>
      <c r="B367" s="304"/>
      <c r="C367" s="325" t="s">
        <v>43</v>
      </c>
      <c r="D367" s="326"/>
      <c r="E367" s="321">
        <v>1100000.0</v>
      </c>
      <c r="F367" s="324"/>
      <c r="G367" s="326"/>
      <c r="H367" s="321">
        <v>1100000.0</v>
      </c>
      <c r="I367" s="324"/>
      <c r="J367" s="326"/>
      <c r="K367" s="321">
        <v>1100000.0</v>
      </c>
      <c r="L367" s="324"/>
      <c r="M367" s="326"/>
      <c r="N367" s="321">
        <v>1100000.0</v>
      </c>
      <c r="O367" s="324"/>
      <c r="P367" s="326"/>
      <c r="Q367" s="321">
        <v>1100000.0</v>
      </c>
      <c r="R367" s="324"/>
      <c r="S367" s="326"/>
      <c r="T367" s="321">
        <v>1100000.0</v>
      </c>
      <c r="U367" s="324"/>
      <c r="V367" s="326"/>
      <c r="W367" s="321">
        <v>1100000.0</v>
      </c>
      <c r="X367" s="324"/>
      <c r="Y367" s="326"/>
      <c r="Z367" s="321">
        <v>1100000.0</v>
      </c>
      <c r="AA367" s="324"/>
      <c r="AB367" s="326"/>
      <c r="AC367" s="321">
        <v>1100000.0</v>
      </c>
      <c r="AD367" s="324"/>
      <c r="AE367" s="326"/>
      <c r="AF367" s="321">
        <v>1100000.0</v>
      </c>
      <c r="AG367" s="324"/>
      <c r="AH367" s="326"/>
      <c r="AI367" s="321">
        <v>1100000.0</v>
      </c>
      <c r="AJ367" s="324"/>
      <c r="AK367" s="326"/>
      <c r="AL367" s="321">
        <v>1100000.0</v>
      </c>
      <c r="AM367" s="324"/>
      <c r="AN367" s="316" t="s">
        <v>645</v>
      </c>
      <c r="AO367" s="316"/>
      <c r="AP367" s="316"/>
      <c r="AQ367" s="316"/>
      <c r="AR367" s="316"/>
      <c r="AS367" s="316"/>
      <c r="AT367" s="316"/>
      <c r="AU367" s="316"/>
      <c r="AV367" s="316"/>
      <c r="AW367" s="316"/>
      <c r="AX367" s="316"/>
      <c r="AY367" s="316"/>
      <c r="AZ367" s="316"/>
      <c r="BA367" s="316"/>
      <c r="BB367" s="316"/>
      <c r="BC367" s="316"/>
      <c r="BD367" s="316"/>
      <c r="BE367" s="316"/>
      <c r="BF367" s="316"/>
      <c r="BG367" s="316"/>
      <c r="BH367" s="316"/>
      <c r="BI367" s="316"/>
      <c r="BJ367" s="316"/>
      <c r="BK367" s="316"/>
      <c r="BL367" s="316"/>
      <c r="BM367" s="316"/>
      <c r="BN367" s="316"/>
    </row>
    <row r="368" hidden="1" outlineLevel="1">
      <c r="A368" s="303" t="s">
        <v>643</v>
      </c>
      <c r="B368" s="317" t="s">
        <v>95</v>
      </c>
      <c r="C368" s="325" t="s">
        <v>45</v>
      </c>
      <c r="D368" s="326"/>
      <c r="E368" s="321"/>
      <c r="F368" s="322"/>
      <c r="G368" s="326"/>
      <c r="H368" s="321"/>
      <c r="I368" s="322"/>
      <c r="J368" s="326"/>
      <c r="K368" s="321"/>
      <c r="L368" s="322"/>
      <c r="M368" s="326"/>
      <c r="N368" s="321"/>
      <c r="O368" s="322"/>
      <c r="P368" s="326"/>
      <c r="Q368" s="321"/>
      <c r="R368" s="322"/>
      <c r="S368" s="326"/>
      <c r="T368" s="321"/>
      <c r="U368" s="322"/>
      <c r="V368" s="326"/>
      <c r="W368" s="321"/>
      <c r="X368" s="322"/>
      <c r="Y368" s="326"/>
      <c r="Z368" s="321"/>
      <c r="AA368" s="322"/>
      <c r="AB368" s="326"/>
      <c r="AC368" s="321"/>
      <c r="AD368" s="322"/>
      <c r="AE368" s="326"/>
      <c r="AF368" s="321"/>
      <c r="AG368" s="322"/>
      <c r="AH368" s="326"/>
      <c r="AI368" s="321"/>
      <c r="AJ368" s="322"/>
      <c r="AK368" s="326"/>
      <c r="AL368" s="321"/>
      <c r="AM368" s="322"/>
      <c r="AN368" s="316" t="s">
        <v>645</v>
      </c>
      <c r="AO368" s="316"/>
      <c r="AP368" s="316"/>
      <c r="AQ368" s="316"/>
      <c r="AR368" s="316"/>
      <c r="AS368" s="316"/>
      <c r="AT368" s="316"/>
      <c r="AU368" s="316"/>
      <c r="AV368" s="316"/>
      <c r="AW368" s="316"/>
      <c r="AX368" s="316"/>
      <c r="AY368" s="316"/>
      <c r="AZ368" s="316"/>
      <c r="BA368" s="316"/>
      <c r="BB368" s="316"/>
      <c r="BC368" s="316"/>
      <c r="BD368" s="316"/>
      <c r="BE368" s="316"/>
      <c r="BF368" s="316"/>
      <c r="BG368" s="316"/>
      <c r="BH368" s="316"/>
      <c r="BI368" s="316"/>
      <c r="BJ368" s="316"/>
      <c r="BK368" s="316"/>
      <c r="BL368" s="316"/>
      <c r="BM368" s="316"/>
      <c r="BN368" s="316"/>
    </row>
    <row r="369" hidden="1" outlineLevel="1">
      <c r="A369" s="303" t="s">
        <v>643</v>
      </c>
      <c r="B369" s="317" t="s">
        <v>95</v>
      </c>
      <c r="C369" s="325" t="s">
        <v>47</v>
      </c>
      <c r="D369" s="326"/>
      <c r="E369" s="321"/>
      <c r="F369" s="322">
        <v>80180.0</v>
      </c>
      <c r="G369" s="326"/>
      <c r="H369" s="321"/>
      <c r="I369" s="322">
        <v>80180.0</v>
      </c>
      <c r="J369" s="326"/>
      <c r="K369" s="321"/>
      <c r="L369" s="322"/>
      <c r="M369" s="326"/>
      <c r="N369" s="321"/>
      <c r="O369" s="322"/>
      <c r="P369" s="326"/>
      <c r="Q369" s="321"/>
      <c r="R369" s="322"/>
      <c r="S369" s="326"/>
      <c r="T369" s="321"/>
      <c r="U369" s="322"/>
      <c r="V369" s="326"/>
      <c r="W369" s="321"/>
      <c r="X369" s="322"/>
      <c r="Y369" s="326"/>
      <c r="Z369" s="321"/>
      <c r="AA369" s="322"/>
      <c r="AB369" s="326"/>
      <c r="AC369" s="321"/>
      <c r="AD369" s="322"/>
      <c r="AE369" s="326"/>
      <c r="AF369" s="321"/>
      <c r="AG369" s="322"/>
      <c r="AH369" s="326"/>
      <c r="AI369" s="321"/>
      <c r="AJ369" s="322"/>
      <c r="AK369" s="326"/>
      <c r="AL369" s="321"/>
      <c r="AM369" s="322"/>
      <c r="AN369" s="316" t="s">
        <v>645</v>
      </c>
      <c r="AO369" s="316"/>
      <c r="AP369" s="316"/>
      <c r="AQ369" s="316"/>
      <c r="AR369" s="316"/>
      <c r="AS369" s="316"/>
      <c r="AT369" s="316"/>
      <c r="AU369" s="316"/>
      <c r="AV369" s="316"/>
      <c r="AW369" s="316"/>
      <c r="AX369" s="316"/>
      <c r="AY369" s="316"/>
      <c r="AZ369" s="316"/>
      <c r="BA369" s="316"/>
      <c r="BB369" s="316"/>
      <c r="BC369" s="316"/>
      <c r="BD369" s="316"/>
      <c r="BE369" s="316"/>
      <c r="BF369" s="316"/>
      <c r="BG369" s="316"/>
      <c r="BH369" s="316"/>
      <c r="BI369" s="316"/>
      <c r="BJ369" s="316"/>
      <c r="BK369" s="316"/>
      <c r="BL369" s="316"/>
      <c r="BM369" s="316"/>
      <c r="BN369" s="316"/>
    </row>
    <row r="370" hidden="1" outlineLevel="1">
      <c r="A370" s="303" t="s">
        <v>643</v>
      </c>
      <c r="B370" s="317" t="s">
        <v>95</v>
      </c>
      <c r="C370" s="325" t="s">
        <v>49</v>
      </c>
      <c r="D370" s="326"/>
      <c r="E370" s="321"/>
      <c r="F370" s="322">
        <v>233360.0</v>
      </c>
      <c r="G370" s="326"/>
      <c r="H370" s="321"/>
      <c r="I370" s="322">
        <v>277150.0</v>
      </c>
      <c r="J370" s="326"/>
      <c r="K370" s="321"/>
      <c r="L370" s="322"/>
      <c r="M370" s="326"/>
      <c r="N370" s="321"/>
      <c r="O370" s="322"/>
      <c r="P370" s="326"/>
      <c r="Q370" s="321"/>
      <c r="R370" s="322"/>
      <c r="S370" s="326"/>
      <c r="T370" s="321"/>
      <c r="U370" s="322"/>
      <c r="V370" s="326"/>
      <c r="W370" s="321"/>
      <c r="X370" s="322"/>
      <c r="Y370" s="326"/>
      <c r="Z370" s="321"/>
      <c r="AA370" s="322"/>
      <c r="AB370" s="326"/>
      <c r="AC370" s="321"/>
      <c r="AD370" s="322"/>
      <c r="AE370" s="326"/>
      <c r="AF370" s="321"/>
      <c r="AG370" s="322"/>
      <c r="AH370" s="326"/>
      <c r="AI370" s="321"/>
      <c r="AJ370" s="322"/>
      <c r="AK370" s="326"/>
      <c r="AL370" s="321"/>
      <c r="AM370" s="322"/>
      <c r="AN370" s="316" t="s">
        <v>645</v>
      </c>
      <c r="AO370" s="316"/>
      <c r="AP370" s="316"/>
      <c r="AQ370" s="316"/>
      <c r="AR370" s="316"/>
      <c r="AS370" s="316"/>
      <c r="AT370" s="316"/>
      <c r="AU370" s="316"/>
      <c r="AV370" s="316"/>
      <c r="AW370" s="316"/>
      <c r="AX370" s="316"/>
      <c r="AY370" s="316"/>
      <c r="AZ370" s="316"/>
      <c r="BA370" s="316"/>
      <c r="BB370" s="316"/>
      <c r="BC370" s="316"/>
      <c r="BD370" s="316"/>
      <c r="BE370" s="316"/>
      <c r="BF370" s="316"/>
      <c r="BG370" s="316"/>
      <c r="BH370" s="316"/>
      <c r="BI370" s="316"/>
      <c r="BJ370" s="316"/>
      <c r="BK370" s="316"/>
      <c r="BL370" s="316"/>
      <c r="BM370" s="316"/>
      <c r="BN370" s="316"/>
    </row>
    <row r="371" hidden="1" outlineLevel="1">
      <c r="A371" s="303" t="s">
        <v>643</v>
      </c>
      <c r="B371" s="317" t="s">
        <v>95</v>
      </c>
      <c r="C371" s="325" t="s">
        <v>51</v>
      </c>
      <c r="D371" s="326"/>
      <c r="E371" s="321"/>
      <c r="F371" s="322"/>
      <c r="G371" s="326"/>
      <c r="H371" s="321"/>
      <c r="I371" s="322">
        <v>71905.0</v>
      </c>
      <c r="J371" s="326"/>
      <c r="K371" s="321"/>
      <c r="L371" s="322"/>
      <c r="M371" s="326"/>
      <c r="N371" s="321"/>
      <c r="O371" s="322"/>
      <c r="P371" s="326"/>
      <c r="Q371" s="321"/>
      <c r="R371" s="322"/>
      <c r="S371" s="326"/>
      <c r="T371" s="321"/>
      <c r="U371" s="322"/>
      <c r="V371" s="326"/>
      <c r="W371" s="321"/>
      <c r="X371" s="322"/>
      <c r="Y371" s="326"/>
      <c r="Z371" s="321"/>
      <c r="AA371" s="322"/>
      <c r="AB371" s="326"/>
      <c r="AC371" s="321"/>
      <c r="AD371" s="322"/>
      <c r="AE371" s="326"/>
      <c r="AF371" s="321"/>
      <c r="AG371" s="322"/>
      <c r="AH371" s="326"/>
      <c r="AI371" s="321"/>
      <c r="AJ371" s="322"/>
      <c r="AK371" s="326"/>
      <c r="AL371" s="321"/>
      <c r="AM371" s="322"/>
      <c r="AN371" s="316" t="s">
        <v>645</v>
      </c>
      <c r="AO371" s="316"/>
      <c r="AP371" s="316"/>
      <c r="AQ371" s="316"/>
      <c r="AR371" s="316"/>
      <c r="AS371" s="316"/>
      <c r="AT371" s="316"/>
      <c r="AU371" s="316"/>
      <c r="AV371" s="316"/>
      <c r="AW371" s="316"/>
      <c r="AX371" s="316"/>
      <c r="AY371" s="316"/>
      <c r="AZ371" s="316"/>
      <c r="BA371" s="316"/>
      <c r="BB371" s="316"/>
      <c r="BC371" s="316"/>
      <c r="BD371" s="316"/>
      <c r="BE371" s="316"/>
      <c r="BF371" s="316"/>
      <c r="BG371" s="316"/>
      <c r="BH371" s="316"/>
      <c r="BI371" s="316"/>
      <c r="BJ371" s="316"/>
      <c r="BK371" s="316"/>
      <c r="BL371" s="316"/>
      <c r="BM371" s="316"/>
      <c r="BN371" s="316"/>
    </row>
    <row r="372" hidden="1" outlineLevel="1">
      <c r="A372" s="303" t="s">
        <v>643</v>
      </c>
      <c r="B372" s="317" t="s">
        <v>95</v>
      </c>
      <c r="C372" s="325" t="s">
        <v>52</v>
      </c>
      <c r="D372" s="327"/>
      <c r="E372" s="321"/>
      <c r="F372" s="322">
        <v>34000.0</v>
      </c>
      <c r="G372" s="327"/>
      <c r="H372" s="321"/>
      <c r="I372" s="322">
        <v>34000.0</v>
      </c>
      <c r="J372" s="327"/>
      <c r="K372" s="321"/>
      <c r="L372" s="322">
        <v>34000.0</v>
      </c>
      <c r="M372" s="327"/>
      <c r="N372" s="321"/>
      <c r="O372" s="322">
        <v>34000.0</v>
      </c>
      <c r="P372" s="327"/>
      <c r="Q372" s="321"/>
      <c r="R372" s="322">
        <v>34000.0</v>
      </c>
      <c r="S372" s="327"/>
      <c r="T372" s="321"/>
      <c r="U372" s="322">
        <v>34000.0</v>
      </c>
      <c r="V372" s="327"/>
      <c r="W372" s="321"/>
      <c r="X372" s="322">
        <v>34000.0</v>
      </c>
      <c r="Y372" s="327"/>
      <c r="Z372" s="321"/>
      <c r="AA372" s="322">
        <v>34000.0</v>
      </c>
      <c r="AB372" s="327"/>
      <c r="AC372" s="321"/>
      <c r="AD372" s="322">
        <v>34000.0</v>
      </c>
      <c r="AE372" s="327"/>
      <c r="AF372" s="321"/>
      <c r="AG372" s="322">
        <v>34000.0</v>
      </c>
      <c r="AH372" s="327"/>
      <c r="AI372" s="321"/>
      <c r="AJ372" s="322">
        <v>34000.0</v>
      </c>
      <c r="AK372" s="327"/>
      <c r="AL372" s="321"/>
      <c r="AM372" s="322">
        <v>34000.0</v>
      </c>
      <c r="AN372" s="316" t="s">
        <v>645</v>
      </c>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row>
    <row r="373" hidden="1" outlineLevel="1">
      <c r="A373" s="303" t="s">
        <v>643</v>
      </c>
      <c r="B373" s="317" t="s">
        <v>95</v>
      </c>
      <c r="C373" s="325" t="s">
        <v>53</v>
      </c>
      <c r="D373" s="326"/>
      <c r="E373" s="321"/>
      <c r="F373" s="322">
        <v>18900.0</v>
      </c>
      <c r="G373" s="326"/>
      <c r="H373" s="321"/>
      <c r="I373" s="322">
        <v>18900.0</v>
      </c>
      <c r="J373" s="326"/>
      <c r="K373" s="321"/>
      <c r="L373" s="322">
        <v>18900.0</v>
      </c>
      <c r="M373" s="326"/>
      <c r="N373" s="321"/>
      <c r="O373" s="322">
        <v>18900.0</v>
      </c>
      <c r="P373" s="326"/>
      <c r="Q373" s="321"/>
      <c r="R373" s="322">
        <v>18900.0</v>
      </c>
      <c r="S373" s="326"/>
      <c r="T373" s="321"/>
      <c r="U373" s="322">
        <v>18900.0</v>
      </c>
      <c r="V373" s="326"/>
      <c r="W373" s="321"/>
      <c r="X373" s="322">
        <v>18900.0</v>
      </c>
      <c r="Y373" s="326"/>
      <c r="Z373" s="321"/>
      <c r="AA373" s="322">
        <v>18900.0</v>
      </c>
      <c r="AB373" s="326"/>
      <c r="AC373" s="321"/>
      <c r="AD373" s="322">
        <v>18900.0</v>
      </c>
      <c r="AE373" s="326"/>
      <c r="AF373" s="321"/>
      <c r="AG373" s="322">
        <v>18900.0</v>
      </c>
      <c r="AH373" s="326"/>
      <c r="AI373" s="321"/>
      <c r="AJ373" s="322">
        <v>18900.0</v>
      </c>
      <c r="AK373" s="326"/>
      <c r="AL373" s="321"/>
      <c r="AM373" s="322">
        <v>18900.0</v>
      </c>
      <c r="AN373" s="316" t="s">
        <v>645</v>
      </c>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row>
    <row r="374" hidden="1" outlineLevel="1">
      <c r="A374" s="303" t="s">
        <v>643</v>
      </c>
      <c r="B374" s="304"/>
      <c r="C374" s="325" t="s">
        <v>54</v>
      </c>
      <c r="D374" s="327"/>
      <c r="E374" s="321"/>
      <c r="F374" s="322">
        <f>SUMIFS('지출'!$G$3:$G794,'지출'!$J$3:$J794,F$1,'지출'!$C$3:$C794,"샛별")</f>
        <v>345900</v>
      </c>
      <c r="G374" s="327"/>
      <c r="H374" s="321"/>
      <c r="I374" s="322">
        <f>SUMIFS('지출'!$G$3:$G794,'지출'!$J$3:$J794,I$1,'지출'!$C$3:$C794,"샛별")</f>
        <v>121650</v>
      </c>
      <c r="J374" s="327"/>
      <c r="K374" s="321"/>
      <c r="L374" s="322">
        <f>SUMIFS('지출'!$G$3:$G794,'지출'!$J$3:$J794,L$1,'지출'!$C$3:$C794,"샛별")</f>
        <v>74460</v>
      </c>
      <c r="M374" s="327"/>
      <c r="N374" s="321"/>
      <c r="O374" s="322">
        <f>SUMIFS('지출'!$G$3:$G794,'지출'!$J$3:$J794,O$1,'지출'!$C$3:$C794,"샛별")</f>
        <v>0</v>
      </c>
      <c r="P374" s="327"/>
      <c r="Q374" s="321"/>
      <c r="R374" s="322">
        <f>SUMIFS('지출'!$G$3:$G794,'지출'!$J$3:$J794,R$1,'지출'!$C$3:$C794,"샛별")</f>
        <v>0</v>
      </c>
      <c r="S374" s="327"/>
      <c r="T374" s="321"/>
      <c r="U374" s="322">
        <f>SUMIFS('지출'!$G$3:$G794,'지출'!$J$3:$J794,U$1,'지출'!$C$3:$C794,"샛별")</f>
        <v>0</v>
      </c>
      <c r="V374" s="327"/>
      <c r="W374" s="321"/>
      <c r="X374" s="322">
        <f>SUMIFS('지출'!$G$3:$G794,'지출'!$J$3:$J794,X$1,'지출'!$C$3:$C794,"샛별")</f>
        <v>0</v>
      </c>
      <c r="Y374" s="327"/>
      <c r="Z374" s="321"/>
      <c r="AA374" s="322">
        <f>SUMIFS('지출'!$G$3:$G794,'지출'!$J$3:$J794,AA$1,'지출'!$C$3:$C794,"샛별")</f>
        <v>0</v>
      </c>
      <c r="AB374" s="327"/>
      <c r="AC374" s="321"/>
      <c r="AD374" s="322">
        <f>SUMIFS('지출'!$G$3:$G794,'지출'!$J$3:$J794,AD$1,'지출'!$C$3:$C794,"샛별")</f>
        <v>0</v>
      </c>
      <c r="AE374" s="327"/>
      <c r="AF374" s="321"/>
      <c r="AG374" s="322">
        <f>SUMIFS('지출'!$G$3:$G794,'지출'!$J$3:$J794,AG$1,'지출'!$C$3:$C794,"샛별")</f>
        <v>0</v>
      </c>
      <c r="AH374" s="327"/>
      <c r="AI374" s="321"/>
      <c r="AJ374" s="322">
        <f>SUMIFS('지출'!$G$3:$G794,'지출'!$J$3:$J794,AJ$1,'지출'!$C$3:$C794,"샛별")</f>
        <v>0</v>
      </c>
      <c r="AK374" s="327"/>
      <c r="AL374" s="321"/>
      <c r="AM374" s="322">
        <f>SUMIFS('지출'!$G$3:$G794,'지출'!$J$3:$J794,AM$1,'지출'!$C$3:$C794,"샛별")</f>
        <v>0</v>
      </c>
      <c r="AN374" s="316" t="s">
        <v>645</v>
      </c>
      <c r="AO374" s="316"/>
      <c r="AP374" s="316"/>
      <c r="AQ374" s="316"/>
      <c r="AR374" s="316"/>
      <c r="AS374" s="316"/>
      <c r="AT374" s="316"/>
      <c r="AU374" s="316"/>
      <c r="AV374" s="316"/>
      <c r="AW374" s="316"/>
      <c r="AX374" s="316"/>
      <c r="AY374" s="316"/>
      <c r="AZ374" s="316"/>
      <c r="BA374" s="316"/>
      <c r="BB374" s="316"/>
      <c r="BC374" s="316"/>
      <c r="BD374" s="316"/>
      <c r="BE374" s="316"/>
      <c r="BF374" s="316"/>
      <c r="BG374" s="316"/>
      <c r="BH374" s="316"/>
      <c r="BI374" s="316"/>
      <c r="BJ374" s="316"/>
      <c r="BK374" s="316"/>
      <c r="BL374" s="316"/>
      <c r="BM374" s="316"/>
      <c r="BN374" s="316"/>
    </row>
    <row r="375" hidden="1" outlineLevel="1">
      <c r="A375" s="303" t="s">
        <v>643</v>
      </c>
      <c r="B375" s="304"/>
      <c r="C375" s="325" t="s">
        <v>56</v>
      </c>
      <c r="D375" s="320"/>
      <c r="E375" s="323">
        <f t="shared" ref="E375:F375" si="491">E366-(SUM(E367:E374))</f>
        <v>2290000</v>
      </c>
      <c r="F375" s="324">
        <f t="shared" si="491"/>
        <v>-432340</v>
      </c>
      <c r="G375" s="320"/>
      <c r="H375" s="323">
        <f t="shared" ref="H375:I375" si="492">H366-(SUM(H367:H374))</f>
        <v>2290000</v>
      </c>
      <c r="I375" s="324">
        <f t="shared" si="492"/>
        <v>-243785</v>
      </c>
      <c r="J375" s="320"/>
      <c r="K375" s="323">
        <f t="shared" ref="K375:L375" si="493">K366-(SUM(K367:K374))</f>
        <v>2410000</v>
      </c>
      <c r="L375" s="324">
        <f t="shared" si="493"/>
        <v>272640</v>
      </c>
      <c r="M375" s="320"/>
      <c r="N375" s="323">
        <f t="shared" ref="N375:O375" si="494">N366-(SUM(N367:N374))</f>
        <v>2410000</v>
      </c>
      <c r="O375" s="324">
        <f t="shared" si="494"/>
        <v>347100</v>
      </c>
      <c r="P375" s="320"/>
      <c r="Q375" s="323">
        <f t="shared" ref="Q375:R375" si="495">Q366-(SUM(Q367:Q374))</f>
        <v>2410000</v>
      </c>
      <c r="R375" s="324">
        <f t="shared" si="495"/>
        <v>347100</v>
      </c>
      <c r="S375" s="320"/>
      <c r="T375" s="323">
        <f t="shared" ref="T375:U375" si="496">T366-(SUM(T367:T374))</f>
        <v>2410000</v>
      </c>
      <c r="U375" s="324">
        <f t="shared" si="496"/>
        <v>347100</v>
      </c>
      <c r="V375" s="320"/>
      <c r="W375" s="323">
        <f t="shared" ref="W375:X375" si="497">W366-(SUM(W367:W374))</f>
        <v>2410000</v>
      </c>
      <c r="X375" s="324">
        <f t="shared" si="497"/>
        <v>347100</v>
      </c>
      <c r="Y375" s="320"/>
      <c r="Z375" s="323">
        <f t="shared" ref="Z375:AA375" si="498">Z366-(SUM(Z367:Z374))</f>
        <v>2410000</v>
      </c>
      <c r="AA375" s="324">
        <f t="shared" si="498"/>
        <v>347100</v>
      </c>
      <c r="AB375" s="320"/>
      <c r="AC375" s="323">
        <f t="shared" ref="AC375:AD375" si="499">AC366-(SUM(AC367:AC374))</f>
        <v>1890000</v>
      </c>
      <c r="AD375" s="324">
        <f t="shared" si="499"/>
        <v>247100</v>
      </c>
      <c r="AE375" s="320"/>
      <c r="AF375" s="323">
        <f t="shared" ref="AF375:AG375" si="500">AF366-(SUM(AF367:AF374))</f>
        <v>1890000</v>
      </c>
      <c r="AG375" s="324">
        <f t="shared" si="500"/>
        <v>247100</v>
      </c>
      <c r="AH375" s="320"/>
      <c r="AI375" s="323">
        <f t="shared" ref="AI375:AJ375" si="501">AI366-(SUM(AI367:AI374))</f>
        <v>1370000</v>
      </c>
      <c r="AJ375" s="324">
        <f t="shared" si="501"/>
        <v>147100</v>
      </c>
      <c r="AK375" s="320"/>
      <c r="AL375" s="323">
        <f t="shared" ref="AL375:AM375" si="502">AL366-(SUM(AL367:AL374))</f>
        <v>1370000</v>
      </c>
      <c r="AM375" s="324">
        <f t="shared" si="502"/>
        <v>147100</v>
      </c>
      <c r="AN375" s="316" t="s">
        <v>645</v>
      </c>
      <c r="AO375" s="316"/>
      <c r="AP375" s="316"/>
      <c r="AQ375" s="316"/>
      <c r="AR375" s="316"/>
      <c r="AS375" s="316"/>
      <c r="AT375" s="316"/>
      <c r="AU375" s="316"/>
      <c r="AV375" s="316"/>
      <c r="AW375" s="316"/>
      <c r="AX375" s="316"/>
      <c r="AY375" s="316"/>
      <c r="AZ375" s="316"/>
      <c r="BA375" s="316"/>
      <c r="BB375" s="316"/>
      <c r="BC375" s="316"/>
      <c r="BD375" s="316"/>
      <c r="BE375" s="316"/>
      <c r="BF375" s="316"/>
      <c r="BG375" s="316"/>
      <c r="BH375" s="316"/>
      <c r="BI375" s="316"/>
      <c r="BJ375" s="316"/>
      <c r="BK375" s="316"/>
      <c r="BL375" s="316"/>
      <c r="BM375" s="316"/>
      <c r="BN375" s="316"/>
    </row>
    <row r="376">
      <c r="A376" s="303" t="s">
        <v>643</v>
      </c>
      <c r="B376" s="328">
        <v>0.7</v>
      </c>
      <c r="C376" s="325" t="s">
        <v>26</v>
      </c>
      <c r="D376" s="320"/>
      <c r="E376" s="323">
        <f>E375*$B376</f>
        <v>1603000</v>
      </c>
      <c r="F376" s="324"/>
      <c r="G376" s="320"/>
      <c r="H376" s="323">
        <f>H375*$B376</f>
        <v>1603000</v>
      </c>
      <c r="I376" s="324"/>
      <c r="J376" s="320"/>
      <c r="K376" s="323">
        <f>K375*$B376</f>
        <v>1687000</v>
      </c>
      <c r="L376" s="324"/>
      <c r="M376" s="320"/>
      <c r="N376" s="323">
        <f>N375*$B376</f>
        <v>1687000</v>
      </c>
      <c r="O376" s="324"/>
      <c r="P376" s="320"/>
      <c r="Q376" s="323">
        <f>Q375*$B376</f>
        <v>1687000</v>
      </c>
      <c r="R376" s="324"/>
      <c r="S376" s="320"/>
      <c r="T376" s="323">
        <f>T375*$B376</f>
        <v>1687000</v>
      </c>
      <c r="U376" s="324"/>
      <c r="V376" s="320"/>
      <c r="W376" s="323">
        <f>W375*$B376</f>
        <v>1687000</v>
      </c>
      <c r="X376" s="324"/>
      <c r="Y376" s="320"/>
      <c r="Z376" s="323">
        <f>Z375*$B376</f>
        <v>1687000</v>
      </c>
      <c r="AA376" s="324"/>
      <c r="AB376" s="320"/>
      <c r="AC376" s="323">
        <f>AC375*$B376</f>
        <v>1323000</v>
      </c>
      <c r="AD376" s="324"/>
      <c r="AE376" s="320"/>
      <c r="AF376" s="323">
        <f>AF375*$B376</f>
        <v>1323000</v>
      </c>
      <c r="AG376" s="324"/>
      <c r="AH376" s="320"/>
      <c r="AI376" s="323">
        <f>AI375*$B376</f>
        <v>959000</v>
      </c>
      <c r="AJ376" s="324"/>
      <c r="AK376" s="320"/>
      <c r="AL376" s="323">
        <f>AL375*$B376</f>
        <v>959000</v>
      </c>
      <c r="AM376" s="324"/>
      <c r="AN376" s="316" t="s">
        <v>645</v>
      </c>
      <c r="AO376" s="316"/>
      <c r="AP376" s="316"/>
      <c r="AQ376" s="316"/>
      <c r="AR376" s="316"/>
      <c r="AS376" s="316"/>
      <c r="AT376" s="316"/>
      <c r="AU376" s="316"/>
      <c r="AV376" s="316"/>
      <c r="AW376" s="316"/>
      <c r="AX376" s="316"/>
      <c r="AY376" s="316"/>
      <c r="AZ376" s="316"/>
      <c r="BA376" s="316"/>
      <c r="BB376" s="316"/>
      <c r="BC376" s="316"/>
      <c r="BD376" s="316"/>
      <c r="BE376" s="316"/>
      <c r="BF376" s="316"/>
      <c r="BG376" s="316"/>
      <c r="BH376" s="316"/>
      <c r="BI376" s="316"/>
      <c r="BJ376" s="316"/>
      <c r="BK376" s="316"/>
      <c r="BL376" s="316"/>
      <c r="BM376" s="316"/>
      <c r="BN376" s="316"/>
    </row>
    <row r="377">
      <c r="A377" s="303" t="s">
        <v>643</v>
      </c>
      <c r="B377" s="329">
        <v>0.3</v>
      </c>
      <c r="C377" s="330" t="s">
        <v>57</v>
      </c>
      <c r="D377" s="331"/>
      <c r="E377" s="332">
        <f>E375*$B377</f>
        <v>687000</v>
      </c>
      <c r="F377" s="333"/>
      <c r="G377" s="331"/>
      <c r="H377" s="332">
        <f>H375*$B377</f>
        <v>687000</v>
      </c>
      <c r="I377" s="333"/>
      <c r="J377" s="331"/>
      <c r="K377" s="332">
        <f>K375*$B377</f>
        <v>723000</v>
      </c>
      <c r="L377" s="333"/>
      <c r="M377" s="331"/>
      <c r="N377" s="332">
        <f>N375*$B377</f>
        <v>723000</v>
      </c>
      <c r="O377" s="333"/>
      <c r="P377" s="331"/>
      <c r="Q377" s="332">
        <f>Q375*$B377</f>
        <v>723000</v>
      </c>
      <c r="R377" s="333"/>
      <c r="S377" s="331"/>
      <c r="T377" s="332">
        <f>T375*$B377</f>
        <v>723000</v>
      </c>
      <c r="U377" s="333"/>
      <c r="V377" s="331"/>
      <c r="W377" s="332">
        <f>W375*$B377</f>
        <v>723000</v>
      </c>
      <c r="X377" s="333"/>
      <c r="Y377" s="331"/>
      <c r="Z377" s="332">
        <f>Z375*$B377</f>
        <v>723000</v>
      </c>
      <c r="AA377" s="333"/>
      <c r="AB377" s="331"/>
      <c r="AC377" s="332">
        <f>AC375*$B377</f>
        <v>567000</v>
      </c>
      <c r="AD377" s="333"/>
      <c r="AE377" s="331"/>
      <c r="AF377" s="332">
        <f>AF375*$B377</f>
        <v>567000</v>
      </c>
      <c r="AG377" s="333"/>
      <c r="AH377" s="331"/>
      <c r="AI377" s="332">
        <f>AI375*$B377</f>
        <v>411000</v>
      </c>
      <c r="AJ377" s="333"/>
      <c r="AK377" s="331"/>
      <c r="AL377" s="332">
        <f>AL375*$B377</f>
        <v>411000</v>
      </c>
      <c r="AM377" s="333"/>
      <c r="AN377" s="316" t="s">
        <v>645</v>
      </c>
      <c r="AO377" s="316"/>
      <c r="AP377" s="316"/>
      <c r="AQ377" s="316"/>
      <c r="AR377" s="316"/>
      <c r="AS377" s="316"/>
      <c r="AT377" s="316"/>
      <c r="AU377" s="316"/>
      <c r="AV377" s="316"/>
      <c r="AW377" s="316"/>
      <c r="AX377" s="316"/>
      <c r="AY377" s="316"/>
      <c r="AZ377" s="316"/>
      <c r="BA377" s="316"/>
      <c r="BB377" s="316"/>
      <c r="BC377" s="316"/>
      <c r="BD377" s="316"/>
      <c r="BE377" s="316"/>
      <c r="BF377" s="316"/>
      <c r="BG377" s="316"/>
      <c r="BH377" s="316"/>
      <c r="BI377" s="316"/>
      <c r="BJ377" s="316"/>
      <c r="BK377" s="316"/>
      <c r="BL377" s="316"/>
      <c r="BM377" s="316"/>
      <c r="BN377" s="316"/>
    </row>
    <row r="378">
      <c r="A378" s="303" t="s">
        <v>1650</v>
      </c>
      <c r="B378" s="317" t="s">
        <v>1650</v>
      </c>
      <c r="C378" s="325" t="s">
        <v>1651</v>
      </c>
      <c r="D378" s="341" t="s">
        <v>2215</v>
      </c>
      <c r="E378" s="335">
        <v>590000.0</v>
      </c>
      <c r="F378" s="346">
        <f>100000+20000</f>
        <v>120000</v>
      </c>
      <c r="G378" s="353" t="s">
        <v>2216</v>
      </c>
      <c r="H378" s="335">
        <f> 526786 
+69643</f>
        <v>596429</v>
      </c>
      <c r="I378" s="346">
        <f>89286+55000+10714</f>
        <v>155000</v>
      </c>
      <c r="J378" s="326" t="s">
        <v>1652</v>
      </c>
      <c r="K378" s="321">
        <v>650000.0</v>
      </c>
      <c r="L378" s="322">
        <v>100000.0</v>
      </c>
      <c r="M378" s="326" t="s">
        <v>1652</v>
      </c>
      <c r="N378" s="321">
        <v>650000.0</v>
      </c>
      <c r="O378" s="322">
        <v>100000.0</v>
      </c>
      <c r="P378" s="326" t="s">
        <v>1652</v>
      </c>
      <c r="Q378" s="321">
        <v>650000.0</v>
      </c>
      <c r="R378" s="322">
        <v>100000.0</v>
      </c>
      <c r="S378" s="326" t="s">
        <v>1652</v>
      </c>
      <c r="T378" s="321">
        <v>650000.0</v>
      </c>
      <c r="U378" s="322">
        <v>100000.0</v>
      </c>
      <c r="V378" s="326" t="s">
        <v>1652</v>
      </c>
      <c r="W378" s="321">
        <v>650000.0</v>
      </c>
      <c r="X378" s="322">
        <v>100000.0</v>
      </c>
      <c r="Y378" s="326" t="s">
        <v>2217</v>
      </c>
      <c r="Z378" s="321">
        <v>650000.0</v>
      </c>
      <c r="AA378" s="322">
        <v>100000.0</v>
      </c>
      <c r="AB378" s="326"/>
      <c r="AC378" s="321"/>
      <c r="AD378" s="322"/>
      <c r="AE378" s="326"/>
      <c r="AF378" s="321"/>
      <c r="AG378" s="322"/>
      <c r="AH378" s="326"/>
      <c r="AI378" s="321"/>
      <c r="AJ378" s="322"/>
      <c r="AK378" s="326"/>
      <c r="AL378" s="321"/>
      <c r="AM378" s="322"/>
      <c r="AN378" s="316" t="s">
        <v>321</v>
      </c>
      <c r="AO378" s="316"/>
      <c r="AP378" s="316"/>
      <c r="AQ378" s="316"/>
      <c r="AR378" s="316"/>
      <c r="AS378" s="316"/>
      <c r="AT378" s="316"/>
      <c r="AU378" s="316"/>
      <c r="AV378" s="316"/>
      <c r="AW378" s="316"/>
      <c r="AX378" s="316"/>
      <c r="AY378" s="316"/>
      <c r="AZ378" s="316"/>
      <c r="BA378" s="316"/>
      <c r="BB378" s="316"/>
      <c r="BC378" s="316"/>
      <c r="BD378" s="316"/>
      <c r="BE378" s="316"/>
      <c r="BF378" s="316"/>
      <c r="BG378" s="316"/>
      <c r="BH378" s="316"/>
      <c r="BI378" s="316"/>
      <c r="BJ378" s="316"/>
      <c r="BK378" s="316"/>
      <c r="BL378" s="316"/>
      <c r="BM378" s="316"/>
      <c r="BN378" s="316"/>
    </row>
    <row r="379">
      <c r="A379" s="303" t="s">
        <v>1650</v>
      </c>
      <c r="B379" s="317" t="s">
        <v>1650</v>
      </c>
      <c r="C379" s="325" t="s">
        <v>1657</v>
      </c>
      <c r="D379" s="341" t="s">
        <v>2218</v>
      </c>
      <c r="E379" s="335">
        <v>470000.0</v>
      </c>
      <c r="F379" s="346">
        <v>100000.0</v>
      </c>
      <c r="G379" s="353" t="s">
        <v>2219</v>
      </c>
      <c r="H379" s="348">
        <v>235000.0</v>
      </c>
      <c r="I379" s="345">
        <v>50000.0</v>
      </c>
      <c r="J379" s="353" t="s">
        <v>2220</v>
      </c>
      <c r="K379" s="335">
        <f>470000+90000+500000</f>
        <v>1060000</v>
      </c>
      <c r="L379" s="346">
        <f>100000+100000</f>
        <v>200000</v>
      </c>
      <c r="M379" s="353" t="s">
        <v>1658</v>
      </c>
      <c r="N379" s="348">
        <v>500000.0</v>
      </c>
      <c r="O379" s="346">
        <v>100000.0</v>
      </c>
      <c r="P379" s="353" t="s">
        <v>1658</v>
      </c>
      <c r="Q379" s="348">
        <v>500000.0</v>
      </c>
      <c r="R379" s="346">
        <v>100000.0</v>
      </c>
      <c r="S379" s="353" t="s">
        <v>1658</v>
      </c>
      <c r="T379" s="348">
        <v>500000.0</v>
      </c>
      <c r="U379" s="346">
        <v>100000.0</v>
      </c>
      <c r="V379" s="353" t="s">
        <v>1658</v>
      </c>
      <c r="W379" s="348">
        <v>500000.0</v>
      </c>
      <c r="X379" s="346">
        <v>100000.0</v>
      </c>
      <c r="Y379" s="353" t="s">
        <v>2221</v>
      </c>
      <c r="Z379" s="348">
        <v>403226.0</v>
      </c>
      <c r="AA379" s="345">
        <v>80645.0</v>
      </c>
      <c r="AB379" s="326"/>
      <c r="AC379" s="321"/>
      <c r="AD379" s="322"/>
      <c r="AE379" s="326"/>
      <c r="AF379" s="321"/>
      <c r="AG379" s="322"/>
      <c r="AH379" s="326"/>
      <c r="AI379" s="321"/>
      <c r="AJ379" s="322"/>
      <c r="AK379" s="326"/>
      <c r="AL379" s="321"/>
      <c r="AM379" s="322"/>
      <c r="AN379" s="316" t="s">
        <v>321</v>
      </c>
      <c r="AO379" s="316"/>
      <c r="AP379" s="316"/>
      <c r="AQ379" s="316"/>
      <c r="AR379" s="316"/>
      <c r="AS379" s="316"/>
      <c r="AT379" s="316"/>
      <c r="AU379" s="316"/>
      <c r="AV379" s="316"/>
      <c r="AW379" s="316"/>
      <c r="AX379" s="316"/>
      <c r="AY379" s="316"/>
      <c r="AZ379" s="316"/>
      <c r="BA379" s="316"/>
      <c r="BB379" s="316"/>
      <c r="BC379" s="316"/>
      <c r="BD379" s="316"/>
      <c r="BE379" s="316"/>
      <c r="BF379" s="316"/>
      <c r="BG379" s="316"/>
      <c r="BH379" s="316"/>
      <c r="BI379" s="316"/>
      <c r="BJ379" s="316"/>
      <c r="BK379" s="316"/>
      <c r="BL379" s="316"/>
      <c r="BM379" s="316"/>
      <c r="BN379" s="316"/>
    </row>
    <row r="380">
      <c r="A380" s="303" t="s">
        <v>1650</v>
      </c>
      <c r="B380" s="317" t="s">
        <v>1650</v>
      </c>
      <c r="C380" s="325" t="s">
        <v>1047</v>
      </c>
      <c r="D380" s="353" t="s">
        <v>1661</v>
      </c>
      <c r="E380" s="348">
        <v>570000.0</v>
      </c>
      <c r="F380" s="346">
        <f t="shared" ref="F380:F381" si="503">100000+7000</f>
        <v>107000</v>
      </c>
      <c r="G380" s="353" t="s">
        <v>1661</v>
      </c>
      <c r="H380" s="348">
        <v>570000.0</v>
      </c>
      <c r="I380" s="346">
        <f>100000+25000</f>
        <v>125000</v>
      </c>
      <c r="J380" s="353" t="s">
        <v>1661</v>
      </c>
      <c r="K380" s="348">
        <v>570000.0</v>
      </c>
      <c r="L380" s="346">
        <v>100000.0</v>
      </c>
      <c r="M380" s="353" t="s">
        <v>1661</v>
      </c>
      <c r="N380" s="348">
        <v>570000.0</v>
      </c>
      <c r="O380" s="346">
        <v>100000.0</v>
      </c>
      <c r="P380" s="353" t="s">
        <v>1661</v>
      </c>
      <c r="Q380" s="348">
        <v>570000.0</v>
      </c>
      <c r="R380" s="346">
        <v>100000.0</v>
      </c>
      <c r="S380" s="353" t="s">
        <v>1661</v>
      </c>
      <c r="T380" s="348">
        <v>570000.0</v>
      </c>
      <c r="U380" s="346">
        <v>100000.0</v>
      </c>
      <c r="V380" s="353" t="s">
        <v>1661</v>
      </c>
      <c r="W380" s="348">
        <v>570000.0</v>
      </c>
      <c r="X380" s="346">
        <v>100000.0</v>
      </c>
      <c r="Y380" s="353" t="s">
        <v>2222</v>
      </c>
      <c r="Z380" s="348">
        <v>570000.0</v>
      </c>
      <c r="AA380" s="346">
        <v>100000.0</v>
      </c>
      <c r="AB380" s="326"/>
      <c r="AC380" s="321"/>
      <c r="AD380" s="322"/>
      <c r="AE380" s="326"/>
      <c r="AF380" s="321"/>
      <c r="AG380" s="322"/>
      <c r="AH380" s="326"/>
      <c r="AI380" s="321"/>
      <c r="AJ380" s="322"/>
      <c r="AK380" s="326"/>
      <c r="AL380" s="321"/>
      <c r="AM380" s="322"/>
      <c r="AN380" s="316" t="s">
        <v>321</v>
      </c>
      <c r="AO380" s="323"/>
      <c r="AP380" s="387"/>
      <c r="AQ380" s="387"/>
      <c r="AR380" s="321"/>
      <c r="AS380" s="388"/>
      <c r="AT380" s="387"/>
      <c r="AU380" s="387"/>
      <c r="AV380" s="387"/>
      <c r="AW380" s="387"/>
      <c r="AX380" s="387"/>
      <c r="AY380" s="387"/>
      <c r="AZ380" s="387"/>
      <c r="BA380" s="387"/>
      <c r="BB380" s="387"/>
      <c r="BC380" s="387"/>
      <c r="BD380" s="387"/>
      <c r="BE380" s="387"/>
      <c r="BF380" s="387"/>
      <c r="BG380" s="387"/>
      <c r="BH380" s="387"/>
      <c r="BI380" s="387"/>
      <c r="BJ380" s="387"/>
      <c r="BK380" s="387"/>
      <c r="BL380" s="387"/>
      <c r="BM380" s="387"/>
      <c r="BN380" s="387"/>
    </row>
    <row r="381">
      <c r="A381" s="303" t="s">
        <v>1650</v>
      </c>
      <c r="B381" s="317" t="s">
        <v>1650</v>
      </c>
      <c r="C381" s="325" t="s">
        <v>1663</v>
      </c>
      <c r="D381" s="341" t="s">
        <v>2223</v>
      </c>
      <c r="E381" s="335">
        <v>490000.0</v>
      </c>
      <c r="F381" s="346">
        <f t="shared" si="503"/>
        <v>107000</v>
      </c>
      <c r="G381" s="353" t="s">
        <v>2224</v>
      </c>
      <c r="H381" s="335">
        <f>437500+34286</f>
        <v>471786</v>
      </c>
      <c r="I381" s="346">
        <f>89286+25000+7143</f>
        <v>121429</v>
      </c>
      <c r="J381" s="326" t="s">
        <v>1664</v>
      </c>
      <c r="K381" s="321">
        <v>480000.0</v>
      </c>
      <c r="L381" s="346">
        <v>100000.0</v>
      </c>
      <c r="M381" s="326" t="s">
        <v>1664</v>
      </c>
      <c r="N381" s="321">
        <v>480000.0</v>
      </c>
      <c r="O381" s="346">
        <v>100000.0</v>
      </c>
      <c r="P381" s="326" t="s">
        <v>1664</v>
      </c>
      <c r="Q381" s="321">
        <v>480000.0</v>
      </c>
      <c r="R381" s="346">
        <v>100000.0</v>
      </c>
      <c r="S381" s="326" t="s">
        <v>1664</v>
      </c>
      <c r="T381" s="321">
        <v>480000.0</v>
      </c>
      <c r="U381" s="346">
        <v>100000.0</v>
      </c>
      <c r="V381" s="326" t="s">
        <v>1664</v>
      </c>
      <c r="W381" s="321">
        <v>480000.0</v>
      </c>
      <c r="X381" s="346">
        <v>100000.0</v>
      </c>
      <c r="Y381" s="326" t="s">
        <v>1664</v>
      </c>
      <c r="Z381" s="321">
        <v>480000.0</v>
      </c>
      <c r="AA381" s="346">
        <v>100000.0</v>
      </c>
      <c r="AB381" s="326" t="s">
        <v>1664</v>
      </c>
      <c r="AC381" s="321">
        <v>480000.0</v>
      </c>
      <c r="AD381" s="346">
        <v>100000.0</v>
      </c>
      <c r="AE381" s="326" t="s">
        <v>1664</v>
      </c>
      <c r="AF381" s="321">
        <v>480000.0</v>
      </c>
      <c r="AG381" s="346">
        <v>100000.0</v>
      </c>
      <c r="AH381" s="326" t="s">
        <v>1664</v>
      </c>
      <c r="AI381" s="321">
        <v>480000.0</v>
      </c>
      <c r="AJ381" s="346">
        <v>100000.0</v>
      </c>
      <c r="AK381" s="326" t="s">
        <v>1664</v>
      </c>
      <c r="AL381" s="321">
        <v>480000.0</v>
      </c>
      <c r="AM381" s="346">
        <v>100000.0</v>
      </c>
      <c r="AN381" s="316" t="s">
        <v>321</v>
      </c>
      <c r="AO381" s="316"/>
      <c r="AP381" s="316"/>
      <c r="AQ381" s="316"/>
      <c r="AR381" s="316"/>
      <c r="AS381" s="316"/>
      <c r="AT381" s="316"/>
      <c r="AU381" s="316"/>
      <c r="AV381" s="316"/>
      <c r="AW381" s="316"/>
      <c r="AX381" s="316"/>
      <c r="AY381" s="316"/>
      <c r="AZ381" s="316"/>
      <c r="BA381" s="316"/>
      <c r="BB381" s="316"/>
      <c r="BC381" s="316"/>
      <c r="BD381" s="316"/>
      <c r="BE381" s="316"/>
      <c r="BF381" s="316"/>
      <c r="BG381" s="316"/>
      <c r="BH381" s="316"/>
      <c r="BI381" s="316"/>
      <c r="BJ381" s="316"/>
      <c r="BK381" s="316"/>
      <c r="BL381" s="316"/>
      <c r="BM381" s="316"/>
      <c r="BN381" s="316"/>
    </row>
    <row r="382">
      <c r="A382" s="303" t="s">
        <v>1650</v>
      </c>
      <c r="B382" s="304"/>
      <c r="C382" s="305" t="s">
        <v>42</v>
      </c>
      <c r="D382" s="320"/>
      <c r="E382" s="323">
        <f t="shared" ref="E382:F382" si="504">SUM(E378:E381)</f>
        <v>2120000</v>
      </c>
      <c r="F382" s="324">
        <f t="shared" si="504"/>
        <v>434000</v>
      </c>
      <c r="G382" s="320"/>
      <c r="H382" s="323">
        <f t="shared" ref="H382:I382" si="505">SUM(H378:H381)</f>
        <v>1873215</v>
      </c>
      <c r="I382" s="324">
        <f t="shared" si="505"/>
        <v>451429</v>
      </c>
      <c r="J382" s="320"/>
      <c r="K382" s="323">
        <f t="shared" ref="K382:L382" si="506">SUM(K378:K381)</f>
        <v>2760000</v>
      </c>
      <c r="L382" s="324">
        <f t="shared" si="506"/>
        <v>500000</v>
      </c>
      <c r="M382" s="320"/>
      <c r="N382" s="323">
        <f t="shared" ref="N382:O382" si="507">SUM(N378:N381)</f>
        <v>2200000</v>
      </c>
      <c r="O382" s="324">
        <f t="shared" si="507"/>
        <v>400000</v>
      </c>
      <c r="P382" s="320"/>
      <c r="Q382" s="323">
        <f t="shared" ref="Q382:R382" si="508">SUM(Q378:Q381)</f>
        <v>2200000</v>
      </c>
      <c r="R382" s="324">
        <f t="shared" si="508"/>
        <v>400000</v>
      </c>
      <c r="S382" s="320"/>
      <c r="T382" s="323">
        <f t="shared" ref="T382:U382" si="509">SUM(T378:T381)</f>
        <v>2200000</v>
      </c>
      <c r="U382" s="324">
        <f t="shared" si="509"/>
        <v>400000</v>
      </c>
      <c r="V382" s="320"/>
      <c r="W382" s="323">
        <f t="shared" ref="W382:X382" si="510">SUM(W378:W381)</f>
        <v>2200000</v>
      </c>
      <c r="X382" s="324">
        <f t="shared" si="510"/>
        <v>400000</v>
      </c>
      <c r="Y382" s="320"/>
      <c r="Z382" s="323">
        <f t="shared" ref="Z382:AA382" si="511">SUM(Z378:Z381)</f>
        <v>2103226</v>
      </c>
      <c r="AA382" s="324">
        <f t="shared" si="511"/>
        <v>380645</v>
      </c>
      <c r="AB382" s="320"/>
      <c r="AC382" s="323">
        <f t="shared" ref="AC382:AD382" si="512">SUM(AC378:AC381)</f>
        <v>480000</v>
      </c>
      <c r="AD382" s="324">
        <f t="shared" si="512"/>
        <v>100000</v>
      </c>
      <c r="AE382" s="320"/>
      <c r="AF382" s="323">
        <f t="shared" ref="AF382:AG382" si="513">SUM(AF378:AF381)</f>
        <v>480000</v>
      </c>
      <c r="AG382" s="324">
        <f t="shared" si="513"/>
        <v>100000</v>
      </c>
      <c r="AH382" s="320"/>
      <c r="AI382" s="323">
        <f t="shared" ref="AI382:AJ382" si="514">SUM(AI378:AI381)</f>
        <v>480000</v>
      </c>
      <c r="AJ382" s="324">
        <f t="shared" si="514"/>
        <v>100000</v>
      </c>
      <c r="AK382" s="320"/>
      <c r="AL382" s="323">
        <f t="shared" ref="AL382:AM382" si="515">SUM(AL378:AL381)</f>
        <v>480000</v>
      </c>
      <c r="AM382" s="324">
        <f t="shared" si="515"/>
        <v>100000</v>
      </c>
      <c r="AN382" s="316" t="s">
        <v>321</v>
      </c>
      <c r="AO382" s="316"/>
      <c r="AP382" s="316"/>
      <c r="AQ382" s="316"/>
      <c r="AR382" s="316"/>
      <c r="AS382" s="316"/>
      <c r="AT382" s="316"/>
      <c r="AU382" s="316"/>
      <c r="AV382" s="316"/>
      <c r="AW382" s="316"/>
      <c r="AX382" s="316"/>
      <c r="AY382" s="316"/>
      <c r="AZ382" s="316"/>
      <c r="BA382" s="316"/>
      <c r="BB382" s="316"/>
      <c r="BC382" s="316"/>
      <c r="BD382" s="316"/>
      <c r="BE382" s="316"/>
      <c r="BF382" s="316"/>
      <c r="BG382" s="316"/>
      <c r="BH382" s="316"/>
      <c r="BI382" s="316"/>
      <c r="BJ382" s="316"/>
      <c r="BK382" s="316"/>
      <c r="BL382" s="316"/>
      <c r="BM382" s="316"/>
      <c r="BN382" s="316"/>
    </row>
    <row r="383">
      <c r="A383" s="303" t="s">
        <v>1650</v>
      </c>
      <c r="B383" s="304"/>
      <c r="C383" s="325" t="s">
        <v>43</v>
      </c>
      <c r="D383" s="326"/>
      <c r="E383" s="321">
        <v>1300000.0</v>
      </c>
      <c r="F383" s="324"/>
      <c r="G383" s="326"/>
      <c r="H383" s="321">
        <v>1300000.0</v>
      </c>
      <c r="I383" s="324"/>
      <c r="J383" s="326"/>
      <c r="K383" s="321">
        <v>1300000.0</v>
      </c>
      <c r="L383" s="324"/>
      <c r="M383" s="326"/>
      <c r="N383" s="321">
        <v>1300000.0</v>
      </c>
      <c r="O383" s="324"/>
      <c r="P383" s="326"/>
      <c r="Q383" s="321">
        <v>1300000.0</v>
      </c>
      <c r="R383" s="324"/>
      <c r="S383" s="326"/>
      <c r="T383" s="321">
        <v>1300000.0</v>
      </c>
      <c r="U383" s="324"/>
      <c r="V383" s="326"/>
      <c r="W383" s="321">
        <v>1300000.0</v>
      </c>
      <c r="X383" s="324"/>
      <c r="Y383" s="326"/>
      <c r="Z383" s="321">
        <v>1300000.0</v>
      </c>
      <c r="AA383" s="324"/>
      <c r="AB383" s="326"/>
      <c r="AC383" s="321">
        <v>1300000.0</v>
      </c>
      <c r="AD383" s="324"/>
      <c r="AE383" s="326"/>
      <c r="AF383" s="321">
        <v>1300000.0</v>
      </c>
      <c r="AG383" s="324"/>
      <c r="AH383" s="326"/>
      <c r="AI383" s="321">
        <v>1300000.0</v>
      </c>
      <c r="AJ383" s="324"/>
      <c r="AK383" s="326"/>
      <c r="AL383" s="321">
        <v>1300000.0</v>
      </c>
      <c r="AM383" s="324"/>
      <c r="AN383" s="316" t="s">
        <v>321</v>
      </c>
      <c r="AO383" s="316"/>
      <c r="AP383" s="316"/>
      <c r="AQ383" s="316"/>
      <c r="AR383" s="316"/>
      <c r="AS383" s="316"/>
      <c r="AT383" s="316"/>
      <c r="AU383" s="316"/>
      <c r="AV383" s="316"/>
      <c r="AW383" s="316"/>
      <c r="AX383" s="316"/>
      <c r="AY383" s="316"/>
      <c r="AZ383" s="316"/>
      <c r="BA383" s="316"/>
      <c r="BB383" s="316"/>
      <c r="BC383" s="316"/>
      <c r="BD383" s="316"/>
      <c r="BE383" s="316"/>
      <c r="BF383" s="316"/>
      <c r="BG383" s="316"/>
      <c r="BH383" s="316"/>
      <c r="BI383" s="316"/>
      <c r="BJ383" s="316"/>
      <c r="BK383" s="316"/>
      <c r="BL383" s="316"/>
      <c r="BM383" s="316"/>
      <c r="BN383" s="316"/>
    </row>
    <row r="384">
      <c r="A384" s="303" t="s">
        <v>1650</v>
      </c>
      <c r="B384" s="317" t="s">
        <v>95</v>
      </c>
      <c r="C384" s="325" t="s">
        <v>45</v>
      </c>
      <c r="D384" s="326"/>
      <c r="E384" s="321"/>
      <c r="F384" s="322" t="s">
        <v>44</v>
      </c>
      <c r="G384" s="326"/>
      <c r="H384" s="321"/>
      <c r="I384" s="322" t="s">
        <v>44</v>
      </c>
      <c r="J384" s="326"/>
      <c r="K384" s="321"/>
      <c r="L384" s="322"/>
      <c r="M384" s="326"/>
      <c r="N384" s="321"/>
      <c r="O384" s="322"/>
      <c r="P384" s="326"/>
      <c r="Q384" s="321"/>
      <c r="R384" s="322"/>
      <c r="S384" s="326"/>
      <c r="T384" s="321"/>
      <c r="U384" s="322"/>
      <c r="V384" s="326"/>
      <c r="W384" s="321"/>
      <c r="X384" s="322"/>
      <c r="Y384" s="326"/>
      <c r="Z384" s="321"/>
      <c r="AA384" s="322"/>
      <c r="AB384" s="326"/>
      <c r="AC384" s="321"/>
      <c r="AD384" s="322"/>
      <c r="AE384" s="326"/>
      <c r="AF384" s="321"/>
      <c r="AG384" s="322"/>
      <c r="AH384" s="326"/>
      <c r="AI384" s="321"/>
      <c r="AJ384" s="322"/>
      <c r="AK384" s="326"/>
      <c r="AL384" s="321"/>
      <c r="AM384" s="322"/>
      <c r="AN384" s="316" t="s">
        <v>321</v>
      </c>
      <c r="AO384" s="316"/>
      <c r="AP384" s="316"/>
      <c r="AQ384" s="316"/>
      <c r="AR384" s="316"/>
      <c r="AS384" s="316"/>
      <c r="AT384" s="316"/>
      <c r="AU384" s="316"/>
      <c r="AV384" s="316"/>
      <c r="AW384" s="316"/>
      <c r="AX384" s="316"/>
      <c r="AY384" s="316"/>
      <c r="AZ384" s="316"/>
      <c r="BA384" s="316"/>
      <c r="BB384" s="316"/>
      <c r="BC384" s="316"/>
      <c r="BD384" s="316"/>
      <c r="BE384" s="316"/>
      <c r="BF384" s="316"/>
      <c r="BG384" s="316"/>
      <c r="BH384" s="316"/>
      <c r="BI384" s="316"/>
      <c r="BJ384" s="316"/>
      <c r="BK384" s="316"/>
      <c r="BL384" s="316"/>
      <c r="BM384" s="316"/>
      <c r="BN384" s="316"/>
    </row>
    <row r="385">
      <c r="A385" s="303" t="s">
        <v>1650</v>
      </c>
      <c r="B385" s="317" t="s">
        <v>2225</v>
      </c>
      <c r="C385" s="325" t="s">
        <v>47</v>
      </c>
      <c r="D385" s="326" t="s">
        <v>2226</v>
      </c>
      <c r="E385" s="321"/>
      <c r="F385" s="321">
        <v>91040.0</v>
      </c>
      <c r="G385" s="326"/>
      <c r="H385" s="321"/>
      <c r="I385" s="321">
        <v>102260.0</v>
      </c>
      <c r="J385" s="326" t="s">
        <v>2039</v>
      </c>
      <c r="K385" s="321"/>
      <c r="L385" s="322">
        <v>110000.0</v>
      </c>
      <c r="M385" s="326"/>
      <c r="N385" s="321"/>
      <c r="O385" s="322"/>
      <c r="P385" s="326"/>
      <c r="Q385" s="321"/>
      <c r="R385" s="322"/>
      <c r="S385" s="326"/>
      <c r="T385" s="321"/>
      <c r="U385" s="322"/>
      <c r="V385" s="326"/>
      <c r="W385" s="321"/>
      <c r="X385" s="322"/>
      <c r="Y385" s="326"/>
      <c r="Z385" s="321"/>
      <c r="AA385" s="322"/>
      <c r="AB385" s="326"/>
      <c r="AC385" s="321"/>
      <c r="AD385" s="322"/>
      <c r="AE385" s="326"/>
      <c r="AF385" s="321"/>
      <c r="AG385" s="322"/>
      <c r="AH385" s="326"/>
      <c r="AI385" s="321"/>
      <c r="AJ385" s="322"/>
      <c r="AK385" s="326"/>
      <c r="AL385" s="321"/>
      <c r="AM385" s="322"/>
      <c r="AN385" s="316" t="s">
        <v>321</v>
      </c>
      <c r="AO385" s="316"/>
      <c r="AP385" s="316"/>
      <c r="AQ385" s="316"/>
      <c r="AR385" s="316"/>
      <c r="AS385" s="316"/>
      <c r="AT385" s="316"/>
      <c r="AU385" s="316"/>
      <c r="AV385" s="316"/>
      <c r="AW385" s="316"/>
      <c r="AX385" s="316"/>
      <c r="AY385" s="316"/>
      <c r="AZ385" s="316"/>
      <c r="BA385" s="316"/>
      <c r="BB385" s="316"/>
      <c r="BC385" s="316"/>
      <c r="BD385" s="316"/>
      <c r="BE385" s="316"/>
      <c r="BF385" s="316"/>
      <c r="BG385" s="316"/>
      <c r="BH385" s="316"/>
      <c r="BI385" s="316"/>
      <c r="BJ385" s="316"/>
      <c r="BK385" s="316"/>
      <c r="BL385" s="316"/>
      <c r="BM385" s="316"/>
      <c r="BN385" s="316"/>
    </row>
    <row r="386">
      <c r="A386" s="303" t="s">
        <v>1650</v>
      </c>
      <c r="B386" s="317" t="s">
        <v>95</v>
      </c>
      <c r="C386" s="325" t="s">
        <v>49</v>
      </c>
      <c r="D386" s="326"/>
      <c r="E386" s="321"/>
      <c r="F386" s="322">
        <v>219080.0</v>
      </c>
      <c r="G386" s="326"/>
      <c r="H386" s="321"/>
      <c r="I386" s="322">
        <v>352000.0</v>
      </c>
      <c r="J386" s="326" t="s">
        <v>2039</v>
      </c>
      <c r="K386" s="321"/>
      <c r="L386" s="322">
        <v>400000.0</v>
      </c>
      <c r="M386" s="326"/>
      <c r="N386" s="321"/>
      <c r="O386" s="322"/>
      <c r="P386" s="326"/>
      <c r="Q386" s="321"/>
      <c r="R386" s="322"/>
      <c r="S386" s="326"/>
      <c r="T386" s="321"/>
      <c r="U386" s="322"/>
      <c r="V386" s="326"/>
      <c r="W386" s="321"/>
      <c r="X386" s="322"/>
      <c r="Y386" s="326"/>
      <c r="Z386" s="321"/>
      <c r="AA386" s="322"/>
      <c r="AB386" s="326"/>
      <c r="AC386" s="321"/>
      <c r="AD386" s="322"/>
      <c r="AE386" s="326"/>
      <c r="AF386" s="321"/>
      <c r="AG386" s="322"/>
      <c r="AH386" s="326"/>
      <c r="AI386" s="321"/>
      <c r="AJ386" s="322"/>
      <c r="AK386" s="326"/>
      <c r="AL386" s="321"/>
      <c r="AM386" s="322"/>
      <c r="AN386" s="316" t="s">
        <v>321</v>
      </c>
      <c r="AO386" s="316"/>
      <c r="AP386" s="316"/>
      <c r="AQ386" s="316"/>
      <c r="AR386" s="316"/>
      <c r="AS386" s="316"/>
      <c r="AT386" s="316"/>
      <c r="AU386" s="316"/>
      <c r="AV386" s="316"/>
      <c r="AW386" s="316"/>
      <c r="AX386" s="316"/>
      <c r="AY386" s="316"/>
      <c r="AZ386" s="316"/>
      <c r="BA386" s="316"/>
      <c r="BB386" s="316"/>
      <c r="BC386" s="316"/>
      <c r="BD386" s="316"/>
      <c r="BE386" s="316"/>
      <c r="BF386" s="316"/>
      <c r="BG386" s="316"/>
      <c r="BH386" s="316"/>
      <c r="BI386" s="316"/>
      <c r="BJ386" s="316"/>
      <c r="BK386" s="316"/>
      <c r="BL386" s="316"/>
      <c r="BM386" s="316"/>
      <c r="BN386" s="316"/>
    </row>
    <row r="387">
      <c r="A387" s="303" t="s">
        <v>1650</v>
      </c>
      <c r="B387" s="317" t="s">
        <v>95</v>
      </c>
      <c r="C387" s="325" t="s">
        <v>51</v>
      </c>
      <c r="D387" s="326" t="s">
        <v>2039</v>
      </c>
      <c r="E387" s="321"/>
      <c r="F387" s="322">
        <v>50000.0</v>
      </c>
      <c r="G387" s="326" t="s">
        <v>2039</v>
      </c>
      <c r="H387" s="321"/>
      <c r="I387" s="322">
        <v>50000.0</v>
      </c>
      <c r="J387" s="326" t="s">
        <v>2039</v>
      </c>
      <c r="K387" s="321"/>
      <c r="L387" s="322">
        <v>50000.0</v>
      </c>
      <c r="M387" s="326" t="s">
        <v>2039</v>
      </c>
      <c r="N387" s="321"/>
      <c r="O387" s="322">
        <v>50000.0</v>
      </c>
      <c r="P387" s="326" t="s">
        <v>2039</v>
      </c>
      <c r="Q387" s="321"/>
      <c r="R387" s="322">
        <v>50000.0</v>
      </c>
      <c r="S387" s="326" t="s">
        <v>2039</v>
      </c>
      <c r="T387" s="321"/>
      <c r="U387" s="322">
        <v>50000.0</v>
      </c>
      <c r="V387" s="326" t="s">
        <v>2039</v>
      </c>
      <c r="W387" s="321"/>
      <c r="X387" s="322">
        <v>50000.0</v>
      </c>
      <c r="Y387" s="326" t="s">
        <v>2039</v>
      </c>
      <c r="Z387" s="321"/>
      <c r="AA387" s="322">
        <v>50000.0</v>
      </c>
      <c r="AB387" s="326" t="s">
        <v>2039</v>
      </c>
      <c r="AC387" s="321"/>
      <c r="AD387" s="322">
        <v>50000.0</v>
      </c>
      <c r="AE387" s="326" t="s">
        <v>2039</v>
      </c>
      <c r="AF387" s="321"/>
      <c r="AG387" s="322">
        <v>50000.0</v>
      </c>
      <c r="AH387" s="326" t="s">
        <v>2039</v>
      </c>
      <c r="AI387" s="321"/>
      <c r="AJ387" s="322">
        <v>50000.0</v>
      </c>
      <c r="AK387" s="326" t="s">
        <v>2039</v>
      </c>
      <c r="AL387" s="321"/>
      <c r="AM387" s="322">
        <v>50000.0</v>
      </c>
      <c r="AN387" s="316" t="s">
        <v>321</v>
      </c>
      <c r="AO387" s="316"/>
      <c r="AP387" s="316"/>
      <c r="AQ387" s="316"/>
      <c r="AR387" s="316"/>
      <c r="AS387" s="316"/>
      <c r="AT387" s="316"/>
      <c r="AU387" s="316"/>
      <c r="AV387" s="316"/>
      <c r="AW387" s="316"/>
      <c r="AX387" s="316"/>
      <c r="AY387" s="316"/>
      <c r="AZ387" s="316"/>
      <c r="BA387" s="316"/>
      <c r="BB387" s="316"/>
      <c r="BC387" s="316"/>
      <c r="BD387" s="316"/>
      <c r="BE387" s="316"/>
      <c r="BF387" s="316"/>
      <c r="BG387" s="316"/>
      <c r="BH387" s="316"/>
      <c r="BI387" s="316"/>
      <c r="BJ387" s="316"/>
      <c r="BK387" s="316"/>
      <c r="BL387" s="316"/>
      <c r="BM387" s="316"/>
      <c r="BN387" s="316"/>
    </row>
    <row r="388">
      <c r="A388" s="303" t="s">
        <v>1650</v>
      </c>
      <c r="B388" s="317" t="s">
        <v>95</v>
      </c>
      <c r="C388" s="325" t="s">
        <v>52</v>
      </c>
      <c r="D388" s="326"/>
      <c r="E388" s="321"/>
      <c r="F388" s="322">
        <v>15000.0</v>
      </c>
      <c r="G388" s="326"/>
      <c r="H388" s="321"/>
      <c r="I388" s="322">
        <v>15000.0</v>
      </c>
      <c r="J388" s="326"/>
      <c r="K388" s="321"/>
      <c r="L388" s="322">
        <v>15000.0</v>
      </c>
      <c r="M388" s="326"/>
      <c r="N388" s="321"/>
      <c r="O388" s="322">
        <v>15000.0</v>
      </c>
      <c r="P388" s="326"/>
      <c r="Q388" s="321"/>
      <c r="R388" s="322">
        <v>15000.0</v>
      </c>
      <c r="S388" s="326"/>
      <c r="T388" s="321"/>
      <c r="U388" s="322">
        <v>15000.0</v>
      </c>
      <c r="V388" s="326"/>
      <c r="W388" s="321"/>
      <c r="X388" s="322">
        <v>15000.0</v>
      </c>
      <c r="Y388" s="326"/>
      <c r="Z388" s="321"/>
      <c r="AA388" s="322">
        <v>15000.0</v>
      </c>
      <c r="AB388" s="326"/>
      <c r="AC388" s="321"/>
      <c r="AD388" s="322">
        <v>15000.0</v>
      </c>
      <c r="AE388" s="326"/>
      <c r="AF388" s="321"/>
      <c r="AG388" s="322">
        <v>15000.0</v>
      </c>
      <c r="AH388" s="326"/>
      <c r="AI388" s="321"/>
      <c r="AJ388" s="322">
        <v>15000.0</v>
      </c>
      <c r="AK388" s="326"/>
      <c r="AL388" s="321"/>
      <c r="AM388" s="322">
        <v>15000.0</v>
      </c>
      <c r="AN388" s="316" t="s">
        <v>321</v>
      </c>
      <c r="AO388" s="316"/>
      <c r="AP388" s="316"/>
      <c r="AQ388" s="316"/>
      <c r="AR388" s="316"/>
      <c r="AS388" s="316"/>
      <c r="AT388" s="316"/>
      <c r="AU388" s="316"/>
      <c r="AV388" s="316"/>
      <c r="AW388" s="316"/>
      <c r="AX388" s="316"/>
      <c r="AY388" s="316"/>
      <c r="AZ388" s="316"/>
      <c r="BA388" s="316"/>
      <c r="BB388" s="316"/>
      <c r="BC388" s="316"/>
      <c r="BD388" s="316"/>
      <c r="BE388" s="316"/>
      <c r="BF388" s="316"/>
      <c r="BG388" s="316"/>
      <c r="BH388" s="316"/>
      <c r="BI388" s="316"/>
      <c r="BJ388" s="316"/>
      <c r="BK388" s="316"/>
      <c r="BL388" s="316"/>
      <c r="BM388" s="316"/>
      <c r="BN388" s="316"/>
    </row>
    <row r="389">
      <c r="A389" s="303" t="s">
        <v>1650</v>
      </c>
      <c r="B389" s="317" t="s">
        <v>95</v>
      </c>
      <c r="C389" s="325" t="s">
        <v>53</v>
      </c>
      <c r="D389" s="326"/>
      <c r="E389" s="321"/>
      <c r="F389" s="322">
        <v>12000.0</v>
      </c>
      <c r="G389" s="326"/>
      <c r="H389" s="321"/>
      <c r="I389" s="322">
        <v>12000.0</v>
      </c>
      <c r="J389" s="326"/>
      <c r="K389" s="321"/>
      <c r="L389" s="322">
        <v>12000.0</v>
      </c>
      <c r="M389" s="326"/>
      <c r="N389" s="321"/>
      <c r="O389" s="322">
        <v>12000.0</v>
      </c>
      <c r="P389" s="326"/>
      <c r="Q389" s="321"/>
      <c r="R389" s="322">
        <v>12000.0</v>
      </c>
      <c r="S389" s="326"/>
      <c r="T389" s="321"/>
      <c r="U389" s="322">
        <v>12000.0</v>
      </c>
      <c r="V389" s="326"/>
      <c r="W389" s="321"/>
      <c r="X389" s="322">
        <v>12000.0</v>
      </c>
      <c r="Y389" s="326"/>
      <c r="Z389" s="321"/>
      <c r="AA389" s="322">
        <v>12000.0</v>
      </c>
      <c r="AB389" s="326"/>
      <c r="AC389" s="321"/>
      <c r="AD389" s="322">
        <v>12000.0</v>
      </c>
      <c r="AE389" s="326"/>
      <c r="AF389" s="321"/>
      <c r="AG389" s="322">
        <v>12000.0</v>
      </c>
      <c r="AH389" s="326"/>
      <c r="AI389" s="321"/>
      <c r="AJ389" s="322">
        <v>12000.0</v>
      </c>
      <c r="AK389" s="326"/>
      <c r="AL389" s="321"/>
      <c r="AM389" s="322">
        <v>12000.0</v>
      </c>
      <c r="AN389" s="316" t="s">
        <v>321</v>
      </c>
      <c r="AO389" s="316"/>
      <c r="AP389" s="316"/>
      <c r="AQ389" s="316"/>
      <c r="AR389" s="316"/>
      <c r="AS389" s="316"/>
      <c r="AT389" s="316"/>
      <c r="AU389" s="316"/>
      <c r="AV389" s="316"/>
      <c r="AW389" s="316"/>
      <c r="AX389" s="316"/>
      <c r="AY389" s="316"/>
      <c r="AZ389" s="316"/>
      <c r="BA389" s="316"/>
      <c r="BB389" s="316"/>
      <c r="BC389" s="316"/>
      <c r="BD389" s="316"/>
      <c r="BE389" s="316"/>
      <c r="BF389" s="316"/>
      <c r="BG389" s="316"/>
      <c r="BH389" s="316"/>
      <c r="BI389" s="316"/>
      <c r="BJ389" s="316"/>
      <c r="BK389" s="316"/>
      <c r="BL389" s="316"/>
      <c r="BM389" s="316"/>
      <c r="BN389" s="316"/>
    </row>
    <row r="390">
      <c r="A390" s="303" t="s">
        <v>1650</v>
      </c>
      <c r="B390" s="304"/>
      <c r="C390" s="325" t="s">
        <v>54</v>
      </c>
      <c r="D390" s="327"/>
      <c r="E390" s="321"/>
      <c r="F390" s="322">
        <f>SUMIFS('지출'!$G$3:$G794,'지출'!$J$3:$J794,F$1,'지출'!$C$3:$C794,"신촌")</f>
        <v>68390</v>
      </c>
      <c r="G390" s="327"/>
      <c r="H390" s="321"/>
      <c r="I390" s="322">
        <f>SUMIFS('지출'!$G$3:$G794,'지출'!$J$3:$J794,I$1,'지출'!$C$3:$C794,"신촌")</f>
        <v>75890</v>
      </c>
      <c r="J390" s="327"/>
      <c r="K390" s="321"/>
      <c r="L390" s="322">
        <f>SUMIFS('지출'!$G$3:$G794,'지출'!$J$3:$J794,L$1,'지출'!$C$3:$C794,"신촌")</f>
        <v>9800</v>
      </c>
      <c r="M390" s="327"/>
      <c r="N390" s="321"/>
      <c r="O390" s="322">
        <f>SUMIFS('지출'!$G$3:$G794,'지출'!$J$3:$J794,O$1,'지출'!$C$3:$C794,"신촌")</f>
        <v>0</v>
      </c>
      <c r="P390" s="327"/>
      <c r="Q390" s="321"/>
      <c r="R390" s="322">
        <f>SUMIFS('지출'!$G$3:$G794,'지출'!$J$3:$J794,R$1,'지출'!$C$3:$C794,"신촌")</f>
        <v>0</v>
      </c>
      <c r="S390" s="327"/>
      <c r="T390" s="321"/>
      <c r="U390" s="322">
        <f>SUMIFS('지출'!$G$3:$G794,'지출'!$J$3:$J794,U$1,'지출'!$C$3:$C794,"신촌")</f>
        <v>0</v>
      </c>
      <c r="V390" s="327"/>
      <c r="W390" s="321"/>
      <c r="X390" s="322">
        <f>SUMIFS('지출'!$G$3:$G794,'지출'!$J$3:$J794,X$1,'지출'!$C$3:$C794,"신촌")</f>
        <v>0</v>
      </c>
      <c r="Y390" s="327"/>
      <c r="Z390" s="321"/>
      <c r="AA390" s="322">
        <f>SUMIFS('지출'!$G$3:$G794,'지출'!$J$3:$J794,AA$1,'지출'!$C$3:$C794,"신촌")</f>
        <v>0</v>
      </c>
      <c r="AB390" s="327"/>
      <c r="AC390" s="321"/>
      <c r="AD390" s="322">
        <f>SUMIFS('지출'!$G$3:$G794,'지출'!$J$3:$J794,AD$1,'지출'!$C$3:$C794,"신촌")</f>
        <v>0</v>
      </c>
      <c r="AE390" s="327"/>
      <c r="AF390" s="321"/>
      <c r="AG390" s="322">
        <f>SUMIFS('지출'!$G$3:$G794,'지출'!$J$3:$J794,AG$1,'지출'!$C$3:$C794,"신촌")</f>
        <v>0</v>
      </c>
      <c r="AH390" s="327"/>
      <c r="AI390" s="321"/>
      <c r="AJ390" s="322">
        <f>SUMIFS('지출'!$G$3:$G794,'지출'!$J$3:$J794,AJ$1,'지출'!$C$3:$C794,"신촌")</f>
        <v>0</v>
      </c>
      <c r="AK390" s="327"/>
      <c r="AL390" s="321"/>
      <c r="AM390" s="322">
        <f>SUMIFS('지출'!$G$3:$G794,'지출'!$J$3:$J794,AM$1,'지출'!$C$3:$C794,"신촌")</f>
        <v>0</v>
      </c>
      <c r="AN390" s="316" t="s">
        <v>321</v>
      </c>
      <c r="AO390" s="316"/>
      <c r="AP390" s="316"/>
      <c r="AQ390" s="316"/>
      <c r="AR390" s="316"/>
      <c r="AS390" s="316"/>
      <c r="AT390" s="316"/>
      <c r="AU390" s="316"/>
      <c r="AV390" s="316"/>
      <c r="AW390" s="316"/>
      <c r="AX390" s="316"/>
      <c r="AY390" s="316"/>
      <c r="AZ390" s="316"/>
      <c r="BA390" s="316"/>
      <c r="BB390" s="316"/>
      <c r="BC390" s="316"/>
      <c r="BD390" s="316"/>
      <c r="BE390" s="316"/>
      <c r="BF390" s="316"/>
      <c r="BG390" s="316"/>
      <c r="BH390" s="316"/>
      <c r="BI390" s="316"/>
      <c r="BJ390" s="316"/>
      <c r="BK390" s="316"/>
      <c r="BL390" s="316"/>
      <c r="BM390" s="316"/>
      <c r="BN390" s="316"/>
    </row>
    <row r="391">
      <c r="A391" s="303" t="s">
        <v>1650</v>
      </c>
      <c r="B391" s="304"/>
      <c r="C391" s="325" t="s">
        <v>56</v>
      </c>
      <c r="D391" s="320"/>
      <c r="E391" s="323">
        <f t="shared" ref="E391:F391" si="516">E382-(SUM(E383:E390))</f>
        <v>820000</v>
      </c>
      <c r="F391" s="324">
        <f t="shared" si="516"/>
        <v>-21510</v>
      </c>
      <c r="G391" s="320"/>
      <c r="H391" s="323">
        <f t="shared" ref="H391:I391" si="517">H382-(SUM(H383:H390))</f>
        <v>573215</v>
      </c>
      <c r="I391" s="324">
        <f t="shared" si="517"/>
        <v>-155721</v>
      </c>
      <c r="J391" s="320"/>
      <c r="K391" s="323">
        <f t="shared" ref="K391:L391" si="518">K382-(SUM(K383:K390))</f>
        <v>1460000</v>
      </c>
      <c r="L391" s="324">
        <f t="shared" si="518"/>
        <v>-96800</v>
      </c>
      <c r="M391" s="320"/>
      <c r="N391" s="323">
        <f t="shared" ref="N391:O391" si="519">N382-(SUM(N383:N390))</f>
        <v>900000</v>
      </c>
      <c r="O391" s="324">
        <f t="shared" si="519"/>
        <v>323000</v>
      </c>
      <c r="P391" s="320"/>
      <c r="Q391" s="323">
        <f t="shared" ref="Q391:R391" si="520">Q382-(SUM(Q383:Q390))</f>
        <v>900000</v>
      </c>
      <c r="R391" s="324">
        <f t="shared" si="520"/>
        <v>323000</v>
      </c>
      <c r="S391" s="320"/>
      <c r="T391" s="323">
        <f t="shared" ref="T391:U391" si="521">T382-(SUM(T383:T390))</f>
        <v>900000</v>
      </c>
      <c r="U391" s="324">
        <f t="shared" si="521"/>
        <v>323000</v>
      </c>
      <c r="V391" s="320"/>
      <c r="W391" s="323">
        <f t="shared" ref="W391:X391" si="522">W382-(SUM(W383:W390))</f>
        <v>900000</v>
      </c>
      <c r="X391" s="324">
        <f t="shared" si="522"/>
        <v>323000</v>
      </c>
      <c r="Y391" s="320"/>
      <c r="Z391" s="323">
        <f t="shared" ref="Z391:AA391" si="523">Z382-(SUM(Z383:Z390))</f>
        <v>803226</v>
      </c>
      <c r="AA391" s="324">
        <f t="shared" si="523"/>
        <v>303645</v>
      </c>
      <c r="AB391" s="320"/>
      <c r="AC391" s="323">
        <f t="shared" ref="AC391:AD391" si="524">AC382-(SUM(AC383:AC390))</f>
        <v>-820000</v>
      </c>
      <c r="AD391" s="324">
        <f t="shared" si="524"/>
        <v>23000</v>
      </c>
      <c r="AE391" s="320"/>
      <c r="AF391" s="323">
        <f t="shared" ref="AF391:AG391" si="525">AF382-(SUM(AF383:AF390))</f>
        <v>-820000</v>
      </c>
      <c r="AG391" s="324">
        <f t="shared" si="525"/>
        <v>23000</v>
      </c>
      <c r="AH391" s="320"/>
      <c r="AI391" s="323">
        <f t="shared" ref="AI391:AJ391" si="526">AI382-(SUM(AI383:AI390))</f>
        <v>-820000</v>
      </c>
      <c r="AJ391" s="324">
        <f t="shared" si="526"/>
        <v>23000</v>
      </c>
      <c r="AK391" s="320"/>
      <c r="AL391" s="323">
        <f t="shared" ref="AL391:AM391" si="527">AL382-(SUM(AL383:AL390))</f>
        <v>-820000</v>
      </c>
      <c r="AM391" s="324">
        <f t="shared" si="527"/>
        <v>23000</v>
      </c>
      <c r="AN391" s="316" t="s">
        <v>321</v>
      </c>
      <c r="AO391" s="316"/>
      <c r="AP391" s="316"/>
      <c r="AQ391" s="316"/>
      <c r="AR391" s="316"/>
      <c r="AS391" s="316"/>
      <c r="AT391" s="316"/>
      <c r="AU391" s="316"/>
      <c r="AV391" s="316"/>
      <c r="AW391" s="316"/>
      <c r="AX391" s="316"/>
      <c r="AY391" s="316"/>
      <c r="AZ391" s="316"/>
      <c r="BA391" s="316"/>
      <c r="BB391" s="316"/>
      <c r="BC391" s="316"/>
      <c r="BD391" s="316"/>
      <c r="BE391" s="316"/>
      <c r="BF391" s="316"/>
      <c r="BG391" s="316"/>
      <c r="BH391" s="316"/>
      <c r="BI391" s="316"/>
      <c r="BJ391" s="316"/>
      <c r="BK391" s="316"/>
      <c r="BL391" s="316"/>
      <c r="BM391" s="316"/>
      <c r="BN391" s="316"/>
    </row>
    <row r="392">
      <c r="A392" s="303" t="s">
        <v>1650</v>
      </c>
      <c r="B392" s="328">
        <v>0.0</v>
      </c>
      <c r="C392" s="325" t="s">
        <v>26</v>
      </c>
      <c r="D392" s="320"/>
      <c r="E392" s="323">
        <f>E391*$B392</f>
        <v>0</v>
      </c>
      <c r="F392" s="324"/>
      <c r="G392" s="320"/>
      <c r="H392" s="323">
        <f>H391*$B392</f>
        <v>0</v>
      </c>
      <c r="I392" s="324"/>
      <c r="J392" s="320"/>
      <c r="K392" s="323">
        <f>K391*$B392</f>
        <v>0</v>
      </c>
      <c r="L392" s="324"/>
      <c r="M392" s="320"/>
      <c r="N392" s="323">
        <f>N391*$B392</f>
        <v>0</v>
      </c>
      <c r="O392" s="324"/>
      <c r="P392" s="320"/>
      <c r="Q392" s="323">
        <f>Q391*$B392</f>
        <v>0</v>
      </c>
      <c r="R392" s="324"/>
      <c r="S392" s="320"/>
      <c r="T392" s="323">
        <f>T391*$B392</f>
        <v>0</v>
      </c>
      <c r="U392" s="324"/>
      <c r="V392" s="320"/>
      <c r="W392" s="323">
        <f>W391*$B392</f>
        <v>0</v>
      </c>
      <c r="X392" s="324"/>
      <c r="Y392" s="320"/>
      <c r="Z392" s="323">
        <f>Z391*$B392</f>
        <v>0</v>
      </c>
      <c r="AA392" s="324"/>
      <c r="AB392" s="320"/>
      <c r="AC392" s="323">
        <f>AC391*$B392</f>
        <v>0</v>
      </c>
      <c r="AD392" s="324"/>
      <c r="AE392" s="320"/>
      <c r="AF392" s="323">
        <f>AF391*$B392</f>
        <v>0</v>
      </c>
      <c r="AG392" s="324"/>
      <c r="AH392" s="320"/>
      <c r="AI392" s="323">
        <f>AI391*$B392</f>
        <v>0</v>
      </c>
      <c r="AJ392" s="324"/>
      <c r="AK392" s="320"/>
      <c r="AL392" s="323">
        <f>AL391*$B392</f>
        <v>0</v>
      </c>
      <c r="AM392" s="324"/>
      <c r="AN392" s="316" t="s">
        <v>321</v>
      </c>
      <c r="AO392" s="316"/>
      <c r="AP392" s="316"/>
      <c r="AQ392" s="316"/>
      <c r="AR392" s="316"/>
      <c r="AS392" s="316"/>
      <c r="AT392" s="316"/>
      <c r="AU392" s="316"/>
      <c r="AV392" s="316"/>
      <c r="AW392" s="316"/>
      <c r="AX392" s="316"/>
      <c r="AY392" s="316"/>
      <c r="AZ392" s="316"/>
      <c r="BA392" s="316"/>
      <c r="BB392" s="316"/>
      <c r="BC392" s="316"/>
      <c r="BD392" s="316"/>
      <c r="BE392" s="316"/>
      <c r="BF392" s="316"/>
      <c r="BG392" s="316"/>
      <c r="BH392" s="316"/>
      <c r="BI392" s="316"/>
      <c r="BJ392" s="316"/>
      <c r="BK392" s="316"/>
      <c r="BL392" s="316"/>
      <c r="BM392" s="316"/>
      <c r="BN392" s="316"/>
    </row>
    <row r="393">
      <c r="A393" s="303" t="s">
        <v>1650</v>
      </c>
      <c r="B393" s="329">
        <v>1.0</v>
      </c>
      <c r="C393" s="330" t="s">
        <v>57</v>
      </c>
      <c r="D393" s="331"/>
      <c r="E393" s="332">
        <f>E391*$B393</f>
        <v>820000</v>
      </c>
      <c r="F393" s="333"/>
      <c r="G393" s="331"/>
      <c r="H393" s="332">
        <f>H391*$B393</f>
        <v>573215</v>
      </c>
      <c r="I393" s="333"/>
      <c r="J393" s="331"/>
      <c r="K393" s="332">
        <f>K391*$B393</f>
        <v>1460000</v>
      </c>
      <c r="L393" s="333"/>
      <c r="M393" s="331"/>
      <c r="N393" s="332">
        <f>N391*$B393</f>
        <v>900000</v>
      </c>
      <c r="O393" s="333"/>
      <c r="P393" s="331"/>
      <c r="Q393" s="332">
        <f>Q391*$B393</f>
        <v>900000</v>
      </c>
      <c r="R393" s="333"/>
      <c r="S393" s="331"/>
      <c r="T393" s="332">
        <f>T391*$B393</f>
        <v>900000</v>
      </c>
      <c r="U393" s="333"/>
      <c r="V393" s="331"/>
      <c r="W393" s="332">
        <f>W391*$B393</f>
        <v>900000</v>
      </c>
      <c r="X393" s="333"/>
      <c r="Y393" s="331"/>
      <c r="Z393" s="332">
        <f>Z391*$B393</f>
        <v>803226</v>
      </c>
      <c r="AA393" s="333"/>
      <c r="AB393" s="331"/>
      <c r="AC393" s="332">
        <f>AC391*$B393</f>
        <v>-820000</v>
      </c>
      <c r="AD393" s="333"/>
      <c r="AE393" s="331"/>
      <c r="AF393" s="332">
        <f>AF391*$B393</f>
        <v>-820000</v>
      </c>
      <c r="AG393" s="333"/>
      <c r="AH393" s="331"/>
      <c r="AI393" s="332">
        <f>AI391*$B393</f>
        <v>-820000</v>
      </c>
      <c r="AJ393" s="333"/>
      <c r="AK393" s="331"/>
      <c r="AL393" s="332">
        <f>AL391*$B393</f>
        <v>-820000</v>
      </c>
      <c r="AM393" s="333"/>
      <c r="AN393" s="316" t="s">
        <v>321</v>
      </c>
      <c r="AO393" s="316"/>
      <c r="AP393" s="316"/>
      <c r="AQ393" s="316"/>
      <c r="AR393" s="316"/>
      <c r="AS393" s="316"/>
      <c r="AT393" s="316"/>
      <c r="AU393" s="316"/>
      <c r="AV393" s="316"/>
      <c r="AW393" s="316"/>
      <c r="AX393" s="316"/>
      <c r="AY393" s="316"/>
      <c r="AZ393" s="316"/>
      <c r="BA393" s="316"/>
      <c r="BB393" s="316"/>
      <c r="BC393" s="316"/>
      <c r="BD393" s="316"/>
      <c r="BE393" s="316"/>
      <c r="BF393" s="316"/>
      <c r="BG393" s="316"/>
      <c r="BH393" s="316"/>
      <c r="BI393" s="316"/>
      <c r="BJ393" s="316"/>
      <c r="BK393" s="316"/>
      <c r="BL393" s="316"/>
      <c r="BM393" s="316"/>
      <c r="BN393" s="316"/>
    </row>
    <row r="394" ht="16.5" customHeight="1">
      <c r="A394" s="303" t="s">
        <v>1667</v>
      </c>
      <c r="B394" s="347" t="s">
        <v>1667</v>
      </c>
      <c r="C394" s="366" t="s">
        <v>506</v>
      </c>
      <c r="D394" s="341" t="s">
        <v>37</v>
      </c>
      <c r="E394" s="348"/>
      <c r="F394" s="345"/>
      <c r="G394" s="353" t="s">
        <v>2227</v>
      </c>
      <c r="H394" s="348">
        <v>300000.0</v>
      </c>
      <c r="I394" s="345">
        <v>50000.0</v>
      </c>
      <c r="J394" s="353" t="s">
        <v>1668</v>
      </c>
      <c r="K394" s="348">
        <v>600000.0</v>
      </c>
      <c r="L394" s="345">
        <v>100000.0</v>
      </c>
      <c r="M394" s="353" t="s">
        <v>1668</v>
      </c>
      <c r="N394" s="348">
        <v>600000.0</v>
      </c>
      <c r="O394" s="345">
        <v>100000.0</v>
      </c>
      <c r="P394" s="353" t="s">
        <v>1668</v>
      </c>
      <c r="Q394" s="348">
        <v>600000.0</v>
      </c>
      <c r="R394" s="345">
        <v>100000.0</v>
      </c>
      <c r="S394" s="353" t="s">
        <v>1668</v>
      </c>
      <c r="T394" s="348">
        <v>600000.0</v>
      </c>
      <c r="U394" s="345">
        <v>100000.0</v>
      </c>
      <c r="V394" s="353" t="s">
        <v>1668</v>
      </c>
      <c r="W394" s="348">
        <v>600000.0</v>
      </c>
      <c r="X394" s="345">
        <v>100000.0</v>
      </c>
      <c r="Y394" s="353" t="s">
        <v>1668</v>
      </c>
      <c r="Z394" s="348">
        <v>600000.0</v>
      </c>
      <c r="AA394" s="345">
        <v>100000.0</v>
      </c>
      <c r="AB394" s="353" t="s">
        <v>1668</v>
      </c>
      <c r="AC394" s="348">
        <v>600000.0</v>
      </c>
      <c r="AD394" s="345">
        <v>100000.0</v>
      </c>
      <c r="AE394" s="353" t="s">
        <v>1668</v>
      </c>
      <c r="AF394" s="348">
        <v>600000.0</v>
      </c>
      <c r="AG394" s="345">
        <v>100000.0</v>
      </c>
      <c r="AH394" s="353" t="s">
        <v>1668</v>
      </c>
      <c r="AI394" s="348">
        <v>600000.0</v>
      </c>
      <c r="AJ394" s="345">
        <v>100000.0</v>
      </c>
      <c r="AK394" s="353" t="s">
        <v>1668</v>
      </c>
      <c r="AL394" s="348">
        <v>600000.0</v>
      </c>
      <c r="AM394" s="345">
        <v>100000.0</v>
      </c>
      <c r="AN394" s="316" t="s">
        <v>2177</v>
      </c>
      <c r="AO394" s="367"/>
      <c r="AP394" s="368"/>
      <c r="AQ394" s="368"/>
      <c r="AR394" s="368"/>
      <c r="AS394" s="368"/>
      <c r="AT394" s="368"/>
      <c r="AU394" s="368"/>
      <c r="AV394" s="368"/>
      <c r="AW394" s="368"/>
      <c r="AX394" s="368"/>
      <c r="AY394" s="368"/>
      <c r="AZ394" s="368"/>
      <c r="BA394" s="368"/>
      <c r="BB394" s="368"/>
      <c r="BC394" s="368"/>
      <c r="BD394" s="368"/>
      <c r="BE394" s="368"/>
      <c r="BF394" s="368"/>
      <c r="BG394" s="368"/>
      <c r="BH394" s="368"/>
      <c r="BI394" s="368"/>
      <c r="BJ394" s="368"/>
      <c r="BK394" s="368"/>
      <c r="BL394" s="368"/>
      <c r="BM394" s="368"/>
      <c r="BN394" s="368"/>
    </row>
    <row r="395" ht="16.5" customHeight="1">
      <c r="A395" s="303" t="s">
        <v>1667</v>
      </c>
      <c r="B395" s="347" t="s">
        <v>1667</v>
      </c>
      <c r="C395" s="366" t="s">
        <v>601</v>
      </c>
      <c r="D395" s="341" t="s">
        <v>37</v>
      </c>
      <c r="E395" s="348"/>
      <c r="F395" s="345"/>
      <c r="G395" s="353" t="s">
        <v>2228</v>
      </c>
      <c r="H395" s="348">
        <v>339286.0</v>
      </c>
      <c r="I395" s="345">
        <v>67857.0</v>
      </c>
      <c r="J395" s="353" t="s">
        <v>1674</v>
      </c>
      <c r="K395" s="348">
        <v>500000.0</v>
      </c>
      <c r="L395" s="345">
        <v>100000.0</v>
      </c>
      <c r="M395" s="353" t="s">
        <v>1674</v>
      </c>
      <c r="N395" s="348">
        <v>500000.0</v>
      </c>
      <c r="O395" s="345">
        <v>100000.0</v>
      </c>
      <c r="P395" s="353" t="s">
        <v>1674</v>
      </c>
      <c r="Q395" s="348">
        <v>500000.0</v>
      </c>
      <c r="R395" s="345">
        <v>100000.0</v>
      </c>
      <c r="S395" s="353" t="s">
        <v>1674</v>
      </c>
      <c r="T395" s="348">
        <v>500000.0</v>
      </c>
      <c r="U395" s="345">
        <v>100000.0</v>
      </c>
      <c r="V395" s="353" t="s">
        <v>1674</v>
      </c>
      <c r="W395" s="348">
        <v>500000.0</v>
      </c>
      <c r="X395" s="345">
        <v>100000.0</v>
      </c>
      <c r="Y395" s="353" t="s">
        <v>1674</v>
      </c>
      <c r="Z395" s="348">
        <v>500000.0</v>
      </c>
      <c r="AA395" s="345">
        <v>100000.0</v>
      </c>
      <c r="AB395" s="353" t="s">
        <v>1674</v>
      </c>
      <c r="AC395" s="348">
        <v>500000.0</v>
      </c>
      <c r="AD395" s="345">
        <v>100000.0</v>
      </c>
      <c r="AE395" s="353" t="s">
        <v>1674</v>
      </c>
      <c r="AF395" s="348">
        <v>500000.0</v>
      </c>
      <c r="AG395" s="345">
        <v>100000.0</v>
      </c>
      <c r="AH395" s="353" t="s">
        <v>1674</v>
      </c>
      <c r="AI395" s="348">
        <v>500000.0</v>
      </c>
      <c r="AJ395" s="345">
        <v>100000.0</v>
      </c>
      <c r="AK395" s="353" t="s">
        <v>1674</v>
      </c>
      <c r="AL395" s="348">
        <v>500000.0</v>
      </c>
      <c r="AM395" s="345">
        <v>100000.0</v>
      </c>
      <c r="AN395" s="316" t="s">
        <v>2177</v>
      </c>
      <c r="AO395" s="367"/>
      <c r="AP395" s="368"/>
      <c r="AQ395" s="368"/>
      <c r="AR395" s="368"/>
      <c r="AS395" s="368"/>
      <c r="AT395" s="368"/>
      <c r="AU395" s="368"/>
      <c r="AV395" s="368"/>
      <c r="AW395" s="368"/>
      <c r="AX395" s="368"/>
      <c r="AY395" s="368"/>
      <c r="AZ395" s="368"/>
      <c r="BA395" s="368"/>
      <c r="BB395" s="368"/>
      <c r="BC395" s="368"/>
      <c r="BD395" s="368"/>
      <c r="BE395" s="368"/>
      <c r="BF395" s="368"/>
      <c r="BG395" s="368"/>
      <c r="BH395" s="368"/>
      <c r="BI395" s="368"/>
      <c r="BJ395" s="368"/>
      <c r="BK395" s="368"/>
      <c r="BL395" s="368"/>
      <c r="BM395" s="368"/>
      <c r="BN395" s="368"/>
    </row>
    <row r="396" ht="16.5" customHeight="1">
      <c r="A396" s="303" t="s">
        <v>1667</v>
      </c>
      <c r="B396" s="347" t="s">
        <v>1667</v>
      </c>
      <c r="C396" s="366" t="s">
        <v>603</v>
      </c>
      <c r="D396" s="341" t="s">
        <v>37</v>
      </c>
      <c r="E396" s="348"/>
      <c r="F396" s="345"/>
      <c r="G396" s="353" t="s">
        <v>2229</v>
      </c>
      <c r="H396" s="348">
        <v>35714.0</v>
      </c>
      <c r="I396" s="345">
        <v>7143.0</v>
      </c>
      <c r="J396" s="353" t="s">
        <v>1677</v>
      </c>
      <c r="K396" s="348">
        <v>500000.0</v>
      </c>
      <c r="L396" s="345">
        <v>100000.0</v>
      </c>
      <c r="M396" s="353" t="s">
        <v>1677</v>
      </c>
      <c r="N396" s="348">
        <v>500000.0</v>
      </c>
      <c r="O396" s="345">
        <v>100000.0</v>
      </c>
      <c r="P396" s="353" t="s">
        <v>1677</v>
      </c>
      <c r="Q396" s="348">
        <v>500000.0</v>
      </c>
      <c r="R396" s="345">
        <v>100000.0</v>
      </c>
      <c r="S396" s="353" t="s">
        <v>1677</v>
      </c>
      <c r="T396" s="348">
        <v>500000.0</v>
      </c>
      <c r="U396" s="345">
        <v>100000.0</v>
      </c>
      <c r="V396" s="353" t="s">
        <v>1677</v>
      </c>
      <c r="W396" s="348">
        <v>500000.0</v>
      </c>
      <c r="X396" s="345">
        <v>100000.0</v>
      </c>
      <c r="Y396" s="353" t="s">
        <v>1677</v>
      </c>
      <c r="Z396" s="348">
        <v>500000.0</v>
      </c>
      <c r="AA396" s="345">
        <v>100000.0</v>
      </c>
      <c r="AB396" s="353" t="s">
        <v>1677</v>
      </c>
      <c r="AC396" s="348">
        <v>500000.0</v>
      </c>
      <c r="AD396" s="345">
        <v>100000.0</v>
      </c>
      <c r="AE396" s="353" t="s">
        <v>1677</v>
      </c>
      <c r="AF396" s="348">
        <v>500000.0</v>
      </c>
      <c r="AG396" s="345">
        <v>100000.0</v>
      </c>
      <c r="AH396" s="353" t="s">
        <v>1677</v>
      </c>
      <c r="AI396" s="348">
        <v>500000.0</v>
      </c>
      <c r="AJ396" s="345">
        <v>100000.0</v>
      </c>
      <c r="AK396" s="353" t="s">
        <v>1677</v>
      </c>
      <c r="AL396" s="348">
        <v>500000.0</v>
      </c>
      <c r="AM396" s="345">
        <v>100000.0</v>
      </c>
      <c r="AN396" s="316" t="s">
        <v>2177</v>
      </c>
      <c r="AO396" s="367"/>
      <c r="AP396" s="368"/>
      <c r="AQ396" s="368"/>
      <c r="AR396" s="368"/>
      <c r="AS396" s="368"/>
      <c r="AT396" s="368"/>
      <c r="AU396" s="368"/>
      <c r="AV396" s="368"/>
      <c r="AW396" s="368"/>
      <c r="AX396" s="368"/>
      <c r="AY396" s="368"/>
      <c r="AZ396" s="368"/>
      <c r="BA396" s="368"/>
      <c r="BB396" s="368"/>
      <c r="BC396" s="368"/>
      <c r="BD396" s="368"/>
      <c r="BE396" s="368"/>
      <c r="BF396" s="368"/>
      <c r="BG396" s="368"/>
      <c r="BH396" s="368"/>
      <c r="BI396" s="368"/>
      <c r="BJ396" s="368"/>
      <c r="BK396" s="368"/>
      <c r="BL396" s="368"/>
      <c r="BM396" s="368"/>
      <c r="BN396" s="368"/>
    </row>
    <row r="397">
      <c r="A397" s="303" t="s">
        <v>1667</v>
      </c>
      <c r="B397" s="369"/>
      <c r="C397" s="370" t="s">
        <v>42</v>
      </c>
      <c r="D397" s="371"/>
      <c r="E397" s="335">
        <f t="shared" ref="E397:F397" si="528">SUM(E394:E396)</f>
        <v>0</v>
      </c>
      <c r="F397" s="346">
        <f t="shared" si="528"/>
        <v>0</v>
      </c>
      <c r="G397" s="371"/>
      <c r="H397" s="335">
        <f t="shared" ref="H397:I397" si="529">SUM(H394:H396)</f>
        <v>675000</v>
      </c>
      <c r="I397" s="346">
        <f t="shared" si="529"/>
        <v>125000</v>
      </c>
      <c r="J397" s="371"/>
      <c r="K397" s="335">
        <f t="shared" ref="K397:L397" si="530">SUM(K394:K396)</f>
        <v>1600000</v>
      </c>
      <c r="L397" s="346">
        <f t="shared" si="530"/>
        <v>300000</v>
      </c>
      <c r="M397" s="371"/>
      <c r="N397" s="335">
        <f t="shared" ref="N397:O397" si="531">SUM(N394:N396)</f>
        <v>1600000</v>
      </c>
      <c r="O397" s="346">
        <f t="shared" si="531"/>
        <v>300000</v>
      </c>
      <c r="P397" s="371"/>
      <c r="Q397" s="335">
        <f t="shared" ref="Q397:R397" si="532">SUM(Q394:Q396)</f>
        <v>1600000</v>
      </c>
      <c r="R397" s="346">
        <f t="shared" si="532"/>
        <v>300000</v>
      </c>
      <c r="S397" s="371"/>
      <c r="T397" s="335">
        <f t="shared" ref="T397:U397" si="533">SUM(T394:T396)</f>
        <v>1600000</v>
      </c>
      <c r="U397" s="346">
        <f t="shared" si="533"/>
        <v>300000</v>
      </c>
      <c r="V397" s="371"/>
      <c r="W397" s="335">
        <f t="shared" ref="W397:X397" si="534">SUM(W394:W396)</f>
        <v>1600000</v>
      </c>
      <c r="X397" s="346">
        <f t="shared" si="534"/>
        <v>300000</v>
      </c>
      <c r="Y397" s="371"/>
      <c r="Z397" s="335">
        <f t="shared" ref="Z397:AA397" si="535">SUM(Z394:Z396)</f>
        <v>1600000</v>
      </c>
      <c r="AA397" s="346">
        <f t="shared" si="535"/>
        <v>300000</v>
      </c>
      <c r="AB397" s="371"/>
      <c r="AC397" s="335">
        <f t="shared" ref="AC397:AD397" si="536">SUM(AC394:AC396)</f>
        <v>1600000</v>
      </c>
      <c r="AD397" s="346">
        <f t="shared" si="536"/>
        <v>300000</v>
      </c>
      <c r="AE397" s="371"/>
      <c r="AF397" s="335">
        <f t="shared" ref="AF397:AG397" si="537">SUM(AF394:AF396)</f>
        <v>1600000</v>
      </c>
      <c r="AG397" s="346">
        <f t="shared" si="537"/>
        <v>300000</v>
      </c>
      <c r="AH397" s="371"/>
      <c r="AI397" s="335">
        <f t="shared" ref="AI397:AJ397" si="538">SUM(AI394:AI396)</f>
        <v>1600000</v>
      </c>
      <c r="AJ397" s="346">
        <f t="shared" si="538"/>
        <v>300000</v>
      </c>
      <c r="AK397" s="371"/>
      <c r="AL397" s="335">
        <f t="shared" ref="AL397:AM397" si="539">SUM(AL394:AL396)</f>
        <v>1600000</v>
      </c>
      <c r="AM397" s="346">
        <f t="shared" si="539"/>
        <v>300000</v>
      </c>
      <c r="AN397" s="316" t="s">
        <v>2177</v>
      </c>
      <c r="AO397" s="368"/>
      <c r="AP397" s="368"/>
      <c r="AQ397" s="368"/>
      <c r="AR397" s="368"/>
      <c r="AS397" s="368"/>
      <c r="AT397" s="368"/>
      <c r="AU397" s="368"/>
      <c r="AV397" s="368"/>
      <c r="AW397" s="368"/>
      <c r="AX397" s="368"/>
      <c r="AY397" s="368"/>
      <c r="AZ397" s="368"/>
      <c r="BA397" s="368"/>
      <c r="BB397" s="368"/>
      <c r="BC397" s="368"/>
      <c r="BD397" s="368"/>
      <c r="BE397" s="368"/>
      <c r="BF397" s="368"/>
      <c r="BG397" s="368"/>
      <c r="BH397" s="368"/>
      <c r="BI397" s="368"/>
      <c r="BJ397" s="368"/>
      <c r="BK397" s="368"/>
      <c r="BL397" s="368"/>
      <c r="BM397" s="368"/>
      <c r="BN397" s="368"/>
    </row>
    <row r="398">
      <c r="A398" s="303" t="s">
        <v>1667</v>
      </c>
      <c r="B398" s="369"/>
      <c r="C398" s="370" t="s">
        <v>43</v>
      </c>
      <c r="D398" s="371"/>
      <c r="E398" s="348">
        <v>0.0</v>
      </c>
      <c r="F398" s="372"/>
      <c r="G398" s="371"/>
      <c r="H398" s="348">
        <v>0.0</v>
      </c>
      <c r="I398" s="372"/>
      <c r="J398" s="371"/>
      <c r="K398" s="348">
        <v>0.0</v>
      </c>
      <c r="L398" s="372"/>
      <c r="M398" s="371"/>
      <c r="N398" s="348">
        <v>0.0</v>
      </c>
      <c r="O398" s="372"/>
      <c r="P398" s="371"/>
      <c r="Q398" s="348">
        <v>0.0</v>
      </c>
      <c r="R398" s="372"/>
      <c r="S398" s="371"/>
      <c r="T398" s="348">
        <v>0.0</v>
      </c>
      <c r="U398" s="372"/>
      <c r="V398" s="371"/>
      <c r="W398" s="348">
        <v>0.0</v>
      </c>
      <c r="X398" s="372"/>
      <c r="Y398" s="371"/>
      <c r="Z398" s="348">
        <v>0.0</v>
      </c>
      <c r="AA398" s="372"/>
      <c r="AB398" s="371"/>
      <c r="AC398" s="348">
        <v>0.0</v>
      </c>
      <c r="AD398" s="372"/>
      <c r="AE398" s="371"/>
      <c r="AF398" s="348">
        <v>0.0</v>
      </c>
      <c r="AG398" s="372"/>
      <c r="AH398" s="371"/>
      <c r="AI398" s="348">
        <v>0.0</v>
      </c>
      <c r="AJ398" s="372"/>
      <c r="AK398" s="371"/>
      <c r="AL398" s="348">
        <v>0.0</v>
      </c>
      <c r="AM398" s="372"/>
      <c r="AN398" s="316" t="s">
        <v>2177</v>
      </c>
      <c r="AO398" s="368"/>
      <c r="AP398" s="368"/>
      <c r="AQ398" s="368"/>
      <c r="AR398" s="368"/>
      <c r="AS398" s="368"/>
      <c r="AT398" s="368"/>
      <c r="AU398" s="368"/>
      <c r="AV398" s="368"/>
      <c r="AW398" s="368"/>
      <c r="AX398" s="368"/>
      <c r="AY398" s="368"/>
      <c r="AZ398" s="368"/>
      <c r="BA398" s="368"/>
      <c r="BB398" s="368"/>
      <c r="BC398" s="368"/>
      <c r="BD398" s="368"/>
      <c r="BE398" s="368"/>
      <c r="BF398" s="368"/>
      <c r="BG398" s="368"/>
      <c r="BH398" s="368"/>
      <c r="BI398" s="368"/>
      <c r="BJ398" s="368"/>
      <c r="BK398" s="368"/>
      <c r="BL398" s="368"/>
      <c r="BM398" s="368"/>
      <c r="BN398" s="368"/>
    </row>
    <row r="399">
      <c r="A399" s="303" t="s">
        <v>1667</v>
      </c>
      <c r="B399" s="373"/>
      <c r="C399" s="370" t="s">
        <v>45</v>
      </c>
      <c r="D399" s="371"/>
      <c r="E399" s="335"/>
      <c r="F399" s="322" t="s">
        <v>44</v>
      </c>
      <c r="G399" s="371"/>
      <c r="H399" s="335"/>
      <c r="I399" s="322" t="s">
        <v>44</v>
      </c>
      <c r="J399" s="371"/>
      <c r="K399" s="335"/>
      <c r="L399" s="372"/>
      <c r="M399" s="371"/>
      <c r="N399" s="335"/>
      <c r="O399" s="372"/>
      <c r="P399" s="371"/>
      <c r="Q399" s="335"/>
      <c r="R399" s="346"/>
      <c r="S399" s="371"/>
      <c r="T399" s="335"/>
      <c r="U399" s="372"/>
      <c r="V399" s="371"/>
      <c r="W399" s="335"/>
      <c r="X399" s="372"/>
      <c r="Y399" s="371"/>
      <c r="Z399" s="335"/>
      <c r="AA399" s="372"/>
      <c r="AB399" s="371"/>
      <c r="AC399" s="335"/>
      <c r="AD399" s="372"/>
      <c r="AE399" s="371"/>
      <c r="AF399" s="335"/>
      <c r="AG399" s="372"/>
      <c r="AH399" s="371"/>
      <c r="AI399" s="335"/>
      <c r="AJ399" s="372"/>
      <c r="AK399" s="371"/>
      <c r="AL399" s="335"/>
      <c r="AM399" s="372"/>
      <c r="AN399" s="316" t="s">
        <v>2177</v>
      </c>
      <c r="AO399" s="368"/>
      <c r="AP399" s="368"/>
      <c r="AQ399" s="368"/>
      <c r="AR399" s="368"/>
      <c r="AS399" s="368"/>
      <c r="AT399" s="368"/>
      <c r="AU399" s="368"/>
      <c r="AV399" s="368"/>
      <c r="AW399" s="368"/>
      <c r="AX399" s="368"/>
      <c r="AY399" s="368"/>
      <c r="AZ399" s="368"/>
      <c r="BA399" s="368"/>
      <c r="BB399" s="368"/>
      <c r="BC399" s="368"/>
      <c r="BD399" s="368"/>
      <c r="BE399" s="368"/>
      <c r="BF399" s="368"/>
      <c r="BG399" s="368"/>
      <c r="BH399" s="368"/>
      <c r="BI399" s="368"/>
      <c r="BJ399" s="368"/>
      <c r="BK399" s="368"/>
      <c r="BL399" s="368"/>
      <c r="BM399" s="368"/>
      <c r="BN399" s="368"/>
    </row>
    <row r="400">
      <c r="A400" s="303" t="s">
        <v>1667</v>
      </c>
      <c r="B400" s="347"/>
      <c r="C400" s="370" t="s">
        <v>47</v>
      </c>
      <c r="D400" s="371"/>
      <c r="E400" s="374"/>
      <c r="F400" s="346"/>
      <c r="G400" s="375"/>
      <c r="H400" s="374"/>
      <c r="I400" s="376"/>
      <c r="J400" s="371"/>
      <c r="K400" s="374"/>
      <c r="L400" s="372"/>
      <c r="M400" s="371"/>
      <c r="N400" s="374"/>
      <c r="O400" s="346"/>
      <c r="P400" s="371"/>
      <c r="Q400" s="374"/>
      <c r="R400" s="346"/>
      <c r="S400" s="371"/>
      <c r="T400" s="374"/>
      <c r="U400" s="372"/>
      <c r="V400" s="371"/>
      <c r="W400" s="374"/>
      <c r="X400" s="372"/>
      <c r="Y400" s="371"/>
      <c r="Z400" s="374"/>
      <c r="AA400" s="372"/>
      <c r="AB400" s="371"/>
      <c r="AC400" s="374"/>
      <c r="AD400" s="372"/>
      <c r="AE400" s="371"/>
      <c r="AF400" s="374"/>
      <c r="AG400" s="372"/>
      <c r="AH400" s="371"/>
      <c r="AI400" s="374"/>
      <c r="AJ400" s="372"/>
      <c r="AK400" s="371"/>
      <c r="AL400" s="374"/>
      <c r="AM400" s="372"/>
      <c r="AN400" s="316" t="s">
        <v>2177</v>
      </c>
      <c r="AO400" s="368"/>
      <c r="AP400" s="368"/>
      <c r="AQ400" s="368"/>
      <c r="AR400" s="368"/>
      <c r="AS400" s="368"/>
      <c r="AT400" s="368"/>
      <c r="AU400" s="368"/>
      <c r="AV400" s="368"/>
      <c r="AW400" s="368"/>
      <c r="AX400" s="368"/>
      <c r="AY400" s="368"/>
      <c r="AZ400" s="368"/>
      <c r="BA400" s="368"/>
      <c r="BB400" s="368"/>
      <c r="BC400" s="368"/>
      <c r="BD400" s="368"/>
      <c r="BE400" s="368"/>
      <c r="BF400" s="368"/>
      <c r="BG400" s="368"/>
      <c r="BH400" s="368"/>
      <c r="BI400" s="368"/>
      <c r="BJ400" s="368"/>
      <c r="BK400" s="368"/>
      <c r="BL400" s="368"/>
      <c r="BM400" s="368"/>
      <c r="BN400" s="368"/>
    </row>
    <row r="401">
      <c r="A401" s="303" t="s">
        <v>1667</v>
      </c>
      <c r="B401" s="347"/>
      <c r="C401" s="370" t="s">
        <v>49</v>
      </c>
      <c r="D401" s="371"/>
      <c r="E401" s="374"/>
      <c r="F401" s="346"/>
      <c r="G401" s="371"/>
      <c r="H401" s="374"/>
      <c r="I401" s="346"/>
      <c r="J401" s="371"/>
      <c r="K401" s="374"/>
      <c r="L401" s="376"/>
      <c r="M401" s="371"/>
      <c r="N401" s="374"/>
      <c r="O401" s="346"/>
      <c r="P401" s="371"/>
      <c r="Q401" s="374"/>
      <c r="R401" s="346"/>
      <c r="S401" s="371"/>
      <c r="T401" s="374"/>
      <c r="U401" s="376"/>
      <c r="V401" s="371"/>
      <c r="W401" s="374"/>
      <c r="X401" s="376"/>
      <c r="Y401" s="371"/>
      <c r="Z401" s="374"/>
      <c r="AA401" s="376"/>
      <c r="AB401" s="371"/>
      <c r="AC401" s="377"/>
      <c r="AD401" s="377"/>
      <c r="AE401" s="371"/>
      <c r="AF401" s="374"/>
      <c r="AG401" s="376"/>
      <c r="AH401" s="371"/>
      <c r="AI401" s="374"/>
      <c r="AJ401" s="376"/>
      <c r="AK401" s="371"/>
      <c r="AL401" s="374"/>
      <c r="AM401" s="376"/>
      <c r="AN401" s="316" t="s">
        <v>2177</v>
      </c>
      <c r="AO401" s="368"/>
      <c r="AP401" s="368"/>
      <c r="AQ401" s="368"/>
      <c r="AR401" s="368"/>
      <c r="AS401" s="368"/>
      <c r="AT401" s="368"/>
      <c r="AU401" s="368"/>
      <c r="AV401" s="368"/>
      <c r="AW401" s="368"/>
      <c r="AX401" s="368"/>
      <c r="AY401" s="368"/>
      <c r="AZ401" s="368"/>
      <c r="BA401" s="368"/>
      <c r="BB401" s="368"/>
      <c r="BC401" s="368"/>
      <c r="BD401" s="368"/>
      <c r="BE401" s="368"/>
      <c r="BF401" s="368"/>
      <c r="BG401" s="368"/>
      <c r="BH401" s="368"/>
      <c r="BI401" s="368"/>
      <c r="BJ401" s="368"/>
      <c r="BK401" s="368"/>
      <c r="BL401" s="368"/>
      <c r="BM401" s="368"/>
      <c r="BN401" s="368"/>
    </row>
    <row r="402">
      <c r="A402" s="303" t="s">
        <v>1667</v>
      </c>
      <c r="B402" s="373"/>
      <c r="C402" s="370" t="s">
        <v>51</v>
      </c>
      <c r="D402" s="371"/>
      <c r="E402" s="374"/>
      <c r="F402" s="345">
        <v>30000.0</v>
      </c>
      <c r="G402" s="375"/>
      <c r="H402" s="374"/>
      <c r="I402" s="345">
        <v>30000.0</v>
      </c>
      <c r="J402" s="371"/>
      <c r="K402" s="374"/>
      <c r="L402" s="372"/>
      <c r="M402" s="371"/>
      <c r="N402" s="374"/>
      <c r="O402" s="346"/>
      <c r="P402" s="371"/>
      <c r="Q402" s="374"/>
      <c r="R402" s="346"/>
      <c r="S402" s="371"/>
      <c r="T402" s="374"/>
      <c r="U402" s="372"/>
      <c r="V402" s="371"/>
      <c r="W402" s="374"/>
      <c r="X402" s="372"/>
      <c r="Y402" s="371"/>
      <c r="Z402" s="374"/>
      <c r="AA402" s="376"/>
      <c r="AB402" s="371"/>
      <c r="AC402" s="374"/>
      <c r="AD402" s="372"/>
      <c r="AE402" s="371"/>
      <c r="AF402" s="374"/>
      <c r="AG402" s="372"/>
      <c r="AH402" s="371"/>
      <c r="AI402" s="374"/>
      <c r="AJ402" s="372"/>
      <c r="AK402" s="371"/>
      <c r="AL402" s="374"/>
      <c r="AM402" s="372"/>
      <c r="AN402" s="316" t="s">
        <v>2177</v>
      </c>
      <c r="AO402" s="368"/>
      <c r="AP402" s="368"/>
      <c r="AQ402" s="368"/>
      <c r="AR402" s="368"/>
      <c r="AS402" s="368"/>
      <c r="AT402" s="368"/>
      <c r="AU402" s="368"/>
      <c r="AV402" s="368"/>
      <c r="AW402" s="368"/>
      <c r="AX402" s="368"/>
      <c r="AY402" s="368"/>
      <c r="AZ402" s="368"/>
      <c r="BA402" s="368"/>
      <c r="BB402" s="368"/>
      <c r="BC402" s="368"/>
      <c r="BD402" s="368"/>
      <c r="BE402" s="368"/>
      <c r="BF402" s="368"/>
      <c r="BG402" s="368"/>
      <c r="BH402" s="368"/>
      <c r="BI402" s="368"/>
      <c r="BJ402" s="368"/>
      <c r="BK402" s="368"/>
      <c r="BL402" s="368"/>
      <c r="BM402" s="368"/>
      <c r="BN402" s="368"/>
    </row>
    <row r="403">
      <c r="A403" s="303" t="s">
        <v>1667</v>
      </c>
      <c r="B403" s="373"/>
      <c r="C403" s="370" t="s">
        <v>52</v>
      </c>
      <c r="D403" s="371"/>
      <c r="E403" s="374"/>
      <c r="F403" s="346">
        <v>25000.0</v>
      </c>
      <c r="G403" s="371"/>
      <c r="H403" s="374"/>
      <c r="I403" s="346">
        <v>25000.0</v>
      </c>
      <c r="J403" s="371"/>
      <c r="K403" s="374"/>
      <c r="L403" s="346">
        <v>25000.0</v>
      </c>
      <c r="M403" s="371"/>
      <c r="N403" s="374"/>
      <c r="O403" s="346">
        <v>25000.0</v>
      </c>
      <c r="P403" s="371"/>
      <c r="Q403" s="374"/>
      <c r="R403" s="346">
        <v>25000.0</v>
      </c>
      <c r="S403" s="371"/>
      <c r="T403" s="374"/>
      <c r="U403" s="346">
        <v>25000.0</v>
      </c>
      <c r="V403" s="371"/>
      <c r="W403" s="374"/>
      <c r="X403" s="346">
        <v>25000.0</v>
      </c>
      <c r="Y403" s="371"/>
      <c r="Z403" s="374"/>
      <c r="AA403" s="346">
        <v>25000.0</v>
      </c>
      <c r="AB403" s="371"/>
      <c r="AC403" s="374"/>
      <c r="AD403" s="346">
        <v>25000.0</v>
      </c>
      <c r="AE403" s="371"/>
      <c r="AF403" s="374"/>
      <c r="AG403" s="346">
        <v>25000.0</v>
      </c>
      <c r="AH403" s="371"/>
      <c r="AI403" s="374"/>
      <c r="AJ403" s="346">
        <v>25000.0</v>
      </c>
      <c r="AK403" s="371"/>
      <c r="AL403" s="374"/>
      <c r="AM403" s="346">
        <v>25000.0</v>
      </c>
      <c r="AN403" s="316" t="s">
        <v>2177</v>
      </c>
      <c r="AO403" s="368"/>
      <c r="AP403" s="368"/>
      <c r="AQ403" s="368"/>
      <c r="AR403" s="368"/>
      <c r="AS403" s="368"/>
      <c r="AT403" s="368"/>
      <c r="AU403" s="368"/>
      <c r="AV403" s="368"/>
      <c r="AW403" s="368"/>
      <c r="AX403" s="368"/>
      <c r="AY403" s="368"/>
      <c r="AZ403" s="368"/>
      <c r="BA403" s="368"/>
      <c r="BB403" s="368"/>
      <c r="BC403" s="368"/>
      <c r="BD403" s="368"/>
      <c r="BE403" s="368"/>
      <c r="BF403" s="368"/>
      <c r="BG403" s="368"/>
      <c r="BH403" s="368"/>
      <c r="BI403" s="368"/>
      <c r="BJ403" s="368"/>
      <c r="BK403" s="368"/>
      <c r="BL403" s="368"/>
      <c r="BM403" s="368"/>
      <c r="BN403" s="368"/>
    </row>
    <row r="404">
      <c r="A404" s="303" t="s">
        <v>1667</v>
      </c>
      <c r="B404" s="373"/>
      <c r="C404" s="370" t="s">
        <v>53</v>
      </c>
      <c r="D404" s="371"/>
      <c r="E404" s="374"/>
      <c r="F404" s="346">
        <v>11000.0</v>
      </c>
      <c r="G404" s="371"/>
      <c r="H404" s="374"/>
      <c r="I404" s="346">
        <v>11000.0</v>
      </c>
      <c r="J404" s="371"/>
      <c r="K404" s="374"/>
      <c r="L404" s="346">
        <v>11000.0</v>
      </c>
      <c r="M404" s="371"/>
      <c r="N404" s="374"/>
      <c r="O404" s="346">
        <v>11000.0</v>
      </c>
      <c r="P404" s="371"/>
      <c r="Q404" s="374"/>
      <c r="R404" s="346">
        <v>11000.0</v>
      </c>
      <c r="S404" s="371"/>
      <c r="T404" s="374"/>
      <c r="U404" s="346">
        <v>11000.0</v>
      </c>
      <c r="V404" s="371"/>
      <c r="W404" s="374"/>
      <c r="X404" s="346">
        <v>11000.0</v>
      </c>
      <c r="Y404" s="371"/>
      <c r="Z404" s="374"/>
      <c r="AA404" s="346">
        <v>11000.0</v>
      </c>
      <c r="AB404" s="371"/>
      <c r="AC404" s="374"/>
      <c r="AD404" s="346">
        <v>11000.0</v>
      </c>
      <c r="AE404" s="371"/>
      <c r="AF404" s="374"/>
      <c r="AG404" s="346">
        <v>11000.0</v>
      </c>
      <c r="AH404" s="371"/>
      <c r="AI404" s="374"/>
      <c r="AJ404" s="346">
        <v>11000.0</v>
      </c>
      <c r="AK404" s="371"/>
      <c r="AL404" s="374"/>
      <c r="AM404" s="346">
        <v>11000.0</v>
      </c>
      <c r="AN404" s="316" t="s">
        <v>2177</v>
      </c>
      <c r="AO404" s="368"/>
      <c r="AP404" s="368"/>
      <c r="AQ404" s="368"/>
      <c r="AR404" s="368"/>
      <c r="AS404" s="368"/>
      <c r="AT404" s="368"/>
      <c r="AU404" s="368"/>
      <c r="AV404" s="368"/>
      <c r="AW404" s="368"/>
      <c r="AX404" s="368"/>
      <c r="AY404" s="368"/>
      <c r="AZ404" s="368"/>
      <c r="BA404" s="368"/>
      <c r="BB404" s="368"/>
      <c r="BC404" s="368"/>
      <c r="BD404" s="368"/>
      <c r="BE404" s="368"/>
      <c r="BF404" s="368"/>
      <c r="BG404" s="368"/>
      <c r="BH404" s="368"/>
      <c r="BI404" s="368"/>
      <c r="BJ404" s="368"/>
      <c r="BK404" s="368"/>
      <c r="BL404" s="368"/>
      <c r="BM404" s="368"/>
      <c r="BN404" s="368"/>
    </row>
    <row r="405">
      <c r="A405" s="303" t="s">
        <v>1667</v>
      </c>
      <c r="B405" s="369"/>
      <c r="C405" s="370" t="s">
        <v>54</v>
      </c>
      <c r="D405" s="371"/>
      <c r="E405" s="374"/>
      <c r="F405" s="346">
        <f>SUMIFS('지출'!$G$3:$G794,'지출'!$J$3:$J794,F$1,'지출'!$C$3:$C794,"시립")</f>
        <v>57920</v>
      </c>
      <c r="G405" s="371"/>
      <c r="H405" s="374"/>
      <c r="I405" s="346">
        <f>SUMIFS('지출'!$G$3:$G794,'지출'!$J$3:$J794,I$1,'지출'!$C$3:$C794,"아현")</f>
        <v>23900</v>
      </c>
      <c r="J405" s="371"/>
      <c r="K405" s="374"/>
      <c r="L405" s="346">
        <f>SUMIFS('지출'!$G$3:$G794,'지출'!$J$3:$J794,L$1,'지출'!$C$3:$C794,"아현")</f>
        <v>69320</v>
      </c>
      <c r="M405" s="371"/>
      <c r="N405" s="374"/>
      <c r="O405" s="346">
        <f>SUMIFS('지출'!$G$3:$G794,'지출'!$J$3:$J794,O$1,'지출'!$C$3:$C794,"아현")</f>
        <v>0</v>
      </c>
      <c r="P405" s="371"/>
      <c r="Q405" s="374"/>
      <c r="R405" s="346">
        <f>SUMIFS('지출'!$G$3:$G794,'지출'!$J$3:$J794,R$1,'지출'!$C$3:$C794,"아현")</f>
        <v>0</v>
      </c>
      <c r="S405" s="371"/>
      <c r="T405" s="374"/>
      <c r="U405" s="346">
        <f>SUMIFS('지출'!$G$3:$G794,'지출'!$J$3:$J794,U$1,'지출'!$C$3:$C794,"아현")</f>
        <v>0</v>
      </c>
      <c r="V405" s="371"/>
      <c r="W405" s="374"/>
      <c r="X405" s="346">
        <f>SUMIFS('지출'!$G$3:$G794,'지출'!$J$3:$J794,X$1,'지출'!$C$3:$C794,"아현")</f>
        <v>0</v>
      </c>
      <c r="Y405" s="371"/>
      <c r="Z405" s="374"/>
      <c r="AA405" s="346">
        <f>SUMIFS('지출'!$G$3:$G794,'지출'!$J$3:$J794,AA$1,'지출'!$C$3:$C794,"아현")</f>
        <v>0</v>
      </c>
      <c r="AB405" s="371"/>
      <c r="AC405" s="374"/>
      <c r="AD405" s="346">
        <f>SUMIFS('지출'!$G$3:$G794,'지출'!$J$3:$J794,AD$1,'지출'!$C$3:$C794,"아현")</f>
        <v>0</v>
      </c>
      <c r="AE405" s="371"/>
      <c r="AF405" s="374"/>
      <c r="AG405" s="346">
        <f>SUMIFS('지출'!$G$3:$G794,'지출'!$J$3:$J794,AG$1,'지출'!$C$3:$C794,"아현")</f>
        <v>0</v>
      </c>
      <c r="AH405" s="371"/>
      <c r="AI405" s="374"/>
      <c r="AJ405" s="346">
        <f>SUMIFS('지출'!$G$3:$G794,'지출'!$J$3:$J794,AJ$1,'지출'!$C$3:$C794,"아현")</f>
        <v>0</v>
      </c>
      <c r="AK405" s="371"/>
      <c r="AL405" s="374"/>
      <c r="AM405" s="346">
        <f>SUMIFS('지출'!$G$3:$G794,'지출'!$J$3:$J794,AM$1,'지출'!$C$3:$C794,"아현")</f>
        <v>0</v>
      </c>
      <c r="AN405" s="316" t="s">
        <v>2177</v>
      </c>
      <c r="AO405" s="368"/>
      <c r="AP405" s="368"/>
      <c r="AQ405" s="368"/>
      <c r="AR405" s="368"/>
      <c r="AS405" s="368"/>
      <c r="AT405" s="368"/>
      <c r="AU405" s="368"/>
      <c r="AV405" s="368"/>
      <c r="AW405" s="368"/>
      <c r="AX405" s="368"/>
      <c r="AY405" s="368"/>
      <c r="AZ405" s="368"/>
      <c r="BA405" s="368"/>
      <c r="BB405" s="368"/>
      <c r="BC405" s="368"/>
      <c r="BD405" s="368"/>
      <c r="BE405" s="368"/>
      <c r="BF405" s="368"/>
      <c r="BG405" s="368"/>
      <c r="BH405" s="368"/>
      <c r="BI405" s="368"/>
      <c r="BJ405" s="368"/>
      <c r="BK405" s="368"/>
      <c r="BL405" s="368"/>
      <c r="BM405" s="368"/>
      <c r="BN405" s="368"/>
    </row>
    <row r="406">
      <c r="A406" s="303" t="s">
        <v>1667</v>
      </c>
      <c r="B406" s="369"/>
      <c r="C406" s="370" t="s">
        <v>56</v>
      </c>
      <c r="D406" s="371"/>
      <c r="E406" s="335">
        <f t="shared" ref="E406:F406" si="540">E397-(SUM(E398:E405))</f>
        <v>0</v>
      </c>
      <c r="F406" s="346">
        <f t="shared" si="540"/>
        <v>-123920</v>
      </c>
      <c r="G406" s="371"/>
      <c r="H406" s="335">
        <f t="shared" ref="H406:I406" si="541">H397-(SUM(H398:H405))</f>
        <v>675000</v>
      </c>
      <c r="I406" s="346">
        <f t="shared" si="541"/>
        <v>35100</v>
      </c>
      <c r="J406" s="371"/>
      <c r="K406" s="335">
        <f t="shared" ref="K406:L406" si="542">K397-(SUM(K398:K405))</f>
        <v>1600000</v>
      </c>
      <c r="L406" s="346">
        <f t="shared" si="542"/>
        <v>194680</v>
      </c>
      <c r="M406" s="371"/>
      <c r="N406" s="335">
        <f t="shared" ref="N406:O406" si="543">N397-(SUM(N398:N405))</f>
        <v>1600000</v>
      </c>
      <c r="O406" s="346">
        <f t="shared" si="543"/>
        <v>264000</v>
      </c>
      <c r="P406" s="371"/>
      <c r="Q406" s="335">
        <f t="shared" ref="Q406:R406" si="544">Q397-(SUM(Q398:Q405))</f>
        <v>1600000</v>
      </c>
      <c r="R406" s="346">
        <f t="shared" si="544"/>
        <v>264000</v>
      </c>
      <c r="S406" s="371"/>
      <c r="T406" s="335">
        <f t="shared" ref="T406:U406" si="545">T397-(SUM(T398:T405))</f>
        <v>1600000</v>
      </c>
      <c r="U406" s="346">
        <f t="shared" si="545"/>
        <v>264000</v>
      </c>
      <c r="V406" s="371"/>
      <c r="W406" s="335">
        <f t="shared" ref="W406:X406" si="546">W397-(SUM(W398:W405))</f>
        <v>1600000</v>
      </c>
      <c r="X406" s="346">
        <f t="shared" si="546"/>
        <v>264000</v>
      </c>
      <c r="Y406" s="371"/>
      <c r="Z406" s="335">
        <f t="shared" ref="Z406:AA406" si="547">Z397-(SUM(Z398:Z405))</f>
        <v>1600000</v>
      </c>
      <c r="AA406" s="346">
        <f t="shared" si="547"/>
        <v>264000</v>
      </c>
      <c r="AB406" s="371"/>
      <c r="AC406" s="335">
        <f t="shared" ref="AC406:AD406" si="548">AC397-(SUM(AC398:AC405))</f>
        <v>1600000</v>
      </c>
      <c r="AD406" s="346">
        <f t="shared" si="548"/>
        <v>264000</v>
      </c>
      <c r="AE406" s="371"/>
      <c r="AF406" s="335">
        <f t="shared" ref="AF406:AG406" si="549">AF397-(SUM(AF398:AF405))</f>
        <v>1600000</v>
      </c>
      <c r="AG406" s="346">
        <f t="shared" si="549"/>
        <v>264000</v>
      </c>
      <c r="AH406" s="371"/>
      <c r="AI406" s="335">
        <f t="shared" ref="AI406:AJ406" si="550">AI397-(SUM(AI398:AI405))</f>
        <v>1600000</v>
      </c>
      <c r="AJ406" s="346">
        <f t="shared" si="550"/>
        <v>264000</v>
      </c>
      <c r="AK406" s="371"/>
      <c r="AL406" s="335">
        <f t="shared" ref="AL406:AM406" si="551">AL397-(SUM(AL398:AL405))</f>
        <v>1600000</v>
      </c>
      <c r="AM406" s="346">
        <f t="shared" si="551"/>
        <v>264000</v>
      </c>
      <c r="AN406" s="316" t="s">
        <v>2177</v>
      </c>
      <c r="AO406" s="368"/>
      <c r="AP406" s="368"/>
      <c r="AQ406" s="368"/>
      <c r="AR406" s="368"/>
      <c r="AS406" s="368"/>
      <c r="AT406" s="368"/>
      <c r="AU406" s="368"/>
      <c r="AV406" s="368"/>
      <c r="AW406" s="368"/>
      <c r="AX406" s="368"/>
      <c r="AY406" s="368"/>
      <c r="AZ406" s="368"/>
      <c r="BA406" s="368"/>
      <c r="BB406" s="368"/>
      <c r="BC406" s="368"/>
      <c r="BD406" s="368"/>
      <c r="BE406" s="368"/>
      <c r="BF406" s="368"/>
      <c r="BG406" s="368"/>
      <c r="BH406" s="368"/>
      <c r="BI406" s="368"/>
      <c r="BJ406" s="368"/>
      <c r="BK406" s="368"/>
      <c r="BL406" s="368"/>
      <c r="BM406" s="368"/>
      <c r="BN406" s="368"/>
    </row>
    <row r="407">
      <c r="A407" s="303" t="s">
        <v>1667</v>
      </c>
      <c r="B407" s="378">
        <v>0.0</v>
      </c>
      <c r="C407" s="370" t="s">
        <v>26</v>
      </c>
      <c r="D407" s="371"/>
      <c r="E407" s="335">
        <f>E406*$B407</f>
        <v>0</v>
      </c>
      <c r="F407" s="372"/>
      <c r="G407" s="371"/>
      <c r="H407" s="335">
        <f>H406*$B407</f>
        <v>0</v>
      </c>
      <c r="I407" s="372"/>
      <c r="J407" s="371"/>
      <c r="K407" s="335">
        <f>K406*$B407</f>
        <v>0</v>
      </c>
      <c r="L407" s="372"/>
      <c r="M407" s="371"/>
      <c r="N407" s="335">
        <f>N406*$B407</f>
        <v>0</v>
      </c>
      <c r="O407" s="372"/>
      <c r="P407" s="371"/>
      <c r="Q407" s="335">
        <f>Q406*$B407</f>
        <v>0</v>
      </c>
      <c r="R407" s="372"/>
      <c r="S407" s="371"/>
      <c r="T407" s="335">
        <f>T406*$B407</f>
        <v>0</v>
      </c>
      <c r="U407" s="372"/>
      <c r="V407" s="371"/>
      <c r="W407" s="335">
        <f>W406*$B407</f>
        <v>0</v>
      </c>
      <c r="X407" s="372"/>
      <c r="Y407" s="371"/>
      <c r="Z407" s="335">
        <f>Z406*$B407</f>
        <v>0</v>
      </c>
      <c r="AA407" s="372"/>
      <c r="AB407" s="371"/>
      <c r="AC407" s="335">
        <f>AC406*$B407</f>
        <v>0</v>
      </c>
      <c r="AD407" s="372"/>
      <c r="AE407" s="371"/>
      <c r="AF407" s="335">
        <f>AF406*$B407</f>
        <v>0</v>
      </c>
      <c r="AG407" s="372"/>
      <c r="AH407" s="371"/>
      <c r="AI407" s="335">
        <f>AI406*$B407</f>
        <v>0</v>
      </c>
      <c r="AJ407" s="372"/>
      <c r="AK407" s="371"/>
      <c r="AL407" s="335">
        <f>AL406*$B407</f>
        <v>0</v>
      </c>
      <c r="AM407" s="372"/>
      <c r="AN407" s="316" t="s">
        <v>2177</v>
      </c>
      <c r="AO407" s="368"/>
      <c r="AP407" s="368"/>
      <c r="AQ407" s="368"/>
      <c r="AR407" s="368"/>
      <c r="AS407" s="368"/>
      <c r="AT407" s="368"/>
      <c r="AU407" s="368"/>
      <c r="AV407" s="368"/>
      <c r="AW407" s="368"/>
      <c r="AX407" s="368"/>
      <c r="AY407" s="368"/>
      <c r="AZ407" s="368"/>
      <c r="BA407" s="368"/>
      <c r="BB407" s="368"/>
      <c r="BC407" s="368"/>
      <c r="BD407" s="368"/>
      <c r="BE407" s="368"/>
      <c r="BF407" s="368"/>
      <c r="BG407" s="368"/>
      <c r="BH407" s="368"/>
      <c r="BI407" s="368"/>
      <c r="BJ407" s="368"/>
      <c r="BK407" s="368"/>
      <c r="BL407" s="368"/>
      <c r="BM407" s="368"/>
      <c r="BN407" s="368"/>
    </row>
    <row r="408">
      <c r="A408" s="303" t="s">
        <v>1667</v>
      </c>
      <c r="B408" s="379">
        <v>1.0</v>
      </c>
      <c r="C408" s="380" t="s">
        <v>57</v>
      </c>
      <c r="D408" s="381"/>
      <c r="E408" s="382">
        <f>E406*$B408</f>
        <v>0</v>
      </c>
      <c r="F408" s="383"/>
      <c r="G408" s="381"/>
      <c r="H408" s="382">
        <f>H406*$B408</f>
        <v>675000</v>
      </c>
      <c r="I408" s="383"/>
      <c r="J408" s="381"/>
      <c r="K408" s="382">
        <f>K406*$B408</f>
        <v>1600000</v>
      </c>
      <c r="L408" s="383"/>
      <c r="M408" s="381"/>
      <c r="N408" s="382">
        <f>N406*$B408</f>
        <v>1600000</v>
      </c>
      <c r="O408" s="383"/>
      <c r="P408" s="381"/>
      <c r="Q408" s="382">
        <f>Q406*$B408</f>
        <v>1600000</v>
      </c>
      <c r="R408" s="383"/>
      <c r="S408" s="381"/>
      <c r="T408" s="382">
        <f>T406*$B408</f>
        <v>1600000</v>
      </c>
      <c r="U408" s="383"/>
      <c r="V408" s="381"/>
      <c r="W408" s="382">
        <f>W406*$B408</f>
        <v>1600000</v>
      </c>
      <c r="X408" s="383"/>
      <c r="Y408" s="381"/>
      <c r="Z408" s="382">
        <f>Z406*$B408</f>
        <v>1600000</v>
      </c>
      <c r="AA408" s="383"/>
      <c r="AB408" s="381"/>
      <c r="AC408" s="382">
        <f>AC406*$B408</f>
        <v>1600000</v>
      </c>
      <c r="AD408" s="383"/>
      <c r="AE408" s="381"/>
      <c r="AF408" s="382">
        <f>AF406*$B408</f>
        <v>1600000</v>
      </c>
      <c r="AG408" s="383"/>
      <c r="AH408" s="381"/>
      <c r="AI408" s="382">
        <f>AI406*$B408</f>
        <v>1600000</v>
      </c>
      <c r="AJ408" s="383"/>
      <c r="AK408" s="381"/>
      <c r="AL408" s="382">
        <f>AL406*$B408</f>
        <v>1600000</v>
      </c>
      <c r="AM408" s="383"/>
      <c r="AN408" s="316" t="s">
        <v>2177</v>
      </c>
      <c r="AO408" s="368"/>
      <c r="AP408" s="368"/>
      <c r="AQ408" s="368"/>
      <c r="AR408" s="368"/>
      <c r="AS408" s="368"/>
      <c r="AT408" s="368"/>
      <c r="AU408" s="368"/>
      <c r="AV408" s="368"/>
      <c r="AW408" s="368"/>
      <c r="AX408" s="368"/>
      <c r="AY408" s="368"/>
      <c r="AZ408" s="368"/>
      <c r="BA408" s="368"/>
      <c r="BB408" s="368"/>
      <c r="BC408" s="368"/>
      <c r="BD408" s="368"/>
      <c r="BE408" s="368"/>
      <c r="BF408" s="368"/>
      <c r="BG408" s="368"/>
      <c r="BH408" s="368"/>
      <c r="BI408" s="368"/>
      <c r="BJ408" s="368"/>
      <c r="BK408" s="368"/>
      <c r="BL408" s="368"/>
      <c r="BM408" s="368"/>
      <c r="BN408" s="368"/>
    </row>
    <row r="409">
      <c r="A409" s="303" t="s">
        <v>2230</v>
      </c>
      <c r="B409" s="384" t="s">
        <v>682</v>
      </c>
      <c r="C409" s="385" t="s">
        <v>667</v>
      </c>
      <c r="D409" s="341" t="s">
        <v>1681</v>
      </c>
      <c r="E409" s="335">
        <v>570000.0</v>
      </c>
      <c r="F409" s="346">
        <v>100000.0</v>
      </c>
      <c r="G409" s="353" t="s">
        <v>2231</v>
      </c>
      <c r="H409" s="335">
        <v>570000.0</v>
      </c>
      <c r="I409" s="346">
        <v>100000.0</v>
      </c>
      <c r="J409" s="326"/>
      <c r="K409" s="321"/>
      <c r="L409" s="322"/>
      <c r="M409" s="326"/>
      <c r="N409" s="321"/>
      <c r="O409" s="322"/>
      <c r="P409" s="326"/>
      <c r="Q409" s="321"/>
      <c r="R409" s="322"/>
      <c r="S409" s="326"/>
      <c r="T409" s="321"/>
      <c r="U409" s="322"/>
      <c r="V409" s="326"/>
      <c r="W409" s="321"/>
      <c r="X409" s="322"/>
      <c r="Y409" s="326"/>
      <c r="Z409" s="321"/>
      <c r="AA409" s="322"/>
      <c r="AB409" s="326"/>
      <c r="AC409" s="321"/>
      <c r="AD409" s="322"/>
      <c r="AE409" s="326"/>
      <c r="AF409" s="321"/>
      <c r="AG409" s="322"/>
      <c r="AH409" s="326"/>
      <c r="AI409" s="321"/>
      <c r="AJ409" s="322"/>
      <c r="AK409" s="326"/>
      <c r="AL409" s="321"/>
      <c r="AM409" s="322"/>
      <c r="AN409" s="316" t="s">
        <v>33</v>
      </c>
      <c r="AO409" s="316"/>
      <c r="AP409" s="316"/>
      <c r="AQ409" s="316"/>
      <c r="AR409" s="316"/>
      <c r="AS409" s="316"/>
      <c r="AT409" s="316"/>
      <c r="AU409" s="316"/>
      <c r="AV409" s="316"/>
      <c r="AW409" s="316"/>
      <c r="AX409" s="316"/>
      <c r="AY409" s="316"/>
      <c r="AZ409" s="316"/>
      <c r="BA409" s="316"/>
      <c r="BB409" s="316"/>
      <c r="BC409" s="316"/>
      <c r="BD409" s="316"/>
      <c r="BE409" s="316"/>
      <c r="BF409" s="316"/>
      <c r="BG409" s="316"/>
      <c r="BH409" s="316"/>
      <c r="BI409" s="316"/>
      <c r="BJ409" s="316"/>
      <c r="BK409" s="316"/>
      <c r="BL409" s="316"/>
      <c r="BM409" s="316"/>
      <c r="BN409" s="316"/>
    </row>
    <row r="410">
      <c r="A410" s="303" t="s">
        <v>2230</v>
      </c>
      <c r="B410" s="317" t="s">
        <v>689</v>
      </c>
      <c r="C410" s="385" t="s">
        <v>690</v>
      </c>
      <c r="D410" s="341" t="s">
        <v>1688</v>
      </c>
      <c r="E410" s="335">
        <v>550000.0</v>
      </c>
      <c r="F410" s="346">
        <v>100000.0</v>
      </c>
      <c r="G410" s="353" t="s">
        <v>2232</v>
      </c>
      <c r="H410" s="335">
        <v>550000.0</v>
      </c>
      <c r="I410" s="346">
        <v>100000.0</v>
      </c>
      <c r="J410" s="326"/>
      <c r="K410" s="321"/>
      <c r="L410" s="322"/>
      <c r="M410" s="326"/>
      <c r="N410" s="321"/>
      <c r="O410" s="322"/>
      <c r="P410" s="326"/>
      <c r="Q410" s="321"/>
      <c r="R410" s="322"/>
      <c r="S410" s="326"/>
      <c r="T410" s="321"/>
      <c r="U410" s="322"/>
      <c r="V410" s="326"/>
      <c r="W410" s="321"/>
      <c r="X410" s="322"/>
      <c r="Y410" s="326"/>
      <c r="Z410" s="321"/>
      <c r="AA410" s="322"/>
      <c r="AB410" s="326"/>
      <c r="AC410" s="321"/>
      <c r="AD410" s="322"/>
      <c r="AE410" s="326"/>
      <c r="AF410" s="321"/>
      <c r="AG410" s="322"/>
      <c r="AH410" s="326"/>
      <c r="AI410" s="321"/>
      <c r="AJ410" s="322"/>
      <c r="AK410" s="326"/>
      <c r="AL410" s="321"/>
      <c r="AM410" s="322"/>
      <c r="AN410" s="316" t="s">
        <v>33</v>
      </c>
      <c r="AO410" s="316"/>
      <c r="AP410" s="316"/>
      <c r="AQ410" s="316"/>
      <c r="AR410" s="316"/>
      <c r="AS410" s="316"/>
      <c r="AT410" s="316"/>
      <c r="AU410" s="316"/>
      <c r="AV410" s="316"/>
      <c r="AW410" s="316"/>
      <c r="AX410" s="316"/>
      <c r="AY410" s="316"/>
      <c r="AZ410" s="316"/>
      <c r="BA410" s="316"/>
      <c r="BB410" s="316"/>
      <c r="BC410" s="316"/>
      <c r="BD410" s="316"/>
      <c r="BE410" s="316"/>
      <c r="BF410" s="316"/>
      <c r="BG410" s="316"/>
      <c r="BH410" s="316"/>
      <c r="BI410" s="316"/>
      <c r="BJ410" s="316"/>
      <c r="BK410" s="316"/>
      <c r="BL410" s="316"/>
      <c r="BM410" s="316"/>
      <c r="BN410" s="316"/>
    </row>
    <row r="411">
      <c r="A411" s="303" t="s">
        <v>2230</v>
      </c>
      <c r="B411" s="384" t="s">
        <v>682</v>
      </c>
      <c r="C411" s="385" t="s">
        <v>693</v>
      </c>
      <c r="D411" s="341" t="s">
        <v>694</v>
      </c>
      <c r="E411" s="335">
        <v>380000.0</v>
      </c>
      <c r="F411" s="346">
        <v>80000.0</v>
      </c>
      <c r="G411" s="353" t="s">
        <v>2233</v>
      </c>
      <c r="H411" s="348">
        <v>312500.0</v>
      </c>
      <c r="I411" s="345">
        <v>65800.0</v>
      </c>
      <c r="J411" s="326"/>
      <c r="K411" s="321"/>
      <c r="L411" s="322"/>
      <c r="M411" s="326"/>
      <c r="N411" s="321"/>
      <c r="O411" s="322"/>
      <c r="P411" s="326"/>
      <c r="Q411" s="321"/>
      <c r="R411" s="322"/>
      <c r="S411" s="326"/>
      <c r="T411" s="321"/>
      <c r="U411" s="322"/>
      <c r="V411" s="326"/>
      <c r="W411" s="321"/>
      <c r="X411" s="322"/>
      <c r="Y411" s="326"/>
      <c r="Z411" s="321"/>
      <c r="AA411" s="322"/>
      <c r="AB411" s="326"/>
      <c r="AC411" s="321"/>
      <c r="AD411" s="322"/>
      <c r="AE411" s="326"/>
      <c r="AF411" s="321"/>
      <c r="AG411" s="322"/>
      <c r="AH411" s="326"/>
      <c r="AI411" s="321"/>
      <c r="AJ411" s="322"/>
      <c r="AK411" s="326"/>
      <c r="AL411" s="321"/>
      <c r="AM411" s="322"/>
      <c r="AN411" s="316" t="s">
        <v>33</v>
      </c>
      <c r="AO411" s="316"/>
      <c r="AP411" s="316"/>
      <c r="AQ411" s="316"/>
      <c r="AR411" s="316"/>
      <c r="AS411" s="316"/>
      <c r="AT411" s="316"/>
      <c r="AU411" s="316"/>
      <c r="AV411" s="316"/>
      <c r="AW411" s="316"/>
      <c r="AX411" s="316"/>
      <c r="AY411" s="316"/>
      <c r="AZ411" s="316"/>
      <c r="BA411" s="316"/>
      <c r="BB411" s="316"/>
      <c r="BC411" s="316"/>
      <c r="BD411" s="316"/>
      <c r="BE411" s="316"/>
      <c r="BF411" s="316"/>
      <c r="BG411" s="316"/>
      <c r="BH411" s="316"/>
      <c r="BI411" s="316"/>
      <c r="BJ411" s="316"/>
      <c r="BK411" s="316"/>
      <c r="BL411" s="316"/>
      <c r="BM411" s="316"/>
      <c r="BN411" s="316"/>
    </row>
    <row r="412">
      <c r="A412" s="303" t="s">
        <v>2230</v>
      </c>
      <c r="B412" s="384" t="s">
        <v>682</v>
      </c>
      <c r="C412" s="385" t="s">
        <v>695</v>
      </c>
      <c r="D412" s="389" t="s">
        <v>696</v>
      </c>
      <c r="E412" s="390">
        <v>280000.0</v>
      </c>
      <c r="F412" s="346">
        <v>80000.0</v>
      </c>
      <c r="G412" s="353" t="s">
        <v>2234</v>
      </c>
      <c r="H412" s="348">
        <v>250000.0</v>
      </c>
      <c r="I412" s="345">
        <v>71429.0</v>
      </c>
      <c r="J412" s="320"/>
      <c r="K412" s="321"/>
      <c r="L412" s="322"/>
      <c r="M412" s="320"/>
      <c r="N412" s="321"/>
      <c r="O412" s="322"/>
      <c r="P412" s="320"/>
      <c r="Q412" s="321"/>
      <c r="R412" s="322"/>
      <c r="S412" s="320"/>
      <c r="T412" s="321"/>
      <c r="U412" s="322"/>
      <c r="V412" s="320"/>
      <c r="W412" s="321"/>
      <c r="X412" s="322"/>
      <c r="Y412" s="320"/>
      <c r="Z412" s="321"/>
      <c r="AA412" s="322"/>
      <c r="AB412" s="320"/>
      <c r="AC412" s="321"/>
      <c r="AD412" s="322"/>
      <c r="AE412" s="320"/>
      <c r="AF412" s="321"/>
      <c r="AG412" s="322"/>
      <c r="AH412" s="320"/>
      <c r="AI412" s="321"/>
      <c r="AJ412" s="322"/>
      <c r="AK412" s="320"/>
      <c r="AL412" s="321"/>
      <c r="AM412" s="322"/>
      <c r="AN412" s="316" t="s">
        <v>33</v>
      </c>
      <c r="AO412" s="316"/>
      <c r="AP412" s="316"/>
      <c r="AQ412" s="316"/>
      <c r="AR412" s="316"/>
      <c r="AS412" s="316"/>
      <c r="AT412" s="316"/>
      <c r="AU412" s="316"/>
      <c r="AV412" s="316"/>
      <c r="AW412" s="316"/>
      <c r="AX412" s="316"/>
      <c r="AY412" s="316"/>
      <c r="AZ412" s="316"/>
      <c r="BA412" s="316"/>
      <c r="BB412" s="316"/>
      <c r="BC412" s="316"/>
      <c r="BD412" s="316"/>
      <c r="BE412" s="316"/>
      <c r="BF412" s="316"/>
      <c r="BG412" s="316"/>
      <c r="BH412" s="316"/>
      <c r="BI412" s="316"/>
      <c r="BJ412" s="316"/>
      <c r="BK412" s="316"/>
      <c r="BL412" s="316"/>
      <c r="BM412" s="316"/>
      <c r="BN412" s="316"/>
    </row>
    <row r="413">
      <c r="A413" s="303" t="s">
        <v>2230</v>
      </c>
      <c r="B413" s="304"/>
      <c r="C413" s="305" t="s">
        <v>42</v>
      </c>
      <c r="D413" s="320"/>
      <c r="E413" s="323">
        <f t="shared" ref="E413:F413" si="552">SUM(E409:E412)</f>
        <v>1780000</v>
      </c>
      <c r="F413" s="324">
        <f t="shared" si="552"/>
        <v>360000</v>
      </c>
      <c r="G413" s="320"/>
      <c r="H413" s="323">
        <f t="shared" ref="H413:I413" si="553">SUM(H409:H412)</f>
        <v>1682500</v>
      </c>
      <c r="I413" s="324">
        <f t="shared" si="553"/>
        <v>337229</v>
      </c>
      <c r="J413" s="320"/>
      <c r="K413" s="323">
        <f t="shared" ref="K413:L413" si="554">SUM(K409:K412)</f>
        <v>0</v>
      </c>
      <c r="L413" s="324">
        <f t="shared" si="554"/>
        <v>0</v>
      </c>
      <c r="M413" s="320"/>
      <c r="N413" s="323">
        <f t="shared" ref="N413:O413" si="555">SUM(N409:N412)</f>
        <v>0</v>
      </c>
      <c r="O413" s="324">
        <f t="shared" si="555"/>
        <v>0</v>
      </c>
      <c r="P413" s="320"/>
      <c r="Q413" s="323">
        <f t="shared" ref="Q413:R413" si="556">SUM(Q409:Q412)</f>
        <v>0</v>
      </c>
      <c r="R413" s="324">
        <f t="shared" si="556"/>
        <v>0</v>
      </c>
      <c r="S413" s="320"/>
      <c r="T413" s="323">
        <f t="shared" ref="T413:U413" si="557">SUM(T409:T412)</f>
        <v>0</v>
      </c>
      <c r="U413" s="324">
        <f t="shared" si="557"/>
        <v>0</v>
      </c>
      <c r="V413" s="320"/>
      <c r="W413" s="323">
        <f t="shared" ref="W413:X413" si="558">SUM(W409:W412)</f>
        <v>0</v>
      </c>
      <c r="X413" s="324">
        <f t="shared" si="558"/>
        <v>0</v>
      </c>
      <c r="Y413" s="320"/>
      <c r="Z413" s="323">
        <f t="shared" ref="Z413:AA413" si="559">SUM(Z409:Z412)</f>
        <v>0</v>
      </c>
      <c r="AA413" s="324">
        <f t="shared" si="559"/>
        <v>0</v>
      </c>
      <c r="AB413" s="320"/>
      <c r="AC413" s="323">
        <f t="shared" ref="AC413:AD413" si="560">SUM(AC409:AC412)</f>
        <v>0</v>
      </c>
      <c r="AD413" s="324">
        <f t="shared" si="560"/>
        <v>0</v>
      </c>
      <c r="AE413" s="320"/>
      <c r="AF413" s="323">
        <f t="shared" ref="AF413:AG413" si="561">SUM(AF409:AF412)</f>
        <v>0</v>
      </c>
      <c r="AG413" s="324">
        <f t="shared" si="561"/>
        <v>0</v>
      </c>
      <c r="AH413" s="320"/>
      <c r="AI413" s="323">
        <f t="shared" ref="AI413:AJ413" si="562">SUM(AI409:AI412)</f>
        <v>0</v>
      </c>
      <c r="AJ413" s="324">
        <f t="shared" si="562"/>
        <v>0</v>
      </c>
      <c r="AK413" s="320"/>
      <c r="AL413" s="323">
        <f t="shared" ref="AL413:AM413" si="563">SUM(AL409:AL412)</f>
        <v>0</v>
      </c>
      <c r="AM413" s="324">
        <f t="shared" si="563"/>
        <v>0</v>
      </c>
      <c r="AN413" s="316" t="s">
        <v>33</v>
      </c>
      <c r="AO413" s="316"/>
      <c r="AP413" s="316"/>
      <c r="AQ413" s="316"/>
      <c r="AR413" s="316"/>
      <c r="AS413" s="316"/>
      <c r="AT413" s="316"/>
      <c r="AU413" s="316"/>
      <c r="AV413" s="316"/>
      <c r="AW413" s="316"/>
      <c r="AX413" s="316"/>
      <c r="AY413" s="316"/>
      <c r="AZ413" s="316"/>
      <c r="BA413" s="316"/>
      <c r="BB413" s="316"/>
      <c r="BC413" s="316"/>
      <c r="BD413" s="316"/>
      <c r="BE413" s="316"/>
      <c r="BF413" s="316"/>
      <c r="BG413" s="316"/>
      <c r="BH413" s="316"/>
      <c r="BI413" s="316"/>
      <c r="BJ413" s="316"/>
      <c r="BK413" s="316"/>
      <c r="BL413" s="316"/>
      <c r="BM413" s="316"/>
      <c r="BN413" s="316"/>
    </row>
    <row r="414" collapsed="1">
      <c r="A414" s="303" t="s">
        <v>2230</v>
      </c>
      <c r="B414" s="304"/>
      <c r="C414" s="325" t="s">
        <v>43</v>
      </c>
      <c r="D414" s="326"/>
      <c r="E414" s="321">
        <v>1000000.0</v>
      </c>
      <c r="F414" s="324"/>
      <c r="G414" s="326"/>
      <c r="H414" s="321">
        <v>1000000.0</v>
      </c>
      <c r="I414" s="324"/>
      <c r="J414" s="326"/>
      <c r="K414" s="321">
        <v>1000000.0</v>
      </c>
      <c r="L414" s="324"/>
      <c r="M414" s="326"/>
      <c r="N414" s="321"/>
      <c r="O414" s="324"/>
      <c r="P414" s="326"/>
      <c r="Q414" s="321"/>
      <c r="R414" s="324"/>
      <c r="S414" s="326"/>
      <c r="T414" s="321"/>
      <c r="U414" s="324"/>
      <c r="V414" s="326"/>
      <c r="W414" s="321"/>
      <c r="X414" s="324"/>
      <c r="Y414" s="326"/>
      <c r="Z414" s="321"/>
      <c r="AA414" s="324"/>
      <c r="AB414" s="326"/>
      <c r="AC414" s="321"/>
      <c r="AD414" s="324"/>
      <c r="AE414" s="326"/>
      <c r="AF414" s="321"/>
      <c r="AG414" s="324"/>
      <c r="AH414" s="326"/>
      <c r="AI414" s="321"/>
      <c r="AJ414" s="324"/>
      <c r="AK414" s="326"/>
      <c r="AL414" s="321"/>
      <c r="AM414" s="324"/>
      <c r="AN414" s="316" t="s">
        <v>33</v>
      </c>
      <c r="AO414" s="316"/>
      <c r="AP414" s="316"/>
      <c r="AQ414" s="316"/>
      <c r="AR414" s="316"/>
      <c r="AS414" s="316"/>
      <c r="AT414" s="316"/>
      <c r="AU414" s="316"/>
      <c r="AV414" s="316"/>
      <c r="AW414" s="316"/>
      <c r="AX414" s="316"/>
      <c r="AY414" s="316"/>
      <c r="AZ414" s="316"/>
      <c r="BA414" s="316"/>
      <c r="BB414" s="316"/>
      <c r="BC414" s="316"/>
      <c r="BD414" s="316"/>
      <c r="BE414" s="316"/>
      <c r="BF414" s="316"/>
      <c r="BG414" s="316"/>
      <c r="BH414" s="316"/>
      <c r="BI414" s="316"/>
      <c r="BJ414" s="316"/>
      <c r="BK414" s="316"/>
      <c r="BL414" s="316"/>
      <c r="BM414" s="316"/>
      <c r="BN414" s="316"/>
    </row>
    <row r="415" hidden="1" outlineLevel="1">
      <c r="A415" s="303" t="s">
        <v>2230</v>
      </c>
      <c r="B415" s="304"/>
      <c r="C415" s="325" t="s">
        <v>45</v>
      </c>
      <c r="D415" s="327" t="s">
        <v>677</v>
      </c>
      <c r="E415" s="321" t="s">
        <v>677</v>
      </c>
      <c r="F415" s="322" t="s">
        <v>677</v>
      </c>
      <c r="G415" s="327" t="s">
        <v>677</v>
      </c>
      <c r="H415" s="321" t="s">
        <v>677</v>
      </c>
      <c r="I415" s="322" t="s">
        <v>677</v>
      </c>
      <c r="J415" s="327" t="s">
        <v>677</v>
      </c>
      <c r="K415" s="321" t="s">
        <v>677</v>
      </c>
      <c r="L415" s="322" t="s">
        <v>677</v>
      </c>
      <c r="M415" s="327" t="s">
        <v>677</v>
      </c>
      <c r="N415" s="321" t="s">
        <v>677</v>
      </c>
      <c r="O415" s="322" t="s">
        <v>677</v>
      </c>
      <c r="P415" s="327" t="s">
        <v>677</v>
      </c>
      <c r="Q415" s="321" t="s">
        <v>677</v>
      </c>
      <c r="R415" s="322" t="s">
        <v>677</v>
      </c>
      <c r="S415" s="327" t="s">
        <v>677</v>
      </c>
      <c r="T415" s="321" t="s">
        <v>677</v>
      </c>
      <c r="U415" s="322" t="s">
        <v>677</v>
      </c>
      <c r="V415" s="327" t="s">
        <v>677</v>
      </c>
      <c r="W415" s="321" t="s">
        <v>677</v>
      </c>
      <c r="X415" s="322" t="s">
        <v>677</v>
      </c>
      <c r="Y415" s="327" t="s">
        <v>677</v>
      </c>
      <c r="Z415" s="321" t="s">
        <v>677</v>
      </c>
      <c r="AA415" s="322" t="s">
        <v>677</v>
      </c>
      <c r="AB415" s="327" t="s">
        <v>677</v>
      </c>
      <c r="AC415" s="321" t="s">
        <v>677</v>
      </c>
      <c r="AD415" s="322" t="s">
        <v>677</v>
      </c>
      <c r="AE415" s="327" t="s">
        <v>677</v>
      </c>
      <c r="AF415" s="321" t="s">
        <v>677</v>
      </c>
      <c r="AG415" s="322" t="s">
        <v>677</v>
      </c>
      <c r="AH415" s="327" t="s">
        <v>677</v>
      </c>
      <c r="AI415" s="321" t="s">
        <v>677</v>
      </c>
      <c r="AJ415" s="322" t="s">
        <v>677</v>
      </c>
      <c r="AK415" s="327" t="s">
        <v>677</v>
      </c>
      <c r="AL415" s="321" t="s">
        <v>677</v>
      </c>
      <c r="AM415" s="322" t="s">
        <v>677</v>
      </c>
      <c r="AN415" s="316" t="s">
        <v>33</v>
      </c>
      <c r="AO415" s="316"/>
      <c r="AP415" s="316"/>
      <c r="AQ415" s="316"/>
      <c r="AR415" s="316"/>
      <c r="AS415" s="316"/>
      <c r="AT415" s="316"/>
      <c r="AU415" s="316"/>
      <c r="AV415" s="316"/>
      <c r="AW415" s="316"/>
      <c r="AX415" s="316"/>
      <c r="AY415" s="316"/>
      <c r="AZ415" s="316"/>
      <c r="BA415" s="316"/>
      <c r="BB415" s="316"/>
      <c r="BC415" s="316"/>
      <c r="BD415" s="316"/>
      <c r="BE415" s="316"/>
      <c r="BF415" s="316"/>
      <c r="BG415" s="316"/>
      <c r="BH415" s="316"/>
      <c r="BI415" s="316"/>
      <c r="BJ415" s="316"/>
      <c r="BK415" s="316"/>
      <c r="BL415" s="316"/>
      <c r="BM415" s="316"/>
      <c r="BN415" s="316"/>
    </row>
    <row r="416" hidden="1" outlineLevel="1">
      <c r="A416" s="303" t="s">
        <v>2230</v>
      </c>
      <c r="B416" s="317" t="s">
        <v>697</v>
      </c>
      <c r="C416" s="325" t="s">
        <v>47</v>
      </c>
      <c r="D416" s="327"/>
      <c r="E416" s="321"/>
      <c r="F416" s="322">
        <v>25330.0</v>
      </c>
      <c r="G416" s="327"/>
      <c r="H416" s="321"/>
      <c r="I416" s="322">
        <v>28200.0</v>
      </c>
      <c r="J416" s="327"/>
      <c r="K416" s="321"/>
      <c r="L416" s="322">
        <v>17590.0</v>
      </c>
      <c r="M416" s="327"/>
      <c r="N416" s="321"/>
      <c r="O416" s="322"/>
      <c r="P416" s="327"/>
      <c r="Q416" s="321"/>
      <c r="R416" s="322"/>
      <c r="S416" s="327"/>
      <c r="T416" s="321"/>
      <c r="U416" s="322"/>
      <c r="V416" s="327"/>
      <c r="W416" s="321"/>
      <c r="X416" s="322"/>
      <c r="Y416" s="327"/>
      <c r="Z416" s="321"/>
      <c r="AA416" s="322"/>
      <c r="AB416" s="327"/>
      <c r="AC416" s="321"/>
      <c r="AD416" s="322"/>
      <c r="AE416" s="327"/>
      <c r="AF416" s="321"/>
      <c r="AG416" s="322"/>
      <c r="AH416" s="327"/>
      <c r="AI416" s="321"/>
      <c r="AJ416" s="322"/>
      <c r="AK416" s="327"/>
      <c r="AL416" s="321"/>
      <c r="AM416" s="322"/>
      <c r="AN416" s="316" t="s">
        <v>33</v>
      </c>
      <c r="AO416" s="316"/>
      <c r="AP416" s="316"/>
      <c r="AQ416" s="316"/>
      <c r="AR416" s="316"/>
      <c r="AS416" s="316"/>
      <c r="AT416" s="316"/>
      <c r="AU416" s="316"/>
      <c r="AV416" s="316"/>
      <c r="AW416" s="316"/>
      <c r="AX416" s="316"/>
      <c r="AY416" s="316"/>
      <c r="AZ416" s="316"/>
      <c r="BA416" s="316"/>
      <c r="BB416" s="316"/>
      <c r="BC416" s="316"/>
      <c r="BD416" s="316"/>
      <c r="BE416" s="316"/>
      <c r="BF416" s="316"/>
      <c r="BG416" s="316"/>
      <c r="BH416" s="316"/>
      <c r="BI416" s="316"/>
      <c r="BJ416" s="316"/>
      <c r="BK416" s="316"/>
      <c r="BL416" s="316"/>
      <c r="BM416" s="316"/>
      <c r="BN416" s="316"/>
    </row>
    <row r="417" hidden="1" outlineLevel="1">
      <c r="A417" s="303" t="s">
        <v>2230</v>
      </c>
      <c r="B417" s="317" t="s">
        <v>2235</v>
      </c>
      <c r="C417" s="325" t="s">
        <v>49</v>
      </c>
      <c r="D417" s="327"/>
      <c r="E417" s="321"/>
      <c r="F417" s="322">
        <v>273690.0</v>
      </c>
      <c r="G417" s="327"/>
      <c r="H417" s="321"/>
      <c r="I417" s="322">
        <v>233780.0</v>
      </c>
      <c r="J417" s="327"/>
      <c r="K417" s="321"/>
      <c r="L417" s="322"/>
      <c r="M417" s="327"/>
      <c r="N417" s="321"/>
      <c r="O417" s="322"/>
      <c r="P417" s="327"/>
      <c r="Q417" s="321"/>
      <c r="R417" s="322"/>
      <c r="S417" s="327"/>
      <c r="T417" s="321"/>
      <c r="U417" s="322"/>
      <c r="V417" s="327"/>
      <c r="W417" s="321"/>
      <c r="X417" s="322"/>
      <c r="Y417" s="327"/>
      <c r="Z417" s="321"/>
      <c r="AA417" s="322"/>
      <c r="AB417" s="327"/>
      <c r="AC417" s="321"/>
      <c r="AD417" s="322"/>
      <c r="AE417" s="327"/>
      <c r="AF417" s="321"/>
      <c r="AG417" s="322"/>
      <c r="AH417" s="327"/>
      <c r="AI417" s="321"/>
      <c r="AJ417" s="322"/>
      <c r="AK417" s="327"/>
      <c r="AL417" s="321"/>
      <c r="AM417" s="322"/>
      <c r="AN417" s="316" t="s">
        <v>33</v>
      </c>
      <c r="AO417" s="316"/>
      <c r="AP417" s="316"/>
      <c r="AQ417" s="316"/>
      <c r="AR417" s="316"/>
      <c r="AS417" s="316"/>
      <c r="AT417" s="316"/>
      <c r="AU417" s="316"/>
      <c r="AV417" s="316"/>
      <c r="AW417" s="316"/>
      <c r="AX417" s="316"/>
      <c r="AY417" s="316"/>
      <c r="AZ417" s="316"/>
      <c r="BA417" s="316"/>
      <c r="BB417" s="316"/>
      <c r="BC417" s="316"/>
      <c r="BD417" s="316"/>
      <c r="BE417" s="316"/>
      <c r="BF417" s="316"/>
      <c r="BG417" s="316"/>
      <c r="BH417" s="316"/>
      <c r="BI417" s="316"/>
      <c r="BJ417" s="316"/>
      <c r="BK417" s="316"/>
      <c r="BL417" s="316"/>
      <c r="BM417" s="316"/>
      <c r="BN417" s="316"/>
    </row>
    <row r="418" hidden="1" outlineLevel="1">
      <c r="A418" s="303" t="s">
        <v>2230</v>
      </c>
      <c r="B418" s="317" t="s">
        <v>680</v>
      </c>
      <c r="C418" s="325" t="s">
        <v>51</v>
      </c>
      <c r="D418" s="327"/>
      <c r="E418" s="321"/>
      <c r="F418" s="322">
        <v>30000.0</v>
      </c>
      <c r="G418" s="327"/>
      <c r="H418" s="321"/>
      <c r="I418" s="322">
        <v>30000.0</v>
      </c>
      <c r="J418" s="327"/>
      <c r="K418" s="321"/>
      <c r="L418" s="322">
        <v>30000.0</v>
      </c>
      <c r="M418" s="327"/>
      <c r="N418" s="321"/>
      <c r="O418" s="322"/>
      <c r="P418" s="327"/>
      <c r="Q418" s="321"/>
      <c r="R418" s="322"/>
      <c r="S418" s="327"/>
      <c r="T418" s="321"/>
      <c r="U418" s="322"/>
      <c r="V418" s="327"/>
      <c r="W418" s="321"/>
      <c r="X418" s="322"/>
      <c r="Y418" s="327"/>
      <c r="Z418" s="321"/>
      <c r="AA418" s="322"/>
      <c r="AB418" s="327"/>
      <c r="AC418" s="321"/>
      <c r="AD418" s="322"/>
      <c r="AE418" s="327"/>
      <c r="AF418" s="321"/>
      <c r="AG418" s="322"/>
      <c r="AH418" s="327"/>
      <c r="AI418" s="321"/>
      <c r="AJ418" s="322"/>
      <c r="AK418" s="327"/>
      <c r="AL418" s="321"/>
      <c r="AM418" s="322"/>
      <c r="AN418" s="316" t="s">
        <v>33</v>
      </c>
      <c r="AO418" s="316"/>
      <c r="AP418" s="316"/>
      <c r="AQ418" s="316"/>
      <c r="AR418" s="316"/>
      <c r="AS418" s="316"/>
      <c r="AT418" s="316"/>
      <c r="AU418" s="316"/>
      <c r="AV418" s="316"/>
      <c r="AW418" s="316"/>
      <c r="AX418" s="316"/>
      <c r="AY418" s="316"/>
      <c r="AZ418" s="316"/>
      <c r="BA418" s="316"/>
      <c r="BB418" s="316"/>
      <c r="BC418" s="316"/>
      <c r="BD418" s="316"/>
      <c r="BE418" s="316"/>
      <c r="BF418" s="316"/>
      <c r="BG418" s="316"/>
      <c r="BH418" s="316"/>
      <c r="BI418" s="316"/>
      <c r="BJ418" s="316"/>
      <c r="BK418" s="316"/>
      <c r="BL418" s="316"/>
      <c r="BM418" s="316"/>
      <c r="BN418" s="316"/>
    </row>
    <row r="419" hidden="1" outlineLevel="1">
      <c r="A419" s="303" t="s">
        <v>2230</v>
      </c>
      <c r="B419" s="304"/>
      <c r="C419" s="325" t="s">
        <v>52</v>
      </c>
      <c r="D419" s="326"/>
      <c r="E419" s="321"/>
      <c r="F419" s="322">
        <v>22000.0</v>
      </c>
      <c r="G419" s="326"/>
      <c r="H419" s="321"/>
      <c r="I419" s="322">
        <v>22000.0</v>
      </c>
      <c r="J419" s="326"/>
      <c r="K419" s="321"/>
      <c r="L419" s="322">
        <v>22000.0</v>
      </c>
      <c r="M419" s="326"/>
      <c r="N419" s="321"/>
      <c r="O419" s="322"/>
      <c r="P419" s="326"/>
      <c r="Q419" s="321"/>
      <c r="R419" s="322"/>
      <c r="S419" s="326"/>
      <c r="T419" s="321"/>
      <c r="U419" s="322"/>
      <c r="V419" s="326"/>
      <c r="W419" s="321"/>
      <c r="X419" s="322"/>
      <c r="Y419" s="326"/>
      <c r="Z419" s="321"/>
      <c r="AA419" s="322"/>
      <c r="AB419" s="326"/>
      <c r="AC419" s="321"/>
      <c r="AD419" s="322"/>
      <c r="AE419" s="326"/>
      <c r="AF419" s="321"/>
      <c r="AG419" s="322"/>
      <c r="AH419" s="326"/>
      <c r="AI419" s="321"/>
      <c r="AJ419" s="322"/>
      <c r="AK419" s="326"/>
      <c r="AL419" s="321"/>
      <c r="AM419" s="322"/>
      <c r="AN419" s="316" t="s">
        <v>33</v>
      </c>
      <c r="AO419" s="316"/>
      <c r="AP419" s="316"/>
      <c r="AQ419" s="316"/>
      <c r="AR419" s="316"/>
      <c r="AS419" s="316"/>
      <c r="AT419" s="316"/>
      <c r="AU419" s="316"/>
      <c r="AV419" s="316"/>
      <c r="AW419" s="316"/>
      <c r="AX419" s="316"/>
      <c r="AY419" s="316"/>
      <c r="AZ419" s="316"/>
      <c r="BA419" s="316"/>
      <c r="BB419" s="316"/>
      <c r="BC419" s="316"/>
      <c r="BD419" s="316"/>
      <c r="BE419" s="316"/>
      <c r="BF419" s="316"/>
      <c r="BG419" s="316"/>
      <c r="BH419" s="316"/>
      <c r="BI419" s="316"/>
      <c r="BJ419" s="316"/>
      <c r="BK419" s="316"/>
      <c r="BL419" s="316"/>
      <c r="BM419" s="316"/>
      <c r="BN419" s="316"/>
    </row>
    <row r="420" hidden="1" outlineLevel="1">
      <c r="A420" s="303" t="s">
        <v>2230</v>
      </c>
      <c r="B420" s="304"/>
      <c r="C420" s="325" t="s">
        <v>2236</v>
      </c>
      <c r="D420" s="326"/>
      <c r="E420" s="321"/>
      <c r="F420" s="322" t="s">
        <v>44</v>
      </c>
      <c r="G420" s="326"/>
      <c r="H420" s="321"/>
      <c r="I420" s="322" t="s">
        <v>44</v>
      </c>
      <c r="J420" s="326"/>
      <c r="K420" s="321"/>
      <c r="L420" s="322" t="s">
        <v>44</v>
      </c>
      <c r="M420" s="326"/>
      <c r="N420" s="321"/>
      <c r="O420" s="322"/>
      <c r="P420" s="326"/>
      <c r="Q420" s="321"/>
      <c r="R420" s="322"/>
      <c r="S420" s="326"/>
      <c r="T420" s="321"/>
      <c r="U420" s="322"/>
      <c r="V420" s="326"/>
      <c r="W420" s="321"/>
      <c r="X420" s="322"/>
      <c r="Y420" s="326"/>
      <c r="Z420" s="321"/>
      <c r="AA420" s="322"/>
      <c r="AB420" s="326"/>
      <c r="AC420" s="321"/>
      <c r="AD420" s="322"/>
      <c r="AE420" s="326"/>
      <c r="AF420" s="321"/>
      <c r="AG420" s="322"/>
      <c r="AH420" s="326"/>
      <c r="AI420" s="321"/>
      <c r="AJ420" s="322"/>
      <c r="AK420" s="326"/>
      <c r="AL420" s="321"/>
      <c r="AM420" s="322"/>
      <c r="AN420" s="316" t="s">
        <v>33</v>
      </c>
      <c r="AO420" s="316"/>
      <c r="AP420" s="316"/>
      <c r="AQ420" s="316"/>
      <c r="AR420" s="316"/>
      <c r="AS420" s="316"/>
      <c r="AT420" s="316"/>
      <c r="AU420" s="316"/>
      <c r="AV420" s="316"/>
      <c r="AW420" s="316"/>
      <c r="AX420" s="316"/>
      <c r="AY420" s="316"/>
      <c r="AZ420" s="316"/>
      <c r="BA420" s="316"/>
      <c r="BB420" s="316"/>
      <c r="BC420" s="316"/>
      <c r="BD420" s="316"/>
      <c r="BE420" s="316"/>
      <c r="BF420" s="316"/>
      <c r="BG420" s="316"/>
      <c r="BH420" s="316"/>
      <c r="BI420" s="316"/>
      <c r="BJ420" s="316"/>
      <c r="BK420" s="316"/>
      <c r="BL420" s="316"/>
      <c r="BM420" s="316"/>
      <c r="BN420" s="316"/>
    </row>
    <row r="421" hidden="1" outlineLevel="1">
      <c r="A421" s="303" t="s">
        <v>2230</v>
      </c>
      <c r="B421" s="304"/>
      <c r="C421" s="325" t="s">
        <v>54</v>
      </c>
      <c r="D421" s="327">
        <f>SUMIFS('지출'!$G$3:$G794,'지출'!$J$3:$J794,D$1,'지출'!$C$3:$C794,"루프")</f>
        <v>0</v>
      </c>
      <c r="E421" s="321">
        <f>SUMIFS('지출'!$G$3:$G794,'지출'!$J$3:$J794,E$1,'지출'!$C$3:$C794,"루프")</f>
        <v>0</v>
      </c>
      <c r="F421" s="322">
        <f>SUMIFS('지출'!$G$3:$G794,'지출'!$J$3:$J794,F$1,'지출'!$C$3:$C794,"루프")</f>
        <v>62250</v>
      </c>
      <c r="G421" s="327">
        <f>SUMIFS('지출'!$G$3:$G794,'지출'!$J$3:$J794,G$1,'지출'!$C$3:$C794,"루프")</f>
        <v>0</v>
      </c>
      <c r="H421" s="321">
        <f>SUMIFS('지출'!$G$3:$G794,'지출'!$J$3:$J794,H$1,'지출'!$C$3:$C794,"루프")</f>
        <v>0</v>
      </c>
      <c r="I421" s="322">
        <f>SUMIFS('지출'!$G$3:$G794,'지출'!$J$3:$J794,I$1,'지출'!$C$3:$C794,"루프")</f>
        <v>42000</v>
      </c>
      <c r="J421" s="327">
        <f>SUMIFS('지출'!$G$3:$G794,'지출'!$J$3:$J794,J$1,'지출'!$C$3:$C794,"루프")</f>
        <v>0</v>
      </c>
      <c r="K421" s="321">
        <f>SUMIFS('지출'!$G$3:$G794,'지출'!$J$3:$J794,K$1,'지출'!$C$3:$C794,"루프")</f>
        <v>0</v>
      </c>
      <c r="L421" s="322">
        <f>SUMIFS('지출'!$G$3:$G794,'지출'!$J$3:$J794,L$1,'지출'!$C$3:$C794,"루프")</f>
        <v>0</v>
      </c>
      <c r="M421" s="327">
        <f>SUMIFS('지출'!$G$3:$G794,'지출'!$J$3:$J794,M$1,'지출'!$C$3:$C794,"루프")</f>
        <v>0</v>
      </c>
      <c r="N421" s="321">
        <f>SUMIFS('지출'!$G$3:$G794,'지출'!$J$3:$J794,N$1,'지출'!$C$3:$C794,"루프")</f>
        <v>0</v>
      </c>
      <c r="O421" s="322"/>
      <c r="P421" s="327">
        <f>SUMIFS('지출'!$G$3:$G794,'지출'!$J$3:$J794,P$1,'지출'!$C$3:$C794,"루프")</f>
        <v>0</v>
      </c>
      <c r="Q421" s="321">
        <f>SUMIFS('지출'!$G$3:$G794,'지출'!$J$3:$J794,Q$1,'지출'!$C$3:$C794,"루프")</f>
        <v>0</v>
      </c>
      <c r="R421" s="322">
        <f>SUMIFS('지출'!$G$3:$G794,'지출'!$J$3:$J794,R$1,'지출'!$C$3:$C794,"루프")</f>
        <v>0</v>
      </c>
      <c r="S421" s="327">
        <f>SUMIFS('지출'!$G$3:$G794,'지출'!$J$3:$J794,S$1,'지출'!$C$3:$C794,"루프")</f>
        <v>0</v>
      </c>
      <c r="T421" s="321">
        <f>SUMIFS('지출'!$G$3:$G794,'지출'!$J$3:$J794,T$1,'지출'!$C$3:$C794,"루프")</f>
        <v>0</v>
      </c>
      <c r="U421" s="322">
        <f>SUMIFS('지출'!$G$3:$G794,'지출'!$J$3:$J794,U$1,'지출'!$C$3:$C794,"루프")</f>
        <v>0</v>
      </c>
      <c r="V421" s="327">
        <f>SUMIFS('지출'!$G$3:$G794,'지출'!$J$3:$J794,V$1,'지출'!$C$3:$C794,"루프")</f>
        <v>0</v>
      </c>
      <c r="W421" s="321">
        <f>SUMIFS('지출'!$G$3:$G794,'지출'!$J$3:$J794,W$1,'지출'!$C$3:$C794,"루프")</f>
        <v>0</v>
      </c>
      <c r="X421" s="322">
        <f>SUMIFS('지출'!$G$3:$G794,'지출'!$J$3:$J794,X$1,'지출'!$C$3:$C794,"루프")</f>
        <v>0</v>
      </c>
      <c r="Y421" s="327">
        <f>SUMIFS('지출'!$G$3:$G794,'지출'!$J$3:$J794,Y$1,'지출'!$C$3:$C794,"루프")</f>
        <v>0</v>
      </c>
      <c r="Z421" s="321">
        <f>SUMIFS('지출'!$G$3:$G794,'지출'!$J$3:$J794,Z$1,'지출'!$C$3:$C794,"루프")</f>
        <v>0</v>
      </c>
      <c r="AA421" s="322">
        <f>SUMIFS('지출'!$G$3:$G794,'지출'!$J$3:$J794,AA$1,'지출'!$C$3:$C794,"루프")</f>
        <v>0</v>
      </c>
      <c r="AB421" s="327">
        <f>SUMIFS('지출'!$G$3:$G794,'지출'!$J$3:$J794,AB$1,'지출'!$C$3:$C794,"루프")</f>
        <v>0</v>
      </c>
      <c r="AC421" s="321">
        <f>SUMIFS('지출'!$G$3:$G794,'지출'!$J$3:$J794,AC$1,'지출'!$C$3:$C794,"루프")</f>
        <v>0</v>
      </c>
      <c r="AD421" s="322">
        <f>SUMIFS('지출'!$G$3:$G794,'지출'!$J$3:$J794,AD$1,'지출'!$C$3:$C794,"루프")</f>
        <v>0</v>
      </c>
      <c r="AE421" s="327">
        <f>SUMIFS('지출'!$G$3:$G794,'지출'!$J$3:$J794,AE$1,'지출'!$C$3:$C794,"루프")</f>
        <v>0</v>
      </c>
      <c r="AF421" s="321">
        <f>SUMIFS('지출'!$G$3:$G794,'지출'!$J$3:$J794,AF$1,'지출'!$C$3:$C794,"루프")</f>
        <v>0</v>
      </c>
      <c r="AG421" s="322">
        <f>SUMIFS('지출'!$G$3:$G794,'지출'!$J$3:$J794,AG$1,'지출'!$C$3:$C794,"루프")</f>
        <v>0</v>
      </c>
      <c r="AH421" s="327">
        <f>SUMIFS('지출'!$G$3:$G794,'지출'!$J$3:$J794,AH$1,'지출'!$C$3:$C794,"루프")</f>
        <v>0</v>
      </c>
      <c r="AI421" s="321">
        <f>SUMIFS('지출'!$G$3:$G794,'지출'!$J$3:$J794,AI$1,'지출'!$C$3:$C794,"루프")</f>
        <v>0</v>
      </c>
      <c r="AJ421" s="322">
        <f>SUMIFS('지출'!$G$3:$G794,'지출'!$J$3:$J794,AJ$1,'지출'!$C$3:$C794,"루프")</f>
        <v>0</v>
      </c>
      <c r="AK421" s="327">
        <f>SUMIFS('지출'!$G$3:$G794,'지출'!$J$3:$J794,AK$1,'지출'!$C$3:$C794,"루프")</f>
        <v>0</v>
      </c>
      <c r="AL421" s="321">
        <f>SUMIFS('지출'!$G$3:$G794,'지출'!$J$3:$J794,AL$1,'지출'!$C$3:$C794,"루프")</f>
        <v>0</v>
      </c>
      <c r="AM421" s="322">
        <f>SUMIFS('지출'!$G$3:$G794,'지출'!$J$3:$J794,AM$1,'지출'!$C$3:$C794,"루프")</f>
        <v>0</v>
      </c>
      <c r="AN421" s="316" t="s">
        <v>33</v>
      </c>
      <c r="AO421" s="316"/>
      <c r="AP421" s="316"/>
      <c r="AQ421" s="316"/>
      <c r="AR421" s="316"/>
      <c r="AS421" s="316"/>
      <c r="AT421" s="316"/>
      <c r="AU421" s="316"/>
      <c r="AV421" s="316"/>
      <c r="AW421" s="316"/>
      <c r="AX421" s="316"/>
      <c r="AY421" s="316"/>
      <c r="AZ421" s="316"/>
      <c r="BA421" s="316"/>
      <c r="BB421" s="316"/>
      <c r="BC421" s="316"/>
      <c r="BD421" s="316"/>
      <c r="BE421" s="316"/>
      <c r="BF421" s="316"/>
      <c r="BG421" s="316"/>
      <c r="BH421" s="316"/>
      <c r="BI421" s="316"/>
      <c r="BJ421" s="316"/>
      <c r="BK421" s="316"/>
      <c r="BL421" s="316"/>
      <c r="BM421" s="316"/>
      <c r="BN421" s="316"/>
    </row>
    <row r="422" hidden="1" outlineLevel="1">
      <c r="A422" s="303" t="s">
        <v>2230</v>
      </c>
      <c r="B422" s="304"/>
      <c r="C422" s="325" t="s">
        <v>56</v>
      </c>
      <c r="D422" s="320"/>
      <c r="E422" s="323">
        <f t="shared" ref="E422:F422" si="564">E413-(SUM(E414:E421))</f>
        <v>780000</v>
      </c>
      <c r="F422" s="324">
        <f t="shared" si="564"/>
        <v>-53270</v>
      </c>
      <c r="G422" s="320"/>
      <c r="H422" s="323">
        <f t="shared" ref="H422:I422" si="565">H413-(SUM(H414:H421))</f>
        <v>682500</v>
      </c>
      <c r="I422" s="324">
        <f t="shared" si="565"/>
        <v>-18751</v>
      </c>
      <c r="J422" s="320"/>
      <c r="K422" s="323">
        <f t="shared" ref="K422:L422" si="566">K413-(SUM(K414:K421))</f>
        <v>-1000000</v>
      </c>
      <c r="L422" s="324">
        <f t="shared" si="566"/>
        <v>-69590</v>
      </c>
      <c r="M422" s="320"/>
      <c r="N422" s="323">
        <f t="shared" ref="N422:O422" si="567">N413-(SUM(N414:N421))</f>
        <v>0</v>
      </c>
      <c r="O422" s="324">
        <f t="shared" si="567"/>
        <v>0</v>
      </c>
      <c r="P422" s="320"/>
      <c r="Q422" s="323">
        <f t="shared" ref="Q422:R422" si="568">Q413-(SUM(Q414:Q421))</f>
        <v>0</v>
      </c>
      <c r="R422" s="324">
        <f t="shared" si="568"/>
        <v>0</v>
      </c>
      <c r="S422" s="320"/>
      <c r="T422" s="323">
        <f t="shared" ref="T422:U422" si="569">T413-(SUM(T414:T421))</f>
        <v>0</v>
      </c>
      <c r="U422" s="324">
        <f t="shared" si="569"/>
        <v>0</v>
      </c>
      <c r="V422" s="320"/>
      <c r="W422" s="323">
        <f t="shared" ref="W422:X422" si="570">W413-(SUM(W414:W421))</f>
        <v>0</v>
      </c>
      <c r="X422" s="324">
        <f t="shared" si="570"/>
        <v>0</v>
      </c>
      <c r="Y422" s="320"/>
      <c r="Z422" s="323">
        <f t="shared" ref="Z422:AA422" si="571">Z413-(SUM(Z414:Z421))</f>
        <v>0</v>
      </c>
      <c r="AA422" s="324">
        <f t="shared" si="571"/>
        <v>0</v>
      </c>
      <c r="AB422" s="320"/>
      <c r="AC422" s="323">
        <f t="shared" ref="AC422:AD422" si="572">AC413-(SUM(AC414:AC421))</f>
        <v>0</v>
      </c>
      <c r="AD422" s="324">
        <f t="shared" si="572"/>
        <v>0</v>
      </c>
      <c r="AE422" s="320"/>
      <c r="AF422" s="323">
        <f t="shared" ref="AF422:AG422" si="573">AF413-(SUM(AF414:AF421))</f>
        <v>0</v>
      </c>
      <c r="AG422" s="324">
        <f t="shared" si="573"/>
        <v>0</v>
      </c>
      <c r="AH422" s="320"/>
      <c r="AI422" s="323">
        <f t="shared" ref="AI422:AJ422" si="574">AI413-(SUM(AI414:AI421))</f>
        <v>0</v>
      </c>
      <c r="AJ422" s="324">
        <f t="shared" si="574"/>
        <v>0</v>
      </c>
      <c r="AK422" s="320"/>
      <c r="AL422" s="323">
        <f t="shared" ref="AL422:AM422" si="575">AL413-(SUM(AL414:AL421))</f>
        <v>0</v>
      </c>
      <c r="AM422" s="324">
        <f t="shared" si="575"/>
        <v>0</v>
      </c>
      <c r="AN422" s="316" t="s">
        <v>33</v>
      </c>
      <c r="AO422" s="316"/>
      <c r="AP422" s="316"/>
      <c r="AQ422" s="316"/>
      <c r="AR422" s="316"/>
      <c r="AS422" s="316"/>
      <c r="AT422" s="316"/>
      <c r="AU422" s="316"/>
      <c r="AV422" s="316"/>
      <c r="AW422" s="316"/>
      <c r="AX422" s="316"/>
      <c r="AY422" s="316"/>
      <c r="AZ422" s="316"/>
      <c r="BA422" s="316"/>
      <c r="BB422" s="316"/>
      <c r="BC422" s="316"/>
      <c r="BD422" s="316"/>
      <c r="BE422" s="316"/>
      <c r="BF422" s="316"/>
      <c r="BG422" s="316"/>
      <c r="BH422" s="316"/>
      <c r="BI422" s="316"/>
      <c r="BJ422" s="316"/>
      <c r="BK422" s="316"/>
      <c r="BL422" s="316"/>
      <c r="BM422" s="316"/>
      <c r="BN422" s="316"/>
    </row>
    <row r="423">
      <c r="A423" s="303" t="s">
        <v>2230</v>
      </c>
      <c r="B423" s="328">
        <v>0.0</v>
      </c>
      <c r="C423" s="325" t="s">
        <v>26</v>
      </c>
      <c r="D423" s="320"/>
      <c r="E423" s="323">
        <f>E422*$B423</f>
        <v>0</v>
      </c>
      <c r="F423" s="324"/>
      <c r="G423" s="320"/>
      <c r="H423" s="323">
        <f>H422*$B423</f>
        <v>0</v>
      </c>
      <c r="I423" s="324"/>
      <c r="J423" s="320"/>
      <c r="K423" s="323">
        <f>K422*$B423</f>
        <v>0</v>
      </c>
      <c r="L423" s="324"/>
      <c r="M423" s="320"/>
      <c r="N423" s="323">
        <f>N422*$B423</f>
        <v>0</v>
      </c>
      <c r="O423" s="324"/>
      <c r="P423" s="320"/>
      <c r="Q423" s="323">
        <f>Q422*$B423</f>
        <v>0</v>
      </c>
      <c r="R423" s="324"/>
      <c r="S423" s="320"/>
      <c r="T423" s="323">
        <f>T422*$B423</f>
        <v>0</v>
      </c>
      <c r="U423" s="324"/>
      <c r="V423" s="320"/>
      <c r="W423" s="323">
        <f>W422*$B423</f>
        <v>0</v>
      </c>
      <c r="X423" s="324"/>
      <c r="Y423" s="320"/>
      <c r="Z423" s="323">
        <f>Z422*$B423</f>
        <v>0</v>
      </c>
      <c r="AA423" s="324"/>
      <c r="AB423" s="320"/>
      <c r="AC423" s="323">
        <f>AC422*$B423</f>
        <v>0</v>
      </c>
      <c r="AD423" s="324"/>
      <c r="AE423" s="320"/>
      <c r="AF423" s="323">
        <f>AF422*$B423</f>
        <v>0</v>
      </c>
      <c r="AG423" s="324"/>
      <c r="AH423" s="320"/>
      <c r="AI423" s="323">
        <f>AI422*$B423</f>
        <v>0</v>
      </c>
      <c r="AJ423" s="324"/>
      <c r="AK423" s="320"/>
      <c r="AL423" s="323">
        <f>AL422*$B423</f>
        <v>0</v>
      </c>
      <c r="AM423" s="324"/>
      <c r="AN423" s="316" t="s">
        <v>33</v>
      </c>
      <c r="AO423" s="316"/>
      <c r="AP423" s="316"/>
      <c r="AQ423" s="316"/>
      <c r="AR423" s="316"/>
      <c r="AS423" s="316"/>
      <c r="AT423" s="316"/>
      <c r="AU423" s="316"/>
      <c r="AV423" s="316"/>
      <c r="AW423" s="316"/>
      <c r="AX423" s="316"/>
      <c r="AY423" s="316"/>
      <c r="AZ423" s="316"/>
      <c r="BA423" s="316"/>
      <c r="BB423" s="316"/>
      <c r="BC423" s="316"/>
      <c r="BD423" s="316"/>
      <c r="BE423" s="316"/>
      <c r="BF423" s="316"/>
      <c r="BG423" s="316"/>
      <c r="BH423" s="316"/>
      <c r="BI423" s="316"/>
      <c r="BJ423" s="316"/>
      <c r="BK423" s="316"/>
      <c r="BL423" s="316"/>
      <c r="BM423" s="316"/>
      <c r="BN423" s="316"/>
    </row>
    <row r="424">
      <c r="A424" s="303" t="s">
        <v>2230</v>
      </c>
      <c r="B424" s="329">
        <v>1.0</v>
      </c>
      <c r="C424" s="330" t="s">
        <v>57</v>
      </c>
      <c r="D424" s="331"/>
      <c r="E424" s="332">
        <f>E422*$B424</f>
        <v>780000</v>
      </c>
      <c r="F424" s="333"/>
      <c r="G424" s="331"/>
      <c r="H424" s="332">
        <f>H422*$B424</f>
        <v>682500</v>
      </c>
      <c r="I424" s="333"/>
      <c r="J424" s="331"/>
      <c r="K424" s="332">
        <f>K422*$B424</f>
        <v>-1000000</v>
      </c>
      <c r="L424" s="333"/>
      <c r="M424" s="331"/>
      <c r="N424" s="332">
        <f>N422*$B424</f>
        <v>0</v>
      </c>
      <c r="O424" s="333"/>
      <c r="P424" s="331"/>
      <c r="Q424" s="332">
        <f>Q422*$B424</f>
        <v>0</v>
      </c>
      <c r="R424" s="333"/>
      <c r="S424" s="331"/>
      <c r="T424" s="332">
        <f>T422*$B424</f>
        <v>0</v>
      </c>
      <c r="U424" s="333"/>
      <c r="V424" s="331"/>
      <c r="W424" s="332">
        <f>W422*$B424</f>
        <v>0</v>
      </c>
      <c r="X424" s="333"/>
      <c r="Y424" s="331"/>
      <c r="Z424" s="332">
        <f>Z422*$B424</f>
        <v>0</v>
      </c>
      <c r="AA424" s="333"/>
      <c r="AB424" s="331"/>
      <c r="AC424" s="332">
        <f>AC422*$B424</f>
        <v>0</v>
      </c>
      <c r="AD424" s="333"/>
      <c r="AE424" s="331"/>
      <c r="AF424" s="332">
        <f>AF422*$B424</f>
        <v>0</v>
      </c>
      <c r="AG424" s="333"/>
      <c r="AH424" s="331"/>
      <c r="AI424" s="332">
        <f>AI422*$B424</f>
        <v>0</v>
      </c>
      <c r="AJ424" s="333"/>
      <c r="AK424" s="331"/>
      <c r="AL424" s="332">
        <f>AL422*$B424</f>
        <v>0</v>
      </c>
      <c r="AM424" s="333"/>
      <c r="AN424" s="316" t="s">
        <v>33</v>
      </c>
      <c r="AO424" s="316"/>
      <c r="AP424" s="316"/>
      <c r="AQ424" s="316"/>
      <c r="AR424" s="316"/>
      <c r="AS424" s="316"/>
      <c r="AT424" s="316"/>
      <c r="AU424" s="316"/>
      <c r="AV424" s="316"/>
      <c r="AW424" s="316"/>
      <c r="AX424" s="316"/>
      <c r="AY424" s="316"/>
      <c r="AZ424" s="316"/>
      <c r="BA424" s="316"/>
      <c r="BB424" s="316"/>
      <c r="BC424" s="316"/>
      <c r="BD424" s="316"/>
      <c r="BE424" s="316"/>
      <c r="BF424" s="316"/>
      <c r="BG424" s="316"/>
      <c r="BH424" s="316"/>
      <c r="BI424" s="316"/>
      <c r="BJ424" s="316"/>
      <c r="BK424" s="316"/>
      <c r="BL424" s="316"/>
      <c r="BM424" s="316"/>
      <c r="BN424" s="316"/>
    </row>
    <row r="425">
      <c r="A425" s="391" t="s">
        <v>2237</v>
      </c>
      <c r="B425" s="317" t="s">
        <v>699</v>
      </c>
      <c r="C425" s="325" t="s">
        <v>700</v>
      </c>
      <c r="D425" s="326" t="s">
        <v>2238</v>
      </c>
      <c r="E425" s="321">
        <v>1154168.0</v>
      </c>
      <c r="F425" s="322"/>
      <c r="G425" s="326" t="s">
        <v>2239</v>
      </c>
      <c r="H425" s="321">
        <f>9026759/128*6</f>
        <v>423129.3281</v>
      </c>
      <c r="I425" s="322"/>
      <c r="J425" s="326" t="s">
        <v>2239</v>
      </c>
      <c r="K425" s="321">
        <f>9026759/128*31</f>
        <v>2186168.195</v>
      </c>
      <c r="L425" s="322"/>
      <c r="M425" s="326" t="s">
        <v>2239</v>
      </c>
      <c r="N425" s="321">
        <f>9026759/128*30</f>
        <v>2115646.641</v>
      </c>
      <c r="O425" s="322"/>
      <c r="P425" s="326" t="s">
        <v>2239</v>
      </c>
      <c r="Q425" s="321">
        <f>9026759/128*31</f>
        <v>2186168.195</v>
      </c>
      <c r="R425" s="322"/>
      <c r="S425" s="326" t="s">
        <v>2240</v>
      </c>
      <c r="T425" s="321">
        <f>9026759/128*30</f>
        <v>2115646.641</v>
      </c>
      <c r="U425" s="322"/>
      <c r="V425" s="326"/>
      <c r="W425" s="321"/>
      <c r="X425" s="322"/>
      <c r="Y425" s="326"/>
      <c r="Z425" s="321"/>
      <c r="AA425" s="322"/>
      <c r="AB425" s="326"/>
      <c r="AC425" s="321"/>
      <c r="AD425" s="322"/>
      <c r="AE425" s="326"/>
      <c r="AF425" s="321"/>
      <c r="AG425" s="322"/>
      <c r="AH425" s="326"/>
      <c r="AI425" s="321"/>
      <c r="AJ425" s="322"/>
      <c r="AK425" s="326"/>
      <c r="AL425" s="321"/>
      <c r="AM425" s="322"/>
      <c r="AN425" s="316" t="s">
        <v>33</v>
      </c>
      <c r="AO425" s="316"/>
      <c r="AP425" s="316"/>
      <c r="AQ425" s="316"/>
      <c r="AR425" s="316"/>
      <c r="AS425" s="316"/>
      <c r="AT425" s="316"/>
      <c r="AU425" s="316"/>
      <c r="AV425" s="316"/>
      <c r="AW425" s="316"/>
      <c r="AX425" s="316"/>
      <c r="AY425" s="316"/>
      <c r="AZ425" s="316"/>
      <c r="BA425" s="316"/>
      <c r="BB425" s="316"/>
      <c r="BC425" s="316"/>
      <c r="BD425" s="316"/>
      <c r="BE425" s="316"/>
      <c r="BF425" s="316"/>
      <c r="BG425" s="316"/>
      <c r="BH425" s="316"/>
      <c r="BI425" s="316"/>
      <c r="BJ425" s="316"/>
      <c r="BK425" s="316"/>
      <c r="BL425" s="316"/>
      <c r="BM425" s="316"/>
      <c r="BN425" s="316"/>
    </row>
    <row r="426">
      <c r="A426" s="391" t="s">
        <v>2237</v>
      </c>
      <c r="B426" s="317" t="s">
        <v>699</v>
      </c>
      <c r="C426" s="325" t="s">
        <v>710</v>
      </c>
      <c r="D426" s="326"/>
      <c r="E426" s="321"/>
      <c r="F426" s="322"/>
      <c r="G426" s="326" t="s">
        <v>2241</v>
      </c>
      <c r="H426" s="321">
        <v>585000.0</v>
      </c>
      <c r="I426" s="322"/>
      <c r="J426" s="326"/>
      <c r="K426" s="321"/>
      <c r="L426" s="322"/>
      <c r="M426" s="326"/>
      <c r="N426" s="321"/>
      <c r="O426" s="322"/>
      <c r="P426" s="326"/>
      <c r="Q426" s="321"/>
      <c r="R426" s="322"/>
      <c r="S426" s="326"/>
      <c r="T426" s="321"/>
      <c r="U426" s="322"/>
      <c r="V426" s="326"/>
      <c r="W426" s="321"/>
      <c r="X426" s="322"/>
      <c r="Y426" s="326"/>
      <c r="Z426" s="321"/>
      <c r="AA426" s="322"/>
      <c r="AB426" s="326"/>
      <c r="AC426" s="321"/>
      <c r="AD426" s="322"/>
      <c r="AE426" s="326"/>
      <c r="AF426" s="321"/>
      <c r="AG426" s="322"/>
      <c r="AH426" s="326"/>
      <c r="AI426" s="321"/>
      <c r="AJ426" s="322"/>
      <c r="AK426" s="326"/>
      <c r="AL426" s="321"/>
      <c r="AM426" s="322"/>
      <c r="AN426" s="316" t="s">
        <v>33</v>
      </c>
      <c r="AO426" s="316"/>
      <c r="AP426" s="316"/>
      <c r="AQ426" s="316"/>
      <c r="AR426" s="316"/>
      <c r="AS426" s="316"/>
      <c r="AT426" s="316"/>
      <c r="AU426" s="316"/>
      <c r="AV426" s="316"/>
      <c r="AW426" s="316"/>
      <c r="AX426" s="316"/>
      <c r="AY426" s="316"/>
      <c r="AZ426" s="316"/>
      <c r="BA426" s="316"/>
      <c r="BB426" s="316"/>
      <c r="BC426" s="316"/>
      <c r="BD426" s="316"/>
      <c r="BE426" s="316"/>
      <c r="BF426" s="316"/>
      <c r="BG426" s="316"/>
      <c r="BH426" s="316"/>
      <c r="BI426" s="316"/>
      <c r="BJ426" s="316"/>
      <c r="BK426" s="316"/>
      <c r="BL426" s="316"/>
      <c r="BM426" s="316"/>
      <c r="BN426" s="316"/>
    </row>
    <row r="427">
      <c r="A427" s="391" t="s">
        <v>2237</v>
      </c>
      <c r="B427" s="317" t="s">
        <v>718</v>
      </c>
      <c r="C427" s="325" t="s">
        <v>719</v>
      </c>
      <c r="D427" s="326"/>
      <c r="E427" s="321"/>
      <c r="F427" s="322"/>
      <c r="G427" s="326"/>
      <c r="H427" s="321"/>
      <c r="I427" s="322"/>
      <c r="J427" s="326"/>
      <c r="K427" s="321"/>
      <c r="L427" s="322"/>
      <c r="M427" s="326"/>
      <c r="N427" s="321"/>
      <c r="O427" s="322"/>
      <c r="P427" s="326"/>
      <c r="Q427" s="321"/>
      <c r="R427" s="322"/>
      <c r="S427" s="326"/>
      <c r="T427" s="321"/>
      <c r="U427" s="322"/>
      <c r="V427" s="326"/>
      <c r="W427" s="321"/>
      <c r="X427" s="322"/>
      <c r="Y427" s="326"/>
      <c r="Z427" s="321"/>
      <c r="AA427" s="322"/>
      <c r="AB427" s="326"/>
      <c r="AC427" s="321"/>
      <c r="AD427" s="322"/>
      <c r="AE427" s="326"/>
      <c r="AF427" s="321"/>
      <c r="AG427" s="322"/>
      <c r="AH427" s="326"/>
      <c r="AI427" s="321"/>
      <c r="AJ427" s="322"/>
      <c r="AK427" s="326"/>
      <c r="AL427" s="321"/>
      <c r="AM427" s="322"/>
      <c r="AN427" s="316" t="s">
        <v>33</v>
      </c>
      <c r="AO427" s="316"/>
      <c r="AP427" s="316"/>
      <c r="AQ427" s="316"/>
      <c r="AR427" s="316"/>
      <c r="AS427" s="316"/>
      <c r="AT427" s="316"/>
      <c r="AU427" s="316"/>
      <c r="AV427" s="316"/>
      <c r="AW427" s="316"/>
      <c r="AX427" s="316"/>
      <c r="AY427" s="316"/>
      <c r="AZ427" s="316"/>
      <c r="BA427" s="316"/>
      <c r="BB427" s="316"/>
      <c r="BC427" s="316"/>
      <c r="BD427" s="316"/>
      <c r="BE427" s="316"/>
      <c r="BF427" s="316"/>
      <c r="BG427" s="316"/>
      <c r="BH427" s="316"/>
      <c r="BI427" s="316"/>
      <c r="BJ427" s="316"/>
      <c r="BK427" s="316"/>
      <c r="BL427" s="316"/>
      <c r="BM427" s="316"/>
      <c r="BN427" s="316"/>
    </row>
    <row r="428">
      <c r="A428" s="391" t="s">
        <v>2237</v>
      </c>
      <c r="B428" s="317" t="s">
        <v>699</v>
      </c>
      <c r="C428" s="325" t="s">
        <v>722</v>
      </c>
      <c r="D428" s="326"/>
      <c r="E428" s="321"/>
      <c r="F428" s="322"/>
      <c r="G428" s="326"/>
      <c r="H428" s="321"/>
      <c r="I428" s="322"/>
      <c r="J428" s="326"/>
      <c r="K428" s="321"/>
      <c r="L428" s="322"/>
      <c r="M428" s="326"/>
      <c r="N428" s="321"/>
      <c r="O428" s="322"/>
      <c r="P428" s="326"/>
      <c r="Q428" s="321"/>
      <c r="R428" s="322"/>
      <c r="S428" s="326"/>
      <c r="T428" s="321"/>
      <c r="U428" s="322"/>
      <c r="V428" s="326"/>
      <c r="W428" s="321"/>
      <c r="X428" s="322"/>
      <c r="Y428" s="326"/>
      <c r="Z428" s="321"/>
      <c r="AA428" s="322"/>
      <c r="AB428" s="326"/>
      <c r="AC428" s="321"/>
      <c r="AD428" s="322"/>
      <c r="AE428" s="326"/>
      <c r="AF428" s="321"/>
      <c r="AG428" s="322"/>
      <c r="AH428" s="326"/>
      <c r="AI428" s="321"/>
      <c r="AJ428" s="322"/>
      <c r="AK428" s="326"/>
      <c r="AL428" s="321"/>
      <c r="AM428" s="322"/>
      <c r="AN428" s="316" t="s">
        <v>33</v>
      </c>
      <c r="AO428" s="316"/>
      <c r="AP428" s="316"/>
      <c r="AQ428" s="316"/>
      <c r="AR428" s="316"/>
      <c r="AS428" s="316"/>
      <c r="AT428" s="316"/>
      <c r="AU428" s="316"/>
      <c r="AV428" s="316"/>
      <c r="AW428" s="316"/>
      <c r="AX428" s="316"/>
      <c r="AY428" s="316"/>
      <c r="AZ428" s="316"/>
      <c r="BA428" s="316"/>
      <c r="BB428" s="316"/>
      <c r="BC428" s="316"/>
      <c r="BD428" s="316"/>
      <c r="BE428" s="316"/>
      <c r="BF428" s="316"/>
      <c r="BG428" s="316"/>
      <c r="BH428" s="316"/>
      <c r="BI428" s="316"/>
      <c r="BJ428" s="316"/>
      <c r="BK428" s="316"/>
      <c r="BL428" s="316"/>
      <c r="BM428" s="316"/>
      <c r="BN428" s="316"/>
    </row>
    <row r="429">
      <c r="A429" s="391" t="s">
        <v>2237</v>
      </c>
      <c r="B429" s="304"/>
      <c r="C429" s="305" t="s">
        <v>42</v>
      </c>
      <c r="D429" s="320"/>
      <c r="E429" s="323">
        <f t="shared" ref="E429:F429" si="576">SUM(E425:E428)</f>
        <v>1154168</v>
      </c>
      <c r="F429" s="324">
        <f t="shared" si="576"/>
        <v>0</v>
      </c>
      <c r="G429" s="320"/>
      <c r="H429" s="323">
        <f t="shared" ref="H429:I429" si="577">SUM(H425:H428)</f>
        <v>1008129.328</v>
      </c>
      <c r="I429" s="324">
        <f t="shared" si="577"/>
        <v>0</v>
      </c>
      <c r="J429" s="320"/>
      <c r="K429" s="323">
        <f t="shared" ref="K429:L429" si="578">SUM(K425:K428)</f>
        <v>2186168.195</v>
      </c>
      <c r="L429" s="324">
        <f t="shared" si="578"/>
        <v>0</v>
      </c>
      <c r="M429" s="320"/>
      <c r="N429" s="323">
        <f t="shared" ref="N429:O429" si="579">SUM(N425:N428)</f>
        <v>2115646.641</v>
      </c>
      <c r="O429" s="324">
        <f t="shared" si="579"/>
        <v>0</v>
      </c>
      <c r="P429" s="320"/>
      <c r="Q429" s="323">
        <f t="shared" ref="Q429:R429" si="580">SUM(Q425:Q428)</f>
        <v>2186168.195</v>
      </c>
      <c r="R429" s="324">
        <f t="shared" si="580"/>
        <v>0</v>
      </c>
      <c r="S429" s="320"/>
      <c r="T429" s="323">
        <f t="shared" ref="T429:U429" si="581">SUM(T425:T428)</f>
        <v>2115646.641</v>
      </c>
      <c r="U429" s="324">
        <f t="shared" si="581"/>
        <v>0</v>
      </c>
      <c r="V429" s="320"/>
      <c r="W429" s="323">
        <f t="shared" ref="W429:X429" si="582">SUM(W425:W428)</f>
        <v>0</v>
      </c>
      <c r="X429" s="324">
        <f t="shared" si="582"/>
        <v>0</v>
      </c>
      <c r="Y429" s="320"/>
      <c r="Z429" s="323">
        <f t="shared" ref="Z429:AA429" si="583">SUM(Z425:Z428)</f>
        <v>0</v>
      </c>
      <c r="AA429" s="324">
        <f t="shared" si="583"/>
        <v>0</v>
      </c>
      <c r="AB429" s="320"/>
      <c r="AC429" s="323">
        <f t="shared" ref="AC429:AD429" si="584">SUM(AC425:AC428)</f>
        <v>0</v>
      </c>
      <c r="AD429" s="324">
        <f t="shared" si="584"/>
        <v>0</v>
      </c>
      <c r="AE429" s="320"/>
      <c r="AF429" s="323">
        <f t="shared" ref="AF429:AG429" si="585">SUM(AF425:AF428)</f>
        <v>0</v>
      </c>
      <c r="AG429" s="324">
        <f t="shared" si="585"/>
        <v>0</v>
      </c>
      <c r="AH429" s="320"/>
      <c r="AI429" s="323">
        <f t="shared" ref="AI429:AJ429" si="586">SUM(AI425:AI428)</f>
        <v>0</v>
      </c>
      <c r="AJ429" s="324">
        <f t="shared" si="586"/>
        <v>0</v>
      </c>
      <c r="AK429" s="320"/>
      <c r="AL429" s="323">
        <f t="shared" ref="AL429:AM429" si="587">SUM(AL425:AL428)</f>
        <v>0</v>
      </c>
      <c r="AM429" s="324">
        <f t="shared" si="587"/>
        <v>0</v>
      </c>
      <c r="AN429" s="316" t="s">
        <v>33</v>
      </c>
      <c r="AO429" s="316"/>
      <c r="AP429" s="316"/>
      <c r="AQ429" s="316"/>
      <c r="AR429" s="316"/>
      <c r="AS429" s="316"/>
      <c r="AT429" s="316"/>
      <c r="AU429" s="316"/>
      <c r="AV429" s="316"/>
      <c r="AW429" s="316"/>
      <c r="AX429" s="316"/>
      <c r="AY429" s="316"/>
      <c r="AZ429" s="316"/>
      <c r="BA429" s="316"/>
      <c r="BB429" s="316"/>
      <c r="BC429" s="316"/>
      <c r="BD429" s="316"/>
      <c r="BE429" s="316"/>
      <c r="BF429" s="316"/>
      <c r="BG429" s="316"/>
      <c r="BH429" s="316"/>
      <c r="BI429" s="316"/>
      <c r="BJ429" s="316"/>
      <c r="BK429" s="316"/>
      <c r="BL429" s="316"/>
      <c r="BM429" s="316"/>
      <c r="BN429" s="316"/>
    </row>
    <row r="430" collapsed="1">
      <c r="A430" s="391" t="s">
        <v>2237</v>
      </c>
      <c r="B430" s="304"/>
      <c r="C430" s="325" t="s">
        <v>43</v>
      </c>
      <c r="D430" s="326"/>
      <c r="E430" s="321">
        <v>600000.0</v>
      </c>
      <c r="F430" s="324"/>
      <c r="G430" s="326"/>
      <c r="H430" s="321">
        <v>600000.0</v>
      </c>
      <c r="I430" s="324"/>
      <c r="J430" s="326"/>
      <c r="K430" s="321">
        <v>600000.0</v>
      </c>
      <c r="L430" s="324"/>
      <c r="M430" s="326"/>
      <c r="N430" s="321">
        <v>600000.0</v>
      </c>
      <c r="O430" s="324"/>
      <c r="P430" s="326"/>
      <c r="Q430" s="321">
        <v>600000.0</v>
      </c>
      <c r="R430" s="324"/>
      <c r="S430" s="326"/>
      <c r="T430" s="321">
        <v>600000.0</v>
      </c>
      <c r="U430" s="324"/>
      <c r="V430" s="326"/>
      <c r="W430" s="321">
        <v>600000.0</v>
      </c>
      <c r="X430" s="324"/>
      <c r="Y430" s="326"/>
      <c r="Z430" s="321">
        <v>600000.0</v>
      </c>
      <c r="AA430" s="324"/>
      <c r="AB430" s="326"/>
      <c r="AC430" s="321">
        <v>600000.0</v>
      </c>
      <c r="AD430" s="324"/>
      <c r="AE430" s="326"/>
      <c r="AF430" s="321">
        <v>600000.0</v>
      </c>
      <c r="AG430" s="324"/>
      <c r="AH430" s="326"/>
      <c r="AI430" s="321">
        <v>600000.0</v>
      </c>
      <c r="AJ430" s="324"/>
      <c r="AK430" s="326"/>
      <c r="AL430" s="321">
        <v>600000.0</v>
      </c>
      <c r="AM430" s="324"/>
      <c r="AN430" s="316" t="s">
        <v>33</v>
      </c>
      <c r="AO430" s="316"/>
      <c r="AP430" s="316"/>
      <c r="AQ430" s="316"/>
      <c r="AR430" s="316"/>
      <c r="AS430" s="316"/>
      <c r="AT430" s="316"/>
      <c r="AU430" s="316"/>
      <c r="AV430" s="316"/>
      <c r="AW430" s="316"/>
      <c r="AX430" s="316"/>
      <c r="AY430" s="316"/>
      <c r="AZ430" s="316"/>
      <c r="BA430" s="316"/>
      <c r="BB430" s="316"/>
      <c r="BC430" s="316"/>
      <c r="BD430" s="316"/>
      <c r="BE430" s="316"/>
      <c r="BF430" s="316"/>
      <c r="BG430" s="316"/>
      <c r="BH430" s="316"/>
      <c r="BI430" s="316"/>
      <c r="BJ430" s="316"/>
      <c r="BK430" s="316"/>
      <c r="BL430" s="316"/>
      <c r="BM430" s="316"/>
      <c r="BN430" s="316"/>
    </row>
    <row r="431" hidden="1" outlineLevel="1">
      <c r="A431" s="391" t="s">
        <v>2237</v>
      </c>
      <c r="B431" s="304"/>
      <c r="C431" s="325" t="s">
        <v>45</v>
      </c>
      <c r="D431" s="327"/>
      <c r="E431" s="321"/>
      <c r="F431" s="322"/>
      <c r="G431" s="327"/>
      <c r="H431" s="321"/>
      <c r="I431" s="322"/>
      <c r="J431" s="327"/>
      <c r="K431" s="321"/>
      <c r="L431" s="322"/>
      <c r="M431" s="327"/>
      <c r="N431" s="321"/>
      <c r="O431" s="322"/>
      <c r="P431" s="327"/>
      <c r="Q431" s="321"/>
      <c r="R431" s="322"/>
      <c r="S431" s="327"/>
      <c r="T431" s="321"/>
      <c r="U431" s="322"/>
      <c r="V431" s="327"/>
      <c r="W431" s="321"/>
      <c r="X431" s="322"/>
      <c r="Y431" s="327"/>
      <c r="Z431" s="321"/>
      <c r="AA431" s="322"/>
      <c r="AB431" s="327"/>
      <c r="AC431" s="321"/>
      <c r="AD431" s="322"/>
      <c r="AE431" s="327"/>
      <c r="AF431" s="321"/>
      <c r="AG431" s="322"/>
      <c r="AH431" s="327"/>
      <c r="AI431" s="321"/>
      <c r="AJ431" s="322"/>
      <c r="AK431" s="327"/>
      <c r="AL431" s="321"/>
      <c r="AM431" s="322"/>
      <c r="AN431" s="316" t="s">
        <v>33</v>
      </c>
      <c r="AO431" s="316"/>
      <c r="AP431" s="316"/>
      <c r="AQ431" s="316"/>
      <c r="AR431" s="316"/>
      <c r="AS431" s="316"/>
      <c r="AT431" s="316"/>
      <c r="AU431" s="316"/>
      <c r="AV431" s="316"/>
      <c r="AW431" s="316"/>
      <c r="AX431" s="316"/>
      <c r="AY431" s="316"/>
      <c r="AZ431" s="316"/>
      <c r="BA431" s="316"/>
      <c r="BB431" s="316"/>
      <c r="BC431" s="316"/>
      <c r="BD431" s="316"/>
      <c r="BE431" s="316"/>
      <c r="BF431" s="316"/>
      <c r="BG431" s="316"/>
      <c r="BH431" s="316"/>
      <c r="BI431" s="316"/>
      <c r="BJ431" s="316"/>
      <c r="BK431" s="316"/>
      <c r="BL431" s="316"/>
      <c r="BM431" s="316"/>
      <c r="BN431" s="316"/>
    </row>
    <row r="432" hidden="1" outlineLevel="1">
      <c r="A432" s="391" t="s">
        <v>2237</v>
      </c>
      <c r="B432" s="317" t="s">
        <v>728</v>
      </c>
      <c r="C432" s="325" t="s">
        <v>47</v>
      </c>
      <c r="D432" s="327"/>
      <c r="E432" s="321"/>
      <c r="F432" s="322">
        <v>48490.0</v>
      </c>
      <c r="G432" s="327"/>
      <c r="H432" s="321"/>
      <c r="I432" s="322">
        <v>32770.0</v>
      </c>
      <c r="J432" s="327"/>
      <c r="K432" s="321"/>
      <c r="L432" s="322">
        <v>29560.0</v>
      </c>
      <c r="M432" s="327"/>
      <c r="N432" s="321"/>
      <c r="O432" s="322"/>
      <c r="P432" s="327"/>
      <c r="Q432" s="321"/>
      <c r="R432" s="322"/>
      <c r="S432" s="327"/>
      <c r="T432" s="321"/>
      <c r="U432" s="322"/>
      <c r="V432" s="327"/>
      <c r="W432" s="321"/>
      <c r="X432" s="322"/>
      <c r="Y432" s="327"/>
      <c r="Z432" s="321"/>
      <c r="AA432" s="322"/>
      <c r="AB432" s="327"/>
      <c r="AC432" s="321"/>
      <c r="AD432" s="322"/>
      <c r="AE432" s="327"/>
      <c r="AF432" s="321"/>
      <c r="AG432" s="322"/>
      <c r="AH432" s="327"/>
      <c r="AI432" s="321"/>
      <c r="AJ432" s="322"/>
      <c r="AK432" s="327"/>
      <c r="AL432" s="321"/>
      <c r="AM432" s="322"/>
      <c r="AN432" s="316" t="s">
        <v>33</v>
      </c>
      <c r="AO432" s="316"/>
      <c r="AP432" s="316"/>
      <c r="AQ432" s="316"/>
      <c r="AR432" s="316"/>
      <c r="AS432" s="316"/>
      <c r="AT432" s="316"/>
      <c r="AU432" s="316"/>
      <c r="AV432" s="316"/>
      <c r="AW432" s="316"/>
      <c r="AX432" s="316"/>
      <c r="AY432" s="316"/>
      <c r="AZ432" s="316"/>
      <c r="BA432" s="316"/>
      <c r="BB432" s="316"/>
      <c r="BC432" s="316"/>
      <c r="BD432" s="316"/>
      <c r="BE432" s="316"/>
      <c r="BF432" s="316"/>
      <c r="BG432" s="316"/>
      <c r="BH432" s="316"/>
      <c r="BI432" s="316"/>
      <c r="BJ432" s="316"/>
      <c r="BK432" s="316"/>
      <c r="BL432" s="316"/>
      <c r="BM432" s="316"/>
      <c r="BN432" s="316"/>
    </row>
    <row r="433" hidden="1" outlineLevel="1">
      <c r="A433" s="391" t="s">
        <v>2237</v>
      </c>
      <c r="B433" s="317" t="s">
        <v>729</v>
      </c>
      <c r="C433" s="325" t="s">
        <v>49</v>
      </c>
      <c r="D433" s="327"/>
      <c r="E433" s="321"/>
      <c r="F433" s="322">
        <v>150010.0</v>
      </c>
      <c r="G433" s="327"/>
      <c r="H433" s="321"/>
      <c r="I433" s="322">
        <v>129560.0</v>
      </c>
      <c r="J433" s="327"/>
      <c r="K433" s="321"/>
      <c r="L433" s="322"/>
      <c r="M433" s="327"/>
      <c r="N433" s="321"/>
      <c r="O433" s="322"/>
      <c r="P433" s="327"/>
      <c r="Q433" s="321"/>
      <c r="R433" s="322"/>
      <c r="S433" s="327"/>
      <c r="T433" s="321"/>
      <c r="U433" s="322"/>
      <c r="V433" s="327"/>
      <c r="W433" s="321"/>
      <c r="X433" s="322"/>
      <c r="Y433" s="327"/>
      <c r="Z433" s="321"/>
      <c r="AA433" s="322"/>
      <c r="AB433" s="327"/>
      <c r="AC433" s="321"/>
      <c r="AD433" s="322"/>
      <c r="AE433" s="327"/>
      <c r="AF433" s="321"/>
      <c r="AG433" s="322"/>
      <c r="AH433" s="327"/>
      <c r="AI433" s="321"/>
      <c r="AJ433" s="322"/>
      <c r="AK433" s="327"/>
      <c r="AL433" s="321"/>
      <c r="AM433" s="322"/>
      <c r="AN433" s="316" t="s">
        <v>33</v>
      </c>
      <c r="AO433" s="316"/>
      <c r="AP433" s="316"/>
      <c r="AQ433" s="316"/>
      <c r="AR433" s="316"/>
      <c r="AS433" s="316"/>
      <c r="AT433" s="316"/>
      <c r="AU433" s="316"/>
      <c r="AV433" s="316"/>
      <c r="AW433" s="316"/>
      <c r="AX433" s="316"/>
      <c r="AY433" s="316"/>
      <c r="AZ433" s="316"/>
      <c r="BA433" s="316"/>
      <c r="BB433" s="316"/>
      <c r="BC433" s="316"/>
      <c r="BD433" s="316"/>
      <c r="BE433" s="316"/>
      <c r="BF433" s="316"/>
      <c r="BG433" s="316"/>
      <c r="BH433" s="316"/>
      <c r="BI433" s="316"/>
      <c r="BJ433" s="316"/>
      <c r="BK433" s="316"/>
      <c r="BL433" s="316"/>
      <c r="BM433" s="316"/>
      <c r="BN433" s="316"/>
    </row>
    <row r="434" hidden="1" outlineLevel="1">
      <c r="A434" s="391" t="s">
        <v>2237</v>
      </c>
      <c r="B434" s="317" t="s">
        <v>680</v>
      </c>
      <c r="C434" s="325" t="s">
        <v>51</v>
      </c>
      <c r="D434" s="327"/>
      <c r="E434" s="321"/>
      <c r="F434" s="322">
        <v>52000.0</v>
      </c>
      <c r="G434" s="327"/>
      <c r="H434" s="321"/>
      <c r="I434" s="322"/>
      <c r="J434" s="327"/>
      <c r="K434" s="321"/>
      <c r="L434" s="322"/>
      <c r="M434" s="327"/>
      <c r="N434" s="321"/>
      <c r="O434" s="322"/>
      <c r="P434" s="327"/>
      <c r="Q434" s="321"/>
      <c r="R434" s="322"/>
      <c r="S434" s="327"/>
      <c r="T434" s="321"/>
      <c r="U434" s="322"/>
      <c r="V434" s="327"/>
      <c r="W434" s="321"/>
      <c r="X434" s="322"/>
      <c r="Y434" s="327"/>
      <c r="Z434" s="321"/>
      <c r="AA434" s="322"/>
      <c r="AB434" s="327"/>
      <c r="AC434" s="321"/>
      <c r="AD434" s="322"/>
      <c r="AE434" s="327"/>
      <c r="AF434" s="321"/>
      <c r="AG434" s="322"/>
      <c r="AH434" s="327"/>
      <c r="AI434" s="321"/>
      <c r="AJ434" s="322"/>
      <c r="AK434" s="327"/>
      <c r="AL434" s="321"/>
      <c r="AM434" s="322"/>
      <c r="AN434" s="316" t="s">
        <v>33</v>
      </c>
      <c r="AO434" s="316"/>
      <c r="AP434" s="316"/>
      <c r="AQ434" s="316"/>
      <c r="AR434" s="316"/>
      <c r="AS434" s="316"/>
      <c r="AT434" s="316"/>
      <c r="AU434" s="316"/>
      <c r="AV434" s="316"/>
      <c r="AW434" s="316"/>
      <c r="AX434" s="316"/>
      <c r="AY434" s="316"/>
      <c r="AZ434" s="316"/>
      <c r="BA434" s="316"/>
      <c r="BB434" s="316"/>
      <c r="BC434" s="316"/>
      <c r="BD434" s="316"/>
      <c r="BE434" s="316"/>
      <c r="BF434" s="316"/>
      <c r="BG434" s="316"/>
      <c r="BH434" s="316"/>
      <c r="BI434" s="316"/>
      <c r="BJ434" s="316"/>
      <c r="BK434" s="316"/>
      <c r="BL434" s="316"/>
      <c r="BM434" s="316"/>
      <c r="BN434" s="316"/>
    </row>
    <row r="435" hidden="1" outlineLevel="1">
      <c r="A435" s="391" t="s">
        <v>2237</v>
      </c>
      <c r="B435" s="304"/>
      <c r="C435" s="325" t="s">
        <v>52</v>
      </c>
      <c r="D435" s="326"/>
      <c r="E435" s="321"/>
      <c r="F435" s="322">
        <v>22000.0</v>
      </c>
      <c r="G435" s="326"/>
      <c r="H435" s="321"/>
      <c r="I435" s="322">
        <v>22000.0</v>
      </c>
      <c r="J435" s="326"/>
      <c r="K435" s="321"/>
      <c r="L435" s="322">
        <v>22000.0</v>
      </c>
      <c r="M435" s="326"/>
      <c r="N435" s="321">
        <v>22000.0</v>
      </c>
      <c r="O435" s="322">
        <v>22000.0</v>
      </c>
      <c r="P435" s="326"/>
      <c r="Q435" s="321">
        <v>22000.0</v>
      </c>
      <c r="R435" s="322">
        <v>22000.0</v>
      </c>
      <c r="S435" s="326"/>
      <c r="T435" s="321">
        <v>22000.0</v>
      </c>
      <c r="U435" s="322">
        <v>22000.0</v>
      </c>
      <c r="V435" s="326"/>
      <c r="W435" s="321">
        <v>22000.0</v>
      </c>
      <c r="X435" s="322">
        <v>22000.0</v>
      </c>
      <c r="Y435" s="326"/>
      <c r="Z435" s="321"/>
      <c r="AA435" s="322">
        <v>22000.0</v>
      </c>
      <c r="AB435" s="326"/>
      <c r="AC435" s="321"/>
      <c r="AD435" s="322">
        <v>22000.0</v>
      </c>
      <c r="AE435" s="326"/>
      <c r="AF435" s="321"/>
      <c r="AG435" s="322">
        <v>22000.0</v>
      </c>
      <c r="AH435" s="326"/>
      <c r="AI435" s="321"/>
      <c r="AJ435" s="322">
        <v>22000.0</v>
      </c>
      <c r="AK435" s="326"/>
      <c r="AL435" s="321"/>
      <c r="AM435" s="322">
        <v>22000.0</v>
      </c>
      <c r="AN435" s="316" t="s">
        <v>33</v>
      </c>
      <c r="AO435" s="316"/>
      <c r="AP435" s="316"/>
      <c r="AQ435" s="316"/>
      <c r="AR435" s="316"/>
      <c r="AS435" s="316"/>
      <c r="AT435" s="316"/>
      <c r="AU435" s="316"/>
      <c r="AV435" s="316"/>
      <c r="AW435" s="316"/>
      <c r="AX435" s="316"/>
      <c r="AY435" s="316"/>
      <c r="AZ435" s="316"/>
      <c r="BA435" s="316"/>
      <c r="BB435" s="316"/>
      <c r="BC435" s="316"/>
      <c r="BD435" s="316"/>
      <c r="BE435" s="316"/>
      <c r="BF435" s="316"/>
      <c r="BG435" s="316"/>
      <c r="BH435" s="316"/>
      <c r="BI435" s="316"/>
      <c r="BJ435" s="316"/>
      <c r="BK435" s="316"/>
      <c r="BL435" s="316"/>
      <c r="BM435" s="316"/>
      <c r="BN435" s="316"/>
    </row>
    <row r="436" hidden="1" outlineLevel="1">
      <c r="A436" s="391" t="s">
        <v>2237</v>
      </c>
      <c r="B436" s="304"/>
      <c r="C436" s="325" t="s">
        <v>53</v>
      </c>
      <c r="D436" s="326"/>
      <c r="E436" s="321"/>
      <c r="F436" s="322">
        <v>11000.0</v>
      </c>
      <c r="G436" s="326"/>
      <c r="H436" s="321"/>
      <c r="I436" s="322">
        <v>11000.0</v>
      </c>
      <c r="J436" s="326"/>
      <c r="K436" s="321"/>
      <c r="L436" s="322">
        <v>11000.0</v>
      </c>
      <c r="M436" s="326"/>
      <c r="N436" s="321">
        <v>11000.0</v>
      </c>
      <c r="O436" s="322">
        <v>11000.0</v>
      </c>
      <c r="P436" s="326"/>
      <c r="Q436" s="321">
        <v>11000.0</v>
      </c>
      <c r="R436" s="322">
        <v>11000.0</v>
      </c>
      <c r="S436" s="326"/>
      <c r="T436" s="321">
        <v>11000.0</v>
      </c>
      <c r="U436" s="322">
        <v>11000.0</v>
      </c>
      <c r="V436" s="326"/>
      <c r="W436" s="321">
        <v>11000.0</v>
      </c>
      <c r="X436" s="322">
        <v>11000.0</v>
      </c>
      <c r="Y436" s="326"/>
      <c r="Z436" s="321"/>
      <c r="AA436" s="322">
        <v>11000.0</v>
      </c>
      <c r="AB436" s="326"/>
      <c r="AC436" s="321"/>
      <c r="AD436" s="322">
        <v>11000.0</v>
      </c>
      <c r="AE436" s="326"/>
      <c r="AF436" s="321"/>
      <c r="AG436" s="322">
        <v>11000.0</v>
      </c>
      <c r="AH436" s="326"/>
      <c r="AI436" s="321"/>
      <c r="AJ436" s="322">
        <v>11000.0</v>
      </c>
      <c r="AK436" s="326"/>
      <c r="AL436" s="321"/>
      <c r="AM436" s="322">
        <v>11000.0</v>
      </c>
      <c r="AN436" s="316" t="s">
        <v>33</v>
      </c>
      <c r="AO436" s="316"/>
      <c r="AP436" s="316"/>
      <c r="AQ436" s="316"/>
      <c r="AR436" s="316"/>
      <c r="AS436" s="316"/>
      <c r="AT436" s="316"/>
      <c r="AU436" s="316"/>
      <c r="AV436" s="316"/>
      <c r="AW436" s="316"/>
      <c r="AX436" s="316"/>
      <c r="AY436" s="316"/>
      <c r="AZ436" s="316"/>
      <c r="BA436" s="316"/>
      <c r="BB436" s="316"/>
      <c r="BC436" s="316"/>
      <c r="BD436" s="316"/>
      <c r="BE436" s="316"/>
      <c r="BF436" s="316"/>
      <c r="BG436" s="316"/>
      <c r="BH436" s="316"/>
      <c r="BI436" s="316"/>
      <c r="BJ436" s="316"/>
      <c r="BK436" s="316"/>
      <c r="BL436" s="316"/>
      <c r="BM436" s="316"/>
      <c r="BN436" s="316"/>
    </row>
    <row r="437" hidden="1" outlineLevel="1">
      <c r="A437" s="391" t="s">
        <v>2237</v>
      </c>
      <c r="B437" s="304"/>
      <c r="C437" s="325" t="s">
        <v>54</v>
      </c>
      <c r="D437" s="327"/>
      <c r="E437" s="321"/>
      <c r="F437" s="322">
        <f>SUMIFS('지출'!$G$3:$G794,'지출'!$J$3:$J794,F$1,'지출'!$C$3:$C794,"무드")</f>
        <v>0</v>
      </c>
      <c r="G437" s="327"/>
      <c r="H437" s="321"/>
      <c r="I437" s="322">
        <f>SUMIFS('지출'!$G$3:$G794,'지출'!$J$3:$J794,I$1,'지출'!$C$3:$C794,"무드")</f>
        <v>0</v>
      </c>
      <c r="J437" s="327"/>
      <c r="K437" s="321"/>
      <c r="L437" s="322">
        <f>SUMIFS('지출'!$G$3:$G794,'지출'!$J$3:$J794,L$1,'지출'!$C$3:$C794,"무드")</f>
        <v>338800</v>
      </c>
      <c r="M437" s="327"/>
      <c r="N437" s="321">
        <f>SUMIFS('지출'!$G$3:$G794,'지출'!$J$3:$J794,N$1,'지출'!$C$3:$C794,"무드")</f>
        <v>0</v>
      </c>
      <c r="O437" s="322">
        <f>SUMIFS('지출'!$G$3:$G794,'지출'!$J$3:$J794,O$1,'지출'!$C$3:$C794,"무드")</f>
        <v>0</v>
      </c>
      <c r="P437" s="327"/>
      <c r="Q437" s="321">
        <f>SUMIFS('지출'!$G$3:$G794,'지출'!$J$3:$J794,Q$1,'지출'!$C$3:$C794,"무드")</f>
        <v>0</v>
      </c>
      <c r="R437" s="322">
        <f>SUMIFS('지출'!$G$3:$G794,'지출'!$J$3:$J794,R$1,'지출'!$C$3:$C794,"무드")</f>
        <v>0</v>
      </c>
      <c r="S437" s="327"/>
      <c r="T437" s="321">
        <f>SUMIFS('지출'!$G$3:$G794,'지출'!$J$3:$J794,T$1,'지출'!$C$3:$C794,"무드")</f>
        <v>0</v>
      </c>
      <c r="U437" s="322">
        <f>SUMIFS('지출'!$G$3:$G794,'지출'!$J$3:$J794,U$1,'지출'!$C$3:$C794,"무드")</f>
        <v>0</v>
      </c>
      <c r="V437" s="327"/>
      <c r="W437" s="321">
        <f>SUMIFS('지출'!$G$3:$G794,'지출'!$J$3:$J794,W$1,'지출'!$C$3:$C794,"무드")</f>
        <v>0</v>
      </c>
      <c r="X437" s="322">
        <f>SUMIFS('지출'!$G$3:$G794,'지출'!$J$3:$J794,X$1,'지출'!$C$3:$C794,"무드")</f>
        <v>0</v>
      </c>
      <c r="Y437" s="327"/>
      <c r="Z437" s="321"/>
      <c r="AA437" s="322">
        <f>SUMIFS('지출'!$G$3:$G794,'지출'!$J$3:$J794,AA$1,'지출'!$C$3:$C794,"무드")</f>
        <v>0</v>
      </c>
      <c r="AB437" s="327"/>
      <c r="AC437" s="321"/>
      <c r="AD437" s="322">
        <f>SUMIFS('지출'!$G$3:$G794,'지출'!$J$3:$J794,AD$1,'지출'!$C$3:$C794,"무드")</f>
        <v>0</v>
      </c>
      <c r="AE437" s="327"/>
      <c r="AF437" s="321"/>
      <c r="AG437" s="322">
        <f>SUMIFS('지출'!$G$3:$G794,'지출'!$J$3:$J794,AG$1,'지출'!$C$3:$C794,"무드")</f>
        <v>0</v>
      </c>
      <c r="AH437" s="327"/>
      <c r="AI437" s="321"/>
      <c r="AJ437" s="322">
        <f>SUMIFS('지출'!$G$3:$G794,'지출'!$J$3:$J794,AJ$1,'지출'!$C$3:$C794,"무드")</f>
        <v>0</v>
      </c>
      <c r="AK437" s="327"/>
      <c r="AL437" s="321"/>
      <c r="AM437" s="322">
        <f>SUMIFS('지출'!$G$3:$G794,'지출'!$J$3:$J794,AM$1,'지출'!$C$3:$C794,"무드")</f>
        <v>0</v>
      </c>
      <c r="AN437" s="316" t="s">
        <v>33</v>
      </c>
      <c r="AO437" s="316"/>
      <c r="AP437" s="316"/>
      <c r="AQ437" s="316"/>
      <c r="AR437" s="316"/>
      <c r="AS437" s="316"/>
      <c r="AT437" s="316"/>
      <c r="AU437" s="316"/>
      <c r="AV437" s="316"/>
      <c r="AW437" s="316"/>
      <c r="AX437" s="316"/>
      <c r="AY437" s="316"/>
      <c r="AZ437" s="316"/>
      <c r="BA437" s="316"/>
      <c r="BB437" s="316"/>
      <c r="BC437" s="316"/>
      <c r="BD437" s="316"/>
      <c r="BE437" s="316"/>
      <c r="BF437" s="316"/>
      <c r="BG437" s="316"/>
      <c r="BH437" s="316"/>
      <c r="BI437" s="316"/>
      <c r="BJ437" s="316"/>
      <c r="BK437" s="316"/>
      <c r="BL437" s="316"/>
      <c r="BM437" s="316"/>
      <c r="BN437" s="316"/>
    </row>
    <row r="438" hidden="1" outlineLevel="1">
      <c r="A438" s="391" t="s">
        <v>2237</v>
      </c>
      <c r="B438" s="304"/>
      <c r="C438" s="325" t="s">
        <v>56</v>
      </c>
      <c r="D438" s="320"/>
      <c r="E438" s="323">
        <f>E429-(SUM(E430:E437)-F438)</f>
        <v>270668</v>
      </c>
      <c r="F438" s="324">
        <f>F429-(SUM(F430:F437))</f>
        <v>-283500</v>
      </c>
      <c r="G438" s="320"/>
      <c r="H438" s="323">
        <f>H429-(SUM(H430:H437)-I438)</f>
        <v>212799.3281</v>
      </c>
      <c r="I438" s="324">
        <f>I429-(SUM(I430:I437))</f>
        <v>-195330</v>
      </c>
      <c r="J438" s="320"/>
      <c r="K438" s="323">
        <f>K429-(SUM(K430:K437)-L438)</f>
        <v>1184808.195</v>
      </c>
      <c r="L438" s="324">
        <f>L429-(SUM(L430:L437))</f>
        <v>-401360</v>
      </c>
      <c r="M438" s="320"/>
      <c r="N438" s="323">
        <f>N429-(SUM(N430:N437)-O438)</f>
        <v>1449646.641</v>
      </c>
      <c r="O438" s="324">
        <f>O429-(SUM(O430:O437))</f>
        <v>-33000</v>
      </c>
      <c r="P438" s="320"/>
      <c r="Q438" s="323">
        <f>Q429-(SUM(Q430:Q437)-R438)</f>
        <v>1520168.195</v>
      </c>
      <c r="R438" s="324">
        <f>R429-(SUM(R430:R437))</f>
        <v>-33000</v>
      </c>
      <c r="S438" s="320"/>
      <c r="T438" s="323">
        <f>T429-(SUM(T430:T437)-U438)</f>
        <v>1449646.641</v>
      </c>
      <c r="U438" s="324">
        <f>U429-(SUM(U430:U437))</f>
        <v>-33000</v>
      </c>
      <c r="V438" s="320"/>
      <c r="W438" s="323">
        <f>W429-(SUM(W430:W437)-X438)</f>
        <v>-666000</v>
      </c>
      <c r="X438" s="324">
        <f>X429-(SUM(X430:X437))</f>
        <v>-33000</v>
      </c>
      <c r="Y438" s="320"/>
      <c r="Z438" s="323">
        <f>Z429-(SUM(Z430:Z437)-AA438)</f>
        <v>-633000</v>
      </c>
      <c r="AA438" s="324">
        <f>AA429-(SUM(AA430:AA437))</f>
        <v>-33000</v>
      </c>
      <c r="AB438" s="320"/>
      <c r="AC438" s="323">
        <f>AC429-(SUM(AC430:AC437)-AD439)</f>
        <v>-600000</v>
      </c>
      <c r="AD438" s="324">
        <f>AD429-(SUM(AD430:AD437))</f>
        <v>-33000</v>
      </c>
      <c r="AE438" s="320"/>
      <c r="AF438" s="323">
        <f>AF429-(SUM(AF430:AF437)-AG438)</f>
        <v>-633000</v>
      </c>
      <c r="AG438" s="324">
        <f>AG429-(SUM(AG430:AG437))</f>
        <v>-33000</v>
      </c>
      <c r="AH438" s="320"/>
      <c r="AI438" s="323">
        <f>AI429-(SUM(AI430:AI437)-AJ438)</f>
        <v>-633000</v>
      </c>
      <c r="AJ438" s="324">
        <f>AJ429-(SUM(AJ430:AJ437))</f>
        <v>-33000</v>
      </c>
      <c r="AK438" s="320"/>
      <c r="AL438" s="323">
        <f>AL429-(SUM(AL430:AL437)-AM438)</f>
        <v>-633000</v>
      </c>
      <c r="AM438" s="324">
        <f>AM429-(SUM(AM430:AM437))</f>
        <v>-33000</v>
      </c>
      <c r="AN438" s="316" t="s">
        <v>33</v>
      </c>
      <c r="AO438" s="316"/>
      <c r="AP438" s="316"/>
      <c r="AQ438" s="316"/>
      <c r="AR438" s="316"/>
      <c r="AS438" s="316"/>
      <c r="AT438" s="316"/>
      <c r="AU438" s="316"/>
      <c r="AV438" s="316"/>
      <c r="AW438" s="316"/>
      <c r="AX438" s="316"/>
      <c r="AY438" s="316"/>
      <c r="AZ438" s="316"/>
      <c r="BA438" s="316"/>
      <c r="BB438" s="316"/>
      <c r="BC438" s="316"/>
      <c r="BD438" s="316"/>
      <c r="BE438" s="316"/>
      <c r="BF438" s="316"/>
      <c r="BG438" s="316"/>
      <c r="BH438" s="316"/>
      <c r="BI438" s="316"/>
      <c r="BJ438" s="316"/>
      <c r="BK438" s="316"/>
      <c r="BL438" s="316"/>
      <c r="BM438" s="316"/>
      <c r="BN438" s="316"/>
    </row>
    <row r="439">
      <c r="A439" s="391" t="s">
        <v>2237</v>
      </c>
      <c r="B439" s="328">
        <v>0.5</v>
      </c>
      <c r="C439" s="325" t="s">
        <v>26</v>
      </c>
      <c r="D439" s="320"/>
      <c r="E439" s="323">
        <f>E438*$B439</f>
        <v>135334</v>
      </c>
      <c r="F439" s="324"/>
      <c r="G439" s="320"/>
      <c r="H439" s="323">
        <f>H438*$B439</f>
        <v>106399.6641</v>
      </c>
      <c r="I439" s="324"/>
      <c r="J439" s="320"/>
      <c r="K439" s="323">
        <f>K438*$B439</f>
        <v>592404.0977</v>
      </c>
      <c r="L439" s="324"/>
      <c r="M439" s="320"/>
      <c r="N439" s="323">
        <f>N438*$B439</f>
        <v>724823.3203</v>
      </c>
      <c r="O439" s="324"/>
      <c r="P439" s="320"/>
      <c r="Q439" s="323">
        <f>Q438*$B439</f>
        <v>760084.0977</v>
      </c>
      <c r="R439" s="324"/>
      <c r="S439" s="320"/>
      <c r="T439" s="323">
        <f>T438*$B439</f>
        <v>724823.3203</v>
      </c>
      <c r="U439" s="324"/>
      <c r="V439" s="320"/>
      <c r="W439" s="323">
        <f>W438*$B439</f>
        <v>-333000</v>
      </c>
      <c r="X439" s="324">
        <f>W439-((373146-T439)+(317364-Q439)+(354259-N439))</f>
        <v>831961.7383</v>
      </c>
      <c r="Y439" s="320"/>
      <c r="Z439" s="323">
        <f>Z438*$B439</f>
        <v>-316500</v>
      </c>
      <c r="AA439" s="324"/>
      <c r="AB439" s="320"/>
      <c r="AC439" s="323">
        <f>AC438*$B439</f>
        <v>-300000</v>
      </c>
      <c r="AD439" s="324"/>
      <c r="AE439" s="320"/>
      <c r="AF439" s="323">
        <f>AF438*$B439</f>
        <v>-316500</v>
      </c>
      <c r="AG439" s="324"/>
      <c r="AH439" s="320"/>
      <c r="AI439" s="323">
        <f>AI438*$B439</f>
        <v>-316500</v>
      </c>
      <c r="AJ439" s="324"/>
      <c r="AK439" s="320"/>
      <c r="AL439" s="323">
        <f>AL438*$B439</f>
        <v>-316500</v>
      </c>
      <c r="AM439" s="324"/>
      <c r="AN439" s="316" t="s">
        <v>33</v>
      </c>
      <c r="AO439" s="316"/>
      <c r="AP439" s="316"/>
      <c r="AQ439" s="316"/>
      <c r="AR439" s="316"/>
      <c r="AS439" s="316"/>
      <c r="AT439" s="316"/>
      <c r="AU439" s="316"/>
      <c r="AV439" s="316"/>
      <c r="AW439" s="316"/>
      <c r="AX439" s="316"/>
      <c r="AY439" s="316"/>
      <c r="AZ439" s="316"/>
      <c r="BA439" s="316"/>
      <c r="BB439" s="316"/>
      <c r="BC439" s="316"/>
      <c r="BD439" s="316"/>
      <c r="BE439" s="316"/>
      <c r="BF439" s="316"/>
      <c r="BG439" s="316"/>
      <c r="BH439" s="316"/>
      <c r="BI439" s="316"/>
      <c r="BJ439" s="316"/>
      <c r="BK439" s="316"/>
      <c r="BL439" s="316"/>
      <c r="BM439" s="316"/>
      <c r="BN439" s="316"/>
    </row>
    <row r="440">
      <c r="A440" s="391" t="s">
        <v>2237</v>
      </c>
      <c r="B440" s="329">
        <v>0.5</v>
      </c>
      <c r="C440" s="330" t="s">
        <v>57</v>
      </c>
      <c r="D440" s="331"/>
      <c r="E440" s="332">
        <f>E438*$B440</f>
        <v>135334</v>
      </c>
      <c r="F440" s="333"/>
      <c r="G440" s="331"/>
      <c r="H440" s="332">
        <f>H438*$B440</f>
        <v>106399.6641</v>
      </c>
      <c r="I440" s="333"/>
      <c r="J440" s="331"/>
      <c r="K440" s="332">
        <f>K438*$B440</f>
        <v>592404.0977</v>
      </c>
      <c r="L440" s="333"/>
      <c r="M440" s="331"/>
      <c r="N440" s="332">
        <f>N438*$B440</f>
        <v>724823.3203</v>
      </c>
      <c r="O440" s="333"/>
      <c r="P440" s="331"/>
      <c r="Q440" s="332">
        <f>Q438*$B440</f>
        <v>760084.0977</v>
      </c>
      <c r="R440" s="333"/>
      <c r="S440" s="331"/>
      <c r="T440" s="332">
        <f>T438*$B440</f>
        <v>724823.3203</v>
      </c>
      <c r="U440" s="333"/>
      <c r="V440" s="331"/>
      <c r="W440" s="332">
        <f>W438*$B440</f>
        <v>-333000</v>
      </c>
      <c r="X440" s="333"/>
      <c r="Y440" s="331"/>
      <c r="Z440" s="332">
        <f>Z438*$B440</f>
        <v>-316500</v>
      </c>
      <c r="AA440" s="333"/>
      <c r="AB440" s="331"/>
      <c r="AC440" s="332">
        <f>AC438*$B440</f>
        <v>-300000</v>
      </c>
      <c r="AD440" s="333"/>
      <c r="AE440" s="331"/>
      <c r="AF440" s="332">
        <f>AF438*$B440</f>
        <v>-316500</v>
      </c>
      <c r="AG440" s="333"/>
      <c r="AH440" s="331"/>
      <c r="AI440" s="332">
        <f>AI438*$B440</f>
        <v>-316500</v>
      </c>
      <c r="AJ440" s="333"/>
      <c r="AK440" s="331"/>
      <c r="AL440" s="332">
        <f>AL438*$B440</f>
        <v>-316500</v>
      </c>
      <c r="AM440" s="333"/>
      <c r="AN440" s="316" t="s">
        <v>33</v>
      </c>
      <c r="AO440" s="316"/>
      <c r="AP440" s="316"/>
      <c r="AQ440" s="316"/>
      <c r="AR440" s="316"/>
      <c r="AS440" s="316"/>
      <c r="AT440" s="316"/>
      <c r="AU440" s="316"/>
      <c r="AV440" s="316"/>
      <c r="AW440" s="316"/>
      <c r="AX440" s="316"/>
      <c r="AY440" s="316"/>
      <c r="AZ440" s="316"/>
      <c r="BA440" s="316"/>
      <c r="BB440" s="316"/>
      <c r="BC440" s="316"/>
      <c r="BD440" s="316"/>
      <c r="BE440" s="316"/>
      <c r="BF440" s="316"/>
      <c r="BG440" s="316"/>
      <c r="BH440" s="316"/>
      <c r="BI440" s="316"/>
      <c r="BJ440" s="316"/>
      <c r="BK440" s="316"/>
      <c r="BL440" s="316"/>
      <c r="BM440" s="316"/>
      <c r="BN440" s="316"/>
    </row>
    <row r="441">
      <c r="A441" s="303" t="s">
        <v>2242</v>
      </c>
      <c r="B441" s="317" t="s">
        <v>730</v>
      </c>
      <c r="C441" s="325" t="s">
        <v>731</v>
      </c>
      <c r="D441" s="341" t="s">
        <v>1708</v>
      </c>
      <c r="E441" s="335">
        <v>520000.0</v>
      </c>
      <c r="F441" s="346">
        <v>100000.0</v>
      </c>
      <c r="G441" s="341" t="s">
        <v>1708</v>
      </c>
      <c r="H441" s="335">
        <v>520000.0</v>
      </c>
      <c r="I441" s="346">
        <v>100000.0</v>
      </c>
      <c r="J441" s="341" t="s">
        <v>1708</v>
      </c>
      <c r="K441" s="335">
        <v>520000.0</v>
      </c>
      <c r="L441" s="346">
        <v>100000.0</v>
      </c>
      <c r="M441" s="341" t="s">
        <v>1708</v>
      </c>
      <c r="N441" s="335">
        <v>520000.0</v>
      </c>
      <c r="O441" s="346">
        <v>100000.0</v>
      </c>
      <c r="P441" s="341" t="s">
        <v>1708</v>
      </c>
      <c r="Q441" s="335">
        <v>520000.0</v>
      </c>
      <c r="R441" s="346">
        <v>100000.0</v>
      </c>
      <c r="S441" s="341" t="s">
        <v>1708</v>
      </c>
      <c r="T441" s="335">
        <v>520000.0</v>
      </c>
      <c r="U441" s="346">
        <v>100000.0</v>
      </c>
      <c r="V441" s="341" t="s">
        <v>1708</v>
      </c>
      <c r="W441" s="335">
        <v>520000.0</v>
      </c>
      <c r="X441" s="346">
        <v>100000.0</v>
      </c>
      <c r="Y441" s="341" t="s">
        <v>1708</v>
      </c>
      <c r="Z441" s="335">
        <v>520000.0</v>
      </c>
      <c r="AA441" s="346">
        <v>100000.0</v>
      </c>
      <c r="AB441" s="341" t="s">
        <v>1708</v>
      </c>
      <c r="AC441" s="335">
        <v>520000.0</v>
      </c>
      <c r="AD441" s="346">
        <v>100000.0</v>
      </c>
      <c r="AE441" s="341" t="s">
        <v>1708</v>
      </c>
      <c r="AF441" s="335">
        <v>520000.0</v>
      </c>
      <c r="AG441" s="346">
        <v>100000.0</v>
      </c>
      <c r="AH441" s="341" t="s">
        <v>1708</v>
      </c>
      <c r="AI441" s="335">
        <v>520000.0</v>
      </c>
      <c r="AJ441" s="346">
        <v>100000.0</v>
      </c>
      <c r="AK441" s="341" t="s">
        <v>1708</v>
      </c>
      <c r="AL441" s="335">
        <v>520000.0</v>
      </c>
      <c r="AM441" s="346">
        <v>100000.0</v>
      </c>
      <c r="AN441" s="316" t="s">
        <v>33</v>
      </c>
      <c r="AO441" s="316"/>
      <c r="AP441" s="316"/>
      <c r="AQ441" s="316"/>
      <c r="AR441" s="316"/>
      <c r="AS441" s="316"/>
      <c r="AT441" s="316"/>
      <c r="AU441" s="316"/>
      <c r="AV441" s="316"/>
      <c r="AW441" s="316"/>
      <c r="AX441" s="316"/>
      <c r="AY441" s="316"/>
      <c r="AZ441" s="316"/>
      <c r="BA441" s="316"/>
      <c r="BB441" s="316"/>
      <c r="BC441" s="316"/>
      <c r="BD441" s="316"/>
      <c r="BE441" s="316"/>
      <c r="BF441" s="316"/>
      <c r="BG441" s="316"/>
      <c r="BH441" s="316"/>
      <c r="BI441" s="316"/>
      <c r="BJ441" s="316"/>
      <c r="BK441" s="316"/>
      <c r="BL441" s="316"/>
      <c r="BM441" s="316"/>
      <c r="BN441" s="316"/>
    </row>
    <row r="442">
      <c r="A442" s="303" t="s">
        <v>2242</v>
      </c>
      <c r="B442" s="317" t="s">
        <v>736</v>
      </c>
      <c r="C442" s="325" t="s">
        <v>737</v>
      </c>
      <c r="D442" s="353" t="s">
        <v>2243</v>
      </c>
      <c r="E442" s="335">
        <f>420000+230645</f>
        <v>650645</v>
      </c>
      <c r="F442" s="346">
        <f>80000+41935</f>
        <v>121935</v>
      </c>
      <c r="G442" s="353" t="s">
        <v>2244</v>
      </c>
      <c r="H442" s="335">
        <f>375000+550000</f>
        <v>925000</v>
      </c>
      <c r="I442" s="346">
        <f>71429+100000</f>
        <v>171429</v>
      </c>
      <c r="J442" s="326" t="s">
        <v>1714</v>
      </c>
      <c r="K442" s="348">
        <v>550000.0</v>
      </c>
      <c r="L442" s="346">
        <v>100000.0</v>
      </c>
      <c r="M442" s="326" t="s">
        <v>1714</v>
      </c>
      <c r="N442" s="348">
        <v>550000.0</v>
      </c>
      <c r="O442" s="346">
        <v>100000.0</v>
      </c>
      <c r="P442" s="326" t="s">
        <v>1714</v>
      </c>
      <c r="Q442" s="348">
        <v>550000.0</v>
      </c>
      <c r="R442" s="346">
        <v>100000.0</v>
      </c>
      <c r="S442" s="326" t="s">
        <v>1714</v>
      </c>
      <c r="T442" s="348">
        <v>550000.0</v>
      </c>
      <c r="U442" s="346">
        <v>100000.0</v>
      </c>
      <c r="V442" s="326" t="s">
        <v>2245</v>
      </c>
      <c r="W442" s="348">
        <v>550000.0</v>
      </c>
      <c r="X442" s="346">
        <v>100000.0</v>
      </c>
      <c r="Y442" s="326"/>
      <c r="Z442" s="321"/>
      <c r="AA442" s="322"/>
      <c r="AB442" s="326"/>
      <c r="AC442" s="321"/>
      <c r="AD442" s="322"/>
      <c r="AE442" s="326"/>
      <c r="AF442" s="321"/>
      <c r="AG442" s="322"/>
      <c r="AH442" s="326"/>
      <c r="AI442" s="321"/>
      <c r="AJ442" s="322"/>
      <c r="AK442" s="326"/>
      <c r="AL442" s="321"/>
      <c r="AM442" s="322"/>
      <c r="AN442" s="316" t="s">
        <v>33</v>
      </c>
      <c r="AO442" s="316"/>
      <c r="AP442" s="316"/>
      <c r="AQ442" s="316"/>
      <c r="AR442" s="316"/>
      <c r="AS442" s="316"/>
      <c r="AT442" s="316"/>
      <c r="AU442" s="316"/>
      <c r="AV442" s="316"/>
      <c r="AW442" s="316"/>
      <c r="AX442" s="316"/>
      <c r="AY442" s="316"/>
      <c r="AZ442" s="316"/>
      <c r="BA442" s="316"/>
      <c r="BB442" s="316"/>
      <c r="BC442" s="316"/>
      <c r="BD442" s="316"/>
      <c r="BE442" s="316"/>
      <c r="BF442" s="316"/>
      <c r="BG442" s="316"/>
      <c r="BH442" s="316"/>
      <c r="BI442" s="316"/>
      <c r="BJ442" s="316"/>
      <c r="BK442" s="316"/>
      <c r="BL442" s="316"/>
      <c r="BM442" s="316"/>
      <c r="BN442" s="316"/>
    </row>
    <row r="443">
      <c r="A443" s="303" t="s">
        <v>2242</v>
      </c>
      <c r="B443" s="317" t="s">
        <v>730</v>
      </c>
      <c r="C443" s="325" t="s">
        <v>743</v>
      </c>
      <c r="D443" s="341" t="s">
        <v>2246</v>
      </c>
      <c r="E443" s="348">
        <v>390000.0</v>
      </c>
      <c r="F443" s="346">
        <v>100000.0</v>
      </c>
      <c r="G443" s="353" t="s">
        <v>2247</v>
      </c>
      <c r="H443" s="335">
        <f>390000+251786</f>
        <v>641786</v>
      </c>
      <c r="I443" s="346">
        <f>100000+53571</f>
        <v>153571</v>
      </c>
      <c r="J443" s="326" t="s">
        <v>1718</v>
      </c>
      <c r="K443" s="348">
        <v>470000.0</v>
      </c>
      <c r="L443" s="346">
        <v>100000.0</v>
      </c>
      <c r="M443" s="326" t="s">
        <v>1718</v>
      </c>
      <c r="N443" s="348">
        <v>470000.0</v>
      </c>
      <c r="O443" s="346">
        <v>100000.0</v>
      </c>
      <c r="P443" s="326" t="s">
        <v>1718</v>
      </c>
      <c r="Q443" s="348">
        <v>470000.0</v>
      </c>
      <c r="R443" s="346">
        <v>100000.0</v>
      </c>
      <c r="S443" s="326" t="s">
        <v>1718</v>
      </c>
      <c r="T443" s="348">
        <v>470000.0</v>
      </c>
      <c r="U443" s="346">
        <v>100000.0</v>
      </c>
      <c r="V443" s="326" t="s">
        <v>1718</v>
      </c>
      <c r="W443" s="348">
        <v>470000.0</v>
      </c>
      <c r="X443" s="346">
        <v>100000.0</v>
      </c>
      <c r="Y443" s="326" t="s">
        <v>1718</v>
      </c>
      <c r="Z443" s="348">
        <v>470000.0</v>
      </c>
      <c r="AA443" s="346">
        <v>100000.0</v>
      </c>
      <c r="AB443" s="326" t="s">
        <v>1718</v>
      </c>
      <c r="AC443" s="348">
        <v>470000.0</v>
      </c>
      <c r="AD443" s="346">
        <v>100000.0</v>
      </c>
      <c r="AE443" s="326" t="s">
        <v>1718</v>
      </c>
      <c r="AF443" s="348">
        <v>470000.0</v>
      </c>
      <c r="AG443" s="346">
        <v>100000.0</v>
      </c>
      <c r="AH443" s="326" t="s">
        <v>1718</v>
      </c>
      <c r="AI443" s="348">
        <v>470000.0</v>
      </c>
      <c r="AJ443" s="346">
        <v>100000.0</v>
      </c>
      <c r="AK443" s="326" t="s">
        <v>1718</v>
      </c>
      <c r="AL443" s="348">
        <v>470000.0</v>
      </c>
      <c r="AM443" s="346">
        <v>100000.0</v>
      </c>
      <c r="AN443" s="316" t="s">
        <v>33</v>
      </c>
      <c r="AO443" s="316"/>
      <c r="AP443" s="316"/>
      <c r="AQ443" s="316"/>
      <c r="AR443" s="316"/>
      <c r="AS443" s="316"/>
      <c r="AT443" s="316"/>
      <c r="AU443" s="316"/>
      <c r="AV443" s="316"/>
      <c r="AW443" s="316"/>
      <c r="AX443" s="316"/>
      <c r="AY443" s="316"/>
      <c r="AZ443" s="316"/>
      <c r="BA443" s="316"/>
      <c r="BB443" s="316"/>
      <c r="BC443" s="316"/>
      <c r="BD443" s="316"/>
      <c r="BE443" s="316"/>
      <c r="BF443" s="316"/>
      <c r="BG443" s="316"/>
      <c r="BH443" s="316"/>
      <c r="BI443" s="316"/>
      <c r="BJ443" s="316"/>
      <c r="BK443" s="316"/>
      <c r="BL443" s="316"/>
      <c r="BM443" s="316"/>
      <c r="BN443" s="316"/>
    </row>
    <row r="444">
      <c r="A444" s="303" t="s">
        <v>2242</v>
      </c>
      <c r="B444" s="317" t="s">
        <v>730</v>
      </c>
      <c r="C444" s="325" t="s">
        <v>748</v>
      </c>
      <c r="D444" s="341" t="s">
        <v>2248</v>
      </c>
      <c r="E444" s="335">
        <v>420000.0</v>
      </c>
      <c r="F444" s="346">
        <v>100000.0</v>
      </c>
      <c r="G444" s="353" t="s">
        <v>2249</v>
      </c>
      <c r="H444" s="335">
        <f>386842+30000</f>
        <v>416842</v>
      </c>
      <c r="I444" s="346">
        <f>100000+7140</f>
        <v>107140</v>
      </c>
      <c r="J444" s="326" t="s">
        <v>1722</v>
      </c>
      <c r="K444" s="348">
        <v>420000.0</v>
      </c>
      <c r="L444" s="346">
        <v>100000.0</v>
      </c>
      <c r="M444" s="326" t="s">
        <v>1722</v>
      </c>
      <c r="N444" s="348">
        <v>420000.0</v>
      </c>
      <c r="O444" s="346">
        <v>100000.0</v>
      </c>
      <c r="P444" s="326" t="s">
        <v>1722</v>
      </c>
      <c r="Q444" s="348">
        <v>420000.0</v>
      </c>
      <c r="R444" s="346">
        <v>100000.0</v>
      </c>
      <c r="S444" s="326" t="s">
        <v>1722</v>
      </c>
      <c r="T444" s="348">
        <v>420000.0</v>
      </c>
      <c r="U444" s="346">
        <v>100000.0</v>
      </c>
      <c r="V444" s="326" t="s">
        <v>1722</v>
      </c>
      <c r="W444" s="348">
        <v>420000.0</v>
      </c>
      <c r="X444" s="346">
        <v>100000.0</v>
      </c>
      <c r="Y444" s="326" t="s">
        <v>2250</v>
      </c>
      <c r="Z444" s="348">
        <v>420000.0</v>
      </c>
      <c r="AA444" s="346">
        <v>100000.0</v>
      </c>
      <c r="AB444" s="326"/>
      <c r="AC444" s="321"/>
      <c r="AD444" s="322"/>
      <c r="AE444" s="326"/>
      <c r="AF444" s="321"/>
      <c r="AG444" s="322"/>
      <c r="AH444" s="326"/>
      <c r="AI444" s="321"/>
      <c r="AJ444" s="322"/>
      <c r="AK444" s="326"/>
      <c r="AL444" s="321"/>
      <c r="AM444" s="322"/>
      <c r="AN444" s="316" t="s">
        <v>33</v>
      </c>
      <c r="AO444" s="316"/>
      <c r="AP444" s="316"/>
      <c r="AQ444" s="316"/>
      <c r="AR444" s="316"/>
      <c r="AS444" s="316"/>
      <c r="AT444" s="316"/>
      <c r="AU444" s="316"/>
      <c r="AV444" s="316"/>
      <c r="AW444" s="316"/>
      <c r="AX444" s="316"/>
      <c r="AY444" s="316"/>
      <c r="AZ444" s="316"/>
      <c r="BA444" s="316"/>
      <c r="BB444" s="316"/>
      <c r="BC444" s="316"/>
      <c r="BD444" s="316"/>
      <c r="BE444" s="316"/>
      <c r="BF444" s="316"/>
      <c r="BG444" s="316"/>
      <c r="BH444" s="316"/>
      <c r="BI444" s="316"/>
      <c r="BJ444" s="316"/>
      <c r="BK444" s="316"/>
      <c r="BL444" s="316"/>
      <c r="BM444" s="316"/>
      <c r="BN444" s="316"/>
    </row>
    <row r="445">
      <c r="A445" s="303" t="s">
        <v>2242</v>
      </c>
      <c r="B445" s="317" t="s">
        <v>730</v>
      </c>
      <c r="C445" s="325" t="s">
        <v>753</v>
      </c>
      <c r="D445" s="341" t="s">
        <v>2251</v>
      </c>
      <c r="E445" s="335">
        <v>420000.0</v>
      </c>
      <c r="F445" s="346">
        <v>100000.0</v>
      </c>
      <c r="G445" s="353" t="s">
        <v>2252</v>
      </c>
      <c r="H445" s="348">
        <v>345000.0</v>
      </c>
      <c r="I445" s="346">
        <v>100000.0</v>
      </c>
      <c r="J445" s="326" t="s">
        <v>2253</v>
      </c>
      <c r="K445" s="321">
        <v>406452.0</v>
      </c>
      <c r="L445" s="322">
        <v>96774.0</v>
      </c>
      <c r="M445" s="326" t="s">
        <v>1725</v>
      </c>
      <c r="N445" s="348">
        <v>420000.0</v>
      </c>
      <c r="O445" s="346">
        <v>100000.0</v>
      </c>
      <c r="P445" s="326" t="s">
        <v>1725</v>
      </c>
      <c r="Q445" s="348">
        <v>420000.0</v>
      </c>
      <c r="R445" s="346">
        <v>100000.0</v>
      </c>
      <c r="S445" s="326" t="s">
        <v>1725</v>
      </c>
      <c r="T445" s="348">
        <v>420000.0</v>
      </c>
      <c r="U445" s="346">
        <v>100000.0</v>
      </c>
      <c r="V445" s="326" t="s">
        <v>1725</v>
      </c>
      <c r="W445" s="348">
        <v>420000.0</v>
      </c>
      <c r="X445" s="346">
        <v>100000.0</v>
      </c>
      <c r="Y445" s="326" t="s">
        <v>2254</v>
      </c>
      <c r="Z445" s="348">
        <v>338710.0</v>
      </c>
      <c r="AA445" s="345">
        <v>80645.0</v>
      </c>
      <c r="AB445" s="326"/>
      <c r="AC445" s="321"/>
      <c r="AD445" s="322"/>
      <c r="AE445" s="326"/>
      <c r="AF445" s="321"/>
      <c r="AG445" s="322"/>
      <c r="AH445" s="326"/>
      <c r="AI445" s="321"/>
      <c r="AJ445" s="322"/>
      <c r="AK445" s="326"/>
      <c r="AL445" s="321"/>
      <c r="AM445" s="322"/>
      <c r="AN445" s="316" t="s">
        <v>33</v>
      </c>
      <c r="AO445" s="316"/>
      <c r="AP445" s="316"/>
      <c r="AQ445" s="316"/>
      <c r="AR445" s="316"/>
      <c r="AS445" s="316"/>
      <c r="AT445" s="316"/>
      <c r="AU445" s="316"/>
      <c r="AV445" s="316"/>
      <c r="AW445" s="316"/>
      <c r="AX445" s="316"/>
      <c r="AY445" s="316"/>
      <c r="AZ445" s="316"/>
      <c r="BA445" s="316"/>
      <c r="BB445" s="316"/>
      <c r="BC445" s="316"/>
      <c r="BD445" s="316"/>
      <c r="BE445" s="316"/>
      <c r="BF445" s="316"/>
      <c r="BG445" s="316"/>
      <c r="BH445" s="316"/>
      <c r="BI445" s="316"/>
      <c r="BJ445" s="316"/>
      <c r="BK445" s="316"/>
      <c r="BL445" s="316"/>
      <c r="BM445" s="316"/>
      <c r="BN445" s="316"/>
    </row>
    <row r="446">
      <c r="A446" s="303" t="s">
        <v>2242</v>
      </c>
      <c r="B446" s="304"/>
      <c r="C446" s="305" t="s">
        <v>42</v>
      </c>
      <c r="D446" s="320"/>
      <c r="E446" s="323">
        <f t="shared" ref="E446:F446" si="588">SUM(E441:E445)</f>
        <v>2400645</v>
      </c>
      <c r="F446" s="324">
        <f t="shared" si="588"/>
        <v>521935</v>
      </c>
      <c r="G446" s="320"/>
      <c r="H446" s="323">
        <f t="shared" ref="H446:I446" si="589">SUM(H441:H445)</f>
        <v>2848628</v>
      </c>
      <c r="I446" s="324">
        <f t="shared" si="589"/>
        <v>632140</v>
      </c>
      <c r="J446" s="320"/>
      <c r="K446" s="323">
        <f t="shared" ref="K446:L446" si="590">SUM(K441:K445)</f>
        <v>2366452</v>
      </c>
      <c r="L446" s="324">
        <f t="shared" si="590"/>
        <v>496774</v>
      </c>
      <c r="M446" s="320"/>
      <c r="N446" s="323">
        <f t="shared" ref="N446:O446" si="591">SUM(N441:N445)</f>
        <v>2380000</v>
      </c>
      <c r="O446" s="324">
        <f t="shared" si="591"/>
        <v>500000</v>
      </c>
      <c r="P446" s="320"/>
      <c r="Q446" s="323">
        <f t="shared" ref="Q446:R446" si="592">SUM(Q441:Q445)</f>
        <v>2380000</v>
      </c>
      <c r="R446" s="324">
        <f t="shared" si="592"/>
        <v>500000</v>
      </c>
      <c r="S446" s="320"/>
      <c r="T446" s="323">
        <f t="shared" ref="T446:U446" si="593">SUM(T441:T445)</f>
        <v>2380000</v>
      </c>
      <c r="U446" s="324">
        <f t="shared" si="593"/>
        <v>500000</v>
      </c>
      <c r="V446" s="320"/>
      <c r="W446" s="323">
        <f t="shared" ref="W446:X446" si="594">SUM(W441:W445)</f>
        <v>2380000</v>
      </c>
      <c r="X446" s="324">
        <f t="shared" si="594"/>
        <v>500000</v>
      </c>
      <c r="Y446" s="320"/>
      <c r="Z446" s="323">
        <f t="shared" ref="Z446:AA446" si="595">SUM(Z441:Z445)</f>
        <v>1748710</v>
      </c>
      <c r="AA446" s="324">
        <f t="shared" si="595"/>
        <v>380645</v>
      </c>
      <c r="AB446" s="320"/>
      <c r="AC446" s="323">
        <f t="shared" ref="AC446:AD446" si="596">SUM(AC441:AC445)</f>
        <v>990000</v>
      </c>
      <c r="AD446" s="324">
        <f t="shared" si="596"/>
        <v>200000</v>
      </c>
      <c r="AE446" s="320"/>
      <c r="AF446" s="323">
        <f t="shared" ref="AF446:AG446" si="597">SUM(AF441:AF445)</f>
        <v>990000</v>
      </c>
      <c r="AG446" s="324">
        <f t="shared" si="597"/>
        <v>200000</v>
      </c>
      <c r="AH446" s="320"/>
      <c r="AI446" s="323">
        <f t="shared" ref="AI446:AJ446" si="598">SUM(AI441:AI445)</f>
        <v>990000</v>
      </c>
      <c r="AJ446" s="324">
        <f t="shared" si="598"/>
        <v>200000</v>
      </c>
      <c r="AK446" s="320"/>
      <c r="AL446" s="323">
        <f t="shared" ref="AL446:AM446" si="599">SUM(AL441:AL445)</f>
        <v>990000</v>
      </c>
      <c r="AM446" s="324">
        <f t="shared" si="599"/>
        <v>200000</v>
      </c>
      <c r="AN446" s="316" t="s">
        <v>33</v>
      </c>
      <c r="AO446" s="316"/>
      <c r="AP446" s="316"/>
      <c r="AQ446" s="316"/>
      <c r="AR446" s="316"/>
      <c r="AS446" s="316"/>
      <c r="AT446" s="316"/>
      <c r="AU446" s="316"/>
      <c r="AV446" s="316"/>
      <c r="AW446" s="316"/>
      <c r="AX446" s="316"/>
      <c r="AY446" s="316"/>
      <c r="AZ446" s="316"/>
      <c r="BA446" s="316"/>
      <c r="BB446" s="316"/>
      <c r="BC446" s="316"/>
      <c r="BD446" s="316"/>
      <c r="BE446" s="316"/>
      <c r="BF446" s="316"/>
      <c r="BG446" s="316"/>
      <c r="BH446" s="316"/>
      <c r="BI446" s="316"/>
      <c r="BJ446" s="316"/>
      <c r="BK446" s="316"/>
      <c r="BL446" s="316"/>
      <c r="BM446" s="316"/>
      <c r="BN446" s="316"/>
    </row>
    <row r="447" collapsed="1">
      <c r="A447" s="303" t="s">
        <v>2242</v>
      </c>
      <c r="B447" s="304"/>
      <c r="C447" s="325" t="s">
        <v>43</v>
      </c>
      <c r="D447" s="326"/>
      <c r="E447" s="321">
        <v>870000.0</v>
      </c>
      <c r="F447" s="324"/>
      <c r="G447" s="326"/>
      <c r="H447" s="321">
        <v>870000.0</v>
      </c>
      <c r="I447" s="324"/>
      <c r="J447" s="326"/>
      <c r="K447" s="321">
        <v>870000.0</v>
      </c>
      <c r="L447" s="324"/>
      <c r="M447" s="326"/>
      <c r="N447" s="321">
        <v>870000.0</v>
      </c>
      <c r="O447" s="324"/>
      <c r="P447" s="326"/>
      <c r="Q447" s="321">
        <v>870000.0</v>
      </c>
      <c r="R447" s="324"/>
      <c r="S447" s="326"/>
      <c r="T447" s="321">
        <v>870000.0</v>
      </c>
      <c r="U447" s="324"/>
      <c r="V447" s="326"/>
      <c r="W447" s="321">
        <v>870000.0</v>
      </c>
      <c r="X447" s="324"/>
      <c r="Y447" s="326"/>
      <c r="Z447" s="321">
        <v>870000.0</v>
      </c>
      <c r="AA447" s="324"/>
      <c r="AB447" s="326"/>
      <c r="AC447" s="321">
        <v>870000.0</v>
      </c>
      <c r="AD447" s="324"/>
      <c r="AE447" s="326"/>
      <c r="AF447" s="321">
        <v>870000.0</v>
      </c>
      <c r="AG447" s="324"/>
      <c r="AH447" s="326"/>
      <c r="AI447" s="321">
        <v>870000.0</v>
      </c>
      <c r="AJ447" s="324"/>
      <c r="AK447" s="326"/>
      <c r="AL447" s="321">
        <v>870000.0</v>
      </c>
      <c r="AM447" s="324"/>
      <c r="AN447" s="316" t="s">
        <v>33</v>
      </c>
      <c r="AO447" s="316"/>
      <c r="AP447" s="316"/>
      <c r="AQ447" s="316"/>
      <c r="AR447" s="316"/>
      <c r="AS447" s="316"/>
      <c r="AT447" s="316"/>
      <c r="AU447" s="316"/>
      <c r="AV447" s="316"/>
      <c r="AW447" s="316"/>
      <c r="AX447" s="316"/>
      <c r="AY447" s="316"/>
      <c r="AZ447" s="316"/>
      <c r="BA447" s="316"/>
      <c r="BB447" s="316"/>
      <c r="BC447" s="316"/>
      <c r="BD447" s="316"/>
      <c r="BE447" s="316"/>
      <c r="BF447" s="316"/>
      <c r="BG447" s="316"/>
      <c r="BH447" s="316"/>
      <c r="BI447" s="316"/>
      <c r="BJ447" s="316"/>
      <c r="BK447" s="316"/>
      <c r="BL447" s="316"/>
      <c r="BM447" s="316"/>
      <c r="BN447" s="316"/>
    </row>
    <row r="448" hidden="1" outlineLevel="1">
      <c r="A448" s="303" t="s">
        <v>2242</v>
      </c>
      <c r="B448" s="304"/>
      <c r="C448" s="325" t="s">
        <v>45</v>
      </c>
      <c r="D448" s="326"/>
      <c r="E448" s="321"/>
      <c r="F448" s="322"/>
      <c r="G448" s="326"/>
      <c r="H448" s="321"/>
      <c r="I448" s="322"/>
      <c r="J448" s="326"/>
      <c r="K448" s="321"/>
      <c r="L448" s="322"/>
      <c r="M448" s="326"/>
      <c r="N448" s="321"/>
      <c r="O448" s="322"/>
      <c r="P448" s="326"/>
      <c r="Q448" s="321"/>
      <c r="R448" s="322"/>
      <c r="S448" s="326"/>
      <c r="T448" s="321"/>
      <c r="U448" s="322"/>
      <c r="V448" s="326"/>
      <c r="W448" s="321"/>
      <c r="X448" s="322"/>
      <c r="Y448" s="326"/>
      <c r="Z448" s="321"/>
      <c r="AA448" s="322"/>
      <c r="AB448" s="326"/>
      <c r="AC448" s="321"/>
      <c r="AD448" s="322"/>
      <c r="AE448" s="326"/>
      <c r="AF448" s="321"/>
      <c r="AG448" s="322"/>
      <c r="AH448" s="326"/>
      <c r="AI448" s="321"/>
      <c r="AJ448" s="322"/>
      <c r="AK448" s="326"/>
      <c r="AL448" s="321"/>
      <c r="AM448" s="322"/>
      <c r="AN448" s="316" t="s">
        <v>33</v>
      </c>
      <c r="AO448" s="316"/>
      <c r="AP448" s="316"/>
      <c r="AQ448" s="316"/>
      <c r="AR448" s="316"/>
      <c r="AS448" s="316"/>
      <c r="AT448" s="316"/>
      <c r="AU448" s="316"/>
      <c r="AV448" s="316"/>
      <c r="AW448" s="316"/>
      <c r="AX448" s="316"/>
      <c r="AY448" s="316"/>
      <c r="AZ448" s="316"/>
      <c r="BA448" s="316"/>
      <c r="BB448" s="316"/>
      <c r="BC448" s="316"/>
      <c r="BD448" s="316"/>
      <c r="BE448" s="316"/>
      <c r="BF448" s="316"/>
      <c r="BG448" s="316"/>
      <c r="BH448" s="316"/>
      <c r="BI448" s="316"/>
      <c r="BJ448" s="316"/>
      <c r="BK448" s="316"/>
      <c r="BL448" s="316"/>
      <c r="BM448" s="316"/>
      <c r="BN448" s="316"/>
    </row>
    <row r="449" hidden="1" outlineLevel="1">
      <c r="A449" s="303" t="s">
        <v>2242</v>
      </c>
      <c r="B449" s="317" t="s">
        <v>758</v>
      </c>
      <c r="C449" s="325" t="s">
        <v>47</v>
      </c>
      <c r="D449" s="326"/>
      <c r="E449" s="321"/>
      <c r="F449" s="322">
        <v>112760.0</v>
      </c>
      <c r="G449" s="326"/>
      <c r="H449" s="321"/>
      <c r="I449" s="322">
        <v>161650.0</v>
      </c>
      <c r="J449" s="326"/>
      <c r="K449" s="321"/>
      <c r="L449" s="322">
        <v>63170.0</v>
      </c>
      <c r="M449" s="326"/>
      <c r="N449" s="321"/>
      <c r="O449" s="322"/>
      <c r="P449" s="326"/>
      <c r="Q449" s="321"/>
      <c r="R449" s="322"/>
      <c r="S449" s="326"/>
      <c r="T449" s="321"/>
      <c r="U449" s="322"/>
      <c r="V449" s="326"/>
      <c r="W449" s="321"/>
      <c r="X449" s="322"/>
      <c r="Y449" s="326"/>
      <c r="Z449" s="321"/>
      <c r="AA449" s="322"/>
      <c r="AB449" s="326"/>
      <c r="AC449" s="321"/>
      <c r="AD449" s="322"/>
      <c r="AE449" s="326"/>
      <c r="AF449" s="321"/>
      <c r="AG449" s="322"/>
      <c r="AH449" s="326"/>
      <c r="AI449" s="321"/>
      <c r="AJ449" s="322"/>
      <c r="AK449" s="326"/>
      <c r="AL449" s="321"/>
      <c r="AM449" s="322"/>
      <c r="AN449" s="316" t="s">
        <v>33</v>
      </c>
      <c r="AO449" s="316"/>
      <c r="AP449" s="316"/>
      <c r="AQ449" s="316"/>
      <c r="AR449" s="316"/>
      <c r="AS449" s="316"/>
      <c r="AT449" s="316"/>
      <c r="AU449" s="316"/>
      <c r="AV449" s="316"/>
      <c r="AW449" s="316"/>
      <c r="AX449" s="316"/>
      <c r="AY449" s="316"/>
      <c r="AZ449" s="316"/>
      <c r="BA449" s="316"/>
      <c r="BB449" s="316"/>
      <c r="BC449" s="316"/>
      <c r="BD449" s="316"/>
      <c r="BE449" s="316"/>
      <c r="BF449" s="316"/>
      <c r="BG449" s="316"/>
      <c r="BH449" s="316"/>
      <c r="BI449" s="316"/>
      <c r="BJ449" s="316"/>
      <c r="BK449" s="316"/>
      <c r="BL449" s="316"/>
      <c r="BM449" s="316"/>
      <c r="BN449" s="316"/>
    </row>
    <row r="450" hidden="1" outlineLevel="1">
      <c r="A450" s="303" t="s">
        <v>2242</v>
      </c>
      <c r="B450" s="317" t="s">
        <v>759</v>
      </c>
      <c r="C450" s="325" t="s">
        <v>49</v>
      </c>
      <c r="D450" s="326"/>
      <c r="E450" s="321"/>
      <c r="F450" s="322">
        <v>144820.0</v>
      </c>
      <c r="G450" s="326"/>
      <c r="H450" s="321"/>
      <c r="I450" s="322">
        <v>195090.0</v>
      </c>
      <c r="J450" s="326"/>
      <c r="K450" s="321"/>
      <c r="L450" s="322">
        <v>101430.0</v>
      </c>
      <c r="M450" s="326"/>
      <c r="N450" s="321"/>
      <c r="O450" s="322"/>
      <c r="P450" s="326"/>
      <c r="Q450" s="321"/>
      <c r="R450" s="322"/>
      <c r="S450" s="326"/>
      <c r="T450" s="321"/>
      <c r="U450" s="322"/>
      <c r="V450" s="326"/>
      <c r="W450" s="321"/>
      <c r="X450" s="322"/>
      <c r="Y450" s="326"/>
      <c r="Z450" s="321"/>
      <c r="AA450" s="322"/>
      <c r="AB450" s="326"/>
      <c r="AC450" s="321"/>
      <c r="AD450" s="322"/>
      <c r="AE450" s="326"/>
      <c r="AF450" s="321"/>
      <c r="AG450" s="322"/>
      <c r="AH450" s="326"/>
      <c r="AI450" s="321"/>
      <c r="AJ450" s="322"/>
      <c r="AK450" s="326"/>
      <c r="AL450" s="321"/>
      <c r="AM450" s="322"/>
      <c r="AN450" s="316" t="s">
        <v>33</v>
      </c>
      <c r="AO450" s="316"/>
      <c r="AP450" s="316"/>
      <c r="AQ450" s="316"/>
      <c r="AR450" s="316"/>
      <c r="AS450" s="316"/>
      <c r="AT450" s="316"/>
      <c r="AU450" s="316"/>
      <c r="AV450" s="316"/>
      <c r="AW450" s="316"/>
      <c r="AX450" s="316"/>
      <c r="AY450" s="316"/>
      <c r="AZ450" s="316"/>
      <c r="BA450" s="316"/>
      <c r="BB450" s="316"/>
      <c r="BC450" s="316"/>
      <c r="BD450" s="316"/>
      <c r="BE450" s="316"/>
      <c r="BF450" s="316"/>
      <c r="BG450" s="316"/>
      <c r="BH450" s="316"/>
      <c r="BI450" s="316"/>
      <c r="BJ450" s="316"/>
      <c r="BK450" s="316"/>
      <c r="BL450" s="316"/>
      <c r="BM450" s="316"/>
      <c r="BN450" s="316"/>
    </row>
    <row r="451" hidden="1" outlineLevel="1">
      <c r="A451" s="303" t="s">
        <v>2242</v>
      </c>
      <c r="B451" s="317" t="s">
        <v>680</v>
      </c>
      <c r="C451" s="325" t="s">
        <v>51</v>
      </c>
      <c r="D451" s="326"/>
      <c r="E451" s="321"/>
      <c r="F451" s="322">
        <v>36000.0</v>
      </c>
      <c r="G451" s="326"/>
      <c r="H451" s="321"/>
      <c r="I451" s="322"/>
      <c r="J451" s="326"/>
      <c r="K451" s="321"/>
      <c r="L451" s="322"/>
      <c r="M451" s="326"/>
      <c r="N451" s="321"/>
      <c r="O451" s="322"/>
      <c r="P451" s="326"/>
      <c r="Q451" s="321"/>
      <c r="R451" s="322"/>
      <c r="S451" s="326"/>
      <c r="T451" s="321"/>
      <c r="U451" s="322"/>
      <c r="V451" s="326"/>
      <c r="W451" s="321"/>
      <c r="X451" s="322"/>
      <c r="Y451" s="326"/>
      <c r="Z451" s="321"/>
      <c r="AA451" s="322"/>
      <c r="AB451" s="326"/>
      <c r="AC451" s="321"/>
      <c r="AD451" s="322"/>
      <c r="AE451" s="326"/>
      <c r="AF451" s="321"/>
      <c r="AG451" s="322"/>
      <c r="AH451" s="326"/>
      <c r="AI451" s="321"/>
      <c r="AJ451" s="322"/>
      <c r="AK451" s="326"/>
      <c r="AL451" s="321"/>
      <c r="AM451" s="322"/>
      <c r="AN451" s="316" t="s">
        <v>33</v>
      </c>
      <c r="AO451" s="316"/>
      <c r="AP451" s="316"/>
      <c r="AQ451" s="316"/>
      <c r="AR451" s="316"/>
      <c r="AS451" s="316"/>
      <c r="AT451" s="316"/>
      <c r="AU451" s="316"/>
      <c r="AV451" s="316"/>
      <c r="AW451" s="316"/>
      <c r="AX451" s="316"/>
      <c r="AY451" s="316"/>
      <c r="AZ451" s="316"/>
      <c r="BA451" s="316"/>
      <c r="BB451" s="316"/>
      <c r="BC451" s="316"/>
      <c r="BD451" s="316"/>
      <c r="BE451" s="316"/>
      <c r="BF451" s="316"/>
      <c r="BG451" s="316"/>
      <c r="BH451" s="316"/>
      <c r="BI451" s="316"/>
      <c r="BJ451" s="316"/>
      <c r="BK451" s="316"/>
      <c r="BL451" s="316"/>
      <c r="BM451" s="316"/>
      <c r="BN451" s="316"/>
    </row>
    <row r="452" hidden="1" outlineLevel="1">
      <c r="A452" s="303" t="s">
        <v>2242</v>
      </c>
      <c r="B452" s="304"/>
      <c r="C452" s="325" t="s">
        <v>52</v>
      </c>
      <c r="D452" s="326"/>
      <c r="E452" s="321"/>
      <c r="F452" s="322">
        <v>22000.0</v>
      </c>
      <c r="G452" s="326"/>
      <c r="H452" s="321"/>
      <c r="I452" s="322">
        <v>22000.0</v>
      </c>
      <c r="J452" s="326"/>
      <c r="K452" s="321"/>
      <c r="L452" s="322">
        <v>22000.0</v>
      </c>
      <c r="M452" s="326"/>
      <c r="N452" s="321"/>
      <c r="O452" s="322">
        <v>22000.0</v>
      </c>
      <c r="P452" s="326"/>
      <c r="Q452" s="321"/>
      <c r="R452" s="322">
        <v>22000.0</v>
      </c>
      <c r="S452" s="326"/>
      <c r="T452" s="321"/>
      <c r="U452" s="322">
        <v>22000.0</v>
      </c>
      <c r="V452" s="326"/>
      <c r="W452" s="321"/>
      <c r="X452" s="322">
        <v>22000.0</v>
      </c>
      <c r="Y452" s="326"/>
      <c r="Z452" s="321"/>
      <c r="AA452" s="322">
        <v>22000.0</v>
      </c>
      <c r="AB452" s="326"/>
      <c r="AC452" s="321"/>
      <c r="AD452" s="322">
        <v>22000.0</v>
      </c>
      <c r="AE452" s="326"/>
      <c r="AF452" s="321"/>
      <c r="AG452" s="322">
        <v>22000.0</v>
      </c>
      <c r="AH452" s="326"/>
      <c r="AI452" s="321"/>
      <c r="AJ452" s="322">
        <v>22000.0</v>
      </c>
      <c r="AK452" s="326"/>
      <c r="AL452" s="321"/>
      <c r="AM452" s="322">
        <v>22000.0</v>
      </c>
      <c r="AN452" s="316" t="s">
        <v>33</v>
      </c>
      <c r="AO452" s="316"/>
      <c r="AP452" s="316"/>
      <c r="AQ452" s="316"/>
      <c r="AR452" s="316"/>
      <c r="AS452" s="316"/>
      <c r="AT452" s="316"/>
      <c r="AU452" s="316"/>
      <c r="AV452" s="316"/>
      <c r="AW452" s="316"/>
      <c r="AX452" s="316"/>
      <c r="AY452" s="316"/>
      <c r="AZ452" s="316"/>
      <c r="BA452" s="316"/>
      <c r="BB452" s="316"/>
      <c r="BC452" s="316"/>
      <c r="BD452" s="316"/>
      <c r="BE452" s="316"/>
      <c r="BF452" s="316"/>
      <c r="BG452" s="316"/>
      <c r="BH452" s="316"/>
      <c r="BI452" s="316"/>
      <c r="BJ452" s="316"/>
      <c r="BK452" s="316"/>
      <c r="BL452" s="316"/>
      <c r="BM452" s="316"/>
      <c r="BN452" s="316"/>
    </row>
    <row r="453" hidden="1" outlineLevel="1">
      <c r="A453" s="303" t="s">
        <v>2242</v>
      </c>
      <c r="B453" s="304"/>
      <c r="C453" s="325" t="s">
        <v>53</v>
      </c>
      <c r="D453" s="326"/>
      <c r="E453" s="321"/>
      <c r="F453" s="322">
        <v>10000.0</v>
      </c>
      <c r="G453" s="326"/>
      <c r="H453" s="321"/>
      <c r="I453" s="322">
        <v>10000.0</v>
      </c>
      <c r="J453" s="326"/>
      <c r="K453" s="321"/>
      <c r="L453" s="322">
        <v>10000.0</v>
      </c>
      <c r="M453" s="326"/>
      <c r="N453" s="321"/>
      <c r="O453" s="322">
        <v>10000.0</v>
      </c>
      <c r="P453" s="326"/>
      <c r="Q453" s="321"/>
      <c r="R453" s="322">
        <v>10000.0</v>
      </c>
      <c r="S453" s="326"/>
      <c r="T453" s="321"/>
      <c r="U453" s="322">
        <v>10000.0</v>
      </c>
      <c r="V453" s="326"/>
      <c r="W453" s="321"/>
      <c r="X453" s="322">
        <v>10000.0</v>
      </c>
      <c r="Y453" s="326"/>
      <c r="Z453" s="321"/>
      <c r="AA453" s="322">
        <v>10000.0</v>
      </c>
      <c r="AB453" s="326"/>
      <c r="AC453" s="321"/>
      <c r="AD453" s="322">
        <v>10000.0</v>
      </c>
      <c r="AE453" s="326"/>
      <c r="AF453" s="321"/>
      <c r="AG453" s="322">
        <v>10000.0</v>
      </c>
      <c r="AH453" s="326"/>
      <c r="AI453" s="321"/>
      <c r="AJ453" s="322">
        <v>10000.0</v>
      </c>
      <c r="AK453" s="326"/>
      <c r="AL453" s="321"/>
      <c r="AM453" s="322">
        <v>10000.0</v>
      </c>
      <c r="AN453" s="316" t="s">
        <v>33</v>
      </c>
      <c r="AO453" s="316"/>
      <c r="AP453" s="316"/>
      <c r="AQ453" s="316"/>
      <c r="AR453" s="316"/>
      <c r="AS453" s="316"/>
      <c r="AT453" s="316"/>
      <c r="AU453" s="316"/>
      <c r="AV453" s="316"/>
      <c r="AW453" s="316"/>
      <c r="AX453" s="316"/>
      <c r="AY453" s="316"/>
      <c r="AZ453" s="316"/>
      <c r="BA453" s="316"/>
      <c r="BB453" s="316"/>
      <c r="BC453" s="316"/>
      <c r="BD453" s="316"/>
      <c r="BE453" s="316"/>
      <c r="BF453" s="316"/>
      <c r="BG453" s="316"/>
      <c r="BH453" s="316"/>
      <c r="BI453" s="316"/>
      <c r="BJ453" s="316"/>
      <c r="BK453" s="316"/>
      <c r="BL453" s="316"/>
      <c r="BM453" s="316"/>
      <c r="BN453" s="316"/>
    </row>
    <row r="454" hidden="1" outlineLevel="1">
      <c r="A454" s="303" t="s">
        <v>2242</v>
      </c>
      <c r="B454" s="304"/>
      <c r="C454" s="325" t="s">
        <v>54</v>
      </c>
      <c r="D454" s="327"/>
      <c r="E454" s="321"/>
      <c r="F454" s="322">
        <f>SUMIFS('지출'!$G$3:$G794,'지출'!$J$3:$J794,F$1,'지출'!$C$3:$C794,"소녀")</f>
        <v>95250</v>
      </c>
      <c r="G454" s="327"/>
      <c r="H454" s="321"/>
      <c r="I454" s="322">
        <f>SUMIFS('지출'!$G$3:$G794,'지출'!$J$3:$J794,I$1,'지출'!$C$3:$C794,"소녀")</f>
        <v>80690</v>
      </c>
      <c r="J454" s="327"/>
      <c r="K454" s="321"/>
      <c r="L454" s="322">
        <f>SUMIFS('지출'!$G$3:$G794,'지출'!$J$3:$J794,L$1,'지출'!$C$3:$C794,"소녀")</f>
        <v>35730</v>
      </c>
      <c r="M454" s="327"/>
      <c r="N454" s="321"/>
      <c r="O454" s="322">
        <f>SUMIFS('지출'!$G$3:$G794,'지출'!$J$3:$J794,O$1,'지출'!$C$3:$C794,"소녀")</f>
        <v>0</v>
      </c>
      <c r="P454" s="327"/>
      <c r="Q454" s="321"/>
      <c r="R454" s="322">
        <f>SUMIFS('지출'!$G$3:$G794,'지출'!$J$3:$J794,R$1,'지출'!$C$3:$C794,"소녀")</f>
        <v>0</v>
      </c>
      <c r="S454" s="327"/>
      <c r="T454" s="321"/>
      <c r="U454" s="322">
        <f>SUMIFS('지출'!$G$3:$G794,'지출'!$J$3:$J794,U$1,'지출'!$C$3:$C794,"소녀")</f>
        <v>0</v>
      </c>
      <c r="V454" s="327"/>
      <c r="W454" s="321"/>
      <c r="X454" s="322">
        <f>SUMIFS('지출'!$G$3:$G794,'지출'!$J$3:$J794,X$1,'지출'!$C$3:$C794,"소녀")</f>
        <v>0</v>
      </c>
      <c r="Y454" s="327"/>
      <c r="Z454" s="321"/>
      <c r="AA454" s="322">
        <f>SUMIFS('지출'!$G$3:$G794,'지출'!$J$3:$J794,AA$1,'지출'!$C$3:$C794,"소녀")</f>
        <v>0</v>
      </c>
      <c r="AB454" s="327"/>
      <c r="AC454" s="321"/>
      <c r="AD454" s="322">
        <f>SUMIFS('지출'!$G$3:$G794,'지출'!$J$3:$J794,AD$1,'지출'!$C$3:$C794,"소녀")</f>
        <v>0</v>
      </c>
      <c r="AE454" s="327"/>
      <c r="AF454" s="321"/>
      <c r="AG454" s="322">
        <f>SUMIFS('지출'!$G$3:$G794,'지출'!$J$3:$J794,AG$1,'지출'!$C$3:$C794,"소녀")</f>
        <v>0</v>
      </c>
      <c r="AH454" s="327"/>
      <c r="AI454" s="321"/>
      <c r="AJ454" s="322">
        <f>SUMIFS('지출'!$G$3:$G794,'지출'!$J$3:$J794,AJ$1,'지출'!$C$3:$C794,"소녀")</f>
        <v>0</v>
      </c>
      <c r="AK454" s="327"/>
      <c r="AL454" s="321"/>
      <c r="AM454" s="322">
        <f>SUMIFS('지출'!$G$3:$G794,'지출'!$J$3:$J794,AM$1,'지출'!$C$3:$C794,"소녀")</f>
        <v>0</v>
      </c>
      <c r="AN454" s="316" t="s">
        <v>33</v>
      </c>
      <c r="AO454" s="316"/>
      <c r="AP454" s="316"/>
      <c r="AQ454" s="316"/>
      <c r="AR454" s="316"/>
      <c r="AS454" s="316"/>
      <c r="AT454" s="316"/>
      <c r="AU454" s="316"/>
      <c r="AV454" s="316"/>
      <c r="AW454" s="316"/>
      <c r="AX454" s="316"/>
      <c r="AY454" s="316"/>
      <c r="AZ454" s="316"/>
      <c r="BA454" s="316"/>
      <c r="BB454" s="316"/>
      <c r="BC454" s="316"/>
      <c r="BD454" s="316"/>
      <c r="BE454" s="316"/>
      <c r="BF454" s="316"/>
      <c r="BG454" s="316"/>
      <c r="BH454" s="316"/>
      <c r="BI454" s="316"/>
      <c r="BJ454" s="316"/>
      <c r="BK454" s="316"/>
      <c r="BL454" s="316"/>
      <c r="BM454" s="316"/>
      <c r="BN454" s="316"/>
    </row>
    <row r="455" hidden="1" outlineLevel="1">
      <c r="A455" s="303" t="s">
        <v>2242</v>
      </c>
      <c r="B455" s="304"/>
      <c r="C455" s="325" t="s">
        <v>56</v>
      </c>
      <c r="D455" s="320"/>
      <c r="E455" s="323">
        <f t="shared" ref="E455:F455" si="600">E446-(SUM(E447:E454))</f>
        <v>1530645</v>
      </c>
      <c r="F455" s="324">
        <f t="shared" si="600"/>
        <v>101105</v>
      </c>
      <c r="G455" s="320"/>
      <c r="H455" s="323">
        <f t="shared" ref="H455:I455" si="601">H446-(SUM(H447:H454))</f>
        <v>1978628</v>
      </c>
      <c r="I455" s="324">
        <f t="shared" si="601"/>
        <v>162710</v>
      </c>
      <c r="J455" s="320"/>
      <c r="K455" s="323">
        <f t="shared" ref="K455:L455" si="602">K446-(SUM(K447:K454))</f>
        <v>1496452</v>
      </c>
      <c r="L455" s="324">
        <f t="shared" si="602"/>
        <v>264444</v>
      </c>
      <c r="M455" s="320"/>
      <c r="N455" s="323">
        <f t="shared" ref="N455:O455" si="603">N446-(SUM(N447:N454))</f>
        <v>1510000</v>
      </c>
      <c r="O455" s="324">
        <f t="shared" si="603"/>
        <v>468000</v>
      </c>
      <c r="P455" s="320"/>
      <c r="Q455" s="323">
        <f t="shared" ref="Q455:R455" si="604">Q446-(SUM(Q447:Q454))</f>
        <v>1510000</v>
      </c>
      <c r="R455" s="324">
        <f t="shared" si="604"/>
        <v>468000</v>
      </c>
      <c r="S455" s="320"/>
      <c r="T455" s="323">
        <f t="shared" ref="T455:U455" si="605">T446-(SUM(T447:T454))</f>
        <v>1510000</v>
      </c>
      <c r="U455" s="324">
        <f t="shared" si="605"/>
        <v>468000</v>
      </c>
      <c r="V455" s="320"/>
      <c r="W455" s="323">
        <f t="shared" ref="W455:X455" si="606">W446-(SUM(W447:W454))</f>
        <v>1510000</v>
      </c>
      <c r="X455" s="324">
        <f t="shared" si="606"/>
        <v>468000</v>
      </c>
      <c r="Y455" s="320"/>
      <c r="Z455" s="323">
        <f t="shared" ref="Z455:AA455" si="607">Z446-(SUM(Z447:Z454))</f>
        <v>878710</v>
      </c>
      <c r="AA455" s="324">
        <f t="shared" si="607"/>
        <v>348645</v>
      </c>
      <c r="AB455" s="320"/>
      <c r="AC455" s="323">
        <f t="shared" ref="AC455:AD455" si="608">AC446-(SUM(AC447:AC454))</f>
        <v>120000</v>
      </c>
      <c r="AD455" s="324">
        <f t="shared" si="608"/>
        <v>168000</v>
      </c>
      <c r="AE455" s="320"/>
      <c r="AF455" s="323">
        <f t="shared" ref="AF455:AG455" si="609">AF446-(SUM(AF447:AF454))</f>
        <v>120000</v>
      </c>
      <c r="AG455" s="324">
        <f t="shared" si="609"/>
        <v>168000</v>
      </c>
      <c r="AH455" s="320"/>
      <c r="AI455" s="323">
        <f t="shared" ref="AI455:AJ455" si="610">AI446-(SUM(AI447:AI454))</f>
        <v>120000</v>
      </c>
      <c r="AJ455" s="324">
        <f t="shared" si="610"/>
        <v>168000</v>
      </c>
      <c r="AK455" s="320"/>
      <c r="AL455" s="323">
        <f t="shared" ref="AL455:AM455" si="611">AL446-(SUM(AL447:AL454))</f>
        <v>120000</v>
      </c>
      <c r="AM455" s="324">
        <f t="shared" si="611"/>
        <v>168000</v>
      </c>
      <c r="AN455" s="316" t="s">
        <v>33</v>
      </c>
      <c r="AO455" s="316"/>
      <c r="AP455" s="316"/>
      <c r="AQ455" s="316"/>
      <c r="AR455" s="316"/>
      <c r="AS455" s="316"/>
      <c r="AT455" s="316"/>
      <c r="AU455" s="316"/>
      <c r="AV455" s="316"/>
      <c r="AW455" s="316"/>
      <c r="AX455" s="316"/>
      <c r="AY455" s="316"/>
      <c r="AZ455" s="316"/>
      <c r="BA455" s="316"/>
      <c r="BB455" s="316"/>
      <c r="BC455" s="316"/>
      <c r="BD455" s="316"/>
      <c r="BE455" s="316"/>
      <c r="BF455" s="316"/>
      <c r="BG455" s="316"/>
      <c r="BH455" s="316"/>
      <c r="BI455" s="316"/>
      <c r="BJ455" s="316"/>
      <c r="BK455" s="316"/>
      <c r="BL455" s="316"/>
      <c r="BM455" s="316"/>
      <c r="BN455" s="316"/>
    </row>
    <row r="456">
      <c r="A456" s="303" t="s">
        <v>2242</v>
      </c>
      <c r="B456" s="328">
        <v>0.0</v>
      </c>
      <c r="C456" s="325" t="s">
        <v>26</v>
      </c>
      <c r="D456" s="320"/>
      <c r="E456" s="323">
        <f>E455*$B456</f>
        <v>0</v>
      </c>
      <c r="F456" s="324"/>
      <c r="G456" s="320"/>
      <c r="H456" s="323">
        <f>H455*$B456</f>
        <v>0</v>
      </c>
      <c r="I456" s="324"/>
      <c r="J456" s="320"/>
      <c r="K456" s="323">
        <f>K455*$B456</f>
        <v>0</v>
      </c>
      <c r="L456" s="324"/>
      <c r="M456" s="320"/>
      <c r="N456" s="323">
        <f>N455*$B456</f>
        <v>0</v>
      </c>
      <c r="O456" s="324"/>
      <c r="P456" s="320"/>
      <c r="Q456" s="323">
        <f>Q455*$B456</f>
        <v>0</v>
      </c>
      <c r="R456" s="324"/>
      <c r="S456" s="320"/>
      <c r="T456" s="323">
        <f>T455*$B456</f>
        <v>0</v>
      </c>
      <c r="U456" s="324"/>
      <c r="V456" s="320"/>
      <c r="W456" s="323">
        <f>W455*$B456</f>
        <v>0</v>
      </c>
      <c r="X456" s="324"/>
      <c r="Y456" s="320"/>
      <c r="Z456" s="323">
        <f>Z455*$B456</f>
        <v>0</v>
      </c>
      <c r="AA456" s="324"/>
      <c r="AB456" s="320"/>
      <c r="AC456" s="323">
        <f>AC455*$B456</f>
        <v>0</v>
      </c>
      <c r="AD456" s="324"/>
      <c r="AE456" s="320"/>
      <c r="AF456" s="323">
        <f>AF455*$B456</f>
        <v>0</v>
      </c>
      <c r="AG456" s="324"/>
      <c r="AH456" s="320"/>
      <c r="AI456" s="323">
        <f>AI455*$B456</f>
        <v>0</v>
      </c>
      <c r="AJ456" s="324"/>
      <c r="AK456" s="320"/>
      <c r="AL456" s="323">
        <f>AL455*$B456</f>
        <v>0</v>
      </c>
      <c r="AM456" s="324"/>
      <c r="AN456" s="316" t="s">
        <v>33</v>
      </c>
      <c r="AO456" s="316"/>
      <c r="AP456" s="316"/>
      <c r="AQ456" s="316"/>
      <c r="AR456" s="316"/>
      <c r="AS456" s="316"/>
      <c r="AT456" s="316"/>
      <c r="AU456" s="316"/>
      <c r="AV456" s="316"/>
      <c r="AW456" s="316"/>
      <c r="AX456" s="316"/>
      <c r="AY456" s="316"/>
      <c r="AZ456" s="316"/>
      <c r="BA456" s="316"/>
      <c r="BB456" s="316"/>
      <c r="BC456" s="316"/>
      <c r="BD456" s="316"/>
      <c r="BE456" s="316"/>
      <c r="BF456" s="316"/>
      <c r="BG456" s="316"/>
      <c r="BH456" s="316"/>
      <c r="BI456" s="316"/>
      <c r="BJ456" s="316"/>
      <c r="BK456" s="316"/>
      <c r="BL456" s="316"/>
      <c r="BM456" s="316"/>
      <c r="BN456" s="316"/>
    </row>
    <row r="457">
      <c r="A457" s="303" t="s">
        <v>2242</v>
      </c>
      <c r="B457" s="329">
        <v>1.0</v>
      </c>
      <c r="C457" s="330" t="s">
        <v>57</v>
      </c>
      <c r="D457" s="331"/>
      <c r="E457" s="332">
        <f>E455*$B457</f>
        <v>1530645</v>
      </c>
      <c r="F457" s="333"/>
      <c r="G457" s="331"/>
      <c r="H457" s="332">
        <f>H455*$B457</f>
        <v>1978628</v>
      </c>
      <c r="I457" s="333"/>
      <c r="J457" s="331"/>
      <c r="K457" s="332">
        <f>K455*$B457</f>
        <v>1496452</v>
      </c>
      <c r="L457" s="333"/>
      <c r="M457" s="331"/>
      <c r="N457" s="332">
        <f>N455*$B457</f>
        <v>1510000</v>
      </c>
      <c r="O457" s="333"/>
      <c r="P457" s="331"/>
      <c r="Q457" s="332">
        <f>Q455*$B457</f>
        <v>1510000</v>
      </c>
      <c r="R457" s="333"/>
      <c r="S457" s="331"/>
      <c r="T457" s="332">
        <f>T455*$B457</f>
        <v>1510000</v>
      </c>
      <c r="U457" s="333"/>
      <c r="V457" s="331"/>
      <c r="W457" s="332">
        <f>W455*$B457</f>
        <v>1510000</v>
      </c>
      <c r="X457" s="333"/>
      <c r="Y457" s="331"/>
      <c r="Z457" s="332">
        <f>Z455*$B457</f>
        <v>878710</v>
      </c>
      <c r="AA457" s="333"/>
      <c r="AB457" s="331"/>
      <c r="AC457" s="332">
        <f>AC455*$B457</f>
        <v>120000</v>
      </c>
      <c r="AD457" s="333"/>
      <c r="AE457" s="331"/>
      <c r="AF457" s="332">
        <f>AF455*$B457</f>
        <v>120000</v>
      </c>
      <c r="AG457" s="333"/>
      <c r="AH457" s="331"/>
      <c r="AI457" s="332">
        <f>AI455*$B457</f>
        <v>120000</v>
      </c>
      <c r="AJ457" s="333"/>
      <c r="AK457" s="331"/>
      <c r="AL457" s="332">
        <f>AL455*$B457</f>
        <v>120000</v>
      </c>
      <c r="AM457" s="333"/>
      <c r="AN457" s="316" t="s">
        <v>33</v>
      </c>
      <c r="AO457" s="316"/>
      <c r="AP457" s="316"/>
      <c r="AQ457" s="316"/>
      <c r="AR457" s="316"/>
      <c r="AS457" s="316"/>
      <c r="AT457" s="316"/>
      <c r="AU457" s="316"/>
      <c r="AV457" s="316"/>
      <c r="AW457" s="316"/>
      <c r="AX457" s="316"/>
      <c r="AY457" s="316"/>
      <c r="AZ457" s="316"/>
      <c r="BA457" s="316"/>
      <c r="BB457" s="316"/>
      <c r="BC457" s="316"/>
      <c r="BD457" s="316"/>
      <c r="BE457" s="316"/>
      <c r="BF457" s="316"/>
      <c r="BG457" s="316"/>
      <c r="BH457" s="316"/>
      <c r="BI457" s="316"/>
      <c r="BJ457" s="316"/>
      <c r="BK457" s="316"/>
      <c r="BL457" s="316"/>
      <c r="BM457" s="316"/>
      <c r="BN457" s="316"/>
    </row>
    <row r="458">
      <c r="A458" s="303" t="s">
        <v>2255</v>
      </c>
      <c r="B458" s="384" t="s">
        <v>760</v>
      </c>
      <c r="C458" s="385" t="s">
        <v>761</v>
      </c>
      <c r="D458" s="341" t="s">
        <v>37</v>
      </c>
      <c r="E458" s="335"/>
      <c r="F458" s="346"/>
      <c r="G458" s="341" t="s">
        <v>37</v>
      </c>
      <c r="H458" s="335"/>
      <c r="I458" s="346"/>
      <c r="J458" s="353" t="s">
        <v>2256</v>
      </c>
      <c r="K458" s="348">
        <v>500000.0</v>
      </c>
      <c r="L458" s="346">
        <v>100000.0</v>
      </c>
      <c r="M458" s="341" t="s">
        <v>1729</v>
      </c>
      <c r="N458" s="348">
        <v>500000.0</v>
      </c>
      <c r="O458" s="346">
        <v>100000.0</v>
      </c>
      <c r="P458" s="341" t="s">
        <v>1729</v>
      </c>
      <c r="Q458" s="348">
        <v>500000.0</v>
      </c>
      <c r="R458" s="346">
        <v>100000.0</v>
      </c>
      <c r="S458" s="341" t="s">
        <v>1729</v>
      </c>
      <c r="T458" s="348">
        <v>500000.0</v>
      </c>
      <c r="U458" s="346">
        <v>100000.0</v>
      </c>
      <c r="V458" s="341" t="s">
        <v>1729</v>
      </c>
      <c r="W458" s="348">
        <v>500000.0</v>
      </c>
      <c r="X458" s="346">
        <v>100000.0</v>
      </c>
      <c r="Y458" s="341" t="s">
        <v>1729</v>
      </c>
      <c r="Z458" s="348">
        <v>500000.0</v>
      </c>
      <c r="AA458" s="346">
        <v>100000.0</v>
      </c>
      <c r="AB458" s="341" t="s">
        <v>1729</v>
      </c>
      <c r="AC458" s="348">
        <v>500000.0</v>
      </c>
      <c r="AD458" s="346">
        <v>100000.0</v>
      </c>
      <c r="AE458" s="341" t="s">
        <v>1729</v>
      </c>
      <c r="AF458" s="348">
        <v>500000.0</v>
      </c>
      <c r="AG458" s="346">
        <v>100000.0</v>
      </c>
      <c r="AH458" s="341" t="s">
        <v>1729</v>
      </c>
      <c r="AI458" s="348">
        <v>500000.0</v>
      </c>
      <c r="AJ458" s="346">
        <v>100000.0</v>
      </c>
      <c r="AK458" s="341" t="s">
        <v>1729</v>
      </c>
      <c r="AL458" s="348">
        <v>500000.0</v>
      </c>
      <c r="AM458" s="346">
        <v>100000.0</v>
      </c>
      <c r="AN458" s="316" t="s">
        <v>33</v>
      </c>
      <c r="AO458" s="316"/>
      <c r="AP458" s="316"/>
      <c r="AQ458" s="316"/>
      <c r="AR458" s="316"/>
      <c r="AS458" s="316"/>
      <c r="AT458" s="316"/>
      <c r="AU458" s="316"/>
      <c r="AV458" s="316"/>
      <c r="AW458" s="316"/>
      <c r="AX458" s="316"/>
      <c r="AY458" s="316"/>
      <c r="AZ458" s="316"/>
      <c r="BA458" s="316"/>
      <c r="BB458" s="316"/>
      <c r="BC458" s="316"/>
      <c r="BD458" s="316"/>
      <c r="BE458" s="316"/>
      <c r="BF458" s="316"/>
      <c r="BG458" s="316"/>
      <c r="BH458" s="316"/>
      <c r="BI458" s="316"/>
      <c r="BJ458" s="316"/>
      <c r="BK458" s="316"/>
      <c r="BL458" s="316"/>
      <c r="BM458" s="316"/>
      <c r="BN458" s="316"/>
    </row>
    <row r="459">
      <c r="A459" s="303" t="s">
        <v>2255</v>
      </c>
      <c r="B459" s="317" t="s">
        <v>766</v>
      </c>
      <c r="C459" s="385" t="s">
        <v>767</v>
      </c>
      <c r="D459" s="341" t="s">
        <v>2257</v>
      </c>
      <c r="E459" s="335">
        <v>530000.0</v>
      </c>
      <c r="F459" s="346">
        <f>100000+25000</f>
        <v>125000</v>
      </c>
      <c r="G459" s="353" t="s">
        <v>2258</v>
      </c>
      <c r="H459" s="335">
        <f>473214+68571</f>
        <v>541785</v>
      </c>
      <c r="I459" s="346">
        <f>89286+10000+14286</f>
        <v>113572</v>
      </c>
      <c r="J459" s="326" t="s">
        <v>1872</v>
      </c>
      <c r="K459" s="321">
        <v>480000.0</v>
      </c>
      <c r="L459" s="346">
        <v>100000.0</v>
      </c>
      <c r="M459" s="326" t="s">
        <v>1872</v>
      </c>
      <c r="N459" s="321">
        <v>480000.0</v>
      </c>
      <c r="O459" s="346">
        <v>100000.0</v>
      </c>
      <c r="P459" s="326" t="s">
        <v>1872</v>
      </c>
      <c r="Q459" s="321">
        <v>480000.0</v>
      </c>
      <c r="R459" s="346">
        <v>100000.0</v>
      </c>
      <c r="S459" s="326" t="s">
        <v>1872</v>
      </c>
      <c r="T459" s="321">
        <v>480000.0</v>
      </c>
      <c r="U459" s="346">
        <v>100000.0</v>
      </c>
      <c r="V459" s="326" t="s">
        <v>1872</v>
      </c>
      <c r="W459" s="321">
        <v>480000.0</v>
      </c>
      <c r="X459" s="346">
        <v>100000.0</v>
      </c>
      <c r="Y459" s="326" t="s">
        <v>1872</v>
      </c>
      <c r="Z459" s="321">
        <v>480000.0</v>
      </c>
      <c r="AA459" s="346">
        <v>100000.0</v>
      </c>
      <c r="AB459" s="326" t="s">
        <v>1872</v>
      </c>
      <c r="AC459" s="321">
        <v>480000.0</v>
      </c>
      <c r="AD459" s="346">
        <v>100000.0</v>
      </c>
      <c r="AE459" s="326" t="s">
        <v>1872</v>
      </c>
      <c r="AF459" s="321">
        <v>480000.0</v>
      </c>
      <c r="AG459" s="346">
        <v>100000.0</v>
      </c>
      <c r="AH459" s="326" t="s">
        <v>1872</v>
      </c>
      <c r="AI459" s="321">
        <v>480000.0</v>
      </c>
      <c r="AJ459" s="346">
        <v>100000.0</v>
      </c>
      <c r="AK459" s="326" t="s">
        <v>1872</v>
      </c>
      <c r="AL459" s="321">
        <v>480000.0</v>
      </c>
      <c r="AM459" s="346">
        <v>100000.0</v>
      </c>
      <c r="AN459" s="316" t="s">
        <v>33</v>
      </c>
      <c r="AO459" s="316"/>
      <c r="AP459" s="316"/>
      <c r="AQ459" s="316"/>
      <c r="AR459" s="316"/>
      <c r="AS459" s="316"/>
      <c r="AT459" s="316"/>
      <c r="AU459" s="316"/>
      <c r="AV459" s="316"/>
      <c r="AW459" s="316"/>
      <c r="AX459" s="316"/>
      <c r="AY459" s="316"/>
      <c r="AZ459" s="316"/>
      <c r="BA459" s="316"/>
      <c r="BB459" s="316"/>
      <c r="BC459" s="316"/>
      <c r="BD459" s="316"/>
      <c r="BE459" s="316"/>
      <c r="BF459" s="316"/>
      <c r="BG459" s="316"/>
      <c r="BH459" s="316"/>
      <c r="BI459" s="316"/>
      <c r="BJ459" s="316"/>
      <c r="BK459" s="316"/>
      <c r="BL459" s="316"/>
      <c r="BM459" s="316"/>
      <c r="BN459" s="316"/>
    </row>
    <row r="460">
      <c r="A460" s="303" t="s">
        <v>2255</v>
      </c>
      <c r="B460" s="384" t="s">
        <v>760</v>
      </c>
      <c r="C460" s="385" t="s">
        <v>693</v>
      </c>
      <c r="D460" s="341" t="s">
        <v>772</v>
      </c>
      <c r="E460" s="348">
        <v>290000.0</v>
      </c>
      <c r="F460" s="346">
        <f>80000+25000</f>
        <v>105000</v>
      </c>
      <c r="G460" s="353" t="s">
        <v>2259</v>
      </c>
      <c r="H460" s="335">
        <f t="shared" ref="H460:H461" si="612">290000+13214</f>
        <v>303214</v>
      </c>
      <c r="I460" s="346">
        <f>80000+10000+3571</f>
        <v>93571</v>
      </c>
      <c r="J460" s="326" t="s">
        <v>1737</v>
      </c>
      <c r="K460" s="321">
        <v>370000.0</v>
      </c>
      <c r="L460" s="346">
        <v>100000.0</v>
      </c>
      <c r="M460" s="326" t="s">
        <v>1737</v>
      </c>
      <c r="N460" s="321">
        <v>370000.0</v>
      </c>
      <c r="O460" s="346">
        <v>100000.0</v>
      </c>
      <c r="P460" s="326" t="s">
        <v>1737</v>
      </c>
      <c r="Q460" s="321">
        <v>370000.0</v>
      </c>
      <c r="R460" s="346">
        <v>100000.0</v>
      </c>
      <c r="S460" s="326" t="s">
        <v>1737</v>
      </c>
      <c r="T460" s="321">
        <v>370000.0</v>
      </c>
      <c r="U460" s="346">
        <v>100000.0</v>
      </c>
      <c r="V460" s="326" t="s">
        <v>1737</v>
      </c>
      <c r="W460" s="321">
        <v>370000.0</v>
      </c>
      <c r="X460" s="346">
        <v>100000.0</v>
      </c>
      <c r="Y460" s="326" t="s">
        <v>1737</v>
      </c>
      <c r="Z460" s="321">
        <v>370000.0</v>
      </c>
      <c r="AA460" s="346">
        <v>100000.0</v>
      </c>
      <c r="AB460" s="326" t="s">
        <v>1737</v>
      </c>
      <c r="AC460" s="321">
        <v>370000.0</v>
      </c>
      <c r="AD460" s="346">
        <v>100000.0</v>
      </c>
      <c r="AE460" s="326" t="s">
        <v>1737</v>
      </c>
      <c r="AF460" s="321">
        <v>370000.0</v>
      </c>
      <c r="AG460" s="324">
        <f>SUM(AG456:AG459)</f>
        <v>200000</v>
      </c>
      <c r="AH460" s="326" t="s">
        <v>1737</v>
      </c>
      <c r="AI460" s="321">
        <v>370000.0</v>
      </c>
      <c r="AJ460" s="324">
        <f>SUM(AJ456:AJ459)</f>
        <v>200000</v>
      </c>
      <c r="AK460" s="326" t="s">
        <v>1737</v>
      </c>
      <c r="AL460" s="321">
        <v>370000.0</v>
      </c>
      <c r="AM460" s="324">
        <f>SUM(AM456:AM459)</f>
        <v>200000</v>
      </c>
      <c r="AN460" s="316" t="s">
        <v>33</v>
      </c>
      <c r="AO460" s="316"/>
      <c r="AP460" s="316"/>
      <c r="AQ460" s="316"/>
      <c r="AR460" s="316"/>
      <c r="AS460" s="316"/>
      <c r="AT460" s="316"/>
      <c r="AU460" s="316"/>
      <c r="AV460" s="316"/>
      <c r="AW460" s="316"/>
      <c r="AX460" s="316"/>
      <c r="AY460" s="316"/>
      <c r="AZ460" s="316"/>
      <c r="BA460" s="316"/>
      <c r="BB460" s="316"/>
      <c r="BC460" s="316"/>
      <c r="BD460" s="316"/>
      <c r="BE460" s="316"/>
      <c r="BF460" s="316"/>
      <c r="BG460" s="316"/>
      <c r="BH460" s="316"/>
      <c r="BI460" s="316"/>
      <c r="BJ460" s="316"/>
      <c r="BK460" s="316"/>
      <c r="BL460" s="316"/>
      <c r="BM460" s="316"/>
      <c r="BN460" s="316"/>
    </row>
    <row r="461">
      <c r="A461" s="303" t="s">
        <v>2255</v>
      </c>
      <c r="B461" s="384" t="s">
        <v>760</v>
      </c>
      <c r="C461" s="385" t="s">
        <v>695</v>
      </c>
      <c r="D461" s="341" t="s">
        <v>1729</v>
      </c>
      <c r="E461" s="335">
        <v>390000.0</v>
      </c>
      <c r="F461" s="346">
        <f>100000+25000</f>
        <v>125000</v>
      </c>
      <c r="G461" s="353" t="s">
        <v>2260</v>
      </c>
      <c r="H461" s="335">
        <f t="shared" si="612"/>
        <v>303214</v>
      </c>
      <c r="I461" s="346">
        <f>100000+10000 +3571</f>
        <v>113571</v>
      </c>
      <c r="J461" s="326" t="s">
        <v>1740</v>
      </c>
      <c r="K461" s="321">
        <v>370000.0</v>
      </c>
      <c r="L461" s="346">
        <v>100000.0</v>
      </c>
      <c r="M461" s="326" t="s">
        <v>1740</v>
      </c>
      <c r="N461" s="321">
        <v>370000.0</v>
      </c>
      <c r="O461" s="346">
        <v>100000.0</v>
      </c>
      <c r="P461" s="326" t="s">
        <v>1740</v>
      </c>
      <c r="Q461" s="321">
        <v>370000.0</v>
      </c>
      <c r="R461" s="346">
        <v>100000.0</v>
      </c>
      <c r="S461" s="326" t="s">
        <v>1740</v>
      </c>
      <c r="T461" s="321">
        <v>370000.0</v>
      </c>
      <c r="U461" s="346">
        <v>100000.0</v>
      </c>
      <c r="V461" s="326" t="s">
        <v>1740</v>
      </c>
      <c r="W461" s="321">
        <v>370000.0</v>
      </c>
      <c r="X461" s="346">
        <v>100000.0</v>
      </c>
      <c r="Y461" s="326" t="s">
        <v>1740</v>
      </c>
      <c r="Z461" s="321">
        <v>370000.0</v>
      </c>
      <c r="AA461" s="346">
        <v>100000.0</v>
      </c>
      <c r="AB461" s="326" t="s">
        <v>1740</v>
      </c>
      <c r="AC461" s="321">
        <v>370000.0</v>
      </c>
      <c r="AD461" s="346">
        <v>100000.0</v>
      </c>
      <c r="AE461" s="326" t="s">
        <v>1740</v>
      </c>
      <c r="AF461" s="321">
        <v>370000.0</v>
      </c>
      <c r="AG461" s="346">
        <v>100000.0</v>
      </c>
      <c r="AH461" s="326" t="s">
        <v>1740</v>
      </c>
      <c r="AI461" s="321">
        <v>370000.0</v>
      </c>
      <c r="AJ461" s="346">
        <v>100000.0</v>
      </c>
      <c r="AK461" s="326" t="s">
        <v>1740</v>
      </c>
      <c r="AL461" s="321">
        <v>370000.0</v>
      </c>
      <c r="AM461" s="346">
        <v>100000.0</v>
      </c>
      <c r="AN461" s="316" t="s">
        <v>33</v>
      </c>
      <c r="AO461" s="316"/>
      <c r="AP461" s="316"/>
      <c r="AQ461" s="316"/>
      <c r="AR461" s="316"/>
      <c r="AS461" s="316"/>
      <c r="AT461" s="316"/>
      <c r="AU461" s="316"/>
      <c r="AV461" s="316"/>
      <c r="AW461" s="316"/>
      <c r="AX461" s="316"/>
      <c r="AY461" s="316"/>
      <c r="AZ461" s="316"/>
      <c r="BA461" s="316"/>
      <c r="BB461" s="316"/>
      <c r="BC461" s="316"/>
      <c r="BD461" s="316"/>
      <c r="BE461" s="316"/>
      <c r="BF461" s="316"/>
      <c r="BG461" s="316"/>
      <c r="BH461" s="316"/>
      <c r="BI461" s="316"/>
      <c r="BJ461" s="316"/>
      <c r="BK461" s="316"/>
      <c r="BL461" s="316"/>
      <c r="BM461" s="316"/>
      <c r="BN461" s="316"/>
    </row>
    <row r="462">
      <c r="A462" s="303" t="s">
        <v>2255</v>
      </c>
      <c r="B462" s="304"/>
      <c r="C462" s="305" t="s">
        <v>42</v>
      </c>
      <c r="D462" s="320"/>
      <c r="E462" s="323">
        <f t="shared" ref="E462:F462" si="613">SUM(E458:E461)</f>
        <v>1210000</v>
      </c>
      <c r="F462" s="324">
        <f t="shared" si="613"/>
        <v>355000</v>
      </c>
      <c r="G462" s="320"/>
      <c r="H462" s="323">
        <f t="shared" ref="H462:I462" si="614">SUM(H458:H461)</f>
        <v>1148213</v>
      </c>
      <c r="I462" s="324">
        <f t="shared" si="614"/>
        <v>320714</v>
      </c>
      <c r="J462" s="320"/>
      <c r="K462" s="323">
        <f t="shared" ref="K462:L462" si="615">SUM(K458:K461)</f>
        <v>1720000</v>
      </c>
      <c r="L462" s="324">
        <f t="shared" si="615"/>
        <v>400000</v>
      </c>
      <c r="M462" s="320"/>
      <c r="N462" s="323">
        <f t="shared" ref="N462:O462" si="616">SUM(N458:N461)</f>
        <v>1720000</v>
      </c>
      <c r="O462" s="324">
        <f t="shared" si="616"/>
        <v>400000</v>
      </c>
      <c r="P462" s="320"/>
      <c r="Q462" s="323">
        <f t="shared" ref="Q462:R462" si="617">SUM(Q458:Q461)</f>
        <v>1720000</v>
      </c>
      <c r="R462" s="324">
        <f t="shared" si="617"/>
        <v>400000</v>
      </c>
      <c r="S462" s="320"/>
      <c r="T462" s="323">
        <f t="shared" ref="T462:U462" si="618">SUM(T458:T461)</f>
        <v>1720000</v>
      </c>
      <c r="U462" s="324">
        <f t="shared" si="618"/>
        <v>400000</v>
      </c>
      <c r="V462" s="320"/>
      <c r="W462" s="323">
        <f t="shared" ref="W462:X462" si="619">SUM(W458:W461)</f>
        <v>1720000</v>
      </c>
      <c r="X462" s="324">
        <f t="shared" si="619"/>
        <v>400000</v>
      </c>
      <c r="Y462" s="320"/>
      <c r="Z462" s="323">
        <f t="shared" ref="Z462:AA462" si="620">SUM(Z458:Z461)</f>
        <v>1720000</v>
      </c>
      <c r="AA462" s="324">
        <f t="shared" si="620"/>
        <v>400000</v>
      </c>
      <c r="AB462" s="320"/>
      <c r="AC462" s="323">
        <f t="shared" ref="AC462:AD462" si="621">SUM(AC458:AC461)</f>
        <v>1720000</v>
      </c>
      <c r="AD462" s="324">
        <f t="shared" si="621"/>
        <v>400000</v>
      </c>
      <c r="AE462" s="320"/>
      <c r="AF462" s="323">
        <f t="shared" ref="AF462:AG462" si="622">SUM(AF458:AF461)</f>
        <v>1720000</v>
      </c>
      <c r="AG462" s="324">
        <f t="shared" si="622"/>
        <v>500000</v>
      </c>
      <c r="AH462" s="320"/>
      <c r="AI462" s="323">
        <f t="shared" ref="AI462:AJ462" si="623">SUM(AI458:AI461)</f>
        <v>1720000</v>
      </c>
      <c r="AJ462" s="324">
        <f t="shared" si="623"/>
        <v>500000</v>
      </c>
      <c r="AK462" s="320"/>
      <c r="AL462" s="323">
        <f t="shared" ref="AL462:AM462" si="624">SUM(AL458:AL461)</f>
        <v>1720000</v>
      </c>
      <c r="AM462" s="324">
        <f t="shared" si="624"/>
        <v>500000</v>
      </c>
      <c r="AN462" s="316" t="s">
        <v>33</v>
      </c>
      <c r="AO462" s="316"/>
      <c r="AP462" s="316"/>
      <c r="AQ462" s="316"/>
      <c r="AR462" s="316"/>
      <c r="AS462" s="316"/>
      <c r="AT462" s="316"/>
      <c r="AU462" s="316"/>
      <c r="AV462" s="316"/>
      <c r="AW462" s="316"/>
      <c r="AX462" s="316"/>
      <c r="AY462" s="316"/>
      <c r="AZ462" s="316"/>
      <c r="BA462" s="316"/>
      <c r="BB462" s="316"/>
      <c r="BC462" s="316"/>
      <c r="BD462" s="316"/>
      <c r="BE462" s="316"/>
      <c r="BF462" s="316"/>
      <c r="BG462" s="316"/>
      <c r="BH462" s="316"/>
      <c r="BI462" s="316"/>
      <c r="BJ462" s="316"/>
      <c r="BK462" s="316"/>
      <c r="BL462" s="316"/>
      <c r="BM462" s="316"/>
      <c r="BN462" s="316"/>
    </row>
    <row r="463" collapsed="1">
      <c r="A463" s="303" t="s">
        <v>2255</v>
      </c>
      <c r="B463" s="304"/>
      <c r="C463" s="325" t="s">
        <v>43</v>
      </c>
      <c r="D463" s="326"/>
      <c r="E463" s="321">
        <v>950000.0</v>
      </c>
      <c r="F463" s="324"/>
      <c r="G463" s="326"/>
      <c r="H463" s="321">
        <v>950000.0</v>
      </c>
      <c r="I463" s="324"/>
      <c r="J463" s="326"/>
      <c r="K463" s="321">
        <v>950000.0</v>
      </c>
      <c r="L463" s="324"/>
      <c r="M463" s="326"/>
      <c r="N463" s="321">
        <v>950000.0</v>
      </c>
      <c r="O463" s="324"/>
      <c r="P463" s="326"/>
      <c r="Q463" s="321">
        <v>950000.0</v>
      </c>
      <c r="R463" s="324"/>
      <c r="S463" s="326"/>
      <c r="T463" s="321">
        <v>950000.0</v>
      </c>
      <c r="U463" s="324"/>
      <c r="V463" s="326"/>
      <c r="W463" s="321">
        <v>950000.0</v>
      </c>
      <c r="X463" s="324"/>
      <c r="Y463" s="326"/>
      <c r="Z463" s="321">
        <v>950000.0</v>
      </c>
      <c r="AA463" s="324"/>
      <c r="AB463" s="326"/>
      <c r="AC463" s="321">
        <v>950000.0</v>
      </c>
      <c r="AD463" s="324"/>
      <c r="AE463" s="326"/>
      <c r="AF463" s="321">
        <v>950000.0</v>
      </c>
      <c r="AG463" s="324"/>
      <c r="AH463" s="326"/>
      <c r="AI463" s="321">
        <v>950000.0</v>
      </c>
      <c r="AJ463" s="324"/>
      <c r="AK463" s="326"/>
      <c r="AL463" s="321">
        <v>950000.0</v>
      </c>
      <c r="AM463" s="324"/>
      <c r="AN463" s="316" t="s">
        <v>33</v>
      </c>
      <c r="AO463" s="316"/>
      <c r="AP463" s="316"/>
      <c r="AQ463" s="316"/>
      <c r="AR463" s="316"/>
      <c r="AS463" s="316"/>
      <c r="AT463" s="316"/>
      <c r="AU463" s="316"/>
      <c r="AV463" s="316"/>
      <c r="AW463" s="316"/>
      <c r="AX463" s="316"/>
      <c r="AY463" s="316"/>
      <c r="AZ463" s="316"/>
      <c r="BA463" s="316"/>
      <c r="BB463" s="316"/>
      <c r="BC463" s="316"/>
      <c r="BD463" s="316"/>
      <c r="BE463" s="316"/>
      <c r="BF463" s="316"/>
      <c r="BG463" s="316"/>
      <c r="BH463" s="316"/>
      <c r="BI463" s="316"/>
      <c r="BJ463" s="316"/>
      <c r="BK463" s="316"/>
      <c r="BL463" s="316"/>
      <c r="BM463" s="316"/>
      <c r="BN463" s="316"/>
    </row>
    <row r="464" hidden="1" outlineLevel="1">
      <c r="A464" s="303" t="s">
        <v>2255</v>
      </c>
      <c r="B464" s="304"/>
      <c r="C464" s="325" t="s">
        <v>45</v>
      </c>
      <c r="D464" s="326" t="s">
        <v>677</v>
      </c>
      <c r="E464" s="321" t="s">
        <v>677</v>
      </c>
      <c r="F464" s="322">
        <v>30000.0</v>
      </c>
      <c r="G464" s="326" t="s">
        <v>677</v>
      </c>
      <c r="H464" s="321" t="s">
        <v>677</v>
      </c>
      <c r="I464" s="322">
        <v>30000.0</v>
      </c>
      <c r="J464" s="326" t="s">
        <v>677</v>
      </c>
      <c r="K464" s="321" t="s">
        <v>677</v>
      </c>
      <c r="L464" s="322">
        <v>30000.0</v>
      </c>
      <c r="M464" s="326" t="s">
        <v>677</v>
      </c>
      <c r="N464" s="321" t="s">
        <v>677</v>
      </c>
      <c r="O464" s="322">
        <v>30000.0</v>
      </c>
      <c r="P464" s="326" t="s">
        <v>677</v>
      </c>
      <c r="Q464" s="321" t="s">
        <v>677</v>
      </c>
      <c r="R464" s="322">
        <v>30000.0</v>
      </c>
      <c r="S464" s="326" t="s">
        <v>677</v>
      </c>
      <c r="T464" s="321" t="s">
        <v>677</v>
      </c>
      <c r="U464" s="322">
        <v>30000.0</v>
      </c>
      <c r="V464" s="326" t="s">
        <v>677</v>
      </c>
      <c r="W464" s="321" t="s">
        <v>677</v>
      </c>
      <c r="X464" s="322">
        <v>30000.0</v>
      </c>
      <c r="Y464" s="326" t="s">
        <v>677</v>
      </c>
      <c r="Z464" s="321" t="s">
        <v>677</v>
      </c>
      <c r="AA464" s="322">
        <v>30000.0</v>
      </c>
      <c r="AB464" s="326" t="s">
        <v>677</v>
      </c>
      <c r="AC464" s="321" t="s">
        <v>677</v>
      </c>
      <c r="AD464" s="322">
        <v>30000.0</v>
      </c>
      <c r="AE464" s="326" t="s">
        <v>677</v>
      </c>
      <c r="AF464" s="321" t="s">
        <v>677</v>
      </c>
      <c r="AG464" s="322">
        <v>30000.0</v>
      </c>
      <c r="AH464" s="326" t="s">
        <v>677</v>
      </c>
      <c r="AI464" s="321" t="s">
        <v>677</v>
      </c>
      <c r="AJ464" s="322">
        <v>30000.0</v>
      </c>
      <c r="AK464" s="326" t="s">
        <v>677</v>
      </c>
      <c r="AL464" s="321" t="s">
        <v>677</v>
      </c>
      <c r="AM464" s="322">
        <v>30000.0</v>
      </c>
      <c r="AN464" s="316" t="s">
        <v>33</v>
      </c>
      <c r="AO464" s="316"/>
      <c r="AP464" s="316"/>
      <c r="AQ464" s="316"/>
      <c r="AR464" s="316"/>
      <c r="AS464" s="316"/>
      <c r="AT464" s="316"/>
      <c r="AU464" s="316"/>
      <c r="AV464" s="316"/>
      <c r="AW464" s="316"/>
      <c r="AX464" s="316"/>
      <c r="AY464" s="316"/>
      <c r="AZ464" s="316"/>
      <c r="BA464" s="316"/>
      <c r="BB464" s="316"/>
      <c r="BC464" s="316"/>
      <c r="BD464" s="316"/>
      <c r="BE464" s="316"/>
      <c r="BF464" s="316"/>
      <c r="BG464" s="316"/>
      <c r="BH464" s="316"/>
      <c r="BI464" s="316"/>
      <c r="BJ464" s="316"/>
      <c r="BK464" s="316"/>
      <c r="BL464" s="316"/>
      <c r="BM464" s="316"/>
      <c r="BN464" s="316"/>
    </row>
    <row r="465" hidden="1" outlineLevel="1">
      <c r="A465" s="303" t="s">
        <v>2255</v>
      </c>
      <c r="B465" s="392" t="s">
        <v>776</v>
      </c>
      <c r="C465" s="325" t="s">
        <v>47</v>
      </c>
      <c r="D465" s="326"/>
      <c r="E465" s="321"/>
      <c r="F465" s="322">
        <v>33280.0</v>
      </c>
      <c r="G465" s="326"/>
      <c r="H465" s="321"/>
      <c r="I465" s="322">
        <v>24280.0</v>
      </c>
      <c r="J465" s="326"/>
      <c r="K465" s="321"/>
      <c r="L465" s="322">
        <v>24280.0</v>
      </c>
      <c r="M465" s="326"/>
      <c r="N465" s="321"/>
      <c r="O465" s="322"/>
      <c r="P465" s="326"/>
      <c r="Q465" s="321"/>
      <c r="R465" s="322"/>
      <c r="S465" s="326"/>
      <c r="T465" s="321"/>
      <c r="U465" s="322"/>
      <c r="V465" s="326"/>
      <c r="W465" s="321"/>
      <c r="X465" s="322"/>
      <c r="Y465" s="326"/>
      <c r="Z465" s="321"/>
      <c r="AA465" s="322"/>
      <c r="AB465" s="326"/>
      <c r="AC465" s="321"/>
      <c r="AD465" s="322"/>
      <c r="AE465" s="326"/>
      <c r="AF465" s="321"/>
      <c r="AG465" s="322"/>
      <c r="AH465" s="326"/>
      <c r="AI465" s="321"/>
      <c r="AJ465" s="322"/>
      <c r="AK465" s="326"/>
      <c r="AL465" s="321"/>
      <c r="AM465" s="322"/>
      <c r="AN465" s="316" t="s">
        <v>33</v>
      </c>
      <c r="AO465" s="316"/>
      <c r="AP465" s="316"/>
      <c r="AQ465" s="316"/>
      <c r="AR465" s="316"/>
      <c r="AS465" s="316"/>
      <c r="AT465" s="316"/>
      <c r="AU465" s="316"/>
      <c r="AV465" s="316"/>
      <c r="AW465" s="316"/>
      <c r="AX465" s="316"/>
      <c r="AY465" s="316"/>
      <c r="AZ465" s="316"/>
      <c r="BA465" s="316"/>
      <c r="BB465" s="316"/>
      <c r="BC465" s="316"/>
      <c r="BD465" s="316"/>
      <c r="BE465" s="316"/>
      <c r="BF465" s="316"/>
      <c r="BG465" s="316"/>
      <c r="BH465" s="316"/>
      <c r="BI465" s="316"/>
      <c r="BJ465" s="316"/>
      <c r="BK465" s="316"/>
      <c r="BL465" s="316"/>
      <c r="BM465" s="316"/>
      <c r="BN465" s="316"/>
    </row>
    <row r="466" hidden="1" outlineLevel="1">
      <c r="A466" s="303" t="s">
        <v>2255</v>
      </c>
      <c r="B466" s="317" t="s">
        <v>777</v>
      </c>
      <c r="C466" s="325" t="s">
        <v>49</v>
      </c>
      <c r="D466" s="326"/>
      <c r="E466" s="321"/>
      <c r="F466" s="322">
        <v>222820.0</v>
      </c>
      <c r="G466" s="326"/>
      <c r="H466" s="321"/>
      <c r="I466" s="322">
        <v>217760.0</v>
      </c>
      <c r="J466" s="326"/>
      <c r="K466" s="321"/>
      <c r="L466" s="322">
        <v>147330.0</v>
      </c>
      <c r="M466" s="326"/>
      <c r="N466" s="321"/>
      <c r="O466" s="322"/>
      <c r="P466" s="326"/>
      <c r="Q466" s="321"/>
      <c r="R466" s="322"/>
      <c r="S466" s="326"/>
      <c r="T466" s="321"/>
      <c r="U466" s="322"/>
      <c r="V466" s="326"/>
      <c r="W466" s="321"/>
      <c r="X466" s="322"/>
      <c r="Y466" s="326"/>
      <c r="Z466" s="321"/>
      <c r="AA466" s="322"/>
      <c r="AB466" s="326"/>
      <c r="AC466" s="321"/>
      <c r="AD466" s="322"/>
      <c r="AE466" s="326"/>
      <c r="AF466" s="321"/>
      <c r="AG466" s="322"/>
      <c r="AH466" s="326"/>
      <c r="AI466" s="321"/>
      <c r="AJ466" s="322"/>
      <c r="AK466" s="326"/>
      <c r="AL466" s="321"/>
      <c r="AM466" s="322"/>
      <c r="AN466" s="316" t="s">
        <v>33</v>
      </c>
      <c r="AO466" s="316"/>
      <c r="AP466" s="316"/>
      <c r="AQ466" s="316"/>
      <c r="AR466" s="316"/>
      <c r="AS466" s="316"/>
      <c r="AT466" s="316"/>
      <c r="AU466" s="316"/>
      <c r="AV466" s="316"/>
      <c r="AW466" s="316"/>
      <c r="AX466" s="316"/>
      <c r="AY466" s="316"/>
      <c r="AZ466" s="316"/>
      <c r="BA466" s="316"/>
      <c r="BB466" s="316"/>
      <c r="BC466" s="316"/>
      <c r="BD466" s="316"/>
      <c r="BE466" s="316"/>
      <c r="BF466" s="316"/>
      <c r="BG466" s="316"/>
      <c r="BH466" s="316"/>
      <c r="BI466" s="316"/>
      <c r="BJ466" s="316"/>
      <c r="BK466" s="316"/>
      <c r="BL466" s="316"/>
      <c r="BM466" s="316"/>
      <c r="BN466" s="316"/>
    </row>
    <row r="467" hidden="1" outlineLevel="1">
      <c r="A467" s="303" t="s">
        <v>2255</v>
      </c>
      <c r="B467" s="317" t="s">
        <v>680</v>
      </c>
      <c r="C467" s="325" t="s">
        <v>51</v>
      </c>
      <c r="D467" s="326" t="s">
        <v>677</v>
      </c>
      <c r="E467" s="321" t="s">
        <v>677</v>
      </c>
      <c r="F467" s="322">
        <v>60000.0</v>
      </c>
      <c r="G467" s="326" t="s">
        <v>677</v>
      </c>
      <c r="H467" s="321" t="s">
        <v>677</v>
      </c>
      <c r="I467" s="322">
        <v>60000.0</v>
      </c>
      <c r="J467" s="326" t="s">
        <v>677</v>
      </c>
      <c r="K467" s="321" t="s">
        <v>677</v>
      </c>
      <c r="L467" s="322">
        <v>60000.0</v>
      </c>
      <c r="M467" s="326" t="s">
        <v>677</v>
      </c>
      <c r="N467" s="321" t="s">
        <v>677</v>
      </c>
      <c r="O467" s="322">
        <v>60000.0</v>
      </c>
      <c r="P467" s="326" t="s">
        <v>677</v>
      </c>
      <c r="Q467" s="321" t="s">
        <v>677</v>
      </c>
      <c r="R467" s="322">
        <v>60000.0</v>
      </c>
      <c r="S467" s="326" t="s">
        <v>677</v>
      </c>
      <c r="T467" s="321" t="s">
        <v>677</v>
      </c>
      <c r="U467" s="322">
        <v>60000.0</v>
      </c>
      <c r="V467" s="326" t="s">
        <v>677</v>
      </c>
      <c r="W467" s="321" t="s">
        <v>677</v>
      </c>
      <c r="X467" s="322">
        <v>60000.0</v>
      </c>
      <c r="Y467" s="326" t="s">
        <v>677</v>
      </c>
      <c r="Z467" s="321" t="s">
        <v>677</v>
      </c>
      <c r="AA467" s="322">
        <v>60000.0</v>
      </c>
      <c r="AB467" s="326" t="s">
        <v>677</v>
      </c>
      <c r="AC467" s="321" t="s">
        <v>677</v>
      </c>
      <c r="AD467" s="322">
        <v>60000.0</v>
      </c>
      <c r="AE467" s="326" t="s">
        <v>677</v>
      </c>
      <c r="AF467" s="321" t="s">
        <v>677</v>
      </c>
      <c r="AG467" s="322">
        <v>60000.0</v>
      </c>
      <c r="AH467" s="326" t="s">
        <v>677</v>
      </c>
      <c r="AI467" s="321" t="s">
        <v>677</v>
      </c>
      <c r="AJ467" s="322">
        <v>60000.0</v>
      </c>
      <c r="AK467" s="326" t="s">
        <v>677</v>
      </c>
      <c r="AL467" s="321" t="s">
        <v>677</v>
      </c>
      <c r="AM467" s="322">
        <v>60000.0</v>
      </c>
      <c r="AN467" s="316" t="s">
        <v>33</v>
      </c>
      <c r="AO467" s="316"/>
      <c r="AP467" s="316"/>
      <c r="AQ467" s="316"/>
      <c r="AR467" s="316"/>
      <c r="AS467" s="316"/>
      <c r="AT467" s="316"/>
      <c r="AU467" s="316"/>
      <c r="AV467" s="316"/>
      <c r="AW467" s="316"/>
      <c r="AX467" s="316"/>
      <c r="AY467" s="316"/>
      <c r="AZ467" s="316"/>
      <c r="BA467" s="316"/>
      <c r="BB467" s="316"/>
      <c r="BC467" s="316"/>
      <c r="BD467" s="316"/>
      <c r="BE467" s="316"/>
      <c r="BF467" s="316"/>
      <c r="BG467" s="316"/>
      <c r="BH467" s="316"/>
      <c r="BI467" s="316"/>
      <c r="BJ467" s="316"/>
      <c r="BK467" s="316"/>
      <c r="BL467" s="316"/>
      <c r="BM467" s="316"/>
      <c r="BN467" s="316"/>
    </row>
    <row r="468" hidden="1" outlineLevel="1">
      <c r="A468" s="303" t="s">
        <v>2255</v>
      </c>
      <c r="B468" s="304"/>
      <c r="C468" s="325" t="s">
        <v>52</v>
      </c>
      <c r="D468" s="326"/>
      <c r="E468" s="321"/>
      <c r="F468" s="322">
        <v>22000.0</v>
      </c>
      <c r="G468" s="326"/>
      <c r="H468" s="321"/>
      <c r="I468" s="322">
        <v>22000.0</v>
      </c>
      <c r="J468" s="326"/>
      <c r="K468" s="321"/>
      <c r="L468" s="322">
        <v>22000.0</v>
      </c>
      <c r="M468" s="326"/>
      <c r="N468" s="321"/>
      <c r="O468" s="322">
        <v>22000.0</v>
      </c>
      <c r="P468" s="326"/>
      <c r="Q468" s="321"/>
      <c r="R468" s="322">
        <v>22000.0</v>
      </c>
      <c r="S468" s="326"/>
      <c r="T468" s="321"/>
      <c r="U468" s="322">
        <v>22000.0</v>
      </c>
      <c r="V468" s="326"/>
      <c r="W468" s="321"/>
      <c r="X468" s="322">
        <v>22000.0</v>
      </c>
      <c r="Y468" s="326"/>
      <c r="Z468" s="321"/>
      <c r="AA468" s="322">
        <v>22000.0</v>
      </c>
      <c r="AB468" s="326"/>
      <c r="AC468" s="321"/>
      <c r="AD468" s="322">
        <v>22000.0</v>
      </c>
      <c r="AE468" s="326"/>
      <c r="AF468" s="321"/>
      <c r="AG468" s="322">
        <v>22000.0</v>
      </c>
      <c r="AH468" s="326"/>
      <c r="AI468" s="321"/>
      <c r="AJ468" s="322">
        <v>22000.0</v>
      </c>
      <c r="AK468" s="326"/>
      <c r="AL468" s="321"/>
      <c r="AM468" s="322">
        <v>22000.0</v>
      </c>
      <c r="AN468" s="316" t="s">
        <v>33</v>
      </c>
      <c r="AO468" s="316"/>
      <c r="AP468" s="316"/>
      <c r="AQ468" s="316"/>
      <c r="AR468" s="316"/>
      <c r="AS468" s="316"/>
      <c r="AT468" s="316"/>
      <c r="AU468" s="316"/>
      <c r="AV468" s="316"/>
      <c r="AW468" s="316"/>
      <c r="AX468" s="316"/>
      <c r="AY468" s="316"/>
      <c r="AZ468" s="316"/>
      <c r="BA468" s="316"/>
      <c r="BB468" s="316"/>
      <c r="BC468" s="316"/>
      <c r="BD468" s="316"/>
      <c r="BE468" s="316"/>
      <c r="BF468" s="316"/>
      <c r="BG468" s="316"/>
      <c r="BH468" s="316"/>
      <c r="BI468" s="316"/>
      <c r="BJ468" s="316"/>
      <c r="BK468" s="316"/>
      <c r="BL468" s="316"/>
      <c r="BM468" s="316"/>
      <c r="BN468" s="316"/>
    </row>
    <row r="469" hidden="1" outlineLevel="1">
      <c r="A469" s="303" t="s">
        <v>2255</v>
      </c>
      <c r="B469" s="304"/>
      <c r="C469" s="325" t="s">
        <v>53</v>
      </c>
      <c r="D469" s="326"/>
      <c r="E469" s="321"/>
      <c r="F469" s="322">
        <v>10000.0</v>
      </c>
      <c r="G469" s="326"/>
      <c r="H469" s="321"/>
      <c r="I469" s="322">
        <v>10000.0</v>
      </c>
      <c r="J469" s="326"/>
      <c r="K469" s="321"/>
      <c r="L469" s="322">
        <v>10000.0</v>
      </c>
      <c r="M469" s="326"/>
      <c r="N469" s="321"/>
      <c r="O469" s="322">
        <v>10000.0</v>
      </c>
      <c r="P469" s="326"/>
      <c r="Q469" s="321"/>
      <c r="R469" s="322">
        <v>10000.0</v>
      </c>
      <c r="S469" s="326"/>
      <c r="T469" s="321"/>
      <c r="U469" s="322">
        <v>10000.0</v>
      </c>
      <c r="V469" s="326"/>
      <c r="W469" s="321"/>
      <c r="X469" s="322">
        <v>10000.0</v>
      </c>
      <c r="Y469" s="326"/>
      <c r="Z469" s="321"/>
      <c r="AA469" s="322">
        <v>10000.0</v>
      </c>
      <c r="AB469" s="326"/>
      <c r="AC469" s="321"/>
      <c r="AD469" s="322">
        <v>10000.0</v>
      </c>
      <c r="AE469" s="326"/>
      <c r="AF469" s="321"/>
      <c r="AG469" s="322">
        <v>10000.0</v>
      </c>
      <c r="AH469" s="326"/>
      <c r="AI469" s="321"/>
      <c r="AJ469" s="322">
        <v>10000.0</v>
      </c>
      <c r="AK469" s="326"/>
      <c r="AL469" s="321"/>
      <c r="AM469" s="322">
        <v>10000.0</v>
      </c>
      <c r="AN469" s="316" t="s">
        <v>33</v>
      </c>
      <c r="AO469" s="316"/>
      <c r="AP469" s="316"/>
      <c r="AQ469" s="316"/>
      <c r="AR469" s="316"/>
      <c r="AS469" s="316"/>
      <c r="AT469" s="316"/>
      <c r="AU469" s="316"/>
      <c r="AV469" s="316"/>
      <c r="AW469" s="316"/>
      <c r="AX469" s="316"/>
      <c r="AY469" s="316"/>
      <c r="AZ469" s="316"/>
      <c r="BA469" s="316"/>
      <c r="BB469" s="316"/>
      <c r="BC469" s="316"/>
      <c r="BD469" s="316"/>
      <c r="BE469" s="316"/>
      <c r="BF469" s="316"/>
      <c r="BG469" s="316"/>
      <c r="BH469" s="316"/>
      <c r="BI469" s="316"/>
      <c r="BJ469" s="316"/>
      <c r="BK469" s="316"/>
      <c r="BL469" s="316"/>
      <c r="BM469" s="316"/>
      <c r="BN469" s="316"/>
    </row>
    <row r="470" hidden="1" outlineLevel="1">
      <c r="A470" s="303" t="s">
        <v>2255</v>
      </c>
      <c r="B470" s="304"/>
      <c r="C470" s="325" t="s">
        <v>54</v>
      </c>
      <c r="D470" s="327">
        <f>SUMIFS('지출'!$G$3:$G794,'지출'!$J$3:$J794,D$1,'지출'!$C$3:$C794,"허브")</f>
        <v>0</v>
      </c>
      <c r="E470" s="321">
        <f>SUMIFS('지출'!$G$3:$G794,'지출'!$J$3:$J794,E$1,'지출'!$C$3:$C794,"허브")</f>
        <v>0</v>
      </c>
      <c r="F470" s="322">
        <f>SUMIFS('지출'!$G$3:$G794,'지출'!$J$3:$J794,F$1,'지출'!$C$3:$C794,"허브")</f>
        <v>48800</v>
      </c>
      <c r="G470" s="327">
        <f>SUMIFS('지출'!$G$3:$G794,'지출'!$J$3:$J794,G$1,'지출'!$C$3:$C794,"허브")</f>
        <v>0</v>
      </c>
      <c r="H470" s="321">
        <f>SUMIFS('지출'!$G$3:$G794,'지출'!$J$3:$J794,H$1,'지출'!$C$3:$C794,"허브")</f>
        <v>0</v>
      </c>
      <c r="I470" s="322">
        <f>SUMIFS('지출'!$G$3:$G794,'지출'!$J$3:$J794,I$1,'지출'!$C$3:$C794,"허브")</f>
        <v>95290</v>
      </c>
      <c r="J470" s="327">
        <f>SUMIFS('지출'!$G$3:$G794,'지출'!$J$3:$J794,J$1,'지출'!$C$3:$C794,"허브")</f>
        <v>0</v>
      </c>
      <c r="K470" s="321">
        <f>SUMIFS('지출'!$G$3:$G794,'지출'!$J$3:$J794,K$1,'지출'!$C$3:$C794,"허브")</f>
        <v>0</v>
      </c>
      <c r="L470" s="322">
        <f>SUMIFS('지출'!$G$3:$G794,'지출'!$J$3:$J794,L$1,'지출'!$C$3:$C794,"허브")</f>
        <v>31930</v>
      </c>
      <c r="M470" s="327">
        <f>SUMIFS('지출'!$G$3:$G794,'지출'!$J$3:$J794,M$1,'지출'!$C$3:$C794,"허브")</f>
        <v>0</v>
      </c>
      <c r="N470" s="321">
        <f>SUMIFS('지출'!$G$3:$G794,'지출'!$J$3:$J794,N$1,'지출'!$C$3:$C794,"허브")</f>
        <v>0</v>
      </c>
      <c r="O470" s="322">
        <f>SUMIFS('지출'!$G$3:$G794,'지출'!$J$3:$J794,O$1,'지출'!$C$3:$C794,"허브")</f>
        <v>0</v>
      </c>
      <c r="P470" s="327">
        <f>SUMIFS('지출'!$G$3:$G794,'지출'!$J$3:$J794,P$1,'지출'!$C$3:$C794,"허브")</f>
        <v>0</v>
      </c>
      <c r="Q470" s="321">
        <f>SUMIFS('지출'!$G$3:$G794,'지출'!$J$3:$J794,Q$1,'지출'!$C$3:$C794,"허브")</f>
        <v>0</v>
      </c>
      <c r="R470" s="322">
        <f>SUMIFS('지출'!$G$3:$G794,'지출'!$J$3:$J794,R$1,'지출'!$C$3:$C794,"허브")</f>
        <v>0</v>
      </c>
      <c r="S470" s="327">
        <f>SUMIFS('지출'!$G$3:$G794,'지출'!$J$3:$J794,S$1,'지출'!$C$3:$C794,"허브")</f>
        <v>0</v>
      </c>
      <c r="T470" s="321">
        <f>SUMIFS('지출'!$G$3:$G794,'지출'!$J$3:$J794,T$1,'지출'!$C$3:$C794,"허브")</f>
        <v>0</v>
      </c>
      <c r="U470" s="322">
        <f>SUMIFS('지출'!$G$3:$G794,'지출'!$J$3:$J794,U$1,'지출'!$C$3:$C794,"허브")</f>
        <v>0</v>
      </c>
      <c r="V470" s="327">
        <f>SUMIFS('지출'!$G$3:$G794,'지출'!$J$3:$J794,V$1,'지출'!$C$3:$C794,"허브")</f>
        <v>0</v>
      </c>
      <c r="W470" s="321">
        <f>SUMIFS('지출'!$G$3:$G794,'지출'!$J$3:$J794,W$1,'지출'!$C$3:$C794,"허브")</f>
        <v>0</v>
      </c>
      <c r="X470" s="322">
        <f>SUMIFS('지출'!$G$3:$G794,'지출'!$J$3:$J794,X$1,'지출'!$C$3:$C794,"허브")</f>
        <v>0</v>
      </c>
      <c r="Y470" s="327">
        <f>SUMIFS('지출'!$G$3:$G794,'지출'!$J$3:$J794,Y$1,'지출'!$C$3:$C794,"허브")</f>
        <v>0</v>
      </c>
      <c r="Z470" s="321">
        <f>SUMIFS('지출'!$G$3:$G794,'지출'!$J$3:$J794,Z$1,'지출'!$C$3:$C794,"허브")</f>
        <v>0</v>
      </c>
      <c r="AA470" s="322">
        <f>SUMIFS('지출'!$G$3:$G794,'지출'!$J$3:$J794,AA$1,'지출'!$C$3:$C794,"허브")</f>
        <v>0</v>
      </c>
      <c r="AB470" s="327">
        <f>SUMIFS('지출'!$G$3:$G794,'지출'!$J$3:$J794,AB$1,'지출'!$C$3:$C794,"허브")</f>
        <v>0</v>
      </c>
      <c r="AC470" s="321">
        <f>SUMIFS('지출'!$G$3:$G794,'지출'!$J$3:$J794,AC$1,'지출'!$C$3:$C794,"허브")</f>
        <v>0</v>
      </c>
      <c r="AD470" s="322">
        <f>SUMIFS('지출'!$G$3:$G794,'지출'!$J$3:$J794,AD$1,'지출'!$C$3:$C794,"허브")</f>
        <v>0</v>
      </c>
      <c r="AE470" s="327">
        <f>SUMIFS('지출'!$G$3:$G794,'지출'!$J$3:$J794,AE$1,'지출'!$C$3:$C794,"허브")</f>
        <v>0</v>
      </c>
      <c r="AF470" s="321">
        <f>SUMIFS('지출'!$G$3:$G794,'지출'!$J$3:$J794,AF$1,'지출'!$C$3:$C794,"허브")</f>
        <v>0</v>
      </c>
      <c r="AG470" s="322">
        <f>SUMIFS('지출'!$G$3:$G794,'지출'!$J$3:$J794,AG$1,'지출'!$C$3:$C794,"허브")</f>
        <v>0</v>
      </c>
      <c r="AH470" s="327">
        <f>SUMIFS('지출'!$G$3:$G794,'지출'!$J$3:$J794,AH$1,'지출'!$C$3:$C794,"허브")</f>
        <v>0</v>
      </c>
      <c r="AI470" s="321">
        <f>SUMIFS('지출'!$G$3:$G794,'지출'!$J$3:$J794,AI$1,'지출'!$C$3:$C794,"허브")</f>
        <v>0</v>
      </c>
      <c r="AJ470" s="322">
        <f>SUMIFS('지출'!$G$3:$G794,'지출'!$J$3:$J794,AJ$1,'지출'!$C$3:$C794,"허브")</f>
        <v>0</v>
      </c>
      <c r="AK470" s="327">
        <f>SUMIFS('지출'!$G$3:$G794,'지출'!$J$3:$J794,AK$1,'지출'!$C$3:$C794,"허브")</f>
        <v>0</v>
      </c>
      <c r="AL470" s="321">
        <f>SUMIFS('지출'!$G$3:$G794,'지출'!$J$3:$J794,AL$1,'지출'!$C$3:$C794,"허브")</f>
        <v>0</v>
      </c>
      <c r="AM470" s="322">
        <f>SUMIFS('지출'!$G$3:$G794,'지출'!$J$3:$J794,AM$1,'지출'!$C$3:$C794,"허브")</f>
        <v>0</v>
      </c>
      <c r="AN470" s="316" t="s">
        <v>33</v>
      </c>
      <c r="AO470" s="316"/>
      <c r="AP470" s="316"/>
      <c r="AQ470" s="316"/>
      <c r="AR470" s="316"/>
      <c r="AS470" s="316"/>
      <c r="AT470" s="316"/>
      <c r="AU470" s="316"/>
      <c r="AV470" s="316"/>
      <c r="AW470" s="316"/>
      <c r="AX470" s="316"/>
      <c r="AY470" s="316"/>
      <c r="AZ470" s="316"/>
      <c r="BA470" s="316"/>
      <c r="BB470" s="316"/>
      <c r="BC470" s="316"/>
      <c r="BD470" s="316"/>
      <c r="BE470" s="316"/>
      <c r="BF470" s="316"/>
      <c r="BG470" s="316"/>
      <c r="BH470" s="316"/>
      <c r="BI470" s="316"/>
      <c r="BJ470" s="316"/>
      <c r="BK470" s="316"/>
      <c r="BL470" s="316"/>
      <c r="BM470" s="316"/>
      <c r="BN470" s="316"/>
    </row>
    <row r="471" hidden="1" outlineLevel="1">
      <c r="A471" s="303" t="s">
        <v>2255</v>
      </c>
      <c r="B471" s="304"/>
      <c r="C471" s="325" t="s">
        <v>56</v>
      </c>
      <c r="D471" s="320"/>
      <c r="E471" s="323">
        <f t="shared" ref="E471:F471" si="625">E462-(SUM(E463:E470))</f>
        <v>260000</v>
      </c>
      <c r="F471" s="324">
        <f t="shared" si="625"/>
        <v>-71900</v>
      </c>
      <c r="G471" s="320"/>
      <c r="H471" s="323">
        <f t="shared" ref="H471:I471" si="626">H462-(SUM(H463:H470))</f>
        <v>198213</v>
      </c>
      <c r="I471" s="324">
        <f t="shared" si="626"/>
        <v>-138616</v>
      </c>
      <c r="J471" s="320"/>
      <c r="K471" s="323">
        <f t="shared" ref="K471:L471" si="627">K462-(SUM(K463:K470))</f>
        <v>770000</v>
      </c>
      <c r="L471" s="324">
        <f t="shared" si="627"/>
        <v>74460</v>
      </c>
      <c r="M471" s="320"/>
      <c r="N471" s="323">
        <f t="shared" ref="N471:O471" si="628">N462-(SUM(N463:N470))</f>
        <v>770000</v>
      </c>
      <c r="O471" s="324">
        <f t="shared" si="628"/>
        <v>278000</v>
      </c>
      <c r="P471" s="320"/>
      <c r="Q471" s="323">
        <f t="shared" ref="Q471:R471" si="629">Q462-(SUM(Q463:Q470))</f>
        <v>770000</v>
      </c>
      <c r="R471" s="324">
        <f t="shared" si="629"/>
        <v>278000</v>
      </c>
      <c r="S471" s="320"/>
      <c r="T471" s="323">
        <f t="shared" ref="T471:U471" si="630">T462-(SUM(T463:T470))</f>
        <v>770000</v>
      </c>
      <c r="U471" s="324">
        <f t="shared" si="630"/>
        <v>278000</v>
      </c>
      <c r="V471" s="320"/>
      <c r="W471" s="323">
        <f t="shared" ref="W471:X471" si="631">W462-(SUM(W463:W470))</f>
        <v>770000</v>
      </c>
      <c r="X471" s="324">
        <f t="shared" si="631"/>
        <v>278000</v>
      </c>
      <c r="Y471" s="320"/>
      <c r="Z471" s="323">
        <f t="shared" ref="Z471:AA471" si="632">Z462-(SUM(Z463:Z470))</f>
        <v>770000</v>
      </c>
      <c r="AA471" s="324">
        <f t="shared" si="632"/>
        <v>278000</v>
      </c>
      <c r="AB471" s="320"/>
      <c r="AC471" s="323">
        <f t="shared" ref="AC471:AD471" si="633">AC462-(SUM(AC463:AC470))</f>
        <v>770000</v>
      </c>
      <c r="AD471" s="324">
        <f t="shared" si="633"/>
        <v>278000</v>
      </c>
      <c r="AE471" s="320"/>
      <c r="AF471" s="323">
        <f t="shared" ref="AF471:AG471" si="634">AF462-(SUM(AF463:AF470))</f>
        <v>770000</v>
      </c>
      <c r="AG471" s="324">
        <f t="shared" si="634"/>
        <v>378000</v>
      </c>
      <c r="AH471" s="320"/>
      <c r="AI471" s="323">
        <f t="shared" ref="AI471:AJ471" si="635">AI462-(SUM(AI463:AI470))</f>
        <v>770000</v>
      </c>
      <c r="AJ471" s="324">
        <f t="shared" si="635"/>
        <v>378000</v>
      </c>
      <c r="AK471" s="320"/>
      <c r="AL471" s="323">
        <f t="shared" ref="AL471:AM471" si="636">AL462-(SUM(AL463:AL470))</f>
        <v>770000</v>
      </c>
      <c r="AM471" s="324">
        <f t="shared" si="636"/>
        <v>378000</v>
      </c>
      <c r="AN471" s="316" t="s">
        <v>33</v>
      </c>
      <c r="AO471" s="316"/>
      <c r="AP471" s="316"/>
      <c r="AQ471" s="316"/>
      <c r="AR471" s="316"/>
      <c r="AS471" s="316"/>
      <c r="AT471" s="316"/>
      <c r="AU471" s="316"/>
      <c r="AV471" s="316"/>
      <c r="AW471" s="316"/>
      <c r="AX471" s="316"/>
      <c r="AY471" s="316"/>
      <c r="AZ471" s="316"/>
      <c r="BA471" s="316"/>
      <c r="BB471" s="316"/>
      <c r="BC471" s="316"/>
      <c r="BD471" s="316"/>
      <c r="BE471" s="316"/>
      <c r="BF471" s="316"/>
      <c r="BG471" s="316"/>
      <c r="BH471" s="316"/>
      <c r="BI471" s="316"/>
      <c r="BJ471" s="316"/>
      <c r="BK471" s="316"/>
      <c r="BL471" s="316"/>
      <c r="BM471" s="316"/>
      <c r="BN471" s="316"/>
    </row>
    <row r="472">
      <c r="A472" s="303" t="s">
        <v>2255</v>
      </c>
      <c r="B472" s="328">
        <v>0.0</v>
      </c>
      <c r="C472" s="325" t="s">
        <v>26</v>
      </c>
      <c r="D472" s="320"/>
      <c r="E472" s="323">
        <f>E471*$B472</f>
        <v>0</v>
      </c>
      <c r="F472" s="324"/>
      <c r="G472" s="320"/>
      <c r="H472" s="323">
        <f>H471*$B472</f>
        <v>0</v>
      </c>
      <c r="I472" s="324"/>
      <c r="J472" s="320"/>
      <c r="K472" s="323">
        <f>K471*$B472</f>
        <v>0</v>
      </c>
      <c r="L472" s="324"/>
      <c r="M472" s="320"/>
      <c r="N472" s="323">
        <f>N471*$B472</f>
        <v>0</v>
      </c>
      <c r="O472" s="324"/>
      <c r="P472" s="320"/>
      <c r="Q472" s="323">
        <f>Q471*$B472</f>
        <v>0</v>
      </c>
      <c r="R472" s="324"/>
      <c r="S472" s="320"/>
      <c r="T472" s="323">
        <f>T471*$B472</f>
        <v>0</v>
      </c>
      <c r="U472" s="324"/>
      <c r="V472" s="320"/>
      <c r="W472" s="323">
        <f>W471*$B472</f>
        <v>0</v>
      </c>
      <c r="X472" s="324"/>
      <c r="Y472" s="320"/>
      <c r="Z472" s="323">
        <f>Z471*$B472</f>
        <v>0</v>
      </c>
      <c r="AA472" s="324"/>
      <c r="AB472" s="320"/>
      <c r="AC472" s="323">
        <f>AC471*$B472</f>
        <v>0</v>
      </c>
      <c r="AD472" s="324"/>
      <c r="AE472" s="320"/>
      <c r="AF472" s="323">
        <f>AF471*$B472</f>
        <v>0</v>
      </c>
      <c r="AG472" s="324"/>
      <c r="AH472" s="320"/>
      <c r="AI472" s="323">
        <f>AI471*$B472</f>
        <v>0</v>
      </c>
      <c r="AJ472" s="324"/>
      <c r="AK472" s="320"/>
      <c r="AL472" s="323">
        <f>AL471*$B472</f>
        <v>0</v>
      </c>
      <c r="AM472" s="324"/>
      <c r="AN472" s="316" t="s">
        <v>33</v>
      </c>
      <c r="AO472" s="316"/>
      <c r="AP472" s="316"/>
      <c r="AQ472" s="316"/>
      <c r="AR472" s="316"/>
      <c r="AS472" s="316"/>
      <c r="AT472" s="316"/>
      <c r="AU472" s="316"/>
      <c r="AV472" s="316"/>
      <c r="AW472" s="316"/>
      <c r="AX472" s="316"/>
      <c r="AY472" s="316"/>
      <c r="AZ472" s="316"/>
      <c r="BA472" s="316"/>
      <c r="BB472" s="316"/>
      <c r="BC472" s="316"/>
      <c r="BD472" s="316"/>
      <c r="BE472" s="316"/>
      <c r="BF472" s="316"/>
      <c r="BG472" s="316"/>
      <c r="BH472" s="316"/>
      <c r="BI472" s="316"/>
      <c r="BJ472" s="316"/>
      <c r="BK472" s="316"/>
      <c r="BL472" s="316"/>
      <c r="BM472" s="316"/>
      <c r="BN472" s="316"/>
    </row>
    <row r="473">
      <c r="A473" s="303" t="s">
        <v>2255</v>
      </c>
      <c r="B473" s="329">
        <v>1.0</v>
      </c>
      <c r="C473" s="330" t="s">
        <v>57</v>
      </c>
      <c r="D473" s="331"/>
      <c r="E473" s="332">
        <f>E471*$B473</f>
        <v>260000</v>
      </c>
      <c r="F473" s="333"/>
      <c r="G473" s="331"/>
      <c r="H473" s="332">
        <f>H471*$B473</f>
        <v>198213</v>
      </c>
      <c r="I473" s="333"/>
      <c r="J473" s="331"/>
      <c r="K473" s="332">
        <f>K471*$B473</f>
        <v>770000</v>
      </c>
      <c r="L473" s="333"/>
      <c r="M473" s="331"/>
      <c r="N473" s="332">
        <f>N471*$B473</f>
        <v>770000</v>
      </c>
      <c r="O473" s="333"/>
      <c r="P473" s="331"/>
      <c r="Q473" s="332">
        <f>Q471*$B473</f>
        <v>770000</v>
      </c>
      <c r="R473" s="333"/>
      <c r="S473" s="331"/>
      <c r="T473" s="332">
        <f>T471*$B473</f>
        <v>770000</v>
      </c>
      <c r="U473" s="333"/>
      <c r="V473" s="331"/>
      <c r="W473" s="332">
        <f>W471*$B473</f>
        <v>770000</v>
      </c>
      <c r="X473" s="333"/>
      <c r="Y473" s="331"/>
      <c r="Z473" s="332">
        <f>Z471*$B473</f>
        <v>770000</v>
      </c>
      <c r="AA473" s="333"/>
      <c r="AB473" s="331"/>
      <c r="AC473" s="332">
        <f>AC471*$B473</f>
        <v>770000</v>
      </c>
      <c r="AD473" s="333"/>
      <c r="AE473" s="331"/>
      <c r="AF473" s="332">
        <f>AF471*$B473</f>
        <v>770000</v>
      </c>
      <c r="AG473" s="333"/>
      <c r="AH473" s="331"/>
      <c r="AI473" s="332">
        <f>AI471*$B473</f>
        <v>770000</v>
      </c>
      <c r="AJ473" s="333"/>
      <c r="AK473" s="331"/>
      <c r="AL473" s="332">
        <f>AL471*$B473</f>
        <v>770000</v>
      </c>
      <c r="AM473" s="333"/>
      <c r="AN473" s="316" t="s">
        <v>33</v>
      </c>
      <c r="AO473" s="316"/>
      <c r="AP473" s="316"/>
      <c r="AQ473" s="316"/>
      <c r="AR473" s="316"/>
      <c r="AS473" s="316"/>
      <c r="AT473" s="316"/>
      <c r="AU473" s="316"/>
      <c r="AV473" s="316"/>
      <c r="AW473" s="316"/>
      <c r="AX473" s="316"/>
      <c r="AY473" s="316"/>
      <c r="AZ473" s="316"/>
      <c r="BA473" s="316"/>
      <c r="BB473" s="316"/>
      <c r="BC473" s="316"/>
      <c r="BD473" s="316"/>
      <c r="BE473" s="316"/>
      <c r="BF473" s="316"/>
      <c r="BG473" s="316"/>
      <c r="BH473" s="316"/>
      <c r="BI473" s="316"/>
      <c r="BJ473" s="316"/>
      <c r="BK473" s="316"/>
      <c r="BL473" s="316"/>
      <c r="BM473" s="316"/>
      <c r="BN473" s="316"/>
    </row>
    <row r="474">
      <c r="A474" s="303" t="s">
        <v>2261</v>
      </c>
      <c r="B474" s="317" t="s">
        <v>778</v>
      </c>
      <c r="C474" s="325" t="s">
        <v>779</v>
      </c>
      <c r="D474" s="353" t="s">
        <v>2262</v>
      </c>
      <c r="E474" s="348">
        <v>400000.0</v>
      </c>
      <c r="F474" s="346">
        <v>100000.0</v>
      </c>
      <c r="G474" s="353" t="s">
        <v>2263</v>
      </c>
      <c r="H474" s="335">
        <f>500000++300000+90000+100714</f>
        <v>990714</v>
      </c>
      <c r="I474" s="346">
        <f>100000+21429</f>
        <v>121429</v>
      </c>
      <c r="J474" s="326" t="s">
        <v>1744</v>
      </c>
      <c r="K474" s="321">
        <v>470000.0</v>
      </c>
      <c r="L474" s="322">
        <v>100000.0</v>
      </c>
      <c r="M474" s="326" t="s">
        <v>1744</v>
      </c>
      <c r="N474" s="321">
        <v>470000.0</v>
      </c>
      <c r="O474" s="322">
        <v>100000.0</v>
      </c>
      <c r="P474" s="326" t="s">
        <v>1744</v>
      </c>
      <c r="Q474" s="321">
        <v>470000.0</v>
      </c>
      <c r="R474" s="322">
        <v>100000.0</v>
      </c>
      <c r="S474" s="326" t="s">
        <v>1744</v>
      </c>
      <c r="T474" s="321">
        <v>470000.0</v>
      </c>
      <c r="U474" s="322">
        <v>100000.0</v>
      </c>
      <c r="V474" s="326" t="s">
        <v>1744</v>
      </c>
      <c r="W474" s="321">
        <v>470000.0</v>
      </c>
      <c r="X474" s="322">
        <v>100000.0</v>
      </c>
      <c r="Y474" s="326" t="s">
        <v>1744</v>
      </c>
      <c r="Z474" s="321">
        <v>470000.0</v>
      </c>
      <c r="AA474" s="322">
        <v>100000.0</v>
      </c>
      <c r="AB474" s="326" t="s">
        <v>1744</v>
      </c>
      <c r="AC474" s="321">
        <v>470000.0</v>
      </c>
      <c r="AD474" s="322">
        <v>100000.0</v>
      </c>
      <c r="AE474" s="326" t="s">
        <v>1744</v>
      </c>
      <c r="AF474" s="321">
        <v>470000.0</v>
      </c>
      <c r="AG474" s="322">
        <v>100000.0</v>
      </c>
      <c r="AH474" s="326" t="s">
        <v>1744</v>
      </c>
      <c r="AI474" s="321">
        <v>470000.0</v>
      </c>
      <c r="AJ474" s="322">
        <v>100000.0</v>
      </c>
      <c r="AK474" s="326" t="s">
        <v>1744</v>
      </c>
      <c r="AL474" s="321">
        <v>470000.0</v>
      </c>
      <c r="AM474" s="322">
        <v>100000.0</v>
      </c>
      <c r="AN474" s="316" t="s">
        <v>33</v>
      </c>
      <c r="AO474" s="316"/>
      <c r="AP474" s="316"/>
      <c r="AQ474" s="316"/>
      <c r="AR474" s="316"/>
      <c r="AS474" s="316"/>
      <c r="AT474" s="316"/>
      <c r="AU474" s="316"/>
      <c r="AV474" s="316"/>
      <c r="AW474" s="316"/>
      <c r="AX474" s="316"/>
      <c r="AY474" s="316"/>
      <c r="AZ474" s="316"/>
      <c r="BA474" s="316"/>
      <c r="BB474" s="316"/>
      <c r="BC474" s="316"/>
      <c r="BD474" s="316"/>
      <c r="BE474" s="316"/>
      <c r="BF474" s="316"/>
      <c r="BG474" s="316"/>
      <c r="BH474" s="316"/>
      <c r="BI474" s="316"/>
      <c r="BJ474" s="316"/>
      <c r="BK474" s="316"/>
      <c r="BL474" s="316"/>
      <c r="BM474" s="316"/>
      <c r="BN474" s="316"/>
    </row>
    <row r="475">
      <c r="A475" s="303" t="s">
        <v>2261</v>
      </c>
      <c r="B475" s="317" t="s">
        <v>787</v>
      </c>
      <c r="C475" s="325" t="s">
        <v>788</v>
      </c>
      <c r="D475" s="341" t="s">
        <v>790</v>
      </c>
      <c r="E475" s="348">
        <v>550000.0</v>
      </c>
      <c r="F475" s="346">
        <v>80000.0</v>
      </c>
      <c r="G475" s="341" t="s">
        <v>790</v>
      </c>
      <c r="H475" s="348">
        <v>350000.0</v>
      </c>
      <c r="I475" s="346">
        <v>80000.0</v>
      </c>
      <c r="J475" s="341" t="s">
        <v>790</v>
      </c>
      <c r="K475" s="335">
        <v>550000.0</v>
      </c>
      <c r="L475" s="346">
        <v>80000.0</v>
      </c>
      <c r="M475" s="341" t="s">
        <v>790</v>
      </c>
      <c r="N475" s="335">
        <v>550000.0</v>
      </c>
      <c r="O475" s="322">
        <v>100000.0</v>
      </c>
      <c r="P475" s="341" t="s">
        <v>790</v>
      </c>
      <c r="Q475" s="335">
        <v>550000.0</v>
      </c>
      <c r="R475" s="322">
        <v>100000.0</v>
      </c>
      <c r="S475" s="341" t="s">
        <v>790</v>
      </c>
      <c r="T475" s="335">
        <v>550000.0</v>
      </c>
      <c r="U475" s="322">
        <v>100000.0</v>
      </c>
      <c r="V475" s="341" t="s">
        <v>790</v>
      </c>
      <c r="W475" s="335">
        <v>550000.0</v>
      </c>
      <c r="X475" s="322">
        <v>100000.0</v>
      </c>
      <c r="Y475" s="353" t="s">
        <v>2264</v>
      </c>
      <c r="Z475" s="335">
        <v>550000.0</v>
      </c>
      <c r="AA475" s="322">
        <v>100000.0</v>
      </c>
      <c r="AB475" s="326"/>
      <c r="AC475" s="321"/>
      <c r="AD475" s="322"/>
      <c r="AE475" s="326"/>
      <c r="AF475" s="321"/>
      <c r="AG475" s="322"/>
      <c r="AH475" s="326"/>
      <c r="AI475" s="321"/>
      <c r="AJ475" s="322"/>
      <c r="AK475" s="326"/>
      <c r="AL475" s="321"/>
      <c r="AM475" s="322"/>
      <c r="AN475" s="316" t="s">
        <v>33</v>
      </c>
      <c r="AO475" s="316"/>
      <c r="AP475" s="316"/>
      <c r="AQ475" s="316"/>
      <c r="AR475" s="316"/>
      <c r="AS475" s="316"/>
      <c r="AT475" s="316"/>
      <c r="AU475" s="316"/>
      <c r="AV475" s="316"/>
      <c r="AW475" s="316"/>
      <c r="AX475" s="316"/>
      <c r="AY475" s="316"/>
      <c r="AZ475" s="316"/>
      <c r="BA475" s="316"/>
      <c r="BB475" s="316"/>
      <c r="BC475" s="316"/>
      <c r="BD475" s="316"/>
      <c r="BE475" s="316"/>
      <c r="BF475" s="316"/>
      <c r="BG475" s="316"/>
      <c r="BH475" s="316"/>
      <c r="BI475" s="316"/>
      <c r="BJ475" s="316"/>
      <c r="BK475" s="316"/>
      <c r="BL475" s="316"/>
      <c r="BM475" s="316"/>
      <c r="BN475" s="316"/>
    </row>
    <row r="476">
      <c r="A476" s="303" t="s">
        <v>2261</v>
      </c>
      <c r="B476" s="317" t="s">
        <v>778</v>
      </c>
      <c r="C476" s="325" t="s">
        <v>2265</v>
      </c>
      <c r="D476" s="353" t="s">
        <v>2266</v>
      </c>
      <c r="E476" s="321">
        <v>570000.0</v>
      </c>
      <c r="F476" s="322">
        <v>0.0</v>
      </c>
      <c r="G476" s="326" t="s">
        <v>2267</v>
      </c>
      <c r="H476" s="321">
        <v>20357.0</v>
      </c>
      <c r="I476" s="322">
        <v>3571.0</v>
      </c>
      <c r="J476" s="326" t="s">
        <v>1753</v>
      </c>
      <c r="K476" s="348">
        <v>570000.0</v>
      </c>
      <c r="L476" s="322">
        <v>100000.0</v>
      </c>
      <c r="M476" s="326" t="s">
        <v>1753</v>
      </c>
      <c r="N476" s="348">
        <v>570000.0</v>
      </c>
      <c r="O476" s="322">
        <v>100000.0</v>
      </c>
      <c r="P476" s="326" t="s">
        <v>1753</v>
      </c>
      <c r="Q476" s="348">
        <v>570000.0</v>
      </c>
      <c r="R476" s="322">
        <v>100000.0</v>
      </c>
      <c r="S476" s="326" t="s">
        <v>1753</v>
      </c>
      <c r="T476" s="348">
        <v>570000.0</v>
      </c>
      <c r="U476" s="322">
        <v>100000.0</v>
      </c>
      <c r="V476" s="326" t="s">
        <v>1753</v>
      </c>
      <c r="W476" s="348">
        <v>570000.0</v>
      </c>
      <c r="X476" s="322">
        <v>100000.0</v>
      </c>
      <c r="Y476" s="326" t="s">
        <v>1753</v>
      </c>
      <c r="Z476" s="348">
        <v>570000.0</v>
      </c>
      <c r="AA476" s="322">
        <v>100000.0</v>
      </c>
      <c r="AB476" s="326" t="s">
        <v>1753</v>
      </c>
      <c r="AC476" s="348">
        <v>570000.0</v>
      </c>
      <c r="AD476" s="322">
        <v>100000.0</v>
      </c>
      <c r="AE476" s="326" t="s">
        <v>1753</v>
      </c>
      <c r="AF476" s="348">
        <v>570000.0</v>
      </c>
      <c r="AG476" s="322">
        <v>100000.0</v>
      </c>
      <c r="AH476" s="326" t="s">
        <v>1753</v>
      </c>
      <c r="AI476" s="348">
        <v>570000.0</v>
      </c>
      <c r="AJ476" s="322">
        <v>100000.0</v>
      </c>
      <c r="AK476" s="326" t="s">
        <v>1753</v>
      </c>
      <c r="AL476" s="348">
        <v>570000.0</v>
      </c>
      <c r="AM476" s="322">
        <v>100000.0</v>
      </c>
      <c r="AN476" s="316" t="s">
        <v>33</v>
      </c>
      <c r="AO476" s="316"/>
      <c r="AP476" s="316"/>
      <c r="AQ476" s="316"/>
      <c r="AR476" s="316"/>
      <c r="AS476" s="316"/>
      <c r="AT476" s="316"/>
      <c r="AU476" s="316"/>
      <c r="AV476" s="316"/>
      <c r="AW476" s="316"/>
      <c r="AX476" s="316"/>
      <c r="AY476" s="316"/>
      <c r="AZ476" s="316"/>
      <c r="BA476" s="316"/>
      <c r="BB476" s="316"/>
      <c r="BC476" s="316"/>
      <c r="BD476" s="316"/>
      <c r="BE476" s="316"/>
      <c r="BF476" s="316"/>
      <c r="BG476" s="316"/>
      <c r="BH476" s="316"/>
      <c r="BI476" s="316"/>
      <c r="BJ476" s="316"/>
      <c r="BK476" s="316"/>
      <c r="BL476" s="316"/>
      <c r="BM476" s="316"/>
      <c r="BN476" s="316"/>
    </row>
    <row r="477">
      <c r="A477" s="303" t="s">
        <v>2261</v>
      </c>
      <c r="B477" s="304"/>
      <c r="C477" s="305" t="s">
        <v>42</v>
      </c>
      <c r="D477" s="320"/>
      <c r="E477" s="323">
        <f t="shared" ref="E477:F477" si="637">SUM(E474:E476)</f>
        <v>1520000</v>
      </c>
      <c r="F477" s="324">
        <f t="shared" si="637"/>
        <v>180000</v>
      </c>
      <c r="G477" s="320"/>
      <c r="H477" s="323">
        <f t="shared" ref="H477:I477" si="638">SUM(H474:H476)</f>
        <v>1361071</v>
      </c>
      <c r="I477" s="324">
        <f t="shared" si="638"/>
        <v>205000</v>
      </c>
      <c r="J477" s="320"/>
      <c r="K477" s="323">
        <f t="shared" ref="K477:L477" si="639">SUM(K474:K476)</f>
        <v>1590000</v>
      </c>
      <c r="L477" s="324">
        <f t="shared" si="639"/>
        <v>280000</v>
      </c>
      <c r="M477" s="320"/>
      <c r="N477" s="323">
        <f t="shared" ref="N477:O477" si="640">SUM(N474:N476)</f>
        <v>1590000</v>
      </c>
      <c r="O477" s="324">
        <f t="shared" si="640"/>
        <v>300000</v>
      </c>
      <c r="P477" s="320"/>
      <c r="Q477" s="323">
        <f t="shared" ref="Q477:R477" si="641">SUM(Q474:Q476)</f>
        <v>1590000</v>
      </c>
      <c r="R477" s="324">
        <f t="shared" si="641"/>
        <v>300000</v>
      </c>
      <c r="S477" s="320"/>
      <c r="T477" s="323">
        <f t="shared" ref="T477:U477" si="642">SUM(T474:T476)</f>
        <v>1590000</v>
      </c>
      <c r="U477" s="324">
        <f t="shared" si="642"/>
        <v>300000</v>
      </c>
      <c r="V477" s="320"/>
      <c r="W477" s="323">
        <f t="shared" ref="W477:X477" si="643">SUM(W474:W476)</f>
        <v>1590000</v>
      </c>
      <c r="X477" s="324">
        <f t="shared" si="643"/>
        <v>300000</v>
      </c>
      <c r="Y477" s="320"/>
      <c r="Z477" s="323">
        <f t="shared" ref="Z477:AA477" si="644">SUM(Z474:Z476)</f>
        <v>1590000</v>
      </c>
      <c r="AA477" s="324">
        <f t="shared" si="644"/>
        <v>300000</v>
      </c>
      <c r="AB477" s="320"/>
      <c r="AC477" s="323">
        <f t="shared" ref="AC477:AD477" si="645">SUM(AC474:AC476)</f>
        <v>1040000</v>
      </c>
      <c r="AD477" s="324">
        <f t="shared" si="645"/>
        <v>200000</v>
      </c>
      <c r="AE477" s="320"/>
      <c r="AF477" s="323">
        <f t="shared" ref="AF477:AG477" si="646">SUM(AF474:AF476)</f>
        <v>1040000</v>
      </c>
      <c r="AG477" s="324">
        <f t="shared" si="646"/>
        <v>200000</v>
      </c>
      <c r="AH477" s="320"/>
      <c r="AI477" s="323">
        <f t="shared" ref="AI477:AJ477" si="647">SUM(AI474:AI476)</f>
        <v>1040000</v>
      </c>
      <c r="AJ477" s="324">
        <f t="shared" si="647"/>
        <v>200000</v>
      </c>
      <c r="AK477" s="320"/>
      <c r="AL477" s="323">
        <f t="shared" ref="AL477:AM477" si="648">SUM(AL474:AL476)</f>
        <v>1040000</v>
      </c>
      <c r="AM477" s="324">
        <f t="shared" si="648"/>
        <v>200000</v>
      </c>
      <c r="AN477" s="316" t="s">
        <v>33</v>
      </c>
      <c r="AO477" s="316"/>
      <c r="AP477" s="316"/>
      <c r="AQ477" s="316"/>
      <c r="AR477" s="316"/>
      <c r="AS477" s="316"/>
      <c r="AT477" s="316"/>
      <c r="AU477" s="316"/>
      <c r="AV477" s="316"/>
      <c r="AW477" s="316"/>
      <c r="AX477" s="316"/>
      <c r="AY477" s="316"/>
      <c r="AZ477" s="316"/>
      <c r="BA477" s="316"/>
      <c r="BB477" s="316"/>
      <c r="BC477" s="316"/>
      <c r="BD477" s="316"/>
      <c r="BE477" s="316"/>
      <c r="BF477" s="316"/>
      <c r="BG477" s="316"/>
      <c r="BH477" s="316"/>
      <c r="BI477" s="316"/>
      <c r="BJ477" s="316"/>
      <c r="BK477" s="316"/>
      <c r="BL477" s="316"/>
      <c r="BM477" s="316"/>
      <c r="BN477" s="316"/>
    </row>
    <row r="478" collapsed="1">
      <c r="A478" s="303" t="s">
        <v>2261</v>
      </c>
      <c r="B478" s="304"/>
      <c r="C478" s="325" t="s">
        <v>43</v>
      </c>
      <c r="D478" s="326"/>
      <c r="E478" s="321">
        <v>800000.0</v>
      </c>
      <c r="F478" s="324"/>
      <c r="G478" s="326"/>
      <c r="H478" s="321">
        <v>800000.0</v>
      </c>
      <c r="I478" s="324"/>
      <c r="J478" s="326"/>
      <c r="K478" s="321">
        <v>800000.0</v>
      </c>
      <c r="L478" s="324"/>
      <c r="M478" s="326"/>
      <c r="N478" s="321">
        <v>800000.0</v>
      </c>
      <c r="O478" s="324"/>
      <c r="P478" s="326"/>
      <c r="Q478" s="321">
        <v>800000.0</v>
      </c>
      <c r="R478" s="324"/>
      <c r="S478" s="326"/>
      <c r="T478" s="321">
        <v>800000.0</v>
      </c>
      <c r="U478" s="324"/>
      <c r="V478" s="326"/>
      <c r="W478" s="321">
        <v>800000.0</v>
      </c>
      <c r="X478" s="324"/>
      <c r="Y478" s="326"/>
      <c r="Z478" s="321">
        <v>800000.0</v>
      </c>
      <c r="AA478" s="324"/>
      <c r="AB478" s="326"/>
      <c r="AC478" s="321">
        <v>800000.0</v>
      </c>
      <c r="AD478" s="324"/>
      <c r="AE478" s="326"/>
      <c r="AF478" s="321">
        <v>800000.0</v>
      </c>
      <c r="AG478" s="324"/>
      <c r="AH478" s="326"/>
      <c r="AI478" s="321">
        <v>800000.0</v>
      </c>
      <c r="AJ478" s="324"/>
      <c r="AK478" s="326"/>
      <c r="AL478" s="321">
        <v>800000.0</v>
      </c>
      <c r="AM478" s="324"/>
      <c r="AN478" s="316" t="s">
        <v>33</v>
      </c>
      <c r="AO478" s="316"/>
      <c r="AP478" s="316"/>
      <c r="AQ478" s="316"/>
      <c r="AR478" s="316"/>
      <c r="AS478" s="316"/>
      <c r="AT478" s="316"/>
      <c r="AU478" s="316"/>
      <c r="AV478" s="316"/>
      <c r="AW478" s="316"/>
      <c r="AX478" s="316"/>
      <c r="AY478" s="316"/>
      <c r="AZ478" s="316"/>
      <c r="BA478" s="316"/>
      <c r="BB478" s="316"/>
      <c r="BC478" s="316"/>
      <c r="BD478" s="316"/>
      <c r="BE478" s="316"/>
      <c r="BF478" s="316"/>
      <c r="BG478" s="316"/>
      <c r="BH478" s="316"/>
      <c r="BI478" s="316"/>
      <c r="BJ478" s="316"/>
      <c r="BK478" s="316"/>
      <c r="BL478" s="316"/>
      <c r="BM478" s="316"/>
      <c r="BN478" s="316"/>
    </row>
    <row r="479" hidden="1" outlineLevel="1">
      <c r="A479" s="303" t="s">
        <v>2261</v>
      </c>
      <c r="B479" s="304"/>
      <c r="C479" s="325" t="s">
        <v>45</v>
      </c>
      <c r="D479" s="326" t="s">
        <v>677</v>
      </c>
      <c r="E479" s="321" t="s">
        <v>677</v>
      </c>
      <c r="F479" s="322" t="s">
        <v>677</v>
      </c>
      <c r="G479" s="326" t="s">
        <v>677</v>
      </c>
      <c r="H479" s="321" t="s">
        <v>677</v>
      </c>
      <c r="I479" s="322" t="s">
        <v>677</v>
      </c>
      <c r="J479" s="326" t="s">
        <v>677</v>
      </c>
      <c r="K479" s="321" t="s">
        <v>677</v>
      </c>
      <c r="L479" s="322" t="s">
        <v>677</v>
      </c>
      <c r="M479" s="326" t="s">
        <v>677</v>
      </c>
      <c r="N479" s="321" t="s">
        <v>677</v>
      </c>
      <c r="O479" s="322" t="s">
        <v>677</v>
      </c>
      <c r="P479" s="326" t="s">
        <v>677</v>
      </c>
      <c r="Q479" s="321" t="s">
        <v>677</v>
      </c>
      <c r="R479" s="322" t="s">
        <v>677</v>
      </c>
      <c r="S479" s="326" t="s">
        <v>677</v>
      </c>
      <c r="T479" s="321" t="s">
        <v>677</v>
      </c>
      <c r="U479" s="322" t="s">
        <v>677</v>
      </c>
      <c r="V479" s="326" t="s">
        <v>677</v>
      </c>
      <c r="W479" s="321" t="s">
        <v>677</v>
      </c>
      <c r="X479" s="322" t="s">
        <v>677</v>
      </c>
      <c r="Y479" s="326" t="s">
        <v>677</v>
      </c>
      <c r="Z479" s="321" t="s">
        <v>677</v>
      </c>
      <c r="AA479" s="322" t="s">
        <v>677</v>
      </c>
      <c r="AB479" s="326" t="s">
        <v>677</v>
      </c>
      <c r="AC479" s="321" t="s">
        <v>677</v>
      </c>
      <c r="AD479" s="322" t="s">
        <v>677</v>
      </c>
      <c r="AE479" s="326" t="s">
        <v>677</v>
      </c>
      <c r="AF479" s="321" t="s">
        <v>677</v>
      </c>
      <c r="AG479" s="322" t="s">
        <v>677</v>
      </c>
      <c r="AH479" s="326" t="s">
        <v>677</v>
      </c>
      <c r="AI479" s="321" t="s">
        <v>677</v>
      </c>
      <c r="AJ479" s="322" t="s">
        <v>677</v>
      </c>
      <c r="AK479" s="326" t="s">
        <v>677</v>
      </c>
      <c r="AL479" s="321" t="s">
        <v>677</v>
      </c>
      <c r="AM479" s="322" t="s">
        <v>677</v>
      </c>
      <c r="AN479" s="316" t="s">
        <v>33</v>
      </c>
      <c r="AO479" s="316"/>
      <c r="AP479" s="316"/>
      <c r="AQ479" s="316"/>
      <c r="AR479" s="316"/>
      <c r="AS479" s="316"/>
      <c r="AT479" s="316"/>
      <c r="AU479" s="316"/>
      <c r="AV479" s="316"/>
      <c r="AW479" s="316"/>
      <c r="AX479" s="316"/>
      <c r="AY479" s="316"/>
      <c r="AZ479" s="316"/>
      <c r="BA479" s="316"/>
      <c r="BB479" s="316"/>
      <c r="BC479" s="316"/>
      <c r="BD479" s="316"/>
      <c r="BE479" s="316"/>
      <c r="BF479" s="316"/>
      <c r="BG479" s="316"/>
      <c r="BH479" s="316"/>
      <c r="BI479" s="316"/>
      <c r="BJ479" s="316"/>
      <c r="BK479" s="316"/>
      <c r="BL479" s="316"/>
      <c r="BM479" s="316"/>
      <c r="BN479" s="316"/>
    </row>
    <row r="480" hidden="1" outlineLevel="1">
      <c r="A480" s="303" t="s">
        <v>2261</v>
      </c>
      <c r="B480" s="317" t="s">
        <v>800</v>
      </c>
      <c r="C480" s="325" t="s">
        <v>47</v>
      </c>
      <c r="D480" s="326"/>
      <c r="E480" s="321"/>
      <c r="F480" s="322">
        <v>30310.0</v>
      </c>
      <c r="G480" s="326"/>
      <c r="H480" s="321"/>
      <c r="I480" s="322">
        <v>19290.0</v>
      </c>
      <c r="J480" s="326"/>
      <c r="K480" s="321"/>
      <c r="L480" s="322">
        <v>16870.0</v>
      </c>
      <c r="M480" s="326"/>
      <c r="N480" s="321"/>
      <c r="O480" s="322"/>
      <c r="P480" s="326"/>
      <c r="Q480" s="321"/>
      <c r="R480" s="322"/>
      <c r="S480" s="326"/>
      <c r="T480" s="321"/>
      <c r="U480" s="322"/>
      <c r="V480" s="326"/>
      <c r="W480" s="321"/>
      <c r="X480" s="322"/>
      <c r="Y480" s="326"/>
      <c r="Z480" s="321"/>
      <c r="AA480" s="322"/>
      <c r="AB480" s="326"/>
      <c r="AC480" s="321"/>
      <c r="AD480" s="322"/>
      <c r="AE480" s="326"/>
      <c r="AF480" s="321"/>
      <c r="AG480" s="322"/>
      <c r="AH480" s="326"/>
      <c r="AI480" s="321"/>
      <c r="AJ480" s="322"/>
      <c r="AK480" s="326"/>
      <c r="AL480" s="321"/>
      <c r="AM480" s="322"/>
      <c r="AN480" s="316" t="s">
        <v>33</v>
      </c>
      <c r="AO480" s="316"/>
      <c r="AP480" s="316"/>
      <c r="AQ480" s="316"/>
      <c r="AR480" s="316"/>
      <c r="AS480" s="316"/>
      <c r="AT480" s="316"/>
      <c r="AU480" s="316"/>
      <c r="AV480" s="316"/>
      <c r="AW480" s="316"/>
      <c r="AX480" s="316"/>
      <c r="AY480" s="316"/>
      <c r="AZ480" s="316"/>
      <c r="BA480" s="316"/>
      <c r="BB480" s="316"/>
      <c r="BC480" s="316"/>
      <c r="BD480" s="316"/>
      <c r="BE480" s="316"/>
      <c r="BF480" s="316"/>
      <c r="BG480" s="316"/>
      <c r="BH480" s="316"/>
      <c r="BI480" s="316"/>
      <c r="BJ480" s="316"/>
      <c r="BK480" s="316"/>
      <c r="BL480" s="316"/>
      <c r="BM480" s="316"/>
      <c r="BN480" s="316"/>
    </row>
    <row r="481" hidden="1" outlineLevel="1">
      <c r="A481" s="303" t="s">
        <v>2261</v>
      </c>
      <c r="B481" s="317" t="s">
        <v>801</v>
      </c>
      <c r="C481" s="325" t="s">
        <v>49</v>
      </c>
      <c r="D481" s="326"/>
      <c r="E481" s="321"/>
      <c r="F481" s="322">
        <v>144820.0</v>
      </c>
      <c r="G481" s="326"/>
      <c r="H481" s="321"/>
      <c r="I481" s="322">
        <v>159780.0</v>
      </c>
      <c r="J481" s="326"/>
      <c r="K481" s="321"/>
      <c r="L481" s="322">
        <v>124490.0</v>
      </c>
      <c r="M481" s="326"/>
      <c r="N481" s="321"/>
      <c r="O481" s="322"/>
      <c r="P481" s="326"/>
      <c r="Q481" s="321"/>
      <c r="R481" s="322"/>
      <c r="S481" s="326"/>
      <c r="T481" s="321"/>
      <c r="U481" s="322"/>
      <c r="V481" s="326"/>
      <c r="W481" s="321"/>
      <c r="X481" s="322"/>
      <c r="Y481" s="326"/>
      <c r="Z481" s="321"/>
      <c r="AA481" s="322"/>
      <c r="AB481" s="326"/>
      <c r="AC481" s="321"/>
      <c r="AD481" s="322"/>
      <c r="AE481" s="326"/>
      <c r="AF481" s="321"/>
      <c r="AG481" s="322"/>
      <c r="AH481" s="326"/>
      <c r="AI481" s="321"/>
      <c r="AJ481" s="322"/>
      <c r="AK481" s="326"/>
      <c r="AL481" s="321"/>
      <c r="AM481" s="322"/>
      <c r="AN481" s="316" t="s">
        <v>33</v>
      </c>
      <c r="AO481" s="316"/>
      <c r="AP481" s="316"/>
      <c r="AQ481" s="316"/>
      <c r="AR481" s="316"/>
      <c r="AS481" s="316"/>
      <c r="AT481" s="316"/>
      <c r="AU481" s="316"/>
      <c r="AV481" s="316"/>
      <c r="AW481" s="316"/>
      <c r="AX481" s="316"/>
      <c r="AY481" s="316"/>
      <c r="AZ481" s="316"/>
      <c r="BA481" s="316"/>
      <c r="BB481" s="316"/>
      <c r="BC481" s="316"/>
      <c r="BD481" s="316"/>
      <c r="BE481" s="316"/>
      <c r="BF481" s="316"/>
      <c r="BG481" s="316"/>
      <c r="BH481" s="316"/>
      <c r="BI481" s="316"/>
      <c r="BJ481" s="316"/>
      <c r="BK481" s="316"/>
      <c r="BL481" s="316"/>
      <c r="BM481" s="316"/>
      <c r="BN481" s="316"/>
    </row>
    <row r="482" hidden="1" outlineLevel="1">
      <c r="A482" s="303" t="s">
        <v>2261</v>
      </c>
      <c r="B482" s="317" t="s">
        <v>802</v>
      </c>
      <c r="C482" s="325" t="s">
        <v>803</v>
      </c>
      <c r="D482" s="326"/>
      <c r="E482" s="321"/>
      <c r="F482" s="322">
        <v>30000.0</v>
      </c>
      <c r="G482" s="326"/>
      <c r="H482" s="321"/>
      <c r="I482" s="322">
        <v>30000.0</v>
      </c>
      <c r="J482" s="326"/>
      <c r="K482" s="321"/>
      <c r="L482" s="322">
        <v>30000.0</v>
      </c>
      <c r="M482" s="326"/>
      <c r="N482" s="321"/>
      <c r="O482" s="322">
        <v>30000.0</v>
      </c>
      <c r="P482" s="326"/>
      <c r="Q482" s="321"/>
      <c r="R482" s="322">
        <v>30000.0</v>
      </c>
      <c r="S482" s="326"/>
      <c r="T482" s="321"/>
      <c r="U482" s="322">
        <v>30000.0</v>
      </c>
      <c r="V482" s="326"/>
      <c r="W482" s="321"/>
      <c r="X482" s="322">
        <v>30000.0</v>
      </c>
      <c r="Y482" s="326"/>
      <c r="Z482" s="321"/>
      <c r="AA482" s="322">
        <v>30000.0</v>
      </c>
      <c r="AB482" s="326"/>
      <c r="AC482" s="321"/>
      <c r="AD482" s="322">
        <v>30000.0</v>
      </c>
      <c r="AE482" s="326"/>
      <c r="AF482" s="321"/>
      <c r="AG482" s="322">
        <v>30000.0</v>
      </c>
      <c r="AH482" s="326"/>
      <c r="AI482" s="321"/>
      <c r="AJ482" s="322">
        <v>30000.0</v>
      </c>
      <c r="AK482" s="326"/>
      <c r="AL482" s="321"/>
      <c r="AM482" s="322">
        <v>30000.0</v>
      </c>
      <c r="AN482" s="316" t="s">
        <v>33</v>
      </c>
      <c r="AO482" s="316"/>
      <c r="AP482" s="316"/>
      <c r="AQ482" s="316"/>
      <c r="AR482" s="316"/>
      <c r="AS482" s="316"/>
      <c r="AT482" s="316"/>
      <c r="AU482" s="316"/>
      <c r="AV482" s="316"/>
      <c r="AW482" s="316"/>
      <c r="AX482" s="316"/>
      <c r="AY482" s="316"/>
      <c r="AZ482" s="316"/>
      <c r="BA482" s="316"/>
      <c r="BB482" s="316"/>
      <c r="BC482" s="316"/>
      <c r="BD482" s="316"/>
      <c r="BE482" s="316"/>
      <c r="BF482" s="316"/>
      <c r="BG482" s="316"/>
      <c r="BH482" s="316"/>
      <c r="BI482" s="316"/>
      <c r="BJ482" s="316"/>
      <c r="BK482" s="316"/>
      <c r="BL482" s="316"/>
      <c r="BM482" s="316"/>
      <c r="BN482" s="316"/>
    </row>
    <row r="483" hidden="1" outlineLevel="1">
      <c r="A483" s="303" t="s">
        <v>2261</v>
      </c>
      <c r="B483" s="304"/>
      <c r="C483" s="325" t="s">
        <v>52</v>
      </c>
      <c r="D483" s="326"/>
      <c r="E483" s="321"/>
      <c r="F483" s="322">
        <v>22000.0</v>
      </c>
      <c r="G483" s="326"/>
      <c r="H483" s="321"/>
      <c r="I483" s="322">
        <v>22000.0</v>
      </c>
      <c r="J483" s="326"/>
      <c r="K483" s="321"/>
      <c r="L483" s="322">
        <v>22000.0</v>
      </c>
      <c r="M483" s="326"/>
      <c r="N483" s="321"/>
      <c r="O483" s="322">
        <v>22000.0</v>
      </c>
      <c r="P483" s="326"/>
      <c r="Q483" s="321"/>
      <c r="R483" s="322">
        <v>22000.0</v>
      </c>
      <c r="S483" s="326"/>
      <c r="T483" s="321"/>
      <c r="U483" s="322">
        <v>22000.0</v>
      </c>
      <c r="V483" s="326"/>
      <c r="W483" s="321"/>
      <c r="X483" s="322">
        <v>22000.0</v>
      </c>
      <c r="Y483" s="326"/>
      <c r="Z483" s="321"/>
      <c r="AA483" s="322">
        <v>22000.0</v>
      </c>
      <c r="AB483" s="326"/>
      <c r="AC483" s="321"/>
      <c r="AD483" s="322">
        <v>22000.0</v>
      </c>
      <c r="AE483" s="326"/>
      <c r="AF483" s="321"/>
      <c r="AG483" s="322">
        <v>22000.0</v>
      </c>
      <c r="AH483" s="326"/>
      <c r="AI483" s="321"/>
      <c r="AJ483" s="322">
        <v>22000.0</v>
      </c>
      <c r="AK483" s="326"/>
      <c r="AL483" s="321"/>
      <c r="AM483" s="322">
        <v>22000.0</v>
      </c>
      <c r="AN483" s="316" t="s">
        <v>33</v>
      </c>
      <c r="AO483" s="316"/>
      <c r="AP483" s="316"/>
      <c r="AQ483" s="316"/>
      <c r="AR483" s="316"/>
      <c r="AS483" s="316"/>
      <c r="AT483" s="316"/>
      <c r="AU483" s="316"/>
      <c r="AV483" s="316"/>
      <c r="AW483" s="316"/>
      <c r="AX483" s="316"/>
      <c r="AY483" s="316"/>
      <c r="AZ483" s="316"/>
      <c r="BA483" s="316"/>
      <c r="BB483" s="316"/>
      <c r="BC483" s="316"/>
      <c r="BD483" s="316"/>
      <c r="BE483" s="316"/>
      <c r="BF483" s="316"/>
      <c r="BG483" s="316"/>
      <c r="BH483" s="316"/>
      <c r="BI483" s="316"/>
      <c r="BJ483" s="316"/>
      <c r="BK483" s="316"/>
      <c r="BL483" s="316"/>
      <c r="BM483" s="316"/>
      <c r="BN483" s="316"/>
    </row>
    <row r="484" hidden="1" outlineLevel="1">
      <c r="A484" s="303" t="s">
        <v>2261</v>
      </c>
      <c r="B484" s="304"/>
      <c r="C484" s="325" t="s">
        <v>2236</v>
      </c>
      <c r="D484" s="326"/>
      <c r="E484" s="321"/>
      <c r="F484" s="322" t="s">
        <v>44</v>
      </c>
      <c r="G484" s="326"/>
      <c r="H484" s="321"/>
      <c r="I484" s="322" t="s">
        <v>44</v>
      </c>
      <c r="J484" s="326"/>
      <c r="K484" s="321"/>
      <c r="L484" s="322" t="s">
        <v>44</v>
      </c>
      <c r="M484" s="326"/>
      <c r="N484" s="321"/>
      <c r="O484" s="322" t="s">
        <v>44</v>
      </c>
      <c r="P484" s="326"/>
      <c r="Q484" s="321"/>
      <c r="R484" s="322" t="s">
        <v>44</v>
      </c>
      <c r="S484" s="326"/>
      <c r="T484" s="321"/>
      <c r="U484" s="322" t="s">
        <v>44</v>
      </c>
      <c r="V484" s="326"/>
      <c r="W484" s="321"/>
      <c r="X484" s="322" t="s">
        <v>44</v>
      </c>
      <c r="Y484" s="326"/>
      <c r="Z484" s="321"/>
      <c r="AA484" s="322" t="s">
        <v>44</v>
      </c>
      <c r="AB484" s="326"/>
      <c r="AC484" s="321"/>
      <c r="AD484" s="322" t="s">
        <v>44</v>
      </c>
      <c r="AE484" s="326"/>
      <c r="AF484" s="321"/>
      <c r="AG484" s="322" t="s">
        <v>44</v>
      </c>
      <c r="AH484" s="326"/>
      <c r="AI484" s="321"/>
      <c r="AJ484" s="322" t="s">
        <v>44</v>
      </c>
      <c r="AK484" s="326"/>
      <c r="AL484" s="321"/>
      <c r="AM484" s="322" t="s">
        <v>44</v>
      </c>
      <c r="AN484" s="316" t="s">
        <v>33</v>
      </c>
      <c r="AO484" s="316"/>
      <c r="AP484" s="316"/>
      <c r="AQ484" s="316"/>
      <c r="AR484" s="316"/>
      <c r="AS484" s="316"/>
      <c r="AT484" s="316"/>
      <c r="AU484" s="316"/>
      <c r="AV484" s="316"/>
      <c r="AW484" s="316"/>
      <c r="AX484" s="316"/>
      <c r="AY484" s="316"/>
      <c r="AZ484" s="316"/>
      <c r="BA484" s="316"/>
      <c r="BB484" s="316"/>
      <c r="BC484" s="316"/>
      <c r="BD484" s="316"/>
      <c r="BE484" s="316"/>
      <c r="BF484" s="316"/>
      <c r="BG484" s="316"/>
      <c r="BH484" s="316"/>
      <c r="BI484" s="316"/>
      <c r="BJ484" s="316"/>
      <c r="BK484" s="316"/>
      <c r="BL484" s="316"/>
      <c r="BM484" s="316"/>
      <c r="BN484" s="316"/>
    </row>
    <row r="485" hidden="1" outlineLevel="1">
      <c r="A485" s="303" t="s">
        <v>2261</v>
      </c>
      <c r="B485" s="304"/>
      <c r="C485" s="325" t="s">
        <v>54</v>
      </c>
      <c r="D485" s="327"/>
      <c r="E485" s="321"/>
      <c r="F485" s="322">
        <f>SUMIFS('지출'!$G$3:$G794,'지출'!$J$3:$J794,F$1,'지출'!$C$3:$C794,"단짠")</f>
        <v>12500</v>
      </c>
      <c r="G485" s="327"/>
      <c r="H485" s="321"/>
      <c r="I485" s="322">
        <f>SUMIFS('지출'!$G$3:$G794,'지출'!$J$3:$J794,I$1,'지출'!$C$3:$C794,"단짠")</f>
        <v>50000</v>
      </c>
      <c r="J485" s="327"/>
      <c r="K485" s="321"/>
      <c r="L485" s="322">
        <f>SUMIFS('지출'!$G$3:$G794,'지출'!$J$3:$J794,L$1,'지출'!$C$3:$C794,"단짠")</f>
        <v>39750</v>
      </c>
      <c r="M485" s="327"/>
      <c r="N485" s="321"/>
      <c r="O485" s="322">
        <f>SUMIFS('지출'!$G$3:$G794,'지출'!$J$3:$J794,O$1,'지출'!$C$3:$C794,"단짠")</f>
        <v>0</v>
      </c>
      <c r="P485" s="327"/>
      <c r="Q485" s="321"/>
      <c r="R485" s="322">
        <f>SUMIFS('지출'!$G$3:$G794,'지출'!$J$3:$J794,R$1,'지출'!$C$3:$C794,"단짠")</f>
        <v>0</v>
      </c>
      <c r="S485" s="327"/>
      <c r="T485" s="321"/>
      <c r="U485" s="322">
        <f>SUMIFS('지출'!$G$3:$G794,'지출'!$J$3:$J794,U$1,'지출'!$C$3:$C794,"단짠")</f>
        <v>0</v>
      </c>
      <c r="V485" s="327"/>
      <c r="W485" s="321"/>
      <c r="X485" s="322">
        <f>SUMIFS('지출'!$G$3:$G794,'지출'!$J$3:$J794,X$1,'지출'!$C$3:$C794,"단짠")</f>
        <v>0</v>
      </c>
      <c r="Y485" s="327"/>
      <c r="Z485" s="321"/>
      <c r="AA485" s="322">
        <f>SUMIFS('지출'!$G$3:$G794,'지출'!$J$3:$J794,AA$1,'지출'!$C$3:$C794,"단짠")</f>
        <v>0</v>
      </c>
      <c r="AB485" s="327"/>
      <c r="AC485" s="321"/>
      <c r="AD485" s="322">
        <f>SUMIFS('지출'!$G$3:$G794,'지출'!$J$3:$J794,AD$1,'지출'!$C$3:$C794,"단짠")</f>
        <v>0</v>
      </c>
      <c r="AE485" s="327"/>
      <c r="AF485" s="321"/>
      <c r="AG485" s="322">
        <f>SUMIFS('지출'!$G$3:$G794,'지출'!$J$3:$J794,AG$1,'지출'!$C$3:$C794,"단짠")</f>
        <v>0</v>
      </c>
      <c r="AH485" s="327"/>
      <c r="AI485" s="321"/>
      <c r="AJ485" s="322">
        <f>SUMIFS('지출'!$G$3:$G794,'지출'!$J$3:$J794,AJ$1,'지출'!$C$3:$C794,"단짠")</f>
        <v>0</v>
      </c>
      <c r="AK485" s="327"/>
      <c r="AL485" s="321"/>
      <c r="AM485" s="322">
        <f>SUMIFS('지출'!$G$3:$G794,'지출'!$J$3:$J794,AM$1,'지출'!$C$3:$C794,"단짠")</f>
        <v>0</v>
      </c>
      <c r="AN485" s="316" t="s">
        <v>33</v>
      </c>
      <c r="AO485" s="316"/>
      <c r="AP485" s="316"/>
      <c r="AQ485" s="316"/>
      <c r="AR485" s="316"/>
      <c r="AS485" s="316"/>
      <c r="AT485" s="316"/>
      <c r="AU485" s="316"/>
      <c r="AV485" s="316"/>
      <c r="AW485" s="316"/>
      <c r="AX485" s="316"/>
      <c r="AY485" s="316"/>
      <c r="AZ485" s="316"/>
      <c r="BA485" s="316"/>
      <c r="BB485" s="316"/>
      <c r="BC485" s="316"/>
      <c r="BD485" s="316"/>
      <c r="BE485" s="316"/>
      <c r="BF485" s="316"/>
      <c r="BG485" s="316"/>
      <c r="BH485" s="316"/>
      <c r="BI485" s="316"/>
      <c r="BJ485" s="316"/>
      <c r="BK485" s="316"/>
      <c r="BL485" s="316"/>
      <c r="BM485" s="316"/>
      <c r="BN485" s="316"/>
    </row>
    <row r="486" hidden="1" outlineLevel="1">
      <c r="A486" s="303" t="s">
        <v>2261</v>
      </c>
      <c r="B486" s="304"/>
      <c r="C486" s="325" t="s">
        <v>56</v>
      </c>
      <c r="D486" s="320"/>
      <c r="E486" s="323">
        <f t="shared" ref="E486:F486" si="649">E477-(SUM(E478:E485))</f>
        <v>720000</v>
      </c>
      <c r="F486" s="324">
        <f t="shared" si="649"/>
        <v>-59630</v>
      </c>
      <c r="G486" s="320"/>
      <c r="H486" s="323">
        <f t="shared" ref="H486:I486" si="650">H477-(SUM(H478:H485))</f>
        <v>561071</v>
      </c>
      <c r="I486" s="324">
        <f t="shared" si="650"/>
        <v>-76070</v>
      </c>
      <c r="J486" s="320"/>
      <c r="K486" s="323">
        <f t="shared" ref="K486:L486" si="651">K477-(SUM(K478:K485))</f>
        <v>790000</v>
      </c>
      <c r="L486" s="324">
        <f t="shared" si="651"/>
        <v>46890</v>
      </c>
      <c r="M486" s="320"/>
      <c r="N486" s="323">
        <f t="shared" ref="N486:O486" si="652">N477-(SUM(N478:N485))</f>
        <v>790000</v>
      </c>
      <c r="O486" s="324">
        <f t="shared" si="652"/>
        <v>248000</v>
      </c>
      <c r="P486" s="320"/>
      <c r="Q486" s="323">
        <f t="shared" ref="Q486:R486" si="653">Q477-(SUM(Q478:Q485))</f>
        <v>790000</v>
      </c>
      <c r="R486" s="324">
        <f t="shared" si="653"/>
        <v>248000</v>
      </c>
      <c r="S486" s="320"/>
      <c r="T486" s="323">
        <f t="shared" ref="T486:U486" si="654">T477-(SUM(T478:T485))</f>
        <v>790000</v>
      </c>
      <c r="U486" s="324">
        <f t="shared" si="654"/>
        <v>248000</v>
      </c>
      <c r="V486" s="320"/>
      <c r="W486" s="323">
        <f t="shared" ref="W486:X486" si="655">W477-(SUM(W478:W485))</f>
        <v>790000</v>
      </c>
      <c r="X486" s="324">
        <f t="shared" si="655"/>
        <v>248000</v>
      </c>
      <c r="Y486" s="320"/>
      <c r="Z486" s="323">
        <f t="shared" ref="Z486:AA486" si="656">Z477-(SUM(Z478:Z485))</f>
        <v>790000</v>
      </c>
      <c r="AA486" s="324">
        <f t="shared" si="656"/>
        <v>248000</v>
      </c>
      <c r="AB486" s="320"/>
      <c r="AC486" s="323">
        <f t="shared" ref="AC486:AD486" si="657">AC477-(SUM(AC478:AC485))</f>
        <v>240000</v>
      </c>
      <c r="AD486" s="324">
        <f t="shared" si="657"/>
        <v>148000</v>
      </c>
      <c r="AE486" s="320"/>
      <c r="AF486" s="323">
        <f t="shared" ref="AF486:AG486" si="658">AF477-(SUM(AF478:AF485))</f>
        <v>240000</v>
      </c>
      <c r="AG486" s="324">
        <f t="shared" si="658"/>
        <v>148000</v>
      </c>
      <c r="AH486" s="320"/>
      <c r="AI486" s="323">
        <f t="shared" ref="AI486:AJ486" si="659">AI477-(SUM(AI478:AI485))</f>
        <v>240000</v>
      </c>
      <c r="AJ486" s="324">
        <f t="shared" si="659"/>
        <v>148000</v>
      </c>
      <c r="AK486" s="320"/>
      <c r="AL486" s="323">
        <f t="shared" ref="AL486:AM486" si="660">AL477-(SUM(AL478:AL485))</f>
        <v>240000</v>
      </c>
      <c r="AM486" s="324">
        <f t="shared" si="660"/>
        <v>148000</v>
      </c>
      <c r="AN486" s="316" t="s">
        <v>33</v>
      </c>
      <c r="AO486" s="316"/>
      <c r="AP486" s="316"/>
      <c r="AQ486" s="316"/>
      <c r="AR486" s="316"/>
      <c r="AS486" s="316"/>
      <c r="AT486" s="316"/>
      <c r="AU486" s="316"/>
      <c r="AV486" s="316"/>
      <c r="AW486" s="316"/>
      <c r="AX486" s="316"/>
      <c r="AY486" s="316"/>
      <c r="AZ486" s="316"/>
      <c r="BA486" s="316"/>
      <c r="BB486" s="316"/>
      <c r="BC486" s="316"/>
      <c r="BD486" s="316"/>
      <c r="BE486" s="316"/>
      <c r="BF486" s="316"/>
      <c r="BG486" s="316"/>
      <c r="BH486" s="316"/>
      <c r="BI486" s="316"/>
      <c r="BJ486" s="316"/>
      <c r="BK486" s="316"/>
      <c r="BL486" s="316"/>
      <c r="BM486" s="316"/>
      <c r="BN486" s="316"/>
    </row>
    <row r="487">
      <c r="A487" s="303" t="s">
        <v>2261</v>
      </c>
      <c r="B487" s="328">
        <v>0.0</v>
      </c>
      <c r="C487" s="325" t="s">
        <v>26</v>
      </c>
      <c r="D487" s="320"/>
      <c r="E487" s="323">
        <f>E486*$B487</f>
        <v>0</v>
      </c>
      <c r="F487" s="324"/>
      <c r="G487" s="320"/>
      <c r="H487" s="323">
        <f>H486*$B487</f>
        <v>0</v>
      </c>
      <c r="I487" s="324"/>
      <c r="J487" s="320"/>
      <c r="K487" s="323">
        <f>K486*$B487</f>
        <v>0</v>
      </c>
      <c r="L487" s="324"/>
      <c r="M487" s="320"/>
      <c r="N487" s="323">
        <f>N486*$B487</f>
        <v>0</v>
      </c>
      <c r="O487" s="324"/>
      <c r="P487" s="320"/>
      <c r="Q487" s="323">
        <f>Q486*$B487</f>
        <v>0</v>
      </c>
      <c r="R487" s="324"/>
      <c r="S487" s="320"/>
      <c r="T487" s="323">
        <f>T486*$B487</f>
        <v>0</v>
      </c>
      <c r="U487" s="324"/>
      <c r="V487" s="320"/>
      <c r="W487" s="323">
        <f>W486*$B487</f>
        <v>0</v>
      </c>
      <c r="X487" s="324"/>
      <c r="Y487" s="320"/>
      <c r="Z487" s="323">
        <f>Z486*$B487</f>
        <v>0</v>
      </c>
      <c r="AA487" s="324"/>
      <c r="AB487" s="320"/>
      <c r="AC487" s="323">
        <f>AC486*$B487</f>
        <v>0</v>
      </c>
      <c r="AD487" s="324"/>
      <c r="AE487" s="320"/>
      <c r="AF487" s="323">
        <f>AF486*$B487</f>
        <v>0</v>
      </c>
      <c r="AG487" s="324"/>
      <c r="AH487" s="320"/>
      <c r="AI487" s="323">
        <f>AI486*$B487</f>
        <v>0</v>
      </c>
      <c r="AJ487" s="324"/>
      <c r="AK487" s="320"/>
      <c r="AL487" s="323">
        <f>AL486*$B487</f>
        <v>0</v>
      </c>
      <c r="AM487" s="324"/>
      <c r="AN487" s="316" t="s">
        <v>33</v>
      </c>
      <c r="AO487" s="316"/>
      <c r="AP487" s="316"/>
      <c r="AQ487" s="316"/>
      <c r="AR487" s="316"/>
      <c r="AS487" s="316"/>
      <c r="AT487" s="316"/>
      <c r="AU487" s="316"/>
      <c r="AV487" s="316"/>
      <c r="AW487" s="316"/>
      <c r="AX487" s="316"/>
      <c r="AY487" s="316"/>
      <c r="AZ487" s="316"/>
      <c r="BA487" s="316"/>
      <c r="BB487" s="316"/>
      <c r="BC487" s="316"/>
      <c r="BD487" s="316"/>
      <c r="BE487" s="316"/>
      <c r="BF487" s="316"/>
      <c r="BG487" s="316"/>
      <c r="BH487" s="316"/>
      <c r="BI487" s="316"/>
      <c r="BJ487" s="316"/>
      <c r="BK487" s="316"/>
      <c r="BL487" s="316"/>
      <c r="BM487" s="316"/>
      <c r="BN487" s="316"/>
    </row>
    <row r="488">
      <c r="A488" s="303" t="s">
        <v>2261</v>
      </c>
      <c r="B488" s="329">
        <v>1.0</v>
      </c>
      <c r="C488" s="330" t="s">
        <v>57</v>
      </c>
      <c r="D488" s="331"/>
      <c r="E488" s="332">
        <f>E486*$B488</f>
        <v>720000</v>
      </c>
      <c r="F488" s="333"/>
      <c r="G488" s="331"/>
      <c r="H488" s="332">
        <f>H486*$B488</f>
        <v>561071</v>
      </c>
      <c r="I488" s="333"/>
      <c r="J488" s="331"/>
      <c r="K488" s="332">
        <f>K486*$B488</f>
        <v>790000</v>
      </c>
      <c r="L488" s="333"/>
      <c r="M488" s="331"/>
      <c r="N488" s="332">
        <f>N486*$B488</f>
        <v>790000</v>
      </c>
      <c r="O488" s="333"/>
      <c r="P488" s="331"/>
      <c r="Q488" s="332">
        <f>Q486*$B488</f>
        <v>790000</v>
      </c>
      <c r="R488" s="333"/>
      <c r="S488" s="331"/>
      <c r="T488" s="332">
        <f>T486*$B488</f>
        <v>790000</v>
      </c>
      <c r="U488" s="333"/>
      <c r="V488" s="331"/>
      <c r="W488" s="332">
        <f>W486*$B488</f>
        <v>790000</v>
      </c>
      <c r="X488" s="333"/>
      <c r="Y488" s="331"/>
      <c r="Z488" s="332">
        <f>Z486*$B488</f>
        <v>790000</v>
      </c>
      <c r="AA488" s="333"/>
      <c r="AB488" s="331"/>
      <c r="AC488" s="332">
        <f>AC486*$B488</f>
        <v>240000</v>
      </c>
      <c r="AD488" s="333"/>
      <c r="AE488" s="331"/>
      <c r="AF488" s="332">
        <f>AF486*$B488</f>
        <v>240000</v>
      </c>
      <c r="AG488" s="333"/>
      <c r="AH488" s="331"/>
      <c r="AI488" s="332">
        <f>AI486*$B488</f>
        <v>240000</v>
      </c>
      <c r="AJ488" s="333"/>
      <c r="AK488" s="331"/>
      <c r="AL488" s="332">
        <f>AL486*$B488</f>
        <v>240000</v>
      </c>
      <c r="AM488" s="333"/>
      <c r="AN488" s="316" t="s">
        <v>33</v>
      </c>
      <c r="AO488" s="316"/>
      <c r="AP488" s="316"/>
      <c r="AQ488" s="316"/>
      <c r="AR488" s="316"/>
      <c r="AS488" s="316"/>
      <c r="AT488" s="316"/>
      <c r="AU488" s="316"/>
      <c r="AV488" s="316"/>
      <c r="AW488" s="316"/>
      <c r="AX488" s="316"/>
      <c r="AY488" s="316"/>
      <c r="AZ488" s="316"/>
      <c r="BA488" s="316"/>
      <c r="BB488" s="316"/>
      <c r="BC488" s="316"/>
      <c r="BD488" s="316"/>
      <c r="BE488" s="316"/>
      <c r="BF488" s="316"/>
      <c r="BG488" s="316"/>
      <c r="BH488" s="316"/>
      <c r="BI488" s="316"/>
      <c r="BJ488" s="316"/>
      <c r="BK488" s="316"/>
      <c r="BL488" s="316"/>
      <c r="BM488" s="316"/>
      <c r="BN488" s="316"/>
    </row>
    <row r="489">
      <c r="A489" s="303" t="s">
        <v>2268</v>
      </c>
      <c r="B489" s="384" t="s">
        <v>804</v>
      </c>
      <c r="C489" s="385" t="s">
        <v>667</v>
      </c>
      <c r="D489" s="341" t="s">
        <v>1757</v>
      </c>
      <c r="E489" s="348">
        <v>390000.0</v>
      </c>
      <c r="F489" s="346">
        <v>100000.0</v>
      </c>
      <c r="G489" s="341" t="s">
        <v>1757</v>
      </c>
      <c r="H489" s="348">
        <v>390000.0</v>
      </c>
      <c r="I489" s="346">
        <v>100000.0</v>
      </c>
      <c r="J489" s="341" t="s">
        <v>1757</v>
      </c>
      <c r="K489" s="348">
        <v>470000.0</v>
      </c>
      <c r="L489" s="346">
        <v>100000.0</v>
      </c>
      <c r="M489" s="341" t="s">
        <v>1757</v>
      </c>
      <c r="N489" s="348">
        <v>470000.0</v>
      </c>
      <c r="O489" s="346">
        <v>100000.0</v>
      </c>
      <c r="P489" s="341" t="s">
        <v>1757</v>
      </c>
      <c r="Q489" s="348">
        <v>470000.0</v>
      </c>
      <c r="R489" s="346">
        <v>100000.0</v>
      </c>
      <c r="S489" s="341" t="s">
        <v>1757</v>
      </c>
      <c r="T489" s="348">
        <v>470000.0</v>
      </c>
      <c r="U489" s="346">
        <v>100000.0</v>
      </c>
      <c r="V489" s="341" t="s">
        <v>1757</v>
      </c>
      <c r="W489" s="348">
        <v>470000.0</v>
      </c>
      <c r="X489" s="346">
        <v>100000.0</v>
      </c>
      <c r="Y489" s="341" t="s">
        <v>1757</v>
      </c>
      <c r="Z489" s="348">
        <v>470000.0</v>
      </c>
      <c r="AA489" s="346">
        <v>100000.0</v>
      </c>
      <c r="AB489" s="341" t="s">
        <v>1757</v>
      </c>
      <c r="AC489" s="348">
        <v>470000.0</v>
      </c>
      <c r="AD489" s="346">
        <v>100000.0</v>
      </c>
      <c r="AE489" s="341" t="s">
        <v>1757</v>
      </c>
      <c r="AF489" s="348">
        <v>470000.0</v>
      </c>
      <c r="AG489" s="346">
        <v>100000.0</v>
      </c>
      <c r="AH489" s="341" t="s">
        <v>1757</v>
      </c>
      <c r="AI489" s="348">
        <v>470000.0</v>
      </c>
      <c r="AJ489" s="346">
        <v>100000.0</v>
      </c>
      <c r="AK489" s="341" t="s">
        <v>1757</v>
      </c>
      <c r="AL489" s="348">
        <v>470000.0</v>
      </c>
      <c r="AM489" s="346">
        <v>100000.0</v>
      </c>
      <c r="AN489" s="316" t="s">
        <v>33</v>
      </c>
      <c r="AO489" s="316"/>
      <c r="AP489" s="316"/>
      <c r="AQ489" s="316"/>
      <c r="AR489" s="316"/>
      <c r="AS489" s="316"/>
      <c r="AT489" s="316"/>
      <c r="AU489" s="316"/>
      <c r="AV489" s="316"/>
      <c r="AW489" s="316"/>
      <c r="AX489" s="316"/>
      <c r="AY489" s="316"/>
      <c r="AZ489" s="316"/>
      <c r="BA489" s="316"/>
      <c r="BB489" s="316"/>
      <c r="BC489" s="316"/>
      <c r="BD489" s="316"/>
      <c r="BE489" s="316"/>
      <c r="BF489" s="316"/>
      <c r="BG489" s="316"/>
      <c r="BH489" s="316"/>
      <c r="BI489" s="316"/>
      <c r="BJ489" s="316"/>
      <c r="BK489" s="316"/>
      <c r="BL489" s="316"/>
      <c r="BM489" s="316"/>
      <c r="BN489" s="316"/>
    </row>
    <row r="490">
      <c r="A490" s="303" t="s">
        <v>2268</v>
      </c>
      <c r="B490" s="317" t="s">
        <v>809</v>
      </c>
      <c r="C490" s="385" t="s">
        <v>690</v>
      </c>
      <c r="D490" s="341" t="s">
        <v>2269</v>
      </c>
      <c r="E490" s="348">
        <v>360000.0</v>
      </c>
      <c r="F490" s="346">
        <v>100000.0</v>
      </c>
      <c r="G490" s="353" t="s">
        <v>2270</v>
      </c>
      <c r="H490" s="348">
        <f>321429+17500</f>
        <v>338929</v>
      </c>
      <c r="I490" s="345">
        <f>89286+3571</f>
        <v>92857</v>
      </c>
      <c r="J490" s="353" t="s">
        <v>1760</v>
      </c>
      <c r="K490" s="348">
        <v>490000.0</v>
      </c>
      <c r="L490" s="346">
        <v>100000.0</v>
      </c>
      <c r="M490" s="353" t="s">
        <v>1760</v>
      </c>
      <c r="N490" s="348">
        <v>490000.0</v>
      </c>
      <c r="O490" s="346">
        <v>100000.0</v>
      </c>
      <c r="P490" s="353" t="s">
        <v>1760</v>
      </c>
      <c r="Q490" s="348">
        <v>490000.0</v>
      </c>
      <c r="R490" s="346">
        <v>100000.0</v>
      </c>
      <c r="S490" s="353" t="s">
        <v>1760</v>
      </c>
      <c r="T490" s="348">
        <v>490000.0</v>
      </c>
      <c r="U490" s="346">
        <v>100000.0</v>
      </c>
      <c r="V490" s="353" t="s">
        <v>1760</v>
      </c>
      <c r="W490" s="348">
        <v>490000.0</v>
      </c>
      <c r="X490" s="346">
        <v>100000.0</v>
      </c>
      <c r="Y490" s="353" t="s">
        <v>2271</v>
      </c>
      <c r="Z490" s="348">
        <v>395161.0</v>
      </c>
      <c r="AA490" s="345">
        <v>80645.0</v>
      </c>
      <c r="AB490" s="326"/>
      <c r="AC490" s="321"/>
      <c r="AD490" s="322"/>
      <c r="AE490" s="326"/>
      <c r="AF490" s="321"/>
      <c r="AG490" s="322"/>
      <c r="AH490" s="326"/>
      <c r="AI490" s="321"/>
      <c r="AJ490" s="322"/>
      <c r="AK490" s="326"/>
      <c r="AL490" s="321"/>
      <c r="AM490" s="322"/>
      <c r="AN490" s="316" t="s">
        <v>33</v>
      </c>
      <c r="AO490" s="316"/>
      <c r="AP490" s="316"/>
      <c r="AQ490" s="316">
        <v>49.0</v>
      </c>
      <c r="AR490" s="316"/>
      <c r="AS490" s="316"/>
      <c r="AT490" s="316"/>
      <c r="AU490" s="316"/>
      <c r="AV490" s="316"/>
      <c r="AW490" s="316"/>
      <c r="AX490" s="316"/>
      <c r="AY490" s="316"/>
      <c r="AZ490" s="316"/>
      <c r="BA490" s="316"/>
      <c r="BB490" s="316"/>
      <c r="BC490" s="316"/>
      <c r="BD490" s="316"/>
      <c r="BE490" s="316"/>
      <c r="BF490" s="316"/>
      <c r="BG490" s="316"/>
      <c r="BH490" s="316"/>
      <c r="BI490" s="316"/>
      <c r="BJ490" s="316"/>
      <c r="BK490" s="316"/>
      <c r="BL490" s="316"/>
      <c r="BM490" s="316"/>
      <c r="BN490" s="316"/>
    </row>
    <row r="491">
      <c r="A491" s="303" t="s">
        <v>2268</v>
      </c>
      <c r="B491" s="384" t="s">
        <v>804</v>
      </c>
      <c r="C491" s="385" t="s">
        <v>693</v>
      </c>
      <c r="D491" s="341" t="s">
        <v>2272</v>
      </c>
      <c r="E491" s="335">
        <v>650000.0</v>
      </c>
      <c r="F491" s="346">
        <v>100000.0</v>
      </c>
      <c r="G491" s="347" t="s">
        <v>2273</v>
      </c>
      <c r="H491" s="348">
        <f>510714+500000+52857</f>
        <v>1063571</v>
      </c>
      <c r="I491" s="345">
        <f>78571+14286</f>
        <v>92857</v>
      </c>
      <c r="J491" s="347" t="s">
        <v>1763</v>
      </c>
      <c r="K491" s="348">
        <v>370000.0</v>
      </c>
      <c r="L491" s="346">
        <v>100000.0</v>
      </c>
      <c r="M491" s="347" t="s">
        <v>1763</v>
      </c>
      <c r="N491" s="348">
        <v>370000.0</v>
      </c>
      <c r="O491" s="346">
        <v>100000.0</v>
      </c>
      <c r="P491" s="347" t="s">
        <v>1763</v>
      </c>
      <c r="Q491" s="348">
        <v>370000.0</v>
      </c>
      <c r="R491" s="346">
        <v>100000.0</v>
      </c>
      <c r="S491" s="347" t="s">
        <v>1763</v>
      </c>
      <c r="T491" s="348">
        <v>370000.0</v>
      </c>
      <c r="U491" s="346">
        <v>100000.0</v>
      </c>
      <c r="V491" s="347" t="s">
        <v>1763</v>
      </c>
      <c r="W491" s="348">
        <v>370000.0</v>
      </c>
      <c r="X491" s="346">
        <v>100000.0</v>
      </c>
      <c r="Y491" s="347" t="s">
        <v>1763</v>
      </c>
      <c r="Z491" s="348">
        <v>370000.0</v>
      </c>
      <c r="AA491" s="346">
        <v>100000.0</v>
      </c>
      <c r="AB491" s="347" t="s">
        <v>1763</v>
      </c>
      <c r="AC491" s="348">
        <v>370000.0</v>
      </c>
      <c r="AD491" s="346">
        <v>100000.0</v>
      </c>
      <c r="AE491" s="347" t="s">
        <v>1763</v>
      </c>
      <c r="AF491" s="348">
        <v>370000.0</v>
      </c>
      <c r="AG491" s="346">
        <v>100000.0</v>
      </c>
      <c r="AH491" s="347" t="s">
        <v>1763</v>
      </c>
      <c r="AI491" s="348">
        <v>370000.0</v>
      </c>
      <c r="AJ491" s="346">
        <v>100000.0</v>
      </c>
      <c r="AK491" s="347" t="s">
        <v>1763</v>
      </c>
      <c r="AL491" s="348">
        <v>370000.0</v>
      </c>
      <c r="AM491" s="346">
        <v>100000.0</v>
      </c>
      <c r="AN491" s="316" t="s">
        <v>33</v>
      </c>
      <c r="AO491" s="316"/>
      <c r="AP491" s="316"/>
      <c r="AQ491" s="316">
        <v>7.0</v>
      </c>
      <c r="AR491" s="316"/>
      <c r="AS491" s="316"/>
      <c r="AT491" s="316"/>
      <c r="AU491" s="316"/>
      <c r="AV491" s="316"/>
      <c r="AW491" s="316"/>
      <c r="AX491" s="316"/>
      <c r="AY491" s="316"/>
      <c r="AZ491" s="316"/>
      <c r="BA491" s="316"/>
      <c r="BB491" s="316"/>
      <c r="BC491" s="316"/>
      <c r="BD491" s="316"/>
      <c r="BE491" s="316"/>
      <c r="BF491" s="316"/>
      <c r="BG491" s="316"/>
      <c r="BH491" s="316"/>
      <c r="BI491" s="316"/>
      <c r="BJ491" s="316"/>
      <c r="BK491" s="316"/>
      <c r="BL491" s="316"/>
      <c r="BM491" s="316"/>
      <c r="BN491" s="316"/>
    </row>
    <row r="492">
      <c r="A492" s="303" t="s">
        <v>2268</v>
      </c>
      <c r="B492" s="384" t="s">
        <v>804</v>
      </c>
      <c r="C492" s="385" t="s">
        <v>695</v>
      </c>
      <c r="D492" s="341" t="s">
        <v>37</v>
      </c>
      <c r="E492" s="350"/>
      <c r="F492" s="351"/>
      <c r="G492" s="353" t="s">
        <v>2274</v>
      </c>
      <c r="H492" s="321">
        <v>52857.0</v>
      </c>
      <c r="I492" s="322">
        <v>14286.0</v>
      </c>
      <c r="J492" s="317" t="s">
        <v>1767</v>
      </c>
      <c r="K492" s="348">
        <v>370000.0</v>
      </c>
      <c r="L492" s="346">
        <v>100000.0</v>
      </c>
      <c r="M492" s="317" t="s">
        <v>1767</v>
      </c>
      <c r="N492" s="348">
        <v>370000.0</v>
      </c>
      <c r="O492" s="346">
        <v>100000.0</v>
      </c>
      <c r="P492" s="317" t="s">
        <v>1767</v>
      </c>
      <c r="Q492" s="348">
        <v>370000.0</v>
      </c>
      <c r="R492" s="346">
        <v>100000.0</v>
      </c>
      <c r="S492" s="317" t="s">
        <v>1767</v>
      </c>
      <c r="T492" s="348">
        <v>370000.0</v>
      </c>
      <c r="U492" s="346">
        <v>100000.0</v>
      </c>
      <c r="V492" s="317" t="s">
        <v>1767</v>
      </c>
      <c r="W492" s="348">
        <v>370000.0</v>
      </c>
      <c r="X492" s="346">
        <v>100000.0</v>
      </c>
      <c r="Y492" s="317" t="s">
        <v>1767</v>
      </c>
      <c r="Z492" s="348">
        <v>370000.0</v>
      </c>
      <c r="AA492" s="346">
        <v>100000.0</v>
      </c>
      <c r="AB492" s="317" t="s">
        <v>1767</v>
      </c>
      <c r="AC492" s="348">
        <v>370000.0</v>
      </c>
      <c r="AD492" s="346">
        <v>100000.0</v>
      </c>
      <c r="AE492" s="317" t="s">
        <v>1767</v>
      </c>
      <c r="AF492" s="348">
        <v>370000.0</v>
      </c>
      <c r="AG492" s="346">
        <v>100000.0</v>
      </c>
      <c r="AH492" s="317" t="s">
        <v>1767</v>
      </c>
      <c r="AI492" s="348">
        <v>370000.0</v>
      </c>
      <c r="AJ492" s="346">
        <v>100000.0</v>
      </c>
      <c r="AK492" s="317" t="s">
        <v>1767</v>
      </c>
      <c r="AL492" s="348">
        <v>370000.0</v>
      </c>
      <c r="AM492" s="346">
        <v>100000.0</v>
      </c>
      <c r="AN492" s="316" t="s">
        <v>33</v>
      </c>
      <c r="AO492" s="316"/>
      <c r="AP492" s="316"/>
      <c r="AQ492" s="316"/>
      <c r="AR492" s="316"/>
      <c r="AS492" s="316"/>
      <c r="AT492" s="316"/>
      <c r="AU492" s="316"/>
      <c r="AV492" s="316"/>
      <c r="AW492" s="316"/>
      <c r="AX492" s="316"/>
      <c r="AY492" s="316"/>
      <c r="AZ492" s="316"/>
      <c r="BA492" s="316"/>
      <c r="BB492" s="316"/>
      <c r="BC492" s="316"/>
      <c r="BD492" s="316"/>
      <c r="BE492" s="316"/>
      <c r="BF492" s="316"/>
      <c r="BG492" s="316"/>
      <c r="BH492" s="316"/>
      <c r="BI492" s="316"/>
      <c r="BJ492" s="316"/>
      <c r="BK492" s="316"/>
      <c r="BL492" s="316"/>
      <c r="BM492" s="316"/>
      <c r="BN492" s="316"/>
    </row>
    <row r="493">
      <c r="A493" s="303" t="s">
        <v>2268</v>
      </c>
      <c r="B493" s="304"/>
      <c r="C493" s="305" t="s">
        <v>42</v>
      </c>
      <c r="D493" s="320"/>
      <c r="E493" s="323">
        <f t="shared" ref="E493:F493" si="661">SUM(E489:E492)</f>
        <v>1400000</v>
      </c>
      <c r="F493" s="324">
        <f t="shared" si="661"/>
        <v>300000</v>
      </c>
      <c r="G493" s="320"/>
      <c r="H493" s="323">
        <f t="shared" ref="H493:I493" si="662">SUM(H489:H492)</f>
        <v>1845357</v>
      </c>
      <c r="I493" s="324">
        <f t="shared" si="662"/>
        <v>300000</v>
      </c>
      <c r="J493" s="320"/>
      <c r="K493" s="323">
        <f t="shared" ref="K493:L493" si="663">SUM(K489:K492)</f>
        <v>1700000</v>
      </c>
      <c r="L493" s="324">
        <f t="shared" si="663"/>
        <v>400000</v>
      </c>
      <c r="M493" s="320"/>
      <c r="N493" s="323">
        <f t="shared" ref="N493:O493" si="664">SUM(N489:N492)</f>
        <v>1700000</v>
      </c>
      <c r="O493" s="324">
        <f t="shared" si="664"/>
        <v>400000</v>
      </c>
      <c r="P493" s="320"/>
      <c r="Q493" s="323">
        <f t="shared" ref="Q493:R493" si="665">SUM(Q489:Q492)</f>
        <v>1700000</v>
      </c>
      <c r="R493" s="324">
        <f t="shared" si="665"/>
        <v>400000</v>
      </c>
      <c r="S493" s="320"/>
      <c r="T493" s="323">
        <f t="shared" ref="T493:U493" si="666">SUM(T489:T492)</f>
        <v>1700000</v>
      </c>
      <c r="U493" s="324">
        <f t="shared" si="666"/>
        <v>400000</v>
      </c>
      <c r="V493" s="320"/>
      <c r="W493" s="323">
        <f t="shared" ref="W493:X493" si="667">SUM(W489:W492)</f>
        <v>1700000</v>
      </c>
      <c r="X493" s="324">
        <f t="shared" si="667"/>
        <v>400000</v>
      </c>
      <c r="Y493" s="320"/>
      <c r="Z493" s="323">
        <f t="shared" ref="Z493:AA493" si="668">SUM(Z489:Z492)</f>
        <v>1605161</v>
      </c>
      <c r="AA493" s="324">
        <f t="shared" si="668"/>
        <v>380645</v>
      </c>
      <c r="AB493" s="320"/>
      <c r="AC493" s="323">
        <f t="shared" ref="AC493:AD493" si="669">SUM(AC489:AC492)</f>
        <v>1210000</v>
      </c>
      <c r="AD493" s="324">
        <f t="shared" si="669"/>
        <v>300000</v>
      </c>
      <c r="AE493" s="320"/>
      <c r="AF493" s="323">
        <f t="shared" ref="AF493:AG493" si="670">SUM(AF489:AF492)</f>
        <v>1210000</v>
      </c>
      <c r="AG493" s="324">
        <f t="shared" si="670"/>
        <v>300000</v>
      </c>
      <c r="AH493" s="320"/>
      <c r="AI493" s="323">
        <f t="shared" ref="AI493:AJ493" si="671">SUM(AI489:AI492)</f>
        <v>1210000</v>
      </c>
      <c r="AJ493" s="324">
        <f t="shared" si="671"/>
        <v>300000</v>
      </c>
      <c r="AK493" s="320"/>
      <c r="AL493" s="323">
        <f t="shared" ref="AL493:AM493" si="672">SUM(AL489:AL492)</f>
        <v>1210000</v>
      </c>
      <c r="AM493" s="324">
        <f t="shared" si="672"/>
        <v>300000</v>
      </c>
      <c r="AN493" s="316" t="s">
        <v>33</v>
      </c>
      <c r="AO493" s="316"/>
      <c r="AP493" s="316"/>
      <c r="AQ493" s="316"/>
      <c r="AR493" s="316"/>
      <c r="AS493" s="316"/>
      <c r="AT493" s="316"/>
      <c r="AU493" s="316"/>
      <c r="AV493" s="316"/>
      <c r="AW493" s="316"/>
      <c r="AX493" s="316"/>
      <c r="AY493" s="316"/>
      <c r="AZ493" s="316"/>
      <c r="BA493" s="316"/>
      <c r="BB493" s="316"/>
      <c r="BC493" s="316"/>
      <c r="BD493" s="316"/>
      <c r="BE493" s="316"/>
      <c r="BF493" s="316"/>
      <c r="BG493" s="316"/>
      <c r="BH493" s="316"/>
      <c r="BI493" s="316"/>
      <c r="BJ493" s="316"/>
      <c r="BK493" s="316"/>
      <c r="BL493" s="316"/>
      <c r="BM493" s="316"/>
      <c r="BN493" s="316"/>
    </row>
    <row r="494" collapsed="1">
      <c r="A494" s="303" t="s">
        <v>2268</v>
      </c>
      <c r="B494" s="304"/>
      <c r="C494" s="325" t="s">
        <v>43</v>
      </c>
      <c r="D494" s="326"/>
      <c r="E494" s="321">
        <v>700000.0</v>
      </c>
      <c r="F494" s="324"/>
      <c r="G494" s="326"/>
      <c r="H494" s="321">
        <v>700000.0</v>
      </c>
      <c r="I494" s="324"/>
      <c r="J494" s="326"/>
      <c r="K494" s="321">
        <v>700000.0</v>
      </c>
      <c r="L494" s="324"/>
      <c r="M494" s="326"/>
      <c r="N494" s="321">
        <v>700000.0</v>
      </c>
      <c r="O494" s="324"/>
      <c r="P494" s="326"/>
      <c r="Q494" s="321">
        <v>700000.0</v>
      </c>
      <c r="R494" s="324"/>
      <c r="S494" s="326"/>
      <c r="T494" s="321">
        <v>700000.0</v>
      </c>
      <c r="U494" s="324"/>
      <c r="V494" s="326"/>
      <c r="W494" s="321">
        <v>700000.0</v>
      </c>
      <c r="X494" s="324"/>
      <c r="Y494" s="326"/>
      <c r="Z494" s="321">
        <v>800000.0</v>
      </c>
      <c r="AA494" s="324"/>
      <c r="AB494" s="326"/>
      <c r="AC494" s="321">
        <v>900000.0</v>
      </c>
      <c r="AD494" s="324"/>
      <c r="AE494" s="326"/>
      <c r="AF494" s="321">
        <v>900000.0</v>
      </c>
      <c r="AG494" s="324"/>
      <c r="AH494" s="326"/>
      <c r="AI494" s="321">
        <v>900000.0</v>
      </c>
      <c r="AJ494" s="324"/>
      <c r="AK494" s="326"/>
      <c r="AL494" s="321">
        <v>900000.0</v>
      </c>
      <c r="AM494" s="324"/>
      <c r="AN494" s="316" t="s">
        <v>33</v>
      </c>
      <c r="AO494" s="316"/>
      <c r="AP494" s="316"/>
      <c r="AQ494" s="316"/>
      <c r="AR494" s="316"/>
      <c r="AS494" s="316"/>
      <c r="AT494" s="316"/>
      <c r="AU494" s="316"/>
      <c r="AV494" s="316"/>
      <c r="AW494" s="316"/>
      <c r="AX494" s="316"/>
      <c r="AY494" s="316"/>
      <c r="AZ494" s="316"/>
      <c r="BA494" s="316"/>
      <c r="BB494" s="316"/>
      <c r="BC494" s="316"/>
      <c r="BD494" s="316"/>
      <c r="BE494" s="316"/>
      <c r="BF494" s="316"/>
      <c r="BG494" s="316"/>
      <c r="BH494" s="316"/>
      <c r="BI494" s="316"/>
      <c r="BJ494" s="316"/>
      <c r="BK494" s="316"/>
      <c r="BL494" s="316"/>
      <c r="BM494" s="316"/>
      <c r="BN494" s="316"/>
    </row>
    <row r="495" hidden="1" outlineLevel="1">
      <c r="A495" s="303" t="s">
        <v>2268</v>
      </c>
      <c r="B495" s="304"/>
      <c r="C495" s="325" t="s">
        <v>45</v>
      </c>
      <c r="D495" s="326" t="s">
        <v>677</v>
      </c>
      <c r="E495" s="321" t="s">
        <v>677</v>
      </c>
      <c r="F495" s="322" t="s">
        <v>677</v>
      </c>
      <c r="G495" s="326" t="s">
        <v>677</v>
      </c>
      <c r="H495" s="321" t="s">
        <v>677</v>
      </c>
      <c r="I495" s="322" t="s">
        <v>677</v>
      </c>
      <c r="J495" s="326" t="s">
        <v>677</v>
      </c>
      <c r="K495" s="321" t="s">
        <v>677</v>
      </c>
      <c r="L495" s="322" t="s">
        <v>677</v>
      </c>
      <c r="M495" s="326" t="s">
        <v>677</v>
      </c>
      <c r="N495" s="321" t="s">
        <v>677</v>
      </c>
      <c r="O495" s="322" t="s">
        <v>677</v>
      </c>
      <c r="P495" s="326" t="s">
        <v>677</v>
      </c>
      <c r="Q495" s="321" t="s">
        <v>677</v>
      </c>
      <c r="R495" s="322" t="s">
        <v>677</v>
      </c>
      <c r="S495" s="326" t="s">
        <v>677</v>
      </c>
      <c r="T495" s="321" t="s">
        <v>677</v>
      </c>
      <c r="U495" s="322" t="s">
        <v>677</v>
      </c>
      <c r="V495" s="326" t="s">
        <v>677</v>
      </c>
      <c r="W495" s="321" t="s">
        <v>677</v>
      </c>
      <c r="X495" s="322" t="s">
        <v>677</v>
      </c>
      <c r="Y495" s="326" t="s">
        <v>677</v>
      </c>
      <c r="Z495" s="321" t="s">
        <v>677</v>
      </c>
      <c r="AA495" s="322" t="s">
        <v>677</v>
      </c>
      <c r="AB495" s="326" t="s">
        <v>677</v>
      </c>
      <c r="AC495" s="321" t="s">
        <v>677</v>
      </c>
      <c r="AD495" s="322" t="s">
        <v>677</v>
      </c>
      <c r="AE495" s="326" t="s">
        <v>677</v>
      </c>
      <c r="AF495" s="321" t="s">
        <v>677</v>
      </c>
      <c r="AG495" s="322" t="s">
        <v>677</v>
      </c>
      <c r="AH495" s="326" t="s">
        <v>677</v>
      </c>
      <c r="AI495" s="321" t="s">
        <v>677</v>
      </c>
      <c r="AJ495" s="322" t="s">
        <v>677</v>
      </c>
      <c r="AK495" s="326" t="s">
        <v>677</v>
      </c>
      <c r="AL495" s="321" t="s">
        <v>677</v>
      </c>
      <c r="AM495" s="322" t="s">
        <v>677</v>
      </c>
      <c r="AN495" s="316" t="s">
        <v>33</v>
      </c>
      <c r="AO495" s="316"/>
      <c r="AP495" s="316"/>
      <c r="AQ495" s="316"/>
      <c r="AR495" s="316"/>
      <c r="AS495" s="316"/>
      <c r="AT495" s="316"/>
      <c r="AU495" s="316"/>
      <c r="AV495" s="316"/>
      <c r="AW495" s="316"/>
      <c r="AX495" s="316"/>
      <c r="AY495" s="316"/>
      <c r="AZ495" s="316"/>
      <c r="BA495" s="316"/>
      <c r="BB495" s="316"/>
      <c r="BC495" s="316"/>
      <c r="BD495" s="316"/>
      <c r="BE495" s="316"/>
      <c r="BF495" s="316"/>
      <c r="BG495" s="316"/>
      <c r="BH495" s="316"/>
      <c r="BI495" s="316"/>
      <c r="BJ495" s="316"/>
      <c r="BK495" s="316"/>
      <c r="BL495" s="316"/>
      <c r="BM495" s="316"/>
      <c r="BN495" s="316"/>
    </row>
    <row r="496" hidden="1" outlineLevel="1">
      <c r="A496" s="303" t="s">
        <v>2268</v>
      </c>
      <c r="B496" s="317" t="s">
        <v>819</v>
      </c>
      <c r="C496" s="325" t="s">
        <v>47</v>
      </c>
      <c r="D496" s="326"/>
      <c r="E496" s="321"/>
      <c r="F496" s="322">
        <v>24570.0</v>
      </c>
      <c r="G496" s="326"/>
      <c r="H496" s="321"/>
      <c r="I496" s="322">
        <v>27890.0</v>
      </c>
      <c r="J496" s="326"/>
      <c r="K496" s="321"/>
      <c r="L496" s="322">
        <v>26680.0</v>
      </c>
      <c r="M496" s="326"/>
      <c r="N496" s="321"/>
      <c r="O496" s="322"/>
      <c r="P496" s="326"/>
      <c r="Q496" s="321"/>
      <c r="R496" s="322"/>
      <c r="S496" s="326"/>
      <c r="T496" s="321"/>
      <c r="U496" s="322"/>
      <c r="V496" s="326"/>
      <c r="W496" s="321"/>
      <c r="X496" s="322"/>
      <c r="Y496" s="326"/>
      <c r="Z496" s="321"/>
      <c r="AA496" s="322"/>
      <c r="AB496" s="326"/>
      <c r="AC496" s="321"/>
      <c r="AD496" s="322"/>
      <c r="AE496" s="326"/>
      <c r="AF496" s="321"/>
      <c r="AG496" s="322"/>
      <c r="AH496" s="326"/>
      <c r="AI496" s="321"/>
      <c r="AJ496" s="322"/>
      <c r="AK496" s="326"/>
      <c r="AL496" s="321"/>
      <c r="AM496" s="322"/>
      <c r="AN496" s="316" t="s">
        <v>33</v>
      </c>
      <c r="AO496" s="316"/>
      <c r="AP496" s="316"/>
      <c r="AQ496" s="316"/>
      <c r="AR496" s="316"/>
      <c r="AS496" s="316"/>
      <c r="AT496" s="316"/>
      <c r="AU496" s="316"/>
      <c r="AV496" s="316"/>
      <c r="AW496" s="316"/>
      <c r="AX496" s="316"/>
      <c r="AY496" s="316"/>
      <c r="AZ496" s="316"/>
      <c r="BA496" s="316"/>
      <c r="BB496" s="316"/>
      <c r="BC496" s="316"/>
      <c r="BD496" s="316"/>
      <c r="BE496" s="316"/>
      <c r="BF496" s="316"/>
      <c r="BG496" s="316"/>
      <c r="BH496" s="316"/>
      <c r="BI496" s="316"/>
      <c r="BJ496" s="316"/>
      <c r="BK496" s="316"/>
      <c r="BL496" s="316"/>
      <c r="BM496" s="316"/>
      <c r="BN496" s="316"/>
    </row>
    <row r="497" hidden="1" outlineLevel="1">
      <c r="A497" s="303" t="s">
        <v>2268</v>
      </c>
      <c r="B497" s="317" t="s">
        <v>820</v>
      </c>
      <c r="C497" s="325" t="s">
        <v>49</v>
      </c>
      <c r="D497" s="326"/>
      <c r="E497" s="321"/>
      <c r="F497" s="322">
        <v>198880.0</v>
      </c>
      <c r="G497" s="326"/>
      <c r="H497" s="321"/>
      <c r="I497" s="322">
        <v>209670.0</v>
      </c>
      <c r="J497" s="326"/>
      <c r="K497" s="321"/>
      <c r="L497" s="322">
        <v>129570.0</v>
      </c>
      <c r="M497" s="326"/>
      <c r="N497" s="321"/>
      <c r="O497" s="322"/>
      <c r="P497" s="326"/>
      <c r="Q497" s="321"/>
      <c r="R497" s="322"/>
      <c r="S497" s="326"/>
      <c r="T497" s="321"/>
      <c r="U497" s="322"/>
      <c r="V497" s="326"/>
      <c r="W497" s="321"/>
      <c r="X497" s="322"/>
      <c r="Y497" s="326"/>
      <c r="Z497" s="321"/>
      <c r="AA497" s="322"/>
      <c r="AB497" s="326"/>
      <c r="AC497" s="321"/>
      <c r="AD497" s="322"/>
      <c r="AE497" s="326"/>
      <c r="AF497" s="321"/>
      <c r="AG497" s="322"/>
      <c r="AH497" s="326"/>
      <c r="AI497" s="321"/>
      <c r="AJ497" s="322"/>
      <c r="AK497" s="326"/>
      <c r="AL497" s="321"/>
      <c r="AM497" s="322"/>
      <c r="AN497" s="316" t="s">
        <v>33</v>
      </c>
      <c r="AO497" s="316"/>
      <c r="AP497" s="316"/>
      <c r="AQ497" s="316"/>
      <c r="AR497" s="316"/>
      <c r="AS497" s="316"/>
      <c r="AT497" s="316"/>
      <c r="AU497" s="316"/>
      <c r="AV497" s="316"/>
      <c r="AW497" s="316"/>
      <c r="AX497" s="316"/>
      <c r="AY497" s="316"/>
      <c r="AZ497" s="316"/>
      <c r="BA497" s="316"/>
      <c r="BB497" s="316"/>
      <c r="BC497" s="316"/>
      <c r="BD497" s="316"/>
      <c r="BE497" s="316"/>
      <c r="BF497" s="316"/>
      <c r="BG497" s="316"/>
      <c r="BH497" s="316"/>
      <c r="BI497" s="316"/>
      <c r="BJ497" s="316"/>
      <c r="BK497" s="316"/>
      <c r="BL497" s="316"/>
      <c r="BM497" s="316"/>
      <c r="BN497" s="316"/>
    </row>
    <row r="498" hidden="1" outlineLevel="1">
      <c r="A498" s="303" t="s">
        <v>2268</v>
      </c>
      <c r="B498" s="317" t="s">
        <v>821</v>
      </c>
      <c r="C498" s="325" t="s">
        <v>51</v>
      </c>
      <c r="D498" s="326" t="s">
        <v>2039</v>
      </c>
      <c r="E498" s="321"/>
      <c r="F498" s="322">
        <v>26000.0</v>
      </c>
      <c r="G498" s="326" t="s">
        <v>2039</v>
      </c>
      <c r="H498" s="321"/>
      <c r="I498" s="322">
        <v>26000.0</v>
      </c>
      <c r="J498" s="326"/>
      <c r="K498" s="321"/>
      <c r="L498" s="322"/>
      <c r="M498" s="326"/>
      <c r="N498" s="321"/>
      <c r="O498" s="322"/>
      <c r="P498" s="326"/>
      <c r="Q498" s="321"/>
      <c r="R498" s="322"/>
      <c r="S498" s="326"/>
      <c r="T498" s="321"/>
      <c r="U498" s="322"/>
      <c r="V498" s="326"/>
      <c r="W498" s="321"/>
      <c r="X498" s="322"/>
      <c r="Y498" s="326"/>
      <c r="Z498" s="321"/>
      <c r="AA498" s="322"/>
      <c r="AB498" s="326"/>
      <c r="AC498" s="321"/>
      <c r="AD498" s="322"/>
      <c r="AE498" s="326"/>
      <c r="AF498" s="321"/>
      <c r="AG498" s="322"/>
      <c r="AH498" s="326"/>
      <c r="AI498" s="321"/>
      <c r="AJ498" s="322"/>
      <c r="AK498" s="326"/>
      <c r="AL498" s="321"/>
      <c r="AM498" s="322"/>
      <c r="AN498" s="316" t="s">
        <v>33</v>
      </c>
      <c r="AO498" s="316"/>
      <c r="AP498" s="316"/>
      <c r="AQ498" s="316"/>
      <c r="AR498" s="316"/>
      <c r="AS498" s="316"/>
      <c r="AT498" s="316"/>
      <c r="AU498" s="316"/>
      <c r="AV498" s="316"/>
      <c r="AW498" s="316"/>
      <c r="AX498" s="316"/>
      <c r="AY498" s="316"/>
      <c r="AZ498" s="316"/>
      <c r="BA498" s="316"/>
      <c r="BB498" s="316"/>
      <c r="BC498" s="316"/>
      <c r="BD498" s="316"/>
      <c r="BE498" s="316"/>
      <c r="BF498" s="316"/>
      <c r="BG498" s="316"/>
      <c r="BH498" s="316"/>
      <c r="BI498" s="316"/>
      <c r="BJ498" s="316"/>
      <c r="BK498" s="316"/>
      <c r="BL498" s="316"/>
      <c r="BM498" s="316"/>
      <c r="BN498" s="316"/>
    </row>
    <row r="499" hidden="1" outlineLevel="1">
      <c r="A499" s="303" t="s">
        <v>2268</v>
      </c>
      <c r="B499" s="304"/>
      <c r="C499" s="325" t="s">
        <v>52</v>
      </c>
      <c r="D499" s="326"/>
      <c r="E499" s="321"/>
      <c r="F499" s="322">
        <v>22000.0</v>
      </c>
      <c r="G499" s="326"/>
      <c r="H499" s="321"/>
      <c r="I499" s="322">
        <v>22000.0</v>
      </c>
      <c r="J499" s="326"/>
      <c r="K499" s="321"/>
      <c r="L499" s="322">
        <v>22000.0</v>
      </c>
      <c r="M499" s="326"/>
      <c r="N499" s="321"/>
      <c r="O499" s="322">
        <v>22000.0</v>
      </c>
      <c r="P499" s="326"/>
      <c r="Q499" s="321"/>
      <c r="R499" s="322">
        <v>22000.0</v>
      </c>
      <c r="S499" s="326"/>
      <c r="T499" s="321"/>
      <c r="U499" s="322">
        <v>22000.0</v>
      </c>
      <c r="V499" s="326"/>
      <c r="W499" s="321"/>
      <c r="X499" s="322">
        <v>22000.0</v>
      </c>
      <c r="Y499" s="326"/>
      <c r="Z499" s="321"/>
      <c r="AA499" s="322">
        <v>22000.0</v>
      </c>
      <c r="AB499" s="326"/>
      <c r="AC499" s="321"/>
      <c r="AD499" s="322">
        <v>22000.0</v>
      </c>
      <c r="AE499" s="326"/>
      <c r="AF499" s="321"/>
      <c r="AG499" s="322">
        <v>22000.0</v>
      </c>
      <c r="AH499" s="326"/>
      <c r="AI499" s="321"/>
      <c r="AJ499" s="322">
        <v>22000.0</v>
      </c>
      <c r="AK499" s="326"/>
      <c r="AL499" s="321"/>
      <c r="AM499" s="322">
        <v>22000.0</v>
      </c>
      <c r="AN499" s="316" t="s">
        <v>33</v>
      </c>
      <c r="AO499" s="316"/>
      <c r="AP499" s="316"/>
      <c r="AQ499" s="316"/>
      <c r="AR499" s="316"/>
      <c r="AS499" s="316"/>
      <c r="AT499" s="316"/>
      <c r="AU499" s="316"/>
      <c r="AV499" s="316"/>
      <c r="AW499" s="316"/>
      <c r="AX499" s="316"/>
      <c r="AY499" s="316"/>
      <c r="AZ499" s="316"/>
      <c r="BA499" s="316"/>
      <c r="BB499" s="316"/>
      <c r="BC499" s="316"/>
      <c r="BD499" s="316"/>
      <c r="BE499" s="316"/>
      <c r="BF499" s="316"/>
      <c r="BG499" s="316"/>
      <c r="BH499" s="316"/>
      <c r="BI499" s="316"/>
      <c r="BJ499" s="316"/>
      <c r="BK499" s="316"/>
      <c r="BL499" s="316"/>
      <c r="BM499" s="316"/>
      <c r="BN499" s="316"/>
    </row>
    <row r="500" hidden="1" outlineLevel="1">
      <c r="A500" s="303" t="s">
        <v>2268</v>
      </c>
      <c r="B500" s="304"/>
      <c r="C500" s="325" t="s">
        <v>53</v>
      </c>
      <c r="D500" s="326"/>
      <c r="E500" s="321"/>
      <c r="F500" s="322">
        <v>10000.0</v>
      </c>
      <c r="G500" s="326"/>
      <c r="H500" s="321"/>
      <c r="I500" s="322">
        <v>10000.0</v>
      </c>
      <c r="J500" s="326"/>
      <c r="K500" s="321"/>
      <c r="L500" s="322">
        <v>10000.0</v>
      </c>
      <c r="M500" s="326"/>
      <c r="N500" s="321"/>
      <c r="O500" s="322">
        <v>10000.0</v>
      </c>
      <c r="P500" s="326"/>
      <c r="Q500" s="321"/>
      <c r="R500" s="322">
        <v>10000.0</v>
      </c>
      <c r="S500" s="326"/>
      <c r="T500" s="321"/>
      <c r="U500" s="322">
        <v>10000.0</v>
      </c>
      <c r="V500" s="326"/>
      <c r="W500" s="321"/>
      <c r="X500" s="322">
        <v>10000.0</v>
      </c>
      <c r="Y500" s="326"/>
      <c r="Z500" s="321"/>
      <c r="AA500" s="322">
        <v>10000.0</v>
      </c>
      <c r="AB500" s="326"/>
      <c r="AC500" s="321"/>
      <c r="AD500" s="322">
        <v>10000.0</v>
      </c>
      <c r="AE500" s="326"/>
      <c r="AF500" s="321"/>
      <c r="AG500" s="322">
        <v>10000.0</v>
      </c>
      <c r="AH500" s="326"/>
      <c r="AI500" s="321"/>
      <c r="AJ500" s="322">
        <v>10000.0</v>
      </c>
      <c r="AK500" s="326"/>
      <c r="AL500" s="321"/>
      <c r="AM500" s="322">
        <v>10000.0</v>
      </c>
      <c r="AN500" s="316" t="s">
        <v>33</v>
      </c>
      <c r="AO500" s="316"/>
      <c r="AP500" s="316"/>
      <c r="AQ500" s="316"/>
      <c r="AR500" s="316"/>
      <c r="AS500" s="316"/>
      <c r="AT500" s="316"/>
      <c r="AU500" s="316"/>
      <c r="AV500" s="316"/>
      <c r="AW500" s="316"/>
      <c r="AX500" s="316"/>
      <c r="AY500" s="316"/>
      <c r="AZ500" s="316"/>
      <c r="BA500" s="316"/>
      <c r="BB500" s="316"/>
      <c r="BC500" s="316"/>
      <c r="BD500" s="316"/>
      <c r="BE500" s="316"/>
      <c r="BF500" s="316"/>
      <c r="BG500" s="316"/>
      <c r="BH500" s="316"/>
      <c r="BI500" s="316"/>
      <c r="BJ500" s="316"/>
      <c r="BK500" s="316"/>
      <c r="BL500" s="316"/>
      <c r="BM500" s="316"/>
      <c r="BN500" s="316"/>
    </row>
    <row r="501" hidden="1" outlineLevel="1">
      <c r="A501" s="303" t="s">
        <v>2268</v>
      </c>
      <c r="B501" s="304"/>
      <c r="C501" s="325" t="s">
        <v>54</v>
      </c>
      <c r="D501" s="327"/>
      <c r="E501" s="321"/>
      <c r="F501" s="322">
        <f>SUMIFS('지출'!$G$3:$G794,'지출'!$J$3:$J794,F$1,'지출'!$C$3:$C794,"다정")</f>
        <v>94240</v>
      </c>
      <c r="G501" s="327"/>
      <c r="H501" s="321"/>
      <c r="I501" s="322">
        <f>SUMIFS('지출'!$G$3:$G794,'지출'!$J$3:$J794,I$1,'지출'!$C$3:$C794,"다정")</f>
        <v>60000</v>
      </c>
      <c r="J501" s="327"/>
      <c r="K501" s="321"/>
      <c r="L501" s="322">
        <f>SUMIFS('지출'!$G$3:$G794,'지출'!$J$3:$J794,L$1,'지출'!$C$3:$C794,"다정")</f>
        <v>0</v>
      </c>
      <c r="M501" s="327"/>
      <c r="N501" s="321"/>
      <c r="O501" s="322">
        <f>SUMIFS('지출'!$G$3:$G794,'지출'!$J$3:$J794,O$1,'지출'!$C$3:$C794,"다정")</f>
        <v>0</v>
      </c>
      <c r="P501" s="327"/>
      <c r="Q501" s="321"/>
      <c r="R501" s="322">
        <f>SUMIFS('지출'!$G$3:$G794,'지출'!$J$3:$J794,R$1,'지출'!$C$3:$C794,"다정")</f>
        <v>0</v>
      </c>
      <c r="S501" s="327"/>
      <c r="T501" s="321"/>
      <c r="U501" s="322">
        <f>SUMIFS('지출'!$G$3:$G794,'지출'!$J$3:$J794,U$1,'지출'!$C$3:$C794,"다정")</f>
        <v>0</v>
      </c>
      <c r="V501" s="327"/>
      <c r="W501" s="321"/>
      <c r="X501" s="322">
        <f>SUMIFS('지출'!$G$3:$G794,'지출'!$J$3:$J794,X$1,'지출'!$C$3:$C794,"다정")</f>
        <v>0</v>
      </c>
      <c r="Y501" s="327"/>
      <c r="Z501" s="321"/>
      <c r="AA501" s="322">
        <f>SUMIFS('지출'!$G$3:$G794,'지출'!$J$3:$J794,AA$1,'지출'!$C$3:$C794,"다정")</f>
        <v>0</v>
      </c>
      <c r="AB501" s="327"/>
      <c r="AC501" s="321"/>
      <c r="AD501" s="322">
        <f>SUMIFS('지출'!$G$3:$G794,'지출'!$J$3:$J794,AD$1,'지출'!$C$3:$C794,"다정")</f>
        <v>0</v>
      </c>
      <c r="AE501" s="327"/>
      <c r="AF501" s="321"/>
      <c r="AG501" s="322">
        <f>SUMIFS('지출'!$G$3:$G794,'지출'!$J$3:$J794,AG$1,'지출'!$C$3:$C794,"다정")</f>
        <v>0</v>
      </c>
      <c r="AH501" s="327"/>
      <c r="AI501" s="321"/>
      <c r="AJ501" s="322">
        <f>SUMIFS('지출'!$G$3:$G794,'지출'!$J$3:$J794,AJ$1,'지출'!$C$3:$C794,"다정")</f>
        <v>0</v>
      </c>
      <c r="AK501" s="327"/>
      <c r="AL501" s="321"/>
      <c r="AM501" s="322">
        <f>SUMIFS('지출'!$G$3:$G794,'지출'!$J$3:$J794,AM$1,'지출'!$C$3:$C794,"다정")</f>
        <v>0</v>
      </c>
      <c r="AN501" s="316" t="s">
        <v>33</v>
      </c>
      <c r="AO501" s="316"/>
      <c r="AP501" s="316"/>
      <c r="AQ501" s="316"/>
      <c r="AR501" s="316"/>
      <c r="AS501" s="316"/>
      <c r="AT501" s="316"/>
      <c r="AU501" s="316"/>
      <c r="AV501" s="316"/>
      <c r="AW501" s="316"/>
      <c r="AX501" s="316"/>
      <c r="AY501" s="316"/>
      <c r="AZ501" s="316"/>
      <c r="BA501" s="316"/>
      <c r="BB501" s="316"/>
      <c r="BC501" s="316"/>
      <c r="BD501" s="316"/>
      <c r="BE501" s="316"/>
      <c r="BF501" s="316"/>
      <c r="BG501" s="316"/>
      <c r="BH501" s="316"/>
      <c r="BI501" s="316"/>
      <c r="BJ501" s="316"/>
      <c r="BK501" s="316"/>
      <c r="BL501" s="316"/>
      <c r="BM501" s="316"/>
      <c r="BN501" s="316"/>
    </row>
    <row r="502" hidden="1" outlineLevel="1">
      <c r="A502" s="303" t="s">
        <v>2268</v>
      </c>
      <c r="B502" s="304"/>
      <c r="C502" s="325" t="s">
        <v>56</v>
      </c>
      <c r="D502" s="320"/>
      <c r="E502" s="323">
        <f t="shared" ref="E502:F502" si="673">E493-(SUM(E494:E501))</f>
        <v>700000</v>
      </c>
      <c r="F502" s="324">
        <f t="shared" si="673"/>
        <v>-75690</v>
      </c>
      <c r="G502" s="320"/>
      <c r="H502" s="323">
        <f t="shared" ref="H502:I502" si="674">H493-(SUM(H494:H501))</f>
        <v>1145357</v>
      </c>
      <c r="I502" s="324">
        <f t="shared" si="674"/>
        <v>-55560</v>
      </c>
      <c r="J502" s="320"/>
      <c r="K502" s="323">
        <f t="shared" ref="K502:L502" si="675">K493-(SUM(K494:K501))</f>
        <v>1000000</v>
      </c>
      <c r="L502" s="324">
        <f t="shared" si="675"/>
        <v>211750</v>
      </c>
      <c r="M502" s="320"/>
      <c r="N502" s="323">
        <f t="shared" ref="N502:O502" si="676">N493-(SUM(N494:N501))</f>
        <v>1000000</v>
      </c>
      <c r="O502" s="324">
        <f t="shared" si="676"/>
        <v>368000</v>
      </c>
      <c r="P502" s="320"/>
      <c r="Q502" s="323">
        <f t="shared" ref="Q502:R502" si="677">Q493-(SUM(Q494:Q501))</f>
        <v>1000000</v>
      </c>
      <c r="R502" s="324">
        <f t="shared" si="677"/>
        <v>368000</v>
      </c>
      <c r="S502" s="320"/>
      <c r="T502" s="323">
        <f t="shared" ref="T502:U502" si="678">T493-(SUM(T494:T501))</f>
        <v>1000000</v>
      </c>
      <c r="U502" s="324">
        <f t="shared" si="678"/>
        <v>368000</v>
      </c>
      <c r="V502" s="320"/>
      <c r="W502" s="323">
        <f t="shared" ref="W502:X502" si="679">W493-(SUM(W494:W501))</f>
        <v>1000000</v>
      </c>
      <c r="X502" s="324">
        <f t="shared" si="679"/>
        <v>368000</v>
      </c>
      <c r="Y502" s="320"/>
      <c r="Z502" s="323">
        <f t="shared" ref="Z502:AA502" si="680">Z493-(SUM(Z494:Z501))</f>
        <v>805161</v>
      </c>
      <c r="AA502" s="324">
        <f t="shared" si="680"/>
        <v>348645</v>
      </c>
      <c r="AB502" s="320"/>
      <c r="AC502" s="323">
        <f t="shared" ref="AC502:AD502" si="681">AC493-(SUM(AC494:AC501))</f>
        <v>310000</v>
      </c>
      <c r="AD502" s="324">
        <f t="shared" si="681"/>
        <v>268000</v>
      </c>
      <c r="AE502" s="320"/>
      <c r="AF502" s="323">
        <f t="shared" ref="AF502:AG502" si="682">AF493-(SUM(AF494:AF501))</f>
        <v>310000</v>
      </c>
      <c r="AG502" s="324">
        <f t="shared" si="682"/>
        <v>268000</v>
      </c>
      <c r="AH502" s="320"/>
      <c r="AI502" s="323">
        <f t="shared" ref="AI502:AJ502" si="683">AI493-(SUM(AI494:AI501))</f>
        <v>310000</v>
      </c>
      <c r="AJ502" s="324">
        <f t="shared" si="683"/>
        <v>268000</v>
      </c>
      <c r="AK502" s="320"/>
      <c r="AL502" s="323">
        <f t="shared" ref="AL502:AM502" si="684">AL493-(SUM(AL494:AL501))</f>
        <v>310000</v>
      </c>
      <c r="AM502" s="324">
        <f t="shared" si="684"/>
        <v>268000</v>
      </c>
      <c r="AN502" s="316" t="s">
        <v>33</v>
      </c>
      <c r="AO502" s="316"/>
      <c r="AP502" s="316"/>
      <c r="AQ502" s="316"/>
      <c r="AR502" s="316"/>
      <c r="AS502" s="316"/>
      <c r="AT502" s="316"/>
      <c r="AU502" s="316"/>
      <c r="AV502" s="316"/>
      <c r="AW502" s="316"/>
      <c r="AX502" s="316"/>
      <c r="AY502" s="316"/>
      <c r="AZ502" s="316"/>
      <c r="BA502" s="316"/>
      <c r="BB502" s="316"/>
      <c r="BC502" s="316"/>
      <c r="BD502" s="316"/>
      <c r="BE502" s="316"/>
      <c r="BF502" s="316"/>
      <c r="BG502" s="316"/>
      <c r="BH502" s="316"/>
      <c r="BI502" s="316"/>
      <c r="BJ502" s="316"/>
      <c r="BK502" s="316"/>
      <c r="BL502" s="316"/>
      <c r="BM502" s="316"/>
      <c r="BN502" s="316"/>
    </row>
    <row r="503">
      <c r="A503" s="303" t="s">
        <v>2268</v>
      </c>
      <c r="B503" s="328">
        <v>0.0</v>
      </c>
      <c r="C503" s="325" t="s">
        <v>26</v>
      </c>
      <c r="D503" s="320"/>
      <c r="E503" s="323">
        <f>E502*$B503</f>
        <v>0</v>
      </c>
      <c r="F503" s="324"/>
      <c r="G503" s="320"/>
      <c r="H503" s="323">
        <f>H502*$B503</f>
        <v>0</v>
      </c>
      <c r="I503" s="324"/>
      <c r="J503" s="320"/>
      <c r="K503" s="323">
        <f>K502*$B503</f>
        <v>0</v>
      </c>
      <c r="L503" s="324"/>
      <c r="M503" s="320"/>
      <c r="N503" s="323">
        <f>N502*$B503</f>
        <v>0</v>
      </c>
      <c r="O503" s="324"/>
      <c r="P503" s="320"/>
      <c r="Q503" s="323">
        <f>Q502*$B503</f>
        <v>0</v>
      </c>
      <c r="R503" s="324"/>
      <c r="S503" s="320"/>
      <c r="T503" s="323">
        <f>T502*$B503</f>
        <v>0</v>
      </c>
      <c r="U503" s="324"/>
      <c r="V503" s="320"/>
      <c r="W503" s="323">
        <f>W502*$B503</f>
        <v>0</v>
      </c>
      <c r="X503" s="324"/>
      <c r="Y503" s="320"/>
      <c r="Z503" s="323">
        <f>Z502*$B503</f>
        <v>0</v>
      </c>
      <c r="AA503" s="324"/>
      <c r="AB503" s="320"/>
      <c r="AC503" s="323">
        <f>AC502*$B503</f>
        <v>0</v>
      </c>
      <c r="AD503" s="324"/>
      <c r="AE503" s="320"/>
      <c r="AF503" s="323">
        <f>AF502*$B503</f>
        <v>0</v>
      </c>
      <c r="AG503" s="324"/>
      <c r="AH503" s="320"/>
      <c r="AI503" s="323">
        <f>AI502*$B503</f>
        <v>0</v>
      </c>
      <c r="AJ503" s="324"/>
      <c r="AK503" s="320"/>
      <c r="AL503" s="323">
        <f>AL502*$B503</f>
        <v>0</v>
      </c>
      <c r="AM503" s="324"/>
      <c r="AN503" s="316" t="s">
        <v>33</v>
      </c>
      <c r="AO503" s="316"/>
      <c r="AP503" s="316"/>
      <c r="AQ503" s="316"/>
      <c r="AR503" s="316"/>
      <c r="AS503" s="316"/>
      <c r="AT503" s="316"/>
      <c r="AU503" s="316"/>
      <c r="AV503" s="316"/>
      <c r="AW503" s="316"/>
      <c r="AX503" s="316"/>
      <c r="AY503" s="316"/>
      <c r="AZ503" s="316"/>
      <c r="BA503" s="316"/>
      <c r="BB503" s="316"/>
      <c r="BC503" s="316"/>
      <c r="BD503" s="316"/>
      <c r="BE503" s="316"/>
      <c r="BF503" s="316"/>
      <c r="BG503" s="316"/>
      <c r="BH503" s="316"/>
      <c r="BI503" s="316"/>
      <c r="BJ503" s="316"/>
      <c r="BK503" s="316"/>
      <c r="BL503" s="316"/>
      <c r="BM503" s="316"/>
      <c r="BN503" s="316"/>
    </row>
    <row r="504">
      <c r="A504" s="303" t="s">
        <v>2268</v>
      </c>
      <c r="B504" s="329">
        <v>1.0</v>
      </c>
      <c r="C504" s="330" t="s">
        <v>57</v>
      </c>
      <c r="D504" s="331"/>
      <c r="E504" s="332">
        <f>E502*$B504</f>
        <v>700000</v>
      </c>
      <c r="F504" s="333"/>
      <c r="G504" s="331"/>
      <c r="H504" s="332">
        <f>H502*$B504</f>
        <v>1145357</v>
      </c>
      <c r="I504" s="333"/>
      <c r="J504" s="331"/>
      <c r="K504" s="332">
        <f>K502*$B504</f>
        <v>1000000</v>
      </c>
      <c r="L504" s="333"/>
      <c r="M504" s="331"/>
      <c r="N504" s="332">
        <f>N502*$B504</f>
        <v>1000000</v>
      </c>
      <c r="O504" s="333"/>
      <c r="P504" s="331"/>
      <c r="Q504" s="332">
        <f>Q502*$B504</f>
        <v>1000000</v>
      </c>
      <c r="R504" s="333"/>
      <c r="S504" s="331"/>
      <c r="T504" s="332">
        <f>T502*$B504</f>
        <v>1000000</v>
      </c>
      <c r="U504" s="333"/>
      <c r="V504" s="331"/>
      <c r="W504" s="332">
        <f>W502*$B504</f>
        <v>1000000</v>
      </c>
      <c r="X504" s="333"/>
      <c r="Y504" s="331"/>
      <c r="Z504" s="332">
        <f>Z502*$B504</f>
        <v>805161</v>
      </c>
      <c r="AA504" s="333"/>
      <c r="AB504" s="331"/>
      <c r="AC504" s="332">
        <f>AC502*$B504</f>
        <v>310000</v>
      </c>
      <c r="AD504" s="333"/>
      <c r="AE504" s="331"/>
      <c r="AF504" s="332">
        <f>AF502*$B504</f>
        <v>310000</v>
      </c>
      <c r="AG504" s="333"/>
      <c r="AH504" s="331"/>
      <c r="AI504" s="332">
        <f>AI502*$B504</f>
        <v>310000</v>
      </c>
      <c r="AJ504" s="333"/>
      <c r="AK504" s="331"/>
      <c r="AL504" s="332">
        <f>AL502*$B504</f>
        <v>310000</v>
      </c>
      <c r="AM504" s="333"/>
      <c r="AN504" s="316" t="s">
        <v>33</v>
      </c>
      <c r="AO504" s="316"/>
      <c r="AP504" s="316"/>
      <c r="AQ504" s="316"/>
      <c r="AR504" s="316"/>
      <c r="AS504" s="316"/>
      <c r="AT504" s="316"/>
      <c r="AU504" s="316"/>
      <c r="AV504" s="316"/>
      <c r="AW504" s="316"/>
      <c r="AX504" s="316"/>
      <c r="AY504" s="316"/>
      <c r="AZ504" s="316"/>
      <c r="BA504" s="316"/>
      <c r="BB504" s="316"/>
      <c r="BC504" s="316"/>
      <c r="BD504" s="316"/>
      <c r="BE504" s="316"/>
      <c r="BF504" s="316"/>
      <c r="BG504" s="316"/>
      <c r="BH504" s="316"/>
      <c r="BI504" s="316"/>
      <c r="BJ504" s="316"/>
      <c r="BK504" s="316"/>
      <c r="BL504" s="316"/>
      <c r="BM504" s="316"/>
      <c r="BN504" s="316"/>
    </row>
    <row r="505">
      <c r="A505" s="303" t="s">
        <v>822</v>
      </c>
      <c r="B505" s="384" t="s">
        <v>822</v>
      </c>
      <c r="C505" s="325" t="s">
        <v>823</v>
      </c>
      <c r="D505" s="341" t="s">
        <v>827</v>
      </c>
      <c r="E505" s="335">
        <v>490000.0</v>
      </c>
      <c r="F505" s="346">
        <f>80000+25000</f>
        <v>105000</v>
      </c>
      <c r="G505" s="353" t="s">
        <v>2275</v>
      </c>
      <c r="H505" s="348">
        <v>437500.0</v>
      </c>
      <c r="I505" s="345">
        <f>71429+15000</f>
        <v>86429</v>
      </c>
      <c r="J505" s="326" t="s">
        <v>2276</v>
      </c>
      <c r="K505" s="321">
        <v>454839.0</v>
      </c>
      <c r="L505" s="322">
        <v>96774.0</v>
      </c>
      <c r="M505" s="326" t="s">
        <v>1770</v>
      </c>
      <c r="N505" s="348">
        <v>470000.0</v>
      </c>
      <c r="O505" s="346">
        <v>100000.0</v>
      </c>
      <c r="P505" s="326" t="s">
        <v>1770</v>
      </c>
      <c r="Q505" s="348">
        <v>470000.0</v>
      </c>
      <c r="R505" s="346">
        <v>100000.0</v>
      </c>
      <c r="S505" s="326" t="s">
        <v>1770</v>
      </c>
      <c r="T505" s="348">
        <v>470000.0</v>
      </c>
      <c r="U505" s="346">
        <v>100000.0</v>
      </c>
      <c r="V505" s="326" t="s">
        <v>1770</v>
      </c>
      <c r="W505" s="348">
        <v>470000.0</v>
      </c>
      <c r="X505" s="346">
        <v>100000.0</v>
      </c>
      <c r="Y505" s="326" t="s">
        <v>1770</v>
      </c>
      <c r="Z505" s="348">
        <v>470000.0</v>
      </c>
      <c r="AA505" s="346">
        <v>100000.0</v>
      </c>
      <c r="AB505" s="326" t="s">
        <v>1770</v>
      </c>
      <c r="AC505" s="348">
        <v>470000.0</v>
      </c>
      <c r="AD505" s="346">
        <v>100000.0</v>
      </c>
      <c r="AE505" s="326" t="s">
        <v>1770</v>
      </c>
      <c r="AF505" s="348">
        <v>470000.0</v>
      </c>
      <c r="AG505" s="346">
        <v>100000.0</v>
      </c>
      <c r="AH505" s="326" t="s">
        <v>1770</v>
      </c>
      <c r="AI505" s="348">
        <v>470000.0</v>
      </c>
      <c r="AJ505" s="346">
        <v>100000.0</v>
      </c>
      <c r="AK505" s="326" t="s">
        <v>1770</v>
      </c>
      <c r="AL505" s="348">
        <v>470000.0</v>
      </c>
      <c r="AM505" s="346">
        <v>100000.0</v>
      </c>
      <c r="AN505" s="316" t="s">
        <v>828</v>
      </c>
      <c r="AO505" s="316"/>
      <c r="AP505" s="316"/>
      <c r="AQ505" s="316"/>
      <c r="AR505" s="316"/>
      <c r="AS505" s="316"/>
      <c r="AT505" s="316"/>
      <c r="AU505" s="316"/>
      <c r="AV505" s="316"/>
      <c r="AW505" s="316"/>
      <c r="AX505" s="316"/>
      <c r="AY505" s="316"/>
      <c r="AZ505" s="316"/>
      <c r="BA505" s="316"/>
      <c r="BB505" s="316"/>
      <c r="BC505" s="316"/>
      <c r="BD505" s="316"/>
      <c r="BE505" s="316"/>
      <c r="BF505" s="316"/>
      <c r="BG505" s="316"/>
      <c r="BH505" s="316"/>
      <c r="BI505" s="316"/>
      <c r="BJ505" s="316"/>
      <c r="BK505" s="316"/>
      <c r="BL505" s="316"/>
      <c r="BM505" s="316"/>
      <c r="BN505" s="316"/>
    </row>
    <row r="506">
      <c r="A506" s="303" t="s">
        <v>822</v>
      </c>
      <c r="B506" s="384" t="s">
        <v>822</v>
      </c>
      <c r="C506" s="325" t="s">
        <v>829</v>
      </c>
      <c r="D506" s="341" t="s">
        <v>1778</v>
      </c>
      <c r="E506" s="348">
        <v>290000.0</v>
      </c>
      <c r="F506" s="346">
        <f>100000+25000</f>
        <v>125000</v>
      </c>
      <c r="G506" s="341" t="s">
        <v>1778</v>
      </c>
      <c r="H506" s="348">
        <v>290000.0</v>
      </c>
      <c r="I506" s="346">
        <f>100000+15000</f>
        <v>115000</v>
      </c>
      <c r="J506" s="341" t="s">
        <v>1778</v>
      </c>
      <c r="K506" s="348">
        <v>370000.0</v>
      </c>
      <c r="L506" s="346">
        <v>100000.0</v>
      </c>
      <c r="M506" s="341" t="s">
        <v>1778</v>
      </c>
      <c r="N506" s="348">
        <v>370000.0</v>
      </c>
      <c r="O506" s="346">
        <v>100000.0</v>
      </c>
      <c r="P506" s="341" t="s">
        <v>1778</v>
      </c>
      <c r="Q506" s="348">
        <v>370000.0</v>
      </c>
      <c r="R506" s="346">
        <v>100000.0</v>
      </c>
      <c r="S506" s="341" t="s">
        <v>1778</v>
      </c>
      <c r="T506" s="348">
        <v>370000.0</v>
      </c>
      <c r="U506" s="346">
        <v>100000.0</v>
      </c>
      <c r="V506" s="341" t="s">
        <v>1778</v>
      </c>
      <c r="W506" s="348">
        <v>370000.0</v>
      </c>
      <c r="X506" s="346">
        <v>100000.0</v>
      </c>
      <c r="Y506" s="341" t="s">
        <v>1778</v>
      </c>
      <c r="Z506" s="348">
        <v>370000.0</v>
      </c>
      <c r="AA506" s="346">
        <v>100000.0</v>
      </c>
      <c r="AB506" s="341" t="s">
        <v>1778</v>
      </c>
      <c r="AC506" s="348">
        <v>370000.0</v>
      </c>
      <c r="AD506" s="346">
        <v>100000.0</v>
      </c>
      <c r="AE506" s="341" t="s">
        <v>1778</v>
      </c>
      <c r="AF506" s="348">
        <v>370000.0</v>
      </c>
      <c r="AG506" s="346">
        <v>100000.0</v>
      </c>
      <c r="AH506" s="341" t="s">
        <v>1778</v>
      </c>
      <c r="AI506" s="348">
        <v>370000.0</v>
      </c>
      <c r="AJ506" s="346">
        <v>100000.0</v>
      </c>
      <c r="AK506" s="341" t="s">
        <v>1778</v>
      </c>
      <c r="AL506" s="348">
        <v>370000.0</v>
      </c>
      <c r="AM506" s="346">
        <v>100000.0</v>
      </c>
      <c r="AN506" s="316" t="s">
        <v>828</v>
      </c>
      <c r="AO506" s="316"/>
      <c r="AP506" s="316"/>
      <c r="AQ506" s="316"/>
      <c r="AR506" s="316"/>
      <c r="AS506" s="316"/>
      <c r="AT506" s="316"/>
      <c r="AU506" s="316"/>
      <c r="AV506" s="316"/>
      <c r="AW506" s="316"/>
      <c r="AX506" s="316"/>
      <c r="AY506" s="316"/>
      <c r="AZ506" s="316"/>
      <c r="BA506" s="316"/>
      <c r="BB506" s="316"/>
      <c r="BC506" s="316"/>
      <c r="BD506" s="316"/>
      <c r="BE506" s="316"/>
      <c r="BF506" s="316"/>
      <c r="BG506" s="316"/>
      <c r="BH506" s="316"/>
      <c r="BI506" s="316"/>
      <c r="BJ506" s="316"/>
      <c r="BK506" s="316"/>
      <c r="BL506" s="316"/>
      <c r="BM506" s="316"/>
      <c r="BN506" s="316"/>
    </row>
    <row r="507">
      <c r="A507" s="303" t="s">
        <v>822</v>
      </c>
      <c r="B507" s="384" t="s">
        <v>822</v>
      </c>
      <c r="C507" s="325" t="s">
        <v>832</v>
      </c>
      <c r="D507" s="341" t="s">
        <v>37</v>
      </c>
      <c r="E507" s="350"/>
      <c r="F507" s="351"/>
      <c r="G507" s="353" t="s">
        <v>2277</v>
      </c>
      <c r="H507" s="348">
        <v>13214.0</v>
      </c>
      <c r="I507" s="346">
        <v>3571.0</v>
      </c>
      <c r="J507" s="353" t="s">
        <v>2278</v>
      </c>
      <c r="K507" s="321">
        <f>500000+370000</f>
        <v>870000</v>
      </c>
      <c r="L507" s="322">
        <v>100000.0</v>
      </c>
      <c r="M507" s="353" t="s">
        <v>1782</v>
      </c>
      <c r="N507" s="348">
        <v>370000.0</v>
      </c>
      <c r="O507" s="346">
        <v>100000.0</v>
      </c>
      <c r="P507" s="353" t="s">
        <v>1782</v>
      </c>
      <c r="Q507" s="348">
        <v>370000.0</v>
      </c>
      <c r="R507" s="346">
        <v>100000.0</v>
      </c>
      <c r="S507" s="353" t="s">
        <v>1782</v>
      </c>
      <c r="T507" s="348">
        <v>370000.0</v>
      </c>
      <c r="U507" s="346">
        <v>100000.0</v>
      </c>
      <c r="V507" s="353" t="s">
        <v>2279</v>
      </c>
      <c r="W507" s="348">
        <v>370000.0</v>
      </c>
      <c r="X507" s="346">
        <v>100000.0</v>
      </c>
      <c r="Y507" s="353"/>
      <c r="Z507" s="348"/>
      <c r="AA507" s="345"/>
      <c r="AB507" s="341"/>
      <c r="AC507" s="321"/>
      <c r="AD507" s="322"/>
      <c r="AE507" s="341"/>
      <c r="AF507" s="321"/>
      <c r="AG507" s="322"/>
      <c r="AH507" s="341"/>
      <c r="AI507" s="321"/>
      <c r="AJ507" s="322"/>
      <c r="AK507" s="341"/>
      <c r="AL507" s="321"/>
      <c r="AM507" s="322"/>
      <c r="AN507" s="316" t="s">
        <v>828</v>
      </c>
      <c r="AO507" s="316"/>
      <c r="AP507" s="316"/>
      <c r="AQ507" s="316"/>
      <c r="AR507" s="316"/>
      <c r="AS507" s="316"/>
      <c r="AT507" s="316"/>
      <c r="AU507" s="316"/>
      <c r="AV507" s="316"/>
      <c r="AW507" s="316"/>
      <c r="AX507" s="316"/>
      <c r="AY507" s="316"/>
      <c r="AZ507" s="316"/>
      <c r="BA507" s="316"/>
      <c r="BB507" s="316"/>
      <c r="BC507" s="316"/>
      <c r="BD507" s="316"/>
      <c r="BE507" s="316"/>
      <c r="BF507" s="316"/>
      <c r="BG507" s="316"/>
      <c r="BH507" s="316"/>
      <c r="BI507" s="316"/>
      <c r="BJ507" s="316"/>
      <c r="BK507" s="316"/>
      <c r="BL507" s="316"/>
      <c r="BM507" s="316"/>
      <c r="BN507" s="316"/>
    </row>
    <row r="508">
      <c r="A508" s="303" t="s">
        <v>822</v>
      </c>
      <c r="B508" s="384" t="s">
        <v>822</v>
      </c>
      <c r="C508" s="325" t="s">
        <v>837</v>
      </c>
      <c r="D508" s="341" t="s">
        <v>37</v>
      </c>
      <c r="E508" s="350"/>
      <c r="F508" s="351"/>
      <c r="G508" s="393" t="s">
        <v>2280</v>
      </c>
      <c r="H508" s="348">
        <v>50000.0</v>
      </c>
      <c r="I508" s="346">
        <v>14286.0</v>
      </c>
      <c r="J508" s="353" t="s">
        <v>1785</v>
      </c>
      <c r="K508" s="321">
        <v>350000.0</v>
      </c>
      <c r="L508" s="322">
        <v>100000.0</v>
      </c>
      <c r="M508" s="353" t="s">
        <v>1785</v>
      </c>
      <c r="N508" s="321">
        <v>350000.0</v>
      </c>
      <c r="O508" s="322">
        <v>100000.0</v>
      </c>
      <c r="P508" s="353" t="s">
        <v>1785</v>
      </c>
      <c r="Q508" s="321">
        <v>350000.0</v>
      </c>
      <c r="R508" s="322">
        <v>100000.0</v>
      </c>
      <c r="S508" s="353" t="s">
        <v>1785</v>
      </c>
      <c r="T508" s="321">
        <v>350000.0</v>
      </c>
      <c r="U508" s="322">
        <v>100000.0</v>
      </c>
      <c r="V508" s="353" t="s">
        <v>1785</v>
      </c>
      <c r="W508" s="321">
        <v>350000.0</v>
      </c>
      <c r="X508" s="322">
        <v>100000.0</v>
      </c>
      <c r="Y508" s="353" t="s">
        <v>2281</v>
      </c>
      <c r="Z508" s="321">
        <v>270968.0</v>
      </c>
      <c r="AA508" s="322">
        <v>77419.0</v>
      </c>
      <c r="AB508" s="341" t="s">
        <v>37</v>
      </c>
      <c r="AC508" s="321"/>
      <c r="AD508" s="322"/>
      <c r="AE508" s="341" t="s">
        <v>37</v>
      </c>
      <c r="AF508" s="321"/>
      <c r="AG508" s="322"/>
      <c r="AH508" s="341" t="s">
        <v>37</v>
      </c>
      <c r="AI508" s="321"/>
      <c r="AJ508" s="322"/>
      <c r="AK508" s="341" t="s">
        <v>37</v>
      </c>
      <c r="AL508" s="321"/>
      <c r="AM508" s="322"/>
      <c r="AN508" s="316" t="s">
        <v>828</v>
      </c>
      <c r="AO508" s="316"/>
      <c r="AP508" s="316"/>
      <c r="AQ508" s="316"/>
      <c r="AR508" s="316"/>
      <c r="AS508" s="316"/>
      <c r="AT508" s="316"/>
      <c r="AU508" s="316"/>
      <c r="AV508" s="316"/>
      <c r="AW508" s="316"/>
      <c r="AX508" s="316"/>
      <c r="AY508" s="316"/>
      <c r="AZ508" s="316"/>
      <c r="BA508" s="316"/>
      <c r="BB508" s="316"/>
      <c r="BC508" s="316"/>
      <c r="BD508" s="316"/>
      <c r="BE508" s="316"/>
      <c r="BF508" s="316"/>
      <c r="BG508" s="316"/>
      <c r="BH508" s="316"/>
      <c r="BI508" s="316"/>
      <c r="BJ508" s="316"/>
      <c r="BK508" s="316"/>
      <c r="BL508" s="316"/>
      <c r="BM508" s="316"/>
      <c r="BN508" s="316"/>
    </row>
    <row r="509">
      <c r="A509" s="303" t="s">
        <v>822</v>
      </c>
      <c r="B509" s="384" t="s">
        <v>822</v>
      </c>
      <c r="C509" s="325" t="s">
        <v>842</v>
      </c>
      <c r="D509" s="341" t="s">
        <v>1788</v>
      </c>
      <c r="E509" s="348">
        <v>250000.0</v>
      </c>
      <c r="F509" s="346">
        <f>100000+25000</f>
        <v>125000</v>
      </c>
      <c r="G509" s="341" t="s">
        <v>1788</v>
      </c>
      <c r="H509" s="348">
        <v>250000.0</v>
      </c>
      <c r="I509" s="346">
        <f>100000+15000</f>
        <v>115000</v>
      </c>
      <c r="J509" s="341" t="s">
        <v>1788</v>
      </c>
      <c r="K509" s="348">
        <v>330000.0</v>
      </c>
      <c r="L509" s="346">
        <v>100000.0</v>
      </c>
      <c r="M509" s="341" t="s">
        <v>1788</v>
      </c>
      <c r="N509" s="348">
        <v>330000.0</v>
      </c>
      <c r="O509" s="346">
        <v>100000.0</v>
      </c>
      <c r="P509" s="341" t="s">
        <v>1788</v>
      </c>
      <c r="Q509" s="348">
        <v>330000.0</v>
      </c>
      <c r="R509" s="346">
        <v>100000.0</v>
      </c>
      <c r="S509" s="341" t="s">
        <v>1788</v>
      </c>
      <c r="T509" s="348">
        <v>330000.0</v>
      </c>
      <c r="U509" s="346">
        <v>100000.0</v>
      </c>
      <c r="V509" s="341" t="s">
        <v>1788</v>
      </c>
      <c r="W509" s="348">
        <v>330000.0</v>
      </c>
      <c r="X509" s="346">
        <v>100000.0</v>
      </c>
      <c r="Y509" s="341" t="s">
        <v>1788</v>
      </c>
      <c r="Z509" s="348">
        <v>330000.0</v>
      </c>
      <c r="AA509" s="346">
        <v>100000.0</v>
      </c>
      <c r="AB509" s="341" t="s">
        <v>1788</v>
      </c>
      <c r="AC509" s="348">
        <v>330000.0</v>
      </c>
      <c r="AD509" s="346">
        <v>100000.0</v>
      </c>
      <c r="AE509" s="341" t="s">
        <v>1788</v>
      </c>
      <c r="AF509" s="348">
        <v>330000.0</v>
      </c>
      <c r="AG509" s="346">
        <v>100000.0</v>
      </c>
      <c r="AH509" s="341" t="s">
        <v>1788</v>
      </c>
      <c r="AI509" s="348">
        <v>330000.0</v>
      </c>
      <c r="AJ509" s="346">
        <v>100000.0</v>
      </c>
      <c r="AK509" s="341" t="s">
        <v>1788</v>
      </c>
      <c r="AL509" s="348">
        <v>330000.0</v>
      </c>
      <c r="AM509" s="346">
        <v>100000.0</v>
      </c>
      <c r="AN509" s="316" t="s">
        <v>828</v>
      </c>
      <c r="AO509" s="316"/>
      <c r="AP509" s="316"/>
      <c r="AQ509" s="316"/>
      <c r="AR509" s="316"/>
      <c r="AS509" s="316"/>
      <c r="AT509" s="316"/>
      <c r="AU509" s="316"/>
      <c r="AV509" s="316"/>
      <c r="AW509" s="316"/>
      <c r="AX509" s="316"/>
      <c r="AY509" s="316"/>
      <c r="AZ509" s="316"/>
      <c r="BA509" s="316"/>
      <c r="BB509" s="316"/>
      <c r="BC509" s="316"/>
      <c r="BD509" s="316"/>
      <c r="BE509" s="316"/>
      <c r="BF509" s="316"/>
      <c r="BG509" s="316"/>
      <c r="BH509" s="316"/>
      <c r="BI509" s="316"/>
      <c r="BJ509" s="316"/>
      <c r="BK509" s="316"/>
      <c r="BL509" s="316"/>
      <c r="BM509" s="316"/>
      <c r="BN509" s="316"/>
    </row>
    <row r="510">
      <c r="A510" s="303" t="s">
        <v>822</v>
      </c>
      <c r="B510" s="304"/>
      <c r="C510" s="305" t="s">
        <v>42</v>
      </c>
      <c r="D510" s="320"/>
      <c r="E510" s="323">
        <f t="shared" ref="E510:F510" si="685">SUM(E505:E509)</f>
        <v>1030000</v>
      </c>
      <c r="F510" s="324">
        <f t="shared" si="685"/>
        <v>355000</v>
      </c>
      <c r="G510" s="326"/>
      <c r="H510" s="323">
        <f t="shared" ref="H510:I510" si="686">SUM(H505:H509)</f>
        <v>1040714</v>
      </c>
      <c r="I510" s="324">
        <f t="shared" si="686"/>
        <v>334286</v>
      </c>
      <c r="J510" s="326"/>
      <c r="K510" s="323">
        <f t="shared" ref="K510:L510" si="687">SUM(K505:K509)</f>
        <v>2374839</v>
      </c>
      <c r="L510" s="324">
        <f t="shared" si="687"/>
        <v>496774</v>
      </c>
      <c r="M510" s="326"/>
      <c r="N510" s="323">
        <f t="shared" ref="N510:O510" si="688">SUM(N505:N509)</f>
        <v>1890000</v>
      </c>
      <c r="O510" s="324">
        <f t="shared" si="688"/>
        <v>500000</v>
      </c>
      <c r="P510" s="326"/>
      <c r="Q510" s="323">
        <f t="shared" ref="Q510:R510" si="689">SUM(Q505:Q509)</f>
        <v>1890000</v>
      </c>
      <c r="R510" s="324">
        <f t="shared" si="689"/>
        <v>500000</v>
      </c>
      <c r="S510" s="326"/>
      <c r="T510" s="323">
        <f t="shared" ref="T510:U510" si="690">SUM(T505:T509)</f>
        <v>1890000</v>
      </c>
      <c r="U510" s="324">
        <f t="shared" si="690"/>
        <v>500000</v>
      </c>
      <c r="V510" s="326"/>
      <c r="W510" s="323">
        <f t="shared" ref="W510:X510" si="691">SUM(W505:W509)</f>
        <v>1890000</v>
      </c>
      <c r="X510" s="324">
        <f t="shared" si="691"/>
        <v>500000</v>
      </c>
      <c r="Y510" s="326"/>
      <c r="Z510" s="323">
        <f t="shared" ref="Z510:AA510" si="692">SUM(Z505:Z509)</f>
        <v>1440968</v>
      </c>
      <c r="AA510" s="324">
        <f t="shared" si="692"/>
        <v>377419</v>
      </c>
      <c r="AB510" s="326"/>
      <c r="AC510" s="323">
        <f t="shared" ref="AC510:AD510" si="693">SUM(AC505:AC509)</f>
        <v>1170000</v>
      </c>
      <c r="AD510" s="324">
        <f t="shared" si="693"/>
        <v>300000</v>
      </c>
      <c r="AE510" s="326"/>
      <c r="AF510" s="323">
        <f t="shared" ref="AF510:AG510" si="694">SUM(AF505:AF509)</f>
        <v>1170000</v>
      </c>
      <c r="AG510" s="324">
        <f t="shared" si="694"/>
        <v>300000</v>
      </c>
      <c r="AH510" s="326"/>
      <c r="AI510" s="323">
        <f t="shared" ref="AI510:AJ510" si="695">SUM(AI505:AI509)</f>
        <v>1170000</v>
      </c>
      <c r="AJ510" s="324">
        <f t="shared" si="695"/>
        <v>300000</v>
      </c>
      <c r="AK510" s="326"/>
      <c r="AL510" s="323">
        <f t="shared" ref="AL510:AM510" si="696">SUM(AL505:AL509)</f>
        <v>1170000</v>
      </c>
      <c r="AM510" s="324">
        <f t="shared" si="696"/>
        <v>300000</v>
      </c>
      <c r="AN510" s="316" t="s">
        <v>828</v>
      </c>
      <c r="AO510" s="316"/>
      <c r="AP510" s="316"/>
      <c r="AQ510" s="316"/>
      <c r="AR510" s="316"/>
      <c r="AS510" s="316"/>
      <c r="AT510" s="316"/>
      <c r="AU510" s="316"/>
      <c r="AV510" s="316"/>
      <c r="AW510" s="316"/>
      <c r="AX510" s="316"/>
      <c r="AY510" s="316"/>
      <c r="AZ510" s="316"/>
      <c r="BA510" s="316"/>
      <c r="BB510" s="316"/>
      <c r="BC510" s="316"/>
      <c r="BD510" s="316"/>
      <c r="BE510" s="316"/>
      <c r="BF510" s="316"/>
      <c r="BG510" s="316"/>
      <c r="BH510" s="316"/>
      <c r="BI510" s="316"/>
      <c r="BJ510" s="316"/>
      <c r="BK510" s="316"/>
      <c r="BL510" s="316"/>
      <c r="BM510" s="316"/>
      <c r="BN510" s="316"/>
    </row>
    <row r="511" collapsed="1">
      <c r="A511" s="303" t="s">
        <v>822</v>
      </c>
      <c r="B511" s="304"/>
      <c r="C511" s="325" t="s">
        <v>43</v>
      </c>
      <c r="D511" s="326"/>
      <c r="E511" s="321"/>
      <c r="F511" s="324"/>
      <c r="G511" s="326"/>
      <c r="H511" s="321"/>
      <c r="I511" s="324"/>
      <c r="J511" s="326"/>
      <c r="K511" s="321"/>
      <c r="L511" s="324"/>
      <c r="M511" s="326"/>
      <c r="N511" s="321"/>
      <c r="O511" s="324"/>
      <c r="P511" s="326"/>
      <c r="Q511" s="321"/>
      <c r="R511" s="324"/>
      <c r="S511" s="326"/>
      <c r="T511" s="321"/>
      <c r="U511" s="324"/>
      <c r="V511" s="326"/>
      <c r="W511" s="321"/>
      <c r="X511" s="324"/>
      <c r="Y511" s="326"/>
      <c r="Z511" s="321"/>
      <c r="AA511" s="324"/>
      <c r="AB511" s="326"/>
      <c r="AC511" s="321"/>
      <c r="AD511" s="324"/>
      <c r="AE511" s="326"/>
      <c r="AF511" s="321"/>
      <c r="AG511" s="324"/>
      <c r="AH511" s="326"/>
      <c r="AI511" s="321"/>
      <c r="AJ511" s="324"/>
      <c r="AK511" s="326"/>
      <c r="AL511" s="321"/>
      <c r="AM511" s="324"/>
      <c r="AN511" s="316" t="s">
        <v>828</v>
      </c>
      <c r="AO511" s="316"/>
      <c r="AP511" s="316"/>
      <c r="AQ511" s="316"/>
      <c r="AR511" s="316"/>
      <c r="AS511" s="316"/>
      <c r="AT511" s="316"/>
      <c r="AU511" s="316"/>
      <c r="AV511" s="316"/>
      <c r="AW511" s="316"/>
      <c r="AX511" s="316"/>
      <c r="AY511" s="316"/>
      <c r="AZ511" s="316"/>
      <c r="BA511" s="316"/>
      <c r="BB511" s="316"/>
      <c r="BC511" s="316"/>
      <c r="BD511" s="316"/>
      <c r="BE511" s="316"/>
      <c r="BF511" s="316"/>
      <c r="BG511" s="316"/>
      <c r="BH511" s="316"/>
      <c r="BI511" s="316"/>
      <c r="BJ511" s="316"/>
      <c r="BK511" s="316"/>
      <c r="BL511" s="316"/>
      <c r="BM511" s="316"/>
      <c r="BN511" s="316"/>
    </row>
    <row r="512" hidden="1" outlineLevel="1">
      <c r="A512" s="303" t="s">
        <v>822</v>
      </c>
      <c r="B512" s="304"/>
      <c r="C512" s="325" t="s">
        <v>45</v>
      </c>
      <c r="D512" s="326"/>
      <c r="E512" s="321"/>
      <c r="F512" s="322"/>
      <c r="G512" s="326"/>
      <c r="H512" s="321"/>
      <c r="I512" s="322"/>
      <c r="J512" s="326"/>
      <c r="K512" s="321"/>
      <c r="L512" s="322"/>
      <c r="M512" s="326"/>
      <c r="N512" s="321"/>
      <c r="O512" s="322"/>
      <c r="P512" s="326"/>
      <c r="Q512" s="321"/>
      <c r="R512" s="322"/>
      <c r="S512" s="326"/>
      <c r="T512" s="321"/>
      <c r="U512" s="322"/>
      <c r="V512" s="326"/>
      <c r="W512" s="321"/>
      <c r="X512" s="322"/>
      <c r="Y512" s="326"/>
      <c r="Z512" s="321"/>
      <c r="AA512" s="322"/>
      <c r="AB512" s="326"/>
      <c r="AC512" s="321"/>
      <c r="AD512" s="322"/>
      <c r="AE512" s="326"/>
      <c r="AF512" s="321"/>
      <c r="AG512" s="322"/>
      <c r="AH512" s="326"/>
      <c r="AI512" s="321"/>
      <c r="AJ512" s="322"/>
      <c r="AK512" s="326"/>
      <c r="AL512" s="321"/>
      <c r="AM512" s="322"/>
      <c r="AN512" s="316" t="s">
        <v>828</v>
      </c>
      <c r="AO512" s="316"/>
      <c r="AP512" s="316"/>
      <c r="AQ512" s="316"/>
      <c r="AR512" s="316"/>
      <c r="AS512" s="316"/>
      <c r="AT512" s="316"/>
      <c r="AU512" s="316"/>
      <c r="AV512" s="316"/>
      <c r="AW512" s="316"/>
      <c r="AX512" s="316"/>
      <c r="AY512" s="316"/>
      <c r="AZ512" s="316"/>
      <c r="BA512" s="316"/>
      <c r="BB512" s="316"/>
      <c r="BC512" s="316"/>
      <c r="BD512" s="316"/>
      <c r="BE512" s="316"/>
      <c r="BF512" s="316"/>
      <c r="BG512" s="316"/>
      <c r="BH512" s="316"/>
      <c r="BI512" s="316"/>
      <c r="BJ512" s="316"/>
      <c r="BK512" s="316"/>
      <c r="BL512" s="316"/>
      <c r="BM512" s="316"/>
      <c r="BN512" s="316"/>
    </row>
    <row r="513" hidden="1" outlineLevel="1">
      <c r="A513" s="303" t="s">
        <v>822</v>
      </c>
      <c r="B513" s="317" t="s">
        <v>846</v>
      </c>
      <c r="C513" s="325" t="s">
        <v>303</v>
      </c>
      <c r="D513" s="326"/>
      <c r="E513" s="321"/>
      <c r="F513" s="322">
        <v>27990.0</v>
      </c>
      <c r="G513" s="326"/>
      <c r="H513" s="321"/>
      <c r="I513" s="322">
        <v>24810.0</v>
      </c>
      <c r="J513" s="326" t="s">
        <v>2039</v>
      </c>
      <c r="K513" s="321"/>
      <c r="L513" s="322">
        <v>30000.0</v>
      </c>
      <c r="M513" s="326"/>
      <c r="N513" s="321"/>
      <c r="O513" s="322"/>
      <c r="P513" s="326"/>
      <c r="Q513" s="321"/>
      <c r="R513" s="322"/>
      <c r="S513" s="326"/>
      <c r="T513" s="321"/>
      <c r="U513" s="322"/>
      <c r="V513" s="326"/>
      <c r="W513" s="321"/>
      <c r="X513" s="322"/>
      <c r="Y513" s="326"/>
      <c r="Z513" s="321"/>
      <c r="AA513" s="322"/>
      <c r="AB513" s="326"/>
      <c r="AC513" s="321"/>
      <c r="AD513" s="322"/>
      <c r="AE513" s="326"/>
      <c r="AF513" s="321"/>
      <c r="AG513" s="322"/>
      <c r="AH513" s="326"/>
      <c r="AI513" s="321"/>
      <c r="AJ513" s="322"/>
      <c r="AK513" s="326"/>
      <c r="AL513" s="321"/>
      <c r="AM513" s="322"/>
      <c r="AN513" s="316" t="s">
        <v>828</v>
      </c>
      <c r="AO513" s="316"/>
      <c r="AP513" s="316"/>
      <c r="AQ513" s="316"/>
      <c r="AR513" s="316"/>
      <c r="AS513" s="316"/>
      <c r="AT513" s="316"/>
      <c r="AU513" s="316"/>
      <c r="AV513" s="316"/>
      <c r="AW513" s="316"/>
      <c r="AX513" s="316"/>
      <c r="AY513" s="316"/>
      <c r="AZ513" s="316"/>
      <c r="BA513" s="316"/>
      <c r="BB513" s="316"/>
      <c r="BC513" s="316"/>
      <c r="BD513" s="316"/>
      <c r="BE513" s="316"/>
      <c r="BF513" s="316"/>
      <c r="BG513" s="316"/>
      <c r="BH513" s="316"/>
      <c r="BI513" s="316"/>
      <c r="BJ513" s="316"/>
      <c r="BK513" s="316"/>
      <c r="BL513" s="316"/>
      <c r="BM513" s="316"/>
      <c r="BN513" s="316"/>
    </row>
    <row r="514" hidden="1" outlineLevel="1">
      <c r="A514" s="303" t="s">
        <v>822</v>
      </c>
      <c r="B514" s="317" t="s">
        <v>847</v>
      </c>
      <c r="C514" s="325" t="s">
        <v>261</v>
      </c>
      <c r="D514" s="326"/>
      <c r="E514" s="321"/>
      <c r="F514" s="322">
        <v>195740.0</v>
      </c>
      <c r="G514" s="326"/>
      <c r="H514" s="321"/>
      <c r="I514" s="322">
        <v>254180.0</v>
      </c>
      <c r="J514" s="326"/>
      <c r="K514" s="321"/>
      <c r="L514" s="322">
        <v>202580.0</v>
      </c>
      <c r="M514" s="326"/>
      <c r="N514" s="321"/>
      <c r="O514" s="322"/>
      <c r="P514" s="326"/>
      <c r="Q514" s="321"/>
      <c r="R514" s="322"/>
      <c r="S514" s="326"/>
      <c r="T514" s="321"/>
      <c r="U514" s="322"/>
      <c r="V514" s="326"/>
      <c r="W514" s="321"/>
      <c r="X514" s="322"/>
      <c r="Y514" s="326"/>
      <c r="Z514" s="321"/>
      <c r="AA514" s="322"/>
      <c r="AB514" s="326"/>
      <c r="AC514" s="321"/>
      <c r="AD514" s="322"/>
      <c r="AE514" s="326"/>
      <c r="AF514" s="321"/>
      <c r="AG514" s="322"/>
      <c r="AH514" s="326"/>
      <c r="AI514" s="321"/>
      <c r="AJ514" s="322"/>
      <c r="AK514" s="326"/>
      <c r="AL514" s="321"/>
      <c r="AM514" s="322"/>
      <c r="AN514" s="316" t="s">
        <v>828</v>
      </c>
      <c r="AO514" s="316"/>
      <c r="AP514" s="316"/>
      <c r="AQ514" s="316"/>
      <c r="AR514" s="316"/>
      <c r="AS514" s="316"/>
      <c r="AT514" s="316"/>
      <c r="AU514" s="316"/>
      <c r="AV514" s="316"/>
      <c r="AW514" s="316"/>
      <c r="AX514" s="316"/>
      <c r="AY514" s="316"/>
      <c r="AZ514" s="316"/>
      <c r="BA514" s="316"/>
      <c r="BB514" s="316"/>
      <c r="BC514" s="316"/>
      <c r="BD514" s="316"/>
      <c r="BE514" s="316"/>
      <c r="BF514" s="316"/>
      <c r="BG514" s="316"/>
      <c r="BH514" s="316"/>
      <c r="BI514" s="316"/>
      <c r="BJ514" s="316"/>
      <c r="BK514" s="316"/>
      <c r="BL514" s="316"/>
      <c r="BM514" s="316"/>
      <c r="BN514" s="316"/>
    </row>
    <row r="515" hidden="1" outlineLevel="1">
      <c r="A515" s="303" t="s">
        <v>822</v>
      </c>
      <c r="B515" s="304"/>
      <c r="C515" s="325" t="s">
        <v>51</v>
      </c>
      <c r="D515" s="326"/>
      <c r="E515" s="321"/>
      <c r="F515" s="322">
        <v>30000.0</v>
      </c>
      <c r="G515" s="326"/>
      <c r="H515" s="321"/>
      <c r="I515" s="322">
        <v>30000.0</v>
      </c>
      <c r="J515" s="326"/>
      <c r="K515" s="321"/>
      <c r="L515" s="322">
        <v>30000.0</v>
      </c>
      <c r="M515" s="326"/>
      <c r="N515" s="321"/>
      <c r="O515" s="322">
        <v>30000.0</v>
      </c>
      <c r="P515" s="326"/>
      <c r="Q515" s="321"/>
      <c r="R515" s="322"/>
      <c r="S515" s="326"/>
      <c r="T515" s="321"/>
      <c r="U515" s="322"/>
      <c r="V515" s="326"/>
      <c r="W515" s="321"/>
      <c r="X515" s="322"/>
      <c r="Y515" s="326"/>
      <c r="Z515" s="321"/>
      <c r="AA515" s="322"/>
      <c r="AB515" s="326"/>
      <c r="AC515" s="321"/>
      <c r="AD515" s="322"/>
      <c r="AE515" s="326"/>
      <c r="AF515" s="321"/>
      <c r="AG515" s="322"/>
      <c r="AH515" s="326"/>
      <c r="AI515" s="321"/>
      <c r="AJ515" s="322"/>
      <c r="AK515" s="326"/>
      <c r="AL515" s="321"/>
      <c r="AM515" s="322"/>
      <c r="AN515" s="316" t="s">
        <v>828</v>
      </c>
      <c r="AO515" s="316"/>
      <c r="AP515" s="316"/>
      <c r="AQ515" s="316"/>
      <c r="AR515" s="316"/>
      <c r="AS515" s="316"/>
      <c r="AT515" s="316"/>
      <c r="AU515" s="316"/>
      <c r="AV515" s="316"/>
      <c r="AW515" s="316"/>
      <c r="AX515" s="316"/>
      <c r="AY515" s="316"/>
      <c r="AZ515" s="316"/>
      <c r="BA515" s="316"/>
      <c r="BB515" s="316"/>
      <c r="BC515" s="316"/>
      <c r="BD515" s="316"/>
      <c r="BE515" s="316"/>
      <c r="BF515" s="316"/>
      <c r="BG515" s="316"/>
      <c r="BH515" s="316"/>
      <c r="BI515" s="316"/>
      <c r="BJ515" s="316"/>
      <c r="BK515" s="316"/>
      <c r="BL515" s="316"/>
      <c r="BM515" s="316"/>
      <c r="BN515" s="316"/>
    </row>
    <row r="516" hidden="1" outlineLevel="1">
      <c r="A516" s="303" t="s">
        <v>822</v>
      </c>
      <c r="B516" s="304"/>
      <c r="C516" s="325" t="s">
        <v>52</v>
      </c>
      <c r="D516" s="326"/>
      <c r="E516" s="321"/>
      <c r="F516" s="322">
        <v>30000.0</v>
      </c>
      <c r="G516" s="326"/>
      <c r="H516" s="321"/>
      <c r="I516" s="322">
        <v>30000.0</v>
      </c>
      <c r="J516" s="326"/>
      <c r="K516" s="321"/>
      <c r="L516" s="322">
        <v>30000.0</v>
      </c>
      <c r="M516" s="326"/>
      <c r="N516" s="321"/>
      <c r="O516" s="322">
        <v>30000.0</v>
      </c>
      <c r="P516" s="326"/>
      <c r="Q516" s="321"/>
      <c r="R516" s="322">
        <v>30000.0</v>
      </c>
      <c r="S516" s="326"/>
      <c r="T516" s="321"/>
      <c r="U516" s="322">
        <v>30000.0</v>
      </c>
      <c r="V516" s="326"/>
      <c r="W516" s="321"/>
      <c r="X516" s="322">
        <v>30000.0</v>
      </c>
      <c r="Y516" s="326"/>
      <c r="Z516" s="321"/>
      <c r="AA516" s="322">
        <v>30000.0</v>
      </c>
      <c r="AB516" s="326"/>
      <c r="AC516" s="321"/>
      <c r="AD516" s="322">
        <v>30000.0</v>
      </c>
      <c r="AE516" s="326"/>
      <c r="AF516" s="321"/>
      <c r="AG516" s="322">
        <v>30000.0</v>
      </c>
      <c r="AH516" s="326"/>
      <c r="AI516" s="321"/>
      <c r="AJ516" s="322">
        <v>30000.0</v>
      </c>
      <c r="AK516" s="326"/>
      <c r="AL516" s="321"/>
      <c r="AM516" s="322">
        <v>30000.0</v>
      </c>
      <c r="AN516" s="316" t="s">
        <v>828</v>
      </c>
      <c r="AO516" s="316"/>
      <c r="AP516" s="316"/>
      <c r="AQ516" s="316"/>
      <c r="AR516" s="316"/>
      <c r="AS516" s="316"/>
      <c r="AT516" s="316"/>
      <c r="AU516" s="316"/>
      <c r="AV516" s="316"/>
      <c r="AW516" s="316"/>
      <c r="AX516" s="316"/>
      <c r="AY516" s="316"/>
      <c r="AZ516" s="316"/>
      <c r="BA516" s="316"/>
      <c r="BB516" s="316"/>
      <c r="BC516" s="316"/>
      <c r="BD516" s="316"/>
      <c r="BE516" s="316"/>
      <c r="BF516" s="316"/>
      <c r="BG516" s="316"/>
      <c r="BH516" s="316"/>
      <c r="BI516" s="316"/>
      <c r="BJ516" s="316"/>
      <c r="BK516" s="316"/>
      <c r="BL516" s="316"/>
      <c r="BM516" s="316"/>
      <c r="BN516" s="316"/>
    </row>
    <row r="517" hidden="1" outlineLevel="1">
      <c r="A517" s="303" t="s">
        <v>822</v>
      </c>
      <c r="B517" s="304"/>
      <c r="C517" s="325" t="s">
        <v>53</v>
      </c>
      <c r="D517" s="326"/>
      <c r="E517" s="321"/>
      <c r="F517" s="322">
        <v>20000.0</v>
      </c>
      <c r="G517" s="326"/>
      <c r="H517" s="321"/>
      <c r="I517" s="322">
        <v>20000.0</v>
      </c>
      <c r="J517" s="326"/>
      <c r="K517" s="321"/>
      <c r="L517" s="322">
        <v>20000.0</v>
      </c>
      <c r="M517" s="326"/>
      <c r="N517" s="321"/>
      <c r="O517" s="322">
        <v>20000.0</v>
      </c>
      <c r="P517" s="326"/>
      <c r="Q517" s="321"/>
      <c r="R517" s="322">
        <v>20000.0</v>
      </c>
      <c r="S517" s="326"/>
      <c r="T517" s="321"/>
      <c r="U517" s="322">
        <v>20000.0</v>
      </c>
      <c r="V517" s="326"/>
      <c r="W517" s="321"/>
      <c r="X517" s="322">
        <v>20000.0</v>
      </c>
      <c r="Y517" s="326"/>
      <c r="Z517" s="321"/>
      <c r="AA517" s="322">
        <v>20000.0</v>
      </c>
      <c r="AB517" s="326"/>
      <c r="AC517" s="321"/>
      <c r="AD517" s="322">
        <v>20000.0</v>
      </c>
      <c r="AE517" s="326"/>
      <c r="AF517" s="321"/>
      <c r="AG517" s="322">
        <v>20000.0</v>
      </c>
      <c r="AH517" s="326"/>
      <c r="AI517" s="321"/>
      <c r="AJ517" s="322">
        <v>20000.0</v>
      </c>
      <c r="AK517" s="326"/>
      <c r="AL517" s="321"/>
      <c r="AM517" s="322">
        <v>20000.0</v>
      </c>
      <c r="AN517" s="316" t="s">
        <v>828</v>
      </c>
      <c r="AO517" s="316"/>
      <c r="AP517" s="316"/>
      <c r="AQ517" s="316"/>
      <c r="AR517" s="316"/>
      <c r="AS517" s="316"/>
      <c r="AT517" s="316"/>
      <c r="AU517" s="316"/>
      <c r="AV517" s="316"/>
      <c r="AW517" s="316"/>
      <c r="AX517" s="316"/>
      <c r="AY517" s="316"/>
      <c r="AZ517" s="316"/>
      <c r="BA517" s="316"/>
      <c r="BB517" s="316"/>
      <c r="BC517" s="316"/>
      <c r="BD517" s="316"/>
      <c r="BE517" s="316"/>
      <c r="BF517" s="316"/>
      <c r="BG517" s="316"/>
      <c r="BH517" s="316"/>
      <c r="BI517" s="316"/>
      <c r="BJ517" s="316"/>
      <c r="BK517" s="316"/>
      <c r="BL517" s="316"/>
      <c r="BM517" s="316"/>
      <c r="BN517" s="316"/>
    </row>
    <row r="518" hidden="1" outlineLevel="1">
      <c r="A518" s="303" t="s">
        <v>822</v>
      </c>
      <c r="B518" s="304"/>
      <c r="C518" s="325" t="s">
        <v>54</v>
      </c>
      <c r="D518" s="327"/>
      <c r="E518" s="321"/>
      <c r="F518" s="322">
        <f>SUMIFS('지출'!$G$3:$G794,'지출'!$J$3:$J794,F$1,'지출'!$C$3:$C794,"아리")</f>
        <v>98010</v>
      </c>
      <c r="G518" s="327"/>
      <c r="H518" s="321"/>
      <c r="I518" s="322">
        <f>SUMIFS('지출'!$G$3:$G794,'지출'!$J$3:$J794,I$1,'지출'!$C$3:$C794,"아리")</f>
        <v>18020</v>
      </c>
      <c r="J518" s="327"/>
      <c r="K518" s="321"/>
      <c r="L518" s="322">
        <f>SUMIFS('지출'!$G$3:$G794,'지출'!$J$3:$J794,L$1,'지출'!$C$3:$C794,"아리")</f>
        <v>49030</v>
      </c>
      <c r="M518" s="327"/>
      <c r="N518" s="321"/>
      <c r="O518" s="322">
        <f>SUMIFS('지출'!$G$3:$G794,'지출'!$J$3:$J794,O$1,'지출'!$C$3:$C794,"아리")</f>
        <v>0</v>
      </c>
      <c r="P518" s="327"/>
      <c r="Q518" s="321"/>
      <c r="R518" s="322">
        <f>SUMIFS('지출'!$G$3:$G794,'지출'!$J$3:$J794,R$1,'지출'!$C$3:$C794,"아리")</f>
        <v>0</v>
      </c>
      <c r="S518" s="327"/>
      <c r="T518" s="321"/>
      <c r="U518" s="322">
        <f>SUMIFS('지출'!$G$3:$G794,'지출'!$J$3:$J794,U$1,'지출'!$C$3:$C794,"아리")</f>
        <v>0</v>
      </c>
      <c r="V518" s="327"/>
      <c r="W518" s="321"/>
      <c r="X518" s="322">
        <f>SUMIFS('지출'!$G$3:$G794,'지출'!$J$3:$J794,X$1,'지출'!$C$3:$C794,"아리")</f>
        <v>0</v>
      </c>
      <c r="Y518" s="327"/>
      <c r="Z518" s="321"/>
      <c r="AA518" s="322">
        <f>SUMIFS('지출'!$G$3:$G794,'지출'!$J$3:$J794,AA$1,'지출'!$C$3:$C794,"아리")</f>
        <v>0</v>
      </c>
      <c r="AB518" s="327"/>
      <c r="AC518" s="321"/>
      <c r="AD518" s="322">
        <f>SUMIFS('지출'!$G$3:$G794,'지출'!$J$3:$J794,AD$1,'지출'!$C$3:$C794,"아리")</f>
        <v>0</v>
      </c>
      <c r="AE518" s="327"/>
      <c r="AF518" s="321"/>
      <c r="AG518" s="322">
        <f>SUMIFS('지출'!$G$3:$G794,'지출'!$J$3:$J794,AG$1,'지출'!$C$3:$C794,"아리")</f>
        <v>0</v>
      </c>
      <c r="AH518" s="327"/>
      <c r="AI518" s="321"/>
      <c r="AJ518" s="322">
        <f>SUMIFS('지출'!$G$3:$G794,'지출'!$J$3:$J794,AJ$1,'지출'!$C$3:$C794,"아리")</f>
        <v>0</v>
      </c>
      <c r="AK518" s="327"/>
      <c r="AL518" s="321"/>
      <c r="AM518" s="322">
        <f>SUMIFS('지출'!$G$3:$G794,'지출'!$J$3:$J794,AM$1,'지출'!$C$3:$C794,"아리")</f>
        <v>0</v>
      </c>
      <c r="AN518" s="316" t="s">
        <v>828</v>
      </c>
      <c r="AO518" s="316"/>
      <c r="AP518" s="316"/>
      <c r="AQ518" s="316"/>
      <c r="AR518" s="316"/>
      <c r="AS518" s="316"/>
      <c r="AT518" s="316"/>
      <c r="AU518" s="316"/>
      <c r="AV518" s="316"/>
      <c r="AW518" s="316"/>
      <c r="AX518" s="316"/>
      <c r="AY518" s="316"/>
      <c r="AZ518" s="316"/>
      <c r="BA518" s="316"/>
      <c r="BB518" s="316"/>
      <c r="BC518" s="316"/>
      <c r="BD518" s="316"/>
      <c r="BE518" s="316"/>
      <c r="BF518" s="316"/>
      <c r="BG518" s="316"/>
      <c r="BH518" s="316"/>
      <c r="BI518" s="316"/>
      <c r="BJ518" s="316"/>
      <c r="BK518" s="316"/>
      <c r="BL518" s="316"/>
      <c r="BM518" s="316"/>
      <c r="BN518" s="316"/>
    </row>
    <row r="519" hidden="1" outlineLevel="1">
      <c r="A519" s="303" t="s">
        <v>822</v>
      </c>
      <c r="B519" s="304"/>
      <c r="C519" s="325" t="s">
        <v>56</v>
      </c>
      <c r="D519" s="320"/>
      <c r="E519" s="323">
        <f t="shared" ref="E519:F519" si="697">E510-(SUM(E511:E518))</f>
        <v>1030000</v>
      </c>
      <c r="F519" s="324">
        <f t="shared" si="697"/>
        <v>-46740</v>
      </c>
      <c r="G519" s="320"/>
      <c r="H519" s="323">
        <f t="shared" ref="H519:I519" si="698">H510-(SUM(H511:H518))</f>
        <v>1040714</v>
      </c>
      <c r="I519" s="324">
        <f t="shared" si="698"/>
        <v>-42724</v>
      </c>
      <c r="J519" s="320"/>
      <c r="K519" s="323">
        <f t="shared" ref="K519:L519" si="699">K510-(SUM(K511:K518))</f>
        <v>2374839</v>
      </c>
      <c r="L519" s="324">
        <f t="shared" si="699"/>
        <v>135164</v>
      </c>
      <c r="M519" s="320"/>
      <c r="N519" s="323">
        <f t="shared" ref="N519:O519" si="700">N510-(SUM(N511:N518))</f>
        <v>1890000</v>
      </c>
      <c r="O519" s="324">
        <f t="shared" si="700"/>
        <v>420000</v>
      </c>
      <c r="P519" s="320"/>
      <c r="Q519" s="323">
        <f t="shared" ref="Q519:R519" si="701">Q510-(SUM(Q511:Q518))</f>
        <v>1890000</v>
      </c>
      <c r="R519" s="324">
        <f t="shared" si="701"/>
        <v>450000</v>
      </c>
      <c r="S519" s="320"/>
      <c r="T519" s="323">
        <f t="shared" ref="T519:U519" si="702">T510-(SUM(T511:T518))</f>
        <v>1890000</v>
      </c>
      <c r="U519" s="324">
        <f t="shared" si="702"/>
        <v>450000</v>
      </c>
      <c r="V519" s="320"/>
      <c r="W519" s="323">
        <f t="shared" ref="W519:X519" si="703">W510-(SUM(W511:W518))</f>
        <v>1890000</v>
      </c>
      <c r="X519" s="324">
        <f t="shared" si="703"/>
        <v>450000</v>
      </c>
      <c r="Y519" s="320"/>
      <c r="Z519" s="323">
        <f t="shared" ref="Z519:AA519" si="704">Z510-(SUM(Z511:Z518))</f>
        <v>1440968</v>
      </c>
      <c r="AA519" s="324">
        <f t="shared" si="704"/>
        <v>327419</v>
      </c>
      <c r="AB519" s="320"/>
      <c r="AC519" s="323">
        <f t="shared" ref="AC519:AD519" si="705">AC510-(SUM(AC511:AC518))</f>
        <v>1170000</v>
      </c>
      <c r="AD519" s="324">
        <f t="shared" si="705"/>
        <v>250000</v>
      </c>
      <c r="AE519" s="320"/>
      <c r="AF519" s="323">
        <f t="shared" ref="AF519:AG519" si="706">AF510-(SUM(AF511:AF518))</f>
        <v>1170000</v>
      </c>
      <c r="AG519" s="324">
        <f t="shared" si="706"/>
        <v>250000</v>
      </c>
      <c r="AH519" s="320"/>
      <c r="AI519" s="323">
        <f t="shared" ref="AI519:AJ519" si="707">AI510-(SUM(AI511:AI518))</f>
        <v>1170000</v>
      </c>
      <c r="AJ519" s="324">
        <f t="shared" si="707"/>
        <v>250000</v>
      </c>
      <c r="AK519" s="320"/>
      <c r="AL519" s="323">
        <f t="shared" ref="AL519:AM519" si="708">AL510-(SUM(AL511:AL518))</f>
        <v>1170000</v>
      </c>
      <c r="AM519" s="324">
        <f t="shared" si="708"/>
        <v>250000</v>
      </c>
      <c r="AN519" s="316" t="s">
        <v>828</v>
      </c>
      <c r="AO519" s="316"/>
      <c r="AP519" s="316"/>
      <c r="AQ519" s="316"/>
      <c r="AR519" s="316"/>
      <c r="AS519" s="316"/>
      <c r="AT519" s="316"/>
      <c r="AU519" s="316"/>
      <c r="AV519" s="316"/>
      <c r="AW519" s="316"/>
      <c r="AX519" s="316"/>
      <c r="AY519" s="316"/>
      <c r="AZ519" s="316"/>
      <c r="BA519" s="316"/>
      <c r="BB519" s="316"/>
      <c r="BC519" s="316"/>
      <c r="BD519" s="316"/>
      <c r="BE519" s="316"/>
      <c r="BF519" s="316"/>
      <c r="BG519" s="316"/>
      <c r="BH519" s="316"/>
      <c r="BI519" s="316"/>
      <c r="BJ519" s="316"/>
      <c r="BK519" s="316"/>
      <c r="BL519" s="316"/>
      <c r="BM519" s="316"/>
      <c r="BN519" s="316"/>
    </row>
    <row r="520">
      <c r="A520" s="303" t="s">
        <v>822</v>
      </c>
      <c r="B520" s="328">
        <v>0.8</v>
      </c>
      <c r="C520" s="325" t="s">
        <v>26</v>
      </c>
      <c r="D520" s="320"/>
      <c r="E520" s="323">
        <f>E519*$B520</f>
        <v>824000</v>
      </c>
      <c r="F520" s="324"/>
      <c r="G520" s="320"/>
      <c r="H520" s="323">
        <f>H519*$B520</f>
        <v>832571.2</v>
      </c>
      <c r="I520" s="324"/>
      <c r="J520" s="320"/>
      <c r="K520" s="323">
        <f>K519*$B520</f>
        <v>1899871.2</v>
      </c>
      <c r="L520" s="324"/>
      <c r="M520" s="320"/>
      <c r="N520" s="323">
        <f>N519*$B520</f>
        <v>1512000</v>
      </c>
      <c r="O520" s="324"/>
      <c r="P520" s="320"/>
      <c r="Q520" s="323">
        <f>Q519*$B520</f>
        <v>1512000</v>
      </c>
      <c r="R520" s="324"/>
      <c r="S520" s="320"/>
      <c r="T520" s="323">
        <f>T519*$B520</f>
        <v>1512000</v>
      </c>
      <c r="U520" s="324"/>
      <c r="V520" s="320"/>
      <c r="W520" s="323">
        <f>W519*$B520</f>
        <v>1512000</v>
      </c>
      <c r="X520" s="324"/>
      <c r="Y520" s="320"/>
      <c r="Z520" s="323">
        <f>Z519*$B520</f>
        <v>1152774.4</v>
      </c>
      <c r="AA520" s="324"/>
      <c r="AB520" s="320"/>
      <c r="AC520" s="323">
        <f>AC519*$B520</f>
        <v>936000</v>
      </c>
      <c r="AD520" s="324"/>
      <c r="AE520" s="320"/>
      <c r="AF520" s="323">
        <f>AF519*$B520</f>
        <v>936000</v>
      </c>
      <c r="AG520" s="324"/>
      <c r="AH520" s="320"/>
      <c r="AI520" s="323">
        <f>AI519*$B520</f>
        <v>936000</v>
      </c>
      <c r="AJ520" s="324"/>
      <c r="AK520" s="320"/>
      <c r="AL520" s="323">
        <f>AL519*$B520</f>
        <v>936000</v>
      </c>
      <c r="AM520" s="324"/>
      <c r="AN520" s="316" t="s">
        <v>828</v>
      </c>
      <c r="AO520" s="316"/>
      <c r="AP520" s="316"/>
      <c r="AQ520" s="316"/>
      <c r="AR520" s="316"/>
      <c r="AS520" s="316"/>
      <c r="AT520" s="316"/>
      <c r="AU520" s="316"/>
      <c r="AV520" s="316"/>
      <c r="AW520" s="316"/>
      <c r="AX520" s="316"/>
      <c r="AY520" s="316"/>
      <c r="AZ520" s="316"/>
      <c r="BA520" s="316"/>
      <c r="BB520" s="316"/>
      <c r="BC520" s="316"/>
      <c r="BD520" s="316"/>
      <c r="BE520" s="316"/>
      <c r="BF520" s="316"/>
      <c r="BG520" s="316"/>
      <c r="BH520" s="316"/>
      <c r="BI520" s="316"/>
      <c r="BJ520" s="316"/>
      <c r="BK520" s="316"/>
      <c r="BL520" s="316"/>
      <c r="BM520" s="316"/>
      <c r="BN520" s="316"/>
    </row>
    <row r="521">
      <c r="A521" s="303" t="s">
        <v>822</v>
      </c>
      <c r="B521" s="329">
        <v>0.2</v>
      </c>
      <c r="C521" s="330" t="s">
        <v>57</v>
      </c>
      <c r="D521" s="331"/>
      <c r="E521" s="332">
        <f>E519*$B521</f>
        <v>206000</v>
      </c>
      <c r="F521" s="333"/>
      <c r="G521" s="331"/>
      <c r="H521" s="332">
        <f>H519*$B521</f>
        <v>208142.8</v>
      </c>
      <c r="I521" s="333"/>
      <c r="J521" s="331"/>
      <c r="K521" s="332">
        <f>K519*$B521</f>
        <v>474967.8</v>
      </c>
      <c r="L521" s="333"/>
      <c r="M521" s="331"/>
      <c r="N521" s="332">
        <f>N519*$B521</f>
        <v>378000</v>
      </c>
      <c r="O521" s="333"/>
      <c r="P521" s="331"/>
      <c r="Q521" s="332">
        <f>Q519*$B521</f>
        <v>378000</v>
      </c>
      <c r="R521" s="333"/>
      <c r="S521" s="331"/>
      <c r="T521" s="332">
        <f>T519*$B521</f>
        <v>378000</v>
      </c>
      <c r="U521" s="333"/>
      <c r="V521" s="331"/>
      <c r="W521" s="332">
        <f>W519*$B521</f>
        <v>378000</v>
      </c>
      <c r="X521" s="333"/>
      <c r="Y521" s="331"/>
      <c r="Z521" s="332">
        <f>Z519*$B521</f>
        <v>288193.6</v>
      </c>
      <c r="AA521" s="333"/>
      <c r="AB521" s="331"/>
      <c r="AC521" s="332">
        <f>AC519*$B521</f>
        <v>234000</v>
      </c>
      <c r="AD521" s="333"/>
      <c r="AE521" s="331"/>
      <c r="AF521" s="332">
        <f>AF519*$B521</f>
        <v>234000</v>
      </c>
      <c r="AG521" s="333"/>
      <c r="AH521" s="331"/>
      <c r="AI521" s="332">
        <f>AI519*$B521</f>
        <v>234000</v>
      </c>
      <c r="AJ521" s="333"/>
      <c r="AK521" s="331"/>
      <c r="AL521" s="332">
        <f>AL519*$B521</f>
        <v>234000</v>
      </c>
      <c r="AM521" s="333"/>
      <c r="AN521" s="316" t="s">
        <v>828</v>
      </c>
      <c r="AO521" s="316"/>
      <c r="AP521" s="316"/>
      <c r="AQ521" s="316"/>
      <c r="AR521" s="316"/>
      <c r="AS521" s="316"/>
      <c r="AT521" s="316"/>
      <c r="AU521" s="316"/>
      <c r="AV521" s="316"/>
      <c r="AW521" s="316"/>
      <c r="AX521" s="316"/>
      <c r="AY521" s="316"/>
      <c r="AZ521" s="316"/>
      <c r="BA521" s="316"/>
      <c r="BB521" s="316"/>
      <c r="BC521" s="316"/>
      <c r="BD521" s="316"/>
      <c r="BE521" s="316"/>
      <c r="BF521" s="316"/>
      <c r="BG521" s="316"/>
      <c r="BH521" s="316"/>
      <c r="BI521" s="316"/>
      <c r="BJ521" s="316"/>
      <c r="BK521" s="316"/>
      <c r="BL521" s="316"/>
      <c r="BM521" s="316"/>
      <c r="BN521" s="316"/>
    </row>
    <row r="522">
      <c r="A522" s="303" t="s">
        <v>848</v>
      </c>
      <c r="B522" s="384" t="s">
        <v>848</v>
      </c>
      <c r="C522" s="385" t="s">
        <v>849</v>
      </c>
      <c r="D522" s="341" t="s">
        <v>2282</v>
      </c>
      <c r="E522" s="335">
        <v>550000.0</v>
      </c>
      <c r="F522" s="346">
        <v>100000.0</v>
      </c>
      <c r="G522" s="353" t="s">
        <v>2283</v>
      </c>
      <c r="H522" s="335">
        <f>392857+142857</f>
        <v>535714</v>
      </c>
      <c r="I522" s="346">
        <f>71429+28571</f>
        <v>100000</v>
      </c>
      <c r="J522" s="317" t="s">
        <v>1792</v>
      </c>
      <c r="K522" s="321">
        <v>500000.0</v>
      </c>
      <c r="L522" s="324">
        <v>100000.0</v>
      </c>
      <c r="M522" s="317" t="s">
        <v>1792</v>
      </c>
      <c r="N522" s="321">
        <v>500000.0</v>
      </c>
      <c r="O522" s="324">
        <v>100000.0</v>
      </c>
      <c r="P522" s="317" t="s">
        <v>1792</v>
      </c>
      <c r="Q522" s="321">
        <v>500000.0</v>
      </c>
      <c r="R522" s="324">
        <v>100000.0</v>
      </c>
      <c r="S522" s="317" t="s">
        <v>1792</v>
      </c>
      <c r="T522" s="321">
        <v>500000.0</v>
      </c>
      <c r="U522" s="324">
        <v>100000.0</v>
      </c>
      <c r="V522" s="317" t="s">
        <v>1792</v>
      </c>
      <c r="W522" s="321">
        <v>500000.0</v>
      </c>
      <c r="X522" s="324">
        <v>100000.0</v>
      </c>
      <c r="Y522" s="317" t="s">
        <v>1792</v>
      </c>
      <c r="Z522" s="321">
        <v>500000.0</v>
      </c>
      <c r="AA522" s="324">
        <v>100000.0</v>
      </c>
      <c r="AB522" s="317" t="s">
        <v>1792</v>
      </c>
      <c r="AC522" s="321">
        <v>500000.0</v>
      </c>
      <c r="AD522" s="324">
        <v>100000.0</v>
      </c>
      <c r="AE522" s="317" t="s">
        <v>1792</v>
      </c>
      <c r="AF522" s="321">
        <v>500000.0</v>
      </c>
      <c r="AG522" s="324">
        <v>100000.0</v>
      </c>
      <c r="AH522" s="317" t="s">
        <v>1792</v>
      </c>
      <c r="AI522" s="321">
        <v>500000.0</v>
      </c>
      <c r="AJ522" s="324">
        <v>100000.0</v>
      </c>
      <c r="AK522" s="317" t="s">
        <v>1792</v>
      </c>
      <c r="AL522" s="321">
        <v>500000.0</v>
      </c>
      <c r="AM522" s="324">
        <v>100000.0</v>
      </c>
      <c r="AN522" s="316" t="s">
        <v>828</v>
      </c>
      <c r="AO522" s="316"/>
      <c r="AP522" s="316"/>
      <c r="AQ522" s="316"/>
      <c r="AR522" s="316"/>
      <c r="AS522" s="316"/>
      <c r="AT522" s="316"/>
      <c r="AU522" s="316"/>
      <c r="AV522" s="316"/>
      <c r="AW522" s="316"/>
      <c r="AX522" s="316"/>
      <c r="AY522" s="316"/>
      <c r="AZ522" s="316"/>
      <c r="BA522" s="316"/>
      <c r="BB522" s="316"/>
      <c r="BC522" s="316"/>
      <c r="BD522" s="316"/>
      <c r="BE522" s="316"/>
      <c r="BF522" s="316"/>
      <c r="BG522" s="316"/>
      <c r="BH522" s="316"/>
      <c r="BI522" s="316"/>
      <c r="BJ522" s="316"/>
      <c r="BK522" s="316"/>
      <c r="BL522" s="316"/>
      <c r="BM522" s="316"/>
      <c r="BN522" s="316"/>
    </row>
    <row r="523">
      <c r="A523" s="303" t="s">
        <v>848</v>
      </c>
      <c r="B523" s="384" t="s">
        <v>848</v>
      </c>
      <c r="C523" s="385" t="s">
        <v>857</v>
      </c>
      <c r="D523" s="341" t="s">
        <v>2284</v>
      </c>
      <c r="E523" s="335">
        <v>520000.0</v>
      </c>
      <c r="F523" s="346">
        <v>100000.0</v>
      </c>
      <c r="G523" s="353" t="s">
        <v>2285</v>
      </c>
      <c r="H523" s="335">
        <f>520000+134286</f>
        <v>654286</v>
      </c>
      <c r="I523" s="346">
        <f>100000+28571</f>
        <v>128571</v>
      </c>
      <c r="J523" s="317" t="s">
        <v>1798</v>
      </c>
      <c r="K523" s="335">
        <v>470000.0</v>
      </c>
      <c r="L523" s="346">
        <v>100000.0</v>
      </c>
      <c r="M523" s="317" t="s">
        <v>1798</v>
      </c>
      <c r="N523" s="335">
        <v>470000.0</v>
      </c>
      <c r="O523" s="346">
        <v>100000.0</v>
      </c>
      <c r="P523" s="317" t="s">
        <v>1798</v>
      </c>
      <c r="Q523" s="335">
        <v>470000.0</v>
      </c>
      <c r="R523" s="346">
        <v>100000.0</v>
      </c>
      <c r="S523" s="317" t="s">
        <v>1798</v>
      </c>
      <c r="T523" s="335">
        <v>470000.0</v>
      </c>
      <c r="U523" s="346">
        <v>100000.0</v>
      </c>
      <c r="V523" s="317" t="s">
        <v>1798</v>
      </c>
      <c r="W523" s="335">
        <v>470000.0</v>
      </c>
      <c r="X523" s="346">
        <v>100000.0</v>
      </c>
      <c r="Y523" s="317" t="s">
        <v>1798</v>
      </c>
      <c r="Z523" s="335">
        <v>470000.0</v>
      </c>
      <c r="AA523" s="346">
        <v>100000.0</v>
      </c>
      <c r="AB523" s="317" t="s">
        <v>1798</v>
      </c>
      <c r="AC523" s="335">
        <v>470000.0</v>
      </c>
      <c r="AD523" s="346">
        <v>100000.0</v>
      </c>
      <c r="AE523" s="317" t="s">
        <v>1798</v>
      </c>
      <c r="AF523" s="335">
        <v>470000.0</v>
      </c>
      <c r="AG523" s="346">
        <v>100000.0</v>
      </c>
      <c r="AH523" s="317" t="s">
        <v>1798</v>
      </c>
      <c r="AI523" s="335">
        <v>470000.0</v>
      </c>
      <c r="AJ523" s="346">
        <v>100000.0</v>
      </c>
      <c r="AK523" s="317" t="s">
        <v>1798</v>
      </c>
      <c r="AL523" s="335">
        <v>470000.0</v>
      </c>
      <c r="AM523" s="346">
        <v>100000.0</v>
      </c>
      <c r="AN523" s="316" t="s">
        <v>828</v>
      </c>
      <c r="AO523" s="316"/>
      <c r="AP523" s="316"/>
      <c r="AQ523" s="316"/>
      <c r="AR523" s="316"/>
      <c r="AS523" s="316"/>
      <c r="AT523" s="316"/>
      <c r="AU523" s="316"/>
      <c r="AV523" s="316"/>
      <c r="AW523" s="316"/>
      <c r="AX523" s="316"/>
      <c r="AY523" s="316"/>
      <c r="AZ523" s="316"/>
      <c r="BA523" s="316"/>
      <c r="BB523" s="316"/>
      <c r="BC523" s="316"/>
      <c r="BD523" s="316"/>
      <c r="BE523" s="316"/>
      <c r="BF523" s="316"/>
      <c r="BG523" s="316"/>
      <c r="BH523" s="316"/>
      <c r="BI523" s="316"/>
      <c r="BJ523" s="316"/>
      <c r="BK523" s="316"/>
      <c r="BL523" s="316"/>
      <c r="BM523" s="316"/>
      <c r="BN523" s="316"/>
    </row>
    <row r="524">
      <c r="A524" s="303" t="s">
        <v>848</v>
      </c>
      <c r="B524" s="384" t="s">
        <v>848</v>
      </c>
      <c r="C524" s="385" t="s">
        <v>868</v>
      </c>
      <c r="D524" s="341" t="s">
        <v>1802</v>
      </c>
      <c r="E524" s="335">
        <v>470000.0</v>
      </c>
      <c r="F524" s="346">
        <v>100000.0</v>
      </c>
      <c r="G524" s="341" t="s">
        <v>1802</v>
      </c>
      <c r="H524" s="335">
        <v>470000.0</v>
      </c>
      <c r="I524" s="346">
        <v>100000.0</v>
      </c>
      <c r="J524" s="341" t="s">
        <v>1802</v>
      </c>
      <c r="K524" s="335">
        <v>470000.0</v>
      </c>
      <c r="L524" s="346">
        <v>100000.0</v>
      </c>
      <c r="M524" s="341" t="s">
        <v>1802</v>
      </c>
      <c r="N524" s="335">
        <v>470000.0</v>
      </c>
      <c r="O524" s="346">
        <v>100000.0</v>
      </c>
      <c r="P524" s="341" t="s">
        <v>1802</v>
      </c>
      <c r="Q524" s="335">
        <v>470000.0</v>
      </c>
      <c r="R524" s="346">
        <v>100000.0</v>
      </c>
      <c r="S524" s="341" t="s">
        <v>1802</v>
      </c>
      <c r="T524" s="335">
        <v>470000.0</v>
      </c>
      <c r="U524" s="346">
        <v>100000.0</v>
      </c>
      <c r="V524" s="353" t="s">
        <v>2286</v>
      </c>
      <c r="W524" s="335">
        <v>470000.0</v>
      </c>
      <c r="X524" s="346">
        <v>100000.0</v>
      </c>
      <c r="Y524" s="326"/>
      <c r="Z524" s="321"/>
      <c r="AA524" s="322"/>
      <c r="AB524" s="326"/>
      <c r="AC524" s="321"/>
      <c r="AD524" s="322"/>
      <c r="AE524" s="326"/>
      <c r="AF524" s="321"/>
      <c r="AG524" s="322"/>
      <c r="AH524" s="326"/>
      <c r="AI524" s="321"/>
      <c r="AJ524" s="322"/>
      <c r="AK524" s="326"/>
      <c r="AL524" s="321"/>
      <c r="AM524" s="322"/>
      <c r="AN524" s="316" t="s">
        <v>828</v>
      </c>
      <c r="AO524" s="316"/>
      <c r="AP524" s="316"/>
      <c r="AQ524" s="316"/>
      <c r="AR524" s="316"/>
      <c r="AS524" s="316"/>
      <c r="AT524" s="316"/>
      <c r="AU524" s="316"/>
      <c r="AV524" s="316"/>
      <c r="AW524" s="316"/>
      <c r="AX524" s="316"/>
      <c r="AY524" s="316"/>
      <c r="AZ524" s="316"/>
      <c r="BA524" s="316"/>
      <c r="BB524" s="316"/>
      <c r="BC524" s="316"/>
      <c r="BD524" s="316"/>
      <c r="BE524" s="316"/>
      <c r="BF524" s="316"/>
      <c r="BG524" s="316"/>
      <c r="BH524" s="316"/>
      <c r="BI524" s="316"/>
      <c r="BJ524" s="316"/>
      <c r="BK524" s="316"/>
      <c r="BL524" s="316"/>
      <c r="BM524" s="316"/>
      <c r="BN524" s="316"/>
    </row>
    <row r="525">
      <c r="A525" s="303" t="s">
        <v>848</v>
      </c>
      <c r="B525" s="384" t="s">
        <v>848</v>
      </c>
      <c r="C525" s="385" t="s">
        <v>876</v>
      </c>
      <c r="D525" s="341" t="s">
        <v>1806</v>
      </c>
      <c r="E525" s="335">
        <v>436100.0</v>
      </c>
      <c r="F525" s="346">
        <v>100000.0</v>
      </c>
      <c r="G525" s="341" t="s">
        <v>1806</v>
      </c>
      <c r="H525" s="335">
        <v>436100.0</v>
      </c>
      <c r="I525" s="346">
        <v>100000.0</v>
      </c>
      <c r="J525" s="394" t="s">
        <v>1806</v>
      </c>
      <c r="K525" s="335">
        <v>436100.0</v>
      </c>
      <c r="L525" s="346">
        <v>100000.0</v>
      </c>
      <c r="M525" s="394" t="s">
        <v>1806</v>
      </c>
      <c r="N525" s="335">
        <v>436100.0</v>
      </c>
      <c r="O525" s="346">
        <v>100000.0</v>
      </c>
      <c r="P525" s="394" t="s">
        <v>1806</v>
      </c>
      <c r="Q525" s="335">
        <v>436100.0</v>
      </c>
      <c r="R525" s="346">
        <v>100000.0</v>
      </c>
      <c r="S525" s="394" t="s">
        <v>1806</v>
      </c>
      <c r="T525" s="335">
        <v>436100.0</v>
      </c>
      <c r="U525" s="346">
        <v>100000.0</v>
      </c>
      <c r="V525" s="364" t="s">
        <v>2287</v>
      </c>
      <c r="W525" s="335">
        <v>436100.0</v>
      </c>
      <c r="X525" s="346">
        <v>100000.0</v>
      </c>
      <c r="Y525" s="326"/>
      <c r="Z525" s="321"/>
      <c r="AA525" s="322"/>
      <c r="AB525" s="326"/>
      <c r="AC525" s="321"/>
      <c r="AD525" s="322"/>
      <c r="AE525" s="326"/>
      <c r="AF525" s="321"/>
      <c r="AG525" s="322"/>
      <c r="AH525" s="326"/>
      <c r="AI525" s="321"/>
      <c r="AJ525" s="322"/>
      <c r="AK525" s="326"/>
      <c r="AL525" s="321"/>
      <c r="AM525" s="322"/>
      <c r="AN525" s="316" t="s">
        <v>828</v>
      </c>
      <c r="AO525" s="316"/>
      <c r="AP525" s="316"/>
      <c r="AQ525" s="316"/>
      <c r="AR525" s="316"/>
      <c r="AS525" s="316"/>
      <c r="AT525" s="316"/>
      <c r="AU525" s="316"/>
      <c r="AV525" s="316"/>
      <c r="AW525" s="316"/>
      <c r="AX525" s="316"/>
      <c r="AY525" s="316"/>
      <c r="AZ525" s="316"/>
      <c r="BA525" s="316"/>
      <c r="BB525" s="316"/>
      <c r="BC525" s="316"/>
      <c r="BD525" s="316"/>
      <c r="BE525" s="316"/>
      <c r="BF525" s="316"/>
      <c r="BG525" s="316"/>
      <c r="BH525" s="316"/>
      <c r="BI525" s="316"/>
      <c r="BJ525" s="316"/>
      <c r="BK525" s="316"/>
      <c r="BL525" s="316"/>
      <c r="BM525" s="316"/>
      <c r="BN525" s="316"/>
    </row>
    <row r="526">
      <c r="A526" s="303" t="s">
        <v>848</v>
      </c>
      <c r="B526" s="384" t="s">
        <v>848</v>
      </c>
      <c r="C526" s="385" t="s">
        <v>881</v>
      </c>
      <c r="D526" s="341" t="s">
        <v>37</v>
      </c>
      <c r="E526" s="350"/>
      <c r="F526" s="351"/>
      <c r="G526" s="341" t="s">
        <v>37</v>
      </c>
      <c r="H526" s="350"/>
      <c r="I526" s="351"/>
      <c r="J526" s="353" t="s">
        <v>2288</v>
      </c>
      <c r="K526" s="348">
        <v>420000.0</v>
      </c>
      <c r="L526" s="346">
        <v>100000.0</v>
      </c>
      <c r="M526" s="353" t="s">
        <v>1810</v>
      </c>
      <c r="N526" s="348">
        <v>420000.0</v>
      </c>
      <c r="O526" s="346">
        <v>100000.0</v>
      </c>
      <c r="P526" s="353" t="s">
        <v>1810</v>
      </c>
      <c r="Q526" s="348">
        <v>420000.0</v>
      </c>
      <c r="R526" s="346">
        <v>100000.0</v>
      </c>
      <c r="S526" s="353" t="s">
        <v>1810</v>
      </c>
      <c r="T526" s="348">
        <v>420000.0</v>
      </c>
      <c r="U526" s="346">
        <v>100000.0</v>
      </c>
      <c r="V526" s="353" t="s">
        <v>1810</v>
      </c>
      <c r="W526" s="348">
        <v>420000.0</v>
      </c>
      <c r="X526" s="346">
        <v>100000.0</v>
      </c>
      <c r="Y526" s="353" t="s">
        <v>2289</v>
      </c>
      <c r="Z526" s="348">
        <v>338710.0</v>
      </c>
      <c r="AA526" s="345">
        <v>80645.0</v>
      </c>
      <c r="AB526" s="341" t="s">
        <v>37</v>
      </c>
      <c r="AC526" s="350"/>
      <c r="AD526" s="351"/>
      <c r="AE526" s="341" t="s">
        <v>37</v>
      </c>
      <c r="AF526" s="350"/>
      <c r="AG526" s="351"/>
      <c r="AH526" s="341" t="s">
        <v>37</v>
      </c>
      <c r="AI526" s="350"/>
      <c r="AJ526" s="351"/>
      <c r="AK526" s="341" t="s">
        <v>37</v>
      </c>
      <c r="AL526" s="350"/>
      <c r="AM526" s="351"/>
      <c r="AN526" s="316" t="s">
        <v>828</v>
      </c>
      <c r="AO526" s="316"/>
      <c r="AP526" s="316"/>
      <c r="AQ526" s="349">
        <f t="shared" ref="AQ526:AQ527" si="721">E520+E537</f>
        <v>2404880</v>
      </c>
      <c r="AR526" s="316"/>
      <c r="AS526" s="316"/>
      <c r="AT526" s="316"/>
      <c r="AU526" s="316"/>
      <c r="AV526" s="316"/>
      <c r="AW526" s="316"/>
      <c r="AX526" s="316"/>
      <c r="AY526" s="316"/>
      <c r="AZ526" s="316"/>
      <c r="BA526" s="316"/>
      <c r="BB526" s="316"/>
      <c r="BC526" s="316"/>
      <c r="BD526" s="316"/>
      <c r="BE526" s="316"/>
      <c r="BF526" s="316"/>
      <c r="BG526" s="316"/>
      <c r="BH526" s="316"/>
      <c r="BI526" s="316"/>
      <c r="BJ526" s="316"/>
      <c r="BK526" s="316"/>
      <c r="BL526" s="316"/>
      <c r="BM526" s="316"/>
      <c r="BN526" s="316"/>
    </row>
    <row r="527">
      <c r="A527" s="303" t="s">
        <v>848</v>
      </c>
      <c r="B527" s="304"/>
      <c r="C527" s="305" t="s">
        <v>42</v>
      </c>
      <c r="D527" s="320"/>
      <c r="E527" s="323">
        <f t="shared" ref="E527:F527" si="709">SUM(E522:E526)</f>
        <v>1976100</v>
      </c>
      <c r="F527" s="324">
        <f t="shared" si="709"/>
        <v>400000</v>
      </c>
      <c r="G527" s="320"/>
      <c r="H527" s="323">
        <f t="shared" ref="H527:I527" si="710">SUM(H522:H526)</f>
        <v>2096100</v>
      </c>
      <c r="I527" s="324">
        <f t="shared" si="710"/>
        <v>428571</v>
      </c>
      <c r="J527" s="320"/>
      <c r="K527" s="323">
        <f t="shared" ref="K527:L527" si="711">SUM(K522:K526)</f>
        <v>2296100</v>
      </c>
      <c r="L527" s="324">
        <f t="shared" si="711"/>
        <v>500000</v>
      </c>
      <c r="M527" s="320"/>
      <c r="N527" s="323">
        <f t="shared" ref="N527:O527" si="712">SUM(N522:N526)</f>
        <v>2296100</v>
      </c>
      <c r="O527" s="324">
        <f t="shared" si="712"/>
        <v>500000</v>
      </c>
      <c r="P527" s="320"/>
      <c r="Q527" s="323">
        <f t="shared" ref="Q527:R527" si="713">SUM(Q522:Q526)</f>
        <v>2296100</v>
      </c>
      <c r="R527" s="324">
        <f t="shared" si="713"/>
        <v>500000</v>
      </c>
      <c r="S527" s="320"/>
      <c r="T527" s="323">
        <f t="shared" ref="T527:U527" si="714">SUM(T522:T526)</f>
        <v>2296100</v>
      </c>
      <c r="U527" s="324">
        <f t="shared" si="714"/>
        <v>500000</v>
      </c>
      <c r="V527" s="320"/>
      <c r="W527" s="323">
        <f t="shared" ref="W527:X527" si="715">SUM(W522:W526)</f>
        <v>2296100</v>
      </c>
      <c r="X527" s="324">
        <f t="shared" si="715"/>
        <v>500000</v>
      </c>
      <c r="Y527" s="320"/>
      <c r="Z527" s="323">
        <f t="shared" ref="Z527:AA527" si="716">SUM(Z522:Z526)</f>
        <v>1308710</v>
      </c>
      <c r="AA527" s="324">
        <f t="shared" si="716"/>
        <v>280645</v>
      </c>
      <c r="AB527" s="320"/>
      <c r="AC527" s="323">
        <f t="shared" ref="AC527:AD527" si="717">SUM(AC522:AC526)</f>
        <v>970000</v>
      </c>
      <c r="AD527" s="324">
        <f t="shared" si="717"/>
        <v>200000</v>
      </c>
      <c r="AE527" s="320"/>
      <c r="AF527" s="323">
        <f t="shared" ref="AF527:AG527" si="718">SUM(AF522:AF526)</f>
        <v>970000</v>
      </c>
      <c r="AG527" s="324">
        <f t="shared" si="718"/>
        <v>200000</v>
      </c>
      <c r="AH527" s="320"/>
      <c r="AI527" s="323">
        <f t="shared" ref="AI527:AJ527" si="719">SUM(AI522:AI526)</f>
        <v>970000</v>
      </c>
      <c r="AJ527" s="324">
        <f t="shared" si="719"/>
        <v>200000</v>
      </c>
      <c r="AK527" s="320"/>
      <c r="AL527" s="323">
        <f t="shared" ref="AL527:AM527" si="720">SUM(AL522:AL526)</f>
        <v>970000</v>
      </c>
      <c r="AM527" s="324">
        <f t="shared" si="720"/>
        <v>200000</v>
      </c>
      <c r="AN527" s="316" t="s">
        <v>828</v>
      </c>
      <c r="AO527" s="316"/>
      <c r="AP527" s="316"/>
      <c r="AQ527" s="349">
        <f t="shared" si="721"/>
        <v>601220</v>
      </c>
      <c r="AR527" s="316"/>
      <c r="AS527" s="316"/>
      <c r="AT527" s="316"/>
      <c r="AU527" s="316"/>
      <c r="AV527" s="316"/>
      <c r="AW527" s="316"/>
      <c r="AX527" s="316"/>
      <c r="AY527" s="316"/>
      <c r="AZ527" s="316"/>
      <c r="BA527" s="316"/>
      <c r="BB527" s="316"/>
      <c r="BC527" s="316"/>
      <c r="BD527" s="316"/>
      <c r="BE527" s="316"/>
      <c r="BF527" s="316"/>
      <c r="BG527" s="316"/>
      <c r="BH527" s="316"/>
      <c r="BI527" s="316"/>
      <c r="BJ527" s="316"/>
      <c r="BK527" s="316"/>
      <c r="BL527" s="316"/>
      <c r="BM527" s="316"/>
      <c r="BN527" s="316"/>
    </row>
    <row r="528" collapsed="1">
      <c r="A528" s="303" t="s">
        <v>848</v>
      </c>
      <c r="B528" s="304"/>
      <c r="C528" s="325" t="s">
        <v>43</v>
      </c>
      <c r="D528" s="326"/>
      <c r="E528" s="321"/>
      <c r="F528" s="324"/>
      <c r="G528" s="326"/>
      <c r="H528" s="321"/>
      <c r="I528" s="324"/>
      <c r="J528" s="326"/>
      <c r="K528" s="321"/>
      <c r="L528" s="324"/>
      <c r="M528" s="326"/>
      <c r="N528" s="321"/>
      <c r="O528" s="324"/>
      <c r="P528" s="326"/>
      <c r="Q528" s="321"/>
      <c r="R528" s="324"/>
      <c r="S528" s="326"/>
      <c r="T528" s="321"/>
      <c r="U528" s="324"/>
      <c r="V528" s="326"/>
      <c r="W528" s="321"/>
      <c r="X528" s="324"/>
      <c r="Y528" s="326"/>
      <c r="Z528" s="321"/>
      <c r="AA528" s="324"/>
      <c r="AB528" s="326"/>
      <c r="AC528" s="321"/>
      <c r="AD528" s="324"/>
      <c r="AE528" s="326"/>
      <c r="AF528" s="321"/>
      <c r="AG528" s="324"/>
      <c r="AH528" s="326"/>
      <c r="AI528" s="321"/>
      <c r="AJ528" s="324"/>
      <c r="AK528" s="326"/>
      <c r="AL528" s="321"/>
      <c r="AM528" s="324"/>
      <c r="AN528" s="316" t="s">
        <v>828</v>
      </c>
      <c r="AO528" s="316"/>
      <c r="AP528" s="316"/>
      <c r="AQ528" s="316"/>
      <c r="AR528" s="316"/>
      <c r="AS528" s="316"/>
      <c r="AT528" s="316"/>
      <c r="AU528" s="316"/>
      <c r="AV528" s="316"/>
      <c r="AW528" s="316"/>
      <c r="AX528" s="316"/>
      <c r="AY528" s="316"/>
      <c r="AZ528" s="316"/>
      <c r="BA528" s="316"/>
      <c r="BB528" s="316"/>
      <c r="BC528" s="316"/>
      <c r="BD528" s="316"/>
      <c r="BE528" s="316"/>
      <c r="BF528" s="316"/>
      <c r="BG528" s="316"/>
      <c r="BH528" s="316"/>
      <c r="BI528" s="316"/>
      <c r="BJ528" s="316"/>
      <c r="BK528" s="316"/>
      <c r="BL528" s="316"/>
      <c r="BM528" s="316"/>
      <c r="BN528" s="316"/>
    </row>
    <row r="529" hidden="1" outlineLevel="1">
      <c r="A529" s="303" t="s">
        <v>848</v>
      </c>
      <c r="B529" s="304"/>
      <c r="C529" s="325" t="s">
        <v>45</v>
      </c>
      <c r="D529" s="326"/>
      <c r="E529" s="321"/>
      <c r="F529" s="322"/>
      <c r="G529" s="326"/>
      <c r="H529" s="321"/>
      <c r="I529" s="322"/>
      <c r="J529" s="326"/>
      <c r="K529" s="321"/>
      <c r="L529" s="322"/>
      <c r="M529" s="326"/>
      <c r="N529" s="321"/>
      <c r="O529" s="322"/>
      <c r="P529" s="326"/>
      <c r="Q529" s="321"/>
      <c r="R529" s="322"/>
      <c r="S529" s="326"/>
      <c r="T529" s="321"/>
      <c r="U529" s="322"/>
      <c r="V529" s="326"/>
      <c r="W529" s="321"/>
      <c r="X529" s="322"/>
      <c r="Y529" s="326"/>
      <c r="Z529" s="321"/>
      <c r="AA529" s="322"/>
      <c r="AB529" s="326"/>
      <c r="AC529" s="321"/>
      <c r="AD529" s="322"/>
      <c r="AE529" s="326"/>
      <c r="AF529" s="321"/>
      <c r="AG529" s="322"/>
      <c r="AH529" s="326"/>
      <c r="AI529" s="321"/>
      <c r="AJ529" s="322"/>
      <c r="AK529" s="326"/>
      <c r="AL529" s="321"/>
      <c r="AM529" s="322"/>
      <c r="AN529" s="316" t="s">
        <v>828</v>
      </c>
      <c r="AO529" s="316"/>
      <c r="AP529" s="316"/>
      <c r="AQ529" s="316"/>
      <c r="AR529" s="316"/>
      <c r="AS529" s="316"/>
      <c r="AT529" s="316"/>
      <c r="AU529" s="316"/>
      <c r="AV529" s="316"/>
      <c r="AW529" s="316"/>
      <c r="AX529" s="316"/>
      <c r="AY529" s="316"/>
      <c r="AZ529" s="316"/>
      <c r="BA529" s="316"/>
      <c r="BB529" s="316"/>
      <c r="BC529" s="316"/>
      <c r="BD529" s="316"/>
      <c r="BE529" s="316"/>
      <c r="BF529" s="316"/>
      <c r="BG529" s="316"/>
      <c r="BH529" s="316"/>
      <c r="BI529" s="316"/>
      <c r="BJ529" s="316"/>
      <c r="BK529" s="316"/>
      <c r="BL529" s="316"/>
      <c r="BM529" s="316"/>
      <c r="BN529" s="316"/>
    </row>
    <row r="530" hidden="1" outlineLevel="1">
      <c r="A530" s="303" t="s">
        <v>848</v>
      </c>
      <c r="B530" s="317" t="s">
        <v>886</v>
      </c>
      <c r="C530" s="325" t="s">
        <v>303</v>
      </c>
      <c r="D530" s="326"/>
      <c r="E530" s="321"/>
      <c r="F530" s="322">
        <v>33120.0</v>
      </c>
      <c r="G530" s="326"/>
      <c r="H530" s="321"/>
      <c r="I530" s="322">
        <v>36560.0</v>
      </c>
      <c r="J530" s="326"/>
      <c r="K530" s="321"/>
      <c r="L530" s="322"/>
      <c r="M530" s="326"/>
      <c r="N530" s="321"/>
      <c r="O530" s="322"/>
      <c r="P530" s="326"/>
      <c r="Q530" s="321"/>
      <c r="R530" s="322"/>
      <c r="S530" s="326"/>
      <c r="T530" s="321"/>
      <c r="U530" s="322"/>
      <c r="V530" s="326"/>
      <c r="W530" s="321"/>
      <c r="X530" s="322"/>
      <c r="Y530" s="326"/>
      <c r="Z530" s="321"/>
      <c r="AA530" s="322"/>
      <c r="AB530" s="326"/>
      <c r="AC530" s="321"/>
      <c r="AD530" s="322"/>
      <c r="AE530" s="326"/>
      <c r="AF530" s="321"/>
      <c r="AG530" s="322"/>
      <c r="AH530" s="326"/>
      <c r="AI530" s="321"/>
      <c r="AJ530" s="322"/>
      <c r="AK530" s="326"/>
      <c r="AL530" s="321"/>
      <c r="AM530" s="322"/>
      <c r="AN530" s="316" t="s">
        <v>828</v>
      </c>
      <c r="AO530" s="316"/>
      <c r="AP530" s="316"/>
      <c r="AQ530" s="316"/>
      <c r="AR530" s="316"/>
      <c r="AS530" s="316"/>
      <c r="AT530" s="316"/>
      <c r="AU530" s="316"/>
      <c r="AV530" s="316"/>
      <c r="AW530" s="316"/>
      <c r="AX530" s="316"/>
      <c r="AY530" s="316"/>
      <c r="AZ530" s="316"/>
      <c r="BA530" s="316"/>
      <c r="BB530" s="316"/>
      <c r="BC530" s="316"/>
      <c r="BD530" s="316"/>
      <c r="BE530" s="316"/>
      <c r="BF530" s="316"/>
      <c r="BG530" s="316"/>
      <c r="BH530" s="316"/>
      <c r="BI530" s="316"/>
      <c r="BJ530" s="316"/>
      <c r="BK530" s="316"/>
      <c r="BL530" s="316"/>
      <c r="BM530" s="316"/>
      <c r="BN530" s="316"/>
    </row>
    <row r="531" hidden="1" outlineLevel="1">
      <c r="A531" s="303" t="s">
        <v>848</v>
      </c>
      <c r="B531" s="317" t="s">
        <v>887</v>
      </c>
      <c r="C531" s="325" t="s">
        <v>261</v>
      </c>
      <c r="D531" s="326"/>
      <c r="E531" s="321"/>
      <c r="F531" s="322">
        <v>236290.0</v>
      </c>
      <c r="G531" s="326"/>
      <c r="H531" s="321"/>
      <c r="I531" s="322">
        <v>237850.0</v>
      </c>
      <c r="J531" s="326"/>
      <c r="K531" s="321"/>
      <c r="L531" s="322">
        <v>129580.0</v>
      </c>
      <c r="M531" s="326"/>
      <c r="N531" s="321"/>
      <c r="O531" s="322"/>
      <c r="P531" s="326"/>
      <c r="Q531" s="321"/>
      <c r="R531" s="322"/>
      <c r="S531" s="326"/>
      <c r="T531" s="321"/>
      <c r="U531" s="322"/>
      <c r="V531" s="326"/>
      <c r="W531" s="321"/>
      <c r="X531" s="322"/>
      <c r="Y531" s="326"/>
      <c r="Z531" s="321"/>
      <c r="AA531" s="322"/>
      <c r="AB531" s="326"/>
      <c r="AC531" s="321"/>
      <c r="AD531" s="322"/>
      <c r="AE531" s="326"/>
      <c r="AF531" s="321"/>
      <c r="AG531" s="322"/>
      <c r="AH531" s="326"/>
      <c r="AI531" s="321"/>
      <c r="AJ531" s="322"/>
      <c r="AK531" s="326"/>
      <c r="AL531" s="321"/>
      <c r="AM531" s="322"/>
      <c r="AN531" s="316" t="s">
        <v>828</v>
      </c>
      <c r="AO531" s="316"/>
      <c r="AP531" s="316"/>
      <c r="AQ531" s="316"/>
      <c r="AR531" s="316"/>
      <c r="AS531" s="316"/>
      <c r="AT531" s="316"/>
      <c r="AU531" s="316"/>
      <c r="AV531" s="316"/>
      <c r="AW531" s="316"/>
      <c r="AX531" s="316"/>
      <c r="AY531" s="316"/>
      <c r="AZ531" s="316"/>
      <c r="BA531" s="316"/>
      <c r="BB531" s="316"/>
      <c r="BC531" s="316"/>
      <c r="BD531" s="316"/>
      <c r="BE531" s="316"/>
      <c r="BF531" s="316"/>
      <c r="BG531" s="316"/>
      <c r="BH531" s="316"/>
      <c r="BI531" s="316"/>
      <c r="BJ531" s="316"/>
      <c r="BK531" s="316"/>
      <c r="BL531" s="316"/>
      <c r="BM531" s="316"/>
      <c r="BN531" s="316"/>
    </row>
    <row r="532" hidden="1" outlineLevel="1">
      <c r="A532" s="303" t="s">
        <v>848</v>
      </c>
      <c r="B532" s="304"/>
      <c r="C532" s="325" t="s">
        <v>51</v>
      </c>
      <c r="D532" s="326"/>
      <c r="E532" s="321"/>
      <c r="F532" s="322">
        <v>30000.0</v>
      </c>
      <c r="G532" s="326"/>
      <c r="H532" s="321"/>
      <c r="I532" s="322">
        <v>30000.0</v>
      </c>
      <c r="J532" s="326"/>
      <c r="K532" s="321"/>
      <c r="L532" s="322">
        <v>30000.0</v>
      </c>
      <c r="M532" s="326"/>
      <c r="N532" s="321"/>
      <c r="O532" s="322">
        <v>30000.0</v>
      </c>
      <c r="P532" s="326"/>
      <c r="Q532" s="321"/>
      <c r="R532" s="322"/>
      <c r="S532" s="326"/>
      <c r="T532" s="321"/>
      <c r="U532" s="322"/>
      <c r="V532" s="326"/>
      <c r="W532" s="321"/>
      <c r="X532" s="322"/>
      <c r="Y532" s="326"/>
      <c r="Z532" s="321"/>
      <c r="AA532" s="322"/>
      <c r="AB532" s="326"/>
      <c r="AC532" s="321"/>
      <c r="AD532" s="322"/>
      <c r="AE532" s="326"/>
      <c r="AF532" s="321"/>
      <c r="AG532" s="322"/>
      <c r="AH532" s="326"/>
      <c r="AI532" s="321"/>
      <c r="AJ532" s="322"/>
      <c r="AK532" s="326"/>
      <c r="AL532" s="321"/>
      <c r="AM532" s="322"/>
      <c r="AN532" s="316" t="s">
        <v>828</v>
      </c>
      <c r="AO532" s="316"/>
      <c r="AP532" s="316"/>
      <c r="AQ532" s="316"/>
      <c r="AR532" s="316"/>
      <c r="AS532" s="316"/>
      <c r="AT532" s="316"/>
      <c r="AU532" s="316"/>
      <c r="AV532" s="316"/>
      <c r="AW532" s="316"/>
      <c r="AX532" s="316"/>
      <c r="AY532" s="316"/>
      <c r="AZ532" s="316"/>
      <c r="BA532" s="316"/>
      <c r="BB532" s="316"/>
      <c r="BC532" s="316"/>
      <c r="BD532" s="316"/>
      <c r="BE532" s="316"/>
      <c r="BF532" s="316"/>
      <c r="BG532" s="316"/>
      <c r="BH532" s="316"/>
      <c r="BI532" s="316"/>
      <c r="BJ532" s="316"/>
      <c r="BK532" s="316"/>
      <c r="BL532" s="316"/>
      <c r="BM532" s="316"/>
      <c r="BN532" s="316"/>
    </row>
    <row r="533" hidden="1" outlineLevel="1">
      <c r="A533" s="303" t="s">
        <v>848</v>
      </c>
      <c r="B533" s="304"/>
      <c r="C533" s="325" t="s">
        <v>52</v>
      </c>
      <c r="D533" s="395"/>
      <c r="E533" s="396"/>
      <c r="F533" s="346">
        <v>30000.0</v>
      </c>
      <c r="G533" s="395"/>
      <c r="H533" s="396"/>
      <c r="I533" s="346">
        <v>30000.0</v>
      </c>
      <c r="J533" s="395"/>
      <c r="K533" s="396"/>
      <c r="L533" s="346">
        <v>30000.0</v>
      </c>
      <c r="M533" s="395"/>
      <c r="N533" s="396"/>
      <c r="O533" s="346">
        <v>30000.0</v>
      </c>
      <c r="P533" s="395"/>
      <c r="Q533" s="396"/>
      <c r="R533" s="346">
        <v>30000.0</v>
      </c>
      <c r="S533" s="395"/>
      <c r="T533" s="396"/>
      <c r="U533" s="346">
        <v>30000.0</v>
      </c>
      <c r="V533" s="395"/>
      <c r="W533" s="396"/>
      <c r="X533" s="346">
        <v>30000.0</v>
      </c>
      <c r="Y533" s="395"/>
      <c r="Z533" s="396"/>
      <c r="AA533" s="346">
        <v>30000.0</v>
      </c>
      <c r="AB533" s="395"/>
      <c r="AC533" s="396"/>
      <c r="AD533" s="346">
        <v>30000.0</v>
      </c>
      <c r="AE533" s="395"/>
      <c r="AF533" s="396"/>
      <c r="AG533" s="346">
        <v>30000.0</v>
      </c>
      <c r="AH533" s="395"/>
      <c r="AI533" s="396"/>
      <c r="AJ533" s="346">
        <v>30000.0</v>
      </c>
      <c r="AK533" s="395"/>
      <c r="AL533" s="396"/>
      <c r="AM533" s="346">
        <v>30000.0</v>
      </c>
      <c r="AN533" s="316" t="s">
        <v>828</v>
      </c>
      <c r="AO533" s="316"/>
      <c r="AP533" s="316"/>
      <c r="AQ533" s="316"/>
      <c r="AR533" s="316"/>
      <c r="AS533" s="316"/>
      <c r="AT533" s="316"/>
      <c r="AU533" s="316"/>
      <c r="AV533" s="316"/>
      <c r="AW533" s="316"/>
      <c r="AX533" s="316"/>
      <c r="AY533" s="316"/>
      <c r="AZ533" s="316"/>
      <c r="BA533" s="316"/>
      <c r="BB533" s="316"/>
      <c r="BC533" s="316"/>
      <c r="BD533" s="316"/>
      <c r="BE533" s="316"/>
      <c r="BF533" s="316"/>
      <c r="BG533" s="316"/>
      <c r="BH533" s="316"/>
      <c r="BI533" s="316"/>
      <c r="BJ533" s="316"/>
      <c r="BK533" s="316"/>
      <c r="BL533" s="316"/>
      <c r="BM533" s="316"/>
      <c r="BN533" s="316"/>
    </row>
    <row r="534" hidden="1" outlineLevel="1">
      <c r="A534" s="303" t="s">
        <v>848</v>
      </c>
      <c r="B534" s="304"/>
      <c r="C534" s="325" t="s">
        <v>53</v>
      </c>
      <c r="D534" s="395"/>
      <c r="E534" s="396"/>
      <c r="F534" s="346">
        <v>20000.0</v>
      </c>
      <c r="G534" s="395"/>
      <c r="H534" s="396"/>
      <c r="I534" s="346">
        <v>20000.0</v>
      </c>
      <c r="J534" s="395"/>
      <c r="K534" s="396"/>
      <c r="L534" s="346">
        <v>20000.0</v>
      </c>
      <c r="M534" s="395"/>
      <c r="N534" s="396"/>
      <c r="O534" s="346">
        <v>20000.0</v>
      </c>
      <c r="P534" s="395"/>
      <c r="Q534" s="396"/>
      <c r="R534" s="346">
        <v>20000.0</v>
      </c>
      <c r="S534" s="395"/>
      <c r="T534" s="396"/>
      <c r="U534" s="346">
        <v>20000.0</v>
      </c>
      <c r="V534" s="395"/>
      <c r="W534" s="396"/>
      <c r="X534" s="346">
        <v>20000.0</v>
      </c>
      <c r="Y534" s="395"/>
      <c r="Z534" s="396"/>
      <c r="AA534" s="346">
        <v>20000.0</v>
      </c>
      <c r="AB534" s="395"/>
      <c r="AC534" s="396"/>
      <c r="AD534" s="346">
        <v>20000.0</v>
      </c>
      <c r="AE534" s="395"/>
      <c r="AF534" s="396"/>
      <c r="AG534" s="346">
        <v>20000.0</v>
      </c>
      <c r="AH534" s="395"/>
      <c r="AI534" s="396"/>
      <c r="AJ534" s="346">
        <v>20000.0</v>
      </c>
      <c r="AK534" s="395"/>
      <c r="AL534" s="396"/>
      <c r="AM534" s="346">
        <v>20000.0</v>
      </c>
      <c r="AN534" s="316" t="s">
        <v>828</v>
      </c>
      <c r="AO534" s="316"/>
      <c r="AP534" s="316"/>
      <c r="AQ534" s="316"/>
      <c r="AR534" s="316"/>
      <c r="AS534" s="316"/>
      <c r="AT534" s="316"/>
      <c r="AU534" s="316"/>
      <c r="AV534" s="316"/>
      <c r="AW534" s="316"/>
      <c r="AX534" s="316"/>
      <c r="AY534" s="316"/>
      <c r="AZ534" s="316"/>
      <c r="BA534" s="316"/>
      <c r="BB534" s="316"/>
      <c r="BC534" s="316"/>
      <c r="BD534" s="316"/>
      <c r="BE534" s="316"/>
      <c r="BF534" s="316"/>
      <c r="BG534" s="316"/>
      <c r="BH534" s="316"/>
      <c r="BI534" s="316"/>
      <c r="BJ534" s="316"/>
      <c r="BK534" s="316"/>
      <c r="BL534" s="316"/>
      <c r="BM534" s="316"/>
      <c r="BN534" s="316"/>
    </row>
    <row r="535" hidden="1" outlineLevel="1">
      <c r="A535" s="303" t="s">
        <v>848</v>
      </c>
      <c r="B535" s="304"/>
      <c r="C535" s="325" t="s">
        <v>54</v>
      </c>
      <c r="D535" s="327"/>
      <c r="E535" s="321"/>
      <c r="F535" s="322">
        <f>SUMIFS('지출'!$G$3:$G794,'지출'!$J$3:$J794,F$1,'지출'!$C$3:$C794,"한성")</f>
        <v>78150</v>
      </c>
      <c r="G535" s="327"/>
      <c r="H535" s="321"/>
      <c r="I535" s="322">
        <f>SUMIFS('지출'!$G$3:$G794,'지출'!$J$3:$J794,I$1,'지출'!$C$3:$C794,"한성")</f>
        <v>55000</v>
      </c>
      <c r="J535" s="327"/>
      <c r="K535" s="321"/>
      <c r="L535" s="322">
        <f>SUMIFS('지출'!$G$3:$G794,'지출'!$J$3:$J794,L$1,'지출'!$C$3:$C794,"한성")</f>
        <v>52540</v>
      </c>
      <c r="M535" s="327"/>
      <c r="N535" s="321"/>
      <c r="O535" s="322">
        <f>SUMIFS('지출'!$G$3:$G794,'지출'!$J$3:$J794,O$1,'지출'!$C$3:$C794,"한성")</f>
        <v>0</v>
      </c>
      <c r="P535" s="327"/>
      <c r="Q535" s="321"/>
      <c r="R535" s="322">
        <f>SUMIFS('지출'!$G$3:$G794,'지출'!$J$3:$J794,R$1,'지출'!$C$3:$C794,"한성")</f>
        <v>0</v>
      </c>
      <c r="S535" s="327"/>
      <c r="T535" s="321"/>
      <c r="U535" s="322">
        <f>SUMIFS('지출'!$G$3:$G794,'지출'!$J$3:$J794,U$1,'지출'!$C$3:$C794,"한성")</f>
        <v>0</v>
      </c>
      <c r="V535" s="327"/>
      <c r="W535" s="321"/>
      <c r="X535" s="322">
        <f>SUMIFS('지출'!$G$3:$G794,'지출'!$J$3:$J794,X$1,'지출'!$C$3:$C794,"한성")</f>
        <v>0</v>
      </c>
      <c r="Y535" s="327"/>
      <c r="Z535" s="321"/>
      <c r="AA535" s="322">
        <f>SUMIFS('지출'!$G$3:$G794,'지출'!$J$3:$J794,AA$1,'지출'!$C$3:$C794,"한성")</f>
        <v>0</v>
      </c>
      <c r="AB535" s="327"/>
      <c r="AC535" s="321"/>
      <c r="AD535" s="322">
        <f>SUMIFS('지출'!$G$3:$G794,'지출'!$J$3:$J794,AD$1,'지출'!$C$3:$C794,"한성")</f>
        <v>0</v>
      </c>
      <c r="AE535" s="327"/>
      <c r="AF535" s="321"/>
      <c r="AG535" s="322">
        <f>SUMIFS('지출'!$G$3:$G794,'지출'!$J$3:$J794,AG$1,'지출'!$C$3:$C794,"한성")</f>
        <v>0</v>
      </c>
      <c r="AH535" s="327"/>
      <c r="AI535" s="321"/>
      <c r="AJ535" s="322">
        <f>SUMIFS('지출'!$G$3:$G794,'지출'!$J$3:$J794,AJ$1,'지출'!$C$3:$C794,"한성")</f>
        <v>0</v>
      </c>
      <c r="AK535" s="327"/>
      <c r="AL535" s="321"/>
      <c r="AM535" s="322">
        <f>SUMIFS('지출'!$G$3:$G794,'지출'!$J$3:$J794,AM$1,'지출'!$C$3:$C794,"한성")</f>
        <v>0</v>
      </c>
      <c r="AN535" s="316" t="s">
        <v>828</v>
      </c>
      <c r="AO535" s="316"/>
      <c r="AP535" s="316"/>
      <c r="AQ535" s="316"/>
      <c r="AR535" s="316"/>
      <c r="AS535" s="316"/>
      <c r="AT535" s="316"/>
      <c r="AU535" s="316"/>
      <c r="AV535" s="316"/>
      <c r="AW535" s="316"/>
      <c r="AX535" s="316"/>
      <c r="AY535" s="316"/>
      <c r="AZ535" s="316"/>
      <c r="BA535" s="316"/>
      <c r="BB535" s="316"/>
      <c r="BC535" s="316"/>
      <c r="BD535" s="316"/>
      <c r="BE535" s="316"/>
      <c r="BF535" s="316"/>
      <c r="BG535" s="316"/>
      <c r="BH535" s="316"/>
      <c r="BI535" s="316"/>
      <c r="BJ535" s="316"/>
      <c r="BK535" s="316"/>
      <c r="BL535" s="316"/>
      <c r="BM535" s="316"/>
      <c r="BN535" s="316"/>
    </row>
    <row r="536" hidden="1" outlineLevel="1">
      <c r="A536" s="303" t="s">
        <v>848</v>
      </c>
      <c r="B536" s="304"/>
      <c r="C536" s="325" t="s">
        <v>56</v>
      </c>
      <c r="D536" s="320"/>
      <c r="E536" s="323">
        <f t="shared" ref="E536:F536" si="722">E527-(SUM(E528:E535))</f>
        <v>1976100</v>
      </c>
      <c r="F536" s="324">
        <f t="shared" si="722"/>
        <v>-27560</v>
      </c>
      <c r="G536" s="320"/>
      <c r="H536" s="323">
        <f t="shared" ref="H536:I536" si="723">H527-(SUM(H528:H535))</f>
        <v>2096100</v>
      </c>
      <c r="I536" s="324">
        <f t="shared" si="723"/>
        <v>19161</v>
      </c>
      <c r="J536" s="320"/>
      <c r="K536" s="323">
        <f t="shared" ref="K536:L536" si="724">K527-(SUM(K528:K535))</f>
        <v>2296100</v>
      </c>
      <c r="L536" s="324">
        <f t="shared" si="724"/>
        <v>237880</v>
      </c>
      <c r="M536" s="320"/>
      <c r="N536" s="323">
        <f t="shared" ref="N536:O536" si="725">N527-(SUM(N528:N535))</f>
        <v>2296100</v>
      </c>
      <c r="O536" s="324">
        <f t="shared" si="725"/>
        <v>420000</v>
      </c>
      <c r="P536" s="320"/>
      <c r="Q536" s="323">
        <f t="shared" ref="Q536:R536" si="726">Q527-(SUM(Q528:Q535))</f>
        <v>2296100</v>
      </c>
      <c r="R536" s="324">
        <f t="shared" si="726"/>
        <v>450000</v>
      </c>
      <c r="S536" s="320"/>
      <c r="T536" s="323">
        <f t="shared" ref="T536:U536" si="727">T527-(SUM(T528:T535))</f>
        <v>2296100</v>
      </c>
      <c r="U536" s="324">
        <f t="shared" si="727"/>
        <v>450000</v>
      </c>
      <c r="V536" s="320"/>
      <c r="W536" s="323">
        <f t="shared" ref="W536:X536" si="728">W527-(SUM(W528:W535))</f>
        <v>2296100</v>
      </c>
      <c r="X536" s="324">
        <f t="shared" si="728"/>
        <v>450000</v>
      </c>
      <c r="Y536" s="320"/>
      <c r="Z536" s="323">
        <f t="shared" ref="Z536:AA536" si="729">Z527-(SUM(Z528:Z535))</f>
        <v>1308710</v>
      </c>
      <c r="AA536" s="324">
        <f t="shared" si="729"/>
        <v>230645</v>
      </c>
      <c r="AB536" s="320"/>
      <c r="AC536" s="323">
        <f t="shared" ref="AC536:AD536" si="730">AC527-(SUM(AC528:AC535))</f>
        <v>970000</v>
      </c>
      <c r="AD536" s="324">
        <f t="shared" si="730"/>
        <v>150000</v>
      </c>
      <c r="AE536" s="320"/>
      <c r="AF536" s="323">
        <f t="shared" ref="AF536:AG536" si="731">AF527-(SUM(AF528:AF535))</f>
        <v>970000</v>
      </c>
      <c r="AG536" s="324">
        <f t="shared" si="731"/>
        <v>150000</v>
      </c>
      <c r="AH536" s="320"/>
      <c r="AI536" s="323">
        <f t="shared" ref="AI536:AJ536" si="732">AI527-(SUM(AI528:AI535))</f>
        <v>970000</v>
      </c>
      <c r="AJ536" s="324">
        <f t="shared" si="732"/>
        <v>150000</v>
      </c>
      <c r="AK536" s="320"/>
      <c r="AL536" s="323">
        <f t="shared" ref="AL536:AM536" si="733">AL527-(SUM(AL528:AL535))</f>
        <v>970000</v>
      </c>
      <c r="AM536" s="324">
        <f t="shared" si="733"/>
        <v>150000</v>
      </c>
      <c r="AN536" s="316" t="s">
        <v>828</v>
      </c>
      <c r="AO536" s="316"/>
      <c r="AP536" s="316"/>
      <c r="AQ536" s="316"/>
      <c r="AR536" s="316"/>
      <c r="AS536" s="316"/>
      <c r="AT536" s="316"/>
      <c r="AU536" s="316"/>
      <c r="AV536" s="316"/>
      <c r="AW536" s="316"/>
      <c r="AX536" s="316"/>
      <c r="AY536" s="316"/>
      <c r="AZ536" s="316"/>
      <c r="BA536" s="316"/>
      <c r="BB536" s="316"/>
      <c r="BC536" s="316"/>
      <c r="BD536" s="316"/>
      <c r="BE536" s="316"/>
      <c r="BF536" s="316"/>
      <c r="BG536" s="316"/>
      <c r="BH536" s="316"/>
      <c r="BI536" s="316"/>
      <c r="BJ536" s="316"/>
      <c r="BK536" s="316"/>
      <c r="BL536" s="316"/>
      <c r="BM536" s="316"/>
      <c r="BN536" s="316"/>
    </row>
    <row r="537">
      <c r="A537" s="303" t="s">
        <v>848</v>
      </c>
      <c r="B537" s="328">
        <v>0.8</v>
      </c>
      <c r="C537" s="325" t="s">
        <v>26</v>
      </c>
      <c r="D537" s="320"/>
      <c r="E537" s="323">
        <f>E536*$B537</f>
        <v>1580880</v>
      </c>
      <c r="F537" s="324"/>
      <c r="G537" s="320"/>
      <c r="H537" s="323">
        <f>H536*$B537</f>
        <v>1676880</v>
      </c>
      <c r="I537" s="324"/>
      <c r="J537" s="320"/>
      <c r="K537" s="323">
        <f>K536*$B537</f>
        <v>1836880</v>
      </c>
      <c r="L537" s="324"/>
      <c r="M537" s="320"/>
      <c r="N537" s="323">
        <f>N536*$B537</f>
        <v>1836880</v>
      </c>
      <c r="O537" s="324"/>
      <c r="P537" s="320"/>
      <c r="Q537" s="323">
        <f>Q536*$B537</f>
        <v>1836880</v>
      </c>
      <c r="R537" s="324"/>
      <c r="S537" s="320"/>
      <c r="T537" s="323">
        <f>T536*$B537</f>
        <v>1836880</v>
      </c>
      <c r="U537" s="324"/>
      <c r="V537" s="320"/>
      <c r="W537" s="323">
        <f>W536*$B537</f>
        <v>1836880</v>
      </c>
      <c r="X537" s="324"/>
      <c r="Y537" s="320"/>
      <c r="Z537" s="323">
        <f>Z536*$B537</f>
        <v>1046968</v>
      </c>
      <c r="AA537" s="324"/>
      <c r="AB537" s="320"/>
      <c r="AC537" s="323">
        <f>AC536*$B537</f>
        <v>776000</v>
      </c>
      <c r="AD537" s="324"/>
      <c r="AE537" s="320"/>
      <c r="AF537" s="323">
        <f>AF536*$B537</f>
        <v>776000</v>
      </c>
      <c r="AG537" s="324"/>
      <c r="AH537" s="320"/>
      <c r="AI537" s="323">
        <f>AI536*$B537</f>
        <v>776000</v>
      </c>
      <c r="AJ537" s="324"/>
      <c r="AK537" s="320"/>
      <c r="AL537" s="323">
        <f>AL536*$B537</f>
        <v>776000</v>
      </c>
      <c r="AM537" s="324"/>
      <c r="AN537" s="316" t="s">
        <v>828</v>
      </c>
      <c r="AO537" s="316"/>
      <c r="AP537" s="316"/>
      <c r="AQ537" s="316"/>
      <c r="AR537" s="316"/>
      <c r="AS537" s="316"/>
      <c r="AT537" s="316"/>
      <c r="AU537" s="316"/>
      <c r="AV537" s="316"/>
      <c r="AW537" s="316"/>
      <c r="AX537" s="316"/>
      <c r="AY537" s="316"/>
      <c r="AZ537" s="316"/>
      <c r="BA537" s="316"/>
      <c r="BB537" s="316"/>
      <c r="BC537" s="316"/>
      <c r="BD537" s="316"/>
      <c r="BE537" s="316"/>
      <c r="BF537" s="316"/>
      <c r="BG537" s="316"/>
      <c r="BH537" s="316"/>
      <c r="BI537" s="316"/>
      <c r="BJ537" s="316"/>
      <c r="BK537" s="316"/>
      <c r="BL537" s="316"/>
      <c r="BM537" s="316"/>
      <c r="BN537" s="316"/>
    </row>
    <row r="538">
      <c r="A538" s="303" t="s">
        <v>848</v>
      </c>
      <c r="B538" s="329">
        <v>0.2</v>
      </c>
      <c r="C538" s="330" t="s">
        <v>57</v>
      </c>
      <c r="D538" s="331"/>
      <c r="E538" s="332">
        <f>E536*$B538</f>
        <v>395220</v>
      </c>
      <c r="F538" s="333"/>
      <c r="G538" s="331"/>
      <c r="H538" s="332">
        <f>H536*$B538</f>
        <v>419220</v>
      </c>
      <c r="I538" s="333"/>
      <c r="J538" s="331"/>
      <c r="K538" s="332">
        <f>K536*$B538</f>
        <v>459220</v>
      </c>
      <c r="L538" s="333"/>
      <c r="M538" s="331"/>
      <c r="N538" s="332">
        <f>N536*$B538</f>
        <v>459220</v>
      </c>
      <c r="O538" s="333"/>
      <c r="P538" s="331"/>
      <c r="Q538" s="332">
        <f>Q536*$B538</f>
        <v>459220</v>
      </c>
      <c r="R538" s="333"/>
      <c r="S538" s="331"/>
      <c r="T538" s="332">
        <f>T536*$B538</f>
        <v>459220</v>
      </c>
      <c r="U538" s="333"/>
      <c r="V538" s="331"/>
      <c r="W538" s="332">
        <f>W536*$B538</f>
        <v>459220</v>
      </c>
      <c r="X538" s="333"/>
      <c r="Y538" s="331"/>
      <c r="Z538" s="332">
        <f>Z536*$B538</f>
        <v>261742</v>
      </c>
      <c r="AA538" s="333"/>
      <c r="AB538" s="331"/>
      <c r="AC538" s="332">
        <f>AC536*$B538</f>
        <v>194000</v>
      </c>
      <c r="AD538" s="333"/>
      <c r="AE538" s="331"/>
      <c r="AF538" s="332">
        <f>AF536*$B538</f>
        <v>194000</v>
      </c>
      <c r="AG538" s="333"/>
      <c r="AH538" s="331"/>
      <c r="AI538" s="332">
        <f>AI536*$B538</f>
        <v>194000</v>
      </c>
      <c r="AJ538" s="333"/>
      <c r="AK538" s="331"/>
      <c r="AL538" s="332">
        <f>AL536*$B538</f>
        <v>194000</v>
      </c>
      <c r="AM538" s="333"/>
      <c r="AN538" s="316" t="s">
        <v>828</v>
      </c>
      <c r="AO538" s="316"/>
      <c r="AP538" s="316"/>
      <c r="AQ538" s="316"/>
      <c r="AR538" s="316"/>
      <c r="AS538" s="316"/>
      <c r="AT538" s="316"/>
      <c r="AU538" s="316"/>
      <c r="AV538" s="316"/>
      <c r="AW538" s="316"/>
      <c r="AX538" s="316"/>
      <c r="AY538" s="316"/>
      <c r="AZ538" s="316"/>
      <c r="BA538" s="316"/>
      <c r="BB538" s="316"/>
      <c r="BC538" s="316"/>
      <c r="BD538" s="316"/>
      <c r="BE538" s="316"/>
      <c r="BF538" s="316"/>
      <c r="BG538" s="316"/>
      <c r="BH538" s="316"/>
      <c r="BI538" s="316"/>
      <c r="BJ538" s="316"/>
      <c r="BK538" s="316"/>
      <c r="BL538" s="316"/>
      <c r="BM538" s="316"/>
      <c r="BN538" s="316"/>
    </row>
    <row r="539">
      <c r="A539" s="303" t="s">
        <v>1813</v>
      </c>
      <c r="B539" s="317" t="s">
        <v>1813</v>
      </c>
      <c r="C539" s="325" t="s">
        <v>1814</v>
      </c>
      <c r="D539" s="397" t="s">
        <v>1815</v>
      </c>
      <c r="E539" s="398">
        <v>570000.0</v>
      </c>
      <c r="F539" s="399">
        <v>100000.0</v>
      </c>
      <c r="G539" s="397" t="s">
        <v>1815</v>
      </c>
      <c r="H539" s="398">
        <v>570000.0</v>
      </c>
      <c r="I539" s="399">
        <v>100000.0</v>
      </c>
      <c r="J539" s="397" t="s">
        <v>1815</v>
      </c>
      <c r="K539" s="398">
        <v>570000.0</v>
      </c>
      <c r="L539" s="399">
        <v>100000.0</v>
      </c>
      <c r="M539" s="397" t="s">
        <v>1815</v>
      </c>
      <c r="N539" s="398">
        <v>570000.0</v>
      </c>
      <c r="O539" s="399">
        <v>100000.0</v>
      </c>
      <c r="P539" s="397" t="s">
        <v>1815</v>
      </c>
      <c r="Q539" s="398">
        <v>570000.0</v>
      </c>
      <c r="R539" s="399">
        <v>100000.0</v>
      </c>
      <c r="S539" s="397" t="s">
        <v>1815</v>
      </c>
      <c r="T539" s="398">
        <v>570000.0</v>
      </c>
      <c r="U539" s="399">
        <v>100000.0</v>
      </c>
      <c r="V539" s="397" t="s">
        <v>1815</v>
      </c>
      <c r="W539" s="398">
        <v>570000.0</v>
      </c>
      <c r="X539" s="399">
        <v>100000.0</v>
      </c>
      <c r="Y539" s="400" t="s">
        <v>2290</v>
      </c>
      <c r="Z539" s="398">
        <v>570000.0</v>
      </c>
      <c r="AA539" s="399">
        <v>100000.0</v>
      </c>
      <c r="AB539" s="401"/>
      <c r="AC539" s="402"/>
      <c r="AD539" s="403"/>
      <c r="AE539" s="401"/>
      <c r="AF539" s="402"/>
      <c r="AG539" s="403"/>
      <c r="AH539" s="401"/>
      <c r="AI539" s="402"/>
      <c r="AJ539" s="403"/>
      <c r="AK539" s="401"/>
      <c r="AL539" s="402"/>
      <c r="AM539" s="403"/>
      <c r="AN539" s="316" t="s">
        <v>321</v>
      </c>
      <c r="AO539" s="316"/>
      <c r="AP539" s="316"/>
      <c r="AQ539" s="316"/>
      <c r="AR539" s="316"/>
      <c r="AS539" s="316"/>
      <c r="AT539" s="316"/>
      <c r="AU539" s="316"/>
      <c r="AV539" s="316"/>
      <c r="AW539" s="316"/>
      <c r="AX539" s="316"/>
      <c r="AY539" s="316"/>
      <c r="AZ539" s="316"/>
      <c r="BA539" s="316"/>
      <c r="BB539" s="316"/>
      <c r="BC539" s="316"/>
      <c r="BD539" s="316"/>
      <c r="BE539" s="316"/>
      <c r="BF539" s="316"/>
      <c r="BG539" s="316"/>
      <c r="BH539" s="316"/>
      <c r="BI539" s="316"/>
      <c r="BJ539" s="316"/>
      <c r="BK539" s="316"/>
      <c r="BL539" s="316"/>
      <c r="BM539" s="316"/>
      <c r="BN539" s="316"/>
    </row>
    <row r="540">
      <c r="A540" s="303" t="s">
        <v>1813</v>
      </c>
      <c r="B540" s="317" t="s">
        <v>2291</v>
      </c>
      <c r="C540" s="325" t="s">
        <v>1820</v>
      </c>
      <c r="D540" s="353" t="s">
        <v>2292</v>
      </c>
      <c r="E540" s="335">
        <f>348710+116129</f>
        <v>464839</v>
      </c>
      <c r="F540" s="346">
        <f>74194+25806</f>
        <v>100000</v>
      </c>
      <c r="G540" s="326" t="s">
        <v>1821</v>
      </c>
      <c r="H540" s="348">
        <v>450000.0</v>
      </c>
      <c r="I540" s="346">
        <v>100000.0</v>
      </c>
      <c r="J540" s="326" t="s">
        <v>1821</v>
      </c>
      <c r="K540" s="348">
        <v>450000.0</v>
      </c>
      <c r="L540" s="346">
        <v>100000.0</v>
      </c>
      <c r="M540" s="326" t="s">
        <v>1821</v>
      </c>
      <c r="N540" s="348">
        <v>450000.0</v>
      </c>
      <c r="O540" s="346">
        <v>100000.0</v>
      </c>
      <c r="P540" s="326" t="s">
        <v>1821</v>
      </c>
      <c r="Q540" s="348">
        <v>450000.0</v>
      </c>
      <c r="R540" s="346">
        <v>100000.0</v>
      </c>
      <c r="S540" s="326" t="s">
        <v>1821</v>
      </c>
      <c r="T540" s="348">
        <v>450000.0</v>
      </c>
      <c r="U540" s="346">
        <v>100000.0</v>
      </c>
      <c r="V540" s="326" t="s">
        <v>1821</v>
      </c>
      <c r="W540" s="348">
        <v>450000.0</v>
      </c>
      <c r="X540" s="346">
        <v>100000.0</v>
      </c>
      <c r="Y540" s="326" t="s">
        <v>1821</v>
      </c>
      <c r="Z540" s="348">
        <v>450000.0</v>
      </c>
      <c r="AA540" s="346">
        <v>100000.0</v>
      </c>
      <c r="AB540" s="326" t="s">
        <v>1821</v>
      </c>
      <c r="AC540" s="348">
        <v>450000.0</v>
      </c>
      <c r="AD540" s="346">
        <v>100000.0</v>
      </c>
      <c r="AE540" s="326" t="s">
        <v>1821</v>
      </c>
      <c r="AF540" s="348">
        <v>450000.0</v>
      </c>
      <c r="AG540" s="346">
        <v>100000.0</v>
      </c>
      <c r="AH540" s="326" t="s">
        <v>1821</v>
      </c>
      <c r="AI540" s="348">
        <v>450000.0</v>
      </c>
      <c r="AJ540" s="346">
        <v>100000.0</v>
      </c>
      <c r="AK540" s="326" t="s">
        <v>1821</v>
      </c>
      <c r="AL540" s="348">
        <v>450000.0</v>
      </c>
      <c r="AM540" s="346">
        <v>100000.0</v>
      </c>
      <c r="AN540" s="316" t="s">
        <v>321</v>
      </c>
      <c r="AO540" s="316"/>
      <c r="AP540" s="316"/>
      <c r="AQ540" s="316">
        <v>49.0</v>
      </c>
      <c r="AR540" s="316"/>
      <c r="AS540" s="316"/>
      <c r="AT540" s="316"/>
      <c r="AU540" s="316"/>
      <c r="AV540" s="316"/>
      <c r="AW540" s="316"/>
      <c r="AX540" s="316"/>
      <c r="AY540" s="316"/>
      <c r="AZ540" s="316"/>
      <c r="BA540" s="316"/>
      <c r="BB540" s="316"/>
      <c r="BC540" s="316"/>
      <c r="BD540" s="316"/>
      <c r="BE540" s="316"/>
      <c r="BF540" s="316"/>
      <c r="BG540" s="316"/>
      <c r="BH540" s="316"/>
      <c r="BI540" s="316"/>
      <c r="BJ540" s="316"/>
      <c r="BK540" s="316"/>
      <c r="BL540" s="316"/>
      <c r="BM540" s="316"/>
      <c r="BN540" s="316"/>
    </row>
    <row r="541">
      <c r="A541" s="303" t="s">
        <v>1813</v>
      </c>
      <c r="B541" s="317" t="s">
        <v>1813</v>
      </c>
      <c r="C541" s="325" t="s">
        <v>1824</v>
      </c>
      <c r="D541" s="353" t="s">
        <v>2293</v>
      </c>
      <c r="E541" s="335">
        <v>480000.0</v>
      </c>
      <c r="F541" s="346">
        <v>100000.0</v>
      </c>
      <c r="G541" s="326" t="s">
        <v>2294</v>
      </c>
      <c r="H541" s="321">
        <f>480000+83929</f>
        <v>563929</v>
      </c>
      <c r="I541" s="322">
        <f>100000+17857</f>
        <v>117857</v>
      </c>
      <c r="J541" s="326" t="s">
        <v>1825</v>
      </c>
      <c r="K541" s="321">
        <v>470000.0</v>
      </c>
      <c r="L541" s="346">
        <v>100000.0</v>
      </c>
      <c r="M541" s="326" t="s">
        <v>1825</v>
      </c>
      <c r="N541" s="321">
        <v>470000.0</v>
      </c>
      <c r="O541" s="346">
        <v>100000.0</v>
      </c>
      <c r="P541" s="326" t="s">
        <v>1825</v>
      </c>
      <c r="Q541" s="321">
        <v>470000.0</v>
      </c>
      <c r="R541" s="346">
        <v>100000.0</v>
      </c>
      <c r="S541" s="326" t="s">
        <v>1825</v>
      </c>
      <c r="T541" s="321">
        <v>470000.0</v>
      </c>
      <c r="U541" s="346">
        <v>100000.0</v>
      </c>
      <c r="V541" s="326" t="s">
        <v>1825</v>
      </c>
      <c r="W541" s="321">
        <v>470000.0</v>
      </c>
      <c r="X541" s="346">
        <v>100000.0</v>
      </c>
      <c r="Y541" s="326" t="s">
        <v>1825</v>
      </c>
      <c r="Z541" s="321">
        <v>470000.0</v>
      </c>
      <c r="AA541" s="346">
        <v>100000.0</v>
      </c>
      <c r="AB541" s="326" t="s">
        <v>1825</v>
      </c>
      <c r="AC541" s="321">
        <v>470000.0</v>
      </c>
      <c r="AD541" s="346">
        <v>100000.0</v>
      </c>
      <c r="AE541" s="326" t="s">
        <v>1825</v>
      </c>
      <c r="AF541" s="321">
        <v>470000.0</v>
      </c>
      <c r="AG541" s="346">
        <v>100000.0</v>
      </c>
      <c r="AH541" s="326" t="s">
        <v>1825</v>
      </c>
      <c r="AI541" s="321">
        <v>470000.0</v>
      </c>
      <c r="AJ541" s="346">
        <v>100000.0</v>
      </c>
      <c r="AK541" s="326" t="s">
        <v>1825</v>
      </c>
      <c r="AL541" s="321">
        <v>470000.0</v>
      </c>
      <c r="AM541" s="346">
        <v>100000.0</v>
      </c>
      <c r="AN541" s="316" t="s">
        <v>321</v>
      </c>
      <c r="AO541" s="316"/>
      <c r="AP541" s="316"/>
      <c r="AQ541" s="316">
        <v>7.0</v>
      </c>
      <c r="AR541" s="316"/>
      <c r="AS541" s="316"/>
      <c r="AT541" s="316"/>
      <c r="AU541" s="316"/>
      <c r="AV541" s="316"/>
      <c r="AW541" s="316"/>
      <c r="AX541" s="316"/>
      <c r="AY541" s="316"/>
      <c r="AZ541" s="316"/>
      <c r="BA541" s="316"/>
      <c r="BB541" s="316"/>
      <c r="BC541" s="316"/>
      <c r="BD541" s="316"/>
      <c r="BE541" s="316"/>
      <c r="BF541" s="316"/>
      <c r="BG541" s="316"/>
      <c r="BH541" s="316"/>
      <c r="BI541" s="316"/>
      <c r="BJ541" s="316"/>
      <c r="BK541" s="316"/>
      <c r="BL541" s="316"/>
      <c r="BM541" s="316"/>
      <c r="BN541" s="316"/>
    </row>
    <row r="542">
      <c r="A542" s="303" t="s">
        <v>1813</v>
      </c>
      <c r="B542" s="317" t="s">
        <v>1813</v>
      </c>
      <c r="C542" s="325" t="s">
        <v>1828</v>
      </c>
      <c r="D542" s="353" t="s">
        <v>2295</v>
      </c>
      <c r="E542" s="335">
        <v>650000.0</v>
      </c>
      <c r="F542" s="346">
        <v>100000.0</v>
      </c>
      <c r="G542" s="326" t="s">
        <v>2296</v>
      </c>
      <c r="H542" s="321">
        <v>550000.0</v>
      </c>
      <c r="I542" s="322">
        <v>100000.0</v>
      </c>
      <c r="J542" s="326" t="s">
        <v>1829</v>
      </c>
      <c r="K542" s="321">
        <v>550000.0</v>
      </c>
      <c r="L542" s="322">
        <v>100000.0</v>
      </c>
      <c r="M542" s="326" t="s">
        <v>1829</v>
      </c>
      <c r="N542" s="321">
        <v>550000.0</v>
      </c>
      <c r="O542" s="322">
        <v>100000.0</v>
      </c>
      <c r="P542" s="326" t="s">
        <v>1829</v>
      </c>
      <c r="Q542" s="321">
        <v>550000.0</v>
      </c>
      <c r="R542" s="322">
        <v>100000.0</v>
      </c>
      <c r="S542" s="326" t="s">
        <v>1829</v>
      </c>
      <c r="T542" s="321">
        <v>550000.0</v>
      </c>
      <c r="U542" s="322">
        <v>100000.0</v>
      </c>
      <c r="V542" s="326" t="s">
        <v>2297</v>
      </c>
      <c r="W542" s="321">
        <v>550000.0</v>
      </c>
      <c r="X542" s="322">
        <v>100000.0</v>
      </c>
      <c r="Y542" s="326"/>
      <c r="Z542" s="321"/>
      <c r="AA542" s="322"/>
      <c r="AB542" s="326"/>
      <c r="AC542" s="321"/>
      <c r="AD542" s="322"/>
      <c r="AE542" s="326"/>
      <c r="AF542" s="321"/>
      <c r="AG542" s="322"/>
      <c r="AH542" s="326"/>
      <c r="AI542" s="321"/>
      <c r="AJ542" s="322"/>
      <c r="AK542" s="326"/>
      <c r="AL542" s="321"/>
      <c r="AM542" s="322"/>
      <c r="AN542" s="316" t="s">
        <v>321</v>
      </c>
      <c r="AO542" s="316"/>
      <c r="AP542" s="316"/>
      <c r="AQ542" s="316"/>
      <c r="AR542" s="316"/>
      <c r="AS542" s="316"/>
      <c r="AT542" s="316"/>
      <c r="AU542" s="316"/>
      <c r="AV542" s="316"/>
      <c r="AW542" s="316"/>
      <c r="AX542" s="316"/>
      <c r="AY542" s="316"/>
      <c r="AZ542" s="316"/>
      <c r="BA542" s="316"/>
      <c r="BB542" s="316"/>
      <c r="BC542" s="316"/>
      <c r="BD542" s="316"/>
      <c r="BE542" s="316"/>
      <c r="BF542" s="316"/>
      <c r="BG542" s="316"/>
      <c r="BH542" s="316"/>
      <c r="BI542" s="316"/>
      <c r="BJ542" s="316"/>
      <c r="BK542" s="316"/>
      <c r="BL542" s="316"/>
      <c r="BM542" s="316"/>
      <c r="BN542" s="316"/>
    </row>
    <row r="543">
      <c r="A543" s="303" t="s">
        <v>1813</v>
      </c>
      <c r="B543" s="304"/>
      <c r="C543" s="305" t="s">
        <v>42</v>
      </c>
      <c r="D543" s="320"/>
      <c r="E543" s="323">
        <f t="shared" ref="E543:F543" si="734">SUM(E539:E542)</f>
        <v>2164839</v>
      </c>
      <c r="F543" s="324">
        <f t="shared" si="734"/>
        <v>400000</v>
      </c>
      <c r="G543" s="320"/>
      <c r="H543" s="323">
        <f t="shared" ref="H543:I543" si="735">SUM(H539:H542)</f>
        <v>2133929</v>
      </c>
      <c r="I543" s="324">
        <f t="shared" si="735"/>
        <v>417857</v>
      </c>
      <c r="J543" s="320"/>
      <c r="K543" s="323">
        <f t="shared" ref="K543:L543" si="736">SUM(K539:K542)</f>
        <v>2040000</v>
      </c>
      <c r="L543" s="324">
        <f t="shared" si="736"/>
        <v>400000</v>
      </c>
      <c r="M543" s="320"/>
      <c r="N543" s="323">
        <f t="shared" ref="N543:O543" si="737">SUM(N539:N542)</f>
        <v>2040000</v>
      </c>
      <c r="O543" s="324">
        <f t="shared" si="737"/>
        <v>400000</v>
      </c>
      <c r="P543" s="320"/>
      <c r="Q543" s="323">
        <f t="shared" ref="Q543:R543" si="738">SUM(Q539:Q542)</f>
        <v>2040000</v>
      </c>
      <c r="R543" s="324">
        <f t="shared" si="738"/>
        <v>400000</v>
      </c>
      <c r="S543" s="320"/>
      <c r="T543" s="323">
        <f t="shared" ref="T543:U543" si="739">SUM(T539:T542)</f>
        <v>2040000</v>
      </c>
      <c r="U543" s="324">
        <f t="shared" si="739"/>
        <v>400000</v>
      </c>
      <c r="V543" s="320"/>
      <c r="W543" s="323">
        <f t="shared" ref="W543:X543" si="740">SUM(W539:W542)</f>
        <v>2040000</v>
      </c>
      <c r="X543" s="324">
        <f t="shared" si="740"/>
        <v>400000</v>
      </c>
      <c r="Y543" s="320"/>
      <c r="Z543" s="323">
        <f t="shared" ref="Z543:AA543" si="741">SUM(Z539:Z542)</f>
        <v>1490000</v>
      </c>
      <c r="AA543" s="324">
        <f t="shared" si="741"/>
        <v>300000</v>
      </c>
      <c r="AB543" s="320"/>
      <c r="AC543" s="323">
        <f t="shared" ref="AC543:AD543" si="742">SUM(AC539:AC542)</f>
        <v>920000</v>
      </c>
      <c r="AD543" s="324">
        <f t="shared" si="742"/>
        <v>200000</v>
      </c>
      <c r="AE543" s="320"/>
      <c r="AF543" s="323">
        <f t="shared" ref="AF543:AG543" si="743">SUM(AF539:AF542)</f>
        <v>920000</v>
      </c>
      <c r="AG543" s="324">
        <f t="shared" si="743"/>
        <v>200000</v>
      </c>
      <c r="AH543" s="320"/>
      <c r="AI543" s="323">
        <f t="shared" ref="AI543:AJ543" si="744">SUM(AI539:AI542)</f>
        <v>920000</v>
      </c>
      <c r="AJ543" s="324">
        <f t="shared" si="744"/>
        <v>200000</v>
      </c>
      <c r="AK543" s="320"/>
      <c r="AL543" s="323">
        <f t="shared" ref="AL543:AM543" si="745">SUM(AL539:AL542)</f>
        <v>920000</v>
      </c>
      <c r="AM543" s="324">
        <f t="shared" si="745"/>
        <v>200000</v>
      </c>
      <c r="AN543" s="316" t="s">
        <v>321</v>
      </c>
      <c r="AO543" s="316"/>
      <c r="AP543" s="316"/>
      <c r="AQ543" s="316"/>
      <c r="AR543" s="316"/>
      <c r="AS543" s="316"/>
      <c r="AT543" s="316"/>
      <c r="AU543" s="316"/>
      <c r="AV543" s="316"/>
      <c r="AW543" s="316"/>
      <c r="AX543" s="316"/>
      <c r="AY543" s="316"/>
      <c r="AZ543" s="316"/>
      <c r="BA543" s="316"/>
      <c r="BB543" s="316"/>
      <c r="BC543" s="316"/>
      <c r="BD543" s="316"/>
      <c r="BE543" s="316"/>
      <c r="BF543" s="316"/>
      <c r="BG543" s="316"/>
      <c r="BH543" s="316"/>
      <c r="BI543" s="316"/>
      <c r="BJ543" s="316"/>
      <c r="BK543" s="316"/>
      <c r="BL543" s="316"/>
      <c r="BM543" s="316"/>
      <c r="BN543" s="316"/>
    </row>
    <row r="544" collapsed="1">
      <c r="A544" s="303" t="s">
        <v>1813</v>
      </c>
      <c r="B544" s="304"/>
      <c r="C544" s="325" t="s">
        <v>43</v>
      </c>
      <c r="D544" s="326"/>
      <c r="E544" s="321">
        <v>1050000.0</v>
      </c>
      <c r="F544" s="324"/>
      <c r="G544" s="326"/>
      <c r="H544" s="321">
        <v>1050000.0</v>
      </c>
      <c r="I544" s="324"/>
      <c r="J544" s="326"/>
      <c r="K544" s="321">
        <v>1050000.0</v>
      </c>
      <c r="L544" s="324"/>
      <c r="M544" s="326"/>
      <c r="N544" s="321">
        <v>1050000.0</v>
      </c>
      <c r="O544" s="324"/>
      <c r="P544" s="326"/>
      <c r="Q544" s="321">
        <v>1050000.0</v>
      </c>
      <c r="R544" s="324"/>
      <c r="S544" s="326"/>
      <c r="T544" s="321">
        <v>1050000.0</v>
      </c>
      <c r="U544" s="324"/>
      <c r="V544" s="326"/>
      <c r="W544" s="321">
        <v>1050000.0</v>
      </c>
      <c r="X544" s="324"/>
      <c r="Y544" s="326"/>
      <c r="Z544" s="321">
        <v>1050000.0</v>
      </c>
      <c r="AA544" s="324"/>
      <c r="AB544" s="326"/>
      <c r="AC544" s="321">
        <v>1050000.0</v>
      </c>
      <c r="AD544" s="324"/>
      <c r="AE544" s="326"/>
      <c r="AF544" s="321">
        <v>1050000.0</v>
      </c>
      <c r="AG544" s="324"/>
      <c r="AH544" s="326"/>
      <c r="AI544" s="321">
        <v>1050000.0</v>
      </c>
      <c r="AJ544" s="324"/>
      <c r="AK544" s="326"/>
      <c r="AL544" s="321">
        <v>1050000.0</v>
      </c>
      <c r="AM544" s="324"/>
      <c r="AN544" s="316" t="s">
        <v>321</v>
      </c>
      <c r="AO544" s="316"/>
      <c r="AP544" s="316"/>
      <c r="AQ544" s="316"/>
      <c r="AR544" s="316"/>
      <c r="AS544" s="316"/>
      <c r="AT544" s="316"/>
      <c r="AU544" s="316"/>
      <c r="AV544" s="316"/>
      <c r="AW544" s="316"/>
      <c r="AX544" s="316"/>
      <c r="AY544" s="316"/>
      <c r="AZ544" s="316"/>
      <c r="BA544" s="316"/>
      <c r="BB544" s="316"/>
      <c r="BC544" s="316"/>
      <c r="BD544" s="316"/>
      <c r="BE544" s="316"/>
      <c r="BF544" s="316"/>
      <c r="BG544" s="316"/>
      <c r="BH544" s="316"/>
      <c r="BI544" s="316"/>
      <c r="BJ544" s="316"/>
      <c r="BK544" s="316"/>
      <c r="BL544" s="316"/>
      <c r="BM544" s="316"/>
      <c r="BN544" s="316"/>
    </row>
    <row r="545" hidden="1" outlineLevel="1">
      <c r="A545" s="303" t="s">
        <v>1813</v>
      </c>
      <c r="B545" s="304"/>
      <c r="C545" s="325" t="s">
        <v>45</v>
      </c>
      <c r="D545" s="326" t="s">
        <v>677</v>
      </c>
      <c r="E545" s="321"/>
      <c r="F545" s="322" t="s">
        <v>44</v>
      </c>
      <c r="G545" s="326" t="s">
        <v>677</v>
      </c>
      <c r="H545" s="321"/>
      <c r="I545" s="322" t="s">
        <v>44</v>
      </c>
      <c r="J545" s="326" t="s">
        <v>677</v>
      </c>
      <c r="K545" s="321" t="s">
        <v>677</v>
      </c>
      <c r="L545" s="322" t="s">
        <v>677</v>
      </c>
      <c r="M545" s="326" t="s">
        <v>677</v>
      </c>
      <c r="N545" s="321" t="s">
        <v>677</v>
      </c>
      <c r="O545" s="322" t="s">
        <v>677</v>
      </c>
      <c r="P545" s="326" t="s">
        <v>677</v>
      </c>
      <c r="Q545" s="321" t="s">
        <v>677</v>
      </c>
      <c r="R545" s="322" t="s">
        <v>677</v>
      </c>
      <c r="S545" s="326" t="s">
        <v>677</v>
      </c>
      <c r="T545" s="321" t="s">
        <v>677</v>
      </c>
      <c r="U545" s="322" t="s">
        <v>677</v>
      </c>
      <c r="V545" s="326" t="s">
        <v>677</v>
      </c>
      <c r="W545" s="321" t="s">
        <v>677</v>
      </c>
      <c r="X545" s="322" t="s">
        <v>677</v>
      </c>
      <c r="Y545" s="326" t="s">
        <v>677</v>
      </c>
      <c r="Z545" s="321" t="s">
        <v>677</v>
      </c>
      <c r="AA545" s="322" t="s">
        <v>677</v>
      </c>
      <c r="AB545" s="326" t="s">
        <v>677</v>
      </c>
      <c r="AC545" s="321" t="s">
        <v>677</v>
      </c>
      <c r="AD545" s="322" t="s">
        <v>677</v>
      </c>
      <c r="AE545" s="326" t="s">
        <v>677</v>
      </c>
      <c r="AF545" s="321" t="s">
        <v>677</v>
      </c>
      <c r="AG545" s="322" t="s">
        <v>677</v>
      </c>
      <c r="AH545" s="326" t="s">
        <v>677</v>
      </c>
      <c r="AI545" s="321" t="s">
        <v>677</v>
      </c>
      <c r="AJ545" s="322" t="s">
        <v>677</v>
      </c>
      <c r="AK545" s="326" t="s">
        <v>677</v>
      </c>
      <c r="AL545" s="321" t="s">
        <v>677</v>
      </c>
      <c r="AM545" s="322" t="s">
        <v>677</v>
      </c>
      <c r="AN545" s="316" t="s">
        <v>321</v>
      </c>
      <c r="AO545" s="316"/>
      <c r="AP545" s="316"/>
      <c r="AQ545" s="316"/>
      <c r="AR545" s="316"/>
      <c r="AS545" s="316"/>
      <c r="AT545" s="316"/>
      <c r="AU545" s="316"/>
      <c r="AV545" s="316"/>
      <c r="AW545" s="316"/>
      <c r="AX545" s="316"/>
      <c r="AY545" s="316"/>
      <c r="AZ545" s="316"/>
      <c r="BA545" s="316"/>
      <c r="BB545" s="316"/>
      <c r="BC545" s="316"/>
      <c r="BD545" s="316"/>
      <c r="BE545" s="316"/>
      <c r="BF545" s="316"/>
      <c r="BG545" s="316"/>
      <c r="BH545" s="316"/>
      <c r="BI545" s="316"/>
      <c r="BJ545" s="316"/>
      <c r="BK545" s="316"/>
      <c r="BL545" s="316"/>
      <c r="BM545" s="316"/>
      <c r="BN545" s="316"/>
    </row>
    <row r="546" hidden="1" outlineLevel="1">
      <c r="A546" s="303" t="s">
        <v>1813</v>
      </c>
      <c r="B546" s="317" t="s">
        <v>819</v>
      </c>
      <c r="C546" s="325" t="s">
        <v>47</v>
      </c>
      <c r="D546" s="326"/>
      <c r="E546" s="321"/>
      <c r="F546" s="322">
        <v>60850.0</v>
      </c>
      <c r="G546" s="326"/>
      <c r="H546" s="321"/>
      <c r="I546" s="322">
        <v>48740.0</v>
      </c>
      <c r="J546" s="326"/>
      <c r="K546" s="321"/>
      <c r="L546" s="322"/>
      <c r="M546" s="326"/>
      <c r="N546" s="321"/>
      <c r="O546" s="322"/>
      <c r="P546" s="326"/>
      <c r="Q546" s="321"/>
      <c r="R546" s="322"/>
      <c r="S546" s="326"/>
      <c r="T546" s="321"/>
      <c r="U546" s="322"/>
      <c r="V546" s="326"/>
      <c r="W546" s="321"/>
      <c r="X546" s="322"/>
      <c r="Y546" s="326"/>
      <c r="Z546" s="321"/>
      <c r="AA546" s="322"/>
      <c r="AB546" s="326"/>
      <c r="AC546" s="321"/>
      <c r="AD546" s="322"/>
      <c r="AE546" s="326"/>
      <c r="AF546" s="321"/>
      <c r="AG546" s="322"/>
      <c r="AH546" s="326"/>
      <c r="AI546" s="321"/>
      <c r="AJ546" s="322"/>
      <c r="AK546" s="326"/>
      <c r="AL546" s="321"/>
      <c r="AM546" s="322"/>
      <c r="AN546" s="316" t="s">
        <v>321</v>
      </c>
      <c r="AO546" s="316"/>
      <c r="AP546" s="316"/>
      <c r="AQ546" s="316"/>
      <c r="AR546" s="316"/>
      <c r="AS546" s="316"/>
      <c r="AT546" s="316"/>
      <c r="AU546" s="316"/>
      <c r="AV546" s="316"/>
      <c r="AW546" s="316"/>
      <c r="AX546" s="316"/>
      <c r="AY546" s="316"/>
      <c r="AZ546" s="316"/>
      <c r="BA546" s="316"/>
      <c r="BB546" s="316"/>
      <c r="BC546" s="316"/>
      <c r="BD546" s="316"/>
      <c r="BE546" s="316"/>
      <c r="BF546" s="316"/>
      <c r="BG546" s="316"/>
      <c r="BH546" s="316"/>
      <c r="BI546" s="316"/>
      <c r="BJ546" s="316"/>
      <c r="BK546" s="316"/>
      <c r="BL546" s="316"/>
      <c r="BM546" s="316"/>
      <c r="BN546" s="316"/>
    </row>
    <row r="547" hidden="1" outlineLevel="1">
      <c r="A547" s="303" t="s">
        <v>1813</v>
      </c>
      <c r="B547" s="317" t="s">
        <v>820</v>
      </c>
      <c r="C547" s="325" t="s">
        <v>49</v>
      </c>
      <c r="D547" s="326"/>
      <c r="E547" s="321"/>
      <c r="F547" s="322">
        <v>198880.0</v>
      </c>
      <c r="G547" s="326"/>
      <c r="H547" s="321"/>
      <c r="I547" s="322">
        <v>209670.0</v>
      </c>
      <c r="J547" s="326"/>
      <c r="K547" s="321"/>
      <c r="L547" s="322">
        <v>129570.0</v>
      </c>
      <c r="M547" s="326"/>
      <c r="N547" s="321"/>
      <c r="O547" s="322"/>
      <c r="P547" s="326"/>
      <c r="Q547" s="321"/>
      <c r="R547" s="322"/>
      <c r="S547" s="326"/>
      <c r="T547" s="321"/>
      <c r="U547" s="322"/>
      <c r="V547" s="326"/>
      <c r="W547" s="321"/>
      <c r="X547" s="322"/>
      <c r="Y547" s="326"/>
      <c r="Z547" s="321"/>
      <c r="AA547" s="322"/>
      <c r="AB547" s="326"/>
      <c r="AC547" s="321"/>
      <c r="AD547" s="322"/>
      <c r="AE547" s="326"/>
      <c r="AF547" s="321"/>
      <c r="AG547" s="322"/>
      <c r="AH547" s="326"/>
      <c r="AI547" s="321"/>
      <c r="AJ547" s="322"/>
      <c r="AK547" s="326"/>
      <c r="AL547" s="321"/>
      <c r="AM547" s="322"/>
      <c r="AN547" s="316" t="s">
        <v>321</v>
      </c>
      <c r="AO547" s="316"/>
      <c r="AP547" s="316"/>
      <c r="AQ547" s="316"/>
      <c r="AR547" s="316"/>
      <c r="AS547" s="316"/>
      <c r="AT547" s="316"/>
      <c r="AU547" s="316"/>
      <c r="AV547" s="316"/>
      <c r="AW547" s="316"/>
      <c r="AX547" s="316"/>
      <c r="AY547" s="316"/>
      <c r="AZ547" s="316"/>
      <c r="BA547" s="316"/>
      <c r="BB547" s="316"/>
      <c r="BC547" s="316"/>
      <c r="BD547" s="316"/>
      <c r="BE547" s="316"/>
      <c r="BF547" s="316"/>
      <c r="BG547" s="316"/>
      <c r="BH547" s="316"/>
      <c r="BI547" s="316"/>
      <c r="BJ547" s="316"/>
      <c r="BK547" s="316"/>
      <c r="BL547" s="316"/>
      <c r="BM547" s="316"/>
      <c r="BN547" s="316"/>
    </row>
    <row r="548" hidden="1" outlineLevel="1">
      <c r="A548" s="303" t="s">
        <v>1813</v>
      </c>
      <c r="B548" s="317" t="s">
        <v>821</v>
      </c>
      <c r="C548" s="325" t="s">
        <v>51</v>
      </c>
      <c r="D548" s="326"/>
      <c r="E548" s="321"/>
      <c r="F548" s="322">
        <v>26000.0</v>
      </c>
      <c r="G548" s="326"/>
      <c r="H548" s="321"/>
      <c r="I548" s="322">
        <v>26000.0</v>
      </c>
      <c r="J548" s="326"/>
      <c r="K548" s="321"/>
      <c r="L548" s="322">
        <v>26000.0</v>
      </c>
      <c r="M548" s="326"/>
      <c r="N548" s="321"/>
      <c r="O548" s="322">
        <v>26000.0</v>
      </c>
      <c r="P548" s="326"/>
      <c r="Q548" s="321"/>
      <c r="R548" s="322">
        <v>26000.0</v>
      </c>
      <c r="S548" s="326"/>
      <c r="T548" s="321"/>
      <c r="U548" s="322">
        <v>26000.0</v>
      </c>
      <c r="V548" s="326"/>
      <c r="W548" s="321"/>
      <c r="X548" s="322">
        <v>26000.0</v>
      </c>
      <c r="Y548" s="326"/>
      <c r="Z548" s="321"/>
      <c r="AA548" s="322">
        <v>26000.0</v>
      </c>
      <c r="AB548" s="326"/>
      <c r="AC548" s="321"/>
      <c r="AD548" s="322">
        <v>26000.0</v>
      </c>
      <c r="AE548" s="326"/>
      <c r="AF548" s="321"/>
      <c r="AG548" s="322">
        <v>26000.0</v>
      </c>
      <c r="AH548" s="326"/>
      <c r="AI548" s="321"/>
      <c r="AJ548" s="322">
        <v>26000.0</v>
      </c>
      <c r="AK548" s="326"/>
      <c r="AL548" s="321"/>
      <c r="AM548" s="322">
        <v>26000.0</v>
      </c>
      <c r="AN548" s="316" t="s">
        <v>321</v>
      </c>
      <c r="AO548" s="316"/>
      <c r="AP548" s="316"/>
      <c r="AQ548" s="316"/>
      <c r="AR548" s="316"/>
      <c r="AS548" s="316"/>
      <c r="AT548" s="316"/>
      <c r="AU548" s="316"/>
      <c r="AV548" s="316"/>
      <c r="AW548" s="316"/>
      <c r="AX548" s="316"/>
      <c r="AY548" s="316"/>
      <c r="AZ548" s="316"/>
      <c r="BA548" s="316"/>
      <c r="BB548" s="316"/>
      <c r="BC548" s="316"/>
      <c r="BD548" s="316"/>
      <c r="BE548" s="316"/>
      <c r="BF548" s="316"/>
      <c r="BG548" s="316"/>
      <c r="BH548" s="316"/>
      <c r="BI548" s="316"/>
      <c r="BJ548" s="316"/>
      <c r="BK548" s="316"/>
      <c r="BL548" s="316"/>
      <c r="BM548" s="316"/>
      <c r="BN548" s="316"/>
    </row>
    <row r="549" hidden="1" outlineLevel="1">
      <c r="A549" s="303" t="s">
        <v>1813</v>
      </c>
      <c r="B549" s="304"/>
      <c r="C549" s="325" t="s">
        <v>52</v>
      </c>
      <c r="D549" s="326"/>
      <c r="E549" s="321"/>
      <c r="F549" s="322">
        <v>22000.0</v>
      </c>
      <c r="G549" s="326"/>
      <c r="H549" s="321"/>
      <c r="I549" s="322">
        <v>22000.0</v>
      </c>
      <c r="J549" s="326"/>
      <c r="K549" s="321"/>
      <c r="L549" s="322">
        <v>22000.0</v>
      </c>
      <c r="M549" s="326"/>
      <c r="N549" s="321"/>
      <c r="O549" s="322">
        <v>22000.0</v>
      </c>
      <c r="P549" s="326"/>
      <c r="Q549" s="321"/>
      <c r="R549" s="322">
        <v>22000.0</v>
      </c>
      <c r="S549" s="326"/>
      <c r="T549" s="321"/>
      <c r="U549" s="322">
        <v>22000.0</v>
      </c>
      <c r="V549" s="326"/>
      <c r="W549" s="321"/>
      <c r="X549" s="322">
        <v>22000.0</v>
      </c>
      <c r="Y549" s="326"/>
      <c r="Z549" s="321"/>
      <c r="AA549" s="322">
        <v>22000.0</v>
      </c>
      <c r="AB549" s="326"/>
      <c r="AC549" s="321"/>
      <c r="AD549" s="322">
        <v>22000.0</v>
      </c>
      <c r="AE549" s="326"/>
      <c r="AF549" s="321"/>
      <c r="AG549" s="322">
        <v>22000.0</v>
      </c>
      <c r="AH549" s="326"/>
      <c r="AI549" s="321"/>
      <c r="AJ549" s="322">
        <v>22000.0</v>
      </c>
      <c r="AK549" s="326"/>
      <c r="AL549" s="321"/>
      <c r="AM549" s="322">
        <v>22000.0</v>
      </c>
      <c r="AN549" s="316" t="s">
        <v>321</v>
      </c>
      <c r="AO549" s="316"/>
      <c r="AP549" s="316"/>
      <c r="AQ549" s="316"/>
      <c r="AR549" s="316"/>
      <c r="AS549" s="316"/>
      <c r="AT549" s="316"/>
      <c r="AU549" s="316"/>
      <c r="AV549" s="316"/>
      <c r="AW549" s="316"/>
      <c r="AX549" s="316"/>
      <c r="AY549" s="316"/>
      <c r="AZ549" s="316"/>
      <c r="BA549" s="316"/>
      <c r="BB549" s="316"/>
      <c r="BC549" s="316"/>
      <c r="BD549" s="316"/>
      <c r="BE549" s="316"/>
      <c r="BF549" s="316"/>
      <c r="BG549" s="316"/>
      <c r="BH549" s="316"/>
      <c r="BI549" s="316"/>
      <c r="BJ549" s="316"/>
      <c r="BK549" s="316"/>
      <c r="BL549" s="316"/>
      <c r="BM549" s="316"/>
      <c r="BN549" s="316"/>
    </row>
    <row r="550" hidden="1" outlineLevel="1">
      <c r="A550" s="303" t="s">
        <v>1813</v>
      </c>
      <c r="B550" s="304"/>
      <c r="C550" s="325" t="s">
        <v>53</v>
      </c>
      <c r="D550" s="326"/>
      <c r="E550" s="321"/>
      <c r="F550" s="322">
        <v>10000.0</v>
      </c>
      <c r="G550" s="326"/>
      <c r="H550" s="321"/>
      <c r="I550" s="322">
        <v>10000.0</v>
      </c>
      <c r="J550" s="326"/>
      <c r="K550" s="321"/>
      <c r="L550" s="322">
        <v>10000.0</v>
      </c>
      <c r="M550" s="326"/>
      <c r="N550" s="321"/>
      <c r="O550" s="322">
        <v>10000.0</v>
      </c>
      <c r="P550" s="326"/>
      <c r="Q550" s="321"/>
      <c r="R550" s="322">
        <v>10000.0</v>
      </c>
      <c r="S550" s="326"/>
      <c r="T550" s="321"/>
      <c r="U550" s="322">
        <v>10000.0</v>
      </c>
      <c r="V550" s="326"/>
      <c r="W550" s="321"/>
      <c r="X550" s="322">
        <v>10000.0</v>
      </c>
      <c r="Y550" s="326"/>
      <c r="Z550" s="321"/>
      <c r="AA550" s="322">
        <v>10000.0</v>
      </c>
      <c r="AB550" s="326"/>
      <c r="AC550" s="321"/>
      <c r="AD550" s="322">
        <v>10000.0</v>
      </c>
      <c r="AE550" s="326"/>
      <c r="AF550" s="321"/>
      <c r="AG550" s="322">
        <v>10000.0</v>
      </c>
      <c r="AH550" s="326"/>
      <c r="AI550" s="321"/>
      <c r="AJ550" s="322">
        <v>10000.0</v>
      </c>
      <c r="AK550" s="326"/>
      <c r="AL550" s="321"/>
      <c r="AM550" s="322">
        <v>10000.0</v>
      </c>
      <c r="AN550" s="316" t="s">
        <v>321</v>
      </c>
      <c r="AO550" s="316"/>
      <c r="AP550" s="316"/>
      <c r="AQ550" s="316"/>
      <c r="AR550" s="316"/>
      <c r="AS550" s="316"/>
      <c r="AT550" s="316"/>
      <c r="AU550" s="316"/>
      <c r="AV550" s="316"/>
      <c r="AW550" s="316"/>
      <c r="AX550" s="316"/>
      <c r="AY550" s="316"/>
      <c r="AZ550" s="316"/>
      <c r="BA550" s="316"/>
      <c r="BB550" s="316"/>
      <c r="BC550" s="316"/>
      <c r="BD550" s="316"/>
      <c r="BE550" s="316"/>
      <c r="BF550" s="316"/>
      <c r="BG550" s="316"/>
      <c r="BH550" s="316"/>
      <c r="BI550" s="316"/>
      <c r="BJ550" s="316"/>
      <c r="BK550" s="316"/>
      <c r="BL550" s="316"/>
      <c r="BM550" s="316"/>
      <c r="BN550" s="316"/>
    </row>
    <row r="551" hidden="1" outlineLevel="1">
      <c r="A551" s="303" t="s">
        <v>1813</v>
      </c>
      <c r="B551" s="304"/>
      <c r="C551" s="325" t="s">
        <v>54</v>
      </c>
      <c r="D551" s="327"/>
      <c r="E551" s="321"/>
      <c r="F551" s="322">
        <f>SUMIFS('지출'!$G$3:$G794,'지출'!$J$3:$J794,F$1,'지출'!$C$3:$C794,"상상")</f>
        <v>61790</v>
      </c>
      <c r="G551" s="327"/>
      <c r="H551" s="321"/>
      <c r="I551" s="322">
        <f>SUMIFS('지출'!$G$3:$G794,'지출'!$J$3:$J794,I$1,'지출'!$C$3:$C794,"상상")</f>
        <v>40000</v>
      </c>
      <c r="J551" s="327"/>
      <c r="K551" s="321"/>
      <c r="L551" s="322">
        <f>SUMIFS('지출'!$G$3:$G794,'지출'!$J$3:$J794,L$1,'지출'!$C$3:$C794,"상상")</f>
        <v>35200</v>
      </c>
      <c r="M551" s="327"/>
      <c r="N551" s="321"/>
      <c r="O551" s="322">
        <f>SUMIFS('지출'!$G$3:$G794,'지출'!$J$3:$J794,O$1,'지출'!$C$3:$C794,"상상")</f>
        <v>0</v>
      </c>
      <c r="P551" s="327"/>
      <c r="Q551" s="321"/>
      <c r="R551" s="322">
        <f>SUMIFS('지출'!$G$3:$G794,'지출'!$J$3:$J794,R$1,'지출'!$C$3:$C794,"상상")</f>
        <v>0</v>
      </c>
      <c r="S551" s="327"/>
      <c r="T551" s="321"/>
      <c r="U551" s="322">
        <f>SUMIFS('지출'!$G$3:$G794,'지출'!$J$3:$J794,U$1,'지출'!$C$3:$C794,"상상")</f>
        <v>0</v>
      </c>
      <c r="V551" s="327"/>
      <c r="W551" s="321"/>
      <c r="X551" s="322">
        <f>SUMIFS('지출'!$G$3:$G794,'지출'!$J$3:$J794,X$1,'지출'!$C$3:$C794,"상상")</f>
        <v>0</v>
      </c>
      <c r="Y551" s="327"/>
      <c r="Z551" s="321"/>
      <c r="AA551" s="322">
        <f>SUMIFS('지출'!$G$3:$G794,'지출'!$J$3:$J794,AA$1,'지출'!$C$3:$C794,"상상")</f>
        <v>0</v>
      </c>
      <c r="AB551" s="327"/>
      <c r="AC551" s="321"/>
      <c r="AD551" s="322">
        <f>SUMIFS('지출'!$G$3:$G794,'지출'!$J$3:$J794,AD$1,'지출'!$C$3:$C794,"상상")</f>
        <v>0</v>
      </c>
      <c r="AE551" s="327"/>
      <c r="AF551" s="321"/>
      <c r="AG551" s="322">
        <f>SUMIFS('지출'!$G$3:$G794,'지출'!$J$3:$J794,AG$1,'지출'!$C$3:$C794,"상상")</f>
        <v>0</v>
      </c>
      <c r="AH551" s="327"/>
      <c r="AI551" s="321"/>
      <c r="AJ551" s="322">
        <f>SUMIFS('지출'!$G$3:$G794,'지출'!$J$3:$J794,AJ$1,'지출'!$C$3:$C794,"상상")</f>
        <v>0</v>
      </c>
      <c r="AK551" s="327"/>
      <c r="AL551" s="321"/>
      <c r="AM551" s="322">
        <f>SUMIFS('지출'!$G$3:$G794,'지출'!$J$3:$J794,AM$1,'지출'!$C$3:$C794,"상상")</f>
        <v>0</v>
      </c>
      <c r="AN551" s="316" t="s">
        <v>321</v>
      </c>
      <c r="AO551" s="316"/>
      <c r="AP551" s="316"/>
      <c r="AQ551" s="316"/>
      <c r="AR551" s="316"/>
      <c r="AS551" s="316"/>
      <c r="AT551" s="316"/>
      <c r="AU551" s="316"/>
      <c r="AV551" s="316"/>
      <c r="AW551" s="316"/>
      <c r="AX551" s="316"/>
      <c r="AY551" s="316"/>
      <c r="AZ551" s="316"/>
      <c r="BA551" s="316"/>
      <c r="BB551" s="316"/>
      <c r="BC551" s="316"/>
      <c r="BD551" s="316"/>
      <c r="BE551" s="316"/>
      <c r="BF551" s="316"/>
      <c r="BG551" s="316"/>
      <c r="BH551" s="316"/>
      <c r="BI551" s="316"/>
      <c r="BJ551" s="316"/>
      <c r="BK551" s="316"/>
      <c r="BL551" s="316"/>
      <c r="BM551" s="316"/>
      <c r="BN551" s="316"/>
    </row>
    <row r="552" hidden="1" outlineLevel="1">
      <c r="A552" s="303" t="s">
        <v>1813</v>
      </c>
      <c r="B552" s="304"/>
      <c r="C552" s="325" t="s">
        <v>56</v>
      </c>
      <c r="D552" s="320"/>
      <c r="E552" s="323">
        <f t="shared" ref="E552:F552" si="746">E543-(SUM(E544:E551))</f>
        <v>1114839</v>
      </c>
      <c r="F552" s="324">
        <f t="shared" si="746"/>
        <v>20480</v>
      </c>
      <c r="G552" s="320"/>
      <c r="H552" s="323">
        <f t="shared" ref="H552:I552" si="747">H543-(SUM(H544:H551))</f>
        <v>1083929</v>
      </c>
      <c r="I552" s="324">
        <f t="shared" si="747"/>
        <v>61447</v>
      </c>
      <c r="J552" s="320"/>
      <c r="K552" s="323">
        <f t="shared" ref="K552:L552" si="748">K543-(SUM(K544:K551))</f>
        <v>990000</v>
      </c>
      <c r="L552" s="324">
        <f t="shared" si="748"/>
        <v>177230</v>
      </c>
      <c r="M552" s="320"/>
      <c r="N552" s="323">
        <f t="shared" ref="N552:O552" si="749">N543-(SUM(N544:N551))</f>
        <v>990000</v>
      </c>
      <c r="O552" s="324">
        <f t="shared" si="749"/>
        <v>342000</v>
      </c>
      <c r="P552" s="320"/>
      <c r="Q552" s="323">
        <f t="shared" ref="Q552:R552" si="750">Q543-(SUM(Q544:Q551))</f>
        <v>990000</v>
      </c>
      <c r="R552" s="324">
        <f t="shared" si="750"/>
        <v>342000</v>
      </c>
      <c r="S552" s="320"/>
      <c r="T552" s="323">
        <f t="shared" ref="T552:U552" si="751">T543-(SUM(T544:T551))</f>
        <v>990000</v>
      </c>
      <c r="U552" s="324">
        <f t="shared" si="751"/>
        <v>342000</v>
      </c>
      <c r="V552" s="320"/>
      <c r="W552" s="323">
        <f t="shared" ref="W552:X552" si="752">W543-(SUM(W544:W551))</f>
        <v>990000</v>
      </c>
      <c r="X552" s="324">
        <f t="shared" si="752"/>
        <v>342000</v>
      </c>
      <c r="Y552" s="320"/>
      <c r="Z552" s="323">
        <f t="shared" ref="Z552:AA552" si="753">Z543-(SUM(Z544:Z551))</f>
        <v>440000</v>
      </c>
      <c r="AA552" s="324">
        <f t="shared" si="753"/>
        <v>242000</v>
      </c>
      <c r="AB552" s="320"/>
      <c r="AC552" s="323">
        <f t="shared" ref="AC552:AD552" si="754">AC543-(SUM(AC544:AC551))</f>
        <v>-130000</v>
      </c>
      <c r="AD552" s="324">
        <f t="shared" si="754"/>
        <v>142000</v>
      </c>
      <c r="AE552" s="320"/>
      <c r="AF552" s="323">
        <f t="shared" ref="AF552:AG552" si="755">AF543-(SUM(AF544:AF551))</f>
        <v>-130000</v>
      </c>
      <c r="AG552" s="324">
        <f t="shared" si="755"/>
        <v>142000</v>
      </c>
      <c r="AH552" s="320"/>
      <c r="AI552" s="323">
        <f t="shared" ref="AI552:AJ552" si="756">AI543-(SUM(AI544:AI551))</f>
        <v>-130000</v>
      </c>
      <c r="AJ552" s="324">
        <f t="shared" si="756"/>
        <v>142000</v>
      </c>
      <c r="AK552" s="320"/>
      <c r="AL552" s="323">
        <f t="shared" ref="AL552:AM552" si="757">AL543-(SUM(AL544:AL551))</f>
        <v>-130000</v>
      </c>
      <c r="AM552" s="324">
        <f t="shared" si="757"/>
        <v>142000</v>
      </c>
      <c r="AN552" s="316" t="s">
        <v>321</v>
      </c>
      <c r="AO552" s="316"/>
      <c r="AP552" s="316"/>
      <c r="AQ552" s="316"/>
      <c r="AR552" s="316"/>
      <c r="AS552" s="316"/>
      <c r="AT552" s="316"/>
      <c r="AU552" s="316"/>
      <c r="AV552" s="316"/>
      <c r="AW552" s="316"/>
      <c r="AX552" s="316"/>
      <c r="AY552" s="316"/>
      <c r="AZ552" s="316"/>
      <c r="BA552" s="316"/>
      <c r="BB552" s="316"/>
      <c r="BC552" s="316"/>
      <c r="BD552" s="316"/>
      <c r="BE552" s="316"/>
      <c r="BF552" s="316"/>
      <c r="BG552" s="316"/>
      <c r="BH552" s="316"/>
      <c r="BI552" s="316"/>
      <c r="BJ552" s="316"/>
      <c r="BK552" s="316"/>
      <c r="BL552" s="316"/>
      <c r="BM552" s="316"/>
      <c r="BN552" s="316"/>
    </row>
    <row r="553">
      <c r="A553" s="303" t="s">
        <v>1813</v>
      </c>
      <c r="B553" s="328">
        <v>0.0</v>
      </c>
      <c r="C553" s="325" t="s">
        <v>26</v>
      </c>
      <c r="D553" s="320"/>
      <c r="E553" s="323">
        <f>E552*$B553</f>
        <v>0</v>
      </c>
      <c r="F553" s="324"/>
      <c r="G553" s="320"/>
      <c r="H553" s="323">
        <f>H552*$B553</f>
        <v>0</v>
      </c>
      <c r="I553" s="324"/>
      <c r="J553" s="320"/>
      <c r="K553" s="323">
        <f>K552*$B553</f>
        <v>0</v>
      </c>
      <c r="L553" s="324"/>
      <c r="M553" s="320"/>
      <c r="N553" s="323">
        <f>N552*$B553</f>
        <v>0</v>
      </c>
      <c r="O553" s="324"/>
      <c r="P553" s="320"/>
      <c r="Q553" s="323">
        <f>Q552*$B553</f>
        <v>0</v>
      </c>
      <c r="R553" s="324"/>
      <c r="S553" s="320"/>
      <c r="T553" s="323">
        <f>T552*$B553</f>
        <v>0</v>
      </c>
      <c r="U553" s="324"/>
      <c r="V553" s="320"/>
      <c r="W553" s="323">
        <f>W552*$B553</f>
        <v>0</v>
      </c>
      <c r="X553" s="324"/>
      <c r="Y553" s="320"/>
      <c r="Z553" s="323">
        <f>Z552*$B553</f>
        <v>0</v>
      </c>
      <c r="AA553" s="324"/>
      <c r="AB553" s="320"/>
      <c r="AC553" s="323">
        <f>AC552*$B553</f>
        <v>0</v>
      </c>
      <c r="AD553" s="324"/>
      <c r="AE553" s="320"/>
      <c r="AF553" s="323">
        <f>AF552*$B553</f>
        <v>0</v>
      </c>
      <c r="AG553" s="324"/>
      <c r="AH553" s="320"/>
      <c r="AI553" s="323">
        <f>AI552*$B553</f>
        <v>0</v>
      </c>
      <c r="AJ553" s="324"/>
      <c r="AK553" s="320"/>
      <c r="AL553" s="323">
        <f>AL552*$B553</f>
        <v>0</v>
      </c>
      <c r="AM553" s="324"/>
      <c r="AN553" s="316" t="s">
        <v>321</v>
      </c>
      <c r="AO553" s="316"/>
      <c r="AP553" s="316"/>
      <c r="AQ553" s="316"/>
      <c r="AR553" s="316"/>
      <c r="AS553" s="316"/>
      <c r="AT553" s="316"/>
      <c r="AU553" s="316"/>
      <c r="AV553" s="316"/>
      <c r="AW553" s="316"/>
      <c r="AX553" s="316"/>
      <c r="AY553" s="316"/>
      <c r="AZ553" s="316"/>
      <c r="BA553" s="316"/>
      <c r="BB553" s="316"/>
      <c r="BC553" s="316"/>
      <c r="BD553" s="316"/>
      <c r="BE553" s="316"/>
      <c r="BF553" s="316"/>
      <c r="BG553" s="316"/>
      <c r="BH553" s="316"/>
      <c r="BI553" s="316"/>
      <c r="BJ553" s="316"/>
      <c r="BK553" s="316"/>
      <c r="BL553" s="316"/>
      <c r="BM553" s="316"/>
      <c r="BN553" s="316"/>
    </row>
    <row r="554">
      <c r="A554" s="303" t="s">
        <v>1813</v>
      </c>
      <c r="B554" s="329">
        <v>1.0</v>
      </c>
      <c r="C554" s="330" t="s">
        <v>57</v>
      </c>
      <c r="D554" s="331"/>
      <c r="E554" s="332">
        <f>E552*$B554</f>
        <v>1114839</v>
      </c>
      <c r="F554" s="333"/>
      <c r="G554" s="331"/>
      <c r="H554" s="332">
        <f>H552*$B554</f>
        <v>1083929</v>
      </c>
      <c r="I554" s="333"/>
      <c r="J554" s="331"/>
      <c r="K554" s="332">
        <f>K552*$B554</f>
        <v>990000</v>
      </c>
      <c r="L554" s="333"/>
      <c r="M554" s="331"/>
      <c r="N554" s="332">
        <f>N552*$B554</f>
        <v>990000</v>
      </c>
      <c r="O554" s="333"/>
      <c r="P554" s="331"/>
      <c r="Q554" s="332">
        <f>Q552*$B554</f>
        <v>990000</v>
      </c>
      <c r="R554" s="333"/>
      <c r="S554" s="331"/>
      <c r="T554" s="332">
        <f>T552*$B554</f>
        <v>990000</v>
      </c>
      <c r="U554" s="333"/>
      <c r="V554" s="331"/>
      <c r="W554" s="332">
        <f>W552*$B554</f>
        <v>990000</v>
      </c>
      <c r="X554" s="333"/>
      <c r="Y554" s="331"/>
      <c r="Z554" s="332">
        <f>Z552*$B554</f>
        <v>440000</v>
      </c>
      <c r="AA554" s="333"/>
      <c r="AB554" s="331"/>
      <c r="AC554" s="332">
        <f>AC552*$B554</f>
        <v>-130000</v>
      </c>
      <c r="AD554" s="333"/>
      <c r="AE554" s="331"/>
      <c r="AF554" s="332">
        <f>AF552*$B554</f>
        <v>-130000</v>
      </c>
      <c r="AG554" s="333"/>
      <c r="AH554" s="331"/>
      <c r="AI554" s="332">
        <f>AI552*$B554</f>
        <v>-130000</v>
      </c>
      <c r="AJ554" s="333"/>
      <c r="AK554" s="331"/>
      <c r="AL554" s="332">
        <f>AL552*$B554</f>
        <v>-130000</v>
      </c>
      <c r="AM554" s="333"/>
      <c r="AN554" s="316" t="s">
        <v>321</v>
      </c>
      <c r="AO554" s="316"/>
      <c r="AP554" s="316"/>
      <c r="AQ554" s="316"/>
      <c r="AR554" s="316"/>
      <c r="AS554" s="316"/>
      <c r="AT554" s="316"/>
      <c r="AU554" s="316"/>
      <c r="AV554" s="316"/>
      <c r="AW554" s="316"/>
      <c r="AX554" s="316"/>
      <c r="AY554" s="316"/>
      <c r="AZ554" s="316"/>
      <c r="BA554" s="316"/>
      <c r="BB554" s="316"/>
      <c r="BC554" s="316"/>
      <c r="BD554" s="316"/>
      <c r="BE554" s="316"/>
      <c r="BF554" s="316"/>
      <c r="BG554" s="316"/>
      <c r="BH554" s="316"/>
      <c r="BI554" s="316"/>
      <c r="BJ554" s="316"/>
      <c r="BK554" s="316"/>
      <c r="BL554" s="316"/>
      <c r="BM554" s="316"/>
      <c r="BN554" s="316"/>
    </row>
    <row r="555">
      <c r="A555" s="303" t="s">
        <v>2298</v>
      </c>
      <c r="B555" s="384" t="s">
        <v>897</v>
      </c>
      <c r="C555" s="385" t="s">
        <v>898</v>
      </c>
      <c r="D555" s="341" t="s">
        <v>899</v>
      </c>
      <c r="E555" s="335">
        <v>590000.0</v>
      </c>
      <c r="F555" s="386">
        <f>80000+17000</f>
        <v>97000</v>
      </c>
      <c r="G555" s="341" t="s">
        <v>899</v>
      </c>
      <c r="H555" s="335">
        <v>590000.0</v>
      </c>
      <c r="I555" s="386">
        <f>80000+17000</f>
        <v>97000</v>
      </c>
      <c r="J555" s="341" t="s">
        <v>899</v>
      </c>
      <c r="K555" s="335">
        <v>590000.0</v>
      </c>
      <c r="L555" s="344">
        <v>100000.0</v>
      </c>
      <c r="M555" s="341" t="s">
        <v>899</v>
      </c>
      <c r="N555" s="335">
        <v>590000.0</v>
      </c>
      <c r="O555" s="345">
        <v>100000.0</v>
      </c>
      <c r="P555" s="353" t="s">
        <v>2299</v>
      </c>
      <c r="Q555" s="335">
        <v>590000.0</v>
      </c>
      <c r="R555" s="345">
        <v>100000.0</v>
      </c>
      <c r="S555" s="326"/>
      <c r="T555" s="323"/>
      <c r="U555" s="322"/>
      <c r="V555" s="326"/>
      <c r="W555" s="323"/>
      <c r="X555" s="322"/>
      <c r="Y555" s="326"/>
      <c r="Z555" s="323"/>
      <c r="AA555" s="322"/>
      <c r="AB555" s="326"/>
      <c r="AC555" s="323"/>
      <c r="AD555" s="322"/>
      <c r="AE555" s="326"/>
      <c r="AF555" s="323"/>
      <c r="AG555" s="322"/>
      <c r="AH555" s="326"/>
      <c r="AI555" s="323"/>
      <c r="AJ555" s="322"/>
      <c r="AK555" s="326"/>
      <c r="AL555" s="323"/>
      <c r="AM555" s="322"/>
      <c r="AN555" s="316" t="s">
        <v>33</v>
      </c>
      <c r="AO555" s="316"/>
      <c r="AP555" s="316"/>
      <c r="AQ555" s="316"/>
      <c r="AR555" s="316"/>
      <c r="AS555" s="316"/>
      <c r="AT555" s="316"/>
      <c r="AU555" s="316"/>
      <c r="AV555" s="316"/>
      <c r="AW555" s="316"/>
      <c r="AX555" s="316"/>
      <c r="AY555" s="316"/>
      <c r="AZ555" s="316"/>
      <c r="BA555" s="316"/>
      <c r="BB555" s="316"/>
      <c r="BC555" s="316"/>
      <c r="BD555" s="316"/>
      <c r="BE555" s="316"/>
      <c r="BF555" s="316"/>
      <c r="BG555" s="316"/>
      <c r="BH555" s="316"/>
      <c r="BI555" s="316"/>
      <c r="BJ555" s="316"/>
      <c r="BK555" s="316"/>
      <c r="BL555" s="316"/>
      <c r="BM555" s="316"/>
      <c r="BN555" s="316"/>
    </row>
    <row r="556">
      <c r="A556" s="303" t="s">
        <v>2298</v>
      </c>
      <c r="B556" s="317" t="s">
        <v>902</v>
      </c>
      <c r="C556" s="385" t="s">
        <v>614</v>
      </c>
      <c r="D556" s="341" t="s">
        <v>2300</v>
      </c>
      <c r="E556" s="335">
        <v>560000.0</v>
      </c>
      <c r="F556" s="346">
        <v>100000.0</v>
      </c>
      <c r="G556" s="353" t="s">
        <v>2301</v>
      </c>
      <c r="H556" s="348">
        <v>380000.0</v>
      </c>
      <c r="I556" s="345">
        <v>67857.0</v>
      </c>
      <c r="J556" s="326" t="s">
        <v>2302</v>
      </c>
      <c r="K556" s="348">
        <v>510000.0</v>
      </c>
      <c r="L556" s="345">
        <f>100000+17000</f>
        <v>117000</v>
      </c>
      <c r="M556" s="326" t="s">
        <v>1844</v>
      </c>
      <c r="N556" s="348">
        <v>510000.0</v>
      </c>
      <c r="O556" s="345">
        <v>100000.0</v>
      </c>
      <c r="P556" s="326" t="s">
        <v>1844</v>
      </c>
      <c r="Q556" s="348">
        <v>510000.0</v>
      </c>
      <c r="R556" s="345">
        <v>100000.0</v>
      </c>
      <c r="S556" s="326" t="s">
        <v>1844</v>
      </c>
      <c r="T556" s="348">
        <v>510000.0</v>
      </c>
      <c r="U556" s="345">
        <v>100000.0</v>
      </c>
      <c r="V556" s="326" t="s">
        <v>1844</v>
      </c>
      <c r="W556" s="348">
        <v>510000.0</v>
      </c>
      <c r="X556" s="345">
        <v>100000.0</v>
      </c>
      <c r="Y556" s="326" t="s">
        <v>1844</v>
      </c>
      <c r="Z556" s="348">
        <v>510000.0</v>
      </c>
      <c r="AA556" s="345">
        <v>100000.0</v>
      </c>
      <c r="AB556" s="326" t="s">
        <v>1844</v>
      </c>
      <c r="AC556" s="348">
        <v>510000.0</v>
      </c>
      <c r="AD556" s="345">
        <v>100000.0</v>
      </c>
      <c r="AE556" s="326" t="s">
        <v>1844</v>
      </c>
      <c r="AF556" s="348">
        <v>510000.0</v>
      </c>
      <c r="AG556" s="345">
        <v>100000.0</v>
      </c>
      <c r="AH556" s="326" t="s">
        <v>1844</v>
      </c>
      <c r="AI556" s="348">
        <v>510000.0</v>
      </c>
      <c r="AJ556" s="345">
        <v>100000.0</v>
      </c>
      <c r="AK556" s="326" t="s">
        <v>2303</v>
      </c>
      <c r="AL556" s="348">
        <v>510000.0</v>
      </c>
      <c r="AM556" s="345">
        <v>100000.0</v>
      </c>
      <c r="AN556" s="316" t="s">
        <v>33</v>
      </c>
      <c r="AO556" s="316"/>
      <c r="AP556" s="316"/>
      <c r="AQ556" s="316"/>
      <c r="AR556" s="316"/>
      <c r="AS556" s="316"/>
      <c r="AT556" s="316"/>
      <c r="AU556" s="316"/>
      <c r="AV556" s="316"/>
      <c r="AW556" s="316"/>
      <c r="AX556" s="316"/>
      <c r="AY556" s="316"/>
      <c r="AZ556" s="316"/>
      <c r="BA556" s="316"/>
      <c r="BB556" s="316"/>
      <c r="BC556" s="316"/>
      <c r="BD556" s="316"/>
      <c r="BE556" s="316"/>
      <c r="BF556" s="316"/>
      <c r="BG556" s="316"/>
      <c r="BH556" s="316"/>
      <c r="BI556" s="316"/>
      <c r="BJ556" s="316"/>
      <c r="BK556" s="316"/>
      <c r="BL556" s="316"/>
      <c r="BM556" s="316"/>
      <c r="BN556" s="316"/>
    </row>
    <row r="557">
      <c r="A557" s="303" t="s">
        <v>2298</v>
      </c>
      <c r="B557" s="317" t="s">
        <v>908</v>
      </c>
      <c r="C557" s="385" t="s">
        <v>909</v>
      </c>
      <c r="D557" s="341" t="s">
        <v>910</v>
      </c>
      <c r="E557" s="335">
        <v>430000.0</v>
      </c>
      <c r="F557" s="346">
        <v>80000.0</v>
      </c>
      <c r="G557" s="341" t="s">
        <v>910</v>
      </c>
      <c r="H557" s="335">
        <v>430000.0</v>
      </c>
      <c r="I557" s="346">
        <v>80000.0</v>
      </c>
      <c r="J557" s="341" t="s">
        <v>910</v>
      </c>
      <c r="K557" s="335">
        <v>430000.0</v>
      </c>
      <c r="L557" s="345">
        <v>100000.0</v>
      </c>
      <c r="M557" s="341" t="s">
        <v>910</v>
      </c>
      <c r="N557" s="335">
        <v>430000.0</v>
      </c>
      <c r="O557" s="345">
        <v>100000.0</v>
      </c>
      <c r="P557" s="341" t="s">
        <v>910</v>
      </c>
      <c r="Q557" s="335">
        <v>430000.0</v>
      </c>
      <c r="R557" s="345">
        <v>100000.0</v>
      </c>
      <c r="S557" s="341" t="s">
        <v>910</v>
      </c>
      <c r="T557" s="335">
        <v>430000.0</v>
      </c>
      <c r="U557" s="345">
        <v>100000.0</v>
      </c>
      <c r="V557" s="341" t="s">
        <v>910</v>
      </c>
      <c r="W557" s="335">
        <v>430000.0</v>
      </c>
      <c r="X557" s="345">
        <v>100000.0</v>
      </c>
      <c r="Y557" s="341" t="s">
        <v>910</v>
      </c>
      <c r="Z557" s="335">
        <v>430000.0</v>
      </c>
      <c r="AA557" s="345">
        <v>100000.0</v>
      </c>
      <c r="AB557" s="341" t="s">
        <v>910</v>
      </c>
      <c r="AC557" s="335">
        <v>430000.0</v>
      </c>
      <c r="AD557" s="345">
        <v>100000.0</v>
      </c>
      <c r="AE557" s="341" t="s">
        <v>910</v>
      </c>
      <c r="AF557" s="335">
        <v>430000.0</v>
      </c>
      <c r="AG557" s="345">
        <v>100000.0</v>
      </c>
      <c r="AH557" s="341" t="s">
        <v>910</v>
      </c>
      <c r="AI557" s="335">
        <v>430000.0</v>
      </c>
      <c r="AJ557" s="345">
        <v>100000.0</v>
      </c>
      <c r="AK557" s="341" t="s">
        <v>910</v>
      </c>
      <c r="AL557" s="335">
        <v>430000.0</v>
      </c>
      <c r="AM557" s="345">
        <v>100000.0</v>
      </c>
      <c r="AN557" s="316" t="s">
        <v>33</v>
      </c>
      <c r="AO557" s="316"/>
      <c r="AP557" s="316"/>
      <c r="AQ557" s="316"/>
      <c r="AR557" s="316"/>
      <c r="AS557" s="316"/>
      <c r="AT557" s="316"/>
      <c r="AU557" s="316"/>
      <c r="AV557" s="316"/>
      <c r="AW557" s="316"/>
      <c r="AX557" s="316"/>
      <c r="AY557" s="316"/>
      <c r="AZ557" s="316"/>
      <c r="BA557" s="316"/>
      <c r="BB557" s="316"/>
      <c r="BC557" s="316"/>
      <c r="BD557" s="316"/>
      <c r="BE557" s="316"/>
      <c r="BF557" s="316"/>
      <c r="BG557" s="316"/>
      <c r="BH557" s="316"/>
      <c r="BI557" s="316"/>
      <c r="BJ557" s="316"/>
      <c r="BK557" s="316"/>
      <c r="BL557" s="316"/>
      <c r="BM557" s="316"/>
      <c r="BN557" s="316"/>
    </row>
    <row r="558">
      <c r="A558" s="303" t="s">
        <v>2298</v>
      </c>
      <c r="B558" s="384" t="s">
        <v>897</v>
      </c>
      <c r="C558" s="385" t="s">
        <v>316</v>
      </c>
      <c r="D558" s="341" t="s">
        <v>915</v>
      </c>
      <c r="E558" s="335">
        <v>460000.0</v>
      </c>
      <c r="F558" s="346">
        <f>97000+10000</f>
        <v>107000</v>
      </c>
      <c r="G558" s="341" t="s">
        <v>915</v>
      </c>
      <c r="H558" s="335">
        <v>460000.0</v>
      </c>
      <c r="I558" s="346">
        <f>97000+35000</f>
        <v>132000</v>
      </c>
      <c r="J558" s="341" t="s">
        <v>915</v>
      </c>
      <c r="K558" s="335">
        <v>460000.0</v>
      </c>
      <c r="L558" s="352">
        <f>100000</f>
        <v>100000</v>
      </c>
      <c r="M558" s="341" t="s">
        <v>915</v>
      </c>
      <c r="N558" s="335">
        <v>460000.0</v>
      </c>
      <c r="O558" s="346">
        <f>100000</f>
        <v>100000</v>
      </c>
      <c r="P558" s="341" t="s">
        <v>915</v>
      </c>
      <c r="Q558" s="335">
        <v>460000.0</v>
      </c>
      <c r="R558" s="346">
        <f>100000</f>
        <v>100000</v>
      </c>
      <c r="S558" s="341" t="s">
        <v>915</v>
      </c>
      <c r="T558" s="335">
        <v>460000.0</v>
      </c>
      <c r="U558" s="346">
        <f>100000</f>
        <v>100000</v>
      </c>
      <c r="V558" s="341" t="s">
        <v>915</v>
      </c>
      <c r="W558" s="335">
        <v>460000.0</v>
      </c>
      <c r="X558" s="346">
        <f>100000</f>
        <v>100000</v>
      </c>
      <c r="Y558" s="341" t="s">
        <v>915</v>
      </c>
      <c r="Z558" s="335">
        <v>460000.0</v>
      </c>
      <c r="AA558" s="346">
        <f>100000</f>
        <v>100000</v>
      </c>
      <c r="AB558" s="341" t="s">
        <v>915</v>
      </c>
      <c r="AC558" s="335">
        <v>460000.0</v>
      </c>
      <c r="AD558" s="346">
        <f>100000</f>
        <v>100000</v>
      </c>
      <c r="AE558" s="341" t="s">
        <v>915</v>
      </c>
      <c r="AF558" s="335">
        <v>460000.0</v>
      </c>
      <c r="AG558" s="346">
        <f>100000</f>
        <v>100000</v>
      </c>
      <c r="AH558" s="341" t="s">
        <v>915</v>
      </c>
      <c r="AI558" s="335">
        <v>460000.0</v>
      </c>
      <c r="AJ558" s="346">
        <f>100000</f>
        <v>100000</v>
      </c>
      <c r="AK558" s="341" t="s">
        <v>915</v>
      </c>
      <c r="AL558" s="335">
        <v>460000.0</v>
      </c>
      <c r="AM558" s="346">
        <f>100000</f>
        <v>100000</v>
      </c>
      <c r="AN558" s="316" t="s">
        <v>33</v>
      </c>
      <c r="AO558" s="316"/>
      <c r="AP558" s="316"/>
      <c r="AQ558" s="316"/>
      <c r="AR558" s="316"/>
      <c r="AS558" s="316"/>
      <c r="AT558" s="316"/>
      <c r="AU558" s="316"/>
      <c r="AV558" s="316"/>
      <c r="AW558" s="316"/>
      <c r="AX558" s="316"/>
      <c r="AY558" s="316"/>
      <c r="AZ558" s="316"/>
      <c r="BA558" s="316"/>
      <c r="BB558" s="316"/>
      <c r="BC558" s="316"/>
      <c r="BD558" s="316"/>
      <c r="BE558" s="316"/>
      <c r="BF558" s="316"/>
      <c r="BG558" s="316"/>
      <c r="BH558" s="316"/>
      <c r="BI558" s="316"/>
      <c r="BJ558" s="316"/>
      <c r="BK558" s="316"/>
      <c r="BL558" s="316"/>
      <c r="BM558" s="316"/>
      <c r="BN558" s="316"/>
    </row>
    <row r="559">
      <c r="A559" s="303" t="s">
        <v>2298</v>
      </c>
      <c r="B559" s="304"/>
      <c r="C559" s="305" t="s">
        <v>42</v>
      </c>
      <c r="D559" s="320"/>
      <c r="E559" s="323">
        <f t="shared" ref="E559:F559" si="758">SUM(E555:E558)</f>
        <v>2040000</v>
      </c>
      <c r="F559" s="324">
        <f t="shared" si="758"/>
        <v>384000</v>
      </c>
      <c r="G559" s="320"/>
      <c r="H559" s="323">
        <f t="shared" ref="H559:I559" si="759">SUM(H555:H558)</f>
        <v>1860000</v>
      </c>
      <c r="I559" s="324">
        <f t="shared" si="759"/>
        <v>376857</v>
      </c>
      <c r="J559" s="320"/>
      <c r="K559" s="323">
        <f t="shared" ref="K559:L559" si="760">SUM(K555:K558)</f>
        <v>1990000</v>
      </c>
      <c r="L559" s="324">
        <f t="shared" si="760"/>
        <v>417000</v>
      </c>
      <c r="M559" s="320"/>
      <c r="N559" s="323">
        <f t="shared" ref="N559:O559" si="761">SUM(N555:N558)</f>
        <v>1990000</v>
      </c>
      <c r="O559" s="324">
        <f t="shared" si="761"/>
        <v>400000</v>
      </c>
      <c r="P559" s="320"/>
      <c r="Q559" s="323">
        <f t="shared" ref="Q559:R559" si="762">SUM(Q555:Q558)</f>
        <v>1990000</v>
      </c>
      <c r="R559" s="324">
        <f t="shared" si="762"/>
        <v>400000</v>
      </c>
      <c r="S559" s="320"/>
      <c r="T559" s="323">
        <f t="shared" ref="T559:U559" si="763">SUM(T555:T558)</f>
        <v>1400000</v>
      </c>
      <c r="U559" s="324">
        <f t="shared" si="763"/>
        <v>300000</v>
      </c>
      <c r="V559" s="320"/>
      <c r="W559" s="323">
        <f t="shared" ref="W559:X559" si="764">SUM(W555:W558)</f>
        <v>1400000</v>
      </c>
      <c r="X559" s="324">
        <f t="shared" si="764"/>
        <v>300000</v>
      </c>
      <c r="Y559" s="320"/>
      <c r="Z559" s="323">
        <f t="shared" ref="Z559:AA559" si="765">SUM(Z555:Z558)</f>
        <v>1400000</v>
      </c>
      <c r="AA559" s="324">
        <f t="shared" si="765"/>
        <v>300000</v>
      </c>
      <c r="AB559" s="320"/>
      <c r="AC559" s="323">
        <f t="shared" ref="AC559:AD559" si="766">SUM(AC555:AC558)</f>
        <v>1400000</v>
      </c>
      <c r="AD559" s="324">
        <f t="shared" si="766"/>
        <v>300000</v>
      </c>
      <c r="AE559" s="320"/>
      <c r="AF559" s="323">
        <f t="shared" ref="AF559:AG559" si="767">SUM(AF555:AF558)</f>
        <v>1400000</v>
      </c>
      <c r="AG559" s="324">
        <f t="shared" si="767"/>
        <v>300000</v>
      </c>
      <c r="AH559" s="320"/>
      <c r="AI559" s="323">
        <f t="shared" ref="AI559:AJ559" si="768">SUM(AI555:AI558)</f>
        <v>1400000</v>
      </c>
      <c r="AJ559" s="324">
        <f t="shared" si="768"/>
        <v>300000</v>
      </c>
      <c r="AK559" s="320"/>
      <c r="AL559" s="323">
        <f t="shared" ref="AL559:AM559" si="769">SUM(AL555:AL558)</f>
        <v>1400000</v>
      </c>
      <c r="AM559" s="324">
        <f t="shared" si="769"/>
        <v>300000</v>
      </c>
      <c r="AN559" s="316" t="s">
        <v>33</v>
      </c>
      <c r="AO559" s="316"/>
      <c r="AP559" s="316"/>
      <c r="AQ559" s="316"/>
      <c r="AR559" s="316"/>
      <c r="AS559" s="316"/>
      <c r="AT559" s="316"/>
      <c r="AU559" s="316"/>
      <c r="AV559" s="316"/>
      <c r="AW559" s="316"/>
      <c r="AX559" s="316"/>
      <c r="AY559" s="316"/>
      <c r="AZ559" s="316"/>
      <c r="BA559" s="316"/>
      <c r="BB559" s="316"/>
      <c r="BC559" s="316"/>
      <c r="BD559" s="316"/>
      <c r="BE559" s="316"/>
      <c r="BF559" s="316"/>
      <c r="BG559" s="316"/>
      <c r="BH559" s="316"/>
      <c r="BI559" s="316"/>
      <c r="BJ559" s="316"/>
      <c r="BK559" s="316"/>
      <c r="BL559" s="316"/>
      <c r="BM559" s="316"/>
      <c r="BN559" s="316"/>
    </row>
    <row r="560" collapsed="1">
      <c r="A560" s="303" t="s">
        <v>2298</v>
      </c>
      <c r="B560" s="304"/>
      <c r="C560" s="325" t="s">
        <v>43</v>
      </c>
      <c r="D560" s="326"/>
      <c r="E560" s="321">
        <v>1020000.0</v>
      </c>
      <c r="F560" s="324"/>
      <c r="G560" s="326"/>
      <c r="H560" s="321">
        <v>1020000.0</v>
      </c>
      <c r="I560" s="324"/>
      <c r="J560" s="326"/>
      <c r="K560" s="321">
        <v>1020000.0</v>
      </c>
      <c r="L560" s="324"/>
      <c r="M560" s="326"/>
      <c r="N560" s="321">
        <v>1020000.0</v>
      </c>
      <c r="O560" s="324"/>
      <c r="P560" s="326"/>
      <c r="Q560" s="321">
        <v>1020000.0</v>
      </c>
      <c r="R560" s="324"/>
      <c r="S560" s="326"/>
      <c r="T560" s="321">
        <v>1020000.0</v>
      </c>
      <c r="U560" s="324"/>
      <c r="V560" s="326"/>
      <c r="W560" s="321">
        <v>1020000.0</v>
      </c>
      <c r="X560" s="324"/>
      <c r="Y560" s="326"/>
      <c r="Z560" s="321">
        <v>1020000.0</v>
      </c>
      <c r="AA560" s="324"/>
      <c r="AB560" s="326"/>
      <c r="AC560" s="321">
        <v>1020000.0</v>
      </c>
      <c r="AD560" s="324"/>
      <c r="AE560" s="326"/>
      <c r="AF560" s="321">
        <v>1020000.0</v>
      </c>
      <c r="AG560" s="324"/>
      <c r="AH560" s="326"/>
      <c r="AI560" s="321">
        <v>1020000.0</v>
      </c>
      <c r="AJ560" s="324"/>
      <c r="AK560" s="326"/>
      <c r="AL560" s="321">
        <v>1020000.0</v>
      </c>
      <c r="AM560" s="324"/>
      <c r="AN560" s="316" t="s">
        <v>33</v>
      </c>
      <c r="AO560" s="316"/>
      <c r="AP560" s="316"/>
      <c r="AQ560" s="316"/>
      <c r="AR560" s="316"/>
      <c r="AS560" s="316"/>
      <c r="AT560" s="316"/>
      <c r="AU560" s="316"/>
      <c r="AV560" s="316"/>
      <c r="AW560" s="316"/>
      <c r="AX560" s="316"/>
      <c r="AY560" s="316"/>
      <c r="AZ560" s="316"/>
      <c r="BA560" s="316"/>
      <c r="BB560" s="316"/>
      <c r="BC560" s="316"/>
      <c r="BD560" s="316"/>
      <c r="BE560" s="316"/>
      <c r="BF560" s="316"/>
      <c r="BG560" s="316"/>
      <c r="BH560" s="316"/>
      <c r="BI560" s="316"/>
      <c r="BJ560" s="316"/>
      <c r="BK560" s="316"/>
      <c r="BL560" s="316"/>
      <c r="BM560" s="316"/>
      <c r="BN560" s="316"/>
    </row>
    <row r="561" hidden="1" outlineLevel="1">
      <c r="A561" s="303" t="s">
        <v>2298</v>
      </c>
      <c r="B561" s="304"/>
      <c r="C561" s="325" t="s">
        <v>45</v>
      </c>
      <c r="D561" s="326" t="s">
        <v>677</v>
      </c>
      <c r="E561" s="321" t="s">
        <v>677</v>
      </c>
      <c r="F561" s="322" t="s">
        <v>677</v>
      </c>
      <c r="G561" s="326" t="s">
        <v>677</v>
      </c>
      <c r="H561" s="321" t="s">
        <v>677</v>
      </c>
      <c r="I561" s="322" t="s">
        <v>677</v>
      </c>
      <c r="J561" s="326" t="s">
        <v>677</v>
      </c>
      <c r="K561" s="321" t="s">
        <v>677</v>
      </c>
      <c r="L561" s="322" t="s">
        <v>677</v>
      </c>
      <c r="M561" s="326" t="s">
        <v>677</v>
      </c>
      <c r="N561" s="321" t="s">
        <v>677</v>
      </c>
      <c r="O561" s="322" t="s">
        <v>677</v>
      </c>
      <c r="P561" s="326" t="s">
        <v>677</v>
      </c>
      <c r="Q561" s="321" t="s">
        <v>677</v>
      </c>
      <c r="R561" s="322" t="s">
        <v>677</v>
      </c>
      <c r="S561" s="326" t="s">
        <v>677</v>
      </c>
      <c r="T561" s="321" t="s">
        <v>677</v>
      </c>
      <c r="U561" s="322" t="s">
        <v>677</v>
      </c>
      <c r="V561" s="326" t="s">
        <v>677</v>
      </c>
      <c r="W561" s="321" t="s">
        <v>677</v>
      </c>
      <c r="X561" s="322" t="s">
        <v>677</v>
      </c>
      <c r="Y561" s="326" t="s">
        <v>677</v>
      </c>
      <c r="Z561" s="321" t="s">
        <v>677</v>
      </c>
      <c r="AA561" s="322" t="s">
        <v>677</v>
      </c>
      <c r="AB561" s="326" t="s">
        <v>677</v>
      </c>
      <c r="AC561" s="321" t="s">
        <v>677</v>
      </c>
      <c r="AD561" s="322" t="s">
        <v>677</v>
      </c>
      <c r="AE561" s="326" t="s">
        <v>677</v>
      </c>
      <c r="AF561" s="321" t="s">
        <v>677</v>
      </c>
      <c r="AG561" s="322" t="s">
        <v>677</v>
      </c>
      <c r="AH561" s="326" t="s">
        <v>677</v>
      </c>
      <c r="AI561" s="321" t="s">
        <v>677</v>
      </c>
      <c r="AJ561" s="322" t="s">
        <v>677</v>
      </c>
      <c r="AK561" s="326" t="s">
        <v>677</v>
      </c>
      <c r="AL561" s="321" t="s">
        <v>677</v>
      </c>
      <c r="AM561" s="322" t="s">
        <v>677</v>
      </c>
      <c r="AN561" s="316" t="s">
        <v>33</v>
      </c>
      <c r="AO561" s="316"/>
      <c r="AP561" s="316"/>
      <c r="AQ561" s="316"/>
      <c r="AR561" s="316"/>
      <c r="AS561" s="316"/>
      <c r="AT561" s="316"/>
      <c r="AU561" s="316"/>
      <c r="AV561" s="316"/>
      <c r="AW561" s="316"/>
      <c r="AX561" s="316"/>
      <c r="AY561" s="316"/>
      <c r="AZ561" s="316"/>
      <c r="BA561" s="316"/>
      <c r="BB561" s="316"/>
      <c r="BC561" s="316"/>
      <c r="BD561" s="316"/>
      <c r="BE561" s="316"/>
      <c r="BF561" s="316"/>
      <c r="BG561" s="316"/>
      <c r="BH561" s="316"/>
      <c r="BI561" s="316"/>
      <c r="BJ561" s="316"/>
      <c r="BK561" s="316"/>
      <c r="BL561" s="316"/>
      <c r="BM561" s="316"/>
      <c r="BN561" s="316"/>
    </row>
    <row r="562" hidden="1" outlineLevel="1">
      <c r="A562" s="303" t="s">
        <v>2298</v>
      </c>
      <c r="B562" s="317" t="s">
        <v>916</v>
      </c>
      <c r="C562" s="325" t="s">
        <v>47</v>
      </c>
      <c r="D562" s="326"/>
      <c r="E562" s="321"/>
      <c r="F562" s="322">
        <v>52860.0</v>
      </c>
      <c r="G562" s="326"/>
      <c r="H562" s="321"/>
      <c r="I562" s="322">
        <v>52860.0</v>
      </c>
      <c r="J562" s="326"/>
      <c r="K562" s="321"/>
      <c r="L562" s="322">
        <v>64720.0</v>
      </c>
      <c r="M562" s="326"/>
      <c r="N562" s="321"/>
      <c r="O562" s="322"/>
      <c r="P562" s="326"/>
      <c r="Q562" s="321"/>
      <c r="R562" s="322"/>
      <c r="S562" s="326"/>
      <c r="T562" s="321"/>
      <c r="U562" s="322"/>
      <c r="V562" s="326"/>
      <c r="W562" s="321"/>
      <c r="X562" s="322"/>
      <c r="Y562" s="326"/>
      <c r="Z562" s="321"/>
      <c r="AA562" s="322"/>
      <c r="AB562" s="326"/>
      <c r="AC562" s="321"/>
      <c r="AD562" s="322"/>
      <c r="AE562" s="326"/>
      <c r="AF562" s="321"/>
      <c r="AG562" s="322"/>
      <c r="AH562" s="326"/>
      <c r="AI562" s="321"/>
      <c r="AJ562" s="322"/>
      <c r="AK562" s="326"/>
      <c r="AL562" s="321"/>
      <c r="AM562" s="322"/>
      <c r="AN562" s="316" t="s">
        <v>33</v>
      </c>
      <c r="AO562" s="316"/>
      <c r="AP562" s="316"/>
      <c r="AQ562" s="316"/>
      <c r="AR562" s="316"/>
      <c r="AS562" s="316"/>
      <c r="AT562" s="316"/>
      <c r="AU562" s="316"/>
      <c r="AV562" s="316"/>
      <c r="AW562" s="316"/>
      <c r="AX562" s="316"/>
      <c r="AY562" s="316"/>
      <c r="AZ562" s="316"/>
      <c r="BA562" s="316"/>
      <c r="BB562" s="316"/>
      <c r="BC562" s="316"/>
      <c r="BD562" s="316"/>
      <c r="BE562" s="316"/>
      <c r="BF562" s="316"/>
      <c r="BG562" s="316"/>
      <c r="BH562" s="316"/>
      <c r="BI562" s="316"/>
      <c r="BJ562" s="316"/>
      <c r="BK562" s="316"/>
      <c r="BL562" s="316"/>
      <c r="BM562" s="316"/>
      <c r="BN562" s="316"/>
    </row>
    <row r="563" hidden="1" outlineLevel="1">
      <c r="A563" s="303" t="s">
        <v>2298</v>
      </c>
      <c r="B563" s="317" t="s">
        <v>2304</v>
      </c>
      <c r="C563" s="325" t="s">
        <v>49</v>
      </c>
      <c r="D563" s="326"/>
      <c r="E563" s="321"/>
      <c r="F563" s="322">
        <v>207360.0</v>
      </c>
      <c r="G563" s="326"/>
      <c r="H563" s="321"/>
      <c r="I563" s="322">
        <v>302110.0</v>
      </c>
      <c r="J563" s="326"/>
      <c r="K563" s="321"/>
      <c r="L563" s="322">
        <v>332740.0</v>
      </c>
      <c r="M563" s="326"/>
      <c r="N563" s="321"/>
      <c r="O563" s="322"/>
      <c r="P563" s="326"/>
      <c r="Q563" s="321"/>
      <c r="R563" s="322"/>
      <c r="S563" s="326"/>
      <c r="T563" s="321"/>
      <c r="U563" s="322"/>
      <c r="V563" s="326"/>
      <c r="W563" s="321"/>
      <c r="X563" s="322"/>
      <c r="Y563" s="326"/>
      <c r="Z563" s="321"/>
      <c r="AA563" s="322"/>
      <c r="AB563" s="326"/>
      <c r="AC563" s="321"/>
      <c r="AD563" s="322"/>
      <c r="AE563" s="326"/>
      <c r="AF563" s="321"/>
      <c r="AG563" s="322"/>
      <c r="AH563" s="326"/>
      <c r="AI563" s="321"/>
      <c r="AJ563" s="322"/>
      <c r="AK563" s="326"/>
      <c r="AL563" s="321"/>
      <c r="AM563" s="322"/>
      <c r="AN563" s="316" t="s">
        <v>33</v>
      </c>
      <c r="AO563" s="316"/>
      <c r="AP563" s="316"/>
      <c r="AQ563" s="316"/>
      <c r="AR563" s="316"/>
      <c r="AS563" s="316"/>
      <c r="AT563" s="316"/>
      <c r="AU563" s="316"/>
      <c r="AV563" s="316"/>
      <c r="AW563" s="316"/>
      <c r="AX563" s="316"/>
      <c r="AY563" s="316"/>
      <c r="AZ563" s="316"/>
      <c r="BA563" s="316"/>
      <c r="BB563" s="316"/>
      <c r="BC563" s="316"/>
      <c r="BD563" s="316"/>
      <c r="BE563" s="316"/>
      <c r="BF563" s="316"/>
      <c r="BG563" s="316"/>
      <c r="BH563" s="316"/>
      <c r="BI563" s="316"/>
      <c r="BJ563" s="316"/>
      <c r="BK563" s="316"/>
      <c r="BL563" s="316"/>
      <c r="BM563" s="316"/>
      <c r="BN563" s="316"/>
    </row>
    <row r="564" hidden="1" outlineLevel="1">
      <c r="A564" s="303" t="s">
        <v>2298</v>
      </c>
      <c r="B564" s="317" t="s">
        <v>2305</v>
      </c>
      <c r="C564" s="325" t="s">
        <v>51</v>
      </c>
      <c r="D564" s="326"/>
      <c r="E564" s="321"/>
      <c r="F564" s="322">
        <v>30000.0</v>
      </c>
      <c r="G564" s="326"/>
      <c r="H564" s="321"/>
      <c r="I564" s="322">
        <v>30000.0</v>
      </c>
      <c r="J564" s="326"/>
      <c r="K564" s="321"/>
      <c r="L564" s="322">
        <v>30000.0</v>
      </c>
      <c r="M564" s="326"/>
      <c r="N564" s="321"/>
      <c r="O564" s="322"/>
      <c r="P564" s="326"/>
      <c r="Q564" s="321"/>
      <c r="R564" s="322"/>
      <c r="S564" s="326"/>
      <c r="T564" s="321"/>
      <c r="U564" s="322"/>
      <c r="V564" s="326"/>
      <c r="W564" s="321"/>
      <c r="X564" s="322"/>
      <c r="Y564" s="326"/>
      <c r="Z564" s="321"/>
      <c r="AA564" s="322"/>
      <c r="AB564" s="326"/>
      <c r="AC564" s="321"/>
      <c r="AD564" s="322"/>
      <c r="AE564" s="326"/>
      <c r="AF564" s="321"/>
      <c r="AG564" s="322"/>
      <c r="AH564" s="326"/>
      <c r="AI564" s="321"/>
      <c r="AJ564" s="322"/>
      <c r="AK564" s="326"/>
      <c r="AL564" s="321"/>
      <c r="AM564" s="322"/>
      <c r="AN564" s="316" t="s">
        <v>33</v>
      </c>
      <c r="AO564" s="316" t="s">
        <v>1210</v>
      </c>
      <c r="AP564" s="316"/>
      <c r="AQ564" s="316"/>
      <c r="AR564" s="316"/>
      <c r="AS564" s="316"/>
      <c r="AT564" s="316"/>
      <c r="AU564" s="316"/>
      <c r="AV564" s="316"/>
      <c r="AW564" s="316"/>
      <c r="AX564" s="316"/>
      <c r="AY564" s="316"/>
      <c r="AZ564" s="316"/>
      <c r="BA564" s="316"/>
      <c r="BB564" s="316"/>
      <c r="BC564" s="316"/>
      <c r="BD564" s="316"/>
      <c r="BE564" s="316"/>
      <c r="BF564" s="316"/>
      <c r="BG564" s="316"/>
      <c r="BH564" s="316"/>
      <c r="BI564" s="316"/>
      <c r="BJ564" s="316"/>
      <c r="BK564" s="316"/>
      <c r="BL564" s="316"/>
      <c r="BM564" s="316"/>
      <c r="BN564" s="316"/>
    </row>
    <row r="565" hidden="1" outlineLevel="1">
      <c r="A565" s="303" t="s">
        <v>2298</v>
      </c>
      <c r="B565" s="304"/>
      <c r="C565" s="325" t="s">
        <v>52</v>
      </c>
      <c r="D565" s="326"/>
      <c r="E565" s="321"/>
      <c r="F565" s="322">
        <v>22000.0</v>
      </c>
      <c r="G565" s="326"/>
      <c r="H565" s="321"/>
      <c r="I565" s="322">
        <v>22000.0</v>
      </c>
      <c r="J565" s="326"/>
      <c r="K565" s="321"/>
      <c r="L565" s="322">
        <v>22000.0</v>
      </c>
      <c r="M565" s="326"/>
      <c r="N565" s="321"/>
      <c r="O565" s="322">
        <v>22000.0</v>
      </c>
      <c r="P565" s="326"/>
      <c r="Q565" s="321"/>
      <c r="R565" s="322">
        <v>22000.0</v>
      </c>
      <c r="S565" s="326"/>
      <c r="T565" s="321"/>
      <c r="U565" s="322">
        <v>22000.0</v>
      </c>
      <c r="V565" s="326"/>
      <c r="W565" s="321"/>
      <c r="X565" s="322">
        <v>22000.0</v>
      </c>
      <c r="Y565" s="326"/>
      <c r="Z565" s="321"/>
      <c r="AA565" s="322">
        <v>22000.0</v>
      </c>
      <c r="AB565" s="326"/>
      <c r="AC565" s="321"/>
      <c r="AD565" s="322">
        <v>22000.0</v>
      </c>
      <c r="AE565" s="326"/>
      <c r="AF565" s="321"/>
      <c r="AG565" s="322">
        <v>22000.0</v>
      </c>
      <c r="AH565" s="326"/>
      <c r="AI565" s="321"/>
      <c r="AJ565" s="322">
        <v>22000.0</v>
      </c>
      <c r="AK565" s="326"/>
      <c r="AL565" s="321"/>
      <c r="AM565" s="322">
        <v>22000.0</v>
      </c>
      <c r="AN565" s="316" t="s">
        <v>33</v>
      </c>
      <c r="AO565" s="316"/>
      <c r="AP565" s="316"/>
      <c r="AQ565" s="316"/>
      <c r="AR565" s="316"/>
      <c r="AS565" s="316"/>
      <c r="AT565" s="316"/>
      <c r="AU565" s="316"/>
      <c r="AV565" s="316"/>
      <c r="AW565" s="316"/>
      <c r="AX565" s="316"/>
      <c r="AY565" s="316"/>
      <c r="AZ565" s="316"/>
      <c r="BA565" s="316"/>
      <c r="BB565" s="316"/>
      <c r="BC565" s="316"/>
      <c r="BD565" s="316"/>
      <c r="BE565" s="316"/>
      <c r="BF565" s="316"/>
      <c r="BG565" s="316"/>
      <c r="BH565" s="316"/>
      <c r="BI565" s="316"/>
      <c r="BJ565" s="316"/>
      <c r="BK565" s="316"/>
      <c r="BL565" s="316"/>
      <c r="BM565" s="316"/>
      <c r="BN565" s="316"/>
    </row>
    <row r="566" hidden="1" outlineLevel="1">
      <c r="A566" s="303" t="s">
        <v>2298</v>
      </c>
      <c r="B566" s="304"/>
      <c r="C566" s="325" t="s">
        <v>2236</v>
      </c>
      <c r="D566" s="326"/>
      <c r="E566" s="321"/>
      <c r="F566" s="322" t="s">
        <v>44</v>
      </c>
      <c r="G566" s="326"/>
      <c r="H566" s="321"/>
      <c r="I566" s="322" t="s">
        <v>44</v>
      </c>
      <c r="J566" s="326"/>
      <c r="K566" s="321"/>
      <c r="L566" s="322" t="s">
        <v>44</v>
      </c>
      <c r="M566" s="326"/>
      <c r="N566" s="321"/>
      <c r="O566" s="322" t="s">
        <v>44</v>
      </c>
      <c r="P566" s="326"/>
      <c r="Q566" s="321"/>
      <c r="R566" s="322" t="s">
        <v>44</v>
      </c>
      <c r="S566" s="326"/>
      <c r="T566" s="321"/>
      <c r="U566" s="322" t="s">
        <v>44</v>
      </c>
      <c r="V566" s="326"/>
      <c r="W566" s="321"/>
      <c r="X566" s="322" t="s">
        <v>44</v>
      </c>
      <c r="Y566" s="326"/>
      <c r="Z566" s="321"/>
      <c r="AA566" s="322" t="s">
        <v>44</v>
      </c>
      <c r="AB566" s="326"/>
      <c r="AC566" s="321"/>
      <c r="AD566" s="322" t="s">
        <v>44</v>
      </c>
      <c r="AE566" s="326"/>
      <c r="AF566" s="321"/>
      <c r="AG566" s="322" t="s">
        <v>44</v>
      </c>
      <c r="AH566" s="326"/>
      <c r="AI566" s="321"/>
      <c r="AJ566" s="322" t="s">
        <v>44</v>
      </c>
      <c r="AK566" s="326"/>
      <c r="AL566" s="321"/>
      <c r="AM566" s="322" t="s">
        <v>44</v>
      </c>
      <c r="AN566" s="316" t="s">
        <v>33</v>
      </c>
      <c r="AO566" s="316"/>
      <c r="AP566" s="316"/>
      <c r="AQ566" s="316"/>
      <c r="AR566" s="316"/>
      <c r="AS566" s="316"/>
      <c r="AT566" s="316"/>
      <c r="AU566" s="316"/>
      <c r="AV566" s="316"/>
      <c r="AW566" s="316"/>
      <c r="AX566" s="316"/>
      <c r="AY566" s="316"/>
      <c r="AZ566" s="316"/>
      <c r="BA566" s="316"/>
      <c r="BB566" s="316"/>
      <c r="BC566" s="316"/>
      <c r="BD566" s="316"/>
      <c r="BE566" s="316"/>
      <c r="BF566" s="316"/>
      <c r="BG566" s="316"/>
      <c r="BH566" s="316"/>
      <c r="BI566" s="316"/>
      <c r="BJ566" s="316"/>
      <c r="BK566" s="316"/>
      <c r="BL566" s="316"/>
      <c r="BM566" s="316"/>
      <c r="BN566" s="316"/>
    </row>
    <row r="567" hidden="1" outlineLevel="1">
      <c r="A567" s="303" t="s">
        <v>2298</v>
      </c>
      <c r="B567" s="304"/>
      <c r="C567" s="325" t="s">
        <v>54</v>
      </c>
      <c r="D567" s="327"/>
      <c r="E567" s="321"/>
      <c r="F567" s="322">
        <f>SUMIFS('지출'!$G$3:$G794,'지출'!$J$3:$J794,F$1,'지출'!$C$3:$C794,"샤샤")</f>
        <v>66210</v>
      </c>
      <c r="G567" s="327"/>
      <c r="H567" s="321"/>
      <c r="I567" s="322">
        <f>SUMIFS('지출'!$G$3:$G794,'지출'!$J$3:$J794,I$1,'지출'!$C$3:$C794,"샤샤")</f>
        <v>85170</v>
      </c>
      <c r="J567" s="327"/>
      <c r="K567" s="321"/>
      <c r="L567" s="322">
        <f>SUMIFS('지출'!$G$3:$G794,'지출'!$J$3:$J794,L$1,'지출'!$C$3:$C794,"샤샤")</f>
        <v>36230</v>
      </c>
      <c r="M567" s="327"/>
      <c r="N567" s="321"/>
      <c r="O567" s="322">
        <f>SUMIFS('지출'!$G$3:$G794,'지출'!$J$3:$J794,O$1,'지출'!$C$3:$C794,"샤샤")</f>
        <v>0</v>
      </c>
      <c r="P567" s="327"/>
      <c r="Q567" s="321"/>
      <c r="R567" s="322">
        <f>SUMIFS('지출'!$G$3:$G794,'지출'!$J$3:$J794,R$1,'지출'!$C$3:$C794,"샤샤")</f>
        <v>0</v>
      </c>
      <c r="S567" s="327"/>
      <c r="T567" s="321"/>
      <c r="U567" s="322">
        <f>SUMIFS('지출'!$G$3:$G794,'지출'!$J$3:$J794,U$1,'지출'!$C$3:$C794,"샤샤")</f>
        <v>0</v>
      </c>
      <c r="V567" s="327"/>
      <c r="W567" s="321"/>
      <c r="X567" s="322">
        <f>SUMIFS('지출'!$G$3:$G794,'지출'!$J$3:$J794,X$1,'지출'!$C$3:$C794,"샤샤")</f>
        <v>0</v>
      </c>
      <c r="Y567" s="327"/>
      <c r="Z567" s="321"/>
      <c r="AA567" s="322">
        <f>SUMIFS('지출'!$G$3:$G794,'지출'!$J$3:$J794,AA$1,'지출'!$C$3:$C794,"샤샤")</f>
        <v>0</v>
      </c>
      <c r="AB567" s="327"/>
      <c r="AC567" s="321"/>
      <c r="AD567" s="322">
        <f>SUMIFS('지출'!$G$3:$G794,'지출'!$J$3:$J794,AD$1,'지출'!$C$3:$C794,"샤샤")</f>
        <v>0</v>
      </c>
      <c r="AE567" s="327"/>
      <c r="AF567" s="321"/>
      <c r="AG567" s="322">
        <f>SUMIFS('지출'!$G$3:$G794,'지출'!$J$3:$J794,AG$1,'지출'!$C$3:$C794,"샤샤")</f>
        <v>0</v>
      </c>
      <c r="AH567" s="327"/>
      <c r="AI567" s="321"/>
      <c r="AJ567" s="322">
        <f>SUMIFS('지출'!$G$3:$G794,'지출'!$J$3:$J794,AJ$1,'지출'!$C$3:$C794,"샤샤")</f>
        <v>0</v>
      </c>
      <c r="AK567" s="327"/>
      <c r="AL567" s="321"/>
      <c r="AM567" s="322">
        <f>SUMIFS('지출'!$G$3:$G794,'지출'!$J$3:$J794,AM$1,'지출'!$C$3:$C794,"샤샤")</f>
        <v>0</v>
      </c>
      <c r="AN567" s="316" t="s">
        <v>33</v>
      </c>
      <c r="AO567" s="316"/>
      <c r="AP567" s="316"/>
      <c r="AQ567" s="316"/>
      <c r="AR567" s="316"/>
      <c r="AS567" s="316"/>
      <c r="AT567" s="316"/>
      <c r="AU567" s="316"/>
      <c r="AV567" s="316"/>
      <c r="AW567" s="316"/>
      <c r="AX567" s="316"/>
      <c r="AY567" s="316"/>
      <c r="AZ567" s="316"/>
      <c r="BA567" s="316"/>
      <c r="BB567" s="316"/>
      <c r="BC567" s="316"/>
      <c r="BD567" s="316"/>
      <c r="BE567" s="316"/>
      <c r="BF567" s="316"/>
      <c r="BG567" s="316"/>
      <c r="BH567" s="316"/>
      <c r="BI567" s="316"/>
      <c r="BJ567" s="316"/>
      <c r="BK567" s="316"/>
      <c r="BL567" s="316"/>
      <c r="BM567" s="316"/>
      <c r="BN567" s="316"/>
    </row>
    <row r="568" hidden="1" outlineLevel="1">
      <c r="A568" s="303" t="s">
        <v>2298</v>
      </c>
      <c r="B568" s="304"/>
      <c r="C568" s="325" t="s">
        <v>56</v>
      </c>
      <c r="D568" s="320"/>
      <c r="E568" s="323">
        <f t="shared" ref="E568:F568" si="770">E559-(SUM(E560:E567))</f>
        <v>1020000</v>
      </c>
      <c r="F568" s="324">
        <f t="shared" si="770"/>
        <v>5570</v>
      </c>
      <c r="G568" s="320"/>
      <c r="H568" s="323">
        <f t="shared" ref="H568:I568" si="771">H559-(SUM(H560:H567))</f>
        <v>840000</v>
      </c>
      <c r="I568" s="324">
        <f t="shared" si="771"/>
        <v>-115283</v>
      </c>
      <c r="J568" s="320"/>
      <c r="K568" s="323">
        <f t="shared" ref="K568:L568" si="772">K559-(SUM(K560:K567))</f>
        <v>970000</v>
      </c>
      <c r="L568" s="324">
        <f t="shared" si="772"/>
        <v>-68690</v>
      </c>
      <c r="M568" s="320"/>
      <c r="N568" s="323">
        <f t="shared" ref="N568:O568" si="773">N559-(SUM(N560:N567))</f>
        <v>970000</v>
      </c>
      <c r="O568" s="324">
        <f t="shared" si="773"/>
        <v>378000</v>
      </c>
      <c r="P568" s="320"/>
      <c r="Q568" s="323">
        <f t="shared" ref="Q568:R568" si="774">Q559-(SUM(Q560:Q567))</f>
        <v>970000</v>
      </c>
      <c r="R568" s="324">
        <f t="shared" si="774"/>
        <v>378000</v>
      </c>
      <c r="S568" s="320"/>
      <c r="T568" s="323">
        <f t="shared" ref="T568:U568" si="775">T559-(SUM(T560:T567))</f>
        <v>380000</v>
      </c>
      <c r="U568" s="324">
        <f t="shared" si="775"/>
        <v>278000</v>
      </c>
      <c r="V568" s="320"/>
      <c r="W568" s="323">
        <f t="shared" ref="W568:X568" si="776">W559-(SUM(W560:W567))</f>
        <v>380000</v>
      </c>
      <c r="X568" s="324">
        <f t="shared" si="776"/>
        <v>278000</v>
      </c>
      <c r="Y568" s="320"/>
      <c r="Z568" s="323">
        <f t="shared" ref="Z568:AA568" si="777">Z559-(SUM(Z560:Z567))</f>
        <v>380000</v>
      </c>
      <c r="AA568" s="324">
        <f t="shared" si="777"/>
        <v>278000</v>
      </c>
      <c r="AB568" s="320"/>
      <c r="AC568" s="323">
        <f t="shared" ref="AC568:AD568" si="778">AC559-(SUM(AC560:AC567))</f>
        <v>380000</v>
      </c>
      <c r="AD568" s="324">
        <f t="shared" si="778"/>
        <v>278000</v>
      </c>
      <c r="AE568" s="320"/>
      <c r="AF568" s="323">
        <f t="shared" ref="AF568:AG568" si="779">AF559-(SUM(AF560:AF567))</f>
        <v>380000</v>
      </c>
      <c r="AG568" s="324">
        <f t="shared" si="779"/>
        <v>278000</v>
      </c>
      <c r="AH568" s="320"/>
      <c r="AI568" s="323">
        <f t="shared" ref="AI568:AJ568" si="780">AI559-(SUM(AI560:AI567))</f>
        <v>380000</v>
      </c>
      <c r="AJ568" s="324">
        <f t="shared" si="780"/>
        <v>278000</v>
      </c>
      <c r="AK568" s="320"/>
      <c r="AL568" s="323">
        <f t="shared" ref="AL568:AM568" si="781">AL559-(SUM(AL560:AL567))</f>
        <v>380000</v>
      </c>
      <c r="AM568" s="324">
        <f t="shared" si="781"/>
        <v>278000</v>
      </c>
      <c r="AN568" s="316" t="s">
        <v>33</v>
      </c>
      <c r="AO568" s="316"/>
      <c r="AP568" s="316"/>
      <c r="AQ568" s="316"/>
      <c r="AR568" s="316"/>
      <c r="AS568" s="316"/>
      <c r="AT568" s="316"/>
      <c r="AU568" s="316"/>
      <c r="AV568" s="316"/>
      <c r="AW568" s="316"/>
      <c r="AX568" s="316"/>
      <c r="AY568" s="316"/>
      <c r="AZ568" s="316"/>
      <c r="BA568" s="316"/>
      <c r="BB568" s="316"/>
      <c r="BC568" s="316"/>
      <c r="BD568" s="316"/>
      <c r="BE568" s="316"/>
      <c r="BF568" s="316"/>
      <c r="BG568" s="316"/>
      <c r="BH568" s="316"/>
      <c r="BI568" s="316"/>
      <c r="BJ568" s="316"/>
      <c r="BK568" s="316"/>
      <c r="BL568" s="316"/>
      <c r="BM568" s="316"/>
      <c r="BN568" s="316"/>
    </row>
    <row r="569">
      <c r="A569" s="303" t="s">
        <v>2298</v>
      </c>
      <c r="B569" s="328">
        <v>0.0</v>
      </c>
      <c r="C569" s="325" t="s">
        <v>26</v>
      </c>
      <c r="D569" s="320"/>
      <c r="E569" s="323">
        <f>E568*$B569</f>
        <v>0</v>
      </c>
      <c r="F569" s="324"/>
      <c r="G569" s="320"/>
      <c r="H569" s="323">
        <f>H568*$B569</f>
        <v>0</v>
      </c>
      <c r="I569" s="324"/>
      <c r="J569" s="320"/>
      <c r="K569" s="323">
        <f>K568*$B569</f>
        <v>0</v>
      </c>
      <c r="L569" s="324"/>
      <c r="M569" s="320"/>
      <c r="N569" s="323">
        <f>N568*$B569</f>
        <v>0</v>
      </c>
      <c r="O569" s="324"/>
      <c r="P569" s="320"/>
      <c r="Q569" s="323">
        <f>Q568*$B569</f>
        <v>0</v>
      </c>
      <c r="R569" s="324"/>
      <c r="S569" s="320"/>
      <c r="T569" s="323">
        <f>T568*$B569</f>
        <v>0</v>
      </c>
      <c r="U569" s="324"/>
      <c r="V569" s="320"/>
      <c r="W569" s="323">
        <f>W568*$B569</f>
        <v>0</v>
      </c>
      <c r="X569" s="324"/>
      <c r="Y569" s="320"/>
      <c r="Z569" s="323">
        <f>Z568*$B569</f>
        <v>0</v>
      </c>
      <c r="AA569" s="324"/>
      <c r="AB569" s="320"/>
      <c r="AC569" s="323">
        <f>AC568*$B569</f>
        <v>0</v>
      </c>
      <c r="AD569" s="324"/>
      <c r="AE569" s="320"/>
      <c r="AF569" s="323">
        <f>AF568*$B569</f>
        <v>0</v>
      </c>
      <c r="AG569" s="324"/>
      <c r="AH569" s="320"/>
      <c r="AI569" s="323">
        <f>AI568*$B569</f>
        <v>0</v>
      </c>
      <c r="AJ569" s="324"/>
      <c r="AK569" s="320"/>
      <c r="AL569" s="323">
        <f>AL568*$B569</f>
        <v>0</v>
      </c>
      <c r="AM569" s="324"/>
      <c r="AN569" s="316" t="s">
        <v>33</v>
      </c>
      <c r="AO569" s="316"/>
      <c r="AP569" s="316"/>
      <c r="AQ569" s="316"/>
      <c r="AR569" s="316"/>
      <c r="AS569" s="316"/>
      <c r="AT569" s="316"/>
      <c r="AU569" s="316"/>
      <c r="AV569" s="316"/>
      <c r="AW569" s="316"/>
      <c r="AX569" s="316"/>
      <c r="AY569" s="316"/>
      <c r="AZ569" s="316"/>
      <c r="BA569" s="316"/>
      <c r="BB569" s="316"/>
      <c r="BC569" s="316"/>
      <c r="BD569" s="316"/>
      <c r="BE569" s="316"/>
      <c r="BF569" s="316"/>
      <c r="BG569" s="316"/>
      <c r="BH569" s="316"/>
      <c r="BI569" s="316"/>
      <c r="BJ569" s="316"/>
      <c r="BK569" s="316"/>
      <c r="BL569" s="316"/>
      <c r="BM569" s="316"/>
      <c r="BN569" s="316"/>
    </row>
    <row r="570">
      <c r="A570" s="303" t="s">
        <v>2298</v>
      </c>
      <c r="B570" s="329">
        <v>1.0</v>
      </c>
      <c r="C570" s="330" t="s">
        <v>57</v>
      </c>
      <c r="D570" s="331"/>
      <c r="E570" s="332">
        <f>E568*$B570</f>
        <v>1020000</v>
      </c>
      <c r="F570" s="333"/>
      <c r="G570" s="331"/>
      <c r="H570" s="332">
        <f>H568*$B570</f>
        <v>840000</v>
      </c>
      <c r="I570" s="333"/>
      <c r="J570" s="331"/>
      <c r="K570" s="332">
        <f>K568*$B570</f>
        <v>970000</v>
      </c>
      <c r="L570" s="333"/>
      <c r="M570" s="331"/>
      <c r="N570" s="332">
        <f>N568*$B570</f>
        <v>970000</v>
      </c>
      <c r="O570" s="333"/>
      <c r="P570" s="331"/>
      <c r="Q570" s="332">
        <f>Q568*$B570</f>
        <v>970000</v>
      </c>
      <c r="R570" s="333"/>
      <c r="S570" s="331"/>
      <c r="T570" s="332">
        <f>T568*$B570</f>
        <v>380000</v>
      </c>
      <c r="U570" s="333"/>
      <c r="V570" s="331"/>
      <c r="W570" s="332">
        <f>W568*$B570</f>
        <v>380000</v>
      </c>
      <c r="X570" s="333"/>
      <c r="Y570" s="331"/>
      <c r="Z570" s="332">
        <f>Z568*$B570</f>
        <v>380000</v>
      </c>
      <c r="AA570" s="333"/>
      <c r="AB570" s="331"/>
      <c r="AC570" s="332">
        <f>AC568*$B570</f>
        <v>380000</v>
      </c>
      <c r="AD570" s="333"/>
      <c r="AE570" s="331"/>
      <c r="AF570" s="332">
        <f>AF568*$B570</f>
        <v>380000</v>
      </c>
      <c r="AG570" s="333"/>
      <c r="AH570" s="331"/>
      <c r="AI570" s="332">
        <f>AI568*$B570</f>
        <v>380000</v>
      </c>
      <c r="AJ570" s="333"/>
      <c r="AK570" s="331"/>
      <c r="AL570" s="332">
        <f>AL568*$B570</f>
        <v>380000</v>
      </c>
      <c r="AM570" s="333"/>
      <c r="AN570" s="316" t="s">
        <v>33</v>
      </c>
      <c r="AO570" s="316"/>
      <c r="AP570" s="316"/>
      <c r="AQ570" s="316"/>
      <c r="AR570" s="316"/>
      <c r="AS570" s="316"/>
      <c r="AT570" s="316"/>
      <c r="AU570" s="316"/>
      <c r="AV570" s="316"/>
      <c r="AW570" s="316"/>
      <c r="AX570" s="316"/>
      <c r="AY570" s="316"/>
      <c r="AZ570" s="316"/>
      <c r="BA570" s="316"/>
      <c r="BB570" s="316"/>
      <c r="BC570" s="316"/>
      <c r="BD570" s="316"/>
      <c r="BE570" s="316"/>
      <c r="BF570" s="316"/>
      <c r="BG570" s="316"/>
      <c r="BH570" s="316"/>
      <c r="BI570" s="316"/>
      <c r="BJ570" s="316"/>
      <c r="BK570" s="316"/>
      <c r="BL570" s="316"/>
      <c r="BM570" s="316"/>
      <c r="BN570" s="316"/>
    </row>
    <row r="571">
      <c r="A571" s="303" t="s">
        <v>2306</v>
      </c>
      <c r="B571" s="384" t="s">
        <v>918</v>
      </c>
      <c r="C571" s="385" t="s">
        <v>919</v>
      </c>
      <c r="D571" s="341" t="s">
        <v>923</v>
      </c>
      <c r="E571" s="335">
        <v>560000.0</v>
      </c>
      <c r="F571" s="346">
        <v>80000.0</v>
      </c>
      <c r="G571" s="353" t="s">
        <v>2307</v>
      </c>
      <c r="H571" s="335">
        <v>560000.0</v>
      </c>
      <c r="I571" s="346">
        <v>80000.0</v>
      </c>
      <c r="J571" s="353" t="s">
        <v>2308</v>
      </c>
      <c r="K571" s="335">
        <f>560000+461290</f>
        <v>1021290</v>
      </c>
      <c r="L571" s="346">
        <f>100000+83871</f>
        <v>183871</v>
      </c>
      <c r="M571" s="353" t="s">
        <v>2309</v>
      </c>
      <c r="N571" s="335">
        <f>560000+550000</f>
        <v>1110000</v>
      </c>
      <c r="O571" s="346">
        <f>100000+100000</f>
        <v>200000</v>
      </c>
      <c r="P571" s="353" t="s">
        <v>1852</v>
      </c>
      <c r="Q571" s="335">
        <v>550000.0</v>
      </c>
      <c r="R571" s="346">
        <v>100000.0</v>
      </c>
      <c r="S571" s="353" t="s">
        <v>1852</v>
      </c>
      <c r="T571" s="335">
        <v>550000.0</v>
      </c>
      <c r="U571" s="346">
        <v>100000.0</v>
      </c>
      <c r="V571" s="353" t="s">
        <v>2310</v>
      </c>
      <c r="W571" s="348">
        <v>106452.0</v>
      </c>
      <c r="X571" s="345">
        <v>19355.0</v>
      </c>
      <c r="Y571" s="326"/>
      <c r="Z571" s="321"/>
      <c r="AA571" s="322"/>
      <c r="AB571" s="326"/>
      <c r="AC571" s="321"/>
      <c r="AD571" s="322"/>
      <c r="AE571" s="326"/>
      <c r="AF571" s="321"/>
      <c r="AG571" s="322"/>
      <c r="AH571" s="326"/>
      <c r="AI571" s="321"/>
      <c r="AJ571" s="322"/>
      <c r="AK571" s="326"/>
      <c r="AL571" s="321"/>
      <c r="AM571" s="322"/>
      <c r="AN571" s="316" t="s">
        <v>33</v>
      </c>
      <c r="AO571" s="316"/>
      <c r="AP571" s="316"/>
      <c r="AQ571" s="316"/>
      <c r="AR571" s="316"/>
      <c r="AS571" s="316"/>
      <c r="AT571" s="316"/>
      <c r="AU571" s="316"/>
      <c r="AV571" s="316"/>
      <c r="AW571" s="316"/>
      <c r="AX571" s="316"/>
      <c r="AY571" s="316"/>
      <c r="AZ571" s="316"/>
      <c r="BA571" s="316"/>
      <c r="BB571" s="316"/>
      <c r="BC571" s="316"/>
      <c r="BD571" s="316"/>
      <c r="BE571" s="316"/>
      <c r="BF571" s="316"/>
      <c r="BG571" s="316"/>
      <c r="BH571" s="316"/>
      <c r="BI571" s="316"/>
      <c r="BJ571" s="316"/>
      <c r="BK571" s="316"/>
      <c r="BL571" s="316"/>
      <c r="BM571" s="316"/>
      <c r="BN571" s="316"/>
    </row>
    <row r="572">
      <c r="A572" s="303" t="s">
        <v>2306</v>
      </c>
      <c r="B572" s="317" t="s">
        <v>924</v>
      </c>
      <c r="C572" s="385" t="s">
        <v>925</v>
      </c>
      <c r="D572" s="341" t="s">
        <v>1857</v>
      </c>
      <c r="E572" s="335">
        <v>550000.0</v>
      </c>
      <c r="F572" s="346">
        <v>100000.0</v>
      </c>
      <c r="G572" s="341" t="s">
        <v>1857</v>
      </c>
      <c r="H572" s="335">
        <v>550000.0</v>
      </c>
      <c r="I572" s="346">
        <v>100000.0</v>
      </c>
      <c r="J572" s="341" t="s">
        <v>1857</v>
      </c>
      <c r="K572" s="335">
        <v>550000.0</v>
      </c>
      <c r="L572" s="346">
        <v>100000.0</v>
      </c>
      <c r="M572" s="341" t="s">
        <v>1857</v>
      </c>
      <c r="N572" s="335">
        <v>550000.0</v>
      </c>
      <c r="O572" s="346">
        <v>100000.0</v>
      </c>
      <c r="P572" s="341" t="s">
        <v>1857</v>
      </c>
      <c r="Q572" s="335">
        <v>550000.0</v>
      </c>
      <c r="R572" s="346">
        <v>100000.0</v>
      </c>
      <c r="S572" s="341" t="s">
        <v>1857</v>
      </c>
      <c r="T572" s="335">
        <v>550000.0</v>
      </c>
      <c r="U572" s="346">
        <v>100000.0</v>
      </c>
      <c r="V572" s="341" t="s">
        <v>1857</v>
      </c>
      <c r="W572" s="335">
        <v>550000.0</v>
      </c>
      <c r="X572" s="346">
        <v>100000.0</v>
      </c>
      <c r="Y572" s="341" t="s">
        <v>1857</v>
      </c>
      <c r="Z572" s="335">
        <v>550000.0</v>
      </c>
      <c r="AA572" s="346">
        <v>100000.0</v>
      </c>
      <c r="AB572" s="341" t="s">
        <v>1857</v>
      </c>
      <c r="AC572" s="335">
        <v>550000.0</v>
      </c>
      <c r="AD572" s="346">
        <v>100000.0</v>
      </c>
      <c r="AE572" s="341" t="s">
        <v>1857</v>
      </c>
      <c r="AF572" s="335">
        <v>550000.0</v>
      </c>
      <c r="AG572" s="346">
        <v>100000.0</v>
      </c>
      <c r="AH572" s="341" t="s">
        <v>1857</v>
      </c>
      <c r="AI572" s="335">
        <v>550000.0</v>
      </c>
      <c r="AJ572" s="346">
        <v>100000.0</v>
      </c>
      <c r="AK572" s="341" t="s">
        <v>1857</v>
      </c>
      <c r="AL572" s="335">
        <v>550000.0</v>
      </c>
      <c r="AM572" s="346">
        <v>100000.0</v>
      </c>
      <c r="AN572" s="316" t="s">
        <v>33</v>
      </c>
      <c r="AO572" s="316"/>
      <c r="AP572" s="316"/>
      <c r="AQ572" s="316"/>
      <c r="AR572" s="316"/>
      <c r="AS572" s="316"/>
      <c r="AT572" s="316"/>
      <c r="AU572" s="316"/>
      <c r="AV572" s="316"/>
      <c r="AW572" s="316"/>
      <c r="AX572" s="316"/>
      <c r="AY572" s="316"/>
      <c r="AZ572" s="316"/>
      <c r="BA572" s="316"/>
      <c r="BB572" s="316"/>
      <c r="BC572" s="316"/>
      <c r="BD572" s="316"/>
      <c r="BE572" s="316"/>
      <c r="BF572" s="316"/>
      <c r="BG572" s="316"/>
      <c r="BH572" s="316"/>
      <c r="BI572" s="316"/>
      <c r="BJ572" s="316"/>
      <c r="BK572" s="316"/>
      <c r="BL572" s="316"/>
      <c r="BM572" s="316"/>
      <c r="BN572" s="316"/>
    </row>
    <row r="573">
      <c r="A573" s="303" t="s">
        <v>2306</v>
      </c>
      <c r="B573" s="384" t="s">
        <v>918</v>
      </c>
      <c r="C573" s="385" t="s">
        <v>909</v>
      </c>
      <c r="D573" s="341" t="s">
        <v>2311</v>
      </c>
      <c r="E573" s="335">
        <v>390000.0</v>
      </c>
      <c r="F573" s="346">
        <v>100000.0</v>
      </c>
      <c r="G573" s="341" t="s">
        <v>2311</v>
      </c>
      <c r="H573" s="335">
        <v>390000.0</v>
      </c>
      <c r="I573" s="346">
        <v>100000.0</v>
      </c>
      <c r="J573" s="341" t="s">
        <v>2311</v>
      </c>
      <c r="K573" s="348">
        <v>370000.0</v>
      </c>
      <c r="L573" s="346">
        <v>100000.0</v>
      </c>
      <c r="M573" s="341" t="s">
        <v>2311</v>
      </c>
      <c r="N573" s="348">
        <v>370000.0</v>
      </c>
      <c r="O573" s="346">
        <v>100000.0</v>
      </c>
      <c r="P573" s="341" t="s">
        <v>2311</v>
      </c>
      <c r="Q573" s="348">
        <v>370000.0</v>
      </c>
      <c r="R573" s="346">
        <v>100000.0</v>
      </c>
      <c r="S573" s="341" t="s">
        <v>2311</v>
      </c>
      <c r="T573" s="348">
        <v>370000.0</v>
      </c>
      <c r="U573" s="346">
        <v>100000.0</v>
      </c>
      <c r="V573" s="341" t="s">
        <v>2311</v>
      </c>
      <c r="W573" s="348">
        <v>370000.0</v>
      </c>
      <c r="X573" s="346">
        <v>100000.0</v>
      </c>
      <c r="Y573" s="341" t="s">
        <v>2311</v>
      </c>
      <c r="Z573" s="348">
        <v>370000.0</v>
      </c>
      <c r="AA573" s="346">
        <v>100000.0</v>
      </c>
      <c r="AB573" s="341" t="s">
        <v>2311</v>
      </c>
      <c r="AC573" s="348">
        <v>370000.0</v>
      </c>
      <c r="AD573" s="346">
        <v>100000.0</v>
      </c>
      <c r="AE573" s="341" t="s">
        <v>2311</v>
      </c>
      <c r="AF573" s="348">
        <v>370000.0</v>
      </c>
      <c r="AG573" s="346">
        <v>100000.0</v>
      </c>
      <c r="AH573" s="341" t="s">
        <v>2311</v>
      </c>
      <c r="AI573" s="348">
        <v>370000.0</v>
      </c>
      <c r="AJ573" s="346">
        <v>100000.0</v>
      </c>
      <c r="AK573" s="341" t="s">
        <v>2311</v>
      </c>
      <c r="AL573" s="348">
        <v>370000.0</v>
      </c>
      <c r="AM573" s="346">
        <v>100000.0</v>
      </c>
      <c r="AN573" s="316" t="s">
        <v>33</v>
      </c>
      <c r="AO573" s="316"/>
      <c r="AP573" s="316"/>
      <c r="AQ573" s="316"/>
      <c r="AR573" s="316"/>
      <c r="AS573" s="316"/>
      <c r="AT573" s="316"/>
      <c r="AU573" s="316"/>
      <c r="AV573" s="316"/>
      <c r="AW573" s="316"/>
      <c r="AX573" s="316"/>
      <c r="AY573" s="316"/>
      <c r="AZ573" s="316"/>
      <c r="BA573" s="316"/>
      <c r="BB573" s="316"/>
      <c r="BC573" s="316"/>
      <c r="BD573" s="316"/>
      <c r="BE573" s="316"/>
      <c r="BF573" s="316"/>
      <c r="BG573" s="316"/>
      <c r="BH573" s="316"/>
      <c r="BI573" s="316"/>
      <c r="BJ573" s="316"/>
      <c r="BK573" s="316"/>
      <c r="BL573" s="316"/>
      <c r="BM573" s="316"/>
      <c r="BN573" s="316"/>
    </row>
    <row r="574">
      <c r="A574" s="303" t="s">
        <v>2306</v>
      </c>
      <c r="B574" s="384" t="s">
        <v>918</v>
      </c>
      <c r="C574" s="385" t="s">
        <v>316</v>
      </c>
      <c r="D574" s="341" t="s">
        <v>1862</v>
      </c>
      <c r="E574" s="335">
        <v>370000.0</v>
      </c>
      <c r="F574" s="346">
        <v>100000.0</v>
      </c>
      <c r="G574" s="341" t="s">
        <v>1862</v>
      </c>
      <c r="H574" s="335">
        <v>370000.0</v>
      </c>
      <c r="I574" s="346">
        <v>100000.0</v>
      </c>
      <c r="J574" s="341" t="s">
        <v>1862</v>
      </c>
      <c r="K574" s="335">
        <v>370000.0</v>
      </c>
      <c r="L574" s="346">
        <v>100000.0</v>
      </c>
      <c r="M574" s="341" t="s">
        <v>1862</v>
      </c>
      <c r="N574" s="335">
        <v>370000.0</v>
      </c>
      <c r="O574" s="346">
        <v>100000.0</v>
      </c>
      <c r="P574" s="341" t="s">
        <v>1862</v>
      </c>
      <c r="Q574" s="335">
        <v>370000.0</v>
      </c>
      <c r="R574" s="346">
        <v>100000.0</v>
      </c>
      <c r="S574" s="341" t="s">
        <v>1862</v>
      </c>
      <c r="T574" s="335">
        <v>370000.0</v>
      </c>
      <c r="U574" s="346">
        <v>100000.0</v>
      </c>
      <c r="V574" s="341" t="s">
        <v>1862</v>
      </c>
      <c r="W574" s="335">
        <v>370000.0</v>
      </c>
      <c r="X574" s="346">
        <v>100000.0</v>
      </c>
      <c r="Y574" s="341" t="s">
        <v>1862</v>
      </c>
      <c r="Z574" s="335">
        <v>370000.0</v>
      </c>
      <c r="AA574" s="346">
        <v>100000.0</v>
      </c>
      <c r="AB574" s="353" t="s">
        <v>2312</v>
      </c>
      <c r="AC574" s="335">
        <v>370000.0</v>
      </c>
      <c r="AD574" s="346">
        <v>100000.0</v>
      </c>
      <c r="AE574" s="326"/>
      <c r="AF574" s="321"/>
      <c r="AG574" s="322"/>
      <c r="AH574" s="326"/>
      <c r="AI574" s="321"/>
      <c r="AJ574" s="322"/>
      <c r="AK574" s="326"/>
      <c r="AL574" s="321"/>
      <c r="AM574" s="322"/>
      <c r="AN574" s="316" t="s">
        <v>33</v>
      </c>
      <c r="AO574" s="316"/>
      <c r="AP574" s="316"/>
      <c r="AQ574" s="316"/>
      <c r="AR574" s="316"/>
      <c r="AS574" s="316"/>
      <c r="AT574" s="316"/>
      <c r="AU574" s="316"/>
      <c r="AV574" s="316"/>
      <c r="AW574" s="316"/>
      <c r="AX574" s="316"/>
      <c r="AY574" s="316"/>
      <c r="AZ574" s="316"/>
      <c r="BA574" s="316"/>
      <c r="BB574" s="316"/>
      <c r="BC574" s="316"/>
      <c r="BD574" s="316"/>
      <c r="BE574" s="316"/>
      <c r="BF574" s="316"/>
      <c r="BG574" s="316"/>
      <c r="BH574" s="316"/>
      <c r="BI574" s="316"/>
      <c r="BJ574" s="316"/>
      <c r="BK574" s="316"/>
      <c r="BL574" s="316"/>
      <c r="BM574" s="316"/>
      <c r="BN574" s="316"/>
    </row>
    <row r="575">
      <c r="A575" s="303" t="s">
        <v>2306</v>
      </c>
      <c r="B575" s="304"/>
      <c r="C575" s="305" t="s">
        <v>42</v>
      </c>
      <c r="D575" s="320"/>
      <c r="E575" s="323">
        <f t="shared" ref="E575:F575" si="782">SUM(E571:E574)</f>
        <v>1870000</v>
      </c>
      <c r="F575" s="324">
        <f t="shared" si="782"/>
        <v>380000</v>
      </c>
      <c r="G575" s="320"/>
      <c r="H575" s="323">
        <f t="shared" ref="H575:I575" si="783">SUM(H571:H574)</f>
        <v>1870000</v>
      </c>
      <c r="I575" s="324">
        <f t="shared" si="783"/>
        <v>380000</v>
      </c>
      <c r="J575" s="320"/>
      <c r="K575" s="323">
        <f t="shared" ref="K575:L575" si="784">SUM(K571:K574)</f>
        <v>2311290</v>
      </c>
      <c r="L575" s="324">
        <f t="shared" si="784"/>
        <v>483871</v>
      </c>
      <c r="M575" s="320"/>
      <c r="N575" s="323">
        <f t="shared" ref="N575:O575" si="785">SUM(N571:N574)</f>
        <v>2400000</v>
      </c>
      <c r="O575" s="324">
        <f t="shared" si="785"/>
        <v>500000</v>
      </c>
      <c r="P575" s="320"/>
      <c r="Q575" s="323">
        <f t="shared" ref="Q575:R575" si="786">SUM(Q571:Q574)</f>
        <v>1840000</v>
      </c>
      <c r="R575" s="324">
        <f t="shared" si="786"/>
        <v>400000</v>
      </c>
      <c r="S575" s="320"/>
      <c r="T575" s="323">
        <f t="shared" ref="T575:U575" si="787">SUM(T571:T574)</f>
        <v>1840000</v>
      </c>
      <c r="U575" s="324">
        <f t="shared" si="787"/>
        <v>400000</v>
      </c>
      <c r="V575" s="320"/>
      <c r="W575" s="323">
        <f t="shared" ref="W575:X575" si="788">SUM(W571:W574)</f>
        <v>1396452</v>
      </c>
      <c r="X575" s="324">
        <f t="shared" si="788"/>
        <v>319355</v>
      </c>
      <c r="Y575" s="320"/>
      <c r="Z575" s="323">
        <f t="shared" ref="Z575:AA575" si="789">SUM(Z571:Z574)</f>
        <v>1290000</v>
      </c>
      <c r="AA575" s="324">
        <f t="shared" si="789"/>
        <v>300000</v>
      </c>
      <c r="AB575" s="320"/>
      <c r="AC575" s="323">
        <f t="shared" ref="AC575:AD575" si="790">SUM(AC571:AC574)</f>
        <v>1290000</v>
      </c>
      <c r="AD575" s="324">
        <f t="shared" si="790"/>
        <v>300000</v>
      </c>
      <c r="AE575" s="320"/>
      <c r="AF575" s="323">
        <f t="shared" ref="AF575:AG575" si="791">SUM(AF571:AF574)</f>
        <v>920000</v>
      </c>
      <c r="AG575" s="324">
        <f t="shared" si="791"/>
        <v>200000</v>
      </c>
      <c r="AH575" s="320"/>
      <c r="AI575" s="323">
        <f t="shared" ref="AI575:AJ575" si="792">SUM(AI571:AI574)</f>
        <v>920000</v>
      </c>
      <c r="AJ575" s="324">
        <f t="shared" si="792"/>
        <v>200000</v>
      </c>
      <c r="AK575" s="320"/>
      <c r="AL575" s="323">
        <f t="shared" ref="AL575:AM575" si="793">SUM(AL571:AL574)</f>
        <v>920000</v>
      </c>
      <c r="AM575" s="324">
        <f t="shared" si="793"/>
        <v>200000</v>
      </c>
      <c r="AN575" s="316" t="s">
        <v>33</v>
      </c>
      <c r="AO575" s="316"/>
      <c r="AP575" s="316"/>
      <c r="AQ575" s="316"/>
      <c r="AR575" s="316"/>
      <c r="AS575" s="316"/>
      <c r="AT575" s="316"/>
      <c r="AU575" s="316"/>
      <c r="AV575" s="316"/>
      <c r="AW575" s="316"/>
      <c r="AX575" s="316"/>
      <c r="AY575" s="316"/>
      <c r="AZ575" s="316"/>
      <c r="BA575" s="316"/>
      <c r="BB575" s="316"/>
      <c r="BC575" s="316"/>
      <c r="BD575" s="316"/>
      <c r="BE575" s="316"/>
      <c r="BF575" s="316"/>
      <c r="BG575" s="316"/>
      <c r="BH575" s="316"/>
      <c r="BI575" s="316"/>
      <c r="BJ575" s="316"/>
      <c r="BK575" s="316"/>
      <c r="BL575" s="316"/>
      <c r="BM575" s="316"/>
      <c r="BN575" s="316"/>
    </row>
    <row r="576" collapsed="1">
      <c r="A576" s="303" t="s">
        <v>2306</v>
      </c>
      <c r="B576" s="304"/>
      <c r="C576" s="325" t="s">
        <v>43</v>
      </c>
      <c r="D576" s="326"/>
      <c r="E576" s="321">
        <v>900000.0</v>
      </c>
      <c r="F576" s="324"/>
      <c r="G576" s="326"/>
      <c r="H576" s="321">
        <v>900000.0</v>
      </c>
      <c r="I576" s="324"/>
      <c r="J576" s="326"/>
      <c r="K576" s="321">
        <v>900000.0</v>
      </c>
      <c r="L576" s="324"/>
      <c r="M576" s="326"/>
      <c r="N576" s="321">
        <v>900000.0</v>
      </c>
      <c r="O576" s="324"/>
      <c r="P576" s="326"/>
      <c r="Q576" s="321">
        <v>900000.0</v>
      </c>
      <c r="R576" s="324"/>
      <c r="S576" s="326"/>
      <c r="T576" s="321">
        <v>900000.0</v>
      </c>
      <c r="U576" s="324"/>
      <c r="V576" s="326"/>
      <c r="W576" s="321">
        <v>900000.0</v>
      </c>
      <c r="X576" s="324"/>
      <c r="Y576" s="326"/>
      <c r="Z576" s="321">
        <v>900000.0</v>
      </c>
      <c r="AA576" s="324"/>
      <c r="AB576" s="326"/>
      <c r="AC576" s="321">
        <v>900000.0</v>
      </c>
      <c r="AD576" s="324"/>
      <c r="AE576" s="326"/>
      <c r="AF576" s="321">
        <v>900000.0</v>
      </c>
      <c r="AG576" s="324"/>
      <c r="AH576" s="326"/>
      <c r="AI576" s="321">
        <v>900000.0</v>
      </c>
      <c r="AJ576" s="324"/>
      <c r="AK576" s="326"/>
      <c r="AL576" s="321">
        <v>900000.0</v>
      </c>
      <c r="AM576" s="324"/>
      <c r="AN576" s="316" t="s">
        <v>33</v>
      </c>
      <c r="AO576" s="316"/>
      <c r="AP576" s="316"/>
      <c r="AQ576" s="316"/>
      <c r="AR576" s="316"/>
      <c r="AS576" s="316"/>
      <c r="AT576" s="316"/>
      <c r="AU576" s="316"/>
      <c r="AV576" s="316"/>
      <c r="AW576" s="316"/>
      <c r="AX576" s="316"/>
      <c r="AY576" s="316"/>
      <c r="AZ576" s="316"/>
      <c r="BA576" s="316"/>
      <c r="BB576" s="316"/>
      <c r="BC576" s="316"/>
      <c r="BD576" s="316"/>
      <c r="BE576" s="316"/>
      <c r="BF576" s="316"/>
      <c r="BG576" s="316"/>
      <c r="BH576" s="316"/>
      <c r="BI576" s="316"/>
      <c r="BJ576" s="316"/>
      <c r="BK576" s="316"/>
      <c r="BL576" s="316"/>
      <c r="BM576" s="316"/>
      <c r="BN576" s="316"/>
    </row>
    <row r="577" hidden="1" outlineLevel="1">
      <c r="A577" s="303" t="s">
        <v>2306</v>
      </c>
      <c r="B577" s="304"/>
      <c r="C577" s="325" t="s">
        <v>45</v>
      </c>
      <c r="D577" s="326" t="s">
        <v>677</v>
      </c>
      <c r="E577" s="321" t="s">
        <v>677</v>
      </c>
      <c r="F577" s="322" t="s">
        <v>677</v>
      </c>
      <c r="G577" s="326" t="s">
        <v>677</v>
      </c>
      <c r="H577" s="321" t="s">
        <v>677</v>
      </c>
      <c r="I577" s="322" t="s">
        <v>677</v>
      </c>
      <c r="J577" s="326" t="s">
        <v>677</v>
      </c>
      <c r="K577" s="321" t="s">
        <v>677</v>
      </c>
      <c r="L577" s="322" t="s">
        <v>677</v>
      </c>
      <c r="M577" s="326" t="s">
        <v>677</v>
      </c>
      <c r="N577" s="321" t="s">
        <v>677</v>
      </c>
      <c r="O577" s="322" t="s">
        <v>677</v>
      </c>
      <c r="P577" s="326" t="s">
        <v>677</v>
      </c>
      <c r="Q577" s="321" t="s">
        <v>677</v>
      </c>
      <c r="R577" s="322" t="s">
        <v>677</v>
      </c>
      <c r="S577" s="326" t="s">
        <v>677</v>
      </c>
      <c r="T577" s="321" t="s">
        <v>677</v>
      </c>
      <c r="U577" s="322" t="s">
        <v>677</v>
      </c>
      <c r="V577" s="326" t="s">
        <v>677</v>
      </c>
      <c r="W577" s="321" t="s">
        <v>677</v>
      </c>
      <c r="X577" s="322" t="s">
        <v>677</v>
      </c>
      <c r="Y577" s="326" t="s">
        <v>677</v>
      </c>
      <c r="Z577" s="321" t="s">
        <v>677</v>
      </c>
      <c r="AA577" s="322" t="s">
        <v>677</v>
      </c>
      <c r="AB577" s="326" t="s">
        <v>677</v>
      </c>
      <c r="AC577" s="321" t="s">
        <v>677</v>
      </c>
      <c r="AD577" s="322" t="s">
        <v>677</v>
      </c>
      <c r="AE577" s="326" t="s">
        <v>677</v>
      </c>
      <c r="AF577" s="321" t="s">
        <v>677</v>
      </c>
      <c r="AG577" s="322" t="s">
        <v>677</v>
      </c>
      <c r="AH577" s="326" t="s">
        <v>677</v>
      </c>
      <c r="AI577" s="321" t="s">
        <v>677</v>
      </c>
      <c r="AJ577" s="322" t="s">
        <v>677</v>
      </c>
      <c r="AK577" s="326" t="s">
        <v>677</v>
      </c>
      <c r="AL577" s="321" t="s">
        <v>677</v>
      </c>
      <c r="AM577" s="322" t="s">
        <v>677</v>
      </c>
      <c r="AN577" s="316" t="s">
        <v>33</v>
      </c>
      <c r="AO577" s="316"/>
      <c r="AP577" s="316"/>
      <c r="AQ577" s="316"/>
      <c r="AR577" s="316"/>
      <c r="AS577" s="316"/>
      <c r="AT577" s="316"/>
      <c r="AU577" s="316"/>
      <c r="AV577" s="316"/>
      <c r="AW577" s="316"/>
      <c r="AX577" s="316"/>
      <c r="AY577" s="316"/>
      <c r="AZ577" s="316"/>
      <c r="BA577" s="316"/>
      <c r="BB577" s="316"/>
      <c r="BC577" s="316"/>
      <c r="BD577" s="316"/>
      <c r="BE577" s="316"/>
      <c r="BF577" s="316"/>
      <c r="BG577" s="316"/>
      <c r="BH577" s="316"/>
      <c r="BI577" s="316"/>
      <c r="BJ577" s="316"/>
      <c r="BK577" s="316"/>
      <c r="BL577" s="316"/>
      <c r="BM577" s="316"/>
      <c r="BN577" s="316"/>
    </row>
    <row r="578" hidden="1" outlineLevel="1">
      <c r="A578" s="303" t="s">
        <v>2306</v>
      </c>
      <c r="B578" s="317" t="s">
        <v>942</v>
      </c>
      <c r="C578" s="325" t="s">
        <v>47</v>
      </c>
      <c r="D578" s="326"/>
      <c r="E578" s="321"/>
      <c r="F578" s="322">
        <v>68320.0</v>
      </c>
      <c r="G578" s="326"/>
      <c r="H578" s="321"/>
      <c r="I578" s="322">
        <v>62660.0</v>
      </c>
      <c r="J578" s="326"/>
      <c r="K578" s="321"/>
      <c r="L578" s="322">
        <v>48490.0</v>
      </c>
      <c r="M578" s="326"/>
      <c r="N578" s="321"/>
      <c r="O578" s="322"/>
      <c r="P578" s="326"/>
      <c r="Q578" s="321"/>
      <c r="R578" s="322"/>
      <c r="S578" s="326"/>
      <c r="T578" s="321"/>
      <c r="U578" s="322"/>
      <c r="V578" s="326"/>
      <c r="W578" s="321"/>
      <c r="X578" s="322"/>
      <c r="Y578" s="326"/>
      <c r="Z578" s="321"/>
      <c r="AA578" s="322"/>
      <c r="AB578" s="326"/>
      <c r="AC578" s="321"/>
      <c r="AD578" s="322"/>
      <c r="AE578" s="326"/>
      <c r="AF578" s="321"/>
      <c r="AG578" s="322"/>
      <c r="AH578" s="326"/>
      <c r="AI578" s="321"/>
      <c r="AJ578" s="322"/>
      <c r="AK578" s="326"/>
      <c r="AL578" s="321"/>
      <c r="AM578" s="322"/>
      <c r="AN578" s="316" t="s">
        <v>33</v>
      </c>
      <c r="AO578" s="316"/>
      <c r="AP578" s="316"/>
      <c r="AQ578" s="316"/>
      <c r="AR578" s="316"/>
      <c r="AS578" s="316"/>
      <c r="AT578" s="316"/>
      <c r="AU578" s="316"/>
      <c r="AV578" s="316"/>
      <c r="AW578" s="316"/>
      <c r="AX578" s="316"/>
      <c r="AY578" s="316"/>
      <c r="AZ578" s="316"/>
      <c r="BA578" s="316"/>
      <c r="BB578" s="316"/>
      <c r="BC578" s="316"/>
      <c r="BD578" s="316"/>
      <c r="BE578" s="316"/>
      <c r="BF578" s="316"/>
      <c r="BG578" s="316"/>
      <c r="BH578" s="316"/>
      <c r="BI578" s="316"/>
      <c r="BJ578" s="316"/>
      <c r="BK578" s="316"/>
      <c r="BL578" s="316"/>
      <c r="BM578" s="316"/>
      <c r="BN578" s="316"/>
    </row>
    <row r="579" hidden="1" outlineLevel="1">
      <c r="A579" s="303" t="s">
        <v>2306</v>
      </c>
      <c r="B579" s="317" t="s">
        <v>943</v>
      </c>
      <c r="C579" s="325" t="s">
        <v>49</v>
      </c>
      <c r="D579" s="326"/>
      <c r="E579" s="321"/>
      <c r="F579" s="322">
        <v>206310.0</v>
      </c>
      <c r="G579" s="326"/>
      <c r="H579" s="321"/>
      <c r="I579" s="322">
        <v>306290.0</v>
      </c>
      <c r="J579" s="326"/>
      <c r="K579" s="321"/>
      <c r="L579" s="322">
        <v>311880.0</v>
      </c>
      <c r="M579" s="326"/>
      <c r="N579" s="321"/>
      <c r="O579" s="322"/>
      <c r="P579" s="326"/>
      <c r="Q579" s="321"/>
      <c r="R579" s="322"/>
      <c r="S579" s="326"/>
      <c r="T579" s="321"/>
      <c r="U579" s="322"/>
      <c r="V579" s="326"/>
      <c r="W579" s="321"/>
      <c r="X579" s="322"/>
      <c r="Y579" s="326"/>
      <c r="Z579" s="321"/>
      <c r="AA579" s="322"/>
      <c r="AB579" s="326"/>
      <c r="AC579" s="321"/>
      <c r="AD579" s="322"/>
      <c r="AE579" s="326"/>
      <c r="AF579" s="321"/>
      <c r="AG579" s="322"/>
      <c r="AH579" s="326"/>
      <c r="AI579" s="321"/>
      <c r="AJ579" s="322"/>
      <c r="AK579" s="326"/>
      <c r="AL579" s="321"/>
      <c r="AM579" s="322"/>
      <c r="AN579" s="316" t="s">
        <v>33</v>
      </c>
      <c r="AO579" s="316"/>
      <c r="AP579" s="316"/>
      <c r="AQ579" s="316"/>
      <c r="AR579" s="316"/>
      <c r="AS579" s="316"/>
      <c r="AT579" s="316"/>
      <c r="AU579" s="316"/>
      <c r="AV579" s="316"/>
      <c r="AW579" s="316"/>
      <c r="AX579" s="316"/>
      <c r="AY579" s="316"/>
      <c r="AZ579" s="316"/>
      <c r="BA579" s="316"/>
      <c r="BB579" s="316"/>
      <c r="BC579" s="316"/>
      <c r="BD579" s="316"/>
      <c r="BE579" s="316"/>
      <c r="BF579" s="316"/>
      <c r="BG579" s="316"/>
      <c r="BH579" s="316"/>
      <c r="BI579" s="316"/>
      <c r="BJ579" s="316"/>
      <c r="BK579" s="316"/>
      <c r="BL579" s="316"/>
      <c r="BM579" s="316"/>
      <c r="BN579" s="316"/>
    </row>
    <row r="580" hidden="1" outlineLevel="1">
      <c r="A580" s="303" t="s">
        <v>2306</v>
      </c>
      <c r="B580" s="317" t="s">
        <v>944</v>
      </c>
      <c r="C580" s="325" t="s">
        <v>51</v>
      </c>
      <c r="D580" s="326"/>
      <c r="E580" s="321"/>
      <c r="F580" s="322">
        <v>38980.0</v>
      </c>
      <c r="G580" s="326"/>
      <c r="H580" s="321"/>
      <c r="I580" s="322">
        <v>0.0</v>
      </c>
      <c r="J580" s="326"/>
      <c r="K580" s="321"/>
      <c r="L580" s="322">
        <v>30010.0</v>
      </c>
      <c r="M580" s="326"/>
      <c r="N580" s="321"/>
      <c r="O580" s="322"/>
      <c r="P580" s="326"/>
      <c r="Q580" s="321"/>
      <c r="R580" s="322"/>
      <c r="S580" s="326"/>
      <c r="T580" s="321"/>
      <c r="U580" s="322"/>
      <c r="V580" s="326"/>
      <c r="W580" s="321"/>
      <c r="X580" s="322"/>
      <c r="Y580" s="326"/>
      <c r="Z580" s="321"/>
      <c r="AA580" s="322"/>
      <c r="AB580" s="326"/>
      <c r="AC580" s="321"/>
      <c r="AD580" s="322"/>
      <c r="AE580" s="326"/>
      <c r="AF580" s="321"/>
      <c r="AG580" s="322"/>
      <c r="AH580" s="326"/>
      <c r="AI580" s="321"/>
      <c r="AJ580" s="322"/>
      <c r="AK580" s="326"/>
      <c r="AL580" s="321"/>
      <c r="AM580" s="322"/>
      <c r="AN580" s="316" t="s">
        <v>33</v>
      </c>
      <c r="AO580" s="316"/>
      <c r="AP580" s="316"/>
      <c r="AQ580" s="316"/>
      <c r="AR580" s="316"/>
      <c r="AS580" s="316"/>
      <c r="AT580" s="316"/>
      <c r="AU580" s="316"/>
      <c r="AV580" s="316"/>
      <c r="AW580" s="316"/>
      <c r="AX580" s="316"/>
      <c r="AY580" s="316"/>
      <c r="AZ580" s="316"/>
      <c r="BA580" s="316"/>
      <c r="BB580" s="316"/>
      <c r="BC580" s="316"/>
      <c r="BD580" s="316"/>
      <c r="BE580" s="316"/>
      <c r="BF580" s="316"/>
      <c r="BG580" s="316"/>
      <c r="BH580" s="316"/>
      <c r="BI580" s="316"/>
      <c r="BJ580" s="316"/>
      <c r="BK580" s="316"/>
      <c r="BL580" s="316"/>
      <c r="BM580" s="316"/>
      <c r="BN580" s="316"/>
    </row>
    <row r="581" hidden="1" outlineLevel="1">
      <c r="A581" s="303" t="s">
        <v>2306</v>
      </c>
      <c r="B581" s="304"/>
      <c r="C581" s="325" t="s">
        <v>52</v>
      </c>
      <c r="D581" s="326"/>
      <c r="E581" s="321"/>
      <c r="F581" s="322">
        <v>22000.0</v>
      </c>
      <c r="G581" s="326"/>
      <c r="H581" s="321"/>
      <c r="I581" s="322">
        <v>22000.0</v>
      </c>
      <c r="J581" s="326"/>
      <c r="K581" s="321"/>
      <c r="L581" s="322">
        <v>22000.0</v>
      </c>
      <c r="M581" s="326"/>
      <c r="N581" s="321"/>
      <c r="O581" s="322">
        <v>22000.0</v>
      </c>
      <c r="P581" s="326"/>
      <c r="Q581" s="321"/>
      <c r="R581" s="322">
        <v>22000.0</v>
      </c>
      <c r="S581" s="326"/>
      <c r="T581" s="321"/>
      <c r="U581" s="322">
        <v>22000.0</v>
      </c>
      <c r="V581" s="326"/>
      <c r="W581" s="321"/>
      <c r="X581" s="322">
        <v>22000.0</v>
      </c>
      <c r="Y581" s="326"/>
      <c r="Z581" s="321"/>
      <c r="AA581" s="322">
        <v>22000.0</v>
      </c>
      <c r="AB581" s="326"/>
      <c r="AC581" s="321"/>
      <c r="AD581" s="322">
        <v>22000.0</v>
      </c>
      <c r="AE581" s="326"/>
      <c r="AF581" s="321"/>
      <c r="AG581" s="322">
        <v>22000.0</v>
      </c>
      <c r="AH581" s="326"/>
      <c r="AI581" s="321"/>
      <c r="AJ581" s="322">
        <v>22000.0</v>
      </c>
      <c r="AK581" s="326"/>
      <c r="AL581" s="321"/>
      <c r="AM581" s="322">
        <v>22000.0</v>
      </c>
      <c r="AN581" s="316" t="s">
        <v>33</v>
      </c>
      <c r="AO581" s="316"/>
      <c r="AP581" s="316"/>
      <c r="AQ581" s="316"/>
      <c r="AR581" s="316"/>
      <c r="AS581" s="316"/>
      <c r="AT581" s="316"/>
      <c r="AU581" s="316"/>
      <c r="AV581" s="316"/>
      <c r="AW581" s="316"/>
      <c r="AX581" s="316"/>
      <c r="AY581" s="316"/>
      <c r="AZ581" s="316"/>
      <c r="BA581" s="316"/>
      <c r="BB581" s="316"/>
      <c r="BC581" s="316"/>
      <c r="BD581" s="316"/>
      <c r="BE581" s="316"/>
      <c r="BF581" s="316"/>
      <c r="BG581" s="316"/>
      <c r="BH581" s="316"/>
      <c r="BI581" s="316"/>
      <c r="BJ581" s="316"/>
      <c r="BK581" s="316"/>
      <c r="BL581" s="316"/>
      <c r="BM581" s="316"/>
      <c r="BN581" s="316"/>
    </row>
    <row r="582" hidden="1" outlineLevel="1">
      <c r="A582" s="303" t="s">
        <v>2306</v>
      </c>
      <c r="B582" s="304"/>
      <c r="C582" s="325" t="s">
        <v>2236</v>
      </c>
      <c r="D582" s="326"/>
      <c r="E582" s="321"/>
      <c r="F582" s="322" t="s">
        <v>44</v>
      </c>
      <c r="G582" s="326"/>
      <c r="H582" s="321"/>
      <c r="I582" s="322" t="s">
        <v>44</v>
      </c>
      <c r="J582" s="326"/>
      <c r="K582" s="321"/>
      <c r="L582" s="322" t="s">
        <v>44</v>
      </c>
      <c r="M582" s="326"/>
      <c r="N582" s="321"/>
      <c r="O582" s="322" t="s">
        <v>44</v>
      </c>
      <c r="P582" s="326"/>
      <c r="Q582" s="321"/>
      <c r="R582" s="322" t="s">
        <v>44</v>
      </c>
      <c r="S582" s="326"/>
      <c r="T582" s="321"/>
      <c r="U582" s="322" t="s">
        <v>44</v>
      </c>
      <c r="V582" s="326"/>
      <c r="W582" s="321"/>
      <c r="X582" s="322" t="s">
        <v>44</v>
      </c>
      <c r="Y582" s="326"/>
      <c r="Z582" s="321"/>
      <c r="AA582" s="322" t="s">
        <v>44</v>
      </c>
      <c r="AB582" s="326"/>
      <c r="AC582" s="321"/>
      <c r="AD582" s="322" t="s">
        <v>44</v>
      </c>
      <c r="AE582" s="326"/>
      <c r="AF582" s="321"/>
      <c r="AG582" s="322" t="s">
        <v>44</v>
      </c>
      <c r="AH582" s="326"/>
      <c r="AI582" s="321"/>
      <c r="AJ582" s="322" t="s">
        <v>44</v>
      </c>
      <c r="AK582" s="326"/>
      <c r="AL582" s="321"/>
      <c r="AM582" s="322" t="s">
        <v>44</v>
      </c>
      <c r="AN582" s="316" t="s">
        <v>33</v>
      </c>
      <c r="AO582" s="316"/>
      <c r="AP582" s="316"/>
      <c r="AQ582" s="316"/>
      <c r="AR582" s="316"/>
      <c r="AS582" s="316"/>
      <c r="AT582" s="316"/>
      <c r="AU582" s="316"/>
      <c r="AV582" s="316"/>
      <c r="AW582" s="316"/>
      <c r="AX582" s="316"/>
      <c r="AY582" s="316"/>
      <c r="AZ582" s="316"/>
      <c r="BA582" s="316"/>
      <c r="BB582" s="316"/>
      <c r="BC582" s="316"/>
      <c r="BD582" s="316"/>
      <c r="BE582" s="316"/>
      <c r="BF582" s="316"/>
      <c r="BG582" s="316"/>
      <c r="BH582" s="316"/>
      <c r="BI582" s="316"/>
      <c r="BJ582" s="316"/>
      <c r="BK582" s="316"/>
      <c r="BL582" s="316"/>
      <c r="BM582" s="316"/>
      <c r="BN582" s="316"/>
    </row>
    <row r="583" hidden="1" outlineLevel="1">
      <c r="A583" s="303" t="s">
        <v>2306</v>
      </c>
      <c r="B583" s="304"/>
      <c r="C583" s="325" t="s">
        <v>54</v>
      </c>
      <c r="D583" s="327"/>
      <c r="E583" s="321"/>
      <c r="F583" s="322">
        <f>SUMIFS('지출'!$G$3:$G794,'지출'!$J$3:$J794,F$1,'지출'!$C$3:$C794,"브루")</f>
        <v>59000</v>
      </c>
      <c r="G583" s="327"/>
      <c r="H583" s="321"/>
      <c r="I583" s="322">
        <f>SUMIFS('지출'!$G$3:$G794,'지출'!$J$3:$J794,I$1,'지출'!$C$3:$C794,"브루")</f>
        <v>62270</v>
      </c>
      <c r="J583" s="327"/>
      <c r="K583" s="321"/>
      <c r="L583" s="322">
        <f>SUMIFS('지출'!$G$3:$G794,'지출'!$J$3:$J794,L$1,'지출'!$C$3:$C794,"브루")</f>
        <v>27630</v>
      </c>
      <c r="M583" s="327"/>
      <c r="N583" s="321"/>
      <c r="O583" s="322">
        <f>SUMIFS('지출'!$G$3:$G794,'지출'!$J$3:$J794,O$1,'지출'!$C$3:$C794,"브루")</f>
        <v>0</v>
      </c>
      <c r="P583" s="327"/>
      <c r="Q583" s="321"/>
      <c r="R583" s="322">
        <f>SUMIFS('지출'!$G$3:$G794,'지출'!$J$3:$J794,R$1,'지출'!$C$3:$C794,"브루")</f>
        <v>0</v>
      </c>
      <c r="S583" s="327"/>
      <c r="T583" s="321"/>
      <c r="U583" s="322">
        <f>SUMIFS('지출'!$G$3:$G794,'지출'!$J$3:$J794,U$1,'지출'!$C$3:$C794,"브루")</f>
        <v>0</v>
      </c>
      <c r="V583" s="327"/>
      <c r="W583" s="321"/>
      <c r="X583" s="322">
        <f>SUMIFS('지출'!$G$3:$G794,'지출'!$J$3:$J794,X$1,'지출'!$C$3:$C794,"브루")</f>
        <v>0</v>
      </c>
      <c r="Y583" s="327"/>
      <c r="Z583" s="321"/>
      <c r="AA583" s="322">
        <f>SUMIFS('지출'!$G$3:$G794,'지출'!$J$3:$J794,AA$1,'지출'!$C$3:$C794,"브루")</f>
        <v>0</v>
      </c>
      <c r="AB583" s="327"/>
      <c r="AC583" s="321"/>
      <c r="AD583" s="322">
        <f>SUMIFS('지출'!$G$3:$G794,'지출'!$J$3:$J794,AD$1,'지출'!$C$3:$C794,"브루")</f>
        <v>0</v>
      </c>
      <c r="AE583" s="327"/>
      <c r="AF583" s="321"/>
      <c r="AG583" s="322">
        <f>SUMIFS('지출'!$G$3:$G794,'지출'!$J$3:$J794,AG$1,'지출'!$C$3:$C794,"브루")</f>
        <v>0</v>
      </c>
      <c r="AH583" s="327"/>
      <c r="AI583" s="321"/>
      <c r="AJ583" s="322">
        <f>SUMIFS('지출'!$G$3:$G794,'지출'!$J$3:$J794,AJ$1,'지출'!$C$3:$C794,"브루")</f>
        <v>0</v>
      </c>
      <c r="AK583" s="327"/>
      <c r="AL583" s="321"/>
      <c r="AM583" s="322">
        <f>SUMIFS('지출'!$G$3:$G794,'지출'!$J$3:$J794,AM$1,'지출'!$C$3:$C794,"브루")</f>
        <v>0</v>
      </c>
      <c r="AN583" s="316" t="s">
        <v>33</v>
      </c>
      <c r="AO583" s="316"/>
      <c r="AP583" s="316"/>
      <c r="AQ583" s="316"/>
      <c r="AR583" s="316"/>
      <c r="AS583" s="316"/>
      <c r="AT583" s="316"/>
      <c r="AU583" s="316"/>
      <c r="AV583" s="316"/>
      <c r="AW583" s="316"/>
      <c r="AX583" s="316"/>
      <c r="AY583" s="316"/>
      <c r="AZ583" s="316"/>
      <c r="BA583" s="316"/>
      <c r="BB583" s="316"/>
      <c r="BC583" s="316"/>
      <c r="BD583" s="316"/>
      <c r="BE583" s="316"/>
      <c r="BF583" s="316"/>
      <c r="BG583" s="316"/>
      <c r="BH583" s="316"/>
      <c r="BI583" s="316"/>
      <c r="BJ583" s="316"/>
      <c r="BK583" s="316"/>
      <c r="BL583" s="316"/>
      <c r="BM583" s="316"/>
      <c r="BN583" s="316"/>
    </row>
    <row r="584" hidden="1" outlineLevel="1">
      <c r="A584" s="303" t="s">
        <v>2306</v>
      </c>
      <c r="B584" s="304"/>
      <c r="C584" s="325" t="s">
        <v>56</v>
      </c>
      <c r="D584" s="320"/>
      <c r="E584" s="323">
        <f t="shared" ref="E584:F584" si="794">E575-(SUM(E576:E583))</f>
        <v>970000</v>
      </c>
      <c r="F584" s="324">
        <f t="shared" si="794"/>
        <v>-14610</v>
      </c>
      <c r="G584" s="320"/>
      <c r="H584" s="323">
        <f t="shared" ref="H584:I584" si="795">H575-(SUM(H576:H583))</f>
        <v>970000</v>
      </c>
      <c r="I584" s="324">
        <f t="shared" si="795"/>
        <v>-73220</v>
      </c>
      <c r="J584" s="320"/>
      <c r="K584" s="323">
        <f t="shared" ref="K584:L584" si="796">K575-(SUM(K576:K583))</f>
        <v>1411290</v>
      </c>
      <c r="L584" s="324">
        <f t="shared" si="796"/>
        <v>43861</v>
      </c>
      <c r="M584" s="320"/>
      <c r="N584" s="323">
        <f t="shared" ref="N584:O584" si="797">N575-(SUM(N576:N583))</f>
        <v>1500000</v>
      </c>
      <c r="O584" s="324">
        <f t="shared" si="797"/>
        <v>478000</v>
      </c>
      <c r="P584" s="320"/>
      <c r="Q584" s="323">
        <f t="shared" ref="Q584:R584" si="798">Q575-(SUM(Q576:Q583))</f>
        <v>940000</v>
      </c>
      <c r="R584" s="324">
        <f t="shared" si="798"/>
        <v>378000</v>
      </c>
      <c r="S584" s="320"/>
      <c r="T584" s="323">
        <f t="shared" ref="T584:U584" si="799">T575-(SUM(T576:T583))</f>
        <v>940000</v>
      </c>
      <c r="U584" s="324">
        <f t="shared" si="799"/>
        <v>378000</v>
      </c>
      <c r="V584" s="320"/>
      <c r="W584" s="323">
        <f t="shared" ref="W584:X584" si="800">W575-(SUM(W576:W583))</f>
        <v>496452</v>
      </c>
      <c r="X584" s="324">
        <f t="shared" si="800"/>
        <v>297355</v>
      </c>
      <c r="Y584" s="320"/>
      <c r="Z584" s="323">
        <f t="shared" ref="Z584:AA584" si="801">Z575-(SUM(Z576:Z583))</f>
        <v>390000</v>
      </c>
      <c r="AA584" s="324">
        <f t="shared" si="801"/>
        <v>278000</v>
      </c>
      <c r="AB584" s="320"/>
      <c r="AC584" s="323">
        <f t="shared" ref="AC584:AD584" si="802">AC575-(SUM(AC576:AC583))</f>
        <v>390000</v>
      </c>
      <c r="AD584" s="324">
        <f t="shared" si="802"/>
        <v>278000</v>
      </c>
      <c r="AE584" s="320"/>
      <c r="AF584" s="323">
        <f t="shared" ref="AF584:AG584" si="803">AF575-(SUM(AF576:AF583))</f>
        <v>20000</v>
      </c>
      <c r="AG584" s="324">
        <f t="shared" si="803"/>
        <v>178000</v>
      </c>
      <c r="AH584" s="320"/>
      <c r="AI584" s="323">
        <f t="shared" ref="AI584:AJ584" si="804">AI575-(SUM(AI576:AI583))</f>
        <v>20000</v>
      </c>
      <c r="AJ584" s="324">
        <f t="shared" si="804"/>
        <v>178000</v>
      </c>
      <c r="AK584" s="320"/>
      <c r="AL584" s="323">
        <f t="shared" ref="AL584:AM584" si="805">AL575-(SUM(AL576:AL583))</f>
        <v>20000</v>
      </c>
      <c r="AM584" s="324">
        <f t="shared" si="805"/>
        <v>178000</v>
      </c>
      <c r="AN584" s="316" t="s">
        <v>33</v>
      </c>
      <c r="AO584" s="316"/>
      <c r="AP584" s="316"/>
      <c r="AQ584" s="316"/>
      <c r="AR584" s="316"/>
      <c r="AS584" s="316"/>
      <c r="AT584" s="316"/>
      <c r="AU584" s="316"/>
      <c r="AV584" s="316"/>
      <c r="AW584" s="316"/>
      <c r="AX584" s="316"/>
      <c r="AY584" s="316"/>
      <c r="AZ584" s="316"/>
      <c r="BA584" s="316"/>
      <c r="BB584" s="316"/>
      <c r="BC584" s="316"/>
      <c r="BD584" s="316"/>
      <c r="BE584" s="316"/>
      <c r="BF584" s="316"/>
      <c r="BG584" s="316"/>
      <c r="BH584" s="316"/>
      <c r="BI584" s="316"/>
      <c r="BJ584" s="316"/>
      <c r="BK584" s="316"/>
      <c r="BL584" s="316"/>
      <c r="BM584" s="316"/>
      <c r="BN584" s="316"/>
    </row>
    <row r="585">
      <c r="A585" s="303" t="s">
        <v>2306</v>
      </c>
      <c r="B585" s="328">
        <v>0.0</v>
      </c>
      <c r="C585" s="325" t="s">
        <v>26</v>
      </c>
      <c r="D585" s="320"/>
      <c r="E585" s="323">
        <f>E584*$B585</f>
        <v>0</v>
      </c>
      <c r="F585" s="324"/>
      <c r="G585" s="320"/>
      <c r="H585" s="323">
        <f>H584*$B585</f>
        <v>0</v>
      </c>
      <c r="I585" s="324"/>
      <c r="J585" s="320"/>
      <c r="K585" s="323">
        <f>K584*$B585</f>
        <v>0</v>
      </c>
      <c r="L585" s="324"/>
      <c r="M585" s="320"/>
      <c r="N585" s="323">
        <f>N584*$B585</f>
        <v>0</v>
      </c>
      <c r="O585" s="324"/>
      <c r="P585" s="320"/>
      <c r="Q585" s="323">
        <f>Q584*$B585</f>
        <v>0</v>
      </c>
      <c r="R585" s="324"/>
      <c r="S585" s="320"/>
      <c r="T585" s="323">
        <f>T584*$B585</f>
        <v>0</v>
      </c>
      <c r="U585" s="324"/>
      <c r="V585" s="320"/>
      <c r="W585" s="323">
        <f>W584*$B585</f>
        <v>0</v>
      </c>
      <c r="X585" s="324"/>
      <c r="Y585" s="320"/>
      <c r="Z585" s="323">
        <f>Z584*$B585</f>
        <v>0</v>
      </c>
      <c r="AA585" s="324"/>
      <c r="AB585" s="320"/>
      <c r="AC585" s="323">
        <f>AC584*$B585</f>
        <v>0</v>
      </c>
      <c r="AD585" s="324"/>
      <c r="AE585" s="320"/>
      <c r="AF585" s="323">
        <f>AF584*$B585</f>
        <v>0</v>
      </c>
      <c r="AG585" s="324"/>
      <c r="AH585" s="320"/>
      <c r="AI585" s="323">
        <f>AI584*$B585</f>
        <v>0</v>
      </c>
      <c r="AJ585" s="324"/>
      <c r="AK585" s="320"/>
      <c r="AL585" s="323">
        <f>AL584*$B585</f>
        <v>0</v>
      </c>
      <c r="AM585" s="324"/>
      <c r="AN585" s="316" t="s">
        <v>33</v>
      </c>
      <c r="AO585" s="316"/>
      <c r="AP585" s="316"/>
      <c r="AQ585" s="316"/>
      <c r="AR585" s="316"/>
      <c r="AS585" s="316"/>
      <c r="AT585" s="316"/>
      <c r="AU585" s="316"/>
      <c r="AV585" s="316"/>
      <c r="AW585" s="316"/>
      <c r="AX585" s="316"/>
      <c r="AY585" s="316"/>
      <c r="AZ585" s="316"/>
      <c r="BA585" s="316"/>
      <c r="BB585" s="316"/>
      <c r="BC585" s="316"/>
      <c r="BD585" s="316"/>
      <c r="BE585" s="316"/>
      <c r="BF585" s="316"/>
      <c r="BG585" s="316"/>
      <c r="BH585" s="316"/>
      <c r="BI585" s="316"/>
      <c r="BJ585" s="316"/>
      <c r="BK585" s="316"/>
      <c r="BL585" s="316"/>
      <c r="BM585" s="316"/>
      <c r="BN585" s="316"/>
    </row>
    <row r="586">
      <c r="A586" s="303" t="s">
        <v>2306</v>
      </c>
      <c r="B586" s="329">
        <v>1.0</v>
      </c>
      <c r="C586" s="330" t="s">
        <v>57</v>
      </c>
      <c r="D586" s="331"/>
      <c r="E586" s="332">
        <f>E584*$B586</f>
        <v>970000</v>
      </c>
      <c r="F586" s="333"/>
      <c r="G586" s="331"/>
      <c r="H586" s="332">
        <f>H584*$B586</f>
        <v>970000</v>
      </c>
      <c r="I586" s="333"/>
      <c r="J586" s="331"/>
      <c r="K586" s="332">
        <f>K584*$B586</f>
        <v>1411290</v>
      </c>
      <c r="L586" s="333"/>
      <c r="M586" s="331"/>
      <c r="N586" s="332">
        <f>N584*$B586</f>
        <v>1500000</v>
      </c>
      <c r="O586" s="333"/>
      <c r="P586" s="331"/>
      <c r="Q586" s="332">
        <f>Q584*$B586</f>
        <v>940000</v>
      </c>
      <c r="R586" s="333"/>
      <c r="S586" s="331"/>
      <c r="T586" s="332">
        <f>T584*$B586</f>
        <v>940000</v>
      </c>
      <c r="U586" s="333"/>
      <c r="V586" s="331"/>
      <c r="W586" s="332">
        <f>W584*$B586</f>
        <v>496452</v>
      </c>
      <c r="X586" s="333"/>
      <c r="Y586" s="331"/>
      <c r="Z586" s="332">
        <f>Z584*$B586</f>
        <v>390000</v>
      </c>
      <c r="AA586" s="333"/>
      <c r="AB586" s="331"/>
      <c r="AC586" s="332">
        <f>AC584*$B586</f>
        <v>390000</v>
      </c>
      <c r="AD586" s="333"/>
      <c r="AE586" s="331"/>
      <c r="AF586" s="332">
        <f>AF584*$B586</f>
        <v>20000</v>
      </c>
      <c r="AG586" s="333"/>
      <c r="AH586" s="331"/>
      <c r="AI586" s="332">
        <f>AI584*$B586</f>
        <v>20000</v>
      </c>
      <c r="AJ586" s="333"/>
      <c r="AK586" s="331"/>
      <c r="AL586" s="332">
        <f>AL584*$B586</f>
        <v>20000</v>
      </c>
      <c r="AM586" s="333"/>
      <c r="AN586" s="316" t="s">
        <v>33</v>
      </c>
      <c r="AO586" s="316"/>
      <c r="AP586" s="316"/>
      <c r="AQ586" s="316"/>
      <c r="AR586" s="316"/>
      <c r="AS586" s="316"/>
      <c r="AT586" s="316"/>
      <c r="AU586" s="316"/>
      <c r="AV586" s="316"/>
      <c r="AW586" s="316"/>
      <c r="AX586" s="316"/>
      <c r="AY586" s="316"/>
      <c r="AZ586" s="316"/>
      <c r="BA586" s="316"/>
      <c r="BB586" s="316"/>
      <c r="BC586" s="316"/>
      <c r="BD586" s="316"/>
      <c r="BE586" s="316"/>
      <c r="BF586" s="316"/>
      <c r="BG586" s="316"/>
      <c r="BH586" s="316"/>
      <c r="BI586" s="316"/>
      <c r="BJ586" s="316"/>
      <c r="BK586" s="316"/>
      <c r="BL586" s="316"/>
      <c r="BM586" s="316"/>
      <c r="BN586" s="316"/>
    </row>
    <row r="587">
      <c r="A587" s="303" t="s">
        <v>945</v>
      </c>
      <c r="B587" s="384" t="s">
        <v>945</v>
      </c>
      <c r="C587" s="325" t="s">
        <v>946</v>
      </c>
      <c r="D587" s="341" t="s">
        <v>952</v>
      </c>
      <c r="E587" s="335">
        <v>520000.0</v>
      </c>
      <c r="F587" s="346">
        <v>100000.0</v>
      </c>
      <c r="G587" s="341" t="s">
        <v>952</v>
      </c>
      <c r="H587" s="335">
        <v>520000.0</v>
      </c>
      <c r="I587" s="346">
        <v>100000.0</v>
      </c>
      <c r="J587" s="341" t="s">
        <v>952</v>
      </c>
      <c r="K587" s="335">
        <v>520000.0</v>
      </c>
      <c r="L587" s="346">
        <v>100000.0</v>
      </c>
      <c r="M587" s="341" t="s">
        <v>952</v>
      </c>
      <c r="N587" s="335">
        <v>520000.0</v>
      </c>
      <c r="O587" s="346">
        <v>100000.0</v>
      </c>
      <c r="P587" s="341" t="s">
        <v>952</v>
      </c>
      <c r="Q587" s="335">
        <v>520000.0</v>
      </c>
      <c r="R587" s="346">
        <v>100000.0</v>
      </c>
      <c r="S587" s="341" t="s">
        <v>952</v>
      </c>
      <c r="T587" s="335">
        <v>520000.0</v>
      </c>
      <c r="U587" s="346">
        <v>100000.0</v>
      </c>
      <c r="V587" s="341" t="s">
        <v>952</v>
      </c>
      <c r="W587" s="335">
        <v>520000.0</v>
      </c>
      <c r="X587" s="346">
        <v>100000.0</v>
      </c>
      <c r="Y587" s="353" t="s">
        <v>2313</v>
      </c>
      <c r="Z587" s="335">
        <v>520000.0</v>
      </c>
      <c r="AA587" s="346">
        <v>100000.0</v>
      </c>
      <c r="AB587" s="326"/>
      <c r="AC587" s="321"/>
      <c r="AD587" s="322"/>
      <c r="AE587" s="326"/>
      <c r="AF587" s="321"/>
      <c r="AG587" s="322"/>
      <c r="AH587" s="326"/>
      <c r="AI587" s="321"/>
      <c r="AJ587" s="322"/>
      <c r="AK587" s="326"/>
      <c r="AL587" s="321"/>
      <c r="AM587" s="322"/>
      <c r="AN587" s="316" t="s">
        <v>953</v>
      </c>
      <c r="AO587" s="316"/>
      <c r="AP587" s="316"/>
      <c r="AQ587" s="316"/>
      <c r="AR587" s="316"/>
      <c r="AS587" s="316"/>
      <c r="AT587" s="316"/>
      <c r="AU587" s="316"/>
      <c r="AV587" s="316"/>
      <c r="AW587" s="316"/>
      <c r="AX587" s="316"/>
      <c r="AY587" s="316"/>
      <c r="AZ587" s="316"/>
      <c r="BA587" s="316"/>
      <c r="BB587" s="316"/>
      <c r="BC587" s="316"/>
      <c r="BD587" s="316"/>
      <c r="BE587" s="316"/>
      <c r="BF587" s="316"/>
      <c r="BG587" s="316"/>
      <c r="BH587" s="316"/>
      <c r="BI587" s="316"/>
      <c r="BJ587" s="316"/>
      <c r="BK587" s="316"/>
      <c r="BL587" s="316"/>
      <c r="BM587" s="316"/>
      <c r="BN587" s="316"/>
    </row>
    <row r="588">
      <c r="A588" s="303" t="s">
        <v>945</v>
      </c>
      <c r="B588" s="384" t="s">
        <v>945</v>
      </c>
      <c r="C588" s="325" t="s">
        <v>954</v>
      </c>
      <c r="D588" s="341" t="s">
        <v>2314</v>
      </c>
      <c r="E588" s="335">
        <v>500000.0</v>
      </c>
      <c r="F588" s="346">
        <v>100000.0</v>
      </c>
      <c r="G588" s="353" t="s">
        <v>2315</v>
      </c>
      <c r="H588" s="335">
        <v>500000.0</v>
      </c>
      <c r="I588" s="346">
        <v>100000.0</v>
      </c>
      <c r="J588" s="326" t="s">
        <v>2316</v>
      </c>
      <c r="K588" s="348">
        <v>500000.0</v>
      </c>
      <c r="L588" s="346">
        <v>100000.0</v>
      </c>
      <c r="M588" s="326" t="s">
        <v>1872</v>
      </c>
      <c r="N588" s="348">
        <v>500000.0</v>
      </c>
      <c r="O588" s="346">
        <v>100000.0</v>
      </c>
      <c r="P588" s="326" t="s">
        <v>1872</v>
      </c>
      <c r="Q588" s="348">
        <v>500000.0</v>
      </c>
      <c r="R588" s="346">
        <v>100000.0</v>
      </c>
      <c r="S588" s="326" t="s">
        <v>1872</v>
      </c>
      <c r="T588" s="348">
        <v>500000.0</v>
      </c>
      <c r="U588" s="346">
        <v>100000.0</v>
      </c>
      <c r="V588" s="326" t="s">
        <v>1872</v>
      </c>
      <c r="W588" s="348">
        <v>500000.0</v>
      </c>
      <c r="X588" s="346">
        <v>100000.0</v>
      </c>
      <c r="Y588" s="326" t="s">
        <v>2317</v>
      </c>
      <c r="Z588" s="348">
        <v>403226.0</v>
      </c>
      <c r="AA588" s="345">
        <v>80645.0</v>
      </c>
      <c r="AB588" s="326"/>
      <c r="AC588" s="321"/>
      <c r="AD588" s="322"/>
      <c r="AE588" s="326"/>
      <c r="AF588" s="321"/>
      <c r="AG588" s="322"/>
      <c r="AH588" s="326"/>
      <c r="AI588" s="321"/>
      <c r="AJ588" s="322"/>
      <c r="AK588" s="326"/>
      <c r="AL588" s="321"/>
      <c r="AM588" s="322"/>
      <c r="AN588" s="316" t="s">
        <v>953</v>
      </c>
      <c r="AO588" s="316"/>
      <c r="AP588" s="316"/>
      <c r="AQ588" s="316"/>
      <c r="AR588" s="316"/>
      <c r="AS588" s="316"/>
      <c r="AT588" s="316"/>
      <c r="AU588" s="316"/>
      <c r="AV588" s="316"/>
      <c r="AW588" s="316"/>
      <c r="AX588" s="316"/>
      <c r="AY588" s="316"/>
      <c r="AZ588" s="316"/>
      <c r="BA588" s="316"/>
      <c r="BB588" s="316"/>
      <c r="BC588" s="316"/>
      <c r="BD588" s="316"/>
      <c r="BE588" s="316"/>
      <c r="BF588" s="316"/>
      <c r="BG588" s="316"/>
      <c r="BH588" s="316"/>
      <c r="BI588" s="316"/>
      <c r="BJ588" s="316"/>
      <c r="BK588" s="316"/>
      <c r="BL588" s="316"/>
      <c r="BM588" s="316"/>
      <c r="BN588" s="316"/>
    </row>
    <row r="589">
      <c r="A589" s="303" t="s">
        <v>945</v>
      </c>
      <c r="B589" s="384" t="s">
        <v>945</v>
      </c>
      <c r="C589" s="385" t="s">
        <v>909</v>
      </c>
      <c r="D589" s="341" t="s">
        <v>1216</v>
      </c>
      <c r="E589" s="335">
        <v>370000.0</v>
      </c>
      <c r="F589" s="346">
        <v>100000.0</v>
      </c>
      <c r="G589" s="341" t="s">
        <v>1216</v>
      </c>
      <c r="H589" s="335">
        <v>370000.0</v>
      </c>
      <c r="I589" s="346">
        <v>100000.0</v>
      </c>
      <c r="J589" s="341" t="s">
        <v>1216</v>
      </c>
      <c r="K589" s="335">
        <v>370000.0</v>
      </c>
      <c r="L589" s="346">
        <v>100000.0</v>
      </c>
      <c r="M589" s="341" t="s">
        <v>1216</v>
      </c>
      <c r="N589" s="335">
        <v>370000.0</v>
      </c>
      <c r="O589" s="346">
        <v>100000.0</v>
      </c>
      <c r="P589" s="353" t="s">
        <v>1216</v>
      </c>
      <c r="Q589" s="335">
        <v>370000.0</v>
      </c>
      <c r="R589" s="346">
        <v>100000.0</v>
      </c>
      <c r="S589" s="341" t="s">
        <v>1216</v>
      </c>
      <c r="T589" s="335">
        <v>370000.0</v>
      </c>
      <c r="U589" s="346">
        <v>100000.0</v>
      </c>
      <c r="V589" s="341" t="s">
        <v>1216</v>
      </c>
      <c r="W589" s="335">
        <v>370000.0</v>
      </c>
      <c r="X589" s="346">
        <v>100000.0</v>
      </c>
      <c r="Y589" s="341" t="s">
        <v>1216</v>
      </c>
      <c r="Z589" s="335">
        <v>370000.0</v>
      </c>
      <c r="AA589" s="346">
        <v>100000.0</v>
      </c>
      <c r="AB589" s="341" t="s">
        <v>1216</v>
      </c>
      <c r="AC589" s="335">
        <v>370000.0</v>
      </c>
      <c r="AD589" s="346">
        <v>100000.0</v>
      </c>
      <c r="AE589" s="341" t="s">
        <v>1216</v>
      </c>
      <c r="AF589" s="335">
        <v>370000.0</v>
      </c>
      <c r="AG589" s="346">
        <v>100000.0</v>
      </c>
      <c r="AH589" s="341" t="s">
        <v>1216</v>
      </c>
      <c r="AI589" s="335">
        <v>370000.0</v>
      </c>
      <c r="AJ589" s="346">
        <v>100000.0</v>
      </c>
      <c r="AK589" s="341" t="s">
        <v>1216</v>
      </c>
      <c r="AL589" s="335">
        <v>370000.0</v>
      </c>
      <c r="AM589" s="346">
        <v>100000.0</v>
      </c>
      <c r="AN589" s="316" t="s">
        <v>953</v>
      </c>
      <c r="AO589" s="316"/>
      <c r="AP589" s="316"/>
      <c r="AQ589" s="316"/>
      <c r="AR589" s="316"/>
      <c r="AS589" s="316"/>
      <c r="AT589" s="316"/>
      <c r="AU589" s="316"/>
      <c r="AV589" s="316"/>
      <c r="AW589" s="316"/>
      <c r="AX589" s="316"/>
      <c r="AY589" s="316"/>
      <c r="AZ589" s="316"/>
      <c r="BA589" s="316"/>
      <c r="BB589" s="316"/>
      <c r="BC589" s="316"/>
      <c r="BD589" s="316"/>
      <c r="BE589" s="316"/>
      <c r="BF589" s="316"/>
      <c r="BG589" s="316"/>
      <c r="BH589" s="316"/>
      <c r="BI589" s="316"/>
      <c r="BJ589" s="316"/>
      <c r="BK589" s="316"/>
      <c r="BL589" s="316"/>
      <c r="BM589" s="316"/>
      <c r="BN589" s="316"/>
    </row>
    <row r="590">
      <c r="A590" s="303" t="s">
        <v>945</v>
      </c>
      <c r="B590" s="384" t="s">
        <v>945</v>
      </c>
      <c r="C590" s="385" t="s">
        <v>316</v>
      </c>
      <c r="D590" s="341" t="s">
        <v>828</v>
      </c>
      <c r="E590" s="335">
        <v>370000.0</v>
      </c>
      <c r="F590" s="346">
        <v>100000.0</v>
      </c>
      <c r="G590" s="341" t="s">
        <v>828</v>
      </c>
      <c r="H590" s="335">
        <v>370000.0</v>
      </c>
      <c r="I590" s="346">
        <v>100000.0</v>
      </c>
      <c r="J590" s="341" t="s">
        <v>828</v>
      </c>
      <c r="K590" s="335">
        <v>370000.0</v>
      </c>
      <c r="L590" s="346">
        <v>100000.0</v>
      </c>
      <c r="M590" s="341" t="s">
        <v>828</v>
      </c>
      <c r="N590" s="335">
        <v>370000.0</v>
      </c>
      <c r="O590" s="346">
        <v>100000.0</v>
      </c>
      <c r="P590" s="341" t="s">
        <v>828</v>
      </c>
      <c r="Q590" s="335">
        <v>370000.0</v>
      </c>
      <c r="R590" s="346">
        <v>100000.0</v>
      </c>
      <c r="S590" s="341" t="s">
        <v>828</v>
      </c>
      <c r="T590" s="335">
        <v>370000.0</v>
      </c>
      <c r="U590" s="346">
        <v>100000.0</v>
      </c>
      <c r="V590" s="341" t="s">
        <v>828</v>
      </c>
      <c r="W590" s="335">
        <v>370000.0</v>
      </c>
      <c r="X590" s="346">
        <v>100000.0</v>
      </c>
      <c r="Y590" s="341" t="s">
        <v>828</v>
      </c>
      <c r="Z590" s="335">
        <v>370000.0</v>
      </c>
      <c r="AA590" s="346">
        <v>100000.0</v>
      </c>
      <c r="AB590" s="341" t="s">
        <v>828</v>
      </c>
      <c r="AC590" s="335">
        <v>370000.0</v>
      </c>
      <c r="AD590" s="346">
        <v>100000.0</v>
      </c>
      <c r="AE590" s="341" t="s">
        <v>828</v>
      </c>
      <c r="AF590" s="335">
        <v>370000.0</v>
      </c>
      <c r="AG590" s="346">
        <v>100000.0</v>
      </c>
      <c r="AH590" s="341" t="s">
        <v>828</v>
      </c>
      <c r="AI590" s="335">
        <v>370000.0</v>
      </c>
      <c r="AJ590" s="346">
        <v>100000.0</v>
      </c>
      <c r="AK590" s="341" t="s">
        <v>828</v>
      </c>
      <c r="AL590" s="335">
        <v>370000.0</v>
      </c>
      <c r="AM590" s="346">
        <v>100000.0</v>
      </c>
      <c r="AN590" s="316" t="s">
        <v>953</v>
      </c>
      <c r="AO590" s="316"/>
      <c r="AP590" s="316"/>
      <c r="AQ590" s="316"/>
      <c r="AR590" s="316"/>
      <c r="AS590" s="316"/>
      <c r="AT590" s="316"/>
      <c r="AU590" s="316"/>
      <c r="AV590" s="316"/>
      <c r="AW590" s="316"/>
      <c r="AX590" s="316"/>
      <c r="AY590" s="316"/>
      <c r="AZ590" s="316"/>
      <c r="BA590" s="316"/>
      <c r="BB590" s="316"/>
      <c r="BC590" s="316"/>
      <c r="BD590" s="316"/>
      <c r="BE590" s="316"/>
      <c r="BF590" s="316"/>
      <c r="BG590" s="316"/>
      <c r="BH590" s="316"/>
      <c r="BI590" s="316"/>
      <c r="BJ590" s="316"/>
      <c r="BK590" s="316"/>
      <c r="BL590" s="316"/>
      <c r="BM590" s="316"/>
      <c r="BN590" s="316"/>
    </row>
    <row r="591">
      <c r="A591" s="303" t="s">
        <v>945</v>
      </c>
      <c r="B591" s="304"/>
      <c r="C591" s="305" t="s">
        <v>42</v>
      </c>
      <c r="D591" s="320"/>
      <c r="E591" s="323">
        <f t="shared" ref="E591:F591" si="806">SUM(E587:E590)</f>
        <v>1760000</v>
      </c>
      <c r="F591" s="324">
        <f t="shared" si="806"/>
        <v>400000</v>
      </c>
      <c r="G591" s="320"/>
      <c r="H591" s="323">
        <f t="shared" ref="H591:I591" si="807">SUM(H587:H590)</f>
        <v>1760000</v>
      </c>
      <c r="I591" s="324">
        <f t="shared" si="807"/>
        <v>400000</v>
      </c>
      <c r="J591" s="320"/>
      <c r="K591" s="323">
        <f t="shared" ref="K591:L591" si="808">SUM(K587:K590)</f>
        <v>1760000</v>
      </c>
      <c r="L591" s="324">
        <f t="shared" si="808"/>
        <v>400000</v>
      </c>
      <c r="M591" s="320"/>
      <c r="N591" s="323">
        <f t="shared" ref="N591:O591" si="809">SUM(N587:N590)</f>
        <v>1760000</v>
      </c>
      <c r="O591" s="324">
        <f t="shared" si="809"/>
        <v>400000</v>
      </c>
      <c r="P591" s="320"/>
      <c r="Q591" s="323">
        <f t="shared" ref="Q591:R591" si="810">SUM(Q587:Q590)</f>
        <v>1760000</v>
      </c>
      <c r="R591" s="324">
        <f t="shared" si="810"/>
        <v>400000</v>
      </c>
      <c r="S591" s="320"/>
      <c r="T591" s="323">
        <f t="shared" ref="T591:U591" si="811">SUM(T587:T590)</f>
        <v>1760000</v>
      </c>
      <c r="U591" s="324">
        <f t="shared" si="811"/>
        <v>400000</v>
      </c>
      <c r="V591" s="320"/>
      <c r="W591" s="323">
        <f t="shared" ref="W591:X591" si="812">SUM(W587:W590)</f>
        <v>1760000</v>
      </c>
      <c r="X591" s="324">
        <f t="shared" si="812"/>
        <v>400000</v>
      </c>
      <c r="Y591" s="320"/>
      <c r="Z591" s="323">
        <f t="shared" ref="Z591:AA591" si="813">SUM(Z587:Z590)</f>
        <v>1663226</v>
      </c>
      <c r="AA591" s="324">
        <f t="shared" si="813"/>
        <v>380645</v>
      </c>
      <c r="AB591" s="320"/>
      <c r="AC591" s="323">
        <f t="shared" ref="AC591:AD591" si="814">SUM(AC587:AC590)</f>
        <v>740000</v>
      </c>
      <c r="AD591" s="324">
        <f t="shared" si="814"/>
        <v>200000</v>
      </c>
      <c r="AE591" s="320"/>
      <c r="AF591" s="323">
        <f t="shared" ref="AF591:AG591" si="815">SUM(AF587:AF590)</f>
        <v>740000</v>
      </c>
      <c r="AG591" s="324">
        <f t="shared" si="815"/>
        <v>200000</v>
      </c>
      <c r="AH591" s="320"/>
      <c r="AI591" s="323">
        <f t="shared" ref="AI591:AJ591" si="816">SUM(AI587:AI590)</f>
        <v>740000</v>
      </c>
      <c r="AJ591" s="324">
        <f t="shared" si="816"/>
        <v>200000</v>
      </c>
      <c r="AK591" s="320"/>
      <c r="AL591" s="323">
        <f t="shared" ref="AL591:AM591" si="817">SUM(AL587:AL590)</f>
        <v>740000</v>
      </c>
      <c r="AM591" s="324">
        <f t="shared" si="817"/>
        <v>200000</v>
      </c>
      <c r="AN591" s="316" t="s">
        <v>953</v>
      </c>
      <c r="AO591" s="316"/>
      <c r="AP591" s="316"/>
      <c r="AQ591" s="316"/>
      <c r="AR591" s="316"/>
      <c r="AS591" s="316"/>
      <c r="AT591" s="316"/>
      <c r="AU591" s="316"/>
      <c r="AV591" s="316"/>
      <c r="AW591" s="316"/>
      <c r="AX591" s="316"/>
      <c r="AY591" s="316"/>
      <c r="AZ591" s="316"/>
      <c r="BA591" s="316"/>
      <c r="BB591" s="316"/>
      <c r="BC591" s="316"/>
      <c r="BD591" s="316"/>
      <c r="BE591" s="316"/>
      <c r="BF591" s="316"/>
      <c r="BG591" s="316"/>
      <c r="BH591" s="316"/>
      <c r="BI591" s="316"/>
      <c r="BJ591" s="316"/>
      <c r="BK591" s="316"/>
      <c r="BL591" s="316"/>
      <c r="BM591" s="316"/>
      <c r="BN591" s="316"/>
    </row>
    <row r="592" collapsed="1">
      <c r="A592" s="303" t="s">
        <v>945</v>
      </c>
      <c r="B592" s="304"/>
      <c r="C592" s="325" t="s">
        <v>43</v>
      </c>
      <c r="D592" s="326"/>
      <c r="E592" s="321">
        <v>750000.0</v>
      </c>
      <c r="F592" s="324"/>
      <c r="G592" s="326"/>
      <c r="H592" s="321">
        <v>750000.0</v>
      </c>
      <c r="I592" s="324"/>
      <c r="J592" s="326"/>
      <c r="K592" s="321">
        <v>750000.0</v>
      </c>
      <c r="L592" s="324"/>
      <c r="M592" s="326"/>
      <c r="N592" s="321">
        <v>750000.0</v>
      </c>
      <c r="O592" s="324"/>
      <c r="P592" s="326"/>
      <c r="Q592" s="321">
        <v>750000.0</v>
      </c>
      <c r="R592" s="324"/>
      <c r="S592" s="326"/>
      <c r="T592" s="321">
        <v>750000.0</v>
      </c>
      <c r="U592" s="324"/>
      <c r="V592" s="326"/>
      <c r="W592" s="321">
        <v>750000.0</v>
      </c>
      <c r="X592" s="324"/>
      <c r="Y592" s="326"/>
      <c r="Z592" s="321">
        <v>750000.0</v>
      </c>
      <c r="AA592" s="324"/>
      <c r="AB592" s="326"/>
      <c r="AC592" s="321">
        <v>750000.0</v>
      </c>
      <c r="AD592" s="324"/>
      <c r="AE592" s="326"/>
      <c r="AF592" s="321">
        <v>750000.0</v>
      </c>
      <c r="AG592" s="324"/>
      <c r="AH592" s="326"/>
      <c r="AI592" s="321">
        <v>750000.0</v>
      </c>
      <c r="AJ592" s="324"/>
      <c r="AK592" s="326"/>
      <c r="AL592" s="321">
        <v>750000.0</v>
      </c>
      <c r="AM592" s="324"/>
      <c r="AN592" s="316" t="s">
        <v>953</v>
      </c>
      <c r="AO592" s="316"/>
      <c r="AP592" s="316"/>
      <c r="AQ592" s="316"/>
      <c r="AR592" s="316"/>
      <c r="AS592" s="316"/>
      <c r="AT592" s="316"/>
      <c r="AU592" s="316"/>
      <c r="AV592" s="316"/>
      <c r="AW592" s="316"/>
      <c r="AX592" s="316"/>
      <c r="AY592" s="316"/>
      <c r="AZ592" s="316"/>
      <c r="BA592" s="316"/>
      <c r="BB592" s="316"/>
      <c r="BC592" s="316"/>
      <c r="BD592" s="316"/>
      <c r="BE592" s="316"/>
      <c r="BF592" s="316"/>
      <c r="BG592" s="316"/>
      <c r="BH592" s="316"/>
      <c r="BI592" s="316"/>
      <c r="BJ592" s="316"/>
      <c r="BK592" s="316"/>
      <c r="BL592" s="316"/>
      <c r="BM592" s="316"/>
      <c r="BN592" s="316"/>
    </row>
    <row r="593" hidden="1" outlineLevel="1">
      <c r="A593" s="303" t="s">
        <v>945</v>
      </c>
      <c r="B593" s="304"/>
      <c r="C593" s="325" t="s">
        <v>45</v>
      </c>
      <c r="D593" s="326"/>
      <c r="E593" s="321"/>
      <c r="F593" s="322"/>
      <c r="G593" s="326"/>
      <c r="H593" s="321"/>
      <c r="I593" s="322"/>
      <c r="J593" s="326"/>
      <c r="K593" s="321"/>
      <c r="L593" s="322"/>
      <c r="M593" s="326"/>
      <c r="N593" s="321"/>
      <c r="O593" s="322"/>
      <c r="P593" s="326"/>
      <c r="Q593" s="321"/>
      <c r="R593" s="322"/>
      <c r="S593" s="326"/>
      <c r="T593" s="321"/>
      <c r="U593" s="322"/>
      <c r="V593" s="326"/>
      <c r="W593" s="321"/>
      <c r="X593" s="322"/>
      <c r="Y593" s="326"/>
      <c r="Z593" s="321"/>
      <c r="AA593" s="322"/>
      <c r="AB593" s="326"/>
      <c r="AC593" s="321"/>
      <c r="AD593" s="322"/>
      <c r="AE593" s="326"/>
      <c r="AF593" s="321"/>
      <c r="AG593" s="322"/>
      <c r="AH593" s="326"/>
      <c r="AI593" s="321"/>
      <c r="AJ593" s="322"/>
      <c r="AK593" s="326"/>
      <c r="AL593" s="321"/>
      <c r="AM593" s="322"/>
      <c r="AN593" s="316" t="s">
        <v>953</v>
      </c>
      <c r="AO593" s="316"/>
      <c r="AP593" s="316"/>
      <c r="AQ593" s="316"/>
      <c r="AR593" s="316"/>
      <c r="AS593" s="316"/>
      <c r="AT593" s="316"/>
      <c r="AU593" s="316"/>
      <c r="AV593" s="316"/>
      <c r="AW593" s="316"/>
      <c r="AX593" s="316"/>
      <c r="AY593" s="316"/>
      <c r="AZ593" s="316"/>
      <c r="BA593" s="316"/>
      <c r="BB593" s="316"/>
      <c r="BC593" s="316"/>
      <c r="BD593" s="316"/>
      <c r="BE593" s="316"/>
      <c r="BF593" s="316"/>
      <c r="BG593" s="316"/>
      <c r="BH593" s="316"/>
      <c r="BI593" s="316"/>
      <c r="BJ593" s="316"/>
      <c r="BK593" s="316"/>
      <c r="BL593" s="316"/>
      <c r="BM593" s="316"/>
      <c r="BN593" s="316"/>
    </row>
    <row r="594" hidden="1" outlineLevel="1">
      <c r="A594" s="303" t="s">
        <v>945</v>
      </c>
      <c r="B594" s="317" t="s">
        <v>966</v>
      </c>
      <c r="C594" s="325" t="s">
        <v>303</v>
      </c>
      <c r="D594" s="326"/>
      <c r="E594" s="321"/>
      <c r="F594" s="322">
        <v>55190.0</v>
      </c>
      <c r="G594" s="326"/>
      <c r="H594" s="321"/>
      <c r="I594" s="322">
        <v>62660.0</v>
      </c>
      <c r="J594" s="326"/>
      <c r="K594" s="321"/>
      <c r="L594" s="322"/>
      <c r="M594" s="326"/>
      <c r="N594" s="321"/>
      <c r="O594" s="322"/>
      <c r="P594" s="326"/>
      <c r="Q594" s="321"/>
      <c r="R594" s="322"/>
      <c r="S594" s="326"/>
      <c r="T594" s="321"/>
      <c r="U594" s="322"/>
      <c r="V594" s="326"/>
      <c r="W594" s="321"/>
      <c r="X594" s="322"/>
      <c r="Y594" s="326"/>
      <c r="Z594" s="321"/>
      <c r="AA594" s="322"/>
      <c r="AB594" s="326"/>
      <c r="AC594" s="321"/>
      <c r="AD594" s="322"/>
      <c r="AE594" s="326"/>
      <c r="AF594" s="321"/>
      <c r="AG594" s="322"/>
      <c r="AH594" s="326"/>
      <c r="AI594" s="321"/>
      <c r="AJ594" s="322"/>
      <c r="AK594" s="326"/>
      <c r="AL594" s="321"/>
      <c r="AM594" s="322"/>
      <c r="AN594" s="316" t="s">
        <v>953</v>
      </c>
      <c r="AO594" s="316"/>
      <c r="AP594" s="316"/>
      <c r="AQ594" s="316"/>
      <c r="AR594" s="316"/>
      <c r="AS594" s="316"/>
      <c r="AT594" s="316"/>
      <c r="AU594" s="316"/>
      <c r="AV594" s="316"/>
      <c r="AW594" s="316"/>
      <c r="AX594" s="316"/>
      <c r="AY594" s="316"/>
      <c r="AZ594" s="316"/>
      <c r="BA594" s="316"/>
      <c r="BB594" s="316"/>
      <c r="BC594" s="316"/>
      <c r="BD594" s="316"/>
      <c r="BE594" s="316"/>
      <c r="BF594" s="316"/>
      <c r="BG594" s="316"/>
      <c r="BH594" s="316"/>
      <c r="BI594" s="316"/>
      <c r="BJ594" s="316"/>
      <c r="BK594" s="316"/>
      <c r="BL594" s="316"/>
      <c r="BM594" s="316"/>
      <c r="BN594" s="316"/>
    </row>
    <row r="595" hidden="1" outlineLevel="1">
      <c r="A595" s="303" t="s">
        <v>945</v>
      </c>
      <c r="B595" s="317">
        <v>6.005530745E9</v>
      </c>
      <c r="C595" s="325" t="s">
        <v>261</v>
      </c>
      <c r="D595" s="326"/>
      <c r="E595" s="321"/>
      <c r="F595" s="322">
        <v>143900.0</v>
      </c>
      <c r="G595" s="326"/>
      <c r="H595" s="321"/>
      <c r="I595" s="322">
        <v>209480.0</v>
      </c>
      <c r="J595" s="326"/>
      <c r="K595" s="321"/>
      <c r="L595" s="322">
        <v>235830.0</v>
      </c>
      <c r="M595" s="326"/>
      <c r="N595" s="321"/>
      <c r="O595" s="322"/>
      <c r="P595" s="326"/>
      <c r="Q595" s="321"/>
      <c r="R595" s="322"/>
      <c r="S595" s="326"/>
      <c r="T595" s="321"/>
      <c r="U595" s="322"/>
      <c r="V595" s="326"/>
      <c r="W595" s="321"/>
      <c r="X595" s="322"/>
      <c r="Y595" s="326"/>
      <c r="Z595" s="321"/>
      <c r="AA595" s="322"/>
      <c r="AB595" s="326"/>
      <c r="AC595" s="321"/>
      <c r="AD595" s="322"/>
      <c r="AE595" s="326"/>
      <c r="AF595" s="321"/>
      <c r="AG595" s="322"/>
      <c r="AH595" s="326"/>
      <c r="AI595" s="321"/>
      <c r="AJ595" s="322"/>
      <c r="AK595" s="326"/>
      <c r="AL595" s="321"/>
      <c r="AM595" s="322"/>
      <c r="AN595" s="316" t="s">
        <v>953</v>
      </c>
      <c r="AO595" s="316"/>
      <c r="AP595" s="316"/>
      <c r="AQ595" s="316"/>
      <c r="AR595" s="316"/>
      <c r="AS595" s="316"/>
      <c r="AT595" s="316"/>
      <c r="AU595" s="316"/>
      <c r="AV595" s="316"/>
      <c r="AW595" s="316"/>
      <c r="AX595" s="316"/>
      <c r="AY595" s="316"/>
      <c r="AZ595" s="316"/>
      <c r="BA595" s="316"/>
      <c r="BB595" s="316"/>
      <c r="BC595" s="316"/>
      <c r="BD595" s="316"/>
      <c r="BE595" s="316"/>
      <c r="BF595" s="316"/>
      <c r="BG595" s="316"/>
      <c r="BH595" s="316"/>
      <c r="BI595" s="316"/>
      <c r="BJ595" s="316"/>
      <c r="BK595" s="316"/>
      <c r="BL595" s="316"/>
      <c r="BM595" s="316"/>
      <c r="BN595" s="316"/>
    </row>
    <row r="596" hidden="1" outlineLevel="1">
      <c r="A596" s="303" t="s">
        <v>945</v>
      </c>
      <c r="B596" s="304"/>
      <c r="C596" s="325" t="s">
        <v>51</v>
      </c>
      <c r="D596" s="326"/>
      <c r="E596" s="321"/>
      <c r="F596" s="322">
        <v>30000.0</v>
      </c>
      <c r="G596" s="326"/>
      <c r="H596" s="321"/>
      <c r="I596" s="322">
        <v>30000.0</v>
      </c>
      <c r="J596" s="326"/>
      <c r="K596" s="321"/>
      <c r="L596" s="322">
        <v>30000.0</v>
      </c>
      <c r="M596" s="326"/>
      <c r="N596" s="321"/>
      <c r="O596" s="322">
        <v>30000.0</v>
      </c>
      <c r="P596" s="326"/>
      <c r="Q596" s="321"/>
      <c r="R596" s="322"/>
      <c r="S596" s="326"/>
      <c r="T596" s="321"/>
      <c r="U596" s="322"/>
      <c r="V596" s="326"/>
      <c r="W596" s="321"/>
      <c r="X596" s="322"/>
      <c r="Y596" s="326"/>
      <c r="Z596" s="321"/>
      <c r="AA596" s="322"/>
      <c r="AB596" s="326"/>
      <c r="AC596" s="321"/>
      <c r="AD596" s="322"/>
      <c r="AE596" s="326"/>
      <c r="AF596" s="321"/>
      <c r="AG596" s="322"/>
      <c r="AH596" s="326"/>
      <c r="AI596" s="321"/>
      <c r="AJ596" s="322"/>
      <c r="AK596" s="326"/>
      <c r="AL596" s="321"/>
      <c r="AM596" s="322"/>
      <c r="AN596" s="316" t="s">
        <v>953</v>
      </c>
      <c r="AO596" s="316"/>
      <c r="AP596" s="316"/>
      <c r="AQ596" s="316"/>
      <c r="AR596" s="316"/>
      <c r="AS596" s="316"/>
      <c r="AT596" s="316"/>
      <c r="AU596" s="316"/>
      <c r="AV596" s="316"/>
      <c r="AW596" s="316"/>
      <c r="AX596" s="316"/>
      <c r="AY596" s="316"/>
      <c r="AZ596" s="316"/>
      <c r="BA596" s="316"/>
      <c r="BB596" s="316"/>
      <c r="BC596" s="316"/>
      <c r="BD596" s="316"/>
      <c r="BE596" s="316"/>
      <c r="BF596" s="316"/>
      <c r="BG596" s="316"/>
      <c r="BH596" s="316"/>
      <c r="BI596" s="316"/>
      <c r="BJ596" s="316"/>
      <c r="BK596" s="316"/>
      <c r="BL596" s="316"/>
      <c r="BM596" s="316"/>
      <c r="BN596" s="316"/>
    </row>
    <row r="597" hidden="1" outlineLevel="1">
      <c r="A597" s="303" t="s">
        <v>945</v>
      </c>
      <c r="B597" s="304"/>
      <c r="C597" s="325" t="s">
        <v>52</v>
      </c>
      <c r="D597" s="326"/>
      <c r="E597" s="321"/>
      <c r="F597" s="322">
        <v>25000.0</v>
      </c>
      <c r="G597" s="326"/>
      <c r="H597" s="321"/>
      <c r="I597" s="322">
        <v>25000.0</v>
      </c>
      <c r="J597" s="326"/>
      <c r="K597" s="321"/>
      <c r="L597" s="322">
        <v>25000.0</v>
      </c>
      <c r="M597" s="326"/>
      <c r="N597" s="321"/>
      <c r="O597" s="322">
        <v>25000.0</v>
      </c>
      <c r="P597" s="326"/>
      <c r="Q597" s="321"/>
      <c r="R597" s="322">
        <v>25000.0</v>
      </c>
      <c r="S597" s="326"/>
      <c r="T597" s="321"/>
      <c r="U597" s="322">
        <v>25000.0</v>
      </c>
      <c r="V597" s="326"/>
      <c r="W597" s="321"/>
      <c r="X597" s="322">
        <v>25000.0</v>
      </c>
      <c r="Y597" s="326"/>
      <c r="Z597" s="321"/>
      <c r="AA597" s="322">
        <v>25000.0</v>
      </c>
      <c r="AB597" s="326"/>
      <c r="AC597" s="321"/>
      <c r="AD597" s="322">
        <v>25000.0</v>
      </c>
      <c r="AE597" s="326"/>
      <c r="AF597" s="321"/>
      <c r="AG597" s="322">
        <v>25000.0</v>
      </c>
      <c r="AH597" s="326"/>
      <c r="AI597" s="321"/>
      <c r="AJ597" s="322">
        <v>25000.0</v>
      </c>
      <c r="AK597" s="326"/>
      <c r="AL597" s="321"/>
      <c r="AM597" s="322">
        <v>25000.0</v>
      </c>
      <c r="AN597" s="316" t="s">
        <v>953</v>
      </c>
      <c r="AO597" s="316"/>
      <c r="AP597" s="316"/>
      <c r="AQ597" s="316"/>
      <c r="AR597" s="316"/>
      <c r="AS597" s="316"/>
      <c r="AT597" s="316"/>
      <c r="AU597" s="316"/>
      <c r="AV597" s="316"/>
      <c r="AW597" s="316"/>
      <c r="AX597" s="316"/>
      <c r="AY597" s="316"/>
      <c r="AZ597" s="316"/>
      <c r="BA597" s="316"/>
      <c r="BB597" s="316"/>
      <c r="BC597" s="316"/>
      <c r="BD597" s="316"/>
      <c r="BE597" s="316"/>
      <c r="BF597" s="316"/>
      <c r="BG597" s="316"/>
      <c r="BH597" s="316"/>
      <c r="BI597" s="316"/>
      <c r="BJ597" s="316"/>
      <c r="BK597" s="316"/>
      <c r="BL597" s="316"/>
      <c r="BM597" s="316"/>
      <c r="BN597" s="316"/>
    </row>
    <row r="598" hidden="1" outlineLevel="1">
      <c r="A598" s="303" t="s">
        <v>945</v>
      </c>
      <c r="B598" s="304"/>
      <c r="C598" s="325" t="s">
        <v>53</v>
      </c>
      <c r="D598" s="326"/>
      <c r="E598" s="321"/>
      <c r="F598" s="322">
        <v>10000.0</v>
      </c>
      <c r="G598" s="326"/>
      <c r="H598" s="321"/>
      <c r="I598" s="322">
        <v>10000.0</v>
      </c>
      <c r="J598" s="326"/>
      <c r="K598" s="321"/>
      <c r="L598" s="322">
        <v>10000.0</v>
      </c>
      <c r="M598" s="326"/>
      <c r="N598" s="321"/>
      <c r="O598" s="322">
        <v>10000.0</v>
      </c>
      <c r="P598" s="326"/>
      <c r="Q598" s="321"/>
      <c r="R598" s="322">
        <v>10000.0</v>
      </c>
      <c r="S598" s="326"/>
      <c r="T598" s="321"/>
      <c r="U598" s="322">
        <v>10000.0</v>
      </c>
      <c r="V598" s="326"/>
      <c r="W598" s="321"/>
      <c r="X598" s="322">
        <v>10000.0</v>
      </c>
      <c r="Y598" s="326"/>
      <c r="Z598" s="321"/>
      <c r="AA598" s="322">
        <v>10000.0</v>
      </c>
      <c r="AB598" s="326"/>
      <c r="AC598" s="321"/>
      <c r="AD598" s="322">
        <v>10000.0</v>
      </c>
      <c r="AE598" s="326"/>
      <c r="AF598" s="321"/>
      <c r="AG598" s="322">
        <v>10000.0</v>
      </c>
      <c r="AH598" s="326"/>
      <c r="AI598" s="321"/>
      <c r="AJ598" s="322">
        <v>10000.0</v>
      </c>
      <c r="AK598" s="326"/>
      <c r="AL598" s="321"/>
      <c r="AM598" s="322">
        <v>10000.0</v>
      </c>
      <c r="AN598" s="316" t="s">
        <v>953</v>
      </c>
      <c r="AO598" s="316"/>
      <c r="AP598" s="316"/>
      <c r="AQ598" s="316"/>
      <c r="AR598" s="316"/>
      <c r="AS598" s="316"/>
      <c r="AT598" s="316"/>
      <c r="AU598" s="316"/>
      <c r="AV598" s="316"/>
      <c r="AW598" s="316"/>
      <c r="AX598" s="316"/>
      <c r="AY598" s="316"/>
      <c r="AZ598" s="316"/>
      <c r="BA598" s="316"/>
      <c r="BB598" s="316"/>
      <c r="BC598" s="316"/>
      <c r="BD598" s="316"/>
      <c r="BE598" s="316"/>
      <c r="BF598" s="316"/>
      <c r="BG598" s="316"/>
      <c r="BH598" s="316"/>
      <c r="BI598" s="316"/>
      <c r="BJ598" s="316"/>
      <c r="BK598" s="316"/>
      <c r="BL598" s="316"/>
      <c r="BM598" s="316"/>
      <c r="BN598" s="316"/>
    </row>
    <row r="599" hidden="1" outlineLevel="1">
      <c r="A599" s="303" t="s">
        <v>945</v>
      </c>
      <c r="B599" s="304"/>
      <c r="C599" s="325" t="s">
        <v>54</v>
      </c>
      <c r="D599" s="327"/>
      <c r="E599" s="321"/>
      <c r="F599" s="322">
        <f>SUMIFS('지출'!$G$3:$G794,'지출'!$J$3:$J794,F$1,'지출'!$C$3:$C794,"영삼")</f>
        <v>62020</v>
      </c>
      <c r="G599" s="327"/>
      <c r="H599" s="321"/>
      <c r="I599" s="322">
        <f>SUMIFS('지출'!$G$3:$G794,'지출'!$J$3:$J794,I$1,'지출'!$C$3:$C794,"영삼")</f>
        <v>61700</v>
      </c>
      <c r="J599" s="327"/>
      <c r="K599" s="321"/>
      <c r="L599" s="322">
        <f>SUMIFS('지출'!$G$3:$G794,'지출'!$J$3:$J794,L$1,'지출'!$C$3:$C794,"영삼")</f>
        <v>0</v>
      </c>
      <c r="M599" s="327"/>
      <c r="N599" s="321"/>
      <c r="O599" s="322">
        <f>SUMIFS('지출'!$G$3:$G794,'지출'!$J$3:$J794,O$1,'지출'!$C$3:$C794,"영삼")</f>
        <v>0</v>
      </c>
      <c r="P599" s="327"/>
      <c r="Q599" s="321"/>
      <c r="R599" s="322">
        <f>SUMIFS('지출'!$G$3:$G794,'지출'!$J$3:$J794,R$1,'지출'!$C$3:$C794,"영삼")</f>
        <v>0</v>
      </c>
      <c r="S599" s="327"/>
      <c r="T599" s="321"/>
      <c r="U599" s="322">
        <f>SUMIFS('지출'!$G$3:$G794,'지출'!$J$3:$J794,U$1,'지출'!$C$3:$C794,"영삼")</f>
        <v>0</v>
      </c>
      <c r="V599" s="327"/>
      <c r="W599" s="321"/>
      <c r="X599" s="322">
        <f>SUMIFS('지출'!$G$3:$G794,'지출'!$J$3:$J794,X$1,'지출'!$C$3:$C794,"영삼")</f>
        <v>0</v>
      </c>
      <c r="Y599" s="327"/>
      <c r="Z599" s="321"/>
      <c r="AA599" s="322">
        <f>SUMIFS('지출'!$G$3:$G794,'지출'!$J$3:$J794,AA$1,'지출'!$C$3:$C794,"영삼")</f>
        <v>0</v>
      </c>
      <c r="AB599" s="327"/>
      <c r="AC599" s="321"/>
      <c r="AD599" s="322">
        <f>SUMIFS('지출'!$G$3:$G794,'지출'!$J$3:$J794,AD$1,'지출'!$C$3:$C794,"영삼")</f>
        <v>0</v>
      </c>
      <c r="AE599" s="327"/>
      <c r="AF599" s="321"/>
      <c r="AG599" s="322">
        <f>SUMIFS('지출'!$G$3:$G794,'지출'!$J$3:$J794,AG$1,'지출'!$C$3:$C794,"영삼")</f>
        <v>0</v>
      </c>
      <c r="AH599" s="327"/>
      <c r="AI599" s="321"/>
      <c r="AJ599" s="322">
        <f>SUMIFS('지출'!$G$3:$G794,'지출'!$J$3:$J794,AJ$1,'지출'!$C$3:$C794,"영삼")</f>
        <v>0</v>
      </c>
      <c r="AK599" s="327"/>
      <c r="AL599" s="321"/>
      <c r="AM599" s="322">
        <f>SUMIFS('지출'!$G$3:$G794,'지출'!$J$3:$J794,AM$1,'지출'!$C$3:$C794,"영삼")</f>
        <v>0</v>
      </c>
      <c r="AN599" s="316" t="s">
        <v>953</v>
      </c>
      <c r="AO599" s="316"/>
      <c r="AP599" s="316"/>
      <c r="AQ599" s="316"/>
      <c r="AR599" s="316"/>
      <c r="AS599" s="316"/>
      <c r="AT599" s="316"/>
      <c r="AU599" s="316"/>
      <c r="AV599" s="316"/>
      <c r="AW599" s="316"/>
      <c r="AX599" s="316"/>
      <c r="AY599" s="316"/>
      <c r="AZ599" s="316"/>
      <c r="BA599" s="316"/>
      <c r="BB599" s="316"/>
      <c r="BC599" s="316"/>
      <c r="BD599" s="316"/>
      <c r="BE599" s="316"/>
      <c r="BF599" s="316"/>
      <c r="BG599" s="316"/>
      <c r="BH599" s="316"/>
      <c r="BI599" s="316"/>
      <c r="BJ599" s="316"/>
      <c r="BK599" s="316"/>
      <c r="BL599" s="316"/>
      <c r="BM599" s="316"/>
      <c r="BN599" s="316"/>
    </row>
    <row r="600">
      <c r="A600" s="303" t="s">
        <v>945</v>
      </c>
      <c r="B600" s="304"/>
      <c r="C600" s="325" t="s">
        <v>56</v>
      </c>
      <c r="D600" s="320"/>
      <c r="E600" s="323">
        <f t="shared" ref="E600:F600" si="818">E591-(SUM(E592:E599))</f>
        <v>1010000</v>
      </c>
      <c r="F600" s="324">
        <f t="shared" si="818"/>
        <v>73890</v>
      </c>
      <c r="G600" s="320"/>
      <c r="H600" s="323">
        <f t="shared" ref="H600:I600" si="819">H591-(SUM(H592:H599))</f>
        <v>1010000</v>
      </c>
      <c r="I600" s="324">
        <f t="shared" si="819"/>
        <v>1160</v>
      </c>
      <c r="J600" s="320"/>
      <c r="K600" s="323">
        <f t="shared" ref="K600:L600" si="820">K591-(SUM(K592:K599))</f>
        <v>1010000</v>
      </c>
      <c r="L600" s="324">
        <f t="shared" si="820"/>
        <v>99170</v>
      </c>
      <c r="M600" s="320"/>
      <c r="N600" s="323">
        <f t="shared" ref="N600:O600" si="821">N591-(SUM(N592:N599))</f>
        <v>1010000</v>
      </c>
      <c r="O600" s="324">
        <f t="shared" si="821"/>
        <v>335000</v>
      </c>
      <c r="P600" s="320"/>
      <c r="Q600" s="323">
        <f t="shared" ref="Q600:R600" si="822">Q591-(SUM(Q592:Q599))</f>
        <v>1010000</v>
      </c>
      <c r="R600" s="324">
        <f t="shared" si="822"/>
        <v>365000</v>
      </c>
      <c r="S600" s="320"/>
      <c r="T600" s="323">
        <f t="shared" ref="T600:U600" si="823">T591-(SUM(T592:T599))</f>
        <v>1010000</v>
      </c>
      <c r="U600" s="324">
        <f t="shared" si="823"/>
        <v>365000</v>
      </c>
      <c r="V600" s="320"/>
      <c r="W600" s="323">
        <f t="shared" ref="W600:X600" si="824">W591-(SUM(W592:W599))</f>
        <v>1010000</v>
      </c>
      <c r="X600" s="324">
        <f t="shared" si="824"/>
        <v>365000</v>
      </c>
      <c r="Y600" s="320"/>
      <c r="Z600" s="323">
        <f t="shared" ref="Z600:AA600" si="825">Z591-(SUM(Z592:Z599))</f>
        <v>913226</v>
      </c>
      <c r="AA600" s="324">
        <f t="shared" si="825"/>
        <v>345645</v>
      </c>
      <c r="AB600" s="320"/>
      <c r="AC600" s="323">
        <f t="shared" ref="AC600:AD600" si="826">AC591-(SUM(AC592:AC599))</f>
        <v>-10000</v>
      </c>
      <c r="AD600" s="324">
        <f t="shared" si="826"/>
        <v>165000</v>
      </c>
      <c r="AE600" s="320"/>
      <c r="AF600" s="323">
        <f t="shared" ref="AF600:AG600" si="827">AF591-(SUM(AF592:AF599))</f>
        <v>-10000</v>
      </c>
      <c r="AG600" s="324">
        <f t="shared" si="827"/>
        <v>165000</v>
      </c>
      <c r="AH600" s="320"/>
      <c r="AI600" s="323">
        <f t="shared" ref="AI600:AJ600" si="828">AI591-(SUM(AI592:AI599))</f>
        <v>-10000</v>
      </c>
      <c r="AJ600" s="324">
        <f t="shared" si="828"/>
        <v>165000</v>
      </c>
      <c r="AK600" s="320"/>
      <c r="AL600" s="323">
        <f t="shared" ref="AL600:AM600" si="829">AL591-(SUM(AL592:AL599))</f>
        <v>-10000</v>
      </c>
      <c r="AM600" s="324">
        <f t="shared" si="829"/>
        <v>165000</v>
      </c>
      <c r="AN600" s="316" t="s">
        <v>953</v>
      </c>
      <c r="AO600" s="316"/>
      <c r="AP600" s="316"/>
      <c r="AQ600" s="316"/>
      <c r="AR600" s="316"/>
      <c r="AS600" s="316"/>
      <c r="AT600" s="316"/>
      <c r="AU600" s="316"/>
      <c r="AV600" s="316"/>
      <c r="AW600" s="316"/>
      <c r="AX600" s="316"/>
      <c r="AY600" s="316"/>
      <c r="AZ600" s="316"/>
      <c r="BA600" s="316"/>
      <c r="BB600" s="316"/>
      <c r="BC600" s="316"/>
      <c r="BD600" s="316"/>
      <c r="BE600" s="316"/>
      <c r="BF600" s="316"/>
      <c r="BG600" s="316"/>
      <c r="BH600" s="316"/>
      <c r="BI600" s="316"/>
      <c r="BJ600" s="316"/>
      <c r="BK600" s="316"/>
      <c r="BL600" s="316"/>
      <c r="BM600" s="316"/>
      <c r="BN600" s="316"/>
    </row>
    <row r="601">
      <c r="A601" s="303" t="s">
        <v>945</v>
      </c>
      <c r="B601" s="328">
        <v>0.7</v>
      </c>
      <c r="C601" s="325" t="s">
        <v>26</v>
      </c>
      <c r="D601" s="320"/>
      <c r="E601" s="323">
        <f>E600*$B601</f>
        <v>707000</v>
      </c>
      <c r="F601" s="324"/>
      <c r="G601" s="354"/>
      <c r="H601" s="323">
        <f>H600*$B601</f>
        <v>707000</v>
      </c>
      <c r="I601" s="324"/>
      <c r="J601" s="320"/>
      <c r="K601" s="323">
        <f>K600*$B601</f>
        <v>707000</v>
      </c>
      <c r="L601" s="324"/>
      <c r="M601" s="320"/>
      <c r="N601" s="323">
        <f>N600*$B601</f>
        <v>707000</v>
      </c>
      <c r="O601" s="324"/>
      <c r="P601" s="320"/>
      <c r="Q601" s="323">
        <f>Q600*$B601</f>
        <v>707000</v>
      </c>
      <c r="R601" s="324"/>
      <c r="S601" s="320"/>
      <c r="T601" s="323">
        <f>T600*$B601</f>
        <v>707000</v>
      </c>
      <c r="U601" s="324"/>
      <c r="V601" s="320"/>
      <c r="W601" s="323">
        <f>W600*$B601</f>
        <v>707000</v>
      </c>
      <c r="X601" s="324"/>
      <c r="Y601" s="320"/>
      <c r="Z601" s="323">
        <f>Z600*$B601</f>
        <v>639258.2</v>
      </c>
      <c r="AA601" s="324"/>
      <c r="AB601" s="320"/>
      <c r="AC601" s="323">
        <f>AC600*$B601</f>
        <v>-7000</v>
      </c>
      <c r="AD601" s="324"/>
      <c r="AE601" s="320"/>
      <c r="AF601" s="323">
        <f>AF600*$B601</f>
        <v>-7000</v>
      </c>
      <c r="AG601" s="324"/>
      <c r="AH601" s="320"/>
      <c r="AI601" s="323">
        <f>AI600*$B601</f>
        <v>-7000</v>
      </c>
      <c r="AJ601" s="324"/>
      <c r="AK601" s="320"/>
      <c r="AL601" s="323">
        <f>AL600*$B601</f>
        <v>-7000</v>
      </c>
      <c r="AM601" s="324"/>
      <c r="AN601" s="316" t="s">
        <v>953</v>
      </c>
      <c r="AO601" s="316"/>
      <c r="AP601" s="316"/>
      <c r="AQ601" s="316"/>
      <c r="AR601" s="316"/>
      <c r="AS601" s="316"/>
      <c r="AT601" s="316"/>
      <c r="AU601" s="316"/>
      <c r="AV601" s="316"/>
      <c r="AW601" s="316"/>
      <c r="AX601" s="316"/>
      <c r="AY601" s="316"/>
      <c r="AZ601" s="316"/>
      <c r="BA601" s="316"/>
      <c r="BB601" s="316"/>
      <c r="BC601" s="316"/>
      <c r="BD601" s="316"/>
      <c r="BE601" s="316"/>
      <c r="BF601" s="316"/>
      <c r="BG601" s="316"/>
      <c r="BH601" s="316"/>
      <c r="BI601" s="316"/>
      <c r="BJ601" s="316"/>
      <c r="BK601" s="316"/>
      <c r="BL601" s="316"/>
      <c r="BM601" s="316"/>
      <c r="BN601" s="316"/>
    </row>
    <row r="602">
      <c r="A602" s="303" t="s">
        <v>945</v>
      </c>
      <c r="B602" s="329">
        <v>0.3</v>
      </c>
      <c r="C602" s="330" t="s">
        <v>57</v>
      </c>
      <c r="D602" s="331"/>
      <c r="E602" s="332">
        <f>E600*$B602</f>
        <v>303000</v>
      </c>
      <c r="F602" s="333"/>
      <c r="G602" s="331"/>
      <c r="H602" s="332">
        <f>H600*$B602</f>
        <v>303000</v>
      </c>
      <c r="I602" s="333"/>
      <c r="J602" s="331"/>
      <c r="K602" s="332">
        <f>K600*$B602</f>
        <v>303000</v>
      </c>
      <c r="L602" s="333"/>
      <c r="M602" s="331"/>
      <c r="N602" s="332">
        <f>N600*$B602</f>
        <v>303000</v>
      </c>
      <c r="O602" s="333"/>
      <c r="P602" s="331"/>
      <c r="Q602" s="332">
        <f>Q600*$B602</f>
        <v>303000</v>
      </c>
      <c r="R602" s="333"/>
      <c r="S602" s="331"/>
      <c r="T602" s="332">
        <f>T600*$B602</f>
        <v>303000</v>
      </c>
      <c r="U602" s="333"/>
      <c r="V602" s="331"/>
      <c r="W602" s="332">
        <f>W600*$B602</f>
        <v>303000</v>
      </c>
      <c r="X602" s="333"/>
      <c r="Y602" s="331"/>
      <c r="Z602" s="332">
        <f>Z600*$B602</f>
        <v>273967.8</v>
      </c>
      <c r="AA602" s="333"/>
      <c r="AB602" s="331"/>
      <c r="AC602" s="332">
        <f>AC600*$B602</f>
        <v>-3000</v>
      </c>
      <c r="AD602" s="333"/>
      <c r="AE602" s="331"/>
      <c r="AF602" s="332">
        <f>AF600*$B602</f>
        <v>-3000</v>
      </c>
      <c r="AG602" s="333"/>
      <c r="AH602" s="331"/>
      <c r="AI602" s="332">
        <f>AI600*$B602</f>
        <v>-3000</v>
      </c>
      <c r="AJ602" s="333"/>
      <c r="AK602" s="331"/>
      <c r="AL602" s="332">
        <f>AL600*$B602</f>
        <v>-3000</v>
      </c>
      <c r="AM602" s="333"/>
      <c r="AN602" s="316" t="s">
        <v>953</v>
      </c>
      <c r="AO602" s="316"/>
      <c r="AP602" s="316"/>
      <c r="AQ602" s="316"/>
      <c r="AR602" s="316"/>
      <c r="AS602" s="316"/>
      <c r="AT602" s="316"/>
      <c r="AU602" s="316"/>
      <c r="AV602" s="316"/>
      <c r="AW602" s="316"/>
      <c r="AX602" s="316"/>
      <c r="AY602" s="316"/>
      <c r="AZ602" s="316"/>
      <c r="BA602" s="316"/>
      <c r="BB602" s="316"/>
      <c r="BC602" s="316"/>
      <c r="BD602" s="316"/>
      <c r="BE602" s="316"/>
      <c r="BF602" s="316"/>
      <c r="BG602" s="316"/>
      <c r="BH602" s="316"/>
      <c r="BI602" s="316"/>
      <c r="BJ602" s="316"/>
      <c r="BK602" s="316"/>
      <c r="BL602" s="316"/>
      <c r="BM602" s="316"/>
      <c r="BN602" s="316"/>
    </row>
    <row r="603">
      <c r="A603" s="303" t="s">
        <v>967</v>
      </c>
      <c r="B603" s="384" t="s">
        <v>967</v>
      </c>
      <c r="C603" s="385" t="s">
        <v>968</v>
      </c>
      <c r="D603" s="341" t="s">
        <v>969</v>
      </c>
      <c r="E603" s="348">
        <v>590000.0</v>
      </c>
      <c r="F603" s="346">
        <v>80000.0</v>
      </c>
      <c r="G603" s="341" t="s">
        <v>969</v>
      </c>
      <c r="H603" s="348">
        <v>390000.0</v>
      </c>
      <c r="I603" s="346">
        <v>80000.0</v>
      </c>
      <c r="J603" s="341" t="s">
        <v>969</v>
      </c>
      <c r="K603" s="348">
        <v>520000.0</v>
      </c>
      <c r="L603" s="345">
        <v>100000.0</v>
      </c>
      <c r="M603" s="341" t="s">
        <v>969</v>
      </c>
      <c r="N603" s="348">
        <v>520000.0</v>
      </c>
      <c r="O603" s="345">
        <v>100000.0</v>
      </c>
      <c r="P603" s="341" t="s">
        <v>969</v>
      </c>
      <c r="Q603" s="348">
        <v>520000.0</v>
      </c>
      <c r="R603" s="345">
        <v>100000.0</v>
      </c>
      <c r="S603" s="341" t="s">
        <v>969</v>
      </c>
      <c r="T603" s="348">
        <v>520000.0</v>
      </c>
      <c r="U603" s="345">
        <v>100000.0</v>
      </c>
      <c r="V603" s="341" t="s">
        <v>969</v>
      </c>
      <c r="W603" s="348">
        <v>520000.0</v>
      </c>
      <c r="X603" s="345">
        <v>100000.0</v>
      </c>
      <c r="Y603" s="353" t="s">
        <v>2318</v>
      </c>
      <c r="Z603" s="348">
        <v>520000.0</v>
      </c>
      <c r="AA603" s="345">
        <v>100000.0</v>
      </c>
      <c r="AB603" s="326"/>
      <c r="AC603" s="321"/>
      <c r="AD603" s="322"/>
      <c r="AE603" s="326"/>
      <c r="AF603" s="321"/>
      <c r="AG603" s="322"/>
      <c r="AH603" s="326"/>
      <c r="AI603" s="321"/>
      <c r="AJ603" s="322"/>
      <c r="AK603" s="326"/>
      <c r="AL603" s="321"/>
      <c r="AM603" s="322"/>
      <c r="AN603" s="316" t="s">
        <v>953</v>
      </c>
      <c r="AO603" s="316"/>
      <c r="AP603" s="316"/>
      <c r="AQ603" s="316"/>
      <c r="AR603" s="316"/>
      <c r="AS603" s="316"/>
      <c r="AT603" s="316"/>
      <c r="AU603" s="316"/>
      <c r="AV603" s="316"/>
      <c r="AW603" s="316"/>
      <c r="AX603" s="316"/>
      <c r="AY603" s="316"/>
      <c r="AZ603" s="316"/>
      <c r="BA603" s="316"/>
      <c r="BB603" s="316"/>
      <c r="BC603" s="316"/>
      <c r="BD603" s="316"/>
      <c r="BE603" s="316"/>
      <c r="BF603" s="316"/>
      <c r="BG603" s="316"/>
      <c r="BH603" s="316"/>
      <c r="BI603" s="316"/>
      <c r="BJ603" s="316"/>
      <c r="BK603" s="316"/>
      <c r="BL603" s="316"/>
      <c r="BM603" s="316"/>
      <c r="BN603" s="316"/>
    </row>
    <row r="604">
      <c r="A604" s="303" t="s">
        <v>967</v>
      </c>
      <c r="B604" s="384" t="s">
        <v>967</v>
      </c>
      <c r="C604" s="385" t="s">
        <v>970</v>
      </c>
      <c r="D604" s="341" t="s">
        <v>972</v>
      </c>
      <c r="E604" s="335">
        <v>500000.0</v>
      </c>
      <c r="F604" s="346">
        <v>80000.0</v>
      </c>
      <c r="G604" s="341" t="s">
        <v>972</v>
      </c>
      <c r="H604" s="348">
        <v>520000.0</v>
      </c>
      <c r="I604" s="345">
        <v>100000.0</v>
      </c>
      <c r="J604" s="341" t="s">
        <v>972</v>
      </c>
      <c r="K604" s="348">
        <v>520000.0</v>
      </c>
      <c r="L604" s="345">
        <v>100000.0</v>
      </c>
      <c r="M604" s="341" t="s">
        <v>972</v>
      </c>
      <c r="N604" s="348">
        <v>520000.0</v>
      </c>
      <c r="O604" s="345">
        <v>100000.0</v>
      </c>
      <c r="P604" s="341" t="s">
        <v>972</v>
      </c>
      <c r="Q604" s="348">
        <v>520000.0</v>
      </c>
      <c r="R604" s="345">
        <v>100000.0</v>
      </c>
      <c r="S604" s="341" t="s">
        <v>972</v>
      </c>
      <c r="T604" s="348">
        <v>520000.0</v>
      </c>
      <c r="U604" s="345">
        <v>100000.0</v>
      </c>
      <c r="V604" s="353" t="s">
        <v>2319</v>
      </c>
      <c r="W604" s="348">
        <v>520000.0</v>
      </c>
      <c r="X604" s="345">
        <v>100000.0</v>
      </c>
      <c r="Y604" s="326"/>
      <c r="Z604" s="323"/>
      <c r="AA604" s="322"/>
      <c r="AB604" s="326"/>
      <c r="AC604" s="323"/>
      <c r="AD604" s="322"/>
      <c r="AE604" s="326"/>
      <c r="AF604" s="323"/>
      <c r="AG604" s="322"/>
      <c r="AH604" s="326"/>
      <c r="AI604" s="323"/>
      <c r="AJ604" s="322"/>
      <c r="AK604" s="326"/>
      <c r="AL604" s="323"/>
      <c r="AM604" s="322"/>
      <c r="AN604" s="316" t="s">
        <v>953</v>
      </c>
      <c r="AO604" s="316"/>
      <c r="AP604" s="316"/>
      <c r="AQ604" s="316"/>
      <c r="AR604" s="316"/>
      <c r="AS604" s="316"/>
      <c r="AT604" s="316"/>
      <c r="AU604" s="316"/>
      <c r="AV604" s="316"/>
      <c r="AW604" s="316"/>
      <c r="AX604" s="316"/>
      <c r="AY604" s="316"/>
      <c r="AZ604" s="316"/>
      <c r="BA604" s="316"/>
      <c r="BB604" s="316"/>
      <c r="BC604" s="316"/>
      <c r="BD604" s="316"/>
      <c r="BE604" s="316"/>
      <c r="BF604" s="316"/>
      <c r="BG604" s="316"/>
      <c r="BH604" s="316"/>
      <c r="BI604" s="316"/>
      <c r="BJ604" s="316"/>
      <c r="BK604" s="316"/>
      <c r="BL604" s="316"/>
      <c r="BM604" s="316"/>
      <c r="BN604" s="316"/>
    </row>
    <row r="605">
      <c r="A605" s="303" t="s">
        <v>967</v>
      </c>
      <c r="B605" s="384" t="s">
        <v>967</v>
      </c>
      <c r="C605" s="385" t="s">
        <v>909</v>
      </c>
      <c r="D605" s="341" t="s">
        <v>2320</v>
      </c>
      <c r="E605" s="335">
        <v>370000.0</v>
      </c>
      <c r="F605" s="346">
        <v>100000.0</v>
      </c>
      <c r="G605" s="353" t="s">
        <v>2321</v>
      </c>
      <c r="H605" s="335">
        <v>370000.0</v>
      </c>
      <c r="I605" s="346">
        <v>100000.0</v>
      </c>
      <c r="J605" s="341" t="s">
        <v>37</v>
      </c>
      <c r="K605" s="321"/>
      <c r="L605" s="322"/>
      <c r="M605" s="326"/>
      <c r="N605" s="321"/>
      <c r="O605" s="322"/>
      <c r="P605" s="326"/>
      <c r="Q605" s="321"/>
      <c r="R605" s="322"/>
      <c r="S605" s="326"/>
      <c r="T605" s="321"/>
      <c r="U605" s="322"/>
      <c r="V605" s="326"/>
      <c r="W605" s="321"/>
      <c r="X605" s="322"/>
      <c r="Y605" s="326"/>
      <c r="Z605" s="321"/>
      <c r="AA605" s="322"/>
      <c r="AB605" s="326"/>
      <c r="AC605" s="321"/>
      <c r="AD605" s="322"/>
      <c r="AE605" s="326"/>
      <c r="AF605" s="321"/>
      <c r="AG605" s="322"/>
      <c r="AH605" s="326"/>
      <c r="AI605" s="321"/>
      <c r="AJ605" s="322"/>
      <c r="AK605" s="326"/>
      <c r="AL605" s="321"/>
      <c r="AM605" s="322"/>
      <c r="AN605" s="316" t="s">
        <v>953</v>
      </c>
      <c r="AO605" s="316"/>
      <c r="AP605" s="316"/>
      <c r="AQ605" s="316"/>
      <c r="AR605" s="316"/>
      <c r="AS605" s="316"/>
      <c r="AT605" s="316"/>
      <c r="AU605" s="316"/>
      <c r="AV605" s="316"/>
      <c r="AW605" s="316"/>
      <c r="AX605" s="316"/>
      <c r="AY605" s="316"/>
      <c r="AZ605" s="316"/>
      <c r="BA605" s="316"/>
      <c r="BB605" s="316"/>
      <c r="BC605" s="316"/>
      <c r="BD605" s="316"/>
      <c r="BE605" s="316"/>
      <c r="BF605" s="316"/>
      <c r="BG605" s="316"/>
      <c r="BH605" s="316"/>
      <c r="BI605" s="316"/>
      <c r="BJ605" s="316"/>
      <c r="BK605" s="316"/>
      <c r="BL605" s="316"/>
      <c r="BM605" s="316"/>
      <c r="BN605" s="316"/>
    </row>
    <row r="606">
      <c r="A606" s="303" t="s">
        <v>967</v>
      </c>
      <c r="B606" s="384" t="s">
        <v>967</v>
      </c>
      <c r="C606" s="385" t="s">
        <v>316</v>
      </c>
      <c r="D606" s="341" t="s">
        <v>37</v>
      </c>
      <c r="E606" s="335"/>
      <c r="F606" s="346"/>
      <c r="G606" s="341" t="s">
        <v>37</v>
      </c>
      <c r="H606" s="335"/>
      <c r="I606" s="346"/>
      <c r="J606" s="341" t="s">
        <v>37</v>
      </c>
      <c r="K606" s="321"/>
      <c r="L606" s="322"/>
      <c r="M606" s="326"/>
      <c r="N606" s="321"/>
      <c r="O606" s="322"/>
      <c r="P606" s="326"/>
      <c r="Q606" s="321"/>
      <c r="R606" s="322"/>
      <c r="S606" s="326"/>
      <c r="T606" s="321"/>
      <c r="U606" s="322"/>
      <c r="V606" s="326"/>
      <c r="W606" s="321"/>
      <c r="X606" s="322"/>
      <c r="Y606" s="326"/>
      <c r="Z606" s="321"/>
      <c r="AA606" s="322"/>
      <c r="AB606" s="326"/>
      <c r="AC606" s="321"/>
      <c r="AD606" s="322"/>
      <c r="AE606" s="326"/>
      <c r="AF606" s="321"/>
      <c r="AG606" s="322"/>
      <c r="AH606" s="326"/>
      <c r="AI606" s="321"/>
      <c r="AJ606" s="322"/>
      <c r="AK606" s="326"/>
      <c r="AL606" s="321"/>
      <c r="AM606" s="322"/>
      <c r="AN606" s="316" t="s">
        <v>953</v>
      </c>
      <c r="AO606" s="316"/>
      <c r="AP606" s="316"/>
      <c r="AQ606" s="316"/>
      <c r="AR606" s="316"/>
      <c r="AS606" s="316"/>
      <c r="AT606" s="316"/>
      <c r="AU606" s="316"/>
      <c r="AV606" s="316"/>
      <c r="AW606" s="316"/>
      <c r="AX606" s="316"/>
      <c r="AY606" s="316"/>
      <c r="AZ606" s="316"/>
      <c r="BA606" s="316"/>
      <c r="BB606" s="316"/>
      <c r="BC606" s="316"/>
      <c r="BD606" s="316"/>
      <c r="BE606" s="316"/>
      <c r="BF606" s="316"/>
      <c r="BG606" s="316"/>
      <c r="BH606" s="316"/>
      <c r="BI606" s="316"/>
      <c r="BJ606" s="316"/>
      <c r="BK606" s="316"/>
      <c r="BL606" s="316"/>
      <c r="BM606" s="316"/>
      <c r="BN606" s="316"/>
    </row>
    <row r="607">
      <c r="A607" s="303" t="s">
        <v>967</v>
      </c>
      <c r="B607" s="304"/>
      <c r="C607" s="305" t="s">
        <v>42</v>
      </c>
      <c r="D607" s="320"/>
      <c r="E607" s="323">
        <f t="shared" ref="E607:F607" si="830">SUM(E603:E606)</f>
        <v>1460000</v>
      </c>
      <c r="F607" s="324">
        <f t="shared" si="830"/>
        <v>260000</v>
      </c>
      <c r="G607" s="320"/>
      <c r="H607" s="323">
        <f t="shared" ref="H607:I607" si="831">SUM(H603:H606)</f>
        <v>1280000</v>
      </c>
      <c r="I607" s="324">
        <f t="shared" si="831"/>
        <v>280000</v>
      </c>
      <c r="J607" s="320"/>
      <c r="K607" s="323">
        <f t="shared" ref="K607:L607" si="832">SUM(K603:K606)</f>
        <v>1040000</v>
      </c>
      <c r="L607" s="324">
        <f t="shared" si="832"/>
        <v>200000</v>
      </c>
      <c r="M607" s="320"/>
      <c r="N607" s="323">
        <f t="shared" ref="N607:O607" si="833">SUM(N603:N606)</f>
        <v>1040000</v>
      </c>
      <c r="O607" s="324">
        <f t="shared" si="833"/>
        <v>200000</v>
      </c>
      <c r="P607" s="320"/>
      <c r="Q607" s="323">
        <f t="shared" ref="Q607:R607" si="834">SUM(Q603:Q606)</f>
        <v>1040000</v>
      </c>
      <c r="R607" s="324">
        <f t="shared" si="834"/>
        <v>200000</v>
      </c>
      <c r="S607" s="320"/>
      <c r="T607" s="323">
        <f t="shared" ref="T607:U607" si="835">SUM(T603:T606)</f>
        <v>1040000</v>
      </c>
      <c r="U607" s="324">
        <f t="shared" si="835"/>
        <v>200000</v>
      </c>
      <c r="V607" s="320"/>
      <c r="W607" s="323">
        <f t="shared" ref="W607:X607" si="836">SUM(W603:W606)</f>
        <v>1040000</v>
      </c>
      <c r="X607" s="324">
        <f t="shared" si="836"/>
        <v>200000</v>
      </c>
      <c r="Y607" s="320"/>
      <c r="Z607" s="323">
        <f t="shared" ref="Z607:AA607" si="837">SUM(Z603:Z606)</f>
        <v>520000</v>
      </c>
      <c r="AA607" s="324">
        <f t="shared" si="837"/>
        <v>100000</v>
      </c>
      <c r="AB607" s="320"/>
      <c r="AC607" s="323">
        <f t="shared" ref="AC607:AD607" si="838">SUM(AC603:AC606)</f>
        <v>0</v>
      </c>
      <c r="AD607" s="324">
        <f t="shared" si="838"/>
        <v>0</v>
      </c>
      <c r="AE607" s="320"/>
      <c r="AF607" s="323">
        <f t="shared" ref="AF607:AG607" si="839">SUM(AF603:AF606)</f>
        <v>0</v>
      </c>
      <c r="AG607" s="324">
        <f t="shared" si="839"/>
        <v>0</v>
      </c>
      <c r="AH607" s="320"/>
      <c r="AI607" s="323">
        <f t="shared" ref="AI607:AJ607" si="840">SUM(AI603:AI606)</f>
        <v>0</v>
      </c>
      <c r="AJ607" s="324">
        <f t="shared" si="840"/>
        <v>0</v>
      </c>
      <c r="AK607" s="320"/>
      <c r="AL607" s="323">
        <f t="shared" ref="AL607:AM607" si="841">SUM(AL603:AL606)</f>
        <v>0</v>
      </c>
      <c r="AM607" s="324">
        <f t="shared" si="841"/>
        <v>0</v>
      </c>
      <c r="AN607" s="316" t="s">
        <v>953</v>
      </c>
      <c r="AO607" s="316"/>
      <c r="AP607" s="316"/>
      <c r="AQ607" s="316"/>
      <c r="AR607" s="316"/>
      <c r="AS607" s="316"/>
      <c r="AT607" s="316"/>
      <c r="AU607" s="316"/>
      <c r="AV607" s="316"/>
      <c r="AW607" s="316"/>
      <c r="AX607" s="316"/>
      <c r="AY607" s="316"/>
      <c r="AZ607" s="316"/>
      <c r="BA607" s="316"/>
      <c r="BB607" s="316"/>
      <c r="BC607" s="316"/>
      <c r="BD607" s="316"/>
      <c r="BE607" s="316"/>
      <c r="BF607" s="316"/>
      <c r="BG607" s="316"/>
      <c r="BH607" s="316"/>
      <c r="BI607" s="316"/>
      <c r="BJ607" s="316"/>
      <c r="BK607" s="316"/>
      <c r="BL607" s="316"/>
      <c r="BM607" s="316"/>
      <c r="BN607" s="316"/>
    </row>
    <row r="608" collapsed="1">
      <c r="A608" s="303" t="s">
        <v>967</v>
      </c>
      <c r="B608" s="304"/>
      <c r="C608" s="325" t="s">
        <v>43</v>
      </c>
      <c r="D608" s="326"/>
      <c r="E608" s="321">
        <v>750000.0</v>
      </c>
      <c r="F608" s="324"/>
      <c r="G608" s="326"/>
      <c r="H608" s="321">
        <v>750000.0</v>
      </c>
      <c r="I608" s="324"/>
      <c r="J608" s="326"/>
      <c r="K608" s="321">
        <v>750000.0</v>
      </c>
      <c r="L608" s="324"/>
      <c r="M608" s="326"/>
      <c r="N608" s="321">
        <v>750000.0</v>
      </c>
      <c r="O608" s="324"/>
      <c r="P608" s="326"/>
      <c r="Q608" s="321">
        <v>750000.0</v>
      </c>
      <c r="R608" s="324"/>
      <c r="S608" s="326"/>
      <c r="T608" s="321">
        <v>750000.0</v>
      </c>
      <c r="U608" s="324"/>
      <c r="V608" s="326"/>
      <c r="W608" s="321">
        <v>750000.0</v>
      </c>
      <c r="X608" s="324"/>
      <c r="Y608" s="326"/>
      <c r="Z608" s="321">
        <v>750000.0</v>
      </c>
      <c r="AA608" s="324"/>
      <c r="AB608" s="326"/>
      <c r="AC608" s="321">
        <v>750000.0</v>
      </c>
      <c r="AD608" s="324"/>
      <c r="AE608" s="326"/>
      <c r="AF608" s="321">
        <v>750000.0</v>
      </c>
      <c r="AG608" s="324"/>
      <c r="AH608" s="326"/>
      <c r="AI608" s="321">
        <v>750000.0</v>
      </c>
      <c r="AJ608" s="324"/>
      <c r="AK608" s="326"/>
      <c r="AL608" s="321">
        <v>750000.0</v>
      </c>
      <c r="AM608" s="324"/>
      <c r="AN608" s="316" t="s">
        <v>953</v>
      </c>
      <c r="AO608" s="316"/>
      <c r="AP608" s="316"/>
      <c r="AQ608" s="349">
        <f t="shared" ref="AQ608:AQ616" si="842">E601+E617</f>
        <v>1204000</v>
      </c>
      <c r="AR608" s="316"/>
      <c r="AS608" s="316"/>
      <c r="AT608" s="316"/>
      <c r="AU608" s="316"/>
      <c r="AV608" s="316"/>
      <c r="AW608" s="316"/>
      <c r="AX608" s="316"/>
      <c r="AY608" s="316"/>
      <c r="AZ608" s="316"/>
      <c r="BA608" s="316"/>
      <c r="BB608" s="316"/>
      <c r="BC608" s="316"/>
      <c r="BD608" s="316"/>
      <c r="BE608" s="316"/>
      <c r="BF608" s="316"/>
      <c r="BG608" s="316"/>
      <c r="BH608" s="316"/>
      <c r="BI608" s="316"/>
      <c r="BJ608" s="316"/>
      <c r="BK608" s="316"/>
      <c r="BL608" s="316"/>
      <c r="BM608" s="316"/>
      <c r="BN608" s="316"/>
    </row>
    <row r="609" hidden="1" outlineLevel="1">
      <c r="A609" s="303" t="s">
        <v>967</v>
      </c>
      <c r="B609" s="304"/>
      <c r="C609" s="325" t="s">
        <v>45</v>
      </c>
      <c r="D609" s="326"/>
      <c r="E609" s="321"/>
      <c r="F609" s="322"/>
      <c r="G609" s="326"/>
      <c r="H609" s="321"/>
      <c r="I609" s="322"/>
      <c r="J609" s="326"/>
      <c r="K609" s="321"/>
      <c r="L609" s="322"/>
      <c r="M609" s="326"/>
      <c r="N609" s="321"/>
      <c r="O609" s="322"/>
      <c r="P609" s="326"/>
      <c r="Q609" s="321"/>
      <c r="R609" s="322"/>
      <c r="S609" s="326"/>
      <c r="T609" s="321"/>
      <c r="U609" s="322"/>
      <c r="V609" s="326"/>
      <c r="W609" s="321"/>
      <c r="X609" s="322"/>
      <c r="Y609" s="326"/>
      <c r="Z609" s="321"/>
      <c r="AA609" s="322"/>
      <c r="AB609" s="326"/>
      <c r="AC609" s="321"/>
      <c r="AD609" s="322"/>
      <c r="AE609" s="326"/>
      <c r="AF609" s="321"/>
      <c r="AG609" s="322"/>
      <c r="AH609" s="326"/>
      <c r="AI609" s="321"/>
      <c r="AJ609" s="322"/>
      <c r="AK609" s="326"/>
      <c r="AL609" s="321"/>
      <c r="AM609" s="322"/>
      <c r="AN609" s="316" t="s">
        <v>953</v>
      </c>
      <c r="AO609" s="316"/>
      <c r="AP609" s="316"/>
      <c r="AQ609" s="349">
        <f t="shared" si="842"/>
        <v>516000</v>
      </c>
      <c r="AR609" s="316"/>
      <c r="AS609" s="316"/>
      <c r="AT609" s="316"/>
      <c r="AU609" s="316"/>
      <c r="AV609" s="316"/>
      <c r="AW609" s="316"/>
      <c r="AX609" s="316"/>
      <c r="AY609" s="316"/>
      <c r="AZ609" s="316"/>
      <c r="BA609" s="316"/>
      <c r="BB609" s="316"/>
      <c r="BC609" s="316"/>
      <c r="BD609" s="316"/>
      <c r="BE609" s="316"/>
      <c r="BF609" s="316"/>
      <c r="BG609" s="316"/>
      <c r="BH609" s="316"/>
      <c r="BI609" s="316"/>
      <c r="BJ609" s="316"/>
      <c r="BK609" s="316"/>
      <c r="BL609" s="316"/>
      <c r="BM609" s="316"/>
      <c r="BN609" s="316"/>
    </row>
    <row r="610" hidden="1" outlineLevel="1">
      <c r="A610" s="303" t="s">
        <v>967</v>
      </c>
      <c r="B610" s="317" t="s">
        <v>985</v>
      </c>
      <c r="C610" s="325" t="s">
        <v>303</v>
      </c>
      <c r="D610" s="326" t="s">
        <v>2039</v>
      </c>
      <c r="E610" s="321"/>
      <c r="F610" s="322">
        <v>30000.0</v>
      </c>
      <c r="G610" s="326" t="s">
        <v>2039</v>
      </c>
      <c r="H610" s="321"/>
      <c r="I610" s="322">
        <v>30000.0</v>
      </c>
      <c r="J610" s="326" t="s">
        <v>2039</v>
      </c>
      <c r="K610" s="321"/>
      <c r="L610" s="322">
        <v>30000.0</v>
      </c>
      <c r="M610" s="326"/>
      <c r="N610" s="321"/>
      <c r="O610" s="322"/>
      <c r="P610" s="326"/>
      <c r="Q610" s="321"/>
      <c r="R610" s="322"/>
      <c r="S610" s="326"/>
      <c r="T610" s="321"/>
      <c r="U610" s="322"/>
      <c r="V610" s="326"/>
      <c r="W610" s="321"/>
      <c r="X610" s="322"/>
      <c r="Y610" s="326"/>
      <c r="Z610" s="321"/>
      <c r="AA610" s="322"/>
      <c r="AB610" s="326"/>
      <c r="AC610" s="321"/>
      <c r="AD610" s="322"/>
      <c r="AE610" s="326"/>
      <c r="AF610" s="321"/>
      <c r="AG610" s="322"/>
      <c r="AH610" s="326"/>
      <c r="AI610" s="321"/>
      <c r="AJ610" s="322"/>
      <c r="AK610" s="326"/>
      <c r="AL610" s="321"/>
      <c r="AM610" s="322"/>
      <c r="AN610" s="316" t="s">
        <v>953</v>
      </c>
      <c r="AO610" s="316"/>
      <c r="AP610" s="316"/>
      <c r="AQ610" s="349">
        <f t="shared" si="842"/>
        <v>1130000</v>
      </c>
      <c r="AR610" s="316"/>
      <c r="AS610" s="316"/>
      <c r="AT610" s="316"/>
      <c r="AU610" s="316"/>
      <c r="AV610" s="316"/>
      <c r="AW610" s="316"/>
      <c r="AX610" s="316"/>
      <c r="AY610" s="316"/>
      <c r="AZ610" s="316"/>
      <c r="BA610" s="316"/>
      <c r="BB610" s="316"/>
      <c r="BC610" s="316"/>
      <c r="BD610" s="316"/>
      <c r="BE610" s="316"/>
      <c r="BF610" s="316"/>
      <c r="BG610" s="316"/>
      <c r="BH610" s="316"/>
      <c r="BI610" s="316"/>
      <c r="BJ610" s="316"/>
      <c r="BK610" s="316"/>
      <c r="BL610" s="316"/>
      <c r="BM610" s="316"/>
      <c r="BN610" s="316"/>
    </row>
    <row r="611" hidden="1" outlineLevel="1">
      <c r="A611" s="303" t="s">
        <v>967</v>
      </c>
      <c r="B611" s="317">
        <v>6.005792957E9</v>
      </c>
      <c r="C611" s="325" t="s">
        <v>261</v>
      </c>
      <c r="D611" s="326"/>
      <c r="E611" s="321"/>
      <c r="F611" s="322">
        <v>164700.0</v>
      </c>
      <c r="G611" s="326"/>
      <c r="H611" s="321"/>
      <c r="I611" s="322">
        <v>197000.0</v>
      </c>
      <c r="J611" s="326"/>
      <c r="K611" s="321"/>
      <c r="L611" s="322">
        <v>252500.0</v>
      </c>
      <c r="M611" s="326"/>
      <c r="N611" s="321"/>
      <c r="O611" s="322"/>
      <c r="P611" s="326"/>
      <c r="Q611" s="321"/>
      <c r="R611" s="322"/>
      <c r="S611" s="326"/>
      <c r="T611" s="321"/>
      <c r="U611" s="322"/>
      <c r="V611" s="326"/>
      <c r="W611" s="321"/>
      <c r="X611" s="322"/>
      <c r="Y611" s="326"/>
      <c r="Z611" s="321"/>
      <c r="AA611" s="322"/>
      <c r="AB611" s="326"/>
      <c r="AC611" s="321"/>
      <c r="AD611" s="322"/>
      <c r="AE611" s="326"/>
      <c r="AF611" s="321"/>
      <c r="AG611" s="322"/>
      <c r="AH611" s="326"/>
      <c r="AI611" s="321"/>
      <c r="AJ611" s="322"/>
      <c r="AK611" s="326"/>
      <c r="AL611" s="321"/>
      <c r="AM611" s="322"/>
      <c r="AN611" s="316" t="s">
        <v>953</v>
      </c>
      <c r="AO611" s="316"/>
      <c r="AP611" s="316"/>
      <c r="AQ611" s="349">
        <f t="shared" si="842"/>
        <v>1010000</v>
      </c>
      <c r="AR611" s="316"/>
      <c r="AS611" s="316"/>
      <c r="AT611" s="316"/>
      <c r="AU611" s="316"/>
      <c r="AV611" s="316"/>
      <c r="AW611" s="316"/>
      <c r="AX611" s="316"/>
      <c r="AY611" s="316"/>
      <c r="AZ611" s="316"/>
      <c r="BA611" s="316"/>
      <c r="BB611" s="316"/>
      <c r="BC611" s="316"/>
      <c r="BD611" s="316"/>
      <c r="BE611" s="316"/>
      <c r="BF611" s="316"/>
      <c r="BG611" s="316"/>
      <c r="BH611" s="316"/>
      <c r="BI611" s="316"/>
      <c r="BJ611" s="316"/>
      <c r="BK611" s="316"/>
      <c r="BL611" s="316"/>
      <c r="BM611" s="316"/>
      <c r="BN611" s="316"/>
    </row>
    <row r="612" hidden="1" outlineLevel="1">
      <c r="A612" s="303" t="s">
        <v>967</v>
      </c>
      <c r="B612" s="304"/>
      <c r="C612" s="325" t="s">
        <v>51</v>
      </c>
      <c r="D612" s="326"/>
      <c r="E612" s="321"/>
      <c r="F612" s="322">
        <v>30000.0</v>
      </c>
      <c r="G612" s="326"/>
      <c r="H612" s="321"/>
      <c r="I612" s="322">
        <v>30000.0</v>
      </c>
      <c r="J612" s="326"/>
      <c r="K612" s="321"/>
      <c r="L612" s="322">
        <v>30000.0</v>
      </c>
      <c r="M612" s="326"/>
      <c r="N612" s="321"/>
      <c r="O612" s="322">
        <v>30000.0</v>
      </c>
      <c r="P612" s="326"/>
      <c r="Q612" s="321"/>
      <c r="R612" s="322"/>
      <c r="S612" s="326"/>
      <c r="T612" s="321"/>
      <c r="U612" s="322"/>
      <c r="V612" s="326"/>
      <c r="W612" s="321"/>
      <c r="X612" s="322"/>
      <c r="Y612" s="326"/>
      <c r="Z612" s="321"/>
      <c r="AA612" s="322"/>
      <c r="AB612" s="326"/>
      <c r="AC612" s="321"/>
      <c r="AD612" s="322"/>
      <c r="AE612" s="326"/>
      <c r="AF612" s="321"/>
      <c r="AG612" s="322"/>
      <c r="AH612" s="326"/>
      <c r="AI612" s="321"/>
      <c r="AJ612" s="322"/>
      <c r="AK612" s="326"/>
      <c r="AL612" s="321"/>
      <c r="AM612" s="322"/>
      <c r="AN612" s="316" t="s">
        <v>953</v>
      </c>
      <c r="AO612" s="316"/>
      <c r="AP612" s="316"/>
      <c r="AQ612" s="349">
        <f t="shared" si="842"/>
        <v>790000</v>
      </c>
      <c r="AR612" s="316"/>
      <c r="AS612" s="316"/>
      <c r="AT612" s="316"/>
      <c r="AU612" s="316"/>
      <c r="AV612" s="316"/>
      <c r="AW612" s="316"/>
      <c r="AX612" s="316"/>
      <c r="AY612" s="316"/>
      <c r="AZ612" s="316"/>
      <c r="BA612" s="316"/>
      <c r="BB612" s="316"/>
      <c r="BC612" s="316"/>
      <c r="BD612" s="316"/>
      <c r="BE612" s="316"/>
      <c r="BF612" s="316"/>
      <c r="BG612" s="316"/>
      <c r="BH612" s="316"/>
      <c r="BI612" s="316"/>
      <c r="BJ612" s="316"/>
      <c r="BK612" s="316"/>
      <c r="BL612" s="316"/>
      <c r="BM612" s="316"/>
      <c r="BN612" s="316"/>
    </row>
    <row r="613" hidden="1" outlineLevel="1">
      <c r="A613" s="303" t="s">
        <v>967</v>
      </c>
      <c r="B613" s="304"/>
      <c r="C613" s="325" t="s">
        <v>52</v>
      </c>
      <c r="D613" s="326"/>
      <c r="E613" s="321"/>
      <c r="F613" s="322">
        <v>25000.0</v>
      </c>
      <c r="G613" s="326"/>
      <c r="H613" s="321"/>
      <c r="I613" s="322">
        <v>25000.0</v>
      </c>
      <c r="J613" s="326"/>
      <c r="K613" s="321"/>
      <c r="L613" s="322">
        <v>25000.0</v>
      </c>
      <c r="M613" s="326"/>
      <c r="N613" s="321"/>
      <c r="O613" s="322">
        <v>25000.0</v>
      </c>
      <c r="P613" s="326"/>
      <c r="Q613" s="321"/>
      <c r="R613" s="322">
        <v>25000.0</v>
      </c>
      <c r="S613" s="326"/>
      <c r="T613" s="321"/>
      <c r="U613" s="322">
        <v>25000.0</v>
      </c>
      <c r="V613" s="326"/>
      <c r="W613" s="321"/>
      <c r="X613" s="322">
        <v>25000.0</v>
      </c>
      <c r="Y613" s="326"/>
      <c r="Z613" s="321"/>
      <c r="AA613" s="322">
        <v>25000.0</v>
      </c>
      <c r="AB613" s="326"/>
      <c r="AC613" s="321"/>
      <c r="AD613" s="322">
        <v>25000.0</v>
      </c>
      <c r="AE613" s="326"/>
      <c r="AF613" s="321"/>
      <c r="AG613" s="322">
        <v>25000.0</v>
      </c>
      <c r="AH613" s="326"/>
      <c r="AI613" s="321"/>
      <c r="AJ613" s="322">
        <v>25000.0</v>
      </c>
      <c r="AK613" s="326"/>
      <c r="AL613" s="321"/>
      <c r="AM613" s="322">
        <v>25000.0</v>
      </c>
      <c r="AN613" s="316" t="s">
        <v>953</v>
      </c>
      <c r="AO613" s="316"/>
      <c r="AP613" s="316"/>
      <c r="AQ613" s="349">
        <f t="shared" si="842"/>
        <v>420000</v>
      </c>
      <c r="AR613" s="316"/>
      <c r="AS613" s="316"/>
      <c r="AT613" s="316"/>
      <c r="AU613" s="316"/>
      <c r="AV613" s="316"/>
      <c r="AW613" s="316"/>
      <c r="AX613" s="316"/>
      <c r="AY613" s="316"/>
      <c r="AZ613" s="316"/>
      <c r="BA613" s="316"/>
      <c r="BB613" s="316"/>
      <c r="BC613" s="316"/>
      <c r="BD613" s="316"/>
      <c r="BE613" s="316"/>
      <c r="BF613" s="316"/>
      <c r="BG613" s="316"/>
      <c r="BH613" s="316"/>
      <c r="BI613" s="316"/>
      <c r="BJ613" s="316"/>
      <c r="BK613" s="316"/>
      <c r="BL613" s="316"/>
      <c r="BM613" s="316"/>
      <c r="BN613" s="316"/>
    </row>
    <row r="614" hidden="1" outlineLevel="1">
      <c r="A614" s="303" t="s">
        <v>967</v>
      </c>
      <c r="B614" s="304"/>
      <c r="C614" s="325" t="s">
        <v>53</v>
      </c>
      <c r="D614" s="326"/>
      <c r="E614" s="321"/>
      <c r="F614" s="322">
        <v>10000.0</v>
      </c>
      <c r="G614" s="326"/>
      <c r="H614" s="321"/>
      <c r="I614" s="322">
        <v>10000.0</v>
      </c>
      <c r="J614" s="326"/>
      <c r="K614" s="321"/>
      <c r="L614" s="322">
        <v>10000.0</v>
      </c>
      <c r="M614" s="326"/>
      <c r="N614" s="321"/>
      <c r="O614" s="322">
        <v>10000.0</v>
      </c>
      <c r="P614" s="326"/>
      <c r="Q614" s="321"/>
      <c r="R614" s="322">
        <v>10000.0</v>
      </c>
      <c r="S614" s="326"/>
      <c r="T614" s="321"/>
      <c r="U614" s="322">
        <v>10000.0</v>
      </c>
      <c r="V614" s="326"/>
      <c r="W614" s="321"/>
      <c r="X614" s="322">
        <v>10000.0</v>
      </c>
      <c r="Y614" s="326"/>
      <c r="Z614" s="321"/>
      <c r="AA614" s="322">
        <v>10000.0</v>
      </c>
      <c r="AB614" s="326"/>
      <c r="AC614" s="321"/>
      <c r="AD614" s="322">
        <v>10000.0</v>
      </c>
      <c r="AE614" s="326"/>
      <c r="AF614" s="321"/>
      <c r="AG614" s="322">
        <v>10000.0</v>
      </c>
      <c r="AH614" s="326"/>
      <c r="AI614" s="321"/>
      <c r="AJ614" s="322">
        <v>10000.0</v>
      </c>
      <c r="AK614" s="326"/>
      <c r="AL614" s="321"/>
      <c r="AM614" s="322">
        <v>10000.0</v>
      </c>
      <c r="AN614" s="316" t="s">
        <v>953</v>
      </c>
      <c r="AO614" s="316"/>
      <c r="AP614" s="316"/>
      <c r="AQ614" s="349">
        <f t="shared" si="842"/>
        <v>3350000</v>
      </c>
      <c r="AR614" s="316"/>
      <c r="AS614" s="316"/>
      <c r="AT614" s="316"/>
      <c r="AU614" s="316"/>
      <c r="AV614" s="316"/>
      <c r="AW614" s="316"/>
      <c r="AX614" s="316"/>
      <c r="AY614" s="316"/>
      <c r="AZ614" s="316"/>
      <c r="BA614" s="316"/>
      <c r="BB614" s="316"/>
      <c r="BC614" s="316"/>
      <c r="BD614" s="316"/>
      <c r="BE614" s="316"/>
      <c r="BF614" s="316"/>
      <c r="BG614" s="316"/>
      <c r="BH614" s="316"/>
      <c r="BI614" s="316"/>
      <c r="BJ614" s="316"/>
      <c r="BK614" s="316"/>
      <c r="BL614" s="316"/>
      <c r="BM614" s="316"/>
      <c r="BN614" s="316"/>
    </row>
    <row r="615" hidden="1" outlineLevel="1">
      <c r="A615" s="303" t="s">
        <v>967</v>
      </c>
      <c r="B615" s="304"/>
      <c r="C615" s="325" t="s">
        <v>54</v>
      </c>
      <c r="D615" s="327"/>
      <c r="E615" s="321"/>
      <c r="F615" s="322">
        <f>SUMIFS('지출'!$G$3:$G794,'지출'!$J$3:$J794,F$1,'지출'!$C$3:$C794,"영이")</f>
        <v>63700</v>
      </c>
      <c r="G615" s="327"/>
      <c r="H615" s="321"/>
      <c r="I615" s="322">
        <f>SUMIFS('지출'!$G$3:$G794,'지출'!$J$3:$J794,I$1,'지출'!$C$3:$C794,"영이")</f>
        <v>53920</v>
      </c>
      <c r="J615" s="327"/>
      <c r="K615" s="321"/>
      <c r="L615" s="322">
        <f>SUMIFS('지출'!$G$3:$G794,'지출'!$J$3:$J794,L$1,'지출'!$C$3:$C794,"영이")</f>
        <v>8800</v>
      </c>
      <c r="M615" s="327"/>
      <c r="N615" s="321"/>
      <c r="O615" s="322">
        <f>SUMIFS('지출'!$G$3:$G794,'지출'!$J$3:$J794,O$1,'지출'!$C$3:$C794,"영이")</f>
        <v>0</v>
      </c>
      <c r="P615" s="327"/>
      <c r="Q615" s="321"/>
      <c r="R615" s="322">
        <f>SUMIFS('지출'!$G$3:$G794,'지출'!$J$3:$J794,R$1,'지출'!$C$3:$C794,"영이")</f>
        <v>0</v>
      </c>
      <c r="S615" s="327"/>
      <c r="T615" s="321"/>
      <c r="U615" s="322">
        <f>SUMIFS('지출'!$G$3:$G794,'지출'!$J$3:$J794,U$1,'지출'!$C$3:$C794,"영이")</f>
        <v>0</v>
      </c>
      <c r="V615" s="327"/>
      <c r="W615" s="321"/>
      <c r="X615" s="322">
        <f>SUMIFS('지출'!$G$3:$G794,'지출'!$J$3:$J794,X$1,'지출'!$C$3:$C794,"영이")</f>
        <v>0</v>
      </c>
      <c r="Y615" s="327"/>
      <c r="Z615" s="321"/>
      <c r="AA615" s="322">
        <f>SUMIFS('지출'!$G$3:$G794,'지출'!$J$3:$J794,AA$1,'지출'!$C$3:$C794,"영이")</f>
        <v>0</v>
      </c>
      <c r="AB615" s="327"/>
      <c r="AC615" s="321"/>
      <c r="AD615" s="322">
        <f>SUMIFS('지출'!$G$3:$G794,'지출'!$J$3:$J794,AD$1,'지출'!$C$3:$C794,"영이")</f>
        <v>0</v>
      </c>
      <c r="AE615" s="327"/>
      <c r="AF615" s="321"/>
      <c r="AG615" s="322">
        <f>SUMIFS('지출'!$G$3:$G794,'지출'!$J$3:$J794,AG$1,'지출'!$C$3:$C794,"영이")</f>
        <v>0</v>
      </c>
      <c r="AH615" s="327"/>
      <c r="AI615" s="321"/>
      <c r="AJ615" s="322">
        <f>SUMIFS('지출'!$G$3:$G794,'지출'!$J$3:$J794,AJ$1,'지출'!$C$3:$C794,"영이")</f>
        <v>0</v>
      </c>
      <c r="AK615" s="327"/>
      <c r="AL615" s="321"/>
      <c r="AM615" s="322">
        <f>SUMIFS('지출'!$G$3:$G794,'지출'!$J$3:$J794,AM$1,'지출'!$C$3:$C794,"영이")</f>
        <v>0</v>
      </c>
      <c r="AN615" s="316" t="s">
        <v>953</v>
      </c>
      <c r="AO615" s="316"/>
      <c r="AP615" s="316"/>
      <c r="AQ615" s="349">
        <f t="shared" si="842"/>
        <v>1550000</v>
      </c>
      <c r="AR615" s="316"/>
      <c r="AS615" s="316"/>
      <c r="AT615" s="316"/>
      <c r="AU615" s="316"/>
      <c r="AV615" s="316"/>
      <c r="AW615" s="316"/>
      <c r="AX615" s="316"/>
      <c r="AY615" s="316"/>
      <c r="AZ615" s="316"/>
      <c r="BA615" s="316"/>
      <c r="BB615" s="316"/>
      <c r="BC615" s="316"/>
      <c r="BD615" s="316"/>
      <c r="BE615" s="316"/>
      <c r="BF615" s="316"/>
      <c r="BG615" s="316"/>
      <c r="BH615" s="316"/>
      <c r="BI615" s="316"/>
      <c r="BJ615" s="316"/>
      <c r="BK615" s="316"/>
      <c r="BL615" s="316"/>
      <c r="BM615" s="316"/>
      <c r="BN615" s="316"/>
    </row>
    <row r="616">
      <c r="A616" s="303" t="s">
        <v>967</v>
      </c>
      <c r="B616" s="304"/>
      <c r="C616" s="325" t="s">
        <v>56</v>
      </c>
      <c r="D616" s="320"/>
      <c r="E616" s="323">
        <f t="shared" ref="E616:F616" si="843">E607-(SUM(E608:E615))</f>
        <v>710000</v>
      </c>
      <c r="F616" s="324">
        <f t="shared" si="843"/>
        <v>-63400</v>
      </c>
      <c r="G616" s="320"/>
      <c r="H616" s="323">
        <f t="shared" ref="H616:I616" si="844">H607-(SUM(H608:H615))</f>
        <v>530000</v>
      </c>
      <c r="I616" s="324">
        <f t="shared" si="844"/>
        <v>-65920</v>
      </c>
      <c r="J616" s="320"/>
      <c r="K616" s="323">
        <f t="shared" ref="K616:L616" si="845">K607-(SUM(K608:K615))</f>
        <v>290000</v>
      </c>
      <c r="L616" s="324">
        <f t="shared" si="845"/>
        <v>-156300</v>
      </c>
      <c r="M616" s="320"/>
      <c r="N616" s="323">
        <f t="shared" ref="N616:O616" si="846">N607-(SUM(N608:N615))</f>
        <v>290000</v>
      </c>
      <c r="O616" s="324">
        <f t="shared" si="846"/>
        <v>135000</v>
      </c>
      <c r="P616" s="320"/>
      <c r="Q616" s="323">
        <f t="shared" ref="Q616:R616" si="847">Q607-(SUM(Q608:Q615))</f>
        <v>290000</v>
      </c>
      <c r="R616" s="324">
        <f t="shared" si="847"/>
        <v>165000</v>
      </c>
      <c r="S616" s="320"/>
      <c r="T616" s="323">
        <f t="shared" ref="T616:U616" si="848">T607-(SUM(T608:T615))</f>
        <v>290000</v>
      </c>
      <c r="U616" s="324">
        <f t="shared" si="848"/>
        <v>165000</v>
      </c>
      <c r="V616" s="320"/>
      <c r="W616" s="323">
        <f t="shared" ref="W616:X616" si="849">W607-(SUM(W608:W615))</f>
        <v>290000</v>
      </c>
      <c r="X616" s="324">
        <f t="shared" si="849"/>
        <v>165000</v>
      </c>
      <c r="Y616" s="320"/>
      <c r="Z616" s="323">
        <f t="shared" ref="Z616:AA616" si="850">Z607-(SUM(Z608:Z615))</f>
        <v>-230000</v>
      </c>
      <c r="AA616" s="324">
        <f t="shared" si="850"/>
        <v>65000</v>
      </c>
      <c r="AB616" s="320"/>
      <c r="AC616" s="323">
        <f t="shared" ref="AC616:AD616" si="851">AC607-(SUM(AC608:AC615))</f>
        <v>-750000</v>
      </c>
      <c r="AD616" s="324">
        <f t="shared" si="851"/>
        <v>-35000</v>
      </c>
      <c r="AE616" s="320"/>
      <c r="AF616" s="323">
        <f t="shared" ref="AF616:AG616" si="852">AF607-(SUM(AF608:AF615))</f>
        <v>-750000</v>
      </c>
      <c r="AG616" s="324">
        <f t="shared" si="852"/>
        <v>-35000</v>
      </c>
      <c r="AH616" s="320"/>
      <c r="AI616" s="323">
        <f t="shared" ref="AI616:AJ616" si="853">AI607-(SUM(AI608:AI615))</f>
        <v>-750000</v>
      </c>
      <c r="AJ616" s="324">
        <f t="shared" si="853"/>
        <v>-35000</v>
      </c>
      <c r="AK616" s="320"/>
      <c r="AL616" s="323">
        <f t="shared" ref="AL616:AM616" si="854">AL607-(SUM(AL608:AL615))</f>
        <v>-750000</v>
      </c>
      <c r="AM616" s="324">
        <f t="shared" si="854"/>
        <v>-35000</v>
      </c>
      <c r="AN616" s="316" t="s">
        <v>953</v>
      </c>
      <c r="AO616" s="316"/>
      <c r="AP616" s="316"/>
      <c r="AQ616" s="349">
        <f t="shared" si="842"/>
        <v>0</v>
      </c>
      <c r="AR616" s="316"/>
      <c r="AS616" s="316"/>
      <c r="AT616" s="316"/>
      <c r="AU616" s="316"/>
      <c r="AV616" s="316"/>
      <c r="AW616" s="316"/>
      <c r="AX616" s="316"/>
      <c r="AY616" s="316"/>
      <c r="AZ616" s="316"/>
      <c r="BA616" s="316"/>
      <c r="BB616" s="316"/>
      <c r="BC616" s="316"/>
      <c r="BD616" s="316"/>
      <c r="BE616" s="316"/>
      <c r="BF616" s="316"/>
      <c r="BG616" s="316"/>
      <c r="BH616" s="316"/>
      <c r="BI616" s="316"/>
      <c r="BJ616" s="316"/>
      <c r="BK616" s="316"/>
      <c r="BL616" s="316"/>
      <c r="BM616" s="316"/>
      <c r="BN616" s="316"/>
    </row>
    <row r="617">
      <c r="A617" s="303" t="s">
        <v>967</v>
      </c>
      <c r="B617" s="328">
        <v>0.7</v>
      </c>
      <c r="C617" s="325" t="s">
        <v>26</v>
      </c>
      <c r="D617" s="320"/>
      <c r="E617" s="323">
        <f>E616*$B617</f>
        <v>497000</v>
      </c>
      <c r="F617" s="324"/>
      <c r="G617" s="320"/>
      <c r="H617" s="323">
        <f>H616*$B617</f>
        <v>371000</v>
      </c>
      <c r="I617" s="324"/>
      <c r="J617" s="320"/>
      <c r="K617" s="323">
        <f>K616*$B617</f>
        <v>203000</v>
      </c>
      <c r="L617" s="324"/>
      <c r="M617" s="320"/>
      <c r="N617" s="323">
        <f>N616*$B617</f>
        <v>203000</v>
      </c>
      <c r="O617" s="324"/>
      <c r="P617" s="320"/>
      <c r="Q617" s="323">
        <f>Q616*$B617</f>
        <v>203000</v>
      </c>
      <c r="R617" s="324"/>
      <c r="S617" s="320"/>
      <c r="T617" s="323">
        <f>T616*$B617</f>
        <v>203000</v>
      </c>
      <c r="U617" s="324"/>
      <c r="V617" s="320"/>
      <c r="W617" s="323">
        <f>W616*$B617</f>
        <v>203000</v>
      </c>
      <c r="X617" s="324"/>
      <c r="Y617" s="320"/>
      <c r="Z617" s="323">
        <f>Z616*$B617</f>
        <v>-161000</v>
      </c>
      <c r="AA617" s="324"/>
      <c r="AB617" s="320"/>
      <c r="AC617" s="323">
        <f>AC616*$B617</f>
        <v>-525000</v>
      </c>
      <c r="AD617" s="324"/>
      <c r="AE617" s="320"/>
      <c r="AF617" s="323">
        <f>AF616*$B617</f>
        <v>-525000</v>
      </c>
      <c r="AG617" s="324"/>
      <c r="AH617" s="320"/>
      <c r="AI617" s="323">
        <f>AI616*$B617</f>
        <v>-525000</v>
      </c>
      <c r="AJ617" s="324"/>
      <c r="AK617" s="320"/>
      <c r="AL617" s="323">
        <f>AL616*$B617</f>
        <v>-525000</v>
      </c>
      <c r="AM617" s="324"/>
      <c r="AN617" s="316" t="s">
        <v>953</v>
      </c>
      <c r="AO617" s="316"/>
      <c r="AP617" s="316"/>
      <c r="AQ617" s="349">
        <f>E618+E602</f>
        <v>516000</v>
      </c>
      <c r="AR617" s="316"/>
      <c r="AS617" s="316"/>
      <c r="AT617" s="316"/>
      <c r="AU617" s="316"/>
      <c r="AV617" s="316"/>
      <c r="AW617" s="316"/>
      <c r="AX617" s="316"/>
      <c r="AY617" s="316"/>
      <c r="AZ617" s="316"/>
      <c r="BA617" s="316"/>
      <c r="BB617" s="316"/>
      <c r="BC617" s="316"/>
      <c r="BD617" s="316"/>
      <c r="BE617" s="316"/>
      <c r="BF617" s="316"/>
      <c r="BG617" s="316"/>
      <c r="BH617" s="316"/>
      <c r="BI617" s="316"/>
      <c r="BJ617" s="316"/>
      <c r="BK617" s="316"/>
      <c r="BL617" s="316"/>
      <c r="BM617" s="316"/>
      <c r="BN617" s="316"/>
    </row>
    <row r="618">
      <c r="A618" s="303" t="s">
        <v>967</v>
      </c>
      <c r="B618" s="329">
        <v>0.3</v>
      </c>
      <c r="C618" s="330" t="s">
        <v>57</v>
      </c>
      <c r="D618" s="331"/>
      <c r="E618" s="332">
        <f>E616*$B618</f>
        <v>213000</v>
      </c>
      <c r="F618" s="333"/>
      <c r="G618" s="331"/>
      <c r="H618" s="332">
        <f>H616*$B618</f>
        <v>159000</v>
      </c>
      <c r="I618" s="333"/>
      <c r="J618" s="331"/>
      <c r="K618" s="332">
        <f>K616*$B618</f>
        <v>87000</v>
      </c>
      <c r="L618" s="333"/>
      <c r="M618" s="331"/>
      <c r="N618" s="332">
        <f>N616*$B618</f>
        <v>87000</v>
      </c>
      <c r="O618" s="333"/>
      <c r="P618" s="331"/>
      <c r="Q618" s="332">
        <f>Q616*$B618</f>
        <v>87000</v>
      </c>
      <c r="R618" s="333"/>
      <c r="S618" s="331"/>
      <c r="T618" s="332">
        <f>T616*$B618</f>
        <v>87000</v>
      </c>
      <c r="U618" s="333"/>
      <c r="V618" s="331"/>
      <c r="W618" s="332">
        <f>W616*$B618</f>
        <v>87000</v>
      </c>
      <c r="X618" s="333"/>
      <c r="Y618" s="331"/>
      <c r="Z618" s="332">
        <f>Z616*$B618</f>
        <v>-69000</v>
      </c>
      <c r="AA618" s="333"/>
      <c r="AB618" s="331"/>
      <c r="AC618" s="332">
        <f>AC616*$B618</f>
        <v>-225000</v>
      </c>
      <c r="AD618" s="333"/>
      <c r="AE618" s="331"/>
      <c r="AF618" s="332">
        <f>AF616*$B618</f>
        <v>-225000</v>
      </c>
      <c r="AG618" s="333"/>
      <c r="AH618" s="331"/>
      <c r="AI618" s="332">
        <f>AI616*$B618</f>
        <v>-225000</v>
      </c>
      <c r="AJ618" s="333"/>
      <c r="AK618" s="331"/>
      <c r="AL618" s="332">
        <f>AL616*$B618</f>
        <v>-225000</v>
      </c>
      <c r="AM618" s="333"/>
      <c r="AN618" s="316" t="s">
        <v>953</v>
      </c>
      <c r="AO618" s="316"/>
      <c r="AP618" s="316"/>
      <c r="AQ618" s="316"/>
      <c r="AR618" s="316"/>
      <c r="AS618" s="316"/>
      <c r="AT618" s="316"/>
      <c r="AU618" s="316"/>
      <c r="AV618" s="316"/>
      <c r="AW618" s="316"/>
      <c r="AX618" s="316"/>
      <c r="AY618" s="316"/>
      <c r="AZ618" s="316"/>
      <c r="BA618" s="316"/>
      <c r="BB618" s="316"/>
      <c r="BC618" s="316"/>
      <c r="BD618" s="316"/>
      <c r="BE618" s="316"/>
      <c r="BF618" s="316"/>
      <c r="BG618" s="316"/>
      <c r="BH618" s="316"/>
      <c r="BI618" s="316"/>
      <c r="BJ618" s="316"/>
      <c r="BK618" s="316"/>
      <c r="BL618" s="316"/>
      <c r="BM618" s="316"/>
      <c r="BN618" s="316"/>
    </row>
    <row r="619">
      <c r="A619" s="303" t="s">
        <v>986</v>
      </c>
      <c r="B619" s="384" t="s">
        <v>986</v>
      </c>
      <c r="C619" s="385" t="s">
        <v>987</v>
      </c>
      <c r="D619" s="341" t="s">
        <v>988</v>
      </c>
      <c r="E619" s="335">
        <v>540000.0</v>
      </c>
      <c r="F619" s="346">
        <v>80000.0</v>
      </c>
      <c r="G619" s="341" t="s">
        <v>988</v>
      </c>
      <c r="H619" s="335">
        <v>540000.0</v>
      </c>
      <c r="I619" s="346">
        <v>80000.0</v>
      </c>
      <c r="J619" s="341" t="s">
        <v>988</v>
      </c>
      <c r="K619" s="335">
        <v>540000.0</v>
      </c>
      <c r="L619" s="346">
        <v>100000.0</v>
      </c>
      <c r="M619" s="341" t="s">
        <v>988</v>
      </c>
      <c r="N619" s="335">
        <v>540000.0</v>
      </c>
      <c r="O619" s="346">
        <v>100000.0</v>
      </c>
      <c r="P619" s="341" t="s">
        <v>988</v>
      </c>
      <c r="Q619" s="335">
        <v>540000.0</v>
      </c>
      <c r="R619" s="346">
        <v>100000.0</v>
      </c>
      <c r="S619" s="341" t="s">
        <v>988</v>
      </c>
      <c r="T619" s="335">
        <v>540000.0</v>
      </c>
      <c r="U619" s="346">
        <v>100000.0</v>
      </c>
      <c r="V619" s="341" t="s">
        <v>988</v>
      </c>
      <c r="W619" s="335">
        <v>540000.0</v>
      </c>
      <c r="X619" s="346">
        <v>100000.0</v>
      </c>
      <c r="Y619" s="341" t="s">
        <v>988</v>
      </c>
      <c r="Z619" s="335">
        <v>540000.0</v>
      </c>
      <c r="AA619" s="346">
        <v>100000.0</v>
      </c>
      <c r="AB619" s="341" t="s">
        <v>988</v>
      </c>
      <c r="AC619" s="335">
        <v>540000.0</v>
      </c>
      <c r="AD619" s="346">
        <v>100000.0</v>
      </c>
      <c r="AE619" s="341" t="s">
        <v>988</v>
      </c>
      <c r="AF619" s="335">
        <v>540000.0</v>
      </c>
      <c r="AG619" s="346">
        <v>100000.0</v>
      </c>
      <c r="AH619" s="341" t="s">
        <v>988</v>
      </c>
      <c r="AI619" s="335">
        <v>540000.0</v>
      </c>
      <c r="AJ619" s="346">
        <v>100000.0</v>
      </c>
      <c r="AK619" s="341" t="s">
        <v>988</v>
      </c>
      <c r="AL619" s="335">
        <v>540000.0</v>
      </c>
      <c r="AM619" s="346">
        <v>100000.0</v>
      </c>
      <c r="AN619" s="316" t="s">
        <v>216</v>
      </c>
      <c r="AO619" s="316"/>
      <c r="AP619" s="316"/>
      <c r="AQ619" s="316"/>
      <c r="AR619" s="316"/>
      <c r="AS619" s="316"/>
      <c r="AT619" s="316"/>
      <c r="AU619" s="316"/>
      <c r="AV619" s="316"/>
      <c r="AW619" s="316"/>
      <c r="AX619" s="316"/>
      <c r="AY619" s="316"/>
      <c r="AZ619" s="316"/>
      <c r="BA619" s="316"/>
      <c r="BB619" s="316"/>
      <c r="BC619" s="316"/>
      <c r="BD619" s="316"/>
      <c r="BE619" s="316"/>
      <c r="BF619" s="316"/>
      <c r="BG619" s="316"/>
      <c r="BH619" s="316"/>
      <c r="BI619" s="316"/>
      <c r="BJ619" s="316"/>
      <c r="BK619" s="316"/>
      <c r="BL619" s="316"/>
      <c r="BM619" s="316"/>
      <c r="BN619" s="316"/>
    </row>
    <row r="620">
      <c r="A620" s="303" t="s">
        <v>986</v>
      </c>
      <c r="B620" s="384" t="s">
        <v>986</v>
      </c>
      <c r="C620" s="385" t="s">
        <v>989</v>
      </c>
      <c r="D620" s="341" t="s">
        <v>993</v>
      </c>
      <c r="E620" s="335">
        <v>510000.0</v>
      </c>
      <c r="F620" s="346">
        <v>100000.0</v>
      </c>
      <c r="G620" s="353" t="s">
        <v>2322</v>
      </c>
      <c r="H620" s="335">
        <f>510000+74286</f>
        <v>584286</v>
      </c>
      <c r="I620" s="346">
        <f>100000+14286</f>
        <v>114286</v>
      </c>
      <c r="J620" s="326" t="s">
        <v>1894</v>
      </c>
      <c r="K620" s="321">
        <v>520000.0</v>
      </c>
      <c r="L620" s="322">
        <v>100000.0</v>
      </c>
      <c r="M620" s="326" t="s">
        <v>1894</v>
      </c>
      <c r="N620" s="321">
        <v>520000.0</v>
      </c>
      <c r="O620" s="322">
        <v>100000.0</v>
      </c>
      <c r="P620" s="326" t="s">
        <v>1894</v>
      </c>
      <c r="Q620" s="321">
        <v>520000.0</v>
      </c>
      <c r="R620" s="322">
        <v>100000.0</v>
      </c>
      <c r="S620" s="326" t="s">
        <v>1894</v>
      </c>
      <c r="T620" s="321">
        <v>520000.0</v>
      </c>
      <c r="U620" s="322">
        <v>100000.0</v>
      </c>
      <c r="V620" s="326" t="s">
        <v>1894</v>
      </c>
      <c r="W620" s="321">
        <v>520000.0</v>
      </c>
      <c r="X620" s="322">
        <v>100000.0</v>
      </c>
      <c r="Y620" s="326" t="s">
        <v>2323</v>
      </c>
      <c r="Z620" s="321">
        <v>419355.0</v>
      </c>
      <c r="AA620" s="322">
        <v>80645.0</v>
      </c>
      <c r="AB620" s="326"/>
      <c r="AC620" s="321"/>
      <c r="AD620" s="322"/>
      <c r="AE620" s="326"/>
      <c r="AF620" s="321"/>
      <c r="AG620" s="322"/>
      <c r="AH620" s="326"/>
      <c r="AI620" s="321"/>
      <c r="AJ620" s="322"/>
      <c r="AK620" s="326"/>
      <c r="AL620" s="321"/>
      <c r="AM620" s="322"/>
      <c r="AN620" s="316" t="s">
        <v>216</v>
      </c>
      <c r="AO620" s="316"/>
      <c r="AP620" s="316"/>
      <c r="AQ620" s="316"/>
      <c r="AR620" s="316"/>
      <c r="AS620" s="316"/>
      <c r="AT620" s="316"/>
      <c r="AU620" s="316"/>
      <c r="AV620" s="316"/>
      <c r="AW620" s="316"/>
      <c r="AX620" s="316"/>
      <c r="AY620" s="316"/>
      <c r="AZ620" s="316"/>
      <c r="BA620" s="316"/>
      <c r="BB620" s="316"/>
      <c r="BC620" s="316"/>
      <c r="BD620" s="316"/>
      <c r="BE620" s="316"/>
      <c r="BF620" s="316"/>
      <c r="BG620" s="316"/>
      <c r="BH620" s="316"/>
      <c r="BI620" s="316"/>
      <c r="BJ620" s="316"/>
      <c r="BK620" s="316"/>
      <c r="BL620" s="316"/>
      <c r="BM620" s="316"/>
      <c r="BN620" s="316"/>
    </row>
    <row r="621">
      <c r="A621" s="303" t="s">
        <v>986</v>
      </c>
      <c r="B621" s="384" t="s">
        <v>986</v>
      </c>
      <c r="C621" s="385" t="s">
        <v>909</v>
      </c>
      <c r="D621" s="341" t="s">
        <v>996</v>
      </c>
      <c r="E621" s="335">
        <v>420000.0</v>
      </c>
      <c r="F621" s="346">
        <v>100000.0</v>
      </c>
      <c r="G621" s="353" t="s">
        <v>2324</v>
      </c>
      <c r="H621" s="335">
        <v>420000.0</v>
      </c>
      <c r="I621" s="346">
        <v>100000.0</v>
      </c>
      <c r="J621" s="326" t="s">
        <v>2325</v>
      </c>
      <c r="K621" s="321">
        <v>189677.0</v>
      </c>
      <c r="L621" s="322">
        <v>45161.0</v>
      </c>
      <c r="M621" s="326" t="s">
        <v>1897</v>
      </c>
      <c r="N621" s="335">
        <v>420000.0</v>
      </c>
      <c r="O621" s="346">
        <v>100000.0</v>
      </c>
      <c r="P621" s="326" t="s">
        <v>1897</v>
      </c>
      <c r="Q621" s="335">
        <v>420000.0</v>
      </c>
      <c r="R621" s="346">
        <v>100000.0</v>
      </c>
      <c r="S621" s="326" t="s">
        <v>1897</v>
      </c>
      <c r="T621" s="335">
        <v>420000.0</v>
      </c>
      <c r="U621" s="346">
        <v>100000.0</v>
      </c>
      <c r="V621" s="326" t="s">
        <v>1897</v>
      </c>
      <c r="W621" s="335">
        <v>420000.0</v>
      </c>
      <c r="X621" s="346">
        <v>100000.0</v>
      </c>
      <c r="Y621" s="326" t="s">
        <v>1897</v>
      </c>
      <c r="Z621" s="335">
        <v>420000.0</v>
      </c>
      <c r="AA621" s="346">
        <v>100000.0</v>
      </c>
      <c r="AB621" s="326" t="s">
        <v>2326</v>
      </c>
      <c r="AC621" s="348">
        <v>238000.0</v>
      </c>
      <c r="AD621" s="345">
        <v>56667.0</v>
      </c>
      <c r="AE621" s="326"/>
      <c r="AF621" s="321"/>
      <c r="AG621" s="322"/>
      <c r="AH621" s="326"/>
      <c r="AI621" s="321"/>
      <c r="AJ621" s="322"/>
      <c r="AK621" s="326"/>
      <c r="AL621" s="321"/>
      <c r="AM621" s="322"/>
      <c r="AN621" s="316" t="s">
        <v>216</v>
      </c>
      <c r="AO621" s="316"/>
      <c r="AP621" s="316"/>
      <c r="AQ621" s="316"/>
      <c r="AR621" s="316"/>
      <c r="AS621" s="316"/>
      <c r="AT621" s="316"/>
      <c r="AU621" s="316"/>
      <c r="AV621" s="316"/>
      <c r="AW621" s="316"/>
      <c r="AX621" s="316"/>
      <c r="AY621" s="316"/>
      <c r="AZ621" s="316"/>
      <c r="BA621" s="316"/>
      <c r="BB621" s="316"/>
      <c r="BC621" s="316"/>
      <c r="BD621" s="316"/>
      <c r="BE621" s="316"/>
      <c r="BF621" s="316"/>
      <c r="BG621" s="316"/>
      <c r="BH621" s="316"/>
      <c r="BI621" s="316"/>
      <c r="BJ621" s="316"/>
      <c r="BK621" s="316"/>
      <c r="BL621" s="316"/>
      <c r="BM621" s="316"/>
      <c r="BN621" s="316"/>
    </row>
    <row r="622">
      <c r="A622" s="303" t="s">
        <v>986</v>
      </c>
      <c r="B622" s="384" t="s">
        <v>986</v>
      </c>
      <c r="C622" s="385" t="s">
        <v>316</v>
      </c>
      <c r="D622" s="341" t="s">
        <v>1900</v>
      </c>
      <c r="E622" s="335">
        <v>420000.0</v>
      </c>
      <c r="F622" s="346">
        <v>100000.0</v>
      </c>
      <c r="G622" s="341" t="s">
        <v>1900</v>
      </c>
      <c r="H622" s="335">
        <v>420000.0</v>
      </c>
      <c r="I622" s="346">
        <v>100000.0</v>
      </c>
      <c r="J622" s="341" t="s">
        <v>1900</v>
      </c>
      <c r="K622" s="335">
        <v>420000.0</v>
      </c>
      <c r="L622" s="346">
        <v>100000.0</v>
      </c>
      <c r="M622" s="341" t="s">
        <v>1900</v>
      </c>
      <c r="N622" s="335">
        <v>420000.0</v>
      </c>
      <c r="O622" s="346">
        <v>100000.0</v>
      </c>
      <c r="P622" s="353" t="s">
        <v>2327</v>
      </c>
      <c r="Q622" s="335">
        <v>420000.0</v>
      </c>
      <c r="R622" s="346">
        <v>100000.0</v>
      </c>
      <c r="S622" s="326"/>
      <c r="T622" s="321"/>
      <c r="U622" s="322"/>
      <c r="V622" s="326"/>
      <c r="W622" s="321"/>
      <c r="X622" s="322"/>
      <c r="Y622" s="326"/>
      <c r="Z622" s="321"/>
      <c r="AA622" s="322"/>
      <c r="AB622" s="326"/>
      <c r="AC622" s="321"/>
      <c r="AD622" s="322"/>
      <c r="AE622" s="326"/>
      <c r="AF622" s="321"/>
      <c r="AG622" s="322"/>
      <c r="AH622" s="326"/>
      <c r="AI622" s="321"/>
      <c r="AJ622" s="322"/>
      <c r="AK622" s="326"/>
      <c r="AL622" s="321"/>
      <c r="AM622" s="322"/>
      <c r="AN622" s="316" t="s">
        <v>216</v>
      </c>
      <c r="AO622" s="316"/>
      <c r="AP622" s="316"/>
      <c r="AQ622" s="316"/>
      <c r="AR622" s="316"/>
      <c r="AS622" s="316"/>
      <c r="AT622" s="316"/>
      <c r="AU622" s="316"/>
      <c r="AV622" s="316"/>
      <c r="AW622" s="316"/>
      <c r="AX622" s="316"/>
      <c r="AY622" s="316"/>
      <c r="AZ622" s="316"/>
      <c r="BA622" s="316"/>
      <c r="BB622" s="316"/>
      <c r="BC622" s="316"/>
      <c r="BD622" s="316"/>
      <c r="BE622" s="316"/>
      <c r="BF622" s="316"/>
      <c r="BG622" s="316"/>
      <c r="BH622" s="316"/>
      <c r="BI622" s="316"/>
      <c r="BJ622" s="316"/>
      <c r="BK622" s="316"/>
      <c r="BL622" s="316"/>
      <c r="BM622" s="316"/>
      <c r="BN622" s="316"/>
    </row>
    <row r="623">
      <c r="A623" s="303" t="s">
        <v>986</v>
      </c>
      <c r="B623" s="317"/>
      <c r="C623" s="305" t="s">
        <v>42</v>
      </c>
      <c r="D623" s="320"/>
      <c r="E623" s="323">
        <f t="shared" ref="E623:F623" si="855">SUM(E619:E622)</f>
        <v>1890000</v>
      </c>
      <c r="F623" s="324">
        <f t="shared" si="855"/>
        <v>380000</v>
      </c>
      <c r="G623" s="320"/>
      <c r="H623" s="323">
        <f t="shared" ref="H623:I623" si="856">SUM(H619:H622)</f>
        <v>1964286</v>
      </c>
      <c r="I623" s="324">
        <f t="shared" si="856"/>
        <v>394286</v>
      </c>
      <c r="J623" s="320"/>
      <c r="K623" s="323">
        <f t="shared" ref="K623:L623" si="857">SUM(K619:K622)</f>
        <v>1669677</v>
      </c>
      <c r="L623" s="324">
        <f t="shared" si="857"/>
        <v>345161</v>
      </c>
      <c r="M623" s="320"/>
      <c r="N623" s="323">
        <f t="shared" ref="N623:O623" si="858">SUM(N619:N622)</f>
        <v>1900000</v>
      </c>
      <c r="O623" s="324">
        <f t="shared" si="858"/>
        <v>400000</v>
      </c>
      <c r="P623" s="320"/>
      <c r="Q623" s="323">
        <f t="shared" ref="Q623:R623" si="859">SUM(Q619:Q622)</f>
        <v>1900000</v>
      </c>
      <c r="R623" s="324">
        <f t="shared" si="859"/>
        <v>400000</v>
      </c>
      <c r="S623" s="320"/>
      <c r="T623" s="323">
        <f t="shared" ref="T623:U623" si="860">SUM(T619:T622)</f>
        <v>1480000</v>
      </c>
      <c r="U623" s="324">
        <f t="shared" si="860"/>
        <v>300000</v>
      </c>
      <c r="V623" s="320"/>
      <c r="W623" s="323">
        <f t="shared" ref="W623:X623" si="861">SUM(W619:W622)</f>
        <v>1480000</v>
      </c>
      <c r="X623" s="324">
        <f t="shared" si="861"/>
        <v>300000</v>
      </c>
      <c r="Y623" s="320"/>
      <c r="Z623" s="323">
        <f t="shared" ref="Z623:AA623" si="862">SUM(Z619:Z622)</f>
        <v>1379355</v>
      </c>
      <c r="AA623" s="324">
        <f t="shared" si="862"/>
        <v>280645</v>
      </c>
      <c r="AB623" s="320"/>
      <c r="AC623" s="323">
        <f t="shared" ref="AC623:AD623" si="863">SUM(AC619:AC622)</f>
        <v>778000</v>
      </c>
      <c r="AD623" s="324">
        <f t="shared" si="863"/>
        <v>156667</v>
      </c>
      <c r="AE623" s="320"/>
      <c r="AF623" s="323">
        <f t="shared" ref="AF623:AG623" si="864">SUM(AF619:AF622)</f>
        <v>540000</v>
      </c>
      <c r="AG623" s="324">
        <f t="shared" si="864"/>
        <v>100000</v>
      </c>
      <c r="AH623" s="320"/>
      <c r="AI623" s="323">
        <f t="shared" ref="AI623:AJ623" si="865">SUM(AI619:AI622)</f>
        <v>540000</v>
      </c>
      <c r="AJ623" s="324">
        <f t="shared" si="865"/>
        <v>100000</v>
      </c>
      <c r="AK623" s="320"/>
      <c r="AL623" s="323">
        <f t="shared" ref="AL623:AM623" si="866">SUM(AL619:AL622)</f>
        <v>540000</v>
      </c>
      <c r="AM623" s="324">
        <f t="shared" si="866"/>
        <v>100000</v>
      </c>
      <c r="AN623" s="316" t="s">
        <v>216</v>
      </c>
      <c r="AO623" s="316"/>
      <c r="AP623" s="316"/>
      <c r="AQ623" s="316"/>
      <c r="AR623" s="316"/>
      <c r="AS623" s="316"/>
      <c r="AT623" s="316"/>
      <c r="AU623" s="316"/>
      <c r="AV623" s="316"/>
      <c r="AW623" s="316"/>
      <c r="AX623" s="316"/>
      <c r="AY623" s="316"/>
      <c r="AZ623" s="316"/>
      <c r="BA623" s="316"/>
      <c r="BB623" s="316"/>
      <c r="BC623" s="316"/>
      <c r="BD623" s="316"/>
      <c r="BE623" s="316"/>
      <c r="BF623" s="316"/>
      <c r="BG623" s="316"/>
      <c r="BH623" s="316"/>
      <c r="BI623" s="316"/>
      <c r="BJ623" s="316"/>
      <c r="BK623" s="316"/>
      <c r="BL623" s="316"/>
      <c r="BM623" s="316"/>
      <c r="BN623" s="316"/>
    </row>
    <row r="624" collapsed="1">
      <c r="A624" s="303" t="s">
        <v>986</v>
      </c>
      <c r="B624" s="304"/>
      <c r="C624" s="325" t="s">
        <v>43</v>
      </c>
      <c r="D624" s="326"/>
      <c r="E624" s="321">
        <v>800000.0</v>
      </c>
      <c r="F624" s="324"/>
      <c r="G624" s="326"/>
      <c r="H624" s="321">
        <v>800000.0</v>
      </c>
      <c r="I624" s="324"/>
      <c r="J624" s="326"/>
      <c r="K624" s="321">
        <v>800000.0</v>
      </c>
      <c r="L624" s="324"/>
      <c r="M624" s="326"/>
      <c r="N624" s="321">
        <v>800000.0</v>
      </c>
      <c r="O624" s="324"/>
      <c r="P624" s="326"/>
      <c r="Q624" s="321">
        <v>800000.0</v>
      </c>
      <c r="R624" s="324"/>
      <c r="S624" s="326"/>
      <c r="T624" s="321">
        <v>800000.0</v>
      </c>
      <c r="U624" s="324"/>
      <c r="V624" s="326"/>
      <c r="W624" s="321">
        <v>800000.0</v>
      </c>
      <c r="X624" s="324"/>
      <c r="Y624" s="326"/>
      <c r="Z624" s="321">
        <v>800000.0</v>
      </c>
      <c r="AA624" s="324"/>
      <c r="AB624" s="326"/>
      <c r="AC624" s="321">
        <v>800000.0</v>
      </c>
      <c r="AD624" s="324"/>
      <c r="AE624" s="326"/>
      <c r="AF624" s="321">
        <v>800000.0</v>
      </c>
      <c r="AG624" s="324"/>
      <c r="AH624" s="326"/>
      <c r="AI624" s="321">
        <v>800000.0</v>
      </c>
      <c r="AJ624" s="324"/>
      <c r="AK624" s="326"/>
      <c r="AL624" s="321">
        <v>800000.0</v>
      </c>
      <c r="AM624" s="324"/>
      <c r="AN624" s="316" t="s">
        <v>216</v>
      </c>
      <c r="AO624" s="316"/>
      <c r="AP624" s="316"/>
      <c r="AQ624" s="316"/>
      <c r="AR624" s="316"/>
      <c r="AS624" s="316"/>
      <c r="AT624" s="316"/>
      <c r="AU624" s="316"/>
      <c r="AV624" s="316"/>
      <c r="AW624" s="316"/>
      <c r="AX624" s="316"/>
      <c r="AY624" s="316"/>
      <c r="AZ624" s="316"/>
      <c r="BA624" s="316"/>
      <c r="BB624" s="316"/>
      <c r="BC624" s="316"/>
      <c r="BD624" s="316"/>
      <c r="BE624" s="316"/>
      <c r="BF624" s="316"/>
      <c r="BG624" s="316"/>
      <c r="BH624" s="316"/>
      <c r="BI624" s="316"/>
      <c r="BJ624" s="316"/>
      <c r="BK624" s="316"/>
      <c r="BL624" s="316"/>
      <c r="BM624" s="316"/>
      <c r="BN624" s="316"/>
    </row>
    <row r="625" hidden="1" outlineLevel="1">
      <c r="A625" s="303" t="s">
        <v>986</v>
      </c>
      <c r="B625" s="317"/>
      <c r="C625" s="325" t="s">
        <v>45</v>
      </c>
      <c r="D625" s="326"/>
      <c r="E625" s="321"/>
      <c r="F625" s="322" t="s">
        <v>44</v>
      </c>
      <c r="G625" s="326"/>
      <c r="H625" s="321"/>
      <c r="I625" s="322" t="s">
        <v>44</v>
      </c>
      <c r="J625" s="326"/>
      <c r="K625" s="321"/>
      <c r="L625" s="322" t="s">
        <v>44</v>
      </c>
      <c r="M625" s="326"/>
      <c r="N625" s="321"/>
      <c r="O625" s="322" t="s">
        <v>44</v>
      </c>
      <c r="P625" s="326"/>
      <c r="Q625" s="321"/>
      <c r="R625" s="322" t="s">
        <v>44</v>
      </c>
      <c r="S625" s="326"/>
      <c r="T625" s="321"/>
      <c r="U625" s="322" t="s">
        <v>44</v>
      </c>
      <c r="V625" s="326"/>
      <c r="W625" s="321"/>
      <c r="X625" s="322" t="s">
        <v>44</v>
      </c>
      <c r="Y625" s="326"/>
      <c r="Z625" s="321"/>
      <c r="AA625" s="322" t="s">
        <v>44</v>
      </c>
      <c r="AB625" s="326"/>
      <c r="AC625" s="321"/>
      <c r="AD625" s="322" t="s">
        <v>44</v>
      </c>
      <c r="AE625" s="326"/>
      <c r="AF625" s="321"/>
      <c r="AG625" s="322" t="s">
        <v>44</v>
      </c>
      <c r="AH625" s="326"/>
      <c r="AI625" s="321"/>
      <c r="AJ625" s="322" t="s">
        <v>44</v>
      </c>
      <c r="AK625" s="326"/>
      <c r="AL625" s="321"/>
      <c r="AM625" s="322" t="s">
        <v>44</v>
      </c>
      <c r="AN625" s="316" t="s">
        <v>216</v>
      </c>
      <c r="AO625" s="316"/>
      <c r="AP625" s="316"/>
      <c r="AQ625" s="316"/>
      <c r="AR625" s="316"/>
      <c r="AS625" s="316"/>
      <c r="AT625" s="316"/>
      <c r="AU625" s="316"/>
      <c r="AV625" s="316"/>
      <c r="AW625" s="316"/>
      <c r="AX625" s="316"/>
      <c r="AY625" s="316"/>
      <c r="AZ625" s="316"/>
      <c r="BA625" s="316"/>
      <c r="BB625" s="316"/>
      <c r="BC625" s="316"/>
      <c r="BD625" s="316"/>
      <c r="BE625" s="316"/>
      <c r="BF625" s="316"/>
      <c r="BG625" s="316"/>
      <c r="BH625" s="316"/>
      <c r="BI625" s="316"/>
      <c r="BJ625" s="316"/>
      <c r="BK625" s="316"/>
      <c r="BL625" s="316"/>
      <c r="BM625" s="316"/>
      <c r="BN625" s="316"/>
    </row>
    <row r="626" hidden="1" outlineLevel="1">
      <c r="A626" s="303" t="s">
        <v>986</v>
      </c>
      <c r="B626" s="317" t="s">
        <v>1002</v>
      </c>
      <c r="C626" s="325" t="s">
        <v>47</v>
      </c>
      <c r="D626" s="326"/>
      <c r="E626" s="321"/>
      <c r="F626" s="322">
        <v>40750.0</v>
      </c>
      <c r="G626" s="326"/>
      <c r="H626" s="321"/>
      <c r="I626" s="322">
        <v>43080.0</v>
      </c>
      <c r="J626" s="326" t="s">
        <v>2039</v>
      </c>
      <c r="K626" s="321"/>
      <c r="L626" s="322">
        <v>45000.0</v>
      </c>
      <c r="M626" s="326"/>
      <c r="N626" s="321"/>
      <c r="O626" s="322"/>
      <c r="P626" s="326"/>
      <c r="Q626" s="321"/>
      <c r="R626" s="322"/>
      <c r="S626" s="326"/>
      <c r="T626" s="321"/>
      <c r="U626" s="322"/>
      <c r="V626" s="326"/>
      <c r="W626" s="321"/>
      <c r="X626" s="322"/>
      <c r="Y626" s="326"/>
      <c r="Z626" s="321"/>
      <c r="AA626" s="322"/>
      <c r="AB626" s="326"/>
      <c r="AC626" s="321"/>
      <c r="AD626" s="322"/>
      <c r="AE626" s="326"/>
      <c r="AF626" s="321"/>
      <c r="AG626" s="322"/>
      <c r="AH626" s="326"/>
      <c r="AI626" s="321"/>
      <c r="AJ626" s="322"/>
      <c r="AK626" s="326"/>
      <c r="AL626" s="321"/>
      <c r="AM626" s="322"/>
      <c r="AN626" s="316" t="s">
        <v>216</v>
      </c>
      <c r="AO626" s="316"/>
      <c r="AP626" s="316"/>
      <c r="AQ626" s="316"/>
      <c r="AR626" s="316"/>
      <c r="AS626" s="316"/>
      <c r="AT626" s="316"/>
      <c r="AU626" s="316"/>
      <c r="AV626" s="316"/>
      <c r="AW626" s="316"/>
      <c r="AX626" s="316"/>
      <c r="AY626" s="316"/>
      <c r="AZ626" s="316"/>
      <c r="BA626" s="316"/>
      <c r="BB626" s="316"/>
      <c r="BC626" s="316"/>
      <c r="BD626" s="316"/>
      <c r="BE626" s="316"/>
      <c r="BF626" s="316"/>
      <c r="BG626" s="316"/>
      <c r="BH626" s="316"/>
      <c r="BI626" s="316"/>
      <c r="BJ626" s="316"/>
      <c r="BK626" s="316"/>
      <c r="BL626" s="316"/>
      <c r="BM626" s="316"/>
      <c r="BN626" s="316"/>
    </row>
    <row r="627" hidden="1" outlineLevel="1">
      <c r="A627" s="303" t="s">
        <v>986</v>
      </c>
      <c r="B627" s="317">
        <v>6.00585501E9</v>
      </c>
      <c r="C627" s="325" t="s">
        <v>49</v>
      </c>
      <c r="D627" s="326"/>
      <c r="E627" s="321"/>
      <c r="F627" s="322">
        <v>230250.0</v>
      </c>
      <c r="G627" s="326"/>
      <c r="H627" s="321"/>
      <c r="I627" s="322">
        <v>279210.0</v>
      </c>
      <c r="J627" s="326"/>
      <c r="K627" s="321"/>
      <c r="L627" s="322">
        <v>345240.0</v>
      </c>
      <c r="M627" s="326"/>
      <c r="N627" s="321"/>
      <c r="O627" s="322"/>
      <c r="P627" s="326"/>
      <c r="Q627" s="321"/>
      <c r="R627" s="322"/>
      <c r="S627" s="326"/>
      <c r="T627" s="321"/>
      <c r="U627" s="322"/>
      <c r="V627" s="326"/>
      <c r="W627" s="321"/>
      <c r="X627" s="322"/>
      <c r="Y627" s="326"/>
      <c r="Z627" s="321"/>
      <c r="AA627" s="322"/>
      <c r="AB627" s="326"/>
      <c r="AC627" s="321"/>
      <c r="AD627" s="322"/>
      <c r="AE627" s="326"/>
      <c r="AF627" s="321"/>
      <c r="AG627" s="322"/>
      <c r="AH627" s="326"/>
      <c r="AI627" s="321"/>
      <c r="AJ627" s="322"/>
      <c r="AK627" s="326"/>
      <c r="AL627" s="321"/>
      <c r="AM627" s="322"/>
      <c r="AN627" s="316" t="s">
        <v>216</v>
      </c>
      <c r="AO627" s="316"/>
      <c r="AP627" s="316"/>
      <c r="AQ627" s="316"/>
      <c r="AR627" s="316"/>
      <c r="AS627" s="316"/>
      <c r="AT627" s="316"/>
      <c r="AU627" s="316"/>
      <c r="AV627" s="316"/>
      <c r="AW627" s="316"/>
      <c r="AX627" s="316"/>
      <c r="AY627" s="316"/>
      <c r="AZ627" s="316"/>
      <c r="BA627" s="316"/>
      <c r="BB627" s="316"/>
      <c r="BC627" s="316"/>
      <c r="BD627" s="316"/>
      <c r="BE627" s="316"/>
      <c r="BF627" s="316"/>
      <c r="BG627" s="316"/>
      <c r="BH627" s="316"/>
      <c r="BI627" s="316"/>
      <c r="BJ627" s="316"/>
      <c r="BK627" s="316"/>
      <c r="BL627" s="316"/>
      <c r="BM627" s="316"/>
      <c r="BN627" s="316"/>
    </row>
    <row r="628" hidden="1" outlineLevel="1">
      <c r="A628" s="303" t="s">
        <v>986</v>
      </c>
      <c r="B628" s="317" t="s">
        <v>1004</v>
      </c>
      <c r="C628" s="325" t="s">
        <v>51</v>
      </c>
      <c r="D628" s="326"/>
      <c r="E628" s="321"/>
      <c r="F628" s="322">
        <v>40000.0</v>
      </c>
      <c r="G628" s="326"/>
      <c r="H628" s="321"/>
      <c r="I628" s="322">
        <v>40000.0</v>
      </c>
      <c r="J628" s="326"/>
      <c r="K628" s="321"/>
      <c r="L628" s="322">
        <v>40000.0</v>
      </c>
      <c r="M628" s="326"/>
      <c r="N628" s="321"/>
      <c r="O628" s="322"/>
      <c r="P628" s="326"/>
      <c r="Q628" s="321"/>
      <c r="R628" s="322"/>
      <c r="S628" s="326"/>
      <c r="T628" s="321"/>
      <c r="U628" s="322"/>
      <c r="V628" s="326"/>
      <c r="W628" s="321"/>
      <c r="X628" s="322"/>
      <c r="Y628" s="326"/>
      <c r="Z628" s="321"/>
      <c r="AA628" s="322"/>
      <c r="AB628" s="326"/>
      <c r="AC628" s="321"/>
      <c r="AD628" s="322"/>
      <c r="AE628" s="326"/>
      <c r="AF628" s="321"/>
      <c r="AG628" s="322"/>
      <c r="AH628" s="326"/>
      <c r="AI628" s="321"/>
      <c r="AJ628" s="322"/>
      <c r="AK628" s="326"/>
      <c r="AL628" s="321"/>
      <c r="AM628" s="322"/>
      <c r="AN628" s="316" t="s">
        <v>216</v>
      </c>
      <c r="AO628" s="316"/>
      <c r="AP628" s="316"/>
      <c r="AQ628" s="316"/>
      <c r="AR628" s="316"/>
      <c r="AS628" s="316"/>
      <c r="AT628" s="316"/>
      <c r="AU628" s="316"/>
      <c r="AV628" s="316"/>
      <c r="AW628" s="316"/>
      <c r="AX628" s="316"/>
      <c r="AY628" s="316"/>
      <c r="AZ628" s="316"/>
      <c r="BA628" s="316"/>
      <c r="BB628" s="316"/>
      <c r="BC628" s="316"/>
      <c r="BD628" s="316"/>
      <c r="BE628" s="316"/>
      <c r="BF628" s="316"/>
      <c r="BG628" s="316"/>
      <c r="BH628" s="316"/>
      <c r="BI628" s="316"/>
      <c r="BJ628" s="316"/>
      <c r="BK628" s="316"/>
      <c r="BL628" s="316"/>
      <c r="BM628" s="316"/>
      <c r="BN628" s="316"/>
    </row>
    <row r="629" hidden="1" outlineLevel="1">
      <c r="A629" s="303" t="s">
        <v>986</v>
      </c>
      <c r="B629" s="304"/>
      <c r="C629" s="325" t="s">
        <v>52</v>
      </c>
      <c r="D629" s="326"/>
      <c r="E629" s="321"/>
      <c r="F629" s="322">
        <v>25000.0</v>
      </c>
      <c r="G629" s="326"/>
      <c r="H629" s="321"/>
      <c r="I629" s="322">
        <v>25000.0</v>
      </c>
      <c r="J629" s="326"/>
      <c r="K629" s="321"/>
      <c r="L629" s="322">
        <v>25000.0</v>
      </c>
      <c r="M629" s="326"/>
      <c r="N629" s="321"/>
      <c r="O629" s="322">
        <v>25000.0</v>
      </c>
      <c r="P629" s="326"/>
      <c r="Q629" s="321"/>
      <c r="R629" s="322">
        <v>25000.0</v>
      </c>
      <c r="S629" s="326"/>
      <c r="T629" s="321"/>
      <c r="U629" s="322">
        <v>25000.0</v>
      </c>
      <c r="V629" s="326"/>
      <c r="W629" s="321"/>
      <c r="X629" s="322">
        <v>25000.0</v>
      </c>
      <c r="Y629" s="326"/>
      <c r="Z629" s="321"/>
      <c r="AA629" s="322">
        <v>25000.0</v>
      </c>
      <c r="AB629" s="326"/>
      <c r="AC629" s="321"/>
      <c r="AD629" s="322">
        <v>25000.0</v>
      </c>
      <c r="AE629" s="326"/>
      <c r="AF629" s="321"/>
      <c r="AG629" s="322">
        <v>25000.0</v>
      </c>
      <c r="AH629" s="326"/>
      <c r="AI629" s="321"/>
      <c r="AJ629" s="322">
        <v>25000.0</v>
      </c>
      <c r="AK629" s="326"/>
      <c r="AL629" s="321"/>
      <c r="AM629" s="322">
        <v>25000.0</v>
      </c>
      <c r="AN629" s="316" t="s">
        <v>216</v>
      </c>
      <c r="AO629" s="316"/>
      <c r="AP629" s="316"/>
      <c r="AQ629" s="316"/>
      <c r="AR629" s="316"/>
      <c r="AS629" s="316"/>
      <c r="AT629" s="316"/>
      <c r="AU629" s="316"/>
      <c r="AV629" s="316"/>
      <c r="AW629" s="316"/>
      <c r="AX629" s="316"/>
      <c r="AY629" s="316"/>
      <c r="AZ629" s="316"/>
      <c r="BA629" s="316"/>
      <c r="BB629" s="316"/>
      <c r="BC629" s="316"/>
      <c r="BD629" s="316"/>
      <c r="BE629" s="316"/>
      <c r="BF629" s="316"/>
      <c r="BG629" s="316"/>
      <c r="BH629" s="316"/>
      <c r="BI629" s="316"/>
      <c r="BJ629" s="316"/>
      <c r="BK629" s="316"/>
      <c r="BL629" s="316"/>
      <c r="BM629" s="316"/>
      <c r="BN629" s="316"/>
    </row>
    <row r="630" hidden="1" outlineLevel="1">
      <c r="A630" s="303" t="s">
        <v>986</v>
      </c>
      <c r="B630" s="317" t="s">
        <v>1005</v>
      </c>
      <c r="C630" s="325" t="s">
        <v>53</v>
      </c>
      <c r="D630" s="326"/>
      <c r="E630" s="321"/>
      <c r="F630" s="322">
        <v>10000.0</v>
      </c>
      <c r="G630" s="326"/>
      <c r="H630" s="321"/>
      <c r="I630" s="322">
        <v>10000.0</v>
      </c>
      <c r="J630" s="326"/>
      <c r="K630" s="321"/>
      <c r="L630" s="322">
        <v>10000.0</v>
      </c>
      <c r="M630" s="326"/>
      <c r="N630" s="321"/>
      <c r="O630" s="322">
        <v>10000.0</v>
      </c>
      <c r="P630" s="326"/>
      <c r="Q630" s="321"/>
      <c r="R630" s="322">
        <v>10000.0</v>
      </c>
      <c r="S630" s="326"/>
      <c r="T630" s="321"/>
      <c r="U630" s="322">
        <v>10000.0</v>
      </c>
      <c r="V630" s="326"/>
      <c r="W630" s="321"/>
      <c r="X630" s="322">
        <v>10000.0</v>
      </c>
      <c r="Y630" s="326"/>
      <c r="Z630" s="321"/>
      <c r="AA630" s="322">
        <v>10000.0</v>
      </c>
      <c r="AB630" s="326"/>
      <c r="AC630" s="321"/>
      <c r="AD630" s="322">
        <v>10000.0</v>
      </c>
      <c r="AE630" s="326"/>
      <c r="AF630" s="321"/>
      <c r="AG630" s="322">
        <v>10000.0</v>
      </c>
      <c r="AH630" s="326"/>
      <c r="AI630" s="321"/>
      <c r="AJ630" s="322">
        <v>10000.0</v>
      </c>
      <c r="AK630" s="326"/>
      <c r="AL630" s="321"/>
      <c r="AM630" s="322">
        <v>10000.0</v>
      </c>
      <c r="AN630" s="316" t="s">
        <v>216</v>
      </c>
      <c r="AO630" s="316"/>
      <c r="AP630" s="316"/>
      <c r="AQ630" s="316"/>
      <c r="AR630" s="316"/>
      <c r="AS630" s="316"/>
      <c r="AT630" s="316"/>
      <c r="AU630" s="316"/>
      <c r="AV630" s="316"/>
      <c r="AW630" s="316"/>
      <c r="AX630" s="316"/>
      <c r="AY630" s="316"/>
      <c r="AZ630" s="316"/>
      <c r="BA630" s="316"/>
      <c r="BB630" s="316"/>
      <c r="BC630" s="316"/>
      <c r="BD630" s="316"/>
      <c r="BE630" s="316"/>
      <c r="BF630" s="316"/>
      <c r="BG630" s="316"/>
      <c r="BH630" s="316"/>
      <c r="BI630" s="316"/>
      <c r="BJ630" s="316"/>
      <c r="BK630" s="316"/>
      <c r="BL630" s="316"/>
      <c r="BM630" s="316"/>
      <c r="BN630" s="316"/>
    </row>
    <row r="631" hidden="1" outlineLevel="1">
      <c r="A631" s="303" t="s">
        <v>986</v>
      </c>
      <c r="B631" s="304"/>
      <c r="C631" s="325" t="s">
        <v>54</v>
      </c>
      <c r="D631" s="327"/>
      <c r="E631" s="321"/>
      <c r="F631" s="322">
        <f>SUMIFS('지출'!$G$3:$G794,'지출'!$J$3:$J794,F$1,'지출'!$C$3:$C794,"영영1")</f>
        <v>77760</v>
      </c>
      <c r="G631" s="327"/>
      <c r="H631" s="321"/>
      <c r="I631" s="322">
        <f>SUMIFS('지출'!$G$3:$G794,'지출'!$J$3:$J794,I$1,'지출'!$C$3:$C794,"영영1")</f>
        <v>86760</v>
      </c>
      <c r="J631" s="327"/>
      <c r="K631" s="321"/>
      <c r="L631" s="322">
        <f>SUMIFS('지출'!$G$3:$G794,'지출'!$J$3:$J794,L$1,'지출'!$C$3:$C794,"영영1")</f>
        <v>13490</v>
      </c>
      <c r="M631" s="327"/>
      <c r="N631" s="321"/>
      <c r="O631" s="322">
        <f>SUMIFS('지출'!$G$3:$G794,'지출'!$J$3:$J794,O$1,'지출'!$C$3:$C794,"영영1")</f>
        <v>0</v>
      </c>
      <c r="P631" s="327"/>
      <c r="Q631" s="321"/>
      <c r="R631" s="322">
        <f>SUMIFS('지출'!$G$3:$G794,'지출'!$J$3:$J794,R$1,'지출'!$C$3:$C794,"영영1")</f>
        <v>0</v>
      </c>
      <c r="S631" s="327"/>
      <c r="T631" s="321"/>
      <c r="U631" s="322">
        <f>SUMIFS('지출'!$G$3:$G794,'지출'!$J$3:$J794,U$1,'지출'!$C$3:$C794,"영영1")</f>
        <v>0</v>
      </c>
      <c r="V631" s="327"/>
      <c r="W631" s="321"/>
      <c r="X631" s="322">
        <f>SUMIFS('지출'!$G$3:$G794,'지출'!$J$3:$J794,X$1,'지출'!$C$3:$C794,"영영1")</f>
        <v>0</v>
      </c>
      <c r="Y631" s="327"/>
      <c r="Z631" s="321"/>
      <c r="AA631" s="322">
        <f>SUMIFS('지출'!$G$3:$G794,'지출'!$J$3:$J794,AA$1,'지출'!$C$3:$C794,"영영1")</f>
        <v>0</v>
      </c>
      <c r="AB631" s="327"/>
      <c r="AC631" s="321"/>
      <c r="AD631" s="322">
        <f>SUMIFS('지출'!$G$3:$G794,'지출'!$J$3:$J794,AD$1,'지출'!$C$3:$C794,"영영1")</f>
        <v>0</v>
      </c>
      <c r="AE631" s="327"/>
      <c r="AF631" s="321"/>
      <c r="AG631" s="322">
        <f>SUMIFS('지출'!$G$3:$G794,'지출'!$J$3:$J794,AG$1,'지출'!$C$3:$C794,"영영1")</f>
        <v>0</v>
      </c>
      <c r="AH631" s="327"/>
      <c r="AI631" s="321"/>
      <c r="AJ631" s="322">
        <f>SUMIFS('지출'!$G$3:$G794,'지출'!$J$3:$J794,AJ$1,'지출'!$C$3:$C794,"영영1")</f>
        <v>0</v>
      </c>
      <c r="AK631" s="327"/>
      <c r="AL631" s="321"/>
      <c r="AM631" s="322">
        <f>SUMIFS('지출'!$G$3:$G794,'지출'!$J$3:$J794,AM$1,'지출'!$C$3:$C794,"영영1")</f>
        <v>0</v>
      </c>
      <c r="AN631" s="316" t="s">
        <v>216</v>
      </c>
      <c r="AO631" s="316"/>
      <c r="AP631" s="316"/>
      <c r="AQ631" s="316"/>
      <c r="AR631" s="316"/>
      <c r="AS631" s="316"/>
      <c r="AT631" s="316"/>
      <c r="AU631" s="316"/>
      <c r="AV631" s="316"/>
      <c r="AW631" s="316"/>
      <c r="AX631" s="316"/>
      <c r="AY631" s="316"/>
      <c r="AZ631" s="316"/>
      <c r="BA631" s="316"/>
      <c r="BB631" s="316"/>
      <c r="BC631" s="316"/>
      <c r="BD631" s="316"/>
      <c r="BE631" s="316"/>
      <c r="BF631" s="316"/>
      <c r="BG631" s="316"/>
      <c r="BH631" s="316"/>
      <c r="BI631" s="316"/>
      <c r="BJ631" s="316"/>
      <c r="BK631" s="316"/>
      <c r="BL631" s="316"/>
      <c r="BM631" s="316"/>
      <c r="BN631" s="316"/>
    </row>
    <row r="632" hidden="1" outlineLevel="1">
      <c r="A632" s="303" t="s">
        <v>986</v>
      </c>
      <c r="B632" s="304"/>
      <c r="C632" s="325" t="s">
        <v>56</v>
      </c>
      <c r="D632" s="320"/>
      <c r="E632" s="323">
        <f t="shared" ref="E632:F632" si="867">E623-(SUM(E624:E631))</f>
        <v>1090000</v>
      </c>
      <c r="F632" s="324">
        <f t="shared" si="867"/>
        <v>-43760</v>
      </c>
      <c r="G632" s="320"/>
      <c r="H632" s="323">
        <f t="shared" ref="H632:I632" si="868">H623-(SUM(H624:H631))</f>
        <v>1164286</v>
      </c>
      <c r="I632" s="324">
        <f t="shared" si="868"/>
        <v>-89764</v>
      </c>
      <c r="J632" s="320"/>
      <c r="K632" s="323">
        <f t="shared" ref="K632:L632" si="869">K623-(SUM(K624:K631))</f>
        <v>869677</v>
      </c>
      <c r="L632" s="324">
        <f t="shared" si="869"/>
        <v>-133569</v>
      </c>
      <c r="M632" s="320"/>
      <c r="N632" s="323">
        <f t="shared" ref="N632:O632" si="870">N623-(SUM(N624:N631))</f>
        <v>1100000</v>
      </c>
      <c r="O632" s="324">
        <f t="shared" si="870"/>
        <v>365000</v>
      </c>
      <c r="P632" s="320"/>
      <c r="Q632" s="323">
        <f t="shared" ref="Q632:R632" si="871">Q623-(SUM(Q624:Q631))</f>
        <v>1100000</v>
      </c>
      <c r="R632" s="324">
        <f t="shared" si="871"/>
        <v>365000</v>
      </c>
      <c r="S632" s="320"/>
      <c r="T632" s="323">
        <f t="shared" ref="T632:U632" si="872">T623-(SUM(T624:T631))</f>
        <v>680000</v>
      </c>
      <c r="U632" s="324">
        <f t="shared" si="872"/>
        <v>265000</v>
      </c>
      <c r="V632" s="320"/>
      <c r="W632" s="323">
        <f t="shared" ref="W632:X632" si="873">W623-(SUM(W624:W631))</f>
        <v>680000</v>
      </c>
      <c r="X632" s="324">
        <f t="shared" si="873"/>
        <v>265000</v>
      </c>
      <c r="Y632" s="320"/>
      <c r="Z632" s="323">
        <f t="shared" ref="Z632:AA632" si="874">Z623-(SUM(Z624:Z631))</f>
        <v>579355</v>
      </c>
      <c r="AA632" s="324">
        <f t="shared" si="874"/>
        <v>245645</v>
      </c>
      <c r="AB632" s="320"/>
      <c r="AC632" s="323">
        <f t="shared" ref="AC632:AD632" si="875">AC623-(SUM(AC624:AC631))</f>
        <v>-22000</v>
      </c>
      <c r="AD632" s="324">
        <f t="shared" si="875"/>
        <v>121667</v>
      </c>
      <c r="AE632" s="320"/>
      <c r="AF632" s="323">
        <f t="shared" ref="AF632:AG632" si="876">AF623-(SUM(AF624:AF631))</f>
        <v>-260000</v>
      </c>
      <c r="AG632" s="324">
        <f t="shared" si="876"/>
        <v>65000</v>
      </c>
      <c r="AH632" s="320"/>
      <c r="AI632" s="323">
        <f t="shared" ref="AI632:AJ632" si="877">AI623-(SUM(AI624:AI631))</f>
        <v>-260000</v>
      </c>
      <c r="AJ632" s="324">
        <f t="shared" si="877"/>
        <v>65000</v>
      </c>
      <c r="AK632" s="320"/>
      <c r="AL632" s="323">
        <f t="shared" ref="AL632:AM632" si="878">AL623-(SUM(AL624:AL631))</f>
        <v>-260000</v>
      </c>
      <c r="AM632" s="324">
        <f t="shared" si="878"/>
        <v>65000</v>
      </c>
      <c r="AN632" s="316" t="s">
        <v>216</v>
      </c>
      <c r="AO632" s="316"/>
      <c r="AP632" s="316"/>
      <c r="AQ632" s="316"/>
      <c r="AR632" s="316"/>
      <c r="AS632" s="316"/>
      <c r="AT632" s="316"/>
      <c r="AU632" s="316"/>
      <c r="AV632" s="316"/>
      <c r="AW632" s="316"/>
      <c r="AX632" s="316"/>
      <c r="AY632" s="316"/>
      <c r="AZ632" s="316"/>
      <c r="BA632" s="316"/>
      <c r="BB632" s="316"/>
      <c r="BC632" s="316"/>
      <c r="BD632" s="316"/>
      <c r="BE632" s="316"/>
      <c r="BF632" s="316"/>
      <c r="BG632" s="316"/>
      <c r="BH632" s="316"/>
      <c r="BI632" s="316"/>
      <c r="BJ632" s="316"/>
      <c r="BK632" s="316"/>
      <c r="BL632" s="316"/>
      <c r="BM632" s="316"/>
      <c r="BN632" s="316"/>
    </row>
    <row r="633">
      <c r="A633" s="303" t="s">
        <v>986</v>
      </c>
      <c r="B633" s="328">
        <v>0.0</v>
      </c>
      <c r="C633" s="325" t="s">
        <v>26</v>
      </c>
      <c r="D633" s="320"/>
      <c r="E633" s="323">
        <f>E632*$B633</f>
        <v>0</v>
      </c>
      <c r="F633" s="324"/>
      <c r="G633" s="320"/>
      <c r="H633" s="323">
        <f>H632*$B633</f>
        <v>0</v>
      </c>
      <c r="I633" s="324"/>
      <c r="J633" s="320"/>
      <c r="K633" s="323">
        <f>K632*$B633</f>
        <v>0</v>
      </c>
      <c r="L633" s="324"/>
      <c r="M633" s="320"/>
      <c r="N633" s="323">
        <f>N632*$B633</f>
        <v>0</v>
      </c>
      <c r="O633" s="324"/>
      <c r="P633" s="320"/>
      <c r="Q633" s="323">
        <f>Q632*$B633</f>
        <v>0</v>
      </c>
      <c r="R633" s="324"/>
      <c r="S633" s="320"/>
      <c r="T633" s="323">
        <f>T632*$B633</f>
        <v>0</v>
      </c>
      <c r="U633" s="324"/>
      <c r="V633" s="320"/>
      <c r="W633" s="323">
        <f>W632*$B633</f>
        <v>0</v>
      </c>
      <c r="X633" s="324"/>
      <c r="Y633" s="320"/>
      <c r="Z633" s="323">
        <f>Z632*$B633</f>
        <v>0</v>
      </c>
      <c r="AA633" s="324"/>
      <c r="AB633" s="320"/>
      <c r="AC633" s="323">
        <f>AC632*$B633</f>
        <v>0</v>
      </c>
      <c r="AD633" s="324"/>
      <c r="AE633" s="320"/>
      <c r="AF633" s="323">
        <f>AF632*$B633</f>
        <v>0</v>
      </c>
      <c r="AG633" s="324"/>
      <c r="AH633" s="320"/>
      <c r="AI633" s="323">
        <f>AI632*$B633</f>
        <v>0</v>
      </c>
      <c r="AJ633" s="324"/>
      <c r="AK633" s="320"/>
      <c r="AL633" s="323">
        <f>AL632*$B633</f>
        <v>0</v>
      </c>
      <c r="AM633" s="324"/>
      <c r="AN633" s="316" t="s">
        <v>216</v>
      </c>
      <c r="AO633" s="316"/>
      <c r="AP633" s="316"/>
      <c r="AQ633" s="316"/>
      <c r="AR633" s="316"/>
      <c r="AS633" s="316"/>
      <c r="AT633" s="316"/>
      <c r="AU633" s="316"/>
      <c r="AV633" s="316"/>
      <c r="AW633" s="316"/>
      <c r="AX633" s="316"/>
      <c r="AY633" s="316"/>
      <c r="AZ633" s="316"/>
      <c r="BA633" s="316"/>
      <c r="BB633" s="316"/>
      <c r="BC633" s="316"/>
      <c r="BD633" s="316"/>
      <c r="BE633" s="316"/>
      <c r="BF633" s="316"/>
      <c r="BG633" s="316"/>
      <c r="BH633" s="316"/>
      <c r="BI633" s="316"/>
      <c r="BJ633" s="316"/>
      <c r="BK633" s="316"/>
      <c r="BL633" s="316"/>
      <c r="BM633" s="316"/>
      <c r="BN633" s="316"/>
    </row>
    <row r="634">
      <c r="A634" s="303" t="s">
        <v>986</v>
      </c>
      <c r="B634" s="329">
        <v>1.0</v>
      </c>
      <c r="C634" s="330" t="s">
        <v>57</v>
      </c>
      <c r="D634" s="331"/>
      <c r="E634" s="332">
        <f>E632*$B634</f>
        <v>1090000</v>
      </c>
      <c r="F634" s="333"/>
      <c r="G634" s="331"/>
      <c r="H634" s="332">
        <f>H632*$B634</f>
        <v>1164286</v>
      </c>
      <c r="I634" s="333"/>
      <c r="J634" s="331"/>
      <c r="K634" s="332">
        <f>K632*$B634</f>
        <v>869677</v>
      </c>
      <c r="L634" s="333"/>
      <c r="M634" s="331"/>
      <c r="N634" s="332">
        <f>N632*$B634</f>
        <v>1100000</v>
      </c>
      <c r="O634" s="333"/>
      <c r="P634" s="331"/>
      <c r="Q634" s="332">
        <f>Q632*$B634</f>
        <v>1100000</v>
      </c>
      <c r="R634" s="333"/>
      <c r="S634" s="331"/>
      <c r="T634" s="332">
        <f>T632*$B634</f>
        <v>680000</v>
      </c>
      <c r="U634" s="333"/>
      <c r="V634" s="331"/>
      <c r="W634" s="332">
        <f>W632*$B634</f>
        <v>680000</v>
      </c>
      <c r="X634" s="333"/>
      <c r="Y634" s="331"/>
      <c r="Z634" s="332">
        <f>Z632*$B634</f>
        <v>579355</v>
      </c>
      <c r="AA634" s="333"/>
      <c r="AB634" s="331"/>
      <c r="AC634" s="332">
        <f>AC632*$B634</f>
        <v>-22000</v>
      </c>
      <c r="AD634" s="333"/>
      <c r="AE634" s="331"/>
      <c r="AF634" s="332">
        <f>AF632*$B634</f>
        <v>-260000</v>
      </c>
      <c r="AG634" s="333"/>
      <c r="AH634" s="331"/>
      <c r="AI634" s="332">
        <f>AI632*$B634</f>
        <v>-260000</v>
      </c>
      <c r="AJ634" s="333"/>
      <c r="AK634" s="331"/>
      <c r="AL634" s="332">
        <f>AL632*$B634</f>
        <v>-260000</v>
      </c>
      <c r="AM634" s="333"/>
      <c r="AN634" s="316" t="s">
        <v>216</v>
      </c>
      <c r="AO634" s="316"/>
      <c r="AP634" s="316"/>
      <c r="AQ634" s="316"/>
      <c r="AR634" s="316"/>
      <c r="AS634" s="316"/>
      <c r="AT634" s="316"/>
      <c r="AU634" s="316"/>
      <c r="AV634" s="316"/>
      <c r="AW634" s="316"/>
      <c r="AX634" s="316"/>
      <c r="AY634" s="316"/>
      <c r="AZ634" s="316"/>
      <c r="BA634" s="316"/>
      <c r="BB634" s="316"/>
      <c r="BC634" s="316"/>
      <c r="BD634" s="316"/>
      <c r="BE634" s="316"/>
      <c r="BF634" s="316"/>
      <c r="BG634" s="316"/>
      <c r="BH634" s="316"/>
      <c r="BI634" s="316"/>
      <c r="BJ634" s="316"/>
      <c r="BK634" s="316"/>
      <c r="BL634" s="316"/>
      <c r="BM634" s="316"/>
      <c r="BN634" s="316"/>
    </row>
    <row r="635">
      <c r="A635" s="303" t="s">
        <v>1006</v>
      </c>
      <c r="B635" s="384" t="s">
        <v>1006</v>
      </c>
      <c r="C635" s="385" t="s">
        <v>987</v>
      </c>
      <c r="D635" s="341" t="s">
        <v>1904</v>
      </c>
      <c r="E635" s="335">
        <v>510000.0</v>
      </c>
      <c r="F635" s="346">
        <v>100000.0</v>
      </c>
      <c r="G635" s="341" t="s">
        <v>1904</v>
      </c>
      <c r="H635" s="335">
        <v>510000.0</v>
      </c>
      <c r="I635" s="346">
        <v>100000.0</v>
      </c>
      <c r="J635" s="341" t="s">
        <v>1904</v>
      </c>
      <c r="K635" s="335">
        <v>510000.0</v>
      </c>
      <c r="L635" s="346">
        <v>100000.0</v>
      </c>
      <c r="M635" s="341" t="s">
        <v>1904</v>
      </c>
      <c r="N635" s="335">
        <v>510000.0</v>
      </c>
      <c r="O635" s="346">
        <v>100000.0</v>
      </c>
      <c r="P635" s="341" t="s">
        <v>1904</v>
      </c>
      <c r="Q635" s="335">
        <v>510000.0</v>
      </c>
      <c r="R635" s="346">
        <v>100000.0</v>
      </c>
      <c r="S635" s="341" t="s">
        <v>1904</v>
      </c>
      <c r="T635" s="335">
        <v>510000.0</v>
      </c>
      <c r="U635" s="346">
        <v>100000.0</v>
      </c>
      <c r="V635" s="341" t="s">
        <v>1904</v>
      </c>
      <c r="W635" s="335">
        <v>510000.0</v>
      </c>
      <c r="X635" s="346">
        <v>100000.0</v>
      </c>
      <c r="Y635" s="341" t="s">
        <v>1904</v>
      </c>
      <c r="Z635" s="335">
        <v>510000.0</v>
      </c>
      <c r="AA635" s="346">
        <v>100000.0</v>
      </c>
      <c r="AB635" s="353" t="s">
        <v>2328</v>
      </c>
      <c r="AC635" s="335">
        <v>510000.0</v>
      </c>
      <c r="AD635" s="346">
        <v>100000.0</v>
      </c>
      <c r="AE635" s="326"/>
      <c r="AF635" s="321"/>
      <c r="AG635" s="322"/>
      <c r="AH635" s="326"/>
      <c r="AI635" s="321"/>
      <c r="AJ635" s="322"/>
      <c r="AK635" s="326"/>
      <c r="AL635" s="321"/>
      <c r="AM635" s="322"/>
      <c r="AN635" s="316" t="s">
        <v>216</v>
      </c>
      <c r="AO635" s="316"/>
      <c r="AP635" s="316"/>
      <c r="AQ635" s="316"/>
      <c r="AR635" s="316"/>
      <c r="AS635" s="316"/>
      <c r="AT635" s="316"/>
      <c r="AU635" s="316"/>
      <c r="AV635" s="316"/>
      <c r="AW635" s="316"/>
      <c r="AX635" s="316"/>
      <c r="AY635" s="316"/>
      <c r="AZ635" s="316"/>
      <c r="BA635" s="316"/>
      <c r="BB635" s="316"/>
      <c r="BC635" s="316"/>
      <c r="BD635" s="316"/>
      <c r="BE635" s="316"/>
      <c r="BF635" s="316"/>
      <c r="BG635" s="316"/>
      <c r="BH635" s="316"/>
      <c r="BI635" s="316"/>
      <c r="BJ635" s="316"/>
      <c r="BK635" s="316"/>
      <c r="BL635" s="316"/>
      <c r="BM635" s="316"/>
      <c r="BN635" s="316"/>
    </row>
    <row r="636">
      <c r="A636" s="303" t="s">
        <v>1006</v>
      </c>
      <c r="B636" s="384" t="s">
        <v>1006</v>
      </c>
      <c r="C636" s="385" t="s">
        <v>1008</v>
      </c>
      <c r="D636" s="341" t="s">
        <v>2329</v>
      </c>
      <c r="E636" s="335">
        <v>400000.0</v>
      </c>
      <c r="F636" s="346">
        <v>100000.0</v>
      </c>
      <c r="G636" s="353" t="s">
        <v>2330</v>
      </c>
      <c r="H636" s="335">
        <v>400000.0</v>
      </c>
      <c r="I636" s="346">
        <v>100000.0</v>
      </c>
      <c r="J636" s="341" t="s">
        <v>37</v>
      </c>
      <c r="K636" s="321"/>
      <c r="L636" s="322"/>
      <c r="M636" s="326"/>
      <c r="N636" s="321"/>
      <c r="O636" s="322"/>
      <c r="P636" s="326"/>
      <c r="Q636" s="321"/>
      <c r="R636" s="322"/>
      <c r="S636" s="326"/>
      <c r="T636" s="321"/>
      <c r="U636" s="322"/>
      <c r="V636" s="326"/>
      <c r="W636" s="321"/>
      <c r="X636" s="322"/>
      <c r="Y636" s="326"/>
      <c r="Z636" s="321"/>
      <c r="AA636" s="322"/>
      <c r="AB636" s="326"/>
      <c r="AC636" s="321"/>
      <c r="AD636" s="322"/>
      <c r="AE636" s="326"/>
      <c r="AF636" s="321"/>
      <c r="AG636" s="322"/>
      <c r="AH636" s="326"/>
      <c r="AI636" s="321"/>
      <c r="AJ636" s="322"/>
      <c r="AK636" s="326"/>
      <c r="AL636" s="321"/>
      <c r="AM636" s="322"/>
      <c r="AN636" s="316" t="s">
        <v>216</v>
      </c>
      <c r="AO636" s="316"/>
      <c r="AP636" s="316"/>
      <c r="AQ636" s="316"/>
      <c r="AR636" s="316"/>
      <c r="AS636" s="316"/>
      <c r="AT636" s="316"/>
      <c r="AU636" s="316"/>
      <c r="AV636" s="316"/>
      <c r="AW636" s="316"/>
      <c r="AX636" s="316"/>
      <c r="AY636" s="316"/>
      <c r="AZ636" s="316"/>
      <c r="BA636" s="316"/>
      <c r="BB636" s="316"/>
      <c r="BC636" s="316"/>
      <c r="BD636" s="316"/>
      <c r="BE636" s="316"/>
      <c r="BF636" s="316"/>
      <c r="BG636" s="316"/>
      <c r="BH636" s="316"/>
      <c r="BI636" s="316"/>
      <c r="BJ636" s="316"/>
      <c r="BK636" s="316"/>
      <c r="BL636" s="316"/>
      <c r="BM636" s="316"/>
      <c r="BN636" s="316"/>
    </row>
    <row r="637">
      <c r="A637" s="303" t="s">
        <v>1006</v>
      </c>
      <c r="B637" s="384" t="s">
        <v>1006</v>
      </c>
      <c r="C637" s="385" t="s">
        <v>1013</v>
      </c>
      <c r="D637" s="341" t="s">
        <v>1910</v>
      </c>
      <c r="E637" s="335">
        <v>400000.0</v>
      </c>
      <c r="F637" s="346">
        <v>100000.0</v>
      </c>
      <c r="G637" s="341" t="s">
        <v>1910</v>
      </c>
      <c r="H637" s="335">
        <v>400000.0</v>
      </c>
      <c r="I637" s="346">
        <v>100000.0</v>
      </c>
      <c r="J637" s="341" t="s">
        <v>1910</v>
      </c>
      <c r="K637" s="348">
        <v>350000.0</v>
      </c>
      <c r="L637" s="346">
        <v>100000.0</v>
      </c>
      <c r="M637" s="341" t="s">
        <v>1910</v>
      </c>
      <c r="N637" s="348">
        <v>350000.0</v>
      </c>
      <c r="O637" s="346">
        <v>100000.0</v>
      </c>
      <c r="P637" s="341" t="s">
        <v>1910</v>
      </c>
      <c r="Q637" s="348">
        <v>350000.0</v>
      </c>
      <c r="R637" s="346">
        <v>100000.0</v>
      </c>
      <c r="S637" s="341" t="s">
        <v>1910</v>
      </c>
      <c r="T637" s="348">
        <v>350000.0</v>
      </c>
      <c r="U637" s="346">
        <v>100000.0</v>
      </c>
      <c r="V637" s="341" t="s">
        <v>1910</v>
      </c>
      <c r="W637" s="348">
        <v>350000.0</v>
      </c>
      <c r="X637" s="346">
        <v>100000.0</v>
      </c>
      <c r="Y637" s="341" t="s">
        <v>1910</v>
      </c>
      <c r="Z637" s="348">
        <v>350000.0</v>
      </c>
      <c r="AA637" s="346">
        <v>100000.0</v>
      </c>
      <c r="AB637" s="341" t="s">
        <v>1910</v>
      </c>
      <c r="AC637" s="348">
        <v>350000.0</v>
      </c>
      <c r="AD637" s="346">
        <v>100000.0</v>
      </c>
      <c r="AE637" s="341" t="s">
        <v>1910</v>
      </c>
      <c r="AF637" s="348">
        <v>350000.0</v>
      </c>
      <c r="AG637" s="346">
        <v>100000.0</v>
      </c>
      <c r="AH637" s="341" t="s">
        <v>1910</v>
      </c>
      <c r="AI637" s="348">
        <v>350000.0</v>
      </c>
      <c r="AJ637" s="346">
        <v>100000.0</v>
      </c>
      <c r="AK637" s="341" t="s">
        <v>1910</v>
      </c>
      <c r="AL637" s="348">
        <v>350000.0</v>
      </c>
      <c r="AM637" s="346">
        <v>100000.0</v>
      </c>
      <c r="AN637" s="316" t="s">
        <v>216</v>
      </c>
      <c r="AO637" s="316"/>
      <c r="AP637" s="316"/>
      <c r="AQ637" s="316"/>
      <c r="AR637" s="316"/>
      <c r="AS637" s="316"/>
      <c r="AT637" s="316"/>
      <c r="AU637" s="316"/>
      <c r="AV637" s="316"/>
      <c r="AW637" s="316"/>
      <c r="AX637" s="316"/>
      <c r="AY637" s="316"/>
      <c r="AZ637" s="316"/>
      <c r="BA637" s="316"/>
      <c r="BB637" s="316"/>
      <c r="BC637" s="316"/>
      <c r="BD637" s="316"/>
      <c r="BE637" s="316"/>
      <c r="BF637" s="316"/>
      <c r="BG637" s="316"/>
      <c r="BH637" s="316"/>
      <c r="BI637" s="316"/>
      <c r="BJ637" s="316"/>
      <c r="BK637" s="316"/>
      <c r="BL637" s="316"/>
      <c r="BM637" s="316"/>
      <c r="BN637" s="316"/>
    </row>
    <row r="638">
      <c r="A638" s="303" t="s">
        <v>1006</v>
      </c>
      <c r="B638" s="304"/>
      <c r="C638" s="305" t="s">
        <v>42</v>
      </c>
      <c r="D638" s="320"/>
      <c r="E638" s="323">
        <f t="shared" ref="E638:F638" si="879">SUM(E635:E637)</f>
        <v>1310000</v>
      </c>
      <c r="F638" s="324">
        <f t="shared" si="879"/>
        <v>300000</v>
      </c>
      <c r="G638" s="320"/>
      <c r="H638" s="323">
        <f t="shared" ref="H638:I638" si="880">SUM(H635:H637)</f>
        <v>1310000</v>
      </c>
      <c r="I638" s="324">
        <f t="shared" si="880"/>
        <v>300000</v>
      </c>
      <c r="J638" s="320"/>
      <c r="K638" s="323">
        <f t="shared" ref="K638:L638" si="881">SUM(K635:K637)</f>
        <v>860000</v>
      </c>
      <c r="L638" s="324">
        <f t="shared" si="881"/>
        <v>200000</v>
      </c>
      <c r="M638" s="320"/>
      <c r="N638" s="323">
        <f t="shared" ref="N638:O638" si="882">SUM(N635:N637)</f>
        <v>860000</v>
      </c>
      <c r="O638" s="324">
        <f t="shared" si="882"/>
        <v>200000</v>
      </c>
      <c r="P638" s="320"/>
      <c r="Q638" s="323">
        <f t="shared" ref="Q638:R638" si="883">SUM(Q635:Q637)</f>
        <v>860000</v>
      </c>
      <c r="R638" s="324">
        <f t="shared" si="883"/>
        <v>200000</v>
      </c>
      <c r="S638" s="320"/>
      <c r="T638" s="323">
        <f t="shared" ref="T638:U638" si="884">SUM(T635:T637)</f>
        <v>860000</v>
      </c>
      <c r="U638" s="324">
        <f t="shared" si="884"/>
        <v>200000</v>
      </c>
      <c r="V638" s="320"/>
      <c r="W638" s="323">
        <f t="shared" ref="W638:X638" si="885">SUM(W635:W637)</f>
        <v>860000</v>
      </c>
      <c r="X638" s="324">
        <f t="shared" si="885"/>
        <v>200000</v>
      </c>
      <c r="Y638" s="320"/>
      <c r="Z638" s="323">
        <f t="shared" ref="Z638:AA638" si="886">SUM(Z635:Z637)</f>
        <v>860000</v>
      </c>
      <c r="AA638" s="324">
        <f t="shared" si="886"/>
        <v>200000</v>
      </c>
      <c r="AB638" s="320"/>
      <c r="AC638" s="323">
        <f t="shared" ref="AC638:AD638" si="887">SUM(AC635:AC637)</f>
        <v>860000</v>
      </c>
      <c r="AD638" s="324">
        <f t="shared" si="887"/>
        <v>200000</v>
      </c>
      <c r="AE638" s="320"/>
      <c r="AF638" s="323">
        <f t="shared" ref="AF638:AG638" si="888">SUM(AF635:AF637)</f>
        <v>350000</v>
      </c>
      <c r="AG638" s="324">
        <f t="shared" si="888"/>
        <v>100000</v>
      </c>
      <c r="AH638" s="320"/>
      <c r="AI638" s="323">
        <f t="shared" ref="AI638:AJ638" si="889">SUM(AI635:AI637)</f>
        <v>350000</v>
      </c>
      <c r="AJ638" s="324">
        <f t="shared" si="889"/>
        <v>100000</v>
      </c>
      <c r="AK638" s="320"/>
      <c r="AL638" s="323">
        <f t="shared" ref="AL638:AM638" si="890">SUM(AL635:AL637)</f>
        <v>350000</v>
      </c>
      <c r="AM638" s="324">
        <f t="shared" si="890"/>
        <v>100000</v>
      </c>
      <c r="AN638" s="316" t="s">
        <v>216</v>
      </c>
      <c r="AO638" s="316"/>
      <c r="AP638" s="316"/>
      <c r="AQ638" s="316"/>
      <c r="AR638" s="316"/>
      <c r="AS638" s="316"/>
      <c r="AT638" s="316"/>
      <c r="AU638" s="316"/>
      <c r="AV638" s="316"/>
      <c r="AW638" s="316"/>
      <c r="AX638" s="316"/>
      <c r="AY638" s="316"/>
      <c r="AZ638" s="316"/>
      <c r="BA638" s="316"/>
      <c r="BB638" s="316"/>
      <c r="BC638" s="316"/>
      <c r="BD638" s="316"/>
      <c r="BE638" s="316"/>
      <c r="BF638" s="316"/>
      <c r="BG638" s="316"/>
      <c r="BH638" s="316"/>
      <c r="BI638" s="316"/>
      <c r="BJ638" s="316"/>
      <c r="BK638" s="316"/>
      <c r="BL638" s="316"/>
      <c r="BM638" s="316"/>
      <c r="BN638" s="316"/>
    </row>
    <row r="639" collapsed="1">
      <c r="A639" s="303" t="s">
        <v>1006</v>
      </c>
      <c r="B639" s="304"/>
      <c r="C639" s="325" t="s">
        <v>43</v>
      </c>
      <c r="D639" s="326"/>
      <c r="E639" s="321">
        <v>600000.0</v>
      </c>
      <c r="F639" s="324"/>
      <c r="G639" s="326"/>
      <c r="H639" s="321">
        <v>600000.0</v>
      </c>
      <c r="I639" s="324"/>
      <c r="J639" s="326"/>
      <c r="K639" s="321">
        <v>600000.0</v>
      </c>
      <c r="L639" s="324"/>
      <c r="M639" s="326"/>
      <c r="N639" s="321">
        <v>600000.0</v>
      </c>
      <c r="O639" s="324"/>
      <c r="P639" s="326"/>
      <c r="Q639" s="321">
        <v>600000.0</v>
      </c>
      <c r="R639" s="324"/>
      <c r="S639" s="326"/>
      <c r="T639" s="321">
        <v>600000.0</v>
      </c>
      <c r="U639" s="324"/>
      <c r="V639" s="326"/>
      <c r="W639" s="321">
        <v>600000.0</v>
      </c>
      <c r="X639" s="324"/>
      <c r="Y639" s="326"/>
      <c r="Z639" s="321">
        <v>600000.0</v>
      </c>
      <c r="AA639" s="324"/>
      <c r="AB639" s="326"/>
      <c r="AC639" s="321">
        <v>600000.0</v>
      </c>
      <c r="AD639" s="324"/>
      <c r="AE639" s="326"/>
      <c r="AF639" s="321">
        <v>600000.0</v>
      </c>
      <c r="AG639" s="324"/>
      <c r="AH639" s="326"/>
      <c r="AI639" s="321">
        <v>600000.0</v>
      </c>
      <c r="AJ639" s="324"/>
      <c r="AK639" s="326"/>
      <c r="AL639" s="321">
        <v>600000.0</v>
      </c>
      <c r="AM639" s="324"/>
      <c r="AN639" s="316" t="s">
        <v>216</v>
      </c>
      <c r="AO639" s="316"/>
      <c r="AP639" s="316"/>
      <c r="AQ639" s="316"/>
      <c r="AR639" s="316"/>
      <c r="AS639" s="316"/>
      <c r="AT639" s="316"/>
      <c r="AU639" s="316"/>
      <c r="AV639" s="316"/>
      <c r="AW639" s="316"/>
      <c r="AX639" s="316"/>
      <c r="AY639" s="316"/>
      <c r="AZ639" s="316"/>
      <c r="BA639" s="316"/>
      <c r="BB639" s="316"/>
      <c r="BC639" s="316"/>
      <c r="BD639" s="316"/>
      <c r="BE639" s="316"/>
      <c r="BF639" s="316"/>
      <c r="BG639" s="316"/>
      <c r="BH639" s="316"/>
      <c r="BI639" s="316"/>
      <c r="BJ639" s="316"/>
      <c r="BK639" s="316"/>
      <c r="BL639" s="316"/>
      <c r="BM639" s="316"/>
      <c r="BN639" s="316"/>
    </row>
    <row r="640" hidden="1" outlineLevel="1">
      <c r="A640" s="303" t="s">
        <v>1006</v>
      </c>
      <c r="B640" s="317" t="s">
        <v>1018</v>
      </c>
      <c r="C640" s="325" t="s">
        <v>45</v>
      </c>
      <c r="D640" s="326"/>
      <c r="E640" s="321"/>
      <c r="F640" s="322" t="s">
        <v>44</v>
      </c>
      <c r="G640" s="326"/>
      <c r="H640" s="321"/>
      <c r="I640" s="322" t="s">
        <v>44</v>
      </c>
      <c r="J640" s="326"/>
      <c r="K640" s="321"/>
      <c r="L640" s="322"/>
      <c r="M640" s="326"/>
      <c r="N640" s="321"/>
      <c r="O640" s="322"/>
      <c r="P640" s="326"/>
      <c r="Q640" s="321"/>
      <c r="R640" s="322"/>
      <c r="S640" s="326"/>
      <c r="T640" s="321"/>
      <c r="U640" s="322"/>
      <c r="V640" s="326"/>
      <c r="W640" s="321"/>
      <c r="X640" s="322"/>
      <c r="Y640" s="326"/>
      <c r="Z640" s="321"/>
      <c r="AA640" s="322"/>
      <c r="AB640" s="326"/>
      <c r="AC640" s="321"/>
      <c r="AD640" s="322"/>
      <c r="AE640" s="326"/>
      <c r="AF640" s="321"/>
      <c r="AG640" s="322"/>
      <c r="AH640" s="326"/>
      <c r="AI640" s="321"/>
      <c r="AJ640" s="322"/>
      <c r="AK640" s="326"/>
      <c r="AL640" s="321"/>
      <c r="AM640" s="322"/>
      <c r="AN640" s="316" t="s">
        <v>216</v>
      </c>
      <c r="AO640" s="316"/>
      <c r="AP640" s="316"/>
      <c r="AQ640" s="316"/>
      <c r="AR640" s="316"/>
      <c r="AS640" s="316"/>
      <c r="AT640" s="316"/>
      <c r="AU640" s="316"/>
      <c r="AV640" s="316"/>
      <c r="AW640" s="316"/>
      <c r="AX640" s="316"/>
      <c r="AY640" s="316"/>
      <c r="AZ640" s="316"/>
      <c r="BA640" s="316"/>
      <c r="BB640" s="316"/>
      <c r="BC640" s="316"/>
      <c r="BD640" s="316"/>
      <c r="BE640" s="316"/>
      <c r="BF640" s="316"/>
      <c r="BG640" s="316"/>
      <c r="BH640" s="316"/>
      <c r="BI640" s="316"/>
      <c r="BJ640" s="316"/>
      <c r="BK640" s="316"/>
      <c r="BL640" s="316"/>
      <c r="BM640" s="316"/>
      <c r="BN640" s="316"/>
    </row>
    <row r="641" hidden="1" outlineLevel="1">
      <c r="A641" s="303" t="s">
        <v>1006</v>
      </c>
      <c r="B641" s="317" t="s">
        <v>1019</v>
      </c>
      <c r="C641" s="325" t="s">
        <v>47</v>
      </c>
      <c r="D641" s="326"/>
      <c r="E641" s="321"/>
      <c r="F641" s="322">
        <v>41530.0</v>
      </c>
      <c r="G641" s="326"/>
      <c r="H641" s="321"/>
      <c r="I641" s="322">
        <v>50800.0</v>
      </c>
      <c r="J641" s="326"/>
      <c r="K641" s="321"/>
      <c r="L641" s="322"/>
      <c r="M641" s="326"/>
      <c r="N641" s="321"/>
      <c r="O641" s="322"/>
      <c r="P641" s="326"/>
      <c r="Q641" s="321"/>
      <c r="R641" s="322"/>
      <c r="S641" s="326"/>
      <c r="T641" s="321"/>
      <c r="U641" s="322"/>
      <c r="V641" s="326"/>
      <c r="W641" s="321"/>
      <c r="X641" s="322"/>
      <c r="Y641" s="326"/>
      <c r="Z641" s="321"/>
      <c r="AA641" s="322"/>
      <c r="AB641" s="326"/>
      <c r="AC641" s="321"/>
      <c r="AD641" s="322"/>
      <c r="AE641" s="326"/>
      <c r="AF641" s="321"/>
      <c r="AG641" s="322"/>
      <c r="AH641" s="326"/>
      <c r="AI641" s="321"/>
      <c r="AJ641" s="322"/>
      <c r="AK641" s="326"/>
      <c r="AL641" s="321"/>
      <c r="AM641" s="322"/>
      <c r="AN641" s="316" t="s">
        <v>216</v>
      </c>
      <c r="AO641" s="316"/>
      <c r="AP641" s="316"/>
      <c r="AQ641" s="316"/>
      <c r="AR641" s="316"/>
      <c r="AS641" s="316"/>
      <c r="AT641" s="316"/>
      <c r="AU641" s="316"/>
      <c r="AV641" s="316"/>
      <c r="AW641" s="316"/>
      <c r="AX641" s="316"/>
      <c r="AY641" s="316"/>
      <c r="AZ641" s="316"/>
      <c r="BA641" s="316"/>
      <c r="BB641" s="316"/>
      <c r="BC641" s="316"/>
      <c r="BD641" s="316"/>
      <c r="BE641" s="316"/>
      <c r="BF641" s="316"/>
      <c r="BG641" s="316"/>
      <c r="BH641" s="316"/>
      <c r="BI641" s="316"/>
      <c r="BJ641" s="316"/>
      <c r="BK641" s="316"/>
      <c r="BL641" s="316"/>
      <c r="BM641" s="316"/>
      <c r="BN641" s="316"/>
    </row>
    <row r="642" hidden="1" outlineLevel="1">
      <c r="A642" s="303" t="s">
        <v>1006</v>
      </c>
      <c r="B642" s="317">
        <v>6.005947171E9</v>
      </c>
      <c r="C642" s="325" t="s">
        <v>1020</v>
      </c>
      <c r="D642" s="326"/>
      <c r="E642" s="321"/>
      <c r="F642" s="322">
        <v>170950.0</v>
      </c>
      <c r="G642" s="326"/>
      <c r="H642" s="321"/>
      <c r="I642" s="322">
        <v>217820.0</v>
      </c>
      <c r="J642" s="326"/>
      <c r="K642" s="321"/>
      <c r="L642" s="322">
        <v>259790.0</v>
      </c>
      <c r="M642" s="326"/>
      <c r="N642" s="321"/>
      <c r="O642" s="322"/>
      <c r="P642" s="326"/>
      <c r="Q642" s="321"/>
      <c r="R642" s="322"/>
      <c r="S642" s="326"/>
      <c r="T642" s="321"/>
      <c r="U642" s="322"/>
      <c r="V642" s="326"/>
      <c r="W642" s="321"/>
      <c r="X642" s="322"/>
      <c r="Y642" s="326"/>
      <c r="Z642" s="321"/>
      <c r="AA642" s="322"/>
      <c r="AB642" s="326"/>
      <c r="AC642" s="321"/>
      <c r="AD642" s="322"/>
      <c r="AE642" s="326"/>
      <c r="AF642" s="321"/>
      <c r="AG642" s="322"/>
      <c r="AH642" s="326"/>
      <c r="AI642" s="321"/>
      <c r="AJ642" s="322"/>
      <c r="AK642" s="326"/>
      <c r="AL642" s="321"/>
      <c r="AM642" s="322"/>
      <c r="AN642" s="316" t="s">
        <v>216</v>
      </c>
      <c r="AO642" s="316"/>
      <c r="AP642" s="316"/>
      <c r="AQ642" s="316"/>
      <c r="AR642" s="316"/>
      <c r="AS642" s="316"/>
      <c r="AT642" s="316"/>
      <c r="AU642" s="316"/>
      <c r="AV642" s="316"/>
      <c r="AW642" s="316"/>
      <c r="AX642" s="316"/>
      <c r="AY642" s="316"/>
      <c r="AZ642" s="316"/>
      <c r="BA642" s="316"/>
      <c r="BB642" s="316"/>
      <c r="BC642" s="316"/>
      <c r="BD642" s="316"/>
      <c r="BE642" s="316"/>
      <c r="BF642" s="316"/>
      <c r="BG642" s="316"/>
      <c r="BH642" s="316"/>
      <c r="BI642" s="316"/>
      <c r="BJ642" s="316"/>
      <c r="BK642" s="316"/>
      <c r="BL642" s="316"/>
      <c r="BM642" s="316"/>
      <c r="BN642" s="316"/>
    </row>
    <row r="643" hidden="1" outlineLevel="1">
      <c r="A643" s="303" t="s">
        <v>1006</v>
      </c>
      <c r="B643" s="317" t="s">
        <v>1004</v>
      </c>
      <c r="C643" s="325" t="s">
        <v>51</v>
      </c>
      <c r="D643" s="326"/>
      <c r="E643" s="321"/>
      <c r="F643" s="322">
        <v>40000.0</v>
      </c>
      <c r="G643" s="326"/>
      <c r="H643" s="321"/>
      <c r="I643" s="322">
        <v>40000.0</v>
      </c>
      <c r="J643" s="326"/>
      <c r="K643" s="321"/>
      <c r="L643" s="322"/>
      <c r="M643" s="326"/>
      <c r="N643" s="321"/>
      <c r="O643" s="322"/>
      <c r="P643" s="326"/>
      <c r="Q643" s="321"/>
      <c r="R643" s="322"/>
      <c r="S643" s="326"/>
      <c r="T643" s="321"/>
      <c r="U643" s="322"/>
      <c r="V643" s="326"/>
      <c r="W643" s="321"/>
      <c r="X643" s="322"/>
      <c r="Y643" s="326"/>
      <c r="Z643" s="321"/>
      <c r="AA643" s="322"/>
      <c r="AB643" s="326"/>
      <c r="AC643" s="321"/>
      <c r="AD643" s="322"/>
      <c r="AE643" s="326"/>
      <c r="AF643" s="321"/>
      <c r="AG643" s="322"/>
      <c r="AH643" s="326"/>
      <c r="AI643" s="321"/>
      <c r="AJ643" s="322"/>
      <c r="AK643" s="326"/>
      <c r="AL643" s="321"/>
      <c r="AM643" s="322"/>
      <c r="AN643" s="316" t="s">
        <v>216</v>
      </c>
      <c r="AO643" s="316"/>
      <c r="AP643" s="316"/>
      <c r="AQ643" s="316"/>
      <c r="AR643" s="316"/>
      <c r="AS643" s="316"/>
      <c r="AT643" s="316"/>
      <c r="AU643" s="316"/>
      <c r="AV643" s="316"/>
      <c r="AW643" s="316"/>
      <c r="AX643" s="316"/>
      <c r="AY643" s="316"/>
      <c r="AZ643" s="316"/>
      <c r="BA643" s="316"/>
      <c r="BB643" s="316"/>
      <c r="BC643" s="316"/>
      <c r="BD643" s="316"/>
      <c r="BE643" s="316"/>
      <c r="BF643" s="316"/>
      <c r="BG643" s="316"/>
      <c r="BH643" s="316"/>
      <c r="BI643" s="316"/>
      <c r="BJ643" s="316"/>
      <c r="BK643" s="316"/>
      <c r="BL643" s="316"/>
      <c r="BM643" s="316"/>
      <c r="BN643" s="316"/>
    </row>
    <row r="644" hidden="1" outlineLevel="1">
      <c r="A644" s="303" t="s">
        <v>1006</v>
      </c>
      <c r="B644" s="304"/>
      <c r="C644" s="325" t="s">
        <v>52</v>
      </c>
      <c r="D644" s="326"/>
      <c r="E644" s="321"/>
      <c r="F644" s="322">
        <v>25000.0</v>
      </c>
      <c r="G644" s="326"/>
      <c r="H644" s="321"/>
      <c r="I644" s="322">
        <v>25000.0</v>
      </c>
      <c r="J644" s="326"/>
      <c r="K644" s="321"/>
      <c r="L644" s="322">
        <v>25000.0</v>
      </c>
      <c r="M644" s="326"/>
      <c r="N644" s="321"/>
      <c r="O644" s="322">
        <v>25000.0</v>
      </c>
      <c r="P644" s="326"/>
      <c r="Q644" s="321"/>
      <c r="R644" s="322">
        <v>25000.0</v>
      </c>
      <c r="S644" s="326"/>
      <c r="T644" s="321"/>
      <c r="U644" s="322">
        <v>25000.0</v>
      </c>
      <c r="V644" s="326"/>
      <c r="W644" s="321"/>
      <c r="X644" s="322">
        <v>25000.0</v>
      </c>
      <c r="Y644" s="326"/>
      <c r="Z644" s="321"/>
      <c r="AA644" s="322">
        <v>25000.0</v>
      </c>
      <c r="AB644" s="326"/>
      <c r="AC644" s="321"/>
      <c r="AD644" s="322">
        <v>25000.0</v>
      </c>
      <c r="AE644" s="326"/>
      <c r="AF644" s="321"/>
      <c r="AG644" s="322">
        <v>25000.0</v>
      </c>
      <c r="AH644" s="326"/>
      <c r="AI644" s="321"/>
      <c r="AJ644" s="322">
        <v>25000.0</v>
      </c>
      <c r="AK644" s="326"/>
      <c r="AL644" s="321"/>
      <c r="AM644" s="322">
        <v>25000.0</v>
      </c>
      <c r="AN644" s="316" t="s">
        <v>216</v>
      </c>
      <c r="AO644" s="316"/>
      <c r="AP644" s="316"/>
      <c r="AQ644" s="316"/>
      <c r="AR644" s="316"/>
      <c r="AS644" s="316"/>
      <c r="AT644" s="316"/>
      <c r="AU644" s="316"/>
      <c r="AV644" s="316"/>
      <c r="AW644" s="316"/>
      <c r="AX644" s="316"/>
      <c r="AY644" s="316"/>
      <c r="AZ644" s="316"/>
      <c r="BA644" s="316"/>
      <c r="BB644" s="316"/>
      <c r="BC644" s="316"/>
      <c r="BD644" s="316"/>
      <c r="BE644" s="316"/>
      <c r="BF644" s="316"/>
      <c r="BG644" s="316"/>
      <c r="BH644" s="316"/>
      <c r="BI644" s="316"/>
      <c r="BJ644" s="316"/>
      <c r="BK644" s="316"/>
      <c r="BL644" s="316"/>
      <c r="BM644" s="316"/>
      <c r="BN644" s="316"/>
    </row>
    <row r="645" hidden="1" outlineLevel="1">
      <c r="A645" s="303" t="s">
        <v>1006</v>
      </c>
      <c r="B645" s="317" t="s">
        <v>1005</v>
      </c>
      <c r="C645" s="325" t="s">
        <v>53</v>
      </c>
      <c r="D645" s="326"/>
      <c r="E645" s="321"/>
      <c r="F645" s="322">
        <v>10000.0</v>
      </c>
      <c r="G645" s="326"/>
      <c r="H645" s="321"/>
      <c r="I645" s="322">
        <v>10000.0</v>
      </c>
      <c r="J645" s="326"/>
      <c r="K645" s="321"/>
      <c r="L645" s="322">
        <v>10000.0</v>
      </c>
      <c r="M645" s="326"/>
      <c r="N645" s="321"/>
      <c r="O645" s="322">
        <v>10000.0</v>
      </c>
      <c r="P645" s="326"/>
      <c r="Q645" s="321"/>
      <c r="R645" s="322">
        <v>10000.0</v>
      </c>
      <c r="S645" s="326"/>
      <c r="T645" s="321"/>
      <c r="U645" s="322">
        <v>10000.0</v>
      </c>
      <c r="V645" s="326"/>
      <c r="W645" s="321"/>
      <c r="X645" s="322">
        <v>10000.0</v>
      </c>
      <c r="Y645" s="326"/>
      <c r="Z645" s="321"/>
      <c r="AA645" s="322">
        <v>10000.0</v>
      </c>
      <c r="AB645" s="326"/>
      <c r="AC645" s="321"/>
      <c r="AD645" s="322">
        <v>10000.0</v>
      </c>
      <c r="AE645" s="326"/>
      <c r="AF645" s="321"/>
      <c r="AG645" s="322">
        <v>10000.0</v>
      </c>
      <c r="AH645" s="326"/>
      <c r="AI645" s="321"/>
      <c r="AJ645" s="322">
        <v>10000.0</v>
      </c>
      <c r="AK645" s="326"/>
      <c r="AL645" s="321"/>
      <c r="AM645" s="322">
        <v>10000.0</v>
      </c>
      <c r="AN645" s="316" t="s">
        <v>216</v>
      </c>
      <c r="AO645" s="316"/>
      <c r="AP645" s="316"/>
      <c r="AQ645" s="316"/>
      <c r="AR645" s="316"/>
      <c r="AS645" s="316"/>
      <c r="AT645" s="316"/>
      <c r="AU645" s="316"/>
      <c r="AV645" s="316"/>
      <c r="AW645" s="316"/>
      <c r="AX645" s="316"/>
      <c r="AY645" s="316"/>
      <c r="AZ645" s="316"/>
      <c r="BA645" s="316"/>
      <c r="BB645" s="316"/>
      <c r="BC645" s="316"/>
      <c r="BD645" s="316"/>
      <c r="BE645" s="316"/>
      <c r="BF645" s="316"/>
      <c r="BG645" s="316"/>
      <c r="BH645" s="316"/>
      <c r="BI645" s="316"/>
      <c r="BJ645" s="316"/>
      <c r="BK645" s="316"/>
      <c r="BL645" s="316"/>
      <c r="BM645" s="316"/>
      <c r="BN645" s="316"/>
    </row>
    <row r="646" hidden="1" outlineLevel="1">
      <c r="A646" s="303" t="s">
        <v>1006</v>
      </c>
      <c r="B646" s="304"/>
      <c r="C646" s="325" t="s">
        <v>54</v>
      </c>
      <c r="D646" s="327"/>
      <c r="E646" s="321"/>
      <c r="F646" s="322">
        <f>SUMIFS('지출'!$G$3:$G794,'지출'!$J$3:$J794,F$1,'지출'!$C$3:$C794,"영영2")</f>
        <v>82500</v>
      </c>
      <c r="G646" s="327"/>
      <c r="H646" s="321"/>
      <c r="I646" s="322">
        <f>SUMIFS('지출'!$G$3:$G794,'지출'!$J$3:$J794,I$1,'지출'!$C$3:$C794,"영영2")</f>
        <v>66600</v>
      </c>
      <c r="J646" s="327"/>
      <c r="K646" s="321"/>
      <c r="L646" s="322">
        <f>SUMIFS('지출'!$G$3:$G794,'지출'!$J$3:$J794,L$1,'지출'!$C$3:$C794,"영영2")</f>
        <v>12560</v>
      </c>
      <c r="M646" s="327"/>
      <c r="N646" s="321"/>
      <c r="O646" s="322">
        <f>SUMIFS('지출'!$G$3:$G794,'지출'!$J$3:$J794,O$1,'지출'!$C$3:$C794,"영영2")</f>
        <v>0</v>
      </c>
      <c r="P646" s="327"/>
      <c r="Q646" s="321"/>
      <c r="R646" s="322">
        <f>SUMIFS('지출'!$G$3:$G794,'지출'!$J$3:$J794,R$1,'지출'!$C$3:$C794,"영영2")</f>
        <v>0</v>
      </c>
      <c r="S646" s="327"/>
      <c r="T646" s="321"/>
      <c r="U646" s="322">
        <f>SUMIFS('지출'!$G$3:$G794,'지출'!$J$3:$J794,U$1,'지출'!$C$3:$C794,"영영2")</f>
        <v>0</v>
      </c>
      <c r="V646" s="327"/>
      <c r="W646" s="321"/>
      <c r="X646" s="322">
        <f>SUMIFS('지출'!$G$3:$G794,'지출'!$J$3:$J794,X$1,'지출'!$C$3:$C794,"영영2")</f>
        <v>0</v>
      </c>
      <c r="Y646" s="327"/>
      <c r="Z646" s="321"/>
      <c r="AA646" s="322">
        <f>SUMIFS('지출'!$G$3:$G794,'지출'!$J$3:$J794,AA$1,'지출'!$C$3:$C794,"영영2")</f>
        <v>0</v>
      </c>
      <c r="AB646" s="327"/>
      <c r="AC646" s="321"/>
      <c r="AD646" s="322">
        <f>SUMIFS('지출'!$G$3:$G794,'지출'!$J$3:$J794,AD$1,'지출'!$C$3:$C794,"영영2")</f>
        <v>0</v>
      </c>
      <c r="AE646" s="327"/>
      <c r="AF646" s="321"/>
      <c r="AG646" s="322">
        <f>SUMIFS('지출'!$G$3:$G794,'지출'!$J$3:$J794,AG$1,'지출'!$C$3:$C794,"영영2")</f>
        <v>0</v>
      </c>
      <c r="AH646" s="327"/>
      <c r="AI646" s="321"/>
      <c r="AJ646" s="322">
        <f>SUMIFS('지출'!$G$3:$G794,'지출'!$J$3:$J794,AJ$1,'지출'!$C$3:$C794,"영영2")</f>
        <v>0</v>
      </c>
      <c r="AK646" s="327"/>
      <c r="AL646" s="321"/>
      <c r="AM646" s="322">
        <f>SUMIFS('지출'!$G$3:$G794,'지출'!$J$3:$J794,AM$1,'지출'!$C$3:$C794,"영영2")</f>
        <v>0</v>
      </c>
      <c r="AN646" s="316" t="s">
        <v>216</v>
      </c>
      <c r="AO646" s="316"/>
      <c r="AP646" s="316"/>
      <c r="AQ646" s="316"/>
      <c r="AR646" s="316"/>
      <c r="AS646" s="316"/>
      <c r="AT646" s="316"/>
      <c r="AU646" s="316"/>
      <c r="AV646" s="316"/>
      <c r="AW646" s="316"/>
      <c r="AX646" s="316"/>
      <c r="AY646" s="316"/>
      <c r="AZ646" s="316"/>
      <c r="BA646" s="316"/>
      <c r="BB646" s="316"/>
      <c r="BC646" s="316"/>
      <c r="BD646" s="316"/>
      <c r="BE646" s="316"/>
      <c r="BF646" s="316"/>
      <c r="BG646" s="316"/>
      <c r="BH646" s="316"/>
      <c r="BI646" s="316"/>
      <c r="BJ646" s="316"/>
      <c r="BK646" s="316"/>
      <c r="BL646" s="316"/>
      <c r="BM646" s="316"/>
      <c r="BN646" s="316"/>
    </row>
    <row r="647" hidden="1" outlineLevel="1">
      <c r="A647" s="303" t="s">
        <v>1006</v>
      </c>
      <c r="B647" s="304"/>
      <c r="C647" s="325" t="s">
        <v>56</v>
      </c>
      <c r="D647" s="320"/>
      <c r="E647" s="323">
        <f t="shared" ref="E647:F647" si="891">E638-(SUM(E639:E646))</f>
        <v>710000</v>
      </c>
      <c r="F647" s="324">
        <f t="shared" si="891"/>
        <v>-69980</v>
      </c>
      <c r="G647" s="320"/>
      <c r="H647" s="323">
        <f t="shared" ref="H647:I647" si="892">H638-(SUM(H639:H646))</f>
        <v>710000</v>
      </c>
      <c r="I647" s="324">
        <f t="shared" si="892"/>
        <v>-110220</v>
      </c>
      <c r="J647" s="320"/>
      <c r="K647" s="323">
        <f t="shared" ref="K647:L647" si="893">K638-(SUM(K639:K646))</f>
        <v>260000</v>
      </c>
      <c r="L647" s="324">
        <f t="shared" si="893"/>
        <v>-107350</v>
      </c>
      <c r="M647" s="320"/>
      <c r="N647" s="323">
        <f t="shared" ref="N647:O647" si="894">N638-(SUM(N639:N646))</f>
        <v>260000</v>
      </c>
      <c r="O647" s="324">
        <f t="shared" si="894"/>
        <v>165000</v>
      </c>
      <c r="P647" s="320"/>
      <c r="Q647" s="323">
        <f t="shared" ref="Q647:R647" si="895">Q638-(SUM(Q639:Q646))</f>
        <v>260000</v>
      </c>
      <c r="R647" s="324">
        <f t="shared" si="895"/>
        <v>165000</v>
      </c>
      <c r="S647" s="320"/>
      <c r="T647" s="323">
        <f t="shared" ref="T647:U647" si="896">T638-(SUM(T639:T646))</f>
        <v>260000</v>
      </c>
      <c r="U647" s="324">
        <f t="shared" si="896"/>
        <v>165000</v>
      </c>
      <c r="V647" s="320"/>
      <c r="W647" s="323">
        <f t="shared" ref="W647:X647" si="897">W638-(SUM(W639:W646))</f>
        <v>260000</v>
      </c>
      <c r="X647" s="324">
        <f t="shared" si="897"/>
        <v>165000</v>
      </c>
      <c r="Y647" s="320"/>
      <c r="Z647" s="323">
        <f t="shared" ref="Z647:AA647" si="898">Z638-(SUM(Z639:Z646))</f>
        <v>260000</v>
      </c>
      <c r="AA647" s="324">
        <f t="shared" si="898"/>
        <v>165000</v>
      </c>
      <c r="AB647" s="320"/>
      <c r="AC647" s="323">
        <f t="shared" ref="AC647:AD647" si="899">AC638-(SUM(AC639:AC646))</f>
        <v>260000</v>
      </c>
      <c r="AD647" s="324">
        <f t="shared" si="899"/>
        <v>165000</v>
      </c>
      <c r="AE647" s="320"/>
      <c r="AF647" s="323">
        <f t="shared" ref="AF647:AG647" si="900">AF638-(SUM(AF639:AF646))</f>
        <v>-250000</v>
      </c>
      <c r="AG647" s="324">
        <f t="shared" si="900"/>
        <v>65000</v>
      </c>
      <c r="AH647" s="320"/>
      <c r="AI647" s="323">
        <f t="shared" ref="AI647:AJ647" si="901">AI638-(SUM(AI639:AI646))</f>
        <v>-250000</v>
      </c>
      <c r="AJ647" s="324">
        <f t="shared" si="901"/>
        <v>65000</v>
      </c>
      <c r="AK647" s="320"/>
      <c r="AL647" s="323">
        <f t="shared" ref="AL647:AM647" si="902">AL638-(SUM(AL639:AL646))</f>
        <v>-250000</v>
      </c>
      <c r="AM647" s="324">
        <f t="shared" si="902"/>
        <v>65000</v>
      </c>
      <c r="AN647" s="316" t="s">
        <v>216</v>
      </c>
      <c r="AO647" s="316"/>
      <c r="AP647" s="316"/>
      <c r="AQ647" s="316"/>
      <c r="AR647" s="316"/>
      <c r="AS647" s="316"/>
      <c r="AT647" s="316"/>
      <c r="AU647" s="316"/>
      <c r="AV647" s="316"/>
      <c r="AW647" s="316"/>
      <c r="AX647" s="316"/>
      <c r="AY647" s="316"/>
      <c r="AZ647" s="316"/>
      <c r="BA647" s="316"/>
      <c r="BB647" s="316"/>
      <c r="BC647" s="316"/>
      <c r="BD647" s="316"/>
      <c r="BE647" s="316"/>
      <c r="BF647" s="316"/>
      <c r="BG647" s="316"/>
      <c r="BH647" s="316"/>
      <c r="BI647" s="316"/>
      <c r="BJ647" s="316"/>
      <c r="BK647" s="316"/>
      <c r="BL647" s="316"/>
      <c r="BM647" s="316"/>
      <c r="BN647" s="316"/>
    </row>
    <row r="648">
      <c r="A648" s="303" t="s">
        <v>1006</v>
      </c>
      <c r="B648" s="328">
        <v>0.0</v>
      </c>
      <c r="C648" s="325" t="s">
        <v>26</v>
      </c>
      <c r="D648" s="320"/>
      <c r="E648" s="323">
        <f>E647*$B648</f>
        <v>0</v>
      </c>
      <c r="F648" s="324"/>
      <c r="G648" s="320"/>
      <c r="H648" s="323">
        <f>H647*$B648</f>
        <v>0</v>
      </c>
      <c r="I648" s="324"/>
      <c r="J648" s="320"/>
      <c r="K648" s="323">
        <f>K647*$B648</f>
        <v>0</v>
      </c>
      <c r="L648" s="324"/>
      <c r="M648" s="320"/>
      <c r="N648" s="323">
        <f>N647*$B648</f>
        <v>0</v>
      </c>
      <c r="O648" s="324"/>
      <c r="P648" s="320"/>
      <c r="Q648" s="323">
        <f>Q647*$B648</f>
        <v>0</v>
      </c>
      <c r="R648" s="324"/>
      <c r="S648" s="320"/>
      <c r="T648" s="323">
        <f>T647*$B648</f>
        <v>0</v>
      </c>
      <c r="U648" s="324"/>
      <c r="V648" s="320"/>
      <c r="W648" s="323">
        <f>W647*$B648</f>
        <v>0</v>
      </c>
      <c r="X648" s="324"/>
      <c r="Y648" s="320"/>
      <c r="Z648" s="323">
        <f>Z647*$B648</f>
        <v>0</v>
      </c>
      <c r="AA648" s="324"/>
      <c r="AB648" s="320"/>
      <c r="AC648" s="323">
        <f>AC647*$B648</f>
        <v>0</v>
      </c>
      <c r="AD648" s="324"/>
      <c r="AE648" s="320"/>
      <c r="AF648" s="323">
        <f>AF647*$B648</f>
        <v>0</v>
      </c>
      <c r="AG648" s="324"/>
      <c r="AH648" s="320"/>
      <c r="AI648" s="323">
        <f>AI647*$B648</f>
        <v>0</v>
      </c>
      <c r="AJ648" s="324"/>
      <c r="AK648" s="320"/>
      <c r="AL648" s="323">
        <f>AL647*$B648</f>
        <v>0</v>
      </c>
      <c r="AM648" s="324"/>
      <c r="AN648" s="316" t="s">
        <v>216</v>
      </c>
      <c r="AO648" s="316"/>
      <c r="AP648" s="316"/>
      <c r="AQ648" s="316"/>
      <c r="AR648" s="316"/>
      <c r="AS648" s="316"/>
      <c r="AT648" s="316"/>
      <c r="AU648" s="316"/>
      <c r="AV648" s="316"/>
      <c r="AW648" s="316"/>
      <c r="AX648" s="316"/>
      <c r="AY648" s="316"/>
      <c r="AZ648" s="316"/>
      <c r="BA648" s="316"/>
      <c r="BB648" s="316"/>
      <c r="BC648" s="316"/>
      <c r="BD648" s="316"/>
      <c r="BE648" s="316"/>
      <c r="BF648" s="316"/>
      <c r="BG648" s="316"/>
      <c r="BH648" s="316"/>
      <c r="BI648" s="316"/>
      <c r="BJ648" s="316"/>
      <c r="BK648" s="316"/>
      <c r="BL648" s="316"/>
      <c r="BM648" s="316"/>
      <c r="BN648" s="316"/>
    </row>
    <row r="649">
      <c r="A649" s="303" t="s">
        <v>1006</v>
      </c>
      <c r="B649" s="329">
        <v>1.0</v>
      </c>
      <c r="C649" s="330" t="s">
        <v>57</v>
      </c>
      <c r="D649" s="331"/>
      <c r="E649" s="332">
        <f>E647*$B649</f>
        <v>710000</v>
      </c>
      <c r="F649" s="333"/>
      <c r="G649" s="331"/>
      <c r="H649" s="332">
        <f>H647*$B649</f>
        <v>710000</v>
      </c>
      <c r="I649" s="333"/>
      <c r="J649" s="331"/>
      <c r="K649" s="332">
        <f>K647*$B649</f>
        <v>260000</v>
      </c>
      <c r="L649" s="333"/>
      <c r="M649" s="331"/>
      <c r="N649" s="332">
        <f>N647*$B649</f>
        <v>260000</v>
      </c>
      <c r="O649" s="333"/>
      <c r="P649" s="331"/>
      <c r="Q649" s="332">
        <f>Q647*$B649</f>
        <v>260000</v>
      </c>
      <c r="R649" s="333"/>
      <c r="S649" s="331"/>
      <c r="T649" s="332">
        <f>T647*$B649</f>
        <v>260000</v>
      </c>
      <c r="U649" s="333"/>
      <c r="V649" s="331"/>
      <c r="W649" s="332">
        <f>W647*$B649</f>
        <v>260000</v>
      </c>
      <c r="X649" s="333"/>
      <c r="Y649" s="331"/>
      <c r="Z649" s="332">
        <f>Z647*$B649</f>
        <v>260000</v>
      </c>
      <c r="AA649" s="333"/>
      <c r="AB649" s="331"/>
      <c r="AC649" s="332">
        <f>AC647*$B649</f>
        <v>260000</v>
      </c>
      <c r="AD649" s="333"/>
      <c r="AE649" s="331"/>
      <c r="AF649" s="332">
        <f>AF647*$B649</f>
        <v>-250000</v>
      </c>
      <c r="AG649" s="333"/>
      <c r="AH649" s="331"/>
      <c r="AI649" s="332">
        <f>AI647*$B649</f>
        <v>-250000</v>
      </c>
      <c r="AJ649" s="333"/>
      <c r="AK649" s="331"/>
      <c r="AL649" s="332">
        <f>AL647*$B649</f>
        <v>-250000</v>
      </c>
      <c r="AM649" s="333"/>
      <c r="AN649" s="316" t="s">
        <v>216</v>
      </c>
      <c r="AO649" s="316"/>
      <c r="AP649" s="316"/>
      <c r="AQ649" s="316"/>
      <c r="AR649" s="316"/>
      <c r="AS649" s="316"/>
      <c r="AT649" s="316"/>
      <c r="AU649" s="316"/>
      <c r="AV649" s="316"/>
      <c r="AW649" s="316"/>
      <c r="AX649" s="316"/>
      <c r="AY649" s="316"/>
      <c r="AZ649" s="316"/>
      <c r="BA649" s="316"/>
      <c r="BB649" s="316"/>
      <c r="BC649" s="316"/>
      <c r="BD649" s="316"/>
      <c r="BE649" s="316"/>
      <c r="BF649" s="316"/>
      <c r="BG649" s="316"/>
      <c r="BH649" s="316"/>
      <c r="BI649" s="316"/>
      <c r="BJ649" s="316"/>
      <c r="BK649" s="316"/>
      <c r="BL649" s="316"/>
      <c r="BM649" s="316"/>
      <c r="BN649" s="316"/>
    </row>
    <row r="650">
      <c r="A650" s="303" t="s">
        <v>1021</v>
      </c>
      <c r="B650" s="384" t="s">
        <v>1021</v>
      </c>
      <c r="C650" s="385" t="s">
        <v>898</v>
      </c>
      <c r="D650" s="341" t="s">
        <v>2331</v>
      </c>
      <c r="E650" s="335">
        <v>520000.0</v>
      </c>
      <c r="F650" s="346">
        <f>100000+20000</f>
        <v>120000</v>
      </c>
      <c r="G650" s="341" t="s">
        <v>2331</v>
      </c>
      <c r="H650" s="335">
        <v>520000.0</v>
      </c>
      <c r="I650" s="346">
        <f>100000+35000</f>
        <v>135000</v>
      </c>
      <c r="J650" s="353" t="s">
        <v>2332</v>
      </c>
      <c r="K650" s="321">
        <v>335484.0</v>
      </c>
      <c r="L650" s="322">
        <f>64516+50000</f>
        <v>114516</v>
      </c>
      <c r="M650" s="326" t="s">
        <v>2333</v>
      </c>
      <c r="N650" s="348">
        <v>405000.0</v>
      </c>
      <c r="O650" s="345">
        <v>90000.0</v>
      </c>
      <c r="P650" s="326" t="s">
        <v>1913</v>
      </c>
      <c r="Q650" s="348">
        <v>450000.0</v>
      </c>
      <c r="R650" s="346">
        <v>100000.0</v>
      </c>
      <c r="S650" s="326" t="s">
        <v>1913</v>
      </c>
      <c r="T650" s="348">
        <v>450000.0</v>
      </c>
      <c r="U650" s="346">
        <v>100000.0</v>
      </c>
      <c r="V650" s="326" t="s">
        <v>1913</v>
      </c>
      <c r="W650" s="348">
        <v>450000.0</v>
      </c>
      <c r="X650" s="346">
        <v>100000.0</v>
      </c>
      <c r="Y650" s="326" t="s">
        <v>1913</v>
      </c>
      <c r="Z650" s="348">
        <v>450000.0</v>
      </c>
      <c r="AA650" s="346">
        <v>100000.0</v>
      </c>
      <c r="AB650" s="326" t="s">
        <v>1913</v>
      </c>
      <c r="AC650" s="348">
        <v>450000.0</v>
      </c>
      <c r="AD650" s="346">
        <v>100000.0</v>
      </c>
      <c r="AE650" s="326" t="s">
        <v>1913</v>
      </c>
      <c r="AF650" s="348">
        <v>450000.0</v>
      </c>
      <c r="AG650" s="346">
        <v>100000.0</v>
      </c>
      <c r="AH650" s="326" t="s">
        <v>1913</v>
      </c>
      <c r="AI650" s="348">
        <v>450000.0</v>
      </c>
      <c r="AJ650" s="346">
        <v>100000.0</v>
      </c>
      <c r="AK650" s="326" t="s">
        <v>1913</v>
      </c>
      <c r="AL650" s="348">
        <v>450000.0</v>
      </c>
      <c r="AM650" s="346">
        <v>100000.0</v>
      </c>
      <c r="AN650" s="316" t="s">
        <v>321</v>
      </c>
      <c r="AO650" s="316"/>
      <c r="AP650" s="316"/>
      <c r="AQ650" s="316"/>
      <c r="AR650" s="316"/>
      <c r="AS650" s="316"/>
      <c r="AT650" s="316"/>
      <c r="AU650" s="316"/>
      <c r="AV650" s="316"/>
      <c r="AW650" s="316"/>
      <c r="AX650" s="316"/>
      <c r="AY650" s="316"/>
      <c r="AZ650" s="316"/>
      <c r="BA650" s="316"/>
      <c r="BB650" s="316"/>
      <c r="BC650" s="316"/>
      <c r="BD650" s="316"/>
      <c r="BE650" s="316"/>
      <c r="BF650" s="316"/>
      <c r="BG650" s="316"/>
      <c r="BH650" s="316"/>
      <c r="BI650" s="316"/>
      <c r="BJ650" s="316"/>
      <c r="BK650" s="316"/>
      <c r="BL650" s="316"/>
      <c r="BM650" s="316"/>
      <c r="BN650" s="316"/>
    </row>
    <row r="651">
      <c r="A651" s="303" t="s">
        <v>1021</v>
      </c>
      <c r="B651" s="384" t="s">
        <v>1021</v>
      </c>
      <c r="C651" s="385" t="s">
        <v>1024</v>
      </c>
      <c r="D651" s="341" t="s">
        <v>1023</v>
      </c>
      <c r="E651" s="335">
        <v>500000.0</v>
      </c>
      <c r="F651" s="346">
        <f>80000+20000</f>
        <v>100000</v>
      </c>
      <c r="G651" s="341" t="s">
        <v>1023</v>
      </c>
      <c r="H651" s="335">
        <v>500000.0</v>
      </c>
      <c r="I651" s="346">
        <f>80000+35000</f>
        <v>115000</v>
      </c>
      <c r="J651" s="341" t="s">
        <v>1023</v>
      </c>
      <c r="K651" s="335">
        <v>500000.0</v>
      </c>
      <c r="L651" s="346">
        <f>100000+50000</f>
        <v>150000</v>
      </c>
      <c r="M651" s="341" t="s">
        <v>1023</v>
      </c>
      <c r="N651" s="335">
        <v>500000.0</v>
      </c>
      <c r="O651" s="346">
        <v>100000.0</v>
      </c>
      <c r="P651" s="341" t="s">
        <v>1023</v>
      </c>
      <c r="Q651" s="335">
        <v>500000.0</v>
      </c>
      <c r="R651" s="346">
        <v>100000.0</v>
      </c>
      <c r="S651" s="341" t="s">
        <v>1023</v>
      </c>
      <c r="T651" s="335">
        <v>500000.0</v>
      </c>
      <c r="U651" s="346">
        <v>100000.0</v>
      </c>
      <c r="V651" s="341" t="s">
        <v>1023</v>
      </c>
      <c r="W651" s="335">
        <v>500000.0</v>
      </c>
      <c r="X651" s="346">
        <v>100000.0</v>
      </c>
      <c r="Y651" s="341" t="s">
        <v>1023</v>
      </c>
      <c r="Z651" s="335">
        <v>500000.0</v>
      </c>
      <c r="AA651" s="346">
        <v>100000.0</v>
      </c>
      <c r="AB651" s="341" t="s">
        <v>1023</v>
      </c>
      <c r="AC651" s="335">
        <v>500000.0</v>
      </c>
      <c r="AD651" s="346">
        <v>100000.0</v>
      </c>
      <c r="AE651" s="341" t="s">
        <v>1023</v>
      </c>
      <c r="AF651" s="335">
        <v>500000.0</v>
      </c>
      <c r="AG651" s="346">
        <v>100000.0</v>
      </c>
      <c r="AH651" s="341" t="s">
        <v>1023</v>
      </c>
      <c r="AI651" s="335">
        <v>500000.0</v>
      </c>
      <c r="AJ651" s="346">
        <v>100000.0</v>
      </c>
      <c r="AK651" s="341" t="s">
        <v>1023</v>
      </c>
      <c r="AL651" s="335">
        <v>500000.0</v>
      </c>
      <c r="AM651" s="346">
        <v>100000.0</v>
      </c>
      <c r="AN651" s="316" t="s">
        <v>321</v>
      </c>
      <c r="AO651" s="316"/>
      <c r="AP651" s="316"/>
      <c r="AQ651" s="316"/>
      <c r="AR651" s="316"/>
      <c r="AS651" s="316"/>
      <c r="AT651" s="316"/>
      <c r="AU651" s="316"/>
      <c r="AV651" s="316"/>
      <c r="AW651" s="316"/>
      <c r="AX651" s="316"/>
      <c r="AY651" s="316"/>
      <c r="AZ651" s="316"/>
      <c r="BA651" s="316"/>
      <c r="BB651" s="316"/>
      <c r="BC651" s="316"/>
      <c r="BD651" s="316"/>
      <c r="BE651" s="316"/>
      <c r="BF651" s="316"/>
      <c r="BG651" s="316"/>
      <c r="BH651" s="316"/>
      <c r="BI651" s="316"/>
      <c r="BJ651" s="316"/>
      <c r="BK651" s="316"/>
      <c r="BL651" s="316"/>
      <c r="BM651" s="316"/>
      <c r="BN651" s="316"/>
    </row>
    <row r="652">
      <c r="A652" s="303" t="s">
        <v>1021</v>
      </c>
      <c r="B652" s="384" t="s">
        <v>1021</v>
      </c>
      <c r="C652" s="325" t="s">
        <v>909</v>
      </c>
      <c r="D652" s="341" t="s">
        <v>37</v>
      </c>
      <c r="E652" s="350"/>
      <c r="F652" s="351"/>
      <c r="G652" s="353" t="s">
        <v>2334</v>
      </c>
      <c r="H652" s="348">
        <v>500000.0</v>
      </c>
      <c r="I652" s="346"/>
      <c r="J652" s="326" t="s">
        <v>2335</v>
      </c>
      <c r="K652" s="321">
        <v>300000.0</v>
      </c>
      <c r="L652" s="322">
        <v>50000.0</v>
      </c>
      <c r="M652" s="326" t="s">
        <v>2336</v>
      </c>
      <c r="N652" s="321">
        <v>300000.0</v>
      </c>
      <c r="O652" s="322">
        <v>50000.0</v>
      </c>
      <c r="P652" s="326"/>
      <c r="Q652" s="321"/>
      <c r="R652" s="322"/>
      <c r="S652" s="326"/>
      <c r="T652" s="321"/>
      <c r="U652" s="322"/>
      <c r="V652" s="326"/>
      <c r="W652" s="321"/>
      <c r="X652" s="322"/>
      <c r="Y652" s="326"/>
      <c r="Z652" s="321"/>
      <c r="AA652" s="322"/>
      <c r="AB652" s="326"/>
      <c r="AC652" s="321"/>
      <c r="AD652" s="322"/>
      <c r="AE652" s="326"/>
      <c r="AF652" s="321"/>
      <c r="AG652" s="322"/>
      <c r="AH652" s="326"/>
      <c r="AI652" s="321"/>
      <c r="AJ652" s="322"/>
      <c r="AK652" s="326"/>
      <c r="AL652" s="321"/>
      <c r="AM652" s="322"/>
      <c r="AN652" s="316" t="s">
        <v>321</v>
      </c>
      <c r="AO652" s="316"/>
      <c r="AP652" s="316"/>
      <c r="AQ652" s="316"/>
      <c r="AR652" s="316"/>
      <c r="AS652" s="316"/>
      <c r="AT652" s="316"/>
      <c r="AU652" s="316"/>
      <c r="AV652" s="316"/>
      <c r="AW652" s="316"/>
      <c r="AX652" s="316"/>
      <c r="AY652" s="316"/>
      <c r="AZ652" s="316"/>
      <c r="BA652" s="316"/>
      <c r="BB652" s="316"/>
      <c r="BC652" s="316"/>
      <c r="BD652" s="316"/>
      <c r="BE652" s="316"/>
      <c r="BF652" s="316"/>
      <c r="BG652" s="316"/>
      <c r="BH652" s="316"/>
      <c r="BI652" s="316"/>
      <c r="BJ652" s="316"/>
      <c r="BK652" s="316"/>
      <c r="BL652" s="316"/>
      <c r="BM652" s="316"/>
      <c r="BN652" s="316"/>
    </row>
    <row r="653">
      <c r="A653" s="303" t="s">
        <v>1021</v>
      </c>
      <c r="B653" s="384" t="s">
        <v>1021</v>
      </c>
      <c r="C653" s="325" t="s">
        <v>316</v>
      </c>
      <c r="D653" s="341" t="s">
        <v>37</v>
      </c>
      <c r="E653" s="335"/>
      <c r="F653" s="346"/>
      <c r="G653" s="341" t="s">
        <v>37</v>
      </c>
      <c r="H653" s="335"/>
      <c r="I653" s="346"/>
      <c r="J653" s="326"/>
      <c r="K653" s="321"/>
      <c r="L653" s="322"/>
      <c r="M653" s="326"/>
      <c r="N653" s="321"/>
      <c r="O653" s="322"/>
      <c r="P653" s="326"/>
      <c r="Q653" s="321"/>
      <c r="R653" s="322"/>
      <c r="S653" s="326"/>
      <c r="T653" s="321"/>
      <c r="U653" s="322"/>
      <c r="V653" s="326"/>
      <c r="W653" s="321"/>
      <c r="X653" s="322"/>
      <c r="Y653" s="326"/>
      <c r="Z653" s="321"/>
      <c r="AA653" s="322"/>
      <c r="AB653" s="326"/>
      <c r="AC653" s="321"/>
      <c r="AD653" s="322"/>
      <c r="AE653" s="326"/>
      <c r="AF653" s="321"/>
      <c r="AG653" s="322"/>
      <c r="AH653" s="326"/>
      <c r="AI653" s="321"/>
      <c r="AJ653" s="322"/>
      <c r="AK653" s="326"/>
      <c r="AL653" s="321"/>
      <c r="AM653" s="322"/>
      <c r="AN653" s="316" t="s">
        <v>321</v>
      </c>
      <c r="AO653" s="316"/>
      <c r="AP653" s="316"/>
      <c r="AQ653" s="316"/>
      <c r="AR653" s="316"/>
      <c r="AS653" s="316"/>
      <c r="AT653" s="316"/>
      <c r="AU653" s="316"/>
      <c r="AV653" s="316"/>
      <c r="AW653" s="316"/>
      <c r="AX653" s="316"/>
      <c r="AY653" s="316"/>
      <c r="AZ653" s="316"/>
      <c r="BA653" s="316"/>
      <c r="BB653" s="316"/>
      <c r="BC653" s="316"/>
      <c r="BD653" s="316"/>
      <c r="BE653" s="316"/>
      <c r="BF653" s="316"/>
      <c r="BG653" s="316"/>
      <c r="BH653" s="316"/>
      <c r="BI653" s="316"/>
      <c r="BJ653" s="316"/>
      <c r="BK653" s="316"/>
      <c r="BL653" s="316"/>
      <c r="BM653" s="316"/>
      <c r="BN653" s="316"/>
    </row>
    <row r="654">
      <c r="A654" s="303" t="s">
        <v>1021</v>
      </c>
      <c r="B654" s="304"/>
      <c r="C654" s="305" t="s">
        <v>42</v>
      </c>
      <c r="D654" s="320"/>
      <c r="E654" s="323">
        <f t="shared" ref="E654:F654" si="903">SUM(E650:E653)</f>
        <v>1020000</v>
      </c>
      <c r="F654" s="324">
        <f t="shared" si="903"/>
        <v>220000</v>
      </c>
      <c r="G654" s="320"/>
      <c r="H654" s="323">
        <f t="shared" ref="H654:I654" si="904">SUM(H650:H653)</f>
        <v>1520000</v>
      </c>
      <c r="I654" s="324">
        <f t="shared" si="904"/>
        <v>250000</v>
      </c>
      <c r="J654" s="320"/>
      <c r="K654" s="323">
        <f t="shared" ref="K654:L654" si="905">SUM(K650:K653)</f>
        <v>1135484</v>
      </c>
      <c r="L654" s="324">
        <f t="shared" si="905"/>
        <v>314516</v>
      </c>
      <c r="M654" s="320"/>
      <c r="N654" s="323">
        <f t="shared" ref="N654:O654" si="906">SUM(N650:N653)</f>
        <v>1205000</v>
      </c>
      <c r="O654" s="324">
        <f t="shared" si="906"/>
        <v>240000</v>
      </c>
      <c r="P654" s="320"/>
      <c r="Q654" s="323">
        <f t="shared" ref="Q654:R654" si="907">SUM(Q650:Q653)</f>
        <v>950000</v>
      </c>
      <c r="R654" s="324">
        <f t="shared" si="907"/>
        <v>200000</v>
      </c>
      <c r="S654" s="320"/>
      <c r="T654" s="323">
        <f t="shared" ref="T654:U654" si="908">SUM(T650:T653)</f>
        <v>950000</v>
      </c>
      <c r="U654" s="324">
        <f t="shared" si="908"/>
        <v>200000</v>
      </c>
      <c r="V654" s="320"/>
      <c r="W654" s="323">
        <f t="shared" ref="W654:X654" si="909">SUM(W650:W653)</f>
        <v>950000</v>
      </c>
      <c r="X654" s="324">
        <f t="shared" si="909"/>
        <v>200000</v>
      </c>
      <c r="Y654" s="320"/>
      <c r="Z654" s="323">
        <f t="shared" ref="Z654:AA654" si="910">SUM(Z650:Z653)</f>
        <v>950000</v>
      </c>
      <c r="AA654" s="324">
        <f t="shared" si="910"/>
        <v>200000</v>
      </c>
      <c r="AB654" s="320"/>
      <c r="AC654" s="323">
        <f t="shared" ref="AC654:AD654" si="911">SUM(AC650:AC653)</f>
        <v>950000</v>
      </c>
      <c r="AD654" s="324">
        <f t="shared" si="911"/>
        <v>200000</v>
      </c>
      <c r="AE654" s="320"/>
      <c r="AF654" s="323">
        <f t="shared" ref="AF654:AG654" si="912">SUM(AF650:AF653)</f>
        <v>950000</v>
      </c>
      <c r="AG654" s="324">
        <f t="shared" si="912"/>
        <v>200000</v>
      </c>
      <c r="AH654" s="320"/>
      <c r="AI654" s="323">
        <f t="shared" ref="AI654:AJ654" si="913">SUM(AI650:AI653)</f>
        <v>950000</v>
      </c>
      <c r="AJ654" s="324">
        <f t="shared" si="913"/>
        <v>200000</v>
      </c>
      <c r="AK654" s="320"/>
      <c r="AL654" s="323">
        <f t="shared" ref="AL654:AM654" si="914">SUM(AL650:AL653)</f>
        <v>950000</v>
      </c>
      <c r="AM654" s="324">
        <f t="shared" si="914"/>
        <v>200000</v>
      </c>
      <c r="AN654" s="316" t="s">
        <v>321</v>
      </c>
      <c r="AO654" s="316"/>
      <c r="AP654" s="316"/>
      <c r="AQ654" s="316"/>
      <c r="AR654" s="316"/>
      <c r="AS654" s="316"/>
      <c r="AT654" s="316"/>
      <c r="AU654" s="316"/>
      <c r="AV654" s="316"/>
      <c r="AW654" s="316"/>
      <c r="AX654" s="316"/>
      <c r="AY654" s="316"/>
      <c r="AZ654" s="316"/>
      <c r="BA654" s="316"/>
      <c r="BB654" s="316"/>
      <c r="BC654" s="316"/>
      <c r="BD654" s="316"/>
      <c r="BE654" s="316"/>
      <c r="BF654" s="316"/>
      <c r="BG654" s="316"/>
      <c r="BH654" s="316"/>
      <c r="BI654" s="316"/>
      <c r="BJ654" s="316"/>
      <c r="BK654" s="316"/>
      <c r="BL654" s="316"/>
      <c r="BM654" s="316"/>
      <c r="BN654" s="316"/>
    </row>
    <row r="655" collapsed="1">
      <c r="A655" s="303" t="s">
        <v>1021</v>
      </c>
      <c r="B655" s="304"/>
      <c r="C655" s="325" t="s">
        <v>43</v>
      </c>
      <c r="D655" s="326"/>
      <c r="E655" s="321">
        <v>782000.0</v>
      </c>
      <c r="F655" s="322"/>
      <c r="G655" s="326"/>
      <c r="H655" s="321">
        <v>782000.0</v>
      </c>
      <c r="I655" s="322"/>
      <c r="J655" s="326"/>
      <c r="K655" s="321">
        <v>782000.0</v>
      </c>
      <c r="L655" s="322"/>
      <c r="M655" s="326"/>
      <c r="N655" s="321">
        <v>782000.0</v>
      </c>
      <c r="O655" s="322"/>
      <c r="P655" s="326"/>
      <c r="Q655" s="321">
        <v>782000.0</v>
      </c>
      <c r="R655" s="322"/>
      <c r="S655" s="326"/>
      <c r="T655" s="321">
        <v>782000.0</v>
      </c>
      <c r="U655" s="322"/>
      <c r="V655" s="326"/>
      <c r="W655" s="321">
        <v>782000.0</v>
      </c>
      <c r="X655" s="322"/>
      <c r="Y655" s="326"/>
      <c r="Z655" s="321">
        <v>782000.0</v>
      </c>
      <c r="AA655" s="322"/>
      <c r="AB655" s="326"/>
      <c r="AC655" s="321">
        <v>782000.0</v>
      </c>
      <c r="AD655" s="322"/>
      <c r="AE655" s="326"/>
      <c r="AF655" s="321">
        <v>782000.0</v>
      </c>
      <c r="AG655" s="322"/>
      <c r="AH655" s="326"/>
      <c r="AI655" s="321">
        <v>782000.0</v>
      </c>
      <c r="AJ655" s="322"/>
      <c r="AK655" s="326"/>
      <c r="AL655" s="321">
        <v>782000.0</v>
      </c>
      <c r="AM655" s="322"/>
      <c r="AN655" s="316" t="s">
        <v>321</v>
      </c>
      <c r="AO655" s="316"/>
      <c r="AP655" s="316"/>
      <c r="AQ655" s="316"/>
      <c r="AR655" s="316"/>
      <c r="AS655" s="316"/>
      <c r="AT655" s="316"/>
      <c r="AU655" s="316"/>
      <c r="AV655" s="316"/>
      <c r="AW655" s="316"/>
      <c r="AX655" s="316"/>
      <c r="AY655" s="316"/>
      <c r="AZ655" s="316"/>
      <c r="BA655" s="316"/>
      <c r="BB655" s="316"/>
      <c r="BC655" s="316"/>
      <c r="BD655" s="316"/>
      <c r="BE655" s="316"/>
      <c r="BF655" s="316"/>
      <c r="BG655" s="316"/>
      <c r="BH655" s="316"/>
      <c r="BI655" s="316"/>
      <c r="BJ655" s="316"/>
      <c r="BK655" s="316"/>
      <c r="BL655" s="316"/>
      <c r="BM655" s="316"/>
      <c r="BN655" s="316"/>
    </row>
    <row r="656" hidden="1" outlineLevel="1">
      <c r="A656" s="303" t="s">
        <v>1021</v>
      </c>
      <c r="B656" s="317" t="s">
        <v>1038</v>
      </c>
      <c r="C656" s="325" t="s">
        <v>45</v>
      </c>
      <c r="D656" s="326"/>
      <c r="E656" s="321"/>
      <c r="F656" s="322" t="s">
        <v>44</v>
      </c>
      <c r="G656" s="326"/>
      <c r="H656" s="321"/>
      <c r="I656" s="322" t="s">
        <v>44</v>
      </c>
      <c r="J656" s="326"/>
      <c r="K656" s="321"/>
      <c r="L656" s="322"/>
      <c r="M656" s="326"/>
      <c r="N656" s="321"/>
      <c r="O656" s="322"/>
      <c r="P656" s="326"/>
      <c r="Q656" s="321"/>
      <c r="R656" s="322"/>
      <c r="S656" s="326"/>
      <c r="T656" s="321"/>
      <c r="U656" s="322"/>
      <c r="V656" s="326"/>
      <c r="W656" s="321"/>
      <c r="X656" s="322"/>
      <c r="Y656" s="326"/>
      <c r="Z656" s="321"/>
      <c r="AA656" s="322"/>
      <c r="AB656" s="326"/>
      <c r="AC656" s="321"/>
      <c r="AD656" s="322"/>
      <c r="AE656" s="326"/>
      <c r="AF656" s="321"/>
      <c r="AG656" s="322"/>
      <c r="AH656" s="326"/>
      <c r="AI656" s="321"/>
      <c r="AJ656" s="322"/>
      <c r="AK656" s="326"/>
      <c r="AL656" s="321"/>
      <c r="AM656" s="322"/>
      <c r="AN656" s="316" t="s">
        <v>321</v>
      </c>
      <c r="AO656" s="316"/>
      <c r="AP656" s="316"/>
      <c r="AQ656" s="316"/>
      <c r="AR656" s="316"/>
      <c r="AS656" s="316"/>
      <c r="AT656" s="316"/>
      <c r="AU656" s="316"/>
      <c r="AV656" s="316"/>
      <c r="AW656" s="316"/>
      <c r="AX656" s="316"/>
      <c r="AY656" s="316"/>
      <c r="AZ656" s="316"/>
      <c r="BA656" s="316"/>
      <c r="BB656" s="316"/>
      <c r="BC656" s="316"/>
      <c r="BD656" s="316"/>
      <c r="BE656" s="316"/>
      <c r="BF656" s="316"/>
      <c r="BG656" s="316"/>
      <c r="BH656" s="316"/>
      <c r="BI656" s="316"/>
      <c r="BJ656" s="316"/>
      <c r="BK656" s="316"/>
      <c r="BL656" s="316"/>
      <c r="BM656" s="316"/>
      <c r="BN656" s="316"/>
    </row>
    <row r="657" hidden="1" outlineLevel="1">
      <c r="A657" s="303" t="s">
        <v>1021</v>
      </c>
      <c r="B657" s="317" t="s">
        <v>1039</v>
      </c>
      <c r="C657" s="325" t="s">
        <v>303</v>
      </c>
      <c r="D657" s="326"/>
      <c r="E657" s="321"/>
      <c r="F657" s="322">
        <v>43080.0</v>
      </c>
      <c r="G657" s="326"/>
      <c r="H657" s="321"/>
      <c r="I657" s="322">
        <v>45340.0</v>
      </c>
      <c r="J657" s="326" t="s">
        <v>2039</v>
      </c>
      <c r="K657" s="321"/>
      <c r="L657" s="322">
        <v>45000.0</v>
      </c>
      <c r="M657" s="326" t="s">
        <v>2039</v>
      </c>
      <c r="N657" s="321"/>
      <c r="O657" s="322">
        <v>45000.0</v>
      </c>
      <c r="P657" s="326"/>
      <c r="Q657" s="321"/>
      <c r="R657" s="322"/>
      <c r="S657" s="326"/>
      <c r="T657" s="321"/>
      <c r="U657" s="322"/>
      <c r="V657" s="326"/>
      <c r="W657" s="321"/>
      <c r="X657" s="322"/>
      <c r="Y657" s="326"/>
      <c r="Z657" s="321"/>
      <c r="AA657" s="322"/>
      <c r="AB657" s="326"/>
      <c r="AC657" s="321"/>
      <c r="AD657" s="322"/>
      <c r="AE657" s="326"/>
      <c r="AF657" s="321"/>
      <c r="AG657" s="322"/>
      <c r="AH657" s="326"/>
      <c r="AI657" s="321"/>
      <c r="AJ657" s="322"/>
      <c r="AK657" s="326"/>
      <c r="AL657" s="321"/>
      <c r="AM657" s="322"/>
      <c r="AN657" s="316" t="s">
        <v>321</v>
      </c>
      <c r="AO657" s="316"/>
      <c r="AP657" s="316"/>
      <c r="AQ657" s="316"/>
      <c r="AR657" s="316"/>
      <c r="AS657" s="316"/>
      <c r="AT657" s="316"/>
      <c r="AU657" s="316"/>
      <c r="AV657" s="316"/>
      <c r="AW657" s="316"/>
      <c r="AX657" s="316"/>
      <c r="AY657" s="316"/>
      <c r="AZ657" s="316"/>
      <c r="BA657" s="316"/>
      <c r="BB657" s="316"/>
      <c r="BC657" s="316"/>
      <c r="BD657" s="316"/>
      <c r="BE657" s="316"/>
      <c r="BF657" s="316"/>
      <c r="BG657" s="316"/>
      <c r="BH657" s="316"/>
      <c r="BI657" s="316"/>
      <c r="BJ657" s="316"/>
      <c r="BK657" s="316"/>
      <c r="BL657" s="316"/>
      <c r="BM657" s="316"/>
      <c r="BN657" s="316"/>
    </row>
    <row r="658" hidden="1" outlineLevel="1">
      <c r="A658" s="303" t="s">
        <v>1021</v>
      </c>
      <c r="B658" s="317">
        <v>6.006338893E9</v>
      </c>
      <c r="C658" s="325" t="s">
        <v>261</v>
      </c>
      <c r="D658" s="326"/>
      <c r="E658" s="321"/>
      <c r="F658" s="322">
        <v>169910.0</v>
      </c>
      <c r="G658" s="326"/>
      <c r="H658" s="321"/>
      <c r="I658" s="322">
        <v>201170.0</v>
      </c>
      <c r="J658" s="326"/>
      <c r="K658" s="321"/>
      <c r="L658" s="322">
        <v>213940.0</v>
      </c>
      <c r="M658" s="326" t="s">
        <v>2039</v>
      </c>
      <c r="N658" s="321"/>
      <c r="O658" s="322">
        <v>200000.0</v>
      </c>
      <c r="P658" s="326"/>
      <c r="Q658" s="321"/>
      <c r="R658" s="322"/>
      <c r="S658" s="326"/>
      <c r="T658" s="321"/>
      <c r="U658" s="322"/>
      <c r="V658" s="326"/>
      <c r="W658" s="321"/>
      <c r="X658" s="322"/>
      <c r="Y658" s="326"/>
      <c r="Z658" s="321"/>
      <c r="AA658" s="322"/>
      <c r="AB658" s="326"/>
      <c r="AC658" s="321"/>
      <c r="AD658" s="322"/>
      <c r="AE658" s="326"/>
      <c r="AF658" s="321"/>
      <c r="AG658" s="322"/>
      <c r="AH658" s="326"/>
      <c r="AI658" s="321"/>
      <c r="AJ658" s="322"/>
      <c r="AK658" s="326"/>
      <c r="AL658" s="321"/>
      <c r="AM658" s="322"/>
      <c r="AN658" s="316" t="s">
        <v>321</v>
      </c>
      <c r="AO658" s="316"/>
      <c r="AP658" s="316"/>
      <c r="AQ658" s="316"/>
      <c r="AR658" s="316"/>
      <c r="AS658" s="316"/>
      <c r="AT658" s="316"/>
      <c r="AU658" s="316"/>
      <c r="AV658" s="316"/>
      <c r="AW658" s="316"/>
      <c r="AX658" s="316"/>
      <c r="AY658" s="316"/>
      <c r="AZ658" s="316"/>
      <c r="BA658" s="316"/>
      <c r="BB658" s="316"/>
      <c r="BC658" s="316"/>
      <c r="BD658" s="316"/>
      <c r="BE658" s="316"/>
      <c r="BF658" s="316"/>
      <c r="BG658" s="316"/>
      <c r="BH658" s="316"/>
      <c r="BI658" s="316"/>
      <c r="BJ658" s="316"/>
      <c r="BK658" s="316"/>
      <c r="BL658" s="316"/>
      <c r="BM658" s="316"/>
      <c r="BN658" s="316"/>
    </row>
    <row r="659" hidden="1" outlineLevel="1">
      <c r="A659" s="303" t="s">
        <v>1021</v>
      </c>
      <c r="B659" s="317" t="s">
        <v>1038</v>
      </c>
      <c r="C659" s="325" t="s">
        <v>2337</v>
      </c>
      <c r="D659" s="326"/>
      <c r="E659" s="321"/>
      <c r="F659" s="322">
        <v>32000.0</v>
      </c>
      <c r="G659" s="326"/>
      <c r="H659" s="321"/>
      <c r="I659" s="322">
        <v>32000.0</v>
      </c>
      <c r="J659" s="326"/>
      <c r="K659" s="321"/>
      <c r="L659" s="322">
        <v>32000.0</v>
      </c>
      <c r="M659" s="326"/>
      <c r="N659" s="321"/>
      <c r="O659" s="322">
        <v>32000.0</v>
      </c>
      <c r="P659" s="326"/>
      <c r="Q659" s="321"/>
      <c r="R659" s="322">
        <v>32000.0</v>
      </c>
      <c r="S659" s="326"/>
      <c r="T659" s="321"/>
      <c r="U659" s="322">
        <v>32000.0</v>
      </c>
      <c r="V659" s="326"/>
      <c r="W659" s="321"/>
      <c r="X659" s="322">
        <v>32000.0</v>
      </c>
      <c r="Y659" s="326"/>
      <c r="Z659" s="321"/>
      <c r="AA659" s="322">
        <v>32000.0</v>
      </c>
      <c r="AB659" s="326"/>
      <c r="AC659" s="321"/>
      <c r="AD659" s="322">
        <v>32000.0</v>
      </c>
      <c r="AE659" s="326"/>
      <c r="AF659" s="321"/>
      <c r="AG659" s="322">
        <v>32000.0</v>
      </c>
      <c r="AH659" s="326"/>
      <c r="AI659" s="321"/>
      <c r="AJ659" s="322">
        <v>32000.0</v>
      </c>
      <c r="AK659" s="326"/>
      <c r="AL659" s="321"/>
      <c r="AM659" s="322">
        <v>32000.0</v>
      </c>
      <c r="AN659" s="316" t="s">
        <v>321</v>
      </c>
      <c r="AO659" s="316"/>
      <c r="AP659" s="316"/>
      <c r="AQ659" s="316"/>
      <c r="AR659" s="316"/>
      <c r="AS659" s="316"/>
      <c r="AT659" s="316"/>
      <c r="AU659" s="316"/>
      <c r="AV659" s="316"/>
      <c r="AW659" s="316"/>
      <c r="AX659" s="316"/>
      <c r="AY659" s="316"/>
      <c r="AZ659" s="316"/>
      <c r="BA659" s="316"/>
      <c r="BB659" s="316"/>
      <c r="BC659" s="316"/>
      <c r="BD659" s="316"/>
      <c r="BE659" s="316"/>
      <c r="BF659" s="316"/>
      <c r="BG659" s="316"/>
      <c r="BH659" s="316"/>
      <c r="BI659" s="316"/>
      <c r="BJ659" s="316"/>
      <c r="BK659" s="316"/>
      <c r="BL659" s="316"/>
      <c r="BM659" s="316"/>
      <c r="BN659" s="316"/>
    </row>
    <row r="660" hidden="1" outlineLevel="1">
      <c r="A660" s="303" t="s">
        <v>1021</v>
      </c>
      <c r="B660" s="304"/>
      <c r="C660" s="325" t="s">
        <v>52</v>
      </c>
      <c r="D660" s="326"/>
      <c r="E660" s="321"/>
      <c r="F660" s="322">
        <v>25000.0</v>
      </c>
      <c r="G660" s="326"/>
      <c r="H660" s="321"/>
      <c r="I660" s="322">
        <v>25000.0</v>
      </c>
      <c r="J660" s="326"/>
      <c r="K660" s="321"/>
      <c r="L660" s="322">
        <v>25000.0</v>
      </c>
      <c r="M660" s="326"/>
      <c r="N660" s="321"/>
      <c r="O660" s="322">
        <v>25000.0</v>
      </c>
      <c r="P660" s="326"/>
      <c r="Q660" s="321"/>
      <c r="R660" s="322">
        <v>25000.0</v>
      </c>
      <c r="S660" s="326"/>
      <c r="T660" s="321"/>
      <c r="U660" s="322">
        <v>25000.0</v>
      </c>
      <c r="V660" s="326"/>
      <c r="W660" s="321"/>
      <c r="X660" s="322">
        <v>25000.0</v>
      </c>
      <c r="Y660" s="326"/>
      <c r="Z660" s="321"/>
      <c r="AA660" s="322">
        <v>25000.0</v>
      </c>
      <c r="AB660" s="326"/>
      <c r="AC660" s="321"/>
      <c r="AD660" s="322">
        <v>25000.0</v>
      </c>
      <c r="AE660" s="326"/>
      <c r="AF660" s="321"/>
      <c r="AG660" s="322">
        <v>25000.0</v>
      </c>
      <c r="AH660" s="326"/>
      <c r="AI660" s="321"/>
      <c r="AJ660" s="322">
        <v>25000.0</v>
      </c>
      <c r="AK660" s="326"/>
      <c r="AL660" s="321"/>
      <c r="AM660" s="322">
        <v>25000.0</v>
      </c>
      <c r="AN660" s="316" t="s">
        <v>321</v>
      </c>
      <c r="AO660" s="316"/>
      <c r="AP660" s="316"/>
      <c r="AQ660" s="316"/>
      <c r="AR660" s="316"/>
      <c r="AS660" s="316"/>
      <c r="AT660" s="316"/>
      <c r="AU660" s="316"/>
      <c r="AV660" s="316"/>
      <c r="AW660" s="316"/>
      <c r="AX660" s="316"/>
      <c r="AY660" s="316"/>
      <c r="AZ660" s="316"/>
      <c r="BA660" s="316"/>
      <c r="BB660" s="316"/>
      <c r="BC660" s="316"/>
      <c r="BD660" s="316"/>
      <c r="BE660" s="316"/>
      <c r="BF660" s="316"/>
      <c r="BG660" s="316"/>
      <c r="BH660" s="316"/>
      <c r="BI660" s="316"/>
      <c r="BJ660" s="316"/>
      <c r="BK660" s="316"/>
      <c r="BL660" s="316"/>
      <c r="BM660" s="316"/>
      <c r="BN660" s="316"/>
    </row>
    <row r="661" hidden="1" outlineLevel="1">
      <c r="A661" s="303" t="s">
        <v>1021</v>
      </c>
      <c r="B661" s="317" t="s">
        <v>264</v>
      </c>
      <c r="C661" s="325" t="s">
        <v>53</v>
      </c>
      <c r="D661" s="326"/>
      <c r="E661" s="321"/>
      <c r="F661" s="322">
        <v>11000.0</v>
      </c>
      <c r="G661" s="326"/>
      <c r="H661" s="321"/>
      <c r="I661" s="322">
        <v>11000.0</v>
      </c>
      <c r="J661" s="326"/>
      <c r="K661" s="321"/>
      <c r="L661" s="322">
        <v>11000.0</v>
      </c>
      <c r="M661" s="326"/>
      <c r="N661" s="321"/>
      <c r="O661" s="322">
        <v>11000.0</v>
      </c>
      <c r="P661" s="326"/>
      <c r="Q661" s="321"/>
      <c r="R661" s="322">
        <v>11000.0</v>
      </c>
      <c r="S661" s="326"/>
      <c r="T661" s="321"/>
      <c r="U661" s="322">
        <v>11000.0</v>
      </c>
      <c r="V661" s="326"/>
      <c r="W661" s="321"/>
      <c r="X661" s="322">
        <v>11000.0</v>
      </c>
      <c r="Y661" s="326"/>
      <c r="Z661" s="321"/>
      <c r="AA661" s="322">
        <v>11000.0</v>
      </c>
      <c r="AB661" s="326"/>
      <c r="AC661" s="321"/>
      <c r="AD661" s="322">
        <v>11000.0</v>
      </c>
      <c r="AE661" s="326"/>
      <c r="AF661" s="321"/>
      <c r="AG661" s="322">
        <v>11000.0</v>
      </c>
      <c r="AH661" s="326"/>
      <c r="AI661" s="321"/>
      <c r="AJ661" s="322">
        <v>11000.0</v>
      </c>
      <c r="AK661" s="326"/>
      <c r="AL661" s="321"/>
      <c r="AM661" s="322">
        <v>11000.0</v>
      </c>
      <c r="AN661" s="316" t="s">
        <v>321</v>
      </c>
      <c r="AO661" s="316"/>
      <c r="AP661" s="316"/>
      <c r="AQ661" s="316"/>
      <c r="AR661" s="316"/>
      <c r="AS661" s="316"/>
      <c r="AT661" s="316"/>
      <c r="AU661" s="316"/>
      <c r="AV661" s="316"/>
      <c r="AW661" s="316"/>
      <c r="AX661" s="316"/>
      <c r="AY661" s="316"/>
      <c r="AZ661" s="316"/>
      <c r="BA661" s="316"/>
      <c r="BB661" s="316"/>
      <c r="BC661" s="316"/>
      <c r="BD661" s="316"/>
      <c r="BE661" s="316"/>
      <c r="BF661" s="316"/>
      <c r="BG661" s="316"/>
      <c r="BH661" s="316"/>
      <c r="BI661" s="316"/>
      <c r="BJ661" s="316"/>
      <c r="BK661" s="316"/>
      <c r="BL661" s="316"/>
      <c r="BM661" s="316"/>
      <c r="BN661" s="316"/>
    </row>
    <row r="662" hidden="1" outlineLevel="1">
      <c r="A662" s="303" t="s">
        <v>1021</v>
      </c>
      <c r="B662" s="304"/>
      <c r="C662" s="325" t="s">
        <v>54</v>
      </c>
      <c r="D662" s="327"/>
      <c r="E662" s="321"/>
      <c r="F662" s="322">
        <f>SUMIFS('지출'!$G$3:$G794,'지출'!$J$3:$J794,F$1,'지출'!$C$3:$C794,"트리")</f>
        <v>44900</v>
      </c>
      <c r="G662" s="327"/>
      <c r="H662" s="321"/>
      <c r="I662" s="322">
        <f>SUMIFS('지출'!$G$3:$G794,'지출'!$J$3:$J794,I$1,'지출'!$C$3:$C794,"트리")</f>
        <v>40950</v>
      </c>
      <c r="J662" s="327"/>
      <c r="K662" s="321"/>
      <c r="L662" s="322">
        <f>SUMIFS('지출'!$G$3:$G794,'지출'!$J$3:$J794,L$1,'지출'!$C$3:$C794,"트리")</f>
        <v>159510</v>
      </c>
      <c r="M662" s="327"/>
      <c r="N662" s="321"/>
      <c r="O662" s="322">
        <f>SUMIFS('지출'!$G$3:$G794,'지출'!$J$3:$J794,O$1,'지출'!$C$3:$C794,"트리")</f>
        <v>0</v>
      </c>
      <c r="P662" s="327"/>
      <c r="Q662" s="321"/>
      <c r="R662" s="322">
        <f>SUMIFS('지출'!$G$3:$G794,'지출'!$J$3:$J794,R$1,'지출'!$C$3:$C794,"트리")</f>
        <v>0</v>
      </c>
      <c r="S662" s="327"/>
      <c r="T662" s="321"/>
      <c r="U662" s="322">
        <f>SUMIFS('지출'!$G$3:$G794,'지출'!$J$3:$J794,U$1,'지출'!$C$3:$C794,"트리")</f>
        <v>0</v>
      </c>
      <c r="V662" s="327"/>
      <c r="W662" s="321"/>
      <c r="X662" s="322">
        <f>SUMIFS('지출'!$G$3:$G794,'지출'!$J$3:$J794,X$1,'지출'!$C$3:$C794,"트리")</f>
        <v>0</v>
      </c>
      <c r="Y662" s="327"/>
      <c r="Z662" s="321"/>
      <c r="AA662" s="322">
        <f>SUMIFS('지출'!$G$3:$G794,'지출'!$J$3:$J794,AA$1,'지출'!$C$3:$C794,"트리")</f>
        <v>0</v>
      </c>
      <c r="AB662" s="327"/>
      <c r="AC662" s="321"/>
      <c r="AD662" s="322">
        <f>SUMIFS('지출'!$G$3:$G794,'지출'!$J$3:$J794,AD$1,'지출'!$C$3:$C794,"트리")</f>
        <v>0</v>
      </c>
      <c r="AE662" s="327"/>
      <c r="AF662" s="321"/>
      <c r="AG662" s="322">
        <f>SUMIFS('지출'!$G$3:$G794,'지출'!$J$3:$J794,AG$1,'지출'!$C$3:$C794,"트리")</f>
        <v>0</v>
      </c>
      <c r="AH662" s="327"/>
      <c r="AI662" s="321"/>
      <c r="AJ662" s="322">
        <f>SUMIFS('지출'!$G$3:$G794,'지출'!$J$3:$J794,AJ$1,'지출'!$C$3:$C794,"트리")</f>
        <v>0</v>
      </c>
      <c r="AK662" s="327"/>
      <c r="AL662" s="321"/>
      <c r="AM662" s="322">
        <f>SUMIFS('지출'!$G$3:$G794,'지출'!$J$3:$J794,AM$1,'지출'!$C$3:$C794,"트리")</f>
        <v>0</v>
      </c>
      <c r="AN662" s="316" t="s">
        <v>321</v>
      </c>
      <c r="AO662" s="316"/>
      <c r="AP662" s="316"/>
      <c r="AQ662" s="316"/>
      <c r="AR662" s="316"/>
      <c r="AS662" s="316"/>
      <c r="AT662" s="316"/>
      <c r="AU662" s="316"/>
      <c r="AV662" s="316"/>
      <c r="AW662" s="316"/>
      <c r="AX662" s="316"/>
      <c r="AY662" s="316"/>
      <c r="AZ662" s="316"/>
      <c r="BA662" s="316"/>
      <c r="BB662" s="316"/>
      <c r="BC662" s="316"/>
      <c r="BD662" s="316"/>
      <c r="BE662" s="316"/>
      <c r="BF662" s="316"/>
      <c r="BG662" s="316"/>
      <c r="BH662" s="316"/>
      <c r="BI662" s="316"/>
      <c r="BJ662" s="316"/>
      <c r="BK662" s="316"/>
      <c r="BL662" s="316"/>
      <c r="BM662" s="316"/>
      <c r="BN662" s="316"/>
    </row>
    <row r="663" hidden="1" outlineLevel="1">
      <c r="A663" s="303" t="s">
        <v>1021</v>
      </c>
      <c r="B663" s="304"/>
      <c r="C663" s="325" t="s">
        <v>56</v>
      </c>
      <c r="D663" s="320"/>
      <c r="E663" s="323">
        <f t="shared" ref="E663:F663" si="915">E654-(SUM(E655:E662))</f>
        <v>238000</v>
      </c>
      <c r="F663" s="324">
        <f t="shared" si="915"/>
        <v>-105890</v>
      </c>
      <c r="G663" s="320"/>
      <c r="H663" s="323">
        <f t="shared" ref="H663:I663" si="916">H654-(SUM(H655:H662))</f>
        <v>738000</v>
      </c>
      <c r="I663" s="324">
        <f t="shared" si="916"/>
        <v>-105460</v>
      </c>
      <c r="J663" s="320"/>
      <c r="K663" s="323">
        <f t="shared" ref="K663:L663" si="917">K654-(SUM(K655:K662))</f>
        <v>353484</v>
      </c>
      <c r="L663" s="324">
        <f t="shared" si="917"/>
        <v>-171934</v>
      </c>
      <c r="M663" s="320"/>
      <c r="N663" s="323">
        <f t="shared" ref="N663:O663" si="918">N654-(SUM(N655:N662))</f>
        <v>423000</v>
      </c>
      <c r="O663" s="324">
        <f t="shared" si="918"/>
        <v>-73000</v>
      </c>
      <c r="P663" s="320"/>
      <c r="Q663" s="323">
        <f t="shared" ref="Q663:R663" si="919">Q654-(SUM(Q655:Q662))</f>
        <v>168000</v>
      </c>
      <c r="R663" s="324">
        <f t="shared" si="919"/>
        <v>132000</v>
      </c>
      <c r="S663" s="320"/>
      <c r="T663" s="323">
        <f t="shared" ref="T663:U663" si="920">T654-(SUM(T655:T662))</f>
        <v>168000</v>
      </c>
      <c r="U663" s="324">
        <f t="shared" si="920"/>
        <v>132000</v>
      </c>
      <c r="V663" s="320"/>
      <c r="W663" s="323">
        <f t="shared" ref="W663:X663" si="921">W654-(SUM(W655:W662))</f>
        <v>168000</v>
      </c>
      <c r="X663" s="324">
        <f t="shared" si="921"/>
        <v>132000</v>
      </c>
      <c r="Y663" s="320"/>
      <c r="Z663" s="323">
        <f t="shared" ref="Z663:AA663" si="922">Z654-(SUM(Z655:Z662))</f>
        <v>168000</v>
      </c>
      <c r="AA663" s="324">
        <f t="shared" si="922"/>
        <v>132000</v>
      </c>
      <c r="AB663" s="320"/>
      <c r="AC663" s="323">
        <f t="shared" ref="AC663:AD663" si="923">AC654-(SUM(AC655:AC662))</f>
        <v>168000</v>
      </c>
      <c r="AD663" s="324">
        <f t="shared" si="923"/>
        <v>132000</v>
      </c>
      <c r="AE663" s="320"/>
      <c r="AF663" s="323">
        <f t="shared" ref="AF663:AG663" si="924">AF654-(SUM(AF655:AF662))</f>
        <v>168000</v>
      </c>
      <c r="AG663" s="324">
        <f t="shared" si="924"/>
        <v>132000</v>
      </c>
      <c r="AH663" s="320"/>
      <c r="AI663" s="323">
        <f t="shared" ref="AI663:AJ663" si="925">AI654-(SUM(AI655:AI662))</f>
        <v>168000</v>
      </c>
      <c r="AJ663" s="324">
        <f t="shared" si="925"/>
        <v>132000</v>
      </c>
      <c r="AK663" s="320"/>
      <c r="AL663" s="323">
        <f t="shared" ref="AL663:AM663" si="926">AL654-(SUM(AL655:AL662))</f>
        <v>168000</v>
      </c>
      <c r="AM663" s="324">
        <f t="shared" si="926"/>
        <v>132000</v>
      </c>
      <c r="AN663" s="316" t="s">
        <v>321</v>
      </c>
      <c r="AO663" s="316"/>
      <c r="AP663" s="316"/>
      <c r="AQ663" s="316"/>
      <c r="AR663" s="316"/>
      <c r="AS663" s="316"/>
      <c r="AT663" s="316"/>
      <c r="AU663" s="316"/>
      <c r="AV663" s="316"/>
      <c r="AW663" s="316"/>
      <c r="AX663" s="316"/>
      <c r="AY663" s="316"/>
      <c r="AZ663" s="316"/>
      <c r="BA663" s="316"/>
      <c r="BB663" s="316"/>
      <c r="BC663" s="316"/>
      <c r="BD663" s="316"/>
      <c r="BE663" s="316"/>
      <c r="BF663" s="316"/>
      <c r="BG663" s="316"/>
      <c r="BH663" s="316"/>
      <c r="BI663" s="316"/>
      <c r="BJ663" s="316"/>
      <c r="BK663" s="316"/>
      <c r="BL663" s="316"/>
      <c r="BM663" s="316"/>
      <c r="BN663" s="316"/>
    </row>
    <row r="664">
      <c r="A664" s="303" t="s">
        <v>1021</v>
      </c>
      <c r="B664" s="317" t="s">
        <v>1040</v>
      </c>
      <c r="C664" s="325" t="s">
        <v>26</v>
      </c>
      <c r="D664" s="320"/>
      <c r="E664" s="321">
        <v>300000.0</v>
      </c>
      <c r="F664" s="324"/>
      <c r="G664" s="320"/>
      <c r="H664" s="321">
        <v>300000.0</v>
      </c>
      <c r="I664" s="324"/>
      <c r="J664" s="320"/>
      <c r="K664" s="321">
        <v>300000.0</v>
      </c>
      <c r="L664" s="324"/>
      <c r="M664" s="320"/>
      <c r="N664" s="321">
        <v>300000.0</v>
      </c>
      <c r="O664" s="324"/>
      <c r="P664" s="320"/>
      <c r="Q664" s="321">
        <v>300000.0</v>
      </c>
      <c r="R664" s="324"/>
      <c r="S664" s="320"/>
      <c r="T664" s="321">
        <v>300000.0</v>
      </c>
      <c r="U664" s="324"/>
      <c r="V664" s="320"/>
      <c r="W664" s="321">
        <v>300000.0</v>
      </c>
      <c r="X664" s="324"/>
      <c r="Y664" s="320"/>
      <c r="Z664" s="321">
        <v>300000.0</v>
      </c>
      <c r="AA664" s="324"/>
      <c r="AB664" s="320"/>
      <c r="AC664" s="321">
        <v>300000.0</v>
      </c>
      <c r="AD664" s="324"/>
      <c r="AE664" s="320"/>
      <c r="AF664" s="321">
        <v>300000.0</v>
      </c>
      <c r="AG664" s="324"/>
      <c r="AH664" s="320"/>
      <c r="AI664" s="321">
        <v>300000.0</v>
      </c>
      <c r="AJ664" s="324"/>
      <c r="AK664" s="320"/>
      <c r="AL664" s="321">
        <v>300000.0</v>
      </c>
      <c r="AM664" s="324"/>
      <c r="AN664" s="316" t="s">
        <v>321</v>
      </c>
      <c r="AO664" s="316"/>
      <c r="AP664" s="316"/>
      <c r="AQ664" s="316"/>
      <c r="AR664" s="316"/>
      <c r="AS664" s="316"/>
      <c r="AT664" s="316"/>
      <c r="AU664" s="316"/>
      <c r="AV664" s="316"/>
      <c r="AW664" s="316"/>
      <c r="AX664" s="316"/>
      <c r="AY664" s="316"/>
      <c r="AZ664" s="316"/>
      <c r="BA664" s="316"/>
      <c r="BB664" s="316"/>
      <c r="BC664" s="316"/>
      <c r="BD664" s="316"/>
      <c r="BE664" s="316"/>
      <c r="BF664" s="316"/>
      <c r="BG664" s="316"/>
      <c r="BH664" s="316"/>
      <c r="BI664" s="316"/>
      <c r="BJ664" s="316"/>
      <c r="BK664" s="316"/>
      <c r="BL664" s="316"/>
      <c r="BM664" s="316"/>
      <c r="BN664" s="316"/>
    </row>
    <row r="665">
      <c r="A665" s="303" t="s">
        <v>1021</v>
      </c>
      <c r="B665" s="329">
        <v>1.0</v>
      </c>
      <c r="C665" s="330" t="s">
        <v>57</v>
      </c>
      <c r="D665" s="331"/>
      <c r="E665" s="332">
        <f>E663-E664</f>
        <v>-62000</v>
      </c>
      <c r="F665" s="333"/>
      <c r="G665" s="331"/>
      <c r="H665" s="332">
        <f>H663-H664</f>
        <v>438000</v>
      </c>
      <c r="I665" s="333"/>
      <c r="J665" s="331"/>
      <c r="K665" s="332">
        <f>K663-K664</f>
        <v>53484</v>
      </c>
      <c r="L665" s="333"/>
      <c r="M665" s="331"/>
      <c r="N665" s="332">
        <f>N663-N664</f>
        <v>123000</v>
      </c>
      <c r="O665" s="333"/>
      <c r="P665" s="331"/>
      <c r="Q665" s="332">
        <f>Q663-Q664</f>
        <v>-132000</v>
      </c>
      <c r="R665" s="333"/>
      <c r="S665" s="331"/>
      <c r="T665" s="332">
        <f>T663-T664</f>
        <v>-132000</v>
      </c>
      <c r="U665" s="333"/>
      <c r="V665" s="331"/>
      <c r="W665" s="332">
        <f>W663-W664</f>
        <v>-132000</v>
      </c>
      <c r="X665" s="333"/>
      <c r="Y665" s="331"/>
      <c r="Z665" s="332">
        <f>Z663-Z664</f>
        <v>-132000</v>
      </c>
      <c r="AA665" s="333"/>
      <c r="AB665" s="331"/>
      <c r="AC665" s="332">
        <f>AC663-AC664</f>
        <v>-132000</v>
      </c>
      <c r="AD665" s="333"/>
      <c r="AE665" s="331"/>
      <c r="AF665" s="332">
        <f>AF663-AF664</f>
        <v>-132000</v>
      </c>
      <c r="AG665" s="333"/>
      <c r="AH665" s="331"/>
      <c r="AI665" s="332">
        <f>AI663-AI664</f>
        <v>-132000</v>
      </c>
      <c r="AJ665" s="333"/>
      <c r="AK665" s="331"/>
      <c r="AL665" s="332">
        <f>AL663-AL664</f>
        <v>-132000</v>
      </c>
      <c r="AM665" s="333"/>
      <c r="AN665" s="316" t="s">
        <v>321</v>
      </c>
      <c r="AO665" s="316"/>
      <c r="AP665" s="316"/>
      <c r="AQ665" s="316"/>
      <c r="AR665" s="316"/>
      <c r="AS665" s="316"/>
      <c r="AT665" s="316"/>
      <c r="AU665" s="316"/>
      <c r="AV665" s="316"/>
      <c r="AW665" s="316"/>
      <c r="AX665" s="316"/>
      <c r="AY665" s="316"/>
      <c r="AZ665" s="316"/>
      <c r="BA665" s="316"/>
      <c r="BB665" s="316"/>
      <c r="BC665" s="316"/>
      <c r="BD665" s="316"/>
      <c r="BE665" s="316"/>
      <c r="BF665" s="316"/>
      <c r="BG665" s="316"/>
      <c r="BH665" s="316"/>
      <c r="BI665" s="316"/>
      <c r="BJ665" s="316"/>
      <c r="BK665" s="316"/>
      <c r="BL665" s="316"/>
      <c r="BM665" s="316"/>
      <c r="BN665" s="316"/>
    </row>
    <row r="666">
      <c r="A666" s="303" t="s">
        <v>1041</v>
      </c>
      <c r="B666" s="317" t="s">
        <v>1041</v>
      </c>
      <c r="C666" s="325" t="s">
        <v>1042</v>
      </c>
      <c r="D666" s="353" t="s">
        <v>2338</v>
      </c>
      <c r="E666" s="335">
        <v>500000.0</v>
      </c>
      <c r="F666" s="346">
        <v>100000.0</v>
      </c>
      <c r="G666" s="353" t="s">
        <v>2339</v>
      </c>
      <c r="H666" s="348">
        <v>500000.0</v>
      </c>
      <c r="I666" s="345">
        <v>0.0</v>
      </c>
      <c r="J666" s="326" t="s">
        <v>2340</v>
      </c>
      <c r="K666" s="321">
        <v>500000.0</v>
      </c>
      <c r="L666" s="324">
        <v>100000.0</v>
      </c>
      <c r="M666" s="326" t="s">
        <v>1924</v>
      </c>
      <c r="N666" s="321">
        <v>500000.0</v>
      </c>
      <c r="O666" s="324">
        <v>100000.0</v>
      </c>
      <c r="P666" s="326" t="s">
        <v>1924</v>
      </c>
      <c r="Q666" s="321">
        <v>500000.0</v>
      </c>
      <c r="R666" s="324">
        <v>100000.0</v>
      </c>
      <c r="S666" s="326" t="s">
        <v>1924</v>
      </c>
      <c r="T666" s="321">
        <v>500000.0</v>
      </c>
      <c r="U666" s="324">
        <v>100000.0</v>
      </c>
      <c r="V666" s="326" t="s">
        <v>1924</v>
      </c>
      <c r="W666" s="321">
        <v>500000.0</v>
      </c>
      <c r="X666" s="324">
        <v>100000.0</v>
      </c>
      <c r="Y666" s="326" t="s">
        <v>1924</v>
      </c>
      <c r="Z666" s="321">
        <v>500000.0</v>
      </c>
      <c r="AA666" s="324">
        <v>100000.0</v>
      </c>
      <c r="AB666" s="326" t="s">
        <v>1924</v>
      </c>
      <c r="AC666" s="321">
        <v>500000.0</v>
      </c>
      <c r="AD666" s="324">
        <v>100000.0</v>
      </c>
      <c r="AE666" s="326" t="s">
        <v>1924</v>
      </c>
      <c r="AF666" s="321">
        <v>500000.0</v>
      </c>
      <c r="AG666" s="324">
        <v>100000.0</v>
      </c>
      <c r="AH666" s="326" t="s">
        <v>1924</v>
      </c>
      <c r="AI666" s="321">
        <v>500000.0</v>
      </c>
      <c r="AJ666" s="324">
        <v>100000.0</v>
      </c>
      <c r="AK666" s="326" t="s">
        <v>1924</v>
      </c>
      <c r="AL666" s="321">
        <v>500000.0</v>
      </c>
      <c r="AM666" s="324">
        <v>100000.0</v>
      </c>
      <c r="AN666" s="316" t="s">
        <v>268</v>
      </c>
      <c r="AO666" s="316"/>
      <c r="AP666" s="316"/>
      <c r="AQ666" s="316"/>
      <c r="AR666" s="316"/>
      <c r="AS666" s="316"/>
      <c r="AT666" s="316"/>
      <c r="AU666" s="316"/>
      <c r="AV666" s="316"/>
      <c r="AW666" s="316"/>
      <c r="AX666" s="316"/>
      <c r="AY666" s="316"/>
      <c r="AZ666" s="316"/>
      <c r="BA666" s="316"/>
      <c r="BB666" s="316"/>
      <c r="BC666" s="316"/>
      <c r="BD666" s="316"/>
      <c r="BE666" s="316"/>
      <c r="BF666" s="316"/>
      <c r="BG666" s="316"/>
      <c r="BH666" s="316"/>
      <c r="BI666" s="316"/>
      <c r="BJ666" s="316"/>
      <c r="BK666" s="316"/>
      <c r="BL666" s="316"/>
      <c r="BM666" s="316"/>
      <c r="BN666" s="316"/>
    </row>
    <row r="667">
      <c r="A667" s="303" t="s">
        <v>1041</v>
      </c>
      <c r="B667" s="317" t="s">
        <v>1041</v>
      </c>
      <c r="C667" s="325" t="s">
        <v>557</v>
      </c>
      <c r="D667" s="341" t="s">
        <v>1929</v>
      </c>
      <c r="E667" s="335">
        <v>470000.0</v>
      </c>
      <c r="F667" s="346">
        <v>100000.0</v>
      </c>
      <c r="G667" s="341" t="s">
        <v>1929</v>
      </c>
      <c r="H667" s="335">
        <v>470000.0</v>
      </c>
      <c r="I667" s="346">
        <v>100000.0</v>
      </c>
      <c r="J667" s="341" t="s">
        <v>1929</v>
      </c>
      <c r="K667" s="335">
        <v>470000.0</v>
      </c>
      <c r="L667" s="346">
        <v>100000.0</v>
      </c>
      <c r="M667" s="353" t="s">
        <v>1929</v>
      </c>
      <c r="N667" s="335">
        <v>470000.0</v>
      </c>
      <c r="O667" s="346">
        <v>100000.0</v>
      </c>
      <c r="P667" s="353" t="s">
        <v>1929</v>
      </c>
      <c r="Q667" s="335">
        <v>470000.0</v>
      </c>
      <c r="R667" s="346">
        <v>100000.0</v>
      </c>
      <c r="S667" s="353" t="s">
        <v>1929</v>
      </c>
      <c r="T667" s="335">
        <v>470000.0</v>
      </c>
      <c r="U667" s="346">
        <v>100000.0</v>
      </c>
      <c r="V667" s="353" t="s">
        <v>1929</v>
      </c>
      <c r="W667" s="335">
        <v>470000.0</v>
      </c>
      <c r="X667" s="346">
        <v>100000.0</v>
      </c>
      <c r="Y667" s="353" t="s">
        <v>1929</v>
      </c>
      <c r="Z667" s="335">
        <v>470000.0</v>
      </c>
      <c r="AA667" s="346">
        <v>100000.0</v>
      </c>
      <c r="AB667" s="353" t="s">
        <v>1929</v>
      </c>
      <c r="AC667" s="335">
        <v>470000.0</v>
      </c>
      <c r="AD667" s="346">
        <v>100000.0</v>
      </c>
      <c r="AE667" s="353" t="s">
        <v>1929</v>
      </c>
      <c r="AF667" s="335">
        <v>470000.0</v>
      </c>
      <c r="AG667" s="346">
        <v>100000.0</v>
      </c>
      <c r="AH667" s="353" t="s">
        <v>1929</v>
      </c>
      <c r="AI667" s="335">
        <v>470000.0</v>
      </c>
      <c r="AJ667" s="346">
        <v>100000.0</v>
      </c>
      <c r="AK667" s="353" t="s">
        <v>1929</v>
      </c>
      <c r="AL667" s="335">
        <v>470000.0</v>
      </c>
      <c r="AM667" s="346">
        <v>100000.0</v>
      </c>
      <c r="AN667" s="316" t="s">
        <v>268</v>
      </c>
      <c r="AO667" s="316"/>
      <c r="AP667" s="316"/>
      <c r="AQ667" s="316"/>
      <c r="AR667" s="316"/>
      <c r="AS667" s="316"/>
      <c r="AT667" s="316"/>
      <c r="AU667" s="316"/>
      <c r="AV667" s="316"/>
      <c r="AW667" s="316"/>
      <c r="AX667" s="316"/>
      <c r="AY667" s="316"/>
      <c r="AZ667" s="316"/>
      <c r="BA667" s="316"/>
      <c r="BB667" s="316"/>
      <c r="BC667" s="316"/>
      <c r="BD667" s="316"/>
      <c r="BE667" s="316"/>
      <c r="BF667" s="316"/>
      <c r="BG667" s="316"/>
      <c r="BH667" s="316"/>
      <c r="BI667" s="316"/>
      <c r="BJ667" s="316"/>
      <c r="BK667" s="316"/>
      <c r="BL667" s="316"/>
      <c r="BM667" s="316"/>
      <c r="BN667" s="316"/>
    </row>
    <row r="668">
      <c r="A668" s="303" t="s">
        <v>1041</v>
      </c>
      <c r="B668" s="317" t="s">
        <v>1041</v>
      </c>
      <c r="C668" s="325" t="s">
        <v>1047</v>
      </c>
      <c r="D668" s="341" t="s">
        <v>1932</v>
      </c>
      <c r="E668" s="335">
        <v>470000.0</v>
      </c>
      <c r="F668" s="346">
        <v>100000.0</v>
      </c>
      <c r="G668" s="341" t="s">
        <v>1932</v>
      </c>
      <c r="H668" s="335">
        <v>470000.0</v>
      </c>
      <c r="I668" s="346">
        <v>100000.0</v>
      </c>
      <c r="J668" s="341" t="s">
        <v>1932</v>
      </c>
      <c r="K668" s="335">
        <v>470000.0</v>
      </c>
      <c r="L668" s="346">
        <v>100000.0</v>
      </c>
      <c r="M668" s="341" t="s">
        <v>1932</v>
      </c>
      <c r="N668" s="335">
        <v>470000.0</v>
      </c>
      <c r="O668" s="346">
        <v>100000.0</v>
      </c>
      <c r="P668" s="353" t="s">
        <v>2341</v>
      </c>
      <c r="Q668" s="335">
        <v>470000.0</v>
      </c>
      <c r="R668" s="346">
        <v>100000.0</v>
      </c>
      <c r="S668" s="326"/>
      <c r="T668" s="321"/>
      <c r="U668" s="322"/>
      <c r="V668" s="326"/>
      <c r="W668" s="321"/>
      <c r="X668" s="322"/>
      <c r="Y668" s="326"/>
      <c r="Z668" s="321"/>
      <c r="AA668" s="322"/>
      <c r="AB668" s="326"/>
      <c r="AC668" s="321"/>
      <c r="AD668" s="322"/>
      <c r="AE668" s="326"/>
      <c r="AF668" s="321"/>
      <c r="AG668" s="322"/>
      <c r="AH668" s="326"/>
      <c r="AI668" s="321"/>
      <c r="AJ668" s="322"/>
      <c r="AK668" s="326"/>
      <c r="AL668" s="321"/>
      <c r="AM668" s="322"/>
      <c r="AN668" s="316" t="s">
        <v>268</v>
      </c>
      <c r="AO668" s="316"/>
      <c r="AP668" s="316"/>
      <c r="AQ668" s="316"/>
      <c r="AR668" s="316"/>
      <c r="AS668" s="316"/>
      <c r="AT668" s="316"/>
      <c r="AU668" s="316"/>
      <c r="AV668" s="316"/>
      <c r="AW668" s="316"/>
      <c r="AX668" s="316"/>
      <c r="AY668" s="316"/>
      <c r="AZ668" s="316"/>
      <c r="BA668" s="316"/>
      <c r="BB668" s="316"/>
      <c r="BC668" s="316"/>
      <c r="BD668" s="316"/>
      <c r="BE668" s="316"/>
      <c r="BF668" s="316"/>
      <c r="BG668" s="316"/>
      <c r="BH668" s="316"/>
      <c r="BI668" s="316"/>
      <c r="BJ668" s="316"/>
      <c r="BK668" s="316"/>
      <c r="BL668" s="316"/>
      <c r="BM668" s="316"/>
      <c r="BN668" s="316"/>
    </row>
    <row r="669">
      <c r="A669" s="303" t="s">
        <v>1041</v>
      </c>
      <c r="B669" s="317" t="s">
        <v>1041</v>
      </c>
      <c r="C669" s="325" t="s">
        <v>1050</v>
      </c>
      <c r="D669" s="341" t="s">
        <v>2342</v>
      </c>
      <c r="E669" s="335">
        <v>450000.0</v>
      </c>
      <c r="F669" s="346">
        <v>100000.0</v>
      </c>
      <c r="G669" s="341" t="s">
        <v>2342</v>
      </c>
      <c r="H669" s="335">
        <v>450000.0</v>
      </c>
      <c r="I669" s="346">
        <v>100000.0</v>
      </c>
      <c r="J669" s="341" t="s">
        <v>2342</v>
      </c>
      <c r="K669" s="335">
        <v>450000.0</v>
      </c>
      <c r="L669" s="346">
        <v>100000.0</v>
      </c>
      <c r="M669" s="341" t="s">
        <v>2342</v>
      </c>
      <c r="N669" s="335">
        <v>450000.0</v>
      </c>
      <c r="O669" s="346">
        <v>100000.0</v>
      </c>
      <c r="P669" s="353" t="s">
        <v>2342</v>
      </c>
      <c r="Q669" s="335">
        <v>450000.0</v>
      </c>
      <c r="R669" s="346">
        <v>100000.0</v>
      </c>
      <c r="S669" s="353" t="s">
        <v>2342</v>
      </c>
      <c r="T669" s="335">
        <v>450000.0</v>
      </c>
      <c r="U669" s="346">
        <v>100000.0</v>
      </c>
      <c r="V669" s="353" t="s">
        <v>2342</v>
      </c>
      <c r="W669" s="335">
        <v>450000.0</v>
      </c>
      <c r="X669" s="346">
        <v>100000.0</v>
      </c>
      <c r="Y669" s="353" t="s">
        <v>2343</v>
      </c>
      <c r="Z669" s="335">
        <v>450000.0</v>
      </c>
      <c r="AA669" s="346">
        <v>100000.0</v>
      </c>
      <c r="AB669" s="326"/>
      <c r="AC669" s="321"/>
      <c r="AD669" s="322"/>
      <c r="AE669" s="326"/>
      <c r="AF669" s="321"/>
      <c r="AG669" s="322"/>
      <c r="AH669" s="326"/>
      <c r="AI669" s="321"/>
      <c r="AJ669" s="322"/>
      <c r="AK669" s="326"/>
      <c r="AL669" s="321"/>
      <c r="AM669" s="322"/>
      <c r="AN669" s="316" t="s">
        <v>268</v>
      </c>
      <c r="AO669" s="316"/>
      <c r="AP669" s="316"/>
      <c r="AQ669" s="349">
        <f t="shared" ref="AQ669:AQ670" si="939">E115+E200+E680</f>
        <v>2314729.1</v>
      </c>
      <c r="AR669" s="316"/>
      <c r="AS669" s="316"/>
      <c r="AT669" s="316"/>
      <c r="AU669" s="316"/>
      <c r="AV669" s="316"/>
      <c r="AW669" s="316"/>
      <c r="AX669" s="316"/>
      <c r="AY669" s="316"/>
      <c r="AZ669" s="316"/>
      <c r="BA669" s="316"/>
      <c r="BB669" s="316"/>
      <c r="BC669" s="316"/>
      <c r="BD669" s="316"/>
      <c r="BE669" s="316"/>
      <c r="BF669" s="316"/>
      <c r="BG669" s="316"/>
      <c r="BH669" s="316"/>
      <c r="BI669" s="316"/>
      <c r="BJ669" s="316"/>
      <c r="BK669" s="316"/>
      <c r="BL669" s="316"/>
      <c r="BM669" s="316"/>
      <c r="BN669" s="316"/>
    </row>
    <row r="670">
      <c r="A670" s="303" t="s">
        <v>1041</v>
      </c>
      <c r="B670" s="304"/>
      <c r="C670" s="305" t="s">
        <v>42</v>
      </c>
      <c r="D670" s="320"/>
      <c r="E670" s="323">
        <f t="shared" ref="E670:F670" si="927">SUM(E666:E669)</f>
        <v>1890000</v>
      </c>
      <c r="F670" s="324">
        <f t="shared" si="927"/>
        <v>400000</v>
      </c>
      <c r="G670" s="320"/>
      <c r="H670" s="323">
        <f t="shared" ref="H670:I670" si="928">SUM(H666:H669)</f>
        <v>1890000</v>
      </c>
      <c r="I670" s="323">
        <f t="shared" si="928"/>
        <v>300000</v>
      </c>
      <c r="J670" s="320"/>
      <c r="K670" s="323">
        <f t="shared" ref="K670:L670" si="929">SUM(K666:K669)</f>
        <v>1890000</v>
      </c>
      <c r="L670" s="323">
        <f t="shared" si="929"/>
        <v>400000</v>
      </c>
      <c r="M670" s="320"/>
      <c r="N670" s="323">
        <f t="shared" ref="N670:O670" si="930">SUM(N666:N669)</f>
        <v>1890000</v>
      </c>
      <c r="O670" s="323">
        <f t="shared" si="930"/>
        <v>400000</v>
      </c>
      <c r="P670" s="320"/>
      <c r="Q670" s="323">
        <f t="shared" ref="Q670:R670" si="931">SUM(Q666:Q669)</f>
        <v>1890000</v>
      </c>
      <c r="R670" s="323">
        <f t="shared" si="931"/>
        <v>400000</v>
      </c>
      <c r="S670" s="320"/>
      <c r="T670" s="323">
        <f t="shared" ref="T670:U670" si="932">SUM(T666:T669)</f>
        <v>1420000</v>
      </c>
      <c r="U670" s="323">
        <f t="shared" si="932"/>
        <v>300000</v>
      </c>
      <c r="V670" s="320"/>
      <c r="W670" s="323">
        <f t="shared" ref="W670:X670" si="933">SUM(W666:W669)</f>
        <v>1420000</v>
      </c>
      <c r="X670" s="323">
        <f t="shared" si="933"/>
        <v>300000</v>
      </c>
      <c r="Y670" s="320"/>
      <c r="Z670" s="323">
        <f t="shared" ref="Z670:AA670" si="934">SUM(Z666:Z669)</f>
        <v>1420000</v>
      </c>
      <c r="AA670" s="323">
        <f t="shared" si="934"/>
        <v>300000</v>
      </c>
      <c r="AB670" s="320"/>
      <c r="AC670" s="323">
        <f t="shared" ref="AC670:AD670" si="935">SUM(AC666:AC669)</f>
        <v>970000</v>
      </c>
      <c r="AD670" s="323">
        <f t="shared" si="935"/>
        <v>200000</v>
      </c>
      <c r="AE670" s="320"/>
      <c r="AF670" s="323">
        <f t="shared" ref="AF670:AG670" si="936">SUM(AF666:AF669)</f>
        <v>970000</v>
      </c>
      <c r="AG670" s="323">
        <f t="shared" si="936"/>
        <v>200000</v>
      </c>
      <c r="AH670" s="320"/>
      <c r="AI670" s="323">
        <f t="shared" ref="AI670:AJ670" si="937">SUM(AI666:AI669)</f>
        <v>970000</v>
      </c>
      <c r="AJ670" s="323">
        <f t="shared" si="937"/>
        <v>200000</v>
      </c>
      <c r="AK670" s="320"/>
      <c r="AL670" s="323">
        <f t="shared" ref="AL670:AM670" si="938">SUM(AL666:AL669)</f>
        <v>970000</v>
      </c>
      <c r="AM670" s="322">
        <f t="shared" si="938"/>
        <v>200000</v>
      </c>
      <c r="AN670" s="316" t="s">
        <v>268</v>
      </c>
      <c r="AO670" s="316"/>
      <c r="AP670" s="316"/>
      <c r="AQ670" s="349">
        <f t="shared" si="939"/>
        <v>804883.9</v>
      </c>
      <c r="AR670" s="316"/>
      <c r="AS670" s="316"/>
      <c r="AT670" s="316"/>
      <c r="AU670" s="316"/>
      <c r="AV670" s="316"/>
      <c r="AW670" s="316"/>
      <c r="AX670" s="316"/>
      <c r="AY670" s="316"/>
      <c r="AZ670" s="316"/>
      <c r="BA670" s="316"/>
      <c r="BB670" s="316"/>
      <c r="BC670" s="316"/>
      <c r="BD670" s="316"/>
      <c r="BE670" s="316"/>
      <c r="BF670" s="316"/>
      <c r="BG670" s="316"/>
      <c r="BH670" s="316"/>
      <c r="BI670" s="316"/>
      <c r="BJ670" s="316"/>
      <c r="BK670" s="316"/>
      <c r="BL670" s="316"/>
      <c r="BM670" s="316"/>
      <c r="BN670" s="316"/>
    </row>
    <row r="671" collapsed="1">
      <c r="A671" s="303" t="s">
        <v>1041</v>
      </c>
      <c r="B671" s="304"/>
      <c r="C671" s="325" t="s">
        <v>43</v>
      </c>
      <c r="D671" s="326"/>
      <c r="E671" s="321">
        <v>1000000.0</v>
      </c>
      <c r="F671" s="322"/>
      <c r="G671" s="326"/>
      <c r="H671" s="321">
        <v>1000000.0</v>
      </c>
      <c r="I671" s="322"/>
      <c r="J671" s="326"/>
      <c r="K671" s="321">
        <v>1000000.0</v>
      </c>
      <c r="L671" s="322"/>
      <c r="M671" s="326"/>
      <c r="N671" s="321">
        <v>1000000.0</v>
      </c>
      <c r="O671" s="322"/>
      <c r="P671" s="326"/>
      <c r="Q671" s="321">
        <v>1000000.0</v>
      </c>
      <c r="R671" s="322"/>
      <c r="S671" s="326"/>
      <c r="T671" s="321">
        <v>1000000.0</v>
      </c>
      <c r="U671" s="322"/>
      <c r="V671" s="326"/>
      <c r="W671" s="321">
        <v>1000000.0</v>
      </c>
      <c r="X671" s="322"/>
      <c r="Y671" s="326"/>
      <c r="Z671" s="321">
        <v>1000000.0</v>
      </c>
      <c r="AA671" s="322"/>
      <c r="AB671" s="326"/>
      <c r="AC671" s="321">
        <v>1000000.0</v>
      </c>
      <c r="AD671" s="322"/>
      <c r="AE671" s="326"/>
      <c r="AF671" s="321">
        <v>1000000.0</v>
      </c>
      <c r="AG671" s="322"/>
      <c r="AH671" s="326"/>
      <c r="AI671" s="321">
        <v>1000000.0</v>
      </c>
      <c r="AJ671" s="322"/>
      <c r="AK671" s="326"/>
      <c r="AL671" s="321">
        <v>1000000.0</v>
      </c>
      <c r="AM671" s="322"/>
      <c r="AN671" s="316" t="s">
        <v>268</v>
      </c>
      <c r="AO671" s="316"/>
      <c r="AP671" s="316"/>
      <c r="AQ671" s="316"/>
      <c r="AR671" s="316"/>
      <c r="AS671" s="316"/>
      <c r="AT671" s="316"/>
      <c r="AU671" s="316"/>
      <c r="AV671" s="316"/>
      <c r="AW671" s="316"/>
      <c r="AX671" s="316"/>
      <c r="AY671" s="316"/>
      <c r="AZ671" s="316"/>
      <c r="BA671" s="316"/>
      <c r="BB671" s="316"/>
      <c r="BC671" s="316"/>
      <c r="BD671" s="316"/>
      <c r="BE671" s="316"/>
      <c r="BF671" s="316"/>
      <c r="BG671" s="316"/>
      <c r="BH671" s="316"/>
      <c r="BI671" s="316"/>
      <c r="BJ671" s="316"/>
      <c r="BK671" s="316"/>
      <c r="BL671" s="316"/>
      <c r="BM671" s="316"/>
      <c r="BN671" s="316"/>
    </row>
    <row r="672" hidden="1" outlineLevel="1">
      <c r="A672" s="303" t="s">
        <v>1041</v>
      </c>
      <c r="B672" s="317" t="s">
        <v>1038</v>
      </c>
      <c r="C672" s="325" t="s">
        <v>2133</v>
      </c>
      <c r="D672" s="326"/>
      <c r="E672" s="321"/>
      <c r="F672" s="322">
        <v>10000.0</v>
      </c>
      <c r="G672" s="326"/>
      <c r="H672" s="321"/>
      <c r="I672" s="322">
        <v>10000.0</v>
      </c>
      <c r="J672" s="326"/>
      <c r="K672" s="321"/>
      <c r="L672" s="322">
        <v>10000.0</v>
      </c>
      <c r="M672" s="326"/>
      <c r="N672" s="321"/>
      <c r="O672" s="322">
        <v>10000.0</v>
      </c>
      <c r="P672" s="326"/>
      <c r="Q672" s="321"/>
      <c r="R672" s="322">
        <v>10000.0</v>
      </c>
      <c r="S672" s="326"/>
      <c r="T672" s="321"/>
      <c r="U672" s="322">
        <v>10000.0</v>
      </c>
      <c r="V672" s="326"/>
      <c r="W672" s="321"/>
      <c r="X672" s="322">
        <v>10000.0</v>
      </c>
      <c r="Y672" s="326"/>
      <c r="Z672" s="321"/>
      <c r="AA672" s="322">
        <v>10000.0</v>
      </c>
      <c r="AB672" s="326"/>
      <c r="AC672" s="321"/>
      <c r="AD672" s="322">
        <v>10000.0</v>
      </c>
      <c r="AE672" s="326"/>
      <c r="AF672" s="321"/>
      <c r="AG672" s="322">
        <v>10000.0</v>
      </c>
      <c r="AH672" s="326"/>
      <c r="AI672" s="321"/>
      <c r="AJ672" s="322">
        <v>10000.0</v>
      </c>
      <c r="AK672" s="326"/>
      <c r="AL672" s="321"/>
      <c r="AM672" s="322">
        <v>10000.0</v>
      </c>
      <c r="AN672" s="316" t="s">
        <v>268</v>
      </c>
      <c r="AO672" s="316"/>
      <c r="AP672" s="316"/>
      <c r="AQ672" s="316"/>
      <c r="AR672" s="316"/>
      <c r="AS672" s="316"/>
      <c r="AT672" s="316"/>
      <c r="AU672" s="316"/>
      <c r="AV672" s="316"/>
      <c r="AW672" s="316"/>
      <c r="AX672" s="316"/>
      <c r="AY672" s="316"/>
      <c r="AZ672" s="316"/>
      <c r="BA672" s="316"/>
      <c r="BB672" s="316"/>
      <c r="BC672" s="316"/>
      <c r="BD672" s="316"/>
      <c r="BE672" s="316"/>
      <c r="BF672" s="316"/>
      <c r="BG672" s="316"/>
      <c r="BH672" s="316"/>
      <c r="BI672" s="316"/>
      <c r="BJ672" s="316"/>
      <c r="BK672" s="316"/>
      <c r="BL672" s="316"/>
      <c r="BM672" s="316"/>
      <c r="BN672" s="316"/>
    </row>
    <row r="673" hidden="1" outlineLevel="1">
      <c r="A673" s="303" t="s">
        <v>1041</v>
      </c>
      <c r="B673" s="317"/>
      <c r="C673" s="325" t="s">
        <v>1053</v>
      </c>
      <c r="D673" s="326"/>
      <c r="E673" s="321"/>
      <c r="F673" s="322">
        <v>30760.0</v>
      </c>
      <c r="G673" s="326"/>
      <c r="H673" s="321"/>
      <c r="I673" s="322">
        <v>34570.0</v>
      </c>
      <c r="J673" s="326" t="s">
        <v>2039</v>
      </c>
      <c r="K673" s="321"/>
      <c r="L673" s="322">
        <v>35000.0</v>
      </c>
      <c r="M673" s="326"/>
      <c r="N673" s="321"/>
      <c r="O673" s="322"/>
      <c r="P673" s="326"/>
      <c r="Q673" s="321"/>
      <c r="R673" s="322"/>
      <c r="S673" s="326"/>
      <c r="T673" s="321"/>
      <c r="U673" s="322"/>
      <c r="V673" s="326"/>
      <c r="W673" s="321"/>
      <c r="X673" s="322"/>
      <c r="Y673" s="326"/>
      <c r="Z673" s="321"/>
      <c r="AA673" s="322"/>
      <c r="AB673" s="326"/>
      <c r="AC673" s="321"/>
      <c r="AD673" s="322"/>
      <c r="AE673" s="326"/>
      <c r="AF673" s="321"/>
      <c r="AG673" s="322"/>
      <c r="AH673" s="326"/>
      <c r="AI673" s="321"/>
      <c r="AJ673" s="322"/>
      <c r="AK673" s="326"/>
      <c r="AL673" s="321"/>
      <c r="AM673" s="322"/>
      <c r="AN673" s="316" t="s">
        <v>268</v>
      </c>
      <c r="AO673" s="316"/>
      <c r="AP673" s="316"/>
      <c r="AQ673" s="316"/>
      <c r="AR673" s="316"/>
      <c r="AS673" s="316"/>
      <c r="AT673" s="316"/>
      <c r="AU673" s="316"/>
      <c r="AV673" s="316"/>
      <c r="AW673" s="316"/>
      <c r="AX673" s="316"/>
      <c r="AY673" s="316"/>
      <c r="AZ673" s="316"/>
      <c r="BA673" s="316"/>
      <c r="BB673" s="316"/>
      <c r="BC673" s="316"/>
      <c r="BD673" s="316"/>
      <c r="BE673" s="316"/>
      <c r="BF673" s="316"/>
      <c r="BG673" s="316"/>
      <c r="BH673" s="316"/>
      <c r="BI673" s="316"/>
      <c r="BJ673" s="316"/>
      <c r="BK673" s="316"/>
      <c r="BL673" s="316"/>
      <c r="BM673" s="316"/>
      <c r="BN673" s="316"/>
    </row>
    <row r="674" hidden="1" outlineLevel="1">
      <c r="A674" s="303" t="s">
        <v>1041</v>
      </c>
      <c r="B674" s="317"/>
      <c r="C674" s="325" t="s">
        <v>1054</v>
      </c>
      <c r="D674" s="326"/>
      <c r="E674" s="321"/>
      <c r="F674" s="322">
        <v>153260.0</v>
      </c>
      <c r="G674" s="326"/>
      <c r="H674" s="321"/>
      <c r="I674" s="322">
        <v>205330.0</v>
      </c>
      <c r="J674" s="326"/>
      <c r="K674" s="321"/>
      <c r="L674" s="322">
        <v>232700.0</v>
      </c>
      <c r="M674" s="326"/>
      <c r="N674" s="321"/>
      <c r="O674" s="322"/>
      <c r="P674" s="326"/>
      <c r="Q674" s="321"/>
      <c r="R674" s="322"/>
      <c r="S674" s="326"/>
      <c r="T674" s="321"/>
      <c r="U674" s="322"/>
      <c r="V674" s="326"/>
      <c r="W674" s="321"/>
      <c r="X674" s="322"/>
      <c r="Y674" s="326"/>
      <c r="Z674" s="321"/>
      <c r="AA674" s="322"/>
      <c r="AB674" s="326"/>
      <c r="AC674" s="321"/>
      <c r="AD674" s="322"/>
      <c r="AE674" s="326"/>
      <c r="AF674" s="321"/>
      <c r="AG674" s="322"/>
      <c r="AH674" s="326"/>
      <c r="AI674" s="321"/>
      <c r="AJ674" s="322"/>
      <c r="AK674" s="326"/>
      <c r="AL674" s="321"/>
      <c r="AM674" s="322"/>
      <c r="AN674" s="316" t="s">
        <v>268</v>
      </c>
      <c r="AO674" s="316"/>
      <c r="AP674" s="316"/>
      <c r="AQ674" s="316"/>
      <c r="AR674" s="316"/>
      <c r="AS674" s="316"/>
      <c r="AT674" s="316"/>
      <c r="AU674" s="316"/>
      <c r="AV674" s="316"/>
      <c r="AW674" s="316"/>
      <c r="AX674" s="316"/>
      <c r="AY674" s="316"/>
      <c r="AZ674" s="316"/>
      <c r="BA674" s="316"/>
      <c r="BB674" s="316"/>
      <c r="BC674" s="316"/>
      <c r="BD674" s="316"/>
      <c r="BE674" s="316"/>
      <c r="BF674" s="316"/>
      <c r="BG674" s="316"/>
      <c r="BH674" s="316"/>
      <c r="BI674" s="316"/>
      <c r="BJ674" s="316"/>
      <c r="BK674" s="316"/>
      <c r="BL674" s="316"/>
      <c r="BM674" s="316"/>
      <c r="BN674" s="316"/>
    </row>
    <row r="675" hidden="1" outlineLevel="1">
      <c r="A675" s="303" t="s">
        <v>1041</v>
      </c>
      <c r="B675" s="317" t="s">
        <v>1038</v>
      </c>
      <c r="C675" s="325" t="s">
        <v>51</v>
      </c>
      <c r="D675" s="326"/>
      <c r="E675" s="321"/>
      <c r="F675" s="322">
        <v>30000.0</v>
      </c>
      <c r="G675" s="326"/>
      <c r="H675" s="321"/>
      <c r="I675" s="322">
        <v>30000.0</v>
      </c>
      <c r="J675" s="326"/>
      <c r="K675" s="321"/>
      <c r="L675" s="322">
        <v>30000.0</v>
      </c>
      <c r="M675" s="326"/>
      <c r="N675" s="321"/>
      <c r="O675" s="322">
        <v>30000.0</v>
      </c>
      <c r="P675" s="326"/>
      <c r="Q675" s="321"/>
      <c r="R675" s="322"/>
      <c r="S675" s="326"/>
      <c r="T675" s="321"/>
      <c r="U675" s="322"/>
      <c r="V675" s="326"/>
      <c r="W675" s="321"/>
      <c r="X675" s="322"/>
      <c r="Y675" s="326"/>
      <c r="Z675" s="321"/>
      <c r="AA675" s="322"/>
      <c r="AB675" s="326"/>
      <c r="AC675" s="321"/>
      <c r="AD675" s="322"/>
      <c r="AE675" s="326"/>
      <c r="AF675" s="321"/>
      <c r="AG675" s="322"/>
      <c r="AH675" s="326"/>
      <c r="AI675" s="321"/>
      <c r="AJ675" s="322"/>
      <c r="AK675" s="326"/>
      <c r="AL675" s="321"/>
      <c r="AM675" s="322"/>
      <c r="AN675" s="316" t="s">
        <v>268</v>
      </c>
      <c r="AO675" s="316"/>
      <c r="AP675" s="316"/>
      <c r="AQ675" s="316"/>
      <c r="AR675" s="316"/>
      <c r="AS675" s="316"/>
      <c r="AT675" s="316"/>
      <c r="AU675" s="316"/>
      <c r="AV675" s="316"/>
      <c r="AW675" s="316"/>
      <c r="AX675" s="316"/>
      <c r="AY675" s="316"/>
      <c r="AZ675" s="316"/>
      <c r="BA675" s="316"/>
      <c r="BB675" s="316"/>
      <c r="BC675" s="316"/>
      <c r="BD675" s="316"/>
      <c r="BE675" s="316"/>
      <c r="BF675" s="316"/>
      <c r="BG675" s="316"/>
      <c r="BH675" s="316"/>
      <c r="BI675" s="316"/>
      <c r="BJ675" s="316"/>
      <c r="BK675" s="316"/>
      <c r="BL675" s="316"/>
      <c r="BM675" s="316"/>
      <c r="BN675" s="316"/>
    </row>
    <row r="676" hidden="1" outlineLevel="1">
      <c r="A676" s="303" t="s">
        <v>1041</v>
      </c>
      <c r="B676" s="304"/>
      <c r="C676" s="325" t="s">
        <v>52</v>
      </c>
      <c r="D676" s="326"/>
      <c r="E676" s="321"/>
      <c r="F676" s="322">
        <v>23100.0</v>
      </c>
      <c r="G676" s="326"/>
      <c r="H676" s="321"/>
      <c r="I676" s="322">
        <v>23100.0</v>
      </c>
      <c r="J676" s="326"/>
      <c r="K676" s="321"/>
      <c r="L676" s="322">
        <v>23100.0</v>
      </c>
      <c r="M676" s="326"/>
      <c r="N676" s="321"/>
      <c r="O676" s="322">
        <v>23100.0</v>
      </c>
      <c r="P676" s="326"/>
      <c r="Q676" s="321"/>
      <c r="R676" s="322">
        <v>23100.0</v>
      </c>
      <c r="S676" s="326"/>
      <c r="T676" s="321"/>
      <c r="U676" s="322">
        <v>23100.0</v>
      </c>
      <c r="V676" s="326"/>
      <c r="W676" s="321"/>
      <c r="X676" s="322">
        <v>23100.0</v>
      </c>
      <c r="Y676" s="326"/>
      <c r="Z676" s="321"/>
      <c r="AA676" s="322">
        <v>23100.0</v>
      </c>
      <c r="AB676" s="326"/>
      <c r="AC676" s="321"/>
      <c r="AD676" s="322">
        <v>23100.0</v>
      </c>
      <c r="AE676" s="326"/>
      <c r="AF676" s="321"/>
      <c r="AG676" s="322">
        <v>23100.0</v>
      </c>
      <c r="AH676" s="326"/>
      <c r="AI676" s="321"/>
      <c r="AJ676" s="322">
        <v>23100.0</v>
      </c>
      <c r="AK676" s="326"/>
      <c r="AL676" s="321"/>
      <c r="AM676" s="322">
        <v>23100.0</v>
      </c>
      <c r="AN676" s="316" t="s">
        <v>268</v>
      </c>
      <c r="AO676" s="316"/>
      <c r="AP676" s="316"/>
      <c r="AQ676" s="316"/>
      <c r="AR676" s="316"/>
      <c r="AS676" s="316"/>
      <c r="AT676" s="316"/>
      <c r="AU676" s="316"/>
      <c r="AV676" s="316"/>
      <c r="AW676" s="316"/>
      <c r="AX676" s="316"/>
      <c r="AY676" s="316"/>
      <c r="AZ676" s="316"/>
      <c r="BA676" s="316"/>
      <c r="BB676" s="316"/>
      <c r="BC676" s="316"/>
      <c r="BD676" s="316"/>
      <c r="BE676" s="316"/>
      <c r="BF676" s="316"/>
      <c r="BG676" s="316"/>
      <c r="BH676" s="316"/>
      <c r="BI676" s="316"/>
      <c r="BJ676" s="316"/>
      <c r="BK676" s="316"/>
      <c r="BL676" s="316"/>
      <c r="BM676" s="316"/>
      <c r="BN676" s="316"/>
    </row>
    <row r="677" hidden="1" outlineLevel="1">
      <c r="A677" s="303" t="s">
        <v>1041</v>
      </c>
      <c r="B677" s="317" t="s">
        <v>264</v>
      </c>
      <c r="C677" s="325" t="s">
        <v>53</v>
      </c>
      <c r="D677" s="326"/>
      <c r="E677" s="321"/>
      <c r="F677" s="322">
        <v>11000.0</v>
      </c>
      <c r="G677" s="326"/>
      <c r="H677" s="321"/>
      <c r="I677" s="322">
        <v>11000.0</v>
      </c>
      <c r="J677" s="326"/>
      <c r="K677" s="321"/>
      <c r="L677" s="322">
        <v>11000.0</v>
      </c>
      <c r="M677" s="326"/>
      <c r="N677" s="321"/>
      <c r="O677" s="322">
        <v>11000.0</v>
      </c>
      <c r="P677" s="326"/>
      <c r="Q677" s="321"/>
      <c r="R677" s="322">
        <v>11000.0</v>
      </c>
      <c r="S677" s="326"/>
      <c r="T677" s="321"/>
      <c r="U677" s="322">
        <v>11000.0</v>
      </c>
      <c r="V677" s="326"/>
      <c r="W677" s="321"/>
      <c r="X677" s="322">
        <v>11000.0</v>
      </c>
      <c r="Y677" s="326"/>
      <c r="Z677" s="321"/>
      <c r="AA677" s="322">
        <v>11000.0</v>
      </c>
      <c r="AB677" s="326"/>
      <c r="AC677" s="321"/>
      <c r="AD677" s="322">
        <v>11000.0</v>
      </c>
      <c r="AE677" s="326"/>
      <c r="AF677" s="321"/>
      <c r="AG677" s="322">
        <v>11000.0</v>
      </c>
      <c r="AH677" s="326"/>
      <c r="AI677" s="321"/>
      <c r="AJ677" s="322">
        <v>11000.0</v>
      </c>
      <c r="AK677" s="326"/>
      <c r="AL677" s="321"/>
      <c r="AM677" s="322">
        <v>11000.0</v>
      </c>
      <c r="AN677" s="316" t="s">
        <v>268</v>
      </c>
      <c r="AO677" s="316"/>
      <c r="AP677" s="316"/>
      <c r="AQ677" s="316"/>
      <c r="AR677" s="316"/>
      <c r="AS677" s="316"/>
      <c r="AT677" s="316"/>
      <c r="AU677" s="316"/>
      <c r="AV677" s="316"/>
      <c r="AW677" s="316"/>
      <c r="AX677" s="316"/>
      <c r="AY677" s="316"/>
      <c r="AZ677" s="316"/>
      <c r="BA677" s="316"/>
      <c r="BB677" s="316"/>
      <c r="BC677" s="316"/>
      <c r="BD677" s="316"/>
      <c r="BE677" s="316"/>
      <c r="BF677" s="316"/>
      <c r="BG677" s="316"/>
      <c r="BH677" s="316"/>
      <c r="BI677" s="316"/>
      <c r="BJ677" s="316"/>
      <c r="BK677" s="316"/>
      <c r="BL677" s="316"/>
      <c r="BM677" s="316"/>
      <c r="BN677" s="316"/>
    </row>
    <row r="678" hidden="1" outlineLevel="1">
      <c r="A678" s="303" t="s">
        <v>1041</v>
      </c>
      <c r="B678" s="304"/>
      <c r="C678" s="325" t="s">
        <v>54</v>
      </c>
      <c r="D678" s="327"/>
      <c r="E678" s="321"/>
      <c r="F678" s="322">
        <f>SUMIFS('지출'!$G$3:$G794,'지출'!$J$3:$J794,F$1,'지출'!$C$3:$C794,"당산")</f>
        <v>89860</v>
      </c>
      <c r="G678" s="327"/>
      <c r="H678" s="321"/>
      <c r="I678" s="322">
        <f>SUMIFS('지출'!$G$3:$G794,'지출'!$J$3:$J794,I$1,'지출'!$C$3:$C794,"당산")</f>
        <v>51000</v>
      </c>
      <c r="J678" s="327"/>
      <c r="K678" s="321"/>
      <c r="L678" s="322">
        <f>SUMIFS('지출'!$G$3:$G794,'지출'!$J$3:$J794,L$1,'지출'!$C$3:$C794,"당산")</f>
        <v>13980</v>
      </c>
      <c r="M678" s="327"/>
      <c r="N678" s="321"/>
      <c r="O678" s="322">
        <f>SUMIFS('지출'!$G$3:$G794,'지출'!$J$3:$J794,O$1,'지출'!$C$3:$C794,"당산")</f>
        <v>0</v>
      </c>
      <c r="P678" s="327"/>
      <c r="Q678" s="321"/>
      <c r="R678" s="322">
        <f>SUMIFS('지출'!$G$3:$G794,'지출'!$J$3:$J794,R$1,'지출'!$C$3:$C794,"당산")</f>
        <v>0</v>
      </c>
      <c r="S678" s="327"/>
      <c r="T678" s="321"/>
      <c r="U678" s="322">
        <f>SUMIFS('지출'!$G$3:$G794,'지출'!$J$3:$J794,U$1,'지출'!$C$3:$C794,"당산")</f>
        <v>0</v>
      </c>
      <c r="V678" s="327"/>
      <c r="W678" s="321"/>
      <c r="X678" s="322">
        <f>SUMIFS('지출'!$G$3:$G794,'지출'!$J$3:$J794,X$1,'지출'!$C$3:$C794,"당산")</f>
        <v>0</v>
      </c>
      <c r="Y678" s="327"/>
      <c r="Z678" s="321"/>
      <c r="AA678" s="322">
        <f>SUMIFS('지출'!$G$3:$G794,'지출'!$J$3:$J794,AA$1,'지출'!$C$3:$C794,"당산")</f>
        <v>0</v>
      </c>
      <c r="AB678" s="327"/>
      <c r="AC678" s="321"/>
      <c r="AD678" s="322">
        <f>SUMIFS('지출'!$G$3:$G794,'지출'!$J$3:$J794,AD$1,'지출'!$C$3:$C794,"당산")</f>
        <v>0</v>
      </c>
      <c r="AE678" s="327"/>
      <c r="AF678" s="321"/>
      <c r="AG678" s="322">
        <f>SUMIFS('지출'!$G$3:$G794,'지출'!$J$3:$J794,AG$1,'지출'!$C$3:$C794,"당산")</f>
        <v>0</v>
      </c>
      <c r="AH678" s="327"/>
      <c r="AI678" s="321"/>
      <c r="AJ678" s="322">
        <f>SUMIFS('지출'!$G$3:$G794,'지출'!$J$3:$J794,AJ$1,'지출'!$C$3:$C794,"당산")</f>
        <v>0</v>
      </c>
      <c r="AK678" s="327"/>
      <c r="AL678" s="321"/>
      <c r="AM678" s="322">
        <f>SUMIFS('지출'!$G$3:$G794,'지출'!$J$3:$J794,AM$1,'지출'!$C$3:$C794,"당산")</f>
        <v>0</v>
      </c>
      <c r="AN678" s="316" t="s">
        <v>268</v>
      </c>
      <c r="AO678" s="316"/>
      <c r="AP678" s="316"/>
      <c r="AQ678" s="316"/>
      <c r="AR678" s="316"/>
      <c r="AS678" s="316"/>
      <c r="AT678" s="316"/>
      <c r="AU678" s="316"/>
      <c r="AV678" s="316"/>
      <c r="AW678" s="316"/>
      <c r="AX678" s="316"/>
      <c r="AY678" s="316"/>
      <c r="AZ678" s="316"/>
      <c r="BA678" s="316"/>
      <c r="BB678" s="316"/>
      <c r="BC678" s="316"/>
      <c r="BD678" s="316"/>
      <c r="BE678" s="316"/>
      <c r="BF678" s="316"/>
      <c r="BG678" s="316"/>
      <c r="BH678" s="316"/>
      <c r="BI678" s="316"/>
      <c r="BJ678" s="316"/>
      <c r="BK678" s="316"/>
      <c r="BL678" s="316"/>
      <c r="BM678" s="316"/>
      <c r="BN678" s="316"/>
    </row>
    <row r="679">
      <c r="A679" s="303" t="s">
        <v>1041</v>
      </c>
      <c r="B679" s="304"/>
      <c r="C679" s="325" t="s">
        <v>56</v>
      </c>
      <c r="D679" s="320"/>
      <c r="E679" s="323">
        <f t="shared" ref="E679:F679" si="940">E670-(SUM(E671:E678))</f>
        <v>890000</v>
      </c>
      <c r="F679" s="324">
        <f t="shared" si="940"/>
        <v>52020</v>
      </c>
      <c r="G679" s="320"/>
      <c r="H679" s="323">
        <f t="shared" ref="H679:I679" si="941">H670-(SUM(H671:H678))</f>
        <v>890000</v>
      </c>
      <c r="I679" s="324">
        <f t="shared" si="941"/>
        <v>-65000</v>
      </c>
      <c r="J679" s="320"/>
      <c r="K679" s="323">
        <f t="shared" ref="K679:L679" si="942">K670-(SUM(K671:K678))</f>
        <v>890000</v>
      </c>
      <c r="L679" s="324">
        <f t="shared" si="942"/>
        <v>44220</v>
      </c>
      <c r="M679" s="320"/>
      <c r="N679" s="323">
        <f t="shared" ref="N679:O679" si="943">N670-(SUM(N671:N678))</f>
        <v>890000</v>
      </c>
      <c r="O679" s="324">
        <f t="shared" si="943"/>
        <v>325900</v>
      </c>
      <c r="P679" s="320"/>
      <c r="Q679" s="323">
        <f t="shared" ref="Q679:R679" si="944">Q670-(SUM(Q671:Q678))</f>
        <v>890000</v>
      </c>
      <c r="R679" s="324">
        <f t="shared" si="944"/>
        <v>355900</v>
      </c>
      <c r="S679" s="320"/>
      <c r="T679" s="323">
        <f t="shared" ref="T679:U679" si="945">T670-(SUM(T671:T678))</f>
        <v>420000</v>
      </c>
      <c r="U679" s="324">
        <f t="shared" si="945"/>
        <v>255900</v>
      </c>
      <c r="V679" s="320"/>
      <c r="W679" s="323">
        <f t="shared" ref="W679:X679" si="946">W670-(SUM(W671:W678))</f>
        <v>420000</v>
      </c>
      <c r="X679" s="324">
        <f t="shared" si="946"/>
        <v>255900</v>
      </c>
      <c r="Y679" s="320"/>
      <c r="Z679" s="323">
        <f t="shared" ref="Z679:AA679" si="947">Z670-(SUM(Z671:Z678))</f>
        <v>420000</v>
      </c>
      <c r="AA679" s="324">
        <f t="shared" si="947"/>
        <v>255900</v>
      </c>
      <c r="AB679" s="320"/>
      <c r="AC679" s="323">
        <f t="shared" ref="AC679:AD679" si="948">AC670-(SUM(AC671:AC678))</f>
        <v>-30000</v>
      </c>
      <c r="AD679" s="324">
        <f t="shared" si="948"/>
        <v>155900</v>
      </c>
      <c r="AE679" s="320"/>
      <c r="AF679" s="323">
        <f t="shared" ref="AF679:AG679" si="949">AF670-(SUM(AF671:AF678))</f>
        <v>-30000</v>
      </c>
      <c r="AG679" s="324">
        <f t="shared" si="949"/>
        <v>155900</v>
      </c>
      <c r="AH679" s="320"/>
      <c r="AI679" s="323">
        <f t="shared" ref="AI679:AJ679" si="950">AI670-(SUM(AI671:AI678))</f>
        <v>-30000</v>
      </c>
      <c r="AJ679" s="324">
        <f t="shared" si="950"/>
        <v>155900</v>
      </c>
      <c r="AK679" s="320"/>
      <c r="AL679" s="323">
        <f t="shared" ref="AL679:AM679" si="951">AL670-(SUM(AL671:AL678))</f>
        <v>-30000</v>
      </c>
      <c r="AM679" s="324">
        <f t="shared" si="951"/>
        <v>155900</v>
      </c>
      <c r="AN679" s="316" t="s">
        <v>268</v>
      </c>
      <c r="AO679" s="316"/>
      <c r="AP679" s="316"/>
      <c r="AQ679" s="316"/>
      <c r="AR679" s="316"/>
      <c r="AS679" s="316"/>
      <c r="AT679" s="316"/>
      <c r="AU679" s="316"/>
      <c r="AV679" s="316"/>
      <c r="AW679" s="316"/>
      <c r="AX679" s="316"/>
      <c r="AY679" s="316"/>
      <c r="AZ679" s="316"/>
      <c r="BA679" s="316"/>
      <c r="BB679" s="316"/>
      <c r="BC679" s="316"/>
      <c r="BD679" s="316"/>
      <c r="BE679" s="316"/>
      <c r="BF679" s="316"/>
      <c r="BG679" s="316"/>
      <c r="BH679" s="316"/>
      <c r="BI679" s="316"/>
      <c r="BJ679" s="316"/>
      <c r="BK679" s="316"/>
      <c r="BL679" s="316"/>
      <c r="BM679" s="316"/>
      <c r="BN679" s="316"/>
    </row>
    <row r="680">
      <c r="A680" s="303" t="s">
        <v>1041</v>
      </c>
      <c r="B680" s="328">
        <v>0.7</v>
      </c>
      <c r="C680" s="325" t="s">
        <v>26</v>
      </c>
      <c r="D680" s="320"/>
      <c r="E680" s="323">
        <f>E679*$B680</f>
        <v>623000</v>
      </c>
      <c r="F680" s="324"/>
      <c r="G680" s="320"/>
      <c r="H680" s="323">
        <f>H679*$B680</f>
        <v>623000</v>
      </c>
      <c r="I680" s="324"/>
      <c r="J680" s="320"/>
      <c r="K680" s="323">
        <f>K679*$B680</f>
        <v>623000</v>
      </c>
      <c r="L680" s="324"/>
      <c r="M680" s="320"/>
      <c r="N680" s="323">
        <f>N679*$B680</f>
        <v>623000</v>
      </c>
      <c r="O680" s="324"/>
      <c r="P680" s="320"/>
      <c r="Q680" s="323">
        <f>Q679*$B680</f>
        <v>623000</v>
      </c>
      <c r="R680" s="324"/>
      <c r="S680" s="320"/>
      <c r="T680" s="323">
        <f>T679*$B680</f>
        <v>294000</v>
      </c>
      <c r="U680" s="324"/>
      <c r="V680" s="320"/>
      <c r="W680" s="323">
        <f>W679*$B680</f>
        <v>294000</v>
      </c>
      <c r="X680" s="324"/>
      <c r="Y680" s="320"/>
      <c r="Z680" s="323">
        <f>Z679*$B680</f>
        <v>294000</v>
      </c>
      <c r="AA680" s="324"/>
      <c r="AB680" s="320"/>
      <c r="AC680" s="323">
        <f>AC679*$B680</f>
        <v>-21000</v>
      </c>
      <c r="AD680" s="324"/>
      <c r="AE680" s="320"/>
      <c r="AF680" s="323">
        <f>AF679*$B680</f>
        <v>-21000</v>
      </c>
      <c r="AG680" s="324"/>
      <c r="AH680" s="320"/>
      <c r="AI680" s="323">
        <f>AI679*$B680</f>
        <v>-21000</v>
      </c>
      <c r="AJ680" s="324"/>
      <c r="AK680" s="320"/>
      <c r="AL680" s="323">
        <f>AL679*$B680</f>
        <v>-21000</v>
      </c>
      <c r="AM680" s="324"/>
      <c r="AN680" s="316" t="s">
        <v>268</v>
      </c>
      <c r="AO680" s="316"/>
      <c r="AP680" s="316"/>
      <c r="AQ680" s="316"/>
      <c r="AR680" s="316"/>
      <c r="AS680" s="316"/>
      <c r="AT680" s="316"/>
      <c r="AU680" s="316"/>
      <c r="AV680" s="316"/>
      <c r="AW680" s="316"/>
      <c r="AX680" s="316"/>
      <c r="AY680" s="316"/>
      <c r="AZ680" s="316"/>
      <c r="BA680" s="316"/>
      <c r="BB680" s="316"/>
      <c r="BC680" s="316"/>
      <c r="BD680" s="316"/>
      <c r="BE680" s="316"/>
      <c r="BF680" s="316"/>
      <c r="BG680" s="316"/>
      <c r="BH680" s="316"/>
      <c r="BI680" s="316"/>
      <c r="BJ680" s="316"/>
      <c r="BK680" s="316"/>
      <c r="BL680" s="316"/>
      <c r="BM680" s="316"/>
      <c r="BN680" s="316"/>
    </row>
    <row r="681">
      <c r="A681" s="303" t="s">
        <v>1041</v>
      </c>
      <c r="B681" s="329">
        <v>0.3</v>
      </c>
      <c r="C681" s="330" t="s">
        <v>57</v>
      </c>
      <c r="D681" s="331"/>
      <c r="E681" s="332">
        <f>E679-E680</f>
        <v>267000</v>
      </c>
      <c r="F681" s="333"/>
      <c r="G681" s="331"/>
      <c r="H681" s="332">
        <f>H679-H680</f>
        <v>267000</v>
      </c>
      <c r="I681" s="333"/>
      <c r="J681" s="331"/>
      <c r="K681" s="332">
        <f>K679-K680</f>
        <v>267000</v>
      </c>
      <c r="L681" s="333"/>
      <c r="M681" s="331"/>
      <c r="N681" s="332">
        <f>N679-N680</f>
        <v>267000</v>
      </c>
      <c r="O681" s="333"/>
      <c r="P681" s="331"/>
      <c r="Q681" s="332">
        <f>Q679-Q680</f>
        <v>267000</v>
      </c>
      <c r="R681" s="333"/>
      <c r="S681" s="331"/>
      <c r="T681" s="332">
        <f>T679-T680</f>
        <v>126000</v>
      </c>
      <c r="U681" s="333"/>
      <c r="V681" s="331"/>
      <c r="W681" s="332">
        <f>W679-W680</f>
        <v>126000</v>
      </c>
      <c r="X681" s="333"/>
      <c r="Y681" s="331"/>
      <c r="Z681" s="332">
        <f>Z679-Z680</f>
        <v>126000</v>
      </c>
      <c r="AA681" s="333"/>
      <c r="AB681" s="331"/>
      <c r="AC681" s="332">
        <f>AC679-AC680</f>
        <v>-9000</v>
      </c>
      <c r="AD681" s="333"/>
      <c r="AE681" s="331"/>
      <c r="AF681" s="332">
        <f>AF679-AF680</f>
        <v>-9000</v>
      </c>
      <c r="AG681" s="333"/>
      <c r="AH681" s="331"/>
      <c r="AI681" s="332">
        <f>AI679-AI680</f>
        <v>-9000</v>
      </c>
      <c r="AJ681" s="333"/>
      <c r="AK681" s="331"/>
      <c r="AL681" s="332">
        <f>AL679-AL680</f>
        <v>-9000</v>
      </c>
      <c r="AM681" s="333"/>
      <c r="AN681" s="316" t="s">
        <v>268</v>
      </c>
      <c r="AO681" s="316"/>
      <c r="AP681" s="316"/>
      <c r="AQ681" s="316"/>
      <c r="AR681" s="316"/>
      <c r="AS681" s="316"/>
      <c r="AT681" s="316"/>
      <c r="AU681" s="316"/>
      <c r="AV681" s="316"/>
      <c r="AW681" s="316"/>
      <c r="AX681" s="316"/>
      <c r="AY681" s="316"/>
      <c r="AZ681" s="316"/>
      <c r="BA681" s="316"/>
      <c r="BB681" s="316"/>
      <c r="BC681" s="316"/>
      <c r="BD681" s="316"/>
      <c r="BE681" s="316"/>
      <c r="BF681" s="316"/>
      <c r="BG681" s="316"/>
      <c r="BH681" s="316"/>
      <c r="BI681" s="316"/>
      <c r="BJ681" s="316"/>
      <c r="BK681" s="316"/>
      <c r="BL681" s="316"/>
      <c r="BM681" s="316"/>
      <c r="BN681" s="316"/>
    </row>
    <row r="682">
      <c r="A682" s="303" t="s">
        <v>2344</v>
      </c>
      <c r="B682" s="384" t="s">
        <v>1055</v>
      </c>
      <c r="C682" s="385" t="s">
        <v>1056</v>
      </c>
      <c r="D682" s="341" t="s">
        <v>2345</v>
      </c>
      <c r="E682" s="335">
        <v>550000.0</v>
      </c>
      <c r="F682" s="346">
        <f>100000+10000</f>
        <v>110000</v>
      </c>
      <c r="G682" s="353" t="s">
        <v>2346</v>
      </c>
      <c r="H682" s="335">
        <f>550000+500000+125000</f>
        <v>1175000</v>
      </c>
      <c r="I682" s="346">
        <f>100000+60000+25000</f>
        <v>185000</v>
      </c>
      <c r="J682" s="326" t="s">
        <v>1939</v>
      </c>
      <c r="K682" s="321">
        <v>500000.0</v>
      </c>
      <c r="L682" s="324">
        <v>100000.0</v>
      </c>
      <c r="M682" s="326" t="s">
        <v>2347</v>
      </c>
      <c r="N682" s="321">
        <v>500000.0</v>
      </c>
      <c r="O682" s="324">
        <v>100000.0</v>
      </c>
      <c r="P682" s="326" t="s">
        <v>2347</v>
      </c>
      <c r="Q682" s="321">
        <v>500000.0</v>
      </c>
      <c r="R682" s="324">
        <v>100000.0</v>
      </c>
      <c r="S682" s="326" t="s">
        <v>2347</v>
      </c>
      <c r="T682" s="321">
        <v>500000.0</v>
      </c>
      <c r="U682" s="324">
        <v>100000.0</v>
      </c>
      <c r="V682" s="326" t="s">
        <v>2347</v>
      </c>
      <c r="W682" s="321">
        <v>500000.0</v>
      </c>
      <c r="X682" s="324">
        <v>100000.0</v>
      </c>
      <c r="Y682" s="326" t="s">
        <v>2347</v>
      </c>
      <c r="Z682" s="321">
        <v>500000.0</v>
      </c>
      <c r="AA682" s="324">
        <v>100000.0</v>
      </c>
      <c r="AB682" s="326" t="s">
        <v>2347</v>
      </c>
      <c r="AC682" s="321">
        <v>500000.0</v>
      </c>
      <c r="AD682" s="324">
        <v>100000.0</v>
      </c>
      <c r="AE682" s="326" t="s">
        <v>2347</v>
      </c>
      <c r="AF682" s="321">
        <v>500000.0</v>
      </c>
      <c r="AG682" s="324">
        <v>100000.0</v>
      </c>
      <c r="AH682" s="326" t="s">
        <v>2347</v>
      </c>
      <c r="AI682" s="321">
        <v>500000.0</v>
      </c>
      <c r="AJ682" s="324">
        <v>100000.0</v>
      </c>
      <c r="AK682" s="326" t="s">
        <v>2347</v>
      </c>
      <c r="AL682" s="321">
        <v>500000.0</v>
      </c>
      <c r="AM682" s="324">
        <v>100000.0</v>
      </c>
      <c r="AN682" s="316" t="s">
        <v>33</v>
      </c>
      <c r="AO682" s="316"/>
      <c r="AP682" s="316"/>
      <c r="AQ682" s="316"/>
      <c r="AR682" s="316"/>
      <c r="AS682" s="316"/>
      <c r="AT682" s="316"/>
      <c r="AU682" s="316"/>
      <c r="AV682" s="316"/>
      <c r="AW682" s="316"/>
      <c r="AX682" s="316"/>
      <c r="AY682" s="316"/>
      <c r="AZ682" s="316"/>
      <c r="BA682" s="316"/>
      <c r="BB682" s="316"/>
      <c r="BC682" s="316"/>
      <c r="BD682" s="316"/>
      <c r="BE682" s="316"/>
      <c r="BF682" s="316"/>
      <c r="BG682" s="316"/>
      <c r="BH682" s="316"/>
      <c r="BI682" s="316"/>
      <c r="BJ682" s="316"/>
      <c r="BK682" s="316"/>
      <c r="BL682" s="316"/>
      <c r="BM682" s="316"/>
      <c r="BN682" s="316"/>
    </row>
    <row r="683">
      <c r="A683" s="303" t="s">
        <v>2344</v>
      </c>
      <c r="B683" s="317" t="s">
        <v>1058</v>
      </c>
      <c r="C683" s="385" t="s">
        <v>1059</v>
      </c>
      <c r="D683" s="353" t="s">
        <v>2348</v>
      </c>
      <c r="E683" s="335">
        <v>500000.0</v>
      </c>
      <c r="F683" s="346">
        <v>80000.0</v>
      </c>
      <c r="G683" s="353" t="s">
        <v>2349</v>
      </c>
      <c r="H683" s="348">
        <v>137143.0</v>
      </c>
      <c r="I683" s="345">
        <v>28571.0</v>
      </c>
      <c r="J683" s="326" t="s">
        <v>1944</v>
      </c>
      <c r="K683" s="321">
        <v>480000.0</v>
      </c>
      <c r="L683" s="346">
        <v>100000.0</v>
      </c>
      <c r="M683" s="326" t="s">
        <v>1944</v>
      </c>
      <c r="N683" s="321">
        <v>480000.0</v>
      </c>
      <c r="O683" s="346">
        <v>100000.0</v>
      </c>
      <c r="P683" s="326" t="s">
        <v>1944</v>
      </c>
      <c r="Q683" s="321">
        <v>480000.0</v>
      </c>
      <c r="R683" s="346">
        <v>100000.0</v>
      </c>
      <c r="S683" s="326" t="s">
        <v>1944</v>
      </c>
      <c r="T683" s="321">
        <v>480000.0</v>
      </c>
      <c r="U683" s="346">
        <v>100000.0</v>
      </c>
      <c r="V683" s="326" t="s">
        <v>1944</v>
      </c>
      <c r="W683" s="321">
        <v>480000.0</v>
      </c>
      <c r="X683" s="346">
        <v>100000.0</v>
      </c>
      <c r="Y683" s="326" t="s">
        <v>1944</v>
      </c>
      <c r="Z683" s="321">
        <v>480000.0</v>
      </c>
      <c r="AA683" s="346">
        <v>100000.0</v>
      </c>
      <c r="AB683" s="326" t="s">
        <v>1944</v>
      </c>
      <c r="AC683" s="321">
        <v>480000.0</v>
      </c>
      <c r="AD683" s="346">
        <v>100000.0</v>
      </c>
      <c r="AE683" s="326" t="s">
        <v>1944</v>
      </c>
      <c r="AF683" s="321">
        <v>480000.0</v>
      </c>
      <c r="AG683" s="346">
        <v>100000.0</v>
      </c>
      <c r="AH683" s="326" t="s">
        <v>1944</v>
      </c>
      <c r="AI683" s="321">
        <v>480000.0</v>
      </c>
      <c r="AJ683" s="346">
        <v>100000.0</v>
      </c>
      <c r="AK683" s="326" t="s">
        <v>1944</v>
      </c>
      <c r="AL683" s="321">
        <v>480000.0</v>
      </c>
      <c r="AM683" s="346">
        <v>100000.0</v>
      </c>
      <c r="AN683" s="316" t="s">
        <v>33</v>
      </c>
      <c r="AO683" s="316"/>
      <c r="AP683" s="316"/>
      <c r="AQ683" s="316"/>
      <c r="AR683" s="316"/>
      <c r="AS683" s="316"/>
      <c r="AT683" s="316"/>
      <c r="AU683" s="316"/>
      <c r="AV683" s="316"/>
      <c r="AW683" s="316"/>
      <c r="AX683" s="316"/>
      <c r="AY683" s="316"/>
      <c r="AZ683" s="316"/>
      <c r="BA683" s="316"/>
      <c r="BB683" s="316"/>
      <c r="BC683" s="316"/>
      <c r="BD683" s="316"/>
      <c r="BE683" s="316"/>
      <c r="BF683" s="316"/>
      <c r="BG683" s="316"/>
      <c r="BH683" s="316"/>
      <c r="BI683" s="316"/>
      <c r="BJ683" s="316"/>
      <c r="BK683" s="316"/>
      <c r="BL683" s="316"/>
      <c r="BM683" s="316"/>
      <c r="BN683" s="316"/>
    </row>
    <row r="684">
      <c r="A684" s="303" t="s">
        <v>2344</v>
      </c>
      <c r="B684" s="384" t="s">
        <v>1055</v>
      </c>
      <c r="C684" s="385" t="s">
        <v>1068</v>
      </c>
      <c r="D684" s="341" t="s">
        <v>2350</v>
      </c>
      <c r="E684" s="348">
        <v>370000.0</v>
      </c>
      <c r="F684" s="346">
        <f t="shared" ref="F684:F685" si="952">100000+10000</f>
        <v>110000</v>
      </c>
      <c r="G684" s="341" t="s">
        <v>2350</v>
      </c>
      <c r="H684" s="348">
        <v>370000.0</v>
      </c>
      <c r="I684" s="346">
        <f t="shared" ref="I684:I685" si="953">100000+60000</f>
        <v>160000</v>
      </c>
      <c r="J684" s="341" t="s">
        <v>2350</v>
      </c>
      <c r="K684" s="348">
        <v>450000.0</v>
      </c>
      <c r="L684" s="346">
        <v>100000.0</v>
      </c>
      <c r="M684" s="341" t="s">
        <v>2350</v>
      </c>
      <c r="N684" s="348">
        <v>450000.0</v>
      </c>
      <c r="O684" s="346">
        <v>100000.0</v>
      </c>
      <c r="P684" s="341" t="s">
        <v>2350</v>
      </c>
      <c r="Q684" s="348">
        <v>450000.0</v>
      </c>
      <c r="R684" s="346">
        <v>100000.0</v>
      </c>
      <c r="S684" s="341" t="s">
        <v>2350</v>
      </c>
      <c r="T684" s="348">
        <v>450000.0</v>
      </c>
      <c r="U684" s="346">
        <v>100000.0</v>
      </c>
      <c r="V684" s="341" t="s">
        <v>2350</v>
      </c>
      <c r="W684" s="348">
        <v>450000.0</v>
      </c>
      <c r="X684" s="346">
        <v>100000.0</v>
      </c>
      <c r="Y684" s="341" t="s">
        <v>2350</v>
      </c>
      <c r="Z684" s="348">
        <v>450000.0</v>
      </c>
      <c r="AA684" s="346">
        <v>100000.0</v>
      </c>
      <c r="AB684" s="341" t="s">
        <v>2350</v>
      </c>
      <c r="AC684" s="348">
        <v>450000.0</v>
      </c>
      <c r="AD684" s="346">
        <v>100000.0</v>
      </c>
      <c r="AE684" s="341" t="s">
        <v>2350</v>
      </c>
      <c r="AF684" s="348">
        <v>450000.0</v>
      </c>
      <c r="AG684" s="346">
        <v>100000.0</v>
      </c>
      <c r="AH684" s="341" t="s">
        <v>2350</v>
      </c>
      <c r="AI684" s="348">
        <v>450000.0</v>
      </c>
      <c r="AJ684" s="346">
        <v>100000.0</v>
      </c>
      <c r="AK684" s="341" t="s">
        <v>2350</v>
      </c>
      <c r="AL684" s="348">
        <v>450000.0</v>
      </c>
      <c r="AM684" s="346">
        <v>100000.0</v>
      </c>
      <c r="AN684" s="316" t="s">
        <v>33</v>
      </c>
      <c r="AO684" s="316"/>
      <c r="AP684" s="316"/>
      <c r="AQ684" s="316"/>
      <c r="AR684" s="316"/>
      <c r="AS684" s="316"/>
      <c r="AT684" s="316"/>
      <c r="AU684" s="316"/>
      <c r="AV684" s="316"/>
      <c r="AW684" s="316"/>
      <c r="AX684" s="316"/>
      <c r="AY684" s="316"/>
      <c r="AZ684" s="316"/>
      <c r="BA684" s="316"/>
      <c r="BB684" s="316"/>
      <c r="BC684" s="316"/>
      <c r="BD684" s="316"/>
      <c r="BE684" s="316"/>
      <c r="BF684" s="316"/>
      <c r="BG684" s="316"/>
      <c r="BH684" s="316"/>
      <c r="BI684" s="316"/>
      <c r="BJ684" s="316"/>
      <c r="BK684" s="316"/>
      <c r="BL684" s="316"/>
      <c r="BM684" s="316"/>
      <c r="BN684" s="316"/>
    </row>
    <row r="685">
      <c r="A685" s="303" t="s">
        <v>2344</v>
      </c>
      <c r="B685" s="384" t="s">
        <v>1055</v>
      </c>
      <c r="C685" s="385" t="s">
        <v>876</v>
      </c>
      <c r="D685" s="341" t="s">
        <v>1950</v>
      </c>
      <c r="E685" s="335">
        <v>440000.0</v>
      </c>
      <c r="F685" s="346">
        <f t="shared" si="952"/>
        <v>110000</v>
      </c>
      <c r="G685" s="341" t="s">
        <v>1950</v>
      </c>
      <c r="H685" s="335">
        <v>440000.0</v>
      </c>
      <c r="I685" s="346">
        <f t="shared" si="953"/>
        <v>160000</v>
      </c>
      <c r="J685" s="341" t="s">
        <v>1950</v>
      </c>
      <c r="K685" s="335">
        <v>440000.0</v>
      </c>
      <c r="L685" s="346">
        <v>100000.0</v>
      </c>
      <c r="M685" s="394" t="s">
        <v>1950</v>
      </c>
      <c r="N685" s="335">
        <v>440000.0</v>
      </c>
      <c r="O685" s="346">
        <v>100000.0</v>
      </c>
      <c r="P685" s="394" t="s">
        <v>1950</v>
      </c>
      <c r="Q685" s="335">
        <v>440000.0</v>
      </c>
      <c r="R685" s="346">
        <v>100000.0</v>
      </c>
      <c r="S685" s="394" t="s">
        <v>1950</v>
      </c>
      <c r="T685" s="335">
        <v>440000.0</v>
      </c>
      <c r="U685" s="346">
        <v>100000.0</v>
      </c>
      <c r="V685" s="394" t="s">
        <v>1950</v>
      </c>
      <c r="W685" s="335">
        <v>440000.0</v>
      </c>
      <c r="X685" s="346">
        <v>100000.0</v>
      </c>
      <c r="Y685" s="364" t="s">
        <v>2351</v>
      </c>
      <c r="Z685" s="348">
        <v>352008.0</v>
      </c>
      <c r="AA685" s="345">
        <v>80016.0</v>
      </c>
      <c r="AB685" s="326"/>
      <c r="AC685" s="321"/>
      <c r="AD685" s="322"/>
      <c r="AE685" s="326"/>
      <c r="AF685" s="321"/>
      <c r="AG685" s="322"/>
      <c r="AH685" s="326"/>
      <c r="AI685" s="321"/>
      <c r="AJ685" s="322"/>
      <c r="AK685" s="326"/>
      <c r="AL685" s="321"/>
      <c r="AM685" s="322"/>
      <c r="AN685" s="316" t="s">
        <v>33</v>
      </c>
      <c r="AO685" s="316"/>
      <c r="AP685" s="316"/>
      <c r="AQ685" s="316"/>
      <c r="AR685" s="316"/>
      <c r="AS685" s="316"/>
      <c r="AT685" s="316"/>
      <c r="AU685" s="316"/>
      <c r="AV685" s="316"/>
      <c r="AW685" s="316"/>
      <c r="AX685" s="316"/>
      <c r="AY685" s="316"/>
      <c r="AZ685" s="316"/>
      <c r="BA685" s="316"/>
      <c r="BB685" s="316"/>
      <c r="BC685" s="316"/>
      <c r="BD685" s="316"/>
      <c r="BE685" s="316"/>
      <c r="BF685" s="316"/>
      <c r="BG685" s="316"/>
      <c r="BH685" s="316"/>
      <c r="BI685" s="316"/>
      <c r="BJ685" s="316"/>
      <c r="BK685" s="316"/>
      <c r="BL685" s="316"/>
      <c r="BM685" s="316"/>
      <c r="BN685" s="316"/>
    </row>
    <row r="686">
      <c r="A686" s="303" t="s">
        <v>2344</v>
      </c>
      <c r="B686" s="384" t="s">
        <v>1055</v>
      </c>
      <c r="C686" s="385" t="s">
        <v>881</v>
      </c>
      <c r="D686" s="341" t="s">
        <v>37</v>
      </c>
      <c r="E686" s="350"/>
      <c r="F686" s="351"/>
      <c r="G686" s="353" t="s">
        <v>2352</v>
      </c>
      <c r="H686" s="335">
        <v>105714.0</v>
      </c>
      <c r="I686" s="346">
        <v>28571.0</v>
      </c>
      <c r="J686" s="326" t="s">
        <v>1952</v>
      </c>
      <c r="K686" s="348">
        <v>370000.0</v>
      </c>
      <c r="L686" s="346">
        <v>100000.0</v>
      </c>
      <c r="M686" s="326" t="s">
        <v>1952</v>
      </c>
      <c r="N686" s="348">
        <v>370000.0</v>
      </c>
      <c r="O686" s="346">
        <v>100000.0</v>
      </c>
      <c r="P686" s="326" t="s">
        <v>1952</v>
      </c>
      <c r="Q686" s="348">
        <v>370000.0</v>
      </c>
      <c r="R686" s="346">
        <v>100000.0</v>
      </c>
      <c r="S686" s="326" t="s">
        <v>1952</v>
      </c>
      <c r="T686" s="348">
        <v>370000.0</v>
      </c>
      <c r="U686" s="346">
        <v>100000.0</v>
      </c>
      <c r="V686" s="326" t="s">
        <v>1952</v>
      </c>
      <c r="W686" s="348">
        <v>370000.0</v>
      </c>
      <c r="X686" s="346">
        <v>100000.0</v>
      </c>
      <c r="Y686" s="326" t="s">
        <v>1952</v>
      </c>
      <c r="Z686" s="348">
        <v>370000.0</v>
      </c>
      <c r="AA686" s="346">
        <v>100000.0</v>
      </c>
      <c r="AB686" s="326" t="s">
        <v>1952</v>
      </c>
      <c r="AC686" s="348">
        <v>370000.0</v>
      </c>
      <c r="AD686" s="346">
        <v>100000.0</v>
      </c>
      <c r="AE686" s="326" t="s">
        <v>1952</v>
      </c>
      <c r="AF686" s="348">
        <v>370000.0</v>
      </c>
      <c r="AG686" s="346">
        <v>100000.0</v>
      </c>
      <c r="AH686" s="326" t="s">
        <v>1952</v>
      </c>
      <c r="AI686" s="348">
        <v>370000.0</v>
      </c>
      <c r="AJ686" s="346">
        <v>100000.0</v>
      </c>
      <c r="AK686" s="326" t="s">
        <v>1952</v>
      </c>
      <c r="AL686" s="348">
        <v>370000.0</v>
      </c>
      <c r="AM686" s="346">
        <v>100000.0</v>
      </c>
      <c r="AN686" s="316" t="s">
        <v>33</v>
      </c>
      <c r="AO686" s="316"/>
      <c r="AP686" s="316"/>
      <c r="AQ686" s="316"/>
      <c r="AR686" s="316"/>
      <c r="AS686" s="316"/>
      <c r="AT686" s="316"/>
      <c r="AU686" s="316"/>
      <c r="AV686" s="316"/>
      <c r="AW686" s="316"/>
      <c r="AX686" s="316"/>
      <c r="AY686" s="316"/>
      <c r="AZ686" s="316"/>
      <c r="BA686" s="316"/>
      <c r="BB686" s="316"/>
      <c r="BC686" s="316"/>
      <c r="BD686" s="316"/>
      <c r="BE686" s="316"/>
      <c r="BF686" s="316"/>
      <c r="BG686" s="316"/>
      <c r="BH686" s="316"/>
      <c r="BI686" s="316"/>
      <c r="BJ686" s="316"/>
      <c r="BK686" s="316"/>
      <c r="BL686" s="316"/>
      <c r="BM686" s="316"/>
      <c r="BN686" s="316"/>
    </row>
    <row r="687">
      <c r="A687" s="303" t="s">
        <v>2344</v>
      </c>
      <c r="B687" s="304"/>
      <c r="C687" s="305" t="s">
        <v>42</v>
      </c>
      <c r="D687" s="320"/>
      <c r="E687" s="323">
        <f t="shared" ref="E687:F687" si="954">SUM(E682:E686)</f>
        <v>1860000</v>
      </c>
      <c r="F687" s="324">
        <f t="shared" si="954"/>
        <v>410000</v>
      </c>
      <c r="G687" s="320"/>
      <c r="H687" s="323">
        <f t="shared" ref="H687:I687" si="955">SUM(H682:H686)</f>
        <v>2227857</v>
      </c>
      <c r="I687" s="324">
        <f t="shared" si="955"/>
        <v>562142</v>
      </c>
      <c r="J687" s="320"/>
      <c r="K687" s="323">
        <f t="shared" ref="K687:L687" si="956">SUM(K682:K686)</f>
        <v>2240000</v>
      </c>
      <c r="L687" s="324">
        <f t="shared" si="956"/>
        <v>500000</v>
      </c>
      <c r="M687" s="320"/>
      <c r="N687" s="323">
        <f t="shared" ref="N687:O687" si="957">SUM(N682:N686)</f>
        <v>2240000</v>
      </c>
      <c r="O687" s="324">
        <f t="shared" si="957"/>
        <v>500000</v>
      </c>
      <c r="P687" s="320"/>
      <c r="Q687" s="323">
        <f t="shared" ref="Q687:R687" si="958">SUM(Q682:Q686)</f>
        <v>2240000</v>
      </c>
      <c r="R687" s="324">
        <f t="shared" si="958"/>
        <v>500000</v>
      </c>
      <c r="S687" s="320"/>
      <c r="T687" s="323">
        <f t="shared" ref="T687:U687" si="959">SUM(T682:T686)</f>
        <v>2240000</v>
      </c>
      <c r="U687" s="324">
        <f t="shared" si="959"/>
        <v>500000</v>
      </c>
      <c r="V687" s="320"/>
      <c r="W687" s="323">
        <f t="shared" ref="W687:X687" si="960">SUM(W682:W686)</f>
        <v>2240000</v>
      </c>
      <c r="X687" s="324">
        <f t="shared" si="960"/>
        <v>500000</v>
      </c>
      <c r="Y687" s="320"/>
      <c r="Z687" s="323">
        <f t="shared" ref="Z687:AA687" si="961">SUM(Z682:Z686)</f>
        <v>2152008</v>
      </c>
      <c r="AA687" s="324">
        <f t="shared" si="961"/>
        <v>480016</v>
      </c>
      <c r="AB687" s="320"/>
      <c r="AC687" s="323">
        <f t="shared" ref="AC687:AD687" si="962">SUM(AC682:AC686)</f>
        <v>1800000</v>
      </c>
      <c r="AD687" s="324">
        <f t="shared" si="962"/>
        <v>400000</v>
      </c>
      <c r="AE687" s="320"/>
      <c r="AF687" s="323">
        <f t="shared" ref="AF687:AG687" si="963">SUM(AF682:AF686)</f>
        <v>1800000</v>
      </c>
      <c r="AG687" s="324">
        <f t="shared" si="963"/>
        <v>400000</v>
      </c>
      <c r="AH687" s="320"/>
      <c r="AI687" s="323">
        <f t="shared" ref="AI687:AJ687" si="964">SUM(AI682:AI686)</f>
        <v>1800000</v>
      </c>
      <c r="AJ687" s="324">
        <f t="shared" si="964"/>
        <v>400000</v>
      </c>
      <c r="AK687" s="320"/>
      <c r="AL687" s="323">
        <f t="shared" ref="AL687:AM687" si="965">SUM(AL682:AL686)</f>
        <v>1800000</v>
      </c>
      <c r="AM687" s="324">
        <f t="shared" si="965"/>
        <v>400000</v>
      </c>
      <c r="AN687" s="316" t="s">
        <v>33</v>
      </c>
      <c r="AO687" s="316"/>
      <c r="AP687" s="316"/>
      <c r="AQ687" s="316"/>
      <c r="AR687" s="316"/>
      <c r="AS687" s="316"/>
      <c r="AT687" s="316"/>
      <c r="AU687" s="316"/>
      <c r="AV687" s="316"/>
      <c r="AW687" s="316"/>
      <c r="AX687" s="316"/>
      <c r="AY687" s="316"/>
      <c r="AZ687" s="316"/>
      <c r="BA687" s="316"/>
      <c r="BB687" s="316"/>
      <c r="BC687" s="316"/>
      <c r="BD687" s="316"/>
      <c r="BE687" s="316"/>
      <c r="BF687" s="316"/>
      <c r="BG687" s="316"/>
      <c r="BH687" s="316"/>
      <c r="BI687" s="316"/>
      <c r="BJ687" s="316"/>
      <c r="BK687" s="316"/>
      <c r="BL687" s="316"/>
      <c r="BM687" s="316"/>
      <c r="BN687" s="316"/>
    </row>
    <row r="688" collapsed="1">
      <c r="A688" s="303" t="s">
        <v>2344</v>
      </c>
      <c r="B688" s="304"/>
      <c r="C688" s="325" t="s">
        <v>43</v>
      </c>
      <c r="D688" s="326"/>
      <c r="E688" s="321">
        <v>910000.0</v>
      </c>
      <c r="F688" s="324"/>
      <c r="G688" s="326"/>
      <c r="H688" s="321">
        <v>910000.0</v>
      </c>
      <c r="I688" s="324"/>
      <c r="J688" s="326"/>
      <c r="K688" s="321">
        <v>910000.0</v>
      </c>
      <c r="L688" s="324"/>
      <c r="M688" s="326"/>
      <c r="N688" s="321">
        <v>910000.0</v>
      </c>
      <c r="O688" s="324"/>
      <c r="P688" s="326"/>
      <c r="Q688" s="321">
        <v>910000.0</v>
      </c>
      <c r="R688" s="324"/>
      <c r="S688" s="326"/>
      <c r="T688" s="321">
        <v>910000.0</v>
      </c>
      <c r="U688" s="324"/>
      <c r="V688" s="326"/>
      <c r="W688" s="321">
        <v>910000.0</v>
      </c>
      <c r="X688" s="324"/>
      <c r="Y688" s="326"/>
      <c r="Z688" s="321">
        <v>910000.0</v>
      </c>
      <c r="AA688" s="324"/>
      <c r="AB688" s="326"/>
      <c r="AC688" s="321">
        <v>910000.0</v>
      </c>
      <c r="AD688" s="324"/>
      <c r="AE688" s="326"/>
      <c r="AF688" s="321">
        <v>910000.0</v>
      </c>
      <c r="AG688" s="324"/>
      <c r="AH688" s="326"/>
      <c r="AI688" s="321">
        <v>910000.0</v>
      </c>
      <c r="AJ688" s="324"/>
      <c r="AK688" s="326"/>
      <c r="AL688" s="321">
        <v>910000.0</v>
      </c>
      <c r="AM688" s="324"/>
      <c r="AN688" s="316" t="s">
        <v>33</v>
      </c>
      <c r="AO688" s="316"/>
      <c r="AP688" s="316"/>
      <c r="AQ688" s="316"/>
      <c r="AR688" s="316"/>
      <c r="AS688" s="316"/>
      <c r="AT688" s="316"/>
      <c r="AU688" s="316"/>
      <c r="AV688" s="316"/>
      <c r="AW688" s="316"/>
      <c r="AX688" s="316"/>
      <c r="AY688" s="316"/>
      <c r="AZ688" s="316"/>
      <c r="BA688" s="316"/>
      <c r="BB688" s="316"/>
      <c r="BC688" s="316"/>
      <c r="BD688" s="316"/>
      <c r="BE688" s="316"/>
      <c r="BF688" s="316"/>
      <c r="BG688" s="316"/>
      <c r="BH688" s="316"/>
      <c r="BI688" s="316"/>
      <c r="BJ688" s="316"/>
      <c r="BK688" s="316"/>
      <c r="BL688" s="316"/>
      <c r="BM688" s="316"/>
      <c r="BN688" s="316"/>
    </row>
    <row r="689" hidden="1" outlineLevel="1">
      <c r="A689" s="303" t="s">
        <v>2344</v>
      </c>
      <c r="B689" s="304"/>
      <c r="C689" s="325" t="s">
        <v>45</v>
      </c>
      <c r="D689" s="326" t="s">
        <v>677</v>
      </c>
      <c r="E689" s="321" t="s">
        <v>677</v>
      </c>
      <c r="F689" s="322" t="s">
        <v>677</v>
      </c>
      <c r="G689" s="326" t="s">
        <v>677</v>
      </c>
      <c r="H689" s="321" t="s">
        <v>677</v>
      </c>
      <c r="I689" s="322" t="s">
        <v>677</v>
      </c>
      <c r="J689" s="326" t="s">
        <v>677</v>
      </c>
      <c r="K689" s="321" t="s">
        <v>677</v>
      </c>
      <c r="L689" s="322" t="s">
        <v>677</v>
      </c>
      <c r="M689" s="326" t="s">
        <v>677</v>
      </c>
      <c r="N689" s="321" t="s">
        <v>677</v>
      </c>
      <c r="O689" s="322" t="s">
        <v>677</v>
      </c>
      <c r="P689" s="326" t="s">
        <v>677</v>
      </c>
      <c r="Q689" s="321" t="s">
        <v>677</v>
      </c>
      <c r="R689" s="322" t="s">
        <v>677</v>
      </c>
      <c r="S689" s="326" t="s">
        <v>677</v>
      </c>
      <c r="T689" s="321" t="s">
        <v>677</v>
      </c>
      <c r="U689" s="322" t="s">
        <v>677</v>
      </c>
      <c r="V689" s="326" t="s">
        <v>677</v>
      </c>
      <c r="W689" s="321" t="s">
        <v>677</v>
      </c>
      <c r="X689" s="322" t="s">
        <v>677</v>
      </c>
      <c r="Y689" s="326" t="s">
        <v>677</v>
      </c>
      <c r="Z689" s="321" t="s">
        <v>677</v>
      </c>
      <c r="AA689" s="322" t="s">
        <v>677</v>
      </c>
      <c r="AB689" s="326" t="s">
        <v>677</v>
      </c>
      <c r="AC689" s="321" t="s">
        <v>677</v>
      </c>
      <c r="AD689" s="322" t="s">
        <v>677</v>
      </c>
      <c r="AE689" s="326" t="s">
        <v>677</v>
      </c>
      <c r="AF689" s="321" t="s">
        <v>677</v>
      </c>
      <c r="AG689" s="322" t="s">
        <v>677</v>
      </c>
      <c r="AH689" s="326" t="s">
        <v>677</v>
      </c>
      <c r="AI689" s="321" t="s">
        <v>677</v>
      </c>
      <c r="AJ689" s="322" t="s">
        <v>677</v>
      </c>
      <c r="AK689" s="326" t="s">
        <v>677</v>
      </c>
      <c r="AL689" s="321" t="s">
        <v>677</v>
      </c>
      <c r="AM689" s="322" t="s">
        <v>677</v>
      </c>
      <c r="AN689" s="316" t="s">
        <v>33</v>
      </c>
      <c r="AO689" s="316"/>
      <c r="AP689" s="316"/>
      <c r="AQ689" s="316"/>
      <c r="AR689" s="316"/>
      <c r="AS689" s="316"/>
      <c r="AT689" s="316"/>
      <c r="AU689" s="316"/>
      <c r="AV689" s="316"/>
      <c r="AW689" s="316"/>
      <c r="AX689" s="316"/>
      <c r="AY689" s="316"/>
      <c r="AZ689" s="316"/>
      <c r="BA689" s="316"/>
      <c r="BB689" s="316"/>
      <c r="BC689" s="316"/>
      <c r="BD689" s="316"/>
      <c r="BE689" s="316"/>
      <c r="BF689" s="316"/>
      <c r="BG689" s="316"/>
      <c r="BH689" s="316"/>
      <c r="BI689" s="316"/>
      <c r="BJ689" s="316"/>
      <c r="BK689" s="316"/>
      <c r="BL689" s="316"/>
      <c r="BM689" s="316"/>
      <c r="BN689" s="316"/>
    </row>
    <row r="690" hidden="1" outlineLevel="1">
      <c r="A690" s="303" t="s">
        <v>2344</v>
      </c>
      <c r="B690" s="317" t="s">
        <v>1087</v>
      </c>
      <c r="C690" s="325" t="s">
        <v>47</v>
      </c>
      <c r="D690" s="326"/>
      <c r="E690" s="321"/>
      <c r="F690" s="322">
        <v>69360.0</v>
      </c>
      <c r="G690" s="326"/>
      <c r="H690" s="321"/>
      <c r="I690" s="322">
        <v>80000.0</v>
      </c>
      <c r="J690" s="326"/>
      <c r="K690" s="321"/>
      <c r="L690" s="322">
        <v>30620.0</v>
      </c>
      <c r="M690" s="326"/>
      <c r="N690" s="321"/>
      <c r="O690" s="322"/>
      <c r="P690" s="326"/>
      <c r="Q690" s="321"/>
      <c r="R690" s="322"/>
      <c r="S690" s="326"/>
      <c r="T690" s="321"/>
      <c r="U690" s="322"/>
      <c r="V690" s="326"/>
      <c r="W690" s="321"/>
      <c r="X690" s="322"/>
      <c r="Y690" s="326"/>
      <c r="Z690" s="321"/>
      <c r="AA690" s="322"/>
      <c r="AB690" s="326"/>
      <c r="AC690" s="321"/>
      <c r="AD690" s="322"/>
      <c r="AE690" s="326"/>
      <c r="AF690" s="321"/>
      <c r="AG690" s="322"/>
      <c r="AH690" s="326"/>
      <c r="AI690" s="321"/>
      <c r="AJ690" s="322"/>
      <c r="AK690" s="326"/>
      <c r="AL690" s="321"/>
      <c r="AM690" s="322"/>
      <c r="AN690" s="316" t="s">
        <v>33</v>
      </c>
      <c r="AO690" s="316"/>
      <c r="AP690" s="316"/>
      <c r="AQ690" s="316"/>
      <c r="AR690" s="316"/>
      <c r="AS690" s="316"/>
      <c r="AT690" s="316"/>
      <c r="AU690" s="316"/>
      <c r="AV690" s="316"/>
      <c r="AW690" s="316"/>
      <c r="AX690" s="316"/>
      <c r="AY690" s="316"/>
      <c r="AZ690" s="316"/>
      <c r="BA690" s="316"/>
      <c r="BB690" s="316"/>
      <c r="BC690" s="316"/>
      <c r="BD690" s="316"/>
      <c r="BE690" s="316"/>
      <c r="BF690" s="316"/>
      <c r="BG690" s="316"/>
      <c r="BH690" s="316"/>
      <c r="BI690" s="316"/>
      <c r="BJ690" s="316"/>
      <c r="BK690" s="316"/>
      <c r="BL690" s="316"/>
      <c r="BM690" s="316"/>
      <c r="BN690" s="316"/>
    </row>
    <row r="691" hidden="1" outlineLevel="1">
      <c r="A691" s="303" t="s">
        <v>2344</v>
      </c>
      <c r="B691" s="317">
        <v>6.006107723E9</v>
      </c>
      <c r="C691" s="325" t="s">
        <v>49</v>
      </c>
      <c r="D691" s="326"/>
      <c r="E691" s="321"/>
      <c r="F691" s="322">
        <v>273950.0</v>
      </c>
      <c r="G691" s="326"/>
      <c r="H691" s="321"/>
      <c r="I691" s="322">
        <v>405130.0</v>
      </c>
      <c r="J691" s="326"/>
      <c r="K691" s="321"/>
      <c r="L691" s="322">
        <v>312940.0</v>
      </c>
      <c r="M691" s="326"/>
      <c r="N691" s="321"/>
      <c r="O691" s="322"/>
      <c r="P691" s="326"/>
      <c r="Q691" s="321"/>
      <c r="R691" s="322"/>
      <c r="S691" s="326"/>
      <c r="T691" s="321"/>
      <c r="U691" s="322"/>
      <c r="V691" s="326"/>
      <c r="W691" s="321"/>
      <c r="X691" s="322"/>
      <c r="Y691" s="326"/>
      <c r="Z691" s="321"/>
      <c r="AA691" s="322"/>
      <c r="AB691" s="326"/>
      <c r="AC691" s="321"/>
      <c r="AD691" s="322"/>
      <c r="AE691" s="326"/>
      <c r="AF691" s="321"/>
      <c r="AG691" s="322"/>
      <c r="AH691" s="326"/>
      <c r="AI691" s="321"/>
      <c r="AJ691" s="322"/>
      <c r="AK691" s="326"/>
      <c r="AL691" s="321"/>
      <c r="AM691" s="322"/>
      <c r="AN691" s="316" t="s">
        <v>33</v>
      </c>
      <c r="AO691" s="316"/>
      <c r="AP691" s="316"/>
      <c r="AQ691" s="316"/>
      <c r="AR691" s="316"/>
      <c r="AS691" s="316"/>
      <c r="AT691" s="316"/>
      <c r="AU691" s="316"/>
      <c r="AV691" s="316"/>
      <c r="AW691" s="316"/>
      <c r="AX691" s="316"/>
      <c r="AY691" s="316"/>
      <c r="AZ691" s="316"/>
      <c r="BA691" s="316"/>
      <c r="BB691" s="316"/>
      <c r="BC691" s="316"/>
      <c r="BD691" s="316"/>
      <c r="BE691" s="316"/>
      <c r="BF691" s="316"/>
      <c r="BG691" s="316"/>
      <c r="BH691" s="316"/>
      <c r="BI691" s="316"/>
      <c r="BJ691" s="316"/>
      <c r="BK691" s="316"/>
      <c r="BL691" s="316"/>
      <c r="BM691" s="316"/>
      <c r="BN691" s="316"/>
    </row>
    <row r="692" hidden="1" outlineLevel="1">
      <c r="A692" s="303" t="s">
        <v>2344</v>
      </c>
      <c r="B692" s="317" t="s">
        <v>1088</v>
      </c>
      <c r="C692" s="325" t="s">
        <v>51</v>
      </c>
      <c r="D692" s="326"/>
      <c r="E692" s="321"/>
      <c r="F692" s="322">
        <v>52490.0</v>
      </c>
      <c r="G692" s="326"/>
      <c r="H692" s="321"/>
      <c r="I692" s="322">
        <v>0.0</v>
      </c>
      <c r="J692" s="326"/>
      <c r="K692" s="321"/>
      <c r="L692" s="322">
        <v>46910.0</v>
      </c>
      <c r="M692" s="326"/>
      <c r="N692" s="321"/>
      <c r="O692" s="322"/>
      <c r="P692" s="326"/>
      <c r="Q692" s="321"/>
      <c r="R692" s="322"/>
      <c r="S692" s="326"/>
      <c r="T692" s="321"/>
      <c r="U692" s="322"/>
      <c r="V692" s="326"/>
      <c r="W692" s="321"/>
      <c r="X692" s="322"/>
      <c r="Y692" s="326"/>
      <c r="Z692" s="321"/>
      <c r="AA692" s="322"/>
      <c r="AB692" s="326"/>
      <c r="AC692" s="321"/>
      <c r="AD692" s="322"/>
      <c r="AE692" s="326"/>
      <c r="AF692" s="321"/>
      <c r="AG692" s="322"/>
      <c r="AH692" s="326"/>
      <c r="AI692" s="321"/>
      <c r="AJ692" s="322"/>
      <c r="AK692" s="326"/>
      <c r="AL692" s="321"/>
      <c r="AM692" s="322"/>
      <c r="AN692" s="316" t="s">
        <v>33</v>
      </c>
      <c r="AO692" s="316"/>
      <c r="AP692" s="316"/>
      <c r="AQ692" s="316"/>
      <c r="AR692" s="316"/>
      <c r="AS692" s="316"/>
      <c r="AT692" s="316"/>
      <c r="AU692" s="316"/>
      <c r="AV692" s="316"/>
      <c r="AW692" s="316"/>
      <c r="AX692" s="316"/>
      <c r="AY692" s="316"/>
      <c r="AZ692" s="316"/>
      <c r="BA692" s="316"/>
      <c r="BB692" s="316"/>
      <c r="BC692" s="316"/>
      <c r="BD692" s="316"/>
      <c r="BE692" s="316"/>
      <c r="BF692" s="316"/>
      <c r="BG692" s="316"/>
      <c r="BH692" s="316"/>
      <c r="BI692" s="316"/>
      <c r="BJ692" s="316"/>
      <c r="BK692" s="316"/>
      <c r="BL692" s="316"/>
      <c r="BM692" s="316"/>
      <c r="BN692" s="316"/>
    </row>
    <row r="693" hidden="1" outlineLevel="1">
      <c r="A693" s="303" t="s">
        <v>2344</v>
      </c>
      <c r="B693" s="304"/>
      <c r="C693" s="325" t="s">
        <v>52</v>
      </c>
      <c r="D693" s="326"/>
      <c r="E693" s="321"/>
      <c r="F693" s="322">
        <v>22000.0</v>
      </c>
      <c r="G693" s="326"/>
      <c r="H693" s="321"/>
      <c r="I693" s="322">
        <v>22000.0</v>
      </c>
      <c r="J693" s="326"/>
      <c r="K693" s="321"/>
      <c r="L693" s="322">
        <v>22000.0</v>
      </c>
      <c r="M693" s="326"/>
      <c r="N693" s="321"/>
      <c r="O693" s="322">
        <v>22000.0</v>
      </c>
      <c r="P693" s="326"/>
      <c r="Q693" s="321"/>
      <c r="R693" s="322">
        <v>22000.0</v>
      </c>
      <c r="S693" s="326"/>
      <c r="T693" s="321"/>
      <c r="U693" s="322">
        <v>22000.0</v>
      </c>
      <c r="V693" s="326"/>
      <c r="W693" s="321"/>
      <c r="X693" s="322">
        <v>22000.0</v>
      </c>
      <c r="Y693" s="326"/>
      <c r="Z693" s="321"/>
      <c r="AA693" s="322">
        <v>22000.0</v>
      </c>
      <c r="AB693" s="326"/>
      <c r="AC693" s="321"/>
      <c r="AD693" s="322">
        <v>22000.0</v>
      </c>
      <c r="AE693" s="326"/>
      <c r="AF693" s="321"/>
      <c r="AG693" s="322">
        <v>22000.0</v>
      </c>
      <c r="AH693" s="326"/>
      <c r="AI693" s="321"/>
      <c r="AJ693" s="322">
        <v>22000.0</v>
      </c>
      <c r="AK693" s="326"/>
      <c r="AL693" s="321"/>
      <c r="AM693" s="322">
        <v>22000.0</v>
      </c>
      <c r="AN693" s="316" t="s">
        <v>33</v>
      </c>
      <c r="AO693" s="316"/>
      <c r="AP693" s="316"/>
      <c r="AQ693" s="316"/>
      <c r="AR693" s="316"/>
      <c r="AS693" s="316"/>
      <c r="AT693" s="316"/>
      <c r="AU693" s="316"/>
      <c r="AV693" s="316"/>
      <c r="AW693" s="316"/>
      <c r="AX693" s="316"/>
      <c r="AY693" s="316"/>
      <c r="AZ693" s="316"/>
      <c r="BA693" s="316"/>
      <c r="BB693" s="316"/>
      <c r="BC693" s="316"/>
      <c r="BD693" s="316"/>
      <c r="BE693" s="316"/>
      <c r="BF693" s="316"/>
      <c r="BG693" s="316"/>
      <c r="BH693" s="316"/>
      <c r="BI693" s="316"/>
      <c r="BJ693" s="316"/>
      <c r="BK693" s="316"/>
      <c r="BL693" s="316"/>
      <c r="BM693" s="316"/>
      <c r="BN693" s="316"/>
    </row>
    <row r="694" hidden="1" outlineLevel="1">
      <c r="A694" s="303" t="s">
        <v>2344</v>
      </c>
      <c r="B694" s="304"/>
      <c r="C694" s="325" t="s">
        <v>2236</v>
      </c>
      <c r="D694" s="326"/>
      <c r="E694" s="321"/>
      <c r="F694" s="322" t="s">
        <v>44</v>
      </c>
      <c r="G694" s="326"/>
      <c r="H694" s="321"/>
      <c r="I694" s="322" t="s">
        <v>44</v>
      </c>
      <c r="J694" s="326"/>
      <c r="K694" s="321"/>
      <c r="L694" s="322" t="s">
        <v>44</v>
      </c>
      <c r="M694" s="326"/>
      <c r="N694" s="321"/>
      <c r="O694" s="322" t="s">
        <v>44</v>
      </c>
      <c r="P694" s="326"/>
      <c r="Q694" s="321"/>
      <c r="R694" s="322" t="s">
        <v>44</v>
      </c>
      <c r="S694" s="326"/>
      <c r="T694" s="321"/>
      <c r="U694" s="322" t="s">
        <v>44</v>
      </c>
      <c r="V694" s="326"/>
      <c r="W694" s="321"/>
      <c r="X694" s="322" t="s">
        <v>44</v>
      </c>
      <c r="Y694" s="326"/>
      <c r="Z694" s="321"/>
      <c r="AA694" s="322" t="s">
        <v>44</v>
      </c>
      <c r="AB694" s="326"/>
      <c r="AC694" s="321"/>
      <c r="AD694" s="322" t="s">
        <v>44</v>
      </c>
      <c r="AE694" s="326"/>
      <c r="AF694" s="321"/>
      <c r="AG694" s="322" t="s">
        <v>44</v>
      </c>
      <c r="AH694" s="326"/>
      <c r="AI694" s="321"/>
      <c r="AJ694" s="322" t="s">
        <v>44</v>
      </c>
      <c r="AK694" s="326"/>
      <c r="AL694" s="321"/>
      <c r="AM694" s="322" t="s">
        <v>44</v>
      </c>
      <c r="AN694" s="316" t="s">
        <v>33</v>
      </c>
      <c r="AO694" s="316"/>
      <c r="AP694" s="316"/>
      <c r="AQ694" s="316"/>
      <c r="AR694" s="316"/>
      <c r="AS694" s="316"/>
      <c r="AT694" s="316"/>
      <c r="AU694" s="316"/>
      <c r="AV694" s="316"/>
      <c r="AW694" s="316"/>
      <c r="AX694" s="316"/>
      <c r="AY694" s="316"/>
      <c r="AZ694" s="316"/>
      <c r="BA694" s="316"/>
      <c r="BB694" s="316"/>
      <c r="BC694" s="316"/>
      <c r="BD694" s="316"/>
      <c r="BE694" s="316"/>
      <c r="BF694" s="316"/>
      <c r="BG694" s="316"/>
      <c r="BH694" s="316"/>
      <c r="BI694" s="316"/>
      <c r="BJ694" s="316"/>
      <c r="BK694" s="316"/>
      <c r="BL694" s="316"/>
      <c r="BM694" s="316"/>
      <c r="BN694" s="316"/>
    </row>
    <row r="695" hidden="1" outlineLevel="1">
      <c r="A695" s="303" t="s">
        <v>2344</v>
      </c>
      <c r="B695" s="304"/>
      <c r="C695" s="325" t="s">
        <v>54</v>
      </c>
      <c r="D695" s="327"/>
      <c r="E695" s="321"/>
      <c r="F695" s="322">
        <f>SUMIFS('지출'!$G$3:$G794,'지출'!$J$3:$J794,F$1,'지출'!$C$3:$C794,"숙녀")</f>
        <v>90590</v>
      </c>
      <c r="G695" s="327"/>
      <c r="H695" s="321"/>
      <c r="I695" s="322">
        <f>SUMIFS('지출'!$G$3:$G794,'지출'!$J$3:$J794,I$1,'지출'!$C$3:$C794,"숙녀")</f>
        <v>142750</v>
      </c>
      <c r="J695" s="327"/>
      <c r="K695" s="321"/>
      <c r="L695" s="322">
        <f>SUMIFS('지출'!$G$3:$G794,'지출'!$J$3:$J794,L$1,'지출'!$C$3:$C794,"숙녀")</f>
        <v>21910</v>
      </c>
      <c r="M695" s="327"/>
      <c r="N695" s="321"/>
      <c r="O695" s="322">
        <f>SUMIFS('지출'!$G$3:$G794,'지출'!$J$3:$J794,O$1,'지출'!$C$3:$C794,"숙녀")</f>
        <v>0</v>
      </c>
      <c r="P695" s="327"/>
      <c r="Q695" s="321"/>
      <c r="R695" s="322">
        <f>SUMIFS('지출'!$G$3:$G794,'지출'!$J$3:$J794,R$1,'지출'!$C$3:$C794,"숙녀")</f>
        <v>0</v>
      </c>
      <c r="S695" s="327"/>
      <c r="T695" s="321"/>
      <c r="U695" s="322">
        <f>SUMIFS('지출'!$G$3:$G794,'지출'!$J$3:$J794,U$1,'지출'!$C$3:$C794,"숙녀")</f>
        <v>0</v>
      </c>
      <c r="V695" s="327"/>
      <c r="W695" s="321"/>
      <c r="X695" s="322">
        <f>SUMIFS('지출'!$G$3:$G794,'지출'!$J$3:$J794,X$1,'지출'!$C$3:$C794,"숙녀")</f>
        <v>0</v>
      </c>
      <c r="Y695" s="327"/>
      <c r="Z695" s="321"/>
      <c r="AA695" s="322">
        <f>SUMIFS('지출'!$G$3:$G794,'지출'!$J$3:$J794,AA$1,'지출'!$C$3:$C794,"숙녀")</f>
        <v>0</v>
      </c>
      <c r="AB695" s="327"/>
      <c r="AC695" s="321"/>
      <c r="AD695" s="322">
        <f>SUMIFS('지출'!$G$3:$G794,'지출'!$J$3:$J794,AD$1,'지출'!$C$3:$C794,"숙녀")</f>
        <v>0</v>
      </c>
      <c r="AE695" s="327"/>
      <c r="AF695" s="321"/>
      <c r="AG695" s="322">
        <f>SUMIFS('지출'!$G$3:$G794,'지출'!$J$3:$J794,AG$1,'지출'!$C$3:$C794,"숙녀")</f>
        <v>0</v>
      </c>
      <c r="AH695" s="327"/>
      <c r="AI695" s="321"/>
      <c r="AJ695" s="322">
        <f>SUMIFS('지출'!$G$3:$G794,'지출'!$J$3:$J794,AJ$1,'지출'!$C$3:$C794,"숙녀")</f>
        <v>0</v>
      </c>
      <c r="AK695" s="327"/>
      <c r="AL695" s="321"/>
      <c r="AM695" s="322">
        <f>SUMIFS('지출'!$G$3:$G794,'지출'!$J$3:$J794,AM$1,'지출'!$C$3:$C794,"숙녀")</f>
        <v>0</v>
      </c>
      <c r="AN695" s="316" t="s">
        <v>33</v>
      </c>
      <c r="AO695" s="316"/>
      <c r="AP695" s="316"/>
      <c r="AQ695" s="316"/>
      <c r="AR695" s="316"/>
      <c r="AS695" s="316"/>
      <c r="AT695" s="316"/>
      <c r="AU695" s="316"/>
      <c r="AV695" s="316"/>
      <c r="AW695" s="316"/>
      <c r="AX695" s="316"/>
      <c r="AY695" s="316"/>
      <c r="AZ695" s="316"/>
      <c r="BA695" s="316"/>
      <c r="BB695" s="316"/>
      <c r="BC695" s="316"/>
      <c r="BD695" s="316"/>
      <c r="BE695" s="316"/>
      <c r="BF695" s="316"/>
      <c r="BG695" s="316"/>
      <c r="BH695" s="316"/>
      <c r="BI695" s="316"/>
      <c r="BJ695" s="316"/>
      <c r="BK695" s="316"/>
      <c r="BL695" s="316"/>
      <c r="BM695" s="316"/>
      <c r="BN695" s="316"/>
    </row>
    <row r="696" hidden="1" outlineLevel="1">
      <c r="A696" s="303" t="s">
        <v>2344</v>
      </c>
      <c r="B696" s="304"/>
      <c r="C696" s="325" t="s">
        <v>56</v>
      </c>
      <c r="D696" s="320"/>
      <c r="E696" s="323">
        <f t="shared" ref="E696:F696" si="966">E687-(SUM(E688:E695))</f>
        <v>950000</v>
      </c>
      <c r="F696" s="324">
        <f t="shared" si="966"/>
        <v>-98390</v>
      </c>
      <c r="G696" s="320"/>
      <c r="H696" s="323">
        <f t="shared" ref="H696:I696" si="967">H687-(SUM(H688:H695))</f>
        <v>1317857</v>
      </c>
      <c r="I696" s="324">
        <f t="shared" si="967"/>
        <v>-87738</v>
      </c>
      <c r="J696" s="320"/>
      <c r="K696" s="323">
        <f t="shared" ref="K696:L696" si="968">K687-(SUM(K688:K695))</f>
        <v>1330000</v>
      </c>
      <c r="L696" s="324">
        <f t="shared" si="968"/>
        <v>65620</v>
      </c>
      <c r="M696" s="320"/>
      <c r="N696" s="323">
        <f t="shared" ref="N696:O696" si="969">N687-(SUM(N688:N695))</f>
        <v>1330000</v>
      </c>
      <c r="O696" s="324">
        <f t="shared" si="969"/>
        <v>478000</v>
      </c>
      <c r="P696" s="320"/>
      <c r="Q696" s="323">
        <f t="shared" ref="Q696:R696" si="970">Q687-(SUM(Q688:Q695))</f>
        <v>1330000</v>
      </c>
      <c r="R696" s="324">
        <f t="shared" si="970"/>
        <v>478000</v>
      </c>
      <c r="S696" s="320"/>
      <c r="T696" s="323">
        <f t="shared" ref="T696:U696" si="971">T687-(SUM(T688:T695))</f>
        <v>1330000</v>
      </c>
      <c r="U696" s="324">
        <f t="shared" si="971"/>
        <v>478000</v>
      </c>
      <c r="V696" s="320"/>
      <c r="W696" s="323">
        <f t="shared" ref="W696:X696" si="972">W687-(SUM(W688:W695))</f>
        <v>1330000</v>
      </c>
      <c r="X696" s="324">
        <f t="shared" si="972"/>
        <v>478000</v>
      </c>
      <c r="Y696" s="320"/>
      <c r="Z696" s="323">
        <f t="shared" ref="Z696:AA696" si="973">Z687-(SUM(Z688:Z695))</f>
        <v>1242008</v>
      </c>
      <c r="AA696" s="324">
        <f t="shared" si="973"/>
        <v>458016</v>
      </c>
      <c r="AB696" s="320"/>
      <c r="AC696" s="323">
        <f t="shared" ref="AC696:AD696" si="974">AC687-(SUM(AC688:AC695))</f>
        <v>890000</v>
      </c>
      <c r="AD696" s="324">
        <f t="shared" si="974"/>
        <v>378000</v>
      </c>
      <c r="AE696" s="320"/>
      <c r="AF696" s="323">
        <f t="shared" ref="AF696:AG696" si="975">AF687-(SUM(AF688:AF695))</f>
        <v>890000</v>
      </c>
      <c r="AG696" s="324">
        <f t="shared" si="975"/>
        <v>378000</v>
      </c>
      <c r="AH696" s="320"/>
      <c r="AI696" s="323">
        <f t="shared" ref="AI696:AJ696" si="976">AI687-(SUM(AI688:AI695))</f>
        <v>890000</v>
      </c>
      <c r="AJ696" s="324">
        <f t="shared" si="976"/>
        <v>378000</v>
      </c>
      <c r="AK696" s="320"/>
      <c r="AL696" s="323">
        <f t="shared" ref="AL696:AM696" si="977">AL687-(SUM(AL688:AL695))</f>
        <v>890000</v>
      </c>
      <c r="AM696" s="324">
        <f t="shared" si="977"/>
        <v>378000</v>
      </c>
      <c r="AN696" s="316" t="s">
        <v>33</v>
      </c>
      <c r="AO696" s="316"/>
      <c r="AP696" s="316"/>
      <c r="AQ696" s="316"/>
      <c r="AR696" s="316"/>
      <c r="AS696" s="316"/>
      <c r="AT696" s="316"/>
      <c r="AU696" s="316"/>
      <c r="AV696" s="316"/>
      <c r="AW696" s="316"/>
      <c r="AX696" s="316"/>
      <c r="AY696" s="316"/>
      <c r="AZ696" s="316"/>
      <c r="BA696" s="316"/>
      <c r="BB696" s="316"/>
      <c r="BC696" s="316"/>
      <c r="BD696" s="316"/>
      <c r="BE696" s="316"/>
      <c r="BF696" s="316"/>
      <c r="BG696" s="316"/>
      <c r="BH696" s="316"/>
      <c r="BI696" s="316"/>
      <c r="BJ696" s="316"/>
      <c r="BK696" s="316"/>
      <c r="BL696" s="316"/>
      <c r="BM696" s="316"/>
      <c r="BN696" s="316"/>
    </row>
    <row r="697">
      <c r="A697" s="303" t="s">
        <v>2344</v>
      </c>
      <c r="B697" s="328">
        <v>0.56</v>
      </c>
      <c r="C697" s="325" t="s">
        <v>26</v>
      </c>
      <c r="D697" s="320"/>
      <c r="E697" s="323">
        <f>E696*$B697</f>
        <v>532000</v>
      </c>
      <c r="F697" s="324"/>
      <c r="G697" s="320"/>
      <c r="H697" s="323">
        <f>H696*$B697</f>
        <v>737999.92</v>
      </c>
      <c r="I697" s="324"/>
      <c r="J697" s="320"/>
      <c r="K697" s="323">
        <f>K696*$B697</f>
        <v>744800</v>
      </c>
      <c r="L697" s="324"/>
      <c r="M697" s="320"/>
      <c r="N697" s="323">
        <f>N696*$B697</f>
        <v>744800</v>
      </c>
      <c r="O697" s="324"/>
      <c r="P697" s="320"/>
      <c r="Q697" s="323">
        <f>Q696*$B697</f>
        <v>744800</v>
      </c>
      <c r="R697" s="324"/>
      <c r="S697" s="320"/>
      <c r="T697" s="323">
        <f>T696*$B697</f>
        <v>744800</v>
      </c>
      <c r="U697" s="324"/>
      <c r="V697" s="320"/>
      <c r="W697" s="323">
        <f>W696*$B697</f>
        <v>744800</v>
      </c>
      <c r="X697" s="324"/>
      <c r="Y697" s="320"/>
      <c r="Z697" s="323">
        <f>Z696*$B697</f>
        <v>695524.48</v>
      </c>
      <c r="AA697" s="324"/>
      <c r="AB697" s="320"/>
      <c r="AC697" s="323">
        <f>AC696*$B697</f>
        <v>498400</v>
      </c>
      <c r="AD697" s="324"/>
      <c r="AE697" s="320"/>
      <c r="AF697" s="323">
        <f>AF696*$B697</f>
        <v>498400</v>
      </c>
      <c r="AG697" s="324"/>
      <c r="AH697" s="320"/>
      <c r="AI697" s="323">
        <f>AI696*$B697</f>
        <v>498400</v>
      </c>
      <c r="AJ697" s="324"/>
      <c r="AK697" s="320"/>
      <c r="AL697" s="323">
        <f>AL696*$B697</f>
        <v>498400</v>
      </c>
      <c r="AM697" s="324"/>
      <c r="AN697" s="316" t="s">
        <v>33</v>
      </c>
      <c r="AO697" s="316"/>
      <c r="AP697" s="316"/>
      <c r="AQ697" s="316"/>
      <c r="AR697" s="316"/>
      <c r="AS697" s="316"/>
      <c r="AT697" s="316"/>
      <c r="AU697" s="316"/>
      <c r="AV697" s="316"/>
      <c r="AW697" s="316"/>
      <c r="AX697" s="316"/>
      <c r="AY697" s="316"/>
      <c r="AZ697" s="316"/>
      <c r="BA697" s="316"/>
      <c r="BB697" s="316"/>
      <c r="BC697" s="316"/>
      <c r="BD697" s="316"/>
      <c r="BE697" s="316"/>
      <c r="BF697" s="316"/>
      <c r="BG697" s="316"/>
      <c r="BH697" s="316"/>
      <c r="BI697" s="316"/>
      <c r="BJ697" s="316"/>
      <c r="BK697" s="316"/>
      <c r="BL697" s="316"/>
      <c r="BM697" s="316"/>
      <c r="BN697" s="316"/>
    </row>
    <row r="698">
      <c r="A698" s="303" t="s">
        <v>2344</v>
      </c>
      <c r="B698" s="329">
        <v>0.44</v>
      </c>
      <c r="C698" s="330" t="s">
        <v>57</v>
      </c>
      <c r="D698" s="331"/>
      <c r="E698" s="332">
        <f>E696*$B698</f>
        <v>418000</v>
      </c>
      <c r="F698" s="333"/>
      <c r="G698" s="331"/>
      <c r="H698" s="332">
        <f>H696*$B698</f>
        <v>579857.08</v>
      </c>
      <c r="I698" s="333"/>
      <c r="J698" s="331"/>
      <c r="K698" s="332">
        <f>K696*$B698</f>
        <v>585200</v>
      </c>
      <c r="L698" s="333"/>
      <c r="M698" s="331"/>
      <c r="N698" s="332">
        <f>N696*$B698</f>
        <v>585200</v>
      </c>
      <c r="O698" s="333"/>
      <c r="P698" s="331"/>
      <c r="Q698" s="332">
        <f>Q696*$B698</f>
        <v>585200</v>
      </c>
      <c r="R698" s="333"/>
      <c r="S698" s="331"/>
      <c r="T698" s="332">
        <f>T696*$B698</f>
        <v>585200</v>
      </c>
      <c r="U698" s="333"/>
      <c r="V698" s="331"/>
      <c r="W698" s="332">
        <f>W696*$B698</f>
        <v>585200</v>
      </c>
      <c r="X698" s="333"/>
      <c r="Y698" s="331"/>
      <c r="Z698" s="332">
        <f>Z696*$B698</f>
        <v>546483.52</v>
      </c>
      <c r="AA698" s="333"/>
      <c r="AB698" s="331"/>
      <c r="AC698" s="332">
        <f>AC696*$B698</f>
        <v>391600</v>
      </c>
      <c r="AD698" s="333"/>
      <c r="AE698" s="331"/>
      <c r="AF698" s="332">
        <f>AF696*$B698</f>
        <v>391600</v>
      </c>
      <c r="AG698" s="333"/>
      <c r="AH698" s="331"/>
      <c r="AI698" s="332">
        <f>AI696*$B698</f>
        <v>391600</v>
      </c>
      <c r="AJ698" s="333"/>
      <c r="AK698" s="331"/>
      <c r="AL698" s="332">
        <f>AL696*$B698</f>
        <v>391600</v>
      </c>
      <c r="AM698" s="333"/>
      <c r="AN698" s="316" t="s">
        <v>33</v>
      </c>
      <c r="AO698" s="316"/>
      <c r="AP698" s="316"/>
      <c r="AQ698" s="316"/>
      <c r="AR698" s="316"/>
      <c r="AS698" s="316"/>
      <c r="AT698" s="316"/>
      <c r="AU698" s="316"/>
      <c r="AV698" s="316"/>
      <c r="AW698" s="316"/>
      <c r="AX698" s="316"/>
      <c r="AY698" s="316"/>
      <c r="AZ698" s="316"/>
      <c r="BA698" s="316"/>
      <c r="BB698" s="316"/>
      <c r="BC698" s="316"/>
      <c r="BD698" s="316"/>
      <c r="BE698" s="316"/>
      <c r="BF698" s="316"/>
      <c r="BG698" s="316"/>
      <c r="BH698" s="316"/>
      <c r="BI698" s="316"/>
      <c r="BJ698" s="316"/>
      <c r="BK698" s="316"/>
      <c r="BL698" s="316"/>
      <c r="BM698" s="316"/>
      <c r="BN698" s="316"/>
    </row>
    <row r="699">
      <c r="A699" s="303" t="s">
        <v>1093</v>
      </c>
      <c r="B699" s="384" t="s">
        <v>1093</v>
      </c>
      <c r="C699" s="385" t="s">
        <v>320</v>
      </c>
      <c r="D699" s="341" t="s">
        <v>1967</v>
      </c>
      <c r="E699" s="335">
        <v>550000.0</v>
      </c>
      <c r="F699" s="346">
        <v>100000.0</v>
      </c>
      <c r="G699" s="341" t="s">
        <v>1967</v>
      </c>
      <c r="H699" s="335">
        <v>550000.0</v>
      </c>
      <c r="I699" s="346">
        <v>100000.0</v>
      </c>
      <c r="J699" s="341" t="s">
        <v>1967</v>
      </c>
      <c r="K699" s="335">
        <v>550000.0</v>
      </c>
      <c r="L699" s="346">
        <v>100000.0</v>
      </c>
      <c r="M699" s="341" t="s">
        <v>1967</v>
      </c>
      <c r="N699" s="335">
        <v>550000.0</v>
      </c>
      <c r="O699" s="346">
        <v>100000.0</v>
      </c>
      <c r="P699" s="341" t="s">
        <v>1967</v>
      </c>
      <c r="Q699" s="335">
        <v>550000.0</v>
      </c>
      <c r="R699" s="346">
        <v>100000.0</v>
      </c>
      <c r="S699" s="341" t="s">
        <v>1967</v>
      </c>
      <c r="T699" s="335">
        <v>550000.0</v>
      </c>
      <c r="U699" s="346">
        <v>100000.0</v>
      </c>
      <c r="V699" s="341" t="s">
        <v>1967</v>
      </c>
      <c r="W699" s="335">
        <v>550000.0</v>
      </c>
      <c r="X699" s="346">
        <v>100000.0</v>
      </c>
      <c r="Y699" s="341" t="s">
        <v>1967</v>
      </c>
      <c r="Z699" s="335">
        <v>550000.0</v>
      </c>
      <c r="AA699" s="346">
        <v>100000.0</v>
      </c>
      <c r="AB699" s="341" t="s">
        <v>1967</v>
      </c>
      <c r="AC699" s="335">
        <v>550000.0</v>
      </c>
      <c r="AD699" s="346">
        <v>100000.0</v>
      </c>
      <c r="AE699" s="341" t="s">
        <v>1967</v>
      </c>
      <c r="AF699" s="335">
        <v>550000.0</v>
      </c>
      <c r="AG699" s="346">
        <v>100000.0</v>
      </c>
      <c r="AH699" s="341" t="s">
        <v>1967</v>
      </c>
      <c r="AI699" s="335">
        <v>550000.0</v>
      </c>
      <c r="AJ699" s="346">
        <v>100000.0</v>
      </c>
      <c r="AK699" s="341" t="s">
        <v>1967</v>
      </c>
      <c r="AL699" s="335">
        <v>550000.0</v>
      </c>
      <c r="AM699" s="346">
        <v>100000.0</v>
      </c>
      <c r="AN699" s="316" t="s">
        <v>2177</v>
      </c>
      <c r="AO699" s="316"/>
      <c r="AP699" s="316"/>
      <c r="AQ699" s="316"/>
      <c r="AR699" s="316"/>
      <c r="AS699" s="316"/>
      <c r="AT699" s="316"/>
      <c r="AU699" s="316"/>
      <c r="AV699" s="316"/>
      <c r="AW699" s="316"/>
      <c r="AX699" s="316"/>
      <c r="AY699" s="316"/>
      <c r="AZ699" s="316"/>
      <c r="BA699" s="316"/>
      <c r="BB699" s="316"/>
      <c r="BC699" s="316"/>
      <c r="BD699" s="316"/>
      <c r="BE699" s="316"/>
      <c r="BF699" s="316"/>
      <c r="BG699" s="316"/>
      <c r="BH699" s="316"/>
      <c r="BI699" s="316"/>
      <c r="BJ699" s="316"/>
      <c r="BK699" s="316"/>
      <c r="BL699" s="316"/>
      <c r="BM699" s="316"/>
      <c r="BN699" s="316"/>
    </row>
    <row r="700">
      <c r="A700" s="303" t="s">
        <v>1093</v>
      </c>
      <c r="B700" s="384" t="s">
        <v>1093</v>
      </c>
      <c r="C700" s="385" t="s">
        <v>322</v>
      </c>
      <c r="D700" s="341" t="s">
        <v>2353</v>
      </c>
      <c r="E700" s="335">
        <v>550000.0</v>
      </c>
      <c r="F700" s="346">
        <v>100000.0</v>
      </c>
      <c r="G700" s="341" t="s">
        <v>2353</v>
      </c>
      <c r="H700" s="335">
        <v>550000.0</v>
      </c>
      <c r="I700" s="346">
        <v>100000.0</v>
      </c>
      <c r="J700" s="353" t="s">
        <v>2353</v>
      </c>
      <c r="K700" s="335">
        <v>550000.0</v>
      </c>
      <c r="L700" s="346">
        <v>100000.0</v>
      </c>
      <c r="M700" s="341" t="s">
        <v>2353</v>
      </c>
      <c r="N700" s="335">
        <v>550000.0</v>
      </c>
      <c r="O700" s="346">
        <v>100000.0</v>
      </c>
      <c r="P700" s="341" t="s">
        <v>2353</v>
      </c>
      <c r="Q700" s="335">
        <v>550000.0</v>
      </c>
      <c r="R700" s="346">
        <v>100000.0</v>
      </c>
      <c r="S700" s="341" t="s">
        <v>2353</v>
      </c>
      <c r="T700" s="335">
        <v>550000.0</v>
      </c>
      <c r="U700" s="346">
        <v>100000.0</v>
      </c>
      <c r="V700" s="341" t="s">
        <v>2353</v>
      </c>
      <c r="W700" s="335">
        <v>550000.0</v>
      </c>
      <c r="X700" s="346">
        <v>100000.0</v>
      </c>
      <c r="Y700" s="341" t="s">
        <v>2353</v>
      </c>
      <c r="Z700" s="335">
        <v>550000.0</v>
      </c>
      <c r="AA700" s="346">
        <v>100000.0</v>
      </c>
      <c r="AB700" s="341" t="s">
        <v>2353</v>
      </c>
      <c r="AC700" s="335">
        <v>550000.0</v>
      </c>
      <c r="AD700" s="346">
        <v>100000.0</v>
      </c>
      <c r="AE700" s="341" t="s">
        <v>2353</v>
      </c>
      <c r="AF700" s="335">
        <v>550000.0</v>
      </c>
      <c r="AG700" s="346">
        <v>100000.0</v>
      </c>
      <c r="AH700" s="341" t="s">
        <v>2353</v>
      </c>
      <c r="AI700" s="335">
        <v>550000.0</v>
      </c>
      <c r="AJ700" s="346">
        <v>100000.0</v>
      </c>
      <c r="AK700" s="341" t="s">
        <v>2353</v>
      </c>
      <c r="AL700" s="335">
        <v>550000.0</v>
      </c>
      <c r="AM700" s="346">
        <v>100000.0</v>
      </c>
      <c r="AN700" s="316" t="s">
        <v>2177</v>
      </c>
      <c r="AO700" s="316"/>
      <c r="AP700" s="316"/>
      <c r="AQ700" s="316"/>
      <c r="AR700" s="316"/>
      <c r="AS700" s="316"/>
      <c r="AT700" s="316"/>
      <c r="AU700" s="316"/>
      <c r="AV700" s="316"/>
      <c r="AW700" s="316"/>
      <c r="AX700" s="316"/>
      <c r="AY700" s="316"/>
      <c r="AZ700" s="316"/>
      <c r="BA700" s="316"/>
      <c r="BB700" s="316"/>
      <c r="BC700" s="316"/>
      <c r="BD700" s="316"/>
      <c r="BE700" s="316"/>
      <c r="BF700" s="316"/>
      <c r="BG700" s="316"/>
      <c r="BH700" s="316"/>
      <c r="BI700" s="316"/>
      <c r="BJ700" s="316"/>
      <c r="BK700" s="316"/>
      <c r="BL700" s="316"/>
      <c r="BM700" s="316"/>
      <c r="BN700" s="316"/>
    </row>
    <row r="701">
      <c r="A701" s="303" t="s">
        <v>1093</v>
      </c>
      <c r="B701" s="384" t="s">
        <v>1093</v>
      </c>
      <c r="C701" s="385" t="s">
        <v>323</v>
      </c>
      <c r="D701" s="341" t="s">
        <v>1110</v>
      </c>
      <c r="E701" s="348">
        <v>293700.0</v>
      </c>
      <c r="F701" s="352">
        <v>80000.0</v>
      </c>
      <c r="G701" s="341" t="s">
        <v>1110</v>
      </c>
      <c r="H701" s="348">
        <v>293700.0</v>
      </c>
      <c r="I701" s="352">
        <v>80000.0</v>
      </c>
      <c r="J701" s="394" t="s">
        <v>1110</v>
      </c>
      <c r="K701" s="335">
        <v>382700.0</v>
      </c>
      <c r="L701" s="346">
        <v>100000.0</v>
      </c>
      <c r="M701" s="394" t="s">
        <v>1110</v>
      </c>
      <c r="N701" s="335">
        <v>382700.0</v>
      </c>
      <c r="O701" s="346">
        <v>100000.0</v>
      </c>
      <c r="P701" s="394" t="s">
        <v>1110</v>
      </c>
      <c r="Q701" s="335">
        <v>382700.0</v>
      </c>
      <c r="R701" s="346">
        <v>100000.0</v>
      </c>
      <c r="S701" s="394" t="s">
        <v>1110</v>
      </c>
      <c r="T701" s="335">
        <v>382700.0</v>
      </c>
      <c r="U701" s="346">
        <v>100000.0</v>
      </c>
      <c r="V701" s="394" t="s">
        <v>1110</v>
      </c>
      <c r="W701" s="335">
        <v>382700.0</v>
      </c>
      <c r="X701" s="346">
        <v>100000.0</v>
      </c>
      <c r="Y701" s="364" t="s">
        <v>2354</v>
      </c>
      <c r="Z701" s="335">
        <v>382700.0</v>
      </c>
      <c r="AA701" s="346">
        <v>100000.0</v>
      </c>
      <c r="AB701" s="326"/>
      <c r="AC701" s="321"/>
      <c r="AD701" s="322"/>
      <c r="AE701" s="326"/>
      <c r="AF701" s="321"/>
      <c r="AG701" s="322"/>
      <c r="AH701" s="326"/>
      <c r="AI701" s="321"/>
      <c r="AJ701" s="322"/>
      <c r="AK701" s="326"/>
      <c r="AL701" s="321"/>
      <c r="AM701" s="322"/>
      <c r="AN701" s="316" t="s">
        <v>2177</v>
      </c>
      <c r="AO701" s="316"/>
      <c r="AP701" s="316"/>
      <c r="AQ701" s="316"/>
      <c r="AR701" s="316"/>
      <c r="AS701" s="316"/>
      <c r="AT701" s="316"/>
      <c r="AU701" s="316"/>
      <c r="AV701" s="316"/>
      <c r="AW701" s="316"/>
      <c r="AX701" s="316"/>
      <c r="AY701" s="316"/>
      <c r="AZ701" s="316"/>
      <c r="BA701" s="316"/>
      <c r="BB701" s="316"/>
      <c r="BC701" s="316"/>
      <c r="BD701" s="316"/>
      <c r="BE701" s="316"/>
      <c r="BF701" s="316"/>
      <c r="BG701" s="316"/>
      <c r="BH701" s="316"/>
      <c r="BI701" s="316"/>
      <c r="BJ701" s="316"/>
      <c r="BK701" s="316"/>
      <c r="BL701" s="316"/>
      <c r="BM701" s="316"/>
      <c r="BN701" s="316"/>
    </row>
    <row r="702">
      <c r="A702" s="303" t="s">
        <v>1093</v>
      </c>
      <c r="B702" s="384" t="s">
        <v>1093</v>
      </c>
      <c r="C702" s="385" t="s">
        <v>349</v>
      </c>
      <c r="D702" s="341" t="s">
        <v>37</v>
      </c>
      <c r="E702" s="350"/>
      <c r="F702" s="351"/>
      <c r="G702" s="353" t="s">
        <v>2355</v>
      </c>
      <c r="H702" s="335">
        <v>14286.0</v>
      </c>
      <c r="I702" s="346">
        <v>3571.0</v>
      </c>
      <c r="J702" s="326" t="s">
        <v>1976</v>
      </c>
      <c r="K702" s="348">
        <v>400000.0</v>
      </c>
      <c r="L702" s="346">
        <v>100000.0</v>
      </c>
      <c r="M702" s="326" t="s">
        <v>1976</v>
      </c>
      <c r="N702" s="348">
        <v>400000.0</v>
      </c>
      <c r="O702" s="346">
        <v>100000.0</v>
      </c>
      <c r="P702" s="326" t="s">
        <v>1976</v>
      </c>
      <c r="Q702" s="348">
        <v>400000.0</v>
      </c>
      <c r="R702" s="346">
        <v>100000.0</v>
      </c>
      <c r="S702" s="326" t="s">
        <v>1976</v>
      </c>
      <c r="T702" s="348">
        <v>400000.0</v>
      </c>
      <c r="U702" s="346">
        <v>100000.0</v>
      </c>
      <c r="V702" s="326" t="s">
        <v>1976</v>
      </c>
      <c r="W702" s="348">
        <v>400000.0</v>
      </c>
      <c r="X702" s="346">
        <v>100000.0</v>
      </c>
      <c r="Y702" s="326" t="s">
        <v>2356</v>
      </c>
      <c r="Z702" s="348">
        <v>322581.0</v>
      </c>
      <c r="AA702" s="345">
        <v>80645.0</v>
      </c>
      <c r="AB702" s="326"/>
      <c r="AC702" s="321"/>
      <c r="AD702" s="322"/>
      <c r="AE702" s="326"/>
      <c r="AF702" s="321"/>
      <c r="AG702" s="322"/>
      <c r="AH702" s="326"/>
      <c r="AI702" s="321"/>
      <c r="AJ702" s="322"/>
      <c r="AK702" s="326"/>
      <c r="AL702" s="321"/>
      <c r="AM702" s="322"/>
      <c r="AN702" s="316" t="s">
        <v>2177</v>
      </c>
      <c r="AO702" s="316"/>
      <c r="AP702" s="316"/>
      <c r="AQ702" s="316"/>
      <c r="AR702" s="316"/>
      <c r="AS702" s="316"/>
      <c r="AT702" s="316"/>
      <c r="AU702" s="316"/>
      <c r="AV702" s="316"/>
      <c r="AW702" s="316"/>
      <c r="AX702" s="316"/>
      <c r="AY702" s="316"/>
      <c r="AZ702" s="316"/>
      <c r="BA702" s="316"/>
      <c r="BB702" s="316"/>
      <c r="BC702" s="316"/>
      <c r="BD702" s="316"/>
      <c r="BE702" s="316"/>
      <c r="BF702" s="316"/>
      <c r="BG702" s="316"/>
      <c r="BH702" s="316"/>
      <c r="BI702" s="316"/>
      <c r="BJ702" s="316"/>
      <c r="BK702" s="316"/>
      <c r="BL702" s="316"/>
      <c r="BM702" s="316"/>
      <c r="BN702" s="316"/>
    </row>
    <row r="703">
      <c r="A703" s="303" t="s">
        <v>1093</v>
      </c>
      <c r="B703" s="304"/>
      <c r="C703" s="305" t="s">
        <v>42</v>
      </c>
      <c r="D703" s="320"/>
      <c r="E703" s="323">
        <f t="shared" ref="E703:F703" si="978">SUM(E699:E702)</f>
        <v>1393700</v>
      </c>
      <c r="F703" s="324">
        <f t="shared" si="978"/>
        <v>280000</v>
      </c>
      <c r="G703" s="320"/>
      <c r="H703" s="323">
        <f t="shared" ref="H703:I703" si="979">SUM(H699:H702)</f>
        <v>1407986</v>
      </c>
      <c r="I703" s="324">
        <f t="shared" si="979"/>
        <v>283571</v>
      </c>
      <c r="J703" s="320"/>
      <c r="K703" s="323">
        <f t="shared" ref="K703:L703" si="980">SUM(K699:K702)</f>
        <v>1882700</v>
      </c>
      <c r="L703" s="324">
        <f t="shared" si="980"/>
        <v>400000</v>
      </c>
      <c r="M703" s="320"/>
      <c r="N703" s="323">
        <f t="shared" ref="N703:O703" si="981">SUM(N699:N702)</f>
        <v>1882700</v>
      </c>
      <c r="O703" s="324">
        <f t="shared" si="981"/>
        <v>400000</v>
      </c>
      <c r="P703" s="320"/>
      <c r="Q703" s="323">
        <f t="shared" ref="Q703:R703" si="982">SUM(Q699:Q702)</f>
        <v>1882700</v>
      </c>
      <c r="R703" s="324">
        <f t="shared" si="982"/>
        <v>400000</v>
      </c>
      <c r="S703" s="320"/>
      <c r="T703" s="323">
        <f t="shared" ref="T703:U703" si="983">SUM(T699:T702)</f>
        <v>1882700</v>
      </c>
      <c r="U703" s="324">
        <f t="shared" si="983"/>
        <v>400000</v>
      </c>
      <c r="V703" s="320"/>
      <c r="W703" s="323">
        <f t="shared" ref="W703:X703" si="984">SUM(W699:W702)</f>
        <v>1882700</v>
      </c>
      <c r="X703" s="324">
        <f t="shared" si="984"/>
        <v>400000</v>
      </c>
      <c r="Y703" s="320"/>
      <c r="Z703" s="323">
        <f t="shared" ref="Z703:AA703" si="985">SUM(Z699:Z702)</f>
        <v>1805281</v>
      </c>
      <c r="AA703" s="324">
        <f t="shared" si="985"/>
        <v>380645</v>
      </c>
      <c r="AB703" s="320"/>
      <c r="AC703" s="323">
        <f t="shared" ref="AC703:AD703" si="986">SUM(AC699:AC702)</f>
        <v>1100000</v>
      </c>
      <c r="AD703" s="324">
        <f t="shared" si="986"/>
        <v>200000</v>
      </c>
      <c r="AE703" s="320"/>
      <c r="AF703" s="323">
        <f t="shared" ref="AF703:AG703" si="987">SUM(AF699:AF702)</f>
        <v>1100000</v>
      </c>
      <c r="AG703" s="324">
        <f t="shared" si="987"/>
        <v>200000</v>
      </c>
      <c r="AH703" s="320"/>
      <c r="AI703" s="323">
        <f t="shared" ref="AI703:AJ703" si="988">SUM(AI699:AI702)</f>
        <v>1100000</v>
      </c>
      <c r="AJ703" s="324">
        <f t="shared" si="988"/>
        <v>200000</v>
      </c>
      <c r="AK703" s="320"/>
      <c r="AL703" s="323">
        <f t="shared" ref="AL703:AM703" si="989">SUM(AL699:AL702)</f>
        <v>1100000</v>
      </c>
      <c r="AM703" s="324">
        <f t="shared" si="989"/>
        <v>200000</v>
      </c>
      <c r="AN703" s="316" t="s">
        <v>2177</v>
      </c>
      <c r="AO703" s="316"/>
      <c r="AP703" s="316"/>
      <c r="AQ703" s="316"/>
      <c r="AR703" s="316"/>
      <c r="AS703" s="316"/>
      <c r="AT703" s="316"/>
      <c r="AU703" s="316"/>
      <c r="AV703" s="316"/>
      <c r="AW703" s="316"/>
      <c r="AX703" s="316"/>
      <c r="AY703" s="316"/>
      <c r="AZ703" s="316"/>
      <c r="BA703" s="316"/>
      <c r="BB703" s="316"/>
      <c r="BC703" s="316"/>
      <c r="BD703" s="316"/>
      <c r="BE703" s="316"/>
      <c r="BF703" s="316"/>
      <c r="BG703" s="316"/>
      <c r="BH703" s="316"/>
      <c r="BI703" s="316"/>
      <c r="BJ703" s="316"/>
      <c r="BK703" s="316"/>
      <c r="BL703" s="316"/>
      <c r="BM703" s="316"/>
      <c r="BN703" s="316"/>
    </row>
    <row r="704" collapsed="1">
      <c r="A704" s="303" t="s">
        <v>1093</v>
      </c>
      <c r="B704" s="304"/>
      <c r="C704" s="325" t="s">
        <v>43</v>
      </c>
      <c r="D704" s="326"/>
      <c r="E704" s="321">
        <v>1000000.0</v>
      </c>
      <c r="F704" s="322"/>
      <c r="G704" s="326"/>
      <c r="H704" s="321">
        <v>1000000.0</v>
      </c>
      <c r="I704" s="322"/>
      <c r="J704" s="326"/>
      <c r="K704" s="321">
        <v>1000000.0</v>
      </c>
      <c r="L704" s="322"/>
      <c r="M704" s="326"/>
      <c r="N704" s="321">
        <v>1000000.0</v>
      </c>
      <c r="O704" s="322"/>
      <c r="P704" s="326"/>
      <c r="Q704" s="321">
        <v>1000000.0</v>
      </c>
      <c r="R704" s="322"/>
      <c r="S704" s="326"/>
      <c r="T704" s="321">
        <v>1000000.0</v>
      </c>
      <c r="U704" s="322"/>
      <c r="V704" s="326"/>
      <c r="W704" s="321">
        <v>1000000.0</v>
      </c>
      <c r="X704" s="322"/>
      <c r="Y704" s="326"/>
      <c r="Z704" s="321">
        <v>1000000.0</v>
      </c>
      <c r="AA704" s="322"/>
      <c r="AB704" s="326"/>
      <c r="AC704" s="321">
        <v>1000000.0</v>
      </c>
      <c r="AD704" s="322"/>
      <c r="AE704" s="326"/>
      <c r="AF704" s="321">
        <v>1000000.0</v>
      </c>
      <c r="AG704" s="322"/>
      <c r="AH704" s="326"/>
      <c r="AI704" s="321">
        <v>1000000.0</v>
      </c>
      <c r="AJ704" s="322"/>
      <c r="AK704" s="326"/>
      <c r="AL704" s="321">
        <v>1000000.0</v>
      </c>
      <c r="AM704" s="322"/>
      <c r="AN704" s="316" t="s">
        <v>2177</v>
      </c>
      <c r="AO704" s="316"/>
      <c r="AP704" s="316"/>
      <c r="AQ704" s="316"/>
      <c r="AR704" s="316"/>
      <c r="AS704" s="316"/>
      <c r="AT704" s="316"/>
      <c r="AU704" s="316"/>
      <c r="AV704" s="316"/>
      <c r="AW704" s="316"/>
      <c r="AX704" s="316"/>
      <c r="AY704" s="316"/>
      <c r="AZ704" s="316"/>
      <c r="BA704" s="316"/>
      <c r="BB704" s="316"/>
      <c r="BC704" s="316"/>
      <c r="BD704" s="316"/>
      <c r="BE704" s="316"/>
      <c r="BF704" s="316"/>
      <c r="BG704" s="316"/>
      <c r="BH704" s="316"/>
      <c r="BI704" s="316"/>
      <c r="BJ704" s="316"/>
      <c r="BK704" s="316"/>
      <c r="BL704" s="316"/>
      <c r="BM704" s="316"/>
      <c r="BN704" s="316"/>
    </row>
    <row r="705" hidden="1" outlineLevel="1">
      <c r="A705" s="303" t="s">
        <v>1093</v>
      </c>
      <c r="B705" s="304"/>
      <c r="C705" s="325" t="s">
        <v>45</v>
      </c>
      <c r="D705" s="326"/>
      <c r="E705" s="321">
        <v>50000.0</v>
      </c>
      <c r="F705" s="322"/>
      <c r="G705" s="326"/>
      <c r="H705" s="321">
        <v>50000.0</v>
      </c>
      <c r="I705" s="322"/>
      <c r="J705" s="326"/>
      <c r="K705" s="321">
        <v>50000.0</v>
      </c>
      <c r="L705" s="322"/>
      <c r="M705" s="326"/>
      <c r="N705" s="321">
        <v>50000.0</v>
      </c>
      <c r="O705" s="322"/>
      <c r="P705" s="326"/>
      <c r="Q705" s="321">
        <v>50000.0</v>
      </c>
      <c r="R705" s="322"/>
      <c r="S705" s="326"/>
      <c r="T705" s="321">
        <v>50000.0</v>
      </c>
      <c r="U705" s="322"/>
      <c r="V705" s="326"/>
      <c r="W705" s="321">
        <v>50000.0</v>
      </c>
      <c r="X705" s="322"/>
      <c r="Y705" s="326"/>
      <c r="Z705" s="321">
        <v>50000.0</v>
      </c>
      <c r="AA705" s="322"/>
      <c r="AB705" s="326"/>
      <c r="AC705" s="321">
        <v>50000.0</v>
      </c>
      <c r="AD705" s="322"/>
      <c r="AE705" s="326"/>
      <c r="AF705" s="321">
        <v>50000.0</v>
      </c>
      <c r="AG705" s="322"/>
      <c r="AH705" s="326"/>
      <c r="AI705" s="321">
        <v>50000.0</v>
      </c>
      <c r="AJ705" s="322"/>
      <c r="AK705" s="326"/>
      <c r="AL705" s="321">
        <v>50000.0</v>
      </c>
      <c r="AM705" s="322"/>
      <c r="AN705" s="316" t="s">
        <v>2177</v>
      </c>
      <c r="AO705" s="316"/>
      <c r="AP705" s="316"/>
      <c r="AQ705" s="316"/>
      <c r="AR705" s="316"/>
      <c r="AS705" s="316"/>
      <c r="AT705" s="316"/>
      <c r="AU705" s="316"/>
      <c r="AV705" s="316"/>
      <c r="AW705" s="316"/>
      <c r="AX705" s="316"/>
      <c r="AY705" s="316"/>
      <c r="AZ705" s="316"/>
      <c r="BA705" s="316"/>
      <c r="BB705" s="316"/>
      <c r="BC705" s="316"/>
      <c r="BD705" s="316"/>
      <c r="BE705" s="316"/>
      <c r="BF705" s="316"/>
      <c r="BG705" s="316"/>
      <c r="BH705" s="316"/>
      <c r="BI705" s="316"/>
      <c r="BJ705" s="316"/>
      <c r="BK705" s="316"/>
      <c r="BL705" s="316"/>
      <c r="BM705" s="316"/>
      <c r="BN705" s="316"/>
    </row>
    <row r="706" hidden="1" outlineLevel="1">
      <c r="A706" s="303" t="s">
        <v>1093</v>
      </c>
      <c r="B706" s="317" t="s">
        <v>1117</v>
      </c>
      <c r="C706" s="325" t="s">
        <v>47</v>
      </c>
      <c r="D706" s="326"/>
      <c r="E706" s="321"/>
      <c r="F706" s="322">
        <v>25330.0</v>
      </c>
      <c r="G706" s="326"/>
      <c r="H706" s="321"/>
      <c r="I706" s="322">
        <v>33030.0</v>
      </c>
      <c r="J706" s="326"/>
      <c r="K706" s="321"/>
      <c r="L706" s="322"/>
      <c r="M706" s="326"/>
      <c r="N706" s="321"/>
      <c r="O706" s="322"/>
      <c r="P706" s="326"/>
      <c r="Q706" s="321"/>
      <c r="R706" s="322"/>
      <c r="S706" s="326"/>
      <c r="T706" s="321"/>
      <c r="U706" s="322"/>
      <c r="V706" s="326"/>
      <c r="W706" s="321"/>
      <c r="X706" s="322"/>
      <c r="Y706" s="326"/>
      <c r="Z706" s="321"/>
      <c r="AA706" s="322"/>
      <c r="AB706" s="326"/>
      <c r="AC706" s="321"/>
      <c r="AD706" s="322"/>
      <c r="AE706" s="326"/>
      <c r="AF706" s="321"/>
      <c r="AG706" s="322"/>
      <c r="AH706" s="326"/>
      <c r="AI706" s="321"/>
      <c r="AJ706" s="322"/>
      <c r="AK706" s="326"/>
      <c r="AL706" s="321"/>
      <c r="AM706" s="322"/>
      <c r="AN706" s="316" t="s">
        <v>2177</v>
      </c>
      <c r="AO706" s="316"/>
      <c r="AP706" s="316"/>
      <c r="AQ706" s="316"/>
      <c r="AR706" s="316"/>
      <c r="AS706" s="316"/>
      <c r="AT706" s="316"/>
      <c r="AU706" s="316"/>
      <c r="AV706" s="316"/>
      <c r="AW706" s="316"/>
      <c r="AX706" s="316"/>
      <c r="AY706" s="316"/>
      <c r="AZ706" s="316"/>
      <c r="BA706" s="316"/>
      <c r="BB706" s="316"/>
      <c r="BC706" s="316"/>
      <c r="BD706" s="316"/>
      <c r="BE706" s="316"/>
      <c r="BF706" s="316"/>
      <c r="BG706" s="316"/>
      <c r="BH706" s="316"/>
      <c r="BI706" s="316"/>
      <c r="BJ706" s="316"/>
      <c r="BK706" s="316"/>
      <c r="BL706" s="316"/>
      <c r="BM706" s="316"/>
      <c r="BN706" s="316"/>
    </row>
    <row r="707" hidden="1" outlineLevel="1">
      <c r="A707" s="303" t="s">
        <v>1093</v>
      </c>
      <c r="B707" s="317" t="s">
        <v>1119</v>
      </c>
      <c r="C707" s="325" t="s">
        <v>49</v>
      </c>
      <c r="D707" s="326"/>
      <c r="E707" s="321"/>
      <c r="F707" s="322">
        <v>127160.0</v>
      </c>
      <c r="G707" s="326"/>
      <c r="H707" s="321"/>
      <c r="I707" s="322">
        <v>227390.0</v>
      </c>
      <c r="J707" s="326"/>
      <c r="K707" s="321"/>
      <c r="L707" s="322">
        <v>163970.0</v>
      </c>
      <c r="M707" s="326"/>
      <c r="N707" s="321"/>
      <c r="O707" s="322"/>
      <c r="P707" s="326"/>
      <c r="Q707" s="321"/>
      <c r="R707" s="322"/>
      <c r="S707" s="326"/>
      <c r="T707" s="321"/>
      <c r="U707" s="322"/>
      <c r="V707" s="326"/>
      <c r="W707" s="321"/>
      <c r="X707" s="322"/>
      <c r="Y707" s="326"/>
      <c r="Z707" s="321"/>
      <c r="AA707" s="322"/>
      <c r="AB707" s="326"/>
      <c r="AC707" s="321"/>
      <c r="AD707" s="322"/>
      <c r="AE707" s="326"/>
      <c r="AF707" s="321"/>
      <c r="AG707" s="322"/>
      <c r="AH707" s="326"/>
      <c r="AI707" s="321"/>
      <c r="AJ707" s="322"/>
      <c r="AK707" s="326"/>
      <c r="AL707" s="321"/>
      <c r="AM707" s="322"/>
      <c r="AN707" s="316" t="s">
        <v>2177</v>
      </c>
      <c r="AO707" s="316"/>
      <c r="AP707" s="316"/>
      <c r="AQ707" s="316"/>
      <c r="AR707" s="316"/>
      <c r="AS707" s="316"/>
      <c r="AT707" s="316"/>
      <c r="AU707" s="316"/>
      <c r="AV707" s="316"/>
      <c r="AW707" s="316"/>
      <c r="AX707" s="316"/>
      <c r="AY707" s="316"/>
      <c r="AZ707" s="316"/>
      <c r="BA707" s="316"/>
      <c r="BB707" s="316"/>
      <c r="BC707" s="316"/>
      <c r="BD707" s="316"/>
      <c r="BE707" s="316"/>
      <c r="BF707" s="316"/>
      <c r="BG707" s="316"/>
      <c r="BH707" s="316"/>
      <c r="BI707" s="316"/>
      <c r="BJ707" s="316"/>
      <c r="BK707" s="316"/>
      <c r="BL707" s="316"/>
      <c r="BM707" s="316"/>
      <c r="BN707" s="316"/>
    </row>
    <row r="708" hidden="1" outlineLevel="1">
      <c r="A708" s="303" t="s">
        <v>1093</v>
      </c>
      <c r="B708" s="317" t="s">
        <v>1120</v>
      </c>
      <c r="C708" s="325" t="s">
        <v>51</v>
      </c>
      <c r="D708" s="326"/>
      <c r="E708" s="321"/>
      <c r="F708" s="322">
        <v>40000.0</v>
      </c>
      <c r="G708" s="326"/>
      <c r="H708" s="321"/>
      <c r="I708" s="322">
        <v>40000.0</v>
      </c>
      <c r="J708" s="326"/>
      <c r="K708" s="321"/>
      <c r="L708" s="322"/>
      <c r="M708" s="326"/>
      <c r="N708" s="321"/>
      <c r="O708" s="322"/>
      <c r="P708" s="326"/>
      <c r="Q708" s="321"/>
      <c r="R708" s="322"/>
      <c r="S708" s="326"/>
      <c r="T708" s="321"/>
      <c r="U708" s="322"/>
      <c r="V708" s="326"/>
      <c r="W708" s="321"/>
      <c r="X708" s="322"/>
      <c r="Y708" s="326"/>
      <c r="Z708" s="321"/>
      <c r="AA708" s="322"/>
      <c r="AB708" s="326"/>
      <c r="AC708" s="321"/>
      <c r="AD708" s="322"/>
      <c r="AE708" s="326"/>
      <c r="AF708" s="321"/>
      <c r="AG708" s="322"/>
      <c r="AH708" s="326"/>
      <c r="AI708" s="321"/>
      <c r="AJ708" s="322"/>
      <c r="AK708" s="326"/>
      <c r="AL708" s="321"/>
      <c r="AM708" s="322"/>
      <c r="AN708" s="316" t="s">
        <v>2177</v>
      </c>
      <c r="AO708" s="316"/>
      <c r="AP708" s="316"/>
      <c r="AQ708" s="316"/>
      <c r="AR708" s="316"/>
      <c r="AS708" s="316"/>
      <c r="AT708" s="316"/>
      <c r="AU708" s="316"/>
      <c r="AV708" s="316"/>
      <c r="AW708" s="316"/>
      <c r="AX708" s="316"/>
      <c r="AY708" s="316"/>
      <c r="AZ708" s="316"/>
      <c r="BA708" s="316"/>
      <c r="BB708" s="316"/>
      <c r="BC708" s="316"/>
      <c r="BD708" s="316"/>
      <c r="BE708" s="316"/>
      <c r="BF708" s="316"/>
      <c r="BG708" s="316"/>
      <c r="BH708" s="316"/>
      <c r="BI708" s="316"/>
      <c r="BJ708" s="316"/>
      <c r="BK708" s="316"/>
      <c r="BL708" s="316"/>
      <c r="BM708" s="316"/>
      <c r="BN708" s="316"/>
    </row>
    <row r="709" hidden="1" outlineLevel="1">
      <c r="A709" s="303" t="s">
        <v>1093</v>
      </c>
      <c r="B709" s="304"/>
      <c r="C709" s="325" t="s">
        <v>52</v>
      </c>
      <c r="D709" s="326"/>
      <c r="E709" s="321"/>
      <c r="F709" s="322">
        <v>25000.0</v>
      </c>
      <c r="G709" s="326"/>
      <c r="H709" s="321"/>
      <c r="I709" s="322">
        <v>25000.0</v>
      </c>
      <c r="J709" s="326"/>
      <c r="K709" s="321"/>
      <c r="L709" s="322">
        <v>25000.0</v>
      </c>
      <c r="M709" s="326"/>
      <c r="N709" s="321"/>
      <c r="O709" s="322">
        <v>25000.0</v>
      </c>
      <c r="P709" s="326"/>
      <c r="Q709" s="321"/>
      <c r="R709" s="322">
        <v>25000.0</v>
      </c>
      <c r="S709" s="326"/>
      <c r="T709" s="321"/>
      <c r="U709" s="322">
        <v>25000.0</v>
      </c>
      <c r="V709" s="326"/>
      <c r="W709" s="321"/>
      <c r="X709" s="322">
        <v>25000.0</v>
      </c>
      <c r="Y709" s="326"/>
      <c r="Z709" s="321"/>
      <c r="AA709" s="322">
        <v>25000.0</v>
      </c>
      <c r="AB709" s="326"/>
      <c r="AC709" s="321"/>
      <c r="AD709" s="322">
        <v>25000.0</v>
      </c>
      <c r="AE709" s="326"/>
      <c r="AF709" s="321"/>
      <c r="AG709" s="322">
        <v>25000.0</v>
      </c>
      <c r="AH709" s="326"/>
      <c r="AI709" s="321"/>
      <c r="AJ709" s="322">
        <v>25000.0</v>
      </c>
      <c r="AK709" s="326"/>
      <c r="AL709" s="321"/>
      <c r="AM709" s="322">
        <v>25000.0</v>
      </c>
      <c r="AN709" s="316" t="s">
        <v>2177</v>
      </c>
      <c r="AO709" s="316"/>
      <c r="AP709" s="316"/>
      <c r="AQ709" s="316"/>
      <c r="AR709" s="316"/>
      <c r="AS709" s="316"/>
      <c r="AT709" s="316"/>
      <c r="AU709" s="316"/>
      <c r="AV709" s="316"/>
      <c r="AW709" s="316"/>
      <c r="AX709" s="316"/>
      <c r="AY709" s="316"/>
      <c r="AZ709" s="316"/>
      <c r="BA709" s="316"/>
      <c r="BB709" s="316"/>
      <c r="BC709" s="316"/>
      <c r="BD709" s="316"/>
      <c r="BE709" s="316"/>
      <c r="BF709" s="316"/>
      <c r="BG709" s="316"/>
      <c r="BH709" s="316"/>
      <c r="BI709" s="316"/>
      <c r="BJ709" s="316"/>
      <c r="BK709" s="316"/>
      <c r="BL709" s="316"/>
      <c r="BM709" s="316"/>
      <c r="BN709" s="316"/>
    </row>
    <row r="710" hidden="1" outlineLevel="1">
      <c r="A710" s="303" t="s">
        <v>1093</v>
      </c>
      <c r="B710" s="317" t="s">
        <v>264</v>
      </c>
      <c r="C710" s="325" t="s">
        <v>53</v>
      </c>
      <c r="D710" s="326"/>
      <c r="E710" s="321"/>
      <c r="F710" s="322">
        <v>11000.0</v>
      </c>
      <c r="G710" s="326"/>
      <c r="H710" s="321"/>
      <c r="I710" s="322">
        <v>11000.0</v>
      </c>
      <c r="J710" s="326"/>
      <c r="K710" s="321"/>
      <c r="L710" s="322">
        <v>11000.0</v>
      </c>
      <c r="M710" s="326"/>
      <c r="N710" s="321"/>
      <c r="O710" s="322">
        <v>11000.0</v>
      </c>
      <c r="P710" s="326"/>
      <c r="Q710" s="321"/>
      <c r="R710" s="322">
        <v>11000.0</v>
      </c>
      <c r="S710" s="326"/>
      <c r="T710" s="321"/>
      <c r="U710" s="322">
        <v>11000.0</v>
      </c>
      <c r="V710" s="326"/>
      <c r="W710" s="321"/>
      <c r="X710" s="322">
        <v>11000.0</v>
      </c>
      <c r="Y710" s="326"/>
      <c r="Z710" s="321"/>
      <c r="AA710" s="322">
        <v>11000.0</v>
      </c>
      <c r="AB710" s="326"/>
      <c r="AC710" s="321"/>
      <c r="AD710" s="322">
        <v>11000.0</v>
      </c>
      <c r="AE710" s="326"/>
      <c r="AF710" s="321"/>
      <c r="AG710" s="322">
        <v>11000.0</v>
      </c>
      <c r="AH710" s="326"/>
      <c r="AI710" s="321"/>
      <c r="AJ710" s="322">
        <v>11000.0</v>
      </c>
      <c r="AK710" s="326"/>
      <c r="AL710" s="321"/>
      <c r="AM710" s="322">
        <v>11000.0</v>
      </c>
      <c r="AN710" s="316" t="s">
        <v>2177</v>
      </c>
      <c r="AO710" s="316"/>
      <c r="AP710" s="316"/>
      <c r="AQ710" s="316"/>
      <c r="AR710" s="316"/>
      <c r="AS710" s="316"/>
      <c r="AT710" s="316"/>
      <c r="AU710" s="316"/>
      <c r="AV710" s="316"/>
      <c r="AW710" s="316"/>
      <c r="AX710" s="316"/>
      <c r="AY710" s="316"/>
      <c r="AZ710" s="316"/>
      <c r="BA710" s="316"/>
      <c r="BB710" s="316"/>
      <c r="BC710" s="316"/>
      <c r="BD710" s="316"/>
      <c r="BE710" s="316"/>
      <c r="BF710" s="316"/>
      <c r="BG710" s="316"/>
      <c r="BH710" s="316"/>
      <c r="BI710" s="316"/>
      <c r="BJ710" s="316"/>
      <c r="BK710" s="316"/>
      <c r="BL710" s="316"/>
      <c r="BM710" s="316"/>
      <c r="BN710" s="316"/>
    </row>
    <row r="711" hidden="1" outlineLevel="1">
      <c r="A711" s="303" t="s">
        <v>1093</v>
      </c>
      <c r="B711" s="304"/>
      <c r="C711" s="325" t="s">
        <v>54</v>
      </c>
      <c r="D711" s="327">
        <f>SUMIFS('지출'!$G$3:$G794,'지출'!$J$3:$J794,D$1,'지출'!$C$3:$C794,"동지")</f>
        <v>0</v>
      </c>
      <c r="E711" s="321">
        <f>SUMIFS('지출'!$G$3:$G794,'지출'!$J$3:$J794,E$1,'지출'!$C$3:$C794,"동지")</f>
        <v>0</v>
      </c>
      <c r="F711" s="322">
        <f>SUMIFS('지출'!$G$3:$G794,'지출'!$J$3:$J794,F$1,'지출'!$C$3:$C794,"동지")</f>
        <v>115050</v>
      </c>
      <c r="G711" s="327">
        <f>SUMIFS('지출'!$G$3:$G794,'지출'!$J$3:$J794,G$1,'지출'!$C$3:$C794,"동지")</f>
        <v>0</v>
      </c>
      <c r="H711" s="321">
        <f>SUMIFS('지출'!$G$3:$G794,'지출'!$J$3:$J794,H$1,'지출'!$C$3:$C794,"동지")</f>
        <v>0</v>
      </c>
      <c r="I711" s="322">
        <f>SUMIFS('지출'!$G$3:$G794,'지출'!$J$3:$J794,I$1,'지출'!$C$3:$C794,"동지")</f>
        <v>42000</v>
      </c>
      <c r="J711" s="327">
        <f>SUMIFS('지출'!$G$3:$G794,'지출'!$J$3:$J794,J$1,'지출'!$C$3:$C794,"동지")</f>
        <v>0</v>
      </c>
      <c r="K711" s="321">
        <f>SUMIFS('지출'!$G$3:$G794,'지출'!$J$3:$J794,K$1,'지출'!$C$3:$C794,"동지")</f>
        <v>0</v>
      </c>
      <c r="L711" s="322">
        <f>SUMIFS('지출'!$G$3:$G794,'지출'!$J$3:$J794,L$1,'지출'!$C$3:$C794,"동지")</f>
        <v>28240</v>
      </c>
      <c r="M711" s="327">
        <f>SUMIFS('지출'!$G$3:$G794,'지출'!$J$3:$J794,M$1,'지출'!$C$3:$C794,"동지")</f>
        <v>0</v>
      </c>
      <c r="N711" s="321">
        <f>SUMIFS('지출'!$G$3:$G794,'지출'!$J$3:$J794,N$1,'지출'!$C$3:$C794,"동지")</f>
        <v>0</v>
      </c>
      <c r="O711" s="322">
        <f>SUMIFS('지출'!$G$3:$G794,'지출'!$J$3:$J794,O$1,'지출'!$C$3:$C794,"동지")</f>
        <v>0</v>
      </c>
      <c r="P711" s="327">
        <f>SUMIFS('지출'!$G$3:$G794,'지출'!$J$3:$J794,P$1,'지출'!$C$3:$C794,"동지")</f>
        <v>0</v>
      </c>
      <c r="Q711" s="321">
        <f>SUMIFS('지출'!$G$3:$G794,'지출'!$J$3:$J794,Q$1,'지출'!$C$3:$C794,"동지")</f>
        <v>0</v>
      </c>
      <c r="R711" s="322">
        <f>SUMIFS('지출'!$G$3:$G794,'지출'!$J$3:$J794,R$1,'지출'!$C$3:$C794,"동지")</f>
        <v>0</v>
      </c>
      <c r="S711" s="327">
        <f>SUMIFS('지출'!$G$3:$G794,'지출'!$J$3:$J794,S$1,'지출'!$C$3:$C794,"동지")</f>
        <v>0</v>
      </c>
      <c r="T711" s="321">
        <f>SUMIFS('지출'!$G$3:$G794,'지출'!$J$3:$J794,T$1,'지출'!$C$3:$C794,"동지")</f>
        <v>0</v>
      </c>
      <c r="U711" s="322">
        <f>SUMIFS('지출'!$G$3:$G794,'지출'!$J$3:$J794,U$1,'지출'!$C$3:$C794,"동지")</f>
        <v>0</v>
      </c>
      <c r="V711" s="327">
        <f>SUMIFS('지출'!$G$3:$G794,'지출'!$J$3:$J794,V$1,'지출'!$C$3:$C794,"동지")</f>
        <v>0</v>
      </c>
      <c r="W711" s="321">
        <f>SUMIFS('지출'!$G$3:$G794,'지출'!$J$3:$J794,W$1,'지출'!$C$3:$C794,"동지")</f>
        <v>0</v>
      </c>
      <c r="X711" s="322">
        <f>SUMIFS('지출'!$G$3:$G794,'지출'!$J$3:$J794,X$1,'지출'!$C$3:$C794,"동지")</f>
        <v>0</v>
      </c>
      <c r="Y711" s="327">
        <f>SUMIFS('지출'!$G$3:$G794,'지출'!$J$3:$J794,Y$1,'지출'!$C$3:$C794,"동지")</f>
        <v>0</v>
      </c>
      <c r="Z711" s="321">
        <f>SUMIFS('지출'!$G$3:$G794,'지출'!$J$3:$J794,Z$1,'지출'!$C$3:$C794,"동지")</f>
        <v>0</v>
      </c>
      <c r="AA711" s="322">
        <f>SUMIFS('지출'!$G$3:$G794,'지출'!$J$3:$J794,AA$1,'지출'!$C$3:$C794,"동지")</f>
        <v>0</v>
      </c>
      <c r="AB711" s="327">
        <f>SUMIFS('지출'!$G$3:$G794,'지출'!$J$3:$J794,AB$1,'지출'!$C$3:$C794,"동지")</f>
        <v>0</v>
      </c>
      <c r="AC711" s="321">
        <f>SUMIFS('지출'!$G$3:$G794,'지출'!$J$3:$J794,AC$1,'지출'!$C$3:$C794,"동지")</f>
        <v>0</v>
      </c>
      <c r="AD711" s="322">
        <f>SUMIFS('지출'!$G$3:$G794,'지출'!$J$3:$J794,AD$1,'지출'!$C$3:$C794,"동지")</f>
        <v>0</v>
      </c>
      <c r="AE711" s="327">
        <f>SUMIFS('지출'!$G$3:$G794,'지출'!$J$3:$J794,AE$1,'지출'!$C$3:$C794,"동지")</f>
        <v>0</v>
      </c>
      <c r="AF711" s="321">
        <f>SUMIFS('지출'!$G$3:$G794,'지출'!$J$3:$J794,AF$1,'지출'!$C$3:$C794,"동지")</f>
        <v>0</v>
      </c>
      <c r="AG711" s="322">
        <f>SUMIFS('지출'!$G$3:$G794,'지출'!$J$3:$J794,AG$1,'지출'!$C$3:$C794,"동지")</f>
        <v>0</v>
      </c>
      <c r="AH711" s="327">
        <f>SUMIFS('지출'!$G$3:$G794,'지출'!$J$3:$J794,AH$1,'지출'!$C$3:$C794,"동지")</f>
        <v>0</v>
      </c>
      <c r="AI711" s="321">
        <f>SUMIFS('지출'!$G$3:$G794,'지출'!$J$3:$J794,AI$1,'지출'!$C$3:$C794,"동지")</f>
        <v>0</v>
      </c>
      <c r="AJ711" s="322">
        <f>SUMIFS('지출'!$G$3:$G794,'지출'!$J$3:$J794,AJ$1,'지출'!$C$3:$C794,"동지")</f>
        <v>0</v>
      </c>
      <c r="AK711" s="327">
        <f>SUMIFS('지출'!$G$3:$G794,'지출'!$J$3:$J794,AK$1,'지출'!$C$3:$C794,"동지")</f>
        <v>0</v>
      </c>
      <c r="AL711" s="321">
        <f>SUMIFS('지출'!$G$3:$G794,'지출'!$J$3:$J794,AL$1,'지출'!$C$3:$C794,"동지")</f>
        <v>0</v>
      </c>
      <c r="AM711" s="322">
        <f>SUMIFS('지출'!$G$3:$G794,'지출'!$J$3:$J794,AM$1,'지출'!$C$3:$C794,"동지")</f>
        <v>0</v>
      </c>
      <c r="AN711" s="316" t="s">
        <v>2177</v>
      </c>
      <c r="AO711" s="316"/>
      <c r="AP711" s="316"/>
      <c r="AQ711" s="316"/>
      <c r="AR711" s="316"/>
      <c r="AS711" s="316"/>
      <c r="AT711" s="316"/>
      <c r="AU711" s="316"/>
      <c r="AV711" s="316"/>
      <c r="AW711" s="316"/>
      <c r="AX711" s="316"/>
      <c r="AY711" s="316"/>
      <c r="AZ711" s="316"/>
      <c r="BA711" s="316"/>
      <c r="BB711" s="316"/>
      <c r="BC711" s="316"/>
      <c r="BD711" s="316"/>
      <c r="BE711" s="316"/>
      <c r="BF711" s="316"/>
      <c r="BG711" s="316"/>
      <c r="BH711" s="316"/>
      <c r="BI711" s="316"/>
      <c r="BJ711" s="316"/>
      <c r="BK711" s="316"/>
      <c r="BL711" s="316"/>
      <c r="BM711" s="316"/>
      <c r="BN711" s="316"/>
    </row>
    <row r="712" hidden="1" outlineLevel="1">
      <c r="A712" s="303" t="s">
        <v>1093</v>
      </c>
      <c r="B712" s="304"/>
      <c r="C712" s="325" t="s">
        <v>56</v>
      </c>
      <c r="D712" s="320"/>
      <c r="E712" s="323">
        <f t="shared" ref="E712:F712" si="990">E703-(SUM(E704:E711))</f>
        <v>343700</v>
      </c>
      <c r="F712" s="324">
        <f t="shared" si="990"/>
        <v>-63540</v>
      </c>
      <c r="G712" s="320"/>
      <c r="H712" s="323">
        <f t="shared" ref="H712:I712" si="991">H703-(SUM(H704:H711))</f>
        <v>357986</v>
      </c>
      <c r="I712" s="324">
        <f t="shared" si="991"/>
        <v>-94849</v>
      </c>
      <c r="J712" s="320"/>
      <c r="K712" s="323">
        <f t="shared" ref="K712:L712" si="992">K703-(SUM(K704:K711))</f>
        <v>832700</v>
      </c>
      <c r="L712" s="324">
        <f t="shared" si="992"/>
        <v>171790</v>
      </c>
      <c r="M712" s="320"/>
      <c r="N712" s="323">
        <f t="shared" ref="N712:O712" si="993">N703-(SUM(N704:N711))</f>
        <v>832700</v>
      </c>
      <c r="O712" s="324">
        <f t="shared" si="993"/>
        <v>364000</v>
      </c>
      <c r="P712" s="320"/>
      <c r="Q712" s="323">
        <f t="shared" ref="Q712:R712" si="994">Q703-(SUM(Q704:Q711))</f>
        <v>832700</v>
      </c>
      <c r="R712" s="324">
        <f t="shared" si="994"/>
        <v>364000</v>
      </c>
      <c r="S712" s="320"/>
      <c r="T712" s="323">
        <f t="shared" ref="T712:U712" si="995">T703-(SUM(T704:T711))</f>
        <v>832700</v>
      </c>
      <c r="U712" s="324">
        <f t="shared" si="995"/>
        <v>364000</v>
      </c>
      <c r="V712" s="320"/>
      <c r="W712" s="323">
        <f t="shared" ref="W712:X712" si="996">W703-(SUM(W704:W711))</f>
        <v>832700</v>
      </c>
      <c r="X712" s="324">
        <f t="shared" si="996"/>
        <v>364000</v>
      </c>
      <c r="Y712" s="320"/>
      <c r="Z712" s="323">
        <f t="shared" ref="Z712:AA712" si="997">Z703-(SUM(Z704:Z711))</f>
        <v>755281</v>
      </c>
      <c r="AA712" s="324">
        <f t="shared" si="997"/>
        <v>344645</v>
      </c>
      <c r="AB712" s="320"/>
      <c r="AC712" s="323">
        <f t="shared" ref="AC712:AD712" si="998">AC703-(SUM(AC704:AC711))</f>
        <v>50000</v>
      </c>
      <c r="AD712" s="324">
        <f t="shared" si="998"/>
        <v>164000</v>
      </c>
      <c r="AE712" s="320"/>
      <c r="AF712" s="323">
        <f t="shared" ref="AF712:AG712" si="999">AF703-(SUM(AF704:AF711))</f>
        <v>50000</v>
      </c>
      <c r="AG712" s="324">
        <f t="shared" si="999"/>
        <v>164000</v>
      </c>
      <c r="AH712" s="320"/>
      <c r="AI712" s="323">
        <f t="shared" ref="AI712:AJ712" si="1000">AI703-(SUM(AI704:AI711))</f>
        <v>50000</v>
      </c>
      <c r="AJ712" s="324">
        <f t="shared" si="1000"/>
        <v>164000</v>
      </c>
      <c r="AK712" s="320"/>
      <c r="AL712" s="323">
        <f t="shared" ref="AL712:AM712" si="1001">AL703-(SUM(AL704:AL711))</f>
        <v>50000</v>
      </c>
      <c r="AM712" s="324">
        <f t="shared" si="1001"/>
        <v>164000</v>
      </c>
      <c r="AN712" s="316" t="s">
        <v>2177</v>
      </c>
      <c r="AO712" s="316"/>
      <c r="AP712" s="316"/>
      <c r="AQ712" s="316"/>
      <c r="AR712" s="316"/>
      <c r="AS712" s="316"/>
      <c r="AT712" s="316"/>
      <c r="AU712" s="316"/>
      <c r="AV712" s="316"/>
      <c r="AW712" s="316"/>
      <c r="AX712" s="316"/>
      <c r="AY712" s="316"/>
      <c r="AZ712" s="316"/>
      <c r="BA712" s="316"/>
      <c r="BB712" s="316"/>
      <c r="BC712" s="316"/>
      <c r="BD712" s="316"/>
      <c r="BE712" s="316"/>
      <c r="BF712" s="316"/>
      <c r="BG712" s="316"/>
      <c r="BH712" s="316"/>
      <c r="BI712" s="316"/>
      <c r="BJ712" s="316"/>
      <c r="BK712" s="316"/>
      <c r="BL712" s="316"/>
      <c r="BM712" s="316"/>
      <c r="BN712" s="316"/>
    </row>
    <row r="713">
      <c r="A713" s="303" t="s">
        <v>1093</v>
      </c>
      <c r="B713" s="317" t="s">
        <v>1040</v>
      </c>
      <c r="C713" s="325" t="s">
        <v>26</v>
      </c>
      <c r="D713" s="326" t="s">
        <v>44</v>
      </c>
      <c r="E713" s="321">
        <v>0.0</v>
      </c>
      <c r="F713" s="324"/>
      <c r="G713" s="326" t="s">
        <v>44</v>
      </c>
      <c r="H713" s="321">
        <v>0.0</v>
      </c>
      <c r="I713" s="324"/>
      <c r="J713" s="326" t="s">
        <v>44</v>
      </c>
      <c r="K713" s="321">
        <v>0.0</v>
      </c>
      <c r="L713" s="324"/>
      <c r="M713" s="326" t="s">
        <v>44</v>
      </c>
      <c r="N713" s="321">
        <v>0.0</v>
      </c>
      <c r="O713" s="324"/>
      <c r="P713" s="326" t="s">
        <v>44</v>
      </c>
      <c r="Q713" s="321">
        <v>0.0</v>
      </c>
      <c r="R713" s="324"/>
      <c r="S713" s="326" t="s">
        <v>44</v>
      </c>
      <c r="T713" s="321">
        <v>0.0</v>
      </c>
      <c r="U713" s="324"/>
      <c r="V713" s="326" t="s">
        <v>44</v>
      </c>
      <c r="W713" s="321">
        <v>0.0</v>
      </c>
      <c r="X713" s="324"/>
      <c r="Y713" s="326" t="s">
        <v>44</v>
      </c>
      <c r="Z713" s="321">
        <v>0.0</v>
      </c>
      <c r="AA713" s="324"/>
      <c r="AB713" s="326" t="s">
        <v>44</v>
      </c>
      <c r="AC713" s="321">
        <v>0.0</v>
      </c>
      <c r="AD713" s="324"/>
      <c r="AE713" s="326" t="s">
        <v>44</v>
      </c>
      <c r="AF713" s="321">
        <v>0.0</v>
      </c>
      <c r="AG713" s="324"/>
      <c r="AH713" s="326" t="s">
        <v>44</v>
      </c>
      <c r="AI713" s="321">
        <v>0.0</v>
      </c>
      <c r="AJ713" s="324"/>
      <c r="AK713" s="326" t="s">
        <v>44</v>
      </c>
      <c r="AL713" s="321">
        <v>0.0</v>
      </c>
      <c r="AM713" s="324"/>
      <c r="AN713" s="316" t="s">
        <v>2177</v>
      </c>
      <c r="AO713" s="316"/>
      <c r="AP713" s="316"/>
      <c r="AQ713" s="316"/>
      <c r="AR713" s="316"/>
      <c r="AS713" s="316"/>
      <c r="AT713" s="316"/>
      <c r="AU713" s="316"/>
      <c r="AV713" s="316"/>
      <c r="AW713" s="316"/>
      <c r="AX713" s="316"/>
      <c r="AY713" s="316"/>
      <c r="AZ713" s="316"/>
      <c r="BA713" s="316"/>
      <c r="BB713" s="316"/>
      <c r="BC713" s="316"/>
      <c r="BD713" s="316"/>
      <c r="BE713" s="316"/>
      <c r="BF713" s="316"/>
      <c r="BG713" s="316"/>
      <c r="BH713" s="316"/>
      <c r="BI713" s="316"/>
      <c r="BJ713" s="316"/>
      <c r="BK713" s="316"/>
      <c r="BL713" s="316"/>
      <c r="BM713" s="316"/>
      <c r="BN713" s="316"/>
    </row>
    <row r="714">
      <c r="A714" s="303" t="s">
        <v>1093</v>
      </c>
      <c r="B714" s="329">
        <v>1.0</v>
      </c>
      <c r="C714" s="330" t="s">
        <v>57</v>
      </c>
      <c r="D714" s="331"/>
      <c r="E714" s="332">
        <f>E712-E713</f>
        <v>343700</v>
      </c>
      <c r="F714" s="333"/>
      <c r="G714" s="331"/>
      <c r="H714" s="332">
        <f>H712-H713</f>
        <v>357986</v>
      </c>
      <c r="I714" s="333"/>
      <c r="J714" s="331"/>
      <c r="K714" s="332">
        <f>K712-K713</f>
        <v>832700</v>
      </c>
      <c r="L714" s="333"/>
      <c r="M714" s="331"/>
      <c r="N714" s="332">
        <f>N712-N713</f>
        <v>832700</v>
      </c>
      <c r="O714" s="333"/>
      <c r="P714" s="331"/>
      <c r="Q714" s="332">
        <f>Q712-Q713</f>
        <v>832700</v>
      </c>
      <c r="R714" s="333"/>
      <c r="S714" s="331"/>
      <c r="T714" s="332">
        <f>T712-T713</f>
        <v>832700</v>
      </c>
      <c r="U714" s="333"/>
      <c r="V714" s="331"/>
      <c r="W714" s="332">
        <f>W712-W713</f>
        <v>832700</v>
      </c>
      <c r="X714" s="333"/>
      <c r="Y714" s="331"/>
      <c r="Z714" s="332">
        <f>Z712-Z713</f>
        <v>755281</v>
      </c>
      <c r="AA714" s="333"/>
      <c r="AB714" s="331"/>
      <c r="AC714" s="332">
        <f>AC712-AC713</f>
        <v>50000</v>
      </c>
      <c r="AD714" s="333"/>
      <c r="AE714" s="331"/>
      <c r="AF714" s="332">
        <f>AF712-AF713</f>
        <v>50000</v>
      </c>
      <c r="AG714" s="333"/>
      <c r="AH714" s="331"/>
      <c r="AI714" s="332">
        <f>AI712-AI713</f>
        <v>50000</v>
      </c>
      <c r="AJ714" s="333"/>
      <c r="AK714" s="331"/>
      <c r="AL714" s="332">
        <f>AL712-AL713</f>
        <v>50000</v>
      </c>
      <c r="AM714" s="333"/>
      <c r="AN714" s="316" t="s">
        <v>2177</v>
      </c>
      <c r="AO714" s="316"/>
      <c r="AP714" s="316"/>
      <c r="AQ714" s="316"/>
      <c r="AR714" s="316"/>
      <c r="AS714" s="316"/>
      <c r="AT714" s="316"/>
      <c r="AU714" s="316"/>
      <c r="AV714" s="316"/>
      <c r="AW714" s="316"/>
      <c r="AX714" s="316"/>
      <c r="AY714" s="316"/>
      <c r="AZ714" s="316"/>
      <c r="BA714" s="316"/>
      <c r="BB714" s="316"/>
      <c r="BC714" s="316"/>
      <c r="BD714" s="316"/>
      <c r="BE714" s="316"/>
      <c r="BF714" s="316"/>
      <c r="BG714" s="316"/>
      <c r="BH714" s="316"/>
      <c r="BI714" s="316"/>
      <c r="BJ714" s="316"/>
      <c r="BK714" s="316"/>
      <c r="BL714" s="316"/>
      <c r="BM714" s="316"/>
      <c r="BN714" s="316"/>
    </row>
    <row r="715">
      <c r="A715" s="303" t="s">
        <v>1122</v>
      </c>
      <c r="B715" s="384" t="s">
        <v>1122</v>
      </c>
      <c r="C715" s="385" t="s">
        <v>320</v>
      </c>
      <c r="D715" s="341" t="s">
        <v>1125</v>
      </c>
      <c r="E715" s="335">
        <v>500000.0</v>
      </c>
      <c r="F715" s="345">
        <f>100000+50000</f>
        <v>150000</v>
      </c>
      <c r="G715" s="341" t="s">
        <v>1125</v>
      </c>
      <c r="H715" s="335">
        <v>500000.0</v>
      </c>
      <c r="I715" s="346">
        <f>100000+45000</f>
        <v>145000</v>
      </c>
      <c r="J715" s="341" t="s">
        <v>1125</v>
      </c>
      <c r="K715" s="335">
        <v>500000.0</v>
      </c>
      <c r="L715" s="346">
        <v>100000.0</v>
      </c>
      <c r="M715" s="341" t="s">
        <v>1125</v>
      </c>
      <c r="N715" s="335">
        <v>500000.0</v>
      </c>
      <c r="O715" s="346">
        <v>100000.0</v>
      </c>
      <c r="P715" s="341" t="s">
        <v>1125</v>
      </c>
      <c r="Q715" s="335">
        <v>500000.0</v>
      </c>
      <c r="R715" s="346">
        <v>100000.0</v>
      </c>
      <c r="S715" s="341" t="s">
        <v>1125</v>
      </c>
      <c r="T715" s="335">
        <v>500000.0</v>
      </c>
      <c r="U715" s="346">
        <v>100000.0</v>
      </c>
      <c r="V715" s="341" t="s">
        <v>1125</v>
      </c>
      <c r="W715" s="335">
        <v>500000.0</v>
      </c>
      <c r="X715" s="346">
        <v>100000.0</v>
      </c>
      <c r="Y715" s="341" t="s">
        <v>1125</v>
      </c>
      <c r="Z715" s="335">
        <v>500000.0</v>
      </c>
      <c r="AA715" s="346">
        <v>100000.0</v>
      </c>
      <c r="AB715" s="341" t="s">
        <v>1125</v>
      </c>
      <c r="AC715" s="335">
        <v>500000.0</v>
      </c>
      <c r="AD715" s="346">
        <v>100000.0</v>
      </c>
      <c r="AE715" s="341" t="s">
        <v>1125</v>
      </c>
      <c r="AF715" s="335">
        <v>500000.0</v>
      </c>
      <c r="AG715" s="346">
        <v>100000.0</v>
      </c>
      <c r="AH715" s="341" t="s">
        <v>1125</v>
      </c>
      <c r="AI715" s="335">
        <v>500000.0</v>
      </c>
      <c r="AJ715" s="346">
        <v>100000.0</v>
      </c>
      <c r="AK715" s="341" t="s">
        <v>1125</v>
      </c>
      <c r="AL715" s="335">
        <v>500000.0</v>
      </c>
      <c r="AM715" s="346">
        <v>100000.0</v>
      </c>
      <c r="AN715" s="316" t="s">
        <v>2177</v>
      </c>
      <c r="AO715" s="316"/>
      <c r="AP715" s="316"/>
      <c r="AQ715" s="316"/>
      <c r="AR715" s="316"/>
      <c r="AS715" s="316"/>
      <c r="AT715" s="316"/>
      <c r="AU715" s="316"/>
      <c r="AV715" s="316"/>
      <c r="AW715" s="316"/>
      <c r="AX715" s="316"/>
      <c r="AY715" s="316"/>
      <c r="AZ715" s="316"/>
      <c r="BA715" s="316"/>
      <c r="BB715" s="316"/>
      <c r="BC715" s="316"/>
      <c r="BD715" s="316"/>
      <c r="BE715" s="316"/>
      <c r="BF715" s="316"/>
      <c r="BG715" s="316"/>
      <c r="BH715" s="316"/>
      <c r="BI715" s="316"/>
      <c r="BJ715" s="316"/>
      <c r="BK715" s="316"/>
      <c r="BL715" s="316"/>
      <c r="BM715" s="316"/>
      <c r="BN715" s="316"/>
    </row>
    <row r="716">
      <c r="A716" s="303" t="s">
        <v>1122</v>
      </c>
      <c r="B716" s="384" t="s">
        <v>1122</v>
      </c>
      <c r="C716" s="385" t="s">
        <v>322</v>
      </c>
      <c r="D716" s="341" t="s">
        <v>1128</v>
      </c>
      <c r="E716" s="335">
        <v>510000.0</v>
      </c>
      <c r="F716" s="346">
        <f>80000+10000</f>
        <v>90000</v>
      </c>
      <c r="G716" s="353" t="s">
        <v>2357</v>
      </c>
      <c r="H716" s="335">
        <f>510000+19643</f>
        <v>529643</v>
      </c>
      <c r="I716" s="346">
        <f>80000+60000+3571</f>
        <v>143571</v>
      </c>
      <c r="J716" s="326" t="s">
        <v>1982</v>
      </c>
      <c r="K716" s="348">
        <v>550000.0</v>
      </c>
      <c r="L716" s="346">
        <v>100000.0</v>
      </c>
      <c r="M716" s="326" t="s">
        <v>1982</v>
      </c>
      <c r="N716" s="348">
        <v>550000.0</v>
      </c>
      <c r="O716" s="346">
        <v>100000.0</v>
      </c>
      <c r="P716" s="326" t="s">
        <v>1982</v>
      </c>
      <c r="Q716" s="348">
        <v>550000.0</v>
      </c>
      <c r="R716" s="346">
        <v>100000.0</v>
      </c>
      <c r="S716" s="326" t="s">
        <v>1982</v>
      </c>
      <c r="T716" s="348">
        <v>550000.0</v>
      </c>
      <c r="U716" s="346">
        <v>100000.0</v>
      </c>
      <c r="V716" s="326" t="s">
        <v>1982</v>
      </c>
      <c r="W716" s="348">
        <v>550000.0</v>
      </c>
      <c r="X716" s="346">
        <v>100000.0</v>
      </c>
      <c r="Y716" s="326" t="s">
        <v>2358</v>
      </c>
      <c r="Z716" s="348">
        <v>550000.0</v>
      </c>
      <c r="AA716" s="346">
        <v>100000.0</v>
      </c>
      <c r="AB716" s="341"/>
      <c r="AC716" s="348"/>
      <c r="AD716" s="346"/>
      <c r="AE716" s="341"/>
      <c r="AF716" s="348"/>
      <c r="AG716" s="346"/>
      <c r="AH716" s="341"/>
      <c r="AI716" s="348"/>
      <c r="AJ716" s="346"/>
      <c r="AK716" s="341"/>
      <c r="AL716" s="348"/>
      <c r="AM716" s="346"/>
      <c r="AN716" s="316" t="s">
        <v>2177</v>
      </c>
      <c r="AO716" s="316"/>
      <c r="AP716" s="316"/>
      <c r="AQ716" s="316"/>
      <c r="AR716" s="316"/>
      <c r="AS716" s="316"/>
      <c r="AT716" s="316"/>
      <c r="AU716" s="316"/>
      <c r="AV716" s="316"/>
      <c r="AW716" s="316"/>
      <c r="AX716" s="316"/>
      <c r="AY716" s="316"/>
      <c r="AZ716" s="316"/>
      <c r="BA716" s="316"/>
      <c r="BB716" s="316"/>
      <c r="BC716" s="316"/>
      <c r="BD716" s="316"/>
      <c r="BE716" s="316"/>
      <c r="BF716" s="316"/>
      <c r="BG716" s="316"/>
      <c r="BH716" s="316"/>
      <c r="BI716" s="316"/>
      <c r="BJ716" s="316"/>
      <c r="BK716" s="316"/>
      <c r="BL716" s="316"/>
      <c r="BM716" s="316"/>
      <c r="BN716" s="316"/>
    </row>
    <row r="717">
      <c r="A717" s="303" t="s">
        <v>1122</v>
      </c>
      <c r="B717" s="384" t="s">
        <v>1122</v>
      </c>
      <c r="C717" s="385" t="s">
        <v>323</v>
      </c>
      <c r="D717" s="341" t="s">
        <v>1985</v>
      </c>
      <c r="E717" s="335">
        <v>420000.0</v>
      </c>
      <c r="F717" s="345">
        <f>100000+50000</f>
        <v>150000</v>
      </c>
      <c r="G717" s="341" t="s">
        <v>1985</v>
      </c>
      <c r="H717" s="335">
        <v>420000.0</v>
      </c>
      <c r="I717" s="346">
        <f>100000+45000</f>
        <v>145000</v>
      </c>
      <c r="J717" s="353" t="s">
        <v>1985</v>
      </c>
      <c r="K717" s="348">
        <v>370000.0</v>
      </c>
      <c r="L717" s="346">
        <v>100000.0</v>
      </c>
      <c r="M717" s="353" t="s">
        <v>1985</v>
      </c>
      <c r="N717" s="348">
        <v>370000.0</v>
      </c>
      <c r="O717" s="346">
        <v>100000.0</v>
      </c>
      <c r="P717" s="353" t="s">
        <v>1985</v>
      </c>
      <c r="Q717" s="348">
        <v>370000.0</v>
      </c>
      <c r="R717" s="346">
        <v>100000.0</v>
      </c>
      <c r="S717" s="353" t="s">
        <v>1985</v>
      </c>
      <c r="T717" s="348">
        <v>370000.0</v>
      </c>
      <c r="U717" s="346">
        <v>100000.0</v>
      </c>
      <c r="V717" s="353" t="s">
        <v>1985</v>
      </c>
      <c r="W717" s="348">
        <v>370000.0</v>
      </c>
      <c r="X717" s="346">
        <v>100000.0</v>
      </c>
      <c r="Y717" s="353" t="s">
        <v>1985</v>
      </c>
      <c r="Z717" s="348">
        <v>370000.0</v>
      </c>
      <c r="AA717" s="346">
        <v>100000.0</v>
      </c>
      <c r="AB717" s="353" t="s">
        <v>1985</v>
      </c>
      <c r="AC717" s="348">
        <v>370000.0</v>
      </c>
      <c r="AD717" s="346">
        <v>100000.0</v>
      </c>
      <c r="AE717" s="353" t="s">
        <v>1985</v>
      </c>
      <c r="AF717" s="348">
        <v>370000.0</v>
      </c>
      <c r="AG717" s="346">
        <v>100000.0</v>
      </c>
      <c r="AH717" s="353" t="s">
        <v>1985</v>
      </c>
      <c r="AI717" s="348">
        <v>370000.0</v>
      </c>
      <c r="AJ717" s="346">
        <v>100000.0</v>
      </c>
      <c r="AK717" s="353" t="s">
        <v>1985</v>
      </c>
      <c r="AL717" s="348">
        <v>370000.0</v>
      </c>
      <c r="AM717" s="346">
        <v>100000.0</v>
      </c>
      <c r="AN717" s="316" t="s">
        <v>2177</v>
      </c>
      <c r="AO717" s="316"/>
      <c r="AP717" s="316"/>
      <c r="AQ717" s="316"/>
      <c r="AR717" s="316"/>
      <c r="AS717" s="316"/>
      <c r="AT717" s="316"/>
      <c r="AU717" s="316"/>
      <c r="AV717" s="316"/>
      <c r="AW717" s="316"/>
      <c r="AX717" s="316"/>
      <c r="AY717" s="316"/>
      <c r="AZ717" s="316"/>
      <c r="BA717" s="316"/>
      <c r="BB717" s="316"/>
      <c r="BC717" s="316"/>
      <c r="BD717" s="316"/>
      <c r="BE717" s="316"/>
      <c r="BF717" s="316"/>
      <c r="BG717" s="316"/>
      <c r="BH717" s="316"/>
      <c r="BI717" s="316"/>
      <c r="BJ717" s="316"/>
      <c r="BK717" s="316"/>
      <c r="BL717" s="316"/>
      <c r="BM717" s="316"/>
      <c r="BN717" s="316"/>
    </row>
    <row r="718">
      <c r="A718" s="303" t="s">
        <v>1122</v>
      </c>
      <c r="B718" s="384" t="s">
        <v>1122</v>
      </c>
      <c r="C718" s="385" t="s">
        <v>349</v>
      </c>
      <c r="D718" s="353" t="s">
        <v>2359</v>
      </c>
      <c r="E718" s="335">
        <v>350000.0</v>
      </c>
      <c r="F718" s="346">
        <v>80000.0</v>
      </c>
      <c r="G718" s="353" t="s">
        <v>2360</v>
      </c>
      <c r="H718" s="335">
        <f>350000+75000</f>
        <v>425000</v>
      </c>
      <c r="I718" s="346">
        <f>80000+17857</f>
        <v>97857</v>
      </c>
      <c r="J718" s="326" t="s">
        <v>1988</v>
      </c>
      <c r="K718" s="348">
        <v>420000.0</v>
      </c>
      <c r="L718" s="346">
        <v>100000.0</v>
      </c>
      <c r="M718" s="326" t="s">
        <v>1988</v>
      </c>
      <c r="N718" s="348">
        <v>420000.0</v>
      </c>
      <c r="O718" s="346">
        <v>100000.0</v>
      </c>
      <c r="P718" s="326" t="s">
        <v>1988</v>
      </c>
      <c r="Q718" s="348">
        <v>420000.0</v>
      </c>
      <c r="R718" s="346">
        <v>100000.0</v>
      </c>
      <c r="S718" s="326" t="s">
        <v>1988</v>
      </c>
      <c r="T718" s="348">
        <v>420000.0</v>
      </c>
      <c r="U718" s="346">
        <v>100000.0</v>
      </c>
      <c r="V718" s="326" t="s">
        <v>1988</v>
      </c>
      <c r="W718" s="348">
        <v>420000.0</v>
      </c>
      <c r="X718" s="346">
        <v>100000.0</v>
      </c>
      <c r="Y718" s="326" t="s">
        <v>2361</v>
      </c>
      <c r="Z718" s="348">
        <v>311613.0</v>
      </c>
      <c r="AA718" s="345">
        <v>74194.0</v>
      </c>
      <c r="AB718" s="326"/>
      <c r="AC718" s="321"/>
      <c r="AD718" s="322"/>
      <c r="AE718" s="326"/>
      <c r="AF718" s="321"/>
      <c r="AG718" s="322"/>
      <c r="AH718" s="326"/>
      <c r="AI718" s="321"/>
      <c r="AJ718" s="322"/>
      <c r="AK718" s="326"/>
      <c r="AL718" s="321"/>
      <c r="AM718" s="322"/>
      <c r="AN718" s="316" t="s">
        <v>2177</v>
      </c>
      <c r="AO718" s="316"/>
      <c r="AP718" s="316"/>
      <c r="AQ718" s="316"/>
      <c r="AR718" s="316"/>
      <c r="AS718" s="316"/>
      <c r="AT718" s="316"/>
      <c r="AU718" s="316"/>
      <c r="AV718" s="316"/>
      <c r="AW718" s="316"/>
      <c r="AX718" s="316"/>
      <c r="AY718" s="316"/>
      <c r="AZ718" s="316"/>
      <c r="BA718" s="316"/>
      <c r="BB718" s="316"/>
      <c r="BC718" s="316"/>
      <c r="BD718" s="316"/>
      <c r="BE718" s="316"/>
      <c r="BF718" s="316"/>
      <c r="BG718" s="316"/>
      <c r="BH718" s="316"/>
      <c r="BI718" s="316"/>
      <c r="BJ718" s="316"/>
      <c r="BK718" s="316"/>
      <c r="BL718" s="316"/>
      <c r="BM718" s="316"/>
      <c r="BN718" s="316"/>
    </row>
    <row r="719">
      <c r="A719" s="303" t="s">
        <v>1122</v>
      </c>
      <c r="B719" s="304"/>
      <c r="C719" s="305" t="s">
        <v>42</v>
      </c>
      <c r="D719" s="320"/>
      <c r="E719" s="323">
        <f t="shared" ref="E719:F719" si="1002">SUM(E715:E718)</f>
        <v>1780000</v>
      </c>
      <c r="F719" s="324">
        <f t="shared" si="1002"/>
        <v>470000</v>
      </c>
      <c r="G719" s="320"/>
      <c r="H719" s="323">
        <f t="shared" ref="H719:I719" si="1003">SUM(H715:H718)</f>
        <v>1874643</v>
      </c>
      <c r="I719" s="324">
        <f t="shared" si="1003"/>
        <v>531428</v>
      </c>
      <c r="J719" s="320"/>
      <c r="K719" s="323">
        <f t="shared" ref="K719:L719" si="1004">SUM(K715:K718)</f>
        <v>1840000</v>
      </c>
      <c r="L719" s="324">
        <f t="shared" si="1004"/>
        <v>400000</v>
      </c>
      <c r="M719" s="320"/>
      <c r="N719" s="323">
        <f t="shared" ref="N719:O719" si="1005">SUM(N715:N718)</f>
        <v>1840000</v>
      </c>
      <c r="O719" s="324">
        <f t="shared" si="1005"/>
        <v>400000</v>
      </c>
      <c r="P719" s="320"/>
      <c r="Q719" s="323">
        <f t="shared" ref="Q719:R719" si="1006">SUM(Q715:Q718)</f>
        <v>1840000</v>
      </c>
      <c r="R719" s="324">
        <f t="shared" si="1006"/>
        <v>400000</v>
      </c>
      <c r="S719" s="320"/>
      <c r="T719" s="323">
        <f t="shared" ref="T719:U719" si="1007">SUM(T715:T718)</f>
        <v>1840000</v>
      </c>
      <c r="U719" s="324">
        <f t="shared" si="1007"/>
        <v>400000</v>
      </c>
      <c r="V719" s="320"/>
      <c r="W719" s="323">
        <f t="shared" ref="W719:X719" si="1008">SUM(W715:W718)</f>
        <v>1840000</v>
      </c>
      <c r="X719" s="324">
        <f t="shared" si="1008"/>
        <v>400000</v>
      </c>
      <c r="Y719" s="320"/>
      <c r="Z719" s="323">
        <f t="shared" ref="Z719:AA719" si="1009">SUM(Z715:Z718)</f>
        <v>1731613</v>
      </c>
      <c r="AA719" s="324">
        <f t="shared" si="1009"/>
        <v>374194</v>
      </c>
      <c r="AB719" s="320"/>
      <c r="AC719" s="323">
        <f t="shared" ref="AC719:AD719" si="1010">SUM(AC715:AC718)</f>
        <v>870000</v>
      </c>
      <c r="AD719" s="324">
        <f t="shared" si="1010"/>
        <v>200000</v>
      </c>
      <c r="AE719" s="320"/>
      <c r="AF719" s="323">
        <f t="shared" ref="AF719:AG719" si="1011">SUM(AF715:AF718)</f>
        <v>870000</v>
      </c>
      <c r="AG719" s="324">
        <f t="shared" si="1011"/>
        <v>200000</v>
      </c>
      <c r="AH719" s="320"/>
      <c r="AI719" s="323">
        <f t="shared" ref="AI719:AJ719" si="1012">SUM(AI715:AI718)</f>
        <v>870000</v>
      </c>
      <c r="AJ719" s="324">
        <f t="shared" si="1012"/>
        <v>200000</v>
      </c>
      <c r="AK719" s="320"/>
      <c r="AL719" s="323">
        <f t="shared" ref="AL719:AM719" si="1013">SUM(AL715:AL718)</f>
        <v>870000</v>
      </c>
      <c r="AM719" s="324">
        <f t="shared" si="1013"/>
        <v>200000</v>
      </c>
      <c r="AN719" s="316" t="s">
        <v>2177</v>
      </c>
      <c r="AO719" s="316"/>
      <c r="AP719" s="316"/>
      <c r="AQ719" s="316"/>
      <c r="AR719" s="316"/>
      <c r="AS719" s="316"/>
      <c r="AT719" s="316"/>
      <c r="AU719" s="316"/>
      <c r="AV719" s="316"/>
      <c r="AW719" s="316"/>
      <c r="AX719" s="316"/>
      <c r="AY719" s="316"/>
      <c r="AZ719" s="316"/>
      <c r="BA719" s="316"/>
      <c r="BB719" s="316"/>
      <c r="BC719" s="316"/>
      <c r="BD719" s="316"/>
      <c r="BE719" s="316"/>
      <c r="BF719" s="316"/>
      <c r="BG719" s="316"/>
      <c r="BH719" s="316"/>
      <c r="BI719" s="316"/>
      <c r="BJ719" s="316"/>
      <c r="BK719" s="316"/>
      <c r="BL719" s="316"/>
      <c r="BM719" s="316"/>
      <c r="BN719" s="316"/>
    </row>
    <row r="720" collapsed="1">
      <c r="A720" s="303" t="s">
        <v>1122</v>
      </c>
      <c r="B720" s="304"/>
      <c r="C720" s="325" t="s">
        <v>43</v>
      </c>
      <c r="D720" s="326"/>
      <c r="E720" s="321">
        <v>1000000.0</v>
      </c>
      <c r="F720" s="322"/>
      <c r="G720" s="326"/>
      <c r="H720" s="321">
        <v>1000000.0</v>
      </c>
      <c r="I720" s="322"/>
      <c r="J720" s="326"/>
      <c r="K720" s="321">
        <v>1000000.0</v>
      </c>
      <c r="L720" s="322"/>
      <c r="M720" s="326"/>
      <c r="N720" s="321">
        <v>1000000.0</v>
      </c>
      <c r="O720" s="322"/>
      <c r="P720" s="326"/>
      <c r="Q720" s="321">
        <v>1000000.0</v>
      </c>
      <c r="R720" s="322"/>
      <c r="S720" s="326"/>
      <c r="T720" s="321">
        <v>1000000.0</v>
      </c>
      <c r="U720" s="322"/>
      <c r="V720" s="326"/>
      <c r="W720" s="321">
        <v>1000000.0</v>
      </c>
      <c r="X720" s="322"/>
      <c r="Y720" s="326"/>
      <c r="Z720" s="321">
        <v>1000000.0</v>
      </c>
      <c r="AA720" s="322"/>
      <c r="AB720" s="326"/>
      <c r="AC720" s="321">
        <v>1000000.0</v>
      </c>
      <c r="AD720" s="322"/>
      <c r="AE720" s="326"/>
      <c r="AF720" s="321">
        <v>1000000.0</v>
      </c>
      <c r="AG720" s="322"/>
      <c r="AH720" s="326"/>
      <c r="AI720" s="321">
        <v>1000000.0</v>
      </c>
      <c r="AJ720" s="322"/>
      <c r="AK720" s="326"/>
      <c r="AL720" s="321">
        <v>1000000.0</v>
      </c>
      <c r="AM720" s="322"/>
      <c r="AN720" s="316" t="s">
        <v>2177</v>
      </c>
      <c r="AO720" s="316"/>
      <c r="AP720" s="316"/>
      <c r="AQ720" s="316"/>
      <c r="AR720" s="316"/>
      <c r="AS720" s="316"/>
      <c r="AT720" s="316"/>
      <c r="AU720" s="316"/>
      <c r="AV720" s="316"/>
      <c r="AW720" s="316"/>
      <c r="AX720" s="316"/>
      <c r="AY720" s="316"/>
      <c r="AZ720" s="316"/>
      <c r="BA720" s="316"/>
      <c r="BB720" s="316"/>
      <c r="BC720" s="316"/>
      <c r="BD720" s="316"/>
      <c r="BE720" s="316"/>
      <c r="BF720" s="316"/>
      <c r="BG720" s="316"/>
      <c r="BH720" s="316"/>
      <c r="BI720" s="316"/>
      <c r="BJ720" s="316"/>
      <c r="BK720" s="316"/>
      <c r="BL720" s="316"/>
      <c r="BM720" s="316"/>
      <c r="BN720" s="316"/>
    </row>
    <row r="721" hidden="1" outlineLevel="1">
      <c r="A721" s="303" t="s">
        <v>1122</v>
      </c>
      <c r="B721" s="304"/>
      <c r="C721" s="325" t="s">
        <v>45</v>
      </c>
      <c r="D721" s="326"/>
      <c r="E721" s="321">
        <v>50000.0</v>
      </c>
      <c r="F721" s="322"/>
      <c r="G721" s="326"/>
      <c r="H721" s="321">
        <v>50000.0</v>
      </c>
      <c r="I721" s="322"/>
      <c r="J721" s="326"/>
      <c r="K721" s="321">
        <v>50000.0</v>
      </c>
      <c r="L721" s="322"/>
      <c r="M721" s="326"/>
      <c r="N721" s="321">
        <v>50000.0</v>
      </c>
      <c r="O721" s="322"/>
      <c r="P721" s="326"/>
      <c r="Q721" s="321">
        <v>50000.0</v>
      </c>
      <c r="R721" s="322"/>
      <c r="S721" s="326"/>
      <c r="T721" s="321">
        <v>50000.0</v>
      </c>
      <c r="U721" s="322"/>
      <c r="V721" s="326"/>
      <c r="W721" s="321">
        <v>50000.0</v>
      </c>
      <c r="X721" s="322"/>
      <c r="Y721" s="326"/>
      <c r="Z721" s="321">
        <v>50000.0</v>
      </c>
      <c r="AA721" s="322"/>
      <c r="AB721" s="326"/>
      <c r="AC721" s="321">
        <v>50000.0</v>
      </c>
      <c r="AD721" s="322"/>
      <c r="AE721" s="326"/>
      <c r="AF721" s="321">
        <v>50000.0</v>
      </c>
      <c r="AG721" s="322"/>
      <c r="AH721" s="326"/>
      <c r="AI721" s="321">
        <v>50000.0</v>
      </c>
      <c r="AJ721" s="322"/>
      <c r="AK721" s="326"/>
      <c r="AL721" s="321">
        <v>50000.0</v>
      </c>
      <c r="AM721" s="322"/>
      <c r="AN721" s="316" t="s">
        <v>2177</v>
      </c>
      <c r="AO721" s="316"/>
      <c r="AP721" s="316"/>
      <c r="AQ721" s="316"/>
      <c r="AR721" s="316"/>
      <c r="AS721" s="316"/>
      <c r="AT721" s="316"/>
      <c r="AU721" s="316"/>
      <c r="AV721" s="316"/>
      <c r="AW721" s="316"/>
      <c r="AX721" s="316"/>
      <c r="AY721" s="316"/>
      <c r="AZ721" s="316"/>
      <c r="BA721" s="316"/>
      <c r="BB721" s="316"/>
      <c r="BC721" s="316"/>
      <c r="BD721" s="316"/>
      <c r="BE721" s="316"/>
      <c r="BF721" s="316"/>
      <c r="BG721" s="316"/>
      <c r="BH721" s="316"/>
      <c r="BI721" s="316"/>
      <c r="BJ721" s="316"/>
      <c r="BK721" s="316"/>
      <c r="BL721" s="316"/>
      <c r="BM721" s="316"/>
      <c r="BN721" s="316"/>
    </row>
    <row r="722" hidden="1" outlineLevel="1">
      <c r="A722" s="303" t="s">
        <v>1122</v>
      </c>
      <c r="B722" s="317" t="s">
        <v>1135</v>
      </c>
      <c r="C722" s="325" t="s">
        <v>47</v>
      </c>
      <c r="D722" s="326"/>
      <c r="E722" s="321"/>
      <c r="F722" s="322">
        <v>37670.0</v>
      </c>
      <c r="G722" s="326"/>
      <c r="H722" s="321"/>
      <c r="I722" s="322">
        <v>33280.0</v>
      </c>
      <c r="J722" s="326" t="s">
        <v>2039</v>
      </c>
      <c r="K722" s="321"/>
      <c r="L722" s="322">
        <v>40000.0</v>
      </c>
      <c r="M722" s="326"/>
      <c r="N722" s="321"/>
      <c r="O722" s="322"/>
      <c r="P722" s="326"/>
      <c r="Q722" s="321"/>
      <c r="R722" s="322"/>
      <c r="S722" s="326"/>
      <c r="T722" s="321"/>
      <c r="U722" s="322"/>
      <c r="V722" s="326"/>
      <c r="W722" s="321"/>
      <c r="X722" s="322"/>
      <c r="Y722" s="326"/>
      <c r="Z722" s="321"/>
      <c r="AA722" s="322"/>
      <c r="AB722" s="326"/>
      <c r="AC722" s="321"/>
      <c r="AD722" s="322"/>
      <c r="AE722" s="326"/>
      <c r="AF722" s="321"/>
      <c r="AG722" s="322"/>
      <c r="AH722" s="326"/>
      <c r="AI722" s="321"/>
      <c r="AJ722" s="322"/>
      <c r="AK722" s="326"/>
      <c r="AL722" s="321"/>
      <c r="AM722" s="322"/>
      <c r="AN722" s="316" t="s">
        <v>2177</v>
      </c>
      <c r="AO722" s="316"/>
      <c r="AP722" s="316"/>
      <c r="AQ722" s="316"/>
      <c r="AR722" s="316"/>
      <c r="AS722" s="316"/>
      <c r="AT722" s="316"/>
      <c r="AU722" s="316"/>
      <c r="AV722" s="316"/>
      <c r="AW722" s="316"/>
      <c r="AX722" s="316"/>
      <c r="AY722" s="316"/>
      <c r="AZ722" s="316"/>
      <c r="BA722" s="316"/>
      <c r="BB722" s="316"/>
      <c r="BC722" s="316"/>
      <c r="BD722" s="316"/>
      <c r="BE722" s="316"/>
      <c r="BF722" s="316"/>
      <c r="BG722" s="316"/>
      <c r="BH722" s="316"/>
      <c r="BI722" s="316"/>
      <c r="BJ722" s="316"/>
      <c r="BK722" s="316"/>
      <c r="BL722" s="316"/>
      <c r="BM722" s="316"/>
      <c r="BN722" s="316"/>
    </row>
    <row r="723" hidden="1" outlineLevel="1">
      <c r="A723" s="303" t="s">
        <v>1122</v>
      </c>
      <c r="B723" s="317" t="s">
        <v>1136</v>
      </c>
      <c r="C723" s="325" t="s">
        <v>49</v>
      </c>
      <c r="D723" s="326"/>
      <c r="E723" s="321"/>
      <c r="F723" s="322">
        <v>256060.0</v>
      </c>
      <c r="G723" s="326"/>
      <c r="H723" s="321"/>
      <c r="I723" s="322">
        <v>260720.0</v>
      </c>
      <c r="J723" s="326"/>
      <c r="K723" s="321"/>
      <c r="L723" s="322">
        <v>169180.0</v>
      </c>
      <c r="M723" s="326"/>
      <c r="N723" s="321"/>
      <c r="O723" s="322"/>
      <c r="P723" s="326"/>
      <c r="Q723" s="321"/>
      <c r="R723" s="322"/>
      <c r="S723" s="326"/>
      <c r="T723" s="321"/>
      <c r="U723" s="322"/>
      <c r="V723" s="326"/>
      <c r="W723" s="321"/>
      <c r="X723" s="322"/>
      <c r="Y723" s="326"/>
      <c r="Z723" s="321"/>
      <c r="AA723" s="322"/>
      <c r="AB723" s="326"/>
      <c r="AC723" s="321"/>
      <c r="AD723" s="322"/>
      <c r="AE723" s="326"/>
      <c r="AF723" s="321"/>
      <c r="AG723" s="322"/>
      <c r="AH723" s="326"/>
      <c r="AI723" s="321"/>
      <c r="AJ723" s="322"/>
      <c r="AK723" s="326"/>
      <c r="AL723" s="321"/>
      <c r="AM723" s="322"/>
      <c r="AN723" s="316" t="s">
        <v>2177</v>
      </c>
      <c r="AO723" s="316"/>
      <c r="AP723" s="316"/>
      <c r="AQ723" s="316"/>
      <c r="AR723" s="316"/>
      <c r="AS723" s="316"/>
      <c r="AT723" s="316"/>
      <c r="AU723" s="316"/>
      <c r="AV723" s="316"/>
      <c r="AW723" s="316"/>
      <c r="AX723" s="316"/>
      <c r="AY723" s="316"/>
      <c r="AZ723" s="316"/>
      <c r="BA723" s="316"/>
      <c r="BB723" s="316"/>
      <c r="BC723" s="316"/>
      <c r="BD723" s="316"/>
      <c r="BE723" s="316"/>
      <c r="BF723" s="316"/>
      <c r="BG723" s="316"/>
      <c r="BH723" s="316"/>
      <c r="BI723" s="316"/>
      <c r="BJ723" s="316"/>
      <c r="BK723" s="316"/>
      <c r="BL723" s="316"/>
      <c r="BM723" s="316"/>
      <c r="BN723" s="316"/>
    </row>
    <row r="724" hidden="1" outlineLevel="1">
      <c r="A724" s="303" t="s">
        <v>1122</v>
      </c>
      <c r="B724" s="317" t="s">
        <v>1137</v>
      </c>
      <c r="C724" s="325" t="s">
        <v>51</v>
      </c>
      <c r="D724" s="326"/>
      <c r="E724" s="321"/>
      <c r="F724" s="322">
        <v>40000.0</v>
      </c>
      <c r="G724" s="326"/>
      <c r="H724" s="321"/>
      <c r="I724" s="322">
        <v>40000.0</v>
      </c>
      <c r="J724" s="326"/>
      <c r="K724" s="321"/>
      <c r="L724" s="322">
        <v>40000.0</v>
      </c>
      <c r="M724" s="326"/>
      <c r="N724" s="321"/>
      <c r="O724" s="322">
        <v>40000.0</v>
      </c>
      <c r="P724" s="326"/>
      <c r="Q724" s="321"/>
      <c r="R724" s="322">
        <v>40000.0</v>
      </c>
      <c r="S724" s="326"/>
      <c r="T724" s="321"/>
      <c r="U724" s="322"/>
      <c r="V724" s="326"/>
      <c r="W724" s="321"/>
      <c r="X724" s="322"/>
      <c r="Y724" s="326"/>
      <c r="Z724" s="321"/>
      <c r="AA724" s="322"/>
      <c r="AB724" s="326"/>
      <c r="AC724" s="321"/>
      <c r="AD724" s="322"/>
      <c r="AE724" s="326"/>
      <c r="AF724" s="321"/>
      <c r="AG724" s="322"/>
      <c r="AH724" s="326"/>
      <c r="AI724" s="321"/>
      <c r="AJ724" s="322"/>
      <c r="AK724" s="326"/>
      <c r="AL724" s="321"/>
      <c r="AM724" s="322"/>
      <c r="AN724" s="316" t="s">
        <v>2177</v>
      </c>
      <c r="AO724" s="316"/>
      <c r="AP724" s="316"/>
      <c r="AQ724" s="316"/>
      <c r="AR724" s="316"/>
      <c r="AS724" s="316"/>
      <c r="AT724" s="316"/>
      <c r="AU724" s="316"/>
      <c r="AV724" s="316"/>
      <c r="AW724" s="316"/>
      <c r="AX724" s="316"/>
      <c r="AY724" s="316"/>
      <c r="AZ724" s="316"/>
      <c r="BA724" s="316"/>
      <c r="BB724" s="316"/>
      <c r="BC724" s="316"/>
      <c r="BD724" s="316"/>
      <c r="BE724" s="316"/>
      <c r="BF724" s="316"/>
      <c r="BG724" s="316"/>
      <c r="BH724" s="316"/>
      <c r="BI724" s="316"/>
      <c r="BJ724" s="316"/>
      <c r="BK724" s="316"/>
      <c r="BL724" s="316"/>
      <c r="BM724" s="316"/>
      <c r="BN724" s="316"/>
    </row>
    <row r="725" hidden="1" outlineLevel="1">
      <c r="A725" s="303" t="s">
        <v>1122</v>
      </c>
      <c r="B725" s="304"/>
      <c r="C725" s="325" t="s">
        <v>52</v>
      </c>
      <c r="D725" s="326"/>
      <c r="E725" s="321"/>
      <c r="F725" s="322">
        <v>25000.0</v>
      </c>
      <c r="G725" s="326"/>
      <c r="H725" s="321"/>
      <c r="I725" s="322">
        <v>25000.0</v>
      </c>
      <c r="J725" s="326"/>
      <c r="K725" s="321"/>
      <c r="L725" s="322">
        <v>25000.0</v>
      </c>
      <c r="M725" s="326"/>
      <c r="N725" s="321"/>
      <c r="O725" s="322">
        <v>25000.0</v>
      </c>
      <c r="P725" s="326"/>
      <c r="Q725" s="321"/>
      <c r="R725" s="322">
        <v>25000.0</v>
      </c>
      <c r="S725" s="326"/>
      <c r="T725" s="321"/>
      <c r="U725" s="322">
        <v>25000.0</v>
      </c>
      <c r="V725" s="326"/>
      <c r="W725" s="321"/>
      <c r="X725" s="322">
        <v>25000.0</v>
      </c>
      <c r="Y725" s="326"/>
      <c r="Z725" s="321"/>
      <c r="AA725" s="322">
        <v>25000.0</v>
      </c>
      <c r="AB725" s="326"/>
      <c r="AC725" s="321"/>
      <c r="AD725" s="322">
        <v>25000.0</v>
      </c>
      <c r="AE725" s="326"/>
      <c r="AF725" s="321"/>
      <c r="AG725" s="322">
        <v>25000.0</v>
      </c>
      <c r="AH725" s="326"/>
      <c r="AI725" s="321"/>
      <c r="AJ725" s="322">
        <v>25000.0</v>
      </c>
      <c r="AK725" s="326"/>
      <c r="AL725" s="321"/>
      <c r="AM725" s="322">
        <v>25000.0</v>
      </c>
      <c r="AN725" s="316" t="s">
        <v>2177</v>
      </c>
      <c r="AO725" s="316"/>
      <c r="AP725" s="316"/>
      <c r="AQ725" s="316"/>
      <c r="AR725" s="316"/>
      <c r="AS725" s="316"/>
      <c r="AT725" s="316"/>
      <c r="AU725" s="316"/>
      <c r="AV725" s="316"/>
      <c r="AW725" s="316"/>
      <c r="AX725" s="316"/>
      <c r="AY725" s="316"/>
      <c r="AZ725" s="316"/>
      <c r="BA725" s="316"/>
      <c r="BB725" s="316"/>
      <c r="BC725" s="316"/>
      <c r="BD725" s="316"/>
      <c r="BE725" s="316"/>
      <c r="BF725" s="316"/>
      <c r="BG725" s="316"/>
      <c r="BH725" s="316"/>
      <c r="BI725" s="316"/>
      <c r="BJ725" s="316"/>
      <c r="BK725" s="316"/>
      <c r="BL725" s="316"/>
      <c r="BM725" s="316"/>
      <c r="BN725" s="316"/>
    </row>
    <row r="726" hidden="1" outlineLevel="1">
      <c r="A726" s="303" t="s">
        <v>1122</v>
      </c>
      <c r="B726" s="304"/>
      <c r="C726" s="325" t="s">
        <v>53</v>
      </c>
      <c r="D726" s="326" t="s">
        <v>1210</v>
      </c>
      <c r="E726" s="321"/>
      <c r="F726" s="322">
        <v>11000.0</v>
      </c>
      <c r="G726" s="326"/>
      <c r="H726" s="321"/>
      <c r="I726" s="322">
        <v>11000.0</v>
      </c>
      <c r="J726" s="326"/>
      <c r="K726" s="321"/>
      <c r="L726" s="322">
        <v>11000.0</v>
      </c>
      <c r="M726" s="326"/>
      <c r="N726" s="321"/>
      <c r="O726" s="322">
        <v>11000.0</v>
      </c>
      <c r="P726" s="326"/>
      <c r="Q726" s="321"/>
      <c r="R726" s="322">
        <v>11000.0</v>
      </c>
      <c r="S726" s="326"/>
      <c r="T726" s="321"/>
      <c r="U726" s="322">
        <v>11000.0</v>
      </c>
      <c r="V726" s="326"/>
      <c r="W726" s="321"/>
      <c r="X726" s="322">
        <v>11000.0</v>
      </c>
      <c r="Y726" s="326"/>
      <c r="Z726" s="321"/>
      <c r="AA726" s="322">
        <v>11000.0</v>
      </c>
      <c r="AB726" s="326"/>
      <c r="AC726" s="321"/>
      <c r="AD726" s="322">
        <v>11000.0</v>
      </c>
      <c r="AE726" s="326"/>
      <c r="AF726" s="321"/>
      <c r="AG726" s="322">
        <v>11000.0</v>
      </c>
      <c r="AH726" s="326"/>
      <c r="AI726" s="321"/>
      <c r="AJ726" s="322">
        <v>11000.0</v>
      </c>
      <c r="AK726" s="326"/>
      <c r="AL726" s="321"/>
      <c r="AM726" s="322">
        <v>11000.0</v>
      </c>
      <c r="AN726" s="316" t="s">
        <v>2177</v>
      </c>
      <c r="AO726" s="316"/>
      <c r="AP726" s="316"/>
      <c r="AQ726" s="316"/>
      <c r="AR726" s="316"/>
      <c r="AS726" s="316"/>
      <c r="AT726" s="316"/>
      <c r="AU726" s="316"/>
      <c r="AV726" s="316"/>
      <c r="AW726" s="316"/>
      <c r="AX726" s="316"/>
      <c r="AY726" s="316"/>
      <c r="AZ726" s="316"/>
      <c r="BA726" s="316"/>
      <c r="BB726" s="316"/>
      <c r="BC726" s="316"/>
      <c r="BD726" s="316"/>
      <c r="BE726" s="316"/>
      <c r="BF726" s="316"/>
      <c r="BG726" s="316"/>
      <c r="BH726" s="316"/>
      <c r="BI726" s="316"/>
      <c r="BJ726" s="316"/>
      <c r="BK726" s="316"/>
      <c r="BL726" s="316"/>
      <c r="BM726" s="316"/>
      <c r="BN726" s="316"/>
    </row>
    <row r="727" hidden="1" outlineLevel="1">
      <c r="A727" s="303" t="s">
        <v>1122</v>
      </c>
      <c r="B727" s="304"/>
      <c r="C727" s="325" t="s">
        <v>54</v>
      </c>
      <c r="D727" s="327"/>
      <c r="E727" s="321"/>
      <c r="F727" s="322">
        <f>SUMIFS('지출'!$G$3:$G794,'지출'!$J$3:$J794,F$1,'지출'!$C$3:$C794,"동일")</f>
        <v>173900</v>
      </c>
      <c r="G727" s="327"/>
      <c r="H727" s="321"/>
      <c r="I727" s="322">
        <f>SUMIFS('지출'!$G$3:$G794,'지출'!$J$3:$J794,I$1,'지출'!$C$3:$C794,"동일")</f>
        <v>106930</v>
      </c>
      <c r="J727" s="327"/>
      <c r="K727" s="321"/>
      <c r="L727" s="322">
        <f>SUMIFS('지출'!$G$3:$G794,'지출'!$J$3:$J794,L$1,'지출'!$C$3:$C794,"동일")</f>
        <v>0</v>
      </c>
      <c r="M727" s="327"/>
      <c r="N727" s="321"/>
      <c r="O727" s="322">
        <f>SUMIFS('지출'!$G$3:$G794,'지출'!$J$3:$J794,O$1,'지출'!$C$3:$C794,"동일")</f>
        <v>0</v>
      </c>
      <c r="P727" s="327"/>
      <c r="Q727" s="321"/>
      <c r="R727" s="322">
        <f>SUMIFS('지출'!$G$3:$G794,'지출'!$J$3:$J794,R$1,'지출'!$C$3:$C794,"동일")</f>
        <v>0</v>
      </c>
      <c r="S727" s="327"/>
      <c r="T727" s="321"/>
      <c r="U727" s="322">
        <f>SUMIFS('지출'!$G$3:$G794,'지출'!$J$3:$J794,U$1,'지출'!$C$3:$C794,"동일")</f>
        <v>0</v>
      </c>
      <c r="V727" s="327"/>
      <c r="W727" s="321"/>
      <c r="X727" s="322">
        <f>SUMIFS('지출'!$G$3:$G794,'지출'!$J$3:$J794,X$1,'지출'!$C$3:$C794,"동일")</f>
        <v>0</v>
      </c>
      <c r="Y727" s="327"/>
      <c r="Z727" s="321"/>
      <c r="AA727" s="322">
        <f>SUMIFS('지출'!$G$3:$G794,'지출'!$J$3:$J794,AA$1,'지출'!$C$3:$C794,"동일")</f>
        <v>0</v>
      </c>
      <c r="AB727" s="327"/>
      <c r="AC727" s="321"/>
      <c r="AD727" s="322">
        <f>SUMIFS('지출'!$G$3:$G794,'지출'!$J$3:$J794,AD$1,'지출'!$C$3:$C794,"동일")</f>
        <v>0</v>
      </c>
      <c r="AE727" s="327"/>
      <c r="AF727" s="321"/>
      <c r="AG727" s="322">
        <f>SUMIFS('지출'!$G$3:$G794,'지출'!$J$3:$J794,AG$1,'지출'!$C$3:$C794,"동일")</f>
        <v>0</v>
      </c>
      <c r="AH727" s="327"/>
      <c r="AI727" s="321"/>
      <c r="AJ727" s="322">
        <f>SUMIFS('지출'!$G$3:$G794,'지출'!$J$3:$J794,AJ$1,'지출'!$C$3:$C794,"동일")</f>
        <v>0</v>
      </c>
      <c r="AK727" s="327"/>
      <c r="AL727" s="321"/>
      <c r="AM727" s="322">
        <f>SUMIFS('지출'!$G$3:$G794,'지출'!$J$3:$J794,AM$1,'지출'!$C$3:$C794,"동일")</f>
        <v>0</v>
      </c>
      <c r="AN727" s="316" t="s">
        <v>2177</v>
      </c>
      <c r="AO727" s="316"/>
      <c r="AP727" s="316"/>
      <c r="AQ727" s="316"/>
      <c r="AR727" s="316"/>
      <c r="AS727" s="316"/>
      <c r="AT727" s="316"/>
      <c r="AU727" s="316"/>
      <c r="AV727" s="316"/>
      <c r="AW727" s="316"/>
      <c r="AX727" s="316"/>
      <c r="AY727" s="316"/>
      <c r="AZ727" s="316"/>
      <c r="BA727" s="316"/>
      <c r="BB727" s="316"/>
      <c r="BC727" s="316"/>
      <c r="BD727" s="316"/>
      <c r="BE727" s="316"/>
      <c r="BF727" s="316"/>
      <c r="BG727" s="316"/>
      <c r="BH727" s="316"/>
      <c r="BI727" s="316"/>
      <c r="BJ727" s="316"/>
      <c r="BK727" s="316"/>
      <c r="BL727" s="316"/>
      <c r="BM727" s="316"/>
      <c r="BN727" s="316"/>
    </row>
    <row r="728" hidden="1" outlineLevel="1">
      <c r="A728" s="303" t="s">
        <v>1122</v>
      </c>
      <c r="B728" s="304"/>
      <c r="C728" s="325" t="s">
        <v>56</v>
      </c>
      <c r="D728" s="320"/>
      <c r="E728" s="323">
        <f t="shared" ref="E728:F728" si="1014">E719-(SUM(E720:E727))</f>
        <v>730000</v>
      </c>
      <c r="F728" s="324">
        <f t="shared" si="1014"/>
        <v>-73630</v>
      </c>
      <c r="G728" s="320"/>
      <c r="H728" s="323">
        <f t="shared" ref="H728:I728" si="1015">H719-(SUM(H720:H727))</f>
        <v>824643</v>
      </c>
      <c r="I728" s="324">
        <f t="shared" si="1015"/>
        <v>54498</v>
      </c>
      <c r="J728" s="320"/>
      <c r="K728" s="323">
        <f t="shared" ref="K728:L728" si="1016">K719-(SUM(K720:K727))</f>
        <v>790000</v>
      </c>
      <c r="L728" s="324">
        <f t="shared" si="1016"/>
        <v>114820</v>
      </c>
      <c r="M728" s="320"/>
      <c r="N728" s="323">
        <f t="shared" ref="N728:O728" si="1017">N719-(SUM(N720:N727))</f>
        <v>790000</v>
      </c>
      <c r="O728" s="324">
        <f t="shared" si="1017"/>
        <v>324000</v>
      </c>
      <c r="P728" s="320"/>
      <c r="Q728" s="323">
        <f t="shared" ref="Q728:R728" si="1018">Q719-(SUM(Q720:Q727))</f>
        <v>790000</v>
      </c>
      <c r="R728" s="324">
        <f t="shared" si="1018"/>
        <v>324000</v>
      </c>
      <c r="S728" s="320"/>
      <c r="T728" s="323">
        <f t="shared" ref="T728:U728" si="1019">T719-(SUM(T720:T727))</f>
        <v>790000</v>
      </c>
      <c r="U728" s="324">
        <f t="shared" si="1019"/>
        <v>364000</v>
      </c>
      <c r="V728" s="320"/>
      <c r="W728" s="323">
        <f t="shared" ref="W728:X728" si="1020">W719-(SUM(W720:W727))</f>
        <v>790000</v>
      </c>
      <c r="X728" s="324">
        <f t="shared" si="1020"/>
        <v>364000</v>
      </c>
      <c r="Y728" s="320"/>
      <c r="Z728" s="323">
        <f t="shared" ref="Z728:AA728" si="1021">Z719-(SUM(Z720:Z727))</f>
        <v>681613</v>
      </c>
      <c r="AA728" s="324">
        <f t="shared" si="1021"/>
        <v>338194</v>
      </c>
      <c r="AB728" s="320"/>
      <c r="AC728" s="323">
        <f t="shared" ref="AC728:AD728" si="1022">AC719-(SUM(AC720:AC727))</f>
        <v>-180000</v>
      </c>
      <c r="AD728" s="324">
        <f t="shared" si="1022"/>
        <v>164000</v>
      </c>
      <c r="AE728" s="320"/>
      <c r="AF728" s="323">
        <f t="shared" ref="AF728:AG728" si="1023">AF719-(SUM(AF720:AF727))</f>
        <v>-180000</v>
      </c>
      <c r="AG728" s="324">
        <f t="shared" si="1023"/>
        <v>164000</v>
      </c>
      <c r="AH728" s="320"/>
      <c r="AI728" s="323">
        <f t="shared" ref="AI728:AJ728" si="1024">AI719-(SUM(AI720:AI727))</f>
        <v>-180000</v>
      </c>
      <c r="AJ728" s="324">
        <f t="shared" si="1024"/>
        <v>164000</v>
      </c>
      <c r="AK728" s="320"/>
      <c r="AL728" s="323">
        <f t="shared" ref="AL728:AM728" si="1025">AL719-(SUM(AL720:AL727))</f>
        <v>-180000</v>
      </c>
      <c r="AM728" s="324">
        <f t="shared" si="1025"/>
        <v>164000</v>
      </c>
      <c r="AN728" s="316" t="s">
        <v>2177</v>
      </c>
      <c r="AO728" s="316"/>
      <c r="AP728" s="316"/>
      <c r="AQ728" s="316"/>
      <c r="AR728" s="316"/>
      <c r="AS728" s="316"/>
      <c r="AT728" s="316"/>
      <c r="AU728" s="316"/>
      <c r="AV728" s="316"/>
      <c r="AW728" s="316"/>
      <c r="AX728" s="316"/>
      <c r="AY728" s="316"/>
      <c r="AZ728" s="316"/>
      <c r="BA728" s="316"/>
      <c r="BB728" s="316"/>
      <c r="BC728" s="316"/>
      <c r="BD728" s="316"/>
      <c r="BE728" s="316"/>
      <c r="BF728" s="316"/>
      <c r="BG728" s="316"/>
      <c r="BH728" s="316"/>
      <c r="BI728" s="316"/>
      <c r="BJ728" s="316"/>
      <c r="BK728" s="316"/>
      <c r="BL728" s="316"/>
      <c r="BM728" s="316"/>
      <c r="BN728" s="316"/>
    </row>
    <row r="729">
      <c r="A729" s="303" t="s">
        <v>1122</v>
      </c>
      <c r="B729" s="317" t="s">
        <v>1040</v>
      </c>
      <c r="C729" s="325" t="s">
        <v>26</v>
      </c>
      <c r="D729" s="326" t="s">
        <v>44</v>
      </c>
      <c r="E729" s="321">
        <v>0.0</v>
      </c>
      <c r="F729" s="324"/>
      <c r="G729" s="326" t="s">
        <v>44</v>
      </c>
      <c r="H729" s="321">
        <v>0.0</v>
      </c>
      <c r="I729" s="324"/>
      <c r="J729" s="326" t="s">
        <v>44</v>
      </c>
      <c r="K729" s="321">
        <v>0.0</v>
      </c>
      <c r="L729" s="324"/>
      <c r="M729" s="326" t="s">
        <v>44</v>
      </c>
      <c r="N729" s="321">
        <v>0.0</v>
      </c>
      <c r="O729" s="324"/>
      <c r="P729" s="326" t="s">
        <v>44</v>
      </c>
      <c r="Q729" s="321">
        <v>0.0</v>
      </c>
      <c r="R729" s="324"/>
      <c r="S729" s="326" t="s">
        <v>44</v>
      </c>
      <c r="T729" s="321">
        <v>0.0</v>
      </c>
      <c r="U729" s="324"/>
      <c r="V729" s="326" t="s">
        <v>44</v>
      </c>
      <c r="W729" s="321">
        <v>0.0</v>
      </c>
      <c r="X729" s="324"/>
      <c r="Y729" s="326" t="s">
        <v>44</v>
      </c>
      <c r="Z729" s="321">
        <v>0.0</v>
      </c>
      <c r="AA729" s="324"/>
      <c r="AB729" s="326" t="s">
        <v>44</v>
      </c>
      <c r="AC729" s="321">
        <v>0.0</v>
      </c>
      <c r="AD729" s="324"/>
      <c r="AE729" s="326" t="s">
        <v>44</v>
      </c>
      <c r="AF729" s="321">
        <v>0.0</v>
      </c>
      <c r="AG729" s="324"/>
      <c r="AH729" s="326" t="s">
        <v>44</v>
      </c>
      <c r="AI729" s="321">
        <v>0.0</v>
      </c>
      <c r="AJ729" s="324"/>
      <c r="AK729" s="326" t="s">
        <v>44</v>
      </c>
      <c r="AL729" s="321">
        <v>0.0</v>
      </c>
      <c r="AM729" s="324"/>
      <c r="AN729" s="316" t="s">
        <v>2177</v>
      </c>
      <c r="AO729" s="316"/>
      <c r="AP729" s="316"/>
      <c r="AQ729" s="316"/>
      <c r="AR729" s="316"/>
      <c r="AS729" s="316"/>
      <c r="AT729" s="316"/>
      <c r="AU729" s="316"/>
      <c r="AV729" s="316"/>
      <c r="AW729" s="316"/>
      <c r="AX729" s="316"/>
      <c r="AY729" s="316"/>
      <c r="AZ729" s="316"/>
      <c r="BA729" s="316"/>
      <c r="BB729" s="316"/>
      <c r="BC729" s="316"/>
      <c r="BD729" s="316"/>
      <c r="BE729" s="316"/>
      <c r="BF729" s="316"/>
      <c r="BG729" s="316"/>
      <c r="BH729" s="316"/>
      <c r="BI729" s="316"/>
      <c r="BJ729" s="316"/>
      <c r="BK729" s="316"/>
      <c r="BL729" s="316"/>
      <c r="BM729" s="316"/>
      <c r="BN729" s="316"/>
    </row>
    <row r="730">
      <c r="A730" s="303" t="s">
        <v>1122</v>
      </c>
      <c r="B730" s="329">
        <v>1.0</v>
      </c>
      <c r="C730" s="330" t="s">
        <v>57</v>
      </c>
      <c r="D730" s="331"/>
      <c r="E730" s="332">
        <f>E728-E729</f>
        <v>730000</v>
      </c>
      <c r="F730" s="333"/>
      <c r="G730" s="331"/>
      <c r="H730" s="332">
        <f>H728-H729</f>
        <v>824643</v>
      </c>
      <c r="I730" s="333"/>
      <c r="J730" s="331"/>
      <c r="K730" s="332">
        <f>K728-K729</f>
        <v>790000</v>
      </c>
      <c r="L730" s="333"/>
      <c r="M730" s="331"/>
      <c r="N730" s="332">
        <f>N728-N729</f>
        <v>790000</v>
      </c>
      <c r="O730" s="333"/>
      <c r="P730" s="331"/>
      <c r="Q730" s="332">
        <f>Q728-Q729</f>
        <v>790000</v>
      </c>
      <c r="R730" s="333"/>
      <c r="S730" s="331"/>
      <c r="T730" s="332">
        <f>T728-T729</f>
        <v>790000</v>
      </c>
      <c r="U730" s="333"/>
      <c r="V730" s="331"/>
      <c r="W730" s="332">
        <f>W728-W729</f>
        <v>790000</v>
      </c>
      <c r="X730" s="333"/>
      <c r="Y730" s="331"/>
      <c r="Z730" s="332">
        <f>Z728-Z729</f>
        <v>681613</v>
      </c>
      <c r="AA730" s="333"/>
      <c r="AB730" s="331"/>
      <c r="AC730" s="332">
        <f>AC728-AC729</f>
        <v>-180000</v>
      </c>
      <c r="AD730" s="333"/>
      <c r="AE730" s="331"/>
      <c r="AF730" s="332">
        <f>AF728-AF729</f>
        <v>-180000</v>
      </c>
      <c r="AG730" s="333"/>
      <c r="AH730" s="331"/>
      <c r="AI730" s="332">
        <f>AI728-AI729</f>
        <v>-180000</v>
      </c>
      <c r="AJ730" s="333"/>
      <c r="AK730" s="331"/>
      <c r="AL730" s="332">
        <f>AL728-AL729</f>
        <v>-180000</v>
      </c>
      <c r="AM730" s="333"/>
      <c r="AN730" s="316" t="s">
        <v>2177</v>
      </c>
      <c r="AO730" s="316"/>
      <c r="AP730" s="316"/>
      <c r="AQ730" s="316"/>
      <c r="AR730" s="316"/>
      <c r="AS730" s="316"/>
      <c r="AT730" s="316"/>
      <c r="AU730" s="316"/>
      <c r="AV730" s="316"/>
      <c r="AW730" s="316"/>
      <c r="AX730" s="316"/>
      <c r="AY730" s="316"/>
      <c r="AZ730" s="316"/>
      <c r="BA730" s="316"/>
      <c r="BB730" s="316"/>
      <c r="BC730" s="316"/>
      <c r="BD730" s="316"/>
      <c r="BE730" s="316"/>
      <c r="BF730" s="316"/>
      <c r="BG730" s="316"/>
      <c r="BH730" s="316"/>
      <c r="BI730" s="316"/>
      <c r="BJ730" s="316"/>
      <c r="BK730" s="316"/>
      <c r="BL730" s="316"/>
      <c r="BM730" s="316"/>
      <c r="BN730" s="316"/>
    </row>
    <row r="731">
      <c r="A731" s="303" t="s">
        <v>1138</v>
      </c>
      <c r="B731" s="384" t="s">
        <v>1138</v>
      </c>
      <c r="C731" s="385" t="s">
        <v>320</v>
      </c>
      <c r="D731" s="341" t="s">
        <v>2362</v>
      </c>
      <c r="E731" s="335">
        <v>550000.0</v>
      </c>
      <c r="F731" s="346">
        <v>100000.0</v>
      </c>
      <c r="G731" s="353" t="s">
        <v>2363</v>
      </c>
      <c r="H731" s="335">
        <f>550000+19643</f>
        <v>569643</v>
      </c>
      <c r="I731" s="346">
        <f>100000+3571</f>
        <v>103571</v>
      </c>
      <c r="J731" s="326" t="s">
        <v>1991</v>
      </c>
      <c r="K731" s="321">
        <v>550000.0</v>
      </c>
      <c r="L731" s="324">
        <v>100000.0</v>
      </c>
      <c r="M731" s="326" t="s">
        <v>1991</v>
      </c>
      <c r="N731" s="321">
        <v>550000.0</v>
      </c>
      <c r="O731" s="324">
        <v>100000.0</v>
      </c>
      <c r="P731" s="326" t="s">
        <v>1991</v>
      </c>
      <c r="Q731" s="321">
        <v>550000.0</v>
      </c>
      <c r="R731" s="324">
        <v>100000.0</v>
      </c>
      <c r="S731" s="326" t="s">
        <v>1991</v>
      </c>
      <c r="T731" s="321">
        <v>550000.0</v>
      </c>
      <c r="U731" s="324">
        <v>100000.0</v>
      </c>
      <c r="V731" s="326" t="s">
        <v>1991</v>
      </c>
      <c r="W731" s="321">
        <v>550000.0</v>
      </c>
      <c r="X731" s="324">
        <v>100000.0</v>
      </c>
      <c r="Y731" s="326" t="s">
        <v>2364</v>
      </c>
      <c r="Z731" s="321">
        <v>550000.0</v>
      </c>
      <c r="AA731" s="324">
        <v>100000.0</v>
      </c>
      <c r="AB731" s="326"/>
      <c r="AC731" s="321"/>
      <c r="AD731" s="322"/>
      <c r="AE731" s="326"/>
      <c r="AF731" s="321"/>
      <c r="AG731" s="322"/>
      <c r="AH731" s="326"/>
      <c r="AI731" s="321"/>
      <c r="AJ731" s="322"/>
      <c r="AK731" s="326"/>
      <c r="AL731" s="321"/>
      <c r="AM731" s="322"/>
      <c r="AN731" s="316" t="s">
        <v>2177</v>
      </c>
      <c r="AO731" s="316"/>
      <c r="AP731" s="316"/>
      <c r="AQ731" s="316"/>
      <c r="AR731" s="316"/>
      <c r="AS731" s="316"/>
      <c r="AT731" s="316"/>
      <c r="AU731" s="316"/>
      <c r="AV731" s="316"/>
      <c r="AW731" s="316"/>
      <c r="AX731" s="316"/>
      <c r="AY731" s="316"/>
      <c r="AZ731" s="316"/>
      <c r="BA731" s="316"/>
      <c r="BB731" s="316"/>
      <c r="BC731" s="316"/>
      <c r="BD731" s="316"/>
      <c r="BE731" s="316"/>
      <c r="BF731" s="316"/>
      <c r="BG731" s="316"/>
      <c r="BH731" s="316"/>
      <c r="BI731" s="316"/>
      <c r="BJ731" s="316"/>
      <c r="BK731" s="316"/>
      <c r="BL731" s="316"/>
      <c r="BM731" s="316"/>
      <c r="BN731" s="316"/>
    </row>
    <row r="732">
      <c r="A732" s="303" t="s">
        <v>1138</v>
      </c>
      <c r="B732" s="384" t="s">
        <v>1138</v>
      </c>
      <c r="C732" s="385" t="s">
        <v>322</v>
      </c>
      <c r="D732" s="341" t="s">
        <v>2365</v>
      </c>
      <c r="E732" s="335">
        <v>489500.0</v>
      </c>
      <c r="F732" s="352">
        <v>100000.0</v>
      </c>
      <c r="G732" s="341" t="s">
        <v>2365</v>
      </c>
      <c r="H732" s="335">
        <f>489500</f>
        <v>489500</v>
      </c>
      <c r="I732" s="352">
        <v>100000.0</v>
      </c>
      <c r="J732" s="394" t="s">
        <v>2365</v>
      </c>
      <c r="K732" s="335">
        <v>489500.0</v>
      </c>
      <c r="L732" s="346">
        <v>100000.0</v>
      </c>
      <c r="M732" s="394" t="s">
        <v>2365</v>
      </c>
      <c r="N732" s="335">
        <v>489500.0</v>
      </c>
      <c r="O732" s="346">
        <v>100000.0</v>
      </c>
      <c r="P732" s="394" t="s">
        <v>2365</v>
      </c>
      <c r="Q732" s="335">
        <v>489500.0</v>
      </c>
      <c r="R732" s="346">
        <v>100000.0</v>
      </c>
      <c r="S732" s="394" t="s">
        <v>2365</v>
      </c>
      <c r="T732" s="335">
        <v>489500.0</v>
      </c>
      <c r="U732" s="346">
        <v>100000.0</v>
      </c>
      <c r="V732" s="394" t="s">
        <v>2365</v>
      </c>
      <c r="W732" s="335">
        <v>489500.0</v>
      </c>
      <c r="X732" s="346">
        <v>100000.0</v>
      </c>
      <c r="Y732" s="394" t="s">
        <v>2365</v>
      </c>
      <c r="Z732" s="335">
        <v>489500.0</v>
      </c>
      <c r="AA732" s="346">
        <v>100000.0</v>
      </c>
      <c r="AB732" s="394" t="s">
        <v>2365</v>
      </c>
      <c r="AC732" s="335">
        <v>489500.0</v>
      </c>
      <c r="AD732" s="346">
        <v>100000.0</v>
      </c>
      <c r="AE732" s="394" t="s">
        <v>2365</v>
      </c>
      <c r="AF732" s="335">
        <v>489500.0</v>
      </c>
      <c r="AG732" s="346">
        <v>100000.0</v>
      </c>
      <c r="AH732" s="394" t="s">
        <v>2365</v>
      </c>
      <c r="AI732" s="335">
        <v>489500.0</v>
      </c>
      <c r="AJ732" s="346">
        <v>100000.0</v>
      </c>
      <c r="AK732" s="394" t="s">
        <v>2365</v>
      </c>
      <c r="AL732" s="335">
        <v>489500.0</v>
      </c>
      <c r="AM732" s="346">
        <v>100000.0</v>
      </c>
      <c r="AN732" s="316" t="s">
        <v>2177</v>
      </c>
      <c r="AO732" s="316"/>
      <c r="AP732" s="316"/>
      <c r="AQ732" s="316"/>
      <c r="AR732" s="316"/>
      <c r="AS732" s="316"/>
      <c r="AT732" s="316"/>
      <c r="AU732" s="316"/>
      <c r="AV732" s="316"/>
      <c r="AW732" s="316"/>
      <c r="AX732" s="316"/>
      <c r="AY732" s="316"/>
      <c r="AZ732" s="316"/>
      <c r="BA732" s="316"/>
      <c r="BB732" s="316"/>
      <c r="BC732" s="316"/>
      <c r="BD732" s="316"/>
      <c r="BE732" s="316"/>
      <c r="BF732" s="316"/>
      <c r="BG732" s="316"/>
      <c r="BH732" s="316"/>
      <c r="BI732" s="316"/>
      <c r="BJ732" s="316"/>
      <c r="BK732" s="316"/>
      <c r="BL732" s="316"/>
      <c r="BM732" s="316"/>
      <c r="BN732" s="316"/>
    </row>
    <row r="733">
      <c r="A733" s="303" t="s">
        <v>1138</v>
      </c>
      <c r="B733" s="384" t="s">
        <v>1138</v>
      </c>
      <c r="C733" s="385" t="s">
        <v>323</v>
      </c>
      <c r="D733" s="353" t="s">
        <v>2366</v>
      </c>
      <c r="E733" s="335">
        <v>550000.0</v>
      </c>
      <c r="F733" s="346">
        <v>100000.0</v>
      </c>
      <c r="G733" s="353" t="s">
        <v>2367</v>
      </c>
      <c r="H733" s="348">
        <f>200000+15000</f>
        <v>215000</v>
      </c>
      <c r="I733" s="345">
        <v>3571.0</v>
      </c>
      <c r="J733" s="326" t="s">
        <v>1998</v>
      </c>
      <c r="K733" s="348">
        <v>420000.0</v>
      </c>
      <c r="L733" s="346">
        <v>100000.0</v>
      </c>
      <c r="M733" s="326" t="s">
        <v>1998</v>
      </c>
      <c r="N733" s="348">
        <v>420000.0</v>
      </c>
      <c r="O733" s="346">
        <v>100000.0</v>
      </c>
      <c r="P733" s="326" t="s">
        <v>1998</v>
      </c>
      <c r="Q733" s="348">
        <v>420000.0</v>
      </c>
      <c r="R733" s="346">
        <v>100000.0</v>
      </c>
      <c r="S733" s="326" t="s">
        <v>1998</v>
      </c>
      <c r="T733" s="348">
        <v>420000.0</v>
      </c>
      <c r="U733" s="346">
        <v>100000.0</v>
      </c>
      <c r="V733" s="326" t="s">
        <v>1998</v>
      </c>
      <c r="W733" s="348">
        <v>420000.0</v>
      </c>
      <c r="X733" s="346">
        <v>100000.0</v>
      </c>
      <c r="Y733" s="326" t="s">
        <v>2368</v>
      </c>
      <c r="Z733" s="348">
        <v>338710.0</v>
      </c>
      <c r="AA733" s="345">
        <v>80645.0</v>
      </c>
      <c r="AB733" s="326"/>
      <c r="AC733" s="321"/>
      <c r="AD733" s="322"/>
      <c r="AE733" s="326"/>
      <c r="AF733" s="321"/>
      <c r="AG733" s="322"/>
      <c r="AH733" s="326"/>
      <c r="AI733" s="321"/>
      <c r="AJ733" s="322"/>
      <c r="AK733" s="326"/>
      <c r="AL733" s="321"/>
      <c r="AM733" s="322"/>
      <c r="AN733" s="316" t="s">
        <v>2177</v>
      </c>
      <c r="AO733" s="316"/>
      <c r="AP733" s="316"/>
      <c r="AQ733" s="316"/>
      <c r="AR733" s="316"/>
      <c r="AS733" s="316"/>
      <c r="AT733" s="316"/>
      <c r="AU733" s="316"/>
      <c r="AV733" s="316"/>
      <c r="AW733" s="316"/>
      <c r="AX733" s="316"/>
      <c r="AY733" s="316"/>
      <c r="AZ733" s="316"/>
      <c r="BA733" s="316"/>
      <c r="BB733" s="316"/>
      <c r="BC733" s="316"/>
      <c r="BD733" s="316"/>
      <c r="BE733" s="316"/>
      <c r="BF733" s="316"/>
      <c r="BG733" s="316"/>
      <c r="BH733" s="316"/>
      <c r="BI733" s="316"/>
      <c r="BJ733" s="316"/>
      <c r="BK733" s="316"/>
      <c r="BL733" s="316"/>
      <c r="BM733" s="316"/>
      <c r="BN733" s="316"/>
    </row>
    <row r="734">
      <c r="A734" s="303" t="s">
        <v>1138</v>
      </c>
      <c r="B734" s="384" t="s">
        <v>1138</v>
      </c>
      <c r="C734" s="385" t="s">
        <v>349</v>
      </c>
      <c r="D734" s="341" t="s">
        <v>37</v>
      </c>
      <c r="E734" s="321"/>
      <c r="F734" s="322"/>
      <c r="G734" s="326" t="s">
        <v>2369</v>
      </c>
      <c r="H734" s="348">
        <v>370000.0</v>
      </c>
      <c r="I734" s="346">
        <v>100000.0</v>
      </c>
      <c r="J734" s="326" t="s">
        <v>2002</v>
      </c>
      <c r="K734" s="348">
        <v>370000.0</v>
      </c>
      <c r="L734" s="346">
        <v>100000.0</v>
      </c>
      <c r="M734" s="326" t="s">
        <v>2002</v>
      </c>
      <c r="N734" s="348">
        <v>370000.0</v>
      </c>
      <c r="O734" s="346">
        <v>100000.0</v>
      </c>
      <c r="P734" s="326" t="s">
        <v>2002</v>
      </c>
      <c r="Q734" s="348">
        <v>370000.0</v>
      </c>
      <c r="R734" s="346">
        <v>100000.0</v>
      </c>
      <c r="S734" s="326" t="s">
        <v>2002</v>
      </c>
      <c r="T734" s="348">
        <v>370000.0</v>
      </c>
      <c r="U734" s="346">
        <v>100000.0</v>
      </c>
      <c r="V734" s="326" t="s">
        <v>2002</v>
      </c>
      <c r="W734" s="348">
        <v>370000.0</v>
      </c>
      <c r="X734" s="346">
        <v>100000.0</v>
      </c>
      <c r="Y734" s="326" t="s">
        <v>2002</v>
      </c>
      <c r="Z734" s="348">
        <v>370000.0</v>
      </c>
      <c r="AA734" s="346">
        <v>100000.0</v>
      </c>
      <c r="AB734" s="326" t="s">
        <v>2002</v>
      </c>
      <c r="AC734" s="348">
        <v>370000.0</v>
      </c>
      <c r="AD734" s="346">
        <v>100000.0</v>
      </c>
      <c r="AE734" s="326" t="s">
        <v>2002</v>
      </c>
      <c r="AF734" s="348">
        <v>370000.0</v>
      </c>
      <c r="AG734" s="346">
        <v>100000.0</v>
      </c>
      <c r="AH734" s="326" t="s">
        <v>2002</v>
      </c>
      <c r="AI734" s="348">
        <v>370000.0</v>
      </c>
      <c r="AJ734" s="346">
        <v>100000.0</v>
      </c>
      <c r="AK734" s="326" t="s">
        <v>2002</v>
      </c>
      <c r="AL734" s="348">
        <v>370000.0</v>
      </c>
      <c r="AM734" s="346">
        <v>100000.0</v>
      </c>
      <c r="AN734" s="316" t="s">
        <v>2177</v>
      </c>
      <c r="AO734" s="316"/>
      <c r="AP734" s="316"/>
      <c r="AQ734" s="316"/>
      <c r="AR734" s="316"/>
      <c r="AS734" s="316"/>
      <c r="AT734" s="316"/>
      <c r="AU734" s="316"/>
      <c r="AV734" s="316"/>
      <c r="AW734" s="316"/>
      <c r="AX734" s="316"/>
      <c r="AY734" s="316"/>
      <c r="AZ734" s="316"/>
      <c r="BA734" s="316"/>
      <c r="BB734" s="316"/>
      <c r="BC734" s="316"/>
      <c r="BD734" s="316"/>
      <c r="BE734" s="316"/>
      <c r="BF734" s="316"/>
      <c r="BG734" s="316"/>
      <c r="BH734" s="316"/>
      <c r="BI734" s="316"/>
      <c r="BJ734" s="316"/>
      <c r="BK734" s="316"/>
      <c r="BL734" s="316"/>
      <c r="BM734" s="316"/>
      <c r="BN734" s="316"/>
    </row>
    <row r="735">
      <c r="A735" s="303" t="s">
        <v>1138</v>
      </c>
      <c r="B735" s="304"/>
      <c r="C735" s="305" t="s">
        <v>42</v>
      </c>
      <c r="D735" s="320"/>
      <c r="E735" s="323">
        <f t="shared" ref="E735:F735" si="1026">SUM(E731:E734)</f>
        <v>1589500</v>
      </c>
      <c r="F735" s="324">
        <f t="shared" si="1026"/>
        <v>300000</v>
      </c>
      <c r="G735" s="320"/>
      <c r="H735" s="323">
        <f t="shared" ref="H735:I735" si="1027">SUM(H731:H734)</f>
        <v>1644143</v>
      </c>
      <c r="I735" s="324">
        <f t="shared" si="1027"/>
        <v>307142</v>
      </c>
      <c r="J735" s="320"/>
      <c r="K735" s="323">
        <f t="shared" ref="K735:L735" si="1028">SUM(K731:K734)</f>
        <v>1829500</v>
      </c>
      <c r="L735" s="324">
        <f t="shared" si="1028"/>
        <v>400000</v>
      </c>
      <c r="M735" s="320"/>
      <c r="N735" s="323">
        <f t="shared" ref="N735:O735" si="1029">SUM(N731:N734)</f>
        <v>1829500</v>
      </c>
      <c r="O735" s="324">
        <f t="shared" si="1029"/>
        <v>400000</v>
      </c>
      <c r="P735" s="320"/>
      <c r="Q735" s="323">
        <f t="shared" ref="Q735:R735" si="1030">SUM(Q731:Q734)</f>
        <v>1829500</v>
      </c>
      <c r="R735" s="324">
        <f t="shared" si="1030"/>
        <v>400000</v>
      </c>
      <c r="S735" s="320"/>
      <c r="T735" s="323">
        <f t="shared" ref="T735:U735" si="1031">SUM(T731:T734)</f>
        <v>1829500</v>
      </c>
      <c r="U735" s="324">
        <f t="shared" si="1031"/>
        <v>400000</v>
      </c>
      <c r="V735" s="320"/>
      <c r="W735" s="323">
        <f t="shared" ref="W735:X735" si="1032">SUM(W731:W734)</f>
        <v>1829500</v>
      </c>
      <c r="X735" s="324">
        <f t="shared" si="1032"/>
        <v>400000</v>
      </c>
      <c r="Y735" s="320"/>
      <c r="Z735" s="323">
        <f t="shared" ref="Z735:AA735" si="1033">SUM(Z731:Z734)</f>
        <v>1748210</v>
      </c>
      <c r="AA735" s="324">
        <f t="shared" si="1033"/>
        <v>380645</v>
      </c>
      <c r="AB735" s="320"/>
      <c r="AC735" s="323">
        <f t="shared" ref="AC735:AD735" si="1034">SUM(AC731:AC734)</f>
        <v>859500</v>
      </c>
      <c r="AD735" s="324">
        <f t="shared" si="1034"/>
        <v>200000</v>
      </c>
      <c r="AE735" s="320"/>
      <c r="AF735" s="323">
        <f t="shared" ref="AF735:AG735" si="1035">SUM(AF731:AF734)</f>
        <v>859500</v>
      </c>
      <c r="AG735" s="324">
        <f t="shared" si="1035"/>
        <v>200000</v>
      </c>
      <c r="AH735" s="320"/>
      <c r="AI735" s="323">
        <f t="shared" ref="AI735:AJ735" si="1036">SUM(AI731:AI734)</f>
        <v>859500</v>
      </c>
      <c r="AJ735" s="324">
        <f t="shared" si="1036"/>
        <v>200000</v>
      </c>
      <c r="AK735" s="320"/>
      <c r="AL735" s="323">
        <f t="shared" ref="AL735:AM735" si="1037">SUM(AL731:AL734)</f>
        <v>859500</v>
      </c>
      <c r="AM735" s="324">
        <f t="shared" si="1037"/>
        <v>200000</v>
      </c>
      <c r="AN735" s="316" t="s">
        <v>2177</v>
      </c>
      <c r="AO735" s="316"/>
      <c r="AP735" s="316"/>
      <c r="AQ735" s="316"/>
      <c r="AR735" s="316"/>
      <c r="AS735" s="316"/>
      <c r="AT735" s="316"/>
      <c r="AU735" s="316"/>
      <c r="AV735" s="316"/>
      <c r="AW735" s="316"/>
      <c r="AX735" s="316"/>
      <c r="AY735" s="316"/>
      <c r="AZ735" s="316"/>
      <c r="BA735" s="316"/>
      <c r="BB735" s="316"/>
      <c r="BC735" s="316"/>
      <c r="BD735" s="316"/>
      <c r="BE735" s="316"/>
      <c r="BF735" s="316"/>
      <c r="BG735" s="316"/>
      <c r="BH735" s="316"/>
      <c r="BI735" s="316"/>
      <c r="BJ735" s="316"/>
      <c r="BK735" s="316"/>
      <c r="BL735" s="316"/>
      <c r="BM735" s="316"/>
      <c r="BN735" s="316"/>
    </row>
    <row r="736" collapsed="1">
      <c r="A736" s="303" t="s">
        <v>1138</v>
      </c>
      <c r="B736" s="304"/>
      <c r="C736" s="325" t="s">
        <v>43</v>
      </c>
      <c r="D736" s="326"/>
      <c r="E736" s="321">
        <v>1000000.0</v>
      </c>
      <c r="F736" s="322"/>
      <c r="G736" s="326"/>
      <c r="H736" s="321">
        <v>1000000.0</v>
      </c>
      <c r="I736" s="322"/>
      <c r="J736" s="326"/>
      <c r="K736" s="321">
        <v>1000000.0</v>
      </c>
      <c r="L736" s="322"/>
      <c r="M736" s="326"/>
      <c r="N736" s="321">
        <v>1000000.0</v>
      </c>
      <c r="O736" s="322"/>
      <c r="P736" s="326"/>
      <c r="Q736" s="321">
        <v>1000000.0</v>
      </c>
      <c r="R736" s="322"/>
      <c r="S736" s="326"/>
      <c r="T736" s="321">
        <v>1000000.0</v>
      </c>
      <c r="U736" s="322"/>
      <c r="V736" s="326"/>
      <c r="W736" s="321">
        <v>1000000.0</v>
      </c>
      <c r="X736" s="322"/>
      <c r="Y736" s="326"/>
      <c r="Z736" s="321">
        <v>1000000.0</v>
      </c>
      <c r="AA736" s="322"/>
      <c r="AB736" s="326"/>
      <c r="AC736" s="321">
        <v>1000000.0</v>
      </c>
      <c r="AD736" s="322"/>
      <c r="AE736" s="326"/>
      <c r="AF736" s="321">
        <v>1000000.0</v>
      </c>
      <c r="AG736" s="322"/>
      <c r="AH736" s="326"/>
      <c r="AI736" s="321">
        <v>1000000.0</v>
      </c>
      <c r="AJ736" s="322"/>
      <c r="AK736" s="326"/>
      <c r="AL736" s="321">
        <v>1000000.0</v>
      </c>
      <c r="AM736" s="322"/>
      <c r="AN736" s="316" t="s">
        <v>2177</v>
      </c>
      <c r="AO736" s="316"/>
      <c r="AP736" s="316"/>
      <c r="AQ736" s="316"/>
      <c r="AR736" s="316"/>
      <c r="AS736" s="316"/>
      <c r="AT736" s="316"/>
      <c r="AU736" s="316"/>
      <c r="AV736" s="316"/>
      <c r="AW736" s="316"/>
      <c r="AX736" s="316"/>
      <c r="AY736" s="316"/>
      <c r="AZ736" s="316"/>
      <c r="BA736" s="316"/>
      <c r="BB736" s="316"/>
      <c r="BC736" s="316"/>
      <c r="BD736" s="316"/>
      <c r="BE736" s="316"/>
      <c r="BF736" s="316"/>
      <c r="BG736" s="316"/>
      <c r="BH736" s="316"/>
      <c r="BI736" s="316"/>
      <c r="BJ736" s="316"/>
      <c r="BK736" s="316"/>
      <c r="BL736" s="316"/>
      <c r="BM736" s="316"/>
      <c r="BN736" s="316"/>
    </row>
    <row r="737" hidden="1" outlineLevel="1">
      <c r="A737" s="303" t="s">
        <v>1138</v>
      </c>
      <c r="B737" s="304"/>
      <c r="C737" s="325" t="s">
        <v>45</v>
      </c>
      <c r="D737" s="326"/>
      <c r="E737" s="321">
        <v>50000.0</v>
      </c>
      <c r="F737" s="322"/>
      <c r="G737" s="326"/>
      <c r="H737" s="321">
        <v>50000.0</v>
      </c>
      <c r="I737" s="322"/>
      <c r="J737" s="326"/>
      <c r="K737" s="321">
        <v>50000.0</v>
      </c>
      <c r="L737" s="322"/>
      <c r="M737" s="326"/>
      <c r="N737" s="321">
        <v>50000.0</v>
      </c>
      <c r="O737" s="322"/>
      <c r="P737" s="326"/>
      <c r="Q737" s="321">
        <v>50000.0</v>
      </c>
      <c r="R737" s="322"/>
      <c r="S737" s="326"/>
      <c r="T737" s="321">
        <v>50000.0</v>
      </c>
      <c r="U737" s="322"/>
      <c r="V737" s="326"/>
      <c r="W737" s="321">
        <v>50000.0</v>
      </c>
      <c r="X737" s="322"/>
      <c r="Y737" s="326"/>
      <c r="Z737" s="321">
        <v>50000.0</v>
      </c>
      <c r="AA737" s="322"/>
      <c r="AB737" s="326"/>
      <c r="AC737" s="321">
        <v>50000.0</v>
      </c>
      <c r="AD737" s="322"/>
      <c r="AE737" s="326"/>
      <c r="AF737" s="321">
        <v>50000.0</v>
      </c>
      <c r="AG737" s="322"/>
      <c r="AH737" s="326"/>
      <c r="AI737" s="321">
        <v>50000.0</v>
      </c>
      <c r="AJ737" s="322"/>
      <c r="AK737" s="326"/>
      <c r="AL737" s="321">
        <v>50000.0</v>
      </c>
      <c r="AM737" s="322"/>
      <c r="AN737" s="316" t="s">
        <v>2177</v>
      </c>
      <c r="AO737" s="316"/>
      <c r="AP737" s="316"/>
      <c r="AQ737" s="316"/>
      <c r="AR737" s="316"/>
      <c r="AS737" s="316"/>
      <c r="AT737" s="316"/>
      <c r="AU737" s="316"/>
      <c r="AV737" s="316"/>
      <c r="AW737" s="316"/>
      <c r="AX737" s="316"/>
      <c r="AY737" s="316"/>
      <c r="AZ737" s="316"/>
      <c r="BA737" s="316"/>
      <c r="BB737" s="316"/>
      <c r="BC737" s="316"/>
      <c r="BD737" s="316"/>
      <c r="BE737" s="316"/>
      <c r="BF737" s="316"/>
      <c r="BG737" s="316"/>
      <c r="BH737" s="316"/>
      <c r="BI737" s="316"/>
      <c r="BJ737" s="316"/>
      <c r="BK737" s="316"/>
      <c r="BL737" s="316"/>
      <c r="BM737" s="316"/>
      <c r="BN737" s="316"/>
    </row>
    <row r="738" hidden="1" outlineLevel="1">
      <c r="A738" s="303" t="s">
        <v>1138</v>
      </c>
      <c r="B738" s="317" t="s">
        <v>1162</v>
      </c>
      <c r="C738" s="325" t="s">
        <v>47</v>
      </c>
      <c r="D738" s="326"/>
      <c r="E738" s="321"/>
      <c r="F738" s="322">
        <v>26840.0</v>
      </c>
      <c r="G738" s="326"/>
      <c r="H738" s="321"/>
      <c r="I738" s="322">
        <v>23370.0</v>
      </c>
      <c r="J738" s="326"/>
      <c r="K738" s="321"/>
      <c r="L738" s="322"/>
      <c r="M738" s="326"/>
      <c r="N738" s="321"/>
      <c r="O738" s="322"/>
      <c r="P738" s="326"/>
      <c r="Q738" s="321"/>
      <c r="R738" s="322"/>
      <c r="S738" s="326"/>
      <c r="T738" s="321"/>
      <c r="U738" s="322"/>
      <c r="V738" s="326"/>
      <c r="W738" s="321"/>
      <c r="X738" s="322"/>
      <c r="Y738" s="326"/>
      <c r="Z738" s="321"/>
      <c r="AA738" s="322"/>
      <c r="AB738" s="326"/>
      <c r="AC738" s="321"/>
      <c r="AD738" s="322"/>
      <c r="AE738" s="326"/>
      <c r="AF738" s="321"/>
      <c r="AG738" s="322"/>
      <c r="AH738" s="326"/>
      <c r="AI738" s="321"/>
      <c r="AJ738" s="322"/>
      <c r="AK738" s="326"/>
      <c r="AL738" s="321"/>
      <c r="AM738" s="322"/>
      <c r="AN738" s="316" t="s">
        <v>2177</v>
      </c>
      <c r="AO738" s="316"/>
      <c r="AP738" s="316"/>
      <c r="AQ738" s="316"/>
      <c r="AR738" s="316"/>
      <c r="AS738" s="316"/>
      <c r="AT738" s="316"/>
      <c r="AU738" s="316"/>
      <c r="AV738" s="316"/>
      <c r="AW738" s="316"/>
      <c r="AX738" s="316"/>
      <c r="AY738" s="316"/>
      <c r="AZ738" s="316"/>
      <c r="BA738" s="316"/>
      <c r="BB738" s="316"/>
      <c r="BC738" s="316"/>
      <c r="BD738" s="316"/>
      <c r="BE738" s="316"/>
      <c r="BF738" s="316"/>
      <c r="BG738" s="316"/>
      <c r="BH738" s="316"/>
      <c r="BI738" s="316"/>
      <c r="BJ738" s="316"/>
      <c r="BK738" s="316"/>
      <c r="BL738" s="316"/>
      <c r="BM738" s="316"/>
      <c r="BN738" s="316"/>
    </row>
    <row r="739" hidden="1" outlineLevel="1">
      <c r="A739" s="303" t="s">
        <v>1138</v>
      </c>
      <c r="B739" s="317" t="s">
        <v>1163</v>
      </c>
      <c r="C739" s="325" t="s">
        <v>49</v>
      </c>
      <c r="D739" s="326"/>
      <c r="E739" s="321"/>
      <c r="F739" s="322">
        <v>146910.0</v>
      </c>
      <c r="G739" s="326"/>
      <c r="H739" s="321"/>
      <c r="I739" s="322">
        <v>153440.0</v>
      </c>
      <c r="J739" s="326"/>
      <c r="K739" s="321"/>
      <c r="L739" s="322">
        <v>122280.0</v>
      </c>
      <c r="M739" s="326"/>
      <c r="N739" s="321"/>
      <c r="O739" s="322"/>
      <c r="P739" s="326"/>
      <c r="Q739" s="321"/>
      <c r="R739" s="322"/>
      <c r="S739" s="326"/>
      <c r="T739" s="321"/>
      <c r="U739" s="322"/>
      <c r="V739" s="326"/>
      <c r="W739" s="321"/>
      <c r="X739" s="322"/>
      <c r="Y739" s="326"/>
      <c r="Z739" s="321"/>
      <c r="AA739" s="322"/>
      <c r="AB739" s="326"/>
      <c r="AC739" s="321"/>
      <c r="AD739" s="322"/>
      <c r="AE739" s="326"/>
      <c r="AF739" s="321"/>
      <c r="AG739" s="322"/>
      <c r="AH739" s="326"/>
      <c r="AI739" s="321"/>
      <c r="AJ739" s="322"/>
      <c r="AK739" s="326"/>
      <c r="AL739" s="321"/>
      <c r="AM739" s="322"/>
      <c r="AN739" s="316" t="s">
        <v>2177</v>
      </c>
      <c r="AO739" s="316"/>
      <c r="AP739" s="316"/>
      <c r="AQ739" s="316"/>
      <c r="AR739" s="316"/>
      <c r="AS739" s="316"/>
      <c r="AT739" s="316"/>
      <c r="AU739" s="316"/>
      <c r="AV739" s="316"/>
      <c r="AW739" s="316"/>
      <c r="AX739" s="316"/>
      <c r="AY739" s="316"/>
      <c r="AZ739" s="316"/>
      <c r="BA739" s="316"/>
      <c r="BB739" s="316"/>
      <c r="BC739" s="316"/>
      <c r="BD739" s="316"/>
      <c r="BE739" s="316"/>
      <c r="BF739" s="316"/>
      <c r="BG739" s="316"/>
      <c r="BH739" s="316"/>
      <c r="BI739" s="316"/>
      <c r="BJ739" s="316"/>
      <c r="BK739" s="316"/>
      <c r="BL739" s="316"/>
      <c r="BM739" s="316"/>
      <c r="BN739" s="316"/>
    </row>
    <row r="740" hidden="1" outlineLevel="1">
      <c r="A740" s="303" t="s">
        <v>1138</v>
      </c>
      <c r="B740" s="317" t="s">
        <v>1164</v>
      </c>
      <c r="C740" s="325" t="s">
        <v>51</v>
      </c>
      <c r="D740" s="326"/>
      <c r="E740" s="321"/>
      <c r="F740" s="322">
        <v>40000.0</v>
      </c>
      <c r="G740" s="326"/>
      <c r="H740" s="321"/>
      <c r="I740" s="322">
        <v>40000.0</v>
      </c>
      <c r="J740" s="326"/>
      <c r="K740" s="321"/>
      <c r="L740" s="322"/>
      <c r="M740" s="326"/>
      <c r="N740" s="321"/>
      <c r="O740" s="322"/>
      <c r="P740" s="326"/>
      <c r="Q740" s="321"/>
      <c r="R740" s="322"/>
      <c r="S740" s="326"/>
      <c r="T740" s="321"/>
      <c r="U740" s="322"/>
      <c r="V740" s="326"/>
      <c r="W740" s="321"/>
      <c r="X740" s="322"/>
      <c r="Y740" s="326"/>
      <c r="Z740" s="321"/>
      <c r="AA740" s="322"/>
      <c r="AB740" s="326"/>
      <c r="AC740" s="321"/>
      <c r="AD740" s="322"/>
      <c r="AE740" s="326"/>
      <c r="AF740" s="321"/>
      <c r="AG740" s="322"/>
      <c r="AH740" s="326"/>
      <c r="AI740" s="321"/>
      <c r="AJ740" s="322"/>
      <c r="AK740" s="326"/>
      <c r="AL740" s="321"/>
      <c r="AM740" s="322"/>
      <c r="AN740" s="316" t="s">
        <v>2177</v>
      </c>
      <c r="AO740" s="316"/>
      <c r="AP740" s="316"/>
      <c r="AQ740" s="316"/>
      <c r="AR740" s="316"/>
      <c r="AS740" s="316"/>
      <c r="AT740" s="316"/>
      <c r="AU740" s="316"/>
      <c r="AV740" s="316"/>
      <c r="AW740" s="316"/>
      <c r="AX740" s="316"/>
      <c r="AY740" s="316"/>
      <c r="AZ740" s="316"/>
      <c r="BA740" s="316"/>
      <c r="BB740" s="316"/>
      <c r="BC740" s="316"/>
      <c r="BD740" s="316"/>
      <c r="BE740" s="316"/>
      <c r="BF740" s="316"/>
      <c r="BG740" s="316"/>
      <c r="BH740" s="316"/>
      <c r="BI740" s="316"/>
      <c r="BJ740" s="316"/>
      <c r="BK740" s="316"/>
      <c r="BL740" s="316"/>
      <c r="BM740" s="316"/>
      <c r="BN740" s="316"/>
    </row>
    <row r="741" hidden="1" outlineLevel="1">
      <c r="A741" s="303" t="s">
        <v>1138</v>
      </c>
      <c r="B741" s="304"/>
      <c r="C741" s="325" t="s">
        <v>52</v>
      </c>
      <c r="D741" s="326"/>
      <c r="E741" s="321"/>
      <c r="F741" s="322">
        <v>25000.0</v>
      </c>
      <c r="G741" s="326"/>
      <c r="H741" s="321"/>
      <c r="I741" s="322">
        <v>25000.0</v>
      </c>
      <c r="J741" s="326"/>
      <c r="K741" s="321"/>
      <c r="L741" s="322">
        <v>25000.0</v>
      </c>
      <c r="M741" s="326"/>
      <c r="N741" s="321"/>
      <c r="O741" s="322">
        <v>25000.0</v>
      </c>
      <c r="P741" s="326"/>
      <c r="Q741" s="321"/>
      <c r="R741" s="322">
        <v>25000.0</v>
      </c>
      <c r="S741" s="326"/>
      <c r="T741" s="321"/>
      <c r="U741" s="322">
        <v>25000.0</v>
      </c>
      <c r="V741" s="326"/>
      <c r="W741" s="321"/>
      <c r="X741" s="322">
        <v>25000.0</v>
      </c>
      <c r="Y741" s="326"/>
      <c r="Z741" s="321"/>
      <c r="AA741" s="322">
        <v>25000.0</v>
      </c>
      <c r="AB741" s="326"/>
      <c r="AC741" s="321"/>
      <c r="AD741" s="322">
        <v>25000.0</v>
      </c>
      <c r="AE741" s="326"/>
      <c r="AF741" s="321"/>
      <c r="AG741" s="322">
        <v>25000.0</v>
      </c>
      <c r="AH741" s="326"/>
      <c r="AI741" s="321"/>
      <c r="AJ741" s="322">
        <v>25000.0</v>
      </c>
      <c r="AK741" s="326"/>
      <c r="AL741" s="321"/>
      <c r="AM741" s="322">
        <v>25000.0</v>
      </c>
      <c r="AN741" s="316" t="s">
        <v>2177</v>
      </c>
      <c r="AO741" s="316"/>
      <c r="AP741" s="316"/>
      <c r="AQ741" s="316"/>
      <c r="AR741" s="316"/>
      <c r="AS741" s="316"/>
      <c r="AT741" s="316"/>
      <c r="AU741" s="316"/>
      <c r="AV741" s="316"/>
      <c r="AW741" s="316"/>
      <c r="AX741" s="316"/>
      <c r="AY741" s="316"/>
      <c r="AZ741" s="316"/>
      <c r="BA741" s="316"/>
      <c r="BB741" s="316"/>
      <c r="BC741" s="316"/>
      <c r="BD741" s="316"/>
      <c r="BE741" s="316"/>
      <c r="BF741" s="316"/>
      <c r="BG741" s="316"/>
      <c r="BH741" s="316"/>
      <c r="BI741" s="316"/>
      <c r="BJ741" s="316"/>
      <c r="BK741" s="316"/>
      <c r="BL741" s="316"/>
      <c r="BM741" s="316"/>
      <c r="BN741" s="316"/>
    </row>
    <row r="742" hidden="1" outlineLevel="1">
      <c r="A742" s="303" t="s">
        <v>1138</v>
      </c>
      <c r="B742" s="304"/>
      <c r="C742" s="325" t="s">
        <v>53</v>
      </c>
      <c r="D742" s="326"/>
      <c r="E742" s="321"/>
      <c r="F742" s="322">
        <v>11000.0</v>
      </c>
      <c r="G742" s="326"/>
      <c r="H742" s="321"/>
      <c r="I742" s="322">
        <v>11000.0</v>
      </c>
      <c r="J742" s="326"/>
      <c r="K742" s="321"/>
      <c r="L742" s="322">
        <v>11000.0</v>
      </c>
      <c r="M742" s="326"/>
      <c r="N742" s="321"/>
      <c r="O742" s="322">
        <v>11000.0</v>
      </c>
      <c r="P742" s="326"/>
      <c r="Q742" s="321"/>
      <c r="R742" s="322">
        <v>11000.0</v>
      </c>
      <c r="S742" s="326"/>
      <c r="T742" s="321"/>
      <c r="U742" s="322">
        <v>11000.0</v>
      </c>
      <c r="V742" s="326"/>
      <c r="W742" s="321"/>
      <c r="X742" s="322">
        <v>11000.0</v>
      </c>
      <c r="Y742" s="326"/>
      <c r="Z742" s="321"/>
      <c r="AA742" s="322">
        <v>11000.0</v>
      </c>
      <c r="AB742" s="326"/>
      <c r="AC742" s="321"/>
      <c r="AD742" s="322">
        <v>11000.0</v>
      </c>
      <c r="AE742" s="326"/>
      <c r="AF742" s="321"/>
      <c r="AG742" s="322">
        <v>11000.0</v>
      </c>
      <c r="AH742" s="326"/>
      <c r="AI742" s="321"/>
      <c r="AJ742" s="322">
        <v>11000.0</v>
      </c>
      <c r="AK742" s="326"/>
      <c r="AL742" s="321"/>
      <c r="AM742" s="322">
        <v>11000.0</v>
      </c>
      <c r="AN742" s="316" t="s">
        <v>2177</v>
      </c>
      <c r="AO742" s="316"/>
      <c r="AP742" s="316"/>
      <c r="AQ742" s="316"/>
      <c r="AR742" s="316"/>
      <c r="AS742" s="316"/>
      <c r="AT742" s="316"/>
      <c r="AU742" s="316"/>
      <c r="AV742" s="316"/>
      <c r="AW742" s="316"/>
      <c r="AX742" s="316"/>
      <c r="AY742" s="316"/>
      <c r="AZ742" s="316"/>
      <c r="BA742" s="316"/>
      <c r="BB742" s="316"/>
      <c r="BC742" s="316"/>
      <c r="BD742" s="316"/>
      <c r="BE742" s="316"/>
      <c r="BF742" s="316"/>
      <c r="BG742" s="316"/>
      <c r="BH742" s="316"/>
      <c r="BI742" s="316"/>
      <c r="BJ742" s="316"/>
      <c r="BK742" s="316"/>
      <c r="BL742" s="316"/>
      <c r="BM742" s="316"/>
      <c r="BN742" s="316"/>
    </row>
    <row r="743" hidden="1" outlineLevel="1">
      <c r="A743" s="303" t="s">
        <v>1138</v>
      </c>
      <c r="B743" s="304"/>
      <c r="C743" s="325" t="s">
        <v>54</v>
      </c>
      <c r="D743" s="327"/>
      <c r="E743" s="321"/>
      <c r="F743" s="322">
        <f>SUMIFS('지출'!$G$3:$G794,'지출'!$J$3:$J794,F$1,'지출'!$C$3:$C794,"동이")</f>
        <v>70000</v>
      </c>
      <c r="G743" s="327"/>
      <c r="H743" s="321"/>
      <c r="I743" s="322">
        <f>SUMIFS('지출'!$G$3:$G794,'지출'!$J$3:$J794,I$1,'지출'!$C$3:$C794,"동이")</f>
        <v>57900</v>
      </c>
      <c r="J743" s="327"/>
      <c r="K743" s="321"/>
      <c r="L743" s="322">
        <f>SUMIFS('지출'!$G$3:$G794,'지출'!$J$3:$J794,L$1,'지출'!$C$3:$C794,"동이")</f>
        <v>0</v>
      </c>
      <c r="M743" s="327"/>
      <c r="N743" s="321"/>
      <c r="O743" s="322">
        <f>SUMIFS('지출'!$G$3:$G794,'지출'!$J$3:$J794,O$1,'지출'!$C$3:$C794,"동이")</f>
        <v>0</v>
      </c>
      <c r="P743" s="327"/>
      <c r="Q743" s="321"/>
      <c r="R743" s="322">
        <f>SUMIFS('지출'!$G$3:$G794,'지출'!$J$3:$J794,R$1,'지출'!$C$3:$C794,"동이")</f>
        <v>0</v>
      </c>
      <c r="S743" s="327"/>
      <c r="T743" s="321"/>
      <c r="U743" s="322">
        <f>SUMIFS('지출'!$G$3:$G794,'지출'!$J$3:$J794,U$1,'지출'!$C$3:$C794,"동이")</f>
        <v>0</v>
      </c>
      <c r="V743" s="327"/>
      <c r="W743" s="321"/>
      <c r="X743" s="322">
        <f>SUMIFS('지출'!$G$3:$G794,'지출'!$J$3:$J794,X$1,'지출'!$C$3:$C794,"동이")</f>
        <v>0</v>
      </c>
      <c r="Y743" s="327"/>
      <c r="Z743" s="321"/>
      <c r="AA743" s="322">
        <f>SUMIFS('지출'!$G$3:$G794,'지출'!$J$3:$J794,AA$1,'지출'!$C$3:$C794,"동이")</f>
        <v>0</v>
      </c>
      <c r="AB743" s="327"/>
      <c r="AC743" s="321"/>
      <c r="AD743" s="322">
        <f>SUMIFS('지출'!$G$3:$G794,'지출'!$J$3:$J794,AD$1,'지출'!$C$3:$C794,"동이")</f>
        <v>0</v>
      </c>
      <c r="AE743" s="327"/>
      <c r="AF743" s="321"/>
      <c r="AG743" s="322">
        <f>SUMIFS('지출'!$G$3:$G794,'지출'!$J$3:$J794,AG$1,'지출'!$C$3:$C794,"동이")</f>
        <v>0</v>
      </c>
      <c r="AH743" s="327"/>
      <c r="AI743" s="321"/>
      <c r="AJ743" s="322">
        <f>SUMIFS('지출'!$G$3:$G794,'지출'!$J$3:$J794,AJ$1,'지출'!$C$3:$C794,"동이")</f>
        <v>0</v>
      </c>
      <c r="AK743" s="327"/>
      <c r="AL743" s="321"/>
      <c r="AM743" s="322">
        <f>SUMIFS('지출'!$G$3:$G794,'지출'!$J$3:$J794,AM$1,'지출'!$C$3:$C794,"동이")</f>
        <v>0</v>
      </c>
      <c r="AN743" s="316" t="s">
        <v>2177</v>
      </c>
      <c r="AO743" s="316"/>
      <c r="AP743" s="316"/>
      <c r="AQ743" s="316"/>
      <c r="AR743" s="316"/>
      <c r="AS743" s="316"/>
      <c r="AT743" s="316"/>
      <c r="AU743" s="316"/>
      <c r="AV743" s="316"/>
      <c r="AW743" s="316"/>
      <c r="AX743" s="316"/>
      <c r="AY743" s="316"/>
      <c r="AZ743" s="316"/>
      <c r="BA743" s="316"/>
      <c r="BB743" s="316"/>
      <c r="BC743" s="316"/>
      <c r="BD743" s="316"/>
      <c r="BE743" s="316"/>
      <c r="BF743" s="316"/>
      <c r="BG743" s="316"/>
      <c r="BH743" s="316"/>
      <c r="BI743" s="316"/>
      <c r="BJ743" s="316"/>
      <c r="BK743" s="316"/>
      <c r="BL743" s="316"/>
      <c r="BM743" s="316"/>
      <c r="BN743" s="316"/>
    </row>
    <row r="744" hidden="1" outlineLevel="1">
      <c r="A744" s="303" t="s">
        <v>1138</v>
      </c>
      <c r="B744" s="304"/>
      <c r="C744" s="325" t="s">
        <v>56</v>
      </c>
      <c r="D744" s="320"/>
      <c r="E744" s="323">
        <f t="shared" ref="E744:F744" si="1038">E735-(SUM(E736:E743))</f>
        <v>539500</v>
      </c>
      <c r="F744" s="324">
        <f t="shared" si="1038"/>
        <v>-19750</v>
      </c>
      <c r="G744" s="320"/>
      <c r="H744" s="323">
        <f t="shared" ref="H744:I744" si="1039">H735-(SUM(H736:H743))</f>
        <v>594143</v>
      </c>
      <c r="I744" s="324">
        <f t="shared" si="1039"/>
        <v>-3568</v>
      </c>
      <c r="J744" s="320"/>
      <c r="K744" s="323">
        <f t="shared" ref="K744:L744" si="1040">K735-(SUM(K736:K743))</f>
        <v>779500</v>
      </c>
      <c r="L744" s="324">
        <f t="shared" si="1040"/>
        <v>241720</v>
      </c>
      <c r="M744" s="320"/>
      <c r="N744" s="323">
        <f t="shared" ref="N744:O744" si="1041">N735-(SUM(N736:N743))</f>
        <v>779500</v>
      </c>
      <c r="O744" s="324">
        <f t="shared" si="1041"/>
        <v>364000</v>
      </c>
      <c r="P744" s="320"/>
      <c r="Q744" s="323">
        <f t="shared" ref="Q744:R744" si="1042">Q735-(SUM(Q736:Q743))</f>
        <v>779500</v>
      </c>
      <c r="R744" s="324">
        <f t="shared" si="1042"/>
        <v>364000</v>
      </c>
      <c r="S744" s="320"/>
      <c r="T744" s="323">
        <f t="shared" ref="T744:U744" si="1043">T735-(SUM(T736:T743))</f>
        <v>779500</v>
      </c>
      <c r="U744" s="324">
        <f t="shared" si="1043"/>
        <v>364000</v>
      </c>
      <c r="V744" s="320"/>
      <c r="W744" s="323">
        <f t="shared" ref="W744:X744" si="1044">W735-(SUM(W736:W743))</f>
        <v>779500</v>
      </c>
      <c r="X744" s="324">
        <f t="shared" si="1044"/>
        <v>364000</v>
      </c>
      <c r="Y744" s="320"/>
      <c r="Z744" s="323">
        <f t="shared" ref="Z744:AA744" si="1045">Z735-(SUM(Z736:Z743))</f>
        <v>698210</v>
      </c>
      <c r="AA744" s="324">
        <f t="shared" si="1045"/>
        <v>344645</v>
      </c>
      <c r="AB744" s="320"/>
      <c r="AC744" s="323">
        <f t="shared" ref="AC744:AD744" si="1046">AC735-(SUM(AC736:AC743))</f>
        <v>-190500</v>
      </c>
      <c r="AD744" s="324">
        <f t="shared" si="1046"/>
        <v>164000</v>
      </c>
      <c r="AE744" s="320"/>
      <c r="AF744" s="323">
        <f t="shared" ref="AF744:AG744" si="1047">AF735-(SUM(AF736:AF743))</f>
        <v>-190500</v>
      </c>
      <c r="AG744" s="324">
        <f t="shared" si="1047"/>
        <v>164000</v>
      </c>
      <c r="AH744" s="320"/>
      <c r="AI744" s="323">
        <f t="shared" ref="AI744:AJ744" si="1048">AI735-(SUM(AI736:AI743))</f>
        <v>-190500</v>
      </c>
      <c r="AJ744" s="324">
        <f t="shared" si="1048"/>
        <v>164000</v>
      </c>
      <c r="AK744" s="320"/>
      <c r="AL744" s="323">
        <f t="shared" ref="AL744:AM744" si="1049">AL735-(SUM(AL736:AL743))</f>
        <v>-190500</v>
      </c>
      <c r="AM744" s="324">
        <f t="shared" si="1049"/>
        <v>164000</v>
      </c>
      <c r="AN744" s="316" t="s">
        <v>2177</v>
      </c>
      <c r="AO744" s="316"/>
      <c r="AP744" s="316"/>
      <c r="AQ744" s="316"/>
      <c r="AR744" s="316"/>
      <c r="AS744" s="316"/>
      <c r="AT744" s="316"/>
      <c r="AU744" s="316"/>
      <c r="AV744" s="316"/>
      <c r="AW744" s="316"/>
      <c r="AX744" s="316"/>
      <c r="AY744" s="316"/>
      <c r="AZ744" s="316"/>
      <c r="BA744" s="316"/>
      <c r="BB744" s="316"/>
      <c r="BC744" s="316"/>
      <c r="BD744" s="316"/>
      <c r="BE744" s="316"/>
      <c r="BF744" s="316"/>
      <c r="BG744" s="316"/>
      <c r="BH744" s="316"/>
      <c r="BI744" s="316"/>
      <c r="BJ744" s="316"/>
      <c r="BK744" s="316"/>
      <c r="BL744" s="316"/>
      <c r="BM744" s="316"/>
      <c r="BN744" s="316"/>
    </row>
    <row r="745">
      <c r="A745" s="303" t="s">
        <v>1138</v>
      </c>
      <c r="B745" s="317" t="s">
        <v>1040</v>
      </c>
      <c r="C745" s="325" t="s">
        <v>26</v>
      </c>
      <c r="D745" s="326" t="s">
        <v>44</v>
      </c>
      <c r="E745" s="321">
        <v>0.0</v>
      </c>
      <c r="F745" s="324"/>
      <c r="G745" s="326" t="s">
        <v>44</v>
      </c>
      <c r="H745" s="321">
        <v>0.0</v>
      </c>
      <c r="I745" s="324"/>
      <c r="J745" s="326" t="s">
        <v>44</v>
      </c>
      <c r="K745" s="321">
        <v>0.0</v>
      </c>
      <c r="L745" s="324"/>
      <c r="M745" s="326" t="s">
        <v>44</v>
      </c>
      <c r="N745" s="321">
        <v>0.0</v>
      </c>
      <c r="O745" s="324"/>
      <c r="P745" s="326" t="s">
        <v>44</v>
      </c>
      <c r="Q745" s="321">
        <v>0.0</v>
      </c>
      <c r="R745" s="324"/>
      <c r="S745" s="326" t="s">
        <v>44</v>
      </c>
      <c r="T745" s="321">
        <v>0.0</v>
      </c>
      <c r="U745" s="324"/>
      <c r="V745" s="326" t="s">
        <v>44</v>
      </c>
      <c r="W745" s="321">
        <v>0.0</v>
      </c>
      <c r="X745" s="324"/>
      <c r="Y745" s="326" t="s">
        <v>44</v>
      </c>
      <c r="Z745" s="321">
        <v>0.0</v>
      </c>
      <c r="AA745" s="324"/>
      <c r="AB745" s="326" t="s">
        <v>44</v>
      </c>
      <c r="AC745" s="321">
        <v>0.0</v>
      </c>
      <c r="AD745" s="324"/>
      <c r="AE745" s="326" t="s">
        <v>44</v>
      </c>
      <c r="AF745" s="321">
        <v>0.0</v>
      </c>
      <c r="AG745" s="324"/>
      <c r="AH745" s="326" t="s">
        <v>44</v>
      </c>
      <c r="AI745" s="321">
        <v>0.0</v>
      </c>
      <c r="AJ745" s="324"/>
      <c r="AK745" s="326" t="s">
        <v>44</v>
      </c>
      <c r="AL745" s="321">
        <v>0.0</v>
      </c>
      <c r="AM745" s="324"/>
      <c r="AN745" s="316" t="s">
        <v>2177</v>
      </c>
      <c r="AO745" s="316"/>
      <c r="AP745" s="316"/>
      <c r="AQ745" s="316"/>
      <c r="AR745" s="316"/>
      <c r="AS745" s="316"/>
      <c r="AT745" s="316"/>
      <c r="AU745" s="316"/>
      <c r="AV745" s="316"/>
      <c r="AW745" s="316"/>
      <c r="AX745" s="316"/>
      <c r="AY745" s="316"/>
      <c r="AZ745" s="316"/>
      <c r="BA745" s="316"/>
      <c r="BB745" s="316"/>
      <c r="BC745" s="316"/>
      <c r="BD745" s="316"/>
      <c r="BE745" s="316"/>
      <c r="BF745" s="316"/>
      <c r="BG745" s="316"/>
      <c r="BH745" s="316"/>
      <c r="BI745" s="316"/>
      <c r="BJ745" s="316"/>
      <c r="BK745" s="316"/>
      <c r="BL745" s="316"/>
      <c r="BM745" s="316"/>
      <c r="BN745" s="316"/>
    </row>
    <row r="746">
      <c r="A746" s="303" t="s">
        <v>1138</v>
      </c>
      <c r="B746" s="329">
        <v>1.0</v>
      </c>
      <c r="C746" s="330" t="s">
        <v>57</v>
      </c>
      <c r="D746" s="331"/>
      <c r="E746" s="332">
        <f>E744-E745</f>
        <v>539500</v>
      </c>
      <c r="F746" s="333"/>
      <c r="G746" s="331"/>
      <c r="H746" s="332">
        <f>H744-H745</f>
        <v>594143</v>
      </c>
      <c r="I746" s="333"/>
      <c r="J746" s="331"/>
      <c r="K746" s="332">
        <f>K744-K745</f>
        <v>779500</v>
      </c>
      <c r="L746" s="333"/>
      <c r="M746" s="331"/>
      <c r="N746" s="332">
        <f>N744-N745</f>
        <v>779500</v>
      </c>
      <c r="O746" s="333"/>
      <c r="P746" s="331"/>
      <c r="Q746" s="332">
        <f>Q744-Q745</f>
        <v>779500</v>
      </c>
      <c r="R746" s="333"/>
      <c r="S746" s="331"/>
      <c r="T746" s="332">
        <f>T744-T745</f>
        <v>779500</v>
      </c>
      <c r="U746" s="333"/>
      <c r="V746" s="331"/>
      <c r="W746" s="332">
        <f>W744-W745</f>
        <v>779500</v>
      </c>
      <c r="X746" s="333"/>
      <c r="Y746" s="331"/>
      <c r="Z746" s="332">
        <f>Z744-Z745</f>
        <v>698210</v>
      </c>
      <c r="AA746" s="333"/>
      <c r="AB746" s="331"/>
      <c r="AC746" s="332">
        <f>AC744-AC745</f>
        <v>-190500</v>
      </c>
      <c r="AD746" s="333"/>
      <c r="AE746" s="331"/>
      <c r="AF746" s="332">
        <f>AF744-AF745</f>
        <v>-190500</v>
      </c>
      <c r="AG746" s="333"/>
      <c r="AH746" s="331"/>
      <c r="AI746" s="332">
        <f>AI744-AI745</f>
        <v>-190500</v>
      </c>
      <c r="AJ746" s="333"/>
      <c r="AK746" s="331"/>
      <c r="AL746" s="332">
        <f>AL744-AL745</f>
        <v>-190500</v>
      </c>
      <c r="AM746" s="333"/>
      <c r="AN746" s="316" t="s">
        <v>2177</v>
      </c>
      <c r="AO746" s="316"/>
      <c r="AP746" s="316"/>
      <c r="AQ746" s="316"/>
      <c r="AR746" s="316"/>
      <c r="AS746" s="316"/>
      <c r="AT746" s="316"/>
      <c r="AU746" s="316"/>
      <c r="AV746" s="316"/>
      <c r="AW746" s="316"/>
      <c r="AX746" s="316"/>
      <c r="AY746" s="316"/>
      <c r="AZ746" s="316"/>
      <c r="BA746" s="316"/>
      <c r="BB746" s="316"/>
      <c r="BC746" s="316"/>
      <c r="BD746" s="316"/>
      <c r="BE746" s="316"/>
      <c r="BF746" s="316"/>
      <c r="BG746" s="316"/>
      <c r="BH746" s="316"/>
      <c r="BI746" s="316"/>
      <c r="BJ746" s="316"/>
      <c r="BK746" s="316"/>
      <c r="BL746" s="316"/>
      <c r="BM746" s="316"/>
      <c r="BN746" s="316"/>
    </row>
    <row r="747">
      <c r="A747" s="303" t="s">
        <v>1165</v>
      </c>
      <c r="B747" s="384" t="s">
        <v>1165</v>
      </c>
      <c r="C747" s="385" t="s">
        <v>320</v>
      </c>
      <c r="D747" s="341" t="s">
        <v>1169</v>
      </c>
      <c r="E747" s="335">
        <v>490000.0</v>
      </c>
      <c r="F747" s="346">
        <f t="shared" ref="F747:F750" si="1050">80000+10000</f>
        <v>90000</v>
      </c>
      <c r="G747" s="353" t="s">
        <v>2370</v>
      </c>
      <c r="H747" s="335">
        <v>490000.0</v>
      </c>
      <c r="I747" s="346">
        <f>80000+15000</f>
        <v>95000</v>
      </c>
      <c r="J747" s="326" t="s">
        <v>2371</v>
      </c>
      <c r="K747" s="348">
        <v>500000.0</v>
      </c>
      <c r="L747" s="322">
        <v>100000.0</v>
      </c>
      <c r="M747" s="326" t="s">
        <v>1174</v>
      </c>
      <c r="N747" s="348">
        <v>500000.0</v>
      </c>
      <c r="O747" s="322">
        <v>100000.0</v>
      </c>
      <c r="P747" s="326" t="s">
        <v>1174</v>
      </c>
      <c r="Q747" s="348">
        <v>500000.0</v>
      </c>
      <c r="R747" s="322">
        <v>100000.0</v>
      </c>
      <c r="S747" s="326" t="s">
        <v>1174</v>
      </c>
      <c r="T747" s="348">
        <v>500000.0</v>
      </c>
      <c r="U747" s="322">
        <v>100000.0</v>
      </c>
      <c r="V747" s="326" t="s">
        <v>1174</v>
      </c>
      <c r="W747" s="348">
        <v>500000.0</v>
      </c>
      <c r="X747" s="322">
        <v>100000.0</v>
      </c>
      <c r="Y747" s="326" t="s">
        <v>1174</v>
      </c>
      <c r="Z747" s="348">
        <v>500000.0</v>
      </c>
      <c r="AA747" s="322">
        <v>100000.0</v>
      </c>
      <c r="AB747" s="326" t="s">
        <v>1174</v>
      </c>
      <c r="AC747" s="348">
        <v>500000.0</v>
      </c>
      <c r="AD747" s="322">
        <v>100000.0</v>
      </c>
      <c r="AE747" s="326" t="s">
        <v>1174</v>
      </c>
      <c r="AF747" s="348">
        <v>500000.0</v>
      </c>
      <c r="AG747" s="322">
        <v>100000.0</v>
      </c>
      <c r="AH747" s="326" t="s">
        <v>1174</v>
      </c>
      <c r="AI747" s="348">
        <v>500000.0</v>
      </c>
      <c r="AJ747" s="322">
        <v>100000.0</v>
      </c>
      <c r="AK747" s="326" t="s">
        <v>1174</v>
      </c>
      <c r="AL747" s="348">
        <v>500000.0</v>
      </c>
      <c r="AM747" s="322">
        <v>100000.0</v>
      </c>
      <c r="AN747" s="316" t="s">
        <v>2177</v>
      </c>
      <c r="AO747" s="316"/>
      <c r="AP747" s="316"/>
      <c r="AQ747" s="316"/>
      <c r="AR747" s="316"/>
      <c r="AS747" s="316"/>
      <c r="AT747" s="316"/>
      <c r="AU747" s="316"/>
      <c r="AV747" s="316"/>
      <c r="AW747" s="316"/>
      <c r="AX747" s="316"/>
      <c r="AY747" s="316"/>
      <c r="AZ747" s="316"/>
      <c r="BA747" s="316"/>
      <c r="BB747" s="316"/>
      <c r="BC747" s="316"/>
      <c r="BD747" s="316"/>
      <c r="BE747" s="316"/>
      <c r="BF747" s="316"/>
      <c r="BG747" s="316"/>
      <c r="BH747" s="316"/>
      <c r="BI747" s="316"/>
      <c r="BJ747" s="316"/>
      <c r="BK747" s="316"/>
      <c r="BL747" s="316"/>
      <c r="BM747" s="316"/>
      <c r="BN747" s="316"/>
    </row>
    <row r="748">
      <c r="A748" s="303" t="s">
        <v>1165</v>
      </c>
      <c r="B748" s="384" t="s">
        <v>1165</v>
      </c>
      <c r="C748" s="385" t="s">
        <v>322</v>
      </c>
      <c r="D748" s="341" t="s">
        <v>1171</v>
      </c>
      <c r="E748" s="335">
        <v>470000.0</v>
      </c>
      <c r="F748" s="346">
        <f t="shared" si="1050"/>
        <v>90000</v>
      </c>
      <c r="G748" s="353" t="s">
        <v>2372</v>
      </c>
      <c r="H748" s="335">
        <f>470000+17857</f>
        <v>487857</v>
      </c>
      <c r="I748" s="346">
        <f>80000+15000+3571</f>
        <v>98571</v>
      </c>
      <c r="J748" s="326" t="s">
        <v>2008</v>
      </c>
      <c r="K748" s="321">
        <v>500000.0</v>
      </c>
      <c r="L748" s="322">
        <v>100000.0</v>
      </c>
      <c r="M748" s="326" t="s">
        <v>2008</v>
      </c>
      <c r="N748" s="321">
        <v>500000.0</v>
      </c>
      <c r="O748" s="322">
        <v>100000.0</v>
      </c>
      <c r="P748" s="326" t="s">
        <v>2008</v>
      </c>
      <c r="Q748" s="321">
        <v>500000.0</v>
      </c>
      <c r="R748" s="322">
        <v>100000.0</v>
      </c>
      <c r="S748" s="326" t="s">
        <v>2008</v>
      </c>
      <c r="T748" s="321">
        <v>500000.0</v>
      </c>
      <c r="U748" s="322">
        <v>100000.0</v>
      </c>
      <c r="V748" s="326" t="s">
        <v>2008</v>
      </c>
      <c r="W748" s="321">
        <v>500000.0</v>
      </c>
      <c r="X748" s="322">
        <v>100000.0</v>
      </c>
      <c r="Y748" s="326" t="s">
        <v>2008</v>
      </c>
      <c r="Z748" s="321">
        <v>500000.0</v>
      </c>
      <c r="AA748" s="322">
        <v>100000.0</v>
      </c>
      <c r="AB748" s="326" t="s">
        <v>2008</v>
      </c>
      <c r="AC748" s="321">
        <v>500000.0</v>
      </c>
      <c r="AD748" s="322">
        <v>100000.0</v>
      </c>
      <c r="AE748" s="326" t="s">
        <v>2008</v>
      </c>
      <c r="AF748" s="321">
        <v>500000.0</v>
      </c>
      <c r="AG748" s="322">
        <v>100000.0</v>
      </c>
      <c r="AH748" s="326" t="s">
        <v>2008</v>
      </c>
      <c r="AI748" s="321">
        <v>500000.0</v>
      </c>
      <c r="AJ748" s="322">
        <v>100000.0</v>
      </c>
      <c r="AK748" s="326" t="s">
        <v>2008</v>
      </c>
      <c r="AL748" s="321">
        <v>500000.0</v>
      </c>
      <c r="AM748" s="322">
        <v>100000.0</v>
      </c>
      <c r="AN748" s="316" t="s">
        <v>2177</v>
      </c>
      <c r="AO748" s="316"/>
      <c r="AP748" s="316"/>
      <c r="AQ748" s="316"/>
      <c r="AR748" s="316"/>
      <c r="AS748" s="316"/>
      <c r="AT748" s="316"/>
      <c r="AU748" s="316"/>
      <c r="AV748" s="316"/>
      <c r="AW748" s="316"/>
      <c r="AX748" s="316"/>
      <c r="AY748" s="316"/>
      <c r="AZ748" s="316"/>
      <c r="BA748" s="316"/>
      <c r="BB748" s="316"/>
      <c r="BC748" s="316"/>
      <c r="BD748" s="316"/>
      <c r="BE748" s="316"/>
      <c r="BF748" s="316"/>
      <c r="BG748" s="316"/>
      <c r="BH748" s="316"/>
      <c r="BI748" s="316"/>
      <c r="BJ748" s="316"/>
      <c r="BK748" s="316"/>
      <c r="BL748" s="316"/>
      <c r="BM748" s="316"/>
      <c r="BN748" s="316"/>
    </row>
    <row r="749">
      <c r="A749" s="303" t="s">
        <v>1165</v>
      </c>
      <c r="B749" s="384" t="s">
        <v>1165</v>
      </c>
      <c r="C749" s="385" t="s">
        <v>323</v>
      </c>
      <c r="D749" s="341" t="s">
        <v>1174</v>
      </c>
      <c r="E749" s="348">
        <v>270000.0</v>
      </c>
      <c r="F749" s="346">
        <f t="shared" si="1050"/>
        <v>90000</v>
      </c>
      <c r="G749" s="353" t="s">
        <v>2373</v>
      </c>
      <c r="H749" s="335">
        <v>370000.0</v>
      </c>
      <c r="I749" s="346">
        <f t="shared" ref="I749:I750" si="1051">80000+15000</f>
        <v>95000</v>
      </c>
      <c r="J749" s="326" t="s">
        <v>2374</v>
      </c>
      <c r="K749" s="321">
        <v>370000.0</v>
      </c>
      <c r="L749" s="322">
        <v>100000.0</v>
      </c>
      <c r="M749" s="326" t="s">
        <v>2011</v>
      </c>
      <c r="N749" s="321">
        <v>370000.0</v>
      </c>
      <c r="O749" s="322">
        <v>100000.0</v>
      </c>
      <c r="P749" s="326" t="s">
        <v>2011</v>
      </c>
      <c r="Q749" s="321">
        <v>370000.0</v>
      </c>
      <c r="R749" s="322">
        <v>100000.0</v>
      </c>
      <c r="S749" s="326" t="s">
        <v>2011</v>
      </c>
      <c r="T749" s="321">
        <v>370000.0</v>
      </c>
      <c r="U749" s="322">
        <v>100000.0</v>
      </c>
      <c r="V749" s="326" t="s">
        <v>2011</v>
      </c>
      <c r="W749" s="321">
        <v>370000.0</v>
      </c>
      <c r="X749" s="322">
        <v>100000.0</v>
      </c>
      <c r="Y749" s="326" t="s">
        <v>2011</v>
      </c>
      <c r="Z749" s="321">
        <v>370000.0</v>
      </c>
      <c r="AA749" s="322">
        <v>100000.0</v>
      </c>
      <c r="AB749" s="326" t="s">
        <v>2011</v>
      </c>
      <c r="AC749" s="321">
        <v>370000.0</v>
      </c>
      <c r="AD749" s="322">
        <v>100000.0</v>
      </c>
      <c r="AE749" s="326" t="s">
        <v>2011</v>
      </c>
      <c r="AF749" s="321">
        <v>370000.0</v>
      </c>
      <c r="AG749" s="322">
        <v>100000.0</v>
      </c>
      <c r="AH749" s="326" t="s">
        <v>2011</v>
      </c>
      <c r="AI749" s="321">
        <v>370000.0</v>
      </c>
      <c r="AJ749" s="322">
        <v>100000.0</v>
      </c>
      <c r="AK749" s="326" t="s">
        <v>2011</v>
      </c>
      <c r="AL749" s="321">
        <v>370000.0</v>
      </c>
      <c r="AM749" s="322">
        <v>100000.0</v>
      </c>
      <c r="AN749" s="316" t="s">
        <v>2177</v>
      </c>
      <c r="AO749" s="316"/>
      <c r="AP749" s="316"/>
      <c r="AQ749" s="316"/>
      <c r="AR749" s="316"/>
      <c r="AS749" s="316"/>
      <c r="AT749" s="316"/>
      <c r="AU749" s="316"/>
      <c r="AV749" s="316"/>
      <c r="AW749" s="316"/>
      <c r="AX749" s="316"/>
      <c r="AY749" s="316"/>
      <c r="AZ749" s="316"/>
      <c r="BA749" s="316"/>
      <c r="BB749" s="316"/>
      <c r="BC749" s="316"/>
      <c r="BD749" s="316"/>
      <c r="BE749" s="316"/>
      <c r="BF749" s="316"/>
      <c r="BG749" s="316"/>
      <c r="BH749" s="316"/>
      <c r="BI749" s="316"/>
      <c r="BJ749" s="316"/>
      <c r="BK749" s="316"/>
      <c r="BL749" s="316"/>
      <c r="BM749" s="316"/>
      <c r="BN749" s="316"/>
    </row>
    <row r="750">
      <c r="A750" s="303" t="s">
        <v>1165</v>
      </c>
      <c r="B750" s="384" t="s">
        <v>1165</v>
      </c>
      <c r="C750" s="385" t="s">
        <v>349</v>
      </c>
      <c r="D750" s="341" t="s">
        <v>1176</v>
      </c>
      <c r="E750" s="348">
        <v>270000.0</v>
      </c>
      <c r="F750" s="346">
        <f t="shared" si="1050"/>
        <v>90000</v>
      </c>
      <c r="G750" s="353" t="s">
        <v>2375</v>
      </c>
      <c r="H750" s="348">
        <v>270000.0</v>
      </c>
      <c r="I750" s="346">
        <f t="shared" si="1051"/>
        <v>95000</v>
      </c>
      <c r="J750" s="326" t="s">
        <v>2376</v>
      </c>
      <c r="K750" s="321">
        <v>370000.0</v>
      </c>
      <c r="L750" s="322">
        <v>100000.0</v>
      </c>
      <c r="M750" s="326" t="s">
        <v>2014</v>
      </c>
      <c r="N750" s="321">
        <v>370000.0</v>
      </c>
      <c r="O750" s="322">
        <v>100000.0</v>
      </c>
      <c r="P750" s="326" t="s">
        <v>2014</v>
      </c>
      <c r="Q750" s="321">
        <v>370000.0</v>
      </c>
      <c r="R750" s="322">
        <v>100000.0</v>
      </c>
      <c r="S750" s="326" t="s">
        <v>2014</v>
      </c>
      <c r="T750" s="321">
        <v>370000.0</v>
      </c>
      <c r="U750" s="322">
        <v>100000.0</v>
      </c>
      <c r="V750" s="326" t="s">
        <v>2014</v>
      </c>
      <c r="W750" s="321">
        <v>370000.0</v>
      </c>
      <c r="X750" s="322">
        <v>100000.0</v>
      </c>
      <c r="Y750" s="326" t="s">
        <v>2014</v>
      </c>
      <c r="Z750" s="321">
        <v>370000.0</v>
      </c>
      <c r="AA750" s="322">
        <v>100000.0</v>
      </c>
      <c r="AB750" s="326" t="s">
        <v>2014</v>
      </c>
      <c r="AC750" s="321">
        <v>370000.0</v>
      </c>
      <c r="AD750" s="322">
        <v>100000.0</v>
      </c>
      <c r="AE750" s="326" t="s">
        <v>2014</v>
      </c>
      <c r="AF750" s="321">
        <v>370000.0</v>
      </c>
      <c r="AG750" s="322">
        <v>100000.0</v>
      </c>
      <c r="AH750" s="326" t="s">
        <v>2014</v>
      </c>
      <c r="AI750" s="321">
        <v>370000.0</v>
      </c>
      <c r="AJ750" s="322">
        <v>100000.0</v>
      </c>
      <c r="AK750" s="326" t="s">
        <v>2014</v>
      </c>
      <c r="AL750" s="321">
        <v>370000.0</v>
      </c>
      <c r="AM750" s="322">
        <v>100000.0</v>
      </c>
      <c r="AN750" s="316" t="s">
        <v>2177</v>
      </c>
      <c r="AO750" s="316"/>
      <c r="AP750" s="316"/>
      <c r="AQ750" s="316"/>
      <c r="AR750" s="316"/>
      <c r="AS750" s="316"/>
      <c r="AT750" s="316"/>
      <c r="AU750" s="316"/>
      <c r="AV750" s="316"/>
      <c r="AW750" s="316"/>
      <c r="AX750" s="316"/>
      <c r="AY750" s="316"/>
      <c r="AZ750" s="316"/>
      <c r="BA750" s="316"/>
      <c r="BB750" s="316"/>
      <c r="BC750" s="316"/>
      <c r="BD750" s="316"/>
      <c r="BE750" s="316"/>
      <c r="BF750" s="316"/>
      <c r="BG750" s="316"/>
      <c r="BH750" s="316"/>
      <c r="BI750" s="316"/>
      <c r="BJ750" s="316"/>
      <c r="BK750" s="316"/>
      <c r="BL750" s="316"/>
      <c r="BM750" s="316"/>
      <c r="BN750" s="316"/>
    </row>
    <row r="751">
      <c r="A751" s="303" t="s">
        <v>1165</v>
      </c>
      <c r="B751" s="304"/>
      <c r="C751" s="305" t="s">
        <v>42</v>
      </c>
      <c r="D751" s="320"/>
      <c r="E751" s="323">
        <f t="shared" ref="E751:F751" si="1052">SUM(E747:E750)</f>
        <v>1500000</v>
      </c>
      <c r="F751" s="324">
        <f t="shared" si="1052"/>
        <v>360000</v>
      </c>
      <c r="G751" s="320"/>
      <c r="H751" s="323">
        <f t="shared" ref="H751:I751" si="1053">SUM(H747:H750)</f>
        <v>1617857</v>
      </c>
      <c r="I751" s="324">
        <f t="shared" si="1053"/>
        <v>383571</v>
      </c>
      <c r="J751" s="320"/>
      <c r="K751" s="323">
        <f t="shared" ref="K751:L751" si="1054">SUM(K747:K750)</f>
        <v>1740000</v>
      </c>
      <c r="L751" s="324">
        <f t="shared" si="1054"/>
        <v>400000</v>
      </c>
      <c r="M751" s="320"/>
      <c r="N751" s="323">
        <f t="shared" ref="N751:O751" si="1055">SUM(N747:N750)</f>
        <v>1740000</v>
      </c>
      <c r="O751" s="324">
        <f t="shared" si="1055"/>
        <v>400000</v>
      </c>
      <c r="P751" s="320"/>
      <c r="Q751" s="323">
        <f t="shared" ref="Q751:R751" si="1056">SUM(Q747:Q750)</f>
        <v>1740000</v>
      </c>
      <c r="R751" s="324">
        <f t="shared" si="1056"/>
        <v>400000</v>
      </c>
      <c r="S751" s="320"/>
      <c r="T751" s="323">
        <f t="shared" ref="T751:U751" si="1057">SUM(T747:T750)</f>
        <v>1740000</v>
      </c>
      <c r="U751" s="324">
        <f t="shared" si="1057"/>
        <v>400000</v>
      </c>
      <c r="V751" s="320"/>
      <c r="W751" s="323">
        <f t="shared" ref="W751:X751" si="1058">SUM(W747:W750)</f>
        <v>1740000</v>
      </c>
      <c r="X751" s="324">
        <f t="shared" si="1058"/>
        <v>400000</v>
      </c>
      <c r="Y751" s="320"/>
      <c r="Z751" s="323">
        <f t="shared" ref="Z751:AA751" si="1059">SUM(Z747:Z750)</f>
        <v>1740000</v>
      </c>
      <c r="AA751" s="324">
        <f t="shared" si="1059"/>
        <v>400000</v>
      </c>
      <c r="AB751" s="320"/>
      <c r="AC751" s="323">
        <f t="shared" ref="AC751:AD751" si="1060">SUM(AC747:AC750)</f>
        <v>1740000</v>
      </c>
      <c r="AD751" s="324">
        <f t="shared" si="1060"/>
        <v>400000</v>
      </c>
      <c r="AE751" s="320"/>
      <c r="AF751" s="323">
        <f t="shared" ref="AF751:AG751" si="1061">SUM(AF747:AF750)</f>
        <v>1740000</v>
      </c>
      <c r="AG751" s="324">
        <f t="shared" si="1061"/>
        <v>400000</v>
      </c>
      <c r="AH751" s="320"/>
      <c r="AI751" s="323">
        <f t="shared" ref="AI751:AJ751" si="1062">SUM(AI747:AI750)</f>
        <v>1740000</v>
      </c>
      <c r="AJ751" s="324">
        <f t="shared" si="1062"/>
        <v>400000</v>
      </c>
      <c r="AK751" s="320"/>
      <c r="AL751" s="323">
        <f t="shared" ref="AL751:AM751" si="1063">SUM(AL747:AL750)</f>
        <v>1740000</v>
      </c>
      <c r="AM751" s="324">
        <f t="shared" si="1063"/>
        <v>400000</v>
      </c>
      <c r="AN751" s="316" t="s">
        <v>2177</v>
      </c>
      <c r="AO751" s="316"/>
      <c r="AP751" s="316"/>
      <c r="AQ751" s="316"/>
      <c r="AR751" s="316"/>
      <c r="AS751" s="316"/>
      <c r="AT751" s="316"/>
      <c r="AU751" s="316"/>
      <c r="AV751" s="316"/>
      <c r="AW751" s="316"/>
      <c r="AX751" s="316"/>
      <c r="AY751" s="316"/>
      <c r="AZ751" s="316"/>
      <c r="BA751" s="316"/>
      <c r="BB751" s="316"/>
      <c r="BC751" s="316"/>
      <c r="BD751" s="316"/>
      <c r="BE751" s="316"/>
      <c r="BF751" s="316"/>
      <c r="BG751" s="316"/>
      <c r="BH751" s="316"/>
      <c r="BI751" s="316"/>
      <c r="BJ751" s="316"/>
      <c r="BK751" s="316"/>
      <c r="BL751" s="316"/>
      <c r="BM751" s="316"/>
      <c r="BN751" s="316"/>
    </row>
    <row r="752" collapsed="1">
      <c r="A752" s="303" t="s">
        <v>1165</v>
      </c>
      <c r="B752" s="304"/>
      <c r="C752" s="325" t="s">
        <v>43</v>
      </c>
      <c r="D752" s="326"/>
      <c r="E752" s="321">
        <v>1000000.0</v>
      </c>
      <c r="F752" s="322"/>
      <c r="G752" s="326"/>
      <c r="H752" s="321">
        <v>1000000.0</v>
      </c>
      <c r="I752" s="322"/>
      <c r="J752" s="326"/>
      <c r="K752" s="321">
        <v>1000000.0</v>
      </c>
      <c r="L752" s="322"/>
      <c r="M752" s="326"/>
      <c r="N752" s="321">
        <v>1000000.0</v>
      </c>
      <c r="O752" s="322"/>
      <c r="P752" s="326"/>
      <c r="Q752" s="321">
        <v>1000000.0</v>
      </c>
      <c r="R752" s="322"/>
      <c r="S752" s="326"/>
      <c r="T752" s="321">
        <v>1000000.0</v>
      </c>
      <c r="U752" s="322"/>
      <c r="V752" s="326"/>
      <c r="W752" s="321">
        <v>1000000.0</v>
      </c>
      <c r="X752" s="322"/>
      <c r="Y752" s="326"/>
      <c r="Z752" s="321">
        <v>1000000.0</v>
      </c>
      <c r="AA752" s="322"/>
      <c r="AB752" s="326"/>
      <c r="AC752" s="321">
        <v>1000000.0</v>
      </c>
      <c r="AD752" s="322"/>
      <c r="AE752" s="326"/>
      <c r="AF752" s="321">
        <v>1000000.0</v>
      </c>
      <c r="AG752" s="322"/>
      <c r="AH752" s="326"/>
      <c r="AI752" s="321">
        <v>1000000.0</v>
      </c>
      <c r="AJ752" s="322"/>
      <c r="AK752" s="326"/>
      <c r="AL752" s="321">
        <v>1000000.0</v>
      </c>
      <c r="AM752" s="322"/>
      <c r="AN752" s="316" t="s">
        <v>2177</v>
      </c>
      <c r="AO752" s="316"/>
      <c r="AP752" s="316"/>
      <c r="AQ752" s="316"/>
      <c r="AR752" s="316"/>
      <c r="AS752" s="316"/>
      <c r="AT752" s="316"/>
      <c r="AU752" s="316"/>
      <c r="AV752" s="316"/>
      <c r="AW752" s="316"/>
      <c r="AX752" s="316"/>
      <c r="AY752" s="316"/>
      <c r="AZ752" s="316"/>
      <c r="BA752" s="316"/>
      <c r="BB752" s="316"/>
      <c r="BC752" s="316"/>
      <c r="BD752" s="316"/>
      <c r="BE752" s="316"/>
      <c r="BF752" s="316"/>
      <c r="BG752" s="316"/>
      <c r="BH752" s="316"/>
      <c r="BI752" s="316"/>
      <c r="BJ752" s="316"/>
      <c r="BK752" s="316"/>
      <c r="BL752" s="316"/>
      <c r="BM752" s="316"/>
      <c r="BN752" s="316"/>
    </row>
    <row r="753" hidden="1" outlineLevel="1">
      <c r="A753" s="303" t="s">
        <v>1165</v>
      </c>
      <c r="B753" s="304"/>
      <c r="C753" s="325" t="s">
        <v>45</v>
      </c>
      <c r="D753" s="326"/>
      <c r="E753" s="321">
        <v>50000.0</v>
      </c>
      <c r="F753" s="322"/>
      <c r="G753" s="326"/>
      <c r="H753" s="321">
        <v>50000.0</v>
      </c>
      <c r="I753" s="322"/>
      <c r="J753" s="326"/>
      <c r="K753" s="321">
        <v>50000.0</v>
      </c>
      <c r="L753" s="322"/>
      <c r="M753" s="326"/>
      <c r="N753" s="321">
        <v>50000.0</v>
      </c>
      <c r="O753" s="322"/>
      <c r="P753" s="326"/>
      <c r="Q753" s="321">
        <v>50000.0</v>
      </c>
      <c r="R753" s="322"/>
      <c r="S753" s="326"/>
      <c r="T753" s="321">
        <v>50000.0</v>
      </c>
      <c r="U753" s="322"/>
      <c r="V753" s="326"/>
      <c r="W753" s="321">
        <v>50000.0</v>
      </c>
      <c r="X753" s="322"/>
      <c r="Y753" s="326"/>
      <c r="Z753" s="321">
        <v>50000.0</v>
      </c>
      <c r="AA753" s="322"/>
      <c r="AB753" s="326"/>
      <c r="AC753" s="321">
        <v>50000.0</v>
      </c>
      <c r="AD753" s="322"/>
      <c r="AE753" s="326"/>
      <c r="AF753" s="321">
        <v>50000.0</v>
      </c>
      <c r="AG753" s="322"/>
      <c r="AH753" s="326"/>
      <c r="AI753" s="321">
        <v>50000.0</v>
      </c>
      <c r="AJ753" s="322"/>
      <c r="AK753" s="326"/>
      <c r="AL753" s="321">
        <v>50000.0</v>
      </c>
      <c r="AM753" s="322"/>
      <c r="AN753" s="316" t="s">
        <v>2177</v>
      </c>
      <c r="AO753" s="316"/>
      <c r="AP753" s="316"/>
      <c r="AQ753" s="316"/>
      <c r="AR753" s="316"/>
      <c r="AS753" s="316"/>
      <c r="AT753" s="316"/>
      <c r="AU753" s="316"/>
      <c r="AV753" s="316"/>
      <c r="AW753" s="316"/>
      <c r="AX753" s="316"/>
      <c r="AY753" s="316"/>
      <c r="AZ753" s="316"/>
      <c r="BA753" s="316"/>
      <c r="BB753" s="316"/>
      <c r="BC753" s="316"/>
      <c r="BD753" s="316"/>
      <c r="BE753" s="316"/>
      <c r="BF753" s="316"/>
      <c r="BG753" s="316"/>
      <c r="BH753" s="316"/>
      <c r="BI753" s="316"/>
      <c r="BJ753" s="316"/>
      <c r="BK753" s="316"/>
      <c r="BL753" s="316"/>
      <c r="BM753" s="316"/>
      <c r="BN753" s="316"/>
    </row>
    <row r="754" hidden="1" outlineLevel="1">
      <c r="A754" s="303" t="s">
        <v>1165</v>
      </c>
      <c r="B754" s="317" t="s">
        <v>1177</v>
      </c>
      <c r="C754" s="325" t="s">
        <v>47</v>
      </c>
      <c r="D754" s="326"/>
      <c r="E754" s="321"/>
      <c r="F754" s="322">
        <v>36120.0</v>
      </c>
      <c r="G754" s="326"/>
      <c r="H754" s="321"/>
      <c r="I754" s="322">
        <v>26990.0</v>
      </c>
      <c r="J754" s="326" t="s">
        <v>2039</v>
      </c>
      <c r="K754" s="321"/>
      <c r="L754" s="322">
        <v>35000.0</v>
      </c>
      <c r="M754" s="326"/>
      <c r="N754" s="321"/>
      <c r="O754" s="322"/>
      <c r="P754" s="326"/>
      <c r="Q754" s="321"/>
      <c r="R754" s="322"/>
      <c r="S754" s="326"/>
      <c r="T754" s="321"/>
      <c r="U754" s="322"/>
      <c r="V754" s="326"/>
      <c r="W754" s="321"/>
      <c r="X754" s="322"/>
      <c r="Y754" s="326"/>
      <c r="Z754" s="321"/>
      <c r="AA754" s="322"/>
      <c r="AB754" s="326"/>
      <c r="AC754" s="321"/>
      <c r="AD754" s="322"/>
      <c r="AE754" s="326"/>
      <c r="AF754" s="321"/>
      <c r="AG754" s="322"/>
      <c r="AH754" s="326"/>
      <c r="AI754" s="321"/>
      <c r="AJ754" s="322"/>
      <c r="AK754" s="326"/>
      <c r="AL754" s="321"/>
      <c r="AM754" s="322"/>
      <c r="AN754" s="316" t="s">
        <v>2177</v>
      </c>
      <c r="AO754" s="316"/>
      <c r="AP754" s="316"/>
      <c r="AQ754" s="316"/>
      <c r="AR754" s="316"/>
      <c r="AS754" s="316"/>
      <c r="AT754" s="316"/>
      <c r="AU754" s="316"/>
      <c r="AV754" s="316"/>
      <c r="AW754" s="316"/>
      <c r="AX754" s="316"/>
      <c r="AY754" s="316"/>
      <c r="AZ754" s="316"/>
      <c r="BA754" s="316"/>
      <c r="BB754" s="316"/>
      <c r="BC754" s="316"/>
      <c r="BD754" s="316"/>
      <c r="BE754" s="316"/>
      <c r="BF754" s="316"/>
      <c r="BG754" s="316"/>
      <c r="BH754" s="316"/>
      <c r="BI754" s="316"/>
      <c r="BJ754" s="316"/>
      <c r="BK754" s="316"/>
      <c r="BL754" s="316"/>
      <c r="BM754" s="316"/>
      <c r="BN754" s="316"/>
    </row>
    <row r="755" hidden="1" outlineLevel="1">
      <c r="A755" s="303" t="s">
        <v>1165</v>
      </c>
      <c r="B755" s="317" t="s">
        <v>1178</v>
      </c>
      <c r="C755" s="325" t="s">
        <v>49</v>
      </c>
      <c r="D755" s="326"/>
      <c r="E755" s="321"/>
      <c r="F755" s="322">
        <v>278930.0</v>
      </c>
      <c r="G755" s="326"/>
      <c r="H755" s="321"/>
      <c r="I755" s="322">
        <v>235720.0</v>
      </c>
      <c r="J755" s="326"/>
      <c r="K755" s="321"/>
      <c r="L755" s="322">
        <v>232760.0</v>
      </c>
      <c r="M755" s="326"/>
      <c r="N755" s="321"/>
      <c r="O755" s="322"/>
      <c r="P755" s="326"/>
      <c r="Q755" s="321"/>
      <c r="R755" s="322"/>
      <c r="S755" s="326"/>
      <c r="T755" s="321"/>
      <c r="U755" s="322"/>
      <c r="V755" s="326"/>
      <c r="W755" s="321"/>
      <c r="X755" s="322"/>
      <c r="Y755" s="326"/>
      <c r="Z755" s="321"/>
      <c r="AA755" s="322"/>
      <c r="AB755" s="326"/>
      <c r="AC755" s="321"/>
      <c r="AD755" s="322"/>
      <c r="AE755" s="326"/>
      <c r="AF755" s="321"/>
      <c r="AG755" s="322"/>
      <c r="AH755" s="326"/>
      <c r="AI755" s="321"/>
      <c r="AJ755" s="322"/>
      <c r="AK755" s="326"/>
      <c r="AL755" s="321"/>
      <c r="AM755" s="322"/>
      <c r="AN755" s="316" t="s">
        <v>2177</v>
      </c>
      <c r="AO755" s="316"/>
      <c r="AP755" s="316"/>
      <c r="AQ755" s="316"/>
      <c r="AR755" s="316"/>
      <c r="AS755" s="316"/>
      <c r="AT755" s="316"/>
      <c r="AU755" s="316"/>
      <c r="AV755" s="316"/>
      <c r="AW755" s="316"/>
      <c r="AX755" s="316"/>
      <c r="AY755" s="316"/>
      <c r="AZ755" s="316"/>
      <c r="BA755" s="316"/>
      <c r="BB755" s="316"/>
      <c r="BC755" s="316"/>
      <c r="BD755" s="316"/>
      <c r="BE755" s="316"/>
      <c r="BF755" s="316"/>
      <c r="BG755" s="316"/>
      <c r="BH755" s="316"/>
      <c r="BI755" s="316"/>
      <c r="BJ755" s="316"/>
      <c r="BK755" s="316"/>
      <c r="BL755" s="316"/>
      <c r="BM755" s="316"/>
      <c r="BN755" s="316"/>
    </row>
    <row r="756" hidden="1" outlineLevel="1">
      <c r="A756" s="303" t="s">
        <v>1165</v>
      </c>
      <c r="B756" s="317" t="s">
        <v>1179</v>
      </c>
      <c r="C756" s="325" t="s">
        <v>51</v>
      </c>
      <c r="D756" s="326"/>
      <c r="E756" s="321"/>
      <c r="F756" s="322">
        <v>40000.0</v>
      </c>
      <c r="G756" s="326"/>
      <c r="H756" s="321"/>
      <c r="I756" s="322">
        <v>40000.0</v>
      </c>
      <c r="J756" s="326" t="s">
        <v>2039</v>
      </c>
      <c r="K756" s="321"/>
      <c r="L756" s="322">
        <v>40000.0</v>
      </c>
      <c r="M756" s="326"/>
      <c r="N756" s="321"/>
      <c r="O756" s="322"/>
      <c r="P756" s="326"/>
      <c r="Q756" s="321"/>
      <c r="R756" s="322"/>
      <c r="S756" s="326"/>
      <c r="T756" s="321"/>
      <c r="U756" s="322"/>
      <c r="V756" s="326"/>
      <c r="W756" s="321"/>
      <c r="X756" s="322"/>
      <c r="Y756" s="326"/>
      <c r="Z756" s="321"/>
      <c r="AA756" s="322"/>
      <c r="AB756" s="326"/>
      <c r="AC756" s="321"/>
      <c r="AD756" s="322"/>
      <c r="AE756" s="326"/>
      <c r="AF756" s="321"/>
      <c r="AG756" s="322"/>
      <c r="AH756" s="326"/>
      <c r="AI756" s="321"/>
      <c r="AJ756" s="322"/>
      <c r="AK756" s="326"/>
      <c r="AL756" s="321"/>
      <c r="AM756" s="322"/>
      <c r="AN756" s="316" t="s">
        <v>2177</v>
      </c>
      <c r="AO756" s="316"/>
      <c r="AP756" s="316"/>
      <c r="AQ756" s="316"/>
      <c r="AR756" s="316"/>
      <c r="AS756" s="316"/>
      <c r="AT756" s="316"/>
      <c r="AU756" s="316"/>
      <c r="AV756" s="316"/>
      <c r="AW756" s="316"/>
      <c r="AX756" s="316"/>
      <c r="AY756" s="316"/>
      <c r="AZ756" s="316"/>
      <c r="BA756" s="316"/>
      <c r="BB756" s="316"/>
      <c r="BC756" s="316"/>
      <c r="BD756" s="316"/>
      <c r="BE756" s="316"/>
      <c r="BF756" s="316"/>
      <c r="BG756" s="316"/>
      <c r="BH756" s="316"/>
      <c r="BI756" s="316"/>
      <c r="BJ756" s="316"/>
      <c r="BK756" s="316"/>
      <c r="BL756" s="316"/>
      <c r="BM756" s="316"/>
      <c r="BN756" s="316"/>
    </row>
    <row r="757" hidden="1" outlineLevel="1">
      <c r="A757" s="303" t="s">
        <v>1165</v>
      </c>
      <c r="B757" s="304"/>
      <c r="C757" s="325" t="s">
        <v>52</v>
      </c>
      <c r="D757" s="326"/>
      <c r="E757" s="321"/>
      <c r="F757" s="322">
        <v>25000.0</v>
      </c>
      <c r="G757" s="326"/>
      <c r="H757" s="321"/>
      <c r="I757" s="322">
        <v>25000.0</v>
      </c>
      <c r="J757" s="326"/>
      <c r="K757" s="321"/>
      <c r="L757" s="322">
        <v>25000.0</v>
      </c>
      <c r="M757" s="326"/>
      <c r="N757" s="321"/>
      <c r="O757" s="322">
        <v>25000.0</v>
      </c>
      <c r="P757" s="326"/>
      <c r="Q757" s="321"/>
      <c r="R757" s="322">
        <v>25000.0</v>
      </c>
      <c r="S757" s="326"/>
      <c r="T757" s="321"/>
      <c r="U757" s="322">
        <v>25000.0</v>
      </c>
      <c r="V757" s="326"/>
      <c r="W757" s="321"/>
      <c r="X757" s="322">
        <v>25000.0</v>
      </c>
      <c r="Y757" s="326"/>
      <c r="Z757" s="321"/>
      <c r="AA757" s="322">
        <v>25000.0</v>
      </c>
      <c r="AB757" s="326"/>
      <c r="AC757" s="321"/>
      <c r="AD757" s="322">
        <v>25000.0</v>
      </c>
      <c r="AE757" s="326"/>
      <c r="AF757" s="321"/>
      <c r="AG757" s="322">
        <v>25000.0</v>
      </c>
      <c r="AH757" s="326"/>
      <c r="AI757" s="321"/>
      <c r="AJ757" s="322">
        <v>25000.0</v>
      </c>
      <c r="AK757" s="326"/>
      <c r="AL757" s="321"/>
      <c r="AM757" s="322">
        <v>25000.0</v>
      </c>
      <c r="AN757" s="316" t="s">
        <v>2177</v>
      </c>
      <c r="AO757" s="316"/>
      <c r="AP757" s="316"/>
      <c r="AQ757" s="316"/>
      <c r="AR757" s="316"/>
      <c r="AS757" s="316"/>
      <c r="AT757" s="316"/>
      <c r="AU757" s="316"/>
      <c r="AV757" s="316"/>
      <c r="AW757" s="316"/>
      <c r="AX757" s="316"/>
      <c r="AY757" s="316"/>
      <c r="AZ757" s="316"/>
      <c r="BA757" s="316"/>
      <c r="BB757" s="316"/>
      <c r="BC757" s="316"/>
      <c r="BD757" s="316"/>
      <c r="BE757" s="316"/>
      <c r="BF757" s="316"/>
      <c r="BG757" s="316"/>
      <c r="BH757" s="316"/>
      <c r="BI757" s="316"/>
      <c r="BJ757" s="316"/>
      <c r="BK757" s="316"/>
      <c r="BL757" s="316"/>
      <c r="BM757" s="316"/>
      <c r="BN757" s="316"/>
    </row>
    <row r="758" hidden="1" outlineLevel="1">
      <c r="A758" s="303" t="s">
        <v>1165</v>
      </c>
      <c r="B758" s="304"/>
      <c r="C758" s="325" t="s">
        <v>53</v>
      </c>
      <c r="D758" s="326"/>
      <c r="E758" s="321"/>
      <c r="F758" s="322">
        <v>11000.0</v>
      </c>
      <c r="G758" s="326"/>
      <c r="H758" s="321"/>
      <c r="I758" s="322">
        <v>11000.0</v>
      </c>
      <c r="J758" s="326"/>
      <c r="K758" s="321"/>
      <c r="L758" s="322">
        <v>11000.0</v>
      </c>
      <c r="M758" s="326"/>
      <c r="N758" s="321"/>
      <c r="O758" s="322">
        <v>11000.0</v>
      </c>
      <c r="P758" s="326"/>
      <c r="Q758" s="321"/>
      <c r="R758" s="322">
        <v>11000.0</v>
      </c>
      <c r="S758" s="326"/>
      <c r="T758" s="321"/>
      <c r="U758" s="322">
        <v>11000.0</v>
      </c>
      <c r="V758" s="326"/>
      <c r="W758" s="321"/>
      <c r="X758" s="322">
        <v>11000.0</v>
      </c>
      <c r="Y758" s="326"/>
      <c r="Z758" s="321"/>
      <c r="AA758" s="322">
        <v>11000.0</v>
      </c>
      <c r="AB758" s="326"/>
      <c r="AC758" s="321"/>
      <c r="AD758" s="322">
        <v>11000.0</v>
      </c>
      <c r="AE758" s="326"/>
      <c r="AF758" s="321"/>
      <c r="AG758" s="322">
        <v>11000.0</v>
      </c>
      <c r="AH758" s="326"/>
      <c r="AI758" s="321"/>
      <c r="AJ758" s="322">
        <v>11000.0</v>
      </c>
      <c r="AK758" s="326"/>
      <c r="AL758" s="321"/>
      <c r="AM758" s="322">
        <v>11000.0</v>
      </c>
      <c r="AN758" s="316" t="s">
        <v>2177</v>
      </c>
      <c r="AO758" s="316"/>
      <c r="AP758" s="316"/>
      <c r="AQ758" s="316"/>
      <c r="AR758" s="316"/>
      <c r="AS758" s="316"/>
      <c r="AT758" s="316"/>
      <c r="AU758" s="316"/>
      <c r="AV758" s="316"/>
      <c r="AW758" s="316"/>
      <c r="AX758" s="316"/>
      <c r="AY758" s="316"/>
      <c r="AZ758" s="316"/>
      <c r="BA758" s="316"/>
      <c r="BB758" s="316"/>
      <c r="BC758" s="316"/>
      <c r="BD758" s="316"/>
      <c r="BE758" s="316"/>
      <c r="BF758" s="316"/>
      <c r="BG758" s="316"/>
      <c r="BH758" s="316"/>
      <c r="BI758" s="316"/>
      <c r="BJ758" s="316"/>
      <c r="BK758" s="316"/>
      <c r="BL758" s="316"/>
      <c r="BM758" s="316"/>
      <c r="BN758" s="316"/>
    </row>
    <row r="759" hidden="1" outlineLevel="1">
      <c r="A759" s="303" t="s">
        <v>1165</v>
      </c>
      <c r="B759" s="304"/>
      <c r="C759" s="325" t="s">
        <v>54</v>
      </c>
      <c r="D759" s="327"/>
      <c r="E759" s="321"/>
      <c r="F759" s="322">
        <f>SUMIFS('지출'!$G$3:$G794,'지출'!$J$3:$J794,F$1,'지출'!$C$3:$C794,"동삼")</f>
        <v>83630</v>
      </c>
      <c r="G759" s="327"/>
      <c r="H759" s="321"/>
      <c r="I759" s="322">
        <f>SUMIFS('지출'!$G$3:$G794,'지출'!$J$3:$J794,I$1,'지출'!$C$3:$C794,"동삼")</f>
        <v>154830</v>
      </c>
      <c r="J759" s="327"/>
      <c r="K759" s="321"/>
      <c r="L759" s="322">
        <f>SUMIFS('지출'!$G$3:$G794,'지출'!$J$3:$J794,L$1,'지출'!$C$3:$C794,"동삼")</f>
        <v>4900</v>
      </c>
      <c r="M759" s="327"/>
      <c r="N759" s="321"/>
      <c r="O759" s="322">
        <f>SUMIFS('지출'!$G$3:$G794,'지출'!$J$3:$J794,O$1,'지출'!$C$3:$C794,"동삼")</f>
        <v>0</v>
      </c>
      <c r="P759" s="327"/>
      <c r="Q759" s="321"/>
      <c r="R759" s="322">
        <f>SUMIFS('지출'!$G$3:$G794,'지출'!$J$3:$J794,R$1,'지출'!$C$3:$C794,"동삼")</f>
        <v>0</v>
      </c>
      <c r="S759" s="327"/>
      <c r="T759" s="321"/>
      <c r="U759" s="322">
        <f>SUMIFS('지출'!$G$3:$G794,'지출'!$J$3:$J794,U$1,'지출'!$C$3:$C794,"동삼")</f>
        <v>0</v>
      </c>
      <c r="V759" s="327"/>
      <c r="W759" s="321"/>
      <c r="X759" s="322">
        <f>SUMIFS('지출'!$G$3:$G794,'지출'!$J$3:$J794,X$1,'지출'!$C$3:$C794,"동삼")</f>
        <v>0</v>
      </c>
      <c r="Y759" s="327"/>
      <c r="Z759" s="321"/>
      <c r="AA759" s="322">
        <f>SUMIFS('지출'!$G$3:$G794,'지출'!$J$3:$J794,AA$1,'지출'!$C$3:$C794,"동삼")</f>
        <v>0</v>
      </c>
      <c r="AB759" s="327"/>
      <c r="AC759" s="321"/>
      <c r="AD759" s="322">
        <f>SUMIFS('지출'!$G$3:$G794,'지출'!$J$3:$J794,AD$1,'지출'!$C$3:$C794,"동삼")</f>
        <v>0</v>
      </c>
      <c r="AE759" s="327"/>
      <c r="AF759" s="321"/>
      <c r="AG759" s="322">
        <f>SUMIFS('지출'!$G$3:$G794,'지출'!$J$3:$J794,AG$1,'지출'!$C$3:$C794,"동삼")</f>
        <v>0</v>
      </c>
      <c r="AH759" s="327"/>
      <c r="AI759" s="321"/>
      <c r="AJ759" s="322">
        <f>SUMIFS('지출'!$G$3:$G794,'지출'!$J$3:$J794,AJ$1,'지출'!$C$3:$C794,"동삼")</f>
        <v>0</v>
      </c>
      <c r="AK759" s="327"/>
      <c r="AL759" s="321"/>
      <c r="AM759" s="322">
        <f>SUMIFS('지출'!$G$3:$G794,'지출'!$J$3:$J794,AM$1,'지출'!$C$3:$C794,"동삼")</f>
        <v>0</v>
      </c>
      <c r="AN759" s="316" t="s">
        <v>2177</v>
      </c>
      <c r="AO759" s="316"/>
      <c r="AP759" s="316"/>
      <c r="AQ759" s="316"/>
      <c r="AR759" s="316"/>
      <c r="AS759" s="316"/>
      <c r="AT759" s="316"/>
      <c r="AU759" s="316"/>
      <c r="AV759" s="316"/>
      <c r="AW759" s="316"/>
      <c r="AX759" s="316"/>
      <c r="AY759" s="316"/>
      <c r="AZ759" s="316"/>
      <c r="BA759" s="316"/>
      <c r="BB759" s="316"/>
      <c r="BC759" s="316"/>
      <c r="BD759" s="316"/>
      <c r="BE759" s="316"/>
      <c r="BF759" s="316"/>
      <c r="BG759" s="316"/>
      <c r="BH759" s="316"/>
      <c r="BI759" s="316"/>
      <c r="BJ759" s="316"/>
      <c r="BK759" s="316"/>
      <c r="BL759" s="316"/>
      <c r="BM759" s="316"/>
      <c r="BN759" s="316"/>
    </row>
    <row r="760" hidden="1" outlineLevel="1">
      <c r="A760" s="303" t="s">
        <v>1165</v>
      </c>
      <c r="B760" s="304"/>
      <c r="C760" s="325" t="s">
        <v>56</v>
      </c>
      <c r="D760" s="320"/>
      <c r="E760" s="323">
        <f t="shared" ref="E760:F760" si="1064">E751-(SUM(E752:E759))</f>
        <v>450000</v>
      </c>
      <c r="F760" s="324">
        <f t="shared" si="1064"/>
        <v>-114680</v>
      </c>
      <c r="G760" s="320"/>
      <c r="H760" s="323">
        <f t="shared" ref="H760:I760" si="1065">H751-(SUM(H752:H759))</f>
        <v>567857</v>
      </c>
      <c r="I760" s="324">
        <f t="shared" si="1065"/>
        <v>-109969</v>
      </c>
      <c r="J760" s="320"/>
      <c r="K760" s="323">
        <f t="shared" ref="K760:L760" si="1066">K751-(SUM(K752:K759))</f>
        <v>690000</v>
      </c>
      <c r="L760" s="324">
        <f t="shared" si="1066"/>
        <v>51340</v>
      </c>
      <c r="M760" s="320"/>
      <c r="N760" s="323">
        <f t="shared" ref="N760:O760" si="1067">N751-(SUM(N752:N759))</f>
        <v>690000</v>
      </c>
      <c r="O760" s="324">
        <f t="shared" si="1067"/>
        <v>364000</v>
      </c>
      <c r="P760" s="320"/>
      <c r="Q760" s="323">
        <f t="shared" ref="Q760:R760" si="1068">Q751-(SUM(Q752:Q759))</f>
        <v>690000</v>
      </c>
      <c r="R760" s="324">
        <f t="shared" si="1068"/>
        <v>364000</v>
      </c>
      <c r="S760" s="320"/>
      <c r="T760" s="323">
        <f t="shared" ref="T760:U760" si="1069">T751-(SUM(T752:T759))</f>
        <v>690000</v>
      </c>
      <c r="U760" s="324">
        <f t="shared" si="1069"/>
        <v>364000</v>
      </c>
      <c r="V760" s="320"/>
      <c r="W760" s="323">
        <f t="shared" ref="W760:X760" si="1070">W751-(SUM(W752:W759))</f>
        <v>690000</v>
      </c>
      <c r="X760" s="324">
        <f t="shared" si="1070"/>
        <v>364000</v>
      </c>
      <c r="Y760" s="320"/>
      <c r="Z760" s="323">
        <f t="shared" ref="Z760:AA760" si="1071">Z751-(SUM(Z752:Z759))</f>
        <v>690000</v>
      </c>
      <c r="AA760" s="324">
        <f t="shared" si="1071"/>
        <v>364000</v>
      </c>
      <c r="AB760" s="320"/>
      <c r="AC760" s="323">
        <f t="shared" ref="AC760:AD760" si="1072">AC751-(SUM(AC752:AC759))</f>
        <v>690000</v>
      </c>
      <c r="AD760" s="324">
        <f t="shared" si="1072"/>
        <v>364000</v>
      </c>
      <c r="AE760" s="320"/>
      <c r="AF760" s="323">
        <f t="shared" ref="AF760:AG760" si="1073">AF751-(SUM(AF752:AF759))</f>
        <v>690000</v>
      </c>
      <c r="AG760" s="324">
        <f t="shared" si="1073"/>
        <v>364000</v>
      </c>
      <c r="AH760" s="320"/>
      <c r="AI760" s="323">
        <f t="shared" ref="AI760:AJ760" si="1074">AI751-(SUM(AI752:AI759))</f>
        <v>690000</v>
      </c>
      <c r="AJ760" s="324">
        <f t="shared" si="1074"/>
        <v>364000</v>
      </c>
      <c r="AK760" s="320"/>
      <c r="AL760" s="323">
        <f t="shared" ref="AL760:AM760" si="1075">AL751-(SUM(AL752:AL759))</f>
        <v>690000</v>
      </c>
      <c r="AM760" s="324">
        <f t="shared" si="1075"/>
        <v>364000</v>
      </c>
      <c r="AN760" s="316" t="s">
        <v>2177</v>
      </c>
      <c r="AO760" s="316"/>
      <c r="AP760" s="316"/>
      <c r="AQ760" s="316"/>
      <c r="AR760" s="316"/>
      <c r="AS760" s="316"/>
      <c r="AT760" s="316"/>
      <c r="AU760" s="316"/>
      <c r="AV760" s="316"/>
      <c r="AW760" s="316"/>
      <c r="AX760" s="316"/>
      <c r="AY760" s="316"/>
      <c r="AZ760" s="316"/>
      <c r="BA760" s="316"/>
      <c r="BB760" s="316"/>
      <c r="BC760" s="316"/>
      <c r="BD760" s="316"/>
      <c r="BE760" s="316"/>
      <c r="BF760" s="316"/>
      <c r="BG760" s="316"/>
      <c r="BH760" s="316"/>
      <c r="BI760" s="316"/>
      <c r="BJ760" s="316"/>
      <c r="BK760" s="316"/>
      <c r="BL760" s="316"/>
      <c r="BM760" s="316"/>
      <c r="BN760" s="316"/>
    </row>
    <row r="761">
      <c r="A761" s="303" t="s">
        <v>1165</v>
      </c>
      <c r="B761" s="317" t="s">
        <v>1040</v>
      </c>
      <c r="C761" s="325" t="s">
        <v>26</v>
      </c>
      <c r="D761" s="326" t="s">
        <v>44</v>
      </c>
      <c r="E761" s="321">
        <v>0.0</v>
      </c>
      <c r="F761" s="324"/>
      <c r="G761" s="326" t="s">
        <v>44</v>
      </c>
      <c r="H761" s="321">
        <v>0.0</v>
      </c>
      <c r="I761" s="324"/>
      <c r="J761" s="326" t="s">
        <v>44</v>
      </c>
      <c r="K761" s="321">
        <v>0.0</v>
      </c>
      <c r="L761" s="324"/>
      <c r="M761" s="326" t="s">
        <v>44</v>
      </c>
      <c r="N761" s="321">
        <v>0.0</v>
      </c>
      <c r="O761" s="324"/>
      <c r="P761" s="326" t="s">
        <v>44</v>
      </c>
      <c r="Q761" s="321">
        <v>0.0</v>
      </c>
      <c r="R761" s="324"/>
      <c r="S761" s="326" t="s">
        <v>44</v>
      </c>
      <c r="T761" s="321">
        <v>0.0</v>
      </c>
      <c r="U761" s="324"/>
      <c r="V761" s="326" t="s">
        <v>44</v>
      </c>
      <c r="W761" s="321">
        <v>0.0</v>
      </c>
      <c r="X761" s="324"/>
      <c r="Y761" s="326" t="s">
        <v>44</v>
      </c>
      <c r="Z761" s="321">
        <v>0.0</v>
      </c>
      <c r="AA761" s="324"/>
      <c r="AB761" s="326" t="s">
        <v>44</v>
      </c>
      <c r="AC761" s="321">
        <v>0.0</v>
      </c>
      <c r="AD761" s="324"/>
      <c r="AE761" s="326" t="s">
        <v>44</v>
      </c>
      <c r="AF761" s="321">
        <v>0.0</v>
      </c>
      <c r="AG761" s="324"/>
      <c r="AH761" s="326" t="s">
        <v>44</v>
      </c>
      <c r="AI761" s="321">
        <v>0.0</v>
      </c>
      <c r="AJ761" s="324"/>
      <c r="AK761" s="326" t="s">
        <v>44</v>
      </c>
      <c r="AL761" s="321">
        <v>0.0</v>
      </c>
      <c r="AM761" s="324"/>
      <c r="AN761" s="316" t="s">
        <v>2177</v>
      </c>
      <c r="AO761" s="316"/>
      <c r="AP761" s="316"/>
      <c r="AQ761" s="316"/>
      <c r="AR761" s="316"/>
      <c r="AS761" s="316"/>
      <c r="AT761" s="316"/>
      <c r="AU761" s="316"/>
      <c r="AV761" s="316"/>
      <c r="AW761" s="316"/>
      <c r="AX761" s="316"/>
      <c r="AY761" s="316"/>
      <c r="AZ761" s="316"/>
      <c r="BA761" s="316"/>
      <c r="BB761" s="316"/>
      <c r="BC761" s="316"/>
      <c r="BD761" s="316"/>
      <c r="BE761" s="316"/>
      <c r="BF761" s="316"/>
      <c r="BG761" s="316"/>
      <c r="BH761" s="316"/>
      <c r="BI761" s="316"/>
      <c r="BJ761" s="316"/>
      <c r="BK761" s="316"/>
      <c r="BL761" s="316"/>
      <c r="BM761" s="316"/>
      <c r="BN761" s="316"/>
    </row>
    <row r="762">
      <c r="A762" s="303" t="s">
        <v>1165</v>
      </c>
      <c r="B762" s="329">
        <v>1.0</v>
      </c>
      <c r="C762" s="330" t="s">
        <v>57</v>
      </c>
      <c r="D762" s="331"/>
      <c r="E762" s="332">
        <f>E760-E761</f>
        <v>450000</v>
      </c>
      <c r="F762" s="333"/>
      <c r="G762" s="331"/>
      <c r="H762" s="332">
        <f>H760-H761</f>
        <v>567857</v>
      </c>
      <c r="I762" s="333"/>
      <c r="J762" s="331"/>
      <c r="K762" s="332">
        <f>K760-K761</f>
        <v>690000</v>
      </c>
      <c r="L762" s="333"/>
      <c r="M762" s="331"/>
      <c r="N762" s="332">
        <f>N760-N761</f>
        <v>690000</v>
      </c>
      <c r="O762" s="333"/>
      <c r="P762" s="331"/>
      <c r="Q762" s="332">
        <f>Q760-Q761</f>
        <v>690000</v>
      </c>
      <c r="R762" s="333"/>
      <c r="S762" s="331"/>
      <c r="T762" s="332">
        <f>T760-T761</f>
        <v>690000</v>
      </c>
      <c r="U762" s="333"/>
      <c r="V762" s="331"/>
      <c r="W762" s="332">
        <f>W760-W761</f>
        <v>690000</v>
      </c>
      <c r="X762" s="333"/>
      <c r="Y762" s="331"/>
      <c r="Z762" s="332">
        <f>Z760-Z761</f>
        <v>690000</v>
      </c>
      <c r="AA762" s="333"/>
      <c r="AB762" s="331"/>
      <c r="AC762" s="332">
        <f>AC760-AC761</f>
        <v>690000</v>
      </c>
      <c r="AD762" s="333"/>
      <c r="AE762" s="331"/>
      <c r="AF762" s="332">
        <f>AF760-AF761</f>
        <v>690000</v>
      </c>
      <c r="AG762" s="333"/>
      <c r="AH762" s="331"/>
      <c r="AI762" s="332">
        <f>AI760-AI761</f>
        <v>690000</v>
      </c>
      <c r="AJ762" s="333"/>
      <c r="AK762" s="331"/>
      <c r="AL762" s="332">
        <f>AL760-AL761</f>
        <v>690000</v>
      </c>
      <c r="AM762" s="333"/>
      <c r="AN762" s="316" t="s">
        <v>2177</v>
      </c>
      <c r="AO762" s="316"/>
      <c r="AP762" s="316"/>
      <c r="AQ762" s="316"/>
      <c r="AR762" s="316"/>
      <c r="AS762" s="316"/>
      <c r="AT762" s="316"/>
      <c r="AU762" s="316"/>
      <c r="AV762" s="316"/>
      <c r="AW762" s="316"/>
      <c r="AX762" s="316"/>
      <c r="AY762" s="316"/>
      <c r="AZ762" s="316"/>
      <c r="BA762" s="316"/>
      <c r="BB762" s="316"/>
      <c r="BC762" s="316"/>
      <c r="BD762" s="316"/>
      <c r="BE762" s="316"/>
      <c r="BF762" s="316"/>
      <c r="BG762" s="316"/>
      <c r="BH762" s="316"/>
      <c r="BI762" s="316"/>
      <c r="BJ762" s="316"/>
      <c r="BK762" s="316"/>
      <c r="BL762" s="316"/>
      <c r="BM762" s="316"/>
      <c r="BN762" s="316"/>
    </row>
    <row r="763">
      <c r="A763" s="303" t="s">
        <v>1180</v>
      </c>
      <c r="B763" s="384" t="s">
        <v>1180</v>
      </c>
      <c r="C763" s="385" t="s">
        <v>323</v>
      </c>
      <c r="D763" s="341" t="s">
        <v>2017</v>
      </c>
      <c r="E763" s="348">
        <v>430000.0</v>
      </c>
      <c r="F763" s="352">
        <v>100000.0</v>
      </c>
      <c r="G763" s="341" t="s">
        <v>2017</v>
      </c>
      <c r="H763" s="348">
        <v>420000.0</v>
      </c>
      <c r="I763" s="352">
        <v>100000.0</v>
      </c>
      <c r="J763" s="341" t="s">
        <v>2017</v>
      </c>
      <c r="K763" s="348">
        <v>500000.0</v>
      </c>
      <c r="L763" s="346">
        <v>100000.0</v>
      </c>
      <c r="M763" s="341" t="s">
        <v>2017</v>
      </c>
      <c r="N763" s="348">
        <v>500000.0</v>
      </c>
      <c r="O763" s="346">
        <v>100000.0</v>
      </c>
      <c r="P763" s="341" t="s">
        <v>2017</v>
      </c>
      <c r="Q763" s="348">
        <v>500000.0</v>
      </c>
      <c r="R763" s="346">
        <v>100000.0</v>
      </c>
      <c r="S763" s="341" t="s">
        <v>2017</v>
      </c>
      <c r="T763" s="348">
        <v>500000.0</v>
      </c>
      <c r="U763" s="346">
        <v>100000.0</v>
      </c>
      <c r="V763" s="341" t="s">
        <v>2017</v>
      </c>
      <c r="W763" s="348">
        <v>500000.0</v>
      </c>
      <c r="X763" s="346">
        <v>100000.0</v>
      </c>
      <c r="Y763" s="341" t="s">
        <v>2017</v>
      </c>
      <c r="Z763" s="348">
        <v>500000.0</v>
      </c>
      <c r="AA763" s="346">
        <v>100000.0</v>
      </c>
      <c r="AB763" s="341" t="s">
        <v>2017</v>
      </c>
      <c r="AC763" s="348">
        <v>500000.0</v>
      </c>
      <c r="AD763" s="346">
        <v>100000.0</v>
      </c>
      <c r="AE763" s="341" t="s">
        <v>2017</v>
      </c>
      <c r="AF763" s="348">
        <v>500000.0</v>
      </c>
      <c r="AG763" s="346">
        <v>100000.0</v>
      </c>
      <c r="AH763" s="341" t="s">
        <v>2017</v>
      </c>
      <c r="AI763" s="348">
        <v>500000.0</v>
      </c>
      <c r="AJ763" s="346">
        <v>100000.0</v>
      </c>
      <c r="AK763" s="341" t="s">
        <v>2017</v>
      </c>
      <c r="AL763" s="348">
        <v>500000.0</v>
      </c>
      <c r="AM763" s="346">
        <v>100000.0</v>
      </c>
      <c r="AN763" s="316" t="s">
        <v>321</v>
      </c>
      <c r="AO763" s="316"/>
      <c r="AP763" s="316"/>
      <c r="AQ763" s="316"/>
      <c r="AR763" s="316"/>
      <c r="AS763" s="316"/>
      <c r="AT763" s="316"/>
      <c r="AU763" s="316"/>
      <c r="AV763" s="316"/>
      <c r="AW763" s="316"/>
      <c r="AX763" s="316"/>
      <c r="AY763" s="316"/>
      <c r="AZ763" s="316"/>
      <c r="BA763" s="316"/>
      <c r="BB763" s="316"/>
      <c r="BC763" s="316"/>
      <c r="BD763" s="316"/>
      <c r="BE763" s="316"/>
      <c r="BF763" s="316"/>
      <c r="BG763" s="316"/>
      <c r="BH763" s="316"/>
      <c r="BI763" s="316"/>
      <c r="BJ763" s="316"/>
      <c r="BK763" s="316"/>
      <c r="BL763" s="316"/>
      <c r="BM763" s="316"/>
      <c r="BN763" s="316"/>
    </row>
    <row r="764">
      <c r="A764" s="303" t="s">
        <v>1180</v>
      </c>
      <c r="B764" s="384" t="s">
        <v>1180</v>
      </c>
      <c r="C764" s="385" t="s">
        <v>1185</v>
      </c>
      <c r="D764" s="341" t="s">
        <v>37</v>
      </c>
      <c r="E764" s="350"/>
      <c r="F764" s="351"/>
      <c r="G764" s="353" t="s">
        <v>2377</v>
      </c>
      <c r="H764" s="335">
        <v>208929.0</v>
      </c>
      <c r="I764" s="346">
        <v>48214.0</v>
      </c>
      <c r="J764" s="353" t="s">
        <v>2378</v>
      </c>
      <c r="K764" s="321">
        <v>650000.0</v>
      </c>
      <c r="L764" s="322">
        <v>150000.0</v>
      </c>
      <c r="M764" s="353" t="s">
        <v>2378</v>
      </c>
      <c r="N764" s="321">
        <v>650000.0</v>
      </c>
      <c r="O764" s="322">
        <v>150000.0</v>
      </c>
      <c r="P764" s="353" t="s">
        <v>2378</v>
      </c>
      <c r="Q764" s="321">
        <v>650000.0</v>
      </c>
      <c r="R764" s="322">
        <v>150000.0</v>
      </c>
      <c r="S764" s="353" t="s">
        <v>2378</v>
      </c>
      <c r="T764" s="321">
        <v>650000.0</v>
      </c>
      <c r="U764" s="322">
        <v>150000.0</v>
      </c>
      <c r="V764" s="353" t="s">
        <v>2378</v>
      </c>
      <c r="W764" s="321">
        <v>650000.0</v>
      </c>
      <c r="X764" s="322">
        <v>150000.0</v>
      </c>
      <c r="Y764" s="353" t="s">
        <v>2379</v>
      </c>
      <c r="Z764" s="321">
        <v>650000.0</v>
      </c>
      <c r="AA764" s="322">
        <v>150000.0</v>
      </c>
      <c r="AB764" s="326"/>
      <c r="AC764" s="321"/>
      <c r="AD764" s="322"/>
      <c r="AE764" s="326"/>
      <c r="AF764" s="321"/>
      <c r="AG764" s="322"/>
      <c r="AH764" s="326"/>
      <c r="AI764" s="321"/>
      <c r="AJ764" s="322"/>
      <c r="AK764" s="326"/>
      <c r="AL764" s="321"/>
      <c r="AM764" s="322"/>
      <c r="AN764" s="316" t="s">
        <v>321</v>
      </c>
      <c r="AO764" s="316"/>
      <c r="AP764" s="316"/>
      <c r="AQ764" s="316"/>
      <c r="AR764" s="316"/>
      <c r="AS764" s="316"/>
      <c r="AT764" s="316"/>
      <c r="AU764" s="316"/>
      <c r="AV764" s="316"/>
      <c r="AW764" s="316"/>
      <c r="AX764" s="316"/>
      <c r="AY764" s="316"/>
      <c r="AZ764" s="316"/>
      <c r="BA764" s="316"/>
      <c r="BB764" s="316"/>
      <c r="BC764" s="316"/>
      <c r="BD764" s="316"/>
      <c r="BE764" s="316"/>
      <c r="BF764" s="316"/>
      <c r="BG764" s="316"/>
      <c r="BH764" s="316"/>
      <c r="BI764" s="316"/>
      <c r="BJ764" s="316"/>
      <c r="BK764" s="316"/>
      <c r="BL764" s="316"/>
      <c r="BM764" s="316"/>
      <c r="BN764" s="316"/>
    </row>
    <row r="765">
      <c r="A765" s="303" t="s">
        <v>1180</v>
      </c>
      <c r="B765" s="384" t="s">
        <v>1180</v>
      </c>
      <c r="C765" s="385" t="s">
        <v>1189</v>
      </c>
      <c r="D765" s="341" t="s">
        <v>37</v>
      </c>
      <c r="E765" s="350"/>
      <c r="F765" s="351"/>
      <c r="G765" s="353" t="s">
        <v>2377</v>
      </c>
      <c r="H765" s="350"/>
      <c r="I765" s="351"/>
      <c r="J765" s="353" t="s">
        <v>2378</v>
      </c>
      <c r="K765" s="321"/>
      <c r="L765" s="322"/>
      <c r="M765" s="326"/>
      <c r="N765" s="321"/>
      <c r="O765" s="322"/>
      <c r="P765" s="326"/>
      <c r="Q765" s="321"/>
      <c r="R765" s="322"/>
      <c r="S765" s="326"/>
      <c r="T765" s="321"/>
      <c r="U765" s="322"/>
      <c r="V765" s="326"/>
      <c r="W765" s="321"/>
      <c r="X765" s="322"/>
      <c r="Y765" s="326"/>
      <c r="Z765" s="321"/>
      <c r="AA765" s="322"/>
      <c r="AB765" s="326"/>
      <c r="AC765" s="321"/>
      <c r="AD765" s="322"/>
      <c r="AE765" s="326"/>
      <c r="AF765" s="321"/>
      <c r="AG765" s="322"/>
      <c r="AH765" s="326"/>
      <c r="AI765" s="321"/>
      <c r="AJ765" s="322"/>
      <c r="AK765" s="326"/>
      <c r="AL765" s="321"/>
      <c r="AM765" s="322"/>
      <c r="AN765" s="316" t="s">
        <v>321</v>
      </c>
      <c r="AO765" s="316"/>
      <c r="AP765" s="316"/>
      <c r="AQ765" s="316"/>
      <c r="AR765" s="316"/>
      <c r="AS765" s="316"/>
      <c r="AT765" s="316"/>
      <c r="AU765" s="316"/>
      <c r="AV765" s="316"/>
      <c r="AW765" s="316"/>
      <c r="AX765" s="316"/>
      <c r="AY765" s="316"/>
      <c r="AZ765" s="316"/>
      <c r="BA765" s="316"/>
      <c r="BB765" s="316"/>
      <c r="BC765" s="316"/>
      <c r="BD765" s="316"/>
      <c r="BE765" s="316"/>
      <c r="BF765" s="316"/>
      <c r="BG765" s="316"/>
      <c r="BH765" s="316"/>
      <c r="BI765" s="316"/>
      <c r="BJ765" s="316"/>
      <c r="BK765" s="316"/>
      <c r="BL765" s="316"/>
      <c r="BM765" s="316"/>
      <c r="BN765" s="316"/>
    </row>
    <row r="766">
      <c r="A766" s="303" t="s">
        <v>1180</v>
      </c>
      <c r="B766" s="384" t="s">
        <v>1180</v>
      </c>
      <c r="C766" s="325" t="s">
        <v>1192</v>
      </c>
      <c r="D766" s="341" t="s">
        <v>39</v>
      </c>
      <c r="E766" s="335">
        <v>370000.0</v>
      </c>
      <c r="F766" s="346">
        <f>100000+70000</f>
        <v>170000</v>
      </c>
      <c r="G766" s="341" t="s">
        <v>39</v>
      </c>
      <c r="H766" s="335">
        <v>370000.0</v>
      </c>
      <c r="I766" s="346">
        <f>100000+75000</f>
        <v>175000</v>
      </c>
      <c r="J766" s="341" t="s">
        <v>39</v>
      </c>
      <c r="K766" s="348">
        <v>400000.0</v>
      </c>
      <c r="L766" s="346">
        <v>100000.0</v>
      </c>
      <c r="M766" s="341" t="s">
        <v>39</v>
      </c>
      <c r="N766" s="348">
        <v>400000.0</v>
      </c>
      <c r="O766" s="346">
        <v>100000.0</v>
      </c>
      <c r="P766" s="341" t="s">
        <v>39</v>
      </c>
      <c r="Q766" s="348">
        <v>400000.0</v>
      </c>
      <c r="R766" s="346">
        <v>100000.0</v>
      </c>
      <c r="S766" s="341" t="s">
        <v>39</v>
      </c>
      <c r="T766" s="348">
        <v>400000.0</v>
      </c>
      <c r="U766" s="346">
        <v>100000.0</v>
      </c>
      <c r="V766" s="341" t="s">
        <v>39</v>
      </c>
      <c r="W766" s="348">
        <v>400000.0</v>
      </c>
      <c r="X766" s="346">
        <v>100000.0</v>
      </c>
      <c r="Y766" s="341" t="s">
        <v>39</v>
      </c>
      <c r="Z766" s="348">
        <v>400000.0</v>
      </c>
      <c r="AA766" s="346">
        <v>100000.0</v>
      </c>
      <c r="AB766" s="341" t="s">
        <v>39</v>
      </c>
      <c r="AC766" s="348">
        <v>400000.0</v>
      </c>
      <c r="AD766" s="346">
        <v>100000.0</v>
      </c>
      <c r="AE766" s="341" t="s">
        <v>39</v>
      </c>
      <c r="AF766" s="348">
        <v>400000.0</v>
      </c>
      <c r="AG766" s="346">
        <v>100000.0</v>
      </c>
      <c r="AH766" s="341" t="s">
        <v>39</v>
      </c>
      <c r="AI766" s="348">
        <v>400000.0</v>
      </c>
      <c r="AJ766" s="346">
        <v>100000.0</v>
      </c>
      <c r="AK766" s="341" t="s">
        <v>39</v>
      </c>
      <c r="AL766" s="348">
        <v>400000.0</v>
      </c>
      <c r="AM766" s="346">
        <v>100000.0</v>
      </c>
      <c r="AN766" s="316" t="s">
        <v>321</v>
      </c>
      <c r="AO766" s="316"/>
      <c r="AP766" s="316"/>
      <c r="AQ766" s="316"/>
      <c r="AR766" s="316"/>
      <c r="AS766" s="316"/>
      <c r="AT766" s="316"/>
      <c r="AU766" s="316"/>
      <c r="AV766" s="316"/>
      <c r="AW766" s="316"/>
      <c r="AX766" s="316"/>
      <c r="AY766" s="316"/>
      <c r="AZ766" s="316"/>
      <c r="BA766" s="316"/>
      <c r="BB766" s="316"/>
      <c r="BC766" s="316"/>
      <c r="BD766" s="316"/>
      <c r="BE766" s="316"/>
      <c r="BF766" s="316"/>
      <c r="BG766" s="316"/>
      <c r="BH766" s="316"/>
      <c r="BI766" s="316"/>
      <c r="BJ766" s="316"/>
      <c r="BK766" s="316"/>
      <c r="BL766" s="316"/>
      <c r="BM766" s="316"/>
      <c r="BN766" s="316"/>
    </row>
    <row r="767">
      <c r="A767" s="303" t="s">
        <v>1180</v>
      </c>
      <c r="B767" s="384" t="s">
        <v>1180</v>
      </c>
      <c r="C767" s="325" t="s">
        <v>1196</v>
      </c>
      <c r="D767" s="341" t="s">
        <v>37</v>
      </c>
      <c r="E767" s="350"/>
      <c r="F767" s="351"/>
      <c r="G767" s="341" t="s">
        <v>37</v>
      </c>
      <c r="H767" s="350"/>
      <c r="I767" s="351"/>
      <c r="J767" s="353" t="s">
        <v>2380</v>
      </c>
      <c r="K767" s="348">
        <v>450000.0</v>
      </c>
      <c r="L767" s="346">
        <v>100000.0</v>
      </c>
      <c r="M767" s="353" t="s">
        <v>2027</v>
      </c>
      <c r="N767" s="348">
        <v>450000.0</v>
      </c>
      <c r="O767" s="346">
        <v>100000.0</v>
      </c>
      <c r="P767" s="353" t="s">
        <v>2027</v>
      </c>
      <c r="Q767" s="348">
        <v>450000.0</v>
      </c>
      <c r="R767" s="346">
        <v>100000.0</v>
      </c>
      <c r="S767" s="353" t="s">
        <v>2027</v>
      </c>
      <c r="T767" s="348">
        <v>450000.0</v>
      </c>
      <c r="U767" s="346">
        <v>100000.0</v>
      </c>
      <c r="V767" s="353" t="s">
        <v>2027</v>
      </c>
      <c r="W767" s="348">
        <v>450000.0</v>
      </c>
      <c r="X767" s="346">
        <v>100000.0</v>
      </c>
      <c r="Y767" s="353" t="s">
        <v>2381</v>
      </c>
      <c r="Z767" s="348">
        <v>314516.0</v>
      </c>
      <c r="AA767" s="345">
        <v>80645.0</v>
      </c>
      <c r="AB767" s="326"/>
      <c r="AC767" s="335"/>
      <c r="AD767" s="346"/>
      <c r="AE767" s="326"/>
      <c r="AF767" s="335"/>
      <c r="AG767" s="346"/>
      <c r="AH767" s="326"/>
      <c r="AI767" s="335"/>
      <c r="AJ767" s="346"/>
      <c r="AK767" s="326"/>
      <c r="AL767" s="335"/>
      <c r="AM767" s="346"/>
      <c r="AN767" s="316" t="s">
        <v>321</v>
      </c>
      <c r="AO767" s="316"/>
      <c r="AP767" s="316"/>
      <c r="AQ767" s="316"/>
      <c r="AR767" s="316"/>
      <c r="AS767" s="316"/>
      <c r="AT767" s="316"/>
      <c r="AU767" s="316"/>
      <c r="AV767" s="316"/>
      <c r="AW767" s="316"/>
      <c r="AX767" s="316"/>
      <c r="AY767" s="316"/>
      <c r="AZ767" s="316"/>
      <c r="BA767" s="316"/>
      <c r="BB767" s="316"/>
      <c r="BC767" s="316"/>
      <c r="BD767" s="316"/>
      <c r="BE767" s="316"/>
      <c r="BF767" s="316"/>
      <c r="BG767" s="316"/>
      <c r="BH767" s="316"/>
      <c r="BI767" s="316"/>
      <c r="BJ767" s="316"/>
      <c r="BK767" s="316"/>
      <c r="BL767" s="316"/>
      <c r="BM767" s="316"/>
      <c r="BN767" s="316"/>
    </row>
    <row r="768">
      <c r="A768" s="303" t="s">
        <v>1180</v>
      </c>
      <c r="B768" s="304"/>
      <c r="C768" s="305" t="s">
        <v>42</v>
      </c>
      <c r="D768" s="320"/>
      <c r="E768" s="323">
        <f t="shared" ref="E768:F768" si="1076">SUM(E763:E767)</f>
        <v>800000</v>
      </c>
      <c r="F768" s="324">
        <f t="shared" si="1076"/>
        <v>270000</v>
      </c>
      <c r="G768" s="320"/>
      <c r="H768" s="323">
        <f t="shared" ref="H768:I768" si="1077">SUM(H763:H767)</f>
        <v>998929</v>
      </c>
      <c r="I768" s="324">
        <f t="shared" si="1077"/>
        <v>323214</v>
      </c>
      <c r="J768" s="320"/>
      <c r="K768" s="323">
        <f t="shared" ref="K768:L768" si="1078">SUM(K763:K767)</f>
        <v>2000000</v>
      </c>
      <c r="L768" s="324">
        <f t="shared" si="1078"/>
        <v>450000</v>
      </c>
      <c r="M768" s="320"/>
      <c r="N768" s="323">
        <f t="shared" ref="N768:O768" si="1079">SUM(N763:N767)</f>
        <v>2000000</v>
      </c>
      <c r="O768" s="324">
        <f t="shared" si="1079"/>
        <v>450000</v>
      </c>
      <c r="P768" s="320"/>
      <c r="Q768" s="323">
        <f t="shared" ref="Q768:R768" si="1080">SUM(Q763:Q767)</f>
        <v>2000000</v>
      </c>
      <c r="R768" s="324">
        <f t="shared" si="1080"/>
        <v>450000</v>
      </c>
      <c r="S768" s="320"/>
      <c r="T768" s="323">
        <f t="shared" ref="T768:U768" si="1081">SUM(T763:T767)</f>
        <v>2000000</v>
      </c>
      <c r="U768" s="324">
        <f t="shared" si="1081"/>
        <v>450000</v>
      </c>
      <c r="V768" s="320"/>
      <c r="W768" s="323">
        <f t="shared" ref="W768:X768" si="1082">SUM(W763:W767)</f>
        <v>2000000</v>
      </c>
      <c r="X768" s="324">
        <f t="shared" si="1082"/>
        <v>450000</v>
      </c>
      <c r="Y768" s="320"/>
      <c r="Z768" s="323">
        <f t="shared" ref="Z768:AA768" si="1083">SUM(Z763:Z767)</f>
        <v>1864516</v>
      </c>
      <c r="AA768" s="324">
        <f t="shared" si="1083"/>
        <v>430645</v>
      </c>
      <c r="AB768" s="320"/>
      <c r="AC768" s="323">
        <f t="shared" ref="AC768:AD768" si="1084">SUM(AC763:AC767)</f>
        <v>900000</v>
      </c>
      <c r="AD768" s="324">
        <f t="shared" si="1084"/>
        <v>200000</v>
      </c>
      <c r="AE768" s="320"/>
      <c r="AF768" s="323">
        <f t="shared" ref="AF768:AG768" si="1085">SUM(AF763:AF767)</f>
        <v>900000</v>
      </c>
      <c r="AG768" s="324">
        <f t="shared" si="1085"/>
        <v>200000</v>
      </c>
      <c r="AH768" s="320"/>
      <c r="AI768" s="323">
        <f t="shared" ref="AI768:AJ768" si="1086">SUM(AI763:AI767)</f>
        <v>900000</v>
      </c>
      <c r="AJ768" s="324">
        <f t="shared" si="1086"/>
        <v>200000</v>
      </c>
      <c r="AK768" s="320"/>
      <c r="AL768" s="323">
        <f t="shared" ref="AL768:AM768" si="1087">SUM(AL763:AL767)</f>
        <v>900000</v>
      </c>
      <c r="AM768" s="324">
        <f t="shared" si="1087"/>
        <v>200000</v>
      </c>
      <c r="AN768" s="316" t="s">
        <v>321</v>
      </c>
      <c r="AO768" s="316"/>
      <c r="AP768" s="316"/>
      <c r="AQ768" s="316"/>
      <c r="AR768" s="316"/>
      <c r="AS768" s="316"/>
      <c r="AT768" s="316"/>
      <c r="AU768" s="316"/>
      <c r="AV768" s="316"/>
      <c r="AW768" s="316"/>
      <c r="AX768" s="316"/>
      <c r="AY768" s="316"/>
      <c r="AZ768" s="316"/>
      <c r="BA768" s="316"/>
      <c r="BB768" s="316"/>
      <c r="BC768" s="316"/>
      <c r="BD768" s="316"/>
      <c r="BE768" s="316"/>
      <c r="BF768" s="316"/>
      <c r="BG768" s="316"/>
      <c r="BH768" s="316"/>
      <c r="BI768" s="316"/>
      <c r="BJ768" s="316"/>
      <c r="BK768" s="316"/>
      <c r="BL768" s="316"/>
      <c r="BM768" s="316"/>
      <c r="BN768" s="316"/>
    </row>
    <row r="769" collapsed="1">
      <c r="A769" s="303" t="s">
        <v>1180</v>
      </c>
      <c r="B769" s="304"/>
      <c r="C769" s="325" t="s">
        <v>43</v>
      </c>
      <c r="D769" s="326"/>
      <c r="E769" s="321">
        <v>1000000.0</v>
      </c>
      <c r="F769" s="322"/>
      <c r="G769" s="326"/>
      <c r="H769" s="321">
        <v>1000000.0</v>
      </c>
      <c r="I769" s="322"/>
      <c r="J769" s="326"/>
      <c r="K769" s="321">
        <v>1000000.0</v>
      </c>
      <c r="L769" s="322"/>
      <c r="M769" s="326"/>
      <c r="N769" s="321">
        <v>1000000.0</v>
      </c>
      <c r="O769" s="322"/>
      <c r="P769" s="326"/>
      <c r="Q769" s="321">
        <v>1000000.0</v>
      </c>
      <c r="R769" s="322"/>
      <c r="S769" s="326"/>
      <c r="T769" s="321">
        <v>1000000.0</v>
      </c>
      <c r="U769" s="322"/>
      <c r="V769" s="326"/>
      <c r="W769" s="321">
        <v>1000000.0</v>
      </c>
      <c r="X769" s="322"/>
      <c r="Y769" s="326"/>
      <c r="Z769" s="321">
        <v>1000000.0</v>
      </c>
      <c r="AA769" s="322"/>
      <c r="AB769" s="326"/>
      <c r="AC769" s="321">
        <v>1000000.0</v>
      </c>
      <c r="AD769" s="322"/>
      <c r="AE769" s="326"/>
      <c r="AF769" s="321">
        <v>1000000.0</v>
      </c>
      <c r="AG769" s="322"/>
      <c r="AH769" s="326"/>
      <c r="AI769" s="321">
        <v>1000000.0</v>
      </c>
      <c r="AJ769" s="322"/>
      <c r="AK769" s="326"/>
      <c r="AL769" s="321">
        <v>1000000.0</v>
      </c>
      <c r="AM769" s="322"/>
      <c r="AN769" s="316" t="s">
        <v>321</v>
      </c>
      <c r="AO769" s="316"/>
      <c r="AP769" s="316"/>
      <c r="AQ769" s="316"/>
      <c r="AR769" s="316"/>
      <c r="AS769" s="316"/>
      <c r="AT769" s="316"/>
      <c r="AU769" s="316"/>
      <c r="AV769" s="316"/>
      <c r="AW769" s="316"/>
      <c r="AX769" s="316"/>
      <c r="AY769" s="316"/>
      <c r="AZ769" s="316"/>
      <c r="BA769" s="316"/>
      <c r="BB769" s="316"/>
      <c r="BC769" s="316"/>
      <c r="BD769" s="316"/>
      <c r="BE769" s="316"/>
      <c r="BF769" s="316"/>
      <c r="BG769" s="316"/>
      <c r="BH769" s="316"/>
      <c r="BI769" s="316"/>
      <c r="BJ769" s="316"/>
      <c r="BK769" s="316"/>
      <c r="BL769" s="316"/>
      <c r="BM769" s="316"/>
      <c r="BN769" s="316"/>
    </row>
    <row r="770" hidden="1" outlineLevel="1">
      <c r="A770" s="303" t="s">
        <v>1180</v>
      </c>
      <c r="B770" s="317" t="s">
        <v>1038</v>
      </c>
      <c r="C770" s="325" t="s">
        <v>45</v>
      </c>
      <c r="D770" s="326"/>
      <c r="E770" s="321"/>
      <c r="F770" s="322" t="s">
        <v>44</v>
      </c>
      <c r="G770" s="326" t="s">
        <v>677</v>
      </c>
      <c r="H770" s="321"/>
      <c r="I770" s="322" t="s">
        <v>44</v>
      </c>
      <c r="J770" s="326"/>
      <c r="K770" s="321"/>
      <c r="L770" s="322"/>
      <c r="M770" s="326"/>
      <c r="N770" s="321"/>
      <c r="O770" s="322"/>
      <c r="P770" s="326"/>
      <c r="Q770" s="321"/>
      <c r="R770" s="322"/>
      <c r="S770" s="326"/>
      <c r="T770" s="321"/>
      <c r="U770" s="322"/>
      <c r="V770" s="326"/>
      <c r="W770" s="321"/>
      <c r="X770" s="322"/>
      <c r="Y770" s="326"/>
      <c r="Z770" s="321"/>
      <c r="AA770" s="322"/>
      <c r="AB770" s="326"/>
      <c r="AC770" s="321"/>
      <c r="AD770" s="322"/>
      <c r="AE770" s="326"/>
      <c r="AF770" s="321"/>
      <c r="AG770" s="322"/>
      <c r="AH770" s="326"/>
      <c r="AI770" s="321"/>
      <c r="AJ770" s="322"/>
      <c r="AK770" s="326"/>
      <c r="AL770" s="321"/>
      <c r="AM770" s="322"/>
      <c r="AN770" s="316" t="s">
        <v>321</v>
      </c>
      <c r="AO770" s="316"/>
      <c r="AP770" s="316"/>
      <c r="AQ770" s="316"/>
      <c r="AR770" s="316"/>
      <c r="AS770" s="316"/>
      <c r="AT770" s="316"/>
      <c r="AU770" s="316"/>
      <c r="AV770" s="316"/>
      <c r="AW770" s="316"/>
      <c r="AX770" s="316"/>
      <c r="AY770" s="316"/>
      <c r="AZ770" s="316"/>
      <c r="BA770" s="316"/>
      <c r="BB770" s="316"/>
      <c r="BC770" s="316"/>
      <c r="BD770" s="316"/>
      <c r="BE770" s="316"/>
      <c r="BF770" s="316"/>
      <c r="BG770" s="316"/>
      <c r="BH770" s="316"/>
      <c r="BI770" s="316"/>
      <c r="BJ770" s="316"/>
      <c r="BK770" s="316"/>
      <c r="BL770" s="316"/>
      <c r="BM770" s="316"/>
      <c r="BN770" s="316"/>
    </row>
    <row r="771" hidden="1" outlineLevel="1">
      <c r="A771" s="303" t="s">
        <v>1180</v>
      </c>
      <c r="B771" s="317" t="s">
        <v>1204</v>
      </c>
      <c r="C771" s="325" t="s">
        <v>47</v>
      </c>
      <c r="D771" s="326"/>
      <c r="E771" s="321"/>
      <c r="F771" s="322">
        <v>25940.0</v>
      </c>
      <c r="G771" s="326"/>
      <c r="H771" s="321"/>
      <c r="I771" s="322">
        <v>21410.0</v>
      </c>
      <c r="J771" s="326"/>
      <c r="K771" s="321"/>
      <c r="L771" s="322"/>
      <c r="M771" s="326"/>
      <c r="N771" s="321"/>
      <c r="O771" s="322"/>
      <c r="P771" s="326"/>
      <c r="Q771" s="321"/>
      <c r="R771" s="322"/>
      <c r="S771" s="326"/>
      <c r="T771" s="321"/>
      <c r="U771" s="322"/>
      <c r="V771" s="326"/>
      <c r="W771" s="321"/>
      <c r="X771" s="322"/>
      <c r="Y771" s="326"/>
      <c r="Z771" s="321"/>
      <c r="AA771" s="322"/>
      <c r="AB771" s="326"/>
      <c r="AC771" s="321"/>
      <c r="AD771" s="322"/>
      <c r="AE771" s="326"/>
      <c r="AF771" s="321"/>
      <c r="AG771" s="322"/>
      <c r="AH771" s="326"/>
      <c r="AI771" s="321"/>
      <c r="AJ771" s="322"/>
      <c r="AK771" s="326"/>
      <c r="AL771" s="321"/>
      <c r="AM771" s="322"/>
      <c r="AN771" s="316" t="s">
        <v>321</v>
      </c>
      <c r="AO771" s="316"/>
      <c r="AP771" s="316"/>
      <c r="AQ771" s="316"/>
      <c r="AR771" s="316"/>
      <c r="AS771" s="316"/>
      <c r="AT771" s="316"/>
      <c r="AU771" s="316"/>
      <c r="AV771" s="316"/>
      <c r="AW771" s="316"/>
      <c r="AX771" s="316"/>
      <c r="AY771" s="316"/>
      <c r="AZ771" s="316"/>
      <c r="BA771" s="316"/>
      <c r="BB771" s="316"/>
      <c r="BC771" s="316"/>
      <c r="BD771" s="316"/>
      <c r="BE771" s="316"/>
      <c r="BF771" s="316"/>
      <c r="BG771" s="316"/>
      <c r="BH771" s="316"/>
      <c r="BI771" s="316"/>
      <c r="BJ771" s="316"/>
      <c r="BK771" s="316"/>
      <c r="BL771" s="316"/>
      <c r="BM771" s="316"/>
      <c r="BN771" s="316"/>
    </row>
    <row r="772" hidden="1" outlineLevel="1">
      <c r="A772" s="303" t="s">
        <v>1180</v>
      </c>
      <c r="B772" s="317" t="s">
        <v>1205</v>
      </c>
      <c r="C772" s="325" t="s">
        <v>49</v>
      </c>
      <c r="D772" s="326"/>
      <c r="E772" s="321"/>
      <c r="F772" s="322">
        <v>297640.0</v>
      </c>
      <c r="G772" s="326"/>
      <c r="H772" s="321"/>
      <c r="I772" s="322">
        <v>272160.0</v>
      </c>
      <c r="J772" s="326"/>
      <c r="K772" s="321"/>
      <c r="L772" s="322">
        <v>166060.0</v>
      </c>
      <c r="M772" s="326"/>
      <c r="N772" s="321"/>
      <c r="O772" s="322"/>
      <c r="P772" s="326"/>
      <c r="Q772" s="321"/>
      <c r="R772" s="322"/>
      <c r="S772" s="326"/>
      <c r="T772" s="321"/>
      <c r="U772" s="322"/>
      <c r="V772" s="326"/>
      <c r="W772" s="321"/>
      <c r="X772" s="322"/>
      <c r="Y772" s="326"/>
      <c r="Z772" s="321"/>
      <c r="AA772" s="322"/>
      <c r="AB772" s="326"/>
      <c r="AC772" s="321"/>
      <c r="AD772" s="322"/>
      <c r="AE772" s="326"/>
      <c r="AF772" s="321"/>
      <c r="AG772" s="322"/>
      <c r="AH772" s="326"/>
      <c r="AI772" s="321"/>
      <c r="AJ772" s="322"/>
      <c r="AK772" s="326"/>
      <c r="AL772" s="321"/>
      <c r="AM772" s="322"/>
      <c r="AN772" s="316" t="s">
        <v>321</v>
      </c>
      <c r="AO772" s="316"/>
      <c r="AP772" s="316"/>
      <c r="AQ772" s="316"/>
      <c r="AR772" s="316"/>
      <c r="AS772" s="316"/>
      <c r="AT772" s="316"/>
      <c r="AU772" s="316"/>
      <c r="AV772" s="316"/>
      <c r="AW772" s="316"/>
      <c r="AX772" s="316"/>
      <c r="AY772" s="316"/>
      <c r="AZ772" s="316"/>
      <c r="BA772" s="316"/>
      <c r="BB772" s="316"/>
      <c r="BC772" s="316"/>
      <c r="BD772" s="316"/>
      <c r="BE772" s="316"/>
      <c r="BF772" s="316"/>
      <c r="BG772" s="316"/>
      <c r="BH772" s="316"/>
      <c r="BI772" s="316"/>
      <c r="BJ772" s="316"/>
      <c r="BK772" s="316"/>
      <c r="BL772" s="316"/>
      <c r="BM772" s="316"/>
      <c r="BN772" s="316"/>
    </row>
    <row r="773" hidden="1" outlineLevel="1">
      <c r="A773" s="303" t="s">
        <v>1180</v>
      </c>
      <c r="B773" s="317" t="s">
        <v>1038</v>
      </c>
      <c r="C773" s="325" t="s">
        <v>51</v>
      </c>
      <c r="D773" s="326"/>
      <c r="E773" s="321"/>
      <c r="F773" s="322">
        <v>40000.0</v>
      </c>
      <c r="G773" s="326"/>
      <c r="H773" s="321"/>
      <c r="I773" s="322">
        <v>40000.0</v>
      </c>
      <c r="J773" s="326"/>
      <c r="K773" s="321"/>
      <c r="L773" s="322"/>
      <c r="M773" s="326"/>
      <c r="N773" s="321"/>
      <c r="O773" s="322"/>
      <c r="P773" s="326"/>
      <c r="Q773" s="321"/>
      <c r="R773" s="322"/>
      <c r="S773" s="326"/>
      <c r="T773" s="321"/>
      <c r="U773" s="322"/>
      <c r="V773" s="326"/>
      <c r="W773" s="321"/>
      <c r="X773" s="322"/>
      <c r="Y773" s="326"/>
      <c r="Z773" s="321"/>
      <c r="AA773" s="322"/>
      <c r="AB773" s="326"/>
      <c r="AC773" s="321"/>
      <c r="AD773" s="322"/>
      <c r="AE773" s="326"/>
      <c r="AF773" s="321"/>
      <c r="AG773" s="322"/>
      <c r="AH773" s="326"/>
      <c r="AI773" s="321"/>
      <c r="AJ773" s="322"/>
      <c r="AK773" s="326"/>
      <c r="AL773" s="321"/>
      <c r="AM773" s="322"/>
      <c r="AN773" s="316" t="s">
        <v>321</v>
      </c>
      <c r="AO773" s="316"/>
      <c r="AP773" s="316"/>
      <c r="AQ773" s="316"/>
      <c r="AR773" s="316"/>
      <c r="AS773" s="316"/>
      <c r="AT773" s="316"/>
      <c r="AU773" s="316"/>
      <c r="AV773" s="316"/>
      <c r="AW773" s="316"/>
      <c r="AX773" s="316"/>
      <c r="AY773" s="316"/>
      <c r="AZ773" s="316"/>
      <c r="BA773" s="316"/>
      <c r="BB773" s="316"/>
      <c r="BC773" s="316"/>
      <c r="BD773" s="316"/>
      <c r="BE773" s="316"/>
      <c r="BF773" s="316"/>
      <c r="BG773" s="316"/>
      <c r="BH773" s="316"/>
      <c r="BI773" s="316"/>
      <c r="BJ773" s="316"/>
      <c r="BK773" s="316"/>
      <c r="BL773" s="316"/>
      <c r="BM773" s="316"/>
      <c r="BN773" s="316"/>
    </row>
    <row r="774" hidden="1" outlineLevel="1">
      <c r="A774" s="303" t="s">
        <v>1180</v>
      </c>
      <c r="B774" s="304"/>
      <c r="C774" s="325" t="s">
        <v>52</v>
      </c>
      <c r="D774" s="326"/>
      <c r="E774" s="321"/>
      <c r="F774" s="322">
        <v>25000.0</v>
      </c>
      <c r="G774" s="326"/>
      <c r="H774" s="321"/>
      <c r="I774" s="322">
        <v>25000.0</v>
      </c>
      <c r="J774" s="326"/>
      <c r="K774" s="321"/>
      <c r="L774" s="322">
        <v>25000.0</v>
      </c>
      <c r="M774" s="326"/>
      <c r="N774" s="321"/>
      <c r="O774" s="322">
        <v>25000.0</v>
      </c>
      <c r="P774" s="326"/>
      <c r="Q774" s="321"/>
      <c r="R774" s="322">
        <v>25000.0</v>
      </c>
      <c r="S774" s="326"/>
      <c r="T774" s="321"/>
      <c r="U774" s="322">
        <v>25000.0</v>
      </c>
      <c r="V774" s="326"/>
      <c r="W774" s="321"/>
      <c r="X774" s="322">
        <v>25000.0</v>
      </c>
      <c r="Y774" s="326"/>
      <c r="Z774" s="321"/>
      <c r="AA774" s="322">
        <v>25000.0</v>
      </c>
      <c r="AB774" s="326"/>
      <c r="AC774" s="321"/>
      <c r="AD774" s="322">
        <v>25000.0</v>
      </c>
      <c r="AE774" s="326"/>
      <c r="AF774" s="321"/>
      <c r="AG774" s="322">
        <v>25000.0</v>
      </c>
      <c r="AH774" s="326"/>
      <c r="AI774" s="321"/>
      <c r="AJ774" s="322">
        <v>25000.0</v>
      </c>
      <c r="AK774" s="326"/>
      <c r="AL774" s="321"/>
      <c r="AM774" s="322">
        <v>25000.0</v>
      </c>
      <c r="AN774" s="316" t="s">
        <v>321</v>
      </c>
      <c r="AO774" s="316"/>
      <c r="AP774" s="316"/>
      <c r="AQ774" s="316"/>
      <c r="AR774" s="316"/>
      <c r="AS774" s="316"/>
      <c r="AT774" s="316"/>
      <c r="AU774" s="316"/>
      <c r="AV774" s="316"/>
      <c r="AW774" s="316"/>
      <c r="AX774" s="316"/>
      <c r="AY774" s="316"/>
      <c r="AZ774" s="316"/>
      <c r="BA774" s="316"/>
      <c r="BB774" s="316"/>
      <c r="BC774" s="316"/>
      <c r="BD774" s="316"/>
      <c r="BE774" s="316"/>
      <c r="BF774" s="316"/>
      <c r="BG774" s="316"/>
      <c r="BH774" s="316"/>
      <c r="BI774" s="316"/>
      <c r="BJ774" s="316"/>
      <c r="BK774" s="316"/>
      <c r="BL774" s="316"/>
      <c r="BM774" s="316"/>
      <c r="BN774" s="316"/>
    </row>
    <row r="775" hidden="1" outlineLevel="1">
      <c r="A775" s="303" t="s">
        <v>1180</v>
      </c>
      <c r="B775" s="304"/>
      <c r="C775" s="325" t="s">
        <v>53</v>
      </c>
      <c r="D775" s="326"/>
      <c r="E775" s="321"/>
      <c r="F775" s="322">
        <v>10000.0</v>
      </c>
      <c r="G775" s="326"/>
      <c r="H775" s="321"/>
      <c r="I775" s="322">
        <v>10000.0</v>
      </c>
      <c r="J775" s="326"/>
      <c r="K775" s="321"/>
      <c r="L775" s="322">
        <v>10000.0</v>
      </c>
      <c r="M775" s="326"/>
      <c r="N775" s="321"/>
      <c r="O775" s="322">
        <v>10000.0</v>
      </c>
      <c r="P775" s="326"/>
      <c r="Q775" s="321"/>
      <c r="R775" s="322">
        <v>10000.0</v>
      </c>
      <c r="S775" s="326"/>
      <c r="T775" s="321"/>
      <c r="U775" s="322">
        <v>10000.0</v>
      </c>
      <c r="V775" s="326"/>
      <c r="W775" s="321"/>
      <c r="X775" s="322">
        <v>10000.0</v>
      </c>
      <c r="Y775" s="326"/>
      <c r="Z775" s="321"/>
      <c r="AA775" s="322">
        <v>10000.0</v>
      </c>
      <c r="AB775" s="326"/>
      <c r="AC775" s="321"/>
      <c r="AD775" s="322">
        <v>10000.0</v>
      </c>
      <c r="AE775" s="326"/>
      <c r="AF775" s="321"/>
      <c r="AG775" s="322">
        <v>10000.0</v>
      </c>
      <c r="AH775" s="326"/>
      <c r="AI775" s="321"/>
      <c r="AJ775" s="322">
        <v>10000.0</v>
      </c>
      <c r="AK775" s="326"/>
      <c r="AL775" s="321"/>
      <c r="AM775" s="322">
        <v>10000.0</v>
      </c>
      <c r="AN775" s="316" t="s">
        <v>321</v>
      </c>
      <c r="AO775" s="316"/>
      <c r="AP775" s="316"/>
      <c r="AQ775" s="316"/>
      <c r="AR775" s="316"/>
      <c r="AS775" s="316"/>
      <c r="AT775" s="316"/>
      <c r="AU775" s="316"/>
      <c r="AV775" s="316"/>
      <c r="AW775" s="316"/>
      <c r="AX775" s="316"/>
      <c r="AY775" s="316"/>
      <c r="AZ775" s="316"/>
      <c r="BA775" s="316"/>
      <c r="BB775" s="316"/>
      <c r="BC775" s="316"/>
      <c r="BD775" s="316"/>
      <c r="BE775" s="316"/>
      <c r="BF775" s="316"/>
      <c r="BG775" s="316"/>
      <c r="BH775" s="316"/>
      <c r="BI775" s="316"/>
      <c r="BJ775" s="316"/>
      <c r="BK775" s="316"/>
      <c r="BL775" s="316"/>
      <c r="BM775" s="316"/>
      <c r="BN775" s="316"/>
    </row>
    <row r="776" hidden="1" outlineLevel="1">
      <c r="A776" s="303" t="s">
        <v>1180</v>
      </c>
      <c r="B776" s="304"/>
      <c r="C776" s="325" t="s">
        <v>54</v>
      </c>
      <c r="D776" s="327"/>
      <c r="E776" s="321"/>
      <c r="F776" s="322">
        <f>SUMIFS('지출'!$G$3:$G794,'지출'!$J$3:$J794,F$1,'지출'!$C$3:$C794,"동동")</f>
        <v>86930</v>
      </c>
      <c r="G776" s="327"/>
      <c r="H776" s="321"/>
      <c r="I776" s="322">
        <f>SUMIFS('지출'!$G$3:$G794,'지출'!$J$3:$J794,I$1,'지출'!$C$3:$C794,"동동")</f>
        <v>10340</v>
      </c>
      <c r="J776" s="327"/>
      <c r="K776" s="321"/>
      <c r="L776" s="322">
        <f>SUMIFS('지출'!$G$3:$G794,'지출'!$J$3:$J794,L$1,'지출'!$C$3:$C794,"동동")</f>
        <v>88490</v>
      </c>
      <c r="M776" s="327"/>
      <c r="N776" s="321"/>
      <c r="O776" s="322">
        <f>SUMIFS('지출'!$G$3:$G794,'지출'!$J$3:$J794,O$1,'지출'!$C$3:$C794,"동동")</f>
        <v>0</v>
      </c>
      <c r="P776" s="327"/>
      <c r="Q776" s="321"/>
      <c r="R776" s="322">
        <f>SUMIFS('지출'!$G$3:$G794,'지출'!$J$3:$J794,R$1,'지출'!$C$3:$C794,"동동")</f>
        <v>0</v>
      </c>
      <c r="S776" s="327"/>
      <c r="T776" s="321"/>
      <c r="U776" s="322">
        <f>SUMIFS('지출'!$G$3:$G794,'지출'!$J$3:$J794,U$1,'지출'!$C$3:$C794,"동동")</f>
        <v>0</v>
      </c>
      <c r="V776" s="327"/>
      <c r="W776" s="321"/>
      <c r="X776" s="322">
        <f>SUMIFS('지출'!$G$3:$G794,'지출'!$J$3:$J794,X$1,'지출'!$C$3:$C794,"동동")</f>
        <v>0</v>
      </c>
      <c r="Y776" s="327"/>
      <c r="Z776" s="321"/>
      <c r="AA776" s="322">
        <f>SUMIFS('지출'!$G$3:$G794,'지출'!$J$3:$J794,AA$1,'지출'!$C$3:$C794,"동동")</f>
        <v>0</v>
      </c>
      <c r="AB776" s="327"/>
      <c r="AC776" s="321"/>
      <c r="AD776" s="322">
        <f>SUMIFS('지출'!$G$3:$G794,'지출'!$J$3:$J794,AD$1,'지출'!$C$3:$C794,"동동")</f>
        <v>0</v>
      </c>
      <c r="AE776" s="327"/>
      <c r="AF776" s="321"/>
      <c r="AG776" s="322">
        <f>SUMIFS('지출'!$G$3:$G794,'지출'!$J$3:$J794,AG$1,'지출'!$C$3:$C794,"동동")</f>
        <v>0</v>
      </c>
      <c r="AH776" s="327"/>
      <c r="AI776" s="321"/>
      <c r="AJ776" s="322">
        <f>SUMIFS('지출'!$G$3:$G794,'지출'!$J$3:$J794,AJ$1,'지출'!$C$3:$C794,"동동")</f>
        <v>0</v>
      </c>
      <c r="AK776" s="327"/>
      <c r="AL776" s="321"/>
      <c r="AM776" s="322">
        <f>SUMIFS('지출'!$G$3:$G794,'지출'!$J$3:$J794,AM$1,'지출'!$C$3:$C794,"동동")</f>
        <v>0</v>
      </c>
      <c r="AN776" s="316" t="s">
        <v>321</v>
      </c>
      <c r="AO776" s="316"/>
      <c r="AP776" s="316"/>
      <c r="AQ776" s="316"/>
      <c r="AR776" s="316"/>
      <c r="AS776" s="316"/>
      <c r="AT776" s="316"/>
      <c r="AU776" s="316"/>
      <c r="AV776" s="316"/>
      <c r="AW776" s="316"/>
      <c r="AX776" s="316"/>
      <c r="AY776" s="316"/>
      <c r="AZ776" s="316"/>
      <c r="BA776" s="316"/>
      <c r="BB776" s="316"/>
      <c r="BC776" s="316"/>
      <c r="BD776" s="316"/>
      <c r="BE776" s="316"/>
      <c r="BF776" s="316"/>
      <c r="BG776" s="316"/>
      <c r="BH776" s="316"/>
      <c r="BI776" s="316"/>
      <c r="BJ776" s="316"/>
      <c r="BK776" s="316"/>
      <c r="BL776" s="316"/>
      <c r="BM776" s="316"/>
      <c r="BN776" s="316"/>
    </row>
    <row r="777" hidden="1" outlineLevel="1">
      <c r="A777" s="303" t="s">
        <v>1180</v>
      </c>
      <c r="B777" s="304"/>
      <c r="C777" s="325" t="s">
        <v>56</v>
      </c>
      <c r="D777" s="320"/>
      <c r="E777" s="323">
        <f t="shared" ref="E777:F777" si="1088">E768-(SUM(E769:E776))</f>
        <v>-200000</v>
      </c>
      <c r="F777" s="324">
        <f t="shared" si="1088"/>
        <v>-215510</v>
      </c>
      <c r="G777" s="320"/>
      <c r="H777" s="323">
        <f t="shared" ref="H777:I777" si="1089">H768-(SUM(H769:H776))</f>
        <v>-1071</v>
      </c>
      <c r="I777" s="324">
        <f t="shared" si="1089"/>
        <v>-55696</v>
      </c>
      <c r="J777" s="320"/>
      <c r="K777" s="323">
        <f t="shared" ref="K777:L777" si="1090">K768-(SUM(K769:K776))</f>
        <v>1000000</v>
      </c>
      <c r="L777" s="324">
        <f t="shared" si="1090"/>
        <v>160450</v>
      </c>
      <c r="M777" s="320"/>
      <c r="N777" s="323">
        <f t="shared" ref="N777:O777" si="1091">N768-(SUM(N769:N776))</f>
        <v>1000000</v>
      </c>
      <c r="O777" s="324">
        <f t="shared" si="1091"/>
        <v>415000</v>
      </c>
      <c r="P777" s="320"/>
      <c r="Q777" s="323">
        <f t="shared" ref="Q777:R777" si="1092">Q768-(SUM(Q769:Q776))</f>
        <v>1000000</v>
      </c>
      <c r="R777" s="324">
        <f t="shared" si="1092"/>
        <v>415000</v>
      </c>
      <c r="S777" s="320"/>
      <c r="T777" s="323">
        <f t="shared" ref="T777:U777" si="1093">T768-(SUM(T769:T776))</f>
        <v>1000000</v>
      </c>
      <c r="U777" s="324">
        <f t="shared" si="1093"/>
        <v>415000</v>
      </c>
      <c r="V777" s="320"/>
      <c r="W777" s="323">
        <f t="shared" ref="W777:X777" si="1094">W768-(SUM(W769:W776))</f>
        <v>1000000</v>
      </c>
      <c r="X777" s="324">
        <f t="shared" si="1094"/>
        <v>415000</v>
      </c>
      <c r="Y777" s="320"/>
      <c r="Z777" s="323">
        <f t="shared" ref="Z777:AA777" si="1095">Z768-(SUM(Z769:Z776))</f>
        <v>864516</v>
      </c>
      <c r="AA777" s="324">
        <f t="shared" si="1095"/>
        <v>395645</v>
      </c>
      <c r="AB777" s="320"/>
      <c r="AC777" s="323">
        <f t="shared" ref="AC777:AD777" si="1096">AC768-(SUM(AC769:AC776))</f>
        <v>-100000</v>
      </c>
      <c r="AD777" s="324">
        <f t="shared" si="1096"/>
        <v>165000</v>
      </c>
      <c r="AE777" s="320"/>
      <c r="AF777" s="323">
        <f t="shared" ref="AF777:AG777" si="1097">AF768-(SUM(AF769:AF776))</f>
        <v>-100000</v>
      </c>
      <c r="AG777" s="324">
        <f t="shared" si="1097"/>
        <v>165000</v>
      </c>
      <c r="AH777" s="320"/>
      <c r="AI777" s="323">
        <f t="shared" ref="AI777:AJ777" si="1098">AI768-(SUM(AI769:AI776))</f>
        <v>-100000</v>
      </c>
      <c r="AJ777" s="324">
        <f t="shared" si="1098"/>
        <v>165000</v>
      </c>
      <c r="AK777" s="320"/>
      <c r="AL777" s="323">
        <f t="shared" ref="AL777:AM777" si="1099">AL768-(SUM(AL769:AL776))</f>
        <v>-100000</v>
      </c>
      <c r="AM777" s="324">
        <f t="shared" si="1099"/>
        <v>165000</v>
      </c>
      <c r="AN777" s="316" t="s">
        <v>321</v>
      </c>
      <c r="AO777" s="316"/>
      <c r="AP777" s="316"/>
      <c r="AQ777" s="316"/>
      <c r="AR777" s="316"/>
      <c r="AS777" s="316"/>
      <c r="AT777" s="316"/>
      <c r="AU777" s="316"/>
      <c r="AV777" s="316"/>
      <c r="AW777" s="316"/>
      <c r="AX777" s="316"/>
      <c r="AY777" s="316"/>
      <c r="AZ777" s="316"/>
      <c r="BA777" s="316"/>
      <c r="BB777" s="316"/>
      <c r="BC777" s="316"/>
      <c r="BD777" s="316"/>
      <c r="BE777" s="316"/>
      <c r="BF777" s="316"/>
      <c r="BG777" s="316"/>
      <c r="BH777" s="316"/>
      <c r="BI777" s="316"/>
      <c r="BJ777" s="316"/>
      <c r="BK777" s="316"/>
      <c r="BL777" s="316"/>
      <c r="BM777" s="316"/>
      <c r="BN777" s="316"/>
    </row>
    <row r="778">
      <c r="A778" s="303" t="s">
        <v>1180</v>
      </c>
      <c r="B778" s="328">
        <v>0.5</v>
      </c>
      <c r="C778" s="325" t="s">
        <v>26</v>
      </c>
      <c r="D778" s="320"/>
      <c r="E778" s="323">
        <f>E777*$B778</f>
        <v>-100000</v>
      </c>
      <c r="F778" s="324"/>
      <c r="G778" s="320"/>
      <c r="H778" s="323">
        <f>H777*$B778</f>
        <v>-535.5</v>
      </c>
      <c r="I778" s="324"/>
      <c r="J778" s="320"/>
      <c r="K778" s="323">
        <f>K777*$B778</f>
        <v>500000</v>
      </c>
      <c r="L778" s="324"/>
      <c r="M778" s="320"/>
      <c r="N778" s="323">
        <f>N777*$B778</f>
        <v>500000</v>
      </c>
      <c r="O778" s="324"/>
      <c r="P778" s="320"/>
      <c r="Q778" s="323">
        <f>Q777*$B778</f>
        <v>500000</v>
      </c>
      <c r="R778" s="324"/>
      <c r="S778" s="320"/>
      <c r="T778" s="323">
        <f>T777*$B778</f>
        <v>500000</v>
      </c>
      <c r="U778" s="324"/>
      <c r="V778" s="320"/>
      <c r="W778" s="323">
        <f>W777*$B778</f>
        <v>500000</v>
      </c>
      <c r="X778" s="324"/>
      <c r="Y778" s="320"/>
      <c r="Z778" s="323">
        <f>Z777*$B778</f>
        <v>432258</v>
      </c>
      <c r="AA778" s="324"/>
      <c r="AB778" s="320"/>
      <c r="AC778" s="323">
        <f>AC777*$B778</f>
        <v>-50000</v>
      </c>
      <c r="AD778" s="324"/>
      <c r="AE778" s="320"/>
      <c r="AF778" s="323">
        <f>AF777*$B778</f>
        <v>-50000</v>
      </c>
      <c r="AG778" s="324"/>
      <c r="AH778" s="320"/>
      <c r="AI778" s="323">
        <f>AI777*$B778</f>
        <v>-50000</v>
      </c>
      <c r="AJ778" s="324"/>
      <c r="AK778" s="320"/>
      <c r="AL778" s="323">
        <f>AL777*$B778</f>
        <v>-50000</v>
      </c>
      <c r="AM778" s="324"/>
      <c r="AN778" s="316" t="s">
        <v>321</v>
      </c>
      <c r="AO778" s="316"/>
      <c r="AP778" s="316"/>
      <c r="AQ778" s="316"/>
      <c r="AR778" s="316"/>
      <c r="AS778" s="316"/>
      <c r="AT778" s="316"/>
      <c r="AU778" s="316"/>
      <c r="AV778" s="316"/>
      <c r="AW778" s="316"/>
      <c r="AX778" s="316"/>
      <c r="AY778" s="316"/>
      <c r="AZ778" s="316"/>
      <c r="BA778" s="316"/>
      <c r="BB778" s="316"/>
      <c r="BC778" s="316"/>
      <c r="BD778" s="316"/>
      <c r="BE778" s="316"/>
      <c r="BF778" s="316"/>
      <c r="BG778" s="316"/>
      <c r="BH778" s="316"/>
      <c r="BI778" s="316"/>
      <c r="BJ778" s="316"/>
      <c r="BK778" s="316"/>
      <c r="BL778" s="316"/>
      <c r="BM778" s="316"/>
      <c r="BN778" s="316"/>
    </row>
    <row r="779">
      <c r="A779" s="303" t="s">
        <v>1180</v>
      </c>
      <c r="B779" s="329">
        <v>0.5</v>
      </c>
      <c r="C779" s="330" t="s">
        <v>57</v>
      </c>
      <c r="D779" s="331"/>
      <c r="E779" s="332">
        <f>E777*$B779</f>
        <v>-100000</v>
      </c>
      <c r="F779" s="333"/>
      <c r="G779" s="331"/>
      <c r="H779" s="332">
        <f>H777*$B779</f>
        <v>-535.5</v>
      </c>
      <c r="I779" s="333"/>
      <c r="J779" s="331"/>
      <c r="K779" s="332">
        <f>K777*$B779</f>
        <v>500000</v>
      </c>
      <c r="L779" s="333"/>
      <c r="M779" s="331"/>
      <c r="N779" s="332">
        <f>N777*$B779</f>
        <v>500000</v>
      </c>
      <c r="O779" s="333"/>
      <c r="P779" s="331"/>
      <c r="Q779" s="332">
        <f>Q777*$B779</f>
        <v>500000</v>
      </c>
      <c r="R779" s="333"/>
      <c r="S779" s="331"/>
      <c r="T779" s="332">
        <f>T777*$B779</f>
        <v>500000</v>
      </c>
      <c r="U779" s="333"/>
      <c r="V779" s="331"/>
      <c r="W779" s="332">
        <f>W777*$B779</f>
        <v>500000</v>
      </c>
      <c r="X779" s="333"/>
      <c r="Y779" s="331"/>
      <c r="Z779" s="332">
        <f>Z777*$B779</f>
        <v>432258</v>
      </c>
      <c r="AA779" s="333"/>
      <c r="AB779" s="331"/>
      <c r="AC779" s="332">
        <f>AC777*$B779</f>
        <v>-50000</v>
      </c>
      <c r="AD779" s="333"/>
      <c r="AE779" s="331"/>
      <c r="AF779" s="332">
        <f>AF777*$B779</f>
        <v>-50000</v>
      </c>
      <c r="AG779" s="333"/>
      <c r="AH779" s="331"/>
      <c r="AI779" s="332">
        <f>AI777*$B779</f>
        <v>-50000</v>
      </c>
      <c r="AJ779" s="333"/>
      <c r="AK779" s="331"/>
      <c r="AL779" s="332">
        <f>AL777*$B779</f>
        <v>-50000</v>
      </c>
      <c r="AM779" s="333"/>
      <c r="AN779" s="316" t="s">
        <v>321</v>
      </c>
      <c r="AO779" s="316"/>
      <c r="AP779" s="316"/>
      <c r="AQ779" s="316"/>
      <c r="AR779" s="316"/>
      <c r="AS779" s="316"/>
      <c r="AT779" s="316"/>
      <c r="AU779" s="316"/>
      <c r="AV779" s="316"/>
      <c r="AW779" s="316"/>
      <c r="AX779" s="316"/>
      <c r="AY779" s="316"/>
      <c r="AZ779" s="316"/>
      <c r="BA779" s="316"/>
      <c r="BB779" s="316"/>
      <c r="BC779" s="316"/>
      <c r="BD779" s="316"/>
      <c r="BE779" s="316"/>
      <c r="BF779" s="316"/>
      <c r="BG779" s="316"/>
      <c r="BH779" s="316"/>
      <c r="BI779" s="316"/>
      <c r="BJ779" s="316"/>
      <c r="BK779" s="316"/>
      <c r="BL779" s="316"/>
      <c r="BM779" s="316"/>
      <c r="BN779" s="316"/>
    </row>
    <row r="780">
      <c r="A780" s="303"/>
      <c r="B780" s="404"/>
      <c r="C780" s="316"/>
      <c r="D780" s="365"/>
      <c r="E780" s="323"/>
      <c r="F780" s="323"/>
      <c r="G780" s="365"/>
      <c r="H780" s="323"/>
      <c r="I780" s="323"/>
      <c r="J780" s="365"/>
      <c r="K780" s="323"/>
      <c r="L780" s="323"/>
      <c r="M780" s="365"/>
      <c r="N780" s="323"/>
      <c r="O780" s="323"/>
      <c r="P780" s="365"/>
      <c r="Q780" s="323"/>
      <c r="R780" s="323"/>
      <c r="S780" s="365"/>
      <c r="T780" s="323"/>
      <c r="U780" s="323"/>
      <c r="V780" s="365"/>
      <c r="W780" s="323"/>
      <c r="X780" s="323"/>
      <c r="Y780" s="365"/>
      <c r="Z780" s="323"/>
      <c r="AA780" s="323"/>
      <c r="AB780" s="365"/>
      <c r="AC780" s="323"/>
      <c r="AD780" s="323"/>
      <c r="AE780" s="365"/>
      <c r="AF780" s="323"/>
      <c r="AG780" s="323"/>
      <c r="AH780" s="365"/>
      <c r="AI780" s="323"/>
      <c r="AJ780" s="323"/>
      <c r="AK780" s="365"/>
      <c r="AL780" s="323"/>
      <c r="AM780" s="323"/>
      <c r="AN780" s="316"/>
      <c r="AO780" s="316"/>
      <c r="AP780" s="316"/>
      <c r="AQ780" s="316"/>
      <c r="AR780" s="316"/>
      <c r="AS780" s="316"/>
      <c r="AT780" s="316"/>
      <c r="AU780" s="316"/>
      <c r="AV780" s="316"/>
      <c r="AW780" s="316"/>
      <c r="AX780" s="316"/>
      <c r="AY780" s="316"/>
      <c r="AZ780" s="316"/>
      <c r="BA780" s="316"/>
      <c r="BB780" s="316"/>
      <c r="BC780" s="316"/>
      <c r="BD780" s="316"/>
      <c r="BE780" s="316"/>
      <c r="BF780" s="316"/>
      <c r="BG780" s="316"/>
      <c r="BH780" s="316"/>
      <c r="BI780" s="316"/>
      <c r="BJ780" s="316"/>
      <c r="BK780" s="316"/>
      <c r="BL780" s="316"/>
      <c r="BM780" s="316"/>
      <c r="BN780" s="316"/>
    </row>
    <row r="781">
      <c r="A781" s="303"/>
      <c r="B781" s="404"/>
      <c r="C781" s="316"/>
      <c r="D781" s="365"/>
      <c r="E781" s="323"/>
      <c r="F781" s="323"/>
      <c r="G781" s="365"/>
      <c r="H781" s="323"/>
      <c r="I781" s="323"/>
      <c r="J781" s="365"/>
      <c r="K781" s="323"/>
      <c r="L781" s="323"/>
      <c r="M781" s="365"/>
      <c r="N781" s="323"/>
      <c r="O781" s="323"/>
      <c r="P781" s="365"/>
      <c r="Q781" s="323"/>
      <c r="R781" s="323"/>
      <c r="S781" s="365"/>
      <c r="T781" s="323"/>
      <c r="U781" s="323"/>
      <c r="V781" s="365"/>
      <c r="W781" s="323"/>
      <c r="X781" s="323"/>
      <c r="Y781" s="365"/>
      <c r="Z781" s="323"/>
      <c r="AA781" s="323"/>
      <c r="AB781" s="365"/>
      <c r="AC781" s="323"/>
      <c r="AD781" s="323"/>
      <c r="AE781" s="365"/>
      <c r="AF781" s="323"/>
      <c r="AG781" s="323"/>
      <c r="AH781" s="365"/>
      <c r="AI781" s="323"/>
      <c r="AJ781" s="323"/>
      <c r="AK781" s="365"/>
      <c r="AL781" s="323"/>
      <c r="AM781" s="323"/>
      <c r="AN781" s="316"/>
      <c r="AO781" s="316"/>
      <c r="AP781" s="316"/>
      <c r="AQ781" s="316"/>
      <c r="AR781" s="316"/>
      <c r="AS781" s="316"/>
      <c r="AT781" s="316"/>
      <c r="AU781" s="316"/>
      <c r="AV781" s="316"/>
      <c r="AW781" s="316"/>
      <c r="AX781" s="316"/>
      <c r="AY781" s="316"/>
      <c r="AZ781" s="316"/>
      <c r="BA781" s="316"/>
      <c r="BB781" s="316"/>
      <c r="BC781" s="316"/>
      <c r="BD781" s="316"/>
      <c r="BE781" s="316"/>
      <c r="BF781" s="316"/>
      <c r="BG781" s="316"/>
      <c r="BH781" s="316"/>
      <c r="BI781" s="316"/>
      <c r="BJ781" s="316"/>
      <c r="BK781" s="316"/>
      <c r="BL781" s="316"/>
      <c r="BM781" s="316"/>
      <c r="BN781" s="316"/>
    </row>
    <row r="782">
      <c r="A782" s="303"/>
      <c r="B782" s="404"/>
      <c r="C782" s="316"/>
      <c r="D782" s="365"/>
      <c r="E782" s="323"/>
      <c r="F782" s="323"/>
      <c r="G782" s="365"/>
      <c r="H782" s="323"/>
      <c r="I782" s="323"/>
      <c r="J782" s="365"/>
      <c r="K782" s="323"/>
      <c r="L782" s="323"/>
      <c r="M782" s="365"/>
      <c r="N782" s="323"/>
      <c r="O782" s="323"/>
      <c r="P782" s="365"/>
      <c r="Q782" s="323"/>
      <c r="R782" s="323"/>
      <c r="S782" s="365"/>
      <c r="T782" s="323"/>
      <c r="U782" s="323"/>
      <c r="V782" s="365"/>
      <c r="W782" s="323"/>
      <c r="X782" s="323"/>
      <c r="Y782" s="365"/>
      <c r="Z782" s="323"/>
      <c r="AA782" s="323"/>
      <c r="AB782" s="365"/>
      <c r="AC782" s="323"/>
      <c r="AD782" s="323"/>
      <c r="AE782" s="365"/>
      <c r="AF782" s="323"/>
      <c r="AG782" s="323"/>
      <c r="AH782" s="365"/>
      <c r="AI782" s="323"/>
      <c r="AJ782" s="323"/>
      <c r="AK782" s="365"/>
      <c r="AL782" s="323"/>
      <c r="AM782" s="323"/>
      <c r="AN782" s="316"/>
      <c r="AO782" s="316"/>
      <c r="AP782" s="316"/>
      <c r="AQ782" s="316"/>
      <c r="AR782" s="316"/>
      <c r="AS782" s="316"/>
      <c r="AT782" s="316"/>
      <c r="AU782" s="316"/>
      <c r="AV782" s="316"/>
      <c r="AW782" s="316"/>
      <c r="AX782" s="316"/>
      <c r="AY782" s="316"/>
      <c r="AZ782" s="316"/>
      <c r="BA782" s="316"/>
      <c r="BB782" s="316"/>
      <c r="BC782" s="316"/>
      <c r="BD782" s="316"/>
      <c r="BE782" s="316"/>
      <c r="BF782" s="316"/>
      <c r="BG782" s="316"/>
      <c r="BH782" s="316"/>
      <c r="BI782" s="316"/>
      <c r="BJ782" s="316"/>
      <c r="BK782" s="316"/>
      <c r="BL782" s="316"/>
      <c r="BM782" s="316"/>
      <c r="BN782" s="316"/>
    </row>
    <row r="783">
      <c r="A783" s="303"/>
      <c r="B783" s="404"/>
      <c r="C783" s="316"/>
      <c r="D783" s="365"/>
      <c r="E783" s="323"/>
      <c r="F783" s="323"/>
      <c r="G783" s="365"/>
      <c r="H783" s="323"/>
      <c r="I783" s="323"/>
      <c r="J783" s="365"/>
      <c r="K783" s="323"/>
      <c r="L783" s="323"/>
      <c r="M783" s="365"/>
      <c r="N783" s="323"/>
      <c r="O783" s="323"/>
      <c r="P783" s="365"/>
      <c r="Q783" s="323"/>
      <c r="R783" s="323"/>
      <c r="S783" s="365"/>
      <c r="T783" s="323"/>
      <c r="U783" s="323"/>
      <c r="V783" s="365"/>
      <c r="W783" s="323"/>
      <c r="X783" s="323"/>
      <c r="Y783" s="365"/>
      <c r="Z783" s="323"/>
      <c r="AA783" s="323"/>
      <c r="AB783" s="365"/>
      <c r="AC783" s="323"/>
      <c r="AD783" s="323"/>
      <c r="AE783" s="365"/>
      <c r="AF783" s="323"/>
      <c r="AG783" s="323"/>
      <c r="AH783" s="365"/>
      <c r="AI783" s="323"/>
      <c r="AJ783" s="323"/>
      <c r="AK783" s="365"/>
      <c r="AL783" s="323"/>
      <c r="AM783" s="323"/>
      <c r="AN783" s="316"/>
      <c r="AO783" s="316"/>
      <c r="AP783" s="316"/>
      <c r="AQ783" s="316"/>
      <c r="AR783" s="316"/>
      <c r="AS783" s="316"/>
      <c r="AT783" s="316"/>
      <c r="AU783" s="316"/>
      <c r="AV783" s="316"/>
      <c r="AW783" s="316"/>
      <c r="AX783" s="316"/>
      <c r="AY783" s="316"/>
      <c r="AZ783" s="316"/>
      <c r="BA783" s="316"/>
      <c r="BB783" s="316"/>
      <c r="BC783" s="316"/>
      <c r="BD783" s="316"/>
      <c r="BE783" s="316"/>
      <c r="BF783" s="316"/>
      <c r="BG783" s="316"/>
      <c r="BH783" s="316"/>
      <c r="BI783" s="316"/>
      <c r="BJ783" s="316"/>
      <c r="BK783" s="316"/>
      <c r="BL783" s="316"/>
      <c r="BM783" s="316"/>
      <c r="BN783" s="316"/>
    </row>
    <row r="784">
      <c r="A784" s="303"/>
      <c r="B784" s="404"/>
      <c r="C784" s="316"/>
      <c r="D784" s="365"/>
      <c r="E784" s="323"/>
      <c r="F784" s="323"/>
      <c r="G784" s="365"/>
      <c r="H784" s="323"/>
      <c r="I784" s="323"/>
      <c r="J784" s="365"/>
      <c r="K784" s="323"/>
      <c r="L784" s="323"/>
      <c r="M784" s="365"/>
      <c r="N784" s="323"/>
      <c r="O784" s="323"/>
      <c r="P784" s="365"/>
      <c r="Q784" s="323"/>
      <c r="R784" s="323"/>
      <c r="S784" s="365"/>
      <c r="T784" s="323"/>
      <c r="U784" s="323"/>
      <c r="V784" s="365"/>
      <c r="W784" s="323"/>
      <c r="X784" s="323"/>
      <c r="Y784" s="365"/>
      <c r="Z784" s="323"/>
      <c r="AA784" s="323"/>
      <c r="AB784" s="365"/>
      <c r="AC784" s="323"/>
      <c r="AD784" s="323"/>
      <c r="AE784" s="365"/>
      <c r="AF784" s="323"/>
      <c r="AG784" s="323"/>
      <c r="AH784" s="365"/>
      <c r="AI784" s="323"/>
      <c r="AJ784" s="323"/>
      <c r="AK784" s="365"/>
      <c r="AL784" s="323"/>
      <c r="AM784" s="323"/>
      <c r="AN784" s="316"/>
      <c r="AO784" s="316"/>
      <c r="AP784" s="316"/>
      <c r="AQ784" s="316"/>
      <c r="AR784" s="316"/>
      <c r="AS784" s="316"/>
      <c r="AT784" s="316"/>
      <c r="AU784" s="316"/>
      <c r="AV784" s="316"/>
      <c r="AW784" s="316"/>
      <c r="AX784" s="316"/>
      <c r="AY784" s="316"/>
      <c r="AZ784" s="316"/>
      <c r="BA784" s="316"/>
      <c r="BB784" s="316"/>
      <c r="BC784" s="316"/>
      <c r="BD784" s="316"/>
      <c r="BE784" s="316"/>
      <c r="BF784" s="316"/>
      <c r="BG784" s="316"/>
      <c r="BH784" s="316"/>
      <c r="BI784" s="316"/>
      <c r="BJ784" s="316"/>
      <c r="BK784" s="316"/>
      <c r="BL784" s="316"/>
      <c r="BM784" s="316"/>
      <c r="BN784" s="316"/>
    </row>
    <row r="785">
      <c r="A785" s="303"/>
      <c r="B785" s="404"/>
      <c r="C785" s="316"/>
      <c r="D785" s="365"/>
      <c r="E785" s="323"/>
      <c r="F785" s="323"/>
      <c r="G785" s="365"/>
      <c r="H785" s="323"/>
      <c r="I785" s="323"/>
      <c r="J785" s="365"/>
      <c r="K785" s="323"/>
      <c r="L785" s="323"/>
      <c r="M785" s="365"/>
      <c r="N785" s="323"/>
      <c r="O785" s="323"/>
      <c r="P785" s="365"/>
      <c r="Q785" s="323"/>
      <c r="R785" s="323"/>
      <c r="S785" s="365"/>
      <c r="T785" s="323"/>
      <c r="U785" s="323"/>
      <c r="V785" s="365"/>
      <c r="W785" s="323"/>
      <c r="X785" s="323"/>
      <c r="Y785" s="365"/>
      <c r="Z785" s="323"/>
      <c r="AA785" s="323"/>
      <c r="AB785" s="365"/>
      <c r="AC785" s="323"/>
      <c r="AD785" s="323"/>
      <c r="AE785" s="365"/>
      <c r="AF785" s="323"/>
      <c r="AG785" s="323"/>
      <c r="AH785" s="365"/>
      <c r="AI785" s="323"/>
      <c r="AJ785" s="323"/>
      <c r="AK785" s="365"/>
      <c r="AL785" s="323"/>
      <c r="AM785" s="323"/>
      <c r="AN785" s="316"/>
      <c r="AO785" s="316"/>
      <c r="AP785" s="316"/>
      <c r="AQ785" s="316"/>
      <c r="AR785" s="316"/>
      <c r="AS785" s="316"/>
      <c r="AT785" s="316"/>
      <c r="AU785" s="316"/>
      <c r="AV785" s="316"/>
      <c r="AW785" s="316"/>
      <c r="AX785" s="316"/>
      <c r="AY785" s="316"/>
      <c r="AZ785" s="316"/>
      <c r="BA785" s="316"/>
      <c r="BB785" s="316"/>
      <c r="BC785" s="316"/>
      <c r="BD785" s="316"/>
      <c r="BE785" s="316"/>
      <c r="BF785" s="316"/>
      <c r="BG785" s="316"/>
      <c r="BH785" s="316"/>
      <c r="BI785" s="316"/>
      <c r="BJ785" s="316"/>
      <c r="BK785" s="316"/>
      <c r="BL785" s="316"/>
      <c r="BM785" s="316"/>
      <c r="BN785" s="316"/>
    </row>
    <row r="786">
      <c r="A786" s="303"/>
      <c r="B786" s="404"/>
      <c r="C786" s="316"/>
      <c r="D786" s="365"/>
      <c r="E786" s="323"/>
      <c r="F786" s="323"/>
      <c r="G786" s="365"/>
      <c r="H786" s="323"/>
      <c r="I786" s="323"/>
      <c r="J786" s="365"/>
      <c r="K786" s="323"/>
      <c r="L786" s="323"/>
      <c r="M786" s="365"/>
      <c r="N786" s="323"/>
      <c r="O786" s="323"/>
      <c r="P786" s="365"/>
      <c r="Q786" s="323"/>
      <c r="R786" s="323"/>
      <c r="S786" s="365"/>
      <c r="T786" s="323"/>
      <c r="U786" s="323"/>
      <c r="V786" s="365"/>
      <c r="W786" s="323"/>
      <c r="X786" s="323"/>
      <c r="Y786" s="365"/>
      <c r="Z786" s="323"/>
      <c r="AA786" s="323"/>
      <c r="AB786" s="365"/>
      <c r="AC786" s="323"/>
      <c r="AD786" s="323"/>
      <c r="AE786" s="365"/>
      <c r="AF786" s="323"/>
      <c r="AG786" s="323"/>
      <c r="AH786" s="365"/>
      <c r="AI786" s="323"/>
      <c r="AJ786" s="323"/>
      <c r="AK786" s="365"/>
      <c r="AL786" s="323"/>
      <c r="AM786" s="323"/>
      <c r="AN786" s="316"/>
      <c r="AO786" s="316"/>
      <c r="AP786" s="316"/>
      <c r="AQ786" s="316"/>
      <c r="AR786" s="316"/>
      <c r="AS786" s="316"/>
      <c r="AT786" s="316"/>
      <c r="AU786" s="316"/>
      <c r="AV786" s="316"/>
      <c r="AW786" s="316"/>
      <c r="AX786" s="316"/>
      <c r="AY786" s="316"/>
      <c r="AZ786" s="316"/>
      <c r="BA786" s="316"/>
      <c r="BB786" s="316"/>
      <c r="BC786" s="316"/>
      <c r="BD786" s="316"/>
      <c r="BE786" s="316"/>
      <c r="BF786" s="316"/>
      <c r="BG786" s="316"/>
      <c r="BH786" s="316"/>
      <c r="BI786" s="316"/>
      <c r="BJ786" s="316"/>
      <c r="BK786" s="316"/>
      <c r="BL786" s="316"/>
      <c r="BM786" s="316"/>
      <c r="BN786" s="316"/>
    </row>
    <row r="787">
      <c r="A787" s="303"/>
      <c r="B787" s="404"/>
      <c r="C787" s="316"/>
      <c r="D787" s="365"/>
      <c r="E787" s="323"/>
      <c r="F787" s="323"/>
      <c r="G787" s="365"/>
      <c r="H787" s="323"/>
      <c r="I787" s="323"/>
      <c r="J787" s="365"/>
      <c r="K787" s="323"/>
      <c r="L787" s="323"/>
      <c r="M787" s="365"/>
      <c r="N787" s="323"/>
      <c r="O787" s="323"/>
      <c r="P787" s="365"/>
      <c r="Q787" s="323"/>
      <c r="R787" s="323"/>
      <c r="S787" s="365"/>
      <c r="T787" s="323"/>
      <c r="U787" s="323"/>
      <c r="V787" s="365"/>
      <c r="W787" s="323"/>
      <c r="X787" s="323"/>
      <c r="Y787" s="365"/>
      <c r="Z787" s="323"/>
      <c r="AA787" s="323"/>
      <c r="AB787" s="365"/>
      <c r="AC787" s="323"/>
      <c r="AD787" s="323"/>
      <c r="AE787" s="365"/>
      <c r="AF787" s="323"/>
      <c r="AG787" s="323"/>
      <c r="AH787" s="365"/>
      <c r="AI787" s="323"/>
      <c r="AJ787" s="323"/>
      <c r="AK787" s="365"/>
      <c r="AL787" s="323"/>
      <c r="AM787" s="323"/>
      <c r="AN787" s="316"/>
      <c r="AO787" s="316"/>
      <c r="AP787" s="316"/>
      <c r="AQ787" s="316"/>
      <c r="AR787" s="316"/>
      <c r="AS787" s="316"/>
      <c r="AT787" s="316"/>
      <c r="AU787" s="316"/>
      <c r="AV787" s="316"/>
      <c r="AW787" s="316"/>
      <c r="AX787" s="316"/>
      <c r="AY787" s="316"/>
      <c r="AZ787" s="316"/>
      <c r="BA787" s="316"/>
      <c r="BB787" s="316"/>
      <c r="BC787" s="316"/>
      <c r="BD787" s="316"/>
      <c r="BE787" s="316"/>
      <c r="BF787" s="316"/>
      <c r="BG787" s="316"/>
      <c r="BH787" s="316"/>
      <c r="BI787" s="316"/>
      <c r="BJ787" s="316"/>
      <c r="BK787" s="316"/>
      <c r="BL787" s="316"/>
      <c r="BM787" s="316"/>
      <c r="BN787" s="316"/>
    </row>
    <row r="788">
      <c r="A788" s="303"/>
      <c r="B788" s="404"/>
      <c r="C788" s="316"/>
      <c r="D788" s="365"/>
      <c r="E788" s="323"/>
      <c r="F788" s="323"/>
      <c r="G788" s="365"/>
      <c r="H788" s="323"/>
      <c r="I788" s="323"/>
      <c r="J788" s="365"/>
      <c r="K788" s="323"/>
      <c r="L788" s="323"/>
      <c r="M788" s="365"/>
      <c r="N788" s="323"/>
      <c r="O788" s="323"/>
      <c r="P788" s="365"/>
      <c r="Q788" s="323"/>
      <c r="R788" s="323"/>
      <c r="S788" s="365"/>
      <c r="T788" s="323"/>
      <c r="U788" s="323"/>
      <c r="V788" s="365"/>
      <c r="W788" s="323"/>
      <c r="X788" s="323"/>
      <c r="Y788" s="365"/>
      <c r="Z788" s="323"/>
      <c r="AA788" s="323"/>
      <c r="AB788" s="365"/>
      <c r="AC788" s="323"/>
      <c r="AD788" s="323"/>
      <c r="AE788" s="365"/>
      <c r="AF788" s="323"/>
      <c r="AG788" s="323"/>
      <c r="AH788" s="365"/>
      <c r="AI788" s="323"/>
      <c r="AJ788" s="323"/>
      <c r="AK788" s="365"/>
      <c r="AL788" s="323"/>
      <c r="AM788" s="323"/>
      <c r="AN788" s="316"/>
      <c r="AO788" s="316"/>
      <c r="AP788" s="316"/>
      <c r="AQ788" s="316"/>
      <c r="AR788" s="316"/>
      <c r="AS788" s="316"/>
      <c r="AT788" s="316"/>
      <c r="AU788" s="316"/>
      <c r="AV788" s="316"/>
      <c r="AW788" s="316"/>
      <c r="AX788" s="316"/>
      <c r="AY788" s="316"/>
      <c r="AZ788" s="316"/>
      <c r="BA788" s="316"/>
      <c r="BB788" s="316"/>
      <c r="BC788" s="316"/>
      <c r="BD788" s="316"/>
      <c r="BE788" s="316"/>
      <c r="BF788" s="316"/>
      <c r="BG788" s="316"/>
      <c r="BH788" s="316"/>
      <c r="BI788" s="316"/>
      <c r="BJ788" s="316"/>
      <c r="BK788" s="316"/>
      <c r="BL788" s="316"/>
      <c r="BM788" s="316"/>
      <c r="BN788" s="316"/>
    </row>
    <row r="789">
      <c r="A789" s="303"/>
      <c r="B789" s="404"/>
      <c r="C789" s="316"/>
      <c r="D789" s="365"/>
      <c r="E789" s="323"/>
      <c r="F789" s="323"/>
      <c r="G789" s="365"/>
      <c r="H789" s="323"/>
      <c r="I789" s="323"/>
      <c r="J789" s="365"/>
      <c r="K789" s="323"/>
      <c r="L789" s="323"/>
      <c r="M789" s="365"/>
      <c r="N789" s="323"/>
      <c r="O789" s="323"/>
      <c r="P789" s="365"/>
      <c r="Q789" s="323"/>
      <c r="R789" s="323"/>
      <c r="S789" s="365"/>
      <c r="T789" s="323"/>
      <c r="U789" s="323"/>
      <c r="V789" s="365"/>
      <c r="W789" s="323"/>
      <c r="X789" s="323"/>
      <c r="Y789" s="365"/>
      <c r="Z789" s="323"/>
      <c r="AA789" s="323"/>
      <c r="AB789" s="365"/>
      <c r="AC789" s="323"/>
      <c r="AD789" s="323"/>
      <c r="AE789" s="365"/>
      <c r="AF789" s="323"/>
      <c r="AG789" s="323"/>
      <c r="AH789" s="365"/>
      <c r="AI789" s="323"/>
      <c r="AJ789" s="323"/>
      <c r="AK789" s="365"/>
      <c r="AL789" s="323"/>
      <c r="AM789" s="323"/>
      <c r="AN789" s="316"/>
      <c r="AO789" s="316"/>
      <c r="AP789" s="316"/>
      <c r="AQ789" s="316"/>
      <c r="AR789" s="316"/>
      <c r="AS789" s="316"/>
      <c r="AT789" s="316"/>
      <c r="AU789" s="316"/>
      <c r="AV789" s="316"/>
      <c r="AW789" s="316"/>
      <c r="AX789" s="316"/>
      <c r="AY789" s="316"/>
      <c r="AZ789" s="316"/>
      <c r="BA789" s="316"/>
      <c r="BB789" s="316"/>
      <c r="BC789" s="316"/>
      <c r="BD789" s="316"/>
      <c r="BE789" s="316"/>
      <c r="BF789" s="316"/>
      <c r="BG789" s="316"/>
      <c r="BH789" s="316"/>
      <c r="BI789" s="316"/>
      <c r="BJ789" s="316"/>
      <c r="BK789" s="316"/>
      <c r="BL789" s="316"/>
      <c r="BM789" s="316"/>
      <c r="BN789" s="316"/>
    </row>
    <row r="790">
      <c r="A790" s="303"/>
      <c r="B790" s="404"/>
      <c r="C790" s="316"/>
      <c r="D790" s="365"/>
      <c r="E790" s="323"/>
      <c r="F790" s="323"/>
      <c r="G790" s="365"/>
      <c r="H790" s="323"/>
      <c r="I790" s="323"/>
      <c r="J790" s="365"/>
      <c r="K790" s="323"/>
      <c r="L790" s="323"/>
      <c r="M790" s="365"/>
      <c r="N790" s="323"/>
      <c r="O790" s="323"/>
      <c r="P790" s="365"/>
      <c r="Q790" s="323"/>
      <c r="R790" s="323"/>
      <c r="S790" s="365"/>
      <c r="T790" s="323"/>
      <c r="U790" s="323"/>
      <c r="V790" s="365"/>
      <c r="W790" s="323"/>
      <c r="X790" s="323"/>
      <c r="Y790" s="365"/>
      <c r="Z790" s="323"/>
      <c r="AA790" s="323"/>
      <c r="AB790" s="365"/>
      <c r="AC790" s="323"/>
      <c r="AD790" s="323"/>
      <c r="AE790" s="365"/>
      <c r="AF790" s="323"/>
      <c r="AG790" s="323"/>
      <c r="AH790" s="365"/>
      <c r="AI790" s="323"/>
      <c r="AJ790" s="323"/>
      <c r="AK790" s="365"/>
      <c r="AL790" s="323"/>
      <c r="AM790" s="323"/>
      <c r="AN790" s="316"/>
      <c r="AO790" s="316"/>
      <c r="AP790" s="316"/>
      <c r="AQ790" s="316"/>
      <c r="AR790" s="316"/>
      <c r="AS790" s="316"/>
      <c r="AT790" s="316"/>
      <c r="AU790" s="316"/>
      <c r="AV790" s="316"/>
      <c r="AW790" s="316"/>
      <c r="AX790" s="316"/>
      <c r="AY790" s="316"/>
      <c r="AZ790" s="316"/>
      <c r="BA790" s="316"/>
      <c r="BB790" s="316"/>
      <c r="BC790" s="316"/>
      <c r="BD790" s="316"/>
      <c r="BE790" s="316"/>
      <c r="BF790" s="316"/>
      <c r="BG790" s="316"/>
      <c r="BH790" s="316"/>
      <c r="BI790" s="316"/>
      <c r="BJ790" s="316"/>
      <c r="BK790" s="316"/>
      <c r="BL790" s="316"/>
      <c r="BM790" s="316"/>
      <c r="BN790" s="316"/>
    </row>
    <row r="791">
      <c r="A791" s="303"/>
      <c r="B791" s="404"/>
      <c r="C791" s="316"/>
      <c r="D791" s="365"/>
      <c r="E791" s="323"/>
      <c r="F791" s="323"/>
      <c r="G791" s="365"/>
      <c r="H791" s="323"/>
      <c r="I791" s="323"/>
      <c r="J791" s="365"/>
      <c r="K791" s="323"/>
      <c r="L791" s="323"/>
      <c r="M791" s="365"/>
      <c r="N791" s="323"/>
      <c r="O791" s="323"/>
      <c r="P791" s="365"/>
      <c r="Q791" s="323"/>
      <c r="R791" s="323"/>
      <c r="S791" s="365"/>
      <c r="T791" s="323"/>
      <c r="U791" s="323"/>
      <c r="V791" s="365"/>
      <c r="W791" s="323"/>
      <c r="X791" s="323"/>
      <c r="Y791" s="365"/>
      <c r="Z791" s="323"/>
      <c r="AA791" s="323"/>
      <c r="AB791" s="365"/>
      <c r="AC791" s="323"/>
      <c r="AD791" s="323"/>
      <c r="AE791" s="365"/>
      <c r="AF791" s="323"/>
      <c r="AG791" s="323"/>
      <c r="AH791" s="365"/>
      <c r="AI791" s="323"/>
      <c r="AJ791" s="323"/>
      <c r="AK791" s="365"/>
      <c r="AL791" s="323"/>
      <c r="AM791" s="323"/>
      <c r="AN791" s="316"/>
      <c r="AO791" s="316"/>
      <c r="AP791" s="316"/>
      <c r="AQ791" s="316"/>
      <c r="AR791" s="316"/>
      <c r="AS791" s="316"/>
      <c r="AT791" s="316"/>
      <c r="AU791" s="316"/>
      <c r="AV791" s="316"/>
      <c r="AW791" s="316"/>
      <c r="AX791" s="316"/>
      <c r="AY791" s="316"/>
      <c r="AZ791" s="316"/>
      <c r="BA791" s="316"/>
      <c r="BB791" s="316"/>
      <c r="BC791" s="316"/>
      <c r="BD791" s="316"/>
      <c r="BE791" s="316"/>
      <c r="BF791" s="316"/>
      <c r="BG791" s="316"/>
      <c r="BH791" s="316"/>
      <c r="BI791" s="316"/>
      <c r="BJ791" s="316"/>
      <c r="BK791" s="316"/>
      <c r="BL791" s="316"/>
      <c r="BM791" s="316"/>
      <c r="BN791" s="316"/>
    </row>
    <row r="792">
      <c r="A792" s="303"/>
      <c r="B792" s="404"/>
      <c r="C792" s="316"/>
      <c r="D792" s="365"/>
      <c r="E792" s="323"/>
      <c r="F792" s="323"/>
      <c r="G792" s="365"/>
      <c r="H792" s="323"/>
      <c r="I792" s="323"/>
      <c r="J792" s="365"/>
      <c r="K792" s="323"/>
      <c r="L792" s="323"/>
      <c r="M792" s="365"/>
      <c r="N792" s="323"/>
      <c r="O792" s="323"/>
      <c r="P792" s="365"/>
      <c r="Q792" s="323"/>
      <c r="R792" s="323"/>
      <c r="S792" s="365"/>
      <c r="T792" s="323"/>
      <c r="U792" s="323"/>
      <c r="V792" s="365"/>
      <c r="W792" s="323"/>
      <c r="X792" s="323"/>
      <c r="Y792" s="365"/>
      <c r="Z792" s="323"/>
      <c r="AA792" s="323"/>
      <c r="AB792" s="365"/>
      <c r="AC792" s="323"/>
      <c r="AD792" s="323"/>
      <c r="AE792" s="365"/>
      <c r="AF792" s="323"/>
      <c r="AG792" s="323"/>
      <c r="AH792" s="365"/>
      <c r="AI792" s="323"/>
      <c r="AJ792" s="323"/>
      <c r="AK792" s="365"/>
      <c r="AL792" s="323"/>
      <c r="AM792" s="323"/>
      <c r="AN792" s="316"/>
      <c r="AO792" s="316"/>
      <c r="AP792" s="316"/>
      <c r="AQ792" s="316"/>
      <c r="AR792" s="316"/>
      <c r="AS792" s="316"/>
      <c r="AT792" s="316"/>
      <c r="AU792" s="316"/>
      <c r="AV792" s="316"/>
      <c r="AW792" s="316"/>
      <c r="AX792" s="316"/>
      <c r="AY792" s="316"/>
      <c r="AZ792" s="316"/>
      <c r="BA792" s="316"/>
      <c r="BB792" s="316"/>
      <c r="BC792" s="316"/>
      <c r="BD792" s="316"/>
      <c r="BE792" s="316"/>
      <c r="BF792" s="316"/>
      <c r="BG792" s="316"/>
      <c r="BH792" s="316"/>
      <c r="BI792" s="316"/>
      <c r="BJ792" s="316"/>
      <c r="BK792" s="316"/>
      <c r="BL792" s="316"/>
      <c r="BM792" s="316"/>
      <c r="BN792" s="316"/>
    </row>
    <row r="793">
      <c r="A793" s="303"/>
      <c r="B793" s="404"/>
      <c r="C793" s="316"/>
      <c r="D793" s="365"/>
      <c r="E793" s="323"/>
      <c r="F793" s="323"/>
      <c r="G793" s="365"/>
      <c r="H793" s="323"/>
      <c r="I793" s="323"/>
      <c r="J793" s="365"/>
      <c r="K793" s="323"/>
      <c r="L793" s="323"/>
      <c r="M793" s="365"/>
      <c r="N793" s="323"/>
      <c r="O793" s="323"/>
      <c r="P793" s="365"/>
      <c r="Q793" s="323"/>
      <c r="R793" s="323"/>
      <c r="S793" s="365"/>
      <c r="T793" s="323"/>
      <c r="U793" s="323"/>
      <c r="V793" s="365"/>
      <c r="W793" s="323"/>
      <c r="X793" s="323"/>
      <c r="Y793" s="365"/>
      <c r="Z793" s="323"/>
      <c r="AA793" s="323"/>
      <c r="AB793" s="365"/>
      <c r="AC793" s="323"/>
      <c r="AD793" s="323"/>
      <c r="AE793" s="365"/>
      <c r="AF793" s="323"/>
      <c r="AG793" s="323"/>
      <c r="AH793" s="365"/>
      <c r="AI793" s="323"/>
      <c r="AJ793" s="323"/>
      <c r="AK793" s="365"/>
      <c r="AL793" s="323"/>
      <c r="AM793" s="323"/>
      <c r="AN793" s="316"/>
      <c r="AO793" s="316"/>
      <c r="AP793" s="316"/>
      <c r="AQ793" s="316"/>
      <c r="AR793" s="316"/>
      <c r="AS793" s="316"/>
      <c r="AT793" s="316"/>
      <c r="AU793" s="316"/>
      <c r="AV793" s="316"/>
      <c r="AW793" s="316"/>
      <c r="AX793" s="316"/>
      <c r="AY793" s="316"/>
      <c r="AZ793" s="316"/>
      <c r="BA793" s="316"/>
      <c r="BB793" s="316"/>
      <c r="BC793" s="316"/>
      <c r="BD793" s="316"/>
      <c r="BE793" s="316"/>
      <c r="BF793" s="316"/>
      <c r="BG793" s="316"/>
      <c r="BH793" s="316"/>
      <c r="BI793" s="316"/>
      <c r="BJ793" s="316"/>
      <c r="BK793" s="316"/>
      <c r="BL793" s="316"/>
      <c r="BM793" s="316"/>
      <c r="BN793" s="316"/>
    </row>
    <row r="794">
      <c r="A794" s="303"/>
      <c r="B794" s="404"/>
      <c r="C794" s="316"/>
      <c r="D794" s="365"/>
      <c r="E794" s="323"/>
      <c r="F794" s="323"/>
      <c r="G794" s="365"/>
      <c r="H794" s="323"/>
      <c r="I794" s="323"/>
      <c r="J794" s="365"/>
      <c r="K794" s="323"/>
      <c r="L794" s="323"/>
      <c r="M794" s="365"/>
      <c r="N794" s="323"/>
      <c r="O794" s="323"/>
      <c r="P794" s="365"/>
      <c r="Q794" s="323"/>
      <c r="R794" s="323"/>
      <c r="S794" s="365"/>
      <c r="T794" s="323"/>
      <c r="U794" s="323"/>
      <c r="V794" s="365"/>
      <c r="W794" s="323"/>
      <c r="X794" s="323"/>
      <c r="Y794" s="365"/>
      <c r="Z794" s="323"/>
      <c r="AA794" s="323"/>
      <c r="AB794" s="365"/>
      <c r="AC794" s="323"/>
      <c r="AD794" s="323"/>
      <c r="AE794" s="365"/>
      <c r="AF794" s="323"/>
      <c r="AG794" s="323"/>
      <c r="AH794" s="365"/>
      <c r="AI794" s="323"/>
      <c r="AJ794" s="323"/>
      <c r="AK794" s="365"/>
      <c r="AL794" s="323"/>
      <c r="AM794" s="323"/>
      <c r="AN794" s="316"/>
      <c r="AO794" s="316"/>
      <c r="AP794" s="316"/>
      <c r="AQ794" s="316"/>
      <c r="AR794" s="316"/>
      <c r="AS794" s="316"/>
      <c r="AT794" s="316"/>
      <c r="AU794" s="316"/>
      <c r="AV794" s="316"/>
      <c r="AW794" s="316"/>
      <c r="AX794" s="316"/>
      <c r="AY794" s="316"/>
      <c r="AZ794" s="316"/>
      <c r="BA794" s="316"/>
      <c r="BB794" s="316"/>
      <c r="BC794" s="316"/>
      <c r="BD794" s="316"/>
      <c r="BE794" s="316"/>
      <c r="BF794" s="316"/>
      <c r="BG794" s="316"/>
      <c r="BH794" s="316"/>
      <c r="BI794" s="316"/>
      <c r="BJ794" s="316"/>
      <c r="BK794" s="316"/>
      <c r="BL794" s="316"/>
      <c r="BM794" s="316"/>
      <c r="BN794" s="316"/>
    </row>
  </sheetData>
  <autoFilter ref="$A$1:$AN$779"/>
  <conditionalFormatting sqref="A1:BN794">
    <cfRule type="containsText" dxfId="4" priority="1" operator="containsText" text="미납">
      <formula>NOT(ISERROR(SEARCH(("미납"),(A1))))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5.75"/>
    <col customWidth="1" min="3" max="14" width="11.13"/>
  </cols>
  <sheetData>
    <row r="1">
      <c r="O1" s="407"/>
      <c r="P1" s="407"/>
      <c r="Q1" s="407"/>
      <c r="R1" s="407"/>
      <c r="S1" s="407"/>
      <c r="T1" s="407"/>
      <c r="U1" s="407"/>
      <c r="V1" s="407"/>
      <c r="W1" s="407"/>
      <c r="X1" s="407"/>
      <c r="Y1" s="407"/>
      <c r="Z1" s="407"/>
      <c r="AA1" s="407"/>
      <c r="AB1" s="407"/>
      <c r="AC1" s="407"/>
      <c r="AD1" s="407"/>
      <c r="AE1" s="407"/>
      <c r="AF1" s="407"/>
      <c r="AG1" s="407"/>
      <c r="AH1" s="407"/>
      <c r="AI1" s="407"/>
      <c r="AJ1" s="407"/>
      <c r="AK1" s="407"/>
      <c r="AL1" s="407"/>
      <c r="AM1" s="407"/>
      <c r="AN1" s="407"/>
      <c r="AO1" s="407"/>
      <c r="AP1" s="407"/>
      <c r="AQ1" s="407"/>
      <c r="AR1" s="407"/>
      <c r="AS1" s="407"/>
      <c r="AT1" s="407"/>
      <c r="AU1" s="407"/>
      <c r="AV1" s="407"/>
      <c r="AW1" s="407"/>
      <c r="AX1" s="407"/>
      <c r="AY1" s="407"/>
      <c r="AZ1" s="407"/>
      <c r="BA1" s="407"/>
      <c r="BB1" s="407"/>
      <c r="BC1" s="407"/>
      <c r="BD1" s="407"/>
      <c r="BE1" s="407"/>
      <c r="BF1" s="407"/>
      <c r="BG1" s="407"/>
      <c r="BH1" s="407"/>
      <c r="BI1" s="407"/>
      <c r="BJ1" s="407"/>
      <c r="BK1" s="407"/>
      <c r="BL1" s="407"/>
      <c r="BM1" s="407"/>
      <c r="BN1" s="407"/>
      <c r="BO1" s="407"/>
      <c r="BP1" s="407"/>
      <c r="BQ1" s="407"/>
      <c r="BR1" s="407"/>
      <c r="BS1" s="407"/>
      <c r="BT1" s="407"/>
      <c r="BU1" s="407"/>
      <c r="BV1" s="407"/>
      <c r="BW1" s="407"/>
      <c r="BX1" s="407"/>
      <c r="BY1" s="407"/>
      <c r="BZ1" s="407"/>
      <c r="CA1" s="407"/>
      <c r="CB1" s="407"/>
      <c r="CC1" s="407"/>
      <c r="CD1" s="407"/>
      <c r="CE1" s="407"/>
      <c r="CF1" s="407"/>
      <c r="CG1" s="407"/>
      <c r="CH1" s="407"/>
      <c r="CI1" s="407"/>
      <c r="CJ1" s="407"/>
      <c r="CK1" s="407"/>
      <c r="CL1" s="407"/>
      <c r="CM1" s="407"/>
      <c r="CN1" s="407"/>
    </row>
    <row r="2">
      <c r="O2" s="408"/>
      <c r="P2" s="408"/>
      <c r="Q2" s="408"/>
      <c r="R2" s="408"/>
      <c r="S2" s="408"/>
      <c r="T2" s="408"/>
      <c r="U2" s="408"/>
      <c r="V2" s="408"/>
      <c r="W2" s="408"/>
      <c r="X2" s="408"/>
      <c r="Y2" s="408"/>
      <c r="Z2" s="408"/>
      <c r="AA2" s="408"/>
      <c r="AB2" s="408"/>
      <c r="AC2" s="408"/>
      <c r="AD2" s="408"/>
      <c r="AE2" s="408"/>
      <c r="AF2" s="408"/>
      <c r="AG2" s="408"/>
      <c r="AH2" s="408"/>
      <c r="AI2" s="408"/>
      <c r="AJ2" s="408"/>
      <c r="AK2" s="408"/>
      <c r="AL2" s="408"/>
      <c r="AM2" s="408"/>
      <c r="AN2" s="408"/>
      <c r="AO2" s="408"/>
      <c r="AP2" s="408"/>
      <c r="AQ2" s="408"/>
      <c r="AR2" s="408"/>
      <c r="AS2" s="408"/>
      <c r="AT2" s="408"/>
      <c r="AU2" s="408"/>
      <c r="AV2" s="408"/>
      <c r="AW2" s="408"/>
      <c r="AX2" s="408"/>
      <c r="AY2" s="408"/>
      <c r="AZ2" s="408"/>
      <c r="BA2" s="408"/>
      <c r="BB2" s="408"/>
      <c r="BC2" s="408"/>
      <c r="BD2" s="408"/>
      <c r="BE2" s="408"/>
      <c r="BF2" s="408"/>
      <c r="BG2" s="408"/>
      <c r="BH2" s="408"/>
      <c r="BI2" s="408"/>
      <c r="BJ2" s="408"/>
      <c r="BK2" s="408"/>
      <c r="BL2" s="408"/>
      <c r="BM2" s="408"/>
      <c r="BN2" s="408"/>
      <c r="BO2" s="408"/>
      <c r="BP2" s="408"/>
      <c r="BQ2" s="408"/>
      <c r="BR2" s="408"/>
      <c r="BS2" s="408"/>
      <c r="BT2" s="408"/>
      <c r="BU2" s="408"/>
      <c r="BV2" s="408"/>
      <c r="BW2" s="408"/>
      <c r="BX2" s="408"/>
      <c r="BY2" s="408"/>
      <c r="BZ2" s="408"/>
      <c r="CA2" s="408"/>
      <c r="CB2" s="408"/>
      <c r="CC2" s="408"/>
      <c r="CD2" s="408"/>
      <c r="CE2" s="408"/>
      <c r="CF2" s="408"/>
      <c r="CG2" s="408"/>
      <c r="CH2" s="408"/>
      <c r="CI2" s="408"/>
      <c r="CJ2" s="408"/>
      <c r="CK2" s="408"/>
      <c r="CL2" s="408"/>
      <c r="CM2" s="408"/>
      <c r="CN2" s="408"/>
    </row>
    <row r="3">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8"/>
      <c r="AV3" s="408"/>
      <c r="AW3" s="408"/>
      <c r="AX3" s="408"/>
      <c r="AY3" s="408"/>
      <c r="AZ3" s="408"/>
      <c r="BA3" s="408"/>
      <c r="BB3" s="408"/>
      <c r="BC3" s="408"/>
      <c r="BD3" s="408"/>
      <c r="BE3" s="408"/>
      <c r="BF3" s="408"/>
      <c r="BG3" s="408"/>
      <c r="BH3" s="408"/>
      <c r="BI3" s="408"/>
      <c r="BJ3" s="408"/>
      <c r="BK3" s="408"/>
      <c r="BL3" s="408"/>
      <c r="BM3" s="408"/>
      <c r="BN3" s="408"/>
      <c r="BO3" s="408"/>
      <c r="BP3" s="408"/>
      <c r="BQ3" s="408"/>
      <c r="BR3" s="408"/>
      <c r="BS3" s="408"/>
      <c r="BT3" s="408"/>
      <c r="BU3" s="408"/>
      <c r="BV3" s="408"/>
      <c r="BW3" s="408"/>
      <c r="BX3" s="408"/>
      <c r="BY3" s="408"/>
      <c r="BZ3" s="408"/>
      <c r="CA3" s="408"/>
      <c r="CB3" s="408"/>
      <c r="CC3" s="408"/>
      <c r="CD3" s="408"/>
      <c r="CE3" s="408"/>
      <c r="CF3" s="408"/>
      <c r="CG3" s="408"/>
      <c r="CH3" s="408"/>
      <c r="CI3" s="408"/>
      <c r="CJ3" s="408"/>
      <c r="CK3" s="408"/>
      <c r="CL3" s="408"/>
      <c r="CM3" s="408"/>
      <c r="CN3" s="408"/>
    </row>
    <row r="4">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8"/>
      <c r="AV4" s="408"/>
      <c r="AW4" s="408"/>
      <c r="AX4" s="408"/>
      <c r="AY4" s="408"/>
      <c r="AZ4" s="408"/>
      <c r="BA4" s="408"/>
      <c r="BB4" s="408"/>
      <c r="BC4" s="408"/>
      <c r="BD4" s="408"/>
      <c r="BE4" s="408"/>
      <c r="BF4" s="408"/>
      <c r="BG4" s="408"/>
      <c r="BH4" s="408"/>
      <c r="BI4" s="408"/>
      <c r="BJ4" s="408"/>
      <c r="BK4" s="408"/>
      <c r="BL4" s="408"/>
      <c r="BM4" s="408"/>
      <c r="BN4" s="408"/>
      <c r="BO4" s="408"/>
      <c r="BP4" s="408"/>
      <c r="BQ4" s="408"/>
      <c r="BR4" s="408"/>
      <c r="BS4" s="408"/>
      <c r="BT4" s="408"/>
      <c r="BU4" s="408"/>
      <c r="BV4" s="408"/>
      <c r="BW4" s="408"/>
      <c r="BX4" s="408"/>
      <c r="BY4" s="408"/>
      <c r="BZ4" s="408"/>
      <c r="CA4" s="408"/>
      <c r="CB4" s="408"/>
      <c r="CC4" s="408"/>
      <c r="CD4" s="408"/>
      <c r="CE4" s="408"/>
      <c r="CF4" s="408"/>
      <c r="CG4" s="408"/>
      <c r="CH4" s="408"/>
      <c r="CI4" s="408"/>
      <c r="CJ4" s="408"/>
      <c r="CK4" s="408"/>
      <c r="CL4" s="408"/>
      <c r="CM4" s="408"/>
      <c r="CN4" s="408"/>
    </row>
    <row r="5">
      <c r="O5" s="408"/>
      <c r="P5" s="408"/>
      <c r="Q5" s="408"/>
      <c r="R5" s="408"/>
      <c r="S5" s="408"/>
      <c r="T5" s="408"/>
      <c r="U5" s="408"/>
      <c r="V5" s="408"/>
      <c r="W5" s="408"/>
      <c r="X5" s="408"/>
      <c r="Y5" s="408"/>
      <c r="Z5" s="408"/>
      <c r="AA5" s="408"/>
      <c r="AB5" s="408"/>
      <c r="AC5" s="408"/>
      <c r="AD5" s="408"/>
      <c r="AE5" s="408"/>
      <c r="AF5" s="408"/>
      <c r="AG5" s="408"/>
      <c r="AH5" s="408"/>
      <c r="AI5" s="408"/>
      <c r="AJ5" s="408"/>
      <c r="AK5" s="408"/>
      <c r="AL5" s="408"/>
      <c r="AM5" s="408"/>
      <c r="AN5" s="408"/>
      <c r="AO5" s="408"/>
      <c r="AP5" s="408"/>
      <c r="AQ5" s="408"/>
      <c r="AR5" s="408"/>
      <c r="AS5" s="408"/>
      <c r="AT5" s="408"/>
      <c r="AU5" s="408"/>
      <c r="AV5" s="408"/>
      <c r="AW5" s="408"/>
      <c r="AX5" s="408"/>
      <c r="AY5" s="408"/>
      <c r="AZ5" s="408"/>
      <c r="BA5" s="408"/>
      <c r="BB5" s="408"/>
      <c r="BC5" s="408"/>
      <c r="BD5" s="408"/>
      <c r="BE5" s="408"/>
      <c r="BF5" s="408"/>
      <c r="BG5" s="408"/>
      <c r="BH5" s="408"/>
      <c r="BI5" s="408"/>
      <c r="BJ5" s="408"/>
      <c r="BK5" s="408"/>
      <c r="BL5" s="408"/>
      <c r="BM5" s="408"/>
      <c r="BN5" s="408"/>
      <c r="BO5" s="408"/>
      <c r="BP5" s="408"/>
      <c r="BQ5" s="408"/>
      <c r="BR5" s="408"/>
      <c r="BS5" s="408"/>
      <c r="BT5" s="408"/>
      <c r="BU5" s="408"/>
      <c r="BV5" s="408"/>
      <c r="BW5" s="408"/>
      <c r="BX5" s="408"/>
      <c r="BY5" s="408"/>
      <c r="BZ5" s="408"/>
      <c r="CA5" s="408"/>
      <c r="CB5" s="408"/>
      <c r="CC5" s="408"/>
      <c r="CD5" s="408"/>
      <c r="CE5" s="408"/>
      <c r="CF5" s="408"/>
      <c r="CG5" s="408"/>
      <c r="CH5" s="408"/>
      <c r="CI5" s="408"/>
      <c r="CJ5" s="408"/>
      <c r="CK5" s="408"/>
      <c r="CL5" s="408"/>
      <c r="CM5" s="408"/>
      <c r="CN5" s="408"/>
    </row>
    <row r="6">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8"/>
      <c r="BK6" s="408"/>
      <c r="BL6" s="408"/>
      <c r="BM6" s="408"/>
      <c r="BN6" s="408"/>
      <c r="BO6" s="408"/>
      <c r="BP6" s="408"/>
      <c r="BQ6" s="408"/>
      <c r="BR6" s="408"/>
      <c r="BS6" s="408"/>
      <c r="BT6" s="408"/>
      <c r="BU6" s="408"/>
      <c r="BV6" s="408"/>
      <c r="BW6" s="408"/>
      <c r="BX6" s="408"/>
      <c r="BY6" s="408"/>
      <c r="BZ6" s="408"/>
      <c r="CA6" s="408"/>
      <c r="CB6" s="408"/>
      <c r="CC6" s="408"/>
      <c r="CD6" s="408"/>
      <c r="CE6" s="408"/>
      <c r="CF6" s="408"/>
      <c r="CG6" s="408"/>
      <c r="CH6" s="408"/>
      <c r="CI6" s="408"/>
      <c r="CJ6" s="408"/>
      <c r="CK6" s="408"/>
      <c r="CL6" s="408"/>
      <c r="CM6" s="408"/>
      <c r="CN6" s="408"/>
    </row>
    <row r="7">
      <c r="O7" s="408"/>
      <c r="P7" s="408"/>
      <c r="Q7" s="408"/>
      <c r="R7" s="408"/>
      <c r="S7" s="408"/>
      <c r="T7" s="408"/>
      <c r="U7" s="408"/>
      <c r="V7" s="408"/>
      <c r="W7" s="408"/>
      <c r="X7" s="408"/>
      <c r="Y7" s="408"/>
      <c r="Z7" s="408"/>
      <c r="AA7" s="408"/>
      <c r="AB7" s="408"/>
      <c r="AC7" s="408"/>
      <c r="AD7" s="408"/>
      <c r="AE7" s="408"/>
      <c r="AF7" s="408"/>
      <c r="AG7" s="408"/>
      <c r="AH7" s="408"/>
      <c r="AI7" s="408"/>
      <c r="AJ7" s="408"/>
      <c r="AK7" s="408"/>
      <c r="AL7" s="408"/>
      <c r="AM7" s="408"/>
      <c r="AN7" s="408"/>
      <c r="AO7" s="408"/>
      <c r="AP7" s="408"/>
      <c r="AQ7" s="408"/>
      <c r="AR7" s="408"/>
      <c r="AS7" s="408"/>
      <c r="AT7" s="408"/>
      <c r="AU7" s="408"/>
      <c r="AV7" s="408"/>
      <c r="AW7" s="408"/>
      <c r="AX7" s="408"/>
      <c r="AY7" s="408"/>
      <c r="AZ7" s="408"/>
      <c r="BA7" s="408"/>
      <c r="BB7" s="408"/>
      <c r="BC7" s="408"/>
      <c r="BD7" s="408"/>
      <c r="BE7" s="408"/>
      <c r="BF7" s="408"/>
      <c r="BG7" s="408"/>
      <c r="BH7" s="408"/>
      <c r="BI7" s="408"/>
      <c r="BJ7" s="408"/>
      <c r="BK7" s="408"/>
      <c r="BL7" s="408"/>
      <c r="BM7" s="408"/>
      <c r="BN7" s="408"/>
      <c r="BO7" s="408"/>
      <c r="BP7" s="408"/>
      <c r="BQ7" s="408"/>
      <c r="BR7" s="408"/>
      <c r="BS7" s="408"/>
      <c r="BT7" s="408"/>
      <c r="BU7" s="408"/>
      <c r="BV7" s="408"/>
      <c r="BW7" s="408"/>
      <c r="BX7" s="408"/>
      <c r="BY7" s="408"/>
      <c r="BZ7" s="408"/>
      <c r="CA7" s="408"/>
      <c r="CB7" s="408"/>
      <c r="CC7" s="408"/>
      <c r="CD7" s="408"/>
      <c r="CE7" s="408"/>
      <c r="CF7" s="408"/>
      <c r="CG7" s="408"/>
      <c r="CH7" s="408"/>
      <c r="CI7" s="408"/>
      <c r="CJ7" s="408"/>
      <c r="CK7" s="408"/>
      <c r="CL7" s="408"/>
      <c r="CM7" s="408"/>
      <c r="CN7" s="408"/>
    </row>
    <row r="8">
      <c r="O8" s="408"/>
      <c r="P8" s="408"/>
      <c r="Q8" s="408"/>
      <c r="R8" s="408"/>
      <c r="S8" s="408"/>
      <c r="T8" s="408"/>
      <c r="U8" s="408"/>
      <c r="V8" s="408"/>
      <c r="W8" s="408"/>
      <c r="X8" s="408"/>
      <c r="Y8" s="408"/>
      <c r="Z8" s="408"/>
      <c r="AA8" s="408"/>
      <c r="AB8" s="408"/>
      <c r="AC8" s="408"/>
      <c r="AD8" s="408"/>
      <c r="AE8" s="408"/>
      <c r="AF8" s="408"/>
      <c r="AG8" s="408"/>
      <c r="AH8" s="408"/>
      <c r="AI8" s="408"/>
      <c r="AJ8" s="408"/>
      <c r="AK8" s="408"/>
      <c r="AL8" s="408"/>
      <c r="AM8" s="408"/>
      <c r="AN8" s="408"/>
      <c r="AO8" s="408"/>
      <c r="AP8" s="408"/>
      <c r="AQ8" s="408"/>
      <c r="AR8" s="408"/>
      <c r="AS8" s="408"/>
      <c r="AT8" s="408"/>
      <c r="AU8" s="408"/>
      <c r="AV8" s="408"/>
      <c r="AW8" s="408"/>
      <c r="AX8" s="408"/>
      <c r="AY8" s="408"/>
      <c r="AZ8" s="408"/>
      <c r="BA8" s="408"/>
      <c r="BB8" s="408"/>
      <c r="BC8" s="408"/>
      <c r="BD8" s="408"/>
      <c r="BE8" s="408"/>
      <c r="BF8" s="408"/>
      <c r="BG8" s="408"/>
      <c r="BH8" s="408"/>
      <c r="BI8" s="408"/>
      <c r="BJ8" s="408"/>
      <c r="BK8" s="408"/>
      <c r="BL8" s="408"/>
      <c r="BM8" s="408"/>
      <c r="BN8" s="408"/>
      <c r="BO8" s="408"/>
      <c r="BP8" s="408"/>
      <c r="BQ8" s="408"/>
      <c r="BR8" s="408"/>
      <c r="BS8" s="408"/>
      <c r="BT8" s="408"/>
      <c r="BU8" s="408"/>
      <c r="BV8" s="408"/>
      <c r="BW8" s="408"/>
      <c r="BX8" s="408"/>
      <c r="BY8" s="408"/>
      <c r="BZ8" s="408"/>
      <c r="CA8" s="408"/>
      <c r="CB8" s="408"/>
      <c r="CC8" s="408"/>
      <c r="CD8" s="408"/>
      <c r="CE8" s="408"/>
      <c r="CF8" s="408"/>
      <c r="CG8" s="408"/>
      <c r="CH8" s="408"/>
      <c r="CI8" s="408"/>
      <c r="CJ8" s="408"/>
      <c r="CK8" s="408"/>
      <c r="CL8" s="408"/>
      <c r="CM8" s="408"/>
      <c r="CN8" s="408"/>
    </row>
    <row r="9">
      <c r="O9" s="408"/>
      <c r="P9" s="408"/>
      <c r="Q9" s="408"/>
      <c r="R9" s="408"/>
      <c r="S9" s="408"/>
      <c r="T9" s="408"/>
      <c r="U9" s="408"/>
      <c r="V9" s="408"/>
      <c r="W9" s="408"/>
      <c r="X9" s="408"/>
      <c r="Y9" s="408"/>
      <c r="Z9" s="408"/>
      <c r="AA9" s="408"/>
      <c r="AB9" s="408"/>
      <c r="AC9" s="408"/>
      <c r="AD9" s="408"/>
      <c r="AE9" s="408"/>
      <c r="AF9" s="408"/>
      <c r="AG9" s="408"/>
      <c r="AH9" s="408"/>
      <c r="AI9" s="408"/>
      <c r="AJ9" s="408"/>
      <c r="AK9" s="408"/>
      <c r="AL9" s="408"/>
      <c r="AM9" s="408"/>
      <c r="AN9" s="408"/>
      <c r="AO9" s="408"/>
      <c r="AP9" s="408"/>
      <c r="AQ9" s="408"/>
      <c r="AR9" s="408"/>
      <c r="AS9" s="408"/>
      <c r="AT9" s="408"/>
      <c r="AU9" s="408"/>
      <c r="AV9" s="408"/>
      <c r="AW9" s="408"/>
      <c r="AX9" s="408"/>
      <c r="AY9" s="408"/>
      <c r="AZ9" s="408"/>
      <c r="BA9" s="408"/>
      <c r="BB9" s="408"/>
      <c r="BC9" s="408"/>
      <c r="BD9" s="408"/>
      <c r="BE9" s="408"/>
      <c r="BF9" s="408"/>
      <c r="BG9" s="408"/>
      <c r="BH9" s="408"/>
      <c r="BI9" s="408"/>
      <c r="BJ9" s="408"/>
      <c r="BK9" s="408"/>
      <c r="BL9" s="408"/>
      <c r="BM9" s="408"/>
      <c r="BN9" s="408"/>
      <c r="BO9" s="408"/>
      <c r="BP9" s="408"/>
      <c r="BQ9" s="408"/>
      <c r="BR9" s="408"/>
      <c r="BS9" s="408"/>
      <c r="BT9" s="408"/>
      <c r="BU9" s="408"/>
      <c r="BV9" s="408"/>
      <c r="BW9" s="408"/>
      <c r="BX9" s="408"/>
      <c r="BY9" s="408"/>
      <c r="BZ9" s="408"/>
      <c r="CA9" s="408"/>
      <c r="CB9" s="408"/>
      <c r="CC9" s="408"/>
      <c r="CD9" s="408"/>
      <c r="CE9" s="408"/>
      <c r="CF9" s="408"/>
      <c r="CG9" s="408"/>
      <c r="CH9" s="408"/>
      <c r="CI9" s="408"/>
      <c r="CJ9" s="408"/>
      <c r="CK9" s="408"/>
      <c r="CL9" s="408"/>
      <c r="CM9" s="408"/>
      <c r="CN9" s="408"/>
    </row>
    <row r="10">
      <c r="O10" s="408"/>
      <c r="P10" s="408"/>
      <c r="Q10" s="408"/>
      <c r="R10" s="408"/>
      <c r="S10" s="408"/>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08"/>
      <c r="BO10" s="408"/>
      <c r="BP10" s="408"/>
      <c r="BQ10" s="408"/>
      <c r="BR10" s="408"/>
      <c r="BS10" s="408"/>
      <c r="BT10" s="408"/>
      <c r="BU10" s="408"/>
      <c r="BV10" s="408"/>
      <c r="BW10" s="408"/>
      <c r="BX10" s="408"/>
      <c r="BY10" s="408"/>
      <c r="BZ10" s="408"/>
      <c r="CA10" s="408"/>
      <c r="CB10" s="408"/>
      <c r="CC10" s="408"/>
      <c r="CD10" s="408"/>
      <c r="CE10" s="408"/>
      <c r="CF10" s="408"/>
      <c r="CG10" s="408"/>
      <c r="CH10" s="408"/>
      <c r="CI10" s="408"/>
      <c r="CJ10" s="408"/>
      <c r="CK10" s="408"/>
      <c r="CL10" s="408"/>
      <c r="CM10" s="408"/>
      <c r="CN10" s="408"/>
    </row>
    <row r="11">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8"/>
      <c r="BW11" s="408"/>
      <c r="BX11" s="408"/>
      <c r="BY11" s="408"/>
      <c r="BZ11" s="408"/>
      <c r="CA11" s="408"/>
      <c r="CB11" s="408"/>
      <c r="CC11" s="408"/>
      <c r="CD11" s="408"/>
      <c r="CE11" s="408"/>
      <c r="CF11" s="408"/>
      <c r="CG11" s="408"/>
      <c r="CH11" s="408"/>
      <c r="CI11" s="408"/>
      <c r="CJ11" s="408"/>
      <c r="CK11" s="408"/>
      <c r="CL11" s="408"/>
      <c r="CM11" s="408"/>
      <c r="CN11" s="408"/>
    </row>
    <row r="12">
      <c r="O12" s="408"/>
      <c r="P12" s="408"/>
      <c r="Q12" s="408"/>
      <c r="R12" s="408"/>
      <c r="S12" s="408"/>
      <c r="T12" s="408"/>
      <c r="U12" s="408"/>
      <c r="V12" s="408"/>
      <c r="W12" s="408"/>
      <c r="X12" s="408"/>
      <c r="Y12" s="408"/>
      <c r="Z12" s="408"/>
      <c r="AA12" s="408"/>
      <c r="AB12" s="408"/>
      <c r="AC12" s="408"/>
      <c r="AD12" s="408"/>
      <c r="AE12" s="408"/>
      <c r="AF12" s="408"/>
      <c r="AG12" s="408"/>
      <c r="AH12" s="408"/>
      <c r="AI12" s="408"/>
      <c r="AJ12" s="408"/>
      <c r="AK12" s="408"/>
      <c r="AL12" s="408"/>
      <c r="AM12" s="408"/>
      <c r="AN12" s="408"/>
      <c r="AO12" s="408"/>
      <c r="AP12" s="408"/>
      <c r="AQ12" s="408"/>
      <c r="AR12" s="408"/>
      <c r="AS12" s="408"/>
      <c r="AT12" s="408"/>
      <c r="AU12" s="408"/>
      <c r="AV12" s="408"/>
      <c r="AW12" s="408"/>
      <c r="AX12" s="408"/>
      <c r="AY12" s="408"/>
      <c r="AZ12" s="408"/>
      <c r="BA12" s="408"/>
      <c r="BB12" s="408"/>
      <c r="BC12" s="408"/>
      <c r="BD12" s="408"/>
      <c r="BE12" s="408"/>
      <c r="BF12" s="408"/>
      <c r="BG12" s="408"/>
      <c r="BH12" s="408"/>
      <c r="BI12" s="408"/>
      <c r="BJ12" s="408"/>
      <c r="BK12" s="408"/>
      <c r="BL12" s="408"/>
      <c r="BM12" s="408"/>
      <c r="BN12" s="408"/>
      <c r="BO12" s="408"/>
      <c r="BP12" s="408"/>
      <c r="BQ12" s="408"/>
      <c r="BR12" s="408"/>
      <c r="BS12" s="408"/>
      <c r="BT12" s="408"/>
      <c r="BU12" s="408"/>
      <c r="BV12" s="408"/>
      <c r="BW12" s="408"/>
      <c r="BX12" s="408"/>
      <c r="BY12" s="408"/>
      <c r="BZ12" s="408"/>
      <c r="CA12" s="408"/>
      <c r="CB12" s="408"/>
      <c r="CC12" s="408"/>
      <c r="CD12" s="408"/>
      <c r="CE12" s="408"/>
      <c r="CF12" s="408"/>
      <c r="CG12" s="408"/>
      <c r="CH12" s="408"/>
      <c r="CI12" s="408"/>
      <c r="CJ12" s="408"/>
      <c r="CK12" s="408"/>
      <c r="CL12" s="408"/>
      <c r="CM12" s="408"/>
      <c r="CN12" s="408"/>
    </row>
    <row r="13">
      <c r="O13" s="408"/>
      <c r="P13" s="408"/>
      <c r="Q13" s="408"/>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c r="AO13" s="408"/>
      <c r="AP13" s="408"/>
      <c r="AQ13" s="408"/>
      <c r="AR13" s="408"/>
      <c r="AS13" s="408"/>
      <c r="AT13" s="408"/>
      <c r="AU13" s="408"/>
      <c r="AV13" s="408"/>
      <c r="AW13" s="408"/>
      <c r="AX13" s="408"/>
      <c r="AY13" s="408"/>
      <c r="AZ13" s="408"/>
      <c r="BA13" s="408"/>
      <c r="BB13" s="408"/>
      <c r="BC13" s="408"/>
      <c r="BD13" s="408"/>
      <c r="BE13" s="408"/>
      <c r="BF13" s="408"/>
      <c r="BG13" s="408"/>
      <c r="BH13" s="408"/>
      <c r="BI13" s="408"/>
      <c r="BJ13" s="408"/>
      <c r="BK13" s="408"/>
      <c r="BL13" s="408"/>
      <c r="BM13" s="408"/>
      <c r="BN13" s="408"/>
      <c r="BO13" s="408"/>
      <c r="BP13" s="408"/>
      <c r="BQ13" s="408"/>
      <c r="BR13" s="408"/>
      <c r="BS13" s="408"/>
      <c r="BT13" s="408"/>
      <c r="BU13" s="408"/>
      <c r="BV13" s="408"/>
      <c r="BW13" s="408"/>
      <c r="BX13" s="408"/>
      <c r="BY13" s="408"/>
      <c r="BZ13" s="408"/>
      <c r="CA13" s="408"/>
      <c r="CB13" s="408"/>
      <c r="CC13" s="408"/>
      <c r="CD13" s="408"/>
      <c r="CE13" s="408"/>
      <c r="CF13" s="408"/>
      <c r="CG13" s="408"/>
      <c r="CH13" s="408"/>
      <c r="CI13" s="408"/>
      <c r="CJ13" s="408"/>
      <c r="CK13" s="408"/>
      <c r="CL13" s="408"/>
      <c r="CM13" s="408"/>
      <c r="CN13" s="408"/>
    </row>
    <row r="14">
      <c r="O14" s="408"/>
      <c r="P14" s="408"/>
      <c r="Q14" s="408"/>
      <c r="R14" s="408"/>
      <c r="S14" s="408"/>
      <c r="T14" s="408"/>
      <c r="U14" s="408"/>
      <c r="V14" s="408"/>
      <c r="W14" s="408"/>
      <c r="X14" s="408"/>
      <c r="Y14" s="408"/>
      <c r="Z14" s="408"/>
      <c r="AA14" s="408"/>
      <c r="AB14" s="408"/>
      <c r="AC14" s="408"/>
      <c r="AD14" s="408"/>
      <c r="AE14" s="408"/>
      <c r="AF14" s="408"/>
      <c r="AG14" s="408"/>
      <c r="AH14" s="408"/>
      <c r="AI14" s="408"/>
      <c r="AJ14" s="408"/>
      <c r="AK14" s="408"/>
      <c r="AL14" s="408"/>
      <c r="AM14" s="408"/>
      <c r="AN14" s="408"/>
      <c r="AO14" s="408"/>
      <c r="AP14" s="408"/>
      <c r="AQ14" s="408"/>
      <c r="AR14" s="408"/>
      <c r="AS14" s="408"/>
      <c r="AT14" s="408"/>
      <c r="AU14" s="408"/>
      <c r="AV14" s="408"/>
      <c r="AW14" s="408"/>
      <c r="AX14" s="408"/>
      <c r="AY14" s="408"/>
      <c r="AZ14" s="408"/>
      <c r="BA14" s="408"/>
      <c r="BB14" s="408"/>
      <c r="BC14" s="408"/>
      <c r="BD14" s="408"/>
      <c r="BE14" s="408"/>
      <c r="BF14" s="408"/>
      <c r="BG14" s="408"/>
      <c r="BH14" s="408"/>
      <c r="BI14" s="408"/>
      <c r="BJ14" s="408"/>
      <c r="BK14" s="408"/>
      <c r="BL14" s="408"/>
      <c r="BM14" s="408"/>
      <c r="BN14" s="408"/>
      <c r="BO14" s="408"/>
      <c r="BP14" s="408"/>
      <c r="BQ14" s="408"/>
      <c r="BR14" s="408"/>
      <c r="BS14" s="408"/>
      <c r="BT14" s="408"/>
      <c r="BU14" s="408"/>
      <c r="BV14" s="408"/>
      <c r="BW14" s="408"/>
      <c r="BX14" s="408"/>
      <c r="BY14" s="408"/>
      <c r="BZ14" s="408"/>
      <c r="CA14" s="408"/>
      <c r="CB14" s="408"/>
      <c r="CC14" s="408"/>
      <c r="CD14" s="408"/>
      <c r="CE14" s="408"/>
      <c r="CF14" s="408"/>
      <c r="CG14" s="408"/>
      <c r="CH14" s="408"/>
      <c r="CI14" s="408"/>
      <c r="CJ14" s="408"/>
      <c r="CK14" s="408"/>
      <c r="CL14" s="408"/>
      <c r="CM14" s="408"/>
      <c r="CN14" s="408"/>
    </row>
    <row r="15">
      <c r="O15" s="408"/>
      <c r="P15" s="408"/>
      <c r="Q15" s="408"/>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408"/>
      <c r="AO15" s="408"/>
      <c r="AP15" s="408"/>
      <c r="AQ15" s="408"/>
      <c r="AR15" s="408"/>
      <c r="AS15" s="408"/>
      <c r="AT15" s="408"/>
      <c r="AU15" s="408"/>
      <c r="AV15" s="408"/>
      <c r="AW15" s="408"/>
      <c r="AX15" s="408"/>
      <c r="AY15" s="408"/>
      <c r="AZ15" s="408"/>
      <c r="BA15" s="408"/>
      <c r="BB15" s="408"/>
      <c r="BC15" s="408"/>
      <c r="BD15" s="408"/>
      <c r="BE15" s="408"/>
      <c r="BF15" s="408"/>
      <c r="BG15" s="408"/>
      <c r="BH15" s="408"/>
      <c r="BI15" s="408"/>
      <c r="BJ15" s="408"/>
      <c r="BK15" s="408"/>
      <c r="BL15" s="408"/>
      <c r="BM15" s="408"/>
      <c r="BN15" s="408"/>
      <c r="BO15" s="408"/>
      <c r="BP15" s="408"/>
      <c r="BQ15" s="408"/>
      <c r="BR15" s="408"/>
      <c r="BS15" s="408"/>
      <c r="BT15" s="408"/>
      <c r="BU15" s="408"/>
      <c r="BV15" s="408"/>
      <c r="BW15" s="408"/>
      <c r="BX15" s="408"/>
      <c r="BY15" s="408"/>
      <c r="BZ15" s="408"/>
      <c r="CA15" s="408"/>
      <c r="CB15" s="408"/>
      <c r="CC15" s="408"/>
      <c r="CD15" s="408"/>
      <c r="CE15" s="408"/>
      <c r="CF15" s="408"/>
      <c r="CG15" s="408"/>
      <c r="CH15" s="408"/>
      <c r="CI15" s="408"/>
      <c r="CJ15" s="408"/>
      <c r="CK15" s="408"/>
      <c r="CL15" s="408"/>
      <c r="CM15" s="408"/>
      <c r="CN15" s="408"/>
    </row>
    <row r="16">
      <c r="O16" s="408"/>
      <c r="P16" s="408"/>
      <c r="Q16" s="408"/>
      <c r="R16" s="408"/>
      <c r="S16" s="408"/>
      <c r="T16" s="408"/>
      <c r="U16" s="408"/>
      <c r="V16" s="408"/>
      <c r="W16" s="408"/>
      <c r="X16" s="408"/>
      <c r="Y16" s="408"/>
      <c r="Z16" s="408"/>
      <c r="AA16" s="408"/>
      <c r="AB16" s="408"/>
      <c r="AC16" s="408"/>
      <c r="AD16" s="408"/>
      <c r="AE16" s="408"/>
      <c r="AF16" s="408"/>
      <c r="AG16" s="408"/>
      <c r="AH16" s="408"/>
      <c r="AI16" s="408"/>
      <c r="AJ16" s="408"/>
      <c r="AK16" s="408"/>
      <c r="AL16" s="408"/>
      <c r="AM16" s="408"/>
      <c r="AN16" s="408"/>
      <c r="AO16" s="408"/>
      <c r="AP16" s="408"/>
      <c r="AQ16" s="408"/>
      <c r="AR16" s="408"/>
      <c r="AS16" s="408"/>
      <c r="AT16" s="408"/>
      <c r="AU16" s="408"/>
      <c r="AV16" s="408"/>
      <c r="AW16" s="408"/>
      <c r="AX16" s="408"/>
      <c r="AY16" s="408"/>
      <c r="AZ16" s="408"/>
      <c r="BA16" s="408"/>
      <c r="BB16" s="408"/>
      <c r="BC16" s="408"/>
      <c r="BD16" s="408"/>
      <c r="BE16" s="408"/>
      <c r="BF16" s="408"/>
      <c r="BG16" s="408"/>
      <c r="BH16" s="408"/>
      <c r="BI16" s="408"/>
      <c r="BJ16" s="408"/>
      <c r="BK16" s="408"/>
      <c r="BL16" s="408"/>
      <c r="BM16" s="408"/>
      <c r="BN16" s="408"/>
      <c r="BO16" s="408"/>
      <c r="BP16" s="408"/>
      <c r="BQ16" s="408"/>
      <c r="BR16" s="408"/>
      <c r="BS16" s="408"/>
      <c r="BT16" s="408"/>
      <c r="BU16" s="408"/>
      <c r="BV16" s="408"/>
      <c r="BW16" s="408"/>
      <c r="BX16" s="408"/>
      <c r="BY16" s="408"/>
      <c r="BZ16" s="408"/>
      <c r="CA16" s="408"/>
      <c r="CB16" s="408"/>
      <c r="CC16" s="408"/>
      <c r="CD16" s="408"/>
      <c r="CE16" s="408"/>
      <c r="CF16" s="408"/>
      <c r="CG16" s="408"/>
      <c r="CH16" s="408"/>
      <c r="CI16" s="408"/>
      <c r="CJ16" s="408"/>
      <c r="CK16" s="408"/>
      <c r="CL16" s="408"/>
      <c r="CM16" s="408"/>
      <c r="CN16" s="408"/>
    </row>
    <row r="17">
      <c r="O17" s="408"/>
      <c r="P17" s="408"/>
      <c r="Q17" s="408"/>
      <c r="R17" s="408"/>
      <c r="S17" s="408"/>
      <c r="T17" s="408"/>
      <c r="U17" s="408"/>
      <c r="V17" s="408"/>
      <c r="W17" s="408"/>
      <c r="X17" s="408"/>
      <c r="Y17" s="408"/>
      <c r="Z17" s="408"/>
      <c r="AA17" s="408"/>
      <c r="AB17" s="408"/>
      <c r="AC17" s="408"/>
      <c r="AD17" s="408"/>
      <c r="AE17" s="408"/>
      <c r="AF17" s="408"/>
      <c r="AG17" s="408"/>
      <c r="AH17" s="408"/>
      <c r="AI17" s="408"/>
      <c r="AJ17" s="408"/>
      <c r="AK17" s="408"/>
      <c r="AL17" s="408"/>
      <c r="AM17" s="408"/>
      <c r="AN17" s="408"/>
      <c r="AO17" s="408"/>
      <c r="AP17" s="408"/>
      <c r="AQ17" s="408"/>
      <c r="AR17" s="408"/>
      <c r="AS17" s="408"/>
      <c r="AT17" s="408"/>
      <c r="AU17" s="408"/>
      <c r="AV17" s="408"/>
      <c r="AW17" s="408"/>
      <c r="AX17" s="408"/>
      <c r="AY17" s="408"/>
      <c r="AZ17" s="408"/>
      <c r="BA17" s="408"/>
      <c r="BB17" s="408"/>
      <c r="BC17" s="408"/>
      <c r="BD17" s="408"/>
      <c r="BE17" s="408"/>
      <c r="BF17" s="408"/>
      <c r="BG17" s="408"/>
      <c r="BH17" s="408"/>
      <c r="BI17" s="408"/>
      <c r="BJ17" s="408"/>
      <c r="BK17" s="408"/>
      <c r="BL17" s="408"/>
      <c r="BM17" s="408"/>
      <c r="BN17" s="408"/>
      <c r="BO17" s="408"/>
      <c r="BP17" s="408"/>
      <c r="BQ17" s="408"/>
      <c r="BR17" s="408"/>
      <c r="BS17" s="408"/>
      <c r="BT17" s="408"/>
      <c r="BU17" s="408"/>
      <c r="BV17" s="408"/>
      <c r="BW17" s="408"/>
      <c r="BX17" s="408"/>
      <c r="BY17" s="408"/>
      <c r="BZ17" s="408"/>
      <c r="CA17" s="408"/>
      <c r="CB17" s="408"/>
      <c r="CC17" s="408"/>
      <c r="CD17" s="408"/>
      <c r="CE17" s="408"/>
      <c r="CF17" s="408"/>
      <c r="CG17" s="408"/>
      <c r="CH17" s="408"/>
      <c r="CI17" s="408"/>
      <c r="CJ17" s="408"/>
      <c r="CK17" s="408"/>
      <c r="CL17" s="408"/>
      <c r="CM17" s="408"/>
      <c r="CN17" s="408"/>
    </row>
    <row r="18">
      <c r="O18" s="408"/>
      <c r="P18" s="408"/>
      <c r="Q18" s="408"/>
      <c r="R18" s="408"/>
      <c r="S18" s="408"/>
      <c r="T18" s="408"/>
      <c r="U18" s="408"/>
      <c r="V18" s="408"/>
      <c r="W18" s="408"/>
      <c r="X18" s="408"/>
      <c r="Y18" s="408"/>
      <c r="Z18" s="408"/>
      <c r="AA18" s="408"/>
      <c r="AB18" s="408"/>
      <c r="AC18" s="408"/>
      <c r="AD18" s="408"/>
      <c r="AE18" s="408"/>
      <c r="AF18" s="408"/>
      <c r="AG18" s="408"/>
      <c r="AH18" s="408"/>
      <c r="AI18" s="408"/>
      <c r="AJ18" s="408"/>
      <c r="AK18" s="408"/>
      <c r="AL18" s="408"/>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8"/>
      <c r="BK18" s="408"/>
      <c r="BL18" s="408"/>
      <c r="BM18" s="408"/>
      <c r="BN18" s="408"/>
      <c r="BO18" s="408"/>
      <c r="BP18" s="408"/>
      <c r="BQ18" s="408"/>
      <c r="BR18" s="408"/>
      <c r="BS18" s="408"/>
      <c r="BT18" s="408"/>
      <c r="BU18" s="408"/>
      <c r="BV18" s="408"/>
      <c r="BW18" s="408"/>
      <c r="BX18" s="408"/>
      <c r="BY18" s="408"/>
      <c r="BZ18" s="408"/>
      <c r="CA18" s="408"/>
      <c r="CB18" s="408"/>
      <c r="CC18" s="408"/>
      <c r="CD18" s="408"/>
      <c r="CE18" s="408"/>
      <c r="CF18" s="408"/>
      <c r="CG18" s="408"/>
      <c r="CH18" s="408"/>
      <c r="CI18" s="408"/>
      <c r="CJ18" s="408"/>
      <c r="CK18" s="408"/>
      <c r="CL18" s="408"/>
      <c r="CM18" s="408"/>
      <c r="CN18" s="408"/>
    </row>
    <row r="19">
      <c r="O19" s="408"/>
      <c r="P19" s="408"/>
      <c r="Q19" s="408"/>
      <c r="R19" s="408"/>
      <c r="S19" s="408"/>
      <c r="T19" s="408"/>
      <c r="U19" s="408"/>
      <c r="V19" s="408"/>
      <c r="W19" s="408"/>
      <c r="X19" s="408"/>
      <c r="Y19" s="408"/>
      <c r="Z19" s="408"/>
      <c r="AA19" s="408"/>
      <c r="AB19" s="408"/>
      <c r="AC19" s="408"/>
      <c r="AD19" s="408"/>
      <c r="AE19" s="408"/>
      <c r="AF19" s="408"/>
      <c r="AG19" s="408"/>
      <c r="AH19" s="408"/>
      <c r="AI19" s="408"/>
      <c r="AJ19" s="408"/>
      <c r="AK19" s="408"/>
      <c r="AL19" s="408"/>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8"/>
      <c r="BK19" s="408"/>
      <c r="BL19" s="408"/>
      <c r="BM19" s="408"/>
      <c r="BN19" s="408"/>
      <c r="BO19" s="408"/>
      <c r="BP19" s="408"/>
      <c r="BQ19" s="408"/>
      <c r="BR19" s="408"/>
      <c r="BS19" s="408"/>
      <c r="BT19" s="408"/>
      <c r="BU19" s="408"/>
      <c r="BV19" s="408"/>
      <c r="BW19" s="408"/>
      <c r="BX19" s="408"/>
      <c r="BY19" s="408"/>
      <c r="BZ19" s="408"/>
      <c r="CA19" s="408"/>
      <c r="CB19" s="408"/>
      <c r="CC19" s="408"/>
      <c r="CD19" s="408"/>
      <c r="CE19" s="408"/>
      <c r="CF19" s="408"/>
      <c r="CG19" s="408"/>
      <c r="CH19" s="408"/>
      <c r="CI19" s="408"/>
      <c r="CJ19" s="408"/>
      <c r="CK19" s="408"/>
      <c r="CL19" s="408"/>
      <c r="CM19" s="408"/>
      <c r="CN19" s="408"/>
    </row>
    <row r="20">
      <c r="O20" s="408"/>
      <c r="P20" s="408"/>
      <c r="Q20" s="408"/>
      <c r="R20" s="408"/>
      <c r="S20" s="408"/>
      <c r="T20" s="408"/>
      <c r="U20" s="408"/>
      <c r="V20" s="408"/>
      <c r="W20" s="408"/>
      <c r="X20" s="408"/>
      <c r="Y20" s="408"/>
      <c r="Z20" s="408"/>
      <c r="AA20" s="408"/>
      <c r="AB20" s="408"/>
      <c r="AC20" s="408"/>
      <c r="AD20" s="408"/>
      <c r="AE20" s="408"/>
      <c r="AF20" s="408"/>
      <c r="AG20" s="408"/>
      <c r="AH20" s="408"/>
      <c r="AI20" s="408"/>
      <c r="AJ20" s="408"/>
      <c r="AK20" s="408"/>
      <c r="AL20" s="408"/>
      <c r="AM20" s="408"/>
      <c r="AN20" s="408"/>
      <c r="AO20" s="408"/>
      <c r="AP20" s="408"/>
      <c r="AQ20" s="408"/>
      <c r="AR20" s="408"/>
      <c r="AS20" s="408"/>
      <c r="AT20" s="408"/>
      <c r="AU20" s="408"/>
      <c r="AV20" s="408"/>
      <c r="AW20" s="408"/>
      <c r="AX20" s="408"/>
      <c r="AY20" s="408"/>
      <c r="AZ20" s="408"/>
      <c r="BA20" s="408"/>
      <c r="BB20" s="408"/>
      <c r="BC20" s="408"/>
      <c r="BD20" s="408"/>
      <c r="BE20" s="408"/>
      <c r="BF20" s="408"/>
      <c r="BG20" s="408"/>
      <c r="BH20" s="408"/>
      <c r="BI20" s="408"/>
      <c r="BJ20" s="408"/>
      <c r="BK20" s="408"/>
      <c r="BL20" s="408"/>
      <c r="BM20" s="408"/>
      <c r="BN20" s="408"/>
      <c r="BO20" s="408"/>
      <c r="BP20" s="408"/>
      <c r="BQ20" s="408"/>
      <c r="BR20" s="408"/>
      <c r="BS20" s="408"/>
      <c r="BT20" s="408"/>
      <c r="BU20" s="408"/>
      <c r="BV20" s="408"/>
      <c r="BW20" s="408"/>
      <c r="BX20" s="408"/>
      <c r="BY20" s="408"/>
      <c r="BZ20" s="408"/>
      <c r="CA20" s="408"/>
      <c r="CB20" s="408"/>
      <c r="CC20" s="408"/>
      <c r="CD20" s="408"/>
      <c r="CE20" s="408"/>
      <c r="CF20" s="408"/>
      <c r="CG20" s="408"/>
      <c r="CH20" s="408"/>
      <c r="CI20" s="408"/>
      <c r="CJ20" s="408"/>
      <c r="CK20" s="408"/>
      <c r="CL20" s="408"/>
      <c r="CM20" s="408"/>
      <c r="CN20" s="408"/>
    </row>
    <row r="21">
      <c r="O21" s="408"/>
      <c r="P21" s="408"/>
      <c r="Q21" s="408"/>
      <c r="R21" s="408"/>
      <c r="S21" s="408"/>
      <c r="T21" s="408"/>
      <c r="U21" s="408"/>
      <c r="V21" s="408"/>
      <c r="W21" s="408"/>
      <c r="X21" s="408"/>
      <c r="Y21" s="408"/>
      <c r="Z21" s="408"/>
      <c r="AA21" s="408"/>
      <c r="AB21" s="408"/>
      <c r="AC21" s="408"/>
      <c r="AD21" s="408"/>
      <c r="AE21" s="408"/>
      <c r="AF21" s="408"/>
      <c r="AG21" s="408"/>
      <c r="AH21" s="408"/>
      <c r="AI21" s="408"/>
      <c r="AJ21" s="408"/>
      <c r="AK21" s="408"/>
      <c r="AL21" s="408"/>
      <c r="AM21" s="408"/>
      <c r="AN21" s="408"/>
      <c r="AO21" s="408"/>
      <c r="AP21" s="408"/>
      <c r="AQ21" s="408"/>
      <c r="AR21" s="408"/>
      <c r="AS21" s="408"/>
      <c r="AT21" s="408"/>
      <c r="AU21" s="408"/>
      <c r="AV21" s="408"/>
      <c r="AW21" s="408"/>
      <c r="AX21" s="408"/>
      <c r="AY21" s="408"/>
      <c r="AZ21" s="408"/>
      <c r="BA21" s="408"/>
      <c r="BB21" s="408"/>
      <c r="BC21" s="408"/>
      <c r="BD21" s="408"/>
      <c r="BE21" s="408"/>
      <c r="BF21" s="408"/>
      <c r="BG21" s="408"/>
      <c r="BH21" s="408"/>
      <c r="BI21" s="408"/>
      <c r="BJ21" s="408"/>
      <c r="BK21" s="408"/>
      <c r="BL21" s="408"/>
      <c r="BM21" s="408"/>
      <c r="BN21" s="408"/>
      <c r="BO21" s="408"/>
      <c r="BP21" s="408"/>
      <c r="BQ21" s="408"/>
      <c r="BR21" s="408"/>
      <c r="BS21" s="408"/>
      <c r="BT21" s="408"/>
      <c r="BU21" s="408"/>
      <c r="BV21" s="408"/>
      <c r="BW21" s="408"/>
      <c r="BX21" s="408"/>
      <c r="BY21" s="408"/>
      <c r="BZ21" s="408"/>
      <c r="CA21" s="408"/>
      <c r="CB21" s="408"/>
      <c r="CC21" s="408"/>
      <c r="CD21" s="408"/>
      <c r="CE21" s="408"/>
      <c r="CF21" s="408"/>
      <c r="CG21" s="408"/>
      <c r="CH21" s="408"/>
      <c r="CI21" s="408"/>
      <c r="CJ21" s="408"/>
      <c r="CK21" s="408"/>
      <c r="CL21" s="408"/>
      <c r="CM21" s="408"/>
      <c r="CN21" s="408"/>
    </row>
    <row r="22">
      <c r="O22" s="408"/>
      <c r="P22" s="408"/>
      <c r="Q22" s="408"/>
      <c r="R22" s="408"/>
      <c r="S22" s="408"/>
      <c r="T22" s="408"/>
      <c r="U22" s="408"/>
      <c r="V22" s="408"/>
      <c r="W22" s="408"/>
      <c r="X22" s="408"/>
      <c r="Y22" s="408"/>
      <c r="Z22" s="408"/>
      <c r="AA22" s="408"/>
      <c r="AB22" s="408"/>
      <c r="AC22" s="408"/>
      <c r="AD22" s="408"/>
      <c r="AE22" s="408"/>
      <c r="AF22" s="408"/>
      <c r="AG22" s="408"/>
      <c r="AH22" s="408"/>
      <c r="AI22" s="408"/>
      <c r="AJ22" s="408"/>
      <c r="AK22" s="408"/>
      <c r="AL22" s="408"/>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8"/>
      <c r="BK22" s="408"/>
      <c r="BL22" s="408"/>
      <c r="BM22" s="408"/>
      <c r="BN22" s="408"/>
      <c r="BO22" s="408"/>
      <c r="BP22" s="408"/>
      <c r="BQ22" s="408"/>
      <c r="BR22" s="408"/>
      <c r="BS22" s="408"/>
      <c r="BT22" s="408"/>
      <c r="BU22" s="408"/>
      <c r="BV22" s="408"/>
      <c r="BW22" s="408"/>
      <c r="BX22" s="408"/>
      <c r="BY22" s="408"/>
      <c r="BZ22" s="408"/>
      <c r="CA22" s="408"/>
      <c r="CB22" s="408"/>
      <c r="CC22" s="408"/>
      <c r="CD22" s="408"/>
      <c r="CE22" s="408"/>
      <c r="CF22" s="408"/>
      <c r="CG22" s="408"/>
      <c r="CH22" s="408"/>
      <c r="CI22" s="408"/>
      <c r="CJ22" s="408"/>
      <c r="CK22" s="408"/>
      <c r="CL22" s="408"/>
      <c r="CM22" s="408"/>
      <c r="CN22" s="408"/>
    </row>
    <row r="23">
      <c r="O23" s="408"/>
      <c r="P23" s="408"/>
      <c r="Q23" s="408"/>
      <c r="R23" s="408"/>
      <c r="S23" s="408"/>
      <c r="T23" s="408"/>
      <c r="U23" s="408"/>
      <c r="V23" s="408"/>
      <c r="W23" s="408"/>
      <c r="X23" s="408"/>
      <c r="Y23" s="408"/>
      <c r="Z23" s="408"/>
      <c r="AA23" s="408"/>
      <c r="AB23" s="408"/>
      <c r="AC23" s="408"/>
      <c r="AD23" s="408"/>
      <c r="AE23" s="408"/>
      <c r="AF23" s="408"/>
      <c r="AG23" s="408"/>
      <c r="AH23" s="408"/>
      <c r="AI23" s="408"/>
      <c r="AJ23" s="408"/>
      <c r="AK23" s="408"/>
      <c r="AL23" s="408"/>
      <c r="AM23" s="408"/>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8"/>
      <c r="BK23" s="408"/>
      <c r="BL23" s="408"/>
      <c r="BM23" s="408"/>
      <c r="BN23" s="408"/>
      <c r="BO23" s="408"/>
      <c r="BP23" s="408"/>
      <c r="BQ23" s="408"/>
      <c r="BR23" s="408"/>
      <c r="BS23" s="408"/>
      <c r="BT23" s="408"/>
      <c r="BU23" s="408"/>
      <c r="BV23" s="408"/>
      <c r="BW23" s="408"/>
      <c r="BX23" s="408"/>
      <c r="BY23" s="408"/>
      <c r="BZ23" s="408"/>
      <c r="CA23" s="408"/>
      <c r="CB23" s="408"/>
      <c r="CC23" s="408"/>
      <c r="CD23" s="408"/>
      <c r="CE23" s="408"/>
      <c r="CF23" s="408"/>
      <c r="CG23" s="408"/>
      <c r="CH23" s="408"/>
      <c r="CI23" s="408"/>
      <c r="CJ23" s="408"/>
      <c r="CK23" s="408"/>
      <c r="CL23" s="408"/>
      <c r="CM23" s="408"/>
      <c r="CN23" s="408"/>
    </row>
    <row r="24">
      <c r="O24" s="408"/>
      <c r="P24" s="408"/>
      <c r="Q24" s="408"/>
      <c r="R24" s="408"/>
      <c r="S24" s="408"/>
      <c r="T24" s="408"/>
      <c r="U24" s="408"/>
      <c r="V24" s="408"/>
      <c r="W24" s="408"/>
      <c r="X24" s="408"/>
      <c r="Y24" s="408"/>
      <c r="Z24" s="408"/>
      <c r="AA24" s="408"/>
      <c r="AB24" s="408"/>
      <c r="AC24" s="408"/>
      <c r="AD24" s="408"/>
      <c r="AE24" s="408"/>
      <c r="AF24" s="408"/>
      <c r="AG24" s="408"/>
      <c r="AH24" s="408"/>
      <c r="AI24" s="408"/>
      <c r="AJ24" s="408"/>
      <c r="AK24" s="408"/>
      <c r="AL24" s="408"/>
      <c r="AM24" s="408"/>
      <c r="AN24" s="408"/>
      <c r="AO24" s="408"/>
      <c r="AP24" s="408"/>
      <c r="AQ24" s="408"/>
      <c r="AR24" s="408"/>
      <c r="AS24" s="408"/>
      <c r="AT24" s="408"/>
      <c r="AU24" s="408"/>
      <c r="AV24" s="408"/>
      <c r="AW24" s="408"/>
      <c r="AX24" s="408"/>
      <c r="AY24" s="408"/>
      <c r="AZ24" s="408"/>
      <c r="BA24" s="408"/>
      <c r="BB24" s="408"/>
      <c r="BC24" s="408"/>
      <c r="BD24" s="408"/>
      <c r="BE24" s="408"/>
      <c r="BF24" s="408"/>
      <c r="BG24" s="408"/>
      <c r="BH24" s="408"/>
      <c r="BI24" s="408"/>
      <c r="BJ24" s="408"/>
      <c r="BK24" s="408"/>
      <c r="BL24" s="408"/>
      <c r="BM24" s="408"/>
      <c r="BN24" s="408"/>
      <c r="BO24" s="408"/>
      <c r="BP24" s="408"/>
      <c r="BQ24" s="408"/>
      <c r="BR24" s="408"/>
      <c r="BS24" s="408"/>
      <c r="BT24" s="408"/>
      <c r="BU24" s="408"/>
      <c r="BV24" s="408"/>
      <c r="BW24" s="408"/>
      <c r="BX24" s="408"/>
      <c r="BY24" s="408"/>
      <c r="BZ24" s="408"/>
      <c r="CA24" s="408"/>
      <c r="CB24" s="408"/>
      <c r="CC24" s="408"/>
      <c r="CD24" s="408"/>
      <c r="CE24" s="408"/>
      <c r="CF24" s="408"/>
      <c r="CG24" s="408"/>
      <c r="CH24" s="408"/>
      <c r="CI24" s="408"/>
      <c r="CJ24" s="408"/>
      <c r="CK24" s="408"/>
      <c r="CL24" s="408"/>
      <c r="CM24" s="408"/>
      <c r="CN24" s="408"/>
    </row>
    <row r="25">
      <c r="O25" s="408"/>
      <c r="P25" s="408"/>
      <c r="Q25" s="408"/>
      <c r="R25" s="408"/>
      <c r="S25" s="408"/>
      <c r="T25" s="408"/>
      <c r="U25" s="408"/>
      <c r="V25" s="408"/>
      <c r="W25" s="408"/>
      <c r="X25" s="408"/>
      <c r="Y25" s="408"/>
      <c r="Z25" s="408"/>
      <c r="AA25" s="408"/>
      <c r="AB25" s="408"/>
      <c r="AC25" s="408"/>
      <c r="AD25" s="408"/>
      <c r="AE25" s="408"/>
      <c r="AF25" s="408"/>
      <c r="AG25" s="408"/>
      <c r="AH25" s="408"/>
      <c r="AI25" s="408"/>
      <c r="AJ25" s="408"/>
      <c r="AK25" s="408"/>
      <c r="AL25" s="408"/>
      <c r="AM25" s="408"/>
      <c r="AN25" s="408"/>
      <c r="AO25" s="408"/>
      <c r="AP25" s="408"/>
      <c r="AQ25" s="408"/>
      <c r="AR25" s="408"/>
      <c r="AS25" s="408"/>
      <c r="AT25" s="408"/>
      <c r="AU25" s="408"/>
      <c r="AV25" s="408"/>
      <c r="AW25" s="408"/>
      <c r="AX25" s="408"/>
      <c r="AY25" s="408"/>
      <c r="AZ25" s="408"/>
      <c r="BA25" s="408"/>
      <c r="BB25" s="408"/>
      <c r="BC25" s="408"/>
      <c r="BD25" s="408"/>
      <c r="BE25" s="408"/>
      <c r="BF25" s="408"/>
      <c r="BG25" s="408"/>
      <c r="BH25" s="408"/>
      <c r="BI25" s="408"/>
      <c r="BJ25" s="408"/>
      <c r="BK25" s="408"/>
      <c r="BL25" s="408"/>
      <c r="BM25" s="408"/>
      <c r="BN25" s="408"/>
      <c r="BO25" s="408"/>
      <c r="BP25" s="408"/>
      <c r="BQ25" s="408"/>
      <c r="BR25" s="408"/>
      <c r="BS25" s="408"/>
      <c r="BT25" s="408"/>
      <c r="BU25" s="408"/>
      <c r="BV25" s="408"/>
      <c r="BW25" s="408"/>
      <c r="BX25" s="408"/>
      <c r="BY25" s="408"/>
      <c r="BZ25" s="408"/>
      <c r="CA25" s="408"/>
      <c r="CB25" s="408"/>
      <c r="CC25" s="408"/>
      <c r="CD25" s="408"/>
      <c r="CE25" s="408"/>
      <c r="CF25" s="408"/>
      <c r="CG25" s="408"/>
      <c r="CH25" s="408"/>
      <c r="CI25" s="408"/>
      <c r="CJ25" s="408"/>
      <c r="CK25" s="408"/>
      <c r="CL25" s="408"/>
      <c r="CM25" s="408"/>
      <c r="CN25" s="408"/>
    </row>
    <row r="26">
      <c r="O26" s="408"/>
      <c r="P26" s="408"/>
      <c r="Q26" s="408"/>
      <c r="R26" s="408"/>
      <c r="S26" s="408"/>
      <c r="T26" s="408"/>
      <c r="U26" s="408"/>
      <c r="V26" s="408"/>
      <c r="W26" s="408"/>
      <c r="X26" s="408"/>
      <c r="Y26" s="408"/>
      <c r="Z26" s="408"/>
      <c r="AA26" s="408"/>
      <c r="AB26" s="408"/>
      <c r="AC26" s="408"/>
      <c r="AD26" s="408"/>
      <c r="AE26" s="408"/>
      <c r="AF26" s="408"/>
      <c r="AG26" s="408"/>
      <c r="AH26" s="408"/>
      <c r="AI26" s="408"/>
      <c r="AJ26" s="408"/>
      <c r="AK26" s="408"/>
      <c r="AL26" s="408"/>
      <c r="AM26" s="408"/>
      <c r="AN26" s="408"/>
      <c r="AO26" s="408"/>
      <c r="AP26" s="408"/>
      <c r="AQ26" s="408"/>
      <c r="AR26" s="408"/>
      <c r="AS26" s="408"/>
      <c r="AT26" s="408"/>
      <c r="AU26" s="408"/>
      <c r="AV26" s="408"/>
      <c r="AW26" s="408"/>
      <c r="AX26" s="408"/>
      <c r="AY26" s="408"/>
      <c r="AZ26" s="408"/>
      <c r="BA26" s="408"/>
      <c r="BB26" s="408"/>
      <c r="BC26" s="408"/>
      <c r="BD26" s="408"/>
      <c r="BE26" s="408"/>
      <c r="BF26" s="408"/>
      <c r="BG26" s="408"/>
      <c r="BH26" s="408"/>
      <c r="BI26" s="408"/>
      <c r="BJ26" s="408"/>
      <c r="BK26" s="408"/>
      <c r="BL26" s="408"/>
      <c r="BM26" s="408"/>
      <c r="BN26" s="408"/>
      <c r="BO26" s="408"/>
      <c r="BP26" s="408"/>
      <c r="BQ26" s="408"/>
      <c r="BR26" s="408"/>
      <c r="BS26" s="408"/>
      <c r="BT26" s="408"/>
      <c r="BU26" s="408"/>
      <c r="BV26" s="408"/>
      <c r="BW26" s="408"/>
      <c r="BX26" s="408"/>
      <c r="BY26" s="408"/>
      <c r="BZ26" s="408"/>
      <c r="CA26" s="408"/>
      <c r="CB26" s="408"/>
      <c r="CC26" s="408"/>
      <c r="CD26" s="408"/>
      <c r="CE26" s="408"/>
      <c r="CF26" s="408"/>
      <c r="CG26" s="408"/>
      <c r="CH26" s="408"/>
      <c r="CI26" s="408"/>
      <c r="CJ26" s="408"/>
      <c r="CK26" s="408"/>
      <c r="CL26" s="408"/>
      <c r="CM26" s="408"/>
      <c r="CN26" s="408"/>
    </row>
    <row r="27">
      <c r="O27" s="408"/>
      <c r="P27" s="408"/>
      <c r="Q27" s="408"/>
      <c r="R27" s="408"/>
      <c r="S27" s="408"/>
      <c r="T27" s="408"/>
      <c r="U27" s="408"/>
      <c r="V27" s="408"/>
      <c r="W27" s="408"/>
      <c r="X27" s="408"/>
      <c r="Y27" s="408"/>
      <c r="Z27" s="408"/>
      <c r="AA27" s="408"/>
      <c r="AB27" s="408"/>
      <c r="AC27" s="408"/>
      <c r="AD27" s="408"/>
      <c r="AE27" s="408"/>
      <c r="AF27" s="408"/>
      <c r="AG27" s="408"/>
      <c r="AH27" s="408"/>
      <c r="AI27" s="408"/>
      <c r="AJ27" s="408"/>
      <c r="AK27" s="408"/>
      <c r="AL27" s="408"/>
      <c r="AM27" s="408"/>
      <c r="AN27" s="408"/>
      <c r="AO27" s="408"/>
      <c r="AP27" s="408"/>
      <c r="AQ27" s="408"/>
      <c r="AR27" s="408"/>
      <c r="AS27" s="408"/>
      <c r="AT27" s="408"/>
      <c r="AU27" s="408"/>
      <c r="AV27" s="408"/>
      <c r="AW27" s="408"/>
      <c r="AX27" s="408"/>
      <c r="AY27" s="408"/>
      <c r="AZ27" s="408"/>
      <c r="BA27" s="408"/>
      <c r="BB27" s="408"/>
      <c r="BC27" s="408"/>
      <c r="BD27" s="408"/>
      <c r="BE27" s="408"/>
      <c r="BF27" s="408"/>
      <c r="BG27" s="408"/>
      <c r="BH27" s="408"/>
      <c r="BI27" s="408"/>
      <c r="BJ27" s="408"/>
      <c r="BK27" s="408"/>
      <c r="BL27" s="408"/>
      <c r="BM27" s="408"/>
      <c r="BN27" s="408"/>
      <c r="BO27" s="408"/>
      <c r="BP27" s="408"/>
      <c r="BQ27" s="408"/>
      <c r="BR27" s="408"/>
      <c r="BS27" s="408"/>
      <c r="BT27" s="408"/>
      <c r="BU27" s="408"/>
      <c r="BV27" s="408"/>
      <c r="BW27" s="408"/>
      <c r="BX27" s="408"/>
      <c r="BY27" s="408"/>
      <c r="BZ27" s="408"/>
      <c r="CA27" s="408"/>
      <c r="CB27" s="408"/>
      <c r="CC27" s="408"/>
      <c r="CD27" s="408"/>
      <c r="CE27" s="408"/>
      <c r="CF27" s="408"/>
      <c r="CG27" s="408"/>
      <c r="CH27" s="408"/>
      <c r="CI27" s="408"/>
      <c r="CJ27" s="408"/>
      <c r="CK27" s="408"/>
      <c r="CL27" s="408"/>
      <c r="CM27" s="408"/>
      <c r="CN27" s="408"/>
    </row>
    <row r="28">
      <c r="O28" s="408"/>
      <c r="P28" s="408"/>
      <c r="Q28" s="408"/>
      <c r="R28" s="408"/>
      <c r="S28" s="408"/>
      <c r="T28" s="408"/>
      <c r="U28" s="408"/>
      <c r="V28" s="408"/>
      <c r="W28" s="408"/>
      <c r="X28" s="408"/>
      <c r="Y28" s="408"/>
      <c r="Z28" s="408"/>
      <c r="AA28" s="408"/>
      <c r="AB28" s="408"/>
      <c r="AC28" s="408"/>
      <c r="AD28" s="408"/>
      <c r="AE28" s="408"/>
      <c r="AF28" s="408"/>
      <c r="AG28" s="408"/>
      <c r="AH28" s="408"/>
      <c r="AI28" s="408"/>
      <c r="AJ28" s="408"/>
      <c r="AK28" s="408"/>
      <c r="AL28" s="408"/>
      <c r="AM28" s="408"/>
      <c r="AN28" s="408"/>
      <c r="AO28" s="408"/>
      <c r="AP28" s="408"/>
      <c r="AQ28" s="408"/>
      <c r="AR28" s="408"/>
      <c r="AS28" s="408"/>
      <c r="AT28" s="408"/>
      <c r="AU28" s="408"/>
      <c r="AV28" s="408"/>
      <c r="AW28" s="408"/>
      <c r="AX28" s="408"/>
      <c r="AY28" s="408"/>
      <c r="AZ28" s="408"/>
      <c r="BA28" s="408"/>
      <c r="BB28" s="408"/>
      <c r="BC28" s="408"/>
      <c r="BD28" s="408"/>
      <c r="BE28" s="408"/>
      <c r="BF28" s="408"/>
      <c r="BG28" s="408"/>
      <c r="BH28" s="408"/>
      <c r="BI28" s="408"/>
      <c r="BJ28" s="408"/>
      <c r="BK28" s="408"/>
      <c r="BL28" s="408"/>
      <c r="BM28" s="408"/>
      <c r="BN28" s="408"/>
      <c r="BO28" s="408"/>
      <c r="BP28" s="408"/>
      <c r="BQ28" s="408"/>
      <c r="BR28" s="408"/>
      <c r="BS28" s="408"/>
      <c r="BT28" s="408"/>
      <c r="BU28" s="408"/>
      <c r="BV28" s="408"/>
      <c r="BW28" s="408"/>
      <c r="BX28" s="408"/>
      <c r="BY28" s="408"/>
      <c r="BZ28" s="408"/>
      <c r="CA28" s="408"/>
      <c r="CB28" s="408"/>
      <c r="CC28" s="408"/>
      <c r="CD28" s="408"/>
      <c r="CE28" s="408"/>
      <c r="CF28" s="408"/>
      <c r="CG28" s="408"/>
      <c r="CH28" s="408"/>
      <c r="CI28" s="408"/>
      <c r="CJ28" s="408"/>
      <c r="CK28" s="408"/>
      <c r="CL28" s="408"/>
      <c r="CM28" s="408"/>
      <c r="CN28" s="408"/>
    </row>
    <row r="29">
      <c r="O29" s="408"/>
      <c r="P29" s="408"/>
      <c r="Q29" s="408"/>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c r="AO29" s="408"/>
      <c r="AP29" s="408"/>
      <c r="AQ29" s="408"/>
      <c r="AR29" s="408"/>
      <c r="AS29" s="408"/>
      <c r="AT29" s="408"/>
      <c r="AU29" s="408"/>
      <c r="AV29" s="408"/>
      <c r="AW29" s="408"/>
      <c r="AX29" s="408"/>
      <c r="AY29" s="408"/>
      <c r="AZ29" s="408"/>
      <c r="BA29" s="408"/>
      <c r="BB29" s="408"/>
      <c r="BC29" s="408"/>
      <c r="BD29" s="408"/>
      <c r="BE29" s="408"/>
      <c r="BF29" s="408"/>
      <c r="BG29" s="408"/>
      <c r="BH29" s="408"/>
      <c r="BI29" s="408"/>
      <c r="BJ29" s="408"/>
      <c r="BK29" s="408"/>
      <c r="BL29" s="408"/>
      <c r="BM29" s="408"/>
      <c r="BN29" s="408"/>
      <c r="BO29" s="408"/>
      <c r="BP29" s="408"/>
      <c r="BQ29" s="408"/>
      <c r="BR29" s="408"/>
      <c r="BS29" s="408"/>
      <c r="BT29" s="408"/>
      <c r="BU29" s="408"/>
      <c r="BV29" s="408"/>
      <c r="BW29" s="408"/>
      <c r="BX29" s="408"/>
      <c r="BY29" s="408"/>
      <c r="BZ29" s="408"/>
      <c r="CA29" s="408"/>
      <c r="CB29" s="408"/>
      <c r="CC29" s="408"/>
      <c r="CD29" s="408"/>
      <c r="CE29" s="408"/>
      <c r="CF29" s="408"/>
      <c r="CG29" s="408"/>
      <c r="CH29" s="408"/>
      <c r="CI29" s="408"/>
      <c r="CJ29" s="408"/>
      <c r="CK29" s="408"/>
      <c r="CL29" s="408"/>
      <c r="CM29" s="408"/>
      <c r="CN29" s="408"/>
    </row>
    <row r="30">
      <c r="O30" s="408"/>
      <c r="P30" s="408"/>
      <c r="Q30" s="408"/>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408"/>
      <c r="AO30" s="408"/>
      <c r="AP30" s="408"/>
      <c r="AQ30" s="408"/>
      <c r="AR30" s="408"/>
      <c r="AS30" s="408"/>
      <c r="AT30" s="408"/>
      <c r="AU30" s="408"/>
      <c r="AV30" s="408"/>
      <c r="AW30" s="408"/>
      <c r="AX30" s="408"/>
      <c r="AY30" s="408"/>
      <c r="AZ30" s="408"/>
      <c r="BA30" s="408"/>
      <c r="BB30" s="408"/>
      <c r="BC30" s="408"/>
      <c r="BD30" s="408"/>
      <c r="BE30" s="408"/>
      <c r="BF30" s="408"/>
      <c r="BG30" s="408"/>
      <c r="BH30" s="408"/>
      <c r="BI30" s="408"/>
      <c r="BJ30" s="408"/>
      <c r="BK30" s="408"/>
      <c r="BL30" s="408"/>
      <c r="BM30" s="408"/>
      <c r="BN30" s="408"/>
      <c r="BO30" s="408"/>
      <c r="BP30" s="408"/>
      <c r="BQ30" s="408"/>
      <c r="BR30" s="408"/>
      <c r="BS30" s="408"/>
      <c r="BT30" s="408"/>
      <c r="BU30" s="408"/>
      <c r="BV30" s="408"/>
      <c r="BW30" s="408"/>
      <c r="BX30" s="408"/>
      <c r="BY30" s="408"/>
      <c r="BZ30" s="408"/>
      <c r="CA30" s="408"/>
      <c r="CB30" s="408"/>
      <c r="CC30" s="408"/>
      <c r="CD30" s="408"/>
      <c r="CE30" s="408"/>
      <c r="CF30" s="408"/>
      <c r="CG30" s="408"/>
      <c r="CH30" s="408"/>
      <c r="CI30" s="408"/>
      <c r="CJ30" s="408"/>
      <c r="CK30" s="408"/>
      <c r="CL30" s="408"/>
      <c r="CM30" s="408"/>
      <c r="CN30" s="408"/>
    </row>
    <row r="31">
      <c r="O31" s="408"/>
      <c r="P31" s="408"/>
      <c r="Q31" s="408"/>
      <c r="R31" s="408"/>
      <c r="S31" s="408"/>
      <c r="T31" s="408"/>
      <c r="U31" s="408"/>
      <c r="V31" s="408"/>
      <c r="W31" s="408"/>
      <c r="X31" s="408"/>
      <c r="Y31" s="408"/>
      <c r="Z31" s="408"/>
      <c r="AA31" s="408"/>
      <c r="AB31" s="408"/>
      <c r="AC31" s="408"/>
      <c r="AD31" s="408"/>
      <c r="AE31" s="408"/>
      <c r="AF31" s="408"/>
      <c r="AG31" s="408"/>
      <c r="AH31" s="408"/>
      <c r="AI31" s="408"/>
      <c r="AJ31" s="408"/>
      <c r="AK31" s="408"/>
      <c r="AL31" s="408"/>
      <c r="AM31" s="408"/>
      <c r="AN31" s="408"/>
      <c r="AO31" s="408"/>
      <c r="AP31" s="408"/>
      <c r="AQ31" s="408"/>
      <c r="AR31" s="408"/>
      <c r="AS31" s="408"/>
      <c r="AT31" s="408"/>
      <c r="AU31" s="408"/>
      <c r="AV31" s="408"/>
      <c r="AW31" s="408"/>
      <c r="AX31" s="408"/>
      <c r="AY31" s="408"/>
      <c r="AZ31" s="408"/>
      <c r="BA31" s="408"/>
      <c r="BB31" s="408"/>
      <c r="BC31" s="408"/>
      <c r="BD31" s="408"/>
      <c r="BE31" s="408"/>
      <c r="BF31" s="408"/>
      <c r="BG31" s="408"/>
      <c r="BH31" s="408"/>
      <c r="BI31" s="408"/>
      <c r="BJ31" s="408"/>
      <c r="BK31" s="408"/>
      <c r="BL31" s="408"/>
      <c r="BM31" s="408"/>
      <c r="BN31" s="408"/>
      <c r="BO31" s="408"/>
      <c r="BP31" s="408"/>
      <c r="BQ31" s="408"/>
      <c r="BR31" s="408"/>
      <c r="BS31" s="408"/>
      <c r="BT31" s="408"/>
      <c r="BU31" s="408"/>
      <c r="BV31" s="408"/>
      <c r="BW31" s="408"/>
      <c r="BX31" s="408"/>
      <c r="BY31" s="408"/>
      <c r="BZ31" s="408"/>
      <c r="CA31" s="408"/>
      <c r="CB31" s="408"/>
      <c r="CC31" s="408"/>
      <c r="CD31" s="408"/>
      <c r="CE31" s="408"/>
      <c r="CF31" s="408"/>
      <c r="CG31" s="408"/>
      <c r="CH31" s="408"/>
      <c r="CI31" s="408"/>
      <c r="CJ31" s="408"/>
      <c r="CK31" s="408"/>
      <c r="CL31" s="408"/>
      <c r="CM31" s="408"/>
      <c r="CN31" s="408"/>
    </row>
    <row r="32">
      <c r="O32" s="408"/>
      <c r="P32" s="408"/>
      <c r="Q32" s="408"/>
      <c r="R32" s="408"/>
      <c r="S32" s="408"/>
      <c r="T32" s="408"/>
      <c r="U32" s="408"/>
      <c r="V32" s="408"/>
      <c r="W32" s="408"/>
      <c r="X32" s="408"/>
      <c r="Y32" s="408"/>
      <c r="Z32" s="408"/>
      <c r="AA32" s="408"/>
      <c r="AB32" s="408"/>
      <c r="AC32" s="408"/>
      <c r="AD32" s="408"/>
      <c r="AE32" s="408"/>
      <c r="AF32" s="408"/>
      <c r="AG32" s="408"/>
      <c r="AH32" s="408"/>
      <c r="AI32" s="408"/>
      <c r="AJ32" s="408"/>
      <c r="AK32" s="408"/>
      <c r="AL32" s="408"/>
      <c r="AM32" s="408"/>
      <c r="AN32" s="408"/>
      <c r="AO32" s="408"/>
      <c r="AP32" s="408"/>
      <c r="AQ32" s="408"/>
      <c r="AR32" s="408"/>
      <c r="AS32" s="408"/>
      <c r="AT32" s="408"/>
      <c r="AU32" s="408"/>
      <c r="AV32" s="408"/>
      <c r="AW32" s="408"/>
      <c r="AX32" s="408"/>
      <c r="AY32" s="408"/>
      <c r="AZ32" s="408"/>
      <c r="BA32" s="408"/>
      <c r="BB32" s="408"/>
      <c r="BC32" s="408"/>
      <c r="BD32" s="408"/>
      <c r="BE32" s="408"/>
      <c r="BF32" s="408"/>
      <c r="BG32" s="408"/>
      <c r="BH32" s="408"/>
      <c r="BI32" s="408"/>
      <c r="BJ32" s="408"/>
      <c r="BK32" s="408"/>
      <c r="BL32" s="408"/>
      <c r="BM32" s="408"/>
      <c r="BN32" s="408"/>
      <c r="BO32" s="408"/>
      <c r="BP32" s="408"/>
      <c r="BQ32" s="408"/>
      <c r="BR32" s="408"/>
      <c r="BS32" s="408"/>
      <c r="BT32" s="408"/>
      <c r="BU32" s="408"/>
      <c r="BV32" s="408"/>
      <c r="BW32" s="408"/>
      <c r="BX32" s="408"/>
      <c r="BY32" s="408"/>
      <c r="BZ32" s="408"/>
      <c r="CA32" s="408"/>
      <c r="CB32" s="408"/>
      <c r="CC32" s="408"/>
      <c r="CD32" s="408"/>
      <c r="CE32" s="408"/>
      <c r="CF32" s="408"/>
      <c r="CG32" s="408"/>
      <c r="CH32" s="408"/>
      <c r="CI32" s="408"/>
      <c r="CJ32" s="408"/>
      <c r="CK32" s="408"/>
      <c r="CL32" s="408"/>
      <c r="CM32" s="408"/>
      <c r="CN32" s="408"/>
    </row>
    <row r="33">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8"/>
      <c r="BD33" s="408"/>
      <c r="BE33" s="408"/>
      <c r="BF33" s="408"/>
      <c r="BG33" s="408"/>
      <c r="BH33" s="408"/>
      <c r="BI33" s="408"/>
      <c r="BJ33" s="408"/>
      <c r="BK33" s="408"/>
      <c r="BL33" s="408"/>
      <c r="BM33" s="408"/>
      <c r="BN33" s="408"/>
      <c r="BO33" s="408"/>
      <c r="BP33" s="408"/>
      <c r="BQ33" s="408"/>
      <c r="BR33" s="408"/>
      <c r="BS33" s="408"/>
      <c r="BT33" s="408"/>
      <c r="BU33" s="408"/>
      <c r="BV33" s="408"/>
      <c r="BW33" s="408"/>
      <c r="BX33" s="408"/>
      <c r="BY33" s="408"/>
      <c r="BZ33" s="408"/>
      <c r="CA33" s="408"/>
      <c r="CB33" s="408"/>
      <c r="CC33" s="408"/>
      <c r="CD33" s="408"/>
      <c r="CE33" s="408"/>
      <c r="CF33" s="408"/>
      <c r="CG33" s="408"/>
      <c r="CH33" s="408"/>
      <c r="CI33" s="408"/>
      <c r="CJ33" s="408"/>
      <c r="CK33" s="408"/>
      <c r="CL33" s="408"/>
      <c r="CM33" s="408"/>
      <c r="CN33" s="408"/>
    </row>
    <row r="34">
      <c r="O34" s="408"/>
      <c r="P34" s="408"/>
      <c r="Q34" s="408"/>
      <c r="R34" s="408"/>
      <c r="S34" s="408"/>
      <c r="T34" s="408"/>
      <c r="U34" s="408"/>
      <c r="V34" s="408"/>
      <c r="W34" s="408"/>
      <c r="X34" s="408"/>
      <c r="Y34" s="408"/>
      <c r="Z34" s="408"/>
      <c r="AA34" s="408"/>
      <c r="AB34" s="408"/>
      <c r="AC34" s="408"/>
      <c r="AD34" s="408"/>
      <c r="AE34" s="408"/>
      <c r="AF34" s="408"/>
      <c r="AG34" s="408"/>
      <c r="AH34" s="408"/>
      <c r="AI34" s="408"/>
      <c r="AJ34" s="408"/>
      <c r="AK34" s="408"/>
      <c r="AL34" s="408"/>
      <c r="AM34" s="408"/>
      <c r="AN34" s="408"/>
      <c r="AO34" s="408"/>
      <c r="AP34" s="408"/>
      <c r="AQ34" s="408"/>
      <c r="AR34" s="408"/>
      <c r="AS34" s="408"/>
      <c r="AT34" s="408"/>
      <c r="AU34" s="408"/>
      <c r="AV34" s="408"/>
      <c r="AW34" s="408"/>
      <c r="AX34" s="408"/>
      <c r="AY34" s="408"/>
      <c r="AZ34" s="408"/>
      <c r="BA34" s="408"/>
      <c r="BB34" s="408"/>
      <c r="BC34" s="408"/>
      <c r="BD34" s="408"/>
      <c r="BE34" s="408"/>
      <c r="BF34" s="408"/>
      <c r="BG34" s="408"/>
      <c r="BH34" s="408"/>
      <c r="BI34" s="408"/>
      <c r="BJ34" s="408"/>
      <c r="BK34" s="408"/>
      <c r="BL34" s="408"/>
      <c r="BM34" s="408"/>
      <c r="BN34" s="408"/>
      <c r="BO34" s="408"/>
      <c r="BP34" s="408"/>
      <c r="BQ34" s="408"/>
      <c r="BR34" s="408"/>
      <c r="BS34" s="408"/>
      <c r="BT34" s="408"/>
      <c r="BU34" s="408"/>
      <c r="BV34" s="408"/>
      <c r="BW34" s="408"/>
      <c r="BX34" s="408"/>
      <c r="BY34" s="408"/>
      <c r="BZ34" s="408"/>
      <c r="CA34" s="408"/>
      <c r="CB34" s="408"/>
      <c r="CC34" s="408"/>
      <c r="CD34" s="408"/>
      <c r="CE34" s="408"/>
      <c r="CF34" s="408"/>
      <c r="CG34" s="408"/>
      <c r="CH34" s="408"/>
      <c r="CI34" s="408"/>
      <c r="CJ34" s="408"/>
      <c r="CK34" s="408"/>
      <c r="CL34" s="408"/>
      <c r="CM34" s="408"/>
      <c r="CN34" s="408"/>
    </row>
    <row r="35">
      <c r="O35" s="408"/>
      <c r="P35" s="408"/>
      <c r="Q35" s="408"/>
      <c r="R35" s="408"/>
      <c r="S35" s="408"/>
      <c r="T35" s="408"/>
      <c r="U35" s="408"/>
      <c r="V35" s="408"/>
      <c r="W35" s="408"/>
      <c r="X35" s="408"/>
      <c r="Y35" s="408"/>
      <c r="Z35" s="408"/>
      <c r="AA35" s="408"/>
      <c r="AB35" s="408"/>
      <c r="AC35" s="408"/>
      <c r="AD35" s="408"/>
      <c r="AE35" s="408"/>
      <c r="AF35" s="408"/>
      <c r="AG35" s="408"/>
      <c r="AH35" s="408"/>
      <c r="AI35" s="408"/>
      <c r="AJ35" s="408"/>
      <c r="AK35" s="408"/>
      <c r="AL35" s="408"/>
      <c r="AM35" s="408"/>
      <c r="AN35" s="408"/>
      <c r="AO35" s="408"/>
      <c r="AP35" s="408"/>
      <c r="AQ35" s="408"/>
      <c r="AR35" s="408"/>
      <c r="AS35" s="408"/>
      <c r="AT35" s="408"/>
      <c r="AU35" s="408"/>
      <c r="AV35" s="408"/>
      <c r="AW35" s="408"/>
      <c r="AX35" s="408"/>
      <c r="AY35" s="408"/>
      <c r="AZ35" s="408"/>
      <c r="BA35" s="408"/>
      <c r="BB35" s="408"/>
      <c r="BC35" s="408"/>
      <c r="BD35" s="408"/>
      <c r="BE35" s="408"/>
      <c r="BF35" s="408"/>
      <c r="BG35" s="408"/>
      <c r="BH35" s="408"/>
      <c r="BI35" s="408"/>
      <c r="BJ35" s="408"/>
      <c r="BK35" s="408"/>
      <c r="BL35" s="408"/>
      <c r="BM35" s="408"/>
      <c r="BN35" s="408"/>
      <c r="BO35" s="408"/>
      <c r="BP35" s="408"/>
      <c r="BQ35" s="408"/>
      <c r="BR35" s="408"/>
      <c r="BS35" s="408"/>
      <c r="BT35" s="408"/>
      <c r="BU35" s="408"/>
      <c r="BV35" s="408"/>
      <c r="BW35" s="408"/>
      <c r="BX35" s="408"/>
      <c r="BY35" s="408"/>
      <c r="BZ35" s="408"/>
      <c r="CA35" s="408"/>
      <c r="CB35" s="408"/>
      <c r="CC35" s="408"/>
      <c r="CD35" s="408"/>
      <c r="CE35" s="408"/>
      <c r="CF35" s="408"/>
      <c r="CG35" s="408"/>
      <c r="CH35" s="408"/>
      <c r="CI35" s="408"/>
      <c r="CJ35" s="408"/>
      <c r="CK35" s="408"/>
      <c r="CL35" s="408"/>
      <c r="CM35" s="408"/>
      <c r="CN35" s="408"/>
    </row>
    <row r="36">
      <c r="O36" s="408"/>
      <c r="P36" s="408"/>
      <c r="Q36" s="408"/>
      <c r="R36" s="408"/>
      <c r="S36" s="408"/>
      <c r="T36" s="408"/>
      <c r="U36" s="408"/>
      <c r="V36" s="408"/>
      <c r="W36" s="408"/>
      <c r="X36" s="408"/>
      <c r="Y36" s="408"/>
      <c r="Z36" s="408"/>
      <c r="AA36" s="408"/>
      <c r="AB36" s="408"/>
      <c r="AC36" s="408"/>
      <c r="AD36" s="408"/>
      <c r="AE36" s="408"/>
      <c r="AF36" s="408"/>
      <c r="AG36" s="408"/>
      <c r="AH36" s="408"/>
      <c r="AI36" s="408"/>
      <c r="AJ36" s="408"/>
      <c r="AK36" s="408"/>
      <c r="AL36" s="408"/>
      <c r="AM36" s="408"/>
      <c r="AN36" s="408"/>
      <c r="AO36" s="408"/>
      <c r="AP36" s="408"/>
      <c r="AQ36" s="408"/>
      <c r="AR36" s="408"/>
      <c r="AS36" s="408"/>
      <c r="AT36" s="408"/>
      <c r="AU36" s="408"/>
      <c r="AV36" s="408"/>
      <c r="AW36" s="408"/>
      <c r="AX36" s="408"/>
      <c r="AY36" s="408"/>
      <c r="AZ36" s="408"/>
      <c r="BA36" s="408"/>
      <c r="BB36" s="408"/>
      <c r="BC36" s="408"/>
      <c r="BD36" s="408"/>
      <c r="BE36" s="408"/>
      <c r="BF36" s="408"/>
      <c r="BG36" s="408"/>
      <c r="BH36" s="408"/>
      <c r="BI36" s="408"/>
      <c r="BJ36" s="408"/>
      <c r="BK36" s="408"/>
      <c r="BL36" s="408"/>
      <c r="BM36" s="408"/>
      <c r="BN36" s="408"/>
      <c r="BO36" s="408"/>
      <c r="BP36" s="408"/>
      <c r="BQ36" s="408"/>
      <c r="BR36" s="408"/>
      <c r="BS36" s="408"/>
      <c r="BT36" s="408"/>
      <c r="BU36" s="408"/>
      <c r="BV36" s="408"/>
      <c r="BW36" s="408"/>
      <c r="BX36" s="408"/>
      <c r="BY36" s="408"/>
      <c r="BZ36" s="408"/>
      <c r="CA36" s="408"/>
      <c r="CB36" s="408"/>
      <c r="CC36" s="408"/>
      <c r="CD36" s="408"/>
      <c r="CE36" s="408"/>
      <c r="CF36" s="408"/>
      <c r="CG36" s="408"/>
      <c r="CH36" s="408"/>
      <c r="CI36" s="408"/>
      <c r="CJ36" s="408"/>
      <c r="CK36" s="408"/>
      <c r="CL36" s="408"/>
      <c r="CM36" s="408"/>
      <c r="CN36" s="408"/>
    </row>
    <row r="37">
      <c r="O37" s="408"/>
      <c r="P37" s="408"/>
      <c r="Q37" s="408"/>
      <c r="R37" s="408"/>
      <c r="S37" s="408"/>
      <c r="T37" s="408"/>
      <c r="U37" s="408"/>
      <c r="V37" s="408"/>
      <c r="W37" s="408"/>
      <c r="X37" s="408"/>
      <c r="Y37" s="408"/>
      <c r="Z37" s="408"/>
      <c r="AA37" s="408"/>
      <c r="AB37" s="408"/>
      <c r="AC37" s="408"/>
      <c r="AD37" s="408"/>
      <c r="AE37" s="408"/>
      <c r="AF37" s="408"/>
      <c r="AG37" s="408"/>
      <c r="AH37" s="408"/>
      <c r="AI37" s="408"/>
      <c r="AJ37" s="408"/>
      <c r="AK37" s="408"/>
      <c r="AL37" s="408"/>
      <c r="AM37" s="408"/>
      <c r="AN37" s="408"/>
      <c r="AO37" s="408"/>
      <c r="AP37" s="408"/>
      <c r="AQ37" s="408"/>
      <c r="AR37" s="408"/>
      <c r="AS37" s="408"/>
      <c r="AT37" s="408"/>
      <c r="AU37" s="408"/>
      <c r="AV37" s="408"/>
      <c r="AW37" s="408"/>
      <c r="AX37" s="408"/>
      <c r="AY37" s="408"/>
      <c r="AZ37" s="408"/>
      <c r="BA37" s="408"/>
      <c r="BB37" s="408"/>
      <c r="BC37" s="408"/>
      <c r="BD37" s="408"/>
      <c r="BE37" s="408"/>
      <c r="BF37" s="408"/>
      <c r="BG37" s="408"/>
      <c r="BH37" s="408"/>
      <c r="BI37" s="408"/>
      <c r="BJ37" s="408"/>
      <c r="BK37" s="408"/>
      <c r="BL37" s="408"/>
      <c r="BM37" s="408"/>
      <c r="BN37" s="408"/>
      <c r="BO37" s="408"/>
      <c r="BP37" s="408"/>
      <c r="BQ37" s="408"/>
      <c r="BR37" s="408"/>
      <c r="BS37" s="408"/>
      <c r="BT37" s="408"/>
      <c r="BU37" s="408"/>
      <c r="BV37" s="408"/>
      <c r="BW37" s="408"/>
      <c r="BX37" s="408"/>
      <c r="BY37" s="408"/>
      <c r="BZ37" s="408"/>
      <c r="CA37" s="408"/>
      <c r="CB37" s="408"/>
      <c r="CC37" s="408"/>
      <c r="CD37" s="408"/>
      <c r="CE37" s="408"/>
      <c r="CF37" s="408"/>
      <c r="CG37" s="408"/>
      <c r="CH37" s="408"/>
      <c r="CI37" s="408"/>
      <c r="CJ37" s="408"/>
      <c r="CK37" s="408"/>
      <c r="CL37" s="408"/>
      <c r="CM37" s="408"/>
      <c r="CN37" s="408"/>
    </row>
    <row r="38">
      <c r="O38" s="408"/>
      <c r="P38" s="408"/>
      <c r="Q38" s="408"/>
      <c r="R38" s="408"/>
      <c r="S38" s="408"/>
      <c r="T38" s="408"/>
      <c r="U38" s="408"/>
      <c r="V38" s="408"/>
      <c r="W38" s="408"/>
      <c r="X38" s="408"/>
      <c r="Y38" s="408"/>
      <c r="Z38" s="408"/>
      <c r="AA38" s="408"/>
      <c r="AB38" s="408"/>
      <c r="AC38" s="408"/>
      <c r="AD38" s="408"/>
      <c r="AE38" s="408"/>
      <c r="AF38" s="408"/>
      <c r="AG38" s="408"/>
      <c r="AH38" s="408"/>
      <c r="AI38" s="408"/>
      <c r="AJ38" s="408"/>
      <c r="AK38" s="408"/>
      <c r="AL38" s="408"/>
      <c r="AM38" s="408"/>
      <c r="AN38" s="408"/>
      <c r="AO38" s="408"/>
      <c r="AP38" s="408"/>
      <c r="AQ38" s="408"/>
      <c r="AR38" s="408"/>
      <c r="AS38" s="408"/>
      <c r="AT38" s="408"/>
      <c r="AU38" s="408"/>
      <c r="AV38" s="408"/>
      <c r="AW38" s="408"/>
      <c r="AX38" s="408"/>
      <c r="AY38" s="408"/>
      <c r="AZ38" s="408"/>
      <c r="BA38" s="408"/>
      <c r="BB38" s="408"/>
      <c r="BC38" s="408"/>
      <c r="BD38" s="408"/>
      <c r="BE38" s="408"/>
      <c r="BF38" s="408"/>
      <c r="BG38" s="408"/>
      <c r="BH38" s="408"/>
      <c r="BI38" s="408"/>
      <c r="BJ38" s="408"/>
      <c r="BK38" s="408"/>
      <c r="BL38" s="408"/>
      <c r="BM38" s="408"/>
      <c r="BN38" s="408"/>
      <c r="BO38" s="408"/>
      <c r="BP38" s="408"/>
      <c r="BQ38" s="408"/>
      <c r="BR38" s="408"/>
      <c r="BS38" s="408"/>
      <c r="BT38" s="408"/>
      <c r="BU38" s="408"/>
      <c r="BV38" s="408"/>
      <c r="BW38" s="408"/>
      <c r="BX38" s="408"/>
      <c r="BY38" s="408"/>
      <c r="BZ38" s="408"/>
      <c r="CA38" s="408"/>
      <c r="CB38" s="408"/>
      <c r="CC38" s="408"/>
      <c r="CD38" s="408"/>
      <c r="CE38" s="408"/>
      <c r="CF38" s="408"/>
      <c r="CG38" s="408"/>
      <c r="CH38" s="408"/>
      <c r="CI38" s="408"/>
      <c r="CJ38" s="408"/>
      <c r="CK38" s="408"/>
      <c r="CL38" s="408"/>
      <c r="CM38" s="408"/>
      <c r="CN38" s="408"/>
    </row>
    <row r="39">
      <c r="O39" s="408"/>
      <c r="P39" s="408"/>
      <c r="Q39" s="408"/>
      <c r="R39" s="408"/>
      <c r="S39" s="408"/>
      <c r="T39" s="408"/>
      <c r="U39" s="408"/>
      <c r="V39" s="408"/>
      <c r="W39" s="408"/>
      <c r="X39" s="408"/>
      <c r="Y39" s="408"/>
      <c r="Z39" s="408"/>
      <c r="AA39" s="408"/>
      <c r="AB39" s="408"/>
      <c r="AC39" s="408"/>
      <c r="AD39" s="408"/>
      <c r="AE39" s="408"/>
      <c r="AF39" s="408"/>
      <c r="AG39" s="408"/>
      <c r="AH39" s="408"/>
      <c r="AI39" s="408"/>
      <c r="AJ39" s="408"/>
      <c r="AK39" s="408"/>
      <c r="AL39" s="408"/>
      <c r="AM39" s="408"/>
      <c r="AN39" s="408"/>
      <c r="AO39" s="408"/>
      <c r="AP39" s="408"/>
      <c r="AQ39" s="408"/>
      <c r="AR39" s="408"/>
      <c r="AS39" s="408"/>
      <c r="AT39" s="408"/>
      <c r="AU39" s="408"/>
      <c r="AV39" s="408"/>
      <c r="AW39" s="408"/>
      <c r="AX39" s="408"/>
      <c r="AY39" s="408"/>
      <c r="AZ39" s="408"/>
      <c r="BA39" s="408"/>
      <c r="BB39" s="408"/>
      <c r="BC39" s="408"/>
      <c r="BD39" s="408"/>
      <c r="BE39" s="408"/>
      <c r="BF39" s="408"/>
      <c r="BG39" s="408"/>
      <c r="BH39" s="408"/>
      <c r="BI39" s="408"/>
      <c r="BJ39" s="408"/>
      <c r="BK39" s="408"/>
      <c r="BL39" s="408"/>
      <c r="BM39" s="408"/>
      <c r="BN39" s="408"/>
      <c r="BO39" s="408"/>
      <c r="BP39" s="408"/>
      <c r="BQ39" s="408"/>
      <c r="BR39" s="408"/>
      <c r="BS39" s="408"/>
      <c r="BT39" s="408"/>
      <c r="BU39" s="408"/>
      <c r="BV39" s="408"/>
      <c r="BW39" s="408"/>
      <c r="BX39" s="408"/>
      <c r="BY39" s="408"/>
      <c r="BZ39" s="408"/>
      <c r="CA39" s="408"/>
      <c r="CB39" s="408"/>
      <c r="CC39" s="408"/>
      <c r="CD39" s="408"/>
      <c r="CE39" s="408"/>
      <c r="CF39" s="408"/>
      <c r="CG39" s="408"/>
      <c r="CH39" s="408"/>
      <c r="CI39" s="408"/>
      <c r="CJ39" s="408"/>
      <c r="CK39" s="408"/>
      <c r="CL39" s="408"/>
      <c r="CM39" s="408"/>
      <c r="CN39" s="408"/>
    </row>
    <row r="40">
      <c r="O40" s="408"/>
      <c r="P40" s="408"/>
      <c r="Q40" s="408"/>
      <c r="R40" s="408"/>
      <c r="S40" s="408"/>
      <c r="T40" s="408"/>
      <c r="U40" s="408"/>
      <c r="V40" s="408"/>
      <c r="W40" s="408"/>
      <c r="X40" s="408"/>
      <c r="Y40" s="408"/>
      <c r="Z40" s="408"/>
      <c r="AA40" s="408"/>
      <c r="AB40" s="408"/>
      <c r="AC40" s="408"/>
      <c r="AD40" s="408"/>
      <c r="AE40" s="408"/>
      <c r="AF40" s="408"/>
      <c r="AG40" s="408"/>
      <c r="AH40" s="408"/>
      <c r="AI40" s="408"/>
      <c r="AJ40" s="408"/>
      <c r="AK40" s="408"/>
      <c r="AL40" s="408"/>
      <c r="AM40" s="408"/>
      <c r="AN40" s="408"/>
      <c r="AO40" s="408"/>
      <c r="AP40" s="408"/>
      <c r="AQ40" s="408"/>
      <c r="AR40" s="408"/>
      <c r="AS40" s="408"/>
      <c r="AT40" s="408"/>
      <c r="AU40" s="408"/>
      <c r="AV40" s="408"/>
      <c r="AW40" s="408"/>
      <c r="AX40" s="408"/>
      <c r="AY40" s="408"/>
      <c r="AZ40" s="408"/>
      <c r="BA40" s="408"/>
      <c r="BB40" s="408"/>
      <c r="BC40" s="408"/>
      <c r="BD40" s="408"/>
      <c r="BE40" s="408"/>
      <c r="BF40" s="408"/>
      <c r="BG40" s="408"/>
      <c r="BH40" s="408"/>
      <c r="BI40" s="408"/>
      <c r="BJ40" s="408"/>
      <c r="BK40" s="408"/>
      <c r="BL40" s="408"/>
      <c r="BM40" s="408"/>
      <c r="BN40" s="408"/>
      <c r="BO40" s="408"/>
      <c r="BP40" s="408"/>
      <c r="BQ40" s="408"/>
      <c r="BR40" s="408"/>
      <c r="BS40" s="408"/>
      <c r="BT40" s="408"/>
      <c r="BU40" s="408"/>
      <c r="BV40" s="408"/>
      <c r="BW40" s="408"/>
      <c r="BX40" s="408"/>
      <c r="BY40" s="408"/>
      <c r="BZ40" s="408"/>
      <c r="CA40" s="408"/>
      <c r="CB40" s="408"/>
      <c r="CC40" s="408"/>
      <c r="CD40" s="408"/>
      <c r="CE40" s="408"/>
      <c r="CF40" s="408"/>
      <c r="CG40" s="408"/>
      <c r="CH40" s="408"/>
      <c r="CI40" s="408"/>
      <c r="CJ40" s="408"/>
      <c r="CK40" s="408"/>
      <c r="CL40" s="408"/>
      <c r="CM40" s="408"/>
      <c r="CN40" s="408"/>
    </row>
    <row r="41">
      <c r="O41" s="408"/>
      <c r="P41" s="408"/>
      <c r="Q41" s="408"/>
      <c r="R41" s="408"/>
      <c r="S41" s="408"/>
      <c r="T41" s="408"/>
      <c r="U41" s="408"/>
      <c r="V41" s="408"/>
      <c r="W41" s="408"/>
      <c r="X41" s="408"/>
      <c r="Y41" s="408"/>
      <c r="Z41" s="408"/>
      <c r="AA41" s="408"/>
      <c r="AB41" s="408"/>
      <c r="AC41" s="408"/>
      <c r="AD41" s="408"/>
      <c r="AE41" s="408"/>
      <c r="AF41" s="408"/>
      <c r="AG41" s="408"/>
      <c r="AH41" s="408"/>
      <c r="AI41" s="408"/>
      <c r="AJ41" s="408"/>
      <c r="AK41" s="408"/>
      <c r="AL41" s="408"/>
      <c r="AM41" s="408"/>
      <c r="AN41" s="408"/>
      <c r="AO41" s="408"/>
      <c r="AP41" s="408"/>
      <c r="AQ41" s="408"/>
      <c r="AR41" s="408"/>
      <c r="AS41" s="408"/>
      <c r="AT41" s="408"/>
      <c r="AU41" s="408"/>
      <c r="AV41" s="408"/>
      <c r="AW41" s="408"/>
      <c r="AX41" s="408"/>
      <c r="AY41" s="408"/>
      <c r="AZ41" s="408"/>
      <c r="BA41" s="408"/>
      <c r="BB41" s="408"/>
      <c r="BC41" s="408"/>
      <c r="BD41" s="408"/>
      <c r="BE41" s="408"/>
      <c r="BF41" s="408"/>
      <c r="BG41" s="408"/>
      <c r="BH41" s="408"/>
      <c r="BI41" s="408"/>
      <c r="BJ41" s="408"/>
      <c r="BK41" s="408"/>
      <c r="BL41" s="408"/>
      <c r="BM41" s="408"/>
      <c r="BN41" s="408"/>
      <c r="BO41" s="408"/>
      <c r="BP41" s="408"/>
      <c r="BQ41" s="408"/>
      <c r="BR41" s="408"/>
      <c r="BS41" s="408"/>
      <c r="BT41" s="408"/>
      <c r="BU41" s="408"/>
      <c r="BV41" s="408"/>
      <c r="BW41" s="408"/>
      <c r="BX41" s="408"/>
      <c r="BY41" s="408"/>
      <c r="BZ41" s="408"/>
      <c r="CA41" s="408"/>
      <c r="CB41" s="408"/>
      <c r="CC41" s="408"/>
      <c r="CD41" s="408"/>
      <c r="CE41" s="408"/>
      <c r="CF41" s="408"/>
      <c r="CG41" s="408"/>
      <c r="CH41" s="408"/>
      <c r="CI41" s="408"/>
      <c r="CJ41" s="408"/>
      <c r="CK41" s="408"/>
      <c r="CL41" s="408"/>
      <c r="CM41" s="408"/>
      <c r="CN41" s="408"/>
    </row>
    <row r="42">
      <c r="O42" s="408"/>
      <c r="P42" s="408"/>
      <c r="Q42" s="408"/>
      <c r="R42" s="408"/>
      <c r="S42" s="408"/>
      <c r="T42" s="408"/>
      <c r="U42" s="408"/>
      <c r="V42" s="408"/>
      <c r="W42" s="408"/>
      <c r="X42" s="408"/>
      <c r="Y42" s="408"/>
      <c r="Z42" s="408"/>
      <c r="AA42" s="408"/>
      <c r="AB42" s="408"/>
      <c r="AC42" s="408"/>
      <c r="AD42" s="408"/>
      <c r="AE42" s="408"/>
      <c r="AF42" s="408"/>
      <c r="AG42" s="408"/>
      <c r="AH42" s="408"/>
      <c r="AI42" s="408"/>
      <c r="AJ42" s="408"/>
      <c r="AK42" s="408"/>
      <c r="AL42" s="408"/>
      <c r="AM42" s="408"/>
      <c r="AN42" s="408"/>
      <c r="AO42" s="408"/>
      <c r="AP42" s="408"/>
      <c r="AQ42" s="408"/>
      <c r="AR42" s="408"/>
      <c r="AS42" s="408"/>
      <c r="AT42" s="408"/>
      <c r="AU42" s="408"/>
      <c r="AV42" s="408"/>
      <c r="AW42" s="408"/>
      <c r="AX42" s="408"/>
      <c r="AY42" s="408"/>
      <c r="AZ42" s="408"/>
      <c r="BA42" s="408"/>
      <c r="BB42" s="408"/>
      <c r="BC42" s="408"/>
      <c r="BD42" s="408"/>
      <c r="BE42" s="408"/>
      <c r="BF42" s="408"/>
      <c r="BG42" s="408"/>
      <c r="BH42" s="408"/>
      <c r="BI42" s="408"/>
      <c r="BJ42" s="408"/>
      <c r="BK42" s="408"/>
      <c r="BL42" s="408"/>
      <c r="BM42" s="408"/>
      <c r="BN42" s="408"/>
      <c r="BO42" s="408"/>
      <c r="BP42" s="408"/>
      <c r="BQ42" s="408"/>
      <c r="BR42" s="408"/>
      <c r="BS42" s="408"/>
      <c r="BT42" s="408"/>
      <c r="BU42" s="408"/>
      <c r="BV42" s="408"/>
      <c r="BW42" s="408"/>
      <c r="BX42" s="408"/>
      <c r="BY42" s="408"/>
      <c r="BZ42" s="408"/>
      <c r="CA42" s="408"/>
      <c r="CB42" s="408"/>
      <c r="CC42" s="408"/>
      <c r="CD42" s="408"/>
      <c r="CE42" s="408"/>
      <c r="CF42" s="408"/>
      <c r="CG42" s="408"/>
      <c r="CH42" s="408"/>
      <c r="CI42" s="408"/>
      <c r="CJ42" s="408"/>
      <c r="CK42" s="408"/>
      <c r="CL42" s="408"/>
      <c r="CM42" s="408"/>
      <c r="CN42" s="408"/>
    </row>
    <row r="43">
      <c r="O43" s="408"/>
      <c r="P43" s="408"/>
      <c r="Q43" s="408"/>
      <c r="R43" s="408"/>
      <c r="S43" s="408"/>
      <c r="T43" s="408"/>
      <c r="U43" s="408"/>
      <c r="V43" s="408"/>
      <c r="W43" s="408"/>
      <c r="X43" s="408"/>
      <c r="Y43" s="408"/>
      <c r="Z43" s="408"/>
      <c r="AA43" s="408"/>
      <c r="AB43" s="408"/>
      <c r="AC43" s="408"/>
      <c r="AD43" s="408"/>
      <c r="AE43" s="408"/>
      <c r="AF43" s="408"/>
      <c r="AG43" s="408"/>
      <c r="AH43" s="408"/>
      <c r="AI43" s="408"/>
      <c r="AJ43" s="408"/>
      <c r="AK43" s="408"/>
      <c r="AL43" s="408"/>
      <c r="AM43" s="408"/>
      <c r="AN43" s="408"/>
      <c r="AO43" s="408"/>
      <c r="AP43" s="408"/>
      <c r="AQ43" s="408"/>
      <c r="AR43" s="408"/>
      <c r="AS43" s="408"/>
      <c r="AT43" s="408"/>
      <c r="AU43" s="408"/>
      <c r="AV43" s="408"/>
      <c r="AW43" s="408"/>
      <c r="AX43" s="408"/>
      <c r="AY43" s="408"/>
      <c r="AZ43" s="408"/>
      <c r="BA43" s="408"/>
      <c r="BB43" s="408"/>
      <c r="BC43" s="408"/>
      <c r="BD43" s="408"/>
      <c r="BE43" s="408"/>
      <c r="BF43" s="408"/>
      <c r="BG43" s="408"/>
      <c r="BH43" s="408"/>
      <c r="BI43" s="408"/>
      <c r="BJ43" s="408"/>
      <c r="BK43" s="408"/>
      <c r="BL43" s="408"/>
      <c r="BM43" s="408"/>
      <c r="BN43" s="408"/>
      <c r="BO43" s="408"/>
      <c r="BP43" s="408"/>
      <c r="BQ43" s="408"/>
      <c r="BR43" s="408"/>
      <c r="BS43" s="408"/>
      <c r="BT43" s="408"/>
      <c r="BU43" s="408"/>
      <c r="BV43" s="408"/>
      <c r="BW43" s="408"/>
      <c r="BX43" s="408"/>
      <c r="BY43" s="408"/>
      <c r="BZ43" s="408"/>
      <c r="CA43" s="408"/>
      <c r="CB43" s="408"/>
      <c r="CC43" s="408"/>
      <c r="CD43" s="408"/>
      <c r="CE43" s="408"/>
      <c r="CF43" s="408"/>
      <c r="CG43" s="408"/>
      <c r="CH43" s="408"/>
      <c r="CI43" s="408"/>
      <c r="CJ43" s="408"/>
      <c r="CK43" s="408"/>
      <c r="CL43" s="408"/>
      <c r="CM43" s="408"/>
      <c r="CN43" s="408"/>
    </row>
    <row r="44">
      <c r="O44" s="408"/>
      <c r="P44" s="408"/>
      <c r="Q44" s="408"/>
      <c r="R44" s="408"/>
      <c r="S44" s="408"/>
      <c r="T44" s="408"/>
      <c r="U44" s="408"/>
      <c r="V44" s="408"/>
      <c r="W44" s="408"/>
      <c r="X44" s="408"/>
      <c r="Y44" s="408"/>
      <c r="Z44" s="408"/>
      <c r="AA44" s="408"/>
      <c r="AB44" s="408"/>
      <c r="AC44" s="408"/>
      <c r="AD44" s="408"/>
      <c r="AE44" s="408"/>
      <c r="AF44" s="408"/>
      <c r="AG44" s="408"/>
      <c r="AH44" s="408"/>
      <c r="AI44" s="408"/>
      <c r="AJ44" s="408"/>
      <c r="AK44" s="408"/>
      <c r="AL44" s="408"/>
      <c r="AM44" s="408"/>
      <c r="AN44" s="408"/>
      <c r="AO44" s="408"/>
      <c r="AP44" s="408"/>
      <c r="AQ44" s="408"/>
      <c r="AR44" s="408"/>
      <c r="AS44" s="408"/>
      <c r="AT44" s="408"/>
      <c r="AU44" s="408"/>
      <c r="AV44" s="408"/>
      <c r="AW44" s="408"/>
      <c r="AX44" s="408"/>
      <c r="AY44" s="408"/>
      <c r="AZ44" s="408"/>
      <c r="BA44" s="408"/>
      <c r="BB44" s="408"/>
      <c r="BC44" s="408"/>
      <c r="BD44" s="408"/>
      <c r="BE44" s="408"/>
      <c r="BF44" s="408"/>
      <c r="BG44" s="408"/>
      <c r="BH44" s="408"/>
      <c r="BI44" s="408"/>
      <c r="BJ44" s="408"/>
      <c r="BK44" s="408"/>
      <c r="BL44" s="408"/>
      <c r="BM44" s="408"/>
      <c r="BN44" s="408"/>
      <c r="BO44" s="408"/>
      <c r="BP44" s="408"/>
      <c r="BQ44" s="408"/>
      <c r="BR44" s="408"/>
      <c r="BS44" s="408"/>
      <c r="BT44" s="408"/>
      <c r="BU44" s="408"/>
      <c r="BV44" s="408"/>
      <c r="BW44" s="408"/>
      <c r="BX44" s="408"/>
      <c r="BY44" s="408"/>
      <c r="BZ44" s="408"/>
      <c r="CA44" s="408"/>
      <c r="CB44" s="408"/>
      <c r="CC44" s="408"/>
      <c r="CD44" s="408"/>
      <c r="CE44" s="408"/>
      <c r="CF44" s="408"/>
      <c r="CG44" s="408"/>
      <c r="CH44" s="408"/>
      <c r="CI44" s="408"/>
      <c r="CJ44" s="408"/>
      <c r="CK44" s="408"/>
      <c r="CL44" s="408"/>
      <c r="CM44" s="408"/>
      <c r="CN44" s="408"/>
    </row>
    <row r="45">
      <c r="O45" s="408"/>
      <c r="P45" s="408"/>
      <c r="Q45" s="408"/>
      <c r="R45" s="408"/>
      <c r="S45" s="408"/>
      <c r="T45" s="408"/>
      <c r="U45" s="408"/>
      <c r="V45" s="408"/>
      <c r="W45" s="408"/>
      <c r="X45" s="408"/>
      <c r="Y45" s="408"/>
      <c r="Z45" s="408"/>
      <c r="AA45" s="408"/>
      <c r="AB45" s="408"/>
      <c r="AC45" s="408"/>
      <c r="AD45" s="408"/>
      <c r="AE45" s="408"/>
      <c r="AF45" s="408"/>
      <c r="AG45" s="408"/>
      <c r="AH45" s="408"/>
      <c r="AI45" s="408"/>
      <c r="AJ45" s="408"/>
      <c r="AK45" s="408"/>
      <c r="AL45" s="408"/>
      <c r="AM45" s="408"/>
      <c r="AN45" s="408"/>
      <c r="AO45" s="408"/>
      <c r="AP45" s="408"/>
      <c r="AQ45" s="408"/>
      <c r="AR45" s="408"/>
      <c r="AS45" s="408"/>
      <c r="AT45" s="408"/>
      <c r="AU45" s="408"/>
      <c r="AV45" s="408"/>
      <c r="AW45" s="408"/>
      <c r="AX45" s="408"/>
      <c r="AY45" s="408"/>
      <c r="AZ45" s="408"/>
      <c r="BA45" s="408"/>
      <c r="BB45" s="408"/>
      <c r="BC45" s="408"/>
      <c r="BD45" s="408"/>
      <c r="BE45" s="408"/>
      <c r="BF45" s="408"/>
      <c r="BG45" s="408"/>
      <c r="BH45" s="408"/>
      <c r="BI45" s="408"/>
      <c r="BJ45" s="408"/>
      <c r="BK45" s="408"/>
      <c r="BL45" s="408"/>
      <c r="BM45" s="408"/>
      <c r="BN45" s="408"/>
      <c r="BO45" s="408"/>
      <c r="BP45" s="408"/>
      <c r="BQ45" s="408"/>
      <c r="BR45" s="408"/>
      <c r="BS45" s="408"/>
      <c r="BT45" s="408"/>
      <c r="BU45" s="408"/>
      <c r="BV45" s="408"/>
      <c r="BW45" s="408"/>
      <c r="BX45" s="408"/>
      <c r="BY45" s="408"/>
      <c r="BZ45" s="408"/>
      <c r="CA45" s="408"/>
      <c r="CB45" s="408"/>
      <c r="CC45" s="408"/>
      <c r="CD45" s="408"/>
      <c r="CE45" s="408"/>
      <c r="CF45" s="408"/>
      <c r="CG45" s="408"/>
      <c r="CH45" s="408"/>
      <c r="CI45" s="408"/>
      <c r="CJ45" s="408"/>
      <c r="CK45" s="408"/>
      <c r="CL45" s="408"/>
      <c r="CM45" s="408"/>
      <c r="CN45" s="408"/>
    </row>
    <row r="46">
      <c r="O46" s="408"/>
      <c r="P46" s="408"/>
      <c r="Q46" s="408"/>
      <c r="R46" s="408"/>
      <c r="S46" s="408"/>
      <c r="T46" s="408"/>
      <c r="U46" s="408"/>
      <c r="V46" s="408"/>
      <c r="W46" s="408"/>
      <c r="X46" s="408"/>
      <c r="Y46" s="408"/>
      <c r="Z46" s="408"/>
      <c r="AA46" s="408"/>
      <c r="AB46" s="408"/>
      <c r="AC46" s="408"/>
      <c r="AD46" s="408"/>
      <c r="AE46" s="408"/>
      <c r="AF46" s="408"/>
      <c r="AG46" s="408"/>
      <c r="AH46" s="408"/>
      <c r="AI46" s="408"/>
      <c r="AJ46" s="408"/>
      <c r="AK46" s="408"/>
      <c r="AL46" s="408"/>
      <c r="AM46" s="408"/>
      <c r="AN46" s="408"/>
      <c r="AO46" s="408"/>
      <c r="AP46" s="408"/>
      <c r="AQ46" s="408"/>
      <c r="AR46" s="408"/>
      <c r="AS46" s="408"/>
      <c r="AT46" s="408"/>
      <c r="AU46" s="408"/>
      <c r="AV46" s="408"/>
      <c r="AW46" s="408"/>
      <c r="AX46" s="408"/>
      <c r="AY46" s="408"/>
      <c r="AZ46" s="408"/>
      <c r="BA46" s="408"/>
      <c r="BB46" s="408"/>
      <c r="BC46" s="408"/>
      <c r="BD46" s="408"/>
      <c r="BE46" s="408"/>
      <c r="BF46" s="408"/>
      <c r="BG46" s="408"/>
      <c r="BH46" s="408"/>
      <c r="BI46" s="408"/>
      <c r="BJ46" s="408"/>
      <c r="BK46" s="408"/>
      <c r="BL46" s="408"/>
      <c r="BM46" s="408"/>
      <c r="BN46" s="408"/>
      <c r="BO46" s="408"/>
      <c r="BP46" s="408"/>
      <c r="BQ46" s="408"/>
      <c r="BR46" s="408"/>
      <c r="BS46" s="408"/>
      <c r="BT46" s="408"/>
      <c r="BU46" s="408"/>
      <c r="BV46" s="408"/>
      <c r="BW46" s="408"/>
      <c r="BX46" s="408"/>
      <c r="BY46" s="408"/>
      <c r="BZ46" s="408"/>
      <c r="CA46" s="408"/>
      <c r="CB46" s="408"/>
      <c r="CC46" s="408"/>
      <c r="CD46" s="408"/>
      <c r="CE46" s="408"/>
      <c r="CF46" s="408"/>
      <c r="CG46" s="408"/>
      <c r="CH46" s="408"/>
      <c r="CI46" s="408"/>
      <c r="CJ46" s="408"/>
      <c r="CK46" s="408"/>
      <c r="CL46" s="408"/>
      <c r="CM46" s="408"/>
      <c r="CN46" s="408"/>
    </row>
    <row r="47">
      <c r="O47" s="408"/>
      <c r="P47" s="408"/>
      <c r="Q47" s="408"/>
      <c r="R47" s="408"/>
      <c r="S47" s="408"/>
      <c r="T47" s="408"/>
      <c r="U47" s="408"/>
      <c r="V47" s="408"/>
      <c r="W47" s="408"/>
      <c r="X47" s="408"/>
      <c r="Y47" s="408"/>
      <c r="Z47" s="408"/>
      <c r="AA47" s="408"/>
      <c r="AB47" s="408"/>
      <c r="AC47" s="408"/>
      <c r="AD47" s="408"/>
      <c r="AE47" s="408"/>
      <c r="AF47" s="408"/>
      <c r="AG47" s="408"/>
      <c r="AH47" s="408"/>
      <c r="AI47" s="408"/>
      <c r="AJ47" s="408"/>
      <c r="AK47" s="408"/>
      <c r="AL47" s="408"/>
      <c r="AM47" s="408"/>
      <c r="AN47" s="408"/>
      <c r="AO47" s="408"/>
      <c r="AP47" s="408"/>
      <c r="AQ47" s="408"/>
      <c r="AR47" s="408"/>
      <c r="AS47" s="408"/>
      <c r="AT47" s="408"/>
      <c r="AU47" s="408"/>
      <c r="AV47" s="408"/>
      <c r="AW47" s="408"/>
      <c r="AX47" s="408"/>
      <c r="AY47" s="408"/>
      <c r="AZ47" s="408"/>
      <c r="BA47" s="408"/>
      <c r="BB47" s="408"/>
      <c r="BC47" s="408"/>
      <c r="BD47" s="408"/>
      <c r="BE47" s="408"/>
      <c r="BF47" s="408"/>
      <c r="BG47" s="408"/>
      <c r="BH47" s="408"/>
      <c r="BI47" s="408"/>
      <c r="BJ47" s="408"/>
      <c r="BK47" s="408"/>
      <c r="BL47" s="408"/>
      <c r="BM47" s="408"/>
      <c r="BN47" s="408"/>
      <c r="BO47" s="408"/>
      <c r="BP47" s="408"/>
      <c r="BQ47" s="408"/>
      <c r="BR47" s="408"/>
      <c r="BS47" s="408"/>
      <c r="BT47" s="408"/>
      <c r="BU47" s="408"/>
      <c r="BV47" s="408"/>
      <c r="BW47" s="408"/>
      <c r="BX47" s="408"/>
      <c r="BY47" s="408"/>
      <c r="BZ47" s="408"/>
      <c r="CA47" s="408"/>
      <c r="CB47" s="408"/>
      <c r="CC47" s="408"/>
      <c r="CD47" s="408"/>
      <c r="CE47" s="408"/>
      <c r="CF47" s="408"/>
      <c r="CG47" s="408"/>
      <c r="CH47" s="408"/>
      <c r="CI47" s="408"/>
      <c r="CJ47" s="408"/>
      <c r="CK47" s="408"/>
      <c r="CL47" s="408"/>
      <c r="CM47" s="408"/>
      <c r="CN47" s="408"/>
    </row>
    <row r="48">
      <c r="O48" s="408"/>
      <c r="P48" s="408"/>
      <c r="Q48" s="408"/>
      <c r="R48" s="408"/>
      <c r="S48" s="408"/>
      <c r="T48" s="408"/>
      <c r="U48" s="408"/>
      <c r="V48" s="408"/>
      <c r="W48" s="408"/>
      <c r="X48" s="408"/>
      <c r="Y48" s="408"/>
      <c r="Z48" s="408"/>
      <c r="AA48" s="408"/>
      <c r="AB48" s="408"/>
      <c r="AC48" s="408"/>
      <c r="AD48" s="408"/>
      <c r="AE48" s="408"/>
      <c r="AF48" s="408"/>
      <c r="AG48" s="408"/>
      <c r="AH48" s="408"/>
      <c r="AI48" s="408"/>
      <c r="AJ48" s="408"/>
      <c r="AK48" s="408"/>
      <c r="AL48" s="408"/>
      <c r="AM48" s="408"/>
      <c r="AN48" s="408"/>
      <c r="AO48" s="408"/>
      <c r="AP48" s="408"/>
      <c r="AQ48" s="408"/>
      <c r="AR48" s="408"/>
      <c r="AS48" s="408"/>
      <c r="AT48" s="408"/>
      <c r="AU48" s="408"/>
      <c r="AV48" s="408"/>
      <c r="AW48" s="408"/>
      <c r="AX48" s="408"/>
      <c r="AY48" s="408"/>
      <c r="AZ48" s="408"/>
      <c r="BA48" s="408"/>
      <c r="BB48" s="408"/>
      <c r="BC48" s="408"/>
      <c r="BD48" s="408"/>
      <c r="BE48" s="408"/>
      <c r="BF48" s="408"/>
      <c r="BG48" s="408"/>
      <c r="BH48" s="408"/>
      <c r="BI48" s="408"/>
      <c r="BJ48" s="408"/>
      <c r="BK48" s="408"/>
      <c r="BL48" s="408"/>
      <c r="BM48" s="408"/>
      <c r="BN48" s="408"/>
      <c r="BO48" s="408"/>
      <c r="BP48" s="408"/>
      <c r="BQ48" s="408"/>
      <c r="BR48" s="408"/>
      <c r="BS48" s="408"/>
      <c r="BT48" s="408"/>
      <c r="BU48" s="408"/>
      <c r="BV48" s="408"/>
      <c r="BW48" s="408"/>
      <c r="BX48" s="408"/>
      <c r="BY48" s="408"/>
      <c r="BZ48" s="408"/>
      <c r="CA48" s="408"/>
      <c r="CB48" s="408"/>
      <c r="CC48" s="408"/>
      <c r="CD48" s="408"/>
      <c r="CE48" s="408"/>
      <c r="CF48" s="408"/>
      <c r="CG48" s="408"/>
      <c r="CH48" s="408"/>
      <c r="CI48" s="408"/>
      <c r="CJ48" s="408"/>
      <c r="CK48" s="408"/>
      <c r="CL48" s="408"/>
      <c r="CM48" s="408"/>
      <c r="CN48" s="408"/>
    </row>
    <row r="49">
      <c r="O49" s="408"/>
      <c r="P49" s="408"/>
      <c r="Q49" s="408"/>
      <c r="R49" s="408"/>
      <c r="S49" s="408"/>
      <c r="T49" s="408"/>
      <c r="U49" s="408"/>
      <c r="V49" s="408"/>
      <c r="W49" s="408"/>
      <c r="X49" s="408"/>
      <c r="Y49" s="408"/>
      <c r="Z49" s="408"/>
      <c r="AA49" s="408"/>
      <c r="AB49" s="408"/>
      <c r="AC49" s="408"/>
      <c r="AD49" s="408"/>
      <c r="AE49" s="408"/>
      <c r="AF49" s="408"/>
      <c r="AG49" s="408"/>
      <c r="AH49" s="408"/>
      <c r="AI49" s="408"/>
      <c r="AJ49" s="408"/>
      <c r="AK49" s="408"/>
      <c r="AL49" s="408"/>
      <c r="AM49" s="408"/>
      <c r="AN49" s="408"/>
      <c r="AO49" s="408"/>
      <c r="AP49" s="408"/>
      <c r="AQ49" s="408"/>
      <c r="AR49" s="408"/>
      <c r="AS49" s="408"/>
      <c r="AT49" s="408"/>
      <c r="AU49" s="408"/>
      <c r="AV49" s="408"/>
      <c r="AW49" s="408"/>
      <c r="AX49" s="408"/>
      <c r="AY49" s="408"/>
      <c r="AZ49" s="408"/>
      <c r="BA49" s="408"/>
      <c r="BB49" s="408"/>
      <c r="BC49" s="408"/>
      <c r="BD49" s="408"/>
      <c r="BE49" s="408"/>
      <c r="BF49" s="408"/>
      <c r="BG49" s="408"/>
      <c r="BH49" s="408"/>
      <c r="BI49" s="408"/>
      <c r="BJ49" s="408"/>
      <c r="BK49" s="408"/>
      <c r="BL49" s="408"/>
      <c r="BM49" s="408"/>
      <c r="BN49" s="408"/>
      <c r="BO49" s="408"/>
      <c r="BP49" s="408"/>
      <c r="BQ49" s="408"/>
      <c r="BR49" s="408"/>
      <c r="BS49" s="408"/>
      <c r="BT49" s="408"/>
      <c r="BU49" s="408"/>
      <c r="BV49" s="408"/>
      <c r="BW49" s="408"/>
      <c r="BX49" s="408"/>
      <c r="BY49" s="408"/>
      <c r="BZ49" s="408"/>
      <c r="CA49" s="408"/>
      <c r="CB49" s="408"/>
      <c r="CC49" s="408"/>
      <c r="CD49" s="408"/>
      <c r="CE49" s="408"/>
      <c r="CF49" s="408"/>
      <c r="CG49" s="408"/>
      <c r="CH49" s="408"/>
      <c r="CI49" s="408"/>
      <c r="CJ49" s="408"/>
      <c r="CK49" s="408"/>
      <c r="CL49" s="408"/>
      <c r="CM49" s="408"/>
      <c r="CN49" s="408"/>
    </row>
    <row r="50">
      <c r="O50" s="408"/>
      <c r="P50" s="408"/>
      <c r="Q50" s="408"/>
      <c r="R50" s="408"/>
      <c r="S50" s="408"/>
      <c r="T50" s="408"/>
      <c r="U50" s="408"/>
      <c r="V50" s="408"/>
      <c r="W50" s="408"/>
      <c r="X50" s="408"/>
      <c r="Y50" s="408"/>
      <c r="Z50" s="408"/>
      <c r="AA50" s="408"/>
      <c r="AB50" s="408"/>
      <c r="AC50" s="408"/>
      <c r="AD50" s="408"/>
      <c r="AE50" s="408"/>
      <c r="AF50" s="408"/>
      <c r="AG50" s="408"/>
      <c r="AH50" s="408"/>
      <c r="AI50" s="408"/>
      <c r="AJ50" s="408"/>
      <c r="AK50" s="408"/>
      <c r="AL50" s="408"/>
      <c r="AM50" s="408"/>
      <c r="AN50" s="408"/>
      <c r="AO50" s="408"/>
      <c r="AP50" s="408"/>
      <c r="AQ50" s="408"/>
      <c r="AR50" s="408"/>
      <c r="AS50" s="408"/>
      <c r="AT50" s="408"/>
      <c r="AU50" s="408"/>
      <c r="AV50" s="408"/>
      <c r="AW50" s="408"/>
      <c r="AX50" s="408"/>
      <c r="AY50" s="408"/>
      <c r="AZ50" s="408"/>
      <c r="BA50" s="408"/>
      <c r="BB50" s="408"/>
      <c r="BC50" s="408"/>
      <c r="BD50" s="408"/>
      <c r="BE50" s="408"/>
      <c r="BF50" s="408"/>
      <c r="BG50" s="408"/>
      <c r="BH50" s="408"/>
      <c r="BI50" s="408"/>
      <c r="BJ50" s="408"/>
      <c r="BK50" s="408"/>
      <c r="BL50" s="408"/>
      <c r="BM50" s="408"/>
      <c r="BN50" s="408"/>
      <c r="BO50" s="408"/>
      <c r="BP50" s="408"/>
      <c r="BQ50" s="408"/>
      <c r="BR50" s="408"/>
      <c r="BS50" s="408"/>
      <c r="BT50" s="408"/>
      <c r="BU50" s="408"/>
      <c r="BV50" s="408"/>
      <c r="BW50" s="408"/>
      <c r="BX50" s="408"/>
      <c r="BY50" s="408"/>
      <c r="BZ50" s="408"/>
      <c r="CA50" s="408"/>
      <c r="CB50" s="408"/>
      <c r="CC50" s="408"/>
      <c r="CD50" s="408"/>
      <c r="CE50" s="408"/>
      <c r="CF50" s="408"/>
      <c r="CG50" s="408"/>
      <c r="CH50" s="408"/>
      <c r="CI50" s="408"/>
      <c r="CJ50" s="408"/>
      <c r="CK50" s="408"/>
      <c r="CL50" s="408"/>
      <c r="CM50" s="408"/>
      <c r="CN50" s="408"/>
    </row>
    <row r="51">
      <c r="O51" s="408"/>
      <c r="P51" s="408"/>
      <c r="Q51" s="408"/>
      <c r="R51" s="408"/>
      <c r="S51" s="408"/>
      <c r="T51" s="408"/>
      <c r="U51" s="408"/>
      <c r="V51" s="408"/>
      <c r="W51" s="408"/>
      <c r="X51" s="408"/>
      <c r="Y51" s="408"/>
      <c r="Z51" s="408"/>
      <c r="AA51" s="408"/>
      <c r="AB51" s="408"/>
      <c r="AC51" s="408"/>
      <c r="AD51" s="408"/>
      <c r="AE51" s="408"/>
      <c r="AF51" s="408"/>
      <c r="AG51" s="408"/>
      <c r="AH51" s="408"/>
      <c r="AI51" s="408"/>
      <c r="AJ51" s="408"/>
      <c r="AK51" s="408"/>
      <c r="AL51" s="408"/>
      <c r="AM51" s="408"/>
      <c r="AN51" s="408"/>
      <c r="AO51" s="408"/>
      <c r="AP51" s="408"/>
      <c r="AQ51" s="408"/>
      <c r="AR51" s="408"/>
      <c r="AS51" s="408"/>
      <c r="AT51" s="408"/>
      <c r="AU51" s="408"/>
      <c r="AV51" s="408"/>
      <c r="AW51" s="408"/>
      <c r="AX51" s="408"/>
      <c r="AY51" s="408"/>
      <c r="AZ51" s="408"/>
      <c r="BA51" s="408"/>
      <c r="BB51" s="408"/>
      <c r="BC51" s="408"/>
      <c r="BD51" s="408"/>
      <c r="BE51" s="408"/>
      <c r="BF51" s="408"/>
      <c r="BG51" s="408"/>
      <c r="BH51" s="408"/>
      <c r="BI51" s="408"/>
      <c r="BJ51" s="408"/>
      <c r="BK51" s="408"/>
      <c r="BL51" s="408"/>
      <c r="BM51" s="408"/>
      <c r="BN51" s="408"/>
      <c r="BO51" s="408"/>
      <c r="BP51" s="408"/>
      <c r="BQ51" s="408"/>
      <c r="BR51" s="408"/>
      <c r="BS51" s="408"/>
      <c r="BT51" s="408"/>
      <c r="BU51" s="408"/>
      <c r="BV51" s="408"/>
      <c r="BW51" s="408"/>
      <c r="BX51" s="408"/>
      <c r="BY51" s="408"/>
      <c r="BZ51" s="408"/>
      <c r="CA51" s="408"/>
      <c r="CB51" s="408"/>
      <c r="CC51" s="408"/>
      <c r="CD51" s="408"/>
      <c r="CE51" s="408"/>
      <c r="CF51" s="408"/>
      <c r="CG51" s="408"/>
      <c r="CH51" s="408"/>
      <c r="CI51" s="408"/>
      <c r="CJ51" s="408"/>
      <c r="CK51" s="408"/>
      <c r="CL51" s="408"/>
      <c r="CM51" s="408"/>
      <c r="CN51" s="408"/>
    </row>
    <row r="52">
      <c r="O52" s="408"/>
      <c r="P52" s="408"/>
      <c r="Q52" s="408"/>
      <c r="R52" s="408"/>
      <c r="S52" s="408"/>
      <c r="T52" s="408"/>
      <c r="U52" s="408"/>
      <c r="V52" s="408"/>
      <c r="W52" s="408"/>
      <c r="X52" s="408"/>
      <c r="Y52" s="408"/>
      <c r="Z52" s="408"/>
      <c r="AA52" s="408"/>
      <c r="AB52" s="408"/>
      <c r="AC52" s="408"/>
      <c r="AD52" s="408"/>
      <c r="AE52" s="408"/>
      <c r="AF52" s="408"/>
      <c r="AG52" s="408"/>
      <c r="AH52" s="408"/>
      <c r="AI52" s="408"/>
      <c r="AJ52" s="408"/>
      <c r="AK52" s="408"/>
      <c r="AL52" s="408"/>
      <c r="AM52" s="408"/>
      <c r="AN52" s="408"/>
      <c r="AO52" s="408"/>
      <c r="AP52" s="408"/>
      <c r="AQ52" s="408"/>
      <c r="AR52" s="408"/>
      <c r="AS52" s="408"/>
      <c r="AT52" s="408"/>
      <c r="AU52" s="408"/>
      <c r="AV52" s="408"/>
      <c r="AW52" s="408"/>
      <c r="AX52" s="408"/>
      <c r="AY52" s="408"/>
      <c r="AZ52" s="408"/>
      <c r="BA52" s="408"/>
      <c r="BB52" s="408"/>
      <c r="BC52" s="408"/>
      <c r="BD52" s="408"/>
      <c r="BE52" s="408"/>
      <c r="BF52" s="408"/>
      <c r="BG52" s="408"/>
      <c r="BH52" s="408"/>
      <c r="BI52" s="408"/>
      <c r="BJ52" s="408"/>
      <c r="BK52" s="408"/>
      <c r="BL52" s="408"/>
      <c r="BM52" s="408"/>
      <c r="BN52" s="408"/>
      <c r="BO52" s="408"/>
      <c r="BP52" s="408"/>
      <c r="BQ52" s="408"/>
      <c r="BR52" s="408"/>
      <c r="BS52" s="408"/>
      <c r="BT52" s="408"/>
      <c r="BU52" s="408"/>
      <c r="BV52" s="408"/>
      <c r="BW52" s="408"/>
      <c r="BX52" s="408"/>
      <c r="BY52" s="408"/>
      <c r="BZ52" s="408"/>
      <c r="CA52" s="408"/>
      <c r="CB52" s="408"/>
      <c r="CC52" s="408"/>
      <c r="CD52" s="408"/>
      <c r="CE52" s="408"/>
      <c r="CF52" s="408"/>
      <c r="CG52" s="408"/>
      <c r="CH52" s="408"/>
      <c r="CI52" s="408"/>
      <c r="CJ52" s="408"/>
      <c r="CK52" s="408"/>
      <c r="CL52" s="408"/>
      <c r="CM52" s="408"/>
      <c r="CN52" s="408"/>
    </row>
    <row r="53">
      <c r="O53" s="408"/>
      <c r="P53" s="408"/>
      <c r="Q53" s="408"/>
      <c r="R53" s="408"/>
      <c r="S53" s="408"/>
      <c r="T53" s="408"/>
      <c r="U53" s="408"/>
      <c r="V53" s="408"/>
      <c r="W53" s="408"/>
      <c r="X53" s="408"/>
      <c r="Y53" s="408"/>
      <c r="Z53" s="408"/>
      <c r="AA53" s="408"/>
      <c r="AB53" s="408"/>
      <c r="AC53" s="408"/>
      <c r="AD53" s="408"/>
      <c r="AE53" s="408"/>
      <c r="AF53" s="408"/>
      <c r="AG53" s="408"/>
      <c r="AH53" s="408"/>
      <c r="AI53" s="408"/>
      <c r="AJ53" s="408"/>
      <c r="AK53" s="408"/>
      <c r="AL53" s="408"/>
      <c r="AM53" s="408"/>
      <c r="AN53" s="408"/>
      <c r="AO53" s="408"/>
      <c r="AP53" s="408"/>
      <c r="AQ53" s="408"/>
      <c r="AR53" s="408"/>
      <c r="AS53" s="408"/>
      <c r="AT53" s="408"/>
      <c r="AU53" s="408"/>
      <c r="AV53" s="408"/>
      <c r="AW53" s="408"/>
      <c r="AX53" s="408"/>
      <c r="AY53" s="408"/>
      <c r="AZ53" s="408"/>
      <c r="BA53" s="408"/>
      <c r="BB53" s="408"/>
      <c r="BC53" s="408"/>
      <c r="BD53" s="408"/>
      <c r="BE53" s="408"/>
      <c r="BF53" s="408"/>
      <c r="BG53" s="408"/>
      <c r="BH53" s="408"/>
      <c r="BI53" s="408"/>
      <c r="BJ53" s="408"/>
      <c r="BK53" s="408"/>
      <c r="BL53" s="408"/>
      <c r="BM53" s="408"/>
      <c r="BN53" s="408"/>
      <c r="BO53" s="408"/>
      <c r="BP53" s="408"/>
      <c r="BQ53" s="408"/>
      <c r="BR53" s="408"/>
      <c r="BS53" s="408"/>
      <c r="BT53" s="408"/>
      <c r="BU53" s="408"/>
      <c r="BV53" s="408"/>
      <c r="BW53" s="408"/>
      <c r="BX53" s="408"/>
      <c r="BY53" s="408"/>
      <c r="BZ53" s="408"/>
      <c r="CA53" s="408"/>
      <c r="CB53" s="408"/>
      <c r="CC53" s="408"/>
      <c r="CD53" s="408"/>
      <c r="CE53" s="408"/>
      <c r="CF53" s="408"/>
      <c r="CG53" s="408"/>
      <c r="CH53" s="408"/>
      <c r="CI53" s="408"/>
      <c r="CJ53" s="408"/>
      <c r="CK53" s="408"/>
      <c r="CL53" s="408"/>
      <c r="CM53" s="408"/>
      <c r="CN53" s="408"/>
    </row>
    <row r="54">
      <c r="O54" s="408"/>
      <c r="P54" s="408"/>
      <c r="Q54" s="408"/>
      <c r="R54" s="408"/>
      <c r="S54" s="408"/>
      <c r="T54" s="408"/>
      <c r="U54" s="408"/>
      <c r="V54" s="408"/>
      <c r="W54" s="408"/>
      <c r="X54" s="408"/>
      <c r="Y54" s="408"/>
      <c r="Z54" s="408"/>
      <c r="AA54" s="408"/>
      <c r="AB54" s="408"/>
      <c r="AC54" s="408"/>
      <c r="AD54" s="408"/>
      <c r="AE54" s="408"/>
      <c r="AF54" s="408"/>
      <c r="AG54" s="408"/>
      <c r="AH54" s="408"/>
      <c r="AI54" s="408"/>
      <c r="AJ54" s="408"/>
      <c r="AK54" s="408"/>
      <c r="AL54" s="408"/>
      <c r="AM54" s="408"/>
      <c r="AN54" s="408"/>
      <c r="AO54" s="408"/>
      <c r="AP54" s="408"/>
      <c r="AQ54" s="408"/>
      <c r="AR54" s="408"/>
      <c r="AS54" s="408"/>
      <c r="AT54" s="408"/>
      <c r="AU54" s="408"/>
      <c r="AV54" s="408"/>
      <c r="AW54" s="408"/>
      <c r="AX54" s="408"/>
      <c r="AY54" s="408"/>
      <c r="AZ54" s="408"/>
      <c r="BA54" s="408"/>
      <c r="BB54" s="408"/>
      <c r="BC54" s="408"/>
      <c r="BD54" s="408"/>
      <c r="BE54" s="408"/>
      <c r="BF54" s="408"/>
      <c r="BG54" s="408"/>
      <c r="BH54" s="408"/>
      <c r="BI54" s="408"/>
      <c r="BJ54" s="408"/>
      <c r="BK54" s="408"/>
      <c r="BL54" s="408"/>
      <c r="BM54" s="408"/>
      <c r="BN54" s="408"/>
      <c r="BO54" s="408"/>
      <c r="BP54" s="408"/>
      <c r="BQ54" s="408"/>
      <c r="BR54" s="408"/>
      <c r="BS54" s="408"/>
      <c r="BT54" s="408"/>
      <c r="BU54" s="408"/>
      <c r="BV54" s="408"/>
      <c r="BW54" s="408"/>
      <c r="BX54" s="408"/>
      <c r="BY54" s="408"/>
      <c r="BZ54" s="408"/>
      <c r="CA54" s="408"/>
      <c r="CB54" s="408"/>
      <c r="CC54" s="408"/>
      <c r="CD54" s="408"/>
      <c r="CE54" s="408"/>
      <c r="CF54" s="408"/>
      <c r="CG54" s="408"/>
      <c r="CH54" s="408"/>
      <c r="CI54" s="408"/>
      <c r="CJ54" s="408"/>
      <c r="CK54" s="408"/>
      <c r="CL54" s="408"/>
      <c r="CM54" s="408"/>
      <c r="CN54" s="408"/>
    </row>
    <row r="55">
      <c r="O55" s="408"/>
      <c r="P55" s="408"/>
      <c r="Q55" s="408"/>
      <c r="R55" s="408"/>
      <c r="S55" s="408"/>
      <c r="T55" s="408"/>
      <c r="U55" s="408"/>
      <c r="V55" s="408"/>
      <c r="W55" s="408"/>
      <c r="X55" s="408"/>
      <c r="Y55" s="408"/>
      <c r="Z55" s="408"/>
      <c r="AA55" s="408"/>
      <c r="AB55" s="408"/>
      <c r="AC55" s="408"/>
      <c r="AD55" s="408"/>
      <c r="AE55" s="408"/>
      <c r="AF55" s="408"/>
      <c r="AG55" s="408"/>
      <c r="AH55" s="408"/>
      <c r="AI55" s="408"/>
      <c r="AJ55" s="408"/>
      <c r="AK55" s="408"/>
      <c r="AL55" s="408"/>
      <c r="AM55" s="408"/>
      <c r="AN55" s="408"/>
      <c r="AO55" s="408"/>
      <c r="AP55" s="408"/>
      <c r="AQ55" s="408"/>
      <c r="AR55" s="408"/>
      <c r="AS55" s="408"/>
      <c r="AT55" s="408"/>
      <c r="AU55" s="408"/>
      <c r="AV55" s="408"/>
      <c r="AW55" s="408"/>
      <c r="AX55" s="408"/>
      <c r="AY55" s="408"/>
      <c r="AZ55" s="408"/>
      <c r="BA55" s="408"/>
      <c r="BB55" s="408"/>
      <c r="BC55" s="408"/>
      <c r="BD55" s="408"/>
      <c r="BE55" s="408"/>
      <c r="BF55" s="408"/>
      <c r="BG55" s="408"/>
      <c r="BH55" s="408"/>
      <c r="BI55" s="408"/>
      <c r="BJ55" s="408"/>
      <c r="BK55" s="408"/>
      <c r="BL55" s="408"/>
      <c r="BM55" s="408"/>
      <c r="BN55" s="408"/>
      <c r="BO55" s="408"/>
      <c r="BP55" s="408"/>
      <c r="BQ55" s="408"/>
      <c r="BR55" s="408"/>
      <c r="BS55" s="408"/>
      <c r="BT55" s="408"/>
      <c r="BU55" s="408"/>
      <c r="BV55" s="408"/>
      <c r="BW55" s="408"/>
      <c r="BX55" s="408"/>
      <c r="BY55" s="408"/>
      <c r="BZ55" s="408"/>
      <c r="CA55" s="408"/>
      <c r="CB55" s="408"/>
      <c r="CC55" s="408"/>
      <c r="CD55" s="408"/>
      <c r="CE55" s="408"/>
      <c r="CF55" s="408"/>
      <c r="CG55" s="408"/>
      <c r="CH55" s="408"/>
      <c r="CI55" s="408"/>
      <c r="CJ55" s="408"/>
      <c r="CK55" s="408"/>
      <c r="CL55" s="408"/>
      <c r="CM55" s="408"/>
      <c r="CN55" s="408"/>
    </row>
    <row r="56">
      <c r="O56" s="408"/>
      <c r="P56" s="408"/>
      <c r="Q56" s="408"/>
      <c r="R56" s="408"/>
      <c r="S56" s="408"/>
      <c r="T56" s="408"/>
      <c r="U56" s="408"/>
      <c r="V56" s="408"/>
      <c r="W56" s="408"/>
      <c r="X56" s="408"/>
      <c r="Y56" s="408"/>
      <c r="Z56" s="408"/>
      <c r="AA56" s="408"/>
      <c r="AB56" s="408"/>
      <c r="AC56" s="408"/>
      <c r="AD56" s="408"/>
      <c r="AE56" s="408"/>
      <c r="AF56" s="408"/>
      <c r="AG56" s="408"/>
      <c r="AH56" s="408"/>
      <c r="AI56" s="408"/>
      <c r="AJ56" s="408"/>
      <c r="AK56" s="408"/>
      <c r="AL56" s="408"/>
      <c r="AM56" s="408"/>
      <c r="AN56" s="408"/>
      <c r="AO56" s="408"/>
      <c r="AP56" s="408"/>
      <c r="AQ56" s="408"/>
      <c r="AR56" s="408"/>
      <c r="AS56" s="408"/>
      <c r="AT56" s="408"/>
      <c r="AU56" s="408"/>
      <c r="AV56" s="408"/>
      <c r="AW56" s="408"/>
      <c r="AX56" s="408"/>
      <c r="AY56" s="408"/>
      <c r="AZ56" s="408"/>
      <c r="BA56" s="408"/>
      <c r="BB56" s="408"/>
      <c r="BC56" s="408"/>
      <c r="BD56" s="408"/>
      <c r="BE56" s="408"/>
      <c r="BF56" s="408"/>
      <c r="BG56" s="408"/>
      <c r="BH56" s="408"/>
      <c r="BI56" s="408"/>
      <c r="BJ56" s="408"/>
      <c r="BK56" s="408"/>
      <c r="BL56" s="408"/>
      <c r="BM56" s="408"/>
      <c r="BN56" s="408"/>
      <c r="BO56" s="408"/>
      <c r="BP56" s="408"/>
      <c r="BQ56" s="408"/>
      <c r="BR56" s="408"/>
      <c r="BS56" s="408"/>
      <c r="BT56" s="408"/>
      <c r="BU56" s="408"/>
      <c r="BV56" s="408"/>
      <c r="BW56" s="408"/>
      <c r="BX56" s="408"/>
      <c r="BY56" s="408"/>
      <c r="BZ56" s="408"/>
      <c r="CA56" s="408"/>
      <c r="CB56" s="408"/>
      <c r="CC56" s="408"/>
      <c r="CD56" s="408"/>
      <c r="CE56" s="408"/>
      <c r="CF56" s="408"/>
      <c r="CG56" s="408"/>
      <c r="CH56" s="408"/>
      <c r="CI56" s="408"/>
      <c r="CJ56" s="408"/>
      <c r="CK56" s="408"/>
      <c r="CL56" s="408"/>
      <c r="CM56" s="408"/>
      <c r="CN56" s="408"/>
    </row>
    <row r="57">
      <c r="A57" s="408"/>
      <c r="B57" s="408"/>
      <c r="C57" s="410">
        <v>4771400.0</v>
      </c>
      <c r="D57" s="408"/>
      <c r="E57" s="408"/>
      <c r="F57" s="408"/>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c r="AD57" s="408"/>
      <c r="AE57" s="408"/>
      <c r="AF57" s="408"/>
      <c r="AG57" s="408"/>
      <c r="AH57" s="408"/>
      <c r="AI57" s="408"/>
      <c r="AJ57" s="408"/>
      <c r="AK57" s="408"/>
      <c r="AL57" s="408"/>
      <c r="AM57" s="408"/>
      <c r="AN57" s="408"/>
      <c r="AO57" s="408"/>
      <c r="AP57" s="408"/>
      <c r="AQ57" s="408"/>
      <c r="AR57" s="408"/>
      <c r="AS57" s="408"/>
      <c r="AT57" s="408"/>
      <c r="AU57" s="408"/>
      <c r="AV57" s="408"/>
      <c r="AW57" s="408"/>
      <c r="AX57" s="408"/>
      <c r="AY57" s="408"/>
      <c r="AZ57" s="408"/>
      <c r="BA57" s="408"/>
      <c r="BB57" s="408"/>
      <c r="BC57" s="408"/>
      <c r="BD57" s="408"/>
      <c r="BE57" s="408"/>
      <c r="BF57" s="408"/>
      <c r="BG57" s="408"/>
      <c r="BH57" s="408"/>
      <c r="BI57" s="408"/>
      <c r="BJ57" s="408"/>
      <c r="BK57" s="408"/>
      <c r="BL57" s="408"/>
      <c r="BM57" s="408"/>
      <c r="BN57" s="408"/>
      <c r="BO57" s="408"/>
      <c r="BP57" s="408"/>
      <c r="BQ57" s="408"/>
      <c r="BR57" s="408"/>
      <c r="BS57" s="408"/>
      <c r="BT57" s="408"/>
      <c r="BU57" s="408"/>
      <c r="BV57" s="408"/>
      <c r="BW57" s="408"/>
      <c r="BX57" s="408"/>
      <c r="BY57" s="408"/>
      <c r="BZ57" s="408"/>
      <c r="CA57" s="408"/>
      <c r="CB57" s="408"/>
      <c r="CC57" s="408"/>
      <c r="CD57" s="408"/>
      <c r="CE57" s="408"/>
      <c r="CF57" s="408"/>
      <c r="CG57" s="408"/>
      <c r="CH57" s="408"/>
      <c r="CI57" s="408"/>
      <c r="CJ57" s="408"/>
      <c r="CK57" s="408"/>
      <c r="CL57" s="408"/>
      <c r="CM57" s="408"/>
      <c r="CN57" s="408"/>
    </row>
    <row r="58">
      <c r="A58" s="408"/>
      <c r="B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408"/>
      <c r="AG58" s="408"/>
      <c r="AH58" s="408"/>
      <c r="AI58" s="408"/>
      <c r="AJ58" s="408"/>
      <c r="AK58" s="408"/>
      <c r="AL58" s="408"/>
      <c r="AM58" s="408"/>
      <c r="AN58" s="408"/>
      <c r="AO58" s="408"/>
      <c r="AP58" s="408"/>
      <c r="AQ58" s="408"/>
      <c r="AR58" s="408"/>
      <c r="AS58" s="408"/>
      <c r="AT58" s="408"/>
      <c r="AU58" s="408"/>
      <c r="AV58" s="408"/>
      <c r="AW58" s="408"/>
      <c r="AX58" s="408"/>
      <c r="AY58" s="408"/>
      <c r="AZ58" s="408"/>
      <c r="BA58" s="408"/>
      <c r="BB58" s="408"/>
      <c r="BC58" s="408"/>
      <c r="BD58" s="408"/>
      <c r="BE58" s="408"/>
      <c r="BF58" s="408"/>
      <c r="BG58" s="408"/>
      <c r="BH58" s="408"/>
      <c r="BI58" s="408"/>
      <c r="BJ58" s="408"/>
      <c r="BK58" s="408"/>
      <c r="BL58" s="408"/>
      <c r="BM58" s="408"/>
      <c r="BN58" s="408"/>
      <c r="BO58" s="408"/>
      <c r="BP58" s="408"/>
      <c r="BQ58" s="408"/>
      <c r="BR58" s="408"/>
      <c r="BS58" s="408"/>
      <c r="BT58" s="408"/>
      <c r="BU58" s="408"/>
      <c r="BV58" s="408"/>
      <c r="BW58" s="408"/>
      <c r="BX58" s="408"/>
      <c r="BY58" s="408"/>
      <c r="BZ58" s="408"/>
      <c r="CA58" s="408"/>
      <c r="CB58" s="408"/>
      <c r="CC58" s="408"/>
      <c r="CD58" s="408"/>
      <c r="CE58" s="408"/>
      <c r="CF58" s="408"/>
      <c r="CG58" s="408"/>
      <c r="CH58" s="408"/>
      <c r="CI58" s="408"/>
      <c r="CJ58" s="408"/>
      <c r="CK58" s="408"/>
      <c r="CL58" s="408"/>
      <c r="CM58" s="408"/>
      <c r="CN58" s="408"/>
    </row>
    <row r="59">
      <c r="B59" s="408"/>
      <c r="C59" s="411" t="s">
        <v>2404</v>
      </c>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08"/>
      <c r="AQ59" s="408"/>
      <c r="AR59" s="408"/>
      <c r="AS59" s="408"/>
      <c r="AT59" s="408"/>
      <c r="AU59" s="408"/>
      <c r="AV59" s="408"/>
      <c r="AW59" s="408"/>
      <c r="AX59" s="408"/>
      <c r="AY59" s="408"/>
      <c r="AZ59" s="408"/>
      <c r="BA59" s="408"/>
      <c r="BB59" s="408"/>
      <c r="BC59" s="408"/>
      <c r="BD59" s="408"/>
      <c r="BE59" s="408"/>
      <c r="BF59" s="408"/>
      <c r="BG59" s="408"/>
      <c r="BH59" s="408"/>
      <c r="BI59" s="408"/>
      <c r="BJ59" s="408"/>
      <c r="BK59" s="408"/>
      <c r="BL59" s="408"/>
      <c r="BM59" s="408"/>
      <c r="BN59" s="408"/>
      <c r="BO59" s="408"/>
      <c r="BP59" s="408"/>
      <c r="BQ59" s="408"/>
      <c r="BR59" s="408"/>
      <c r="BS59" s="408"/>
      <c r="BT59" s="408"/>
      <c r="BU59" s="408"/>
      <c r="BV59" s="408"/>
      <c r="BW59" s="408"/>
      <c r="BX59" s="408"/>
      <c r="BY59" s="408"/>
      <c r="BZ59" s="408"/>
      <c r="CA59" s="408"/>
      <c r="CB59" s="408"/>
      <c r="CC59" s="408"/>
      <c r="CD59" s="408"/>
      <c r="CE59" s="408"/>
      <c r="CF59" s="408"/>
      <c r="CG59" s="408"/>
      <c r="CH59" s="408"/>
      <c r="CI59" s="408"/>
      <c r="CJ59" s="408"/>
      <c r="CK59" s="408"/>
      <c r="CL59" s="408"/>
      <c r="CM59" s="408"/>
      <c r="CN59" s="408"/>
    </row>
    <row r="60">
      <c r="B60" s="408"/>
      <c r="C60" s="411" t="s">
        <v>2405</v>
      </c>
      <c r="D60" s="408"/>
      <c r="E60" s="408"/>
      <c r="F60" s="408"/>
      <c r="G60" s="408"/>
      <c r="H60" s="408"/>
      <c r="I60" s="408"/>
      <c r="J60" s="408"/>
      <c r="K60" s="408"/>
      <c r="L60" s="408"/>
      <c r="M60" s="408"/>
      <c r="N60" s="408"/>
      <c r="O60" s="408"/>
      <c r="P60" s="408"/>
      <c r="Q60" s="408"/>
      <c r="R60" s="408"/>
      <c r="S60" s="408"/>
      <c r="T60" s="408"/>
      <c r="U60" s="408"/>
      <c r="V60" s="408"/>
      <c r="W60" s="408"/>
      <c r="X60" s="408"/>
      <c r="Y60" s="408"/>
      <c r="Z60" s="408"/>
      <c r="AA60" s="408"/>
      <c r="AB60" s="408"/>
      <c r="AC60" s="408"/>
      <c r="AD60" s="408"/>
      <c r="AE60" s="408"/>
      <c r="AF60" s="408"/>
      <c r="AG60" s="408"/>
      <c r="AH60" s="408"/>
      <c r="AI60" s="408"/>
      <c r="AJ60" s="408"/>
      <c r="AK60" s="408"/>
      <c r="AL60" s="408"/>
      <c r="AM60" s="408"/>
      <c r="AN60" s="408"/>
      <c r="AO60" s="408"/>
      <c r="AP60" s="408"/>
      <c r="AQ60" s="408"/>
      <c r="AR60" s="408"/>
      <c r="AS60" s="408"/>
      <c r="AT60" s="408"/>
      <c r="AU60" s="408"/>
      <c r="AV60" s="408"/>
      <c r="AW60" s="408"/>
      <c r="AX60" s="408"/>
      <c r="AY60" s="408"/>
      <c r="AZ60" s="408"/>
      <c r="BA60" s="408"/>
      <c r="BB60" s="408"/>
      <c r="BC60" s="408"/>
      <c r="BD60" s="408"/>
      <c r="BE60" s="408"/>
      <c r="BF60" s="408"/>
      <c r="BG60" s="408"/>
      <c r="BH60" s="408"/>
      <c r="BI60" s="408"/>
      <c r="BJ60" s="408"/>
      <c r="BK60" s="408"/>
      <c r="BL60" s="408"/>
      <c r="BM60" s="408"/>
      <c r="BN60" s="408"/>
      <c r="BO60" s="408"/>
      <c r="BP60" s="408"/>
      <c r="BQ60" s="408"/>
      <c r="BR60" s="408"/>
      <c r="BS60" s="408"/>
      <c r="BT60" s="408"/>
      <c r="BU60" s="408"/>
      <c r="BV60" s="408"/>
      <c r="BW60" s="408"/>
      <c r="BX60" s="408"/>
      <c r="BY60" s="408"/>
      <c r="BZ60" s="408"/>
      <c r="CA60" s="408"/>
      <c r="CB60" s="408"/>
      <c r="CC60" s="408"/>
      <c r="CD60" s="408"/>
      <c r="CE60" s="408"/>
      <c r="CF60" s="408"/>
      <c r="CG60" s="408"/>
      <c r="CH60" s="408"/>
      <c r="CI60" s="408"/>
      <c r="CJ60" s="408"/>
      <c r="CK60" s="408"/>
      <c r="CL60" s="408"/>
      <c r="CM60" s="408"/>
      <c r="CN60" s="408"/>
    </row>
    <row r="61">
      <c r="B61" s="408"/>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c r="AA61" s="408"/>
      <c r="AB61" s="408"/>
      <c r="AC61" s="408"/>
      <c r="AD61" s="408"/>
      <c r="AE61" s="408"/>
      <c r="AF61" s="408"/>
      <c r="AG61" s="408"/>
      <c r="AH61" s="408"/>
      <c r="AI61" s="408"/>
      <c r="AJ61" s="408"/>
      <c r="AK61" s="408"/>
      <c r="AL61" s="408"/>
      <c r="AM61" s="408"/>
      <c r="AN61" s="408"/>
      <c r="AO61" s="408"/>
      <c r="AP61" s="408"/>
      <c r="AQ61" s="408"/>
      <c r="AR61" s="408"/>
      <c r="AS61" s="408"/>
      <c r="AT61" s="408"/>
      <c r="AU61" s="408"/>
      <c r="AV61" s="408"/>
      <c r="AW61" s="408"/>
      <c r="AX61" s="408"/>
      <c r="AY61" s="408"/>
      <c r="AZ61" s="408"/>
      <c r="BA61" s="408"/>
      <c r="BB61" s="408"/>
      <c r="BC61" s="408"/>
      <c r="BD61" s="408"/>
      <c r="BE61" s="408"/>
      <c r="BF61" s="408"/>
      <c r="BG61" s="408"/>
      <c r="BH61" s="408"/>
      <c r="BI61" s="408"/>
      <c r="BJ61" s="408"/>
      <c r="BK61" s="408"/>
      <c r="BL61" s="408"/>
      <c r="BM61" s="408"/>
      <c r="BN61" s="408"/>
      <c r="BO61" s="408"/>
      <c r="BP61" s="408"/>
      <c r="BQ61" s="408"/>
      <c r="BR61" s="408"/>
      <c r="BS61" s="408"/>
      <c r="BT61" s="408"/>
      <c r="BU61" s="408"/>
      <c r="BV61" s="408"/>
      <c r="BW61" s="408"/>
      <c r="BX61" s="408"/>
      <c r="BY61" s="408"/>
      <c r="BZ61" s="408"/>
      <c r="CA61" s="408"/>
      <c r="CB61" s="408"/>
      <c r="CC61" s="408"/>
      <c r="CD61" s="408"/>
      <c r="CE61" s="408"/>
      <c r="CF61" s="408"/>
      <c r="CG61" s="408"/>
      <c r="CH61" s="408"/>
      <c r="CI61" s="408"/>
      <c r="CJ61" s="408"/>
      <c r="CK61" s="408"/>
      <c r="CL61" s="408"/>
      <c r="CM61" s="408"/>
      <c r="CN61" s="408"/>
    </row>
    <row r="62">
      <c r="A62" s="408"/>
      <c r="B62" s="408"/>
      <c r="C62" s="408"/>
      <c r="D62" s="408"/>
      <c r="E62" s="408"/>
      <c r="F62" s="408"/>
      <c r="G62" s="408"/>
      <c r="H62" s="408"/>
      <c r="I62" s="408"/>
      <c r="J62" s="408"/>
      <c r="K62" s="408"/>
      <c r="L62" s="408"/>
      <c r="M62" s="408"/>
      <c r="N62" s="408"/>
      <c r="O62" s="408"/>
      <c r="P62" s="408"/>
      <c r="Q62" s="408"/>
      <c r="R62" s="408"/>
      <c r="S62" s="408"/>
      <c r="T62" s="408"/>
      <c r="U62" s="408"/>
      <c r="V62" s="408"/>
      <c r="W62" s="408"/>
      <c r="X62" s="408"/>
      <c r="Y62" s="408"/>
      <c r="Z62" s="408"/>
      <c r="AA62" s="408"/>
      <c r="AB62" s="408"/>
      <c r="AC62" s="408"/>
      <c r="AD62" s="408"/>
      <c r="AE62" s="408"/>
      <c r="AF62" s="408"/>
      <c r="AG62" s="408"/>
      <c r="AH62" s="408"/>
      <c r="AI62" s="408"/>
      <c r="AJ62" s="408"/>
      <c r="AK62" s="408"/>
      <c r="AL62" s="408"/>
      <c r="AM62" s="408"/>
      <c r="AN62" s="408"/>
      <c r="AO62" s="408"/>
      <c r="AP62" s="408"/>
      <c r="AQ62" s="408"/>
      <c r="AR62" s="408"/>
      <c r="AS62" s="408"/>
      <c r="AT62" s="408"/>
      <c r="AU62" s="408"/>
      <c r="AV62" s="408"/>
      <c r="AW62" s="408"/>
      <c r="AX62" s="408"/>
      <c r="AY62" s="408"/>
      <c r="AZ62" s="408"/>
      <c r="BA62" s="408"/>
      <c r="BB62" s="408"/>
      <c r="BC62" s="408"/>
      <c r="BD62" s="408"/>
      <c r="BE62" s="408"/>
      <c r="BF62" s="408"/>
      <c r="BG62" s="408"/>
      <c r="BH62" s="408"/>
      <c r="BI62" s="408"/>
      <c r="BJ62" s="408"/>
      <c r="BK62" s="408"/>
      <c r="BL62" s="408"/>
      <c r="BM62" s="408"/>
      <c r="BN62" s="408"/>
      <c r="BO62" s="408"/>
      <c r="BP62" s="408"/>
      <c r="BQ62" s="408"/>
      <c r="BR62" s="408"/>
      <c r="BS62" s="408"/>
      <c r="BT62" s="408"/>
      <c r="BU62" s="408"/>
      <c r="BV62" s="408"/>
      <c r="BW62" s="408"/>
      <c r="BX62" s="408"/>
      <c r="BY62" s="408"/>
      <c r="BZ62" s="408"/>
      <c r="CA62" s="408"/>
      <c r="CB62" s="408"/>
      <c r="CC62" s="408"/>
      <c r="CD62" s="408"/>
      <c r="CE62" s="408"/>
      <c r="CF62" s="408"/>
      <c r="CG62" s="408"/>
      <c r="CH62" s="408"/>
      <c r="CI62" s="408"/>
      <c r="CJ62" s="408"/>
      <c r="CK62" s="408"/>
      <c r="CL62" s="408"/>
      <c r="CM62" s="408"/>
      <c r="CN62" s="408"/>
    </row>
    <row r="63">
      <c r="A63" s="408"/>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c r="AA63" s="408"/>
      <c r="AB63" s="408"/>
      <c r="AC63" s="408"/>
      <c r="AD63" s="408"/>
      <c r="AE63" s="408"/>
      <c r="AF63" s="408"/>
      <c r="AG63" s="408"/>
      <c r="AH63" s="408"/>
      <c r="AI63" s="408"/>
      <c r="AJ63" s="408"/>
      <c r="AK63" s="408"/>
      <c r="AL63" s="408"/>
      <c r="AM63" s="408"/>
      <c r="AN63" s="408"/>
      <c r="AO63" s="408"/>
      <c r="AP63" s="408"/>
      <c r="AQ63" s="408"/>
      <c r="AR63" s="408"/>
      <c r="AS63" s="408"/>
      <c r="AT63" s="408"/>
      <c r="AU63" s="408"/>
      <c r="AV63" s="408"/>
      <c r="AW63" s="408"/>
      <c r="AX63" s="408"/>
      <c r="AY63" s="408"/>
      <c r="AZ63" s="408"/>
      <c r="BA63" s="408"/>
      <c r="BB63" s="408"/>
      <c r="BC63" s="408"/>
      <c r="BD63" s="408"/>
      <c r="BE63" s="408"/>
      <c r="BF63" s="408"/>
      <c r="BG63" s="408"/>
      <c r="BH63" s="408"/>
      <c r="BI63" s="408"/>
      <c r="BJ63" s="408"/>
      <c r="BK63" s="408"/>
      <c r="BL63" s="408"/>
      <c r="BM63" s="408"/>
      <c r="BN63" s="408"/>
      <c r="BO63" s="408"/>
      <c r="BP63" s="408"/>
      <c r="BQ63" s="408"/>
      <c r="BR63" s="408"/>
      <c r="BS63" s="408"/>
      <c r="BT63" s="408"/>
      <c r="BU63" s="408"/>
      <c r="BV63" s="408"/>
      <c r="BW63" s="408"/>
      <c r="BX63" s="408"/>
      <c r="BY63" s="408"/>
      <c r="BZ63" s="408"/>
      <c r="CA63" s="408"/>
      <c r="CB63" s="408"/>
      <c r="CC63" s="408"/>
      <c r="CD63" s="408"/>
      <c r="CE63" s="408"/>
      <c r="CF63" s="408"/>
      <c r="CG63" s="408"/>
      <c r="CH63" s="408"/>
      <c r="CI63" s="408"/>
      <c r="CJ63" s="408"/>
      <c r="CK63" s="408"/>
      <c r="CL63" s="408"/>
      <c r="CM63" s="408"/>
      <c r="CN63" s="408"/>
    </row>
    <row r="64">
      <c r="A64" s="408"/>
      <c r="B64" s="408"/>
      <c r="C64" s="408"/>
      <c r="D64" s="409"/>
      <c r="E64" s="408"/>
      <c r="F64" s="408"/>
      <c r="G64" s="408"/>
      <c r="H64" s="408"/>
      <c r="I64" s="408"/>
      <c r="J64" s="408"/>
      <c r="K64" s="408"/>
      <c r="L64" s="408"/>
      <c r="M64" s="408"/>
      <c r="N64" s="408"/>
      <c r="O64" s="408"/>
      <c r="P64" s="408"/>
      <c r="Q64" s="408"/>
      <c r="R64" s="408"/>
      <c r="S64" s="408"/>
      <c r="T64" s="408"/>
      <c r="U64" s="408"/>
      <c r="V64" s="408"/>
      <c r="W64" s="408"/>
      <c r="X64" s="408"/>
      <c r="Y64" s="408"/>
      <c r="Z64" s="408"/>
      <c r="AA64" s="408"/>
      <c r="AB64" s="408"/>
      <c r="AC64" s="408"/>
      <c r="AD64" s="408"/>
      <c r="AE64" s="408"/>
      <c r="AF64" s="408"/>
      <c r="AG64" s="408"/>
      <c r="AH64" s="408"/>
      <c r="AI64" s="408"/>
      <c r="AJ64" s="408"/>
      <c r="AK64" s="408"/>
      <c r="AL64" s="408"/>
      <c r="AM64" s="408"/>
      <c r="AN64" s="408"/>
      <c r="AO64" s="408"/>
      <c r="AP64" s="408"/>
      <c r="AQ64" s="408"/>
      <c r="AR64" s="408"/>
      <c r="AS64" s="408"/>
      <c r="AT64" s="408"/>
      <c r="AU64" s="408"/>
      <c r="AV64" s="408"/>
      <c r="AW64" s="408"/>
      <c r="AX64" s="408"/>
      <c r="AY64" s="408"/>
      <c r="AZ64" s="408"/>
      <c r="BA64" s="408"/>
      <c r="BB64" s="408"/>
      <c r="BC64" s="408"/>
      <c r="BD64" s="408"/>
      <c r="BE64" s="408"/>
      <c r="BF64" s="408"/>
      <c r="BG64" s="408"/>
      <c r="BH64" s="408"/>
      <c r="BI64" s="408"/>
      <c r="BJ64" s="408"/>
      <c r="BK64" s="408"/>
      <c r="BL64" s="408"/>
      <c r="BM64" s="408"/>
      <c r="BN64" s="408"/>
      <c r="BO64" s="408"/>
      <c r="BP64" s="408"/>
      <c r="BQ64" s="408"/>
      <c r="BR64" s="408"/>
      <c r="BS64" s="408"/>
      <c r="BT64" s="408"/>
      <c r="BU64" s="408"/>
      <c r="BV64" s="408"/>
      <c r="BW64" s="408"/>
      <c r="BX64" s="408"/>
      <c r="BY64" s="408"/>
      <c r="BZ64" s="408"/>
      <c r="CA64" s="408"/>
      <c r="CB64" s="408"/>
      <c r="CC64" s="408"/>
      <c r="CD64" s="408"/>
      <c r="CE64" s="408"/>
      <c r="CF64" s="408"/>
      <c r="CG64" s="408"/>
      <c r="CH64" s="408"/>
      <c r="CI64" s="408"/>
      <c r="CJ64" s="408"/>
      <c r="CK64" s="408"/>
      <c r="CL64" s="408"/>
      <c r="CM64" s="408"/>
      <c r="CN64" s="408"/>
    </row>
    <row r="65">
      <c r="A65" s="408"/>
      <c r="B65" s="408"/>
      <c r="C65" s="411"/>
      <c r="D65" s="410"/>
      <c r="E65" s="408"/>
      <c r="F65" s="408"/>
      <c r="G65" s="408"/>
      <c r="H65" s="408"/>
      <c r="I65" s="408"/>
      <c r="J65" s="408"/>
      <c r="K65" s="408"/>
      <c r="L65" s="408"/>
      <c r="M65" s="408"/>
      <c r="N65" s="408"/>
      <c r="O65" s="408"/>
      <c r="P65" s="408"/>
      <c r="Q65" s="408"/>
      <c r="R65" s="408"/>
      <c r="S65" s="408"/>
      <c r="T65" s="408"/>
      <c r="U65" s="408"/>
      <c r="V65" s="408"/>
      <c r="W65" s="408"/>
      <c r="X65" s="408"/>
      <c r="Y65" s="408"/>
      <c r="Z65" s="408"/>
      <c r="AA65" s="408"/>
      <c r="AB65" s="408"/>
      <c r="AC65" s="408"/>
      <c r="AD65" s="408"/>
      <c r="AE65" s="408"/>
      <c r="AF65" s="408"/>
      <c r="AG65" s="408"/>
      <c r="AH65" s="408"/>
      <c r="AI65" s="408"/>
      <c r="AJ65" s="408"/>
      <c r="AK65" s="408"/>
      <c r="AL65" s="408"/>
      <c r="AM65" s="408"/>
      <c r="AN65" s="408"/>
      <c r="AO65" s="408"/>
      <c r="AP65" s="408"/>
      <c r="AQ65" s="408"/>
      <c r="AR65" s="408"/>
      <c r="AS65" s="408"/>
      <c r="AT65" s="408"/>
      <c r="AU65" s="408"/>
      <c r="AV65" s="408"/>
      <c r="AW65" s="408"/>
      <c r="AX65" s="408"/>
      <c r="AY65" s="408"/>
      <c r="AZ65" s="408"/>
      <c r="BA65" s="408"/>
      <c r="BB65" s="408"/>
      <c r="BC65" s="408"/>
      <c r="BD65" s="408"/>
      <c r="BE65" s="408"/>
      <c r="BF65" s="408"/>
      <c r="BG65" s="408"/>
      <c r="BH65" s="408"/>
      <c r="BI65" s="408"/>
      <c r="BJ65" s="408"/>
      <c r="BK65" s="408"/>
      <c r="BL65" s="408"/>
      <c r="BM65" s="408"/>
      <c r="BN65" s="408"/>
      <c r="BO65" s="408"/>
      <c r="BP65" s="408"/>
      <c r="BQ65" s="408"/>
      <c r="BR65" s="408"/>
      <c r="BS65" s="408"/>
      <c r="BT65" s="408"/>
      <c r="BU65" s="408"/>
      <c r="BV65" s="408"/>
      <c r="BW65" s="408"/>
      <c r="BX65" s="408"/>
      <c r="BY65" s="408"/>
      <c r="BZ65" s="408"/>
      <c r="CA65" s="408"/>
      <c r="CB65" s="408"/>
      <c r="CC65" s="408"/>
      <c r="CD65" s="408"/>
      <c r="CE65" s="408"/>
      <c r="CF65" s="408"/>
      <c r="CG65" s="408"/>
      <c r="CH65" s="408"/>
      <c r="CI65" s="408"/>
      <c r="CJ65" s="408"/>
      <c r="CK65" s="408"/>
      <c r="CL65" s="408"/>
      <c r="CM65" s="408"/>
      <c r="CN65" s="408"/>
    </row>
    <row r="66">
      <c r="A66" s="408"/>
      <c r="B66" s="408"/>
      <c r="C66" s="411"/>
      <c r="D66" s="410"/>
      <c r="E66" s="408"/>
      <c r="F66" s="408"/>
      <c r="G66" s="408"/>
      <c r="H66" s="408"/>
      <c r="I66" s="408"/>
      <c r="J66" s="408"/>
      <c r="K66" s="408"/>
      <c r="L66" s="408"/>
      <c r="M66" s="408"/>
      <c r="N66" s="408"/>
      <c r="O66" s="408"/>
      <c r="P66" s="408"/>
      <c r="Q66" s="408"/>
      <c r="R66" s="408"/>
      <c r="S66" s="408"/>
      <c r="T66" s="408"/>
      <c r="U66" s="408"/>
      <c r="V66" s="408"/>
      <c r="W66" s="408"/>
      <c r="X66" s="408"/>
      <c r="Y66" s="408"/>
      <c r="Z66" s="408"/>
      <c r="AA66" s="408"/>
      <c r="AB66" s="408"/>
      <c r="AC66" s="408"/>
      <c r="AD66" s="408"/>
      <c r="AE66" s="408"/>
      <c r="AF66" s="408"/>
      <c r="AG66" s="408"/>
      <c r="AH66" s="408"/>
      <c r="AI66" s="408"/>
      <c r="AJ66" s="408"/>
      <c r="AK66" s="408"/>
      <c r="AL66" s="408"/>
      <c r="AM66" s="408"/>
      <c r="AN66" s="408"/>
      <c r="AO66" s="408"/>
      <c r="AP66" s="408"/>
      <c r="AQ66" s="408"/>
      <c r="AR66" s="408"/>
      <c r="AS66" s="408"/>
      <c r="AT66" s="408"/>
      <c r="AU66" s="408"/>
      <c r="AV66" s="408"/>
      <c r="AW66" s="408"/>
      <c r="AX66" s="408"/>
      <c r="AY66" s="408"/>
      <c r="AZ66" s="408"/>
      <c r="BA66" s="408"/>
      <c r="BB66" s="408"/>
      <c r="BC66" s="408"/>
      <c r="BD66" s="408"/>
      <c r="BE66" s="408"/>
      <c r="BF66" s="408"/>
      <c r="BG66" s="408"/>
      <c r="BH66" s="408"/>
      <c r="BI66" s="408"/>
      <c r="BJ66" s="408"/>
      <c r="BK66" s="408"/>
      <c r="BL66" s="408"/>
      <c r="BM66" s="408"/>
      <c r="BN66" s="408"/>
      <c r="BO66" s="408"/>
      <c r="BP66" s="408"/>
      <c r="BQ66" s="408"/>
      <c r="BR66" s="408"/>
      <c r="BS66" s="408"/>
      <c r="BT66" s="408"/>
      <c r="BU66" s="408"/>
      <c r="BV66" s="408"/>
      <c r="BW66" s="408"/>
      <c r="BX66" s="408"/>
      <c r="BY66" s="408"/>
      <c r="BZ66" s="408"/>
      <c r="CA66" s="408"/>
      <c r="CB66" s="408"/>
      <c r="CC66" s="408"/>
      <c r="CD66" s="408"/>
      <c r="CE66" s="408"/>
      <c r="CF66" s="408"/>
      <c r="CG66" s="408"/>
      <c r="CH66" s="408"/>
      <c r="CI66" s="408"/>
      <c r="CJ66" s="408"/>
      <c r="CK66" s="408"/>
      <c r="CL66" s="408"/>
      <c r="CM66" s="408"/>
      <c r="CN66" s="408"/>
    </row>
    <row r="67">
      <c r="A67" s="408"/>
      <c r="B67" s="408"/>
      <c r="C67" s="411"/>
      <c r="D67" s="410"/>
      <c r="E67" s="408"/>
      <c r="F67" s="408"/>
      <c r="G67" s="408"/>
      <c r="H67" s="408"/>
      <c r="I67" s="408"/>
      <c r="J67" s="408"/>
      <c r="K67" s="408"/>
      <c r="L67" s="408"/>
      <c r="M67" s="408"/>
      <c r="N67" s="408"/>
      <c r="O67" s="408"/>
      <c r="P67" s="408"/>
      <c r="Q67" s="408"/>
      <c r="R67" s="408"/>
      <c r="S67" s="408"/>
      <c r="T67" s="408"/>
      <c r="U67" s="408"/>
      <c r="V67" s="408"/>
      <c r="W67" s="408"/>
      <c r="X67" s="408"/>
      <c r="Y67" s="408"/>
      <c r="Z67" s="408"/>
      <c r="AA67" s="408"/>
      <c r="AB67" s="408"/>
      <c r="AC67" s="408"/>
      <c r="AD67" s="408"/>
      <c r="AE67" s="408"/>
      <c r="AF67" s="408"/>
      <c r="AG67" s="408"/>
      <c r="AH67" s="408"/>
      <c r="AI67" s="408"/>
      <c r="AJ67" s="408"/>
      <c r="AK67" s="408"/>
      <c r="AL67" s="408"/>
      <c r="AM67" s="408"/>
      <c r="AN67" s="408"/>
      <c r="AO67" s="408"/>
      <c r="AP67" s="408"/>
      <c r="AQ67" s="408"/>
      <c r="AR67" s="408"/>
      <c r="AS67" s="408"/>
      <c r="AT67" s="408"/>
      <c r="AU67" s="408"/>
      <c r="AV67" s="408"/>
      <c r="AW67" s="408"/>
      <c r="AX67" s="408"/>
      <c r="AY67" s="408"/>
      <c r="AZ67" s="408"/>
      <c r="BA67" s="408"/>
      <c r="BB67" s="408"/>
      <c r="BC67" s="408"/>
      <c r="BD67" s="408"/>
      <c r="BE67" s="408"/>
      <c r="BF67" s="408"/>
      <c r="BG67" s="408"/>
      <c r="BH67" s="408"/>
      <c r="BI67" s="408"/>
      <c r="BJ67" s="408"/>
      <c r="BK67" s="408"/>
      <c r="BL67" s="408"/>
      <c r="BM67" s="408"/>
      <c r="BN67" s="408"/>
      <c r="BO67" s="408"/>
      <c r="BP67" s="408"/>
      <c r="BQ67" s="408"/>
      <c r="BR67" s="408"/>
      <c r="BS67" s="408"/>
      <c r="BT67" s="408"/>
      <c r="BU67" s="408"/>
      <c r="BV67" s="408"/>
      <c r="BW67" s="408"/>
      <c r="BX67" s="408"/>
      <c r="BY67" s="408"/>
      <c r="BZ67" s="408"/>
      <c r="CA67" s="408"/>
      <c r="CB67" s="408"/>
      <c r="CC67" s="408"/>
      <c r="CD67" s="408"/>
      <c r="CE67" s="408"/>
      <c r="CF67" s="408"/>
      <c r="CG67" s="408"/>
      <c r="CH67" s="408"/>
      <c r="CI67" s="408"/>
      <c r="CJ67" s="408"/>
      <c r="CK67" s="408"/>
      <c r="CL67" s="408"/>
      <c r="CM67" s="408"/>
      <c r="CN67" s="408"/>
    </row>
    <row r="68">
      <c r="A68" s="408"/>
      <c r="B68" s="408"/>
      <c r="C68" s="408"/>
      <c r="D68" s="409"/>
      <c r="E68" s="408"/>
      <c r="F68" s="408"/>
      <c r="G68" s="408"/>
      <c r="H68" s="408"/>
      <c r="I68" s="408"/>
      <c r="J68" s="408"/>
      <c r="K68" s="408"/>
      <c r="L68" s="408"/>
      <c r="M68" s="408"/>
      <c r="N68" s="408"/>
      <c r="O68" s="408"/>
      <c r="P68" s="408"/>
      <c r="Q68" s="408"/>
      <c r="R68" s="408"/>
      <c r="S68" s="408"/>
      <c r="T68" s="408"/>
      <c r="U68" s="408"/>
      <c r="V68" s="408"/>
      <c r="W68" s="408"/>
      <c r="X68" s="408"/>
      <c r="Y68" s="408"/>
      <c r="Z68" s="408"/>
      <c r="AA68" s="408"/>
      <c r="AB68" s="408"/>
      <c r="AC68" s="408"/>
      <c r="AD68" s="408"/>
      <c r="AE68" s="408"/>
      <c r="AF68" s="408"/>
      <c r="AG68" s="408"/>
      <c r="AH68" s="408"/>
      <c r="AI68" s="408"/>
      <c r="AJ68" s="408"/>
      <c r="AK68" s="408"/>
      <c r="AL68" s="408"/>
      <c r="AM68" s="408"/>
      <c r="AN68" s="408"/>
      <c r="AO68" s="408"/>
      <c r="AP68" s="408"/>
      <c r="AQ68" s="408"/>
      <c r="AR68" s="408"/>
      <c r="AS68" s="408"/>
      <c r="AT68" s="408"/>
      <c r="AU68" s="408"/>
      <c r="AV68" s="408"/>
      <c r="AW68" s="408"/>
      <c r="AX68" s="408"/>
      <c r="AY68" s="408"/>
      <c r="AZ68" s="408"/>
      <c r="BA68" s="408"/>
      <c r="BB68" s="408"/>
      <c r="BC68" s="408"/>
      <c r="BD68" s="408"/>
      <c r="BE68" s="408"/>
      <c r="BF68" s="408"/>
      <c r="BG68" s="408"/>
      <c r="BH68" s="408"/>
      <c r="BI68" s="408"/>
      <c r="BJ68" s="408"/>
      <c r="BK68" s="408"/>
      <c r="BL68" s="408"/>
      <c r="BM68" s="408"/>
      <c r="BN68" s="408"/>
      <c r="BO68" s="408"/>
      <c r="BP68" s="408"/>
      <c r="BQ68" s="408"/>
      <c r="BR68" s="408"/>
      <c r="BS68" s="408"/>
      <c r="BT68" s="408"/>
      <c r="BU68" s="408"/>
      <c r="BV68" s="408"/>
      <c r="BW68" s="408"/>
      <c r="BX68" s="408"/>
      <c r="BY68" s="408"/>
      <c r="BZ68" s="408"/>
      <c r="CA68" s="408"/>
      <c r="CB68" s="408"/>
      <c r="CC68" s="408"/>
      <c r="CD68" s="408"/>
      <c r="CE68" s="408"/>
      <c r="CF68" s="408"/>
      <c r="CG68" s="408"/>
      <c r="CH68" s="408"/>
      <c r="CI68" s="408"/>
      <c r="CJ68" s="408"/>
      <c r="CK68" s="408"/>
      <c r="CL68" s="408"/>
      <c r="CM68" s="408"/>
      <c r="CN68" s="408"/>
    </row>
    <row r="69">
      <c r="A69" s="408"/>
      <c r="B69" s="408"/>
      <c r="C69" s="408"/>
      <c r="D69" s="409"/>
      <c r="E69" s="408"/>
      <c r="F69" s="408"/>
      <c r="G69" s="408"/>
      <c r="H69" s="408"/>
      <c r="I69" s="408"/>
      <c r="J69" s="408"/>
      <c r="K69" s="408"/>
      <c r="L69" s="408"/>
      <c r="M69" s="408"/>
      <c r="N69" s="408"/>
      <c r="O69" s="408"/>
      <c r="P69" s="408"/>
      <c r="Q69" s="408"/>
      <c r="R69" s="408"/>
      <c r="S69" s="408"/>
      <c r="T69" s="408"/>
      <c r="U69" s="408"/>
      <c r="V69" s="408"/>
      <c r="W69" s="408"/>
      <c r="X69" s="408"/>
      <c r="Y69" s="408"/>
      <c r="Z69" s="408"/>
      <c r="AA69" s="408"/>
      <c r="AB69" s="408"/>
      <c r="AC69" s="408"/>
      <c r="AD69" s="408"/>
      <c r="AE69" s="408"/>
      <c r="AF69" s="408"/>
      <c r="AG69" s="408"/>
      <c r="AH69" s="408"/>
      <c r="AI69" s="408"/>
      <c r="AJ69" s="408"/>
      <c r="AK69" s="408"/>
      <c r="AL69" s="408"/>
      <c r="AM69" s="408"/>
      <c r="AN69" s="408"/>
      <c r="AO69" s="408"/>
      <c r="AP69" s="408"/>
      <c r="AQ69" s="408"/>
      <c r="AR69" s="408"/>
      <c r="AS69" s="408"/>
      <c r="AT69" s="408"/>
      <c r="AU69" s="408"/>
      <c r="AV69" s="408"/>
      <c r="AW69" s="408"/>
      <c r="AX69" s="408"/>
      <c r="AY69" s="408"/>
      <c r="AZ69" s="408"/>
      <c r="BA69" s="408"/>
      <c r="BB69" s="408"/>
      <c r="BC69" s="408"/>
      <c r="BD69" s="408"/>
      <c r="BE69" s="408"/>
      <c r="BF69" s="408"/>
      <c r="BG69" s="408"/>
      <c r="BH69" s="408"/>
      <c r="BI69" s="408"/>
      <c r="BJ69" s="408"/>
      <c r="BK69" s="408"/>
      <c r="BL69" s="408"/>
      <c r="BM69" s="408"/>
      <c r="BN69" s="408"/>
      <c r="BO69" s="408"/>
      <c r="BP69" s="408"/>
      <c r="BQ69" s="408"/>
      <c r="BR69" s="408"/>
      <c r="BS69" s="408"/>
      <c r="BT69" s="408"/>
      <c r="BU69" s="408"/>
      <c r="BV69" s="408"/>
      <c r="BW69" s="408"/>
      <c r="BX69" s="408"/>
      <c r="BY69" s="408"/>
      <c r="BZ69" s="408"/>
      <c r="CA69" s="408"/>
      <c r="CB69" s="408"/>
      <c r="CC69" s="408"/>
      <c r="CD69" s="408"/>
      <c r="CE69" s="408"/>
      <c r="CF69" s="408"/>
      <c r="CG69" s="408"/>
      <c r="CH69" s="408"/>
      <c r="CI69" s="408"/>
      <c r="CJ69" s="408"/>
      <c r="CK69" s="408"/>
      <c r="CL69" s="408"/>
      <c r="CM69" s="408"/>
      <c r="CN69" s="408"/>
    </row>
    <row r="70">
      <c r="A70" s="408"/>
      <c r="B70" s="408"/>
      <c r="C70" s="408"/>
      <c r="D70" s="409"/>
      <c r="E70" s="408"/>
      <c r="F70" s="408"/>
      <c r="G70" s="408"/>
      <c r="H70" s="408"/>
      <c r="I70" s="408"/>
      <c r="J70" s="408"/>
      <c r="K70" s="408"/>
      <c r="L70" s="408"/>
      <c r="M70" s="408"/>
      <c r="N70" s="408"/>
      <c r="O70" s="408"/>
      <c r="P70" s="408"/>
      <c r="Q70" s="408"/>
      <c r="R70" s="408"/>
      <c r="S70" s="408"/>
      <c r="T70" s="408"/>
      <c r="U70" s="408"/>
      <c r="V70" s="408"/>
      <c r="W70" s="408"/>
      <c r="X70" s="408"/>
      <c r="Y70" s="408"/>
      <c r="Z70" s="408"/>
      <c r="AA70" s="408"/>
      <c r="AB70" s="408"/>
      <c r="AC70" s="408"/>
      <c r="AD70" s="408"/>
      <c r="AE70" s="408"/>
      <c r="AF70" s="408"/>
      <c r="AG70" s="408"/>
      <c r="AH70" s="408"/>
      <c r="AI70" s="408"/>
      <c r="AJ70" s="408"/>
      <c r="AK70" s="408"/>
      <c r="AL70" s="408"/>
      <c r="AM70" s="408"/>
      <c r="AN70" s="408"/>
      <c r="AO70" s="408"/>
      <c r="AP70" s="408"/>
      <c r="AQ70" s="408"/>
      <c r="AR70" s="408"/>
      <c r="AS70" s="408"/>
      <c r="AT70" s="408"/>
      <c r="AU70" s="408"/>
      <c r="AV70" s="408"/>
      <c r="AW70" s="408"/>
      <c r="AX70" s="408"/>
      <c r="AY70" s="408"/>
      <c r="AZ70" s="408"/>
      <c r="BA70" s="408"/>
      <c r="BB70" s="408"/>
      <c r="BC70" s="408"/>
      <c r="BD70" s="408"/>
      <c r="BE70" s="408"/>
      <c r="BF70" s="408"/>
      <c r="BG70" s="408"/>
      <c r="BH70" s="408"/>
      <c r="BI70" s="408"/>
      <c r="BJ70" s="408"/>
      <c r="BK70" s="408"/>
      <c r="BL70" s="408"/>
      <c r="BM70" s="408"/>
      <c r="BN70" s="408"/>
      <c r="BO70" s="408"/>
      <c r="BP70" s="408"/>
      <c r="BQ70" s="408"/>
      <c r="BR70" s="408"/>
      <c r="BS70" s="408"/>
      <c r="BT70" s="408"/>
      <c r="BU70" s="408"/>
      <c r="BV70" s="408"/>
      <c r="BW70" s="408"/>
      <c r="BX70" s="408"/>
      <c r="BY70" s="408"/>
      <c r="BZ70" s="408"/>
      <c r="CA70" s="408"/>
      <c r="CB70" s="408"/>
      <c r="CC70" s="408"/>
      <c r="CD70" s="408"/>
      <c r="CE70" s="408"/>
      <c r="CF70" s="408"/>
      <c r="CG70" s="408"/>
      <c r="CH70" s="408"/>
      <c r="CI70" s="408"/>
      <c r="CJ70" s="408"/>
      <c r="CK70" s="408"/>
      <c r="CL70" s="408"/>
      <c r="CM70" s="408"/>
      <c r="CN70" s="408"/>
    </row>
    <row r="71">
      <c r="A71" s="408"/>
      <c r="B71" s="408"/>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c r="AA71" s="408"/>
      <c r="AB71" s="408"/>
      <c r="AC71" s="408"/>
      <c r="AD71" s="408"/>
      <c r="AE71" s="408"/>
      <c r="AF71" s="408"/>
      <c r="AG71" s="408"/>
      <c r="AH71" s="408"/>
      <c r="AI71" s="408"/>
      <c r="AJ71" s="408"/>
      <c r="AK71" s="408"/>
      <c r="AL71" s="408"/>
      <c r="AM71" s="408"/>
      <c r="AN71" s="408"/>
      <c r="AO71" s="408"/>
      <c r="AP71" s="408"/>
      <c r="AQ71" s="408"/>
      <c r="AR71" s="408"/>
      <c r="AS71" s="408"/>
      <c r="AT71" s="408"/>
      <c r="AU71" s="408"/>
      <c r="AV71" s="408"/>
      <c r="AW71" s="408"/>
      <c r="AX71" s="408"/>
      <c r="AY71" s="408"/>
      <c r="AZ71" s="408"/>
      <c r="BA71" s="408"/>
      <c r="BB71" s="408"/>
      <c r="BC71" s="408"/>
      <c r="BD71" s="408"/>
      <c r="BE71" s="408"/>
      <c r="BF71" s="408"/>
      <c r="BG71" s="408"/>
      <c r="BH71" s="408"/>
      <c r="BI71" s="408"/>
      <c r="BJ71" s="408"/>
      <c r="BK71" s="408"/>
      <c r="BL71" s="408"/>
      <c r="BM71" s="408"/>
      <c r="BN71" s="408"/>
      <c r="BO71" s="408"/>
      <c r="BP71" s="408"/>
      <c r="BQ71" s="408"/>
      <c r="BR71" s="408"/>
      <c r="BS71" s="408"/>
      <c r="BT71" s="408"/>
      <c r="BU71" s="408"/>
      <c r="BV71" s="408"/>
      <c r="BW71" s="408"/>
      <c r="BX71" s="408"/>
      <c r="BY71" s="408"/>
      <c r="BZ71" s="408"/>
      <c r="CA71" s="408"/>
      <c r="CB71" s="408"/>
      <c r="CC71" s="408"/>
      <c r="CD71" s="408"/>
      <c r="CE71" s="408"/>
      <c r="CF71" s="408"/>
      <c r="CG71" s="408"/>
      <c r="CH71" s="408"/>
      <c r="CI71" s="408"/>
      <c r="CJ71" s="408"/>
      <c r="CK71" s="408"/>
      <c r="CL71" s="408"/>
      <c r="CM71" s="408"/>
      <c r="CN71" s="408"/>
    </row>
    <row r="72">
      <c r="A72" s="408"/>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c r="AF72" s="408"/>
      <c r="AG72" s="408"/>
      <c r="AH72" s="408"/>
      <c r="AI72" s="408"/>
      <c r="AJ72" s="408"/>
      <c r="AK72" s="408"/>
      <c r="AL72" s="408"/>
      <c r="AM72" s="408"/>
      <c r="AN72" s="408"/>
      <c r="AO72" s="408"/>
      <c r="AP72" s="408"/>
      <c r="AQ72" s="408"/>
      <c r="AR72" s="408"/>
      <c r="AS72" s="408"/>
      <c r="AT72" s="408"/>
      <c r="AU72" s="408"/>
      <c r="AV72" s="408"/>
      <c r="AW72" s="408"/>
      <c r="AX72" s="408"/>
      <c r="AY72" s="408"/>
      <c r="AZ72" s="408"/>
      <c r="BA72" s="408"/>
      <c r="BB72" s="408"/>
      <c r="BC72" s="408"/>
      <c r="BD72" s="408"/>
      <c r="BE72" s="408"/>
      <c r="BF72" s="408"/>
      <c r="BG72" s="408"/>
      <c r="BH72" s="408"/>
      <c r="BI72" s="408"/>
      <c r="BJ72" s="408"/>
      <c r="BK72" s="408"/>
      <c r="BL72" s="408"/>
      <c r="BM72" s="408"/>
      <c r="BN72" s="408"/>
      <c r="BO72" s="408"/>
      <c r="BP72" s="408"/>
      <c r="BQ72" s="408"/>
      <c r="BR72" s="408"/>
      <c r="BS72" s="408"/>
      <c r="BT72" s="408"/>
      <c r="BU72" s="408"/>
      <c r="BV72" s="408"/>
      <c r="BW72" s="408"/>
      <c r="BX72" s="408"/>
      <c r="BY72" s="408"/>
      <c r="BZ72" s="408"/>
      <c r="CA72" s="408"/>
      <c r="CB72" s="408"/>
      <c r="CC72" s="408"/>
      <c r="CD72" s="408"/>
      <c r="CE72" s="408"/>
      <c r="CF72" s="408"/>
      <c r="CG72" s="408"/>
      <c r="CH72" s="408"/>
      <c r="CI72" s="408"/>
      <c r="CJ72" s="408"/>
      <c r="CK72" s="408"/>
      <c r="CL72" s="408"/>
      <c r="CM72" s="408"/>
      <c r="CN72" s="408"/>
    </row>
    <row r="73">
      <c r="A73" s="408"/>
      <c r="B73" s="408"/>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c r="AD73" s="408"/>
      <c r="AE73" s="408"/>
      <c r="AF73" s="408"/>
      <c r="AG73" s="408"/>
      <c r="AH73" s="408"/>
      <c r="AI73" s="408"/>
      <c r="AJ73" s="408"/>
      <c r="AK73" s="408"/>
      <c r="AL73" s="408"/>
      <c r="AM73" s="408"/>
      <c r="AN73" s="408"/>
      <c r="AO73" s="408"/>
      <c r="AP73" s="408"/>
      <c r="AQ73" s="408"/>
      <c r="AR73" s="408"/>
      <c r="AS73" s="408"/>
      <c r="AT73" s="408"/>
      <c r="AU73" s="408"/>
      <c r="AV73" s="408"/>
      <c r="AW73" s="408"/>
      <c r="AX73" s="408"/>
      <c r="AY73" s="408"/>
      <c r="AZ73" s="408"/>
      <c r="BA73" s="408"/>
      <c r="BB73" s="408"/>
      <c r="BC73" s="408"/>
      <c r="BD73" s="408"/>
      <c r="BE73" s="408"/>
      <c r="BF73" s="408"/>
      <c r="BG73" s="408"/>
      <c r="BH73" s="408"/>
      <c r="BI73" s="408"/>
      <c r="BJ73" s="408"/>
      <c r="BK73" s="408"/>
      <c r="BL73" s="408"/>
      <c r="BM73" s="408"/>
      <c r="BN73" s="408"/>
      <c r="BO73" s="408"/>
      <c r="BP73" s="408"/>
      <c r="BQ73" s="408"/>
      <c r="BR73" s="408"/>
      <c r="BS73" s="408"/>
      <c r="BT73" s="408"/>
      <c r="BU73" s="408"/>
      <c r="BV73" s="408"/>
      <c r="BW73" s="408"/>
      <c r="BX73" s="408"/>
      <c r="BY73" s="408"/>
      <c r="BZ73" s="408"/>
      <c r="CA73" s="408"/>
      <c r="CB73" s="408"/>
      <c r="CC73" s="408"/>
      <c r="CD73" s="408"/>
      <c r="CE73" s="408"/>
      <c r="CF73" s="408"/>
      <c r="CG73" s="408"/>
      <c r="CH73" s="408"/>
      <c r="CI73" s="408"/>
      <c r="CJ73" s="408"/>
      <c r="CK73" s="408"/>
      <c r="CL73" s="408"/>
      <c r="CM73" s="408"/>
      <c r="CN73" s="408"/>
    </row>
    <row r="74">
      <c r="A74" s="408"/>
      <c r="B74" s="408"/>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c r="AD74" s="408"/>
      <c r="AE74" s="408"/>
      <c r="AF74" s="408"/>
      <c r="AG74" s="408"/>
      <c r="AH74" s="408"/>
      <c r="AI74" s="408"/>
      <c r="AJ74" s="408"/>
      <c r="AK74" s="408"/>
      <c r="AL74" s="408"/>
      <c r="AM74" s="408"/>
      <c r="AN74" s="408"/>
      <c r="AO74" s="408"/>
      <c r="AP74" s="408"/>
      <c r="AQ74" s="408"/>
      <c r="AR74" s="408"/>
      <c r="AS74" s="408"/>
      <c r="AT74" s="408"/>
      <c r="AU74" s="408"/>
      <c r="AV74" s="408"/>
      <c r="AW74" s="408"/>
      <c r="AX74" s="408"/>
      <c r="AY74" s="408"/>
      <c r="AZ74" s="408"/>
      <c r="BA74" s="408"/>
      <c r="BB74" s="408"/>
      <c r="BC74" s="408"/>
      <c r="BD74" s="408"/>
      <c r="BE74" s="408"/>
      <c r="BF74" s="408"/>
      <c r="BG74" s="408"/>
      <c r="BH74" s="408"/>
      <c r="BI74" s="408"/>
      <c r="BJ74" s="408"/>
      <c r="BK74" s="408"/>
      <c r="BL74" s="408"/>
      <c r="BM74" s="408"/>
      <c r="BN74" s="408"/>
      <c r="BO74" s="408"/>
      <c r="BP74" s="408"/>
      <c r="BQ74" s="408"/>
      <c r="BR74" s="408"/>
      <c r="BS74" s="408"/>
      <c r="BT74" s="408"/>
      <c r="BU74" s="408"/>
      <c r="BV74" s="408"/>
      <c r="BW74" s="408"/>
      <c r="BX74" s="408"/>
      <c r="BY74" s="408"/>
      <c r="BZ74" s="408"/>
      <c r="CA74" s="408"/>
      <c r="CB74" s="408"/>
      <c r="CC74" s="408"/>
      <c r="CD74" s="408"/>
      <c r="CE74" s="408"/>
      <c r="CF74" s="408"/>
      <c r="CG74" s="408"/>
      <c r="CH74" s="408"/>
      <c r="CI74" s="408"/>
      <c r="CJ74" s="408"/>
      <c r="CK74" s="408"/>
      <c r="CL74" s="408"/>
      <c r="CM74" s="408"/>
      <c r="CN74" s="408"/>
    </row>
    <row r="75">
      <c r="A75" s="408"/>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c r="AA75" s="408"/>
      <c r="AB75" s="408"/>
      <c r="AC75" s="408"/>
      <c r="AD75" s="408"/>
      <c r="AE75" s="408"/>
      <c r="AF75" s="408"/>
      <c r="AG75" s="408"/>
      <c r="AH75" s="408"/>
      <c r="AI75" s="408"/>
      <c r="AJ75" s="408"/>
      <c r="AK75" s="408"/>
      <c r="AL75" s="408"/>
      <c r="AM75" s="408"/>
      <c r="AN75" s="408"/>
      <c r="AO75" s="408"/>
      <c r="AP75" s="408"/>
      <c r="AQ75" s="408"/>
      <c r="AR75" s="408"/>
      <c r="AS75" s="408"/>
      <c r="AT75" s="408"/>
      <c r="AU75" s="408"/>
      <c r="AV75" s="408"/>
      <c r="AW75" s="408"/>
      <c r="AX75" s="408"/>
      <c r="AY75" s="408"/>
      <c r="AZ75" s="408"/>
      <c r="BA75" s="408"/>
      <c r="BB75" s="408"/>
      <c r="BC75" s="408"/>
      <c r="BD75" s="408"/>
      <c r="BE75" s="408"/>
      <c r="BF75" s="408"/>
      <c r="BG75" s="408"/>
      <c r="BH75" s="408"/>
      <c r="BI75" s="408"/>
      <c r="BJ75" s="408"/>
      <c r="BK75" s="408"/>
      <c r="BL75" s="408"/>
      <c r="BM75" s="408"/>
      <c r="BN75" s="408"/>
      <c r="BO75" s="408"/>
      <c r="BP75" s="408"/>
      <c r="BQ75" s="408"/>
      <c r="BR75" s="408"/>
      <c r="BS75" s="408"/>
      <c r="BT75" s="408"/>
      <c r="BU75" s="408"/>
      <c r="BV75" s="408"/>
      <c r="BW75" s="408"/>
      <c r="BX75" s="408"/>
      <c r="BY75" s="408"/>
      <c r="BZ75" s="408"/>
      <c r="CA75" s="408"/>
      <c r="CB75" s="408"/>
      <c r="CC75" s="408"/>
      <c r="CD75" s="408"/>
      <c r="CE75" s="408"/>
      <c r="CF75" s="408"/>
      <c r="CG75" s="408"/>
      <c r="CH75" s="408"/>
      <c r="CI75" s="408"/>
      <c r="CJ75" s="408"/>
      <c r="CK75" s="408"/>
      <c r="CL75" s="408"/>
      <c r="CM75" s="408"/>
      <c r="CN75" s="408"/>
    </row>
    <row r="76">
      <c r="A76" s="408"/>
      <c r="B76" s="408"/>
      <c r="C76" s="408"/>
      <c r="D76" s="408"/>
      <c r="E76" s="408"/>
      <c r="F76" s="408"/>
      <c r="G76" s="408"/>
      <c r="H76" s="408"/>
      <c r="I76" s="408"/>
      <c r="J76" s="408"/>
      <c r="K76" s="408"/>
      <c r="L76" s="408"/>
      <c r="M76" s="408"/>
      <c r="N76" s="408"/>
      <c r="O76" s="408"/>
      <c r="P76" s="408"/>
      <c r="Q76" s="408"/>
      <c r="R76" s="408"/>
      <c r="S76" s="408"/>
      <c r="T76" s="408"/>
      <c r="U76" s="408"/>
      <c r="V76" s="408"/>
      <c r="W76" s="408"/>
      <c r="X76" s="408"/>
      <c r="Y76" s="408"/>
      <c r="Z76" s="408"/>
      <c r="AA76" s="408"/>
      <c r="AB76" s="408"/>
      <c r="AC76" s="408"/>
      <c r="AD76" s="408"/>
      <c r="AE76" s="408"/>
      <c r="AF76" s="408"/>
      <c r="AG76" s="408"/>
      <c r="AH76" s="408"/>
      <c r="AI76" s="408"/>
      <c r="AJ76" s="408"/>
      <c r="AK76" s="408"/>
      <c r="AL76" s="408"/>
      <c r="AM76" s="408"/>
      <c r="AN76" s="408"/>
      <c r="AO76" s="408"/>
      <c r="AP76" s="408"/>
      <c r="AQ76" s="408"/>
      <c r="AR76" s="408"/>
      <c r="AS76" s="408"/>
      <c r="AT76" s="408"/>
      <c r="AU76" s="408"/>
      <c r="AV76" s="408"/>
      <c r="AW76" s="408"/>
      <c r="AX76" s="408"/>
      <c r="AY76" s="408"/>
      <c r="AZ76" s="408"/>
      <c r="BA76" s="408"/>
      <c r="BB76" s="408"/>
      <c r="BC76" s="408"/>
      <c r="BD76" s="408"/>
      <c r="BE76" s="408"/>
      <c r="BF76" s="408"/>
      <c r="BG76" s="408"/>
      <c r="BH76" s="408"/>
      <c r="BI76" s="408"/>
      <c r="BJ76" s="408"/>
      <c r="BK76" s="408"/>
      <c r="BL76" s="408"/>
      <c r="BM76" s="408"/>
      <c r="BN76" s="408"/>
      <c r="BO76" s="408"/>
      <c r="BP76" s="408"/>
      <c r="BQ76" s="408"/>
      <c r="BR76" s="408"/>
      <c r="BS76" s="408"/>
      <c r="BT76" s="408"/>
      <c r="BU76" s="408"/>
      <c r="BV76" s="408"/>
      <c r="BW76" s="408"/>
      <c r="BX76" s="408"/>
      <c r="BY76" s="408"/>
      <c r="BZ76" s="408"/>
      <c r="CA76" s="408"/>
      <c r="CB76" s="408"/>
      <c r="CC76" s="408"/>
      <c r="CD76" s="408"/>
      <c r="CE76" s="408"/>
      <c r="CF76" s="408"/>
      <c r="CG76" s="408"/>
      <c r="CH76" s="408"/>
      <c r="CI76" s="408"/>
      <c r="CJ76" s="408"/>
      <c r="CK76" s="408"/>
      <c r="CL76" s="408"/>
      <c r="CM76" s="408"/>
      <c r="CN76" s="408"/>
    </row>
    <row r="77">
      <c r="A77" s="408"/>
      <c r="B77" s="408"/>
      <c r="C77" s="408"/>
      <c r="D77" s="408"/>
      <c r="E77" s="408"/>
      <c r="F77" s="408"/>
      <c r="G77" s="408"/>
      <c r="H77" s="408"/>
      <c r="I77" s="408"/>
      <c r="J77" s="408"/>
      <c r="K77" s="408"/>
      <c r="L77" s="408"/>
      <c r="M77" s="408"/>
      <c r="N77" s="408"/>
      <c r="O77" s="408"/>
      <c r="P77" s="408"/>
      <c r="Q77" s="408"/>
      <c r="R77" s="408"/>
      <c r="S77" s="408"/>
      <c r="T77" s="408"/>
      <c r="U77" s="408"/>
      <c r="V77" s="408"/>
      <c r="W77" s="408"/>
      <c r="X77" s="408"/>
      <c r="Y77" s="408"/>
      <c r="Z77" s="408"/>
      <c r="AA77" s="408"/>
      <c r="AB77" s="408"/>
      <c r="AC77" s="408"/>
      <c r="AD77" s="408"/>
      <c r="AE77" s="408"/>
      <c r="AF77" s="408"/>
      <c r="AG77" s="408"/>
      <c r="AH77" s="408"/>
      <c r="AI77" s="408"/>
      <c r="AJ77" s="408"/>
      <c r="AK77" s="408"/>
      <c r="AL77" s="408"/>
      <c r="AM77" s="408"/>
      <c r="AN77" s="408"/>
      <c r="AO77" s="408"/>
      <c r="AP77" s="408"/>
      <c r="AQ77" s="408"/>
      <c r="AR77" s="408"/>
      <c r="AS77" s="408"/>
      <c r="AT77" s="408"/>
      <c r="AU77" s="408"/>
      <c r="AV77" s="408"/>
      <c r="AW77" s="408"/>
      <c r="AX77" s="408"/>
      <c r="AY77" s="408"/>
      <c r="AZ77" s="408"/>
      <c r="BA77" s="408"/>
      <c r="BB77" s="408"/>
      <c r="BC77" s="408"/>
      <c r="BD77" s="408"/>
      <c r="BE77" s="408"/>
      <c r="BF77" s="408"/>
      <c r="BG77" s="408"/>
      <c r="BH77" s="408"/>
      <c r="BI77" s="408"/>
      <c r="BJ77" s="408"/>
      <c r="BK77" s="408"/>
      <c r="BL77" s="408"/>
      <c r="BM77" s="408"/>
      <c r="BN77" s="408"/>
      <c r="BO77" s="408"/>
      <c r="BP77" s="408"/>
      <c r="BQ77" s="408"/>
      <c r="BR77" s="408"/>
      <c r="BS77" s="408"/>
      <c r="BT77" s="408"/>
      <c r="BU77" s="408"/>
      <c r="BV77" s="408"/>
      <c r="BW77" s="408"/>
      <c r="BX77" s="408"/>
      <c r="BY77" s="408"/>
      <c r="BZ77" s="408"/>
      <c r="CA77" s="408"/>
      <c r="CB77" s="408"/>
      <c r="CC77" s="408"/>
      <c r="CD77" s="408"/>
      <c r="CE77" s="408"/>
      <c r="CF77" s="408"/>
      <c r="CG77" s="408"/>
      <c r="CH77" s="408"/>
      <c r="CI77" s="408"/>
      <c r="CJ77" s="408"/>
      <c r="CK77" s="408"/>
      <c r="CL77" s="408"/>
      <c r="CM77" s="408"/>
      <c r="CN77" s="408"/>
    </row>
    <row r="78">
      <c r="A78" s="408"/>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c r="AA78" s="408"/>
      <c r="AB78" s="408"/>
      <c r="AC78" s="408"/>
      <c r="AD78" s="408"/>
      <c r="AE78" s="408"/>
      <c r="AF78" s="408"/>
      <c r="AG78" s="408"/>
      <c r="AH78" s="408"/>
      <c r="AI78" s="408"/>
      <c r="AJ78" s="408"/>
      <c r="AK78" s="408"/>
      <c r="AL78" s="408"/>
      <c r="AM78" s="408"/>
      <c r="AN78" s="408"/>
      <c r="AO78" s="408"/>
      <c r="AP78" s="408"/>
      <c r="AQ78" s="408"/>
      <c r="AR78" s="408"/>
      <c r="AS78" s="408"/>
      <c r="AT78" s="408"/>
      <c r="AU78" s="408"/>
      <c r="AV78" s="408"/>
      <c r="AW78" s="408"/>
      <c r="AX78" s="408"/>
      <c r="AY78" s="408"/>
      <c r="AZ78" s="408"/>
      <c r="BA78" s="408"/>
      <c r="BB78" s="408"/>
      <c r="BC78" s="408"/>
      <c r="BD78" s="408"/>
      <c r="BE78" s="408"/>
      <c r="BF78" s="408"/>
      <c r="BG78" s="408"/>
      <c r="BH78" s="408"/>
      <c r="BI78" s="408"/>
      <c r="BJ78" s="408"/>
      <c r="BK78" s="408"/>
      <c r="BL78" s="408"/>
      <c r="BM78" s="408"/>
      <c r="BN78" s="408"/>
      <c r="BO78" s="408"/>
      <c r="BP78" s="408"/>
      <c r="BQ78" s="408"/>
      <c r="BR78" s="408"/>
      <c r="BS78" s="408"/>
      <c r="BT78" s="408"/>
      <c r="BU78" s="408"/>
      <c r="BV78" s="408"/>
      <c r="BW78" s="408"/>
      <c r="BX78" s="408"/>
      <c r="BY78" s="408"/>
      <c r="BZ78" s="408"/>
      <c r="CA78" s="408"/>
      <c r="CB78" s="408"/>
      <c r="CC78" s="408"/>
      <c r="CD78" s="408"/>
      <c r="CE78" s="408"/>
      <c r="CF78" s="408"/>
      <c r="CG78" s="408"/>
      <c r="CH78" s="408"/>
      <c r="CI78" s="408"/>
      <c r="CJ78" s="408"/>
      <c r="CK78" s="408"/>
      <c r="CL78" s="408"/>
      <c r="CM78" s="408"/>
      <c r="CN78" s="408"/>
    </row>
    <row r="79">
      <c r="A79" s="408"/>
      <c r="B79" s="408"/>
      <c r="C79" s="408"/>
      <c r="D79" s="408"/>
      <c r="E79" s="408"/>
      <c r="F79" s="408"/>
      <c r="G79" s="408"/>
      <c r="H79" s="408"/>
      <c r="I79" s="408"/>
      <c r="J79" s="408"/>
      <c r="K79" s="408"/>
      <c r="L79" s="408"/>
      <c r="M79" s="408"/>
      <c r="N79" s="408"/>
      <c r="O79" s="408"/>
      <c r="P79" s="408"/>
      <c r="Q79" s="408"/>
      <c r="R79" s="408"/>
      <c r="S79" s="408"/>
      <c r="T79" s="408"/>
      <c r="U79" s="408"/>
      <c r="V79" s="408"/>
      <c r="W79" s="408"/>
      <c r="X79" s="408"/>
      <c r="Y79" s="408"/>
      <c r="Z79" s="408"/>
      <c r="AA79" s="408"/>
      <c r="AB79" s="408"/>
      <c r="AC79" s="408"/>
      <c r="AD79" s="408"/>
      <c r="AE79" s="408"/>
      <c r="AF79" s="408"/>
      <c r="AG79" s="408"/>
      <c r="AH79" s="408"/>
      <c r="AI79" s="408"/>
      <c r="AJ79" s="408"/>
      <c r="AK79" s="408"/>
      <c r="AL79" s="408"/>
      <c r="AM79" s="408"/>
      <c r="AN79" s="408"/>
      <c r="AO79" s="408"/>
      <c r="AP79" s="408"/>
      <c r="AQ79" s="408"/>
      <c r="AR79" s="408"/>
      <c r="AS79" s="408"/>
      <c r="AT79" s="408"/>
      <c r="AU79" s="408"/>
      <c r="AV79" s="408"/>
      <c r="AW79" s="408"/>
      <c r="AX79" s="408"/>
      <c r="AY79" s="408"/>
      <c r="AZ79" s="408"/>
      <c r="BA79" s="408"/>
      <c r="BB79" s="408"/>
      <c r="BC79" s="408"/>
      <c r="BD79" s="408"/>
      <c r="BE79" s="408"/>
      <c r="BF79" s="408"/>
      <c r="BG79" s="408"/>
      <c r="BH79" s="408"/>
      <c r="BI79" s="408"/>
      <c r="BJ79" s="408"/>
      <c r="BK79" s="408"/>
      <c r="BL79" s="408"/>
      <c r="BM79" s="408"/>
      <c r="BN79" s="408"/>
      <c r="BO79" s="408"/>
      <c r="BP79" s="408"/>
      <c r="BQ79" s="408"/>
      <c r="BR79" s="408"/>
      <c r="BS79" s="408"/>
      <c r="BT79" s="408"/>
      <c r="BU79" s="408"/>
      <c r="BV79" s="408"/>
      <c r="BW79" s="408"/>
      <c r="BX79" s="408"/>
      <c r="BY79" s="408"/>
      <c r="BZ79" s="408"/>
      <c r="CA79" s="408"/>
      <c r="CB79" s="408"/>
      <c r="CC79" s="408"/>
      <c r="CD79" s="408"/>
      <c r="CE79" s="408"/>
      <c r="CF79" s="408"/>
      <c r="CG79" s="408"/>
      <c r="CH79" s="408"/>
      <c r="CI79" s="408"/>
      <c r="CJ79" s="408"/>
      <c r="CK79" s="408"/>
      <c r="CL79" s="408"/>
      <c r="CM79" s="408"/>
      <c r="CN79" s="408"/>
    </row>
    <row r="80">
      <c r="A80" s="408"/>
      <c r="B80" s="408"/>
      <c r="C80" s="408"/>
      <c r="D80" s="408"/>
      <c r="E80" s="408"/>
      <c r="F80" s="408"/>
      <c r="G80" s="408"/>
      <c r="H80" s="408"/>
      <c r="I80" s="408"/>
      <c r="J80" s="408"/>
      <c r="K80" s="408"/>
      <c r="L80" s="408"/>
      <c r="M80" s="408"/>
      <c r="N80" s="408"/>
      <c r="O80" s="408"/>
      <c r="P80" s="408"/>
      <c r="Q80" s="408"/>
      <c r="R80" s="408"/>
      <c r="S80" s="408"/>
      <c r="T80" s="408"/>
      <c r="U80" s="408"/>
      <c r="V80" s="408"/>
      <c r="W80" s="408"/>
      <c r="X80" s="408"/>
      <c r="Y80" s="408"/>
      <c r="Z80" s="408"/>
      <c r="AA80" s="408"/>
      <c r="AB80" s="408"/>
      <c r="AC80" s="408"/>
      <c r="AD80" s="408"/>
      <c r="AE80" s="408"/>
      <c r="AF80" s="408"/>
      <c r="AG80" s="408"/>
      <c r="AH80" s="408"/>
      <c r="AI80" s="408"/>
      <c r="AJ80" s="408"/>
      <c r="AK80" s="408"/>
      <c r="AL80" s="408"/>
      <c r="AM80" s="408"/>
      <c r="AN80" s="408"/>
      <c r="AO80" s="408"/>
      <c r="AP80" s="408"/>
      <c r="AQ80" s="408"/>
      <c r="AR80" s="408"/>
      <c r="AS80" s="408"/>
      <c r="AT80" s="408"/>
      <c r="AU80" s="408"/>
      <c r="AV80" s="408"/>
      <c r="AW80" s="408"/>
      <c r="AX80" s="408"/>
      <c r="AY80" s="408"/>
      <c r="AZ80" s="408"/>
      <c r="BA80" s="408"/>
      <c r="BB80" s="408"/>
      <c r="BC80" s="408"/>
      <c r="BD80" s="408"/>
      <c r="BE80" s="408"/>
      <c r="BF80" s="408"/>
      <c r="BG80" s="408"/>
      <c r="BH80" s="408"/>
      <c r="BI80" s="408"/>
      <c r="BJ80" s="408"/>
      <c r="BK80" s="408"/>
      <c r="BL80" s="408"/>
      <c r="BM80" s="408"/>
      <c r="BN80" s="408"/>
      <c r="BO80" s="408"/>
      <c r="BP80" s="408"/>
      <c r="BQ80" s="408"/>
      <c r="BR80" s="408"/>
      <c r="BS80" s="408"/>
      <c r="BT80" s="408"/>
      <c r="BU80" s="408"/>
      <c r="BV80" s="408"/>
      <c r="BW80" s="408"/>
      <c r="BX80" s="408"/>
      <c r="BY80" s="408"/>
      <c r="BZ80" s="408"/>
      <c r="CA80" s="408"/>
      <c r="CB80" s="408"/>
      <c r="CC80" s="408"/>
      <c r="CD80" s="408"/>
      <c r="CE80" s="408"/>
      <c r="CF80" s="408"/>
      <c r="CG80" s="408"/>
      <c r="CH80" s="408"/>
      <c r="CI80" s="408"/>
      <c r="CJ80" s="408"/>
      <c r="CK80" s="408"/>
      <c r="CL80" s="408"/>
      <c r="CM80" s="408"/>
      <c r="CN80" s="408"/>
    </row>
    <row r="81">
      <c r="A81" s="408"/>
      <c r="B81" s="408"/>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c r="AA81" s="408"/>
      <c r="AB81" s="408"/>
      <c r="AC81" s="408"/>
      <c r="AD81" s="408"/>
      <c r="AE81" s="408"/>
      <c r="AF81" s="408"/>
      <c r="AG81" s="408"/>
      <c r="AH81" s="408"/>
      <c r="AI81" s="408"/>
      <c r="AJ81" s="408"/>
      <c r="AK81" s="408"/>
      <c r="AL81" s="408"/>
      <c r="AM81" s="408"/>
      <c r="AN81" s="408"/>
      <c r="AO81" s="408"/>
      <c r="AP81" s="408"/>
      <c r="AQ81" s="408"/>
      <c r="AR81" s="408"/>
      <c r="AS81" s="408"/>
      <c r="AT81" s="408"/>
      <c r="AU81" s="408"/>
      <c r="AV81" s="408"/>
      <c r="AW81" s="408"/>
      <c r="AX81" s="408"/>
      <c r="AY81" s="408"/>
      <c r="AZ81" s="408"/>
      <c r="BA81" s="408"/>
      <c r="BB81" s="408"/>
      <c r="BC81" s="408"/>
      <c r="BD81" s="408"/>
      <c r="BE81" s="408"/>
      <c r="BF81" s="408"/>
      <c r="BG81" s="408"/>
      <c r="BH81" s="408"/>
      <c r="BI81" s="408"/>
      <c r="BJ81" s="408"/>
      <c r="BK81" s="408"/>
      <c r="BL81" s="408"/>
      <c r="BM81" s="408"/>
      <c r="BN81" s="408"/>
      <c r="BO81" s="408"/>
      <c r="BP81" s="408"/>
      <c r="BQ81" s="408"/>
      <c r="BR81" s="408"/>
      <c r="BS81" s="408"/>
      <c r="BT81" s="408"/>
      <c r="BU81" s="408"/>
      <c r="BV81" s="408"/>
      <c r="BW81" s="408"/>
      <c r="BX81" s="408"/>
      <c r="BY81" s="408"/>
      <c r="BZ81" s="408"/>
      <c r="CA81" s="408"/>
      <c r="CB81" s="408"/>
      <c r="CC81" s="408"/>
      <c r="CD81" s="408"/>
      <c r="CE81" s="408"/>
      <c r="CF81" s="408"/>
      <c r="CG81" s="408"/>
      <c r="CH81" s="408"/>
      <c r="CI81" s="408"/>
      <c r="CJ81" s="408"/>
      <c r="CK81" s="408"/>
      <c r="CL81" s="408"/>
      <c r="CM81" s="408"/>
      <c r="CN81" s="408"/>
    </row>
    <row r="82">
      <c r="A82" s="408"/>
      <c r="B82" s="408"/>
      <c r="C82" s="408"/>
      <c r="D82" s="408"/>
      <c r="E82" s="408"/>
      <c r="F82" s="408"/>
      <c r="G82" s="408"/>
      <c r="H82" s="408"/>
      <c r="I82" s="408"/>
      <c r="J82" s="408"/>
      <c r="K82" s="408"/>
      <c r="L82" s="408"/>
      <c r="M82" s="408"/>
      <c r="N82" s="408"/>
      <c r="O82" s="408"/>
      <c r="P82" s="408"/>
      <c r="Q82" s="408"/>
      <c r="R82" s="408"/>
      <c r="S82" s="408"/>
      <c r="T82" s="408"/>
      <c r="U82" s="408"/>
      <c r="V82" s="408"/>
      <c r="W82" s="408"/>
      <c r="X82" s="408"/>
      <c r="Y82" s="408"/>
      <c r="Z82" s="408"/>
      <c r="AA82" s="408"/>
      <c r="AB82" s="408"/>
      <c r="AC82" s="408"/>
      <c r="AD82" s="408"/>
      <c r="AE82" s="408"/>
      <c r="AF82" s="408"/>
      <c r="AG82" s="408"/>
      <c r="AH82" s="408"/>
      <c r="AI82" s="408"/>
      <c r="AJ82" s="408"/>
      <c r="AK82" s="408"/>
      <c r="AL82" s="408"/>
      <c r="AM82" s="408"/>
      <c r="AN82" s="408"/>
      <c r="AO82" s="408"/>
      <c r="AP82" s="408"/>
      <c r="AQ82" s="408"/>
      <c r="AR82" s="408"/>
      <c r="AS82" s="408"/>
      <c r="AT82" s="408"/>
      <c r="AU82" s="408"/>
      <c r="AV82" s="408"/>
      <c r="AW82" s="408"/>
      <c r="AX82" s="408"/>
      <c r="AY82" s="408"/>
      <c r="AZ82" s="408"/>
      <c r="BA82" s="408"/>
      <c r="BB82" s="408"/>
      <c r="BC82" s="408"/>
      <c r="BD82" s="408"/>
      <c r="BE82" s="408"/>
      <c r="BF82" s="408"/>
      <c r="BG82" s="408"/>
      <c r="BH82" s="408"/>
      <c r="BI82" s="408"/>
      <c r="BJ82" s="408"/>
      <c r="BK82" s="408"/>
      <c r="BL82" s="408"/>
      <c r="BM82" s="408"/>
      <c r="BN82" s="408"/>
      <c r="BO82" s="408"/>
      <c r="BP82" s="408"/>
      <c r="BQ82" s="408"/>
      <c r="BR82" s="408"/>
      <c r="BS82" s="408"/>
      <c r="BT82" s="408"/>
      <c r="BU82" s="408"/>
      <c r="BV82" s="408"/>
      <c r="BW82" s="408"/>
      <c r="BX82" s="408"/>
      <c r="BY82" s="408"/>
      <c r="BZ82" s="408"/>
      <c r="CA82" s="408"/>
      <c r="CB82" s="408"/>
      <c r="CC82" s="408"/>
      <c r="CD82" s="408"/>
      <c r="CE82" s="408"/>
      <c r="CF82" s="408"/>
      <c r="CG82" s="408"/>
      <c r="CH82" s="408"/>
      <c r="CI82" s="408"/>
      <c r="CJ82" s="408"/>
      <c r="CK82" s="408"/>
      <c r="CL82" s="408"/>
      <c r="CM82" s="408"/>
      <c r="CN82" s="408"/>
    </row>
    <row r="83">
      <c r="A83" s="408"/>
      <c r="B83" s="408"/>
      <c r="C83" s="408"/>
      <c r="D83" s="408"/>
      <c r="E83" s="408"/>
      <c r="F83" s="408"/>
      <c r="G83" s="408"/>
      <c r="H83" s="408"/>
      <c r="I83" s="408"/>
      <c r="J83" s="408"/>
      <c r="K83" s="408"/>
      <c r="L83" s="408"/>
      <c r="M83" s="408"/>
      <c r="N83" s="408"/>
      <c r="O83" s="408"/>
      <c r="P83" s="408"/>
      <c r="Q83" s="408"/>
      <c r="R83" s="408"/>
      <c r="S83" s="408"/>
      <c r="T83" s="408"/>
      <c r="U83" s="408"/>
      <c r="V83" s="408"/>
      <c r="W83" s="408"/>
      <c r="X83" s="408"/>
      <c r="Y83" s="408"/>
      <c r="Z83" s="408"/>
      <c r="AA83" s="408"/>
      <c r="AB83" s="408"/>
      <c r="AC83" s="408"/>
      <c r="AD83" s="408"/>
      <c r="AE83" s="408"/>
      <c r="AF83" s="408"/>
      <c r="AG83" s="408"/>
      <c r="AH83" s="408"/>
      <c r="AI83" s="408"/>
      <c r="AJ83" s="408"/>
      <c r="AK83" s="408"/>
      <c r="AL83" s="408"/>
      <c r="AM83" s="408"/>
      <c r="AN83" s="408"/>
      <c r="AO83" s="408"/>
      <c r="AP83" s="408"/>
      <c r="AQ83" s="408"/>
      <c r="AR83" s="408"/>
      <c r="AS83" s="408"/>
      <c r="AT83" s="408"/>
      <c r="AU83" s="408"/>
      <c r="AV83" s="408"/>
      <c r="AW83" s="408"/>
      <c r="AX83" s="408"/>
      <c r="AY83" s="408"/>
      <c r="AZ83" s="408"/>
      <c r="BA83" s="408"/>
      <c r="BB83" s="408"/>
      <c r="BC83" s="408"/>
      <c r="BD83" s="408"/>
      <c r="BE83" s="408"/>
      <c r="BF83" s="408"/>
      <c r="BG83" s="408"/>
      <c r="BH83" s="408"/>
      <c r="BI83" s="408"/>
      <c r="BJ83" s="408"/>
      <c r="BK83" s="408"/>
      <c r="BL83" s="408"/>
      <c r="BM83" s="408"/>
      <c r="BN83" s="408"/>
      <c r="BO83" s="408"/>
      <c r="BP83" s="408"/>
      <c r="BQ83" s="408"/>
      <c r="BR83" s="408"/>
      <c r="BS83" s="408"/>
      <c r="BT83" s="408"/>
      <c r="BU83" s="408"/>
      <c r="BV83" s="408"/>
      <c r="BW83" s="408"/>
      <c r="BX83" s="408"/>
      <c r="BY83" s="408"/>
      <c r="BZ83" s="408"/>
      <c r="CA83" s="408"/>
      <c r="CB83" s="408"/>
      <c r="CC83" s="408"/>
      <c r="CD83" s="408"/>
      <c r="CE83" s="408"/>
      <c r="CF83" s="408"/>
      <c r="CG83" s="408"/>
      <c r="CH83" s="408"/>
      <c r="CI83" s="408"/>
      <c r="CJ83" s="408"/>
      <c r="CK83" s="408"/>
      <c r="CL83" s="408"/>
      <c r="CM83" s="408"/>
      <c r="CN83" s="408"/>
    </row>
    <row r="84">
      <c r="A84" s="408"/>
      <c r="B84" s="408"/>
      <c r="C84" s="408"/>
      <c r="D84" s="408"/>
      <c r="E84" s="408"/>
      <c r="F84" s="408"/>
      <c r="G84" s="408"/>
      <c r="H84" s="408"/>
      <c r="I84" s="408"/>
      <c r="J84" s="408"/>
      <c r="K84" s="408"/>
      <c r="L84" s="408"/>
      <c r="M84" s="408"/>
      <c r="N84" s="408"/>
      <c r="O84" s="408"/>
      <c r="P84" s="408"/>
      <c r="Q84" s="408"/>
      <c r="R84" s="408"/>
      <c r="S84" s="408"/>
      <c r="T84" s="408"/>
      <c r="U84" s="408"/>
      <c r="V84" s="408"/>
      <c r="W84" s="408"/>
      <c r="X84" s="408"/>
      <c r="Y84" s="408"/>
      <c r="Z84" s="408"/>
      <c r="AA84" s="408"/>
      <c r="AB84" s="408"/>
      <c r="AC84" s="408"/>
      <c r="AD84" s="408"/>
      <c r="AE84" s="408"/>
      <c r="AF84" s="408"/>
      <c r="AG84" s="408"/>
      <c r="AH84" s="408"/>
      <c r="AI84" s="408"/>
      <c r="AJ84" s="408"/>
      <c r="AK84" s="408"/>
      <c r="AL84" s="408"/>
      <c r="AM84" s="408"/>
      <c r="AN84" s="408"/>
      <c r="AO84" s="408"/>
      <c r="AP84" s="408"/>
      <c r="AQ84" s="408"/>
      <c r="AR84" s="408"/>
      <c r="AS84" s="408"/>
      <c r="AT84" s="408"/>
      <c r="AU84" s="408"/>
      <c r="AV84" s="408"/>
      <c r="AW84" s="408"/>
      <c r="AX84" s="408"/>
      <c r="AY84" s="408"/>
      <c r="AZ84" s="408"/>
      <c r="BA84" s="408"/>
      <c r="BB84" s="408"/>
      <c r="BC84" s="408"/>
      <c r="BD84" s="408"/>
      <c r="BE84" s="408"/>
      <c r="BF84" s="408"/>
      <c r="BG84" s="408"/>
      <c r="BH84" s="408"/>
      <c r="BI84" s="408"/>
      <c r="BJ84" s="408"/>
      <c r="BK84" s="408"/>
      <c r="BL84" s="408"/>
      <c r="BM84" s="408"/>
      <c r="BN84" s="408"/>
      <c r="BO84" s="408"/>
      <c r="BP84" s="408"/>
      <c r="BQ84" s="408"/>
      <c r="BR84" s="408"/>
      <c r="BS84" s="408"/>
      <c r="BT84" s="408"/>
      <c r="BU84" s="408"/>
      <c r="BV84" s="408"/>
      <c r="BW84" s="408"/>
      <c r="BX84" s="408"/>
      <c r="BY84" s="408"/>
      <c r="BZ84" s="408"/>
      <c r="CA84" s="408"/>
      <c r="CB84" s="408"/>
      <c r="CC84" s="408"/>
      <c r="CD84" s="408"/>
      <c r="CE84" s="408"/>
      <c r="CF84" s="408"/>
      <c r="CG84" s="408"/>
      <c r="CH84" s="408"/>
      <c r="CI84" s="408"/>
      <c r="CJ84" s="408"/>
      <c r="CK84" s="408"/>
      <c r="CL84" s="408"/>
      <c r="CM84" s="408"/>
      <c r="CN84" s="408"/>
    </row>
    <row r="85">
      <c r="A85" s="408"/>
      <c r="B85" s="408"/>
      <c r="C85" s="408"/>
      <c r="D85" s="408"/>
      <c r="E85" s="408"/>
      <c r="F85" s="408"/>
      <c r="G85" s="408"/>
      <c r="H85" s="408"/>
      <c r="I85" s="408"/>
      <c r="J85" s="408"/>
      <c r="K85" s="408"/>
      <c r="L85" s="408"/>
      <c r="M85" s="408"/>
      <c r="N85" s="408"/>
      <c r="O85" s="408"/>
      <c r="P85" s="408"/>
      <c r="Q85" s="408"/>
      <c r="R85" s="408"/>
      <c r="S85" s="408"/>
      <c r="T85" s="408"/>
      <c r="U85" s="408"/>
      <c r="V85" s="408"/>
      <c r="W85" s="408"/>
      <c r="X85" s="408"/>
      <c r="Y85" s="408"/>
      <c r="Z85" s="408"/>
      <c r="AA85" s="408"/>
      <c r="AB85" s="408"/>
      <c r="AC85" s="408"/>
      <c r="AD85" s="408"/>
      <c r="AE85" s="408"/>
      <c r="AF85" s="408"/>
      <c r="AG85" s="408"/>
      <c r="AH85" s="408"/>
      <c r="AI85" s="408"/>
      <c r="AJ85" s="408"/>
      <c r="AK85" s="408"/>
      <c r="AL85" s="408"/>
      <c r="AM85" s="408"/>
      <c r="AN85" s="408"/>
      <c r="AO85" s="408"/>
      <c r="AP85" s="408"/>
      <c r="AQ85" s="408"/>
      <c r="AR85" s="408"/>
      <c r="AS85" s="408"/>
      <c r="AT85" s="408"/>
      <c r="AU85" s="408"/>
      <c r="AV85" s="408"/>
      <c r="AW85" s="408"/>
      <c r="AX85" s="408"/>
      <c r="AY85" s="408"/>
      <c r="AZ85" s="408"/>
      <c r="BA85" s="408"/>
      <c r="BB85" s="408"/>
      <c r="BC85" s="408"/>
      <c r="BD85" s="408"/>
      <c r="BE85" s="408"/>
      <c r="BF85" s="408"/>
      <c r="BG85" s="408"/>
      <c r="BH85" s="408"/>
      <c r="BI85" s="408"/>
      <c r="BJ85" s="408"/>
      <c r="BK85" s="408"/>
      <c r="BL85" s="408"/>
      <c r="BM85" s="408"/>
      <c r="BN85" s="408"/>
      <c r="BO85" s="408"/>
      <c r="BP85" s="408"/>
      <c r="BQ85" s="408"/>
      <c r="BR85" s="408"/>
      <c r="BS85" s="408"/>
      <c r="BT85" s="408"/>
      <c r="BU85" s="408"/>
      <c r="BV85" s="408"/>
      <c r="BW85" s="408"/>
      <c r="BX85" s="408"/>
      <c r="BY85" s="408"/>
      <c r="BZ85" s="408"/>
      <c r="CA85" s="408"/>
      <c r="CB85" s="408"/>
      <c r="CC85" s="408"/>
      <c r="CD85" s="408"/>
      <c r="CE85" s="408"/>
      <c r="CF85" s="408"/>
      <c r="CG85" s="408"/>
      <c r="CH85" s="408"/>
      <c r="CI85" s="408"/>
      <c r="CJ85" s="408"/>
      <c r="CK85" s="408"/>
      <c r="CL85" s="408"/>
      <c r="CM85" s="408"/>
      <c r="CN85" s="408"/>
    </row>
    <row r="86">
      <c r="A86" s="408"/>
      <c r="B86" s="408"/>
      <c r="C86" s="408"/>
      <c r="D86" s="408"/>
      <c r="E86" s="408"/>
      <c r="F86" s="408"/>
      <c r="G86" s="408"/>
      <c r="H86" s="408"/>
      <c r="I86" s="408"/>
      <c r="J86" s="408"/>
      <c r="K86" s="408"/>
      <c r="L86" s="408"/>
      <c r="M86" s="408"/>
      <c r="N86" s="408"/>
      <c r="O86" s="408"/>
      <c r="P86" s="408"/>
      <c r="Q86" s="408"/>
      <c r="R86" s="408"/>
      <c r="S86" s="408"/>
      <c r="T86" s="408"/>
      <c r="U86" s="408"/>
      <c r="V86" s="408"/>
      <c r="W86" s="408"/>
      <c r="X86" s="408"/>
      <c r="Y86" s="408"/>
      <c r="Z86" s="408"/>
      <c r="AA86" s="408"/>
      <c r="AB86" s="408"/>
      <c r="AC86" s="408"/>
      <c r="AD86" s="408"/>
      <c r="AE86" s="408"/>
      <c r="AF86" s="408"/>
      <c r="AG86" s="408"/>
      <c r="AH86" s="408"/>
      <c r="AI86" s="408"/>
      <c r="AJ86" s="408"/>
      <c r="AK86" s="408"/>
      <c r="AL86" s="408"/>
      <c r="AM86" s="408"/>
      <c r="AN86" s="408"/>
      <c r="AO86" s="408"/>
      <c r="AP86" s="408"/>
      <c r="AQ86" s="408"/>
      <c r="AR86" s="408"/>
      <c r="AS86" s="408"/>
      <c r="AT86" s="408"/>
      <c r="AU86" s="408"/>
      <c r="AV86" s="408"/>
      <c r="AW86" s="408"/>
      <c r="AX86" s="408"/>
      <c r="AY86" s="408"/>
      <c r="AZ86" s="408"/>
      <c r="BA86" s="408"/>
      <c r="BB86" s="408"/>
      <c r="BC86" s="408"/>
      <c r="BD86" s="408"/>
      <c r="BE86" s="408"/>
      <c r="BF86" s="408"/>
      <c r="BG86" s="408"/>
      <c r="BH86" s="408"/>
      <c r="BI86" s="408"/>
      <c r="BJ86" s="408"/>
      <c r="BK86" s="408"/>
      <c r="BL86" s="408"/>
      <c r="BM86" s="408"/>
      <c r="BN86" s="408"/>
      <c r="BO86" s="408"/>
      <c r="BP86" s="408"/>
      <c r="BQ86" s="408"/>
      <c r="BR86" s="408"/>
      <c r="BS86" s="408"/>
      <c r="BT86" s="408"/>
      <c r="BU86" s="408"/>
      <c r="BV86" s="408"/>
      <c r="BW86" s="408"/>
      <c r="BX86" s="408"/>
      <c r="BY86" s="408"/>
      <c r="BZ86" s="408"/>
      <c r="CA86" s="408"/>
      <c r="CB86" s="408"/>
      <c r="CC86" s="408"/>
      <c r="CD86" s="408"/>
      <c r="CE86" s="408"/>
      <c r="CF86" s="408"/>
      <c r="CG86" s="408"/>
      <c r="CH86" s="408"/>
      <c r="CI86" s="408"/>
      <c r="CJ86" s="408"/>
      <c r="CK86" s="408"/>
      <c r="CL86" s="408"/>
      <c r="CM86" s="408"/>
      <c r="CN86" s="408"/>
    </row>
    <row r="87">
      <c r="A87" s="408"/>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c r="AA87" s="408"/>
      <c r="AB87" s="408"/>
      <c r="AC87" s="408"/>
      <c r="AD87" s="408"/>
      <c r="AE87" s="408"/>
      <c r="AF87" s="408"/>
      <c r="AG87" s="408"/>
      <c r="AH87" s="408"/>
      <c r="AI87" s="408"/>
      <c r="AJ87" s="408"/>
      <c r="AK87" s="408"/>
      <c r="AL87" s="408"/>
      <c r="AM87" s="408"/>
      <c r="AN87" s="408"/>
      <c r="AO87" s="408"/>
      <c r="AP87" s="408"/>
      <c r="AQ87" s="408"/>
      <c r="AR87" s="408"/>
      <c r="AS87" s="408"/>
      <c r="AT87" s="408"/>
      <c r="AU87" s="408"/>
      <c r="AV87" s="408"/>
      <c r="AW87" s="408"/>
      <c r="AX87" s="408"/>
      <c r="AY87" s="408"/>
      <c r="AZ87" s="408"/>
      <c r="BA87" s="408"/>
      <c r="BB87" s="408"/>
      <c r="BC87" s="408"/>
      <c r="BD87" s="408"/>
      <c r="BE87" s="408"/>
      <c r="BF87" s="408"/>
      <c r="BG87" s="408"/>
      <c r="BH87" s="408"/>
      <c r="BI87" s="408"/>
      <c r="BJ87" s="408"/>
      <c r="BK87" s="408"/>
      <c r="BL87" s="408"/>
      <c r="BM87" s="408"/>
      <c r="BN87" s="408"/>
      <c r="BO87" s="408"/>
      <c r="BP87" s="408"/>
      <c r="BQ87" s="408"/>
      <c r="BR87" s="408"/>
      <c r="BS87" s="408"/>
      <c r="BT87" s="408"/>
      <c r="BU87" s="408"/>
      <c r="BV87" s="408"/>
      <c r="BW87" s="408"/>
      <c r="BX87" s="408"/>
      <c r="BY87" s="408"/>
      <c r="BZ87" s="408"/>
      <c r="CA87" s="408"/>
      <c r="CB87" s="408"/>
      <c r="CC87" s="408"/>
      <c r="CD87" s="408"/>
      <c r="CE87" s="408"/>
      <c r="CF87" s="408"/>
      <c r="CG87" s="408"/>
      <c r="CH87" s="408"/>
      <c r="CI87" s="408"/>
      <c r="CJ87" s="408"/>
      <c r="CK87" s="408"/>
      <c r="CL87" s="408"/>
      <c r="CM87" s="408"/>
      <c r="CN87" s="408"/>
    </row>
    <row r="88">
      <c r="A88" s="408"/>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c r="AA88" s="408"/>
      <c r="AB88" s="408"/>
      <c r="AC88" s="408"/>
      <c r="AD88" s="408"/>
      <c r="AE88" s="408"/>
      <c r="AF88" s="408"/>
      <c r="AG88" s="408"/>
      <c r="AH88" s="408"/>
      <c r="AI88" s="408"/>
      <c r="AJ88" s="408"/>
      <c r="AK88" s="408"/>
      <c r="AL88" s="408"/>
      <c r="AM88" s="408"/>
      <c r="AN88" s="408"/>
      <c r="AO88" s="408"/>
      <c r="AP88" s="408"/>
      <c r="AQ88" s="408"/>
      <c r="AR88" s="408"/>
      <c r="AS88" s="408"/>
      <c r="AT88" s="408"/>
      <c r="AU88" s="408"/>
      <c r="AV88" s="408"/>
      <c r="AW88" s="408"/>
      <c r="AX88" s="408"/>
      <c r="AY88" s="408"/>
      <c r="AZ88" s="408"/>
      <c r="BA88" s="408"/>
      <c r="BB88" s="408"/>
      <c r="BC88" s="408"/>
      <c r="BD88" s="408"/>
      <c r="BE88" s="408"/>
      <c r="BF88" s="408"/>
      <c r="BG88" s="408"/>
      <c r="BH88" s="408"/>
      <c r="BI88" s="408"/>
      <c r="BJ88" s="408"/>
      <c r="BK88" s="408"/>
      <c r="BL88" s="408"/>
      <c r="BM88" s="408"/>
      <c r="BN88" s="408"/>
      <c r="BO88" s="408"/>
      <c r="BP88" s="408"/>
      <c r="BQ88" s="408"/>
      <c r="BR88" s="408"/>
      <c r="BS88" s="408"/>
      <c r="BT88" s="408"/>
      <c r="BU88" s="408"/>
      <c r="BV88" s="408"/>
      <c r="BW88" s="408"/>
      <c r="BX88" s="408"/>
      <c r="BY88" s="408"/>
      <c r="BZ88" s="408"/>
      <c r="CA88" s="408"/>
      <c r="CB88" s="408"/>
      <c r="CC88" s="408"/>
      <c r="CD88" s="408"/>
      <c r="CE88" s="408"/>
      <c r="CF88" s="408"/>
      <c r="CG88" s="408"/>
      <c r="CH88" s="408"/>
      <c r="CI88" s="408"/>
      <c r="CJ88" s="408"/>
      <c r="CK88" s="408"/>
      <c r="CL88" s="408"/>
      <c r="CM88" s="408"/>
      <c r="CN88" s="408"/>
    </row>
    <row r="89">
      <c r="A89" s="408"/>
      <c r="B89" s="408"/>
      <c r="C89" s="408"/>
      <c r="D89" s="408"/>
      <c r="E89" s="408"/>
      <c r="F89" s="408"/>
      <c r="G89" s="408"/>
      <c r="H89" s="408"/>
      <c r="I89" s="408"/>
      <c r="J89" s="408"/>
      <c r="K89" s="408"/>
      <c r="L89" s="408"/>
      <c r="M89" s="408"/>
      <c r="N89" s="408"/>
      <c r="O89" s="408"/>
      <c r="P89" s="408"/>
      <c r="Q89" s="408"/>
      <c r="R89" s="408"/>
      <c r="S89" s="408"/>
      <c r="T89" s="408"/>
      <c r="U89" s="408"/>
      <c r="V89" s="408"/>
      <c r="W89" s="408"/>
      <c r="X89" s="408"/>
      <c r="Y89" s="408"/>
      <c r="Z89" s="408"/>
      <c r="AA89" s="408"/>
      <c r="AB89" s="408"/>
      <c r="AC89" s="408"/>
      <c r="AD89" s="408"/>
      <c r="AE89" s="408"/>
      <c r="AF89" s="408"/>
      <c r="AG89" s="408"/>
      <c r="AH89" s="408"/>
      <c r="AI89" s="408"/>
      <c r="AJ89" s="408"/>
      <c r="AK89" s="408"/>
      <c r="AL89" s="408"/>
      <c r="AM89" s="408"/>
      <c r="AN89" s="408"/>
      <c r="AO89" s="408"/>
      <c r="AP89" s="408"/>
      <c r="AQ89" s="408"/>
      <c r="AR89" s="408"/>
      <c r="AS89" s="408"/>
      <c r="AT89" s="408"/>
      <c r="AU89" s="408"/>
      <c r="AV89" s="408"/>
      <c r="AW89" s="408"/>
      <c r="AX89" s="408"/>
      <c r="AY89" s="408"/>
      <c r="AZ89" s="408"/>
      <c r="BA89" s="408"/>
      <c r="BB89" s="408"/>
      <c r="BC89" s="408"/>
      <c r="BD89" s="408"/>
      <c r="BE89" s="408"/>
      <c r="BF89" s="408"/>
      <c r="BG89" s="408"/>
      <c r="BH89" s="408"/>
      <c r="BI89" s="408"/>
      <c r="BJ89" s="408"/>
      <c r="BK89" s="408"/>
      <c r="BL89" s="408"/>
      <c r="BM89" s="408"/>
      <c r="BN89" s="408"/>
      <c r="BO89" s="408"/>
      <c r="BP89" s="408"/>
      <c r="BQ89" s="408"/>
      <c r="BR89" s="408"/>
      <c r="BS89" s="408"/>
      <c r="BT89" s="408"/>
      <c r="BU89" s="408"/>
      <c r="BV89" s="408"/>
      <c r="BW89" s="408"/>
      <c r="BX89" s="408"/>
      <c r="BY89" s="408"/>
      <c r="BZ89" s="408"/>
      <c r="CA89" s="408"/>
      <c r="CB89" s="408"/>
      <c r="CC89" s="408"/>
      <c r="CD89" s="408"/>
      <c r="CE89" s="408"/>
      <c r="CF89" s="408"/>
      <c r="CG89" s="408"/>
      <c r="CH89" s="408"/>
      <c r="CI89" s="408"/>
      <c r="CJ89" s="408"/>
      <c r="CK89" s="408"/>
      <c r="CL89" s="408"/>
      <c r="CM89" s="408"/>
      <c r="CN89" s="408"/>
    </row>
    <row r="90">
      <c r="A90" s="408"/>
      <c r="B90" s="408"/>
      <c r="C90" s="408"/>
      <c r="D90" s="408"/>
      <c r="E90" s="408"/>
      <c r="F90" s="408"/>
      <c r="G90" s="408"/>
      <c r="H90" s="408"/>
      <c r="I90" s="408"/>
      <c r="J90" s="408"/>
      <c r="K90" s="408"/>
      <c r="L90" s="408"/>
      <c r="M90" s="408"/>
      <c r="N90" s="408"/>
      <c r="O90" s="408"/>
      <c r="P90" s="408"/>
      <c r="Q90" s="408"/>
      <c r="R90" s="408"/>
      <c r="S90" s="408"/>
      <c r="T90" s="408"/>
      <c r="U90" s="408"/>
      <c r="V90" s="408"/>
      <c r="W90" s="408"/>
      <c r="X90" s="408"/>
      <c r="Y90" s="408"/>
      <c r="Z90" s="408"/>
      <c r="AA90" s="408"/>
      <c r="AB90" s="408"/>
      <c r="AC90" s="408"/>
      <c r="AD90" s="408"/>
      <c r="AE90" s="408"/>
      <c r="AF90" s="408"/>
      <c r="AG90" s="408"/>
      <c r="AH90" s="408"/>
      <c r="AI90" s="408"/>
      <c r="AJ90" s="408"/>
      <c r="AK90" s="408"/>
      <c r="AL90" s="408"/>
      <c r="AM90" s="408"/>
      <c r="AN90" s="408"/>
      <c r="AO90" s="408"/>
      <c r="AP90" s="408"/>
      <c r="AQ90" s="408"/>
      <c r="AR90" s="408"/>
      <c r="AS90" s="408"/>
      <c r="AT90" s="408"/>
      <c r="AU90" s="408"/>
      <c r="AV90" s="408"/>
      <c r="AW90" s="408"/>
      <c r="AX90" s="408"/>
      <c r="AY90" s="408"/>
      <c r="AZ90" s="408"/>
      <c r="BA90" s="408"/>
      <c r="BB90" s="408"/>
      <c r="BC90" s="408"/>
      <c r="BD90" s="408"/>
      <c r="BE90" s="408"/>
      <c r="BF90" s="408"/>
      <c r="BG90" s="408"/>
      <c r="BH90" s="408"/>
      <c r="BI90" s="408"/>
      <c r="BJ90" s="408"/>
      <c r="BK90" s="408"/>
      <c r="BL90" s="408"/>
      <c r="BM90" s="408"/>
      <c r="BN90" s="408"/>
      <c r="BO90" s="408"/>
      <c r="BP90" s="408"/>
      <c r="BQ90" s="408"/>
      <c r="BR90" s="408"/>
      <c r="BS90" s="408"/>
      <c r="BT90" s="408"/>
      <c r="BU90" s="408"/>
      <c r="BV90" s="408"/>
      <c r="BW90" s="408"/>
      <c r="BX90" s="408"/>
      <c r="BY90" s="408"/>
      <c r="BZ90" s="408"/>
      <c r="CA90" s="408"/>
      <c r="CB90" s="408"/>
      <c r="CC90" s="408"/>
      <c r="CD90" s="408"/>
      <c r="CE90" s="408"/>
      <c r="CF90" s="408"/>
      <c r="CG90" s="408"/>
      <c r="CH90" s="408"/>
      <c r="CI90" s="408"/>
      <c r="CJ90" s="408"/>
      <c r="CK90" s="408"/>
      <c r="CL90" s="408"/>
      <c r="CM90" s="408"/>
      <c r="CN90" s="408"/>
    </row>
    <row r="91">
      <c r="A91" s="408"/>
      <c r="B91" s="408"/>
      <c r="C91" s="408"/>
      <c r="D91" s="408"/>
      <c r="E91" s="408"/>
      <c r="F91" s="408"/>
      <c r="G91" s="408"/>
      <c r="H91" s="408"/>
      <c r="I91" s="408"/>
      <c r="J91" s="408"/>
      <c r="K91" s="408"/>
      <c r="L91" s="408"/>
      <c r="M91" s="408"/>
      <c r="N91" s="408"/>
      <c r="O91" s="408"/>
      <c r="P91" s="408"/>
      <c r="Q91" s="408"/>
      <c r="R91" s="408"/>
      <c r="S91" s="408"/>
      <c r="T91" s="408"/>
      <c r="U91" s="408"/>
      <c r="V91" s="408"/>
      <c r="W91" s="408"/>
      <c r="X91" s="408"/>
      <c r="Y91" s="408"/>
      <c r="Z91" s="408"/>
      <c r="AA91" s="408"/>
      <c r="AB91" s="408"/>
      <c r="AC91" s="408"/>
      <c r="AD91" s="408"/>
      <c r="AE91" s="408"/>
      <c r="AF91" s="408"/>
      <c r="AG91" s="408"/>
      <c r="AH91" s="408"/>
      <c r="AI91" s="408"/>
      <c r="AJ91" s="408"/>
      <c r="AK91" s="408"/>
      <c r="AL91" s="408"/>
      <c r="AM91" s="408"/>
      <c r="AN91" s="408"/>
      <c r="AO91" s="408"/>
      <c r="AP91" s="408"/>
      <c r="AQ91" s="408"/>
      <c r="AR91" s="408"/>
      <c r="AS91" s="408"/>
      <c r="AT91" s="408"/>
      <c r="AU91" s="408"/>
      <c r="AV91" s="408"/>
      <c r="AW91" s="408"/>
      <c r="AX91" s="408"/>
      <c r="AY91" s="408"/>
      <c r="AZ91" s="408"/>
      <c r="BA91" s="408"/>
      <c r="BB91" s="408"/>
      <c r="BC91" s="408"/>
      <c r="BD91" s="408"/>
      <c r="BE91" s="408"/>
      <c r="BF91" s="408"/>
      <c r="BG91" s="408"/>
      <c r="BH91" s="408"/>
      <c r="BI91" s="408"/>
      <c r="BJ91" s="408"/>
      <c r="BK91" s="408"/>
      <c r="BL91" s="408"/>
      <c r="BM91" s="408"/>
      <c r="BN91" s="408"/>
      <c r="BO91" s="408"/>
      <c r="BP91" s="408"/>
      <c r="BQ91" s="408"/>
      <c r="BR91" s="408"/>
      <c r="BS91" s="408"/>
      <c r="BT91" s="408"/>
      <c r="BU91" s="408"/>
      <c r="BV91" s="408"/>
      <c r="BW91" s="408"/>
      <c r="BX91" s="408"/>
      <c r="BY91" s="408"/>
      <c r="BZ91" s="408"/>
      <c r="CA91" s="408"/>
      <c r="CB91" s="408"/>
      <c r="CC91" s="408"/>
      <c r="CD91" s="408"/>
      <c r="CE91" s="408"/>
      <c r="CF91" s="408"/>
      <c r="CG91" s="408"/>
      <c r="CH91" s="408"/>
      <c r="CI91" s="408"/>
      <c r="CJ91" s="408"/>
      <c r="CK91" s="408"/>
      <c r="CL91" s="408"/>
      <c r="CM91" s="408"/>
      <c r="CN91" s="408"/>
    </row>
    <row r="92">
      <c r="A92" s="408"/>
      <c r="B92" s="408"/>
      <c r="C92" s="408"/>
      <c r="D92" s="408"/>
      <c r="E92" s="408"/>
      <c r="F92" s="408"/>
      <c r="G92" s="408"/>
      <c r="H92" s="408"/>
      <c r="I92" s="408"/>
      <c r="J92" s="408"/>
      <c r="K92" s="408"/>
      <c r="L92" s="408"/>
      <c r="M92" s="408"/>
      <c r="N92" s="408"/>
      <c r="O92" s="408"/>
      <c r="P92" s="408"/>
      <c r="Q92" s="408"/>
      <c r="R92" s="408"/>
      <c r="S92" s="408"/>
      <c r="T92" s="408"/>
      <c r="U92" s="408"/>
      <c r="V92" s="408"/>
      <c r="W92" s="408"/>
      <c r="X92" s="408"/>
      <c r="Y92" s="408"/>
      <c r="Z92" s="408"/>
      <c r="AA92" s="408"/>
      <c r="AB92" s="408"/>
      <c r="AC92" s="408"/>
      <c r="AD92" s="408"/>
      <c r="AE92" s="408"/>
      <c r="AF92" s="408"/>
      <c r="AG92" s="408"/>
      <c r="AH92" s="408"/>
      <c r="AI92" s="408"/>
      <c r="AJ92" s="408"/>
      <c r="AK92" s="408"/>
      <c r="AL92" s="408"/>
      <c r="AM92" s="408"/>
      <c r="AN92" s="408"/>
      <c r="AO92" s="408"/>
      <c r="AP92" s="408"/>
      <c r="AQ92" s="408"/>
      <c r="AR92" s="408"/>
      <c r="AS92" s="408"/>
      <c r="AT92" s="408"/>
      <c r="AU92" s="408"/>
      <c r="AV92" s="408"/>
      <c r="AW92" s="408"/>
      <c r="AX92" s="408"/>
      <c r="AY92" s="408"/>
      <c r="AZ92" s="408"/>
      <c r="BA92" s="408"/>
      <c r="BB92" s="408"/>
      <c r="BC92" s="408"/>
      <c r="BD92" s="408"/>
      <c r="BE92" s="408"/>
      <c r="BF92" s="408"/>
      <c r="BG92" s="408"/>
      <c r="BH92" s="408"/>
      <c r="BI92" s="408"/>
      <c r="BJ92" s="408"/>
      <c r="BK92" s="408"/>
      <c r="BL92" s="408"/>
      <c r="BM92" s="408"/>
      <c r="BN92" s="408"/>
      <c r="BO92" s="408"/>
      <c r="BP92" s="408"/>
      <c r="BQ92" s="408"/>
      <c r="BR92" s="408"/>
      <c r="BS92" s="408"/>
      <c r="BT92" s="408"/>
      <c r="BU92" s="408"/>
      <c r="BV92" s="408"/>
      <c r="BW92" s="408"/>
      <c r="BX92" s="408"/>
      <c r="BY92" s="408"/>
      <c r="BZ92" s="408"/>
      <c r="CA92" s="408"/>
      <c r="CB92" s="408"/>
      <c r="CC92" s="408"/>
      <c r="CD92" s="408"/>
      <c r="CE92" s="408"/>
      <c r="CF92" s="408"/>
      <c r="CG92" s="408"/>
      <c r="CH92" s="408"/>
      <c r="CI92" s="408"/>
      <c r="CJ92" s="408"/>
      <c r="CK92" s="408"/>
      <c r="CL92" s="408"/>
      <c r="CM92" s="408"/>
      <c r="CN92" s="408"/>
    </row>
    <row r="93">
      <c r="A93" s="408"/>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c r="AA93" s="408"/>
      <c r="AB93" s="408"/>
      <c r="AC93" s="408"/>
      <c r="AD93" s="408"/>
      <c r="AE93" s="408"/>
      <c r="AF93" s="408"/>
      <c r="AG93" s="408"/>
      <c r="AH93" s="408"/>
      <c r="AI93" s="408"/>
      <c r="AJ93" s="408"/>
      <c r="AK93" s="408"/>
      <c r="AL93" s="408"/>
      <c r="AM93" s="408"/>
      <c r="AN93" s="408"/>
      <c r="AO93" s="408"/>
      <c r="AP93" s="408"/>
      <c r="AQ93" s="408"/>
      <c r="AR93" s="408"/>
      <c r="AS93" s="408"/>
      <c r="AT93" s="408"/>
      <c r="AU93" s="408"/>
      <c r="AV93" s="408"/>
      <c r="AW93" s="408"/>
      <c r="AX93" s="408"/>
      <c r="AY93" s="408"/>
      <c r="AZ93" s="408"/>
      <c r="BA93" s="408"/>
      <c r="BB93" s="408"/>
      <c r="BC93" s="408"/>
      <c r="BD93" s="408"/>
      <c r="BE93" s="408"/>
      <c r="BF93" s="408"/>
      <c r="BG93" s="408"/>
      <c r="BH93" s="408"/>
      <c r="BI93" s="408"/>
      <c r="BJ93" s="408"/>
      <c r="BK93" s="408"/>
      <c r="BL93" s="408"/>
      <c r="BM93" s="408"/>
      <c r="BN93" s="408"/>
      <c r="BO93" s="408"/>
      <c r="BP93" s="408"/>
      <c r="BQ93" s="408"/>
      <c r="BR93" s="408"/>
      <c r="BS93" s="408"/>
      <c r="BT93" s="408"/>
      <c r="BU93" s="408"/>
      <c r="BV93" s="408"/>
      <c r="BW93" s="408"/>
      <c r="BX93" s="408"/>
      <c r="BY93" s="408"/>
      <c r="BZ93" s="408"/>
      <c r="CA93" s="408"/>
      <c r="CB93" s="408"/>
      <c r="CC93" s="408"/>
      <c r="CD93" s="408"/>
      <c r="CE93" s="408"/>
      <c r="CF93" s="408"/>
      <c r="CG93" s="408"/>
      <c r="CH93" s="408"/>
      <c r="CI93" s="408"/>
      <c r="CJ93" s="408"/>
      <c r="CK93" s="408"/>
      <c r="CL93" s="408"/>
      <c r="CM93" s="408"/>
      <c r="CN93" s="408"/>
    </row>
    <row r="94">
      <c r="A94" s="408"/>
      <c r="B94" s="408"/>
      <c r="C94" s="408"/>
      <c r="D94" s="408"/>
      <c r="E94" s="408"/>
      <c r="F94" s="408"/>
      <c r="G94" s="408"/>
      <c r="H94" s="408"/>
      <c r="I94" s="408"/>
      <c r="J94" s="408"/>
      <c r="K94" s="408"/>
      <c r="L94" s="408"/>
      <c r="M94" s="408"/>
      <c r="N94" s="408"/>
      <c r="O94" s="408"/>
      <c r="P94" s="408"/>
      <c r="Q94" s="408"/>
      <c r="R94" s="408"/>
      <c r="S94" s="408"/>
      <c r="T94" s="408"/>
      <c r="U94" s="408"/>
      <c r="V94" s="408"/>
      <c r="W94" s="408"/>
      <c r="X94" s="408"/>
      <c r="Y94" s="408"/>
      <c r="Z94" s="408"/>
      <c r="AA94" s="408"/>
      <c r="AB94" s="408"/>
      <c r="AC94" s="408"/>
      <c r="AD94" s="408"/>
      <c r="AE94" s="408"/>
      <c r="AF94" s="408"/>
      <c r="AG94" s="408"/>
      <c r="AH94" s="408"/>
      <c r="AI94" s="408"/>
      <c r="AJ94" s="408"/>
      <c r="AK94" s="408"/>
      <c r="AL94" s="408"/>
      <c r="AM94" s="408"/>
      <c r="AN94" s="408"/>
      <c r="AO94" s="408"/>
      <c r="AP94" s="408"/>
      <c r="AQ94" s="408"/>
      <c r="AR94" s="408"/>
      <c r="AS94" s="408"/>
      <c r="AT94" s="408"/>
      <c r="AU94" s="408"/>
      <c r="AV94" s="408"/>
      <c r="AW94" s="408"/>
      <c r="AX94" s="408"/>
      <c r="AY94" s="408"/>
      <c r="AZ94" s="408"/>
      <c r="BA94" s="408"/>
      <c r="BB94" s="408"/>
      <c r="BC94" s="408"/>
      <c r="BD94" s="408"/>
      <c r="BE94" s="408"/>
      <c r="BF94" s="408"/>
      <c r="BG94" s="408"/>
      <c r="BH94" s="408"/>
      <c r="BI94" s="408"/>
      <c r="BJ94" s="408"/>
      <c r="BK94" s="408"/>
      <c r="BL94" s="408"/>
      <c r="BM94" s="408"/>
      <c r="BN94" s="408"/>
      <c r="BO94" s="408"/>
      <c r="BP94" s="408"/>
      <c r="BQ94" s="408"/>
      <c r="BR94" s="408"/>
      <c r="BS94" s="408"/>
      <c r="BT94" s="408"/>
      <c r="BU94" s="408"/>
      <c r="BV94" s="408"/>
      <c r="BW94" s="408"/>
      <c r="BX94" s="408"/>
      <c r="BY94" s="408"/>
      <c r="BZ94" s="408"/>
      <c r="CA94" s="408"/>
      <c r="CB94" s="408"/>
      <c r="CC94" s="408"/>
      <c r="CD94" s="408"/>
      <c r="CE94" s="408"/>
      <c r="CF94" s="408"/>
      <c r="CG94" s="408"/>
      <c r="CH94" s="408"/>
      <c r="CI94" s="408"/>
      <c r="CJ94" s="408"/>
      <c r="CK94" s="408"/>
      <c r="CL94" s="408"/>
      <c r="CM94" s="408"/>
      <c r="CN94" s="408"/>
    </row>
    <row r="95">
      <c r="A95" s="408"/>
      <c r="B95" s="408"/>
      <c r="C95" s="408"/>
      <c r="D95" s="408"/>
      <c r="E95" s="408"/>
      <c r="F95" s="408"/>
      <c r="G95" s="408"/>
      <c r="H95" s="408"/>
      <c r="I95" s="408"/>
      <c r="J95" s="408"/>
      <c r="K95" s="408"/>
      <c r="L95" s="408"/>
      <c r="M95" s="408"/>
      <c r="N95" s="408"/>
      <c r="O95" s="408"/>
      <c r="P95" s="408"/>
      <c r="Q95" s="408"/>
      <c r="R95" s="408"/>
      <c r="S95" s="408"/>
      <c r="T95" s="408"/>
      <c r="U95" s="408"/>
      <c r="V95" s="408"/>
      <c r="W95" s="408"/>
      <c r="X95" s="408"/>
      <c r="Y95" s="408"/>
      <c r="Z95" s="408"/>
      <c r="AA95" s="408"/>
      <c r="AB95" s="408"/>
      <c r="AC95" s="408"/>
      <c r="AD95" s="408"/>
      <c r="AE95" s="408"/>
      <c r="AF95" s="408"/>
      <c r="AG95" s="408"/>
      <c r="AH95" s="408"/>
      <c r="AI95" s="408"/>
      <c r="AJ95" s="408"/>
      <c r="AK95" s="408"/>
      <c r="AL95" s="408"/>
      <c r="AM95" s="408"/>
      <c r="AN95" s="408"/>
      <c r="AO95" s="408"/>
      <c r="AP95" s="408"/>
      <c r="AQ95" s="408"/>
      <c r="AR95" s="408"/>
      <c r="AS95" s="408"/>
      <c r="AT95" s="408"/>
      <c r="AU95" s="408"/>
      <c r="AV95" s="408"/>
      <c r="AW95" s="408"/>
      <c r="AX95" s="408"/>
      <c r="AY95" s="408"/>
      <c r="AZ95" s="408"/>
      <c r="BA95" s="408"/>
      <c r="BB95" s="408"/>
      <c r="BC95" s="408"/>
      <c r="BD95" s="408"/>
      <c r="BE95" s="408"/>
      <c r="BF95" s="408"/>
      <c r="BG95" s="408"/>
      <c r="BH95" s="408"/>
      <c r="BI95" s="408"/>
      <c r="BJ95" s="408"/>
      <c r="BK95" s="408"/>
      <c r="BL95" s="408"/>
      <c r="BM95" s="408"/>
      <c r="BN95" s="408"/>
      <c r="BO95" s="408"/>
      <c r="BP95" s="408"/>
      <c r="BQ95" s="408"/>
      <c r="BR95" s="408"/>
      <c r="BS95" s="408"/>
      <c r="BT95" s="408"/>
      <c r="BU95" s="408"/>
      <c r="BV95" s="408"/>
      <c r="BW95" s="408"/>
      <c r="BX95" s="408"/>
      <c r="BY95" s="408"/>
      <c r="BZ95" s="408"/>
      <c r="CA95" s="408"/>
      <c r="CB95" s="408"/>
      <c r="CC95" s="408"/>
      <c r="CD95" s="408"/>
      <c r="CE95" s="408"/>
      <c r="CF95" s="408"/>
      <c r="CG95" s="408"/>
      <c r="CH95" s="408"/>
      <c r="CI95" s="408"/>
      <c r="CJ95" s="408"/>
      <c r="CK95" s="408"/>
      <c r="CL95" s="408"/>
      <c r="CM95" s="408"/>
      <c r="CN95" s="408"/>
    </row>
    <row r="96">
      <c r="A96" s="408"/>
      <c r="B96" s="408"/>
      <c r="C96" s="408"/>
      <c r="D96" s="408"/>
      <c r="E96" s="408"/>
      <c r="F96" s="408"/>
      <c r="G96" s="408"/>
      <c r="H96" s="408"/>
      <c r="I96" s="408"/>
      <c r="J96" s="408"/>
      <c r="K96" s="408"/>
      <c r="L96" s="408"/>
      <c r="M96" s="408"/>
      <c r="N96" s="408"/>
      <c r="O96" s="408"/>
      <c r="P96" s="408"/>
      <c r="Q96" s="408"/>
      <c r="R96" s="408"/>
      <c r="S96" s="408"/>
      <c r="T96" s="408"/>
      <c r="U96" s="408"/>
      <c r="V96" s="408"/>
      <c r="W96" s="408"/>
      <c r="X96" s="408"/>
      <c r="Y96" s="408"/>
      <c r="Z96" s="408"/>
      <c r="AA96" s="408"/>
      <c r="AB96" s="408"/>
      <c r="AC96" s="408"/>
      <c r="AD96" s="408"/>
      <c r="AE96" s="408"/>
      <c r="AF96" s="408"/>
      <c r="AG96" s="408"/>
      <c r="AH96" s="408"/>
      <c r="AI96" s="408"/>
      <c r="AJ96" s="408"/>
      <c r="AK96" s="408"/>
      <c r="AL96" s="408"/>
      <c r="AM96" s="408"/>
      <c r="AN96" s="408"/>
      <c r="AO96" s="408"/>
      <c r="AP96" s="408"/>
      <c r="AQ96" s="408"/>
      <c r="AR96" s="408"/>
      <c r="AS96" s="408"/>
      <c r="AT96" s="408"/>
      <c r="AU96" s="408"/>
      <c r="AV96" s="408"/>
      <c r="AW96" s="408"/>
      <c r="AX96" s="408"/>
      <c r="AY96" s="408"/>
      <c r="AZ96" s="408"/>
      <c r="BA96" s="408"/>
      <c r="BB96" s="408"/>
      <c r="BC96" s="408"/>
      <c r="BD96" s="408"/>
      <c r="BE96" s="408"/>
      <c r="BF96" s="408"/>
      <c r="BG96" s="408"/>
      <c r="BH96" s="408"/>
      <c r="BI96" s="408"/>
      <c r="BJ96" s="408"/>
      <c r="BK96" s="408"/>
      <c r="BL96" s="408"/>
      <c r="BM96" s="408"/>
      <c r="BN96" s="408"/>
      <c r="BO96" s="408"/>
      <c r="BP96" s="408"/>
      <c r="BQ96" s="408"/>
      <c r="BR96" s="408"/>
      <c r="BS96" s="408"/>
      <c r="BT96" s="408"/>
      <c r="BU96" s="408"/>
      <c r="BV96" s="408"/>
      <c r="BW96" s="408"/>
      <c r="BX96" s="408"/>
      <c r="BY96" s="408"/>
      <c r="BZ96" s="408"/>
      <c r="CA96" s="408"/>
      <c r="CB96" s="408"/>
      <c r="CC96" s="408"/>
      <c r="CD96" s="408"/>
      <c r="CE96" s="408"/>
      <c r="CF96" s="408"/>
      <c r="CG96" s="408"/>
      <c r="CH96" s="408"/>
      <c r="CI96" s="408"/>
      <c r="CJ96" s="408"/>
      <c r="CK96" s="408"/>
      <c r="CL96" s="408"/>
      <c r="CM96" s="408"/>
      <c r="CN96" s="408"/>
    </row>
    <row r="97">
      <c r="A97" s="408"/>
      <c r="B97" s="408"/>
      <c r="C97" s="408"/>
      <c r="D97" s="408"/>
      <c r="E97" s="408"/>
      <c r="F97" s="408"/>
      <c r="G97" s="408"/>
      <c r="H97" s="408"/>
      <c r="I97" s="408"/>
      <c r="J97" s="408"/>
      <c r="K97" s="408"/>
      <c r="L97" s="408"/>
      <c r="M97" s="408"/>
      <c r="N97" s="408"/>
      <c r="O97" s="408"/>
      <c r="P97" s="408"/>
      <c r="Q97" s="408"/>
      <c r="R97" s="408"/>
      <c r="S97" s="408"/>
      <c r="T97" s="408"/>
      <c r="U97" s="408"/>
      <c r="V97" s="408"/>
      <c r="W97" s="408"/>
      <c r="X97" s="408"/>
      <c r="Y97" s="408"/>
      <c r="Z97" s="408"/>
      <c r="AA97" s="408"/>
      <c r="AB97" s="408"/>
      <c r="AC97" s="408"/>
      <c r="AD97" s="408"/>
      <c r="AE97" s="408"/>
      <c r="AF97" s="408"/>
      <c r="AG97" s="408"/>
      <c r="AH97" s="408"/>
      <c r="AI97" s="408"/>
      <c r="AJ97" s="408"/>
      <c r="AK97" s="408"/>
      <c r="AL97" s="408"/>
      <c r="AM97" s="408"/>
      <c r="AN97" s="408"/>
      <c r="AO97" s="408"/>
      <c r="AP97" s="408"/>
      <c r="AQ97" s="408"/>
      <c r="AR97" s="408"/>
      <c r="AS97" s="408"/>
      <c r="AT97" s="408"/>
      <c r="AU97" s="408"/>
      <c r="AV97" s="408"/>
      <c r="AW97" s="408"/>
      <c r="AX97" s="408"/>
      <c r="AY97" s="408"/>
      <c r="AZ97" s="408"/>
      <c r="BA97" s="408"/>
      <c r="BB97" s="408"/>
      <c r="BC97" s="408"/>
      <c r="BD97" s="408"/>
      <c r="BE97" s="408"/>
      <c r="BF97" s="408"/>
      <c r="BG97" s="408"/>
      <c r="BH97" s="408"/>
      <c r="BI97" s="408"/>
      <c r="BJ97" s="408"/>
      <c r="BK97" s="408"/>
      <c r="BL97" s="408"/>
      <c r="BM97" s="408"/>
      <c r="BN97" s="408"/>
      <c r="BO97" s="408"/>
      <c r="BP97" s="408"/>
      <c r="BQ97" s="408"/>
      <c r="BR97" s="408"/>
      <c r="BS97" s="408"/>
      <c r="BT97" s="408"/>
      <c r="BU97" s="408"/>
      <c r="BV97" s="408"/>
      <c r="BW97" s="408"/>
      <c r="BX97" s="408"/>
      <c r="BY97" s="408"/>
      <c r="BZ97" s="408"/>
      <c r="CA97" s="408"/>
      <c r="CB97" s="408"/>
      <c r="CC97" s="408"/>
      <c r="CD97" s="408"/>
      <c r="CE97" s="408"/>
      <c r="CF97" s="408"/>
      <c r="CG97" s="408"/>
      <c r="CH97" s="408"/>
      <c r="CI97" s="408"/>
      <c r="CJ97" s="408"/>
      <c r="CK97" s="408"/>
      <c r="CL97" s="408"/>
      <c r="CM97" s="408"/>
      <c r="CN97" s="408"/>
    </row>
    <row r="98">
      <c r="A98" s="408"/>
      <c r="B98" s="408"/>
      <c r="C98" s="408"/>
      <c r="D98" s="408"/>
      <c r="E98" s="408"/>
      <c r="F98" s="408"/>
      <c r="G98" s="408"/>
      <c r="H98" s="408"/>
      <c r="I98" s="408"/>
      <c r="J98" s="408"/>
      <c r="K98" s="408"/>
      <c r="L98" s="408"/>
      <c r="M98" s="408"/>
      <c r="N98" s="408"/>
      <c r="O98" s="408"/>
      <c r="P98" s="408"/>
      <c r="Q98" s="408"/>
      <c r="R98" s="408"/>
      <c r="S98" s="408"/>
      <c r="T98" s="408"/>
      <c r="U98" s="408"/>
      <c r="V98" s="408"/>
      <c r="W98" s="408"/>
      <c r="X98" s="408"/>
      <c r="Y98" s="408"/>
      <c r="Z98" s="408"/>
      <c r="AA98" s="408"/>
      <c r="AB98" s="408"/>
      <c r="AC98" s="408"/>
      <c r="AD98" s="408"/>
      <c r="AE98" s="408"/>
      <c r="AF98" s="408"/>
      <c r="AG98" s="408"/>
      <c r="AH98" s="408"/>
      <c r="AI98" s="408"/>
      <c r="AJ98" s="408"/>
      <c r="AK98" s="408"/>
      <c r="AL98" s="408"/>
      <c r="AM98" s="408"/>
      <c r="AN98" s="408"/>
      <c r="AO98" s="408"/>
      <c r="AP98" s="408"/>
      <c r="AQ98" s="408"/>
      <c r="AR98" s="408"/>
      <c r="AS98" s="408"/>
      <c r="AT98" s="408"/>
      <c r="AU98" s="408"/>
      <c r="AV98" s="408"/>
      <c r="AW98" s="408"/>
      <c r="AX98" s="408"/>
      <c r="AY98" s="408"/>
      <c r="AZ98" s="408"/>
      <c r="BA98" s="408"/>
      <c r="BB98" s="408"/>
      <c r="BC98" s="408"/>
      <c r="BD98" s="408"/>
      <c r="BE98" s="408"/>
      <c r="BF98" s="408"/>
      <c r="BG98" s="408"/>
      <c r="BH98" s="408"/>
      <c r="BI98" s="408"/>
      <c r="BJ98" s="408"/>
      <c r="BK98" s="408"/>
      <c r="BL98" s="408"/>
      <c r="BM98" s="408"/>
      <c r="BN98" s="408"/>
      <c r="BO98" s="408"/>
      <c r="BP98" s="408"/>
      <c r="BQ98" s="408"/>
      <c r="BR98" s="408"/>
      <c r="BS98" s="408"/>
      <c r="BT98" s="408"/>
      <c r="BU98" s="408"/>
      <c r="BV98" s="408"/>
      <c r="BW98" s="408"/>
      <c r="BX98" s="408"/>
      <c r="BY98" s="408"/>
      <c r="BZ98" s="408"/>
      <c r="CA98" s="408"/>
      <c r="CB98" s="408"/>
      <c r="CC98" s="408"/>
      <c r="CD98" s="408"/>
      <c r="CE98" s="408"/>
      <c r="CF98" s="408"/>
      <c r="CG98" s="408"/>
      <c r="CH98" s="408"/>
      <c r="CI98" s="408"/>
      <c r="CJ98" s="408"/>
      <c r="CK98" s="408"/>
      <c r="CL98" s="408"/>
      <c r="CM98" s="408"/>
      <c r="CN98" s="408"/>
    </row>
    <row r="99">
      <c r="A99" s="408"/>
      <c r="B99" s="408"/>
      <c r="C99" s="408"/>
      <c r="D99" s="408"/>
      <c r="E99" s="408"/>
      <c r="F99" s="408"/>
      <c r="G99" s="408"/>
      <c r="H99" s="408"/>
      <c r="I99" s="408"/>
      <c r="J99" s="408"/>
      <c r="K99" s="408"/>
      <c r="L99" s="408"/>
      <c r="M99" s="408"/>
      <c r="N99" s="408"/>
      <c r="O99" s="408"/>
      <c r="P99" s="408"/>
      <c r="Q99" s="408"/>
      <c r="R99" s="408"/>
      <c r="S99" s="408"/>
      <c r="T99" s="408"/>
      <c r="U99" s="408"/>
      <c r="V99" s="408"/>
      <c r="W99" s="408"/>
      <c r="X99" s="408"/>
      <c r="Y99" s="408"/>
      <c r="Z99" s="408"/>
      <c r="AA99" s="408"/>
      <c r="AB99" s="408"/>
      <c r="AC99" s="408"/>
      <c r="AD99" s="408"/>
      <c r="AE99" s="408"/>
      <c r="AF99" s="408"/>
      <c r="AG99" s="408"/>
      <c r="AH99" s="408"/>
      <c r="AI99" s="408"/>
      <c r="AJ99" s="408"/>
      <c r="AK99" s="408"/>
      <c r="AL99" s="408"/>
      <c r="AM99" s="408"/>
      <c r="AN99" s="408"/>
      <c r="AO99" s="408"/>
      <c r="AP99" s="408"/>
      <c r="AQ99" s="408"/>
      <c r="AR99" s="408"/>
      <c r="AS99" s="408"/>
      <c r="AT99" s="408"/>
      <c r="AU99" s="408"/>
      <c r="AV99" s="408"/>
      <c r="AW99" s="408"/>
      <c r="AX99" s="408"/>
      <c r="AY99" s="408"/>
      <c r="AZ99" s="408"/>
      <c r="BA99" s="408"/>
      <c r="BB99" s="408"/>
      <c r="BC99" s="408"/>
      <c r="BD99" s="408"/>
      <c r="BE99" s="408"/>
      <c r="BF99" s="408"/>
      <c r="BG99" s="408"/>
      <c r="BH99" s="408"/>
      <c r="BI99" s="408"/>
      <c r="BJ99" s="408"/>
      <c r="BK99" s="408"/>
      <c r="BL99" s="408"/>
      <c r="BM99" s="408"/>
      <c r="BN99" s="408"/>
      <c r="BO99" s="408"/>
      <c r="BP99" s="408"/>
      <c r="BQ99" s="408"/>
      <c r="BR99" s="408"/>
      <c r="BS99" s="408"/>
      <c r="BT99" s="408"/>
      <c r="BU99" s="408"/>
      <c r="BV99" s="408"/>
      <c r="BW99" s="408"/>
      <c r="BX99" s="408"/>
      <c r="BY99" s="408"/>
      <c r="BZ99" s="408"/>
      <c r="CA99" s="408"/>
      <c r="CB99" s="408"/>
      <c r="CC99" s="408"/>
      <c r="CD99" s="408"/>
      <c r="CE99" s="408"/>
      <c r="CF99" s="408"/>
      <c r="CG99" s="408"/>
      <c r="CH99" s="408"/>
      <c r="CI99" s="408"/>
      <c r="CJ99" s="408"/>
      <c r="CK99" s="408"/>
      <c r="CL99" s="408"/>
      <c r="CM99" s="408"/>
      <c r="CN99" s="408"/>
    </row>
    <row r="100">
      <c r="A100" s="408"/>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8"/>
      <c r="BN100" s="408"/>
      <c r="BO100" s="408"/>
      <c r="BP100" s="408"/>
      <c r="BQ100" s="408"/>
      <c r="BR100" s="408"/>
      <c r="BS100" s="408"/>
      <c r="BT100" s="408"/>
      <c r="BU100" s="408"/>
      <c r="BV100" s="408"/>
      <c r="BW100" s="408"/>
      <c r="BX100" s="408"/>
      <c r="BY100" s="408"/>
      <c r="BZ100" s="408"/>
      <c r="CA100" s="408"/>
      <c r="CB100" s="408"/>
      <c r="CC100" s="408"/>
      <c r="CD100" s="408"/>
      <c r="CE100" s="408"/>
      <c r="CF100" s="408"/>
      <c r="CG100" s="408"/>
      <c r="CH100" s="408"/>
      <c r="CI100" s="408"/>
      <c r="CJ100" s="408"/>
      <c r="CK100" s="408"/>
      <c r="CL100" s="408"/>
      <c r="CM100" s="408"/>
      <c r="CN100" s="408"/>
    </row>
    <row r="101">
      <c r="A101" s="408"/>
      <c r="B101" s="408"/>
      <c r="C101" s="408"/>
      <c r="D101" s="408"/>
      <c r="E101" s="408"/>
      <c r="F101" s="408"/>
      <c r="G101" s="408"/>
      <c r="H101" s="408"/>
      <c r="I101" s="408"/>
      <c r="J101" s="408"/>
      <c r="K101" s="408"/>
      <c r="L101" s="408"/>
      <c r="M101" s="408"/>
      <c r="N101" s="408"/>
      <c r="O101" s="408"/>
      <c r="P101" s="408"/>
      <c r="Q101" s="408"/>
      <c r="R101" s="408"/>
      <c r="S101" s="408"/>
      <c r="T101" s="408"/>
      <c r="U101" s="408"/>
      <c r="V101" s="408"/>
      <c r="W101" s="408"/>
      <c r="X101" s="408"/>
      <c r="Y101" s="408"/>
      <c r="Z101" s="408"/>
      <c r="AA101" s="408"/>
      <c r="AB101" s="408"/>
      <c r="AC101" s="408"/>
      <c r="AD101" s="408"/>
      <c r="AE101" s="408"/>
      <c r="AF101" s="408"/>
      <c r="AG101" s="408"/>
      <c r="AH101" s="408"/>
      <c r="AI101" s="408"/>
      <c r="AJ101" s="408"/>
      <c r="AK101" s="408"/>
      <c r="AL101" s="408"/>
      <c r="AM101" s="408"/>
      <c r="AN101" s="408"/>
      <c r="AO101" s="408"/>
      <c r="AP101" s="408"/>
      <c r="AQ101" s="408"/>
      <c r="AR101" s="408"/>
      <c r="AS101" s="408"/>
      <c r="AT101" s="408"/>
      <c r="AU101" s="408"/>
      <c r="AV101" s="408"/>
      <c r="AW101" s="408"/>
      <c r="AX101" s="408"/>
      <c r="AY101" s="408"/>
      <c r="AZ101" s="408"/>
      <c r="BA101" s="408"/>
      <c r="BB101" s="408"/>
      <c r="BC101" s="408"/>
      <c r="BD101" s="408"/>
      <c r="BE101" s="408"/>
      <c r="BF101" s="408"/>
      <c r="BG101" s="408"/>
      <c r="BH101" s="408"/>
      <c r="BI101" s="408"/>
      <c r="BJ101" s="408"/>
      <c r="BK101" s="408"/>
      <c r="BL101" s="408"/>
      <c r="BM101" s="408"/>
      <c r="BN101" s="408"/>
      <c r="BO101" s="408"/>
      <c r="BP101" s="408"/>
      <c r="BQ101" s="408"/>
      <c r="BR101" s="408"/>
      <c r="BS101" s="408"/>
      <c r="BT101" s="408"/>
      <c r="BU101" s="408"/>
      <c r="BV101" s="408"/>
      <c r="BW101" s="408"/>
      <c r="BX101" s="408"/>
      <c r="BY101" s="408"/>
      <c r="BZ101" s="408"/>
      <c r="CA101" s="408"/>
      <c r="CB101" s="408"/>
      <c r="CC101" s="408"/>
      <c r="CD101" s="408"/>
      <c r="CE101" s="408"/>
      <c r="CF101" s="408"/>
      <c r="CG101" s="408"/>
      <c r="CH101" s="408"/>
      <c r="CI101" s="408"/>
      <c r="CJ101" s="408"/>
      <c r="CK101" s="408"/>
      <c r="CL101" s="408"/>
      <c r="CM101" s="408"/>
      <c r="CN101" s="408"/>
    </row>
    <row r="102">
      <c r="A102" s="408"/>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8"/>
      <c r="Y102" s="408"/>
      <c r="Z102" s="408"/>
      <c r="AA102" s="408"/>
      <c r="AB102" s="408"/>
      <c r="AC102" s="408"/>
      <c r="AD102" s="408"/>
      <c r="AE102" s="408"/>
      <c r="AF102" s="408"/>
      <c r="AG102" s="408"/>
      <c r="AH102" s="408"/>
      <c r="AI102" s="408"/>
      <c r="AJ102" s="408"/>
      <c r="AK102" s="408"/>
      <c r="AL102" s="408"/>
      <c r="AM102" s="408"/>
      <c r="AN102" s="408"/>
      <c r="AO102" s="408"/>
      <c r="AP102" s="408"/>
      <c r="AQ102" s="408"/>
      <c r="AR102" s="408"/>
      <c r="AS102" s="408"/>
      <c r="AT102" s="408"/>
      <c r="AU102" s="408"/>
      <c r="AV102" s="408"/>
      <c r="AW102" s="408"/>
      <c r="AX102" s="408"/>
      <c r="AY102" s="408"/>
      <c r="AZ102" s="408"/>
      <c r="BA102" s="408"/>
      <c r="BB102" s="408"/>
      <c r="BC102" s="408"/>
      <c r="BD102" s="408"/>
      <c r="BE102" s="408"/>
      <c r="BF102" s="408"/>
      <c r="BG102" s="408"/>
      <c r="BH102" s="408"/>
      <c r="BI102" s="408"/>
      <c r="BJ102" s="408"/>
      <c r="BK102" s="408"/>
      <c r="BL102" s="408"/>
      <c r="BM102" s="408"/>
      <c r="BN102" s="408"/>
      <c r="BO102" s="408"/>
      <c r="BP102" s="408"/>
      <c r="BQ102" s="408"/>
      <c r="BR102" s="408"/>
      <c r="BS102" s="408"/>
      <c r="BT102" s="408"/>
      <c r="BU102" s="408"/>
      <c r="BV102" s="408"/>
      <c r="BW102" s="408"/>
      <c r="BX102" s="408"/>
      <c r="BY102" s="408"/>
      <c r="BZ102" s="408"/>
      <c r="CA102" s="408"/>
      <c r="CB102" s="408"/>
      <c r="CC102" s="408"/>
      <c r="CD102" s="408"/>
      <c r="CE102" s="408"/>
      <c r="CF102" s="408"/>
      <c r="CG102" s="408"/>
      <c r="CH102" s="408"/>
      <c r="CI102" s="408"/>
      <c r="CJ102" s="408"/>
      <c r="CK102" s="408"/>
      <c r="CL102" s="408"/>
      <c r="CM102" s="408"/>
      <c r="CN102" s="408"/>
    </row>
    <row r="103">
      <c r="A103" s="408"/>
      <c r="B103" s="408"/>
      <c r="C103" s="408"/>
      <c r="D103" s="408"/>
      <c r="E103" s="408"/>
      <c r="F103" s="408"/>
      <c r="G103" s="408"/>
      <c r="H103" s="408"/>
      <c r="I103" s="408"/>
      <c r="J103" s="408"/>
      <c r="K103" s="408"/>
      <c r="L103" s="408"/>
      <c r="M103" s="408"/>
      <c r="N103" s="408"/>
      <c r="O103" s="408"/>
      <c r="P103" s="408"/>
      <c r="Q103" s="408"/>
      <c r="R103" s="408"/>
      <c r="S103" s="408"/>
      <c r="T103" s="408"/>
      <c r="U103" s="408"/>
      <c r="V103" s="408"/>
      <c r="W103" s="408"/>
      <c r="X103" s="408"/>
      <c r="Y103" s="408"/>
      <c r="Z103" s="408"/>
      <c r="AA103" s="408"/>
      <c r="AB103" s="408"/>
      <c r="AC103" s="408"/>
      <c r="AD103" s="408"/>
      <c r="AE103" s="408"/>
      <c r="AF103" s="408"/>
      <c r="AG103" s="408"/>
      <c r="AH103" s="408"/>
      <c r="AI103" s="408"/>
      <c r="AJ103" s="408"/>
      <c r="AK103" s="408"/>
      <c r="AL103" s="408"/>
      <c r="AM103" s="408"/>
      <c r="AN103" s="408"/>
      <c r="AO103" s="408"/>
      <c r="AP103" s="408"/>
      <c r="AQ103" s="408"/>
      <c r="AR103" s="408"/>
      <c r="AS103" s="408"/>
      <c r="AT103" s="408"/>
      <c r="AU103" s="408"/>
      <c r="AV103" s="408"/>
      <c r="AW103" s="408"/>
      <c r="AX103" s="408"/>
      <c r="AY103" s="408"/>
      <c r="AZ103" s="408"/>
      <c r="BA103" s="408"/>
      <c r="BB103" s="408"/>
      <c r="BC103" s="408"/>
      <c r="BD103" s="408"/>
      <c r="BE103" s="408"/>
      <c r="BF103" s="408"/>
      <c r="BG103" s="408"/>
      <c r="BH103" s="408"/>
      <c r="BI103" s="408"/>
      <c r="BJ103" s="408"/>
      <c r="BK103" s="408"/>
      <c r="BL103" s="408"/>
      <c r="BM103" s="408"/>
      <c r="BN103" s="408"/>
      <c r="BO103" s="408"/>
      <c r="BP103" s="408"/>
      <c r="BQ103" s="408"/>
      <c r="BR103" s="408"/>
      <c r="BS103" s="408"/>
      <c r="BT103" s="408"/>
      <c r="BU103" s="408"/>
      <c r="BV103" s="408"/>
      <c r="BW103" s="408"/>
      <c r="BX103" s="408"/>
      <c r="BY103" s="408"/>
      <c r="BZ103" s="408"/>
      <c r="CA103" s="408"/>
      <c r="CB103" s="408"/>
      <c r="CC103" s="408"/>
      <c r="CD103" s="408"/>
      <c r="CE103" s="408"/>
      <c r="CF103" s="408"/>
      <c r="CG103" s="408"/>
      <c r="CH103" s="408"/>
      <c r="CI103" s="408"/>
      <c r="CJ103" s="408"/>
      <c r="CK103" s="408"/>
      <c r="CL103" s="408"/>
      <c r="CM103" s="408"/>
      <c r="CN103" s="408"/>
    </row>
    <row r="104">
      <c r="A104" s="408"/>
      <c r="B104" s="408"/>
      <c r="C104" s="408"/>
      <c r="D104" s="408"/>
      <c r="E104" s="408"/>
      <c r="F104" s="408"/>
      <c r="G104" s="408"/>
      <c r="H104" s="408"/>
      <c r="I104" s="408"/>
      <c r="J104" s="408"/>
      <c r="K104" s="408"/>
      <c r="L104" s="408"/>
      <c r="M104" s="408"/>
      <c r="N104" s="408"/>
      <c r="O104" s="408"/>
      <c r="P104" s="408"/>
      <c r="Q104" s="408"/>
      <c r="R104" s="408"/>
      <c r="S104" s="408"/>
      <c r="T104" s="408"/>
      <c r="U104" s="408"/>
      <c r="V104" s="408"/>
      <c r="W104" s="408"/>
      <c r="X104" s="408"/>
      <c r="Y104" s="408"/>
      <c r="Z104" s="408"/>
      <c r="AA104" s="408"/>
      <c r="AB104" s="408"/>
      <c r="AC104" s="408"/>
      <c r="AD104" s="408"/>
      <c r="AE104" s="408"/>
      <c r="AF104" s="408"/>
      <c r="AG104" s="408"/>
      <c r="AH104" s="408"/>
      <c r="AI104" s="408"/>
      <c r="AJ104" s="408"/>
      <c r="AK104" s="408"/>
      <c r="AL104" s="408"/>
      <c r="AM104" s="408"/>
      <c r="AN104" s="408"/>
      <c r="AO104" s="408"/>
      <c r="AP104" s="408"/>
      <c r="AQ104" s="408"/>
      <c r="AR104" s="408"/>
      <c r="AS104" s="408"/>
      <c r="AT104" s="408"/>
      <c r="AU104" s="408"/>
      <c r="AV104" s="408"/>
      <c r="AW104" s="408"/>
      <c r="AX104" s="408"/>
      <c r="AY104" s="408"/>
      <c r="AZ104" s="408"/>
      <c r="BA104" s="408"/>
      <c r="BB104" s="408"/>
      <c r="BC104" s="408"/>
      <c r="BD104" s="408"/>
      <c r="BE104" s="408"/>
      <c r="BF104" s="408"/>
      <c r="BG104" s="408"/>
      <c r="BH104" s="408"/>
      <c r="BI104" s="408"/>
      <c r="BJ104" s="408"/>
      <c r="BK104" s="408"/>
      <c r="BL104" s="408"/>
      <c r="BM104" s="408"/>
      <c r="BN104" s="408"/>
      <c r="BO104" s="408"/>
      <c r="BP104" s="408"/>
      <c r="BQ104" s="408"/>
      <c r="BR104" s="408"/>
      <c r="BS104" s="408"/>
      <c r="BT104" s="408"/>
      <c r="BU104" s="408"/>
      <c r="BV104" s="408"/>
      <c r="BW104" s="408"/>
      <c r="BX104" s="408"/>
      <c r="BY104" s="408"/>
      <c r="BZ104" s="408"/>
      <c r="CA104" s="408"/>
      <c r="CB104" s="408"/>
      <c r="CC104" s="408"/>
      <c r="CD104" s="408"/>
      <c r="CE104" s="408"/>
      <c r="CF104" s="408"/>
      <c r="CG104" s="408"/>
      <c r="CH104" s="408"/>
      <c r="CI104" s="408"/>
      <c r="CJ104" s="408"/>
      <c r="CK104" s="408"/>
      <c r="CL104" s="408"/>
      <c r="CM104" s="408"/>
      <c r="CN104" s="408"/>
    </row>
    <row r="105">
      <c r="A105" s="408"/>
      <c r="B105" s="408"/>
      <c r="C105" s="408"/>
      <c r="D105" s="408"/>
      <c r="E105" s="408"/>
      <c r="F105" s="408"/>
      <c r="G105" s="408"/>
      <c r="H105" s="408"/>
      <c r="I105" s="408"/>
      <c r="J105" s="408"/>
      <c r="K105" s="408"/>
      <c r="L105" s="408"/>
      <c r="M105" s="408"/>
      <c r="N105" s="408"/>
      <c r="O105" s="408"/>
      <c r="P105" s="408"/>
      <c r="Q105" s="408"/>
      <c r="R105" s="408"/>
      <c r="S105" s="408"/>
      <c r="T105" s="408"/>
      <c r="U105" s="408"/>
      <c r="V105" s="408"/>
      <c r="W105" s="408"/>
      <c r="X105" s="408"/>
      <c r="Y105" s="408"/>
      <c r="Z105" s="408"/>
      <c r="AA105" s="408"/>
      <c r="AB105" s="408"/>
      <c r="AC105" s="408"/>
      <c r="AD105" s="408"/>
      <c r="AE105" s="408"/>
      <c r="AF105" s="408"/>
      <c r="AG105" s="408"/>
      <c r="AH105" s="408"/>
      <c r="AI105" s="408"/>
      <c r="AJ105" s="408"/>
      <c r="AK105" s="408"/>
      <c r="AL105" s="408"/>
      <c r="AM105" s="408"/>
      <c r="AN105" s="408"/>
      <c r="AO105" s="408"/>
      <c r="AP105" s="408"/>
      <c r="AQ105" s="408"/>
      <c r="AR105" s="408"/>
      <c r="AS105" s="408"/>
      <c r="AT105" s="408"/>
      <c r="AU105" s="408"/>
      <c r="AV105" s="408"/>
      <c r="AW105" s="408"/>
      <c r="AX105" s="408"/>
      <c r="AY105" s="408"/>
      <c r="AZ105" s="408"/>
      <c r="BA105" s="408"/>
      <c r="BB105" s="408"/>
      <c r="BC105" s="408"/>
      <c r="BD105" s="408"/>
      <c r="BE105" s="408"/>
      <c r="BF105" s="408"/>
      <c r="BG105" s="408"/>
      <c r="BH105" s="408"/>
      <c r="BI105" s="408"/>
      <c r="BJ105" s="408"/>
      <c r="BK105" s="408"/>
      <c r="BL105" s="408"/>
      <c r="BM105" s="408"/>
      <c r="BN105" s="408"/>
      <c r="BO105" s="408"/>
      <c r="BP105" s="408"/>
      <c r="BQ105" s="408"/>
      <c r="BR105" s="408"/>
      <c r="BS105" s="408"/>
      <c r="BT105" s="408"/>
      <c r="BU105" s="408"/>
      <c r="BV105" s="408"/>
      <c r="BW105" s="408"/>
      <c r="BX105" s="408"/>
      <c r="BY105" s="408"/>
      <c r="BZ105" s="408"/>
      <c r="CA105" s="408"/>
      <c r="CB105" s="408"/>
      <c r="CC105" s="408"/>
      <c r="CD105" s="408"/>
      <c r="CE105" s="408"/>
      <c r="CF105" s="408"/>
      <c r="CG105" s="408"/>
      <c r="CH105" s="408"/>
      <c r="CI105" s="408"/>
      <c r="CJ105" s="408"/>
      <c r="CK105" s="408"/>
      <c r="CL105" s="408"/>
      <c r="CM105" s="408"/>
      <c r="CN105" s="408"/>
    </row>
    <row r="106">
      <c r="A106" s="408"/>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8"/>
      <c r="Y106" s="408"/>
      <c r="Z106" s="408"/>
      <c r="AA106" s="408"/>
      <c r="AB106" s="408"/>
      <c r="AC106" s="408"/>
      <c r="AD106" s="408"/>
      <c r="AE106" s="408"/>
      <c r="AF106" s="408"/>
      <c r="AG106" s="408"/>
      <c r="AH106" s="408"/>
      <c r="AI106" s="408"/>
      <c r="AJ106" s="408"/>
      <c r="AK106" s="408"/>
      <c r="AL106" s="408"/>
      <c r="AM106" s="408"/>
      <c r="AN106" s="408"/>
      <c r="AO106" s="408"/>
      <c r="AP106" s="408"/>
      <c r="AQ106" s="408"/>
      <c r="AR106" s="408"/>
      <c r="AS106" s="408"/>
      <c r="AT106" s="408"/>
      <c r="AU106" s="408"/>
      <c r="AV106" s="408"/>
      <c r="AW106" s="408"/>
      <c r="AX106" s="408"/>
      <c r="AY106" s="408"/>
      <c r="AZ106" s="408"/>
      <c r="BA106" s="408"/>
      <c r="BB106" s="408"/>
      <c r="BC106" s="408"/>
      <c r="BD106" s="408"/>
      <c r="BE106" s="408"/>
      <c r="BF106" s="408"/>
      <c r="BG106" s="408"/>
      <c r="BH106" s="408"/>
      <c r="BI106" s="408"/>
      <c r="BJ106" s="408"/>
      <c r="BK106" s="408"/>
      <c r="BL106" s="408"/>
      <c r="BM106" s="408"/>
      <c r="BN106" s="408"/>
      <c r="BO106" s="408"/>
      <c r="BP106" s="408"/>
      <c r="BQ106" s="408"/>
      <c r="BR106" s="408"/>
      <c r="BS106" s="408"/>
      <c r="BT106" s="408"/>
      <c r="BU106" s="408"/>
      <c r="BV106" s="408"/>
      <c r="BW106" s="408"/>
      <c r="BX106" s="408"/>
      <c r="BY106" s="408"/>
      <c r="BZ106" s="408"/>
      <c r="CA106" s="408"/>
      <c r="CB106" s="408"/>
      <c r="CC106" s="408"/>
      <c r="CD106" s="408"/>
      <c r="CE106" s="408"/>
      <c r="CF106" s="408"/>
      <c r="CG106" s="408"/>
      <c r="CH106" s="408"/>
      <c r="CI106" s="408"/>
      <c r="CJ106" s="408"/>
      <c r="CK106" s="408"/>
      <c r="CL106" s="408"/>
      <c r="CM106" s="408"/>
      <c r="CN106" s="408"/>
    </row>
    <row r="107">
      <c r="A107" s="408"/>
      <c r="B107" s="408"/>
      <c r="C107" s="408"/>
      <c r="D107" s="408"/>
      <c r="E107" s="408"/>
      <c r="F107" s="408"/>
      <c r="G107" s="408"/>
      <c r="H107" s="408"/>
      <c r="I107" s="408"/>
      <c r="J107" s="408"/>
      <c r="K107" s="408"/>
      <c r="L107" s="408"/>
      <c r="M107" s="408"/>
      <c r="N107" s="408"/>
      <c r="O107" s="408"/>
      <c r="P107" s="408"/>
      <c r="Q107" s="408"/>
      <c r="R107" s="408"/>
      <c r="S107" s="408"/>
      <c r="T107" s="408"/>
      <c r="U107" s="408"/>
      <c r="V107" s="408"/>
      <c r="W107" s="408"/>
      <c r="X107" s="408"/>
      <c r="Y107" s="408"/>
      <c r="Z107" s="408"/>
      <c r="AA107" s="408"/>
      <c r="AB107" s="408"/>
      <c r="AC107" s="408"/>
      <c r="AD107" s="408"/>
      <c r="AE107" s="408"/>
      <c r="AF107" s="408"/>
      <c r="AG107" s="408"/>
      <c r="AH107" s="408"/>
      <c r="AI107" s="408"/>
      <c r="AJ107" s="408"/>
      <c r="AK107" s="408"/>
      <c r="AL107" s="408"/>
      <c r="AM107" s="408"/>
      <c r="AN107" s="408"/>
      <c r="AO107" s="408"/>
      <c r="AP107" s="408"/>
      <c r="AQ107" s="408"/>
      <c r="AR107" s="408"/>
      <c r="AS107" s="408"/>
      <c r="AT107" s="408"/>
      <c r="AU107" s="408"/>
      <c r="AV107" s="408"/>
      <c r="AW107" s="408"/>
      <c r="AX107" s="408"/>
      <c r="AY107" s="408"/>
      <c r="AZ107" s="408"/>
      <c r="BA107" s="408"/>
      <c r="BB107" s="408"/>
      <c r="BC107" s="408"/>
      <c r="BD107" s="408"/>
      <c r="BE107" s="408"/>
      <c r="BF107" s="408"/>
      <c r="BG107" s="408"/>
      <c r="BH107" s="408"/>
      <c r="BI107" s="408"/>
      <c r="BJ107" s="408"/>
      <c r="BK107" s="408"/>
      <c r="BL107" s="408"/>
      <c r="BM107" s="408"/>
      <c r="BN107" s="408"/>
      <c r="BO107" s="408"/>
      <c r="BP107" s="408"/>
      <c r="BQ107" s="408"/>
      <c r="BR107" s="408"/>
      <c r="BS107" s="408"/>
      <c r="BT107" s="408"/>
      <c r="BU107" s="408"/>
      <c r="BV107" s="408"/>
      <c r="BW107" s="408"/>
      <c r="BX107" s="408"/>
      <c r="BY107" s="408"/>
      <c r="BZ107" s="408"/>
      <c r="CA107" s="408"/>
      <c r="CB107" s="408"/>
      <c r="CC107" s="408"/>
      <c r="CD107" s="408"/>
      <c r="CE107" s="408"/>
      <c r="CF107" s="408"/>
      <c r="CG107" s="408"/>
      <c r="CH107" s="408"/>
      <c r="CI107" s="408"/>
      <c r="CJ107" s="408"/>
      <c r="CK107" s="408"/>
      <c r="CL107" s="408"/>
      <c r="CM107" s="408"/>
      <c r="CN107" s="408"/>
    </row>
    <row r="108">
      <c r="A108" s="408"/>
      <c r="B108" s="408"/>
      <c r="C108" s="408"/>
      <c r="D108" s="408"/>
      <c r="E108" s="408"/>
      <c r="F108" s="408"/>
      <c r="G108" s="408"/>
      <c r="H108" s="408"/>
      <c r="I108" s="408"/>
      <c r="J108" s="408"/>
      <c r="K108" s="408"/>
      <c r="L108" s="408"/>
      <c r="M108" s="408"/>
      <c r="N108" s="408"/>
      <c r="O108" s="408"/>
      <c r="P108" s="408"/>
      <c r="Q108" s="408"/>
      <c r="R108" s="408"/>
      <c r="S108" s="408"/>
      <c r="T108" s="408"/>
      <c r="U108" s="408"/>
      <c r="V108" s="408"/>
      <c r="W108" s="408"/>
      <c r="X108" s="408"/>
      <c r="Y108" s="408"/>
      <c r="Z108" s="408"/>
      <c r="AA108" s="408"/>
      <c r="AB108" s="408"/>
      <c r="AC108" s="408"/>
      <c r="AD108" s="408"/>
      <c r="AE108" s="408"/>
      <c r="AF108" s="408"/>
      <c r="AG108" s="408"/>
      <c r="AH108" s="408"/>
      <c r="AI108" s="408"/>
      <c r="AJ108" s="408"/>
      <c r="AK108" s="408"/>
      <c r="AL108" s="408"/>
      <c r="AM108" s="408"/>
      <c r="AN108" s="408"/>
      <c r="AO108" s="408"/>
      <c r="AP108" s="408"/>
      <c r="AQ108" s="408"/>
      <c r="AR108" s="408"/>
      <c r="AS108" s="408"/>
      <c r="AT108" s="408"/>
      <c r="AU108" s="408"/>
      <c r="AV108" s="408"/>
      <c r="AW108" s="408"/>
      <c r="AX108" s="408"/>
      <c r="AY108" s="408"/>
      <c r="AZ108" s="408"/>
      <c r="BA108" s="408"/>
      <c r="BB108" s="408"/>
      <c r="BC108" s="408"/>
      <c r="BD108" s="408"/>
      <c r="BE108" s="408"/>
      <c r="BF108" s="408"/>
      <c r="BG108" s="408"/>
      <c r="BH108" s="408"/>
      <c r="BI108" s="408"/>
      <c r="BJ108" s="408"/>
      <c r="BK108" s="408"/>
      <c r="BL108" s="408"/>
      <c r="BM108" s="408"/>
      <c r="BN108" s="408"/>
      <c r="BO108" s="408"/>
      <c r="BP108" s="408"/>
      <c r="BQ108" s="408"/>
      <c r="BR108" s="408"/>
      <c r="BS108" s="408"/>
      <c r="BT108" s="408"/>
      <c r="BU108" s="408"/>
      <c r="BV108" s="408"/>
      <c r="BW108" s="408"/>
      <c r="BX108" s="408"/>
      <c r="BY108" s="408"/>
      <c r="BZ108" s="408"/>
      <c r="CA108" s="408"/>
      <c r="CB108" s="408"/>
      <c r="CC108" s="408"/>
      <c r="CD108" s="408"/>
      <c r="CE108" s="408"/>
      <c r="CF108" s="408"/>
      <c r="CG108" s="408"/>
      <c r="CH108" s="408"/>
      <c r="CI108" s="408"/>
      <c r="CJ108" s="408"/>
      <c r="CK108" s="408"/>
      <c r="CL108" s="408"/>
      <c r="CM108" s="408"/>
      <c r="CN108" s="408"/>
    </row>
    <row r="109">
      <c r="A109" s="408"/>
      <c r="B109" s="408"/>
      <c r="C109" s="408"/>
      <c r="D109" s="408"/>
      <c r="E109" s="408"/>
      <c r="F109" s="408"/>
      <c r="G109" s="408"/>
      <c r="H109" s="408"/>
      <c r="I109" s="408"/>
      <c r="J109" s="408"/>
      <c r="K109" s="408"/>
      <c r="L109" s="408"/>
      <c r="M109" s="408"/>
      <c r="N109" s="408"/>
      <c r="O109" s="408"/>
      <c r="P109" s="408"/>
      <c r="Q109" s="408"/>
      <c r="R109" s="408"/>
      <c r="S109" s="408"/>
      <c r="T109" s="408"/>
      <c r="U109" s="408"/>
      <c r="V109" s="408"/>
      <c r="W109" s="408"/>
      <c r="X109" s="408"/>
      <c r="Y109" s="408"/>
      <c r="Z109" s="408"/>
      <c r="AA109" s="408"/>
      <c r="AB109" s="408"/>
      <c r="AC109" s="408"/>
      <c r="AD109" s="408"/>
      <c r="AE109" s="408"/>
      <c r="AF109" s="408"/>
      <c r="AG109" s="408"/>
      <c r="AH109" s="408"/>
      <c r="AI109" s="408"/>
      <c r="AJ109" s="408"/>
      <c r="AK109" s="408"/>
      <c r="AL109" s="408"/>
      <c r="AM109" s="408"/>
      <c r="AN109" s="408"/>
      <c r="AO109" s="408"/>
      <c r="AP109" s="408"/>
      <c r="AQ109" s="408"/>
      <c r="AR109" s="408"/>
      <c r="AS109" s="408"/>
      <c r="AT109" s="408"/>
      <c r="AU109" s="408"/>
      <c r="AV109" s="408"/>
      <c r="AW109" s="408"/>
      <c r="AX109" s="408"/>
      <c r="AY109" s="408"/>
      <c r="AZ109" s="408"/>
      <c r="BA109" s="408"/>
      <c r="BB109" s="408"/>
      <c r="BC109" s="408"/>
      <c r="BD109" s="408"/>
      <c r="BE109" s="408"/>
      <c r="BF109" s="408"/>
      <c r="BG109" s="408"/>
      <c r="BH109" s="408"/>
      <c r="BI109" s="408"/>
      <c r="BJ109" s="408"/>
      <c r="BK109" s="408"/>
      <c r="BL109" s="408"/>
      <c r="BM109" s="408"/>
      <c r="BN109" s="408"/>
      <c r="BO109" s="408"/>
      <c r="BP109" s="408"/>
      <c r="BQ109" s="408"/>
      <c r="BR109" s="408"/>
      <c r="BS109" s="408"/>
      <c r="BT109" s="408"/>
      <c r="BU109" s="408"/>
      <c r="BV109" s="408"/>
      <c r="BW109" s="408"/>
      <c r="BX109" s="408"/>
      <c r="BY109" s="408"/>
      <c r="BZ109" s="408"/>
      <c r="CA109" s="408"/>
      <c r="CB109" s="408"/>
      <c r="CC109" s="408"/>
      <c r="CD109" s="408"/>
      <c r="CE109" s="408"/>
      <c r="CF109" s="408"/>
      <c r="CG109" s="408"/>
      <c r="CH109" s="408"/>
      <c r="CI109" s="408"/>
      <c r="CJ109" s="408"/>
      <c r="CK109" s="408"/>
      <c r="CL109" s="408"/>
      <c r="CM109" s="408"/>
      <c r="CN109" s="408"/>
    </row>
    <row r="110">
      <c r="A110" s="408"/>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8"/>
      <c r="Y110" s="408"/>
      <c r="Z110" s="408"/>
      <c r="AA110" s="408"/>
      <c r="AB110" s="408"/>
      <c r="AC110" s="408"/>
      <c r="AD110" s="408"/>
      <c r="AE110" s="408"/>
      <c r="AF110" s="408"/>
      <c r="AG110" s="408"/>
      <c r="AH110" s="408"/>
      <c r="AI110" s="408"/>
      <c r="AJ110" s="408"/>
      <c r="AK110" s="408"/>
      <c r="AL110" s="408"/>
      <c r="AM110" s="408"/>
      <c r="AN110" s="408"/>
      <c r="AO110" s="408"/>
      <c r="AP110" s="408"/>
      <c r="AQ110" s="408"/>
      <c r="AR110" s="408"/>
      <c r="AS110" s="408"/>
      <c r="AT110" s="408"/>
      <c r="AU110" s="408"/>
      <c r="AV110" s="408"/>
      <c r="AW110" s="408"/>
      <c r="AX110" s="408"/>
      <c r="AY110" s="408"/>
      <c r="AZ110" s="408"/>
      <c r="BA110" s="408"/>
      <c r="BB110" s="408"/>
      <c r="BC110" s="408"/>
      <c r="BD110" s="408"/>
      <c r="BE110" s="408"/>
      <c r="BF110" s="408"/>
      <c r="BG110" s="408"/>
      <c r="BH110" s="408"/>
      <c r="BI110" s="408"/>
      <c r="BJ110" s="408"/>
      <c r="BK110" s="408"/>
      <c r="BL110" s="408"/>
      <c r="BM110" s="408"/>
      <c r="BN110" s="408"/>
      <c r="BO110" s="408"/>
      <c r="BP110" s="408"/>
      <c r="BQ110" s="408"/>
      <c r="BR110" s="408"/>
      <c r="BS110" s="408"/>
      <c r="BT110" s="408"/>
      <c r="BU110" s="408"/>
      <c r="BV110" s="408"/>
      <c r="BW110" s="408"/>
      <c r="BX110" s="408"/>
      <c r="BY110" s="408"/>
      <c r="BZ110" s="408"/>
      <c r="CA110" s="408"/>
      <c r="CB110" s="408"/>
      <c r="CC110" s="408"/>
      <c r="CD110" s="408"/>
      <c r="CE110" s="408"/>
      <c r="CF110" s="408"/>
      <c r="CG110" s="408"/>
      <c r="CH110" s="408"/>
      <c r="CI110" s="408"/>
      <c r="CJ110" s="408"/>
      <c r="CK110" s="408"/>
      <c r="CL110" s="408"/>
      <c r="CM110" s="408"/>
      <c r="CN110" s="408"/>
    </row>
    <row r="111">
      <c r="A111" s="408"/>
      <c r="B111" s="408"/>
      <c r="C111" s="408"/>
      <c r="D111" s="408"/>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c r="AA111" s="408"/>
      <c r="AB111" s="408"/>
      <c r="AC111" s="408"/>
      <c r="AD111" s="408"/>
      <c r="AE111" s="408"/>
      <c r="AF111" s="408"/>
      <c r="AG111" s="408"/>
      <c r="AH111" s="408"/>
      <c r="AI111" s="408"/>
      <c r="AJ111" s="408"/>
      <c r="AK111" s="408"/>
      <c r="AL111" s="408"/>
      <c r="AM111" s="408"/>
      <c r="AN111" s="408"/>
      <c r="AO111" s="408"/>
      <c r="AP111" s="408"/>
      <c r="AQ111" s="408"/>
      <c r="AR111" s="408"/>
      <c r="AS111" s="408"/>
      <c r="AT111" s="408"/>
      <c r="AU111" s="408"/>
      <c r="AV111" s="408"/>
      <c r="AW111" s="408"/>
      <c r="AX111" s="408"/>
      <c r="AY111" s="408"/>
      <c r="AZ111" s="408"/>
      <c r="BA111" s="408"/>
      <c r="BB111" s="408"/>
      <c r="BC111" s="408"/>
      <c r="BD111" s="408"/>
      <c r="BE111" s="408"/>
      <c r="BF111" s="408"/>
      <c r="BG111" s="408"/>
      <c r="BH111" s="408"/>
      <c r="BI111" s="408"/>
      <c r="BJ111" s="408"/>
      <c r="BK111" s="408"/>
      <c r="BL111" s="408"/>
      <c r="BM111" s="408"/>
      <c r="BN111" s="408"/>
      <c r="BO111" s="408"/>
      <c r="BP111" s="408"/>
      <c r="BQ111" s="408"/>
      <c r="BR111" s="408"/>
      <c r="BS111" s="408"/>
      <c r="BT111" s="408"/>
      <c r="BU111" s="408"/>
      <c r="BV111" s="408"/>
      <c r="BW111" s="408"/>
      <c r="BX111" s="408"/>
      <c r="BY111" s="408"/>
      <c r="BZ111" s="408"/>
      <c r="CA111" s="408"/>
      <c r="CB111" s="408"/>
      <c r="CC111" s="408"/>
      <c r="CD111" s="408"/>
      <c r="CE111" s="408"/>
      <c r="CF111" s="408"/>
      <c r="CG111" s="408"/>
      <c r="CH111" s="408"/>
      <c r="CI111" s="408"/>
      <c r="CJ111" s="408"/>
      <c r="CK111" s="408"/>
      <c r="CL111" s="408"/>
      <c r="CM111" s="408"/>
      <c r="CN111" s="408"/>
    </row>
    <row r="112">
      <c r="A112" s="408"/>
      <c r="B112" s="408"/>
      <c r="C112" s="408"/>
      <c r="D112" s="408"/>
      <c r="E112" s="408"/>
      <c r="F112" s="408"/>
      <c r="G112" s="408"/>
      <c r="H112" s="408"/>
      <c r="I112" s="408"/>
      <c r="J112" s="408"/>
      <c r="K112" s="408"/>
      <c r="L112" s="408"/>
      <c r="M112" s="408"/>
      <c r="N112" s="408"/>
      <c r="O112" s="408"/>
      <c r="P112" s="408"/>
      <c r="Q112" s="408"/>
      <c r="R112" s="408"/>
      <c r="S112" s="408"/>
      <c r="T112" s="408"/>
      <c r="U112" s="408"/>
      <c r="V112" s="408"/>
      <c r="W112" s="408"/>
      <c r="X112" s="408"/>
      <c r="Y112" s="408"/>
      <c r="Z112" s="408"/>
      <c r="AA112" s="408"/>
      <c r="AB112" s="408"/>
      <c r="AC112" s="408"/>
      <c r="AD112" s="408"/>
      <c r="AE112" s="408"/>
      <c r="AF112" s="408"/>
      <c r="AG112" s="408"/>
      <c r="AH112" s="408"/>
      <c r="AI112" s="408"/>
      <c r="AJ112" s="408"/>
      <c r="AK112" s="408"/>
      <c r="AL112" s="408"/>
      <c r="AM112" s="408"/>
      <c r="AN112" s="408"/>
      <c r="AO112" s="408"/>
      <c r="AP112" s="408"/>
      <c r="AQ112" s="408"/>
      <c r="AR112" s="408"/>
      <c r="AS112" s="408"/>
      <c r="AT112" s="408"/>
      <c r="AU112" s="408"/>
      <c r="AV112" s="408"/>
      <c r="AW112" s="408"/>
      <c r="AX112" s="408"/>
      <c r="AY112" s="408"/>
      <c r="AZ112" s="408"/>
      <c r="BA112" s="408"/>
      <c r="BB112" s="408"/>
      <c r="BC112" s="408"/>
      <c r="BD112" s="408"/>
      <c r="BE112" s="408"/>
      <c r="BF112" s="408"/>
      <c r="BG112" s="408"/>
      <c r="BH112" s="408"/>
      <c r="BI112" s="408"/>
      <c r="BJ112" s="408"/>
      <c r="BK112" s="408"/>
      <c r="BL112" s="408"/>
      <c r="BM112" s="408"/>
      <c r="BN112" s="408"/>
      <c r="BO112" s="408"/>
      <c r="BP112" s="408"/>
      <c r="BQ112" s="408"/>
      <c r="BR112" s="408"/>
      <c r="BS112" s="408"/>
      <c r="BT112" s="408"/>
      <c r="BU112" s="408"/>
      <c r="BV112" s="408"/>
      <c r="BW112" s="408"/>
      <c r="BX112" s="408"/>
      <c r="BY112" s="408"/>
      <c r="BZ112" s="408"/>
      <c r="CA112" s="408"/>
      <c r="CB112" s="408"/>
      <c r="CC112" s="408"/>
      <c r="CD112" s="408"/>
      <c r="CE112" s="408"/>
      <c r="CF112" s="408"/>
      <c r="CG112" s="408"/>
      <c r="CH112" s="408"/>
      <c r="CI112" s="408"/>
      <c r="CJ112" s="408"/>
      <c r="CK112" s="408"/>
      <c r="CL112" s="408"/>
      <c r="CM112" s="408"/>
      <c r="CN112" s="408"/>
    </row>
    <row r="113">
      <c r="A113" s="408"/>
      <c r="B113" s="408"/>
      <c r="C113" s="408"/>
      <c r="D113" s="408"/>
      <c r="E113" s="408"/>
      <c r="F113" s="408"/>
      <c r="G113" s="408"/>
      <c r="H113" s="408"/>
      <c r="I113" s="408"/>
      <c r="J113" s="408"/>
      <c r="K113" s="408"/>
      <c r="L113" s="408"/>
      <c r="M113" s="408"/>
      <c r="N113" s="408"/>
      <c r="O113" s="408"/>
      <c r="P113" s="408"/>
      <c r="Q113" s="408"/>
      <c r="R113" s="408"/>
      <c r="S113" s="408"/>
      <c r="T113" s="408"/>
      <c r="U113" s="408"/>
      <c r="V113" s="408"/>
      <c r="W113" s="408"/>
      <c r="X113" s="408"/>
      <c r="Y113" s="408"/>
      <c r="Z113" s="408"/>
      <c r="AA113" s="408"/>
      <c r="AB113" s="408"/>
      <c r="AC113" s="408"/>
      <c r="AD113" s="408"/>
      <c r="AE113" s="408"/>
      <c r="AF113" s="408"/>
      <c r="AG113" s="408"/>
      <c r="AH113" s="408"/>
      <c r="AI113" s="408"/>
      <c r="AJ113" s="408"/>
      <c r="AK113" s="408"/>
      <c r="AL113" s="408"/>
      <c r="AM113" s="408"/>
      <c r="AN113" s="408"/>
      <c r="AO113" s="408"/>
      <c r="AP113" s="408"/>
      <c r="AQ113" s="408"/>
      <c r="AR113" s="408"/>
      <c r="AS113" s="408"/>
      <c r="AT113" s="408"/>
      <c r="AU113" s="408"/>
      <c r="AV113" s="408"/>
      <c r="AW113" s="408"/>
      <c r="AX113" s="408"/>
      <c r="AY113" s="408"/>
      <c r="AZ113" s="408"/>
      <c r="BA113" s="408"/>
      <c r="BB113" s="408"/>
      <c r="BC113" s="408"/>
      <c r="BD113" s="408"/>
      <c r="BE113" s="408"/>
      <c r="BF113" s="408"/>
      <c r="BG113" s="408"/>
      <c r="BH113" s="408"/>
      <c r="BI113" s="408"/>
      <c r="BJ113" s="408"/>
      <c r="BK113" s="408"/>
      <c r="BL113" s="408"/>
      <c r="BM113" s="408"/>
      <c r="BN113" s="408"/>
      <c r="BO113" s="408"/>
      <c r="BP113" s="408"/>
      <c r="BQ113" s="408"/>
      <c r="BR113" s="408"/>
      <c r="BS113" s="408"/>
      <c r="BT113" s="408"/>
      <c r="BU113" s="408"/>
      <c r="BV113" s="408"/>
      <c r="BW113" s="408"/>
      <c r="BX113" s="408"/>
      <c r="BY113" s="408"/>
      <c r="BZ113" s="408"/>
      <c r="CA113" s="408"/>
      <c r="CB113" s="408"/>
      <c r="CC113" s="408"/>
      <c r="CD113" s="408"/>
      <c r="CE113" s="408"/>
      <c r="CF113" s="408"/>
      <c r="CG113" s="408"/>
      <c r="CH113" s="408"/>
      <c r="CI113" s="408"/>
      <c r="CJ113" s="408"/>
      <c r="CK113" s="408"/>
      <c r="CL113" s="408"/>
      <c r="CM113" s="408"/>
      <c r="CN113" s="408"/>
    </row>
    <row r="114">
      <c r="A114" s="408"/>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8"/>
      <c r="Y114" s="408"/>
      <c r="Z114" s="408"/>
      <c r="AA114" s="408"/>
      <c r="AB114" s="408"/>
      <c r="AC114" s="408"/>
      <c r="AD114" s="408"/>
      <c r="AE114" s="408"/>
      <c r="AF114" s="408"/>
      <c r="AG114" s="408"/>
      <c r="AH114" s="408"/>
      <c r="AI114" s="408"/>
      <c r="AJ114" s="408"/>
      <c r="AK114" s="408"/>
      <c r="AL114" s="408"/>
      <c r="AM114" s="408"/>
      <c r="AN114" s="408"/>
      <c r="AO114" s="408"/>
      <c r="AP114" s="408"/>
      <c r="AQ114" s="408"/>
      <c r="AR114" s="408"/>
      <c r="AS114" s="408"/>
      <c r="AT114" s="408"/>
      <c r="AU114" s="408"/>
      <c r="AV114" s="408"/>
      <c r="AW114" s="408"/>
      <c r="AX114" s="408"/>
      <c r="AY114" s="408"/>
      <c r="AZ114" s="408"/>
      <c r="BA114" s="408"/>
      <c r="BB114" s="408"/>
      <c r="BC114" s="408"/>
      <c r="BD114" s="408"/>
      <c r="BE114" s="408"/>
      <c r="BF114" s="408"/>
      <c r="BG114" s="408"/>
      <c r="BH114" s="408"/>
      <c r="BI114" s="408"/>
      <c r="BJ114" s="408"/>
      <c r="BK114" s="408"/>
      <c r="BL114" s="408"/>
      <c r="BM114" s="408"/>
      <c r="BN114" s="408"/>
      <c r="BO114" s="408"/>
      <c r="BP114" s="408"/>
      <c r="BQ114" s="408"/>
      <c r="BR114" s="408"/>
      <c r="BS114" s="408"/>
      <c r="BT114" s="408"/>
      <c r="BU114" s="408"/>
      <c r="BV114" s="408"/>
      <c r="BW114" s="408"/>
      <c r="BX114" s="408"/>
      <c r="BY114" s="408"/>
      <c r="BZ114" s="408"/>
      <c r="CA114" s="408"/>
      <c r="CB114" s="408"/>
      <c r="CC114" s="408"/>
      <c r="CD114" s="408"/>
      <c r="CE114" s="408"/>
      <c r="CF114" s="408"/>
      <c r="CG114" s="408"/>
      <c r="CH114" s="408"/>
      <c r="CI114" s="408"/>
      <c r="CJ114" s="408"/>
      <c r="CK114" s="408"/>
      <c r="CL114" s="408"/>
      <c r="CM114" s="408"/>
      <c r="CN114" s="408"/>
    </row>
    <row r="115">
      <c r="A115" s="408"/>
      <c r="B115" s="408"/>
      <c r="C115" s="408"/>
      <c r="D115" s="408"/>
      <c r="E115" s="408"/>
      <c r="F115" s="408"/>
      <c r="G115" s="408"/>
      <c r="H115" s="408"/>
      <c r="I115" s="408"/>
      <c r="J115" s="408"/>
      <c r="K115" s="408"/>
      <c r="L115" s="408"/>
      <c r="M115" s="408"/>
      <c r="N115" s="408"/>
      <c r="O115" s="408"/>
      <c r="P115" s="408"/>
      <c r="Q115" s="408"/>
      <c r="R115" s="408"/>
      <c r="S115" s="408"/>
      <c r="T115" s="408"/>
      <c r="U115" s="408"/>
      <c r="V115" s="408"/>
      <c r="W115" s="408"/>
      <c r="X115" s="408"/>
      <c r="Y115" s="408"/>
      <c r="Z115" s="408"/>
      <c r="AA115" s="408"/>
      <c r="AB115" s="408"/>
      <c r="AC115" s="408"/>
      <c r="AD115" s="408"/>
      <c r="AE115" s="408"/>
      <c r="AF115" s="408"/>
      <c r="AG115" s="408"/>
      <c r="AH115" s="408"/>
      <c r="AI115" s="408"/>
      <c r="AJ115" s="408"/>
      <c r="AK115" s="408"/>
      <c r="AL115" s="408"/>
      <c r="AM115" s="408"/>
      <c r="AN115" s="408"/>
      <c r="AO115" s="408"/>
      <c r="AP115" s="408"/>
      <c r="AQ115" s="408"/>
      <c r="AR115" s="408"/>
      <c r="AS115" s="408"/>
      <c r="AT115" s="408"/>
      <c r="AU115" s="408"/>
      <c r="AV115" s="408"/>
      <c r="AW115" s="408"/>
      <c r="AX115" s="408"/>
      <c r="AY115" s="408"/>
      <c r="AZ115" s="408"/>
      <c r="BA115" s="408"/>
      <c r="BB115" s="408"/>
      <c r="BC115" s="408"/>
      <c r="BD115" s="408"/>
      <c r="BE115" s="408"/>
      <c r="BF115" s="408"/>
      <c r="BG115" s="408"/>
      <c r="BH115" s="408"/>
      <c r="BI115" s="408"/>
      <c r="BJ115" s="408"/>
      <c r="BK115" s="408"/>
      <c r="BL115" s="408"/>
      <c r="BM115" s="408"/>
      <c r="BN115" s="408"/>
      <c r="BO115" s="408"/>
      <c r="BP115" s="408"/>
      <c r="BQ115" s="408"/>
      <c r="BR115" s="408"/>
      <c r="BS115" s="408"/>
      <c r="BT115" s="408"/>
      <c r="BU115" s="408"/>
      <c r="BV115" s="408"/>
      <c r="BW115" s="408"/>
      <c r="BX115" s="408"/>
      <c r="BY115" s="408"/>
      <c r="BZ115" s="408"/>
      <c r="CA115" s="408"/>
      <c r="CB115" s="408"/>
      <c r="CC115" s="408"/>
      <c r="CD115" s="408"/>
      <c r="CE115" s="408"/>
      <c r="CF115" s="408"/>
      <c r="CG115" s="408"/>
      <c r="CH115" s="408"/>
      <c r="CI115" s="408"/>
      <c r="CJ115" s="408"/>
      <c r="CK115" s="408"/>
      <c r="CL115" s="408"/>
      <c r="CM115" s="408"/>
      <c r="CN115" s="408"/>
    </row>
    <row r="116">
      <c r="A116" s="408"/>
      <c r="B116" s="408"/>
      <c r="C116" s="408"/>
      <c r="D116" s="408"/>
      <c r="E116" s="408"/>
      <c r="F116" s="408"/>
      <c r="G116" s="408"/>
      <c r="H116" s="408"/>
      <c r="I116" s="408"/>
      <c r="J116" s="408"/>
      <c r="K116" s="408"/>
      <c r="L116" s="408"/>
      <c r="M116" s="408"/>
      <c r="N116" s="408"/>
      <c r="O116" s="408"/>
      <c r="P116" s="408"/>
      <c r="Q116" s="408"/>
      <c r="R116" s="408"/>
      <c r="S116" s="408"/>
      <c r="T116" s="408"/>
      <c r="U116" s="408"/>
      <c r="V116" s="408"/>
      <c r="W116" s="408"/>
      <c r="X116" s="408"/>
      <c r="Y116" s="408"/>
      <c r="Z116" s="408"/>
      <c r="AA116" s="408"/>
      <c r="AB116" s="408"/>
      <c r="AC116" s="408"/>
      <c r="AD116" s="408"/>
      <c r="AE116" s="408"/>
      <c r="AF116" s="408"/>
      <c r="AG116" s="408"/>
      <c r="AH116" s="408"/>
      <c r="AI116" s="408"/>
      <c r="AJ116" s="408"/>
      <c r="AK116" s="408"/>
      <c r="AL116" s="408"/>
      <c r="AM116" s="408"/>
      <c r="AN116" s="408"/>
      <c r="AO116" s="408"/>
      <c r="AP116" s="408"/>
      <c r="AQ116" s="408"/>
      <c r="AR116" s="408"/>
      <c r="AS116" s="408"/>
      <c r="AT116" s="408"/>
      <c r="AU116" s="408"/>
      <c r="AV116" s="408"/>
      <c r="AW116" s="408"/>
      <c r="AX116" s="408"/>
      <c r="AY116" s="408"/>
      <c r="AZ116" s="408"/>
      <c r="BA116" s="408"/>
      <c r="BB116" s="408"/>
      <c r="BC116" s="408"/>
      <c r="BD116" s="408"/>
      <c r="BE116" s="408"/>
      <c r="BF116" s="408"/>
      <c r="BG116" s="408"/>
      <c r="BH116" s="408"/>
      <c r="BI116" s="408"/>
      <c r="BJ116" s="408"/>
      <c r="BK116" s="408"/>
      <c r="BL116" s="408"/>
      <c r="BM116" s="408"/>
      <c r="BN116" s="408"/>
      <c r="BO116" s="408"/>
      <c r="BP116" s="408"/>
      <c r="BQ116" s="408"/>
      <c r="BR116" s="408"/>
      <c r="BS116" s="408"/>
      <c r="BT116" s="408"/>
      <c r="BU116" s="408"/>
      <c r="BV116" s="408"/>
      <c r="BW116" s="408"/>
      <c r="BX116" s="408"/>
      <c r="BY116" s="408"/>
      <c r="BZ116" s="408"/>
      <c r="CA116" s="408"/>
      <c r="CB116" s="408"/>
      <c r="CC116" s="408"/>
      <c r="CD116" s="408"/>
      <c r="CE116" s="408"/>
      <c r="CF116" s="408"/>
      <c r="CG116" s="408"/>
      <c r="CH116" s="408"/>
      <c r="CI116" s="408"/>
      <c r="CJ116" s="408"/>
      <c r="CK116" s="408"/>
      <c r="CL116" s="408"/>
      <c r="CM116" s="408"/>
      <c r="CN116" s="408"/>
    </row>
    <row r="117">
      <c r="A117" s="408"/>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c r="AA117" s="408"/>
      <c r="AB117" s="408"/>
      <c r="AC117" s="408"/>
      <c r="AD117" s="408"/>
      <c r="AE117" s="408"/>
      <c r="AF117" s="408"/>
      <c r="AG117" s="408"/>
      <c r="AH117" s="408"/>
      <c r="AI117" s="408"/>
      <c r="AJ117" s="408"/>
      <c r="AK117" s="408"/>
      <c r="AL117" s="408"/>
      <c r="AM117" s="408"/>
      <c r="AN117" s="408"/>
      <c r="AO117" s="408"/>
      <c r="AP117" s="408"/>
      <c r="AQ117" s="408"/>
      <c r="AR117" s="408"/>
      <c r="AS117" s="408"/>
      <c r="AT117" s="408"/>
      <c r="AU117" s="408"/>
      <c r="AV117" s="408"/>
      <c r="AW117" s="408"/>
      <c r="AX117" s="408"/>
      <c r="AY117" s="408"/>
      <c r="AZ117" s="408"/>
      <c r="BA117" s="408"/>
      <c r="BB117" s="408"/>
      <c r="BC117" s="408"/>
      <c r="BD117" s="408"/>
      <c r="BE117" s="408"/>
      <c r="BF117" s="408"/>
      <c r="BG117" s="408"/>
      <c r="BH117" s="408"/>
      <c r="BI117" s="408"/>
      <c r="BJ117" s="408"/>
      <c r="BK117" s="408"/>
      <c r="BL117" s="408"/>
      <c r="BM117" s="408"/>
      <c r="BN117" s="408"/>
      <c r="BO117" s="408"/>
      <c r="BP117" s="408"/>
      <c r="BQ117" s="408"/>
      <c r="BR117" s="408"/>
      <c r="BS117" s="408"/>
      <c r="BT117" s="408"/>
      <c r="BU117" s="408"/>
      <c r="BV117" s="408"/>
      <c r="BW117" s="408"/>
      <c r="BX117" s="408"/>
      <c r="BY117" s="408"/>
      <c r="BZ117" s="408"/>
      <c r="CA117" s="408"/>
      <c r="CB117" s="408"/>
      <c r="CC117" s="408"/>
      <c r="CD117" s="408"/>
      <c r="CE117" s="408"/>
      <c r="CF117" s="408"/>
      <c r="CG117" s="408"/>
      <c r="CH117" s="408"/>
      <c r="CI117" s="408"/>
      <c r="CJ117" s="408"/>
      <c r="CK117" s="408"/>
      <c r="CL117" s="408"/>
      <c r="CM117" s="408"/>
      <c r="CN117" s="408"/>
    </row>
    <row r="118">
      <c r="A118" s="408"/>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8"/>
      <c r="Y118" s="408"/>
      <c r="Z118" s="408"/>
      <c r="AA118" s="408"/>
      <c r="AB118" s="408"/>
      <c r="AC118" s="408"/>
      <c r="AD118" s="408"/>
      <c r="AE118" s="408"/>
      <c r="AF118" s="408"/>
      <c r="AG118" s="408"/>
      <c r="AH118" s="408"/>
      <c r="AI118" s="408"/>
      <c r="AJ118" s="408"/>
      <c r="AK118" s="408"/>
      <c r="AL118" s="408"/>
      <c r="AM118" s="408"/>
      <c r="AN118" s="408"/>
      <c r="AO118" s="408"/>
      <c r="AP118" s="408"/>
      <c r="AQ118" s="408"/>
      <c r="AR118" s="408"/>
      <c r="AS118" s="408"/>
      <c r="AT118" s="408"/>
      <c r="AU118" s="408"/>
      <c r="AV118" s="408"/>
      <c r="AW118" s="408"/>
      <c r="AX118" s="408"/>
      <c r="AY118" s="408"/>
      <c r="AZ118" s="408"/>
      <c r="BA118" s="408"/>
      <c r="BB118" s="408"/>
      <c r="BC118" s="408"/>
      <c r="BD118" s="408"/>
      <c r="BE118" s="408"/>
      <c r="BF118" s="408"/>
      <c r="BG118" s="408"/>
      <c r="BH118" s="408"/>
      <c r="BI118" s="408"/>
      <c r="BJ118" s="408"/>
      <c r="BK118" s="408"/>
      <c r="BL118" s="408"/>
      <c r="BM118" s="408"/>
      <c r="BN118" s="408"/>
      <c r="BO118" s="408"/>
      <c r="BP118" s="408"/>
      <c r="BQ118" s="408"/>
      <c r="BR118" s="408"/>
      <c r="BS118" s="408"/>
      <c r="BT118" s="408"/>
      <c r="BU118" s="408"/>
      <c r="BV118" s="408"/>
      <c r="BW118" s="408"/>
      <c r="BX118" s="408"/>
      <c r="BY118" s="408"/>
      <c r="BZ118" s="408"/>
      <c r="CA118" s="408"/>
      <c r="CB118" s="408"/>
      <c r="CC118" s="408"/>
      <c r="CD118" s="408"/>
      <c r="CE118" s="408"/>
      <c r="CF118" s="408"/>
      <c r="CG118" s="408"/>
      <c r="CH118" s="408"/>
      <c r="CI118" s="408"/>
      <c r="CJ118" s="408"/>
      <c r="CK118" s="408"/>
      <c r="CL118" s="408"/>
      <c r="CM118" s="408"/>
      <c r="CN118" s="408"/>
    </row>
    <row r="119">
      <c r="A119" s="408"/>
      <c r="B119" s="408"/>
      <c r="C119" s="408"/>
      <c r="D119" s="408"/>
      <c r="E119" s="408"/>
      <c r="F119" s="408"/>
      <c r="G119" s="408"/>
      <c r="H119" s="408"/>
      <c r="I119" s="408"/>
      <c r="J119" s="408"/>
      <c r="K119" s="408"/>
      <c r="L119" s="408"/>
      <c r="M119" s="408"/>
      <c r="N119" s="408"/>
      <c r="O119" s="408"/>
      <c r="P119" s="408"/>
      <c r="Q119" s="408"/>
      <c r="R119" s="408"/>
      <c r="S119" s="408"/>
      <c r="T119" s="408"/>
      <c r="U119" s="408"/>
      <c r="V119" s="408"/>
      <c r="W119" s="408"/>
      <c r="X119" s="408"/>
      <c r="Y119" s="408"/>
      <c r="Z119" s="408"/>
      <c r="AA119" s="408"/>
      <c r="AB119" s="408"/>
      <c r="AC119" s="408"/>
      <c r="AD119" s="408"/>
      <c r="AE119" s="408"/>
      <c r="AF119" s="408"/>
      <c r="AG119" s="408"/>
      <c r="AH119" s="408"/>
      <c r="AI119" s="408"/>
      <c r="AJ119" s="408"/>
      <c r="AK119" s="408"/>
      <c r="AL119" s="408"/>
      <c r="AM119" s="408"/>
      <c r="AN119" s="408"/>
      <c r="AO119" s="408"/>
      <c r="AP119" s="408"/>
      <c r="AQ119" s="408"/>
      <c r="AR119" s="408"/>
      <c r="AS119" s="408"/>
      <c r="AT119" s="408"/>
      <c r="AU119" s="408"/>
      <c r="AV119" s="408"/>
      <c r="AW119" s="408"/>
      <c r="AX119" s="408"/>
      <c r="AY119" s="408"/>
      <c r="AZ119" s="408"/>
      <c r="BA119" s="408"/>
      <c r="BB119" s="408"/>
      <c r="BC119" s="408"/>
      <c r="BD119" s="408"/>
      <c r="BE119" s="408"/>
      <c r="BF119" s="408"/>
      <c r="BG119" s="408"/>
      <c r="BH119" s="408"/>
      <c r="BI119" s="408"/>
      <c r="BJ119" s="408"/>
      <c r="BK119" s="408"/>
      <c r="BL119" s="408"/>
      <c r="BM119" s="408"/>
      <c r="BN119" s="408"/>
      <c r="BO119" s="408"/>
      <c r="BP119" s="408"/>
      <c r="BQ119" s="408"/>
      <c r="BR119" s="408"/>
      <c r="BS119" s="408"/>
      <c r="BT119" s="408"/>
      <c r="BU119" s="408"/>
      <c r="BV119" s="408"/>
      <c r="BW119" s="408"/>
      <c r="BX119" s="408"/>
      <c r="BY119" s="408"/>
      <c r="BZ119" s="408"/>
      <c r="CA119" s="408"/>
      <c r="CB119" s="408"/>
      <c r="CC119" s="408"/>
      <c r="CD119" s="408"/>
      <c r="CE119" s="408"/>
      <c r="CF119" s="408"/>
      <c r="CG119" s="408"/>
      <c r="CH119" s="408"/>
      <c r="CI119" s="408"/>
      <c r="CJ119" s="408"/>
      <c r="CK119" s="408"/>
      <c r="CL119" s="408"/>
      <c r="CM119" s="408"/>
      <c r="CN119" s="408"/>
    </row>
    <row r="120">
      <c r="A120" s="408"/>
      <c r="B120" s="408"/>
      <c r="C120" s="408"/>
      <c r="D120" s="408"/>
      <c r="E120" s="408"/>
      <c r="F120" s="408"/>
      <c r="G120" s="408"/>
      <c r="H120" s="408"/>
      <c r="I120" s="408"/>
      <c r="J120" s="408"/>
      <c r="K120" s="408"/>
      <c r="L120" s="408"/>
      <c r="M120" s="408"/>
      <c r="N120" s="408"/>
      <c r="O120" s="408"/>
      <c r="P120" s="408"/>
      <c r="Q120" s="408"/>
      <c r="R120" s="408"/>
      <c r="S120" s="408"/>
      <c r="T120" s="408"/>
      <c r="U120" s="408"/>
      <c r="V120" s="408"/>
      <c r="W120" s="408"/>
      <c r="X120" s="408"/>
      <c r="Y120" s="408"/>
      <c r="Z120" s="408"/>
      <c r="AA120" s="408"/>
      <c r="AB120" s="408"/>
      <c r="AC120" s="408"/>
      <c r="AD120" s="408"/>
      <c r="AE120" s="408"/>
      <c r="AF120" s="408"/>
      <c r="AG120" s="408"/>
      <c r="AH120" s="408"/>
      <c r="AI120" s="408"/>
      <c r="AJ120" s="408"/>
      <c r="AK120" s="408"/>
      <c r="AL120" s="408"/>
      <c r="AM120" s="408"/>
      <c r="AN120" s="408"/>
      <c r="AO120" s="408"/>
      <c r="AP120" s="408"/>
      <c r="AQ120" s="408"/>
      <c r="AR120" s="408"/>
      <c r="AS120" s="408"/>
      <c r="AT120" s="408"/>
      <c r="AU120" s="408"/>
      <c r="AV120" s="408"/>
      <c r="AW120" s="408"/>
      <c r="AX120" s="408"/>
      <c r="AY120" s="408"/>
      <c r="AZ120" s="408"/>
      <c r="BA120" s="408"/>
      <c r="BB120" s="408"/>
      <c r="BC120" s="408"/>
      <c r="BD120" s="408"/>
      <c r="BE120" s="408"/>
      <c r="BF120" s="408"/>
      <c r="BG120" s="408"/>
      <c r="BH120" s="408"/>
      <c r="BI120" s="408"/>
      <c r="BJ120" s="408"/>
      <c r="BK120" s="408"/>
      <c r="BL120" s="408"/>
      <c r="BM120" s="408"/>
      <c r="BN120" s="408"/>
      <c r="BO120" s="408"/>
      <c r="BP120" s="408"/>
      <c r="BQ120" s="408"/>
      <c r="BR120" s="408"/>
      <c r="BS120" s="408"/>
      <c r="BT120" s="408"/>
      <c r="BU120" s="408"/>
      <c r="BV120" s="408"/>
      <c r="BW120" s="408"/>
      <c r="BX120" s="408"/>
      <c r="BY120" s="408"/>
      <c r="BZ120" s="408"/>
      <c r="CA120" s="408"/>
      <c r="CB120" s="408"/>
      <c r="CC120" s="408"/>
      <c r="CD120" s="408"/>
      <c r="CE120" s="408"/>
      <c r="CF120" s="408"/>
      <c r="CG120" s="408"/>
      <c r="CH120" s="408"/>
      <c r="CI120" s="408"/>
      <c r="CJ120" s="408"/>
      <c r="CK120" s="408"/>
      <c r="CL120" s="408"/>
      <c r="CM120" s="408"/>
      <c r="CN120" s="408"/>
    </row>
    <row r="121">
      <c r="A121" s="408"/>
      <c r="B121" s="408"/>
      <c r="C121" s="408"/>
      <c r="D121" s="408"/>
      <c r="E121" s="408"/>
      <c r="F121" s="408"/>
      <c r="G121" s="408"/>
      <c r="H121" s="408"/>
      <c r="I121" s="408"/>
      <c r="J121" s="408"/>
      <c r="K121" s="408"/>
      <c r="L121" s="408"/>
      <c r="M121" s="408"/>
      <c r="N121" s="408"/>
      <c r="O121" s="408"/>
      <c r="P121" s="408"/>
      <c r="Q121" s="408"/>
      <c r="R121" s="408"/>
      <c r="S121" s="408"/>
      <c r="T121" s="408"/>
      <c r="U121" s="408"/>
      <c r="V121" s="408"/>
      <c r="W121" s="408"/>
      <c r="X121" s="408"/>
      <c r="Y121" s="408"/>
      <c r="Z121" s="408"/>
      <c r="AA121" s="408"/>
      <c r="AB121" s="408"/>
      <c r="AC121" s="408"/>
      <c r="AD121" s="408"/>
      <c r="AE121" s="408"/>
      <c r="AF121" s="408"/>
      <c r="AG121" s="408"/>
      <c r="AH121" s="408"/>
      <c r="AI121" s="408"/>
      <c r="AJ121" s="408"/>
      <c r="AK121" s="408"/>
      <c r="AL121" s="408"/>
      <c r="AM121" s="408"/>
      <c r="AN121" s="408"/>
      <c r="AO121" s="408"/>
      <c r="AP121" s="408"/>
      <c r="AQ121" s="408"/>
      <c r="AR121" s="408"/>
      <c r="AS121" s="408"/>
      <c r="AT121" s="408"/>
      <c r="AU121" s="408"/>
      <c r="AV121" s="408"/>
      <c r="AW121" s="408"/>
      <c r="AX121" s="408"/>
      <c r="AY121" s="408"/>
      <c r="AZ121" s="408"/>
      <c r="BA121" s="408"/>
      <c r="BB121" s="408"/>
      <c r="BC121" s="408"/>
      <c r="BD121" s="408"/>
      <c r="BE121" s="408"/>
      <c r="BF121" s="408"/>
      <c r="BG121" s="408"/>
      <c r="BH121" s="408"/>
      <c r="BI121" s="408"/>
      <c r="BJ121" s="408"/>
      <c r="BK121" s="408"/>
      <c r="BL121" s="408"/>
      <c r="BM121" s="408"/>
      <c r="BN121" s="408"/>
      <c r="BO121" s="408"/>
      <c r="BP121" s="408"/>
      <c r="BQ121" s="408"/>
      <c r="BR121" s="408"/>
      <c r="BS121" s="408"/>
      <c r="BT121" s="408"/>
      <c r="BU121" s="408"/>
      <c r="BV121" s="408"/>
      <c r="BW121" s="408"/>
      <c r="BX121" s="408"/>
      <c r="BY121" s="408"/>
      <c r="BZ121" s="408"/>
      <c r="CA121" s="408"/>
      <c r="CB121" s="408"/>
      <c r="CC121" s="408"/>
      <c r="CD121" s="408"/>
      <c r="CE121" s="408"/>
      <c r="CF121" s="408"/>
      <c r="CG121" s="408"/>
      <c r="CH121" s="408"/>
      <c r="CI121" s="408"/>
      <c r="CJ121" s="408"/>
      <c r="CK121" s="408"/>
      <c r="CL121" s="408"/>
      <c r="CM121" s="408"/>
      <c r="CN121" s="408"/>
    </row>
    <row r="122">
      <c r="A122" s="408"/>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c r="AA122" s="408"/>
      <c r="AB122" s="408"/>
      <c r="AC122" s="408"/>
      <c r="AD122" s="408"/>
      <c r="AE122" s="408"/>
      <c r="AF122" s="408"/>
      <c r="AG122" s="408"/>
      <c r="AH122" s="408"/>
      <c r="AI122" s="408"/>
      <c r="AJ122" s="408"/>
      <c r="AK122" s="408"/>
      <c r="AL122" s="408"/>
      <c r="AM122" s="408"/>
      <c r="AN122" s="408"/>
      <c r="AO122" s="408"/>
      <c r="AP122" s="408"/>
      <c r="AQ122" s="408"/>
      <c r="AR122" s="408"/>
      <c r="AS122" s="408"/>
      <c r="AT122" s="408"/>
      <c r="AU122" s="408"/>
      <c r="AV122" s="408"/>
      <c r="AW122" s="408"/>
      <c r="AX122" s="408"/>
      <c r="AY122" s="408"/>
      <c r="AZ122" s="408"/>
      <c r="BA122" s="408"/>
      <c r="BB122" s="408"/>
      <c r="BC122" s="408"/>
      <c r="BD122" s="408"/>
      <c r="BE122" s="408"/>
      <c r="BF122" s="408"/>
      <c r="BG122" s="408"/>
      <c r="BH122" s="408"/>
      <c r="BI122" s="408"/>
      <c r="BJ122" s="408"/>
      <c r="BK122" s="408"/>
      <c r="BL122" s="408"/>
      <c r="BM122" s="408"/>
      <c r="BN122" s="408"/>
      <c r="BO122" s="408"/>
      <c r="BP122" s="408"/>
      <c r="BQ122" s="408"/>
      <c r="BR122" s="408"/>
      <c r="BS122" s="408"/>
      <c r="BT122" s="408"/>
      <c r="BU122" s="408"/>
      <c r="BV122" s="408"/>
      <c r="BW122" s="408"/>
      <c r="BX122" s="408"/>
      <c r="BY122" s="408"/>
      <c r="BZ122" s="408"/>
      <c r="CA122" s="408"/>
      <c r="CB122" s="408"/>
      <c r="CC122" s="408"/>
      <c r="CD122" s="408"/>
      <c r="CE122" s="408"/>
      <c r="CF122" s="408"/>
      <c r="CG122" s="408"/>
      <c r="CH122" s="408"/>
      <c r="CI122" s="408"/>
      <c r="CJ122" s="408"/>
      <c r="CK122" s="408"/>
      <c r="CL122" s="408"/>
      <c r="CM122" s="408"/>
      <c r="CN122" s="408"/>
    </row>
    <row r="123">
      <c r="A123" s="408"/>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c r="AA123" s="408"/>
      <c r="AB123" s="408"/>
      <c r="AC123" s="408"/>
      <c r="AD123" s="408"/>
      <c r="AE123" s="408"/>
      <c r="AF123" s="408"/>
      <c r="AG123" s="408"/>
      <c r="AH123" s="408"/>
      <c r="AI123" s="408"/>
      <c r="AJ123" s="408"/>
      <c r="AK123" s="408"/>
      <c r="AL123" s="408"/>
      <c r="AM123" s="408"/>
      <c r="AN123" s="408"/>
      <c r="AO123" s="408"/>
      <c r="AP123" s="408"/>
      <c r="AQ123" s="408"/>
      <c r="AR123" s="408"/>
      <c r="AS123" s="408"/>
      <c r="AT123" s="408"/>
      <c r="AU123" s="408"/>
      <c r="AV123" s="408"/>
      <c r="AW123" s="408"/>
      <c r="AX123" s="408"/>
      <c r="AY123" s="408"/>
      <c r="AZ123" s="408"/>
      <c r="BA123" s="408"/>
      <c r="BB123" s="408"/>
      <c r="BC123" s="408"/>
      <c r="BD123" s="408"/>
      <c r="BE123" s="408"/>
      <c r="BF123" s="408"/>
      <c r="BG123" s="408"/>
      <c r="BH123" s="408"/>
      <c r="BI123" s="408"/>
      <c r="BJ123" s="408"/>
      <c r="BK123" s="408"/>
      <c r="BL123" s="408"/>
      <c r="BM123" s="408"/>
      <c r="BN123" s="408"/>
      <c r="BO123" s="408"/>
      <c r="BP123" s="408"/>
      <c r="BQ123" s="408"/>
      <c r="BR123" s="408"/>
      <c r="BS123" s="408"/>
      <c r="BT123" s="408"/>
      <c r="BU123" s="408"/>
      <c r="BV123" s="408"/>
      <c r="BW123" s="408"/>
      <c r="BX123" s="408"/>
      <c r="BY123" s="408"/>
      <c r="BZ123" s="408"/>
      <c r="CA123" s="408"/>
      <c r="CB123" s="408"/>
      <c r="CC123" s="408"/>
      <c r="CD123" s="408"/>
      <c r="CE123" s="408"/>
      <c r="CF123" s="408"/>
      <c r="CG123" s="408"/>
      <c r="CH123" s="408"/>
      <c r="CI123" s="408"/>
      <c r="CJ123" s="408"/>
      <c r="CK123" s="408"/>
      <c r="CL123" s="408"/>
      <c r="CM123" s="408"/>
      <c r="CN123" s="408"/>
    </row>
    <row r="124">
      <c r="A124" s="408"/>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c r="AA124" s="408"/>
      <c r="AB124" s="408"/>
      <c r="AC124" s="408"/>
      <c r="AD124" s="408"/>
      <c r="AE124" s="408"/>
      <c r="AF124" s="408"/>
      <c r="AG124" s="408"/>
      <c r="AH124" s="408"/>
      <c r="AI124" s="408"/>
      <c r="AJ124" s="408"/>
      <c r="AK124" s="408"/>
      <c r="AL124" s="408"/>
      <c r="AM124" s="408"/>
      <c r="AN124" s="408"/>
      <c r="AO124" s="408"/>
      <c r="AP124" s="408"/>
      <c r="AQ124" s="408"/>
      <c r="AR124" s="408"/>
      <c r="AS124" s="408"/>
      <c r="AT124" s="408"/>
      <c r="AU124" s="408"/>
      <c r="AV124" s="408"/>
      <c r="AW124" s="408"/>
      <c r="AX124" s="408"/>
      <c r="AY124" s="408"/>
      <c r="AZ124" s="408"/>
      <c r="BA124" s="408"/>
      <c r="BB124" s="408"/>
      <c r="BC124" s="408"/>
      <c r="BD124" s="408"/>
      <c r="BE124" s="408"/>
      <c r="BF124" s="408"/>
      <c r="BG124" s="408"/>
      <c r="BH124" s="408"/>
      <c r="BI124" s="408"/>
      <c r="BJ124" s="408"/>
      <c r="BK124" s="408"/>
      <c r="BL124" s="408"/>
      <c r="BM124" s="408"/>
      <c r="BN124" s="408"/>
      <c r="BO124" s="408"/>
      <c r="BP124" s="408"/>
      <c r="BQ124" s="408"/>
      <c r="BR124" s="408"/>
      <c r="BS124" s="408"/>
      <c r="BT124" s="408"/>
      <c r="BU124" s="408"/>
      <c r="BV124" s="408"/>
      <c r="BW124" s="408"/>
      <c r="BX124" s="408"/>
      <c r="BY124" s="408"/>
      <c r="BZ124" s="408"/>
      <c r="CA124" s="408"/>
      <c r="CB124" s="408"/>
      <c r="CC124" s="408"/>
      <c r="CD124" s="408"/>
      <c r="CE124" s="408"/>
      <c r="CF124" s="408"/>
      <c r="CG124" s="408"/>
      <c r="CH124" s="408"/>
      <c r="CI124" s="408"/>
      <c r="CJ124" s="408"/>
      <c r="CK124" s="408"/>
      <c r="CL124" s="408"/>
      <c r="CM124" s="408"/>
      <c r="CN124" s="408"/>
    </row>
    <row r="125">
      <c r="A125" s="408"/>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c r="AA125" s="408"/>
      <c r="AB125" s="408"/>
      <c r="AC125" s="408"/>
      <c r="AD125" s="408"/>
      <c r="AE125" s="408"/>
      <c r="AF125" s="408"/>
      <c r="AG125" s="408"/>
      <c r="AH125" s="408"/>
      <c r="AI125" s="408"/>
      <c r="AJ125" s="408"/>
      <c r="AK125" s="408"/>
      <c r="AL125" s="408"/>
      <c r="AM125" s="408"/>
      <c r="AN125" s="408"/>
      <c r="AO125" s="408"/>
      <c r="AP125" s="408"/>
      <c r="AQ125" s="408"/>
      <c r="AR125" s="408"/>
      <c r="AS125" s="408"/>
      <c r="AT125" s="408"/>
      <c r="AU125" s="408"/>
      <c r="AV125" s="408"/>
      <c r="AW125" s="408"/>
      <c r="AX125" s="408"/>
      <c r="AY125" s="408"/>
      <c r="AZ125" s="408"/>
      <c r="BA125" s="408"/>
      <c r="BB125" s="408"/>
      <c r="BC125" s="408"/>
      <c r="BD125" s="408"/>
      <c r="BE125" s="408"/>
      <c r="BF125" s="408"/>
      <c r="BG125" s="408"/>
      <c r="BH125" s="408"/>
      <c r="BI125" s="408"/>
      <c r="BJ125" s="408"/>
      <c r="BK125" s="408"/>
      <c r="BL125" s="408"/>
      <c r="BM125" s="408"/>
      <c r="BN125" s="408"/>
      <c r="BO125" s="408"/>
      <c r="BP125" s="408"/>
      <c r="BQ125" s="408"/>
      <c r="BR125" s="408"/>
      <c r="BS125" s="408"/>
      <c r="BT125" s="408"/>
      <c r="BU125" s="408"/>
      <c r="BV125" s="408"/>
      <c r="BW125" s="408"/>
      <c r="BX125" s="408"/>
      <c r="BY125" s="408"/>
      <c r="BZ125" s="408"/>
      <c r="CA125" s="408"/>
      <c r="CB125" s="408"/>
      <c r="CC125" s="408"/>
      <c r="CD125" s="408"/>
      <c r="CE125" s="408"/>
      <c r="CF125" s="408"/>
      <c r="CG125" s="408"/>
      <c r="CH125" s="408"/>
      <c r="CI125" s="408"/>
      <c r="CJ125" s="408"/>
      <c r="CK125" s="408"/>
      <c r="CL125" s="408"/>
      <c r="CM125" s="408"/>
      <c r="CN125" s="408"/>
    </row>
    <row r="126">
      <c r="A126" s="408"/>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c r="AA126" s="408"/>
      <c r="AB126" s="408"/>
      <c r="AC126" s="408"/>
      <c r="AD126" s="408"/>
      <c r="AE126" s="408"/>
      <c r="AF126" s="408"/>
      <c r="AG126" s="408"/>
      <c r="AH126" s="408"/>
      <c r="AI126" s="408"/>
      <c r="AJ126" s="408"/>
      <c r="AK126" s="408"/>
      <c r="AL126" s="408"/>
      <c r="AM126" s="408"/>
      <c r="AN126" s="408"/>
      <c r="AO126" s="408"/>
      <c r="AP126" s="408"/>
      <c r="AQ126" s="408"/>
      <c r="AR126" s="408"/>
      <c r="AS126" s="408"/>
      <c r="AT126" s="408"/>
      <c r="AU126" s="408"/>
      <c r="AV126" s="408"/>
      <c r="AW126" s="408"/>
      <c r="AX126" s="408"/>
      <c r="AY126" s="408"/>
      <c r="AZ126" s="408"/>
      <c r="BA126" s="408"/>
      <c r="BB126" s="408"/>
      <c r="BC126" s="408"/>
      <c r="BD126" s="408"/>
      <c r="BE126" s="408"/>
      <c r="BF126" s="408"/>
      <c r="BG126" s="408"/>
      <c r="BH126" s="408"/>
      <c r="BI126" s="408"/>
      <c r="BJ126" s="408"/>
      <c r="BK126" s="408"/>
      <c r="BL126" s="408"/>
      <c r="BM126" s="408"/>
      <c r="BN126" s="408"/>
      <c r="BO126" s="408"/>
      <c r="BP126" s="408"/>
      <c r="BQ126" s="408"/>
      <c r="BR126" s="408"/>
      <c r="BS126" s="408"/>
      <c r="BT126" s="408"/>
      <c r="BU126" s="408"/>
      <c r="BV126" s="408"/>
      <c r="BW126" s="408"/>
      <c r="BX126" s="408"/>
      <c r="BY126" s="408"/>
      <c r="BZ126" s="408"/>
      <c r="CA126" s="408"/>
      <c r="CB126" s="408"/>
      <c r="CC126" s="408"/>
      <c r="CD126" s="408"/>
      <c r="CE126" s="408"/>
      <c r="CF126" s="408"/>
      <c r="CG126" s="408"/>
      <c r="CH126" s="408"/>
      <c r="CI126" s="408"/>
      <c r="CJ126" s="408"/>
      <c r="CK126" s="408"/>
      <c r="CL126" s="408"/>
      <c r="CM126" s="408"/>
      <c r="CN126" s="408"/>
    </row>
    <row r="127">
      <c r="A127" s="408"/>
      <c r="B127" s="408"/>
      <c r="C127" s="408"/>
      <c r="D127" s="408"/>
      <c r="E127" s="408"/>
      <c r="F127" s="408"/>
      <c r="G127" s="408"/>
      <c r="H127" s="408"/>
      <c r="I127" s="408"/>
      <c r="J127" s="408"/>
      <c r="K127" s="408"/>
      <c r="L127" s="408"/>
      <c r="M127" s="408"/>
      <c r="N127" s="408"/>
      <c r="O127" s="408"/>
      <c r="P127" s="408"/>
      <c r="Q127" s="408"/>
      <c r="R127" s="408"/>
      <c r="S127" s="408"/>
      <c r="T127" s="408"/>
      <c r="U127" s="408"/>
      <c r="V127" s="408"/>
      <c r="W127" s="408"/>
      <c r="X127" s="408"/>
      <c r="Y127" s="408"/>
      <c r="Z127" s="408"/>
      <c r="AA127" s="408"/>
      <c r="AB127" s="408"/>
      <c r="AC127" s="408"/>
      <c r="AD127" s="408"/>
      <c r="AE127" s="408"/>
      <c r="AF127" s="408"/>
      <c r="AG127" s="408"/>
      <c r="AH127" s="408"/>
      <c r="AI127" s="408"/>
      <c r="AJ127" s="408"/>
      <c r="AK127" s="408"/>
      <c r="AL127" s="408"/>
      <c r="AM127" s="408"/>
      <c r="AN127" s="408"/>
      <c r="AO127" s="408"/>
      <c r="AP127" s="408"/>
      <c r="AQ127" s="408"/>
      <c r="AR127" s="408"/>
      <c r="AS127" s="408"/>
      <c r="AT127" s="408"/>
      <c r="AU127" s="408"/>
      <c r="AV127" s="408"/>
      <c r="AW127" s="408"/>
      <c r="AX127" s="408"/>
      <c r="AY127" s="408"/>
      <c r="AZ127" s="408"/>
      <c r="BA127" s="408"/>
      <c r="BB127" s="408"/>
      <c r="BC127" s="408"/>
      <c r="BD127" s="408"/>
      <c r="BE127" s="408"/>
      <c r="BF127" s="408"/>
      <c r="BG127" s="408"/>
      <c r="BH127" s="408"/>
      <c r="BI127" s="408"/>
      <c r="BJ127" s="408"/>
      <c r="BK127" s="408"/>
      <c r="BL127" s="408"/>
      <c r="BM127" s="408"/>
      <c r="BN127" s="408"/>
      <c r="BO127" s="408"/>
      <c r="BP127" s="408"/>
      <c r="BQ127" s="408"/>
      <c r="BR127" s="408"/>
      <c r="BS127" s="408"/>
      <c r="BT127" s="408"/>
      <c r="BU127" s="408"/>
      <c r="BV127" s="408"/>
      <c r="BW127" s="408"/>
      <c r="BX127" s="408"/>
      <c r="BY127" s="408"/>
      <c r="BZ127" s="408"/>
      <c r="CA127" s="408"/>
      <c r="CB127" s="408"/>
      <c r="CC127" s="408"/>
      <c r="CD127" s="408"/>
      <c r="CE127" s="408"/>
      <c r="CF127" s="408"/>
      <c r="CG127" s="408"/>
      <c r="CH127" s="408"/>
      <c r="CI127" s="408"/>
      <c r="CJ127" s="408"/>
      <c r="CK127" s="408"/>
      <c r="CL127" s="408"/>
      <c r="CM127" s="408"/>
      <c r="CN127" s="408"/>
    </row>
    <row r="128">
      <c r="A128" s="408"/>
      <c r="B128" s="408"/>
      <c r="C128" s="408"/>
      <c r="D128" s="408"/>
      <c r="E128" s="408"/>
      <c r="F128" s="408"/>
      <c r="G128" s="408"/>
      <c r="H128" s="408"/>
      <c r="I128" s="408"/>
      <c r="J128" s="408"/>
      <c r="K128" s="408"/>
      <c r="L128" s="408"/>
      <c r="M128" s="408"/>
      <c r="N128" s="408"/>
      <c r="O128" s="408"/>
      <c r="P128" s="408"/>
      <c r="Q128" s="408"/>
      <c r="R128" s="408"/>
      <c r="S128" s="408"/>
      <c r="T128" s="408"/>
      <c r="U128" s="408"/>
      <c r="V128" s="408"/>
      <c r="W128" s="408"/>
      <c r="X128" s="408"/>
      <c r="Y128" s="408"/>
      <c r="Z128" s="408"/>
      <c r="AA128" s="408"/>
      <c r="AB128" s="408"/>
      <c r="AC128" s="408"/>
      <c r="AD128" s="408"/>
      <c r="AE128" s="408"/>
      <c r="AF128" s="408"/>
      <c r="AG128" s="408"/>
      <c r="AH128" s="408"/>
      <c r="AI128" s="408"/>
      <c r="AJ128" s="408"/>
      <c r="AK128" s="408"/>
      <c r="AL128" s="408"/>
      <c r="AM128" s="408"/>
      <c r="AN128" s="408"/>
      <c r="AO128" s="408"/>
      <c r="AP128" s="408"/>
      <c r="AQ128" s="408"/>
      <c r="AR128" s="408"/>
      <c r="AS128" s="408"/>
      <c r="AT128" s="408"/>
      <c r="AU128" s="408"/>
      <c r="AV128" s="408"/>
      <c r="AW128" s="408"/>
      <c r="AX128" s="408"/>
      <c r="AY128" s="408"/>
      <c r="AZ128" s="408"/>
      <c r="BA128" s="408"/>
      <c r="BB128" s="408"/>
      <c r="BC128" s="408"/>
      <c r="BD128" s="408"/>
      <c r="BE128" s="408"/>
      <c r="BF128" s="408"/>
      <c r="BG128" s="408"/>
      <c r="BH128" s="408"/>
      <c r="BI128" s="408"/>
      <c r="BJ128" s="408"/>
      <c r="BK128" s="408"/>
      <c r="BL128" s="408"/>
      <c r="BM128" s="408"/>
      <c r="BN128" s="408"/>
      <c r="BO128" s="408"/>
      <c r="BP128" s="408"/>
      <c r="BQ128" s="408"/>
      <c r="BR128" s="408"/>
      <c r="BS128" s="408"/>
      <c r="BT128" s="408"/>
      <c r="BU128" s="408"/>
      <c r="BV128" s="408"/>
      <c r="BW128" s="408"/>
      <c r="BX128" s="408"/>
      <c r="BY128" s="408"/>
      <c r="BZ128" s="408"/>
      <c r="CA128" s="408"/>
      <c r="CB128" s="408"/>
      <c r="CC128" s="408"/>
      <c r="CD128" s="408"/>
      <c r="CE128" s="408"/>
      <c r="CF128" s="408"/>
      <c r="CG128" s="408"/>
      <c r="CH128" s="408"/>
      <c r="CI128" s="408"/>
      <c r="CJ128" s="408"/>
      <c r="CK128" s="408"/>
      <c r="CL128" s="408"/>
      <c r="CM128" s="408"/>
      <c r="CN128" s="408"/>
    </row>
    <row r="129">
      <c r="A129" s="408"/>
      <c r="B129" s="408"/>
      <c r="C129" s="408"/>
      <c r="D129" s="408"/>
      <c r="E129" s="408"/>
      <c r="F129" s="408"/>
      <c r="G129" s="408"/>
      <c r="H129" s="408"/>
      <c r="I129" s="408"/>
      <c r="J129" s="408"/>
      <c r="K129" s="408"/>
      <c r="L129" s="408"/>
      <c r="M129" s="408"/>
      <c r="N129" s="408"/>
      <c r="O129" s="408"/>
      <c r="P129" s="408"/>
      <c r="Q129" s="408"/>
      <c r="R129" s="408"/>
      <c r="S129" s="408"/>
      <c r="T129" s="408"/>
      <c r="U129" s="408"/>
      <c r="V129" s="408"/>
      <c r="W129" s="408"/>
      <c r="X129" s="408"/>
      <c r="Y129" s="408"/>
      <c r="Z129" s="408"/>
      <c r="AA129" s="408"/>
      <c r="AB129" s="408"/>
      <c r="AC129" s="408"/>
      <c r="AD129" s="408"/>
      <c r="AE129" s="408"/>
      <c r="AF129" s="408"/>
      <c r="AG129" s="408"/>
      <c r="AH129" s="408"/>
      <c r="AI129" s="408"/>
      <c r="AJ129" s="408"/>
      <c r="AK129" s="408"/>
      <c r="AL129" s="408"/>
      <c r="AM129" s="408"/>
      <c r="AN129" s="408"/>
      <c r="AO129" s="408"/>
      <c r="AP129" s="408"/>
      <c r="AQ129" s="408"/>
      <c r="AR129" s="408"/>
      <c r="AS129" s="408"/>
      <c r="AT129" s="408"/>
      <c r="AU129" s="408"/>
      <c r="AV129" s="408"/>
      <c r="AW129" s="408"/>
      <c r="AX129" s="408"/>
      <c r="AY129" s="408"/>
      <c r="AZ129" s="408"/>
      <c r="BA129" s="408"/>
      <c r="BB129" s="408"/>
      <c r="BC129" s="408"/>
      <c r="BD129" s="408"/>
      <c r="BE129" s="408"/>
      <c r="BF129" s="408"/>
      <c r="BG129" s="408"/>
      <c r="BH129" s="408"/>
      <c r="BI129" s="408"/>
      <c r="BJ129" s="408"/>
      <c r="BK129" s="408"/>
      <c r="BL129" s="408"/>
      <c r="BM129" s="408"/>
      <c r="BN129" s="408"/>
      <c r="BO129" s="408"/>
      <c r="BP129" s="408"/>
      <c r="BQ129" s="408"/>
      <c r="BR129" s="408"/>
      <c r="BS129" s="408"/>
      <c r="BT129" s="408"/>
      <c r="BU129" s="408"/>
      <c r="BV129" s="408"/>
      <c r="BW129" s="408"/>
      <c r="BX129" s="408"/>
      <c r="BY129" s="408"/>
      <c r="BZ129" s="408"/>
      <c r="CA129" s="408"/>
      <c r="CB129" s="408"/>
      <c r="CC129" s="408"/>
      <c r="CD129" s="408"/>
      <c r="CE129" s="408"/>
      <c r="CF129" s="408"/>
      <c r="CG129" s="408"/>
      <c r="CH129" s="408"/>
      <c r="CI129" s="408"/>
      <c r="CJ129" s="408"/>
      <c r="CK129" s="408"/>
      <c r="CL129" s="408"/>
      <c r="CM129" s="408"/>
      <c r="CN129" s="408"/>
    </row>
    <row r="130">
      <c r="A130" s="408"/>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8"/>
      <c r="Y130" s="408"/>
      <c r="Z130" s="408"/>
      <c r="AA130" s="408"/>
      <c r="AB130" s="408"/>
      <c r="AC130" s="408"/>
      <c r="AD130" s="408"/>
      <c r="AE130" s="408"/>
      <c r="AF130" s="408"/>
      <c r="AG130" s="408"/>
      <c r="AH130" s="408"/>
      <c r="AI130" s="408"/>
      <c r="AJ130" s="408"/>
      <c r="AK130" s="408"/>
      <c r="AL130" s="408"/>
      <c r="AM130" s="408"/>
      <c r="AN130" s="408"/>
      <c r="AO130" s="408"/>
      <c r="AP130" s="408"/>
      <c r="AQ130" s="408"/>
      <c r="AR130" s="408"/>
      <c r="AS130" s="408"/>
      <c r="AT130" s="408"/>
      <c r="AU130" s="408"/>
      <c r="AV130" s="408"/>
      <c r="AW130" s="408"/>
      <c r="AX130" s="408"/>
      <c r="AY130" s="408"/>
      <c r="AZ130" s="408"/>
      <c r="BA130" s="408"/>
      <c r="BB130" s="408"/>
      <c r="BC130" s="408"/>
      <c r="BD130" s="408"/>
      <c r="BE130" s="408"/>
      <c r="BF130" s="408"/>
      <c r="BG130" s="408"/>
      <c r="BH130" s="408"/>
      <c r="BI130" s="408"/>
      <c r="BJ130" s="408"/>
      <c r="BK130" s="408"/>
      <c r="BL130" s="408"/>
      <c r="BM130" s="408"/>
      <c r="BN130" s="408"/>
      <c r="BO130" s="408"/>
      <c r="BP130" s="408"/>
      <c r="BQ130" s="408"/>
      <c r="BR130" s="408"/>
      <c r="BS130" s="408"/>
      <c r="BT130" s="408"/>
      <c r="BU130" s="408"/>
      <c r="BV130" s="408"/>
      <c r="BW130" s="408"/>
      <c r="BX130" s="408"/>
      <c r="BY130" s="408"/>
      <c r="BZ130" s="408"/>
      <c r="CA130" s="408"/>
      <c r="CB130" s="408"/>
      <c r="CC130" s="408"/>
      <c r="CD130" s="408"/>
      <c r="CE130" s="408"/>
      <c r="CF130" s="408"/>
      <c r="CG130" s="408"/>
      <c r="CH130" s="408"/>
      <c r="CI130" s="408"/>
      <c r="CJ130" s="408"/>
      <c r="CK130" s="408"/>
      <c r="CL130" s="408"/>
      <c r="CM130" s="408"/>
      <c r="CN130" s="408"/>
    </row>
    <row r="131">
      <c r="A131" s="408"/>
      <c r="B131" s="408"/>
      <c r="C131" s="408"/>
      <c r="D131" s="408"/>
      <c r="E131" s="408"/>
      <c r="F131" s="408"/>
      <c r="G131" s="408"/>
      <c r="H131" s="408"/>
      <c r="I131" s="408"/>
      <c r="J131" s="408"/>
      <c r="K131" s="408"/>
      <c r="L131" s="408"/>
      <c r="M131" s="408"/>
      <c r="N131" s="408"/>
      <c r="O131" s="408"/>
      <c r="P131" s="408"/>
      <c r="Q131" s="408"/>
      <c r="R131" s="408"/>
      <c r="S131" s="408"/>
      <c r="T131" s="408"/>
      <c r="U131" s="408"/>
      <c r="V131" s="408"/>
      <c r="W131" s="408"/>
      <c r="X131" s="408"/>
      <c r="Y131" s="408"/>
      <c r="Z131" s="408"/>
      <c r="AA131" s="408"/>
      <c r="AB131" s="408"/>
      <c r="AC131" s="408"/>
      <c r="AD131" s="408"/>
      <c r="AE131" s="408"/>
      <c r="AF131" s="408"/>
      <c r="AG131" s="408"/>
      <c r="AH131" s="408"/>
      <c r="AI131" s="408"/>
      <c r="AJ131" s="408"/>
      <c r="AK131" s="408"/>
      <c r="AL131" s="408"/>
      <c r="AM131" s="408"/>
      <c r="AN131" s="408"/>
      <c r="AO131" s="408"/>
      <c r="AP131" s="408"/>
      <c r="AQ131" s="408"/>
      <c r="AR131" s="408"/>
      <c r="AS131" s="408"/>
      <c r="AT131" s="408"/>
      <c r="AU131" s="408"/>
      <c r="AV131" s="408"/>
      <c r="AW131" s="408"/>
      <c r="AX131" s="408"/>
      <c r="AY131" s="408"/>
      <c r="AZ131" s="408"/>
      <c r="BA131" s="408"/>
      <c r="BB131" s="408"/>
      <c r="BC131" s="408"/>
      <c r="BD131" s="408"/>
      <c r="BE131" s="408"/>
      <c r="BF131" s="408"/>
      <c r="BG131" s="408"/>
      <c r="BH131" s="408"/>
      <c r="BI131" s="408"/>
      <c r="BJ131" s="408"/>
      <c r="BK131" s="408"/>
      <c r="BL131" s="408"/>
      <c r="BM131" s="408"/>
      <c r="BN131" s="408"/>
      <c r="BO131" s="408"/>
      <c r="BP131" s="408"/>
      <c r="BQ131" s="408"/>
      <c r="BR131" s="408"/>
      <c r="BS131" s="408"/>
      <c r="BT131" s="408"/>
      <c r="BU131" s="408"/>
      <c r="BV131" s="408"/>
      <c r="BW131" s="408"/>
      <c r="BX131" s="408"/>
      <c r="BY131" s="408"/>
      <c r="BZ131" s="408"/>
      <c r="CA131" s="408"/>
      <c r="CB131" s="408"/>
      <c r="CC131" s="408"/>
      <c r="CD131" s="408"/>
      <c r="CE131" s="408"/>
      <c r="CF131" s="408"/>
      <c r="CG131" s="408"/>
      <c r="CH131" s="408"/>
      <c r="CI131" s="408"/>
      <c r="CJ131" s="408"/>
      <c r="CK131" s="408"/>
      <c r="CL131" s="408"/>
      <c r="CM131" s="408"/>
      <c r="CN131" s="408"/>
    </row>
    <row r="132">
      <c r="A132" s="408"/>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c r="AA132" s="408"/>
      <c r="AB132" s="408"/>
      <c r="AC132" s="408"/>
      <c r="AD132" s="408"/>
      <c r="AE132" s="408"/>
      <c r="AF132" s="408"/>
      <c r="AG132" s="408"/>
      <c r="AH132" s="408"/>
      <c r="AI132" s="408"/>
      <c r="AJ132" s="408"/>
      <c r="AK132" s="408"/>
      <c r="AL132" s="408"/>
      <c r="AM132" s="408"/>
      <c r="AN132" s="408"/>
      <c r="AO132" s="408"/>
      <c r="AP132" s="408"/>
      <c r="AQ132" s="408"/>
      <c r="AR132" s="408"/>
      <c r="AS132" s="408"/>
      <c r="AT132" s="408"/>
      <c r="AU132" s="408"/>
      <c r="AV132" s="408"/>
      <c r="AW132" s="408"/>
      <c r="AX132" s="408"/>
      <c r="AY132" s="408"/>
      <c r="AZ132" s="408"/>
      <c r="BA132" s="408"/>
      <c r="BB132" s="408"/>
      <c r="BC132" s="408"/>
      <c r="BD132" s="408"/>
      <c r="BE132" s="408"/>
      <c r="BF132" s="408"/>
      <c r="BG132" s="408"/>
      <c r="BH132" s="408"/>
      <c r="BI132" s="408"/>
      <c r="BJ132" s="408"/>
      <c r="BK132" s="408"/>
      <c r="BL132" s="408"/>
      <c r="BM132" s="408"/>
      <c r="BN132" s="408"/>
      <c r="BO132" s="408"/>
      <c r="BP132" s="408"/>
      <c r="BQ132" s="408"/>
      <c r="BR132" s="408"/>
      <c r="BS132" s="408"/>
      <c r="BT132" s="408"/>
      <c r="BU132" s="408"/>
      <c r="BV132" s="408"/>
      <c r="BW132" s="408"/>
      <c r="BX132" s="408"/>
      <c r="BY132" s="408"/>
      <c r="BZ132" s="408"/>
      <c r="CA132" s="408"/>
      <c r="CB132" s="408"/>
      <c r="CC132" s="408"/>
      <c r="CD132" s="408"/>
      <c r="CE132" s="408"/>
      <c r="CF132" s="408"/>
      <c r="CG132" s="408"/>
      <c r="CH132" s="408"/>
      <c r="CI132" s="408"/>
      <c r="CJ132" s="408"/>
      <c r="CK132" s="408"/>
      <c r="CL132" s="408"/>
      <c r="CM132" s="408"/>
      <c r="CN132" s="408"/>
    </row>
    <row r="133">
      <c r="A133" s="408"/>
      <c r="B133" s="408"/>
      <c r="C133" s="408"/>
      <c r="D133" s="408"/>
      <c r="E133" s="408"/>
      <c r="F133" s="408"/>
      <c r="G133" s="408"/>
      <c r="H133" s="408"/>
      <c r="I133" s="408"/>
      <c r="J133" s="408"/>
      <c r="K133" s="408"/>
      <c r="L133" s="408"/>
      <c r="M133" s="408"/>
      <c r="N133" s="408"/>
      <c r="O133" s="408"/>
      <c r="P133" s="408"/>
      <c r="Q133" s="408"/>
      <c r="R133" s="408"/>
      <c r="S133" s="408"/>
      <c r="T133" s="408"/>
      <c r="U133" s="408"/>
      <c r="V133" s="408"/>
      <c r="W133" s="408"/>
      <c r="X133" s="408"/>
      <c r="Y133" s="408"/>
      <c r="Z133" s="408"/>
      <c r="AA133" s="408"/>
      <c r="AB133" s="408"/>
      <c r="AC133" s="408"/>
      <c r="AD133" s="408"/>
      <c r="AE133" s="408"/>
      <c r="AF133" s="408"/>
      <c r="AG133" s="408"/>
      <c r="AH133" s="408"/>
      <c r="AI133" s="408"/>
      <c r="AJ133" s="408"/>
      <c r="AK133" s="408"/>
      <c r="AL133" s="408"/>
      <c r="AM133" s="408"/>
      <c r="AN133" s="408"/>
      <c r="AO133" s="408"/>
      <c r="AP133" s="408"/>
      <c r="AQ133" s="408"/>
      <c r="AR133" s="408"/>
      <c r="AS133" s="408"/>
      <c r="AT133" s="408"/>
      <c r="AU133" s="408"/>
      <c r="AV133" s="408"/>
      <c r="AW133" s="408"/>
      <c r="AX133" s="408"/>
      <c r="AY133" s="408"/>
      <c r="AZ133" s="408"/>
      <c r="BA133" s="408"/>
      <c r="BB133" s="408"/>
      <c r="BC133" s="408"/>
      <c r="BD133" s="408"/>
      <c r="BE133" s="408"/>
      <c r="BF133" s="408"/>
      <c r="BG133" s="408"/>
      <c r="BH133" s="408"/>
      <c r="BI133" s="408"/>
      <c r="BJ133" s="408"/>
      <c r="BK133" s="408"/>
      <c r="BL133" s="408"/>
      <c r="BM133" s="408"/>
      <c r="BN133" s="408"/>
      <c r="BO133" s="408"/>
      <c r="BP133" s="408"/>
      <c r="BQ133" s="408"/>
      <c r="BR133" s="408"/>
      <c r="BS133" s="408"/>
      <c r="BT133" s="408"/>
      <c r="BU133" s="408"/>
      <c r="BV133" s="408"/>
      <c r="BW133" s="408"/>
      <c r="BX133" s="408"/>
      <c r="BY133" s="408"/>
      <c r="BZ133" s="408"/>
      <c r="CA133" s="408"/>
      <c r="CB133" s="408"/>
      <c r="CC133" s="408"/>
      <c r="CD133" s="408"/>
      <c r="CE133" s="408"/>
      <c r="CF133" s="408"/>
      <c r="CG133" s="408"/>
      <c r="CH133" s="408"/>
      <c r="CI133" s="408"/>
      <c r="CJ133" s="408"/>
      <c r="CK133" s="408"/>
      <c r="CL133" s="408"/>
      <c r="CM133" s="408"/>
      <c r="CN133" s="408"/>
    </row>
    <row r="134">
      <c r="A134" s="408"/>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8"/>
      <c r="Y134" s="408"/>
      <c r="Z134" s="408"/>
      <c r="AA134" s="408"/>
      <c r="AB134" s="408"/>
      <c r="AC134" s="408"/>
      <c r="AD134" s="408"/>
      <c r="AE134" s="408"/>
      <c r="AF134" s="408"/>
      <c r="AG134" s="408"/>
      <c r="AH134" s="408"/>
      <c r="AI134" s="408"/>
      <c r="AJ134" s="408"/>
      <c r="AK134" s="408"/>
      <c r="AL134" s="408"/>
      <c r="AM134" s="408"/>
      <c r="AN134" s="408"/>
      <c r="AO134" s="408"/>
      <c r="AP134" s="408"/>
      <c r="AQ134" s="408"/>
      <c r="AR134" s="408"/>
      <c r="AS134" s="408"/>
      <c r="AT134" s="408"/>
      <c r="AU134" s="408"/>
      <c r="AV134" s="408"/>
      <c r="AW134" s="408"/>
      <c r="AX134" s="408"/>
      <c r="AY134" s="408"/>
      <c r="AZ134" s="408"/>
      <c r="BA134" s="408"/>
      <c r="BB134" s="408"/>
      <c r="BC134" s="408"/>
      <c r="BD134" s="408"/>
      <c r="BE134" s="408"/>
      <c r="BF134" s="408"/>
      <c r="BG134" s="408"/>
      <c r="BH134" s="408"/>
      <c r="BI134" s="408"/>
      <c r="BJ134" s="408"/>
      <c r="BK134" s="408"/>
      <c r="BL134" s="408"/>
      <c r="BM134" s="408"/>
      <c r="BN134" s="408"/>
      <c r="BO134" s="408"/>
      <c r="BP134" s="408"/>
      <c r="BQ134" s="408"/>
      <c r="BR134" s="408"/>
      <c r="BS134" s="408"/>
      <c r="BT134" s="408"/>
      <c r="BU134" s="408"/>
      <c r="BV134" s="408"/>
      <c r="BW134" s="408"/>
      <c r="BX134" s="408"/>
      <c r="BY134" s="408"/>
      <c r="BZ134" s="408"/>
      <c r="CA134" s="408"/>
      <c r="CB134" s="408"/>
      <c r="CC134" s="408"/>
      <c r="CD134" s="408"/>
      <c r="CE134" s="408"/>
      <c r="CF134" s="408"/>
      <c r="CG134" s="408"/>
      <c r="CH134" s="408"/>
      <c r="CI134" s="408"/>
      <c r="CJ134" s="408"/>
      <c r="CK134" s="408"/>
      <c r="CL134" s="408"/>
      <c r="CM134" s="408"/>
      <c r="CN134" s="408"/>
    </row>
    <row r="135">
      <c r="A135" s="408"/>
      <c r="B135" s="408"/>
      <c r="C135" s="408"/>
      <c r="D135" s="408"/>
      <c r="E135" s="408"/>
      <c r="F135" s="408"/>
      <c r="G135" s="408"/>
      <c r="H135" s="408"/>
      <c r="I135" s="408"/>
      <c r="J135" s="408"/>
      <c r="K135" s="408"/>
      <c r="L135" s="408"/>
      <c r="M135" s="408"/>
      <c r="N135" s="408"/>
      <c r="O135" s="408"/>
      <c r="P135" s="408"/>
      <c r="Q135" s="408"/>
      <c r="R135" s="408"/>
      <c r="S135" s="408"/>
      <c r="T135" s="408"/>
      <c r="U135" s="408"/>
      <c r="V135" s="408"/>
      <c r="W135" s="408"/>
      <c r="X135" s="408"/>
      <c r="Y135" s="408"/>
      <c r="Z135" s="408"/>
      <c r="AA135" s="408"/>
      <c r="AB135" s="408"/>
      <c r="AC135" s="408"/>
      <c r="AD135" s="408"/>
      <c r="AE135" s="408"/>
      <c r="AF135" s="408"/>
      <c r="AG135" s="408"/>
      <c r="AH135" s="408"/>
      <c r="AI135" s="408"/>
      <c r="AJ135" s="408"/>
      <c r="AK135" s="408"/>
      <c r="AL135" s="408"/>
      <c r="AM135" s="408"/>
      <c r="AN135" s="408"/>
      <c r="AO135" s="408"/>
      <c r="AP135" s="408"/>
      <c r="AQ135" s="408"/>
      <c r="AR135" s="408"/>
      <c r="AS135" s="408"/>
      <c r="AT135" s="408"/>
      <c r="AU135" s="408"/>
      <c r="AV135" s="408"/>
      <c r="AW135" s="408"/>
      <c r="AX135" s="408"/>
      <c r="AY135" s="408"/>
      <c r="AZ135" s="408"/>
      <c r="BA135" s="408"/>
      <c r="BB135" s="408"/>
      <c r="BC135" s="408"/>
      <c r="BD135" s="408"/>
      <c r="BE135" s="408"/>
      <c r="BF135" s="408"/>
      <c r="BG135" s="408"/>
      <c r="BH135" s="408"/>
      <c r="BI135" s="408"/>
      <c r="BJ135" s="408"/>
      <c r="BK135" s="408"/>
      <c r="BL135" s="408"/>
      <c r="BM135" s="408"/>
      <c r="BN135" s="408"/>
      <c r="BO135" s="408"/>
      <c r="BP135" s="408"/>
      <c r="BQ135" s="408"/>
      <c r="BR135" s="408"/>
      <c r="BS135" s="408"/>
      <c r="BT135" s="408"/>
      <c r="BU135" s="408"/>
      <c r="BV135" s="408"/>
      <c r="BW135" s="408"/>
      <c r="BX135" s="408"/>
      <c r="BY135" s="408"/>
      <c r="BZ135" s="408"/>
      <c r="CA135" s="408"/>
      <c r="CB135" s="408"/>
      <c r="CC135" s="408"/>
      <c r="CD135" s="408"/>
      <c r="CE135" s="408"/>
      <c r="CF135" s="408"/>
      <c r="CG135" s="408"/>
      <c r="CH135" s="408"/>
      <c r="CI135" s="408"/>
      <c r="CJ135" s="408"/>
      <c r="CK135" s="408"/>
      <c r="CL135" s="408"/>
      <c r="CM135" s="408"/>
      <c r="CN135" s="408"/>
    </row>
    <row r="136">
      <c r="A136" s="408"/>
      <c r="B136" s="408"/>
      <c r="C136" s="408"/>
      <c r="D136" s="408"/>
      <c r="E136" s="408"/>
      <c r="F136" s="408"/>
      <c r="G136" s="408"/>
      <c r="H136" s="408"/>
      <c r="I136" s="408"/>
      <c r="J136" s="408"/>
      <c r="K136" s="408"/>
      <c r="L136" s="408"/>
      <c r="M136" s="408"/>
      <c r="N136" s="408"/>
      <c r="O136" s="408"/>
      <c r="P136" s="408"/>
      <c r="Q136" s="408"/>
      <c r="R136" s="408"/>
      <c r="S136" s="408"/>
      <c r="T136" s="408"/>
      <c r="U136" s="408"/>
      <c r="V136" s="408"/>
      <c r="W136" s="408"/>
      <c r="X136" s="408"/>
      <c r="Y136" s="408"/>
      <c r="Z136" s="408"/>
      <c r="AA136" s="408"/>
      <c r="AB136" s="408"/>
      <c r="AC136" s="408"/>
      <c r="AD136" s="408"/>
      <c r="AE136" s="408"/>
      <c r="AF136" s="408"/>
      <c r="AG136" s="408"/>
      <c r="AH136" s="408"/>
      <c r="AI136" s="408"/>
      <c r="AJ136" s="408"/>
      <c r="AK136" s="408"/>
      <c r="AL136" s="408"/>
      <c r="AM136" s="408"/>
      <c r="AN136" s="408"/>
      <c r="AO136" s="408"/>
      <c r="AP136" s="408"/>
      <c r="AQ136" s="408"/>
      <c r="AR136" s="408"/>
      <c r="AS136" s="408"/>
      <c r="AT136" s="408"/>
      <c r="AU136" s="408"/>
      <c r="AV136" s="408"/>
      <c r="AW136" s="408"/>
      <c r="AX136" s="408"/>
      <c r="AY136" s="408"/>
      <c r="AZ136" s="408"/>
      <c r="BA136" s="408"/>
      <c r="BB136" s="408"/>
      <c r="BC136" s="408"/>
      <c r="BD136" s="408"/>
      <c r="BE136" s="408"/>
      <c r="BF136" s="408"/>
      <c r="BG136" s="408"/>
      <c r="BH136" s="408"/>
      <c r="BI136" s="408"/>
      <c r="BJ136" s="408"/>
      <c r="BK136" s="408"/>
      <c r="BL136" s="408"/>
      <c r="BM136" s="408"/>
      <c r="BN136" s="408"/>
      <c r="BO136" s="408"/>
      <c r="BP136" s="408"/>
      <c r="BQ136" s="408"/>
      <c r="BR136" s="408"/>
      <c r="BS136" s="408"/>
      <c r="BT136" s="408"/>
      <c r="BU136" s="408"/>
      <c r="BV136" s="408"/>
      <c r="BW136" s="408"/>
      <c r="BX136" s="408"/>
      <c r="BY136" s="408"/>
      <c r="BZ136" s="408"/>
      <c r="CA136" s="408"/>
      <c r="CB136" s="408"/>
      <c r="CC136" s="408"/>
      <c r="CD136" s="408"/>
      <c r="CE136" s="408"/>
      <c r="CF136" s="408"/>
      <c r="CG136" s="408"/>
      <c r="CH136" s="408"/>
      <c r="CI136" s="408"/>
      <c r="CJ136" s="408"/>
      <c r="CK136" s="408"/>
      <c r="CL136" s="408"/>
      <c r="CM136" s="408"/>
      <c r="CN136" s="408"/>
    </row>
    <row r="137">
      <c r="A137" s="408"/>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c r="AA137" s="408"/>
      <c r="AB137" s="408"/>
      <c r="AC137" s="408"/>
      <c r="AD137" s="408"/>
      <c r="AE137" s="408"/>
      <c r="AF137" s="408"/>
      <c r="AG137" s="408"/>
      <c r="AH137" s="408"/>
      <c r="AI137" s="408"/>
      <c r="AJ137" s="408"/>
      <c r="AK137" s="408"/>
      <c r="AL137" s="408"/>
      <c r="AM137" s="408"/>
      <c r="AN137" s="408"/>
      <c r="AO137" s="408"/>
      <c r="AP137" s="408"/>
      <c r="AQ137" s="408"/>
      <c r="AR137" s="408"/>
      <c r="AS137" s="408"/>
      <c r="AT137" s="408"/>
      <c r="AU137" s="408"/>
      <c r="AV137" s="408"/>
      <c r="AW137" s="408"/>
      <c r="AX137" s="408"/>
      <c r="AY137" s="408"/>
      <c r="AZ137" s="408"/>
      <c r="BA137" s="408"/>
      <c r="BB137" s="408"/>
      <c r="BC137" s="408"/>
      <c r="BD137" s="408"/>
      <c r="BE137" s="408"/>
      <c r="BF137" s="408"/>
      <c r="BG137" s="408"/>
      <c r="BH137" s="408"/>
      <c r="BI137" s="408"/>
      <c r="BJ137" s="408"/>
      <c r="BK137" s="408"/>
      <c r="BL137" s="408"/>
      <c r="BM137" s="408"/>
      <c r="BN137" s="408"/>
      <c r="BO137" s="408"/>
      <c r="BP137" s="408"/>
      <c r="BQ137" s="408"/>
      <c r="BR137" s="408"/>
      <c r="BS137" s="408"/>
      <c r="BT137" s="408"/>
      <c r="BU137" s="408"/>
      <c r="BV137" s="408"/>
      <c r="BW137" s="408"/>
      <c r="BX137" s="408"/>
      <c r="BY137" s="408"/>
      <c r="BZ137" s="408"/>
      <c r="CA137" s="408"/>
      <c r="CB137" s="408"/>
      <c r="CC137" s="408"/>
      <c r="CD137" s="408"/>
      <c r="CE137" s="408"/>
      <c r="CF137" s="408"/>
      <c r="CG137" s="408"/>
      <c r="CH137" s="408"/>
      <c r="CI137" s="408"/>
      <c r="CJ137" s="408"/>
      <c r="CK137" s="408"/>
      <c r="CL137" s="408"/>
      <c r="CM137" s="408"/>
      <c r="CN137" s="408"/>
    </row>
    <row r="138">
      <c r="A138" s="408"/>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8"/>
      <c r="Y138" s="408"/>
      <c r="Z138" s="408"/>
      <c r="AA138" s="408"/>
      <c r="AB138" s="408"/>
      <c r="AC138" s="408"/>
      <c r="AD138" s="408"/>
      <c r="AE138" s="408"/>
      <c r="AF138" s="408"/>
      <c r="AG138" s="408"/>
      <c r="AH138" s="408"/>
      <c r="AI138" s="408"/>
      <c r="AJ138" s="408"/>
      <c r="AK138" s="408"/>
      <c r="AL138" s="408"/>
      <c r="AM138" s="408"/>
      <c r="AN138" s="408"/>
      <c r="AO138" s="408"/>
      <c r="AP138" s="408"/>
      <c r="AQ138" s="408"/>
      <c r="AR138" s="408"/>
      <c r="AS138" s="408"/>
      <c r="AT138" s="408"/>
      <c r="AU138" s="408"/>
      <c r="AV138" s="408"/>
      <c r="AW138" s="408"/>
      <c r="AX138" s="408"/>
      <c r="AY138" s="408"/>
      <c r="AZ138" s="408"/>
      <c r="BA138" s="408"/>
      <c r="BB138" s="408"/>
      <c r="BC138" s="408"/>
      <c r="BD138" s="408"/>
      <c r="BE138" s="408"/>
      <c r="BF138" s="408"/>
      <c r="BG138" s="408"/>
      <c r="BH138" s="408"/>
      <c r="BI138" s="408"/>
      <c r="BJ138" s="408"/>
      <c r="BK138" s="408"/>
      <c r="BL138" s="408"/>
      <c r="BM138" s="408"/>
      <c r="BN138" s="408"/>
      <c r="BO138" s="408"/>
      <c r="BP138" s="408"/>
      <c r="BQ138" s="408"/>
      <c r="BR138" s="408"/>
      <c r="BS138" s="408"/>
      <c r="BT138" s="408"/>
      <c r="BU138" s="408"/>
      <c r="BV138" s="408"/>
      <c r="BW138" s="408"/>
      <c r="BX138" s="408"/>
      <c r="BY138" s="408"/>
      <c r="BZ138" s="408"/>
      <c r="CA138" s="408"/>
      <c r="CB138" s="408"/>
      <c r="CC138" s="408"/>
      <c r="CD138" s="408"/>
      <c r="CE138" s="408"/>
      <c r="CF138" s="408"/>
      <c r="CG138" s="408"/>
      <c r="CH138" s="408"/>
      <c r="CI138" s="408"/>
      <c r="CJ138" s="408"/>
      <c r="CK138" s="408"/>
      <c r="CL138" s="408"/>
      <c r="CM138" s="408"/>
      <c r="CN138" s="408"/>
    </row>
    <row r="139">
      <c r="A139" s="408"/>
      <c r="B139" s="408"/>
      <c r="C139" s="408"/>
      <c r="D139" s="408"/>
      <c r="E139" s="408"/>
      <c r="F139" s="408"/>
      <c r="G139" s="408"/>
      <c r="H139" s="408"/>
      <c r="I139" s="408"/>
      <c r="J139" s="408"/>
      <c r="K139" s="408"/>
      <c r="L139" s="408"/>
      <c r="M139" s="408"/>
      <c r="N139" s="408"/>
      <c r="O139" s="408"/>
      <c r="P139" s="408"/>
      <c r="Q139" s="408"/>
      <c r="R139" s="408"/>
      <c r="S139" s="408"/>
      <c r="T139" s="408"/>
      <c r="U139" s="408"/>
      <c r="V139" s="408"/>
      <c r="W139" s="408"/>
      <c r="X139" s="408"/>
      <c r="Y139" s="408"/>
      <c r="Z139" s="408"/>
      <c r="AA139" s="408"/>
      <c r="AB139" s="408"/>
      <c r="AC139" s="408"/>
      <c r="AD139" s="408"/>
      <c r="AE139" s="408"/>
      <c r="AF139" s="408"/>
      <c r="AG139" s="408"/>
      <c r="AH139" s="408"/>
      <c r="AI139" s="408"/>
      <c r="AJ139" s="408"/>
      <c r="AK139" s="408"/>
      <c r="AL139" s="408"/>
      <c r="AM139" s="408"/>
      <c r="AN139" s="408"/>
      <c r="AO139" s="408"/>
      <c r="AP139" s="408"/>
      <c r="AQ139" s="408"/>
      <c r="AR139" s="408"/>
      <c r="AS139" s="408"/>
      <c r="AT139" s="408"/>
      <c r="AU139" s="408"/>
      <c r="AV139" s="408"/>
      <c r="AW139" s="408"/>
      <c r="AX139" s="408"/>
      <c r="AY139" s="408"/>
      <c r="AZ139" s="408"/>
      <c r="BA139" s="408"/>
      <c r="BB139" s="408"/>
      <c r="BC139" s="408"/>
      <c r="BD139" s="408"/>
      <c r="BE139" s="408"/>
      <c r="BF139" s="408"/>
      <c r="BG139" s="408"/>
      <c r="BH139" s="408"/>
      <c r="BI139" s="408"/>
      <c r="BJ139" s="408"/>
      <c r="BK139" s="408"/>
      <c r="BL139" s="408"/>
      <c r="BM139" s="408"/>
      <c r="BN139" s="408"/>
      <c r="BO139" s="408"/>
      <c r="BP139" s="408"/>
      <c r="BQ139" s="408"/>
      <c r="BR139" s="408"/>
      <c r="BS139" s="408"/>
      <c r="BT139" s="408"/>
      <c r="BU139" s="408"/>
      <c r="BV139" s="408"/>
      <c r="BW139" s="408"/>
      <c r="BX139" s="408"/>
      <c r="BY139" s="408"/>
      <c r="BZ139" s="408"/>
      <c r="CA139" s="408"/>
      <c r="CB139" s="408"/>
      <c r="CC139" s="408"/>
      <c r="CD139" s="408"/>
      <c r="CE139" s="408"/>
      <c r="CF139" s="408"/>
      <c r="CG139" s="408"/>
      <c r="CH139" s="408"/>
      <c r="CI139" s="408"/>
      <c r="CJ139" s="408"/>
      <c r="CK139" s="408"/>
      <c r="CL139" s="408"/>
      <c r="CM139" s="408"/>
      <c r="CN139" s="408"/>
    </row>
    <row r="140">
      <c r="A140" s="408"/>
      <c r="B140" s="408"/>
      <c r="C140" s="408"/>
      <c r="D140" s="408"/>
      <c r="E140" s="408"/>
      <c r="F140" s="408"/>
      <c r="G140" s="408"/>
      <c r="H140" s="408"/>
      <c r="I140" s="408"/>
      <c r="J140" s="408"/>
      <c r="K140" s="408"/>
      <c r="L140" s="408"/>
      <c r="M140" s="408"/>
      <c r="N140" s="408"/>
      <c r="O140" s="408"/>
      <c r="P140" s="408"/>
      <c r="Q140" s="408"/>
      <c r="R140" s="408"/>
      <c r="S140" s="408"/>
      <c r="T140" s="408"/>
      <c r="U140" s="408"/>
      <c r="V140" s="408"/>
      <c r="W140" s="408"/>
      <c r="X140" s="408"/>
      <c r="Y140" s="408"/>
      <c r="Z140" s="408"/>
      <c r="AA140" s="408"/>
      <c r="AB140" s="408"/>
      <c r="AC140" s="408"/>
      <c r="AD140" s="408"/>
      <c r="AE140" s="408"/>
      <c r="AF140" s="408"/>
      <c r="AG140" s="408"/>
      <c r="AH140" s="408"/>
      <c r="AI140" s="408"/>
      <c r="AJ140" s="408"/>
      <c r="AK140" s="408"/>
      <c r="AL140" s="408"/>
      <c r="AM140" s="408"/>
      <c r="AN140" s="408"/>
      <c r="AO140" s="408"/>
      <c r="AP140" s="408"/>
      <c r="AQ140" s="408"/>
      <c r="AR140" s="408"/>
      <c r="AS140" s="408"/>
      <c r="AT140" s="408"/>
      <c r="AU140" s="408"/>
      <c r="AV140" s="408"/>
      <c r="AW140" s="408"/>
      <c r="AX140" s="408"/>
      <c r="AY140" s="408"/>
      <c r="AZ140" s="408"/>
      <c r="BA140" s="408"/>
      <c r="BB140" s="408"/>
      <c r="BC140" s="408"/>
      <c r="BD140" s="408"/>
      <c r="BE140" s="408"/>
      <c r="BF140" s="408"/>
      <c r="BG140" s="408"/>
      <c r="BH140" s="408"/>
      <c r="BI140" s="408"/>
      <c r="BJ140" s="408"/>
      <c r="BK140" s="408"/>
      <c r="BL140" s="408"/>
      <c r="BM140" s="408"/>
      <c r="BN140" s="408"/>
      <c r="BO140" s="408"/>
      <c r="BP140" s="408"/>
      <c r="BQ140" s="408"/>
      <c r="BR140" s="408"/>
      <c r="BS140" s="408"/>
      <c r="BT140" s="408"/>
      <c r="BU140" s="408"/>
      <c r="BV140" s="408"/>
      <c r="BW140" s="408"/>
      <c r="BX140" s="408"/>
      <c r="BY140" s="408"/>
      <c r="BZ140" s="408"/>
      <c r="CA140" s="408"/>
      <c r="CB140" s="408"/>
      <c r="CC140" s="408"/>
      <c r="CD140" s="408"/>
      <c r="CE140" s="408"/>
      <c r="CF140" s="408"/>
      <c r="CG140" s="408"/>
      <c r="CH140" s="408"/>
      <c r="CI140" s="408"/>
      <c r="CJ140" s="408"/>
      <c r="CK140" s="408"/>
      <c r="CL140" s="408"/>
      <c r="CM140" s="408"/>
      <c r="CN140" s="408"/>
    </row>
    <row r="141">
      <c r="A141" s="408"/>
      <c r="B141" s="408"/>
      <c r="C141" s="408"/>
      <c r="D141" s="408"/>
      <c r="E141" s="408"/>
      <c r="F141" s="408"/>
      <c r="G141" s="408"/>
      <c r="H141" s="408"/>
      <c r="I141" s="408"/>
      <c r="J141" s="408"/>
      <c r="K141" s="408"/>
      <c r="L141" s="408"/>
      <c r="M141" s="408"/>
      <c r="N141" s="408"/>
      <c r="O141" s="408"/>
      <c r="P141" s="408"/>
      <c r="Q141" s="408"/>
      <c r="R141" s="408"/>
      <c r="S141" s="408"/>
      <c r="T141" s="408"/>
      <c r="U141" s="408"/>
      <c r="V141" s="408"/>
      <c r="W141" s="408"/>
      <c r="X141" s="408"/>
      <c r="Y141" s="408"/>
      <c r="Z141" s="408"/>
      <c r="AA141" s="408"/>
      <c r="AB141" s="408"/>
      <c r="AC141" s="408"/>
      <c r="AD141" s="408"/>
      <c r="AE141" s="408"/>
      <c r="AF141" s="408"/>
      <c r="AG141" s="408"/>
      <c r="AH141" s="408"/>
      <c r="AI141" s="408"/>
      <c r="AJ141" s="408"/>
      <c r="AK141" s="408"/>
      <c r="AL141" s="408"/>
      <c r="AM141" s="408"/>
      <c r="AN141" s="408"/>
      <c r="AO141" s="408"/>
      <c r="AP141" s="408"/>
      <c r="AQ141" s="408"/>
      <c r="AR141" s="408"/>
      <c r="AS141" s="408"/>
      <c r="AT141" s="408"/>
      <c r="AU141" s="408"/>
      <c r="AV141" s="408"/>
      <c r="AW141" s="408"/>
      <c r="AX141" s="408"/>
      <c r="AY141" s="408"/>
      <c r="AZ141" s="408"/>
      <c r="BA141" s="408"/>
      <c r="BB141" s="408"/>
      <c r="BC141" s="408"/>
      <c r="BD141" s="408"/>
      <c r="BE141" s="408"/>
      <c r="BF141" s="408"/>
      <c r="BG141" s="408"/>
      <c r="BH141" s="408"/>
      <c r="BI141" s="408"/>
      <c r="BJ141" s="408"/>
      <c r="BK141" s="408"/>
      <c r="BL141" s="408"/>
      <c r="BM141" s="408"/>
      <c r="BN141" s="408"/>
      <c r="BO141" s="408"/>
      <c r="BP141" s="408"/>
      <c r="BQ141" s="408"/>
      <c r="BR141" s="408"/>
      <c r="BS141" s="408"/>
      <c r="BT141" s="408"/>
      <c r="BU141" s="408"/>
      <c r="BV141" s="408"/>
      <c r="BW141" s="408"/>
      <c r="BX141" s="408"/>
      <c r="BY141" s="408"/>
      <c r="BZ141" s="408"/>
      <c r="CA141" s="408"/>
      <c r="CB141" s="408"/>
      <c r="CC141" s="408"/>
      <c r="CD141" s="408"/>
      <c r="CE141" s="408"/>
      <c r="CF141" s="408"/>
      <c r="CG141" s="408"/>
      <c r="CH141" s="408"/>
      <c r="CI141" s="408"/>
      <c r="CJ141" s="408"/>
      <c r="CK141" s="408"/>
      <c r="CL141" s="408"/>
      <c r="CM141" s="408"/>
      <c r="CN141" s="408"/>
    </row>
    <row r="142">
      <c r="A142" s="408"/>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8"/>
      <c r="Y142" s="408"/>
      <c r="Z142" s="408"/>
      <c r="AA142" s="408"/>
      <c r="AB142" s="408"/>
      <c r="AC142" s="408"/>
      <c r="AD142" s="408"/>
      <c r="AE142" s="408"/>
      <c r="AF142" s="408"/>
      <c r="AG142" s="408"/>
      <c r="AH142" s="408"/>
      <c r="AI142" s="408"/>
      <c r="AJ142" s="408"/>
      <c r="AK142" s="408"/>
      <c r="AL142" s="408"/>
      <c r="AM142" s="408"/>
      <c r="AN142" s="408"/>
      <c r="AO142" s="408"/>
      <c r="AP142" s="408"/>
      <c r="AQ142" s="408"/>
      <c r="AR142" s="408"/>
      <c r="AS142" s="408"/>
      <c r="AT142" s="408"/>
      <c r="AU142" s="408"/>
      <c r="AV142" s="408"/>
      <c r="AW142" s="408"/>
      <c r="AX142" s="408"/>
      <c r="AY142" s="408"/>
      <c r="AZ142" s="408"/>
      <c r="BA142" s="408"/>
      <c r="BB142" s="408"/>
      <c r="BC142" s="408"/>
      <c r="BD142" s="408"/>
      <c r="BE142" s="408"/>
      <c r="BF142" s="408"/>
      <c r="BG142" s="408"/>
      <c r="BH142" s="408"/>
      <c r="BI142" s="408"/>
      <c r="BJ142" s="408"/>
      <c r="BK142" s="408"/>
      <c r="BL142" s="408"/>
      <c r="BM142" s="408"/>
      <c r="BN142" s="408"/>
      <c r="BO142" s="408"/>
      <c r="BP142" s="408"/>
      <c r="BQ142" s="408"/>
      <c r="BR142" s="408"/>
      <c r="BS142" s="408"/>
      <c r="BT142" s="408"/>
      <c r="BU142" s="408"/>
      <c r="BV142" s="408"/>
      <c r="BW142" s="408"/>
      <c r="BX142" s="408"/>
      <c r="BY142" s="408"/>
      <c r="BZ142" s="408"/>
      <c r="CA142" s="408"/>
      <c r="CB142" s="408"/>
      <c r="CC142" s="408"/>
      <c r="CD142" s="408"/>
      <c r="CE142" s="408"/>
      <c r="CF142" s="408"/>
      <c r="CG142" s="408"/>
      <c r="CH142" s="408"/>
      <c r="CI142" s="408"/>
      <c r="CJ142" s="408"/>
      <c r="CK142" s="408"/>
      <c r="CL142" s="408"/>
      <c r="CM142" s="408"/>
      <c r="CN142" s="408"/>
    </row>
    <row r="143">
      <c r="A143" s="408"/>
      <c r="B143" s="408"/>
      <c r="C143" s="408"/>
      <c r="D143" s="408"/>
      <c r="E143" s="408"/>
      <c r="F143" s="408"/>
      <c r="G143" s="408"/>
      <c r="H143" s="408"/>
      <c r="I143" s="408"/>
      <c r="J143" s="408"/>
      <c r="K143" s="408"/>
      <c r="L143" s="408"/>
      <c r="M143" s="408"/>
      <c r="N143" s="408"/>
      <c r="O143" s="408"/>
      <c r="P143" s="408"/>
      <c r="Q143" s="408"/>
      <c r="R143" s="408"/>
      <c r="S143" s="408"/>
      <c r="T143" s="408"/>
      <c r="U143" s="408"/>
      <c r="V143" s="408"/>
      <c r="W143" s="408"/>
      <c r="X143" s="408"/>
      <c r="Y143" s="408"/>
      <c r="Z143" s="408"/>
      <c r="AA143" s="408"/>
      <c r="AB143" s="408"/>
      <c r="AC143" s="408"/>
      <c r="AD143" s="408"/>
      <c r="AE143" s="408"/>
      <c r="AF143" s="408"/>
      <c r="AG143" s="408"/>
      <c r="AH143" s="408"/>
      <c r="AI143" s="408"/>
      <c r="AJ143" s="408"/>
      <c r="AK143" s="408"/>
      <c r="AL143" s="408"/>
      <c r="AM143" s="408"/>
      <c r="AN143" s="408"/>
      <c r="AO143" s="408"/>
      <c r="AP143" s="408"/>
      <c r="AQ143" s="408"/>
      <c r="AR143" s="408"/>
      <c r="AS143" s="408"/>
      <c r="AT143" s="408"/>
      <c r="AU143" s="408"/>
      <c r="AV143" s="408"/>
      <c r="AW143" s="408"/>
      <c r="AX143" s="408"/>
      <c r="AY143" s="408"/>
      <c r="AZ143" s="408"/>
      <c r="BA143" s="408"/>
      <c r="BB143" s="408"/>
      <c r="BC143" s="408"/>
      <c r="BD143" s="408"/>
      <c r="BE143" s="408"/>
      <c r="BF143" s="408"/>
      <c r="BG143" s="408"/>
      <c r="BH143" s="408"/>
      <c r="BI143" s="408"/>
      <c r="BJ143" s="408"/>
      <c r="BK143" s="408"/>
      <c r="BL143" s="408"/>
      <c r="BM143" s="408"/>
      <c r="BN143" s="408"/>
      <c r="BO143" s="408"/>
      <c r="BP143" s="408"/>
      <c r="BQ143" s="408"/>
      <c r="BR143" s="408"/>
      <c r="BS143" s="408"/>
      <c r="BT143" s="408"/>
      <c r="BU143" s="408"/>
      <c r="BV143" s="408"/>
      <c r="BW143" s="408"/>
      <c r="BX143" s="408"/>
      <c r="BY143" s="408"/>
      <c r="BZ143" s="408"/>
      <c r="CA143" s="408"/>
      <c r="CB143" s="408"/>
      <c r="CC143" s="408"/>
      <c r="CD143" s="408"/>
      <c r="CE143" s="408"/>
      <c r="CF143" s="408"/>
      <c r="CG143" s="408"/>
      <c r="CH143" s="408"/>
      <c r="CI143" s="408"/>
      <c r="CJ143" s="408"/>
      <c r="CK143" s="408"/>
      <c r="CL143" s="408"/>
      <c r="CM143" s="408"/>
      <c r="CN143" s="408"/>
    </row>
    <row r="144">
      <c r="A144" s="408"/>
      <c r="B144" s="408"/>
      <c r="C144" s="408"/>
      <c r="D144" s="408"/>
      <c r="E144" s="408"/>
      <c r="F144" s="408"/>
      <c r="G144" s="408"/>
      <c r="H144" s="408"/>
      <c r="I144" s="408"/>
      <c r="J144" s="408"/>
      <c r="K144" s="408"/>
      <c r="L144" s="408"/>
      <c r="M144" s="408"/>
      <c r="N144" s="408"/>
      <c r="O144" s="408"/>
      <c r="P144" s="408"/>
      <c r="Q144" s="408"/>
      <c r="R144" s="408"/>
      <c r="S144" s="408"/>
      <c r="T144" s="408"/>
      <c r="U144" s="408"/>
      <c r="V144" s="408"/>
      <c r="W144" s="408"/>
      <c r="X144" s="408"/>
      <c r="Y144" s="408"/>
      <c r="Z144" s="408"/>
      <c r="AA144" s="408"/>
      <c r="AB144" s="408"/>
      <c r="AC144" s="408"/>
      <c r="AD144" s="408"/>
      <c r="AE144" s="408"/>
      <c r="AF144" s="408"/>
      <c r="AG144" s="408"/>
      <c r="AH144" s="408"/>
      <c r="AI144" s="408"/>
      <c r="AJ144" s="408"/>
      <c r="AK144" s="408"/>
      <c r="AL144" s="408"/>
      <c r="AM144" s="408"/>
      <c r="AN144" s="408"/>
      <c r="AO144" s="408"/>
      <c r="AP144" s="408"/>
      <c r="AQ144" s="408"/>
      <c r="AR144" s="408"/>
      <c r="AS144" s="408"/>
      <c r="AT144" s="408"/>
      <c r="AU144" s="408"/>
      <c r="AV144" s="408"/>
      <c r="AW144" s="408"/>
      <c r="AX144" s="408"/>
      <c r="AY144" s="408"/>
      <c r="AZ144" s="408"/>
      <c r="BA144" s="408"/>
      <c r="BB144" s="408"/>
      <c r="BC144" s="408"/>
      <c r="BD144" s="408"/>
      <c r="BE144" s="408"/>
      <c r="BF144" s="408"/>
      <c r="BG144" s="408"/>
      <c r="BH144" s="408"/>
      <c r="BI144" s="408"/>
      <c r="BJ144" s="408"/>
      <c r="BK144" s="408"/>
      <c r="BL144" s="408"/>
      <c r="BM144" s="408"/>
      <c r="BN144" s="408"/>
      <c r="BO144" s="408"/>
      <c r="BP144" s="408"/>
      <c r="BQ144" s="408"/>
      <c r="BR144" s="408"/>
      <c r="BS144" s="408"/>
      <c r="BT144" s="408"/>
      <c r="BU144" s="408"/>
      <c r="BV144" s="408"/>
      <c r="BW144" s="408"/>
      <c r="BX144" s="408"/>
      <c r="BY144" s="408"/>
      <c r="BZ144" s="408"/>
      <c r="CA144" s="408"/>
      <c r="CB144" s="408"/>
      <c r="CC144" s="408"/>
      <c r="CD144" s="408"/>
      <c r="CE144" s="408"/>
      <c r="CF144" s="408"/>
      <c r="CG144" s="408"/>
      <c r="CH144" s="408"/>
      <c r="CI144" s="408"/>
      <c r="CJ144" s="408"/>
      <c r="CK144" s="408"/>
      <c r="CL144" s="408"/>
      <c r="CM144" s="408"/>
      <c r="CN144" s="408"/>
    </row>
    <row r="145">
      <c r="A145" s="408"/>
      <c r="B145" s="408"/>
      <c r="C145" s="408"/>
      <c r="D145" s="408"/>
      <c r="E145" s="408"/>
      <c r="F145" s="408"/>
      <c r="G145" s="408"/>
      <c r="H145" s="408"/>
      <c r="I145" s="408"/>
      <c r="J145" s="408"/>
      <c r="K145" s="408"/>
      <c r="L145" s="408"/>
      <c r="M145" s="408"/>
      <c r="N145" s="408"/>
      <c r="O145" s="408"/>
      <c r="P145" s="408"/>
      <c r="Q145" s="408"/>
      <c r="R145" s="408"/>
      <c r="S145" s="408"/>
      <c r="T145" s="408"/>
      <c r="U145" s="408"/>
      <c r="V145" s="408"/>
      <c r="W145" s="408"/>
      <c r="X145" s="408"/>
      <c r="Y145" s="408"/>
      <c r="Z145" s="408"/>
      <c r="AA145" s="408"/>
      <c r="AB145" s="408"/>
      <c r="AC145" s="408"/>
      <c r="AD145" s="408"/>
      <c r="AE145" s="408"/>
      <c r="AF145" s="408"/>
      <c r="AG145" s="408"/>
      <c r="AH145" s="408"/>
      <c r="AI145" s="408"/>
      <c r="AJ145" s="408"/>
      <c r="AK145" s="408"/>
      <c r="AL145" s="408"/>
      <c r="AM145" s="408"/>
      <c r="AN145" s="408"/>
      <c r="AO145" s="408"/>
      <c r="AP145" s="408"/>
      <c r="AQ145" s="408"/>
      <c r="AR145" s="408"/>
      <c r="AS145" s="408"/>
      <c r="AT145" s="408"/>
      <c r="AU145" s="408"/>
      <c r="AV145" s="408"/>
      <c r="AW145" s="408"/>
      <c r="AX145" s="408"/>
      <c r="AY145" s="408"/>
      <c r="AZ145" s="408"/>
      <c r="BA145" s="408"/>
      <c r="BB145" s="408"/>
      <c r="BC145" s="408"/>
      <c r="BD145" s="408"/>
      <c r="BE145" s="408"/>
      <c r="BF145" s="408"/>
      <c r="BG145" s="408"/>
      <c r="BH145" s="408"/>
      <c r="BI145" s="408"/>
      <c r="BJ145" s="408"/>
      <c r="BK145" s="408"/>
      <c r="BL145" s="408"/>
      <c r="BM145" s="408"/>
      <c r="BN145" s="408"/>
      <c r="BO145" s="408"/>
      <c r="BP145" s="408"/>
      <c r="BQ145" s="408"/>
      <c r="BR145" s="408"/>
      <c r="BS145" s="408"/>
      <c r="BT145" s="408"/>
      <c r="BU145" s="408"/>
      <c r="BV145" s="408"/>
      <c r="BW145" s="408"/>
      <c r="BX145" s="408"/>
      <c r="BY145" s="408"/>
      <c r="BZ145" s="408"/>
      <c r="CA145" s="408"/>
      <c r="CB145" s="408"/>
      <c r="CC145" s="408"/>
      <c r="CD145" s="408"/>
      <c r="CE145" s="408"/>
      <c r="CF145" s="408"/>
      <c r="CG145" s="408"/>
      <c r="CH145" s="408"/>
      <c r="CI145" s="408"/>
      <c r="CJ145" s="408"/>
      <c r="CK145" s="408"/>
      <c r="CL145" s="408"/>
      <c r="CM145" s="408"/>
      <c r="CN145" s="408"/>
    </row>
    <row r="146">
      <c r="A146" s="408"/>
      <c r="B146" s="408"/>
      <c r="C146" s="408"/>
      <c r="D146" s="408"/>
      <c r="E146" s="408"/>
      <c r="F146" s="408"/>
      <c r="G146" s="408"/>
      <c r="H146" s="408"/>
      <c r="I146" s="408"/>
      <c r="J146" s="408"/>
      <c r="K146" s="408"/>
      <c r="L146" s="408"/>
      <c r="M146" s="408"/>
      <c r="N146" s="408"/>
      <c r="O146" s="408"/>
      <c r="P146" s="408"/>
      <c r="Q146" s="408"/>
      <c r="R146" s="408"/>
      <c r="S146" s="408"/>
      <c r="T146" s="408"/>
      <c r="U146" s="408"/>
      <c r="V146" s="408"/>
      <c r="W146" s="408"/>
      <c r="X146" s="408"/>
      <c r="Y146" s="408"/>
      <c r="Z146" s="408"/>
      <c r="AA146" s="408"/>
      <c r="AB146" s="408"/>
      <c r="AC146" s="408"/>
      <c r="AD146" s="408"/>
      <c r="AE146" s="408"/>
      <c r="AF146" s="408"/>
      <c r="AG146" s="408"/>
      <c r="AH146" s="408"/>
      <c r="AI146" s="408"/>
      <c r="AJ146" s="408"/>
      <c r="AK146" s="408"/>
      <c r="AL146" s="408"/>
      <c r="AM146" s="408"/>
      <c r="AN146" s="408"/>
      <c r="AO146" s="408"/>
      <c r="AP146" s="408"/>
      <c r="AQ146" s="408"/>
      <c r="AR146" s="408"/>
      <c r="AS146" s="408"/>
      <c r="AT146" s="408"/>
      <c r="AU146" s="408"/>
      <c r="AV146" s="408"/>
      <c r="AW146" s="408"/>
      <c r="AX146" s="408"/>
      <c r="AY146" s="408"/>
      <c r="AZ146" s="408"/>
      <c r="BA146" s="408"/>
      <c r="BB146" s="408"/>
      <c r="BC146" s="408"/>
      <c r="BD146" s="408"/>
      <c r="BE146" s="408"/>
      <c r="BF146" s="408"/>
      <c r="BG146" s="408"/>
      <c r="BH146" s="408"/>
      <c r="BI146" s="408"/>
      <c r="BJ146" s="408"/>
      <c r="BK146" s="408"/>
      <c r="BL146" s="408"/>
      <c r="BM146" s="408"/>
      <c r="BN146" s="408"/>
      <c r="BO146" s="408"/>
      <c r="BP146" s="408"/>
      <c r="BQ146" s="408"/>
      <c r="BR146" s="408"/>
      <c r="BS146" s="408"/>
      <c r="BT146" s="408"/>
      <c r="BU146" s="408"/>
      <c r="BV146" s="408"/>
      <c r="BW146" s="408"/>
      <c r="BX146" s="408"/>
      <c r="BY146" s="408"/>
      <c r="BZ146" s="408"/>
      <c r="CA146" s="408"/>
      <c r="CB146" s="408"/>
      <c r="CC146" s="408"/>
      <c r="CD146" s="408"/>
      <c r="CE146" s="408"/>
      <c r="CF146" s="408"/>
      <c r="CG146" s="408"/>
      <c r="CH146" s="408"/>
      <c r="CI146" s="408"/>
      <c r="CJ146" s="408"/>
      <c r="CK146" s="408"/>
      <c r="CL146" s="408"/>
      <c r="CM146" s="408"/>
      <c r="CN146" s="408"/>
    </row>
    <row r="147">
      <c r="A147" s="408"/>
      <c r="B147" s="408"/>
      <c r="C147" s="408"/>
      <c r="D147" s="408"/>
      <c r="E147" s="408"/>
      <c r="F147" s="408"/>
      <c r="G147" s="408"/>
      <c r="H147" s="408"/>
      <c r="I147" s="408"/>
      <c r="J147" s="408"/>
      <c r="K147" s="408"/>
      <c r="L147" s="408"/>
      <c r="M147" s="408"/>
      <c r="N147" s="408"/>
      <c r="O147" s="408"/>
      <c r="P147" s="408"/>
      <c r="Q147" s="408"/>
      <c r="R147" s="408"/>
      <c r="S147" s="408"/>
      <c r="T147" s="408"/>
      <c r="U147" s="408"/>
      <c r="V147" s="408"/>
      <c r="W147" s="408"/>
      <c r="X147" s="408"/>
      <c r="Y147" s="408"/>
      <c r="Z147" s="408"/>
      <c r="AA147" s="408"/>
      <c r="AB147" s="408"/>
      <c r="AC147" s="408"/>
      <c r="AD147" s="408"/>
      <c r="AE147" s="408"/>
      <c r="AF147" s="408"/>
      <c r="AG147" s="408"/>
      <c r="AH147" s="408"/>
      <c r="AI147" s="408"/>
      <c r="AJ147" s="408"/>
      <c r="AK147" s="408"/>
      <c r="AL147" s="408"/>
      <c r="AM147" s="408"/>
      <c r="AN147" s="408"/>
      <c r="AO147" s="408"/>
      <c r="AP147" s="408"/>
      <c r="AQ147" s="408"/>
      <c r="AR147" s="408"/>
      <c r="AS147" s="408"/>
      <c r="AT147" s="408"/>
      <c r="AU147" s="408"/>
      <c r="AV147" s="408"/>
      <c r="AW147" s="408"/>
      <c r="AX147" s="408"/>
      <c r="AY147" s="408"/>
      <c r="AZ147" s="408"/>
      <c r="BA147" s="408"/>
      <c r="BB147" s="408"/>
      <c r="BC147" s="408"/>
      <c r="BD147" s="408"/>
      <c r="BE147" s="408"/>
      <c r="BF147" s="408"/>
      <c r="BG147" s="408"/>
      <c r="BH147" s="408"/>
      <c r="BI147" s="408"/>
      <c r="BJ147" s="408"/>
      <c r="BK147" s="408"/>
      <c r="BL147" s="408"/>
      <c r="BM147" s="408"/>
      <c r="BN147" s="408"/>
      <c r="BO147" s="408"/>
      <c r="BP147" s="408"/>
      <c r="BQ147" s="408"/>
      <c r="BR147" s="408"/>
      <c r="BS147" s="408"/>
      <c r="BT147" s="408"/>
      <c r="BU147" s="408"/>
      <c r="BV147" s="408"/>
      <c r="BW147" s="408"/>
      <c r="BX147" s="408"/>
      <c r="BY147" s="408"/>
      <c r="BZ147" s="408"/>
      <c r="CA147" s="408"/>
      <c r="CB147" s="408"/>
      <c r="CC147" s="408"/>
      <c r="CD147" s="408"/>
      <c r="CE147" s="408"/>
      <c r="CF147" s="408"/>
      <c r="CG147" s="408"/>
      <c r="CH147" s="408"/>
      <c r="CI147" s="408"/>
      <c r="CJ147" s="408"/>
      <c r="CK147" s="408"/>
      <c r="CL147" s="408"/>
      <c r="CM147" s="408"/>
      <c r="CN147" s="408"/>
    </row>
    <row r="148">
      <c r="A148" s="408"/>
      <c r="B148" s="408"/>
      <c r="C148" s="408"/>
      <c r="D148" s="408"/>
      <c r="E148" s="408"/>
      <c r="F148" s="408"/>
      <c r="G148" s="408"/>
      <c r="H148" s="408"/>
      <c r="I148" s="408"/>
      <c r="J148" s="408"/>
      <c r="K148" s="408"/>
      <c r="L148" s="408"/>
      <c r="M148" s="408"/>
      <c r="N148" s="408"/>
      <c r="O148" s="408"/>
      <c r="P148" s="408"/>
      <c r="Q148" s="408"/>
      <c r="R148" s="408"/>
      <c r="S148" s="408"/>
      <c r="T148" s="408"/>
      <c r="U148" s="408"/>
      <c r="V148" s="408"/>
      <c r="W148" s="408"/>
      <c r="X148" s="408"/>
      <c r="Y148" s="408"/>
      <c r="Z148" s="408"/>
      <c r="AA148" s="408"/>
      <c r="AB148" s="408"/>
      <c r="AC148" s="408"/>
      <c r="AD148" s="408"/>
      <c r="AE148" s="408"/>
      <c r="AF148" s="408"/>
      <c r="AG148" s="408"/>
      <c r="AH148" s="408"/>
      <c r="AI148" s="408"/>
      <c r="AJ148" s="408"/>
      <c r="AK148" s="408"/>
      <c r="AL148" s="408"/>
      <c r="AM148" s="408"/>
      <c r="AN148" s="408"/>
      <c r="AO148" s="408"/>
      <c r="AP148" s="408"/>
      <c r="AQ148" s="408"/>
      <c r="AR148" s="408"/>
      <c r="AS148" s="408"/>
      <c r="AT148" s="408"/>
      <c r="AU148" s="408"/>
      <c r="AV148" s="408"/>
      <c r="AW148" s="408"/>
      <c r="AX148" s="408"/>
      <c r="AY148" s="408"/>
      <c r="AZ148" s="408"/>
      <c r="BA148" s="408"/>
      <c r="BB148" s="408"/>
      <c r="BC148" s="408"/>
      <c r="BD148" s="408"/>
      <c r="BE148" s="408"/>
      <c r="BF148" s="408"/>
      <c r="BG148" s="408"/>
      <c r="BH148" s="408"/>
      <c r="BI148" s="408"/>
      <c r="BJ148" s="408"/>
      <c r="BK148" s="408"/>
      <c r="BL148" s="408"/>
      <c r="BM148" s="408"/>
      <c r="BN148" s="408"/>
      <c r="BO148" s="408"/>
      <c r="BP148" s="408"/>
      <c r="BQ148" s="408"/>
      <c r="BR148" s="408"/>
      <c r="BS148" s="408"/>
      <c r="BT148" s="408"/>
      <c r="BU148" s="408"/>
      <c r="BV148" s="408"/>
      <c r="BW148" s="408"/>
      <c r="BX148" s="408"/>
      <c r="BY148" s="408"/>
      <c r="BZ148" s="408"/>
      <c r="CA148" s="408"/>
      <c r="CB148" s="408"/>
      <c r="CC148" s="408"/>
      <c r="CD148" s="408"/>
      <c r="CE148" s="408"/>
      <c r="CF148" s="408"/>
      <c r="CG148" s="408"/>
      <c r="CH148" s="408"/>
      <c r="CI148" s="408"/>
      <c r="CJ148" s="408"/>
      <c r="CK148" s="408"/>
      <c r="CL148" s="408"/>
      <c r="CM148" s="408"/>
      <c r="CN148" s="408"/>
    </row>
    <row r="149">
      <c r="A149" s="408"/>
      <c r="B149" s="408"/>
      <c r="C149" s="408"/>
      <c r="D149" s="408"/>
      <c r="E149" s="408"/>
      <c r="F149" s="408"/>
      <c r="G149" s="408"/>
      <c r="H149" s="408"/>
      <c r="I149" s="408"/>
      <c r="J149" s="408"/>
      <c r="K149" s="408"/>
      <c r="L149" s="408"/>
      <c r="M149" s="408"/>
      <c r="N149" s="408"/>
      <c r="O149" s="408"/>
      <c r="P149" s="408"/>
      <c r="Q149" s="408"/>
      <c r="R149" s="408"/>
      <c r="S149" s="408"/>
      <c r="T149" s="408"/>
      <c r="U149" s="408"/>
      <c r="V149" s="408"/>
      <c r="W149" s="408"/>
      <c r="X149" s="408"/>
      <c r="Y149" s="408"/>
      <c r="Z149" s="408"/>
      <c r="AA149" s="408"/>
      <c r="AB149" s="408"/>
      <c r="AC149" s="408"/>
      <c r="AD149" s="408"/>
      <c r="AE149" s="408"/>
      <c r="AF149" s="408"/>
      <c r="AG149" s="408"/>
      <c r="AH149" s="408"/>
      <c r="AI149" s="408"/>
      <c r="AJ149" s="408"/>
      <c r="AK149" s="408"/>
      <c r="AL149" s="408"/>
      <c r="AM149" s="408"/>
      <c r="AN149" s="408"/>
      <c r="AO149" s="408"/>
      <c r="AP149" s="408"/>
      <c r="AQ149" s="408"/>
      <c r="AR149" s="408"/>
      <c r="AS149" s="408"/>
      <c r="AT149" s="408"/>
      <c r="AU149" s="408"/>
      <c r="AV149" s="408"/>
      <c r="AW149" s="408"/>
      <c r="AX149" s="408"/>
      <c r="AY149" s="408"/>
      <c r="AZ149" s="408"/>
      <c r="BA149" s="408"/>
      <c r="BB149" s="408"/>
      <c r="BC149" s="408"/>
      <c r="BD149" s="408"/>
      <c r="BE149" s="408"/>
      <c r="BF149" s="408"/>
      <c r="BG149" s="408"/>
      <c r="BH149" s="408"/>
      <c r="BI149" s="408"/>
      <c r="BJ149" s="408"/>
      <c r="BK149" s="408"/>
      <c r="BL149" s="408"/>
      <c r="BM149" s="408"/>
      <c r="BN149" s="408"/>
      <c r="BO149" s="408"/>
      <c r="BP149" s="408"/>
      <c r="BQ149" s="408"/>
      <c r="BR149" s="408"/>
      <c r="BS149" s="408"/>
      <c r="BT149" s="408"/>
      <c r="BU149" s="408"/>
      <c r="BV149" s="408"/>
      <c r="BW149" s="408"/>
      <c r="BX149" s="408"/>
      <c r="BY149" s="408"/>
      <c r="BZ149" s="408"/>
      <c r="CA149" s="408"/>
      <c r="CB149" s="408"/>
      <c r="CC149" s="408"/>
      <c r="CD149" s="408"/>
      <c r="CE149" s="408"/>
      <c r="CF149" s="408"/>
      <c r="CG149" s="408"/>
      <c r="CH149" s="408"/>
      <c r="CI149" s="408"/>
      <c r="CJ149" s="408"/>
      <c r="CK149" s="408"/>
      <c r="CL149" s="408"/>
      <c r="CM149" s="408"/>
      <c r="CN149" s="408"/>
    </row>
    <row r="150">
      <c r="A150" s="408"/>
      <c r="B150" s="408"/>
      <c r="C150" s="408"/>
      <c r="D150" s="408"/>
      <c r="E150" s="408"/>
      <c r="F150" s="408"/>
      <c r="G150" s="408"/>
      <c r="H150" s="408"/>
      <c r="I150" s="408"/>
      <c r="J150" s="408"/>
      <c r="K150" s="408"/>
      <c r="L150" s="408"/>
      <c r="M150" s="408"/>
      <c r="N150" s="408"/>
      <c r="O150" s="408"/>
      <c r="P150" s="408"/>
      <c r="Q150" s="408"/>
      <c r="R150" s="408"/>
      <c r="S150" s="408"/>
      <c r="T150" s="408"/>
      <c r="U150" s="408"/>
      <c r="V150" s="408"/>
      <c r="W150" s="408"/>
      <c r="X150" s="408"/>
      <c r="Y150" s="408"/>
      <c r="Z150" s="408"/>
      <c r="AA150" s="408"/>
      <c r="AB150" s="408"/>
      <c r="AC150" s="408"/>
      <c r="AD150" s="408"/>
      <c r="AE150" s="408"/>
      <c r="AF150" s="408"/>
      <c r="AG150" s="408"/>
      <c r="AH150" s="408"/>
      <c r="AI150" s="408"/>
      <c r="AJ150" s="408"/>
      <c r="AK150" s="408"/>
      <c r="AL150" s="408"/>
      <c r="AM150" s="408"/>
      <c r="AN150" s="408"/>
      <c r="AO150" s="408"/>
      <c r="AP150" s="408"/>
      <c r="AQ150" s="408"/>
      <c r="AR150" s="408"/>
      <c r="AS150" s="408"/>
      <c r="AT150" s="408"/>
      <c r="AU150" s="408"/>
      <c r="AV150" s="408"/>
      <c r="AW150" s="408"/>
      <c r="AX150" s="408"/>
      <c r="AY150" s="408"/>
      <c r="AZ150" s="408"/>
      <c r="BA150" s="408"/>
      <c r="BB150" s="408"/>
      <c r="BC150" s="408"/>
      <c r="BD150" s="408"/>
      <c r="BE150" s="408"/>
      <c r="BF150" s="408"/>
      <c r="BG150" s="408"/>
      <c r="BH150" s="408"/>
      <c r="BI150" s="408"/>
      <c r="BJ150" s="408"/>
      <c r="BK150" s="408"/>
      <c r="BL150" s="408"/>
      <c r="BM150" s="408"/>
      <c r="BN150" s="408"/>
      <c r="BO150" s="408"/>
      <c r="BP150" s="408"/>
      <c r="BQ150" s="408"/>
      <c r="BR150" s="408"/>
      <c r="BS150" s="408"/>
      <c r="BT150" s="408"/>
      <c r="BU150" s="408"/>
      <c r="BV150" s="408"/>
      <c r="BW150" s="408"/>
      <c r="BX150" s="408"/>
      <c r="BY150" s="408"/>
      <c r="BZ150" s="408"/>
      <c r="CA150" s="408"/>
      <c r="CB150" s="408"/>
      <c r="CC150" s="408"/>
      <c r="CD150" s="408"/>
      <c r="CE150" s="408"/>
      <c r="CF150" s="408"/>
      <c r="CG150" s="408"/>
      <c r="CH150" s="408"/>
      <c r="CI150" s="408"/>
      <c r="CJ150" s="408"/>
      <c r="CK150" s="408"/>
      <c r="CL150" s="408"/>
      <c r="CM150" s="408"/>
      <c r="CN150" s="408"/>
    </row>
    <row r="151">
      <c r="A151" s="408"/>
      <c r="B151" s="408"/>
      <c r="C151" s="408"/>
      <c r="D151" s="408"/>
      <c r="E151" s="408"/>
      <c r="F151" s="408"/>
      <c r="G151" s="408"/>
      <c r="H151" s="408"/>
      <c r="I151" s="408"/>
      <c r="J151" s="408"/>
      <c r="K151" s="408"/>
      <c r="L151" s="408"/>
      <c r="M151" s="408"/>
      <c r="N151" s="408"/>
      <c r="O151" s="408"/>
      <c r="P151" s="408"/>
      <c r="Q151" s="408"/>
      <c r="R151" s="408"/>
      <c r="S151" s="408"/>
      <c r="T151" s="408"/>
      <c r="U151" s="408"/>
      <c r="V151" s="408"/>
      <c r="W151" s="408"/>
      <c r="X151" s="408"/>
      <c r="Y151" s="408"/>
      <c r="Z151" s="408"/>
      <c r="AA151" s="408"/>
      <c r="AB151" s="408"/>
      <c r="AC151" s="408"/>
      <c r="AD151" s="408"/>
      <c r="AE151" s="408"/>
      <c r="AF151" s="408"/>
      <c r="AG151" s="408"/>
      <c r="AH151" s="408"/>
      <c r="AI151" s="408"/>
      <c r="AJ151" s="408"/>
      <c r="AK151" s="408"/>
      <c r="AL151" s="408"/>
      <c r="AM151" s="408"/>
      <c r="AN151" s="408"/>
      <c r="AO151" s="408"/>
      <c r="AP151" s="408"/>
      <c r="AQ151" s="408"/>
      <c r="AR151" s="408"/>
      <c r="AS151" s="408"/>
      <c r="AT151" s="408"/>
      <c r="AU151" s="408"/>
      <c r="AV151" s="408"/>
      <c r="AW151" s="408"/>
      <c r="AX151" s="408"/>
      <c r="AY151" s="408"/>
      <c r="AZ151" s="408"/>
      <c r="BA151" s="408"/>
      <c r="BB151" s="408"/>
      <c r="BC151" s="408"/>
      <c r="BD151" s="408"/>
      <c r="BE151" s="408"/>
      <c r="BF151" s="408"/>
      <c r="BG151" s="408"/>
      <c r="BH151" s="408"/>
      <c r="BI151" s="408"/>
      <c r="BJ151" s="408"/>
      <c r="BK151" s="408"/>
      <c r="BL151" s="408"/>
      <c r="BM151" s="408"/>
      <c r="BN151" s="408"/>
      <c r="BO151" s="408"/>
      <c r="BP151" s="408"/>
      <c r="BQ151" s="408"/>
      <c r="BR151" s="408"/>
      <c r="BS151" s="408"/>
      <c r="BT151" s="408"/>
      <c r="BU151" s="408"/>
      <c r="BV151" s="408"/>
      <c r="BW151" s="408"/>
      <c r="BX151" s="408"/>
      <c r="BY151" s="408"/>
      <c r="BZ151" s="408"/>
      <c r="CA151" s="408"/>
      <c r="CB151" s="408"/>
      <c r="CC151" s="408"/>
      <c r="CD151" s="408"/>
      <c r="CE151" s="408"/>
      <c r="CF151" s="408"/>
      <c r="CG151" s="408"/>
      <c r="CH151" s="408"/>
      <c r="CI151" s="408"/>
      <c r="CJ151" s="408"/>
      <c r="CK151" s="408"/>
      <c r="CL151" s="408"/>
      <c r="CM151" s="408"/>
      <c r="CN151" s="408"/>
    </row>
    <row r="152">
      <c r="A152" s="408"/>
      <c r="B152" s="408"/>
      <c r="C152" s="408"/>
      <c r="D152" s="408"/>
      <c r="E152" s="408"/>
      <c r="F152" s="408"/>
      <c r="G152" s="408"/>
      <c r="H152" s="408"/>
      <c r="I152" s="408"/>
      <c r="J152" s="408"/>
      <c r="K152" s="408"/>
      <c r="L152" s="408"/>
      <c r="M152" s="408"/>
      <c r="N152" s="408"/>
      <c r="O152" s="408"/>
      <c r="P152" s="408"/>
      <c r="Q152" s="408"/>
      <c r="R152" s="408"/>
      <c r="S152" s="408"/>
      <c r="T152" s="408"/>
      <c r="U152" s="408"/>
      <c r="V152" s="408"/>
      <c r="W152" s="408"/>
      <c r="X152" s="408"/>
      <c r="Y152" s="408"/>
      <c r="Z152" s="408"/>
      <c r="AA152" s="408"/>
      <c r="AB152" s="408"/>
      <c r="AC152" s="408"/>
      <c r="AD152" s="408"/>
      <c r="AE152" s="408"/>
      <c r="AF152" s="408"/>
      <c r="AG152" s="408"/>
      <c r="AH152" s="408"/>
      <c r="AI152" s="408"/>
      <c r="AJ152" s="408"/>
      <c r="AK152" s="408"/>
      <c r="AL152" s="408"/>
      <c r="AM152" s="408"/>
      <c r="AN152" s="408"/>
      <c r="AO152" s="408"/>
      <c r="AP152" s="408"/>
      <c r="AQ152" s="408"/>
      <c r="AR152" s="408"/>
      <c r="AS152" s="408"/>
      <c r="AT152" s="408"/>
      <c r="AU152" s="408"/>
      <c r="AV152" s="408"/>
      <c r="AW152" s="408"/>
      <c r="AX152" s="408"/>
      <c r="AY152" s="408"/>
      <c r="AZ152" s="408"/>
      <c r="BA152" s="408"/>
      <c r="BB152" s="408"/>
      <c r="BC152" s="408"/>
      <c r="BD152" s="408"/>
      <c r="BE152" s="408"/>
      <c r="BF152" s="408"/>
      <c r="BG152" s="408"/>
      <c r="BH152" s="408"/>
      <c r="BI152" s="408"/>
      <c r="BJ152" s="408"/>
      <c r="BK152" s="408"/>
      <c r="BL152" s="408"/>
      <c r="BM152" s="408"/>
      <c r="BN152" s="408"/>
      <c r="BO152" s="408"/>
      <c r="BP152" s="408"/>
      <c r="BQ152" s="408"/>
      <c r="BR152" s="408"/>
      <c r="BS152" s="408"/>
      <c r="BT152" s="408"/>
      <c r="BU152" s="408"/>
      <c r="BV152" s="408"/>
      <c r="BW152" s="408"/>
      <c r="BX152" s="408"/>
      <c r="BY152" s="408"/>
      <c r="BZ152" s="408"/>
      <c r="CA152" s="408"/>
      <c r="CB152" s="408"/>
      <c r="CC152" s="408"/>
      <c r="CD152" s="408"/>
      <c r="CE152" s="408"/>
      <c r="CF152" s="408"/>
      <c r="CG152" s="408"/>
      <c r="CH152" s="408"/>
      <c r="CI152" s="408"/>
      <c r="CJ152" s="408"/>
      <c r="CK152" s="408"/>
      <c r="CL152" s="408"/>
      <c r="CM152" s="408"/>
      <c r="CN152" s="408"/>
    </row>
    <row r="153">
      <c r="A153" s="408"/>
      <c r="B153" s="408"/>
      <c r="C153" s="408"/>
      <c r="D153" s="408"/>
      <c r="E153" s="408"/>
      <c r="F153" s="408"/>
      <c r="G153" s="408"/>
      <c r="H153" s="408"/>
      <c r="I153" s="408"/>
      <c r="J153" s="408"/>
      <c r="K153" s="408"/>
      <c r="L153" s="408"/>
      <c r="M153" s="408"/>
      <c r="N153" s="408"/>
      <c r="O153" s="408"/>
      <c r="P153" s="408"/>
      <c r="Q153" s="408"/>
      <c r="R153" s="408"/>
      <c r="S153" s="408"/>
      <c r="T153" s="408"/>
      <c r="U153" s="408"/>
      <c r="V153" s="408"/>
      <c r="W153" s="408"/>
      <c r="X153" s="408"/>
      <c r="Y153" s="408"/>
      <c r="Z153" s="408"/>
      <c r="AA153" s="408"/>
      <c r="AB153" s="408"/>
      <c r="AC153" s="408"/>
      <c r="AD153" s="408"/>
      <c r="AE153" s="408"/>
      <c r="AF153" s="408"/>
      <c r="AG153" s="408"/>
      <c r="AH153" s="408"/>
      <c r="AI153" s="408"/>
      <c r="AJ153" s="408"/>
      <c r="AK153" s="408"/>
      <c r="AL153" s="408"/>
      <c r="AM153" s="408"/>
      <c r="AN153" s="408"/>
      <c r="AO153" s="408"/>
      <c r="AP153" s="408"/>
      <c r="AQ153" s="408"/>
      <c r="AR153" s="408"/>
      <c r="AS153" s="408"/>
      <c r="AT153" s="408"/>
      <c r="AU153" s="408"/>
      <c r="AV153" s="408"/>
      <c r="AW153" s="408"/>
      <c r="AX153" s="408"/>
      <c r="AY153" s="408"/>
      <c r="AZ153" s="408"/>
      <c r="BA153" s="408"/>
      <c r="BB153" s="408"/>
      <c r="BC153" s="408"/>
      <c r="BD153" s="408"/>
      <c r="BE153" s="408"/>
      <c r="BF153" s="408"/>
      <c r="BG153" s="408"/>
      <c r="BH153" s="408"/>
      <c r="BI153" s="408"/>
      <c r="BJ153" s="408"/>
      <c r="BK153" s="408"/>
      <c r="BL153" s="408"/>
      <c r="BM153" s="408"/>
      <c r="BN153" s="408"/>
      <c r="BO153" s="408"/>
      <c r="BP153" s="408"/>
      <c r="BQ153" s="408"/>
      <c r="BR153" s="408"/>
      <c r="BS153" s="408"/>
      <c r="BT153" s="408"/>
      <c r="BU153" s="408"/>
      <c r="BV153" s="408"/>
      <c r="BW153" s="408"/>
      <c r="BX153" s="408"/>
      <c r="BY153" s="408"/>
      <c r="BZ153" s="408"/>
      <c r="CA153" s="408"/>
      <c r="CB153" s="408"/>
      <c r="CC153" s="408"/>
      <c r="CD153" s="408"/>
      <c r="CE153" s="408"/>
      <c r="CF153" s="408"/>
      <c r="CG153" s="408"/>
      <c r="CH153" s="408"/>
      <c r="CI153" s="408"/>
      <c r="CJ153" s="408"/>
      <c r="CK153" s="408"/>
      <c r="CL153" s="408"/>
      <c r="CM153" s="408"/>
      <c r="CN153" s="408"/>
    </row>
    <row r="154">
      <c r="A154" s="408"/>
      <c r="B154" s="408"/>
      <c r="C154" s="408"/>
      <c r="D154" s="408"/>
      <c r="E154" s="408"/>
      <c r="F154" s="408"/>
      <c r="G154" s="408"/>
      <c r="H154" s="408"/>
      <c r="I154" s="408"/>
      <c r="J154" s="408"/>
      <c r="K154" s="408"/>
      <c r="L154" s="408"/>
      <c r="M154" s="408"/>
      <c r="N154" s="408"/>
      <c r="O154" s="408"/>
      <c r="P154" s="408"/>
      <c r="Q154" s="408"/>
      <c r="R154" s="408"/>
      <c r="S154" s="408"/>
      <c r="T154" s="408"/>
      <c r="U154" s="408"/>
      <c r="V154" s="408"/>
      <c r="W154" s="408"/>
      <c r="X154" s="408"/>
      <c r="Y154" s="408"/>
      <c r="Z154" s="408"/>
      <c r="AA154" s="408"/>
      <c r="AB154" s="408"/>
      <c r="AC154" s="408"/>
      <c r="AD154" s="408"/>
      <c r="AE154" s="408"/>
      <c r="AF154" s="408"/>
      <c r="AG154" s="408"/>
      <c r="AH154" s="408"/>
      <c r="AI154" s="408"/>
      <c r="AJ154" s="408"/>
      <c r="AK154" s="408"/>
      <c r="AL154" s="408"/>
      <c r="AM154" s="408"/>
      <c r="AN154" s="408"/>
      <c r="AO154" s="408"/>
      <c r="AP154" s="408"/>
      <c r="AQ154" s="408"/>
      <c r="AR154" s="408"/>
      <c r="AS154" s="408"/>
      <c r="AT154" s="408"/>
      <c r="AU154" s="408"/>
      <c r="AV154" s="408"/>
      <c r="AW154" s="408"/>
      <c r="AX154" s="408"/>
      <c r="AY154" s="408"/>
      <c r="AZ154" s="408"/>
      <c r="BA154" s="408"/>
      <c r="BB154" s="408"/>
      <c r="BC154" s="408"/>
      <c r="BD154" s="408"/>
      <c r="BE154" s="408"/>
      <c r="BF154" s="408"/>
      <c r="BG154" s="408"/>
      <c r="BH154" s="408"/>
      <c r="BI154" s="408"/>
      <c r="BJ154" s="408"/>
      <c r="BK154" s="408"/>
      <c r="BL154" s="408"/>
      <c r="BM154" s="408"/>
      <c r="BN154" s="408"/>
      <c r="BO154" s="408"/>
      <c r="BP154" s="408"/>
      <c r="BQ154" s="408"/>
      <c r="BR154" s="408"/>
      <c r="BS154" s="408"/>
      <c r="BT154" s="408"/>
      <c r="BU154" s="408"/>
      <c r="BV154" s="408"/>
      <c r="BW154" s="408"/>
      <c r="BX154" s="408"/>
      <c r="BY154" s="408"/>
      <c r="BZ154" s="408"/>
      <c r="CA154" s="408"/>
      <c r="CB154" s="408"/>
      <c r="CC154" s="408"/>
      <c r="CD154" s="408"/>
      <c r="CE154" s="408"/>
      <c r="CF154" s="408"/>
      <c r="CG154" s="408"/>
      <c r="CH154" s="408"/>
      <c r="CI154" s="408"/>
      <c r="CJ154" s="408"/>
      <c r="CK154" s="408"/>
      <c r="CL154" s="408"/>
      <c r="CM154" s="408"/>
      <c r="CN154" s="408"/>
    </row>
    <row r="155">
      <c r="A155" s="408"/>
      <c r="B155" s="408"/>
      <c r="C155" s="408"/>
      <c r="D155" s="408"/>
      <c r="E155" s="408"/>
      <c r="F155" s="408"/>
      <c r="G155" s="408"/>
      <c r="H155" s="408"/>
      <c r="I155" s="408"/>
      <c r="J155" s="408"/>
      <c r="K155" s="408"/>
      <c r="L155" s="408"/>
      <c r="M155" s="408"/>
      <c r="N155" s="408"/>
      <c r="O155" s="408"/>
      <c r="P155" s="408"/>
      <c r="Q155" s="408"/>
      <c r="R155" s="408"/>
      <c r="S155" s="408"/>
      <c r="T155" s="408"/>
      <c r="U155" s="408"/>
      <c r="V155" s="408"/>
      <c r="W155" s="408"/>
      <c r="X155" s="408"/>
      <c r="Y155" s="408"/>
      <c r="Z155" s="408"/>
      <c r="AA155" s="408"/>
      <c r="AB155" s="408"/>
      <c r="AC155" s="408"/>
      <c r="AD155" s="408"/>
      <c r="AE155" s="408"/>
      <c r="AF155" s="408"/>
      <c r="AG155" s="408"/>
      <c r="AH155" s="408"/>
      <c r="AI155" s="408"/>
      <c r="AJ155" s="408"/>
      <c r="AK155" s="408"/>
      <c r="AL155" s="408"/>
      <c r="AM155" s="408"/>
      <c r="AN155" s="408"/>
      <c r="AO155" s="408"/>
      <c r="AP155" s="408"/>
      <c r="AQ155" s="408"/>
      <c r="AR155" s="408"/>
      <c r="AS155" s="408"/>
      <c r="AT155" s="408"/>
      <c r="AU155" s="408"/>
      <c r="AV155" s="408"/>
      <c r="AW155" s="408"/>
      <c r="AX155" s="408"/>
      <c r="AY155" s="408"/>
      <c r="AZ155" s="408"/>
      <c r="BA155" s="408"/>
      <c r="BB155" s="408"/>
      <c r="BC155" s="408"/>
      <c r="BD155" s="408"/>
      <c r="BE155" s="408"/>
      <c r="BF155" s="408"/>
      <c r="BG155" s="408"/>
      <c r="BH155" s="408"/>
      <c r="BI155" s="408"/>
      <c r="BJ155" s="408"/>
      <c r="BK155" s="408"/>
      <c r="BL155" s="408"/>
      <c r="BM155" s="408"/>
      <c r="BN155" s="408"/>
      <c r="BO155" s="408"/>
      <c r="BP155" s="408"/>
      <c r="BQ155" s="408"/>
      <c r="BR155" s="408"/>
      <c r="BS155" s="408"/>
      <c r="BT155" s="408"/>
      <c r="BU155" s="408"/>
      <c r="BV155" s="408"/>
      <c r="BW155" s="408"/>
      <c r="BX155" s="408"/>
      <c r="BY155" s="408"/>
      <c r="BZ155" s="408"/>
      <c r="CA155" s="408"/>
      <c r="CB155" s="408"/>
      <c r="CC155" s="408"/>
      <c r="CD155" s="408"/>
      <c r="CE155" s="408"/>
      <c r="CF155" s="408"/>
      <c r="CG155" s="408"/>
      <c r="CH155" s="408"/>
      <c r="CI155" s="408"/>
      <c r="CJ155" s="408"/>
      <c r="CK155" s="408"/>
      <c r="CL155" s="408"/>
      <c r="CM155" s="408"/>
      <c r="CN155" s="408"/>
    </row>
    <row r="156">
      <c r="A156" s="408"/>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8"/>
      <c r="Y156" s="408"/>
      <c r="Z156" s="408"/>
      <c r="AA156" s="408"/>
      <c r="AB156" s="408"/>
      <c r="AC156" s="408"/>
      <c r="AD156" s="408"/>
      <c r="AE156" s="408"/>
      <c r="AF156" s="408"/>
      <c r="AG156" s="408"/>
      <c r="AH156" s="408"/>
      <c r="AI156" s="408"/>
      <c r="AJ156" s="408"/>
      <c r="AK156" s="408"/>
      <c r="AL156" s="408"/>
      <c r="AM156" s="408"/>
      <c r="AN156" s="408"/>
      <c r="AO156" s="408"/>
      <c r="AP156" s="408"/>
      <c r="AQ156" s="408"/>
      <c r="AR156" s="408"/>
      <c r="AS156" s="408"/>
      <c r="AT156" s="408"/>
      <c r="AU156" s="408"/>
      <c r="AV156" s="408"/>
      <c r="AW156" s="408"/>
      <c r="AX156" s="408"/>
      <c r="AY156" s="408"/>
      <c r="AZ156" s="408"/>
      <c r="BA156" s="408"/>
      <c r="BB156" s="408"/>
      <c r="BC156" s="408"/>
      <c r="BD156" s="408"/>
      <c r="BE156" s="408"/>
      <c r="BF156" s="408"/>
      <c r="BG156" s="408"/>
      <c r="BH156" s="408"/>
      <c r="BI156" s="408"/>
      <c r="BJ156" s="408"/>
      <c r="BK156" s="408"/>
      <c r="BL156" s="408"/>
      <c r="BM156" s="408"/>
      <c r="BN156" s="408"/>
      <c r="BO156" s="408"/>
      <c r="BP156" s="408"/>
      <c r="BQ156" s="408"/>
      <c r="BR156" s="408"/>
      <c r="BS156" s="408"/>
      <c r="BT156" s="408"/>
      <c r="BU156" s="408"/>
      <c r="BV156" s="408"/>
      <c r="BW156" s="408"/>
      <c r="BX156" s="408"/>
      <c r="BY156" s="408"/>
      <c r="BZ156" s="408"/>
      <c r="CA156" s="408"/>
      <c r="CB156" s="408"/>
      <c r="CC156" s="408"/>
      <c r="CD156" s="408"/>
      <c r="CE156" s="408"/>
      <c r="CF156" s="408"/>
      <c r="CG156" s="408"/>
      <c r="CH156" s="408"/>
      <c r="CI156" s="408"/>
      <c r="CJ156" s="408"/>
      <c r="CK156" s="408"/>
      <c r="CL156" s="408"/>
      <c r="CM156" s="408"/>
      <c r="CN156" s="408"/>
    </row>
    <row r="157">
      <c r="A157" s="408"/>
      <c r="B157" s="408"/>
      <c r="C157" s="408"/>
      <c r="D157" s="408"/>
      <c r="E157" s="408"/>
      <c r="F157" s="408"/>
      <c r="G157" s="408"/>
      <c r="H157" s="408"/>
      <c r="I157" s="408"/>
      <c r="J157" s="408"/>
      <c r="K157" s="408"/>
      <c r="L157" s="408"/>
      <c r="M157" s="408"/>
      <c r="N157" s="408"/>
      <c r="O157" s="408"/>
      <c r="P157" s="408"/>
      <c r="Q157" s="408"/>
      <c r="R157" s="408"/>
      <c r="S157" s="408"/>
      <c r="T157" s="408"/>
      <c r="U157" s="408"/>
      <c r="V157" s="408"/>
      <c r="W157" s="408"/>
      <c r="X157" s="408"/>
      <c r="Y157" s="408"/>
      <c r="Z157" s="408"/>
      <c r="AA157" s="408"/>
      <c r="AB157" s="408"/>
      <c r="AC157" s="408"/>
      <c r="AD157" s="408"/>
      <c r="AE157" s="408"/>
      <c r="AF157" s="408"/>
      <c r="AG157" s="408"/>
      <c r="AH157" s="408"/>
      <c r="AI157" s="408"/>
      <c r="AJ157" s="408"/>
      <c r="AK157" s="408"/>
      <c r="AL157" s="408"/>
      <c r="AM157" s="408"/>
      <c r="AN157" s="408"/>
      <c r="AO157" s="408"/>
      <c r="AP157" s="408"/>
      <c r="AQ157" s="408"/>
      <c r="AR157" s="408"/>
      <c r="AS157" s="408"/>
      <c r="AT157" s="408"/>
      <c r="AU157" s="408"/>
      <c r="AV157" s="408"/>
      <c r="AW157" s="408"/>
      <c r="AX157" s="408"/>
      <c r="AY157" s="408"/>
      <c r="AZ157" s="408"/>
      <c r="BA157" s="408"/>
      <c r="BB157" s="408"/>
      <c r="BC157" s="408"/>
      <c r="BD157" s="408"/>
      <c r="BE157" s="408"/>
      <c r="BF157" s="408"/>
      <c r="BG157" s="408"/>
      <c r="BH157" s="408"/>
      <c r="BI157" s="408"/>
      <c r="BJ157" s="408"/>
      <c r="BK157" s="408"/>
      <c r="BL157" s="408"/>
      <c r="BM157" s="408"/>
      <c r="BN157" s="408"/>
      <c r="BO157" s="408"/>
      <c r="BP157" s="408"/>
      <c r="BQ157" s="408"/>
      <c r="BR157" s="408"/>
      <c r="BS157" s="408"/>
      <c r="BT157" s="408"/>
      <c r="BU157" s="408"/>
      <c r="BV157" s="408"/>
      <c r="BW157" s="408"/>
      <c r="BX157" s="408"/>
      <c r="BY157" s="408"/>
      <c r="BZ157" s="408"/>
      <c r="CA157" s="408"/>
      <c r="CB157" s="408"/>
      <c r="CC157" s="408"/>
      <c r="CD157" s="408"/>
      <c r="CE157" s="408"/>
      <c r="CF157" s="408"/>
      <c r="CG157" s="408"/>
      <c r="CH157" s="408"/>
      <c r="CI157" s="408"/>
      <c r="CJ157" s="408"/>
      <c r="CK157" s="408"/>
      <c r="CL157" s="408"/>
      <c r="CM157" s="408"/>
      <c r="CN157" s="408"/>
    </row>
    <row r="158">
      <c r="A158" s="408"/>
      <c r="B158" s="408"/>
      <c r="C158" s="408"/>
      <c r="D158" s="408"/>
      <c r="E158" s="408"/>
      <c r="F158" s="408"/>
      <c r="G158" s="408"/>
      <c r="H158" s="408"/>
      <c r="I158" s="408"/>
      <c r="J158" s="408"/>
      <c r="K158" s="408"/>
      <c r="L158" s="408"/>
      <c r="M158" s="408"/>
      <c r="N158" s="408"/>
      <c r="O158" s="408"/>
      <c r="P158" s="408"/>
      <c r="Q158" s="408"/>
      <c r="R158" s="408"/>
      <c r="S158" s="408"/>
      <c r="T158" s="408"/>
      <c r="U158" s="408"/>
      <c r="V158" s="408"/>
      <c r="W158" s="408"/>
      <c r="X158" s="408"/>
      <c r="Y158" s="408"/>
      <c r="Z158" s="408"/>
      <c r="AA158" s="408"/>
      <c r="AB158" s="408"/>
      <c r="AC158" s="408"/>
      <c r="AD158" s="408"/>
      <c r="AE158" s="408"/>
      <c r="AF158" s="408"/>
      <c r="AG158" s="408"/>
      <c r="AH158" s="408"/>
      <c r="AI158" s="408"/>
      <c r="AJ158" s="408"/>
      <c r="AK158" s="408"/>
      <c r="AL158" s="408"/>
      <c r="AM158" s="408"/>
      <c r="AN158" s="408"/>
      <c r="AO158" s="408"/>
      <c r="AP158" s="408"/>
      <c r="AQ158" s="408"/>
      <c r="AR158" s="408"/>
      <c r="AS158" s="408"/>
      <c r="AT158" s="408"/>
      <c r="AU158" s="408"/>
      <c r="AV158" s="408"/>
      <c r="AW158" s="408"/>
      <c r="AX158" s="408"/>
      <c r="AY158" s="408"/>
      <c r="AZ158" s="408"/>
      <c r="BA158" s="408"/>
      <c r="BB158" s="408"/>
      <c r="BC158" s="408"/>
      <c r="BD158" s="408"/>
      <c r="BE158" s="408"/>
      <c r="BF158" s="408"/>
      <c r="BG158" s="408"/>
      <c r="BH158" s="408"/>
      <c r="BI158" s="408"/>
      <c r="BJ158" s="408"/>
      <c r="BK158" s="408"/>
      <c r="BL158" s="408"/>
      <c r="BM158" s="408"/>
      <c r="BN158" s="408"/>
      <c r="BO158" s="408"/>
      <c r="BP158" s="408"/>
      <c r="BQ158" s="408"/>
      <c r="BR158" s="408"/>
      <c r="BS158" s="408"/>
      <c r="BT158" s="408"/>
      <c r="BU158" s="408"/>
      <c r="BV158" s="408"/>
      <c r="BW158" s="408"/>
      <c r="BX158" s="408"/>
      <c r="BY158" s="408"/>
      <c r="BZ158" s="408"/>
      <c r="CA158" s="408"/>
      <c r="CB158" s="408"/>
      <c r="CC158" s="408"/>
      <c r="CD158" s="408"/>
      <c r="CE158" s="408"/>
      <c r="CF158" s="408"/>
      <c r="CG158" s="408"/>
      <c r="CH158" s="408"/>
      <c r="CI158" s="408"/>
      <c r="CJ158" s="408"/>
      <c r="CK158" s="408"/>
      <c r="CL158" s="408"/>
      <c r="CM158" s="408"/>
      <c r="CN158" s="408"/>
    </row>
    <row r="159">
      <c r="A159" s="408"/>
      <c r="B159" s="408"/>
      <c r="C159" s="408"/>
      <c r="D159" s="408"/>
      <c r="E159" s="408"/>
      <c r="F159" s="408"/>
      <c r="G159" s="408"/>
      <c r="H159" s="408"/>
      <c r="I159" s="408"/>
      <c r="J159" s="408"/>
      <c r="K159" s="408"/>
      <c r="L159" s="408"/>
      <c r="M159" s="408"/>
      <c r="N159" s="408"/>
      <c r="O159" s="408"/>
      <c r="P159" s="408"/>
      <c r="Q159" s="408"/>
      <c r="R159" s="408"/>
      <c r="S159" s="408"/>
      <c r="T159" s="408"/>
      <c r="U159" s="408"/>
      <c r="V159" s="408"/>
      <c r="W159" s="408"/>
      <c r="X159" s="408"/>
      <c r="Y159" s="408"/>
      <c r="Z159" s="408"/>
      <c r="AA159" s="408"/>
      <c r="AB159" s="408"/>
      <c r="AC159" s="408"/>
      <c r="AD159" s="408"/>
      <c r="AE159" s="408"/>
      <c r="AF159" s="408"/>
      <c r="AG159" s="408"/>
      <c r="AH159" s="408"/>
      <c r="AI159" s="408"/>
      <c r="AJ159" s="408"/>
      <c r="AK159" s="408"/>
      <c r="AL159" s="408"/>
      <c r="AM159" s="408"/>
      <c r="AN159" s="408"/>
      <c r="AO159" s="408"/>
      <c r="AP159" s="408"/>
      <c r="AQ159" s="408"/>
      <c r="AR159" s="408"/>
      <c r="AS159" s="408"/>
      <c r="AT159" s="408"/>
      <c r="AU159" s="408"/>
      <c r="AV159" s="408"/>
      <c r="AW159" s="408"/>
      <c r="AX159" s="408"/>
      <c r="AY159" s="408"/>
      <c r="AZ159" s="408"/>
      <c r="BA159" s="408"/>
      <c r="BB159" s="408"/>
      <c r="BC159" s="408"/>
      <c r="BD159" s="408"/>
      <c r="BE159" s="408"/>
      <c r="BF159" s="408"/>
      <c r="BG159" s="408"/>
      <c r="BH159" s="408"/>
      <c r="BI159" s="408"/>
      <c r="BJ159" s="408"/>
      <c r="BK159" s="408"/>
      <c r="BL159" s="408"/>
      <c r="BM159" s="408"/>
      <c r="BN159" s="408"/>
      <c r="BO159" s="408"/>
      <c r="BP159" s="408"/>
      <c r="BQ159" s="408"/>
      <c r="BR159" s="408"/>
      <c r="BS159" s="408"/>
      <c r="BT159" s="408"/>
      <c r="BU159" s="408"/>
      <c r="BV159" s="408"/>
      <c r="BW159" s="408"/>
      <c r="BX159" s="408"/>
      <c r="BY159" s="408"/>
      <c r="BZ159" s="408"/>
      <c r="CA159" s="408"/>
      <c r="CB159" s="408"/>
      <c r="CC159" s="408"/>
      <c r="CD159" s="408"/>
      <c r="CE159" s="408"/>
      <c r="CF159" s="408"/>
      <c r="CG159" s="408"/>
      <c r="CH159" s="408"/>
      <c r="CI159" s="408"/>
      <c r="CJ159" s="408"/>
      <c r="CK159" s="408"/>
      <c r="CL159" s="408"/>
      <c r="CM159" s="408"/>
      <c r="CN159" s="408"/>
    </row>
    <row r="160">
      <c r="A160" s="408"/>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8"/>
      <c r="Y160" s="408"/>
      <c r="Z160" s="408"/>
      <c r="AA160" s="408"/>
      <c r="AB160" s="408"/>
      <c r="AC160" s="408"/>
      <c r="AD160" s="408"/>
      <c r="AE160" s="408"/>
      <c r="AF160" s="408"/>
      <c r="AG160" s="408"/>
      <c r="AH160" s="408"/>
      <c r="AI160" s="408"/>
      <c r="AJ160" s="408"/>
      <c r="AK160" s="408"/>
      <c r="AL160" s="408"/>
      <c r="AM160" s="408"/>
      <c r="AN160" s="408"/>
      <c r="AO160" s="408"/>
      <c r="AP160" s="408"/>
      <c r="AQ160" s="408"/>
      <c r="AR160" s="408"/>
      <c r="AS160" s="408"/>
      <c r="AT160" s="408"/>
      <c r="AU160" s="408"/>
      <c r="AV160" s="408"/>
      <c r="AW160" s="408"/>
      <c r="AX160" s="408"/>
      <c r="AY160" s="408"/>
      <c r="AZ160" s="408"/>
      <c r="BA160" s="408"/>
      <c r="BB160" s="408"/>
      <c r="BC160" s="408"/>
      <c r="BD160" s="408"/>
      <c r="BE160" s="408"/>
      <c r="BF160" s="408"/>
      <c r="BG160" s="408"/>
      <c r="BH160" s="408"/>
      <c r="BI160" s="408"/>
      <c r="BJ160" s="408"/>
      <c r="BK160" s="408"/>
      <c r="BL160" s="408"/>
      <c r="BM160" s="408"/>
      <c r="BN160" s="408"/>
      <c r="BO160" s="408"/>
      <c r="BP160" s="408"/>
      <c r="BQ160" s="408"/>
      <c r="BR160" s="408"/>
      <c r="BS160" s="408"/>
      <c r="BT160" s="408"/>
      <c r="BU160" s="408"/>
      <c r="BV160" s="408"/>
      <c r="BW160" s="408"/>
      <c r="BX160" s="408"/>
      <c r="BY160" s="408"/>
      <c r="BZ160" s="408"/>
      <c r="CA160" s="408"/>
      <c r="CB160" s="408"/>
      <c r="CC160" s="408"/>
      <c r="CD160" s="408"/>
      <c r="CE160" s="408"/>
      <c r="CF160" s="408"/>
      <c r="CG160" s="408"/>
      <c r="CH160" s="408"/>
      <c r="CI160" s="408"/>
      <c r="CJ160" s="408"/>
      <c r="CK160" s="408"/>
      <c r="CL160" s="408"/>
      <c r="CM160" s="408"/>
      <c r="CN160" s="408"/>
    </row>
    <row r="161">
      <c r="A161" s="408"/>
      <c r="B161" s="408"/>
      <c r="C161" s="408"/>
      <c r="D161" s="408"/>
      <c r="E161" s="408"/>
      <c r="F161" s="408"/>
      <c r="G161" s="408"/>
      <c r="H161" s="408"/>
      <c r="I161" s="408"/>
      <c r="J161" s="408"/>
      <c r="K161" s="408"/>
      <c r="L161" s="408"/>
      <c r="M161" s="408"/>
      <c r="N161" s="408"/>
      <c r="O161" s="408"/>
      <c r="P161" s="408"/>
      <c r="Q161" s="408"/>
      <c r="R161" s="408"/>
      <c r="S161" s="408"/>
      <c r="T161" s="408"/>
      <c r="U161" s="408"/>
      <c r="V161" s="408"/>
      <c r="W161" s="408"/>
      <c r="X161" s="408"/>
      <c r="Y161" s="408"/>
      <c r="Z161" s="408"/>
      <c r="AA161" s="408"/>
      <c r="AB161" s="408"/>
      <c r="AC161" s="408"/>
      <c r="AD161" s="408"/>
      <c r="AE161" s="408"/>
      <c r="AF161" s="408"/>
      <c r="AG161" s="408"/>
      <c r="AH161" s="408"/>
      <c r="AI161" s="408"/>
      <c r="AJ161" s="408"/>
      <c r="AK161" s="408"/>
      <c r="AL161" s="408"/>
      <c r="AM161" s="408"/>
      <c r="AN161" s="408"/>
      <c r="AO161" s="408"/>
      <c r="AP161" s="408"/>
      <c r="AQ161" s="408"/>
      <c r="AR161" s="408"/>
      <c r="AS161" s="408"/>
      <c r="AT161" s="408"/>
      <c r="AU161" s="408"/>
      <c r="AV161" s="408"/>
      <c r="AW161" s="408"/>
      <c r="AX161" s="408"/>
      <c r="AY161" s="408"/>
      <c r="AZ161" s="408"/>
      <c r="BA161" s="408"/>
      <c r="BB161" s="408"/>
      <c r="BC161" s="408"/>
      <c r="BD161" s="408"/>
      <c r="BE161" s="408"/>
      <c r="BF161" s="408"/>
      <c r="BG161" s="408"/>
      <c r="BH161" s="408"/>
      <c r="BI161" s="408"/>
      <c r="BJ161" s="408"/>
      <c r="BK161" s="408"/>
      <c r="BL161" s="408"/>
      <c r="BM161" s="408"/>
      <c r="BN161" s="408"/>
      <c r="BO161" s="408"/>
      <c r="BP161" s="408"/>
      <c r="BQ161" s="408"/>
      <c r="BR161" s="408"/>
      <c r="BS161" s="408"/>
      <c r="BT161" s="408"/>
      <c r="BU161" s="408"/>
      <c r="BV161" s="408"/>
      <c r="BW161" s="408"/>
      <c r="BX161" s="408"/>
      <c r="BY161" s="408"/>
      <c r="BZ161" s="408"/>
      <c r="CA161" s="408"/>
      <c r="CB161" s="408"/>
      <c r="CC161" s="408"/>
      <c r="CD161" s="408"/>
      <c r="CE161" s="408"/>
      <c r="CF161" s="408"/>
      <c r="CG161" s="408"/>
      <c r="CH161" s="408"/>
      <c r="CI161" s="408"/>
      <c r="CJ161" s="408"/>
      <c r="CK161" s="408"/>
      <c r="CL161" s="408"/>
      <c r="CM161" s="408"/>
      <c r="CN161" s="408"/>
    </row>
    <row r="162">
      <c r="A162" s="408"/>
      <c r="B162" s="408"/>
      <c r="C162" s="408"/>
      <c r="D162" s="408"/>
      <c r="E162" s="408"/>
      <c r="F162" s="408"/>
      <c r="G162" s="408"/>
      <c r="H162" s="408"/>
      <c r="I162" s="408"/>
      <c r="J162" s="408"/>
      <c r="K162" s="408"/>
      <c r="L162" s="408"/>
      <c r="M162" s="408"/>
      <c r="N162" s="408"/>
      <c r="O162" s="408"/>
      <c r="P162" s="408"/>
      <c r="Q162" s="408"/>
      <c r="R162" s="408"/>
      <c r="S162" s="408"/>
      <c r="T162" s="408"/>
      <c r="U162" s="408"/>
      <c r="V162" s="408"/>
      <c r="W162" s="408"/>
      <c r="X162" s="408"/>
      <c r="Y162" s="408"/>
      <c r="Z162" s="408"/>
      <c r="AA162" s="408"/>
      <c r="AB162" s="408"/>
      <c r="AC162" s="408"/>
      <c r="AD162" s="408"/>
      <c r="AE162" s="408"/>
      <c r="AF162" s="408"/>
      <c r="AG162" s="408"/>
      <c r="AH162" s="408"/>
      <c r="AI162" s="408"/>
      <c r="AJ162" s="408"/>
      <c r="AK162" s="408"/>
      <c r="AL162" s="408"/>
      <c r="AM162" s="408"/>
      <c r="AN162" s="408"/>
      <c r="AO162" s="408"/>
      <c r="AP162" s="408"/>
      <c r="AQ162" s="408"/>
      <c r="AR162" s="408"/>
      <c r="AS162" s="408"/>
      <c r="AT162" s="408"/>
      <c r="AU162" s="408"/>
      <c r="AV162" s="408"/>
      <c r="AW162" s="408"/>
      <c r="AX162" s="408"/>
      <c r="AY162" s="408"/>
      <c r="AZ162" s="408"/>
      <c r="BA162" s="408"/>
      <c r="BB162" s="408"/>
      <c r="BC162" s="408"/>
      <c r="BD162" s="408"/>
      <c r="BE162" s="408"/>
      <c r="BF162" s="408"/>
      <c r="BG162" s="408"/>
      <c r="BH162" s="408"/>
      <c r="BI162" s="408"/>
      <c r="BJ162" s="408"/>
      <c r="BK162" s="408"/>
      <c r="BL162" s="408"/>
      <c r="BM162" s="408"/>
      <c r="BN162" s="408"/>
      <c r="BO162" s="408"/>
      <c r="BP162" s="408"/>
      <c r="BQ162" s="408"/>
      <c r="BR162" s="408"/>
      <c r="BS162" s="408"/>
      <c r="BT162" s="408"/>
      <c r="BU162" s="408"/>
      <c r="BV162" s="408"/>
      <c r="BW162" s="408"/>
      <c r="BX162" s="408"/>
      <c r="BY162" s="408"/>
      <c r="BZ162" s="408"/>
      <c r="CA162" s="408"/>
      <c r="CB162" s="408"/>
      <c r="CC162" s="408"/>
      <c r="CD162" s="408"/>
      <c r="CE162" s="408"/>
      <c r="CF162" s="408"/>
      <c r="CG162" s="408"/>
      <c r="CH162" s="408"/>
      <c r="CI162" s="408"/>
      <c r="CJ162" s="408"/>
      <c r="CK162" s="408"/>
      <c r="CL162" s="408"/>
      <c r="CM162" s="408"/>
      <c r="CN162" s="408"/>
    </row>
    <row r="163">
      <c r="A163" s="408"/>
      <c r="B163" s="408"/>
      <c r="C163" s="408"/>
      <c r="D163" s="408"/>
      <c r="E163" s="408"/>
      <c r="F163" s="408"/>
      <c r="G163" s="408"/>
      <c r="H163" s="408"/>
      <c r="I163" s="408"/>
      <c r="J163" s="408"/>
      <c r="K163" s="408"/>
      <c r="L163" s="408"/>
      <c r="M163" s="408"/>
      <c r="N163" s="408"/>
      <c r="O163" s="408"/>
      <c r="P163" s="408"/>
      <c r="Q163" s="408"/>
      <c r="R163" s="408"/>
      <c r="S163" s="408"/>
      <c r="T163" s="408"/>
      <c r="U163" s="408"/>
      <c r="V163" s="408"/>
      <c r="W163" s="408"/>
      <c r="X163" s="408"/>
      <c r="Y163" s="408"/>
      <c r="Z163" s="408"/>
      <c r="AA163" s="408"/>
      <c r="AB163" s="408"/>
      <c r="AC163" s="408"/>
      <c r="AD163" s="408"/>
      <c r="AE163" s="408"/>
      <c r="AF163" s="408"/>
      <c r="AG163" s="408"/>
      <c r="AH163" s="408"/>
      <c r="AI163" s="408"/>
      <c r="AJ163" s="408"/>
      <c r="AK163" s="408"/>
      <c r="AL163" s="408"/>
      <c r="AM163" s="408"/>
      <c r="AN163" s="408"/>
      <c r="AO163" s="408"/>
      <c r="AP163" s="408"/>
      <c r="AQ163" s="408"/>
      <c r="AR163" s="408"/>
      <c r="AS163" s="408"/>
      <c r="AT163" s="408"/>
      <c r="AU163" s="408"/>
      <c r="AV163" s="408"/>
      <c r="AW163" s="408"/>
      <c r="AX163" s="408"/>
      <c r="AY163" s="408"/>
      <c r="AZ163" s="408"/>
      <c r="BA163" s="408"/>
      <c r="BB163" s="408"/>
      <c r="BC163" s="408"/>
      <c r="BD163" s="408"/>
      <c r="BE163" s="408"/>
      <c r="BF163" s="408"/>
      <c r="BG163" s="408"/>
      <c r="BH163" s="408"/>
      <c r="BI163" s="408"/>
      <c r="BJ163" s="408"/>
      <c r="BK163" s="408"/>
      <c r="BL163" s="408"/>
      <c r="BM163" s="408"/>
      <c r="BN163" s="408"/>
      <c r="BO163" s="408"/>
      <c r="BP163" s="408"/>
      <c r="BQ163" s="408"/>
      <c r="BR163" s="408"/>
      <c r="BS163" s="408"/>
      <c r="BT163" s="408"/>
      <c r="BU163" s="408"/>
      <c r="BV163" s="408"/>
      <c r="BW163" s="408"/>
      <c r="BX163" s="408"/>
      <c r="BY163" s="408"/>
      <c r="BZ163" s="408"/>
      <c r="CA163" s="408"/>
      <c r="CB163" s="408"/>
      <c r="CC163" s="408"/>
      <c r="CD163" s="408"/>
      <c r="CE163" s="408"/>
      <c r="CF163" s="408"/>
      <c r="CG163" s="408"/>
      <c r="CH163" s="408"/>
      <c r="CI163" s="408"/>
      <c r="CJ163" s="408"/>
      <c r="CK163" s="408"/>
      <c r="CL163" s="408"/>
      <c r="CM163" s="408"/>
      <c r="CN163" s="408"/>
    </row>
    <row r="164">
      <c r="A164" s="408"/>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8"/>
      <c r="Y164" s="408"/>
      <c r="Z164" s="408"/>
      <c r="AA164" s="408"/>
      <c r="AB164" s="408"/>
      <c r="AC164" s="408"/>
      <c r="AD164" s="408"/>
      <c r="AE164" s="408"/>
      <c r="AF164" s="408"/>
      <c r="AG164" s="408"/>
      <c r="AH164" s="408"/>
      <c r="AI164" s="408"/>
      <c r="AJ164" s="408"/>
      <c r="AK164" s="408"/>
      <c r="AL164" s="408"/>
      <c r="AM164" s="408"/>
      <c r="AN164" s="408"/>
      <c r="AO164" s="408"/>
      <c r="AP164" s="408"/>
      <c r="AQ164" s="408"/>
      <c r="AR164" s="408"/>
      <c r="AS164" s="408"/>
      <c r="AT164" s="408"/>
      <c r="AU164" s="408"/>
      <c r="AV164" s="408"/>
      <c r="AW164" s="408"/>
      <c r="AX164" s="408"/>
      <c r="AY164" s="408"/>
      <c r="AZ164" s="408"/>
      <c r="BA164" s="408"/>
      <c r="BB164" s="408"/>
      <c r="BC164" s="408"/>
      <c r="BD164" s="408"/>
      <c r="BE164" s="408"/>
      <c r="BF164" s="408"/>
      <c r="BG164" s="408"/>
      <c r="BH164" s="408"/>
      <c r="BI164" s="408"/>
      <c r="BJ164" s="408"/>
      <c r="BK164" s="408"/>
      <c r="BL164" s="408"/>
      <c r="BM164" s="408"/>
      <c r="BN164" s="408"/>
      <c r="BO164" s="408"/>
      <c r="BP164" s="408"/>
      <c r="BQ164" s="408"/>
      <c r="BR164" s="408"/>
      <c r="BS164" s="408"/>
      <c r="BT164" s="408"/>
      <c r="BU164" s="408"/>
      <c r="BV164" s="408"/>
      <c r="BW164" s="408"/>
      <c r="BX164" s="408"/>
      <c r="BY164" s="408"/>
      <c r="BZ164" s="408"/>
      <c r="CA164" s="408"/>
      <c r="CB164" s="408"/>
      <c r="CC164" s="408"/>
      <c r="CD164" s="408"/>
      <c r="CE164" s="408"/>
      <c r="CF164" s="408"/>
      <c r="CG164" s="408"/>
      <c r="CH164" s="408"/>
      <c r="CI164" s="408"/>
      <c r="CJ164" s="408"/>
      <c r="CK164" s="408"/>
      <c r="CL164" s="408"/>
      <c r="CM164" s="408"/>
      <c r="CN164" s="408"/>
    </row>
    <row r="165">
      <c r="A165" s="408"/>
      <c r="B165" s="408"/>
      <c r="C165" s="408"/>
      <c r="D165" s="408"/>
      <c r="E165" s="408"/>
      <c r="F165" s="408"/>
      <c r="G165" s="408"/>
      <c r="H165" s="408"/>
      <c r="I165" s="408"/>
      <c r="J165" s="408"/>
      <c r="K165" s="408"/>
      <c r="L165" s="408"/>
      <c r="M165" s="408"/>
      <c r="N165" s="408"/>
      <c r="O165" s="408"/>
      <c r="P165" s="408"/>
      <c r="Q165" s="408"/>
      <c r="R165" s="408"/>
      <c r="S165" s="408"/>
      <c r="T165" s="408"/>
      <c r="U165" s="408"/>
      <c r="V165" s="408"/>
      <c r="W165" s="408"/>
      <c r="X165" s="408"/>
      <c r="Y165" s="408"/>
      <c r="Z165" s="408"/>
      <c r="AA165" s="408"/>
      <c r="AB165" s="408"/>
      <c r="AC165" s="408"/>
      <c r="AD165" s="408"/>
      <c r="AE165" s="408"/>
      <c r="AF165" s="408"/>
      <c r="AG165" s="408"/>
      <c r="AH165" s="408"/>
      <c r="AI165" s="408"/>
      <c r="AJ165" s="408"/>
      <c r="AK165" s="408"/>
      <c r="AL165" s="408"/>
      <c r="AM165" s="408"/>
      <c r="AN165" s="408"/>
      <c r="AO165" s="408"/>
      <c r="AP165" s="408"/>
      <c r="AQ165" s="408"/>
      <c r="AR165" s="408"/>
      <c r="AS165" s="408"/>
      <c r="AT165" s="408"/>
      <c r="AU165" s="408"/>
      <c r="AV165" s="408"/>
      <c r="AW165" s="408"/>
      <c r="AX165" s="408"/>
      <c r="AY165" s="408"/>
      <c r="AZ165" s="408"/>
      <c r="BA165" s="408"/>
      <c r="BB165" s="408"/>
      <c r="BC165" s="408"/>
      <c r="BD165" s="408"/>
      <c r="BE165" s="408"/>
      <c r="BF165" s="408"/>
      <c r="BG165" s="408"/>
      <c r="BH165" s="408"/>
      <c r="BI165" s="408"/>
      <c r="BJ165" s="408"/>
      <c r="BK165" s="408"/>
      <c r="BL165" s="408"/>
      <c r="BM165" s="408"/>
      <c r="BN165" s="408"/>
      <c r="BO165" s="408"/>
      <c r="BP165" s="408"/>
      <c r="BQ165" s="408"/>
      <c r="BR165" s="408"/>
      <c r="BS165" s="408"/>
      <c r="BT165" s="408"/>
      <c r="BU165" s="408"/>
      <c r="BV165" s="408"/>
      <c r="BW165" s="408"/>
      <c r="BX165" s="408"/>
      <c r="BY165" s="408"/>
      <c r="BZ165" s="408"/>
      <c r="CA165" s="408"/>
      <c r="CB165" s="408"/>
      <c r="CC165" s="408"/>
      <c r="CD165" s="408"/>
      <c r="CE165" s="408"/>
      <c r="CF165" s="408"/>
      <c r="CG165" s="408"/>
      <c r="CH165" s="408"/>
      <c r="CI165" s="408"/>
      <c r="CJ165" s="408"/>
      <c r="CK165" s="408"/>
      <c r="CL165" s="408"/>
      <c r="CM165" s="408"/>
      <c r="CN165" s="408"/>
    </row>
    <row r="166">
      <c r="A166" s="408"/>
      <c r="B166" s="408"/>
      <c r="C166" s="408"/>
      <c r="D166" s="408"/>
      <c r="E166" s="408"/>
      <c r="F166" s="408"/>
      <c r="G166" s="408"/>
      <c r="H166" s="408"/>
      <c r="I166" s="408"/>
      <c r="J166" s="408"/>
      <c r="K166" s="408"/>
      <c r="L166" s="408"/>
      <c r="M166" s="408"/>
      <c r="N166" s="408"/>
      <c r="O166" s="408"/>
      <c r="P166" s="408"/>
      <c r="Q166" s="408"/>
      <c r="R166" s="408"/>
      <c r="S166" s="408"/>
      <c r="T166" s="408"/>
      <c r="U166" s="408"/>
      <c r="V166" s="408"/>
      <c r="W166" s="408"/>
      <c r="X166" s="408"/>
      <c r="Y166" s="408"/>
      <c r="Z166" s="408"/>
      <c r="AA166" s="408"/>
      <c r="AB166" s="408"/>
      <c r="AC166" s="408"/>
      <c r="AD166" s="408"/>
      <c r="AE166" s="408"/>
      <c r="AF166" s="408"/>
      <c r="AG166" s="408"/>
      <c r="AH166" s="408"/>
      <c r="AI166" s="408"/>
      <c r="AJ166" s="408"/>
      <c r="AK166" s="408"/>
      <c r="AL166" s="408"/>
      <c r="AM166" s="408"/>
      <c r="AN166" s="408"/>
      <c r="AO166" s="408"/>
      <c r="AP166" s="408"/>
      <c r="AQ166" s="408"/>
      <c r="AR166" s="408"/>
      <c r="AS166" s="408"/>
      <c r="AT166" s="408"/>
      <c r="AU166" s="408"/>
      <c r="AV166" s="408"/>
      <c r="AW166" s="408"/>
      <c r="AX166" s="408"/>
      <c r="AY166" s="408"/>
      <c r="AZ166" s="408"/>
      <c r="BA166" s="408"/>
      <c r="BB166" s="408"/>
      <c r="BC166" s="408"/>
      <c r="BD166" s="408"/>
      <c r="BE166" s="408"/>
      <c r="BF166" s="408"/>
      <c r="BG166" s="408"/>
      <c r="BH166" s="408"/>
      <c r="BI166" s="408"/>
      <c r="BJ166" s="408"/>
      <c r="BK166" s="408"/>
      <c r="BL166" s="408"/>
      <c r="BM166" s="408"/>
      <c r="BN166" s="408"/>
      <c r="BO166" s="408"/>
      <c r="BP166" s="408"/>
      <c r="BQ166" s="408"/>
      <c r="BR166" s="408"/>
      <c r="BS166" s="408"/>
      <c r="BT166" s="408"/>
      <c r="BU166" s="408"/>
      <c r="BV166" s="408"/>
      <c r="BW166" s="408"/>
      <c r="BX166" s="408"/>
      <c r="BY166" s="408"/>
      <c r="BZ166" s="408"/>
      <c r="CA166" s="408"/>
      <c r="CB166" s="408"/>
      <c r="CC166" s="408"/>
      <c r="CD166" s="408"/>
      <c r="CE166" s="408"/>
      <c r="CF166" s="408"/>
      <c r="CG166" s="408"/>
      <c r="CH166" s="408"/>
      <c r="CI166" s="408"/>
      <c r="CJ166" s="408"/>
      <c r="CK166" s="408"/>
      <c r="CL166" s="408"/>
      <c r="CM166" s="408"/>
      <c r="CN166" s="408"/>
    </row>
    <row r="167">
      <c r="A167" s="408"/>
      <c r="B167" s="408"/>
      <c r="C167" s="408"/>
      <c r="D167" s="408"/>
      <c r="E167" s="408"/>
      <c r="F167" s="408"/>
      <c r="G167" s="408"/>
      <c r="H167" s="408"/>
      <c r="I167" s="408"/>
      <c r="J167" s="408"/>
      <c r="K167" s="408"/>
      <c r="L167" s="408"/>
      <c r="M167" s="408"/>
      <c r="N167" s="408"/>
      <c r="O167" s="408"/>
      <c r="P167" s="408"/>
      <c r="Q167" s="408"/>
      <c r="R167" s="408"/>
      <c r="S167" s="408"/>
      <c r="T167" s="408"/>
      <c r="U167" s="408"/>
      <c r="V167" s="408"/>
      <c r="W167" s="408"/>
      <c r="X167" s="408"/>
      <c r="Y167" s="408"/>
      <c r="Z167" s="408"/>
      <c r="AA167" s="408"/>
      <c r="AB167" s="408"/>
      <c r="AC167" s="408"/>
      <c r="AD167" s="408"/>
      <c r="AE167" s="408"/>
      <c r="AF167" s="408"/>
      <c r="AG167" s="408"/>
      <c r="AH167" s="408"/>
      <c r="AI167" s="408"/>
      <c r="AJ167" s="408"/>
      <c r="AK167" s="408"/>
      <c r="AL167" s="408"/>
      <c r="AM167" s="408"/>
      <c r="AN167" s="408"/>
      <c r="AO167" s="408"/>
      <c r="AP167" s="408"/>
      <c r="AQ167" s="408"/>
      <c r="AR167" s="408"/>
      <c r="AS167" s="408"/>
      <c r="AT167" s="408"/>
      <c r="AU167" s="408"/>
      <c r="AV167" s="408"/>
      <c r="AW167" s="408"/>
      <c r="AX167" s="408"/>
      <c r="AY167" s="408"/>
      <c r="AZ167" s="408"/>
      <c r="BA167" s="408"/>
      <c r="BB167" s="408"/>
      <c r="BC167" s="408"/>
      <c r="BD167" s="408"/>
      <c r="BE167" s="408"/>
      <c r="BF167" s="408"/>
      <c r="BG167" s="408"/>
      <c r="BH167" s="408"/>
      <c r="BI167" s="408"/>
      <c r="BJ167" s="408"/>
      <c r="BK167" s="408"/>
      <c r="BL167" s="408"/>
      <c r="BM167" s="408"/>
      <c r="BN167" s="408"/>
      <c r="BO167" s="408"/>
      <c r="BP167" s="408"/>
      <c r="BQ167" s="408"/>
      <c r="BR167" s="408"/>
      <c r="BS167" s="408"/>
      <c r="BT167" s="408"/>
      <c r="BU167" s="408"/>
      <c r="BV167" s="408"/>
      <c r="BW167" s="408"/>
      <c r="BX167" s="408"/>
      <c r="BY167" s="408"/>
      <c r="BZ167" s="408"/>
      <c r="CA167" s="408"/>
      <c r="CB167" s="408"/>
      <c r="CC167" s="408"/>
      <c r="CD167" s="408"/>
      <c r="CE167" s="408"/>
      <c r="CF167" s="408"/>
      <c r="CG167" s="408"/>
      <c r="CH167" s="408"/>
      <c r="CI167" s="408"/>
      <c r="CJ167" s="408"/>
      <c r="CK167" s="408"/>
      <c r="CL167" s="408"/>
      <c r="CM167" s="408"/>
      <c r="CN167" s="408"/>
    </row>
    <row r="168">
      <c r="A168" s="408"/>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8"/>
      <c r="Y168" s="408"/>
      <c r="Z168" s="408"/>
      <c r="AA168" s="408"/>
      <c r="AB168" s="408"/>
      <c r="AC168" s="408"/>
      <c r="AD168" s="408"/>
      <c r="AE168" s="408"/>
      <c r="AF168" s="408"/>
      <c r="AG168" s="408"/>
      <c r="AH168" s="408"/>
      <c r="AI168" s="408"/>
      <c r="AJ168" s="408"/>
      <c r="AK168" s="408"/>
      <c r="AL168" s="408"/>
      <c r="AM168" s="408"/>
      <c r="AN168" s="408"/>
      <c r="AO168" s="408"/>
      <c r="AP168" s="408"/>
      <c r="AQ168" s="408"/>
      <c r="AR168" s="408"/>
      <c r="AS168" s="408"/>
      <c r="AT168" s="408"/>
      <c r="AU168" s="408"/>
      <c r="AV168" s="408"/>
      <c r="AW168" s="408"/>
      <c r="AX168" s="408"/>
      <c r="AY168" s="408"/>
      <c r="AZ168" s="408"/>
      <c r="BA168" s="408"/>
      <c r="BB168" s="408"/>
      <c r="BC168" s="408"/>
      <c r="BD168" s="408"/>
      <c r="BE168" s="408"/>
      <c r="BF168" s="408"/>
      <c r="BG168" s="408"/>
      <c r="BH168" s="408"/>
      <c r="BI168" s="408"/>
      <c r="BJ168" s="408"/>
      <c r="BK168" s="408"/>
      <c r="BL168" s="408"/>
      <c r="BM168" s="408"/>
      <c r="BN168" s="408"/>
      <c r="BO168" s="408"/>
      <c r="BP168" s="408"/>
      <c r="BQ168" s="408"/>
      <c r="BR168" s="408"/>
      <c r="BS168" s="408"/>
      <c r="BT168" s="408"/>
      <c r="BU168" s="408"/>
      <c r="BV168" s="408"/>
      <c r="BW168" s="408"/>
      <c r="BX168" s="408"/>
      <c r="BY168" s="408"/>
      <c r="BZ168" s="408"/>
      <c r="CA168" s="408"/>
      <c r="CB168" s="408"/>
      <c r="CC168" s="408"/>
      <c r="CD168" s="408"/>
      <c r="CE168" s="408"/>
      <c r="CF168" s="408"/>
      <c r="CG168" s="408"/>
      <c r="CH168" s="408"/>
      <c r="CI168" s="408"/>
      <c r="CJ168" s="408"/>
      <c r="CK168" s="408"/>
      <c r="CL168" s="408"/>
      <c r="CM168" s="408"/>
      <c r="CN168" s="408"/>
    </row>
    <row r="169">
      <c r="A169" s="408"/>
      <c r="B169" s="408"/>
      <c r="C169" s="408"/>
      <c r="D169" s="408"/>
      <c r="E169" s="408"/>
      <c r="F169" s="408"/>
      <c r="G169" s="408"/>
      <c r="H169" s="408"/>
      <c r="I169" s="408"/>
      <c r="J169" s="408"/>
      <c r="K169" s="408"/>
      <c r="L169" s="408"/>
      <c r="M169" s="408"/>
      <c r="N169" s="408"/>
      <c r="O169" s="408"/>
      <c r="P169" s="408"/>
      <c r="Q169" s="408"/>
      <c r="R169" s="408"/>
      <c r="S169" s="408"/>
      <c r="T169" s="408"/>
      <c r="U169" s="408"/>
      <c r="V169" s="408"/>
      <c r="W169" s="408"/>
      <c r="X169" s="408"/>
      <c r="Y169" s="408"/>
      <c r="Z169" s="408"/>
      <c r="AA169" s="408"/>
      <c r="AB169" s="408"/>
      <c r="AC169" s="408"/>
      <c r="AD169" s="408"/>
      <c r="AE169" s="408"/>
      <c r="AF169" s="408"/>
      <c r="AG169" s="408"/>
      <c r="AH169" s="408"/>
      <c r="AI169" s="408"/>
      <c r="AJ169" s="408"/>
      <c r="AK169" s="408"/>
      <c r="AL169" s="408"/>
      <c r="AM169" s="408"/>
      <c r="AN169" s="408"/>
      <c r="AO169" s="408"/>
      <c r="AP169" s="408"/>
      <c r="AQ169" s="408"/>
      <c r="AR169" s="408"/>
      <c r="AS169" s="408"/>
      <c r="AT169" s="408"/>
      <c r="AU169" s="408"/>
      <c r="AV169" s="408"/>
      <c r="AW169" s="408"/>
      <c r="AX169" s="408"/>
      <c r="AY169" s="408"/>
      <c r="AZ169" s="408"/>
      <c r="BA169" s="408"/>
      <c r="BB169" s="408"/>
      <c r="BC169" s="408"/>
      <c r="BD169" s="408"/>
      <c r="BE169" s="408"/>
      <c r="BF169" s="408"/>
      <c r="BG169" s="408"/>
      <c r="BH169" s="408"/>
      <c r="BI169" s="408"/>
      <c r="BJ169" s="408"/>
      <c r="BK169" s="408"/>
      <c r="BL169" s="408"/>
      <c r="BM169" s="408"/>
      <c r="BN169" s="408"/>
      <c r="BO169" s="408"/>
      <c r="BP169" s="408"/>
      <c r="BQ169" s="408"/>
      <c r="BR169" s="408"/>
      <c r="BS169" s="408"/>
      <c r="BT169" s="408"/>
      <c r="BU169" s="408"/>
      <c r="BV169" s="408"/>
      <c r="BW169" s="408"/>
      <c r="BX169" s="408"/>
      <c r="BY169" s="408"/>
      <c r="BZ169" s="408"/>
      <c r="CA169" s="408"/>
      <c r="CB169" s="408"/>
      <c r="CC169" s="408"/>
      <c r="CD169" s="408"/>
      <c r="CE169" s="408"/>
      <c r="CF169" s="408"/>
      <c r="CG169" s="408"/>
      <c r="CH169" s="408"/>
      <c r="CI169" s="408"/>
      <c r="CJ169" s="408"/>
      <c r="CK169" s="408"/>
      <c r="CL169" s="408"/>
      <c r="CM169" s="408"/>
      <c r="CN169" s="408"/>
    </row>
    <row r="170">
      <c r="A170" s="408"/>
      <c r="B170" s="408"/>
      <c r="C170" s="408"/>
      <c r="D170" s="408"/>
      <c r="E170" s="408"/>
      <c r="F170" s="408"/>
      <c r="G170" s="408"/>
      <c r="H170" s="408"/>
      <c r="I170" s="408"/>
      <c r="J170" s="408"/>
      <c r="K170" s="408"/>
      <c r="L170" s="408"/>
      <c r="M170" s="408"/>
      <c r="N170" s="408"/>
      <c r="O170" s="408"/>
      <c r="P170" s="408"/>
      <c r="Q170" s="408"/>
      <c r="R170" s="408"/>
      <c r="S170" s="408"/>
      <c r="T170" s="408"/>
      <c r="U170" s="408"/>
      <c r="V170" s="408"/>
      <c r="W170" s="408"/>
      <c r="X170" s="408"/>
      <c r="Y170" s="408"/>
      <c r="Z170" s="408"/>
      <c r="AA170" s="408"/>
      <c r="AB170" s="408"/>
      <c r="AC170" s="408"/>
      <c r="AD170" s="408"/>
      <c r="AE170" s="408"/>
      <c r="AF170" s="408"/>
      <c r="AG170" s="408"/>
      <c r="AH170" s="408"/>
      <c r="AI170" s="408"/>
      <c r="AJ170" s="408"/>
      <c r="AK170" s="408"/>
      <c r="AL170" s="408"/>
      <c r="AM170" s="408"/>
      <c r="AN170" s="408"/>
      <c r="AO170" s="408"/>
      <c r="AP170" s="408"/>
      <c r="AQ170" s="408"/>
      <c r="AR170" s="408"/>
      <c r="AS170" s="408"/>
      <c r="AT170" s="408"/>
      <c r="AU170" s="408"/>
      <c r="AV170" s="408"/>
      <c r="AW170" s="408"/>
      <c r="AX170" s="408"/>
      <c r="AY170" s="408"/>
      <c r="AZ170" s="408"/>
      <c r="BA170" s="408"/>
      <c r="BB170" s="408"/>
      <c r="BC170" s="408"/>
      <c r="BD170" s="408"/>
      <c r="BE170" s="408"/>
      <c r="BF170" s="408"/>
      <c r="BG170" s="408"/>
      <c r="BH170" s="408"/>
      <c r="BI170" s="408"/>
      <c r="BJ170" s="408"/>
      <c r="BK170" s="408"/>
      <c r="BL170" s="408"/>
      <c r="BM170" s="408"/>
      <c r="BN170" s="408"/>
      <c r="BO170" s="408"/>
      <c r="BP170" s="408"/>
      <c r="BQ170" s="408"/>
      <c r="BR170" s="408"/>
      <c r="BS170" s="408"/>
      <c r="BT170" s="408"/>
      <c r="BU170" s="408"/>
      <c r="BV170" s="408"/>
      <c r="BW170" s="408"/>
      <c r="BX170" s="408"/>
      <c r="BY170" s="408"/>
      <c r="BZ170" s="408"/>
      <c r="CA170" s="408"/>
      <c r="CB170" s="408"/>
      <c r="CC170" s="408"/>
      <c r="CD170" s="408"/>
      <c r="CE170" s="408"/>
      <c r="CF170" s="408"/>
      <c r="CG170" s="408"/>
      <c r="CH170" s="408"/>
      <c r="CI170" s="408"/>
      <c r="CJ170" s="408"/>
      <c r="CK170" s="408"/>
      <c r="CL170" s="408"/>
      <c r="CM170" s="408"/>
      <c r="CN170" s="408"/>
    </row>
    <row r="171">
      <c r="A171" s="408"/>
      <c r="B171" s="408"/>
      <c r="C171" s="408"/>
      <c r="D171" s="408"/>
      <c r="E171" s="408"/>
      <c r="F171" s="408"/>
      <c r="G171" s="408"/>
      <c r="H171" s="408"/>
      <c r="I171" s="408"/>
      <c r="J171" s="408"/>
      <c r="K171" s="408"/>
      <c r="L171" s="408"/>
      <c r="M171" s="408"/>
      <c r="N171" s="408"/>
      <c r="O171" s="408"/>
      <c r="P171" s="408"/>
      <c r="Q171" s="408"/>
      <c r="R171" s="408"/>
      <c r="S171" s="408"/>
      <c r="T171" s="408"/>
      <c r="U171" s="408"/>
      <c r="V171" s="408"/>
      <c r="W171" s="408"/>
      <c r="X171" s="408"/>
      <c r="Y171" s="408"/>
      <c r="Z171" s="408"/>
      <c r="AA171" s="408"/>
      <c r="AB171" s="408"/>
      <c r="AC171" s="408"/>
      <c r="AD171" s="408"/>
      <c r="AE171" s="408"/>
      <c r="AF171" s="408"/>
      <c r="AG171" s="408"/>
      <c r="AH171" s="408"/>
      <c r="AI171" s="408"/>
      <c r="AJ171" s="408"/>
      <c r="AK171" s="408"/>
      <c r="AL171" s="408"/>
      <c r="AM171" s="408"/>
      <c r="AN171" s="408"/>
      <c r="AO171" s="408"/>
      <c r="AP171" s="408"/>
      <c r="AQ171" s="408"/>
      <c r="AR171" s="408"/>
      <c r="AS171" s="408"/>
      <c r="AT171" s="408"/>
      <c r="AU171" s="408"/>
      <c r="AV171" s="408"/>
      <c r="AW171" s="408"/>
      <c r="AX171" s="408"/>
      <c r="AY171" s="408"/>
      <c r="AZ171" s="408"/>
      <c r="BA171" s="408"/>
      <c r="BB171" s="408"/>
      <c r="BC171" s="408"/>
      <c r="BD171" s="408"/>
      <c r="BE171" s="408"/>
      <c r="BF171" s="408"/>
      <c r="BG171" s="408"/>
      <c r="BH171" s="408"/>
      <c r="BI171" s="408"/>
      <c r="BJ171" s="408"/>
      <c r="BK171" s="408"/>
      <c r="BL171" s="408"/>
      <c r="BM171" s="408"/>
      <c r="BN171" s="408"/>
      <c r="BO171" s="408"/>
      <c r="BP171" s="408"/>
      <c r="BQ171" s="408"/>
      <c r="BR171" s="408"/>
      <c r="BS171" s="408"/>
      <c r="BT171" s="408"/>
      <c r="BU171" s="408"/>
      <c r="BV171" s="408"/>
      <c r="BW171" s="408"/>
      <c r="BX171" s="408"/>
      <c r="BY171" s="408"/>
      <c r="BZ171" s="408"/>
      <c r="CA171" s="408"/>
      <c r="CB171" s="408"/>
      <c r="CC171" s="408"/>
      <c r="CD171" s="408"/>
      <c r="CE171" s="408"/>
      <c r="CF171" s="408"/>
      <c r="CG171" s="408"/>
      <c r="CH171" s="408"/>
      <c r="CI171" s="408"/>
      <c r="CJ171" s="408"/>
      <c r="CK171" s="408"/>
      <c r="CL171" s="408"/>
      <c r="CM171" s="408"/>
      <c r="CN171" s="408"/>
    </row>
    <row r="172">
      <c r="A172" s="408"/>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8"/>
      <c r="Y172" s="408"/>
      <c r="Z172" s="408"/>
      <c r="AA172" s="408"/>
      <c r="AB172" s="408"/>
      <c r="AC172" s="408"/>
      <c r="AD172" s="408"/>
      <c r="AE172" s="408"/>
      <c r="AF172" s="408"/>
      <c r="AG172" s="408"/>
      <c r="AH172" s="408"/>
      <c r="AI172" s="408"/>
      <c r="AJ172" s="408"/>
      <c r="AK172" s="408"/>
      <c r="AL172" s="408"/>
      <c r="AM172" s="408"/>
      <c r="AN172" s="408"/>
      <c r="AO172" s="408"/>
      <c r="AP172" s="408"/>
      <c r="AQ172" s="408"/>
      <c r="AR172" s="408"/>
      <c r="AS172" s="408"/>
      <c r="AT172" s="408"/>
      <c r="AU172" s="408"/>
      <c r="AV172" s="408"/>
      <c r="AW172" s="408"/>
      <c r="AX172" s="408"/>
      <c r="AY172" s="408"/>
      <c r="AZ172" s="408"/>
      <c r="BA172" s="408"/>
      <c r="BB172" s="408"/>
      <c r="BC172" s="408"/>
      <c r="BD172" s="408"/>
      <c r="BE172" s="408"/>
      <c r="BF172" s="408"/>
      <c r="BG172" s="408"/>
      <c r="BH172" s="408"/>
      <c r="BI172" s="408"/>
      <c r="BJ172" s="408"/>
      <c r="BK172" s="408"/>
      <c r="BL172" s="408"/>
      <c r="BM172" s="408"/>
      <c r="BN172" s="408"/>
      <c r="BO172" s="408"/>
      <c r="BP172" s="408"/>
      <c r="BQ172" s="408"/>
      <c r="BR172" s="408"/>
      <c r="BS172" s="408"/>
      <c r="BT172" s="408"/>
      <c r="BU172" s="408"/>
      <c r="BV172" s="408"/>
      <c r="BW172" s="408"/>
      <c r="BX172" s="408"/>
      <c r="BY172" s="408"/>
      <c r="BZ172" s="408"/>
      <c r="CA172" s="408"/>
      <c r="CB172" s="408"/>
      <c r="CC172" s="408"/>
      <c r="CD172" s="408"/>
      <c r="CE172" s="408"/>
      <c r="CF172" s="408"/>
      <c r="CG172" s="408"/>
      <c r="CH172" s="408"/>
      <c r="CI172" s="408"/>
      <c r="CJ172" s="408"/>
      <c r="CK172" s="408"/>
      <c r="CL172" s="408"/>
      <c r="CM172" s="408"/>
      <c r="CN172" s="408"/>
    </row>
    <row r="173">
      <c r="A173" s="408"/>
      <c r="B173" s="408"/>
      <c r="C173" s="408"/>
      <c r="D173" s="408"/>
      <c r="E173" s="408"/>
      <c r="F173" s="408"/>
      <c r="G173" s="408"/>
      <c r="H173" s="408"/>
      <c r="I173" s="408"/>
      <c r="J173" s="408"/>
      <c r="K173" s="408"/>
      <c r="L173" s="408"/>
      <c r="M173" s="408"/>
      <c r="N173" s="408"/>
      <c r="O173" s="408"/>
      <c r="P173" s="408"/>
      <c r="Q173" s="408"/>
      <c r="R173" s="408"/>
      <c r="S173" s="408"/>
      <c r="T173" s="408"/>
      <c r="U173" s="408"/>
      <c r="V173" s="408"/>
      <c r="W173" s="408"/>
      <c r="X173" s="408"/>
      <c r="Y173" s="408"/>
      <c r="Z173" s="408"/>
      <c r="AA173" s="408"/>
      <c r="AB173" s="408"/>
      <c r="AC173" s="408"/>
      <c r="AD173" s="408"/>
      <c r="AE173" s="408"/>
      <c r="AF173" s="408"/>
      <c r="AG173" s="408"/>
      <c r="AH173" s="408"/>
      <c r="AI173" s="408"/>
      <c r="AJ173" s="408"/>
      <c r="AK173" s="408"/>
      <c r="AL173" s="408"/>
      <c r="AM173" s="408"/>
      <c r="AN173" s="408"/>
      <c r="AO173" s="408"/>
      <c r="AP173" s="408"/>
      <c r="AQ173" s="408"/>
      <c r="AR173" s="408"/>
      <c r="AS173" s="408"/>
      <c r="AT173" s="408"/>
      <c r="AU173" s="408"/>
      <c r="AV173" s="408"/>
      <c r="AW173" s="408"/>
      <c r="AX173" s="408"/>
      <c r="AY173" s="408"/>
      <c r="AZ173" s="408"/>
      <c r="BA173" s="408"/>
      <c r="BB173" s="408"/>
      <c r="BC173" s="408"/>
      <c r="BD173" s="408"/>
      <c r="BE173" s="408"/>
      <c r="BF173" s="408"/>
      <c r="BG173" s="408"/>
      <c r="BH173" s="408"/>
      <c r="BI173" s="408"/>
      <c r="BJ173" s="408"/>
      <c r="BK173" s="408"/>
      <c r="BL173" s="408"/>
      <c r="BM173" s="408"/>
      <c r="BN173" s="408"/>
      <c r="BO173" s="408"/>
      <c r="BP173" s="408"/>
      <c r="BQ173" s="408"/>
      <c r="BR173" s="408"/>
      <c r="BS173" s="408"/>
      <c r="BT173" s="408"/>
      <c r="BU173" s="408"/>
      <c r="BV173" s="408"/>
      <c r="BW173" s="408"/>
      <c r="BX173" s="408"/>
      <c r="BY173" s="408"/>
      <c r="BZ173" s="408"/>
      <c r="CA173" s="408"/>
      <c r="CB173" s="408"/>
      <c r="CC173" s="408"/>
      <c r="CD173" s="408"/>
      <c r="CE173" s="408"/>
      <c r="CF173" s="408"/>
      <c r="CG173" s="408"/>
      <c r="CH173" s="408"/>
      <c r="CI173" s="408"/>
      <c r="CJ173" s="408"/>
      <c r="CK173" s="408"/>
      <c r="CL173" s="408"/>
      <c r="CM173" s="408"/>
      <c r="CN173" s="408"/>
    </row>
    <row r="174">
      <c r="A174" s="408"/>
      <c r="B174" s="408"/>
      <c r="C174" s="408"/>
      <c r="D174" s="408"/>
      <c r="E174" s="408"/>
      <c r="F174" s="408"/>
      <c r="G174" s="408"/>
      <c r="H174" s="408"/>
      <c r="I174" s="408"/>
      <c r="J174" s="408"/>
      <c r="K174" s="408"/>
      <c r="L174" s="408"/>
      <c r="M174" s="408"/>
      <c r="N174" s="408"/>
      <c r="O174" s="408"/>
      <c r="P174" s="408"/>
      <c r="Q174" s="408"/>
      <c r="R174" s="408"/>
      <c r="S174" s="408"/>
      <c r="T174" s="408"/>
      <c r="U174" s="408"/>
      <c r="V174" s="408"/>
      <c r="W174" s="408"/>
      <c r="X174" s="408"/>
      <c r="Y174" s="408"/>
      <c r="Z174" s="408"/>
      <c r="AA174" s="408"/>
      <c r="AB174" s="408"/>
      <c r="AC174" s="408"/>
      <c r="AD174" s="408"/>
      <c r="AE174" s="408"/>
      <c r="AF174" s="408"/>
      <c r="AG174" s="408"/>
      <c r="AH174" s="408"/>
      <c r="AI174" s="408"/>
      <c r="AJ174" s="408"/>
      <c r="AK174" s="408"/>
      <c r="AL174" s="408"/>
      <c r="AM174" s="408"/>
      <c r="AN174" s="408"/>
      <c r="AO174" s="408"/>
      <c r="AP174" s="408"/>
      <c r="AQ174" s="408"/>
      <c r="AR174" s="408"/>
      <c r="AS174" s="408"/>
      <c r="AT174" s="408"/>
      <c r="AU174" s="408"/>
      <c r="AV174" s="408"/>
      <c r="AW174" s="408"/>
      <c r="AX174" s="408"/>
      <c r="AY174" s="408"/>
      <c r="AZ174" s="408"/>
      <c r="BA174" s="408"/>
      <c r="BB174" s="408"/>
      <c r="BC174" s="408"/>
      <c r="BD174" s="408"/>
      <c r="BE174" s="408"/>
      <c r="BF174" s="408"/>
      <c r="BG174" s="408"/>
      <c r="BH174" s="408"/>
      <c r="BI174" s="408"/>
      <c r="BJ174" s="408"/>
      <c r="BK174" s="408"/>
      <c r="BL174" s="408"/>
      <c r="BM174" s="408"/>
      <c r="BN174" s="408"/>
      <c r="BO174" s="408"/>
      <c r="BP174" s="408"/>
      <c r="BQ174" s="408"/>
      <c r="BR174" s="408"/>
      <c r="BS174" s="408"/>
      <c r="BT174" s="408"/>
      <c r="BU174" s="408"/>
      <c r="BV174" s="408"/>
      <c r="BW174" s="408"/>
      <c r="BX174" s="408"/>
      <c r="BY174" s="408"/>
      <c r="BZ174" s="408"/>
      <c r="CA174" s="408"/>
      <c r="CB174" s="408"/>
      <c r="CC174" s="408"/>
      <c r="CD174" s="408"/>
      <c r="CE174" s="408"/>
      <c r="CF174" s="408"/>
      <c r="CG174" s="408"/>
      <c r="CH174" s="408"/>
      <c r="CI174" s="408"/>
      <c r="CJ174" s="408"/>
      <c r="CK174" s="408"/>
      <c r="CL174" s="408"/>
      <c r="CM174" s="408"/>
      <c r="CN174" s="408"/>
    </row>
    <row r="175">
      <c r="A175" s="408"/>
      <c r="B175" s="408"/>
      <c r="C175" s="408"/>
      <c r="D175" s="408"/>
      <c r="E175" s="408"/>
      <c r="F175" s="408"/>
      <c r="G175" s="408"/>
      <c r="H175" s="408"/>
      <c r="I175" s="408"/>
      <c r="J175" s="408"/>
      <c r="K175" s="408"/>
      <c r="L175" s="408"/>
      <c r="M175" s="408"/>
      <c r="N175" s="408"/>
      <c r="O175" s="408"/>
      <c r="P175" s="408"/>
      <c r="Q175" s="408"/>
      <c r="R175" s="408"/>
      <c r="S175" s="408"/>
      <c r="T175" s="408"/>
      <c r="U175" s="408"/>
      <c r="V175" s="408"/>
      <c r="W175" s="408"/>
      <c r="X175" s="408"/>
      <c r="Y175" s="408"/>
      <c r="Z175" s="408"/>
      <c r="AA175" s="408"/>
      <c r="AB175" s="408"/>
      <c r="AC175" s="408"/>
      <c r="AD175" s="408"/>
      <c r="AE175" s="408"/>
      <c r="AF175" s="408"/>
      <c r="AG175" s="408"/>
      <c r="AH175" s="408"/>
      <c r="AI175" s="408"/>
      <c r="AJ175" s="408"/>
      <c r="AK175" s="408"/>
      <c r="AL175" s="408"/>
      <c r="AM175" s="408"/>
      <c r="AN175" s="408"/>
      <c r="AO175" s="408"/>
      <c r="AP175" s="408"/>
      <c r="AQ175" s="408"/>
      <c r="AR175" s="408"/>
      <c r="AS175" s="408"/>
      <c r="AT175" s="408"/>
      <c r="AU175" s="408"/>
      <c r="AV175" s="408"/>
      <c r="AW175" s="408"/>
      <c r="AX175" s="408"/>
      <c r="AY175" s="408"/>
      <c r="AZ175" s="408"/>
      <c r="BA175" s="408"/>
      <c r="BB175" s="408"/>
      <c r="BC175" s="408"/>
      <c r="BD175" s="408"/>
      <c r="BE175" s="408"/>
      <c r="BF175" s="408"/>
      <c r="BG175" s="408"/>
      <c r="BH175" s="408"/>
      <c r="BI175" s="408"/>
      <c r="BJ175" s="408"/>
      <c r="BK175" s="408"/>
      <c r="BL175" s="408"/>
      <c r="BM175" s="408"/>
      <c r="BN175" s="408"/>
      <c r="BO175" s="408"/>
      <c r="BP175" s="408"/>
      <c r="BQ175" s="408"/>
      <c r="BR175" s="408"/>
      <c r="BS175" s="408"/>
      <c r="BT175" s="408"/>
      <c r="BU175" s="408"/>
      <c r="BV175" s="408"/>
      <c r="BW175" s="408"/>
      <c r="BX175" s="408"/>
      <c r="BY175" s="408"/>
      <c r="BZ175" s="408"/>
      <c r="CA175" s="408"/>
      <c r="CB175" s="408"/>
      <c r="CC175" s="408"/>
      <c r="CD175" s="408"/>
      <c r="CE175" s="408"/>
      <c r="CF175" s="408"/>
      <c r="CG175" s="408"/>
      <c r="CH175" s="408"/>
      <c r="CI175" s="408"/>
      <c r="CJ175" s="408"/>
      <c r="CK175" s="408"/>
      <c r="CL175" s="408"/>
      <c r="CM175" s="408"/>
      <c r="CN175" s="408"/>
    </row>
    <row r="176">
      <c r="A176" s="408"/>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8"/>
      <c r="Y176" s="408"/>
      <c r="Z176" s="408"/>
      <c r="AA176" s="408"/>
      <c r="AB176" s="408"/>
      <c r="AC176" s="408"/>
      <c r="AD176" s="408"/>
      <c r="AE176" s="408"/>
      <c r="AF176" s="408"/>
      <c r="AG176" s="408"/>
      <c r="AH176" s="408"/>
      <c r="AI176" s="408"/>
      <c r="AJ176" s="408"/>
      <c r="AK176" s="408"/>
      <c r="AL176" s="408"/>
      <c r="AM176" s="408"/>
      <c r="AN176" s="408"/>
      <c r="AO176" s="408"/>
      <c r="AP176" s="408"/>
      <c r="AQ176" s="408"/>
      <c r="AR176" s="408"/>
      <c r="AS176" s="408"/>
      <c r="AT176" s="408"/>
      <c r="AU176" s="408"/>
      <c r="AV176" s="408"/>
      <c r="AW176" s="408"/>
      <c r="AX176" s="408"/>
      <c r="AY176" s="408"/>
      <c r="AZ176" s="408"/>
      <c r="BA176" s="408"/>
      <c r="BB176" s="408"/>
      <c r="BC176" s="408"/>
      <c r="BD176" s="408"/>
      <c r="BE176" s="408"/>
      <c r="BF176" s="408"/>
      <c r="BG176" s="408"/>
      <c r="BH176" s="408"/>
      <c r="BI176" s="408"/>
      <c r="BJ176" s="408"/>
      <c r="BK176" s="408"/>
      <c r="BL176" s="408"/>
      <c r="BM176" s="408"/>
      <c r="BN176" s="408"/>
      <c r="BO176" s="408"/>
      <c r="BP176" s="408"/>
      <c r="BQ176" s="408"/>
      <c r="BR176" s="408"/>
      <c r="BS176" s="408"/>
      <c r="BT176" s="408"/>
      <c r="BU176" s="408"/>
      <c r="BV176" s="408"/>
      <c r="BW176" s="408"/>
      <c r="BX176" s="408"/>
      <c r="BY176" s="408"/>
      <c r="BZ176" s="408"/>
      <c r="CA176" s="408"/>
      <c r="CB176" s="408"/>
      <c r="CC176" s="408"/>
      <c r="CD176" s="408"/>
      <c r="CE176" s="408"/>
      <c r="CF176" s="408"/>
      <c r="CG176" s="408"/>
      <c r="CH176" s="408"/>
      <c r="CI176" s="408"/>
      <c r="CJ176" s="408"/>
      <c r="CK176" s="408"/>
      <c r="CL176" s="408"/>
      <c r="CM176" s="408"/>
      <c r="CN176" s="408"/>
    </row>
    <row r="177">
      <c r="A177" s="408"/>
      <c r="B177" s="408"/>
      <c r="C177" s="408"/>
      <c r="D177" s="408"/>
      <c r="E177" s="408"/>
      <c r="F177" s="408"/>
      <c r="G177" s="408"/>
      <c r="H177" s="408"/>
      <c r="I177" s="408"/>
      <c r="J177" s="408"/>
      <c r="K177" s="408"/>
      <c r="L177" s="408"/>
      <c r="M177" s="408"/>
      <c r="N177" s="408"/>
      <c r="O177" s="408"/>
      <c r="P177" s="408"/>
      <c r="Q177" s="408"/>
      <c r="R177" s="408"/>
      <c r="S177" s="408"/>
      <c r="T177" s="408"/>
      <c r="U177" s="408"/>
      <c r="V177" s="408"/>
      <c r="W177" s="408"/>
      <c r="X177" s="408"/>
      <c r="Y177" s="408"/>
      <c r="Z177" s="408"/>
      <c r="AA177" s="408"/>
      <c r="AB177" s="408"/>
      <c r="AC177" s="408"/>
      <c r="AD177" s="408"/>
      <c r="AE177" s="408"/>
      <c r="AF177" s="408"/>
      <c r="AG177" s="408"/>
      <c r="AH177" s="408"/>
      <c r="AI177" s="408"/>
      <c r="AJ177" s="408"/>
      <c r="AK177" s="408"/>
      <c r="AL177" s="408"/>
      <c r="AM177" s="408"/>
      <c r="AN177" s="408"/>
      <c r="AO177" s="408"/>
      <c r="AP177" s="408"/>
      <c r="AQ177" s="408"/>
      <c r="AR177" s="408"/>
      <c r="AS177" s="408"/>
      <c r="AT177" s="408"/>
      <c r="AU177" s="408"/>
      <c r="AV177" s="408"/>
      <c r="AW177" s="408"/>
      <c r="AX177" s="408"/>
      <c r="AY177" s="408"/>
      <c r="AZ177" s="408"/>
      <c r="BA177" s="408"/>
      <c r="BB177" s="408"/>
      <c r="BC177" s="408"/>
      <c r="BD177" s="408"/>
      <c r="BE177" s="408"/>
      <c r="BF177" s="408"/>
      <c r="BG177" s="408"/>
      <c r="BH177" s="408"/>
      <c r="BI177" s="408"/>
      <c r="BJ177" s="408"/>
      <c r="BK177" s="408"/>
      <c r="BL177" s="408"/>
      <c r="BM177" s="408"/>
      <c r="BN177" s="408"/>
      <c r="BO177" s="408"/>
      <c r="BP177" s="408"/>
      <c r="BQ177" s="408"/>
      <c r="BR177" s="408"/>
      <c r="BS177" s="408"/>
      <c r="BT177" s="408"/>
      <c r="BU177" s="408"/>
      <c r="BV177" s="408"/>
      <c r="BW177" s="408"/>
      <c r="BX177" s="408"/>
      <c r="BY177" s="408"/>
      <c r="BZ177" s="408"/>
      <c r="CA177" s="408"/>
      <c r="CB177" s="408"/>
      <c r="CC177" s="408"/>
      <c r="CD177" s="408"/>
      <c r="CE177" s="408"/>
      <c r="CF177" s="408"/>
      <c r="CG177" s="408"/>
      <c r="CH177" s="408"/>
      <c r="CI177" s="408"/>
      <c r="CJ177" s="408"/>
      <c r="CK177" s="408"/>
      <c r="CL177" s="408"/>
      <c r="CM177" s="408"/>
      <c r="CN177" s="408"/>
    </row>
    <row r="178">
      <c r="A178" s="408"/>
      <c r="B178" s="408"/>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c r="AA178" s="408"/>
      <c r="AB178" s="408"/>
      <c r="AC178" s="408"/>
      <c r="AD178" s="408"/>
      <c r="AE178" s="408"/>
      <c r="AF178" s="408"/>
      <c r="AG178" s="408"/>
      <c r="AH178" s="408"/>
      <c r="AI178" s="408"/>
      <c r="AJ178" s="408"/>
      <c r="AK178" s="408"/>
      <c r="AL178" s="408"/>
      <c r="AM178" s="408"/>
      <c r="AN178" s="408"/>
      <c r="AO178" s="408"/>
      <c r="AP178" s="408"/>
      <c r="AQ178" s="408"/>
      <c r="AR178" s="408"/>
      <c r="AS178" s="408"/>
      <c r="AT178" s="408"/>
      <c r="AU178" s="408"/>
      <c r="AV178" s="408"/>
      <c r="AW178" s="408"/>
      <c r="AX178" s="408"/>
      <c r="AY178" s="408"/>
      <c r="AZ178" s="408"/>
      <c r="BA178" s="408"/>
      <c r="BB178" s="408"/>
      <c r="BC178" s="408"/>
      <c r="BD178" s="408"/>
      <c r="BE178" s="408"/>
      <c r="BF178" s="408"/>
      <c r="BG178" s="408"/>
      <c r="BH178" s="408"/>
      <c r="BI178" s="408"/>
      <c r="BJ178" s="408"/>
      <c r="BK178" s="408"/>
      <c r="BL178" s="408"/>
      <c r="BM178" s="408"/>
      <c r="BN178" s="408"/>
      <c r="BO178" s="408"/>
      <c r="BP178" s="408"/>
      <c r="BQ178" s="408"/>
      <c r="BR178" s="408"/>
      <c r="BS178" s="408"/>
      <c r="BT178" s="408"/>
      <c r="BU178" s="408"/>
      <c r="BV178" s="408"/>
      <c r="BW178" s="408"/>
      <c r="BX178" s="408"/>
      <c r="BY178" s="408"/>
      <c r="BZ178" s="408"/>
      <c r="CA178" s="408"/>
      <c r="CB178" s="408"/>
      <c r="CC178" s="408"/>
      <c r="CD178" s="408"/>
      <c r="CE178" s="408"/>
      <c r="CF178" s="408"/>
      <c r="CG178" s="408"/>
      <c r="CH178" s="408"/>
      <c r="CI178" s="408"/>
      <c r="CJ178" s="408"/>
      <c r="CK178" s="408"/>
      <c r="CL178" s="408"/>
      <c r="CM178" s="408"/>
      <c r="CN178" s="408"/>
    </row>
    <row r="179">
      <c r="A179" s="408"/>
      <c r="B179" s="408"/>
      <c r="C179" s="408"/>
      <c r="D179" s="408"/>
      <c r="E179" s="408"/>
      <c r="F179" s="408"/>
      <c r="G179" s="408"/>
      <c r="H179" s="408"/>
      <c r="I179" s="408"/>
      <c r="J179" s="408"/>
      <c r="K179" s="408"/>
      <c r="L179" s="408"/>
      <c r="M179" s="408"/>
      <c r="N179" s="408"/>
      <c r="O179" s="408"/>
      <c r="P179" s="408"/>
      <c r="Q179" s="408"/>
      <c r="R179" s="408"/>
      <c r="S179" s="408"/>
      <c r="T179" s="408"/>
      <c r="U179" s="408"/>
      <c r="V179" s="408"/>
      <c r="W179" s="408"/>
      <c r="X179" s="408"/>
      <c r="Y179" s="408"/>
      <c r="Z179" s="408"/>
      <c r="AA179" s="408"/>
      <c r="AB179" s="408"/>
      <c r="AC179" s="408"/>
      <c r="AD179" s="408"/>
      <c r="AE179" s="408"/>
      <c r="AF179" s="408"/>
      <c r="AG179" s="408"/>
      <c r="AH179" s="408"/>
      <c r="AI179" s="408"/>
      <c r="AJ179" s="408"/>
      <c r="AK179" s="408"/>
      <c r="AL179" s="408"/>
      <c r="AM179" s="408"/>
      <c r="AN179" s="408"/>
      <c r="AO179" s="408"/>
      <c r="AP179" s="408"/>
      <c r="AQ179" s="408"/>
      <c r="AR179" s="408"/>
      <c r="AS179" s="408"/>
      <c r="AT179" s="408"/>
      <c r="AU179" s="408"/>
      <c r="AV179" s="408"/>
      <c r="AW179" s="408"/>
      <c r="AX179" s="408"/>
      <c r="AY179" s="408"/>
      <c r="AZ179" s="408"/>
      <c r="BA179" s="408"/>
      <c r="BB179" s="408"/>
      <c r="BC179" s="408"/>
      <c r="BD179" s="408"/>
      <c r="BE179" s="408"/>
      <c r="BF179" s="408"/>
      <c r="BG179" s="408"/>
      <c r="BH179" s="408"/>
      <c r="BI179" s="408"/>
      <c r="BJ179" s="408"/>
      <c r="BK179" s="408"/>
      <c r="BL179" s="408"/>
      <c r="BM179" s="408"/>
      <c r="BN179" s="408"/>
      <c r="BO179" s="408"/>
      <c r="BP179" s="408"/>
      <c r="BQ179" s="408"/>
      <c r="BR179" s="408"/>
      <c r="BS179" s="408"/>
      <c r="BT179" s="408"/>
      <c r="BU179" s="408"/>
      <c r="BV179" s="408"/>
      <c r="BW179" s="408"/>
      <c r="BX179" s="408"/>
      <c r="BY179" s="408"/>
      <c r="BZ179" s="408"/>
      <c r="CA179" s="408"/>
      <c r="CB179" s="408"/>
      <c r="CC179" s="408"/>
      <c r="CD179" s="408"/>
      <c r="CE179" s="408"/>
      <c r="CF179" s="408"/>
      <c r="CG179" s="408"/>
      <c r="CH179" s="408"/>
      <c r="CI179" s="408"/>
      <c r="CJ179" s="408"/>
      <c r="CK179" s="408"/>
      <c r="CL179" s="408"/>
      <c r="CM179" s="408"/>
      <c r="CN179" s="408"/>
    </row>
    <row r="180">
      <c r="A180" s="408"/>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8"/>
      <c r="Y180" s="408"/>
      <c r="Z180" s="408"/>
      <c r="AA180" s="408"/>
      <c r="AB180" s="408"/>
      <c r="AC180" s="408"/>
      <c r="AD180" s="408"/>
      <c r="AE180" s="408"/>
      <c r="AF180" s="408"/>
      <c r="AG180" s="408"/>
      <c r="AH180" s="408"/>
      <c r="AI180" s="408"/>
      <c r="AJ180" s="408"/>
      <c r="AK180" s="408"/>
      <c r="AL180" s="408"/>
      <c r="AM180" s="408"/>
      <c r="AN180" s="408"/>
      <c r="AO180" s="408"/>
      <c r="AP180" s="408"/>
      <c r="AQ180" s="408"/>
      <c r="AR180" s="408"/>
      <c r="AS180" s="408"/>
      <c r="AT180" s="408"/>
      <c r="AU180" s="408"/>
      <c r="AV180" s="408"/>
      <c r="AW180" s="408"/>
      <c r="AX180" s="408"/>
      <c r="AY180" s="408"/>
      <c r="AZ180" s="408"/>
      <c r="BA180" s="408"/>
      <c r="BB180" s="408"/>
      <c r="BC180" s="408"/>
      <c r="BD180" s="408"/>
      <c r="BE180" s="408"/>
      <c r="BF180" s="408"/>
      <c r="BG180" s="408"/>
      <c r="BH180" s="408"/>
      <c r="BI180" s="408"/>
      <c r="BJ180" s="408"/>
      <c r="BK180" s="408"/>
      <c r="BL180" s="408"/>
      <c r="BM180" s="408"/>
      <c r="BN180" s="408"/>
      <c r="BO180" s="408"/>
      <c r="BP180" s="408"/>
      <c r="BQ180" s="408"/>
      <c r="BR180" s="408"/>
      <c r="BS180" s="408"/>
      <c r="BT180" s="408"/>
      <c r="BU180" s="408"/>
      <c r="BV180" s="408"/>
      <c r="BW180" s="408"/>
      <c r="BX180" s="408"/>
      <c r="BY180" s="408"/>
      <c r="BZ180" s="408"/>
      <c r="CA180" s="408"/>
      <c r="CB180" s="408"/>
      <c r="CC180" s="408"/>
      <c r="CD180" s="408"/>
      <c r="CE180" s="408"/>
      <c r="CF180" s="408"/>
      <c r="CG180" s="408"/>
      <c r="CH180" s="408"/>
      <c r="CI180" s="408"/>
      <c r="CJ180" s="408"/>
      <c r="CK180" s="408"/>
      <c r="CL180" s="408"/>
      <c r="CM180" s="408"/>
      <c r="CN180" s="408"/>
    </row>
    <row r="181">
      <c r="A181" s="408"/>
      <c r="B181" s="408"/>
      <c r="C181" s="408"/>
      <c r="D181" s="408"/>
      <c r="E181" s="408"/>
      <c r="F181" s="408"/>
      <c r="G181" s="408"/>
      <c r="H181" s="408"/>
      <c r="I181" s="408"/>
      <c r="J181" s="408"/>
      <c r="K181" s="408"/>
      <c r="L181" s="408"/>
      <c r="M181" s="408"/>
      <c r="N181" s="408"/>
      <c r="O181" s="408"/>
      <c r="P181" s="408"/>
      <c r="Q181" s="408"/>
      <c r="R181" s="408"/>
      <c r="S181" s="408"/>
      <c r="T181" s="408"/>
      <c r="U181" s="408"/>
      <c r="V181" s="408"/>
      <c r="W181" s="408"/>
      <c r="X181" s="408"/>
      <c r="Y181" s="408"/>
      <c r="Z181" s="408"/>
      <c r="AA181" s="408"/>
      <c r="AB181" s="408"/>
      <c r="AC181" s="408"/>
      <c r="AD181" s="408"/>
      <c r="AE181" s="408"/>
      <c r="AF181" s="408"/>
      <c r="AG181" s="408"/>
      <c r="AH181" s="408"/>
      <c r="AI181" s="408"/>
      <c r="AJ181" s="408"/>
      <c r="AK181" s="408"/>
      <c r="AL181" s="408"/>
      <c r="AM181" s="408"/>
      <c r="AN181" s="408"/>
      <c r="AO181" s="408"/>
      <c r="AP181" s="408"/>
      <c r="AQ181" s="408"/>
      <c r="AR181" s="408"/>
      <c r="AS181" s="408"/>
      <c r="AT181" s="408"/>
      <c r="AU181" s="408"/>
      <c r="AV181" s="408"/>
      <c r="AW181" s="408"/>
      <c r="AX181" s="408"/>
      <c r="AY181" s="408"/>
      <c r="AZ181" s="408"/>
      <c r="BA181" s="408"/>
      <c r="BB181" s="408"/>
      <c r="BC181" s="408"/>
      <c r="BD181" s="408"/>
      <c r="BE181" s="408"/>
      <c r="BF181" s="408"/>
      <c r="BG181" s="408"/>
      <c r="BH181" s="408"/>
      <c r="BI181" s="408"/>
      <c r="BJ181" s="408"/>
      <c r="BK181" s="408"/>
      <c r="BL181" s="408"/>
      <c r="BM181" s="408"/>
      <c r="BN181" s="408"/>
      <c r="BO181" s="408"/>
      <c r="BP181" s="408"/>
      <c r="BQ181" s="408"/>
      <c r="BR181" s="408"/>
      <c r="BS181" s="408"/>
      <c r="BT181" s="408"/>
      <c r="BU181" s="408"/>
      <c r="BV181" s="408"/>
      <c r="BW181" s="408"/>
      <c r="BX181" s="408"/>
      <c r="BY181" s="408"/>
      <c r="BZ181" s="408"/>
      <c r="CA181" s="408"/>
      <c r="CB181" s="408"/>
      <c r="CC181" s="408"/>
      <c r="CD181" s="408"/>
      <c r="CE181" s="408"/>
      <c r="CF181" s="408"/>
      <c r="CG181" s="408"/>
      <c r="CH181" s="408"/>
      <c r="CI181" s="408"/>
      <c r="CJ181" s="408"/>
      <c r="CK181" s="408"/>
      <c r="CL181" s="408"/>
      <c r="CM181" s="408"/>
      <c r="CN181" s="408"/>
    </row>
    <row r="182">
      <c r="A182" s="408"/>
      <c r="B182" s="408"/>
      <c r="C182" s="408"/>
      <c r="D182" s="408"/>
      <c r="E182" s="408"/>
      <c r="F182" s="408"/>
      <c r="G182" s="408"/>
      <c r="H182" s="408"/>
      <c r="I182" s="408"/>
      <c r="J182" s="408"/>
      <c r="K182" s="408"/>
      <c r="L182" s="408"/>
      <c r="M182" s="408"/>
      <c r="N182" s="408"/>
      <c r="O182" s="408"/>
      <c r="P182" s="408"/>
      <c r="Q182" s="408"/>
      <c r="R182" s="408"/>
      <c r="S182" s="408"/>
      <c r="T182" s="408"/>
      <c r="U182" s="408"/>
      <c r="V182" s="408"/>
      <c r="W182" s="408"/>
      <c r="X182" s="408"/>
      <c r="Y182" s="408"/>
      <c r="Z182" s="408"/>
      <c r="AA182" s="408"/>
      <c r="AB182" s="408"/>
      <c r="AC182" s="408"/>
      <c r="AD182" s="408"/>
      <c r="AE182" s="408"/>
      <c r="AF182" s="408"/>
      <c r="AG182" s="408"/>
      <c r="AH182" s="408"/>
      <c r="AI182" s="408"/>
      <c r="AJ182" s="408"/>
      <c r="AK182" s="408"/>
      <c r="AL182" s="408"/>
      <c r="AM182" s="408"/>
      <c r="AN182" s="408"/>
      <c r="AO182" s="408"/>
      <c r="AP182" s="408"/>
      <c r="AQ182" s="408"/>
      <c r="AR182" s="408"/>
      <c r="AS182" s="408"/>
      <c r="AT182" s="408"/>
      <c r="AU182" s="408"/>
      <c r="AV182" s="408"/>
      <c r="AW182" s="408"/>
      <c r="AX182" s="408"/>
      <c r="AY182" s="408"/>
      <c r="AZ182" s="408"/>
      <c r="BA182" s="408"/>
      <c r="BB182" s="408"/>
      <c r="BC182" s="408"/>
      <c r="BD182" s="408"/>
      <c r="BE182" s="408"/>
      <c r="BF182" s="408"/>
      <c r="BG182" s="408"/>
      <c r="BH182" s="408"/>
      <c r="BI182" s="408"/>
      <c r="BJ182" s="408"/>
      <c r="BK182" s="408"/>
      <c r="BL182" s="408"/>
      <c r="BM182" s="408"/>
      <c r="BN182" s="408"/>
      <c r="BO182" s="408"/>
      <c r="BP182" s="408"/>
      <c r="BQ182" s="408"/>
      <c r="BR182" s="408"/>
      <c r="BS182" s="408"/>
      <c r="BT182" s="408"/>
      <c r="BU182" s="408"/>
      <c r="BV182" s="408"/>
      <c r="BW182" s="408"/>
      <c r="BX182" s="408"/>
      <c r="BY182" s="408"/>
      <c r="BZ182" s="408"/>
      <c r="CA182" s="408"/>
      <c r="CB182" s="408"/>
      <c r="CC182" s="408"/>
      <c r="CD182" s="408"/>
      <c r="CE182" s="408"/>
      <c r="CF182" s="408"/>
      <c r="CG182" s="408"/>
      <c r="CH182" s="408"/>
      <c r="CI182" s="408"/>
      <c r="CJ182" s="408"/>
      <c r="CK182" s="408"/>
      <c r="CL182" s="408"/>
      <c r="CM182" s="408"/>
      <c r="CN182" s="408"/>
    </row>
    <row r="183">
      <c r="A183" s="408"/>
      <c r="B183" s="408"/>
      <c r="C183" s="408"/>
      <c r="D183" s="408"/>
      <c r="E183" s="408"/>
      <c r="F183" s="408"/>
      <c r="G183" s="408"/>
      <c r="H183" s="408"/>
      <c r="I183" s="408"/>
      <c r="J183" s="408"/>
      <c r="K183" s="408"/>
      <c r="L183" s="408"/>
      <c r="M183" s="408"/>
      <c r="N183" s="408"/>
      <c r="O183" s="408"/>
      <c r="P183" s="408"/>
      <c r="Q183" s="408"/>
      <c r="R183" s="408"/>
      <c r="S183" s="408"/>
      <c r="T183" s="408"/>
      <c r="U183" s="408"/>
      <c r="V183" s="408"/>
      <c r="W183" s="408"/>
      <c r="X183" s="408"/>
      <c r="Y183" s="408"/>
      <c r="Z183" s="408"/>
      <c r="AA183" s="408"/>
      <c r="AB183" s="408"/>
      <c r="AC183" s="408"/>
      <c r="AD183" s="408"/>
      <c r="AE183" s="408"/>
      <c r="AF183" s="408"/>
      <c r="AG183" s="408"/>
      <c r="AH183" s="408"/>
      <c r="AI183" s="408"/>
      <c r="AJ183" s="408"/>
      <c r="AK183" s="408"/>
      <c r="AL183" s="408"/>
      <c r="AM183" s="408"/>
      <c r="AN183" s="408"/>
      <c r="AO183" s="408"/>
      <c r="AP183" s="408"/>
      <c r="AQ183" s="408"/>
      <c r="AR183" s="408"/>
      <c r="AS183" s="408"/>
      <c r="AT183" s="408"/>
      <c r="AU183" s="408"/>
      <c r="AV183" s="408"/>
      <c r="AW183" s="408"/>
      <c r="AX183" s="408"/>
      <c r="AY183" s="408"/>
      <c r="AZ183" s="408"/>
      <c r="BA183" s="408"/>
      <c r="BB183" s="408"/>
      <c r="BC183" s="408"/>
      <c r="BD183" s="408"/>
      <c r="BE183" s="408"/>
      <c r="BF183" s="408"/>
      <c r="BG183" s="408"/>
      <c r="BH183" s="408"/>
      <c r="BI183" s="408"/>
      <c r="BJ183" s="408"/>
      <c r="BK183" s="408"/>
      <c r="BL183" s="408"/>
      <c r="BM183" s="408"/>
      <c r="BN183" s="408"/>
      <c r="BO183" s="408"/>
      <c r="BP183" s="408"/>
      <c r="BQ183" s="408"/>
      <c r="BR183" s="408"/>
      <c r="BS183" s="408"/>
      <c r="BT183" s="408"/>
      <c r="BU183" s="408"/>
      <c r="BV183" s="408"/>
      <c r="BW183" s="408"/>
      <c r="BX183" s="408"/>
      <c r="BY183" s="408"/>
      <c r="BZ183" s="408"/>
      <c r="CA183" s="408"/>
      <c r="CB183" s="408"/>
      <c r="CC183" s="408"/>
      <c r="CD183" s="408"/>
      <c r="CE183" s="408"/>
      <c r="CF183" s="408"/>
      <c r="CG183" s="408"/>
      <c r="CH183" s="408"/>
      <c r="CI183" s="408"/>
      <c r="CJ183" s="408"/>
      <c r="CK183" s="408"/>
      <c r="CL183" s="408"/>
      <c r="CM183" s="408"/>
      <c r="CN183" s="408"/>
    </row>
    <row r="184">
      <c r="A184" s="408"/>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8"/>
      <c r="Y184" s="408"/>
      <c r="Z184" s="408"/>
      <c r="AA184" s="408"/>
      <c r="AB184" s="408"/>
      <c r="AC184" s="408"/>
      <c r="AD184" s="408"/>
      <c r="AE184" s="408"/>
      <c r="AF184" s="408"/>
      <c r="AG184" s="408"/>
      <c r="AH184" s="408"/>
      <c r="AI184" s="408"/>
      <c r="AJ184" s="408"/>
      <c r="AK184" s="408"/>
      <c r="AL184" s="408"/>
      <c r="AM184" s="408"/>
      <c r="AN184" s="408"/>
      <c r="AO184" s="408"/>
      <c r="AP184" s="408"/>
      <c r="AQ184" s="408"/>
      <c r="AR184" s="408"/>
      <c r="AS184" s="408"/>
      <c r="AT184" s="408"/>
      <c r="AU184" s="408"/>
      <c r="AV184" s="408"/>
      <c r="AW184" s="408"/>
      <c r="AX184" s="408"/>
      <c r="AY184" s="408"/>
      <c r="AZ184" s="408"/>
      <c r="BA184" s="408"/>
      <c r="BB184" s="408"/>
      <c r="BC184" s="408"/>
      <c r="BD184" s="408"/>
      <c r="BE184" s="408"/>
      <c r="BF184" s="408"/>
      <c r="BG184" s="408"/>
      <c r="BH184" s="408"/>
      <c r="BI184" s="408"/>
      <c r="BJ184" s="408"/>
      <c r="BK184" s="408"/>
      <c r="BL184" s="408"/>
      <c r="BM184" s="408"/>
      <c r="BN184" s="408"/>
      <c r="BO184" s="408"/>
      <c r="BP184" s="408"/>
      <c r="BQ184" s="408"/>
      <c r="BR184" s="408"/>
      <c r="BS184" s="408"/>
      <c r="BT184" s="408"/>
      <c r="BU184" s="408"/>
      <c r="BV184" s="408"/>
      <c r="BW184" s="408"/>
      <c r="BX184" s="408"/>
      <c r="BY184" s="408"/>
      <c r="BZ184" s="408"/>
      <c r="CA184" s="408"/>
      <c r="CB184" s="408"/>
      <c r="CC184" s="408"/>
      <c r="CD184" s="408"/>
      <c r="CE184" s="408"/>
      <c r="CF184" s="408"/>
      <c r="CG184" s="408"/>
      <c r="CH184" s="408"/>
      <c r="CI184" s="408"/>
      <c r="CJ184" s="408"/>
      <c r="CK184" s="408"/>
      <c r="CL184" s="408"/>
      <c r="CM184" s="408"/>
      <c r="CN184" s="408"/>
    </row>
    <row r="185">
      <c r="A185" s="408"/>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c r="AA185" s="408"/>
      <c r="AB185" s="408"/>
      <c r="AC185" s="408"/>
      <c r="AD185" s="408"/>
      <c r="AE185" s="408"/>
      <c r="AF185" s="408"/>
      <c r="AG185" s="408"/>
      <c r="AH185" s="408"/>
      <c r="AI185" s="408"/>
      <c r="AJ185" s="408"/>
      <c r="AK185" s="408"/>
      <c r="AL185" s="408"/>
      <c r="AM185" s="408"/>
      <c r="AN185" s="408"/>
      <c r="AO185" s="408"/>
      <c r="AP185" s="408"/>
      <c r="AQ185" s="408"/>
      <c r="AR185" s="408"/>
      <c r="AS185" s="408"/>
      <c r="AT185" s="408"/>
      <c r="AU185" s="408"/>
      <c r="AV185" s="408"/>
      <c r="AW185" s="408"/>
      <c r="AX185" s="408"/>
      <c r="AY185" s="408"/>
      <c r="AZ185" s="408"/>
      <c r="BA185" s="408"/>
      <c r="BB185" s="408"/>
      <c r="BC185" s="408"/>
      <c r="BD185" s="408"/>
      <c r="BE185" s="408"/>
      <c r="BF185" s="408"/>
      <c r="BG185" s="408"/>
      <c r="BH185" s="408"/>
      <c r="BI185" s="408"/>
      <c r="BJ185" s="408"/>
      <c r="BK185" s="408"/>
      <c r="BL185" s="408"/>
      <c r="BM185" s="408"/>
      <c r="BN185" s="408"/>
      <c r="BO185" s="408"/>
      <c r="BP185" s="408"/>
      <c r="BQ185" s="408"/>
      <c r="BR185" s="408"/>
      <c r="BS185" s="408"/>
      <c r="BT185" s="408"/>
      <c r="BU185" s="408"/>
      <c r="BV185" s="408"/>
      <c r="BW185" s="408"/>
      <c r="BX185" s="408"/>
      <c r="BY185" s="408"/>
      <c r="BZ185" s="408"/>
      <c r="CA185" s="408"/>
      <c r="CB185" s="408"/>
      <c r="CC185" s="408"/>
      <c r="CD185" s="408"/>
      <c r="CE185" s="408"/>
      <c r="CF185" s="408"/>
      <c r="CG185" s="408"/>
      <c r="CH185" s="408"/>
      <c r="CI185" s="408"/>
      <c r="CJ185" s="408"/>
      <c r="CK185" s="408"/>
      <c r="CL185" s="408"/>
      <c r="CM185" s="408"/>
      <c r="CN185" s="408"/>
    </row>
    <row r="186">
      <c r="A186" s="408"/>
      <c r="B186" s="408"/>
      <c r="C186" s="408"/>
      <c r="D186" s="408"/>
      <c r="E186" s="408"/>
      <c r="F186" s="408"/>
      <c r="G186" s="408"/>
      <c r="H186" s="408"/>
      <c r="I186" s="408"/>
      <c r="J186" s="408"/>
      <c r="K186" s="408"/>
      <c r="L186" s="408"/>
      <c r="M186" s="408"/>
      <c r="N186" s="408"/>
      <c r="O186" s="408"/>
      <c r="P186" s="408"/>
      <c r="Q186" s="408"/>
      <c r="R186" s="408"/>
      <c r="S186" s="408"/>
      <c r="T186" s="408"/>
      <c r="U186" s="408"/>
      <c r="V186" s="408"/>
      <c r="W186" s="408"/>
      <c r="X186" s="408"/>
      <c r="Y186" s="408"/>
      <c r="Z186" s="408"/>
      <c r="AA186" s="408"/>
      <c r="AB186" s="408"/>
      <c r="AC186" s="408"/>
      <c r="AD186" s="408"/>
      <c r="AE186" s="408"/>
      <c r="AF186" s="408"/>
      <c r="AG186" s="408"/>
      <c r="AH186" s="408"/>
      <c r="AI186" s="408"/>
      <c r="AJ186" s="408"/>
      <c r="AK186" s="408"/>
      <c r="AL186" s="408"/>
      <c r="AM186" s="408"/>
      <c r="AN186" s="408"/>
      <c r="AO186" s="408"/>
      <c r="AP186" s="408"/>
      <c r="AQ186" s="408"/>
      <c r="AR186" s="408"/>
      <c r="AS186" s="408"/>
      <c r="AT186" s="408"/>
      <c r="AU186" s="408"/>
      <c r="AV186" s="408"/>
      <c r="AW186" s="408"/>
      <c r="AX186" s="408"/>
      <c r="AY186" s="408"/>
      <c r="AZ186" s="408"/>
      <c r="BA186" s="408"/>
      <c r="BB186" s="408"/>
      <c r="BC186" s="408"/>
      <c r="BD186" s="408"/>
      <c r="BE186" s="408"/>
      <c r="BF186" s="408"/>
      <c r="BG186" s="408"/>
      <c r="BH186" s="408"/>
      <c r="BI186" s="408"/>
      <c r="BJ186" s="408"/>
      <c r="BK186" s="408"/>
      <c r="BL186" s="408"/>
      <c r="BM186" s="408"/>
      <c r="BN186" s="408"/>
      <c r="BO186" s="408"/>
      <c r="BP186" s="408"/>
      <c r="BQ186" s="408"/>
      <c r="BR186" s="408"/>
      <c r="BS186" s="408"/>
      <c r="BT186" s="408"/>
      <c r="BU186" s="408"/>
      <c r="BV186" s="408"/>
      <c r="BW186" s="408"/>
      <c r="BX186" s="408"/>
      <c r="BY186" s="408"/>
      <c r="BZ186" s="408"/>
      <c r="CA186" s="408"/>
      <c r="CB186" s="408"/>
      <c r="CC186" s="408"/>
      <c r="CD186" s="408"/>
      <c r="CE186" s="408"/>
      <c r="CF186" s="408"/>
      <c r="CG186" s="408"/>
      <c r="CH186" s="408"/>
      <c r="CI186" s="408"/>
      <c r="CJ186" s="408"/>
      <c r="CK186" s="408"/>
      <c r="CL186" s="408"/>
      <c r="CM186" s="408"/>
      <c r="CN186" s="408"/>
    </row>
    <row r="187">
      <c r="A187" s="408"/>
      <c r="B187" s="408"/>
      <c r="C187" s="408"/>
      <c r="D187" s="408"/>
      <c r="E187" s="408"/>
      <c r="F187" s="408"/>
      <c r="G187" s="408"/>
      <c r="H187" s="408"/>
      <c r="I187" s="408"/>
      <c r="J187" s="408"/>
      <c r="K187" s="408"/>
      <c r="L187" s="408"/>
      <c r="M187" s="408"/>
      <c r="N187" s="408"/>
      <c r="O187" s="408"/>
      <c r="P187" s="408"/>
      <c r="Q187" s="408"/>
      <c r="R187" s="408"/>
      <c r="S187" s="408"/>
      <c r="T187" s="408"/>
      <c r="U187" s="408"/>
      <c r="V187" s="408"/>
      <c r="W187" s="408"/>
      <c r="X187" s="408"/>
      <c r="Y187" s="408"/>
      <c r="Z187" s="408"/>
      <c r="AA187" s="408"/>
      <c r="AB187" s="408"/>
      <c r="AC187" s="408"/>
      <c r="AD187" s="408"/>
      <c r="AE187" s="408"/>
      <c r="AF187" s="408"/>
      <c r="AG187" s="408"/>
      <c r="AH187" s="408"/>
      <c r="AI187" s="408"/>
      <c r="AJ187" s="408"/>
      <c r="AK187" s="408"/>
      <c r="AL187" s="408"/>
      <c r="AM187" s="408"/>
      <c r="AN187" s="408"/>
      <c r="AO187" s="408"/>
      <c r="AP187" s="408"/>
      <c r="AQ187" s="408"/>
      <c r="AR187" s="408"/>
      <c r="AS187" s="408"/>
      <c r="AT187" s="408"/>
      <c r="AU187" s="408"/>
      <c r="AV187" s="408"/>
      <c r="AW187" s="408"/>
      <c r="AX187" s="408"/>
      <c r="AY187" s="408"/>
      <c r="AZ187" s="408"/>
      <c r="BA187" s="408"/>
      <c r="BB187" s="408"/>
      <c r="BC187" s="408"/>
      <c r="BD187" s="408"/>
      <c r="BE187" s="408"/>
      <c r="BF187" s="408"/>
      <c r="BG187" s="408"/>
      <c r="BH187" s="408"/>
      <c r="BI187" s="408"/>
      <c r="BJ187" s="408"/>
      <c r="BK187" s="408"/>
      <c r="BL187" s="408"/>
      <c r="BM187" s="408"/>
      <c r="BN187" s="408"/>
      <c r="BO187" s="408"/>
      <c r="BP187" s="408"/>
      <c r="BQ187" s="408"/>
      <c r="BR187" s="408"/>
      <c r="BS187" s="408"/>
      <c r="BT187" s="408"/>
      <c r="BU187" s="408"/>
      <c r="BV187" s="408"/>
      <c r="BW187" s="408"/>
      <c r="BX187" s="408"/>
      <c r="BY187" s="408"/>
      <c r="BZ187" s="408"/>
      <c r="CA187" s="408"/>
      <c r="CB187" s="408"/>
      <c r="CC187" s="408"/>
      <c r="CD187" s="408"/>
      <c r="CE187" s="408"/>
      <c r="CF187" s="408"/>
      <c r="CG187" s="408"/>
      <c r="CH187" s="408"/>
      <c r="CI187" s="408"/>
      <c r="CJ187" s="408"/>
      <c r="CK187" s="408"/>
      <c r="CL187" s="408"/>
      <c r="CM187" s="408"/>
      <c r="CN187" s="408"/>
    </row>
    <row r="188">
      <c r="A188" s="408"/>
      <c r="B188" s="408"/>
      <c r="C188" s="408"/>
      <c r="D188" s="408"/>
      <c r="E188" s="408"/>
      <c r="F188" s="408"/>
      <c r="G188" s="408"/>
      <c r="H188" s="408"/>
      <c r="I188" s="408"/>
      <c r="J188" s="408"/>
      <c r="K188" s="408"/>
      <c r="L188" s="408"/>
      <c r="M188" s="408"/>
      <c r="N188" s="408"/>
      <c r="O188" s="408"/>
      <c r="P188" s="408"/>
      <c r="Q188" s="408"/>
      <c r="R188" s="408"/>
      <c r="S188" s="408"/>
      <c r="T188" s="408"/>
      <c r="U188" s="408"/>
      <c r="V188" s="408"/>
      <c r="W188" s="408"/>
      <c r="X188" s="408"/>
      <c r="Y188" s="408"/>
      <c r="Z188" s="408"/>
      <c r="AA188" s="408"/>
      <c r="AB188" s="408"/>
      <c r="AC188" s="408"/>
      <c r="AD188" s="408"/>
      <c r="AE188" s="408"/>
      <c r="AF188" s="408"/>
      <c r="AG188" s="408"/>
      <c r="AH188" s="408"/>
      <c r="AI188" s="408"/>
      <c r="AJ188" s="408"/>
      <c r="AK188" s="408"/>
      <c r="AL188" s="408"/>
      <c r="AM188" s="408"/>
      <c r="AN188" s="408"/>
      <c r="AO188" s="408"/>
      <c r="AP188" s="408"/>
      <c r="AQ188" s="408"/>
      <c r="AR188" s="408"/>
      <c r="AS188" s="408"/>
      <c r="AT188" s="408"/>
      <c r="AU188" s="408"/>
      <c r="AV188" s="408"/>
      <c r="AW188" s="408"/>
      <c r="AX188" s="408"/>
      <c r="AY188" s="408"/>
      <c r="AZ188" s="408"/>
      <c r="BA188" s="408"/>
      <c r="BB188" s="408"/>
      <c r="BC188" s="408"/>
      <c r="BD188" s="408"/>
      <c r="BE188" s="408"/>
      <c r="BF188" s="408"/>
      <c r="BG188" s="408"/>
      <c r="BH188" s="408"/>
      <c r="BI188" s="408"/>
      <c r="BJ188" s="408"/>
      <c r="BK188" s="408"/>
      <c r="BL188" s="408"/>
      <c r="BM188" s="408"/>
      <c r="BN188" s="408"/>
      <c r="BO188" s="408"/>
      <c r="BP188" s="408"/>
      <c r="BQ188" s="408"/>
      <c r="BR188" s="408"/>
      <c r="BS188" s="408"/>
      <c r="BT188" s="408"/>
      <c r="BU188" s="408"/>
      <c r="BV188" s="408"/>
      <c r="BW188" s="408"/>
      <c r="BX188" s="408"/>
      <c r="BY188" s="408"/>
      <c r="BZ188" s="408"/>
      <c r="CA188" s="408"/>
      <c r="CB188" s="408"/>
      <c r="CC188" s="408"/>
      <c r="CD188" s="408"/>
      <c r="CE188" s="408"/>
      <c r="CF188" s="408"/>
      <c r="CG188" s="408"/>
      <c r="CH188" s="408"/>
      <c r="CI188" s="408"/>
      <c r="CJ188" s="408"/>
      <c r="CK188" s="408"/>
      <c r="CL188" s="408"/>
      <c r="CM188" s="408"/>
      <c r="CN188" s="408"/>
    </row>
    <row r="189">
      <c r="A189" s="408"/>
      <c r="B189" s="408"/>
      <c r="C189" s="408"/>
      <c r="D189" s="408"/>
      <c r="E189" s="408"/>
      <c r="F189" s="408"/>
      <c r="G189" s="408"/>
      <c r="H189" s="408"/>
      <c r="I189" s="408"/>
      <c r="J189" s="408"/>
      <c r="K189" s="408"/>
      <c r="L189" s="408"/>
      <c r="M189" s="408"/>
      <c r="N189" s="408"/>
      <c r="O189" s="408"/>
      <c r="P189" s="408"/>
      <c r="Q189" s="408"/>
      <c r="R189" s="408"/>
      <c r="S189" s="408"/>
      <c r="T189" s="408"/>
      <c r="U189" s="408"/>
      <c r="V189" s="408"/>
      <c r="W189" s="408"/>
      <c r="X189" s="408"/>
      <c r="Y189" s="408"/>
      <c r="Z189" s="408"/>
      <c r="AA189" s="408"/>
      <c r="AB189" s="408"/>
      <c r="AC189" s="408"/>
      <c r="AD189" s="408"/>
      <c r="AE189" s="408"/>
      <c r="AF189" s="408"/>
      <c r="AG189" s="408"/>
      <c r="AH189" s="408"/>
      <c r="AI189" s="408"/>
      <c r="AJ189" s="408"/>
      <c r="AK189" s="408"/>
      <c r="AL189" s="408"/>
      <c r="AM189" s="408"/>
      <c r="AN189" s="408"/>
      <c r="AO189" s="408"/>
      <c r="AP189" s="408"/>
      <c r="AQ189" s="408"/>
      <c r="AR189" s="408"/>
      <c r="AS189" s="408"/>
      <c r="AT189" s="408"/>
      <c r="AU189" s="408"/>
      <c r="AV189" s="408"/>
      <c r="AW189" s="408"/>
      <c r="AX189" s="408"/>
      <c r="AY189" s="408"/>
      <c r="AZ189" s="408"/>
      <c r="BA189" s="408"/>
      <c r="BB189" s="408"/>
      <c r="BC189" s="408"/>
      <c r="BD189" s="408"/>
      <c r="BE189" s="408"/>
      <c r="BF189" s="408"/>
      <c r="BG189" s="408"/>
      <c r="BH189" s="408"/>
      <c r="BI189" s="408"/>
      <c r="BJ189" s="408"/>
      <c r="BK189" s="408"/>
      <c r="BL189" s="408"/>
      <c r="BM189" s="408"/>
      <c r="BN189" s="408"/>
      <c r="BO189" s="408"/>
      <c r="BP189" s="408"/>
      <c r="BQ189" s="408"/>
      <c r="BR189" s="408"/>
      <c r="BS189" s="408"/>
      <c r="BT189" s="408"/>
      <c r="BU189" s="408"/>
      <c r="BV189" s="408"/>
      <c r="BW189" s="408"/>
      <c r="BX189" s="408"/>
      <c r="BY189" s="408"/>
      <c r="BZ189" s="408"/>
      <c r="CA189" s="408"/>
      <c r="CB189" s="408"/>
      <c r="CC189" s="408"/>
      <c r="CD189" s="408"/>
      <c r="CE189" s="408"/>
      <c r="CF189" s="408"/>
      <c r="CG189" s="408"/>
      <c r="CH189" s="408"/>
      <c r="CI189" s="408"/>
      <c r="CJ189" s="408"/>
      <c r="CK189" s="408"/>
      <c r="CL189" s="408"/>
      <c r="CM189" s="408"/>
      <c r="CN189" s="408"/>
    </row>
    <row r="190">
      <c r="A190" s="408"/>
      <c r="B190" s="408"/>
      <c r="C190" s="408"/>
      <c r="D190" s="408"/>
      <c r="E190" s="408"/>
      <c r="F190" s="408"/>
      <c r="G190" s="408"/>
      <c r="H190" s="408"/>
      <c r="I190" s="408"/>
      <c r="J190" s="408"/>
      <c r="K190" s="408"/>
      <c r="L190" s="408"/>
      <c r="M190" s="408"/>
      <c r="N190" s="408"/>
      <c r="O190" s="408"/>
      <c r="P190" s="408"/>
      <c r="Q190" s="408"/>
      <c r="R190" s="408"/>
      <c r="S190" s="408"/>
      <c r="T190" s="408"/>
      <c r="U190" s="408"/>
      <c r="V190" s="408"/>
      <c r="W190" s="408"/>
      <c r="X190" s="408"/>
      <c r="Y190" s="408"/>
      <c r="Z190" s="408"/>
      <c r="AA190" s="408"/>
      <c r="AB190" s="408"/>
      <c r="AC190" s="408"/>
      <c r="AD190" s="408"/>
      <c r="AE190" s="408"/>
      <c r="AF190" s="408"/>
      <c r="AG190" s="408"/>
      <c r="AH190" s="408"/>
      <c r="AI190" s="408"/>
      <c r="AJ190" s="408"/>
      <c r="AK190" s="408"/>
      <c r="AL190" s="408"/>
      <c r="AM190" s="408"/>
      <c r="AN190" s="408"/>
      <c r="AO190" s="408"/>
      <c r="AP190" s="408"/>
      <c r="AQ190" s="408"/>
      <c r="AR190" s="408"/>
      <c r="AS190" s="408"/>
      <c r="AT190" s="408"/>
      <c r="AU190" s="408"/>
      <c r="AV190" s="408"/>
      <c r="AW190" s="408"/>
      <c r="AX190" s="408"/>
      <c r="AY190" s="408"/>
      <c r="AZ190" s="408"/>
      <c r="BA190" s="408"/>
      <c r="BB190" s="408"/>
      <c r="BC190" s="408"/>
      <c r="BD190" s="408"/>
      <c r="BE190" s="408"/>
      <c r="BF190" s="408"/>
      <c r="BG190" s="408"/>
      <c r="BH190" s="408"/>
      <c r="BI190" s="408"/>
      <c r="BJ190" s="408"/>
      <c r="BK190" s="408"/>
      <c r="BL190" s="408"/>
      <c r="BM190" s="408"/>
      <c r="BN190" s="408"/>
      <c r="BO190" s="408"/>
      <c r="BP190" s="408"/>
      <c r="BQ190" s="408"/>
      <c r="BR190" s="408"/>
      <c r="BS190" s="408"/>
      <c r="BT190" s="408"/>
      <c r="BU190" s="408"/>
      <c r="BV190" s="408"/>
      <c r="BW190" s="408"/>
      <c r="BX190" s="408"/>
      <c r="BY190" s="408"/>
      <c r="BZ190" s="408"/>
      <c r="CA190" s="408"/>
      <c r="CB190" s="408"/>
      <c r="CC190" s="408"/>
      <c r="CD190" s="408"/>
      <c r="CE190" s="408"/>
      <c r="CF190" s="408"/>
      <c r="CG190" s="408"/>
      <c r="CH190" s="408"/>
      <c r="CI190" s="408"/>
      <c r="CJ190" s="408"/>
      <c r="CK190" s="408"/>
      <c r="CL190" s="408"/>
      <c r="CM190" s="408"/>
      <c r="CN190" s="408"/>
    </row>
    <row r="191">
      <c r="A191" s="408"/>
      <c r="B191" s="408"/>
      <c r="C191" s="408"/>
      <c r="D191" s="408"/>
      <c r="E191" s="408"/>
      <c r="F191" s="408"/>
      <c r="G191" s="408"/>
      <c r="H191" s="408"/>
      <c r="I191" s="408"/>
      <c r="J191" s="408"/>
      <c r="K191" s="408"/>
      <c r="L191" s="408"/>
      <c r="M191" s="408"/>
      <c r="N191" s="408"/>
      <c r="O191" s="408"/>
      <c r="P191" s="408"/>
      <c r="Q191" s="408"/>
      <c r="R191" s="408"/>
      <c r="S191" s="408"/>
      <c r="T191" s="408"/>
      <c r="U191" s="408"/>
      <c r="V191" s="408"/>
      <c r="W191" s="408"/>
      <c r="X191" s="408"/>
      <c r="Y191" s="408"/>
      <c r="Z191" s="408"/>
      <c r="AA191" s="408"/>
      <c r="AB191" s="408"/>
      <c r="AC191" s="408"/>
      <c r="AD191" s="408"/>
      <c r="AE191" s="408"/>
      <c r="AF191" s="408"/>
      <c r="AG191" s="408"/>
      <c r="AH191" s="408"/>
      <c r="AI191" s="408"/>
      <c r="AJ191" s="408"/>
      <c r="AK191" s="408"/>
      <c r="AL191" s="408"/>
      <c r="AM191" s="408"/>
      <c r="AN191" s="408"/>
      <c r="AO191" s="408"/>
      <c r="AP191" s="408"/>
      <c r="AQ191" s="408"/>
      <c r="AR191" s="408"/>
      <c r="AS191" s="408"/>
      <c r="AT191" s="408"/>
      <c r="AU191" s="408"/>
      <c r="AV191" s="408"/>
      <c r="AW191" s="408"/>
      <c r="AX191" s="408"/>
      <c r="AY191" s="408"/>
      <c r="AZ191" s="408"/>
      <c r="BA191" s="408"/>
      <c r="BB191" s="408"/>
      <c r="BC191" s="408"/>
      <c r="BD191" s="408"/>
      <c r="BE191" s="408"/>
      <c r="BF191" s="408"/>
      <c r="BG191" s="408"/>
      <c r="BH191" s="408"/>
      <c r="BI191" s="408"/>
      <c r="BJ191" s="408"/>
      <c r="BK191" s="408"/>
      <c r="BL191" s="408"/>
      <c r="BM191" s="408"/>
      <c r="BN191" s="408"/>
      <c r="BO191" s="408"/>
      <c r="BP191" s="408"/>
      <c r="BQ191" s="408"/>
      <c r="BR191" s="408"/>
      <c r="BS191" s="408"/>
      <c r="BT191" s="408"/>
      <c r="BU191" s="408"/>
      <c r="BV191" s="408"/>
      <c r="BW191" s="408"/>
      <c r="BX191" s="408"/>
      <c r="BY191" s="408"/>
      <c r="BZ191" s="408"/>
      <c r="CA191" s="408"/>
      <c r="CB191" s="408"/>
      <c r="CC191" s="408"/>
      <c r="CD191" s="408"/>
      <c r="CE191" s="408"/>
      <c r="CF191" s="408"/>
      <c r="CG191" s="408"/>
      <c r="CH191" s="408"/>
      <c r="CI191" s="408"/>
      <c r="CJ191" s="408"/>
      <c r="CK191" s="408"/>
      <c r="CL191" s="408"/>
      <c r="CM191" s="408"/>
      <c r="CN191" s="408"/>
    </row>
    <row r="192">
      <c r="A192" s="408"/>
      <c r="B192" s="408"/>
      <c r="C192" s="408"/>
      <c r="D192" s="408"/>
      <c r="E192" s="408"/>
      <c r="F192" s="408"/>
      <c r="G192" s="408"/>
      <c r="H192" s="408"/>
      <c r="I192" s="408"/>
      <c r="J192" s="408"/>
      <c r="K192" s="408"/>
      <c r="L192" s="408"/>
      <c r="M192" s="408"/>
      <c r="N192" s="408"/>
      <c r="O192" s="408"/>
      <c r="P192" s="408"/>
      <c r="Q192" s="408"/>
      <c r="R192" s="408"/>
      <c r="S192" s="408"/>
      <c r="T192" s="408"/>
      <c r="U192" s="408"/>
      <c r="V192" s="408"/>
      <c r="W192" s="408"/>
      <c r="X192" s="408"/>
      <c r="Y192" s="408"/>
      <c r="Z192" s="408"/>
      <c r="AA192" s="408"/>
      <c r="AB192" s="408"/>
      <c r="AC192" s="408"/>
      <c r="AD192" s="408"/>
      <c r="AE192" s="408"/>
      <c r="AF192" s="408"/>
      <c r="AG192" s="408"/>
      <c r="AH192" s="408"/>
      <c r="AI192" s="408"/>
      <c r="AJ192" s="408"/>
      <c r="AK192" s="408"/>
      <c r="AL192" s="408"/>
      <c r="AM192" s="408"/>
      <c r="AN192" s="408"/>
      <c r="AO192" s="408"/>
      <c r="AP192" s="408"/>
      <c r="AQ192" s="408"/>
      <c r="AR192" s="408"/>
      <c r="AS192" s="408"/>
      <c r="AT192" s="408"/>
      <c r="AU192" s="408"/>
      <c r="AV192" s="408"/>
      <c r="AW192" s="408"/>
      <c r="AX192" s="408"/>
      <c r="AY192" s="408"/>
      <c r="AZ192" s="408"/>
      <c r="BA192" s="408"/>
      <c r="BB192" s="408"/>
      <c r="BC192" s="408"/>
      <c r="BD192" s="408"/>
      <c r="BE192" s="408"/>
      <c r="BF192" s="408"/>
      <c r="BG192" s="408"/>
      <c r="BH192" s="408"/>
      <c r="BI192" s="408"/>
      <c r="BJ192" s="408"/>
      <c r="BK192" s="408"/>
      <c r="BL192" s="408"/>
      <c r="BM192" s="408"/>
      <c r="BN192" s="408"/>
      <c r="BO192" s="408"/>
      <c r="BP192" s="408"/>
      <c r="BQ192" s="408"/>
      <c r="BR192" s="408"/>
      <c r="BS192" s="408"/>
      <c r="BT192" s="408"/>
      <c r="BU192" s="408"/>
      <c r="BV192" s="408"/>
      <c r="BW192" s="408"/>
      <c r="BX192" s="408"/>
      <c r="BY192" s="408"/>
      <c r="BZ192" s="408"/>
      <c r="CA192" s="408"/>
      <c r="CB192" s="408"/>
      <c r="CC192" s="408"/>
      <c r="CD192" s="408"/>
      <c r="CE192" s="408"/>
      <c r="CF192" s="408"/>
      <c r="CG192" s="408"/>
      <c r="CH192" s="408"/>
      <c r="CI192" s="408"/>
      <c r="CJ192" s="408"/>
      <c r="CK192" s="408"/>
      <c r="CL192" s="408"/>
      <c r="CM192" s="408"/>
      <c r="CN192" s="408"/>
    </row>
    <row r="193">
      <c r="A193" s="408"/>
      <c r="B193" s="408"/>
      <c r="C193" s="408"/>
      <c r="D193" s="408"/>
      <c r="E193" s="408"/>
      <c r="F193" s="408"/>
      <c r="G193" s="408"/>
      <c r="H193" s="408"/>
      <c r="I193" s="408"/>
      <c r="J193" s="408"/>
      <c r="K193" s="408"/>
      <c r="L193" s="408"/>
      <c r="M193" s="408"/>
      <c r="N193" s="408"/>
      <c r="O193" s="408"/>
      <c r="P193" s="408"/>
      <c r="Q193" s="408"/>
      <c r="R193" s="408"/>
      <c r="S193" s="408"/>
      <c r="T193" s="408"/>
      <c r="U193" s="408"/>
      <c r="V193" s="408"/>
      <c r="W193" s="408"/>
      <c r="X193" s="408"/>
      <c r="Y193" s="408"/>
      <c r="Z193" s="408"/>
      <c r="AA193" s="408"/>
      <c r="AB193" s="408"/>
      <c r="AC193" s="408"/>
      <c r="AD193" s="408"/>
      <c r="AE193" s="408"/>
      <c r="AF193" s="408"/>
      <c r="AG193" s="408"/>
      <c r="AH193" s="408"/>
      <c r="AI193" s="408"/>
      <c r="AJ193" s="408"/>
      <c r="AK193" s="408"/>
      <c r="AL193" s="408"/>
      <c r="AM193" s="408"/>
      <c r="AN193" s="408"/>
      <c r="AO193" s="408"/>
      <c r="AP193" s="408"/>
      <c r="AQ193" s="408"/>
      <c r="AR193" s="408"/>
      <c r="AS193" s="408"/>
      <c r="AT193" s="408"/>
      <c r="AU193" s="408"/>
      <c r="AV193" s="408"/>
      <c r="AW193" s="408"/>
      <c r="AX193" s="408"/>
      <c r="AY193" s="408"/>
      <c r="AZ193" s="408"/>
      <c r="BA193" s="408"/>
      <c r="BB193" s="408"/>
      <c r="BC193" s="408"/>
      <c r="BD193" s="408"/>
      <c r="BE193" s="408"/>
      <c r="BF193" s="408"/>
      <c r="BG193" s="408"/>
      <c r="BH193" s="408"/>
      <c r="BI193" s="408"/>
      <c r="BJ193" s="408"/>
      <c r="BK193" s="408"/>
      <c r="BL193" s="408"/>
      <c r="BM193" s="408"/>
      <c r="BN193" s="408"/>
      <c r="BO193" s="408"/>
      <c r="BP193" s="408"/>
      <c r="BQ193" s="408"/>
      <c r="BR193" s="408"/>
      <c r="BS193" s="408"/>
      <c r="BT193" s="408"/>
      <c r="BU193" s="408"/>
      <c r="BV193" s="408"/>
      <c r="BW193" s="408"/>
      <c r="BX193" s="408"/>
      <c r="BY193" s="408"/>
      <c r="BZ193" s="408"/>
      <c r="CA193" s="408"/>
      <c r="CB193" s="408"/>
      <c r="CC193" s="408"/>
      <c r="CD193" s="408"/>
      <c r="CE193" s="408"/>
      <c r="CF193" s="408"/>
      <c r="CG193" s="408"/>
      <c r="CH193" s="408"/>
      <c r="CI193" s="408"/>
      <c r="CJ193" s="408"/>
      <c r="CK193" s="408"/>
      <c r="CL193" s="408"/>
      <c r="CM193" s="408"/>
      <c r="CN193" s="408"/>
    </row>
    <row r="194">
      <c r="A194" s="408"/>
      <c r="B194" s="408"/>
      <c r="C194" s="408"/>
      <c r="D194" s="408"/>
      <c r="E194" s="408"/>
      <c r="F194" s="408"/>
      <c r="G194" s="408"/>
      <c r="H194" s="408"/>
      <c r="I194" s="408"/>
      <c r="J194" s="408"/>
      <c r="K194" s="408"/>
      <c r="L194" s="408"/>
      <c r="M194" s="408"/>
      <c r="N194" s="408"/>
      <c r="O194" s="408"/>
      <c r="P194" s="408"/>
      <c r="Q194" s="408"/>
      <c r="R194" s="408"/>
      <c r="S194" s="408"/>
      <c r="T194" s="408"/>
      <c r="U194" s="408"/>
      <c r="V194" s="408"/>
      <c r="W194" s="408"/>
      <c r="X194" s="408"/>
      <c r="Y194" s="408"/>
      <c r="Z194" s="408"/>
      <c r="AA194" s="408"/>
      <c r="AB194" s="408"/>
      <c r="AC194" s="408"/>
      <c r="AD194" s="408"/>
      <c r="AE194" s="408"/>
      <c r="AF194" s="408"/>
      <c r="AG194" s="408"/>
      <c r="AH194" s="408"/>
      <c r="AI194" s="408"/>
      <c r="AJ194" s="408"/>
      <c r="AK194" s="408"/>
      <c r="AL194" s="408"/>
      <c r="AM194" s="408"/>
      <c r="AN194" s="408"/>
      <c r="AO194" s="408"/>
      <c r="AP194" s="408"/>
      <c r="AQ194" s="408"/>
      <c r="AR194" s="408"/>
      <c r="AS194" s="408"/>
      <c r="AT194" s="408"/>
      <c r="AU194" s="408"/>
      <c r="AV194" s="408"/>
      <c r="AW194" s="408"/>
      <c r="AX194" s="408"/>
      <c r="AY194" s="408"/>
      <c r="AZ194" s="408"/>
      <c r="BA194" s="408"/>
      <c r="BB194" s="408"/>
      <c r="BC194" s="408"/>
      <c r="BD194" s="408"/>
      <c r="BE194" s="408"/>
      <c r="BF194" s="408"/>
      <c r="BG194" s="408"/>
      <c r="BH194" s="408"/>
      <c r="BI194" s="408"/>
      <c r="BJ194" s="408"/>
      <c r="BK194" s="408"/>
      <c r="BL194" s="408"/>
      <c r="BM194" s="408"/>
      <c r="BN194" s="408"/>
      <c r="BO194" s="408"/>
      <c r="BP194" s="408"/>
      <c r="BQ194" s="408"/>
      <c r="BR194" s="408"/>
      <c r="BS194" s="408"/>
      <c r="BT194" s="408"/>
      <c r="BU194" s="408"/>
      <c r="BV194" s="408"/>
      <c r="BW194" s="408"/>
      <c r="BX194" s="408"/>
      <c r="BY194" s="408"/>
      <c r="BZ194" s="408"/>
      <c r="CA194" s="408"/>
      <c r="CB194" s="408"/>
      <c r="CC194" s="408"/>
      <c r="CD194" s="408"/>
      <c r="CE194" s="408"/>
      <c r="CF194" s="408"/>
      <c r="CG194" s="408"/>
      <c r="CH194" s="408"/>
      <c r="CI194" s="408"/>
      <c r="CJ194" s="408"/>
      <c r="CK194" s="408"/>
      <c r="CL194" s="408"/>
      <c r="CM194" s="408"/>
      <c r="CN194" s="408"/>
    </row>
    <row r="195">
      <c r="A195" s="408"/>
      <c r="B195" s="408"/>
      <c r="C195" s="408"/>
      <c r="D195" s="408"/>
      <c r="E195" s="408"/>
      <c r="F195" s="408"/>
      <c r="G195" s="408"/>
      <c r="H195" s="408"/>
      <c r="I195" s="408"/>
      <c r="J195" s="408"/>
      <c r="K195" s="408"/>
      <c r="L195" s="408"/>
      <c r="M195" s="408"/>
      <c r="N195" s="408"/>
      <c r="O195" s="408"/>
      <c r="P195" s="408"/>
      <c r="Q195" s="408"/>
      <c r="R195" s="408"/>
      <c r="S195" s="408"/>
      <c r="T195" s="408"/>
      <c r="U195" s="408"/>
      <c r="V195" s="408"/>
      <c r="W195" s="408"/>
      <c r="X195" s="408"/>
      <c r="Y195" s="408"/>
      <c r="Z195" s="408"/>
      <c r="AA195" s="408"/>
      <c r="AB195" s="408"/>
      <c r="AC195" s="408"/>
      <c r="AD195" s="408"/>
      <c r="AE195" s="408"/>
      <c r="AF195" s="408"/>
      <c r="AG195" s="408"/>
      <c r="AH195" s="408"/>
      <c r="AI195" s="408"/>
      <c r="AJ195" s="408"/>
      <c r="AK195" s="408"/>
      <c r="AL195" s="408"/>
      <c r="AM195" s="408"/>
      <c r="AN195" s="408"/>
      <c r="AO195" s="408"/>
      <c r="AP195" s="408"/>
      <c r="AQ195" s="408"/>
      <c r="AR195" s="408"/>
      <c r="AS195" s="408"/>
      <c r="AT195" s="408"/>
      <c r="AU195" s="408"/>
      <c r="AV195" s="408"/>
      <c r="AW195" s="408"/>
      <c r="AX195" s="408"/>
      <c r="AY195" s="408"/>
      <c r="AZ195" s="408"/>
      <c r="BA195" s="408"/>
      <c r="BB195" s="408"/>
      <c r="BC195" s="408"/>
      <c r="BD195" s="408"/>
      <c r="BE195" s="408"/>
      <c r="BF195" s="408"/>
      <c r="BG195" s="408"/>
      <c r="BH195" s="408"/>
      <c r="BI195" s="408"/>
      <c r="BJ195" s="408"/>
      <c r="BK195" s="408"/>
      <c r="BL195" s="408"/>
      <c r="BM195" s="408"/>
      <c r="BN195" s="408"/>
      <c r="BO195" s="408"/>
      <c r="BP195" s="408"/>
      <c r="BQ195" s="408"/>
      <c r="BR195" s="408"/>
      <c r="BS195" s="408"/>
      <c r="BT195" s="408"/>
      <c r="BU195" s="408"/>
      <c r="BV195" s="408"/>
      <c r="BW195" s="408"/>
      <c r="BX195" s="408"/>
      <c r="BY195" s="408"/>
      <c r="BZ195" s="408"/>
      <c r="CA195" s="408"/>
      <c r="CB195" s="408"/>
      <c r="CC195" s="408"/>
      <c r="CD195" s="408"/>
      <c r="CE195" s="408"/>
      <c r="CF195" s="408"/>
      <c r="CG195" s="408"/>
      <c r="CH195" s="408"/>
      <c r="CI195" s="408"/>
      <c r="CJ195" s="408"/>
      <c r="CK195" s="408"/>
      <c r="CL195" s="408"/>
      <c r="CM195" s="408"/>
      <c r="CN195" s="408"/>
    </row>
    <row r="196">
      <c r="A196" s="408"/>
      <c r="B196" s="408"/>
      <c r="C196" s="408"/>
      <c r="D196" s="408"/>
      <c r="E196" s="408"/>
      <c r="F196" s="408"/>
      <c r="G196" s="408"/>
      <c r="H196" s="408"/>
      <c r="I196" s="408"/>
      <c r="J196" s="408"/>
      <c r="K196" s="408"/>
      <c r="L196" s="408"/>
      <c r="M196" s="408"/>
      <c r="N196" s="408"/>
      <c r="O196" s="408"/>
      <c r="P196" s="408"/>
      <c r="Q196" s="408"/>
      <c r="R196" s="408"/>
      <c r="S196" s="408"/>
      <c r="T196" s="408"/>
      <c r="U196" s="408"/>
      <c r="V196" s="408"/>
      <c r="W196" s="408"/>
      <c r="X196" s="408"/>
      <c r="Y196" s="408"/>
      <c r="Z196" s="408"/>
      <c r="AA196" s="408"/>
      <c r="AB196" s="408"/>
      <c r="AC196" s="408"/>
      <c r="AD196" s="408"/>
      <c r="AE196" s="408"/>
      <c r="AF196" s="408"/>
      <c r="AG196" s="408"/>
      <c r="AH196" s="408"/>
      <c r="AI196" s="408"/>
      <c r="AJ196" s="408"/>
      <c r="AK196" s="408"/>
      <c r="AL196" s="408"/>
      <c r="AM196" s="408"/>
      <c r="AN196" s="408"/>
      <c r="AO196" s="408"/>
      <c r="AP196" s="408"/>
      <c r="AQ196" s="408"/>
      <c r="AR196" s="408"/>
      <c r="AS196" s="408"/>
      <c r="AT196" s="408"/>
      <c r="AU196" s="408"/>
      <c r="AV196" s="408"/>
      <c r="AW196" s="408"/>
      <c r="AX196" s="408"/>
      <c r="AY196" s="408"/>
      <c r="AZ196" s="408"/>
      <c r="BA196" s="408"/>
      <c r="BB196" s="408"/>
      <c r="BC196" s="408"/>
      <c r="BD196" s="408"/>
      <c r="BE196" s="408"/>
      <c r="BF196" s="408"/>
      <c r="BG196" s="408"/>
      <c r="BH196" s="408"/>
      <c r="BI196" s="408"/>
      <c r="BJ196" s="408"/>
      <c r="BK196" s="408"/>
      <c r="BL196" s="408"/>
      <c r="BM196" s="408"/>
      <c r="BN196" s="408"/>
      <c r="BO196" s="408"/>
      <c r="BP196" s="408"/>
      <c r="BQ196" s="408"/>
      <c r="BR196" s="408"/>
      <c r="BS196" s="408"/>
      <c r="BT196" s="408"/>
      <c r="BU196" s="408"/>
      <c r="BV196" s="408"/>
      <c r="BW196" s="408"/>
      <c r="BX196" s="408"/>
      <c r="BY196" s="408"/>
      <c r="BZ196" s="408"/>
      <c r="CA196" s="408"/>
      <c r="CB196" s="408"/>
      <c r="CC196" s="408"/>
      <c r="CD196" s="408"/>
      <c r="CE196" s="408"/>
      <c r="CF196" s="408"/>
      <c r="CG196" s="408"/>
      <c r="CH196" s="408"/>
      <c r="CI196" s="408"/>
      <c r="CJ196" s="408"/>
      <c r="CK196" s="408"/>
      <c r="CL196" s="408"/>
      <c r="CM196" s="408"/>
      <c r="CN196" s="408"/>
    </row>
    <row r="197">
      <c r="A197" s="408"/>
      <c r="B197" s="408"/>
      <c r="C197" s="408"/>
      <c r="D197" s="408"/>
      <c r="E197" s="408"/>
      <c r="F197" s="408"/>
      <c r="G197" s="408"/>
      <c r="H197" s="408"/>
      <c r="I197" s="408"/>
      <c r="J197" s="408"/>
      <c r="K197" s="408"/>
      <c r="L197" s="408"/>
      <c r="M197" s="408"/>
      <c r="N197" s="408"/>
      <c r="O197" s="408"/>
      <c r="P197" s="408"/>
      <c r="Q197" s="408"/>
      <c r="R197" s="408"/>
      <c r="S197" s="408"/>
      <c r="T197" s="408"/>
      <c r="U197" s="408"/>
      <c r="V197" s="408"/>
      <c r="W197" s="408"/>
      <c r="X197" s="408"/>
      <c r="Y197" s="408"/>
      <c r="Z197" s="408"/>
      <c r="AA197" s="408"/>
      <c r="AB197" s="408"/>
      <c r="AC197" s="408"/>
      <c r="AD197" s="408"/>
      <c r="AE197" s="408"/>
      <c r="AF197" s="408"/>
      <c r="AG197" s="408"/>
      <c r="AH197" s="408"/>
      <c r="AI197" s="408"/>
      <c r="AJ197" s="408"/>
      <c r="AK197" s="408"/>
      <c r="AL197" s="408"/>
      <c r="AM197" s="408"/>
      <c r="AN197" s="408"/>
      <c r="AO197" s="408"/>
      <c r="AP197" s="408"/>
      <c r="AQ197" s="408"/>
      <c r="AR197" s="408"/>
      <c r="AS197" s="408"/>
      <c r="AT197" s="408"/>
      <c r="AU197" s="408"/>
      <c r="AV197" s="408"/>
      <c r="AW197" s="408"/>
      <c r="AX197" s="408"/>
      <c r="AY197" s="408"/>
      <c r="AZ197" s="408"/>
      <c r="BA197" s="408"/>
      <c r="BB197" s="408"/>
      <c r="BC197" s="408"/>
      <c r="BD197" s="408"/>
      <c r="BE197" s="408"/>
      <c r="BF197" s="408"/>
      <c r="BG197" s="408"/>
      <c r="BH197" s="408"/>
      <c r="BI197" s="408"/>
      <c r="BJ197" s="408"/>
      <c r="BK197" s="408"/>
      <c r="BL197" s="408"/>
      <c r="BM197" s="408"/>
      <c r="BN197" s="408"/>
      <c r="BO197" s="408"/>
      <c r="BP197" s="408"/>
      <c r="BQ197" s="408"/>
      <c r="BR197" s="408"/>
      <c r="BS197" s="408"/>
      <c r="BT197" s="408"/>
      <c r="BU197" s="408"/>
      <c r="BV197" s="408"/>
      <c r="BW197" s="408"/>
      <c r="BX197" s="408"/>
      <c r="BY197" s="408"/>
      <c r="BZ197" s="408"/>
      <c r="CA197" s="408"/>
      <c r="CB197" s="408"/>
      <c r="CC197" s="408"/>
      <c r="CD197" s="408"/>
      <c r="CE197" s="408"/>
      <c r="CF197" s="408"/>
      <c r="CG197" s="408"/>
      <c r="CH197" s="408"/>
      <c r="CI197" s="408"/>
      <c r="CJ197" s="408"/>
      <c r="CK197" s="408"/>
      <c r="CL197" s="408"/>
      <c r="CM197" s="408"/>
      <c r="CN197" s="408"/>
    </row>
    <row r="198">
      <c r="A198" s="408"/>
      <c r="B198" s="408"/>
      <c r="C198" s="408"/>
      <c r="D198" s="408"/>
      <c r="E198" s="408"/>
      <c r="F198" s="408"/>
      <c r="G198" s="408"/>
      <c r="H198" s="408"/>
      <c r="I198" s="408"/>
      <c r="J198" s="408"/>
      <c r="K198" s="408"/>
      <c r="L198" s="408"/>
      <c r="M198" s="408"/>
      <c r="N198" s="408"/>
      <c r="O198" s="408"/>
      <c r="P198" s="408"/>
      <c r="Q198" s="408"/>
      <c r="R198" s="408"/>
      <c r="S198" s="408"/>
      <c r="T198" s="408"/>
      <c r="U198" s="408"/>
      <c r="V198" s="408"/>
      <c r="W198" s="408"/>
      <c r="X198" s="408"/>
      <c r="Y198" s="408"/>
      <c r="Z198" s="408"/>
      <c r="AA198" s="408"/>
      <c r="AB198" s="408"/>
      <c r="AC198" s="408"/>
      <c r="AD198" s="408"/>
      <c r="AE198" s="408"/>
      <c r="AF198" s="408"/>
      <c r="AG198" s="408"/>
      <c r="AH198" s="408"/>
      <c r="AI198" s="408"/>
      <c r="AJ198" s="408"/>
      <c r="AK198" s="408"/>
      <c r="AL198" s="408"/>
      <c r="AM198" s="408"/>
      <c r="AN198" s="408"/>
      <c r="AO198" s="408"/>
      <c r="AP198" s="408"/>
      <c r="AQ198" s="408"/>
      <c r="AR198" s="408"/>
      <c r="AS198" s="408"/>
      <c r="AT198" s="408"/>
      <c r="AU198" s="408"/>
      <c r="AV198" s="408"/>
      <c r="AW198" s="408"/>
      <c r="AX198" s="408"/>
      <c r="AY198" s="408"/>
      <c r="AZ198" s="408"/>
      <c r="BA198" s="408"/>
      <c r="BB198" s="408"/>
      <c r="BC198" s="408"/>
      <c r="BD198" s="408"/>
      <c r="BE198" s="408"/>
      <c r="BF198" s="408"/>
      <c r="BG198" s="408"/>
      <c r="BH198" s="408"/>
      <c r="BI198" s="408"/>
      <c r="BJ198" s="408"/>
      <c r="BK198" s="408"/>
      <c r="BL198" s="408"/>
      <c r="BM198" s="408"/>
      <c r="BN198" s="408"/>
      <c r="BO198" s="408"/>
      <c r="BP198" s="408"/>
      <c r="BQ198" s="408"/>
      <c r="BR198" s="408"/>
      <c r="BS198" s="408"/>
      <c r="BT198" s="408"/>
      <c r="BU198" s="408"/>
      <c r="BV198" s="408"/>
      <c r="BW198" s="408"/>
      <c r="BX198" s="408"/>
      <c r="BY198" s="408"/>
      <c r="BZ198" s="408"/>
      <c r="CA198" s="408"/>
      <c r="CB198" s="408"/>
      <c r="CC198" s="408"/>
      <c r="CD198" s="408"/>
      <c r="CE198" s="408"/>
      <c r="CF198" s="408"/>
      <c r="CG198" s="408"/>
      <c r="CH198" s="408"/>
      <c r="CI198" s="408"/>
      <c r="CJ198" s="408"/>
      <c r="CK198" s="408"/>
      <c r="CL198" s="408"/>
      <c r="CM198" s="408"/>
      <c r="CN198" s="408"/>
    </row>
    <row r="199">
      <c r="A199" s="408"/>
      <c r="B199" s="408"/>
      <c r="C199" s="408"/>
      <c r="D199" s="408"/>
      <c r="E199" s="408"/>
      <c r="F199" s="408"/>
      <c r="G199" s="408"/>
      <c r="H199" s="408"/>
      <c r="I199" s="408"/>
      <c r="J199" s="408"/>
      <c r="K199" s="408"/>
      <c r="L199" s="408"/>
      <c r="M199" s="408"/>
      <c r="N199" s="408"/>
      <c r="O199" s="408"/>
      <c r="P199" s="408"/>
      <c r="Q199" s="408"/>
      <c r="R199" s="408"/>
      <c r="S199" s="408"/>
      <c r="T199" s="408"/>
      <c r="U199" s="408"/>
      <c r="V199" s="408"/>
      <c r="W199" s="408"/>
      <c r="X199" s="408"/>
      <c r="Y199" s="408"/>
      <c r="Z199" s="408"/>
      <c r="AA199" s="408"/>
      <c r="AB199" s="408"/>
      <c r="AC199" s="408"/>
      <c r="AD199" s="408"/>
      <c r="AE199" s="408"/>
      <c r="AF199" s="408"/>
      <c r="AG199" s="408"/>
      <c r="AH199" s="408"/>
      <c r="AI199" s="408"/>
      <c r="AJ199" s="408"/>
      <c r="AK199" s="408"/>
      <c r="AL199" s="408"/>
      <c r="AM199" s="408"/>
      <c r="AN199" s="408"/>
      <c r="AO199" s="408"/>
      <c r="AP199" s="408"/>
      <c r="AQ199" s="408"/>
      <c r="AR199" s="408"/>
      <c r="AS199" s="408"/>
      <c r="AT199" s="408"/>
      <c r="AU199" s="408"/>
      <c r="AV199" s="408"/>
      <c r="AW199" s="408"/>
      <c r="AX199" s="408"/>
      <c r="AY199" s="408"/>
      <c r="AZ199" s="408"/>
      <c r="BA199" s="408"/>
      <c r="BB199" s="408"/>
      <c r="BC199" s="408"/>
      <c r="BD199" s="408"/>
      <c r="BE199" s="408"/>
      <c r="BF199" s="408"/>
      <c r="BG199" s="408"/>
      <c r="BH199" s="408"/>
      <c r="BI199" s="408"/>
      <c r="BJ199" s="408"/>
      <c r="BK199" s="408"/>
      <c r="BL199" s="408"/>
      <c r="BM199" s="408"/>
      <c r="BN199" s="408"/>
      <c r="BO199" s="408"/>
      <c r="BP199" s="408"/>
      <c r="BQ199" s="408"/>
      <c r="BR199" s="408"/>
      <c r="BS199" s="408"/>
      <c r="BT199" s="408"/>
      <c r="BU199" s="408"/>
      <c r="BV199" s="408"/>
      <c r="BW199" s="408"/>
      <c r="BX199" s="408"/>
      <c r="BY199" s="408"/>
      <c r="BZ199" s="408"/>
      <c r="CA199" s="408"/>
      <c r="CB199" s="408"/>
      <c r="CC199" s="408"/>
      <c r="CD199" s="408"/>
      <c r="CE199" s="408"/>
      <c r="CF199" s="408"/>
      <c r="CG199" s="408"/>
      <c r="CH199" s="408"/>
      <c r="CI199" s="408"/>
      <c r="CJ199" s="408"/>
      <c r="CK199" s="408"/>
      <c r="CL199" s="408"/>
      <c r="CM199" s="408"/>
      <c r="CN199" s="408"/>
    </row>
    <row r="200">
      <c r="A200" s="408"/>
      <c r="B200" s="408"/>
      <c r="C200" s="408"/>
      <c r="D200" s="408"/>
      <c r="E200" s="408"/>
      <c r="F200" s="408"/>
      <c r="G200" s="408"/>
      <c r="H200" s="408"/>
      <c r="I200" s="408"/>
      <c r="J200" s="408"/>
      <c r="K200" s="408"/>
      <c r="L200" s="408"/>
      <c r="M200" s="408"/>
      <c r="N200" s="408"/>
      <c r="O200" s="408"/>
      <c r="P200" s="408"/>
      <c r="Q200" s="408"/>
      <c r="R200" s="408"/>
      <c r="S200" s="408"/>
      <c r="T200" s="408"/>
      <c r="U200" s="408"/>
      <c r="V200" s="408"/>
      <c r="W200" s="408"/>
      <c r="X200" s="408"/>
      <c r="Y200" s="408"/>
      <c r="Z200" s="408"/>
      <c r="AA200" s="408"/>
      <c r="AB200" s="408"/>
      <c r="AC200" s="408"/>
      <c r="AD200" s="408"/>
      <c r="AE200" s="408"/>
      <c r="AF200" s="408"/>
      <c r="AG200" s="408"/>
      <c r="AH200" s="408"/>
      <c r="AI200" s="408"/>
      <c r="AJ200" s="408"/>
      <c r="AK200" s="408"/>
      <c r="AL200" s="408"/>
      <c r="AM200" s="408"/>
      <c r="AN200" s="408"/>
      <c r="AO200" s="408"/>
      <c r="AP200" s="408"/>
      <c r="AQ200" s="408"/>
      <c r="AR200" s="408"/>
      <c r="AS200" s="408"/>
      <c r="AT200" s="408"/>
      <c r="AU200" s="408"/>
      <c r="AV200" s="408"/>
      <c r="AW200" s="408"/>
      <c r="AX200" s="408"/>
      <c r="AY200" s="408"/>
      <c r="AZ200" s="408"/>
      <c r="BA200" s="408"/>
      <c r="BB200" s="408"/>
      <c r="BC200" s="408"/>
      <c r="BD200" s="408"/>
      <c r="BE200" s="408"/>
      <c r="BF200" s="408"/>
      <c r="BG200" s="408"/>
      <c r="BH200" s="408"/>
      <c r="BI200" s="408"/>
      <c r="BJ200" s="408"/>
      <c r="BK200" s="408"/>
      <c r="BL200" s="408"/>
      <c r="BM200" s="408"/>
      <c r="BN200" s="408"/>
      <c r="BO200" s="408"/>
      <c r="BP200" s="408"/>
      <c r="BQ200" s="408"/>
      <c r="BR200" s="408"/>
      <c r="BS200" s="408"/>
      <c r="BT200" s="408"/>
      <c r="BU200" s="408"/>
      <c r="BV200" s="408"/>
      <c r="BW200" s="408"/>
      <c r="BX200" s="408"/>
      <c r="BY200" s="408"/>
      <c r="BZ200" s="408"/>
      <c r="CA200" s="408"/>
      <c r="CB200" s="408"/>
      <c r="CC200" s="408"/>
      <c r="CD200" s="408"/>
      <c r="CE200" s="408"/>
      <c r="CF200" s="408"/>
      <c r="CG200" s="408"/>
      <c r="CH200" s="408"/>
      <c r="CI200" s="408"/>
      <c r="CJ200" s="408"/>
      <c r="CK200" s="408"/>
      <c r="CL200" s="408"/>
      <c r="CM200" s="408"/>
      <c r="CN200" s="408"/>
    </row>
    <row r="201">
      <c r="A201" s="408"/>
      <c r="B201" s="408"/>
      <c r="C201" s="408"/>
      <c r="D201" s="408"/>
      <c r="E201" s="408"/>
      <c r="F201" s="408"/>
      <c r="G201" s="408"/>
      <c r="H201" s="408"/>
      <c r="I201" s="408"/>
      <c r="J201" s="408"/>
      <c r="K201" s="408"/>
      <c r="L201" s="408"/>
      <c r="M201" s="408"/>
      <c r="N201" s="408"/>
      <c r="O201" s="408"/>
      <c r="P201" s="408"/>
      <c r="Q201" s="408"/>
      <c r="R201" s="408"/>
      <c r="S201" s="408"/>
      <c r="T201" s="408"/>
      <c r="U201" s="408"/>
      <c r="V201" s="408"/>
      <c r="W201" s="408"/>
      <c r="X201" s="408"/>
      <c r="Y201" s="408"/>
      <c r="Z201" s="408"/>
      <c r="AA201" s="408"/>
      <c r="AB201" s="408"/>
      <c r="AC201" s="408"/>
      <c r="AD201" s="408"/>
      <c r="AE201" s="408"/>
      <c r="AF201" s="408"/>
      <c r="AG201" s="408"/>
      <c r="AH201" s="408"/>
      <c r="AI201" s="408"/>
      <c r="AJ201" s="408"/>
      <c r="AK201" s="408"/>
      <c r="AL201" s="408"/>
      <c r="AM201" s="408"/>
      <c r="AN201" s="408"/>
      <c r="AO201" s="408"/>
      <c r="AP201" s="408"/>
      <c r="AQ201" s="408"/>
      <c r="AR201" s="408"/>
      <c r="AS201" s="408"/>
      <c r="AT201" s="408"/>
      <c r="AU201" s="408"/>
      <c r="AV201" s="408"/>
      <c r="AW201" s="408"/>
      <c r="AX201" s="408"/>
      <c r="AY201" s="408"/>
      <c r="AZ201" s="408"/>
      <c r="BA201" s="408"/>
      <c r="BB201" s="408"/>
      <c r="BC201" s="408"/>
      <c r="BD201" s="408"/>
      <c r="BE201" s="408"/>
      <c r="BF201" s="408"/>
      <c r="BG201" s="408"/>
      <c r="BH201" s="408"/>
      <c r="BI201" s="408"/>
      <c r="BJ201" s="408"/>
      <c r="BK201" s="408"/>
      <c r="BL201" s="408"/>
      <c r="BM201" s="408"/>
      <c r="BN201" s="408"/>
      <c r="BO201" s="408"/>
      <c r="BP201" s="408"/>
      <c r="BQ201" s="408"/>
      <c r="BR201" s="408"/>
      <c r="BS201" s="408"/>
      <c r="BT201" s="408"/>
      <c r="BU201" s="408"/>
      <c r="BV201" s="408"/>
      <c r="BW201" s="408"/>
      <c r="BX201" s="408"/>
      <c r="BY201" s="408"/>
      <c r="BZ201" s="408"/>
      <c r="CA201" s="408"/>
      <c r="CB201" s="408"/>
      <c r="CC201" s="408"/>
      <c r="CD201" s="408"/>
      <c r="CE201" s="408"/>
      <c r="CF201" s="408"/>
      <c r="CG201" s="408"/>
      <c r="CH201" s="408"/>
      <c r="CI201" s="408"/>
      <c r="CJ201" s="408"/>
      <c r="CK201" s="408"/>
      <c r="CL201" s="408"/>
      <c r="CM201" s="408"/>
      <c r="CN201" s="408"/>
    </row>
    <row r="202">
      <c r="A202" s="408"/>
      <c r="B202" s="408"/>
      <c r="C202" s="408"/>
      <c r="D202" s="408"/>
      <c r="E202" s="408"/>
      <c r="F202" s="408"/>
      <c r="G202" s="408"/>
      <c r="H202" s="408"/>
      <c r="I202" s="408"/>
      <c r="J202" s="408"/>
      <c r="K202" s="408"/>
      <c r="L202" s="408"/>
      <c r="M202" s="408"/>
      <c r="N202" s="408"/>
      <c r="O202" s="408"/>
      <c r="P202" s="408"/>
      <c r="Q202" s="408"/>
      <c r="R202" s="408"/>
      <c r="S202" s="408"/>
      <c r="T202" s="408"/>
      <c r="U202" s="408"/>
      <c r="V202" s="408"/>
      <c r="W202" s="408"/>
      <c r="X202" s="408"/>
      <c r="Y202" s="408"/>
      <c r="Z202" s="408"/>
      <c r="AA202" s="408"/>
      <c r="AB202" s="408"/>
      <c r="AC202" s="408"/>
      <c r="AD202" s="408"/>
      <c r="AE202" s="408"/>
      <c r="AF202" s="408"/>
      <c r="AG202" s="408"/>
      <c r="AH202" s="408"/>
      <c r="AI202" s="408"/>
      <c r="AJ202" s="408"/>
      <c r="AK202" s="408"/>
      <c r="AL202" s="408"/>
      <c r="AM202" s="408"/>
      <c r="AN202" s="408"/>
      <c r="AO202" s="408"/>
      <c r="AP202" s="408"/>
      <c r="AQ202" s="408"/>
      <c r="AR202" s="408"/>
      <c r="AS202" s="408"/>
      <c r="AT202" s="408"/>
      <c r="AU202" s="408"/>
      <c r="AV202" s="408"/>
      <c r="AW202" s="408"/>
      <c r="AX202" s="408"/>
      <c r="AY202" s="408"/>
      <c r="AZ202" s="408"/>
      <c r="BA202" s="408"/>
      <c r="BB202" s="408"/>
      <c r="BC202" s="408"/>
      <c r="BD202" s="408"/>
      <c r="BE202" s="408"/>
      <c r="BF202" s="408"/>
      <c r="BG202" s="408"/>
      <c r="BH202" s="408"/>
      <c r="BI202" s="408"/>
      <c r="BJ202" s="408"/>
      <c r="BK202" s="408"/>
      <c r="BL202" s="408"/>
      <c r="BM202" s="408"/>
      <c r="BN202" s="408"/>
      <c r="BO202" s="408"/>
      <c r="BP202" s="408"/>
      <c r="BQ202" s="408"/>
      <c r="BR202" s="408"/>
      <c r="BS202" s="408"/>
      <c r="BT202" s="408"/>
      <c r="BU202" s="408"/>
      <c r="BV202" s="408"/>
      <c r="BW202" s="408"/>
      <c r="BX202" s="408"/>
      <c r="BY202" s="408"/>
      <c r="BZ202" s="408"/>
      <c r="CA202" s="408"/>
      <c r="CB202" s="408"/>
      <c r="CC202" s="408"/>
      <c r="CD202" s="408"/>
      <c r="CE202" s="408"/>
      <c r="CF202" s="408"/>
      <c r="CG202" s="408"/>
      <c r="CH202" s="408"/>
      <c r="CI202" s="408"/>
      <c r="CJ202" s="408"/>
      <c r="CK202" s="408"/>
      <c r="CL202" s="408"/>
      <c r="CM202" s="408"/>
      <c r="CN202" s="408"/>
    </row>
    <row r="203">
      <c r="A203" s="408"/>
      <c r="B203" s="408"/>
      <c r="C203" s="408"/>
      <c r="D203" s="408"/>
      <c r="E203" s="408"/>
      <c r="F203" s="408"/>
      <c r="G203" s="408"/>
      <c r="H203" s="408"/>
      <c r="I203" s="408"/>
      <c r="J203" s="408"/>
      <c r="K203" s="408"/>
      <c r="L203" s="408"/>
      <c r="M203" s="408"/>
      <c r="N203" s="408"/>
      <c r="O203" s="408"/>
      <c r="P203" s="408"/>
      <c r="Q203" s="408"/>
      <c r="R203" s="408"/>
      <c r="S203" s="408"/>
      <c r="T203" s="408"/>
      <c r="U203" s="408"/>
      <c r="V203" s="408"/>
      <c r="W203" s="408"/>
      <c r="X203" s="408"/>
      <c r="Y203" s="408"/>
      <c r="Z203" s="408"/>
      <c r="AA203" s="408"/>
      <c r="AB203" s="408"/>
      <c r="AC203" s="408"/>
      <c r="AD203" s="408"/>
      <c r="AE203" s="408"/>
      <c r="AF203" s="408"/>
      <c r="AG203" s="408"/>
      <c r="AH203" s="408"/>
      <c r="AI203" s="408"/>
      <c r="AJ203" s="408"/>
      <c r="AK203" s="408"/>
      <c r="AL203" s="408"/>
      <c r="AM203" s="408"/>
      <c r="AN203" s="408"/>
      <c r="AO203" s="408"/>
      <c r="AP203" s="408"/>
      <c r="AQ203" s="408"/>
      <c r="AR203" s="408"/>
      <c r="AS203" s="408"/>
      <c r="AT203" s="408"/>
      <c r="AU203" s="408"/>
      <c r="AV203" s="408"/>
      <c r="AW203" s="408"/>
      <c r="AX203" s="408"/>
      <c r="AY203" s="408"/>
      <c r="AZ203" s="408"/>
      <c r="BA203" s="408"/>
      <c r="BB203" s="408"/>
      <c r="BC203" s="408"/>
      <c r="BD203" s="408"/>
      <c r="BE203" s="408"/>
      <c r="BF203" s="408"/>
      <c r="BG203" s="408"/>
      <c r="BH203" s="408"/>
      <c r="BI203" s="408"/>
      <c r="BJ203" s="408"/>
      <c r="BK203" s="408"/>
      <c r="BL203" s="408"/>
      <c r="BM203" s="408"/>
      <c r="BN203" s="408"/>
      <c r="BO203" s="408"/>
      <c r="BP203" s="408"/>
      <c r="BQ203" s="408"/>
      <c r="BR203" s="408"/>
      <c r="BS203" s="408"/>
      <c r="BT203" s="408"/>
      <c r="BU203" s="408"/>
      <c r="BV203" s="408"/>
      <c r="BW203" s="408"/>
      <c r="BX203" s="408"/>
      <c r="BY203" s="408"/>
      <c r="BZ203" s="408"/>
      <c r="CA203" s="408"/>
      <c r="CB203" s="408"/>
      <c r="CC203" s="408"/>
      <c r="CD203" s="408"/>
      <c r="CE203" s="408"/>
      <c r="CF203" s="408"/>
      <c r="CG203" s="408"/>
      <c r="CH203" s="408"/>
      <c r="CI203" s="408"/>
      <c r="CJ203" s="408"/>
      <c r="CK203" s="408"/>
      <c r="CL203" s="408"/>
      <c r="CM203" s="408"/>
      <c r="CN203" s="408"/>
    </row>
    <row r="204">
      <c r="A204" s="408"/>
      <c r="B204" s="408"/>
      <c r="C204" s="408"/>
      <c r="D204" s="408"/>
      <c r="E204" s="408"/>
      <c r="F204" s="408"/>
      <c r="G204" s="408"/>
      <c r="H204" s="408"/>
      <c r="I204" s="408"/>
      <c r="J204" s="408"/>
      <c r="K204" s="408"/>
      <c r="L204" s="408"/>
      <c r="M204" s="408"/>
      <c r="N204" s="408"/>
      <c r="O204" s="408"/>
      <c r="P204" s="408"/>
      <c r="Q204" s="408"/>
      <c r="R204" s="408"/>
      <c r="S204" s="408"/>
      <c r="T204" s="408"/>
      <c r="U204" s="408"/>
      <c r="V204" s="408"/>
      <c r="W204" s="408"/>
      <c r="X204" s="408"/>
      <c r="Y204" s="408"/>
      <c r="Z204" s="408"/>
      <c r="AA204" s="408"/>
      <c r="AB204" s="408"/>
      <c r="AC204" s="408"/>
      <c r="AD204" s="408"/>
      <c r="AE204" s="408"/>
      <c r="AF204" s="408"/>
      <c r="AG204" s="408"/>
      <c r="AH204" s="408"/>
      <c r="AI204" s="408"/>
      <c r="AJ204" s="408"/>
      <c r="AK204" s="408"/>
      <c r="AL204" s="408"/>
      <c r="AM204" s="408"/>
      <c r="AN204" s="408"/>
      <c r="AO204" s="408"/>
      <c r="AP204" s="408"/>
      <c r="AQ204" s="408"/>
      <c r="AR204" s="408"/>
      <c r="AS204" s="408"/>
      <c r="AT204" s="408"/>
      <c r="AU204" s="408"/>
      <c r="AV204" s="408"/>
      <c r="AW204" s="408"/>
      <c r="AX204" s="408"/>
      <c r="AY204" s="408"/>
      <c r="AZ204" s="408"/>
      <c r="BA204" s="408"/>
      <c r="BB204" s="408"/>
      <c r="BC204" s="408"/>
      <c r="BD204" s="408"/>
      <c r="BE204" s="408"/>
      <c r="BF204" s="408"/>
      <c r="BG204" s="408"/>
      <c r="BH204" s="408"/>
      <c r="BI204" s="408"/>
      <c r="BJ204" s="408"/>
      <c r="BK204" s="408"/>
      <c r="BL204" s="408"/>
      <c r="BM204" s="408"/>
      <c r="BN204" s="408"/>
      <c r="BO204" s="408"/>
      <c r="BP204" s="408"/>
      <c r="BQ204" s="408"/>
      <c r="BR204" s="408"/>
      <c r="BS204" s="408"/>
      <c r="BT204" s="408"/>
      <c r="BU204" s="408"/>
      <c r="BV204" s="408"/>
      <c r="BW204" s="408"/>
      <c r="BX204" s="408"/>
      <c r="BY204" s="408"/>
      <c r="BZ204" s="408"/>
      <c r="CA204" s="408"/>
      <c r="CB204" s="408"/>
      <c r="CC204" s="408"/>
      <c r="CD204" s="408"/>
      <c r="CE204" s="408"/>
      <c r="CF204" s="408"/>
      <c r="CG204" s="408"/>
      <c r="CH204" s="408"/>
      <c r="CI204" s="408"/>
      <c r="CJ204" s="408"/>
      <c r="CK204" s="408"/>
      <c r="CL204" s="408"/>
      <c r="CM204" s="408"/>
      <c r="CN204" s="408"/>
    </row>
    <row r="205">
      <c r="A205" s="408"/>
      <c r="B205" s="408"/>
      <c r="C205" s="408"/>
      <c r="D205" s="408"/>
      <c r="E205" s="408"/>
      <c r="F205" s="408"/>
      <c r="G205" s="408"/>
      <c r="H205" s="408"/>
      <c r="I205" s="408"/>
      <c r="J205" s="408"/>
      <c r="K205" s="408"/>
      <c r="L205" s="408"/>
      <c r="M205" s="408"/>
      <c r="N205" s="408"/>
      <c r="O205" s="408"/>
      <c r="P205" s="408"/>
      <c r="Q205" s="408"/>
      <c r="R205" s="408"/>
      <c r="S205" s="408"/>
      <c r="T205" s="408"/>
      <c r="U205" s="408"/>
      <c r="V205" s="408"/>
      <c r="W205" s="408"/>
      <c r="X205" s="408"/>
      <c r="Y205" s="408"/>
      <c r="Z205" s="408"/>
      <c r="AA205" s="408"/>
      <c r="AB205" s="408"/>
      <c r="AC205" s="408"/>
      <c r="AD205" s="408"/>
      <c r="AE205" s="408"/>
      <c r="AF205" s="408"/>
      <c r="AG205" s="408"/>
      <c r="AH205" s="408"/>
      <c r="AI205" s="408"/>
      <c r="AJ205" s="408"/>
      <c r="AK205" s="408"/>
      <c r="AL205" s="408"/>
      <c r="AM205" s="408"/>
      <c r="AN205" s="408"/>
      <c r="AO205" s="408"/>
      <c r="AP205" s="408"/>
      <c r="AQ205" s="408"/>
      <c r="AR205" s="408"/>
      <c r="AS205" s="408"/>
      <c r="AT205" s="408"/>
      <c r="AU205" s="408"/>
      <c r="AV205" s="408"/>
      <c r="AW205" s="408"/>
      <c r="AX205" s="408"/>
      <c r="AY205" s="408"/>
      <c r="AZ205" s="408"/>
      <c r="BA205" s="408"/>
      <c r="BB205" s="408"/>
      <c r="BC205" s="408"/>
      <c r="BD205" s="408"/>
      <c r="BE205" s="408"/>
      <c r="BF205" s="408"/>
      <c r="BG205" s="408"/>
      <c r="BH205" s="408"/>
      <c r="BI205" s="408"/>
      <c r="BJ205" s="408"/>
      <c r="BK205" s="408"/>
      <c r="BL205" s="408"/>
      <c r="BM205" s="408"/>
      <c r="BN205" s="408"/>
      <c r="BO205" s="408"/>
      <c r="BP205" s="408"/>
      <c r="BQ205" s="408"/>
      <c r="BR205" s="408"/>
      <c r="BS205" s="408"/>
      <c r="BT205" s="408"/>
      <c r="BU205" s="408"/>
      <c r="BV205" s="408"/>
      <c r="BW205" s="408"/>
      <c r="BX205" s="408"/>
      <c r="BY205" s="408"/>
      <c r="BZ205" s="408"/>
      <c r="CA205" s="408"/>
      <c r="CB205" s="408"/>
      <c r="CC205" s="408"/>
      <c r="CD205" s="408"/>
      <c r="CE205" s="408"/>
      <c r="CF205" s="408"/>
      <c r="CG205" s="408"/>
      <c r="CH205" s="408"/>
      <c r="CI205" s="408"/>
      <c r="CJ205" s="408"/>
      <c r="CK205" s="408"/>
      <c r="CL205" s="408"/>
      <c r="CM205" s="408"/>
      <c r="CN205" s="408"/>
    </row>
    <row r="206">
      <c r="A206" s="408"/>
      <c r="B206" s="408"/>
      <c r="C206" s="408"/>
      <c r="D206" s="408"/>
      <c r="E206" s="408"/>
      <c r="F206" s="408"/>
      <c r="G206" s="408"/>
      <c r="H206" s="408"/>
      <c r="I206" s="408"/>
      <c r="J206" s="408"/>
      <c r="K206" s="408"/>
      <c r="L206" s="408"/>
      <c r="M206" s="408"/>
      <c r="N206" s="408"/>
      <c r="O206" s="408"/>
      <c r="P206" s="408"/>
      <c r="Q206" s="408"/>
      <c r="R206" s="408"/>
      <c r="S206" s="408"/>
      <c r="T206" s="408"/>
      <c r="U206" s="408"/>
      <c r="V206" s="408"/>
      <c r="W206" s="408"/>
      <c r="X206" s="408"/>
      <c r="Y206" s="408"/>
      <c r="Z206" s="408"/>
      <c r="AA206" s="408"/>
      <c r="AB206" s="408"/>
      <c r="AC206" s="408"/>
      <c r="AD206" s="408"/>
      <c r="AE206" s="408"/>
      <c r="AF206" s="408"/>
      <c r="AG206" s="408"/>
      <c r="AH206" s="408"/>
      <c r="AI206" s="408"/>
      <c r="AJ206" s="408"/>
      <c r="AK206" s="408"/>
      <c r="AL206" s="408"/>
      <c r="AM206" s="408"/>
      <c r="AN206" s="408"/>
      <c r="AO206" s="408"/>
      <c r="AP206" s="408"/>
      <c r="AQ206" s="408"/>
      <c r="AR206" s="408"/>
      <c r="AS206" s="408"/>
      <c r="AT206" s="408"/>
      <c r="AU206" s="408"/>
      <c r="AV206" s="408"/>
      <c r="AW206" s="408"/>
      <c r="AX206" s="408"/>
      <c r="AY206" s="408"/>
      <c r="AZ206" s="408"/>
      <c r="BA206" s="408"/>
      <c r="BB206" s="408"/>
      <c r="BC206" s="408"/>
      <c r="BD206" s="408"/>
      <c r="BE206" s="408"/>
      <c r="BF206" s="408"/>
      <c r="BG206" s="408"/>
      <c r="BH206" s="408"/>
      <c r="BI206" s="408"/>
      <c r="BJ206" s="408"/>
      <c r="BK206" s="408"/>
      <c r="BL206" s="408"/>
      <c r="BM206" s="408"/>
      <c r="BN206" s="408"/>
      <c r="BO206" s="408"/>
      <c r="BP206" s="408"/>
      <c r="BQ206" s="408"/>
      <c r="BR206" s="408"/>
      <c r="BS206" s="408"/>
      <c r="BT206" s="408"/>
      <c r="BU206" s="408"/>
      <c r="BV206" s="408"/>
      <c r="BW206" s="408"/>
      <c r="BX206" s="408"/>
      <c r="BY206" s="408"/>
      <c r="BZ206" s="408"/>
      <c r="CA206" s="408"/>
      <c r="CB206" s="408"/>
      <c r="CC206" s="408"/>
      <c r="CD206" s="408"/>
      <c r="CE206" s="408"/>
      <c r="CF206" s="408"/>
      <c r="CG206" s="408"/>
      <c r="CH206" s="408"/>
      <c r="CI206" s="408"/>
      <c r="CJ206" s="408"/>
      <c r="CK206" s="408"/>
      <c r="CL206" s="408"/>
      <c r="CM206" s="408"/>
      <c r="CN206" s="408"/>
    </row>
    <row r="207">
      <c r="A207" s="408"/>
      <c r="B207" s="408"/>
      <c r="C207" s="408"/>
      <c r="D207" s="408"/>
      <c r="E207" s="408"/>
      <c r="F207" s="408"/>
      <c r="G207" s="408"/>
      <c r="H207" s="408"/>
      <c r="I207" s="408"/>
      <c r="J207" s="408"/>
      <c r="K207" s="408"/>
      <c r="L207" s="408"/>
      <c r="M207" s="408"/>
      <c r="N207" s="408"/>
      <c r="O207" s="408"/>
      <c r="P207" s="408"/>
      <c r="Q207" s="408"/>
      <c r="R207" s="408"/>
      <c r="S207" s="408"/>
      <c r="T207" s="408"/>
      <c r="U207" s="408"/>
      <c r="V207" s="408"/>
      <c r="W207" s="408"/>
      <c r="X207" s="408"/>
      <c r="Y207" s="408"/>
      <c r="Z207" s="408"/>
      <c r="AA207" s="408"/>
      <c r="AB207" s="408"/>
      <c r="AC207" s="408"/>
      <c r="AD207" s="408"/>
      <c r="AE207" s="408"/>
      <c r="AF207" s="408"/>
      <c r="AG207" s="408"/>
      <c r="AH207" s="408"/>
      <c r="AI207" s="408"/>
      <c r="AJ207" s="408"/>
      <c r="AK207" s="408"/>
      <c r="AL207" s="408"/>
      <c r="AM207" s="408"/>
      <c r="AN207" s="408"/>
      <c r="AO207" s="408"/>
      <c r="AP207" s="408"/>
      <c r="AQ207" s="408"/>
      <c r="AR207" s="408"/>
      <c r="AS207" s="408"/>
      <c r="AT207" s="408"/>
      <c r="AU207" s="408"/>
      <c r="AV207" s="408"/>
      <c r="AW207" s="408"/>
      <c r="AX207" s="408"/>
      <c r="AY207" s="408"/>
      <c r="AZ207" s="408"/>
      <c r="BA207" s="408"/>
      <c r="BB207" s="408"/>
      <c r="BC207" s="408"/>
      <c r="BD207" s="408"/>
      <c r="BE207" s="408"/>
      <c r="BF207" s="408"/>
      <c r="BG207" s="408"/>
      <c r="BH207" s="408"/>
      <c r="BI207" s="408"/>
      <c r="BJ207" s="408"/>
      <c r="BK207" s="408"/>
      <c r="BL207" s="408"/>
      <c r="BM207" s="408"/>
      <c r="BN207" s="408"/>
      <c r="BO207" s="408"/>
      <c r="BP207" s="408"/>
      <c r="BQ207" s="408"/>
      <c r="BR207" s="408"/>
      <c r="BS207" s="408"/>
      <c r="BT207" s="408"/>
      <c r="BU207" s="408"/>
      <c r="BV207" s="408"/>
      <c r="BW207" s="408"/>
      <c r="BX207" s="408"/>
      <c r="BY207" s="408"/>
      <c r="BZ207" s="408"/>
      <c r="CA207" s="408"/>
      <c r="CB207" s="408"/>
      <c r="CC207" s="408"/>
      <c r="CD207" s="408"/>
      <c r="CE207" s="408"/>
      <c r="CF207" s="408"/>
      <c r="CG207" s="408"/>
      <c r="CH207" s="408"/>
      <c r="CI207" s="408"/>
      <c r="CJ207" s="408"/>
      <c r="CK207" s="408"/>
      <c r="CL207" s="408"/>
      <c r="CM207" s="408"/>
      <c r="CN207" s="408"/>
    </row>
    <row r="208">
      <c r="A208" s="408"/>
      <c r="B208" s="408"/>
      <c r="C208" s="408"/>
      <c r="D208" s="408"/>
      <c r="E208" s="408"/>
      <c r="F208" s="408"/>
      <c r="G208" s="408"/>
      <c r="H208" s="408"/>
      <c r="I208" s="408"/>
      <c r="J208" s="408"/>
      <c r="K208" s="408"/>
      <c r="L208" s="408"/>
      <c r="M208" s="408"/>
      <c r="N208" s="408"/>
      <c r="O208" s="408"/>
      <c r="P208" s="408"/>
      <c r="Q208" s="408"/>
      <c r="R208" s="408"/>
      <c r="S208" s="408"/>
      <c r="T208" s="408"/>
      <c r="U208" s="408"/>
      <c r="V208" s="408"/>
      <c r="W208" s="408"/>
      <c r="X208" s="408"/>
      <c r="Y208" s="408"/>
      <c r="Z208" s="408"/>
      <c r="AA208" s="408"/>
      <c r="AB208" s="408"/>
      <c r="AC208" s="408"/>
      <c r="AD208" s="408"/>
      <c r="AE208" s="408"/>
      <c r="AF208" s="408"/>
      <c r="AG208" s="408"/>
      <c r="AH208" s="408"/>
      <c r="AI208" s="408"/>
      <c r="AJ208" s="408"/>
      <c r="AK208" s="408"/>
      <c r="AL208" s="408"/>
      <c r="AM208" s="408"/>
      <c r="AN208" s="408"/>
      <c r="AO208" s="408"/>
      <c r="AP208" s="408"/>
      <c r="AQ208" s="408"/>
      <c r="AR208" s="408"/>
      <c r="AS208" s="408"/>
      <c r="AT208" s="408"/>
      <c r="AU208" s="408"/>
      <c r="AV208" s="408"/>
      <c r="AW208" s="408"/>
      <c r="AX208" s="408"/>
      <c r="AY208" s="408"/>
      <c r="AZ208" s="408"/>
      <c r="BA208" s="408"/>
      <c r="BB208" s="408"/>
      <c r="BC208" s="408"/>
      <c r="BD208" s="408"/>
      <c r="BE208" s="408"/>
      <c r="BF208" s="408"/>
      <c r="BG208" s="408"/>
      <c r="BH208" s="408"/>
      <c r="BI208" s="408"/>
      <c r="BJ208" s="408"/>
      <c r="BK208" s="408"/>
      <c r="BL208" s="408"/>
      <c r="BM208" s="408"/>
      <c r="BN208" s="408"/>
      <c r="BO208" s="408"/>
      <c r="BP208" s="408"/>
      <c r="BQ208" s="408"/>
      <c r="BR208" s="408"/>
      <c r="BS208" s="408"/>
      <c r="BT208" s="408"/>
      <c r="BU208" s="408"/>
      <c r="BV208" s="408"/>
      <c r="BW208" s="408"/>
      <c r="BX208" s="408"/>
      <c r="BY208" s="408"/>
      <c r="BZ208" s="408"/>
      <c r="CA208" s="408"/>
      <c r="CB208" s="408"/>
      <c r="CC208" s="408"/>
      <c r="CD208" s="408"/>
      <c r="CE208" s="408"/>
      <c r="CF208" s="408"/>
      <c r="CG208" s="408"/>
      <c r="CH208" s="408"/>
      <c r="CI208" s="408"/>
      <c r="CJ208" s="408"/>
      <c r="CK208" s="408"/>
      <c r="CL208" s="408"/>
      <c r="CM208" s="408"/>
      <c r="CN208" s="408"/>
    </row>
    <row r="209">
      <c r="A209" s="408"/>
      <c r="B209" s="408"/>
      <c r="C209" s="408"/>
      <c r="D209" s="408"/>
      <c r="E209" s="408"/>
      <c r="F209" s="408"/>
      <c r="G209" s="408"/>
      <c r="H209" s="408"/>
      <c r="I209" s="408"/>
      <c r="J209" s="408"/>
      <c r="K209" s="408"/>
      <c r="L209" s="408"/>
      <c r="M209" s="408"/>
      <c r="N209" s="408"/>
      <c r="O209" s="408"/>
      <c r="P209" s="408"/>
      <c r="Q209" s="408"/>
      <c r="R209" s="408"/>
      <c r="S209" s="408"/>
      <c r="T209" s="408"/>
      <c r="U209" s="408"/>
      <c r="V209" s="408"/>
      <c r="W209" s="408"/>
      <c r="X209" s="408"/>
      <c r="Y209" s="408"/>
      <c r="Z209" s="408"/>
      <c r="AA209" s="408"/>
      <c r="AB209" s="408"/>
      <c r="AC209" s="408"/>
      <c r="AD209" s="408"/>
      <c r="AE209" s="408"/>
      <c r="AF209" s="408"/>
      <c r="AG209" s="408"/>
      <c r="AH209" s="408"/>
      <c r="AI209" s="408"/>
      <c r="AJ209" s="408"/>
      <c r="AK209" s="408"/>
      <c r="AL209" s="408"/>
      <c r="AM209" s="408"/>
      <c r="AN209" s="408"/>
      <c r="AO209" s="408"/>
      <c r="AP209" s="408"/>
      <c r="AQ209" s="408"/>
      <c r="AR209" s="408"/>
      <c r="AS209" s="408"/>
      <c r="AT209" s="408"/>
      <c r="AU209" s="408"/>
      <c r="AV209" s="408"/>
      <c r="AW209" s="408"/>
      <c r="AX209" s="408"/>
      <c r="AY209" s="408"/>
      <c r="AZ209" s="408"/>
      <c r="BA209" s="408"/>
      <c r="BB209" s="408"/>
      <c r="BC209" s="408"/>
      <c r="BD209" s="408"/>
      <c r="BE209" s="408"/>
      <c r="BF209" s="408"/>
      <c r="BG209" s="408"/>
      <c r="BH209" s="408"/>
      <c r="BI209" s="408"/>
      <c r="BJ209" s="408"/>
      <c r="BK209" s="408"/>
      <c r="BL209" s="408"/>
      <c r="BM209" s="408"/>
      <c r="BN209" s="408"/>
      <c r="BO209" s="408"/>
      <c r="BP209" s="408"/>
      <c r="BQ209" s="408"/>
      <c r="BR209" s="408"/>
      <c r="BS209" s="408"/>
      <c r="BT209" s="408"/>
      <c r="BU209" s="408"/>
      <c r="BV209" s="408"/>
      <c r="BW209" s="408"/>
      <c r="BX209" s="408"/>
      <c r="BY209" s="408"/>
      <c r="BZ209" s="408"/>
      <c r="CA209" s="408"/>
      <c r="CB209" s="408"/>
      <c r="CC209" s="408"/>
      <c r="CD209" s="408"/>
      <c r="CE209" s="408"/>
      <c r="CF209" s="408"/>
      <c r="CG209" s="408"/>
      <c r="CH209" s="408"/>
      <c r="CI209" s="408"/>
      <c r="CJ209" s="408"/>
      <c r="CK209" s="408"/>
      <c r="CL209" s="408"/>
      <c r="CM209" s="408"/>
      <c r="CN209" s="408"/>
    </row>
    <row r="210">
      <c r="A210" s="408"/>
      <c r="B210" s="408"/>
      <c r="C210" s="408"/>
      <c r="D210" s="408"/>
      <c r="E210" s="408"/>
      <c r="F210" s="408"/>
      <c r="G210" s="408"/>
      <c r="H210" s="408"/>
      <c r="I210" s="408"/>
      <c r="J210" s="408"/>
      <c r="K210" s="408"/>
      <c r="L210" s="408"/>
      <c r="M210" s="408"/>
      <c r="N210" s="408"/>
      <c r="O210" s="408"/>
      <c r="P210" s="408"/>
      <c r="Q210" s="408"/>
      <c r="R210" s="408"/>
      <c r="S210" s="408"/>
      <c r="T210" s="408"/>
      <c r="U210" s="408"/>
      <c r="V210" s="408"/>
      <c r="W210" s="408"/>
      <c r="X210" s="408"/>
      <c r="Y210" s="408"/>
      <c r="Z210" s="408"/>
      <c r="AA210" s="408"/>
      <c r="AB210" s="408"/>
      <c r="AC210" s="408"/>
      <c r="AD210" s="408"/>
      <c r="AE210" s="408"/>
      <c r="AF210" s="408"/>
      <c r="AG210" s="408"/>
      <c r="AH210" s="408"/>
      <c r="AI210" s="408"/>
      <c r="AJ210" s="408"/>
      <c r="AK210" s="408"/>
      <c r="AL210" s="408"/>
      <c r="AM210" s="408"/>
      <c r="AN210" s="408"/>
      <c r="AO210" s="408"/>
      <c r="AP210" s="408"/>
      <c r="AQ210" s="408"/>
      <c r="AR210" s="408"/>
      <c r="AS210" s="408"/>
      <c r="AT210" s="408"/>
      <c r="AU210" s="408"/>
      <c r="AV210" s="408"/>
      <c r="AW210" s="408"/>
      <c r="AX210" s="408"/>
      <c r="AY210" s="408"/>
      <c r="AZ210" s="408"/>
      <c r="BA210" s="408"/>
      <c r="BB210" s="408"/>
      <c r="BC210" s="408"/>
      <c r="BD210" s="408"/>
      <c r="BE210" s="408"/>
      <c r="BF210" s="408"/>
      <c r="BG210" s="408"/>
      <c r="BH210" s="408"/>
      <c r="BI210" s="408"/>
      <c r="BJ210" s="408"/>
      <c r="BK210" s="408"/>
      <c r="BL210" s="408"/>
      <c r="BM210" s="408"/>
      <c r="BN210" s="408"/>
      <c r="BO210" s="408"/>
      <c r="BP210" s="408"/>
      <c r="BQ210" s="408"/>
      <c r="BR210" s="408"/>
      <c r="BS210" s="408"/>
      <c r="BT210" s="408"/>
      <c r="BU210" s="408"/>
      <c r="BV210" s="408"/>
      <c r="BW210" s="408"/>
      <c r="BX210" s="408"/>
      <c r="BY210" s="408"/>
      <c r="BZ210" s="408"/>
      <c r="CA210" s="408"/>
      <c r="CB210" s="408"/>
      <c r="CC210" s="408"/>
      <c r="CD210" s="408"/>
      <c r="CE210" s="408"/>
      <c r="CF210" s="408"/>
      <c r="CG210" s="408"/>
      <c r="CH210" s="408"/>
      <c r="CI210" s="408"/>
      <c r="CJ210" s="408"/>
      <c r="CK210" s="408"/>
      <c r="CL210" s="408"/>
      <c r="CM210" s="408"/>
      <c r="CN210" s="408"/>
    </row>
    <row r="211">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408"/>
      <c r="Y211" s="408"/>
      <c r="Z211" s="408"/>
      <c r="AA211" s="408"/>
      <c r="AB211" s="408"/>
      <c r="AC211" s="408"/>
      <c r="AD211" s="408"/>
      <c r="AE211" s="408"/>
      <c r="AF211" s="408"/>
      <c r="AG211" s="408"/>
      <c r="AH211" s="408"/>
      <c r="AI211" s="408"/>
      <c r="AJ211" s="408"/>
      <c r="AK211" s="408"/>
      <c r="AL211" s="408"/>
      <c r="AM211" s="408"/>
      <c r="AN211" s="408"/>
      <c r="AO211" s="408"/>
      <c r="AP211" s="408"/>
      <c r="AQ211" s="408"/>
      <c r="AR211" s="408"/>
      <c r="AS211" s="408"/>
      <c r="AT211" s="408"/>
      <c r="AU211" s="408"/>
      <c r="AV211" s="408"/>
      <c r="AW211" s="408"/>
      <c r="AX211" s="408"/>
      <c r="AY211" s="408"/>
      <c r="AZ211" s="408"/>
      <c r="BA211" s="408"/>
      <c r="BB211" s="408"/>
      <c r="BC211" s="408"/>
      <c r="BD211" s="408"/>
      <c r="BE211" s="408"/>
      <c r="BF211" s="408"/>
      <c r="BG211" s="408"/>
      <c r="BH211" s="408"/>
      <c r="BI211" s="408"/>
      <c r="BJ211" s="408"/>
      <c r="BK211" s="408"/>
      <c r="BL211" s="408"/>
      <c r="BM211" s="408"/>
      <c r="BN211" s="408"/>
      <c r="BO211" s="408"/>
      <c r="BP211" s="408"/>
      <c r="BQ211" s="408"/>
      <c r="BR211" s="408"/>
      <c r="BS211" s="408"/>
      <c r="BT211" s="408"/>
      <c r="BU211" s="408"/>
      <c r="BV211" s="408"/>
      <c r="BW211" s="408"/>
      <c r="BX211" s="408"/>
      <c r="BY211" s="408"/>
      <c r="BZ211" s="408"/>
      <c r="CA211" s="408"/>
      <c r="CB211" s="408"/>
      <c r="CC211" s="408"/>
      <c r="CD211" s="408"/>
      <c r="CE211" s="408"/>
      <c r="CF211" s="408"/>
      <c r="CG211" s="408"/>
      <c r="CH211" s="408"/>
      <c r="CI211" s="408"/>
      <c r="CJ211" s="408"/>
      <c r="CK211" s="408"/>
      <c r="CL211" s="408"/>
      <c r="CM211" s="408"/>
      <c r="CN211" s="408"/>
    </row>
    <row r="212">
      <c r="A212" s="408"/>
      <c r="B212" s="408"/>
      <c r="C212" s="408"/>
      <c r="D212" s="408"/>
      <c r="E212" s="408"/>
      <c r="F212" s="408"/>
      <c r="G212" s="408"/>
      <c r="H212" s="408"/>
      <c r="I212" s="408"/>
      <c r="J212" s="408"/>
      <c r="K212" s="408"/>
      <c r="L212" s="408"/>
      <c r="M212" s="408"/>
      <c r="N212" s="408"/>
      <c r="O212" s="408"/>
      <c r="P212" s="408"/>
      <c r="Q212" s="408"/>
      <c r="R212" s="408"/>
      <c r="S212" s="408"/>
      <c r="T212" s="408"/>
      <c r="U212" s="408"/>
      <c r="V212" s="408"/>
      <c r="W212" s="408"/>
      <c r="X212" s="408"/>
      <c r="Y212" s="408"/>
      <c r="Z212" s="408"/>
      <c r="AA212" s="408"/>
      <c r="AB212" s="408"/>
      <c r="AC212" s="408"/>
      <c r="AD212" s="408"/>
      <c r="AE212" s="408"/>
      <c r="AF212" s="408"/>
      <c r="AG212" s="408"/>
      <c r="AH212" s="408"/>
      <c r="AI212" s="408"/>
      <c r="AJ212" s="408"/>
      <c r="AK212" s="408"/>
      <c r="AL212" s="408"/>
      <c r="AM212" s="408"/>
      <c r="AN212" s="408"/>
      <c r="AO212" s="408"/>
      <c r="AP212" s="408"/>
      <c r="AQ212" s="408"/>
      <c r="AR212" s="408"/>
      <c r="AS212" s="408"/>
      <c r="AT212" s="408"/>
      <c r="AU212" s="408"/>
      <c r="AV212" s="408"/>
      <c r="AW212" s="408"/>
      <c r="AX212" s="408"/>
      <c r="AY212" s="408"/>
      <c r="AZ212" s="408"/>
      <c r="BA212" s="408"/>
      <c r="BB212" s="408"/>
      <c r="BC212" s="408"/>
      <c r="BD212" s="408"/>
      <c r="BE212" s="408"/>
      <c r="BF212" s="408"/>
      <c r="BG212" s="408"/>
      <c r="BH212" s="408"/>
      <c r="BI212" s="408"/>
      <c r="BJ212" s="408"/>
      <c r="BK212" s="408"/>
      <c r="BL212" s="408"/>
      <c r="BM212" s="408"/>
      <c r="BN212" s="408"/>
      <c r="BO212" s="408"/>
      <c r="BP212" s="408"/>
      <c r="BQ212" s="408"/>
      <c r="BR212" s="408"/>
      <c r="BS212" s="408"/>
      <c r="BT212" s="408"/>
      <c r="BU212" s="408"/>
      <c r="BV212" s="408"/>
      <c r="BW212" s="408"/>
      <c r="BX212" s="408"/>
      <c r="BY212" s="408"/>
      <c r="BZ212" s="408"/>
      <c r="CA212" s="408"/>
      <c r="CB212" s="408"/>
      <c r="CC212" s="408"/>
      <c r="CD212" s="408"/>
      <c r="CE212" s="408"/>
      <c r="CF212" s="408"/>
      <c r="CG212" s="408"/>
      <c r="CH212" s="408"/>
      <c r="CI212" s="408"/>
      <c r="CJ212" s="408"/>
      <c r="CK212" s="408"/>
      <c r="CL212" s="408"/>
      <c r="CM212" s="408"/>
      <c r="CN212" s="408"/>
    </row>
    <row r="213">
      <c r="A213" s="408"/>
      <c r="B213" s="408"/>
      <c r="C213" s="408"/>
      <c r="D213" s="408"/>
      <c r="E213" s="408"/>
      <c r="F213" s="408"/>
      <c r="G213" s="408"/>
      <c r="H213" s="408"/>
      <c r="I213" s="408"/>
      <c r="J213" s="408"/>
      <c r="K213" s="408"/>
      <c r="L213" s="408"/>
      <c r="M213" s="408"/>
      <c r="N213" s="408"/>
      <c r="O213" s="408"/>
      <c r="P213" s="408"/>
      <c r="Q213" s="408"/>
      <c r="R213" s="408"/>
      <c r="S213" s="408"/>
      <c r="T213" s="408"/>
      <c r="U213" s="408"/>
      <c r="V213" s="408"/>
      <c r="W213" s="408"/>
      <c r="X213" s="408"/>
      <c r="Y213" s="408"/>
      <c r="Z213" s="408"/>
      <c r="AA213" s="408"/>
      <c r="AB213" s="408"/>
      <c r="AC213" s="408"/>
      <c r="AD213" s="408"/>
      <c r="AE213" s="408"/>
      <c r="AF213" s="408"/>
      <c r="AG213" s="408"/>
      <c r="AH213" s="408"/>
      <c r="AI213" s="408"/>
      <c r="AJ213" s="408"/>
      <c r="AK213" s="408"/>
      <c r="AL213" s="408"/>
      <c r="AM213" s="408"/>
      <c r="AN213" s="408"/>
      <c r="AO213" s="408"/>
      <c r="AP213" s="408"/>
      <c r="AQ213" s="408"/>
      <c r="AR213" s="408"/>
      <c r="AS213" s="408"/>
      <c r="AT213" s="408"/>
      <c r="AU213" s="408"/>
      <c r="AV213" s="408"/>
      <c r="AW213" s="408"/>
      <c r="AX213" s="408"/>
      <c r="AY213" s="408"/>
      <c r="AZ213" s="408"/>
      <c r="BA213" s="408"/>
      <c r="BB213" s="408"/>
      <c r="BC213" s="408"/>
      <c r="BD213" s="408"/>
      <c r="BE213" s="408"/>
      <c r="BF213" s="408"/>
      <c r="BG213" s="408"/>
      <c r="BH213" s="408"/>
      <c r="BI213" s="408"/>
      <c r="BJ213" s="408"/>
      <c r="BK213" s="408"/>
      <c r="BL213" s="408"/>
      <c r="BM213" s="408"/>
      <c r="BN213" s="408"/>
      <c r="BO213" s="408"/>
      <c r="BP213" s="408"/>
      <c r="BQ213" s="408"/>
      <c r="BR213" s="408"/>
      <c r="BS213" s="408"/>
      <c r="BT213" s="408"/>
      <c r="BU213" s="408"/>
      <c r="BV213" s="408"/>
      <c r="BW213" s="408"/>
      <c r="BX213" s="408"/>
      <c r="BY213" s="408"/>
      <c r="BZ213" s="408"/>
      <c r="CA213" s="408"/>
      <c r="CB213" s="408"/>
      <c r="CC213" s="408"/>
      <c r="CD213" s="408"/>
      <c r="CE213" s="408"/>
      <c r="CF213" s="408"/>
      <c r="CG213" s="408"/>
      <c r="CH213" s="408"/>
      <c r="CI213" s="408"/>
      <c r="CJ213" s="408"/>
      <c r="CK213" s="408"/>
      <c r="CL213" s="408"/>
      <c r="CM213" s="408"/>
      <c r="CN213" s="408"/>
    </row>
    <row r="214">
      <c r="A214" s="408"/>
      <c r="B214" s="408"/>
      <c r="C214" s="408"/>
      <c r="D214" s="408"/>
      <c r="E214" s="408"/>
      <c r="F214" s="408"/>
      <c r="G214" s="408"/>
      <c r="H214" s="408"/>
      <c r="I214" s="408"/>
      <c r="J214" s="408"/>
      <c r="K214" s="408"/>
      <c r="L214" s="408"/>
      <c r="M214" s="408"/>
      <c r="N214" s="408"/>
      <c r="O214" s="408"/>
      <c r="P214" s="408"/>
      <c r="Q214" s="408"/>
      <c r="R214" s="408"/>
      <c r="S214" s="408"/>
      <c r="T214" s="408"/>
      <c r="U214" s="408"/>
      <c r="V214" s="408"/>
      <c r="W214" s="408"/>
      <c r="X214" s="408"/>
      <c r="Y214" s="408"/>
      <c r="Z214" s="408"/>
      <c r="AA214" s="408"/>
      <c r="AB214" s="408"/>
      <c r="AC214" s="408"/>
      <c r="AD214" s="408"/>
      <c r="AE214" s="408"/>
      <c r="AF214" s="408"/>
      <c r="AG214" s="408"/>
      <c r="AH214" s="408"/>
      <c r="AI214" s="408"/>
      <c r="AJ214" s="408"/>
      <c r="AK214" s="408"/>
      <c r="AL214" s="408"/>
      <c r="AM214" s="408"/>
      <c r="AN214" s="408"/>
      <c r="AO214" s="408"/>
      <c r="AP214" s="408"/>
      <c r="AQ214" s="408"/>
      <c r="AR214" s="408"/>
      <c r="AS214" s="408"/>
      <c r="AT214" s="408"/>
      <c r="AU214" s="408"/>
      <c r="AV214" s="408"/>
      <c r="AW214" s="408"/>
      <c r="AX214" s="408"/>
      <c r="AY214" s="408"/>
      <c r="AZ214" s="408"/>
      <c r="BA214" s="408"/>
      <c r="BB214" s="408"/>
      <c r="BC214" s="408"/>
      <c r="BD214" s="408"/>
      <c r="BE214" s="408"/>
      <c r="BF214" s="408"/>
      <c r="BG214" s="408"/>
      <c r="BH214" s="408"/>
      <c r="BI214" s="408"/>
      <c r="BJ214" s="408"/>
      <c r="BK214" s="408"/>
      <c r="BL214" s="408"/>
      <c r="BM214" s="408"/>
      <c r="BN214" s="408"/>
      <c r="BO214" s="408"/>
      <c r="BP214" s="408"/>
      <c r="BQ214" s="408"/>
      <c r="BR214" s="408"/>
      <c r="BS214" s="408"/>
      <c r="BT214" s="408"/>
      <c r="BU214" s="408"/>
      <c r="BV214" s="408"/>
      <c r="BW214" s="408"/>
      <c r="BX214" s="408"/>
      <c r="BY214" s="408"/>
      <c r="BZ214" s="408"/>
      <c r="CA214" s="408"/>
      <c r="CB214" s="408"/>
      <c r="CC214" s="408"/>
      <c r="CD214" s="408"/>
      <c r="CE214" s="408"/>
      <c r="CF214" s="408"/>
      <c r="CG214" s="408"/>
      <c r="CH214" s="408"/>
      <c r="CI214" s="408"/>
      <c r="CJ214" s="408"/>
      <c r="CK214" s="408"/>
      <c r="CL214" s="408"/>
      <c r="CM214" s="408"/>
      <c r="CN214" s="408"/>
    </row>
    <row r="215">
      <c r="A215" s="408"/>
      <c r="B215" s="408"/>
      <c r="C215" s="408"/>
      <c r="D215" s="408"/>
      <c r="E215" s="408"/>
      <c r="F215" s="408"/>
      <c r="G215" s="408"/>
      <c r="H215" s="408"/>
      <c r="I215" s="408"/>
      <c r="J215" s="408"/>
      <c r="K215" s="408"/>
      <c r="L215" s="408"/>
      <c r="M215" s="408"/>
      <c r="N215" s="408"/>
      <c r="O215" s="408"/>
      <c r="P215" s="408"/>
      <c r="Q215" s="408"/>
      <c r="R215" s="408"/>
      <c r="S215" s="408"/>
      <c r="T215" s="408"/>
      <c r="U215" s="408"/>
      <c r="V215" s="408"/>
      <c r="W215" s="408"/>
      <c r="X215" s="408"/>
      <c r="Y215" s="408"/>
      <c r="Z215" s="408"/>
      <c r="AA215" s="408"/>
      <c r="AB215" s="408"/>
      <c r="AC215" s="408"/>
      <c r="AD215" s="408"/>
      <c r="AE215" s="408"/>
      <c r="AF215" s="408"/>
      <c r="AG215" s="408"/>
      <c r="AH215" s="408"/>
      <c r="AI215" s="408"/>
      <c r="AJ215" s="408"/>
      <c r="AK215" s="408"/>
      <c r="AL215" s="408"/>
      <c r="AM215" s="408"/>
      <c r="AN215" s="408"/>
      <c r="AO215" s="408"/>
      <c r="AP215" s="408"/>
      <c r="AQ215" s="408"/>
      <c r="AR215" s="408"/>
      <c r="AS215" s="408"/>
      <c r="AT215" s="408"/>
      <c r="AU215" s="408"/>
      <c r="AV215" s="408"/>
      <c r="AW215" s="408"/>
      <c r="AX215" s="408"/>
      <c r="AY215" s="408"/>
      <c r="AZ215" s="408"/>
      <c r="BA215" s="408"/>
      <c r="BB215" s="408"/>
      <c r="BC215" s="408"/>
      <c r="BD215" s="408"/>
      <c r="BE215" s="408"/>
      <c r="BF215" s="408"/>
      <c r="BG215" s="408"/>
      <c r="BH215" s="408"/>
      <c r="BI215" s="408"/>
      <c r="BJ215" s="408"/>
      <c r="BK215" s="408"/>
      <c r="BL215" s="408"/>
      <c r="BM215" s="408"/>
      <c r="BN215" s="408"/>
      <c r="BO215" s="408"/>
      <c r="BP215" s="408"/>
      <c r="BQ215" s="408"/>
      <c r="BR215" s="408"/>
      <c r="BS215" s="408"/>
      <c r="BT215" s="408"/>
      <c r="BU215" s="408"/>
      <c r="BV215" s="408"/>
      <c r="BW215" s="408"/>
      <c r="BX215" s="408"/>
      <c r="BY215" s="408"/>
      <c r="BZ215" s="408"/>
      <c r="CA215" s="408"/>
      <c r="CB215" s="408"/>
      <c r="CC215" s="408"/>
      <c r="CD215" s="408"/>
      <c r="CE215" s="408"/>
      <c r="CF215" s="408"/>
      <c r="CG215" s="408"/>
      <c r="CH215" s="408"/>
      <c r="CI215" s="408"/>
      <c r="CJ215" s="408"/>
      <c r="CK215" s="408"/>
      <c r="CL215" s="408"/>
      <c r="CM215" s="408"/>
      <c r="CN215" s="408"/>
    </row>
    <row r="216">
      <c r="A216" s="408"/>
      <c r="B216" s="408"/>
      <c r="C216" s="408"/>
      <c r="D216" s="408"/>
      <c r="E216" s="408"/>
      <c r="F216" s="408"/>
      <c r="G216" s="408"/>
      <c r="H216" s="408"/>
      <c r="I216" s="408"/>
      <c r="J216" s="408"/>
      <c r="K216" s="408"/>
      <c r="L216" s="408"/>
      <c r="M216" s="408"/>
      <c r="N216" s="408"/>
      <c r="O216" s="408"/>
      <c r="P216" s="408"/>
      <c r="Q216" s="408"/>
      <c r="R216" s="408"/>
      <c r="S216" s="408"/>
      <c r="T216" s="408"/>
      <c r="U216" s="408"/>
      <c r="V216" s="408"/>
      <c r="W216" s="408"/>
      <c r="X216" s="408"/>
      <c r="Y216" s="408"/>
      <c r="Z216" s="408"/>
      <c r="AA216" s="408"/>
      <c r="AB216" s="408"/>
      <c r="AC216" s="408"/>
      <c r="AD216" s="408"/>
      <c r="AE216" s="408"/>
      <c r="AF216" s="408"/>
      <c r="AG216" s="408"/>
      <c r="AH216" s="408"/>
      <c r="AI216" s="408"/>
      <c r="AJ216" s="408"/>
      <c r="AK216" s="408"/>
      <c r="AL216" s="408"/>
      <c r="AM216" s="408"/>
      <c r="AN216" s="408"/>
      <c r="AO216" s="408"/>
      <c r="AP216" s="408"/>
      <c r="AQ216" s="408"/>
      <c r="AR216" s="408"/>
      <c r="AS216" s="408"/>
      <c r="AT216" s="408"/>
      <c r="AU216" s="408"/>
      <c r="AV216" s="408"/>
      <c r="AW216" s="408"/>
      <c r="AX216" s="408"/>
      <c r="AY216" s="408"/>
      <c r="AZ216" s="408"/>
      <c r="BA216" s="408"/>
      <c r="BB216" s="408"/>
      <c r="BC216" s="408"/>
      <c r="BD216" s="408"/>
      <c r="BE216" s="408"/>
      <c r="BF216" s="408"/>
      <c r="BG216" s="408"/>
      <c r="BH216" s="408"/>
      <c r="BI216" s="408"/>
      <c r="BJ216" s="408"/>
      <c r="BK216" s="408"/>
      <c r="BL216" s="408"/>
      <c r="BM216" s="408"/>
      <c r="BN216" s="408"/>
      <c r="BO216" s="408"/>
      <c r="BP216" s="408"/>
      <c r="BQ216" s="408"/>
      <c r="BR216" s="408"/>
      <c r="BS216" s="408"/>
      <c r="BT216" s="408"/>
      <c r="BU216" s="408"/>
      <c r="BV216" s="408"/>
      <c r="BW216" s="408"/>
      <c r="BX216" s="408"/>
      <c r="BY216" s="408"/>
      <c r="BZ216" s="408"/>
      <c r="CA216" s="408"/>
      <c r="CB216" s="408"/>
      <c r="CC216" s="408"/>
      <c r="CD216" s="408"/>
      <c r="CE216" s="408"/>
      <c r="CF216" s="408"/>
      <c r="CG216" s="408"/>
      <c r="CH216" s="408"/>
      <c r="CI216" s="408"/>
      <c r="CJ216" s="408"/>
      <c r="CK216" s="408"/>
      <c r="CL216" s="408"/>
      <c r="CM216" s="408"/>
      <c r="CN216" s="408"/>
    </row>
    <row r="217">
      <c r="A217" s="408"/>
      <c r="B217" s="408"/>
      <c r="C217" s="408"/>
      <c r="D217" s="408"/>
      <c r="E217" s="408"/>
      <c r="F217" s="408"/>
      <c r="G217" s="408"/>
      <c r="H217" s="408"/>
      <c r="I217" s="408"/>
      <c r="J217" s="408"/>
      <c r="K217" s="408"/>
      <c r="L217" s="408"/>
      <c r="M217" s="408"/>
      <c r="N217" s="408"/>
      <c r="O217" s="408"/>
      <c r="P217" s="408"/>
      <c r="Q217" s="408"/>
      <c r="R217" s="408"/>
      <c r="S217" s="408"/>
      <c r="T217" s="408"/>
      <c r="U217" s="408"/>
      <c r="V217" s="408"/>
      <c r="W217" s="408"/>
      <c r="X217" s="408"/>
      <c r="Y217" s="408"/>
      <c r="Z217" s="408"/>
      <c r="AA217" s="408"/>
      <c r="AB217" s="408"/>
      <c r="AC217" s="408"/>
      <c r="AD217" s="408"/>
      <c r="AE217" s="408"/>
      <c r="AF217" s="408"/>
      <c r="AG217" s="408"/>
      <c r="AH217" s="408"/>
      <c r="AI217" s="408"/>
      <c r="AJ217" s="408"/>
      <c r="AK217" s="408"/>
      <c r="AL217" s="408"/>
      <c r="AM217" s="408"/>
      <c r="AN217" s="408"/>
      <c r="AO217" s="408"/>
      <c r="AP217" s="408"/>
      <c r="AQ217" s="408"/>
      <c r="AR217" s="408"/>
      <c r="AS217" s="408"/>
      <c r="AT217" s="408"/>
      <c r="AU217" s="408"/>
      <c r="AV217" s="408"/>
      <c r="AW217" s="408"/>
      <c r="AX217" s="408"/>
      <c r="AY217" s="408"/>
      <c r="AZ217" s="408"/>
      <c r="BA217" s="408"/>
      <c r="BB217" s="408"/>
      <c r="BC217" s="408"/>
      <c r="BD217" s="408"/>
      <c r="BE217" s="408"/>
      <c r="BF217" s="408"/>
      <c r="BG217" s="408"/>
      <c r="BH217" s="408"/>
      <c r="BI217" s="408"/>
      <c r="BJ217" s="408"/>
      <c r="BK217" s="408"/>
      <c r="BL217" s="408"/>
      <c r="BM217" s="408"/>
      <c r="BN217" s="408"/>
      <c r="BO217" s="408"/>
      <c r="BP217" s="408"/>
      <c r="BQ217" s="408"/>
      <c r="BR217" s="408"/>
      <c r="BS217" s="408"/>
      <c r="BT217" s="408"/>
      <c r="BU217" s="408"/>
      <c r="BV217" s="408"/>
      <c r="BW217" s="408"/>
      <c r="BX217" s="408"/>
      <c r="BY217" s="408"/>
      <c r="BZ217" s="408"/>
      <c r="CA217" s="408"/>
      <c r="CB217" s="408"/>
      <c r="CC217" s="408"/>
      <c r="CD217" s="408"/>
      <c r="CE217" s="408"/>
      <c r="CF217" s="408"/>
      <c r="CG217" s="408"/>
      <c r="CH217" s="408"/>
      <c r="CI217" s="408"/>
      <c r="CJ217" s="408"/>
      <c r="CK217" s="408"/>
      <c r="CL217" s="408"/>
      <c r="CM217" s="408"/>
      <c r="CN217" s="408"/>
    </row>
    <row r="218">
      <c r="A218" s="408"/>
      <c r="B218" s="408"/>
      <c r="C218" s="408"/>
      <c r="D218" s="408"/>
      <c r="E218" s="408"/>
      <c r="F218" s="408"/>
      <c r="G218" s="408"/>
      <c r="H218" s="408"/>
      <c r="I218" s="408"/>
      <c r="J218" s="408"/>
      <c r="K218" s="408"/>
      <c r="L218" s="408"/>
      <c r="M218" s="408"/>
      <c r="N218" s="408"/>
      <c r="O218" s="408"/>
      <c r="P218" s="408"/>
      <c r="Q218" s="408"/>
      <c r="R218" s="408"/>
      <c r="S218" s="408"/>
      <c r="T218" s="408"/>
      <c r="U218" s="408"/>
      <c r="V218" s="408"/>
      <c r="W218" s="408"/>
      <c r="X218" s="408"/>
      <c r="Y218" s="408"/>
      <c r="Z218" s="408"/>
      <c r="AA218" s="408"/>
      <c r="AB218" s="408"/>
      <c r="AC218" s="408"/>
      <c r="AD218" s="408"/>
      <c r="AE218" s="408"/>
      <c r="AF218" s="408"/>
      <c r="AG218" s="408"/>
      <c r="AH218" s="408"/>
      <c r="AI218" s="408"/>
      <c r="AJ218" s="408"/>
      <c r="AK218" s="408"/>
      <c r="AL218" s="408"/>
      <c r="AM218" s="408"/>
      <c r="AN218" s="408"/>
      <c r="AO218" s="408"/>
      <c r="AP218" s="408"/>
      <c r="AQ218" s="408"/>
      <c r="AR218" s="408"/>
      <c r="AS218" s="408"/>
      <c r="AT218" s="408"/>
      <c r="AU218" s="408"/>
      <c r="AV218" s="408"/>
      <c r="AW218" s="408"/>
      <c r="AX218" s="408"/>
      <c r="AY218" s="408"/>
      <c r="AZ218" s="408"/>
      <c r="BA218" s="408"/>
      <c r="BB218" s="408"/>
      <c r="BC218" s="408"/>
      <c r="BD218" s="408"/>
      <c r="BE218" s="408"/>
      <c r="BF218" s="408"/>
      <c r="BG218" s="408"/>
      <c r="BH218" s="408"/>
      <c r="BI218" s="408"/>
      <c r="BJ218" s="408"/>
      <c r="BK218" s="408"/>
      <c r="BL218" s="408"/>
      <c r="BM218" s="408"/>
      <c r="BN218" s="408"/>
      <c r="BO218" s="408"/>
      <c r="BP218" s="408"/>
      <c r="BQ218" s="408"/>
      <c r="BR218" s="408"/>
      <c r="BS218" s="408"/>
      <c r="BT218" s="408"/>
      <c r="BU218" s="408"/>
      <c r="BV218" s="408"/>
      <c r="BW218" s="408"/>
      <c r="BX218" s="408"/>
      <c r="BY218" s="408"/>
      <c r="BZ218" s="408"/>
      <c r="CA218" s="408"/>
      <c r="CB218" s="408"/>
      <c r="CC218" s="408"/>
      <c r="CD218" s="408"/>
      <c r="CE218" s="408"/>
      <c r="CF218" s="408"/>
      <c r="CG218" s="408"/>
      <c r="CH218" s="408"/>
      <c r="CI218" s="408"/>
      <c r="CJ218" s="408"/>
      <c r="CK218" s="408"/>
      <c r="CL218" s="408"/>
      <c r="CM218" s="408"/>
      <c r="CN218" s="408"/>
    </row>
    <row r="219">
      <c r="A219" s="408"/>
      <c r="B219" s="408"/>
      <c r="C219" s="408"/>
      <c r="D219" s="408"/>
      <c r="E219" s="408"/>
      <c r="F219" s="408"/>
      <c r="G219" s="408"/>
      <c r="H219" s="408"/>
      <c r="I219" s="408"/>
      <c r="J219" s="408"/>
      <c r="K219" s="408"/>
      <c r="L219" s="408"/>
      <c r="M219" s="408"/>
      <c r="N219" s="408"/>
      <c r="O219" s="408"/>
      <c r="P219" s="408"/>
      <c r="Q219" s="408"/>
      <c r="R219" s="408"/>
      <c r="S219" s="408"/>
      <c r="T219" s="408"/>
      <c r="U219" s="408"/>
      <c r="V219" s="408"/>
      <c r="W219" s="408"/>
      <c r="X219" s="408"/>
      <c r="Y219" s="408"/>
      <c r="Z219" s="408"/>
      <c r="AA219" s="408"/>
      <c r="AB219" s="408"/>
      <c r="AC219" s="408"/>
      <c r="AD219" s="408"/>
      <c r="AE219" s="408"/>
      <c r="AF219" s="408"/>
      <c r="AG219" s="408"/>
      <c r="AH219" s="408"/>
      <c r="AI219" s="408"/>
      <c r="AJ219" s="408"/>
      <c r="AK219" s="408"/>
      <c r="AL219" s="408"/>
      <c r="AM219" s="408"/>
      <c r="AN219" s="408"/>
      <c r="AO219" s="408"/>
      <c r="AP219" s="408"/>
      <c r="AQ219" s="408"/>
      <c r="AR219" s="408"/>
      <c r="AS219" s="408"/>
      <c r="AT219" s="408"/>
      <c r="AU219" s="408"/>
      <c r="AV219" s="408"/>
      <c r="AW219" s="408"/>
      <c r="AX219" s="408"/>
      <c r="AY219" s="408"/>
      <c r="AZ219" s="408"/>
      <c r="BA219" s="408"/>
      <c r="BB219" s="408"/>
      <c r="BC219" s="408"/>
      <c r="BD219" s="408"/>
      <c r="BE219" s="408"/>
      <c r="BF219" s="408"/>
      <c r="BG219" s="408"/>
      <c r="BH219" s="408"/>
      <c r="BI219" s="408"/>
      <c r="BJ219" s="408"/>
      <c r="BK219" s="408"/>
      <c r="BL219" s="408"/>
      <c r="BM219" s="408"/>
      <c r="BN219" s="408"/>
      <c r="BO219" s="408"/>
      <c r="BP219" s="408"/>
      <c r="BQ219" s="408"/>
      <c r="BR219" s="408"/>
      <c r="BS219" s="408"/>
      <c r="BT219" s="408"/>
      <c r="BU219" s="408"/>
      <c r="BV219" s="408"/>
      <c r="BW219" s="408"/>
      <c r="BX219" s="408"/>
      <c r="BY219" s="408"/>
      <c r="BZ219" s="408"/>
      <c r="CA219" s="408"/>
      <c r="CB219" s="408"/>
      <c r="CC219" s="408"/>
      <c r="CD219" s="408"/>
      <c r="CE219" s="408"/>
      <c r="CF219" s="408"/>
      <c r="CG219" s="408"/>
      <c r="CH219" s="408"/>
      <c r="CI219" s="408"/>
      <c r="CJ219" s="408"/>
      <c r="CK219" s="408"/>
      <c r="CL219" s="408"/>
      <c r="CM219" s="408"/>
      <c r="CN219" s="408"/>
    </row>
    <row r="220">
      <c r="A220" s="408"/>
      <c r="B220" s="408"/>
      <c r="C220" s="408"/>
      <c r="D220" s="408"/>
      <c r="E220" s="408"/>
      <c r="F220" s="408"/>
      <c r="G220" s="408"/>
      <c r="H220" s="408"/>
      <c r="I220" s="408"/>
      <c r="J220" s="408"/>
      <c r="K220" s="408"/>
      <c r="L220" s="408"/>
      <c r="M220" s="408"/>
      <c r="N220" s="408"/>
      <c r="O220" s="408"/>
      <c r="P220" s="408"/>
      <c r="Q220" s="408"/>
      <c r="R220" s="408"/>
      <c r="S220" s="408"/>
      <c r="T220" s="408"/>
      <c r="U220" s="408"/>
      <c r="V220" s="408"/>
      <c r="W220" s="408"/>
      <c r="X220" s="408"/>
      <c r="Y220" s="408"/>
      <c r="Z220" s="408"/>
      <c r="AA220" s="408"/>
      <c r="AB220" s="408"/>
      <c r="AC220" s="408"/>
      <c r="AD220" s="408"/>
      <c r="AE220" s="408"/>
      <c r="AF220" s="408"/>
      <c r="AG220" s="408"/>
      <c r="AH220" s="408"/>
      <c r="AI220" s="408"/>
      <c r="AJ220" s="408"/>
      <c r="AK220" s="408"/>
      <c r="AL220" s="408"/>
      <c r="AM220" s="408"/>
      <c r="AN220" s="408"/>
      <c r="AO220" s="408"/>
      <c r="AP220" s="408"/>
      <c r="AQ220" s="408"/>
      <c r="AR220" s="408"/>
      <c r="AS220" s="408"/>
      <c r="AT220" s="408"/>
      <c r="AU220" s="408"/>
      <c r="AV220" s="408"/>
      <c r="AW220" s="408"/>
      <c r="AX220" s="408"/>
      <c r="AY220" s="408"/>
      <c r="AZ220" s="408"/>
      <c r="BA220" s="408"/>
      <c r="BB220" s="408"/>
      <c r="BC220" s="408"/>
      <c r="BD220" s="408"/>
      <c r="BE220" s="408"/>
      <c r="BF220" s="408"/>
      <c r="BG220" s="408"/>
      <c r="BH220" s="408"/>
      <c r="BI220" s="408"/>
      <c r="BJ220" s="408"/>
      <c r="BK220" s="408"/>
      <c r="BL220" s="408"/>
      <c r="BM220" s="408"/>
      <c r="BN220" s="408"/>
      <c r="BO220" s="408"/>
      <c r="BP220" s="408"/>
      <c r="BQ220" s="408"/>
      <c r="BR220" s="408"/>
      <c r="BS220" s="408"/>
      <c r="BT220" s="408"/>
      <c r="BU220" s="408"/>
      <c r="BV220" s="408"/>
      <c r="BW220" s="408"/>
      <c r="BX220" s="408"/>
      <c r="BY220" s="408"/>
      <c r="BZ220" s="408"/>
      <c r="CA220" s="408"/>
      <c r="CB220" s="408"/>
      <c r="CC220" s="408"/>
      <c r="CD220" s="408"/>
      <c r="CE220" s="408"/>
      <c r="CF220" s="408"/>
      <c r="CG220" s="408"/>
      <c r="CH220" s="408"/>
      <c r="CI220" s="408"/>
      <c r="CJ220" s="408"/>
      <c r="CK220" s="408"/>
      <c r="CL220" s="408"/>
      <c r="CM220" s="408"/>
      <c r="CN220" s="408"/>
    </row>
    <row r="221">
      <c r="A221" s="408"/>
      <c r="B221" s="408"/>
      <c r="C221" s="408"/>
      <c r="D221" s="408"/>
      <c r="E221" s="408"/>
      <c r="F221" s="408"/>
      <c r="G221" s="408"/>
      <c r="H221" s="408"/>
      <c r="I221" s="408"/>
      <c r="J221" s="408"/>
      <c r="K221" s="408"/>
      <c r="L221" s="408"/>
      <c r="M221" s="408"/>
      <c r="N221" s="408"/>
      <c r="O221" s="408"/>
      <c r="P221" s="408"/>
      <c r="Q221" s="408"/>
      <c r="R221" s="408"/>
      <c r="S221" s="408"/>
      <c r="T221" s="408"/>
      <c r="U221" s="408"/>
      <c r="V221" s="408"/>
      <c r="W221" s="408"/>
      <c r="X221" s="408"/>
      <c r="Y221" s="408"/>
      <c r="Z221" s="408"/>
      <c r="AA221" s="408"/>
      <c r="AB221" s="408"/>
      <c r="AC221" s="408"/>
      <c r="AD221" s="408"/>
      <c r="AE221" s="408"/>
      <c r="AF221" s="408"/>
      <c r="AG221" s="408"/>
      <c r="AH221" s="408"/>
      <c r="AI221" s="408"/>
      <c r="AJ221" s="408"/>
      <c r="AK221" s="408"/>
      <c r="AL221" s="408"/>
      <c r="AM221" s="408"/>
      <c r="AN221" s="408"/>
      <c r="AO221" s="408"/>
      <c r="AP221" s="408"/>
      <c r="AQ221" s="408"/>
      <c r="AR221" s="408"/>
      <c r="AS221" s="408"/>
      <c r="AT221" s="408"/>
      <c r="AU221" s="408"/>
      <c r="AV221" s="408"/>
      <c r="AW221" s="408"/>
      <c r="AX221" s="408"/>
      <c r="AY221" s="408"/>
      <c r="AZ221" s="408"/>
      <c r="BA221" s="408"/>
      <c r="BB221" s="408"/>
      <c r="BC221" s="408"/>
      <c r="BD221" s="408"/>
      <c r="BE221" s="408"/>
      <c r="BF221" s="408"/>
      <c r="BG221" s="408"/>
      <c r="BH221" s="408"/>
      <c r="BI221" s="408"/>
      <c r="BJ221" s="408"/>
      <c r="BK221" s="408"/>
      <c r="BL221" s="408"/>
      <c r="BM221" s="408"/>
      <c r="BN221" s="408"/>
      <c r="BO221" s="408"/>
      <c r="BP221" s="408"/>
      <c r="BQ221" s="408"/>
      <c r="BR221" s="408"/>
      <c r="BS221" s="408"/>
      <c r="BT221" s="408"/>
      <c r="BU221" s="408"/>
      <c r="BV221" s="408"/>
      <c r="BW221" s="408"/>
      <c r="BX221" s="408"/>
      <c r="BY221" s="408"/>
      <c r="BZ221" s="408"/>
      <c r="CA221" s="408"/>
      <c r="CB221" s="408"/>
      <c r="CC221" s="408"/>
      <c r="CD221" s="408"/>
      <c r="CE221" s="408"/>
      <c r="CF221" s="408"/>
      <c r="CG221" s="408"/>
      <c r="CH221" s="408"/>
      <c r="CI221" s="408"/>
      <c r="CJ221" s="408"/>
      <c r="CK221" s="408"/>
      <c r="CL221" s="408"/>
      <c r="CM221" s="408"/>
      <c r="CN221" s="408"/>
    </row>
    <row r="222">
      <c r="A222" s="408"/>
      <c r="B222" s="408"/>
      <c r="C222" s="408"/>
      <c r="D222" s="408"/>
      <c r="E222" s="408"/>
      <c r="F222" s="408"/>
      <c r="G222" s="408"/>
      <c r="H222" s="408"/>
      <c r="I222" s="408"/>
      <c r="J222" s="408"/>
      <c r="K222" s="408"/>
      <c r="L222" s="408"/>
      <c r="M222" s="408"/>
      <c r="N222" s="408"/>
      <c r="O222" s="408"/>
      <c r="P222" s="408"/>
      <c r="Q222" s="408"/>
      <c r="R222" s="408"/>
      <c r="S222" s="408"/>
      <c r="T222" s="408"/>
      <c r="U222" s="408"/>
      <c r="V222" s="408"/>
      <c r="W222" s="408"/>
      <c r="X222" s="408"/>
      <c r="Y222" s="408"/>
      <c r="Z222" s="408"/>
      <c r="AA222" s="408"/>
      <c r="AB222" s="408"/>
      <c r="AC222" s="408"/>
      <c r="AD222" s="408"/>
      <c r="AE222" s="408"/>
      <c r="AF222" s="408"/>
      <c r="AG222" s="408"/>
      <c r="AH222" s="408"/>
      <c r="AI222" s="408"/>
      <c r="AJ222" s="408"/>
      <c r="AK222" s="408"/>
      <c r="AL222" s="408"/>
      <c r="AM222" s="408"/>
      <c r="AN222" s="408"/>
      <c r="AO222" s="408"/>
      <c r="AP222" s="408"/>
      <c r="AQ222" s="408"/>
      <c r="AR222" s="408"/>
      <c r="AS222" s="408"/>
      <c r="AT222" s="408"/>
      <c r="AU222" s="408"/>
      <c r="AV222" s="408"/>
      <c r="AW222" s="408"/>
      <c r="AX222" s="408"/>
      <c r="AY222" s="408"/>
      <c r="AZ222" s="408"/>
      <c r="BA222" s="408"/>
      <c r="BB222" s="408"/>
      <c r="BC222" s="408"/>
      <c r="BD222" s="408"/>
      <c r="BE222" s="408"/>
      <c r="BF222" s="408"/>
      <c r="BG222" s="408"/>
      <c r="BH222" s="408"/>
      <c r="BI222" s="408"/>
      <c r="BJ222" s="408"/>
      <c r="BK222" s="408"/>
      <c r="BL222" s="408"/>
      <c r="BM222" s="408"/>
      <c r="BN222" s="408"/>
      <c r="BO222" s="408"/>
      <c r="BP222" s="408"/>
      <c r="BQ222" s="408"/>
      <c r="BR222" s="408"/>
      <c r="BS222" s="408"/>
      <c r="BT222" s="408"/>
      <c r="BU222" s="408"/>
      <c r="BV222" s="408"/>
      <c r="BW222" s="408"/>
      <c r="BX222" s="408"/>
      <c r="BY222" s="408"/>
      <c r="BZ222" s="408"/>
      <c r="CA222" s="408"/>
      <c r="CB222" s="408"/>
      <c r="CC222" s="408"/>
      <c r="CD222" s="408"/>
      <c r="CE222" s="408"/>
      <c r="CF222" s="408"/>
      <c r="CG222" s="408"/>
      <c r="CH222" s="408"/>
      <c r="CI222" s="408"/>
      <c r="CJ222" s="408"/>
      <c r="CK222" s="408"/>
      <c r="CL222" s="408"/>
      <c r="CM222" s="408"/>
      <c r="CN222" s="408"/>
    </row>
    <row r="223">
      <c r="A223" s="408"/>
      <c r="B223" s="408"/>
      <c r="C223" s="408"/>
      <c r="D223" s="408"/>
      <c r="E223" s="408"/>
      <c r="F223" s="408"/>
      <c r="G223" s="408"/>
      <c r="H223" s="408"/>
      <c r="I223" s="408"/>
      <c r="J223" s="408"/>
      <c r="K223" s="408"/>
      <c r="L223" s="408"/>
      <c r="M223" s="408"/>
      <c r="N223" s="408"/>
      <c r="O223" s="408"/>
      <c r="P223" s="408"/>
      <c r="Q223" s="408"/>
      <c r="R223" s="408"/>
      <c r="S223" s="408"/>
      <c r="T223" s="408"/>
      <c r="U223" s="408"/>
      <c r="V223" s="408"/>
      <c r="W223" s="408"/>
      <c r="X223" s="408"/>
      <c r="Y223" s="408"/>
      <c r="Z223" s="408"/>
      <c r="AA223" s="408"/>
      <c r="AB223" s="408"/>
      <c r="AC223" s="408"/>
      <c r="AD223" s="408"/>
      <c r="AE223" s="408"/>
      <c r="AF223" s="408"/>
      <c r="AG223" s="408"/>
      <c r="AH223" s="408"/>
      <c r="AI223" s="408"/>
      <c r="AJ223" s="408"/>
      <c r="AK223" s="408"/>
      <c r="AL223" s="408"/>
      <c r="AM223" s="408"/>
      <c r="AN223" s="408"/>
      <c r="AO223" s="408"/>
      <c r="AP223" s="408"/>
      <c r="AQ223" s="408"/>
      <c r="AR223" s="408"/>
      <c r="AS223" s="408"/>
      <c r="AT223" s="408"/>
      <c r="AU223" s="408"/>
      <c r="AV223" s="408"/>
      <c r="AW223" s="408"/>
      <c r="AX223" s="408"/>
      <c r="AY223" s="408"/>
      <c r="AZ223" s="408"/>
      <c r="BA223" s="408"/>
      <c r="BB223" s="408"/>
      <c r="BC223" s="408"/>
      <c r="BD223" s="408"/>
      <c r="BE223" s="408"/>
      <c r="BF223" s="408"/>
      <c r="BG223" s="408"/>
      <c r="BH223" s="408"/>
      <c r="BI223" s="408"/>
      <c r="BJ223" s="408"/>
      <c r="BK223" s="408"/>
      <c r="BL223" s="408"/>
      <c r="BM223" s="408"/>
      <c r="BN223" s="408"/>
      <c r="BO223" s="408"/>
      <c r="BP223" s="408"/>
      <c r="BQ223" s="408"/>
      <c r="BR223" s="408"/>
      <c r="BS223" s="408"/>
      <c r="BT223" s="408"/>
      <c r="BU223" s="408"/>
      <c r="BV223" s="408"/>
      <c r="BW223" s="408"/>
      <c r="BX223" s="408"/>
      <c r="BY223" s="408"/>
      <c r="BZ223" s="408"/>
      <c r="CA223" s="408"/>
      <c r="CB223" s="408"/>
      <c r="CC223" s="408"/>
      <c r="CD223" s="408"/>
      <c r="CE223" s="408"/>
      <c r="CF223" s="408"/>
      <c r="CG223" s="408"/>
      <c r="CH223" s="408"/>
      <c r="CI223" s="408"/>
      <c r="CJ223" s="408"/>
      <c r="CK223" s="408"/>
      <c r="CL223" s="408"/>
      <c r="CM223" s="408"/>
      <c r="CN223" s="408"/>
    </row>
    <row r="224">
      <c r="A224" s="408"/>
      <c r="B224" s="408"/>
      <c r="C224" s="408"/>
      <c r="D224" s="408"/>
      <c r="E224" s="408"/>
      <c r="F224" s="408"/>
      <c r="G224" s="408"/>
      <c r="H224" s="408"/>
      <c r="I224" s="408"/>
      <c r="J224" s="408"/>
      <c r="K224" s="408"/>
      <c r="L224" s="408"/>
      <c r="M224" s="408"/>
      <c r="N224" s="408"/>
      <c r="O224" s="408"/>
      <c r="P224" s="408"/>
      <c r="Q224" s="408"/>
      <c r="R224" s="408"/>
      <c r="S224" s="408"/>
      <c r="T224" s="408"/>
      <c r="U224" s="408"/>
      <c r="V224" s="408"/>
      <c r="W224" s="408"/>
      <c r="X224" s="408"/>
      <c r="Y224" s="408"/>
      <c r="Z224" s="408"/>
      <c r="AA224" s="408"/>
      <c r="AB224" s="408"/>
      <c r="AC224" s="408"/>
      <c r="AD224" s="408"/>
      <c r="AE224" s="408"/>
      <c r="AF224" s="408"/>
      <c r="AG224" s="408"/>
      <c r="AH224" s="408"/>
      <c r="AI224" s="408"/>
      <c r="AJ224" s="408"/>
      <c r="AK224" s="408"/>
      <c r="AL224" s="408"/>
      <c r="AM224" s="408"/>
      <c r="AN224" s="408"/>
      <c r="AO224" s="408"/>
      <c r="AP224" s="408"/>
      <c r="AQ224" s="408"/>
      <c r="AR224" s="408"/>
      <c r="AS224" s="408"/>
      <c r="AT224" s="408"/>
      <c r="AU224" s="408"/>
      <c r="AV224" s="408"/>
      <c r="AW224" s="408"/>
      <c r="AX224" s="408"/>
      <c r="AY224" s="408"/>
      <c r="AZ224" s="408"/>
      <c r="BA224" s="408"/>
      <c r="BB224" s="408"/>
      <c r="BC224" s="408"/>
      <c r="BD224" s="408"/>
      <c r="BE224" s="408"/>
      <c r="BF224" s="408"/>
      <c r="BG224" s="408"/>
      <c r="BH224" s="408"/>
      <c r="BI224" s="408"/>
      <c r="BJ224" s="408"/>
      <c r="BK224" s="408"/>
      <c r="BL224" s="408"/>
      <c r="BM224" s="408"/>
      <c r="BN224" s="408"/>
      <c r="BO224" s="408"/>
      <c r="BP224" s="408"/>
      <c r="BQ224" s="408"/>
      <c r="BR224" s="408"/>
      <c r="BS224" s="408"/>
      <c r="BT224" s="408"/>
      <c r="BU224" s="408"/>
      <c r="BV224" s="408"/>
      <c r="BW224" s="408"/>
      <c r="BX224" s="408"/>
      <c r="BY224" s="408"/>
      <c r="BZ224" s="408"/>
      <c r="CA224" s="408"/>
      <c r="CB224" s="408"/>
      <c r="CC224" s="408"/>
      <c r="CD224" s="408"/>
      <c r="CE224" s="408"/>
      <c r="CF224" s="408"/>
      <c r="CG224" s="408"/>
      <c r="CH224" s="408"/>
      <c r="CI224" s="408"/>
      <c r="CJ224" s="408"/>
      <c r="CK224" s="408"/>
      <c r="CL224" s="408"/>
      <c r="CM224" s="408"/>
      <c r="CN224" s="408"/>
    </row>
    <row r="225">
      <c r="A225" s="408"/>
      <c r="B225" s="408"/>
      <c r="C225" s="408"/>
      <c r="D225" s="408"/>
      <c r="E225" s="408"/>
      <c r="F225" s="408"/>
      <c r="G225" s="408"/>
      <c r="H225" s="408"/>
      <c r="I225" s="408"/>
      <c r="J225" s="408"/>
      <c r="K225" s="408"/>
      <c r="L225" s="408"/>
      <c r="M225" s="408"/>
      <c r="N225" s="408"/>
      <c r="O225" s="408"/>
      <c r="P225" s="408"/>
      <c r="Q225" s="408"/>
      <c r="R225" s="408"/>
      <c r="S225" s="408"/>
      <c r="T225" s="408"/>
      <c r="U225" s="408"/>
      <c r="V225" s="408"/>
      <c r="W225" s="408"/>
      <c r="X225" s="408"/>
      <c r="Y225" s="408"/>
      <c r="Z225" s="408"/>
      <c r="AA225" s="408"/>
      <c r="AB225" s="408"/>
      <c r="AC225" s="408"/>
      <c r="AD225" s="408"/>
      <c r="AE225" s="408"/>
      <c r="AF225" s="408"/>
      <c r="AG225" s="408"/>
      <c r="AH225" s="408"/>
      <c r="AI225" s="408"/>
      <c r="AJ225" s="408"/>
      <c r="AK225" s="408"/>
      <c r="AL225" s="408"/>
      <c r="AM225" s="408"/>
      <c r="AN225" s="408"/>
      <c r="AO225" s="408"/>
      <c r="AP225" s="408"/>
      <c r="AQ225" s="408"/>
      <c r="AR225" s="408"/>
      <c r="AS225" s="408"/>
      <c r="AT225" s="408"/>
      <c r="AU225" s="408"/>
      <c r="AV225" s="408"/>
      <c r="AW225" s="408"/>
      <c r="AX225" s="408"/>
      <c r="AY225" s="408"/>
      <c r="AZ225" s="408"/>
      <c r="BA225" s="408"/>
      <c r="BB225" s="408"/>
      <c r="BC225" s="408"/>
      <c r="BD225" s="408"/>
      <c r="BE225" s="408"/>
      <c r="BF225" s="408"/>
      <c r="BG225" s="408"/>
      <c r="BH225" s="408"/>
      <c r="BI225" s="408"/>
      <c r="BJ225" s="408"/>
      <c r="BK225" s="408"/>
      <c r="BL225" s="408"/>
      <c r="BM225" s="408"/>
      <c r="BN225" s="408"/>
      <c r="BO225" s="408"/>
      <c r="BP225" s="408"/>
      <c r="BQ225" s="408"/>
      <c r="BR225" s="408"/>
      <c r="BS225" s="408"/>
      <c r="BT225" s="408"/>
      <c r="BU225" s="408"/>
      <c r="BV225" s="408"/>
      <c r="BW225" s="408"/>
      <c r="BX225" s="408"/>
      <c r="BY225" s="408"/>
      <c r="BZ225" s="408"/>
      <c r="CA225" s="408"/>
      <c r="CB225" s="408"/>
      <c r="CC225" s="408"/>
      <c r="CD225" s="408"/>
      <c r="CE225" s="408"/>
      <c r="CF225" s="408"/>
      <c r="CG225" s="408"/>
      <c r="CH225" s="408"/>
      <c r="CI225" s="408"/>
      <c r="CJ225" s="408"/>
      <c r="CK225" s="408"/>
      <c r="CL225" s="408"/>
      <c r="CM225" s="408"/>
      <c r="CN225" s="408"/>
    </row>
    <row r="226">
      <c r="A226" s="408"/>
      <c r="B226" s="408"/>
      <c r="C226" s="408"/>
      <c r="D226" s="408"/>
      <c r="E226" s="408"/>
      <c r="F226" s="408"/>
      <c r="G226" s="408"/>
      <c r="H226" s="408"/>
      <c r="I226" s="408"/>
      <c r="J226" s="408"/>
      <c r="K226" s="408"/>
      <c r="L226" s="408"/>
      <c r="M226" s="408"/>
      <c r="N226" s="408"/>
      <c r="O226" s="408"/>
      <c r="P226" s="408"/>
      <c r="Q226" s="408"/>
      <c r="R226" s="408"/>
      <c r="S226" s="408"/>
      <c r="T226" s="408"/>
      <c r="U226" s="408"/>
      <c r="V226" s="408"/>
      <c r="W226" s="408"/>
      <c r="X226" s="408"/>
      <c r="Y226" s="408"/>
      <c r="Z226" s="408"/>
      <c r="AA226" s="408"/>
      <c r="AB226" s="408"/>
      <c r="AC226" s="408"/>
      <c r="AD226" s="408"/>
      <c r="AE226" s="408"/>
      <c r="AF226" s="408"/>
      <c r="AG226" s="408"/>
      <c r="AH226" s="408"/>
      <c r="AI226" s="408"/>
      <c r="AJ226" s="408"/>
      <c r="AK226" s="408"/>
      <c r="AL226" s="408"/>
      <c r="AM226" s="408"/>
      <c r="AN226" s="408"/>
      <c r="AO226" s="408"/>
      <c r="AP226" s="408"/>
      <c r="AQ226" s="408"/>
      <c r="AR226" s="408"/>
      <c r="AS226" s="408"/>
      <c r="AT226" s="408"/>
      <c r="AU226" s="408"/>
      <c r="AV226" s="408"/>
      <c r="AW226" s="408"/>
      <c r="AX226" s="408"/>
      <c r="AY226" s="408"/>
      <c r="AZ226" s="408"/>
      <c r="BA226" s="408"/>
      <c r="BB226" s="408"/>
      <c r="BC226" s="408"/>
      <c r="BD226" s="408"/>
      <c r="BE226" s="408"/>
      <c r="BF226" s="408"/>
      <c r="BG226" s="408"/>
      <c r="BH226" s="408"/>
      <c r="BI226" s="408"/>
      <c r="BJ226" s="408"/>
      <c r="BK226" s="408"/>
      <c r="BL226" s="408"/>
      <c r="BM226" s="408"/>
      <c r="BN226" s="408"/>
      <c r="BO226" s="408"/>
      <c r="BP226" s="408"/>
      <c r="BQ226" s="408"/>
      <c r="BR226" s="408"/>
      <c r="BS226" s="408"/>
      <c r="BT226" s="408"/>
      <c r="BU226" s="408"/>
      <c r="BV226" s="408"/>
      <c r="BW226" s="408"/>
      <c r="BX226" s="408"/>
      <c r="BY226" s="408"/>
      <c r="BZ226" s="408"/>
      <c r="CA226" s="408"/>
      <c r="CB226" s="408"/>
      <c r="CC226" s="408"/>
      <c r="CD226" s="408"/>
      <c r="CE226" s="408"/>
      <c r="CF226" s="408"/>
      <c r="CG226" s="408"/>
      <c r="CH226" s="408"/>
      <c r="CI226" s="408"/>
      <c r="CJ226" s="408"/>
      <c r="CK226" s="408"/>
      <c r="CL226" s="408"/>
      <c r="CM226" s="408"/>
      <c r="CN226" s="408"/>
    </row>
    <row r="227">
      <c r="A227" s="408"/>
      <c r="B227" s="408"/>
      <c r="C227" s="408"/>
      <c r="D227" s="408"/>
      <c r="E227" s="408"/>
      <c r="F227" s="408"/>
      <c r="G227" s="408"/>
      <c r="H227" s="408"/>
      <c r="I227" s="408"/>
      <c r="J227" s="408"/>
      <c r="K227" s="408"/>
      <c r="L227" s="408"/>
      <c r="M227" s="408"/>
      <c r="N227" s="408"/>
      <c r="O227" s="408"/>
      <c r="P227" s="408"/>
      <c r="Q227" s="408"/>
      <c r="R227" s="408"/>
      <c r="S227" s="408"/>
      <c r="T227" s="408"/>
      <c r="U227" s="408"/>
      <c r="V227" s="408"/>
      <c r="W227" s="408"/>
      <c r="X227" s="408"/>
      <c r="Y227" s="408"/>
      <c r="Z227" s="408"/>
      <c r="AA227" s="408"/>
      <c r="AB227" s="408"/>
      <c r="AC227" s="408"/>
      <c r="AD227" s="408"/>
      <c r="AE227" s="408"/>
      <c r="AF227" s="408"/>
      <c r="AG227" s="408"/>
      <c r="AH227" s="408"/>
      <c r="AI227" s="408"/>
      <c r="AJ227" s="408"/>
      <c r="AK227" s="408"/>
      <c r="AL227" s="408"/>
      <c r="AM227" s="408"/>
      <c r="AN227" s="408"/>
      <c r="AO227" s="408"/>
      <c r="AP227" s="408"/>
      <c r="AQ227" s="408"/>
      <c r="AR227" s="408"/>
      <c r="AS227" s="408"/>
      <c r="AT227" s="408"/>
      <c r="AU227" s="408"/>
      <c r="AV227" s="408"/>
      <c r="AW227" s="408"/>
      <c r="AX227" s="408"/>
      <c r="AY227" s="408"/>
      <c r="AZ227" s="408"/>
      <c r="BA227" s="408"/>
      <c r="BB227" s="408"/>
      <c r="BC227" s="408"/>
      <c r="BD227" s="408"/>
      <c r="BE227" s="408"/>
      <c r="BF227" s="408"/>
      <c r="BG227" s="408"/>
      <c r="BH227" s="408"/>
      <c r="BI227" s="408"/>
      <c r="BJ227" s="408"/>
      <c r="BK227" s="408"/>
      <c r="BL227" s="408"/>
      <c r="BM227" s="408"/>
      <c r="BN227" s="408"/>
      <c r="BO227" s="408"/>
      <c r="BP227" s="408"/>
      <c r="BQ227" s="408"/>
      <c r="BR227" s="408"/>
      <c r="BS227" s="408"/>
      <c r="BT227" s="408"/>
      <c r="BU227" s="408"/>
      <c r="BV227" s="408"/>
      <c r="BW227" s="408"/>
      <c r="BX227" s="408"/>
      <c r="BY227" s="408"/>
      <c r="BZ227" s="408"/>
      <c r="CA227" s="408"/>
      <c r="CB227" s="408"/>
      <c r="CC227" s="408"/>
      <c r="CD227" s="408"/>
      <c r="CE227" s="408"/>
      <c r="CF227" s="408"/>
      <c r="CG227" s="408"/>
      <c r="CH227" s="408"/>
      <c r="CI227" s="408"/>
      <c r="CJ227" s="408"/>
      <c r="CK227" s="408"/>
      <c r="CL227" s="408"/>
      <c r="CM227" s="408"/>
      <c r="CN227" s="408"/>
    </row>
    <row r="228">
      <c r="A228" s="408"/>
      <c r="B228" s="408"/>
      <c r="C228" s="408"/>
      <c r="D228" s="408"/>
      <c r="E228" s="408"/>
      <c r="F228" s="408"/>
      <c r="G228" s="408"/>
      <c r="H228" s="408"/>
      <c r="I228" s="408"/>
      <c r="J228" s="408"/>
      <c r="K228" s="408"/>
      <c r="L228" s="408"/>
      <c r="M228" s="408"/>
      <c r="N228" s="408"/>
      <c r="O228" s="408"/>
      <c r="P228" s="408"/>
      <c r="Q228" s="408"/>
      <c r="R228" s="408"/>
      <c r="S228" s="408"/>
      <c r="T228" s="408"/>
      <c r="U228" s="408"/>
      <c r="V228" s="408"/>
      <c r="W228" s="408"/>
      <c r="X228" s="408"/>
      <c r="Y228" s="408"/>
      <c r="Z228" s="408"/>
      <c r="AA228" s="408"/>
      <c r="AB228" s="408"/>
      <c r="AC228" s="408"/>
      <c r="AD228" s="408"/>
      <c r="AE228" s="408"/>
      <c r="AF228" s="408"/>
      <c r="AG228" s="408"/>
      <c r="AH228" s="408"/>
      <c r="AI228" s="408"/>
      <c r="AJ228" s="408"/>
      <c r="AK228" s="408"/>
      <c r="AL228" s="408"/>
      <c r="AM228" s="408"/>
      <c r="AN228" s="408"/>
      <c r="AO228" s="408"/>
      <c r="AP228" s="408"/>
      <c r="AQ228" s="408"/>
      <c r="AR228" s="408"/>
      <c r="AS228" s="408"/>
      <c r="AT228" s="408"/>
      <c r="AU228" s="408"/>
      <c r="AV228" s="408"/>
      <c r="AW228" s="408"/>
      <c r="AX228" s="408"/>
      <c r="AY228" s="408"/>
      <c r="AZ228" s="408"/>
      <c r="BA228" s="408"/>
      <c r="BB228" s="408"/>
      <c r="BC228" s="408"/>
      <c r="BD228" s="408"/>
      <c r="BE228" s="408"/>
      <c r="BF228" s="408"/>
      <c r="BG228" s="408"/>
      <c r="BH228" s="408"/>
      <c r="BI228" s="408"/>
      <c r="BJ228" s="408"/>
      <c r="BK228" s="408"/>
      <c r="BL228" s="408"/>
      <c r="BM228" s="408"/>
      <c r="BN228" s="408"/>
      <c r="BO228" s="408"/>
      <c r="BP228" s="408"/>
      <c r="BQ228" s="408"/>
      <c r="BR228" s="408"/>
      <c r="BS228" s="408"/>
      <c r="BT228" s="408"/>
      <c r="BU228" s="408"/>
      <c r="BV228" s="408"/>
      <c r="BW228" s="408"/>
      <c r="BX228" s="408"/>
      <c r="BY228" s="408"/>
      <c r="BZ228" s="408"/>
      <c r="CA228" s="408"/>
      <c r="CB228" s="408"/>
      <c r="CC228" s="408"/>
      <c r="CD228" s="408"/>
      <c r="CE228" s="408"/>
      <c r="CF228" s="408"/>
      <c r="CG228" s="408"/>
      <c r="CH228" s="408"/>
      <c r="CI228" s="408"/>
      <c r="CJ228" s="408"/>
      <c r="CK228" s="408"/>
      <c r="CL228" s="408"/>
      <c r="CM228" s="408"/>
      <c r="CN228" s="408"/>
    </row>
    <row r="229">
      <c r="A229" s="408"/>
      <c r="B229" s="408"/>
      <c r="C229" s="408"/>
      <c r="D229" s="408"/>
      <c r="E229" s="408"/>
      <c r="F229" s="408"/>
      <c r="G229" s="408"/>
      <c r="H229" s="408"/>
      <c r="I229" s="408"/>
      <c r="J229" s="408"/>
      <c r="K229" s="408"/>
      <c r="L229" s="408"/>
      <c r="M229" s="408"/>
      <c r="N229" s="408"/>
      <c r="O229" s="408"/>
      <c r="P229" s="408"/>
      <c r="Q229" s="408"/>
      <c r="R229" s="408"/>
      <c r="S229" s="408"/>
      <c r="T229" s="408"/>
      <c r="U229" s="408"/>
      <c r="V229" s="408"/>
      <c r="W229" s="408"/>
      <c r="X229" s="408"/>
      <c r="Y229" s="408"/>
      <c r="Z229" s="408"/>
      <c r="AA229" s="408"/>
      <c r="AB229" s="408"/>
      <c r="AC229" s="408"/>
      <c r="AD229" s="408"/>
      <c r="AE229" s="408"/>
      <c r="AF229" s="408"/>
      <c r="AG229" s="408"/>
      <c r="AH229" s="408"/>
      <c r="AI229" s="408"/>
      <c r="AJ229" s="408"/>
      <c r="AK229" s="408"/>
      <c r="AL229" s="408"/>
      <c r="AM229" s="408"/>
      <c r="AN229" s="408"/>
      <c r="AO229" s="408"/>
      <c r="AP229" s="408"/>
      <c r="AQ229" s="408"/>
      <c r="AR229" s="408"/>
      <c r="AS229" s="408"/>
      <c r="AT229" s="408"/>
      <c r="AU229" s="408"/>
      <c r="AV229" s="408"/>
      <c r="AW229" s="408"/>
      <c r="AX229" s="408"/>
      <c r="AY229" s="408"/>
      <c r="AZ229" s="408"/>
      <c r="BA229" s="408"/>
      <c r="BB229" s="408"/>
      <c r="BC229" s="408"/>
      <c r="BD229" s="408"/>
      <c r="BE229" s="408"/>
      <c r="BF229" s="408"/>
      <c r="BG229" s="408"/>
      <c r="BH229" s="408"/>
      <c r="BI229" s="408"/>
      <c r="BJ229" s="408"/>
      <c r="BK229" s="408"/>
      <c r="BL229" s="408"/>
      <c r="BM229" s="408"/>
      <c r="BN229" s="408"/>
      <c r="BO229" s="408"/>
      <c r="BP229" s="408"/>
      <c r="BQ229" s="408"/>
      <c r="BR229" s="408"/>
      <c r="BS229" s="408"/>
      <c r="BT229" s="408"/>
      <c r="BU229" s="408"/>
      <c r="BV229" s="408"/>
      <c r="BW229" s="408"/>
      <c r="BX229" s="408"/>
      <c r="BY229" s="408"/>
      <c r="BZ229" s="408"/>
      <c r="CA229" s="408"/>
      <c r="CB229" s="408"/>
      <c r="CC229" s="408"/>
      <c r="CD229" s="408"/>
      <c r="CE229" s="408"/>
      <c r="CF229" s="408"/>
      <c r="CG229" s="408"/>
      <c r="CH229" s="408"/>
      <c r="CI229" s="408"/>
      <c r="CJ229" s="408"/>
      <c r="CK229" s="408"/>
      <c r="CL229" s="408"/>
      <c r="CM229" s="408"/>
      <c r="CN229" s="408"/>
    </row>
    <row r="230">
      <c r="A230" s="408"/>
      <c r="B230" s="408"/>
      <c r="C230" s="408"/>
      <c r="D230" s="408"/>
      <c r="E230" s="408"/>
      <c r="F230" s="408"/>
      <c r="G230" s="408"/>
      <c r="H230" s="408"/>
      <c r="I230" s="408"/>
      <c r="J230" s="408"/>
      <c r="K230" s="408"/>
      <c r="L230" s="408"/>
      <c r="M230" s="408"/>
      <c r="N230" s="408"/>
      <c r="O230" s="408"/>
      <c r="P230" s="408"/>
      <c r="Q230" s="408"/>
      <c r="R230" s="408"/>
      <c r="S230" s="408"/>
      <c r="T230" s="408"/>
      <c r="U230" s="408"/>
      <c r="V230" s="408"/>
      <c r="W230" s="408"/>
      <c r="X230" s="408"/>
      <c r="Y230" s="408"/>
      <c r="Z230" s="408"/>
      <c r="AA230" s="408"/>
      <c r="AB230" s="408"/>
      <c r="AC230" s="408"/>
      <c r="AD230" s="408"/>
      <c r="AE230" s="408"/>
      <c r="AF230" s="408"/>
      <c r="AG230" s="408"/>
      <c r="AH230" s="408"/>
      <c r="AI230" s="408"/>
      <c r="AJ230" s="408"/>
      <c r="AK230" s="408"/>
      <c r="AL230" s="408"/>
      <c r="AM230" s="408"/>
      <c r="AN230" s="408"/>
      <c r="AO230" s="408"/>
      <c r="AP230" s="408"/>
      <c r="AQ230" s="408"/>
      <c r="AR230" s="408"/>
      <c r="AS230" s="408"/>
      <c r="AT230" s="408"/>
      <c r="AU230" s="408"/>
      <c r="AV230" s="408"/>
      <c r="AW230" s="408"/>
      <c r="AX230" s="408"/>
      <c r="AY230" s="408"/>
      <c r="AZ230" s="408"/>
      <c r="BA230" s="408"/>
      <c r="BB230" s="408"/>
      <c r="BC230" s="408"/>
      <c r="BD230" s="408"/>
      <c r="BE230" s="408"/>
      <c r="BF230" s="408"/>
      <c r="BG230" s="408"/>
      <c r="BH230" s="408"/>
      <c r="BI230" s="408"/>
      <c r="BJ230" s="408"/>
      <c r="BK230" s="408"/>
      <c r="BL230" s="408"/>
      <c r="BM230" s="408"/>
      <c r="BN230" s="408"/>
      <c r="BO230" s="408"/>
      <c r="BP230" s="408"/>
      <c r="BQ230" s="408"/>
      <c r="BR230" s="408"/>
      <c r="BS230" s="408"/>
      <c r="BT230" s="408"/>
      <c r="BU230" s="408"/>
      <c r="BV230" s="408"/>
      <c r="BW230" s="408"/>
      <c r="BX230" s="408"/>
      <c r="BY230" s="408"/>
      <c r="BZ230" s="408"/>
      <c r="CA230" s="408"/>
      <c r="CB230" s="408"/>
      <c r="CC230" s="408"/>
      <c r="CD230" s="408"/>
      <c r="CE230" s="408"/>
      <c r="CF230" s="408"/>
      <c r="CG230" s="408"/>
      <c r="CH230" s="408"/>
      <c r="CI230" s="408"/>
      <c r="CJ230" s="408"/>
      <c r="CK230" s="408"/>
      <c r="CL230" s="408"/>
      <c r="CM230" s="408"/>
      <c r="CN230" s="408"/>
    </row>
    <row r="231">
      <c r="A231" s="408"/>
      <c r="B231" s="408"/>
      <c r="C231" s="408"/>
      <c r="D231" s="408"/>
      <c r="E231" s="408"/>
      <c r="F231" s="408"/>
      <c r="G231" s="408"/>
      <c r="H231" s="408"/>
      <c r="I231" s="408"/>
      <c r="J231" s="408"/>
      <c r="K231" s="408"/>
      <c r="L231" s="408"/>
      <c r="M231" s="408"/>
      <c r="N231" s="408"/>
      <c r="O231" s="408"/>
      <c r="P231" s="408"/>
      <c r="Q231" s="408"/>
      <c r="R231" s="408"/>
      <c r="S231" s="408"/>
      <c r="T231" s="408"/>
      <c r="U231" s="408"/>
      <c r="V231" s="408"/>
      <c r="W231" s="408"/>
      <c r="X231" s="408"/>
      <c r="Y231" s="408"/>
      <c r="Z231" s="408"/>
      <c r="AA231" s="408"/>
      <c r="AB231" s="408"/>
      <c r="AC231" s="408"/>
      <c r="AD231" s="408"/>
      <c r="AE231" s="408"/>
      <c r="AF231" s="408"/>
      <c r="AG231" s="408"/>
      <c r="AH231" s="408"/>
      <c r="AI231" s="408"/>
      <c r="AJ231" s="408"/>
      <c r="AK231" s="408"/>
      <c r="AL231" s="408"/>
      <c r="AM231" s="408"/>
      <c r="AN231" s="408"/>
      <c r="AO231" s="408"/>
      <c r="AP231" s="408"/>
      <c r="AQ231" s="408"/>
      <c r="AR231" s="408"/>
      <c r="AS231" s="408"/>
      <c r="AT231" s="408"/>
      <c r="AU231" s="408"/>
      <c r="AV231" s="408"/>
      <c r="AW231" s="408"/>
      <c r="AX231" s="408"/>
      <c r="AY231" s="408"/>
      <c r="AZ231" s="408"/>
      <c r="BA231" s="408"/>
      <c r="BB231" s="408"/>
      <c r="BC231" s="408"/>
      <c r="BD231" s="408"/>
      <c r="BE231" s="408"/>
      <c r="BF231" s="408"/>
      <c r="BG231" s="408"/>
      <c r="BH231" s="408"/>
      <c r="BI231" s="408"/>
      <c r="BJ231" s="408"/>
      <c r="BK231" s="408"/>
      <c r="BL231" s="408"/>
      <c r="BM231" s="408"/>
      <c r="BN231" s="408"/>
      <c r="BO231" s="408"/>
      <c r="BP231" s="408"/>
      <c r="BQ231" s="408"/>
      <c r="BR231" s="408"/>
      <c r="BS231" s="408"/>
      <c r="BT231" s="408"/>
      <c r="BU231" s="408"/>
      <c r="BV231" s="408"/>
      <c r="BW231" s="408"/>
      <c r="BX231" s="408"/>
      <c r="BY231" s="408"/>
      <c r="BZ231" s="408"/>
      <c r="CA231" s="408"/>
      <c r="CB231" s="408"/>
      <c r="CC231" s="408"/>
      <c r="CD231" s="408"/>
      <c r="CE231" s="408"/>
      <c r="CF231" s="408"/>
      <c r="CG231" s="408"/>
      <c r="CH231" s="408"/>
      <c r="CI231" s="408"/>
      <c r="CJ231" s="408"/>
      <c r="CK231" s="408"/>
      <c r="CL231" s="408"/>
      <c r="CM231" s="408"/>
      <c r="CN231" s="408"/>
    </row>
    <row r="232">
      <c r="A232" s="408"/>
      <c r="B232" s="408"/>
      <c r="C232" s="408"/>
      <c r="D232" s="408"/>
      <c r="E232" s="408"/>
      <c r="F232" s="408"/>
      <c r="G232" s="408"/>
      <c r="H232" s="408"/>
      <c r="I232" s="408"/>
      <c r="J232" s="408"/>
      <c r="K232" s="408"/>
      <c r="L232" s="408"/>
      <c r="M232" s="408"/>
      <c r="N232" s="408"/>
      <c r="O232" s="408"/>
      <c r="P232" s="408"/>
      <c r="Q232" s="408"/>
      <c r="R232" s="408"/>
      <c r="S232" s="408"/>
      <c r="T232" s="408"/>
      <c r="U232" s="408"/>
      <c r="V232" s="408"/>
      <c r="W232" s="408"/>
      <c r="X232" s="408"/>
      <c r="Y232" s="408"/>
      <c r="Z232" s="408"/>
      <c r="AA232" s="408"/>
      <c r="AB232" s="408"/>
      <c r="AC232" s="408"/>
      <c r="AD232" s="408"/>
      <c r="AE232" s="408"/>
      <c r="AF232" s="408"/>
      <c r="AG232" s="408"/>
      <c r="AH232" s="408"/>
      <c r="AI232" s="408"/>
      <c r="AJ232" s="408"/>
      <c r="AK232" s="408"/>
      <c r="AL232" s="408"/>
      <c r="AM232" s="408"/>
      <c r="AN232" s="408"/>
      <c r="AO232" s="408"/>
      <c r="AP232" s="408"/>
      <c r="AQ232" s="408"/>
      <c r="AR232" s="408"/>
      <c r="AS232" s="408"/>
      <c r="AT232" s="408"/>
      <c r="AU232" s="408"/>
      <c r="AV232" s="408"/>
      <c r="AW232" s="408"/>
      <c r="AX232" s="408"/>
      <c r="AY232" s="408"/>
      <c r="AZ232" s="408"/>
      <c r="BA232" s="408"/>
      <c r="BB232" s="408"/>
      <c r="BC232" s="408"/>
      <c r="BD232" s="408"/>
      <c r="BE232" s="408"/>
      <c r="BF232" s="408"/>
      <c r="BG232" s="408"/>
      <c r="BH232" s="408"/>
      <c r="BI232" s="408"/>
      <c r="BJ232" s="408"/>
      <c r="BK232" s="408"/>
      <c r="BL232" s="408"/>
      <c r="BM232" s="408"/>
      <c r="BN232" s="408"/>
      <c r="BO232" s="408"/>
      <c r="BP232" s="408"/>
      <c r="BQ232" s="408"/>
      <c r="BR232" s="408"/>
      <c r="BS232" s="408"/>
      <c r="BT232" s="408"/>
      <c r="BU232" s="408"/>
      <c r="BV232" s="408"/>
      <c r="BW232" s="408"/>
      <c r="BX232" s="408"/>
      <c r="BY232" s="408"/>
      <c r="BZ232" s="408"/>
      <c r="CA232" s="408"/>
      <c r="CB232" s="408"/>
      <c r="CC232" s="408"/>
      <c r="CD232" s="408"/>
      <c r="CE232" s="408"/>
      <c r="CF232" s="408"/>
      <c r="CG232" s="408"/>
      <c r="CH232" s="408"/>
      <c r="CI232" s="408"/>
      <c r="CJ232" s="408"/>
      <c r="CK232" s="408"/>
      <c r="CL232" s="408"/>
      <c r="CM232" s="408"/>
      <c r="CN232" s="408"/>
    </row>
    <row r="233">
      <c r="A233" s="408"/>
      <c r="B233" s="408"/>
      <c r="C233" s="408"/>
      <c r="D233" s="408"/>
      <c r="E233" s="408"/>
      <c r="F233" s="408"/>
      <c r="G233" s="408"/>
      <c r="H233" s="408"/>
      <c r="I233" s="408"/>
      <c r="J233" s="408"/>
      <c r="K233" s="408"/>
      <c r="L233" s="408"/>
      <c r="M233" s="408"/>
      <c r="N233" s="408"/>
      <c r="O233" s="408"/>
      <c r="P233" s="408"/>
      <c r="Q233" s="408"/>
      <c r="R233" s="408"/>
      <c r="S233" s="408"/>
      <c r="T233" s="408"/>
      <c r="U233" s="408"/>
      <c r="V233" s="408"/>
      <c r="W233" s="408"/>
      <c r="X233" s="408"/>
      <c r="Y233" s="408"/>
      <c r="Z233" s="408"/>
      <c r="AA233" s="408"/>
      <c r="AB233" s="408"/>
      <c r="AC233" s="408"/>
      <c r="AD233" s="408"/>
      <c r="AE233" s="408"/>
      <c r="AF233" s="408"/>
      <c r="AG233" s="408"/>
      <c r="AH233" s="408"/>
      <c r="AI233" s="408"/>
      <c r="AJ233" s="408"/>
      <c r="AK233" s="408"/>
      <c r="AL233" s="408"/>
      <c r="AM233" s="408"/>
      <c r="AN233" s="408"/>
      <c r="AO233" s="408"/>
      <c r="AP233" s="408"/>
      <c r="AQ233" s="408"/>
      <c r="AR233" s="408"/>
      <c r="AS233" s="408"/>
      <c r="AT233" s="408"/>
      <c r="AU233" s="408"/>
      <c r="AV233" s="408"/>
      <c r="AW233" s="408"/>
      <c r="AX233" s="408"/>
      <c r="AY233" s="408"/>
      <c r="AZ233" s="408"/>
      <c r="BA233" s="408"/>
      <c r="BB233" s="408"/>
      <c r="BC233" s="408"/>
      <c r="BD233" s="408"/>
      <c r="BE233" s="408"/>
      <c r="BF233" s="408"/>
      <c r="BG233" s="408"/>
      <c r="BH233" s="408"/>
      <c r="BI233" s="408"/>
      <c r="BJ233" s="408"/>
      <c r="BK233" s="408"/>
      <c r="BL233" s="408"/>
      <c r="BM233" s="408"/>
      <c r="BN233" s="408"/>
      <c r="BO233" s="408"/>
      <c r="BP233" s="408"/>
      <c r="BQ233" s="408"/>
      <c r="BR233" s="408"/>
      <c r="BS233" s="408"/>
      <c r="BT233" s="408"/>
      <c r="BU233" s="408"/>
      <c r="BV233" s="408"/>
      <c r="BW233" s="408"/>
      <c r="BX233" s="408"/>
      <c r="BY233" s="408"/>
      <c r="BZ233" s="408"/>
      <c r="CA233" s="408"/>
      <c r="CB233" s="408"/>
      <c r="CC233" s="408"/>
      <c r="CD233" s="408"/>
      <c r="CE233" s="408"/>
      <c r="CF233" s="408"/>
      <c r="CG233" s="408"/>
      <c r="CH233" s="408"/>
      <c r="CI233" s="408"/>
      <c r="CJ233" s="408"/>
      <c r="CK233" s="408"/>
      <c r="CL233" s="408"/>
      <c r="CM233" s="408"/>
      <c r="CN233" s="408"/>
    </row>
    <row r="234">
      <c r="A234" s="408"/>
      <c r="B234" s="408"/>
      <c r="C234" s="408"/>
      <c r="D234" s="408"/>
      <c r="E234" s="408"/>
      <c r="F234" s="408"/>
      <c r="G234" s="408"/>
      <c r="H234" s="408"/>
      <c r="I234" s="408"/>
      <c r="J234" s="408"/>
      <c r="K234" s="408"/>
      <c r="L234" s="408"/>
      <c r="M234" s="408"/>
      <c r="N234" s="408"/>
      <c r="O234" s="408"/>
      <c r="P234" s="408"/>
      <c r="Q234" s="408"/>
      <c r="R234" s="408"/>
      <c r="S234" s="408"/>
      <c r="T234" s="408"/>
      <c r="U234" s="408"/>
      <c r="V234" s="408"/>
      <c r="W234" s="408"/>
      <c r="X234" s="408"/>
      <c r="Y234" s="408"/>
      <c r="Z234" s="408"/>
      <c r="AA234" s="408"/>
      <c r="AB234" s="408"/>
      <c r="AC234" s="408"/>
      <c r="AD234" s="408"/>
      <c r="AE234" s="408"/>
      <c r="AF234" s="408"/>
      <c r="AG234" s="408"/>
      <c r="AH234" s="408"/>
      <c r="AI234" s="408"/>
      <c r="AJ234" s="408"/>
      <c r="AK234" s="408"/>
      <c r="AL234" s="408"/>
      <c r="AM234" s="408"/>
      <c r="AN234" s="408"/>
      <c r="AO234" s="408"/>
      <c r="AP234" s="408"/>
      <c r="AQ234" s="408"/>
      <c r="AR234" s="408"/>
      <c r="AS234" s="408"/>
      <c r="AT234" s="408"/>
      <c r="AU234" s="408"/>
      <c r="AV234" s="408"/>
      <c r="AW234" s="408"/>
      <c r="AX234" s="408"/>
      <c r="AY234" s="408"/>
      <c r="AZ234" s="408"/>
      <c r="BA234" s="408"/>
      <c r="BB234" s="408"/>
      <c r="BC234" s="408"/>
      <c r="BD234" s="408"/>
      <c r="BE234" s="408"/>
      <c r="BF234" s="408"/>
      <c r="BG234" s="408"/>
      <c r="BH234" s="408"/>
      <c r="BI234" s="408"/>
      <c r="BJ234" s="408"/>
      <c r="BK234" s="408"/>
      <c r="BL234" s="408"/>
      <c r="BM234" s="408"/>
      <c r="BN234" s="408"/>
      <c r="BO234" s="408"/>
      <c r="BP234" s="408"/>
      <c r="BQ234" s="408"/>
      <c r="BR234" s="408"/>
      <c r="BS234" s="408"/>
      <c r="BT234" s="408"/>
      <c r="BU234" s="408"/>
      <c r="BV234" s="408"/>
      <c r="BW234" s="408"/>
      <c r="BX234" s="408"/>
      <c r="BY234" s="408"/>
      <c r="BZ234" s="408"/>
      <c r="CA234" s="408"/>
      <c r="CB234" s="408"/>
      <c r="CC234" s="408"/>
      <c r="CD234" s="408"/>
      <c r="CE234" s="408"/>
      <c r="CF234" s="408"/>
      <c r="CG234" s="408"/>
      <c r="CH234" s="408"/>
      <c r="CI234" s="408"/>
      <c r="CJ234" s="408"/>
      <c r="CK234" s="408"/>
      <c r="CL234" s="408"/>
      <c r="CM234" s="408"/>
      <c r="CN234" s="408"/>
    </row>
    <row r="235">
      <c r="A235" s="408"/>
      <c r="B235" s="408"/>
      <c r="C235" s="408"/>
      <c r="D235" s="408"/>
      <c r="E235" s="408"/>
      <c r="F235" s="408"/>
      <c r="G235" s="408"/>
      <c r="H235" s="408"/>
      <c r="I235" s="408"/>
      <c r="J235" s="408"/>
      <c r="K235" s="408"/>
      <c r="L235" s="408"/>
      <c r="M235" s="408"/>
      <c r="N235" s="408"/>
      <c r="O235" s="408"/>
      <c r="P235" s="408"/>
      <c r="Q235" s="408"/>
      <c r="R235" s="408"/>
      <c r="S235" s="408"/>
      <c r="T235" s="408"/>
      <c r="U235" s="408"/>
      <c r="V235" s="408"/>
      <c r="W235" s="408"/>
      <c r="X235" s="408"/>
      <c r="Y235" s="408"/>
      <c r="Z235" s="408"/>
      <c r="AA235" s="408"/>
      <c r="AB235" s="408"/>
      <c r="AC235" s="408"/>
      <c r="AD235" s="408"/>
      <c r="AE235" s="408"/>
      <c r="AF235" s="408"/>
      <c r="AG235" s="408"/>
      <c r="AH235" s="408"/>
      <c r="AI235" s="408"/>
      <c r="AJ235" s="408"/>
      <c r="AK235" s="408"/>
      <c r="AL235" s="408"/>
      <c r="AM235" s="408"/>
      <c r="AN235" s="408"/>
      <c r="AO235" s="408"/>
      <c r="AP235" s="408"/>
      <c r="AQ235" s="408"/>
      <c r="AR235" s="408"/>
      <c r="AS235" s="408"/>
      <c r="AT235" s="408"/>
      <c r="AU235" s="408"/>
      <c r="AV235" s="408"/>
      <c r="AW235" s="408"/>
      <c r="AX235" s="408"/>
      <c r="AY235" s="408"/>
      <c r="AZ235" s="408"/>
      <c r="BA235" s="408"/>
      <c r="BB235" s="408"/>
      <c r="BC235" s="408"/>
      <c r="BD235" s="408"/>
      <c r="BE235" s="408"/>
      <c r="BF235" s="408"/>
      <c r="BG235" s="408"/>
      <c r="BH235" s="408"/>
      <c r="BI235" s="408"/>
      <c r="BJ235" s="408"/>
      <c r="BK235" s="408"/>
      <c r="BL235" s="408"/>
      <c r="BM235" s="408"/>
      <c r="BN235" s="408"/>
      <c r="BO235" s="408"/>
      <c r="BP235" s="408"/>
      <c r="BQ235" s="408"/>
      <c r="BR235" s="408"/>
      <c r="BS235" s="408"/>
      <c r="BT235" s="408"/>
      <c r="BU235" s="408"/>
      <c r="BV235" s="408"/>
      <c r="BW235" s="408"/>
      <c r="BX235" s="408"/>
      <c r="BY235" s="408"/>
      <c r="BZ235" s="408"/>
      <c r="CA235" s="408"/>
      <c r="CB235" s="408"/>
      <c r="CC235" s="408"/>
      <c r="CD235" s="408"/>
      <c r="CE235" s="408"/>
      <c r="CF235" s="408"/>
      <c r="CG235" s="408"/>
      <c r="CH235" s="408"/>
      <c r="CI235" s="408"/>
      <c r="CJ235" s="408"/>
      <c r="CK235" s="408"/>
      <c r="CL235" s="408"/>
      <c r="CM235" s="408"/>
      <c r="CN235" s="408"/>
    </row>
    <row r="236">
      <c r="A236" s="408"/>
      <c r="B236" s="408"/>
      <c r="C236" s="408"/>
      <c r="D236" s="408"/>
      <c r="E236" s="408"/>
      <c r="F236" s="408"/>
      <c r="G236" s="408"/>
      <c r="H236" s="408"/>
      <c r="I236" s="408"/>
      <c r="J236" s="408"/>
      <c r="K236" s="408"/>
      <c r="L236" s="408"/>
      <c r="M236" s="408"/>
      <c r="N236" s="408"/>
      <c r="O236" s="408"/>
      <c r="P236" s="408"/>
      <c r="Q236" s="408"/>
      <c r="R236" s="408"/>
      <c r="S236" s="408"/>
      <c r="T236" s="408"/>
      <c r="U236" s="408"/>
      <c r="V236" s="408"/>
      <c r="W236" s="408"/>
      <c r="X236" s="408"/>
      <c r="Y236" s="408"/>
      <c r="Z236" s="408"/>
      <c r="AA236" s="408"/>
      <c r="AB236" s="408"/>
      <c r="AC236" s="408"/>
      <c r="AD236" s="408"/>
      <c r="AE236" s="408"/>
      <c r="AF236" s="408"/>
      <c r="AG236" s="408"/>
      <c r="AH236" s="408"/>
      <c r="AI236" s="408"/>
      <c r="AJ236" s="408"/>
      <c r="AK236" s="408"/>
      <c r="AL236" s="408"/>
      <c r="AM236" s="408"/>
      <c r="AN236" s="408"/>
      <c r="AO236" s="408"/>
      <c r="AP236" s="408"/>
      <c r="AQ236" s="408"/>
      <c r="AR236" s="408"/>
      <c r="AS236" s="408"/>
      <c r="AT236" s="408"/>
      <c r="AU236" s="408"/>
      <c r="AV236" s="408"/>
      <c r="AW236" s="408"/>
      <c r="AX236" s="408"/>
      <c r="AY236" s="408"/>
      <c r="AZ236" s="408"/>
      <c r="BA236" s="408"/>
      <c r="BB236" s="408"/>
      <c r="BC236" s="408"/>
      <c r="BD236" s="408"/>
      <c r="BE236" s="408"/>
      <c r="BF236" s="408"/>
      <c r="BG236" s="408"/>
      <c r="BH236" s="408"/>
      <c r="BI236" s="408"/>
      <c r="BJ236" s="408"/>
      <c r="BK236" s="408"/>
      <c r="BL236" s="408"/>
      <c r="BM236" s="408"/>
      <c r="BN236" s="408"/>
      <c r="BO236" s="408"/>
      <c r="BP236" s="408"/>
      <c r="BQ236" s="408"/>
      <c r="BR236" s="408"/>
      <c r="BS236" s="408"/>
      <c r="BT236" s="408"/>
      <c r="BU236" s="408"/>
      <c r="BV236" s="408"/>
      <c r="BW236" s="408"/>
      <c r="BX236" s="408"/>
      <c r="BY236" s="408"/>
      <c r="BZ236" s="408"/>
      <c r="CA236" s="408"/>
      <c r="CB236" s="408"/>
      <c r="CC236" s="408"/>
      <c r="CD236" s="408"/>
      <c r="CE236" s="408"/>
      <c r="CF236" s="408"/>
      <c r="CG236" s="408"/>
      <c r="CH236" s="408"/>
      <c r="CI236" s="408"/>
      <c r="CJ236" s="408"/>
      <c r="CK236" s="408"/>
      <c r="CL236" s="408"/>
      <c r="CM236" s="408"/>
      <c r="CN236" s="408"/>
    </row>
    <row r="237">
      <c r="A237" s="408"/>
      <c r="B237" s="408"/>
      <c r="C237" s="408"/>
      <c r="D237" s="408"/>
      <c r="E237" s="408"/>
      <c r="F237" s="408"/>
      <c r="G237" s="408"/>
      <c r="H237" s="408"/>
      <c r="I237" s="408"/>
      <c r="J237" s="408"/>
      <c r="K237" s="408"/>
      <c r="L237" s="408"/>
      <c r="M237" s="408"/>
      <c r="N237" s="408"/>
      <c r="O237" s="408"/>
      <c r="P237" s="408"/>
      <c r="Q237" s="408"/>
      <c r="R237" s="408"/>
      <c r="S237" s="408"/>
      <c r="T237" s="408"/>
      <c r="U237" s="408"/>
      <c r="V237" s="408"/>
      <c r="W237" s="408"/>
      <c r="X237" s="408"/>
      <c r="Y237" s="408"/>
      <c r="Z237" s="408"/>
      <c r="AA237" s="408"/>
      <c r="AB237" s="408"/>
      <c r="AC237" s="408"/>
      <c r="AD237" s="408"/>
      <c r="AE237" s="408"/>
      <c r="AF237" s="408"/>
      <c r="AG237" s="408"/>
      <c r="AH237" s="408"/>
      <c r="AI237" s="408"/>
      <c r="AJ237" s="408"/>
      <c r="AK237" s="408"/>
      <c r="AL237" s="408"/>
      <c r="AM237" s="408"/>
      <c r="AN237" s="408"/>
      <c r="AO237" s="408"/>
      <c r="AP237" s="408"/>
      <c r="AQ237" s="408"/>
      <c r="AR237" s="408"/>
      <c r="AS237" s="408"/>
      <c r="AT237" s="408"/>
      <c r="AU237" s="408"/>
      <c r="AV237" s="408"/>
      <c r="AW237" s="408"/>
      <c r="AX237" s="408"/>
      <c r="AY237" s="408"/>
      <c r="AZ237" s="408"/>
      <c r="BA237" s="408"/>
      <c r="BB237" s="408"/>
      <c r="BC237" s="408"/>
      <c r="BD237" s="408"/>
      <c r="BE237" s="408"/>
      <c r="BF237" s="408"/>
      <c r="BG237" s="408"/>
      <c r="BH237" s="408"/>
      <c r="BI237" s="408"/>
      <c r="BJ237" s="408"/>
      <c r="BK237" s="408"/>
      <c r="BL237" s="408"/>
      <c r="BM237" s="408"/>
      <c r="BN237" s="408"/>
      <c r="BO237" s="408"/>
      <c r="BP237" s="408"/>
      <c r="BQ237" s="408"/>
      <c r="BR237" s="408"/>
      <c r="BS237" s="408"/>
      <c r="BT237" s="408"/>
      <c r="BU237" s="408"/>
      <c r="BV237" s="408"/>
      <c r="BW237" s="408"/>
      <c r="BX237" s="408"/>
      <c r="BY237" s="408"/>
      <c r="BZ237" s="408"/>
      <c r="CA237" s="408"/>
      <c r="CB237" s="408"/>
      <c r="CC237" s="408"/>
      <c r="CD237" s="408"/>
      <c r="CE237" s="408"/>
      <c r="CF237" s="408"/>
      <c r="CG237" s="408"/>
      <c r="CH237" s="408"/>
      <c r="CI237" s="408"/>
      <c r="CJ237" s="408"/>
      <c r="CK237" s="408"/>
      <c r="CL237" s="408"/>
      <c r="CM237" s="408"/>
      <c r="CN237" s="408"/>
    </row>
    <row r="238">
      <c r="A238" s="408"/>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c r="AA238" s="408"/>
      <c r="AB238" s="408"/>
      <c r="AC238" s="408"/>
      <c r="AD238" s="408"/>
      <c r="AE238" s="408"/>
      <c r="AF238" s="408"/>
      <c r="AG238" s="408"/>
      <c r="AH238" s="408"/>
      <c r="AI238" s="408"/>
      <c r="AJ238" s="408"/>
      <c r="AK238" s="408"/>
      <c r="AL238" s="408"/>
      <c r="AM238" s="408"/>
      <c r="AN238" s="408"/>
      <c r="AO238" s="408"/>
      <c r="AP238" s="408"/>
      <c r="AQ238" s="408"/>
      <c r="AR238" s="408"/>
      <c r="AS238" s="408"/>
      <c r="AT238" s="408"/>
      <c r="AU238" s="408"/>
      <c r="AV238" s="408"/>
      <c r="AW238" s="408"/>
      <c r="AX238" s="408"/>
      <c r="AY238" s="408"/>
      <c r="AZ238" s="408"/>
      <c r="BA238" s="408"/>
      <c r="BB238" s="408"/>
      <c r="BC238" s="408"/>
      <c r="BD238" s="408"/>
      <c r="BE238" s="408"/>
      <c r="BF238" s="408"/>
      <c r="BG238" s="408"/>
      <c r="BH238" s="408"/>
      <c r="BI238" s="408"/>
      <c r="BJ238" s="408"/>
      <c r="BK238" s="408"/>
      <c r="BL238" s="408"/>
      <c r="BM238" s="408"/>
      <c r="BN238" s="408"/>
      <c r="BO238" s="408"/>
      <c r="BP238" s="408"/>
      <c r="BQ238" s="408"/>
      <c r="BR238" s="408"/>
      <c r="BS238" s="408"/>
      <c r="BT238" s="408"/>
      <c r="BU238" s="408"/>
      <c r="BV238" s="408"/>
      <c r="BW238" s="408"/>
      <c r="BX238" s="408"/>
      <c r="BY238" s="408"/>
      <c r="BZ238" s="408"/>
      <c r="CA238" s="408"/>
      <c r="CB238" s="408"/>
      <c r="CC238" s="408"/>
      <c r="CD238" s="408"/>
      <c r="CE238" s="408"/>
      <c r="CF238" s="408"/>
      <c r="CG238" s="408"/>
      <c r="CH238" s="408"/>
      <c r="CI238" s="408"/>
      <c r="CJ238" s="408"/>
      <c r="CK238" s="408"/>
      <c r="CL238" s="408"/>
      <c r="CM238" s="408"/>
      <c r="CN238" s="408"/>
    </row>
    <row r="239">
      <c r="A239" s="408"/>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c r="AA239" s="408"/>
      <c r="AB239" s="408"/>
      <c r="AC239" s="408"/>
      <c r="AD239" s="408"/>
      <c r="AE239" s="408"/>
      <c r="AF239" s="408"/>
      <c r="AG239" s="408"/>
      <c r="AH239" s="408"/>
      <c r="AI239" s="408"/>
      <c r="AJ239" s="408"/>
      <c r="AK239" s="408"/>
      <c r="AL239" s="408"/>
      <c r="AM239" s="408"/>
      <c r="AN239" s="408"/>
      <c r="AO239" s="408"/>
      <c r="AP239" s="408"/>
      <c r="AQ239" s="408"/>
      <c r="AR239" s="408"/>
      <c r="AS239" s="408"/>
      <c r="AT239" s="408"/>
      <c r="AU239" s="408"/>
      <c r="AV239" s="408"/>
      <c r="AW239" s="408"/>
      <c r="AX239" s="408"/>
      <c r="AY239" s="408"/>
      <c r="AZ239" s="408"/>
      <c r="BA239" s="408"/>
      <c r="BB239" s="408"/>
      <c r="BC239" s="408"/>
      <c r="BD239" s="408"/>
      <c r="BE239" s="408"/>
      <c r="BF239" s="408"/>
      <c r="BG239" s="408"/>
      <c r="BH239" s="408"/>
      <c r="BI239" s="408"/>
      <c r="BJ239" s="408"/>
      <c r="BK239" s="408"/>
      <c r="BL239" s="408"/>
      <c r="BM239" s="408"/>
      <c r="BN239" s="408"/>
      <c r="BO239" s="408"/>
      <c r="BP239" s="408"/>
      <c r="BQ239" s="408"/>
      <c r="BR239" s="408"/>
      <c r="BS239" s="408"/>
      <c r="BT239" s="408"/>
      <c r="BU239" s="408"/>
      <c r="BV239" s="408"/>
      <c r="BW239" s="408"/>
      <c r="BX239" s="408"/>
      <c r="BY239" s="408"/>
      <c r="BZ239" s="408"/>
      <c r="CA239" s="408"/>
      <c r="CB239" s="408"/>
      <c r="CC239" s="408"/>
      <c r="CD239" s="408"/>
      <c r="CE239" s="408"/>
      <c r="CF239" s="408"/>
      <c r="CG239" s="408"/>
      <c r="CH239" s="408"/>
      <c r="CI239" s="408"/>
      <c r="CJ239" s="408"/>
      <c r="CK239" s="408"/>
      <c r="CL239" s="408"/>
      <c r="CM239" s="408"/>
      <c r="CN239" s="408"/>
    </row>
    <row r="240">
      <c r="A240" s="408"/>
      <c r="B240" s="408"/>
      <c r="C240" s="408"/>
      <c r="D240" s="408"/>
      <c r="E240" s="408"/>
      <c r="F240" s="408"/>
      <c r="G240" s="408"/>
      <c r="H240" s="408"/>
      <c r="I240" s="408"/>
      <c r="J240" s="408"/>
      <c r="K240" s="408"/>
      <c r="L240" s="408"/>
      <c r="M240" s="408"/>
      <c r="N240" s="408"/>
      <c r="O240" s="408"/>
      <c r="P240" s="408"/>
      <c r="Q240" s="408"/>
      <c r="R240" s="408"/>
      <c r="S240" s="408"/>
      <c r="T240" s="408"/>
      <c r="U240" s="408"/>
      <c r="V240" s="408"/>
      <c r="W240" s="408"/>
      <c r="X240" s="408"/>
      <c r="Y240" s="408"/>
      <c r="Z240" s="408"/>
      <c r="AA240" s="408"/>
      <c r="AB240" s="408"/>
      <c r="AC240" s="408"/>
      <c r="AD240" s="408"/>
      <c r="AE240" s="408"/>
      <c r="AF240" s="408"/>
      <c r="AG240" s="408"/>
      <c r="AH240" s="408"/>
      <c r="AI240" s="408"/>
      <c r="AJ240" s="408"/>
      <c r="AK240" s="408"/>
      <c r="AL240" s="408"/>
      <c r="AM240" s="408"/>
      <c r="AN240" s="408"/>
      <c r="AO240" s="408"/>
      <c r="AP240" s="408"/>
      <c r="AQ240" s="408"/>
      <c r="AR240" s="408"/>
      <c r="AS240" s="408"/>
      <c r="AT240" s="408"/>
      <c r="AU240" s="408"/>
      <c r="AV240" s="408"/>
      <c r="AW240" s="408"/>
      <c r="AX240" s="408"/>
      <c r="AY240" s="408"/>
      <c r="AZ240" s="408"/>
      <c r="BA240" s="408"/>
      <c r="BB240" s="408"/>
      <c r="BC240" s="408"/>
      <c r="BD240" s="408"/>
      <c r="BE240" s="408"/>
      <c r="BF240" s="408"/>
      <c r="BG240" s="408"/>
      <c r="BH240" s="408"/>
      <c r="BI240" s="408"/>
      <c r="BJ240" s="408"/>
      <c r="BK240" s="408"/>
      <c r="BL240" s="408"/>
      <c r="BM240" s="408"/>
      <c r="BN240" s="408"/>
      <c r="BO240" s="408"/>
      <c r="BP240" s="408"/>
      <c r="BQ240" s="408"/>
      <c r="BR240" s="408"/>
      <c r="BS240" s="408"/>
      <c r="BT240" s="408"/>
      <c r="BU240" s="408"/>
      <c r="BV240" s="408"/>
      <c r="BW240" s="408"/>
      <c r="BX240" s="408"/>
      <c r="BY240" s="408"/>
      <c r="BZ240" s="408"/>
      <c r="CA240" s="408"/>
      <c r="CB240" s="408"/>
      <c r="CC240" s="408"/>
      <c r="CD240" s="408"/>
      <c r="CE240" s="408"/>
      <c r="CF240" s="408"/>
      <c r="CG240" s="408"/>
      <c r="CH240" s="408"/>
      <c r="CI240" s="408"/>
      <c r="CJ240" s="408"/>
      <c r="CK240" s="408"/>
      <c r="CL240" s="408"/>
      <c r="CM240" s="408"/>
      <c r="CN240" s="408"/>
    </row>
    <row r="241">
      <c r="A241" s="408"/>
      <c r="B241" s="408"/>
      <c r="C241" s="408"/>
      <c r="D241" s="408"/>
      <c r="E241" s="408"/>
      <c r="F241" s="408"/>
      <c r="G241" s="408"/>
      <c r="H241" s="408"/>
      <c r="I241" s="408"/>
      <c r="J241" s="408"/>
      <c r="K241" s="408"/>
      <c r="L241" s="408"/>
      <c r="M241" s="408"/>
      <c r="N241" s="408"/>
      <c r="O241" s="408"/>
      <c r="P241" s="408"/>
      <c r="Q241" s="408"/>
      <c r="R241" s="408"/>
      <c r="S241" s="408"/>
      <c r="T241" s="408"/>
      <c r="U241" s="408"/>
      <c r="V241" s="408"/>
      <c r="W241" s="408"/>
      <c r="X241" s="408"/>
      <c r="Y241" s="408"/>
      <c r="Z241" s="408"/>
      <c r="AA241" s="408"/>
      <c r="AB241" s="408"/>
      <c r="AC241" s="408"/>
      <c r="AD241" s="408"/>
      <c r="AE241" s="408"/>
      <c r="AF241" s="408"/>
      <c r="AG241" s="408"/>
      <c r="AH241" s="408"/>
      <c r="AI241" s="408"/>
      <c r="AJ241" s="408"/>
      <c r="AK241" s="408"/>
      <c r="AL241" s="408"/>
      <c r="AM241" s="408"/>
      <c r="AN241" s="408"/>
      <c r="AO241" s="408"/>
      <c r="AP241" s="408"/>
      <c r="AQ241" s="408"/>
      <c r="AR241" s="408"/>
      <c r="AS241" s="408"/>
      <c r="AT241" s="408"/>
      <c r="AU241" s="408"/>
      <c r="AV241" s="408"/>
      <c r="AW241" s="408"/>
      <c r="AX241" s="408"/>
      <c r="AY241" s="408"/>
      <c r="AZ241" s="408"/>
      <c r="BA241" s="408"/>
      <c r="BB241" s="408"/>
      <c r="BC241" s="408"/>
      <c r="BD241" s="408"/>
      <c r="BE241" s="408"/>
      <c r="BF241" s="408"/>
      <c r="BG241" s="408"/>
      <c r="BH241" s="408"/>
      <c r="BI241" s="408"/>
      <c r="BJ241" s="408"/>
      <c r="BK241" s="408"/>
      <c r="BL241" s="408"/>
      <c r="BM241" s="408"/>
      <c r="BN241" s="408"/>
      <c r="BO241" s="408"/>
      <c r="BP241" s="408"/>
      <c r="BQ241" s="408"/>
      <c r="BR241" s="408"/>
      <c r="BS241" s="408"/>
      <c r="BT241" s="408"/>
      <c r="BU241" s="408"/>
      <c r="BV241" s="408"/>
      <c r="BW241" s="408"/>
      <c r="BX241" s="408"/>
      <c r="BY241" s="408"/>
      <c r="BZ241" s="408"/>
      <c r="CA241" s="408"/>
      <c r="CB241" s="408"/>
      <c r="CC241" s="408"/>
      <c r="CD241" s="408"/>
      <c r="CE241" s="408"/>
      <c r="CF241" s="408"/>
      <c r="CG241" s="408"/>
      <c r="CH241" s="408"/>
      <c r="CI241" s="408"/>
      <c r="CJ241" s="408"/>
      <c r="CK241" s="408"/>
      <c r="CL241" s="408"/>
      <c r="CM241" s="408"/>
      <c r="CN241" s="408"/>
    </row>
    <row r="242">
      <c r="A242" s="408"/>
      <c r="B242" s="408"/>
      <c r="C242" s="408"/>
      <c r="D242" s="408"/>
      <c r="E242" s="408"/>
      <c r="F242" s="408"/>
      <c r="G242" s="408"/>
      <c r="H242" s="408"/>
      <c r="I242" s="408"/>
      <c r="J242" s="408"/>
      <c r="K242" s="408"/>
      <c r="L242" s="408"/>
      <c r="M242" s="408"/>
      <c r="N242" s="408"/>
      <c r="O242" s="408"/>
      <c r="P242" s="408"/>
      <c r="Q242" s="408"/>
      <c r="R242" s="408"/>
      <c r="S242" s="408"/>
      <c r="T242" s="408"/>
      <c r="U242" s="408"/>
      <c r="V242" s="408"/>
      <c r="W242" s="408"/>
      <c r="X242" s="408"/>
      <c r="Y242" s="408"/>
      <c r="Z242" s="408"/>
      <c r="AA242" s="408"/>
      <c r="AB242" s="408"/>
      <c r="AC242" s="408"/>
      <c r="AD242" s="408"/>
      <c r="AE242" s="408"/>
      <c r="AF242" s="408"/>
      <c r="AG242" s="408"/>
      <c r="AH242" s="408"/>
      <c r="AI242" s="408"/>
      <c r="AJ242" s="408"/>
      <c r="AK242" s="408"/>
      <c r="AL242" s="408"/>
      <c r="AM242" s="408"/>
      <c r="AN242" s="408"/>
      <c r="AO242" s="408"/>
      <c r="AP242" s="408"/>
      <c r="AQ242" s="408"/>
      <c r="AR242" s="408"/>
      <c r="AS242" s="408"/>
      <c r="AT242" s="408"/>
      <c r="AU242" s="408"/>
      <c r="AV242" s="408"/>
      <c r="AW242" s="408"/>
      <c r="AX242" s="408"/>
      <c r="AY242" s="408"/>
      <c r="AZ242" s="408"/>
      <c r="BA242" s="408"/>
      <c r="BB242" s="408"/>
      <c r="BC242" s="408"/>
      <c r="BD242" s="408"/>
      <c r="BE242" s="408"/>
      <c r="BF242" s="408"/>
      <c r="BG242" s="408"/>
      <c r="BH242" s="408"/>
      <c r="BI242" s="408"/>
      <c r="BJ242" s="408"/>
      <c r="BK242" s="408"/>
      <c r="BL242" s="408"/>
      <c r="BM242" s="408"/>
      <c r="BN242" s="408"/>
      <c r="BO242" s="408"/>
      <c r="BP242" s="408"/>
      <c r="BQ242" s="408"/>
      <c r="BR242" s="408"/>
      <c r="BS242" s="408"/>
      <c r="BT242" s="408"/>
      <c r="BU242" s="408"/>
      <c r="BV242" s="408"/>
      <c r="BW242" s="408"/>
      <c r="BX242" s="408"/>
      <c r="BY242" s="408"/>
      <c r="BZ242" s="408"/>
      <c r="CA242" s="408"/>
      <c r="CB242" s="408"/>
      <c r="CC242" s="408"/>
      <c r="CD242" s="408"/>
      <c r="CE242" s="408"/>
      <c r="CF242" s="408"/>
      <c r="CG242" s="408"/>
      <c r="CH242" s="408"/>
      <c r="CI242" s="408"/>
      <c r="CJ242" s="408"/>
      <c r="CK242" s="408"/>
      <c r="CL242" s="408"/>
      <c r="CM242" s="408"/>
      <c r="CN242" s="408"/>
    </row>
    <row r="243">
      <c r="A243" s="408"/>
      <c r="B243" s="408"/>
      <c r="C243" s="408"/>
      <c r="D243" s="408"/>
      <c r="E243" s="408"/>
      <c r="F243" s="408"/>
      <c r="G243" s="408"/>
      <c r="H243" s="408"/>
      <c r="I243" s="408"/>
      <c r="J243" s="408"/>
      <c r="K243" s="408"/>
      <c r="L243" s="408"/>
      <c r="M243" s="408"/>
      <c r="N243" s="408"/>
      <c r="O243" s="408"/>
      <c r="P243" s="408"/>
      <c r="Q243" s="408"/>
      <c r="R243" s="408"/>
      <c r="S243" s="408"/>
      <c r="T243" s="408"/>
      <c r="U243" s="408"/>
      <c r="V243" s="408"/>
      <c r="W243" s="408"/>
      <c r="X243" s="408"/>
      <c r="Y243" s="408"/>
      <c r="Z243" s="408"/>
      <c r="AA243" s="408"/>
      <c r="AB243" s="408"/>
      <c r="AC243" s="408"/>
      <c r="AD243" s="408"/>
      <c r="AE243" s="408"/>
      <c r="AF243" s="408"/>
      <c r="AG243" s="408"/>
      <c r="AH243" s="408"/>
      <c r="AI243" s="408"/>
      <c r="AJ243" s="408"/>
      <c r="AK243" s="408"/>
      <c r="AL243" s="408"/>
      <c r="AM243" s="408"/>
      <c r="AN243" s="408"/>
      <c r="AO243" s="408"/>
      <c r="AP243" s="408"/>
      <c r="AQ243" s="408"/>
      <c r="AR243" s="408"/>
      <c r="AS243" s="408"/>
      <c r="AT243" s="408"/>
      <c r="AU243" s="408"/>
      <c r="AV243" s="408"/>
      <c r="AW243" s="408"/>
      <c r="AX243" s="408"/>
      <c r="AY243" s="408"/>
      <c r="AZ243" s="408"/>
      <c r="BA243" s="408"/>
      <c r="BB243" s="408"/>
      <c r="BC243" s="408"/>
      <c r="BD243" s="408"/>
      <c r="BE243" s="408"/>
      <c r="BF243" s="408"/>
      <c r="BG243" s="408"/>
      <c r="BH243" s="408"/>
      <c r="BI243" s="408"/>
      <c r="BJ243" s="408"/>
      <c r="BK243" s="408"/>
      <c r="BL243" s="408"/>
      <c r="BM243" s="408"/>
      <c r="BN243" s="408"/>
      <c r="BO243" s="408"/>
      <c r="BP243" s="408"/>
      <c r="BQ243" s="408"/>
      <c r="BR243" s="408"/>
      <c r="BS243" s="408"/>
      <c r="BT243" s="408"/>
      <c r="BU243" s="408"/>
      <c r="BV243" s="408"/>
      <c r="BW243" s="408"/>
      <c r="BX243" s="408"/>
      <c r="BY243" s="408"/>
      <c r="BZ243" s="408"/>
      <c r="CA243" s="408"/>
      <c r="CB243" s="408"/>
      <c r="CC243" s="408"/>
      <c r="CD243" s="408"/>
      <c r="CE243" s="408"/>
      <c r="CF243" s="408"/>
      <c r="CG243" s="408"/>
      <c r="CH243" s="408"/>
      <c r="CI243" s="408"/>
      <c r="CJ243" s="408"/>
      <c r="CK243" s="408"/>
      <c r="CL243" s="408"/>
      <c r="CM243" s="408"/>
      <c r="CN243" s="408"/>
    </row>
    <row r="244">
      <c r="A244" s="408"/>
      <c r="B244" s="408"/>
      <c r="C244" s="408"/>
      <c r="D244" s="408"/>
      <c r="E244" s="408"/>
      <c r="F244" s="408"/>
      <c r="G244" s="408"/>
      <c r="H244" s="408"/>
      <c r="I244" s="408"/>
      <c r="J244" s="408"/>
      <c r="K244" s="408"/>
      <c r="L244" s="408"/>
      <c r="M244" s="408"/>
      <c r="N244" s="408"/>
      <c r="O244" s="408"/>
      <c r="P244" s="408"/>
      <c r="Q244" s="408"/>
      <c r="R244" s="408"/>
      <c r="S244" s="408"/>
      <c r="T244" s="408"/>
      <c r="U244" s="408"/>
      <c r="V244" s="408"/>
      <c r="W244" s="408"/>
      <c r="X244" s="408"/>
      <c r="Y244" s="408"/>
      <c r="Z244" s="408"/>
      <c r="AA244" s="408"/>
      <c r="AB244" s="408"/>
      <c r="AC244" s="408"/>
      <c r="AD244" s="408"/>
      <c r="AE244" s="408"/>
      <c r="AF244" s="408"/>
      <c r="AG244" s="408"/>
      <c r="AH244" s="408"/>
      <c r="AI244" s="408"/>
      <c r="AJ244" s="408"/>
      <c r="AK244" s="408"/>
      <c r="AL244" s="408"/>
      <c r="AM244" s="408"/>
      <c r="AN244" s="408"/>
      <c r="AO244" s="408"/>
      <c r="AP244" s="408"/>
      <c r="AQ244" s="408"/>
      <c r="AR244" s="408"/>
      <c r="AS244" s="408"/>
      <c r="AT244" s="408"/>
      <c r="AU244" s="408"/>
      <c r="AV244" s="408"/>
      <c r="AW244" s="408"/>
      <c r="AX244" s="408"/>
      <c r="AY244" s="408"/>
      <c r="AZ244" s="408"/>
      <c r="BA244" s="408"/>
      <c r="BB244" s="408"/>
      <c r="BC244" s="408"/>
      <c r="BD244" s="408"/>
      <c r="BE244" s="408"/>
      <c r="BF244" s="408"/>
      <c r="BG244" s="408"/>
      <c r="BH244" s="408"/>
      <c r="BI244" s="408"/>
      <c r="BJ244" s="408"/>
      <c r="BK244" s="408"/>
      <c r="BL244" s="408"/>
      <c r="BM244" s="408"/>
      <c r="BN244" s="408"/>
      <c r="BO244" s="408"/>
      <c r="BP244" s="408"/>
      <c r="BQ244" s="408"/>
      <c r="BR244" s="408"/>
      <c r="BS244" s="408"/>
      <c r="BT244" s="408"/>
      <c r="BU244" s="408"/>
      <c r="BV244" s="408"/>
      <c r="BW244" s="408"/>
      <c r="BX244" s="408"/>
      <c r="BY244" s="408"/>
      <c r="BZ244" s="408"/>
      <c r="CA244" s="408"/>
      <c r="CB244" s="408"/>
      <c r="CC244" s="408"/>
      <c r="CD244" s="408"/>
      <c r="CE244" s="408"/>
      <c r="CF244" s="408"/>
      <c r="CG244" s="408"/>
      <c r="CH244" s="408"/>
      <c r="CI244" s="408"/>
      <c r="CJ244" s="408"/>
      <c r="CK244" s="408"/>
      <c r="CL244" s="408"/>
      <c r="CM244" s="408"/>
      <c r="CN244" s="408"/>
    </row>
    <row r="245">
      <c r="A245" s="408"/>
      <c r="B245" s="408"/>
      <c r="C245" s="408"/>
      <c r="D245" s="408"/>
      <c r="E245" s="408"/>
      <c r="F245" s="408"/>
      <c r="G245" s="408"/>
      <c r="H245" s="408"/>
      <c r="I245" s="408"/>
      <c r="J245" s="408"/>
      <c r="K245" s="408"/>
      <c r="L245" s="408"/>
      <c r="M245" s="408"/>
      <c r="N245" s="408"/>
      <c r="O245" s="408"/>
      <c r="P245" s="408"/>
      <c r="Q245" s="408"/>
      <c r="R245" s="408"/>
      <c r="S245" s="408"/>
      <c r="T245" s="408"/>
      <c r="U245" s="408"/>
      <c r="V245" s="408"/>
      <c r="W245" s="408"/>
      <c r="X245" s="408"/>
      <c r="Y245" s="408"/>
      <c r="Z245" s="408"/>
      <c r="AA245" s="408"/>
      <c r="AB245" s="408"/>
      <c r="AC245" s="408"/>
      <c r="AD245" s="408"/>
      <c r="AE245" s="408"/>
      <c r="AF245" s="408"/>
      <c r="AG245" s="408"/>
      <c r="AH245" s="408"/>
      <c r="AI245" s="408"/>
      <c r="AJ245" s="408"/>
      <c r="AK245" s="408"/>
      <c r="AL245" s="408"/>
      <c r="AM245" s="408"/>
      <c r="AN245" s="408"/>
      <c r="AO245" s="408"/>
      <c r="AP245" s="408"/>
      <c r="AQ245" s="408"/>
      <c r="AR245" s="408"/>
      <c r="AS245" s="408"/>
      <c r="AT245" s="408"/>
      <c r="AU245" s="408"/>
      <c r="AV245" s="408"/>
      <c r="AW245" s="408"/>
      <c r="AX245" s="408"/>
      <c r="AY245" s="408"/>
      <c r="AZ245" s="408"/>
      <c r="BA245" s="408"/>
      <c r="BB245" s="408"/>
      <c r="BC245" s="408"/>
      <c r="BD245" s="408"/>
      <c r="BE245" s="408"/>
      <c r="BF245" s="408"/>
      <c r="BG245" s="408"/>
      <c r="BH245" s="408"/>
      <c r="BI245" s="408"/>
      <c r="BJ245" s="408"/>
      <c r="BK245" s="408"/>
      <c r="BL245" s="408"/>
      <c r="BM245" s="408"/>
      <c r="BN245" s="408"/>
      <c r="BO245" s="408"/>
      <c r="BP245" s="408"/>
      <c r="BQ245" s="408"/>
      <c r="BR245" s="408"/>
      <c r="BS245" s="408"/>
      <c r="BT245" s="408"/>
      <c r="BU245" s="408"/>
      <c r="BV245" s="408"/>
      <c r="BW245" s="408"/>
      <c r="BX245" s="408"/>
      <c r="BY245" s="408"/>
      <c r="BZ245" s="408"/>
      <c r="CA245" s="408"/>
      <c r="CB245" s="408"/>
      <c r="CC245" s="408"/>
      <c r="CD245" s="408"/>
      <c r="CE245" s="408"/>
      <c r="CF245" s="408"/>
      <c r="CG245" s="408"/>
      <c r="CH245" s="408"/>
      <c r="CI245" s="408"/>
      <c r="CJ245" s="408"/>
      <c r="CK245" s="408"/>
      <c r="CL245" s="408"/>
      <c r="CM245" s="408"/>
      <c r="CN245" s="408"/>
    </row>
    <row r="246">
      <c r="A246" s="408"/>
      <c r="B246" s="408"/>
      <c r="C246" s="408"/>
      <c r="D246" s="408"/>
      <c r="E246" s="408"/>
      <c r="F246" s="408"/>
      <c r="G246" s="408"/>
      <c r="H246" s="408"/>
      <c r="I246" s="408"/>
      <c r="J246" s="408"/>
      <c r="K246" s="408"/>
      <c r="L246" s="408"/>
      <c r="M246" s="408"/>
      <c r="N246" s="408"/>
      <c r="O246" s="408"/>
      <c r="P246" s="408"/>
      <c r="Q246" s="408"/>
      <c r="R246" s="408"/>
      <c r="S246" s="408"/>
      <c r="T246" s="408"/>
      <c r="U246" s="408"/>
      <c r="V246" s="408"/>
      <c r="W246" s="408"/>
      <c r="X246" s="408"/>
      <c r="Y246" s="408"/>
      <c r="Z246" s="408"/>
      <c r="AA246" s="408"/>
      <c r="AB246" s="408"/>
      <c r="AC246" s="408"/>
      <c r="AD246" s="408"/>
      <c r="AE246" s="408"/>
      <c r="AF246" s="408"/>
      <c r="AG246" s="408"/>
      <c r="AH246" s="408"/>
      <c r="AI246" s="408"/>
      <c r="AJ246" s="408"/>
      <c r="AK246" s="408"/>
      <c r="AL246" s="408"/>
      <c r="AM246" s="408"/>
      <c r="AN246" s="408"/>
      <c r="AO246" s="408"/>
      <c r="AP246" s="408"/>
      <c r="AQ246" s="408"/>
      <c r="AR246" s="408"/>
      <c r="AS246" s="408"/>
      <c r="AT246" s="408"/>
      <c r="AU246" s="408"/>
      <c r="AV246" s="408"/>
      <c r="AW246" s="408"/>
      <c r="AX246" s="408"/>
      <c r="AY246" s="408"/>
      <c r="AZ246" s="408"/>
      <c r="BA246" s="408"/>
      <c r="BB246" s="408"/>
      <c r="BC246" s="408"/>
      <c r="BD246" s="408"/>
      <c r="BE246" s="408"/>
      <c r="BF246" s="408"/>
      <c r="BG246" s="408"/>
      <c r="BH246" s="408"/>
      <c r="BI246" s="408"/>
      <c r="BJ246" s="408"/>
      <c r="BK246" s="408"/>
      <c r="BL246" s="408"/>
      <c r="BM246" s="408"/>
      <c r="BN246" s="408"/>
      <c r="BO246" s="408"/>
      <c r="BP246" s="408"/>
      <c r="BQ246" s="408"/>
      <c r="BR246" s="408"/>
      <c r="BS246" s="408"/>
      <c r="BT246" s="408"/>
      <c r="BU246" s="408"/>
      <c r="BV246" s="408"/>
      <c r="BW246" s="408"/>
      <c r="BX246" s="408"/>
      <c r="BY246" s="408"/>
      <c r="BZ246" s="408"/>
      <c r="CA246" s="408"/>
      <c r="CB246" s="408"/>
      <c r="CC246" s="408"/>
      <c r="CD246" s="408"/>
      <c r="CE246" s="408"/>
      <c r="CF246" s="408"/>
      <c r="CG246" s="408"/>
      <c r="CH246" s="408"/>
      <c r="CI246" s="408"/>
      <c r="CJ246" s="408"/>
      <c r="CK246" s="408"/>
      <c r="CL246" s="408"/>
      <c r="CM246" s="408"/>
      <c r="CN246" s="408"/>
    </row>
    <row r="247">
      <c r="A247" s="408"/>
      <c r="B247" s="408"/>
      <c r="C247" s="408"/>
      <c r="D247" s="408"/>
      <c r="E247" s="408"/>
      <c r="F247" s="408"/>
      <c r="G247" s="408"/>
      <c r="H247" s="408"/>
      <c r="I247" s="408"/>
      <c r="J247" s="408"/>
      <c r="K247" s="408"/>
      <c r="L247" s="408"/>
      <c r="M247" s="408"/>
      <c r="N247" s="408"/>
      <c r="O247" s="408"/>
      <c r="P247" s="408"/>
      <c r="Q247" s="408"/>
      <c r="R247" s="408"/>
      <c r="S247" s="408"/>
      <c r="T247" s="408"/>
      <c r="U247" s="408"/>
      <c r="V247" s="408"/>
      <c r="W247" s="408"/>
      <c r="X247" s="408"/>
      <c r="Y247" s="408"/>
      <c r="Z247" s="408"/>
      <c r="AA247" s="408"/>
      <c r="AB247" s="408"/>
      <c r="AC247" s="408"/>
      <c r="AD247" s="408"/>
      <c r="AE247" s="408"/>
      <c r="AF247" s="408"/>
      <c r="AG247" s="408"/>
      <c r="AH247" s="408"/>
      <c r="AI247" s="408"/>
      <c r="AJ247" s="408"/>
      <c r="AK247" s="408"/>
      <c r="AL247" s="408"/>
      <c r="AM247" s="408"/>
      <c r="AN247" s="408"/>
      <c r="AO247" s="408"/>
      <c r="AP247" s="408"/>
      <c r="AQ247" s="408"/>
      <c r="AR247" s="408"/>
      <c r="AS247" s="408"/>
      <c r="AT247" s="408"/>
      <c r="AU247" s="408"/>
      <c r="AV247" s="408"/>
      <c r="AW247" s="408"/>
      <c r="AX247" s="408"/>
      <c r="AY247" s="408"/>
      <c r="AZ247" s="408"/>
      <c r="BA247" s="408"/>
      <c r="BB247" s="408"/>
      <c r="BC247" s="408"/>
      <c r="BD247" s="408"/>
      <c r="BE247" s="408"/>
      <c r="BF247" s="408"/>
      <c r="BG247" s="408"/>
      <c r="BH247" s="408"/>
      <c r="BI247" s="408"/>
      <c r="BJ247" s="408"/>
      <c r="BK247" s="408"/>
      <c r="BL247" s="408"/>
      <c r="BM247" s="408"/>
      <c r="BN247" s="408"/>
      <c r="BO247" s="408"/>
      <c r="BP247" s="408"/>
      <c r="BQ247" s="408"/>
      <c r="BR247" s="408"/>
      <c r="BS247" s="408"/>
      <c r="BT247" s="408"/>
      <c r="BU247" s="408"/>
      <c r="BV247" s="408"/>
      <c r="BW247" s="408"/>
      <c r="BX247" s="408"/>
      <c r="BY247" s="408"/>
      <c r="BZ247" s="408"/>
      <c r="CA247" s="408"/>
      <c r="CB247" s="408"/>
      <c r="CC247" s="408"/>
      <c r="CD247" s="408"/>
      <c r="CE247" s="408"/>
      <c r="CF247" s="408"/>
      <c r="CG247" s="408"/>
      <c r="CH247" s="408"/>
      <c r="CI247" s="408"/>
      <c r="CJ247" s="408"/>
      <c r="CK247" s="408"/>
      <c r="CL247" s="408"/>
      <c r="CM247" s="408"/>
      <c r="CN247" s="408"/>
    </row>
    <row r="248">
      <c r="A248" s="408"/>
      <c r="B248" s="408"/>
      <c r="C248" s="408"/>
      <c r="D248" s="408"/>
      <c r="E248" s="408"/>
      <c r="F248" s="408"/>
      <c r="G248" s="408"/>
      <c r="H248" s="408"/>
      <c r="I248" s="408"/>
      <c r="J248" s="408"/>
      <c r="K248" s="408"/>
      <c r="L248" s="408"/>
      <c r="M248" s="408"/>
      <c r="N248" s="408"/>
      <c r="O248" s="408"/>
      <c r="P248" s="408"/>
      <c r="Q248" s="408"/>
      <c r="R248" s="408"/>
      <c r="S248" s="408"/>
      <c r="T248" s="408"/>
      <c r="U248" s="408"/>
      <c r="V248" s="408"/>
      <c r="W248" s="408"/>
      <c r="X248" s="408"/>
      <c r="Y248" s="408"/>
      <c r="Z248" s="408"/>
      <c r="AA248" s="408"/>
      <c r="AB248" s="408"/>
      <c r="AC248" s="408"/>
      <c r="AD248" s="408"/>
      <c r="AE248" s="408"/>
      <c r="AF248" s="408"/>
      <c r="AG248" s="408"/>
      <c r="AH248" s="408"/>
      <c r="AI248" s="408"/>
      <c r="AJ248" s="408"/>
      <c r="AK248" s="408"/>
      <c r="AL248" s="408"/>
      <c r="AM248" s="408"/>
      <c r="AN248" s="408"/>
      <c r="AO248" s="408"/>
      <c r="AP248" s="408"/>
      <c r="AQ248" s="408"/>
      <c r="AR248" s="408"/>
      <c r="AS248" s="408"/>
      <c r="AT248" s="408"/>
      <c r="AU248" s="408"/>
      <c r="AV248" s="408"/>
      <c r="AW248" s="408"/>
      <c r="AX248" s="408"/>
      <c r="AY248" s="408"/>
      <c r="AZ248" s="408"/>
      <c r="BA248" s="408"/>
      <c r="BB248" s="408"/>
      <c r="BC248" s="408"/>
      <c r="BD248" s="408"/>
      <c r="BE248" s="408"/>
      <c r="BF248" s="408"/>
      <c r="BG248" s="408"/>
      <c r="BH248" s="408"/>
      <c r="BI248" s="408"/>
      <c r="BJ248" s="408"/>
      <c r="BK248" s="408"/>
      <c r="BL248" s="408"/>
      <c r="BM248" s="408"/>
      <c r="BN248" s="408"/>
      <c r="BO248" s="408"/>
      <c r="BP248" s="408"/>
      <c r="BQ248" s="408"/>
      <c r="BR248" s="408"/>
      <c r="BS248" s="408"/>
      <c r="BT248" s="408"/>
      <c r="BU248" s="408"/>
      <c r="BV248" s="408"/>
      <c r="BW248" s="408"/>
      <c r="BX248" s="408"/>
      <c r="BY248" s="408"/>
      <c r="BZ248" s="408"/>
      <c r="CA248" s="408"/>
      <c r="CB248" s="408"/>
      <c r="CC248" s="408"/>
      <c r="CD248" s="408"/>
      <c r="CE248" s="408"/>
      <c r="CF248" s="408"/>
      <c r="CG248" s="408"/>
      <c r="CH248" s="408"/>
      <c r="CI248" s="408"/>
      <c r="CJ248" s="408"/>
      <c r="CK248" s="408"/>
      <c r="CL248" s="408"/>
      <c r="CM248" s="408"/>
      <c r="CN248" s="408"/>
    </row>
    <row r="249">
      <c r="A249" s="408"/>
      <c r="B249" s="408"/>
      <c r="C249" s="408"/>
      <c r="D249" s="408"/>
      <c r="E249" s="408"/>
      <c r="F249" s="408"/>
      <c r="G249" s="408"/>
      <c r="H249" s="408"/>
      <c r="I249" s="408"/>
      <c r="J249" s="408"/>
      <c r="K249" s="408"/>
      <c r="L249" s="408"/>
      <c r="M249" s="408"/>
      <c r="N249" s="408"/>
      <c r="O249" s="408"/>
      <c r="P249" s="408"/>
      <c r="Q249" s="408"/>
      <c r="R249" s="408"/>
      <c r="S249" s="408"/>
      <c r="T249" s="408"/>
      <c r="U249" s="408"/>
      <c r="V249" s="408"/>
      <c r="W249" s="408"/>
      <c r="X249" s="408"/>
      <c r="Y249" s="408"/>
      <c r="Z249" s="408"/>
      <c r="AA249" s="408"/>
      <c r="AB249" s="408"/>
      <c r="AC249" s="408"/>
      <c r="AD249" s="408"/>
      <c r="AE249" s="408"/>
      <c r="AF249" s="408"/>
      <c r="AG249" s="408"/>
      <c r="AH249" s="408"/>
      <c r="AI249" s="408"/>
      <c r="AJ249" s="408"/>
      <c r="AK249" s="408"/>
      <c r="AL249" s="408"/>
      <c r="AM249" s="408"/>
      <c r="AN249" s="408"/>
      <c r="AO249" s="408"/>
      <c r="AP249" s="408"/>
      <c r="AQ249" s="408"/>
      <c r="AR249" s="408"/>
      <c r="AS249" s="408"/>
      <c r="AT249" s="408"/>
      <c r="AU249" s="408"/>
      <c r="AV249" s="408"/>
      <c r="AW249" s="408"/>
      <c r="AX249" s="408"/>
      <c r="AY249" s="408"/>
      <c r="AZ249" s="408"/>
      <c r="BA249" s="408"/>
      <c r="BB249" s="408"/>
      <c r="BC249" s="408"/>
      <c r="BD249" s="408"/>
      <c r="BE249" s="408"/>
      <c r="BF249" s="408"/>
      <c r="BG249" s="408"/>
      <c r="BH249" s="408"/>
      <c r="BI249" s="408"/>
      <c r="BJ249" s="408"/>
      <c r="BK249" s="408"/>
      <c r="BL249" s="408"/>
      <c r="BM249" s="408"/>
      <c r="BN249" s="408"/>
      <c r="BO249" s="408"/>
      <c r="BP249" s="408"/>
      <c r="BQ249" s="408"/>
      <c r="BR249" s="408"/>
      <c r="BS249" s="408"/>
      <c r="BT249" s="408"/>
      <c r="BU249" s="408"/>
      <c r="BV249" s="408"/>
      <c r="BW249" s="408"/>
      <c r="BX249" s="408"/>
      <c r="BY249" s="408"/>
      <c r="BZ249" s="408"/>
      <c r="CA249" s="408"/>
      <c r="CB249" s="408"/>
      <c r="CC249" s="408"/>
      <c r="CD249" s="408"/>
      <c r="CE249" s="408"/>
      <c r="CF249" s="408"/>
      <c r="CG249" s="408"/>
      <c r="CH249" s="408"/>
      <c r="CI249" s="408"/>
      <c r="CJ249" s="408"/>
      <c r="CK249" s="408"/>
      <c r="CL249" s="408"/>
      <c r="CM249" s="408"/>
      <c r="CN249" s="408"/>
    </row>
    <row r="250">
      <c r="A250" s="408"/>
      <c r="B250" s="408"/>
      <c r="C250" s="408"/>
      <c r="D250" s="408"/>
      <c r="E250" s="408"/>
      <c r="F250" s="408"/>
      <c r="G250" s="408"/>
      <c r="H250" s="408"/>
      <c r="I250" s="408"/>
      <c r="J250" s="408"/>
      <c r="K250" s="408"/>
      <c r="L250" s="408"/>
      <c r="M250" s="408"/>
      <c r="N250" s="408"/>
      <c r="O250" s="408"/>
      <c r="P250" s="408"/>
      <c r="Q250" s="408"/>
      <c r="R250" s="408"/>
      <c r="S250" s="408"/>
      <c r="T250" s="408"/>
      <c r="U250" s="408"/>
      <c r="V250" s="408"/>
      <c r="W250" s="408"/>
      <c r="X250" s="408"/>
      <c r="Y250" s="408"/>
      <c r="Z250" s="408"/>
      <c r="AA250" s="408"/>
      <c r="AB250" s="408"/>
      <c r="AC250" s="408"/>
      <c r="AD250" s="408"/>
      <c r="AE250" s="408"/>
      <c r="AF250" s="408"/>
      <c r="AG250" s="408"/>
      <c r="AH250" s="408"/>
      <c r="AI250" s="408"/>
      <c r="AJ250" s="408"/>
      <c r="AK250" s="408"/>
      <c r="AL250" s="408"/>
      <c r="AM250" s="408"/>
      <c r="AN250" s="408"/>
      <c r="AO250" s="408"/>
      <c r="AP250" s="408"/>
      <c r="AQ250" s="408"/>
      <c r="AR250" s="408"/>
      <c r="AS250" s="408"/>
      <c r="AT250" s="408"/>
      <c r="AU250" s="408"/>
      <c r="AV250" s="408"/>
      <c r="AW250" s="408"/>
      <c r="AX250" s="408"/>
      <c r="AY250" s="408"/>
      <c r="AZ250" s="408"/>
      <c r="BA250" s="408"/>
      <c r="BB250" s="408"/>
      <c r="BC250" s="408"/>
      <c r="BD250" s="408"/>
      <c r="BE250" s="408"/>
      <c r="BF250" s="408"/>
      <c r="BG250" s="408"/>
      <c r="BH250" s="408"/>
      <c r="BI250" s="408"/>
      <c r="BJ250" s="408"/>
      <c r="BK250" s="408"/>
      <c r="BL250" s="408"/>
      <c r="BM250" s="408"/>
      <c r="BN250" s="408"/>
      <c r="BO250" s="408"/>
      <c r="BP250" s="408"/>
      <c r="BQ250" s="408"/>
      <c r="BR250" s="408"/>
      <c r="BS250" s="408"/>
      <c r="BT250" s="408"/>
      <c r="BU250" s="408"/>
      <c r="BV250" s="408"/>
      <c r="BW250" s="408"/>
      <c r="BX250" s="408"/>
      <c r="BY250" s="408"/>
      <c r="BZ250" s="408"/>
      <c r="CA250" s="408"/>
      <c r="CB250" s="408"/>
      <c r="CC250" s="408"/>
      <c r="CD250" s="408"/>
      <c r="CE250" s="408"/>
      <c r="CF250" s="408"/>
      <c r="CG250" s="408"/>
      <c r="CH250" s="408"/>
      <c r="CI250" s="408"/>
      <c r="CJ250" s="408"/>
      <c r="CK250" s="408"/>
      <c r="CL250" s="408"/>
      <c r="CM250" s="408"/>
      <c r="CN250" s="408"/>
    </row>
    <row r="251">
      <c r="A251" s="408"/>
      <c r="B251" s="408"/>
      <c r="C251" s="408"/>
      <c r="D251" s="408"/>
      <c r="E251" s="408"/>
      <c r="F251" s="408"/>
      <c r="G251" s="408"/>
      <c r="H251" s="408"/>
      <c r="I251" s="408"/>
      <c r="J251" s="408"/>
      <c r="K251" s="408"/>
      <c r="L251" s="408"/>
      <c r="M251" s="408"/>
      <c r="N251" s="408"/>
      <c r="O251" s="408"/>
      <c r="P251" s="408"/>
      <c r="Q251" s="408"/>
      <c r="R251" s="408"/>
      <c r="S251" s="408"/>
      <c r="T251" s="408"/>
      <c r="U251" s="408"/>
      <c r="V251" s="408"/>
      <c r="W251" s="408"/>
      <c r="X251" s="408"/>
      <c r="Y251" s="408"/>
      <c r="Z251" s="408"/>
      <c r="AA251" s="408"/>
      <c r="AB251" s="408"/>
      <c r="AC251" s="408"/>
      <c r="AD251" s="408"/>
      <c r="AE251" s="408"/>
      <c r="AF251" s="408"/>
      <c r="AG251" s="408"/>
      <c r="AH251" s="408"/>
      <c r="AI251" s="408"/>
      <c r="AJ251" s="408"/>
      <c r="AK251" s="408"/>
      <c r="AL251" s="408"/>
      <c r="AM251" s="408"/>
      <c r="AN251" s="408"/>
      <c r="AO251" s="408"/>
      <c r="AP251" s="408"/>
      <c r="AQ251" s="408"/>
      <c r="AR251" s="408"/>
      <c r="AS251" s="408"/>
      <c r="AT251" s="408"/>
      <c r="AU251" s="408"/>
      <c r="AV251" s="408"/>
      <c r="AW251" s="408"/>
      <c r="AX251" s="408"/>
      <c r="AY251" s="408"/>
      <c r="AZ251" s="408"/>
      <c r="BA251" s="408"/>
      <c r="BB251" s="408"/>
      <c r="BC251" s="408"/>
      <c r="BD251" s="408"/>
      <c r="BE251" s="408"/>
      <c r="BF251" s="408"/>
      <c r="BG251" s="408"/>
      <c r="BH251" s="408"/>
      <c r="BI251" s="408"/>
      <c r="BJ251" s="408"/>
      <c r="BK251" s="408"/>
      <c r="BL251" s="408"/>
      <c r="BM251" s="408"/>
      <c r="BN251" s="408"/>
      <c r="BO251" s="408"/>
      <c r="BP251" s="408"/>
      <c r="BQ251" s="408"/>
      <c r="BR251" s="408"/>
      <c r="BS251" s="408"/>
      <c r="BT251" s="408"/>
      <c r="BU251" s="408"/>
      <c r="BV251" s="408"/>
      <c r="BW251" s="408"/>
      <c r="BX251" s="408"/>
      <c r="BY251" s="408"/>
      <c r="BZ251" s="408"/>
      <c r="CA251" s="408"/>
      <c r="CB251" s="408"/>
      <c r="CC251" s="408"/>
      <c r="CD251" s="408"/>
      <c r="CE251" s="408"/>
      <c r="CF251" s="408"/>
      <c r="CG251" s="408"/>
      <c r="CH251" s="408"/>
      <c r="CI251" s="408"/>
      <c r="CJ251" s="408"/>
      <c r="CK251" s="408"/>
      <c r="CL251" s="408"/>
      <c r="CM251" s="408"/>
      <c r="CN251" s="408"/>
    </row>
    <row r="252">
      <c r="A252" s="408"/>
      <c r="B252" s="408"/>
      <c r="C252" s="408"/>
      <c r="D252" s="408"/>
      <c r="E252" s="408"/>
      <c r="F252" s="408"/>
      <c r="G252" s="408"/>
      <c r="H252" s="408"/>
      <c r="I252" s="408"/>
      <c r="J252" s="408"/>
      <c r="K252" s="408"/>
      <c r="L252" s="408"/>
      <c r="M252" s="408"/>
      <c r="N252" s="408"/>
      <c r="O252" s="408"/>
      <c r="P252" s="408"/>
      <c r="Q252" s="408"/>
      <c r="R252" s="408"/>
      <c r="S252" s="408"/>
      <c r="T252" s="408"/>
      <c r="U252" s="408"/>
      <c r="V252" s="408"/>
      <c r="W252" s="408"/>
      <c r="X252" s="408"/>
      <c r="Y252" s="408"/>
      <c r="Z252" s="408"/>
      <c r="AA252" s="408"/>
      <c r="AB252" s="408"/>
      <c r="AC252" s="408"/>
      <c r="AD252" s="408"/>
      <c r="AE252" s="408"/>
      <c r="AF252" s="408"/>
      <c r="AG252" s="408"/>
      <c r="AH252" s="408"/>
      <c r="AI252" s="408"/>
      <c r="AJ252" s="408"/>
      <c r="AK252" s="408"/>
      <c r="AL252" s="408"/>
      <c r="AM252" s="408"/>
      <c r="AN252" s="408"/>
      <c r="AO252" s="408"/>
      <c r="AP252" s="408"/>
      <c r="AQ252" s="408"/>
      <c r="AR252" s="408"/>
      <c r="AS252" s="408"/>
      <c r="AT252" s="408"/>
      <c r="AU252" s="408"/>
      <c r="AV252" s="408"/>
      <c r="AW252" s="408"/>
      <c r="AX252" s="408"/>
      <c r="AY252" s="408"/>
      <c r="AZ252" s="408"/>
      <c r="BA252" s="408"/>
      <c r="BB252" s="408"/>
      <c r="BC252" s="408"/>
      <c r="BD252" s="408"/>
      <c r="BE252" s="408"/>
      <c r="BF252" s="408"/>
      <c r="BG252" s="408"/>
      <c r="BH252" s="408"/>
      <c r="BI252" s="408"/>
      <c r="BJ252" s="408"/>
      <c r="BK252" s="408"/>
      <c r="BL252" s="408"/>
      <c r="BM252" s="408"/>
      <c r="BN252" s="408"/>
      <c r="BO252" s="408"/>
      <c r="BP252" s="408"/>
      <c r="BQ252" s="408"/>
      <c r="BR252" s="408"/>
      <c r="BS252" s="408"/>
      <c r="BT252" s="408"/>
      <c r="BU252" s="408"/>
      <c r="BV252" s="408"/>
      <c r="BW252" s="408"/>
      <c r="BX252" s="408"/>
      <c r="BY252" s="408"/>
      <c r="BZ252" s="408"/>
      <c r="CA252" s="408"/>
      <c r="CB252" s="408"/>
      <c r="CC252" s="408"/>
      <c r="CD252" s="408"/>
      <c r="CE252" s="408"/>
      <c r="CF252" s="408"/>
      <c r="CG252" s="408"/>
      <c r="CH252" s="408"/>
      <c r="CI252" s="408"/>
      <c r="CJ252" s="408"/>
      <c r="CK252" s="408"/>
      <c r="CL252" s="408"/>
      <c r="CM252" s="408"/>
      <c r="CN252" s="408"/>
    </row>
    <row r="253">
      <c r="A253" s="408"/>
      <c r="B253" s="408"/>
      <c r="C253" s="408"/>
      <c r="D253" s="408"/>
      <c r="E253" s="408"/>
      <c r="F253" s="408"/>
      <c r="G253" s="408"/>
      <c r="H253" s="408"/>
      <c r="I253" s="408"/>
      <c r="J253" s="408"/>
      <c r="K253" s="408"/>
      <c r="L253" s="408"/>
      <c r="M253" s="408"/>
      <c r="N253" s="408"/>
      <c r="O253" s="408"/>
      <c r="P253" s="408"/>
      <c r="Q253" s="408"/>
      <c r="R253" s="408"/>
      <c r="S253" s="408"/>
      <c r="T253" s="408"/>
      <c r="U253" s="408"/>
      <c r="V253" s="408"/>
      <c r="W253" s="408"/>
      <c r="X253" s="408"/>
      <c r="Y253" s="408"/>
      <c r="Z253" s="408"/>
      <c r="AA253" s="408"/>
      <c r="AB253" s="408"/>
      <c r="AC253" s="408"/>
      <c r="AD253" s="408"/>
      <c r="AE253" s="408"/>
      <c r="AF253" s="408"/>
      <c r="AG253" s="408"/>
      <c r="AH253" s="408"/>
      <c r="AI253" s="408"/>
      <c r="AJ253" s="408"/>
      <c r="AK253" s="408"/>
      <c r="AL253" s="408"/>
      <c r="AM253" s="408"/>
      <c r="AN253" s="408"/>
      <c r="AO253" s="408"/>
      <c r="AP253" s="408"/>
      <c r="AQ253" s="408"/>
      <c r="AR253" s="408"/>
      <c r="AS253" s="408"/>
      <c r="AT253" s="408"/>
      <c r="AU253" s="408"/>
      <c r="AV253" s="408"/>
      <c r="AW253" s="408"/>
      <c r="AX253" s="408"/>
      <c r="AY253" s="408"/>
      <c r="AZ253" s="408"/>
      <c r="BA253" s="408"/>
      <c r="BB253" s="408"/>
      <c r="BC253" s="408"/>
      <c r="BD253" s="408"/>
      <c r="BE253" s="408"/>
      <c r="BF253" s="408"/>
      <c r="BG253" s="408"/>
      <c r="BH253" s="408"/>
      <c r="BI253" s="408"/>
      <c r="BJ253" s="408"/>
      <c r="BK253" s="408"/>
      <c r="BL253" s="408"/>
      <c r="BM253" s="408"/>
      <c r="BN253" s="408"/>
      <c r="BO253" s="408"/>
      <c r="BP253" s="408"/>
      <c r="BQ253" s="408"/>
      <c r="BR253" s="408"/>
      <c r="BS253" s="408"/>
      <c r="BT253" s="408"/>
      <c r="BU253" s="408"/>
      <c r="BV253" s="408"/>
      <c r="BW253" s="408"/>
      <c r="BX253" s="408"/>
      <c r="BY253" s="408"/>
      <c r="BZ253" s="408"/>
      <c r="CA253" s="408"/>
      <c r="CB253" s="408"/>
      <c r="CC253" s="408"/>
      <c r="CD253" s="408"/>
      <c r="CE253" s="408"/>
      <c r="CF253" s="408"/>
      <c r="CG253" s="408"/>
      <c r="CH253" s="408"/>
      <c r="CI253" s="408"/>
      <c r="CJ253" s="408"/>
      <c r="CK253" s="408"/>
      <c r="CL253" s="408"/>
      <c r="CM253" s="408"/>
      <c r="CN253" s="408"/>
    </row>
    <row r="254">
      <c r="A254" s="408"/>
      <c r="B254" s="408"/>
      <c r="C254" s="408"/>
      <c r="D254" s="408"/>
      <c r="E254" s="408"/>
      <c r="F254" s="408"/>
      <c r="G254" s="408"/>
      <c r="H254" s="408"/>
      <c r="I254" s="408"/>
      <c r="J254" s="408"/>
      <c r="K254" s="408"/>
      <c r="L254" s="408"/>
      <c r="M254" s="408"/>
      <c r="N254" s="408"/>
      <c r="O254" s="408"/>
      <c r="P254" s="408"/>
      <c r="Q254" s="408"/>
      <c r="R254" s="408"/>
      <c r="S254" s="408"/>
      <c r="T254" s="408"/>
      <c r="U254" s="408"/>
      <c r="V254" s="408"/>
      <c r="W254" s="408"/>
      <c r="X254" s="408"/>
      <c r="Y254" s="408"/>
      <c r="Z254" s="408"/>
      <c r="AA254" s="408"/>
      <c r="AB254" s="408"/>
      <c r="AC254" s="408"/>
      <c r="AD254" s="408"/>
      <c r="AE254" s="408"/>
      <c r="AF254" s="408"/>
      <c r="AG254" s="408"/>
      <c r="AH254" s="408"/>
      <c r="AI254" s="408"/>
      <c r="AJ254" s="408"/>
      <c r="AK254" s="408"/>
      <c r="AL254" s="408"/>
      <c r="AM254" s="408"/>
      <c r="AN254" s="408"/>
      <c r="AO254" s="408"/>
      <c r="AP254" s="408"/>
      <c r="AQ254" s="408"/>
      <c r="AR254" s="408"/>
      <c r="AS254" s="408"/>
      <c r="AT254" s="408"/>
      <c r="AU254" s="408"/>
      <c r="AV254" s="408"/>
      <c r="AW254" s="408"/>
      <c r="AX254" s="408"/>
      <c r="AY254" s="408"/>
      <c r="AZ254" s="408"/>
      <c r="BA254" s="408"/>
      <c r="BB254" s="408"/>
      <c r="BC254" s="408"/>
      <c r="BD254" s="408"/>
      <c r="BE254" s="408"/>
      <c r="BF254" s="408"/>
      <c r="BG254" s="408"/>
      <c r="BH254" s="408"/>
      <c r="BI254" s="408"/>
      <c r="BJ254" s="408"/>
      <c r="BK254" s="408"/>
      <c r="BL254" s="408"/>
      <c r="BM254" s="408"/>
      <c r="BN254" s="408"/>
      <c r="BO254" s="408"/>
      <c r="BP254" s="408"/>
      <c r="BQ254" s="408"/>
      <c r="BR254" s="408"/>
      <c r="BS254" s="408"/>
      <c r="BT254" s="408"/>
      <c r="BU254" s="408"/>
      <c r="BV254" s="408"/>
      <c r="BW254" s="408"/>
      <c r="BX254" s="408"/>
      <c r="BY254" s="408"/>
      <c r="BZ254" s="408"/>
      <c r="CA254" s="408"/>
      <c r="CB254" s="408"/>
      <c r="CC254" s="408"/>
      <c r="CD254" s="408"/>
      <c r="CE254" s="408"/>
      <c r="CF254" s="408"/>
      <c r="CG254" s="408"/>
      <c r="CH254" s="408"/>
      <c r="CI254" s="408"/>
      <c r="CJ254" s="408"/>
      <c r="CK254" s="408"/>
      <c r="CL254" s="408"/>
      <c r="CM254" s="408"/>
      <c r="CN254" s="408"/>
    </row>
    <row r="255">
      <c r="A255" s="408"/>
      <c r="B255" s="408"/>
      <c r="C255" s="408"/>
      <c r="D255" s="408"/>
      <c r="E255" s="408"/>
      <c r="F255" s="408"/>
      <c r="G255" s="408"/>
      <c r="H255" s="408"/>
      <c r="I255" s="408"/>
      <c r="J255" s="408"/>
      <c r="K255" s="408"/>
      <c r="L255" s="408"/>
      <c r="M255" s="408"/>
      <c r="N255" s="408"/>
      <c r="O255" s="408"/>
      <c r="P255" s="408"/>
      <c r="Q255" s="408"/>
      <c r="R255" s="408"/>
      <c r="S255" s="408"/>
      <c r="T255" s="408"/>
      <c r="U255" s="408"/>
      <c r="V255" s="408"/>
      <c r="W255" s="408"/>
      <c r="X255" s="408"/>
      <c r="Y255" s="408"/>
      <c r="Z255" s="408"/>
      <c r="AA255" s="408"/>
      <c r="AB255" s="408"/>
      <c r="AC255" s="408"/>
      <c r="AD255" s="408"/>
      <c r="AE255" s="408"/>
      <c r="AF255" s="408"/>
      <c r="AG255" s="408"/>
      <c r="AH255" s="408"/>
      <c r="AI255" s="408"/>
      <c r="AJ255" s="408"/>
      <c r="AK255" s="408"/>
      <c r="AL255" s="408"/>
      <c r="AM255" s="408"/>
      <c r="AN255" s="408"/>
      <c r="AO255" s="408"/>
      <c r="AP255" s="408"/>
      <c r="AQ255" s="408"/>
      <c r="AR255" s="408"/>
      <c r="AS255" s="408"/>
      <c r="AT255" s="408"/>
      <c r="AU255" s="408"/>
      <c r="AV255" s="408"/>
      <c r="AW255" s="408"/>
      <c r="AX255" s="408"/>
      <c r="AY255" s="408"/>
      <c r="AZ255" s="408"/>
      <c r="BA255" s="408"/>
      <c r="BB255" s="408"/>
      <c r="BC255" s="408"/>
      <c r="BD255" s="408"/>
      <c r="BE255" s="408"/>
      <c r="BF255" s="408"/>
      <c r="BG255" s="408"/>
      <c r="BH255" s="408"/>
      <c r="BI255" s="408"/>
      <c r="BJ255" s="408"/>
      <c r="BK255" s="408"/>
      <c r="BL255" s="408"/>
      <c r="BM255" s="408"/>
      <c r="BN255" s="408"/>
      <c r="BO255" s="408"/>
      <c r="BP255" s="408"/>
      <c r="BQ255" s="408"/>
      <c r="BR255" s="408"/>
      <c r="BS255" s="408"/>
      <c r="BT255" s="408"/>
      <c r="BU255" s="408"/>
      <c r="BV255" s="408"/>
      <c r="BW255" s="408"/>
      <c r="BX255" s="408"/>
      <c r="BY255" s="408"/>
      <c r="BZ255" s="408"/>
      <c r="CA255" s="408"/>
      <c r="CB255" s="408"/>
      <c r="CC255" s="408"/>
      <c r="CD255" s="408"/>
      <c r="CE255" s="408"/>
      <c r="CF255" s="408"/>
      <c r="CG255" s="408"/>
      <c r="CH255" s="408"/>
      <c r="CI255" s="408"/>
      <c r="CJ255" s="408"/>
      <c r="CK255" s="408"/>
      <c r="CL255" s="408"/>
      <c r="CM255" s="408"/>
      <c r="CN255" s="408"/>
    </row>
    <row r="256">
      <c r="A256" s="408"/>
      <c r="B256" s="408"/>
      <c r="C256" s="408"/>
      <c r="D256" s="408"/>
      <c r="E256" s="408"/>
      <c r="F256" s="408"/>
      <c r="G256" s="408"/>
      <c r="H256" s="408"/>
      <c r="I256" s="408"/>
      <c r="J256" s="408"/>
      <c r="K256" s="408"/>
      <c r="L256" s="408"/>
      <c r="M256" s="408"/>
      <c r="N256" s="408"/>
      <c r="O256" s="408"/>
      <c r="P256" s="408"/>
      <c r="Q256" s="408"/>
      <c r="R256" s="408"/>
      <c r="S256" s="408"/>
      <c r="T256" s="408"/>
      <c r="U256" s="408"/>
      <c r="V256" s="408"/>
      <c r="W256" s="408"/>
      <c r="X256" s="408"/>
      <c r="Y256" s="408"/>
      <c r="Z256" s="408"/>
      <c r="AA256" s="408"/>
      <c r="AB256" s="408"/>
      <c r="AC256" s="408"/>
      <c r="AD256" s="408"/>
      <c r="AE256" s="408"/>
      <c r="AF256" s="408"/>
      <c r="AG256" s="408"/>
      <c r="AH256" s="408"/>
      <c r="AI256" s="408"/>
      <c r="AJ256" s="408"/>
      <c r="AK256" s="408"/>
      <c r="AL256" s="408"/>
      <c r="AM256" s="408"/>
      <c r="AN256" s="408"/>
      <c r="AO256" s="408"/>
      <c r="AP256" s="408"/>
      <c r="AQ256" s="408"/>
      <c r="AR256" s="408"/>
      <c r="AS256" s="408"/>
      <c r="AT256" s="408"/>
      <c r="AU256" s="408"/>
      <c r="AV256" s="408"/>
      <c r="AW256" s="408"/>
      <c r="AX256" s="408"/>
      <c r="AY256" s="408"/>
      <c r="AZ256" s="408"/>
      <c r="BA256" s="408"/>
      <c r="BB256" s="408"/>
      <c r="BC256" s="408"/>
      <c r="BD256" s="408"/>
      <c r="BE256" s="408"/>
      <c r="BF256" s="408"/>
      <c r="BG256" s="408"/>
      <c r="BH256" s="408"/>
      <c r="BI256" s="408"/>
      <c r="BJ256" s="408"/>
      <c r="BK256" s="408"/>
      <c r="BL256" s="408"/>
      <c r="BM256" s="408"/>
      <c r="BN256" s="408"/>
      <c r="BO256" s="408"/>
      <c r="BP256" s="408"/>
      <c r="BQ256" s="408"/>
      <c r="BR256" s="408"/>
      <c r="BS256" s="408"/>
      <c r="BT256" s="408"/>
      <c r="BU256" s="408"/>
      <c r="BV256" s="408"/>
      <c r="BW256" s="408"/>
      <c r="BX256" s="408"/>
      <c r="BY256" s="408"/>
      <c r="BZ256" s="408"/>
      <c r="CA256" s="408"/>
      <c r="CB256" s="408"/>
      <c r="CC256" s="408"/>
      <c r="CD256" s="408"/>
      <c r="CE256" s="408"/>
      <c r="CF256" s="408"/>
      <c r="CG256" s="408"/>
      <c r="CH256" s="408"/>
      <c r="CI256" s="408"/>
      <c r="CJ256" s="408"/>
      <c r="CK256" s="408"/>
      <c r="CL256" s="408"/>
      <c r="CM256" s="408"/>
      <c r="CN256" s="408"/>
    </row>
    <row r="257">
      <c r="A257" s="408"/>
      <c r="B257" s="408"/>
      <c r="C257" s="408"/>
      <c r="D257" s="408"/>
      <c r="E257" s="408"/>
      <c r="F257" s="408"/>
      <c r="G257" s="408"/>
      <c r="H257" s="408"/>
      <c r="I257" s="408"/>
      <c r="J257" s="408"/>
      <c r="K257" s="408"/>
      <c r="L257" s="408"/>
      <c r="M257" s="408"/>
      <c r="N257" s="408"/>
      <c r="O257" s="408"/>
      <c r="P257" s="408"/>
      <c r="Q257" s="408"/>
      <c r="R257" s="408"/>
      <c r="S257" s="408"/>
      <c r="T257" s="408"/>
      <c r="U257" s="408"/>
      <c r="V257" s="408"/>
      <c r="W257" s="408"/>
      <c r="X257" s="408"/>
      <c r="Y257" s="408"/>
      <c r="Z257" s="408"/>
      <c r="AA257" s="408"/>
      <c r="AB257" s="408"/>
      <c r="AC257" s="408"/>
      <c r="AD257" s="408"/>
      <c r="AE257" s="408"/>
      <c r="AF257" s="408"/>
      <c r="AG257" s="408"/>
      <c r="AH257" s="408"/>
      <c r="AI257" s="408"/>
      <c r="AJ257" s="408"/>
      <c r="AK257" s="408"/>
      <c r="AL257" s="408"/>
      <c r="AM257" s="408"/>
      <c r="AN257" s="408"/>
      <c r="AO257" s="408"/>
      <c r="AP257" s="408"/>
      <c r="AQ257" s="408"/>
      <c r="AR257" s="408"/>
      <c r="AS257" s="408"/>
      <c r="AT257" s="408"/>
      <c r="AU257" s="408"/>
      <c r="AV257" s="408"/>
      <c r="AW257" s="408"/>
      <c r="AX257" s="408"/>
      <c r="AY257" s="408"/>
      <c r="AZ257" s="408"/>
      <c r="BA257" s="408"/>
      <c r="BB257" s="408"/>
      <c r="BC257" s="408"/>
      <c r="BD257" s="408"/>
      <c r="BE257" s="408"/>
      <c r="BF257" s="408"/>
      <c r="BG257" s="408"/>
      <c r="BH257" s="408"/>
      <c r="BI257" s="408"/>
      <c r="BJ257" s="408"/>
      <c r="BK257" s="408"/>
      <c r="BL257" s="408"/>
      <c r="BM257" s="408"/>
      <c r="BN257" s="408"/>
      <c r="BO257" s="408"/>
      <c r="BP257" s="408"/>
      <c r="BQ257" s="408"/>
      <c r="BR257" s="408"/>
      <c r="BS257" s="408"/>
      <c r="BT257" s="408"/>
      <c r="BU257" s="408"/>
      <c r="BV257" s="408"/>
      <c r="BW257" s="408"/>
      <c r="BX257" s="408"/>
      <c r="BY257" s="408"/>
      <c r="BZ257" s="408"/>
      <c r="CA257" s="408"/>
      <c r="CB257" s="408"/>
      <c r="CC257" s="408"/>
      <c r="CD257" s="408"/>
      <c r="CE257" s="408"/>
      <c r="CF257" s="408"/>
      <c r="CG257" s="408"/>
      <c r="CH257" s="408"/>
      <c r="CI257" s="408"/>
      <c r="CJ257" s="408"/>
      <c r="CK257" s="408"/>
      <c r="CL257" s="408"/>
      <c r="CM257" s="408"/>
      <c r="CN257" s="408"/>
    </row>
    <row r="258">
      <c r="A258" s="408"/>
      <c r="B258" s="408"/>
      <c r="C258" s="408"/>
      <c r="D258" s="408"/>
      <c r="E258" s="408"/>
      <c r="F258" s="408"/>
      <c r="G258" s="408"/>
      <c r="H258" s="408"/>
      <c r="I258" s="408"/>
      <c r="J258" s="408"/>
      <c r="K258" s="408"/>
      <c r="L258" s="408"/>
      <c r="M258" s="408"/>
      <c r="N258" s="408"/>
      <c r="O258" s="408"/>
      <c r="P258" s="408"/>
      <c r="Q258" s="408"/>
      <c r="R258" s="408"/>
      <c r="S258" s="408"/>
      <c r="T258" s="408"/>
      <c r="U258" s="408"/>
      <c r="V258" s="408"/>
      <c r="W258" s="408"/>
      <c r="X258" s="408"/>
      <c r="Y258" s="408"/>
      <c r="Z258" s="408"/>
      <c r="AA258" s="408"/>
      <c r="AB258" s="408"/>
      <c r="AC258" s="408"/>
      <c r="AD258" s="408"/>
      <c r="AE258" s="408"/>
      <c r="AF258" s="408"/>
      <c r="AG258" s="408"/>
      <c r="AH258" s="408"/>
      <c r="AI258" s="408"/>
      <c r="AJ258" s="408"/>
      <c r="AK258" s="408"/>
      <c r="AL258" s="408"/>
      <c r="AM258" s="408"/>
      <c r="AN258" s="408"/>
      <c r="AO258" s="408"/>
      <c r="AP258" s="408"/>
      <c r="AQ258" s="408"/>
      <c r="AR258" s="408"/>
      <c r="AS258" s="408"/>
      <c r="AT258" s="408"/>
      <c r="AU258" s="408"/>
      <c r="AV258" s="408"/>
      <c r="AW258" s="408"/>
      <c r="AX258" s="408"/>
      <c r="AY258" s="408"/>
      <c r="AZ258" s="408"/>
      <c r="BA258" s="408"/>
      <c r="BB258" s="408"/>
      <c r="BC258" s="408"/>
      <c r="BD258" s="408"/>
      <c r="BE258" s="408"/>
      <c r="BF258" s="408"/>
      <c r="BG258" s="408"/>
      <c r="BH258" s="408"/>
      <c r="BI258" s="408"/>
      <c r="BJ258" s="408"/>
      <c r="BK258" s="408"/>
      <c r="BL258" s="408"/>
      <c r="BM258" s="408"/>
      <c r="BN258" s="408"/>
      <c r="BO258" s="408"/>
      <c r="BP258" s="408"/>
      <c r="BQ258" s="408"/>
      <c r="BR258" s="408"/>
      <c r="BS258" s="408"/>
      <c r="BT258" s="408"/>
      <c r="BU258" s="408"/>
      <c r="BV258" s="408"/>
      <c r="BW258" s="408"/>
      <c r="BX258" s="408"/>
      <c r="BY258" s="408"/>
      <c r="BZ258" s="408"/>
      <c r="CA258" s="408"/>
      <c r="CB258" s="408"/>
      <c r="CC258" s="408"/>
      <c r="CD258" s="408"/>
      <c r="CE258" s="408"/>
      <c r="CF258" s="408"/>
      <c r="CG258" s="408"/>
      <c r="CH258" s="408"/>
      <c r="CI258" s="408"/>
      <c r="CJ258" s="408"/>
      <c r="CK258" s="408"/>
      <c r="CL258" s="408"/>
      <c r="CM258" s="408"/>
      <c r="CN258" s="408"/>
    </row>
    <row r="259">
      <c r="A259" s="408"/>
      <c r="B259" s="408"/>
      <c r="C259" s="408"/>
      <c r="D259" s="408"/>
      <c r="E259" s="408"/>
      <c r="F259" s="408"/>
      <c r="G259" s="408"/>
      <c r="H259" s="408"/>
      <c r="I259" s="408"/>
      <c r="J259" s="408"/>
      <c r="K259" s="408"/>
      <c r="L259" s="408"/>
      <c r="M259" s="408"/>
      <c r="N259" s="408"/>
      <c r="O259" s="408"/>
      <c r="P259" s="408"/>
      <c r="Q259" s="408"/>
      <c r="R259" s="408"/>
      <c r="S259" s="408"/>
      <c r="T259" s="408"/>
      <c r="U259" s="408"/>
      <c r="V259" s="408"/>
      <c r="W259" s="408"/>
      <c r="X259" s="408"/>
      <c r="Y259" s="408"/>
      <c r="Z259" s="408"/>
      <c r="AA259" s="408"/>
      <c r="AB259" s="408"/>
      <c r="AC259" s="408"/>
      <c r="AD259" s="408"/>
      <c r="AE259" s="408"/>
      <c r="AF259" s="408"/>
      <c r="AG259" s="408"/>
      <c r="AH259" s="408"/>
      <c r="AI259" s="408"/>
      <c r="AJ259" s="408"/>
      <c r="AK259" s="408"/>
      <c r="AL259" s="408"/>
      <c r="AM259" s="408"/>
      <c r="AN259" s="408"/>
      <c r="AO259" s="408"/>
      <c r="AP259" s="408"/>
      <c r="AQ259" s="408"/>
      <c r="AR259" s="408"/>
      <c r="AS259" s="408"/>
      <c r="AT259" s="408"/>
      <c r="AU259" s="408"/>
      <c r="AV259" s="408"/>
      <c r="AW259" s="408"/>
      <c r="AX259" s="408"/>
      <c r="AY259" s="408"/>
      <c r="AZ259" s="408"/>
      <c r="BA259" s="408"/>
      <c r="BB259" s="408"/>
      <c r="BC259" s="408"/>
      <c r="BD259" s="408"/>
      <c r="BE259" s="408"/>
      <c r="BF259" s="408"/>
      <c r="BG259" s="408"/>
      <c r="BH259" s="408"/>
      <c r="BI259" s="408"/>
      <c r="BJ259" s="408"/>
      <c r="BK259" s="408"/>
      <c r="BL259" s="408"/>
      <c r="BM259" s="408"/>
      <c r="BN259" s="408"/>
      <c r="BO259" s="408"/>
      <c r="BP259" s="408"/>
      <c r="BQ259" s="408"/>
      <c r="BR259" s="408"/>
      <c r="BS259" s="408"/>
      <c r="BT259" s="408"/>
      <c r="BU259" s="408"/>
      <c r="BV259" s="408"/>
      <c r="BW259" s="408"/>
      <c r="BX259" s="408"/>
      <c r="BY259" s="408"/>
      <c r="BZ259" s="408"/>
      <c r="CA259" s="408"/>
      <c r="CB259" s="408"/>
      <c r="CC259" s="408"/>
      <c r="CD259" s="408"/>
      <c r="CE259" s="408"/>
      <c r="CF259" s="408"/>
      <c r="CG259" s="408"/>
      <c r="CH259" s="408"/>
      <c r="CI259" s="408"/>
      <c r="CJ259" s="408"/>
      <c r="CK259" s="408"/>
      <c r="CL259" s="408"/>
      <c r="CM259" s="408"/>
      <c r="CN259" s="408"/>
    </row>
    <row r="260">
      <c r="A260" s="408"/>
      <c r="B260" s="408"/>
      <c r="C260" s="408"/>
      <c r="D260" s="408"/>
      <c r="E260" s="408"/>
      <c r="F260" s="408"/>
      <c r="G260" s="408"/>
      <c r="H260" s="408"/>
      <c r="I260" s="408"/>
      <c r="J260" s="408"/>
      <c r="K260" s="408"/>
      <c r="L260" s="408"/>
      <c r="M260" s="408"/>
      <c r="N260" s="408"/>
      <c r="O260" s="408"/>
      <c r="P260" s="408"/>
      <c r="Q260" s="408"/>
      <c r="R260" s="408"/>
      <c r="S260" s="408"/>
      <c r="T260" s="408"/>
      <c r="U260" s="408"/>
      <c r="V260" s="408"/>
      <c r="W260" s="408"/>
      <c r="X260" s="408"/>
      <c r="Y260" s="408"/>
      <c r="Z260" s="408"/>
      <c r="AA260" s="408"/>
      <c r="AB260" s="408"/>
      <c r="AC260" s="408"/>
      <c r="AD260" s="408"/>
      <c r="AE260" s="408"/>
      <c r="AF260" s="408"/>
      <c r="AG260" s="408"/>
      <c r="AH260" s="408"/>
      <c r="AI260" s="408"/>
      <c r="AJ260" s="408"/>
      <c r="AK260" s="408"/>
      <c r="AL260" s="408"/>
      <c r="AM260" s="408"/>
      <c r="AN260" s="408"/>
      <c r="AO260" s="408"/>
      <c r="AP260" s="408"/>
      <c r="AQ260" s="408"/>
      <c r="AR260" s="408"/>
      <c r="AS260" s="408"/>
      <c r="AT260" s="408"/>
      <c r="AU260" s="408"/>
      <c r="AV260" s="408"/>
      <c r="AW260" s="408"/>
      <c r="AX260" s="408"/>
      <c r="AY260" s="408"/>
      <c r="AZ260" s="408"/>
      <c r="BA260" s="408"/>
      <c r="BB260" s="408"/>
      <c r="BC260" s="408"/>
      <c r="BD260" s="408"/>
      <c r="BE260" s="408"/>
      <c r="BF260" s="408"/>
      <c r="BG260" s="408"/>
      <c r="BH260" s="408"/>
      <c r="BI260" s="408"/>
      <c r="BJ260" s="408"/>
      <c r="BK260" s="408"/>
      <c r="BL260" s="408"/>
      <c r="BM260" s="408"/>
      <c r="BN260" s="408"/>
      <c r="BO260" s="408"/>
      <c r="BP260" s="408"/>
      <c r="BQ260" s="408"/>
      <c r="BR260" s="408"/>
      <c r="BS260" s="408"/>
      <c r="BT260" s="408"/>
      <c r="BU260" s="408"/>
      <c r="BV260" s="408"/>
      <c r="BW260" s="408"/>
      <c r="BX260" s="408"/>
      <c r="BY260" s="408"/>
      <c r="BZ260" s="408"/>
      <c r="CA260" s="408"/>
      <c r="CB260" s="408"/>
      <c r="CC260" s="408"/>
      <c r="CD260" s="408"/>
      <c r="CE260" s="408"/>
      <c r="CF260" s="408"/>
      <c r="CG260" s="408"/>
      <c r="CH260" s="408"/>
      <c r="CI260" s="408"/>
      <c r="CJ260" s="408"/>
      <c r="CK260" s="408"/>
      <c r="CL260" s="408"/>
      <c r="CM260" s="408"/>
      <c r="CN260" s="408"/>
    </row>
    <row r="261">
      <c r="A261" s="408"/>
      <c r="B261" s="408"/>
      <c r="C261" s="408"/>
      <c r="D261" s="408"/>
      <c r="E261" s="408"/>
      <c r="F261" s="408"/>
      <c r="G261" s="408"/>
      <c r="H261" s="408"/>
      <c r="I261" s="408"/>
      <c r="J261" s="408"/>
      <c r="K261" s="408"/>
      <c r="L261" s="408"/>
      <c r="M261" s="408"/>
      <c r="N261" s="408"/>
      <c r="O261" s="408"/>
      <c r="P261" s="408"/>
      <c r="Q261" s="408"/>
      <c r="R261" s="408"/>
      <c r="S261" s="408"/>
      <c r="T261" s="408"/>
      <c r="U261" s="408"/>
      <c r="V261" s="408"/>
      <c r="W261" s="408"/>
      <c r="X261" s="408"/>
      <c r="Y261" s="408"/>
      <c r="Z261" s="408"/>
      <c r="AA261" s="408"/>
      <c r="AB261" s="408"/>
      <c r="AC261" s="408"/>
      <c r="AD261" s="408"/>
      <c r="AE261" s="408"/>
      <c r="AF261" s="408"/>
      <c r="AG261" s="408"/>
      <c r="AH261" s="408"/>
      <c r="AI261" s="408"/>
      <c r="AJ261" s="408"/>
      <c r="AK261" s="408"/>
      <c r="AL261" s="408"/>
      <c r="AM261" s="408"/>
      <c r="AN261" s="408"/>
      <c r="AO261" s="408"/>
      <c r="AP261" s="408"/>
      <c r="AQ261" s="408"/>
      <c r="AR261" s="408"/>
      <c r="AS261" s="408"/>
      <c r="AT261" s="408"/>
      <c r="AU261" s="408"/>
      <c r="AV261" s="408"/>
      <c r="AW261" s="408"/>
      <c r="AX261" s="408"/>
      <c r="AY261" s="408"/>
      <c r="AZ261" s="408"/>
      <c r="BA261" s="408"/>
      <c r="BB261" s="408"/>
      <c r="BC261" s="408"/>
      <c r="BD261" s="408"/>
      <c r="BE261" s="408"/>
      <c r="BF261" s="408"/>
      <c r="BG261" s="408"/>
      <c r="BH261" s="408"/>
      <c r="BI261" s="408"/>
      <c r="BJ261" s="408"/>
      <c r="BK261" s="408"/>
      <c r="BL261" s="408"/>
      <c r="BM261" s="408"/>
      <c r="BN261" s="408"/>
      <c r="BO261" s="408"/>
      <c r="BP261" s="408"/>
      <c r="BQ261" s="408"/>
      <c r="BR261" s="408"/>
      <c r="BS261" s="408"/>
      <c r="BT261" s="408"/>
      <c r="BU261" s="408"/>
      <c r="BV261" s="408"/>
      <c r="BW261" s="408"/>
      <c r="BX261" s="408"/>
      <c r="BY261" s="408"/>
      <c r="BZ261" s="408"/>
      <c r="CA261" s="408"/>
      <c r="CB261" s="408"/>
      <c r="CC261" s="408"/>
      <c r="CD261" s="408"/>
      <c r="CE261" s="408"/>
      <c r="CF261" s="408"/>
      <c r="CG261" s="408"/>
      <c r="CH261" s="408"/>
      <c r="CI261" s="408"/>
      <c r="CJ261" s="408"/>
      <c r="CK261" s="408"/>
      <c r="CL261" s="408"/>
      <c r="CM261" s="408"/>
      <c r="CN261" s="408"/>
    </row>
    <row r="262">
      <c r="A262" s="408"/>
      <c r="B262" s="408"/>
      <c r="C262" s="408"/>
      <c r="D262" s="408"/>
      <c r="E262" s="408"/>
      <c r="F262" s="408"/>
      <c r="G262" s="408"/>
      <c r="H262" s="408"/>
      <c r="I262" s="408"/>
      <c r="J262" s="408"/>
      <c r="K262" s="408"/>
      <c r="L262" s="408"/>
      <c r="M262" s="408"/>
      <c r="N262" s="408"/>
      <c r="O262" s="408"/>
      <c r="P262" s="408"/>
      <c r="Q262" s="408"/>
      <c r="R262" s="408"/>
      <c r="S262" s="408"/>
      <c r="T262" s="408"/>
      <c r="U262" s="408"/>
      <c r="V262" s="408"/>
      <c r="W262" s="408"/>
      <c r="X262" s="408"/>
      <c r="Y262" s="408"/>
      <c r="Z262" s="408"/>
      <c r="AA262" s="408"/>
      <c r="AB262" s="408"/>
      <c r="AC262" s="408"/>
      <c r="AD262" s="408"/>
      <c r="AE262" s="408"/>
      <c r="AF262" s="408"/>
      <c r="AG262" s="408"/>
      <c r="AH262" s="408"/>
      <c r="AI262" s="408"/>
      <c r="AJ262" s="408"/>
      <c r="AK262" s="408"/>
      <c r="AL262" s="408"/>
      <c r="AM262" s="408"/>
      <c r="AN262" s="408"/>
      <c r="AO262" s="408"/>
      <c r="AP262" s="408"/>
      <c r="AQ262" s="408"/>
      <c r="AR262" s="408"/>
      <c r="AS262" s="408"/>
      <c r="AT262" s="408"/>
      <c r="AU262" s="408"/>
      <c r="AV262" s="408"/>
      <c r="AW262" s="408"/>
      <c r="AX262" s="408"/>
      <c r="AY262" s="408"/>
      <c r="AZ262" s="408"/>
      <c r="BA262" s="408"/>
      <c r="BB262" s="408"/>
      <c r="BC262" s="408"/>
      <c r="BD262" s="408"/>
      <c r="BE262" s="408"/>
      <c r="BF262" s="408"/>
      <c r="BG262" s="408"/>
      <c r="BH262" s="408"/>
      <c r="BI262" s="408"/>
      <c r="BJ262" s="408"/>
      <c r="BK262" s="408"/>
      <c r="BL262" s="408"/>
      <c r="BM262" s="408"/>
      <c r="BN262" s="408"/>
      <c r="BO262" s="408"/>
      <c r="BP262" s="408"/>
      <c r="BQ262" s="408"/>
      <c r="BR262" s="408"/>
      <c r="BS262" s="408"/>
      <c r="BT262" s="408"/>
      <c r="BU262" s="408"/>
      <c r="BV262" s="408"/>
      <c r="BW262" s="408"/>
      <c r="BX262" s="408"/>
      <c r="BY262" s="408"/>
      <c r="BZ262" s="408"/>
      <c r="CA262" s="408"/>
      <c r="CB262" s="408"/>
      <c r="CC262" s="408"/>
      <c r="CD262" s="408"/>
      <c r="CE262" s="408"/>
      <c r="CF262" s="408"/>
      <c r="CG262" s="408"/>
      <c r="CH262" s="408"/>
      <c r="CI262" s="408"/>
      <c r="CJ262" s="408"/>
      <c r="CK262" s="408"/>
      <c r="CL262" s="408"/>
      <c r="CM262" s="408"/>
      <c r="CN262" s="408"/>
    </row>
    <row r="263">
      <c r="A263" s="408"/>
      <c r="B263" s="408"/>
      <c r="C263" s="408"/>
      <c r="D263" s="408"/>
      <c r="E263" s="408"/>
      <c r="F263" s="408"/>
      <c r="G263" s="408"/>
      <c r="H263" s="408"/>
      <c r="I263" s="408"/>
      <c r="J263" s="408"/>
      <c r="K263" s="408"/>
      <c r="L263" s="408"/>
      <c r="M263" s="408"/>
      <c r="N263" s="408"/>
      <c r="O263" s="408"/>
      <c r="P263" s="408"/>
      <c r="Q263" s="408"/>
      <c r="R263" s="408"/>
      <c r="S263" s="408"/>
      <c r="T263" s="408"/>
      <c r="U263" s="408"/>
      <c r="V263" s="408"/>
      <c r="W263" s="408"/>
      <c r="X263" s="408"/>
      <c r="Y263" s="408"/>
      <c r="Z263" s="408"/>
      <c r="AA263" s="408"/>
      <c r="AB263" s="408"/>
      <c r="AC263" s="408"/>
      <c r="AD263" s="408"/>
      <c r="AE263" s="408"/>
      <c r="AF263" s="408"/>
      <c r="AG263" s="408"/>
      <c r="AH263" s="408"/>
      <c r="AI263" s="408"/>
      <c r="AJ263" s="408"/>
      <c r="AK263" s="408"/>
      <c r="AL263" s="408"/>
      <c r="AM263" s="408"/>
      <c r="AN263" s="408"/>
      <c r="AO263" s="408"/>
      <c r="AP263" s="408"/>
      <c r="AQ263" s="408"/>
      <c r="AR263" s="408"/>
      <c r="AS263" s="408"/>
      <c r="AT263" s="408"/>
      <c r="AU263" s="408"/>
      <c r="AV263" s="408"/>
      <c r="AW263" s="408"/>
      <c r="AX263" s="408"/>
      <c r="AY263" s="408"/>
      <c r="AZ263" s="408"/>
      <c r="BA263" s="408"/>
      <c r="BB263" s="408"/>
      <c r="BC263" s="408"/>
      <c r="BD263" s="408"/>
      <c r="BE263" s="408"/>
      <c r="BF263" s="408"/>
      <c r="BG263" s="408"/>
      <c r="BH263" s="408"/>
      <c r="BI263" s="408"/>
      <c r="BJ263" s="408"/>
      <c r="BK263" s="408"/>
      <c r="BL263" s="408"/>
      <c r="BM263" s="408"/>
      <c r="BN263" s="408"/>
      <c r="BO263" s="408"/>
      <c r="BP263" s="408"/>
      <c r="BQ263" s="408"/>
      <c r="BR263" s="408"/>
      <c r="BS263" s="408"/>
      <c r="BT263" s="408"/>
      <c r="BU263" s="408"/>
      <c r="BV263" s="408"/>
      <c r="BW263" s="408"/>
      <c r="BX263" s="408"/>
      <c r="BY263" s="408"/>
      <c r="BZ263" s="408"/>
      <c r="CA263" s="408"/>
      <c r="CB263" s="408"/>
      <c r="CC263" s="408"/>
      <c r="CD263" s="408"/>
      <c r="CE263" s="408"/>
      <c r="CF263" s="408"/>
      <c r="CG263" s="408"/>
      <c r="CH263" s="408"/>
      <c r="CI263" s="408"/>
      <c r="CJ263" s="408"/>
      <c r="CK263" s="408"/>
      <c r="CL263" s="408"/>
      <c r="CM263" s="408"/>
      <c r="CN263" s="408"/>
    </row>
    <row r="264">
      <c r="A264" s="408"/>
      <c r="B264" s="408"/>
      <c r="C264" s="408"/>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c r="AA264" s="408"/>
      <c r="AB264" s="408"/>
      <c r="AC264" s="408"/>
      <c r="AD264" s="408"/>
      <c r="AE264" s="408"/>
      <c r="AF264" s="408"/>
      <c r="AG264" s="408"/>
      <c r="AH264" s="408"/>
      <c r="AI264" s="408"/>
      <c r="AJ264" s="408"/>
      <c r="AK264" s="408"/>
      <c r="AL264" s="408"/>
      <c r="AM264" s="408"/>
      <c r="AN264" s="408"/>
      <c r="AO264" s="408"/>
      <c r="AP264" s="408"/>
      <c r="AQ264" s="408"/>
      <c r="AR264" s="408"/>
      <c r="AS264" s="408"/>
      <c r="AT264" s="408"/>
      <c r="AU264" s="408"/>
      <c r="AV264" s="408"/>
      <c r="AW264" s="408"/>
      <c r="AX264" s="408"/>
      <c r="AY264" s="408"/>
      <c r="AZ264" s="408"/>
      <c r="BA264" s="408"/>
      <c r="BB264" s="408"/>
      <c r="BC264" s="408"/>
      <c r="BD264" s="408"/>
      <c r="BE264" s="408"/>
      <c r="BF264" s="408"/>
      <c r="BG264" s="408"/>
      <c r="BH264" s="408"/>
      <c r="BI264" s="408"/>
      <c r="BJ264" s="408"/>
      <c r="BK264" s="408"/>
      <c r="BL264" s="408"/>
      <c r="BM264" s="408"/>
      <c r="BN264" s="408"/>
      <c r="BO264" s="408"/>
      <c r="BP264" s="408"/>
      <c r="BQ264" s="408"/>
      <c r="BR264" s="408"/>
      <c r="BS264" s="408"/>
      <c r="BT264" s="408"/>
      <c r="BU264" s="408"/>
      <c r="BV264" s="408"/>
      <c r="BW264" s="408"/>
      <c r="BX264" s="408"/>
      <c r="BY264" s="408"/>
      <c r="BZ264" s="408"/>
      <c r="CA264" s="408"/>
      <c r="CB264" s="408"/>
      <c r="CC264" s="408"/>
      <c r="CD264" s="408"/>
      <c r="CE264" s="408"/>
      <c r="CF264" s="408"/>
      <c r="CG264" s="408"/>
      <c r="CH264" s="408"/>
      <c r="CI264" s="408"/>
      <c r="CJ264" s="408"/>
      <c r="CK264" s="408"/>
      <c r="CL264" s="408"/>
      <c r="CM264" s="408"/>
      <c r="CN264" s="408"/>
    </row>
    <row r="265">
      <c r="A265" s="408"/>
      <c r="B265" s="408"/>
      <c r="C265" s="408"/>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c r="AA265" s="408"/>
      <c r="AB265" s="408"/>
      <c r="AC265" s="408"/>
      <c r="AD265" s="408"/>
      <c r="AE265" s="408"/>
      <c r="AF265" s="408"/>
      <c r="AG265" s="408"/>
      <c r="AH265" s="408"/>
      <c r="AI265" s="408"/>
      <c r="AJ265" s="408"/>
      <c r="AK265" s="408"/>
      <c r="AL265" s="408"/>
      <c r="AM265" s="408"/>
      <c r="AN265" s="408"/>
      <c r="AO265" s="408"/>
      <c r="AP265" s="408"/>
      <c r="AQ265" s="408"/>
      <c r="AR265" s="408"/>
      <c r="AS265" s="408"/>
      <c r="AT265" s="408"/>
      <c r="AU265" s="408"/>
      <c r="AV265" s="408"/>
      <c r="AW265" s="408"/>
      <c r="AX265" s="408"/>
      <c r="AY265" s="408"/>
      <c r="AZ265" s="408"/>
      <c r="BA265" s="408"/>
      <c r="BB265" s="408"/>
      <c r="BC265" s="408"/>
      <c r="BD265" s="408"/>
      <c r="BE265" s="408"/>
      <c r="BF265" s="408"/>
      <c r="BG265" s="408"/>
      <c r="BH265" s="408"/>
      <c r="BI265" s="408"/>
      <c r="BJ265" s="408"/>
      <c r="BK265" s="408"/>
      <c r="BL265" s="408"/>
      <c r="BM265" s="408"/>
      <c r="BN265" s="408"/>
      <c r="BO265" s="408"/>
      <c r="BP265" s="408"/>
      <c r="BQ265" s="408"/>
      <c r="BR265" s="408"/>
      <c r="BS265" s="408"/>
      <c r="BT265" s="408"/>
      <c r="BU265" s="408"/>
      <c r="BV265" s="408"/>
      <c r="BW265" s="408"/>
      <c r="BX265" s="408"/>
      <c r="BY265" s="408"/>
      <c r="BZ265" s="408"/>
      <c r="CA265" s="408"/>
      <c r="CB265" s="408"/>
      <c r="CC265" s="408"/>
      <c r="CD265" s="408"/>
      <c r="CE265" s="408"/>
      <c r="CF265" s="408"/>
      <c r="CG265" s="408"/>
      <c r="CH265" s="408"/>
      <c r="CI265" s="408"/>
      <c r="CJ265" s="408"/>
      <c r="CK265" s="408"/>
      <c r="CL265" s="408"/>
      <c r="CM265" s="408"/>
      <c r="CN265" s="408"/>
    </row>
    <row r="266">
      <c r="A266" s="408"/>
      <c r="B266" s="408"/>
      <c r="C266" s="408"/>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c r="AA266" s="408"/>
      <c r="AB266" s="408"/>
      <c r="AC266" s="408"/>
      <c r="AD266" s="408"/>
      <c r="AE266" s="408"/>
      <c r="AF266" s="408"/>
      <c r="AG266" s="408"/>
      <c r="AH266" s="408"/>
      <c r="AI266" s="408"/>
      <c r="AJ266" s="408"/>
      <c r="AK266" s="408"/>
      <c r="AL266" s="408"/>
      <c r="AM266" s="408"/>
      <c r="AN266" s="408"/>
      <c r="AO266" s="408"/>
      <c r="AP266" s="408"/>
      <c r="AQ266" s="408"/>
      <c r="AR266" s="408"/>
      <c r="AS266" s="408"/>
      <c r="AT266" s="408"/>
      <c r="AU266" s="408"/>
      <c r="AV266" s="408"/>
      <c r="AW266" s="408"/>
      <c r="AX266" s="408"/>
      <c r="AY266" s="408"/>
      <c r="AZ266" s="408"/>
      <c r="BA266" s="408"/>
      <c r="BB266" s="408"/>
      <c r="BC266" s="408"/>
      <c r="BD266" s="408"/>
      <c r="BE266" s="408"/>
      <c r="BF266" s="408"/>
      <c r="BG266" s="408"/>
      <c r="BH266" s="408"/>
      <c r="BI266" s="408"/>
      <c r="BJ266" s="408"/>
      <c r="BK266" s="408"/>
      <c r="BL266" s="408"/>
      <c r="BM266" s="408"/>
      <c r="BN266" s="408"/>
      <c r="BO266" s="408"/>
      <c r="BP266" s="408"/>
      <c r="BQ266" s="408"/>
      <c r="BR266" s="408"/>
      <c r="BS266" s="408"/>
      <c r="BT266" s="408"/>
      <c r="BU266" s="408"/>
      <c r="BV266" s="408"/>
      <c r="BW266" s="408"/>
      <c r="BX266" s="408"/>
      <c r="BY266" s="408"/>
      <c r="BZ266" s="408"/>
      <c r="CA266" s="408"/>
      <c r="CB266" s="408"/>
      <c r="CC266" s="408"/>
      <c r="CD266" s="408"/>
      <c r="CE266" s="408"/>
      <c r="CF266" s="408"/>
      <c r="CG266" s="408"/>
      <c r="CH266" s="408"/>
      <c r="CI266" s="408"/>
      <c r="CJ266" s="408"/>
      <c r="CK266" s="408"/>
      <c r="CL266" s="408"/>
      <c r="CM266" s="408"/>
      <c r="CN266" s="408"/>
    </row>
    <row r="267">
      <c r="A267" s="408"/>
      <c r="B267" s="408"/>
      <c r="C267" s="408"/>
      <c r="D267" s="408"/>
      <c r="E267" s="408"/>
      <c r="F267" s="408"/>
      <c r="G267" s="408"/>
      <c r="H267" s="408"/>
      <c r="I267" s="408"/>
      <c r="J267" s="408"/>
      <c r="K267" s="408"/>
      <c r="L267" s="408"/>
      <c r="M267" s="408"/>
      <c r="N267" s="408"/>
      <c r="O267" s="408"/>
      <c r="P267" s="408"/>
      <c r="Q267" s="408"/>
      <c r="R267" s="408"/>
      <c r="S267" s="408"/>
      <c r="T267" s="408"/>
      <c r="U267" s="408"/>
      <c r="V267" s="408"/>
      <c r="W267" s="408"/>
      <c r="X267" s="408"/>
      <c r="Y267" s="408"/>
      <c r="Z267" s="408"/>
      <c r="AA267" s="408"/>
      <c r="AB267" s="408"/>
      <c r="AC267" s="408"/>
      <c r="AD267" s="408"/>
      <c r="AE267" s="408"/>
      <c r="AF267" s="408"/>
      <c r="AG267" s="408"/>
      <c r="AH267" s="408"/>
      <c r="AI267" s="408"/>
      <c r="AJ267" s="408"/>
      <c r="AK267" s="408"/>
      <c r="AL267" s="408"/>
      <c r="AM267" s="408"/>
      <c r="AN267" s="408"/>
      <c r="AO267" s="408"/>
      <c r="AP267" s="408"/>
      <c r="AQ267" s="408"/>
      <c r="AR267" s="408"/>
      <c r="AS267" s="408"/>
      <c r="AT267" s="408"/>
      <c r="AU267" s="408"/>
      <c r="AV267" s="408"/>
      <c r="AW267" s="408"/>
      <c r="AX267" s="408"/>
      <c r="AY267" s="408"/>
      <c r="AZ267" s="408"/>
      <c r="BA267" s="408"/>
      <c r="BB267" s="408"/>
      <c r="BC267" s="408"/>
      <c r="BD267" s="408"/>
      <c r="BE267" s="408"/>
      <c r="BF267" s="408"/>
      <c r="BG267" s="408"/>
      <c r="BH267" s="408"/>
      <c r="BI267" s="408"/>
      <c r="BJ267" s="408"/>
      <c r="BK267" s="408"/>
      <c r="BL267" s="408"/>
      <c r="BM267" s="408"/>
      <c r="BN267" s="408"/>
      <c r="BO267" s="408"/>
      <c r="BP267" s="408"/>
      <c r="BQ267" s="408"/>
      <c r="BR267" s="408"/>
      <c r="BS267" s="408"/>
      <c r="BT267" s="408"/>
      <c r="BU267" s="408"/>
      <c r="BV267" s="408"/>
      <c r="BW267" s="408"/>
      <c r="BX267" s="408"/>
      <c r="BY267" s="408"/>
      <c r="BZ267" s="408"/>
      <c r="CA267" s="408"/>
      <c r="CB267" s="408"/>
      <c r="CC267" s="408"/>
      <c r="CD267" s="408"/>
      <c r="CE267" s="408"/>
      <c r="CF267" s="408"/>
      <c r="CG267" s="408"/>
      <c r="CH267" s="408"/>
      <c r="CI267" s="408"/>
      <c r="CJ267" s="408"/>
      <c r="CK267" s="408"/>
      <c r="CL267" s="408"/>
      <c r="CM267" s="408"/>
      <c r="CN267" s="408"/>
    </row>
    <row r="268">
      <c r="A268" s="408"/>
      <c r="B268" s="408"/>
      <c r="C268" s="408"/>
      <c r="D268" s="408"/>
      <c r="E268" s="408"/>
      <c r="F268" s="408"/>
      <c r="G268" s="408"/>
      <c r="H268" s="408"/>
      <c r="I268" s="408"/>
      <c r="J268" s="408"/>
      <c r="K268" s="408"/>
      <c r="L268" s="408"/>
      <c r="M268" s="408"/>
      <c r="N268" s="408"/>
      <c r="O268" s="408"/>
      <c r="P268" s="408"/>
      <c r="Q268" s="408"/>
      <c r="R268" s="408"/>
      <c r="S268" s="408"/>
      <c r="T268" s="408"/>
      <c r="U268" s="408"/>
      <c r="V268" s="408"/>
      <c r="W268" s="408"/>
      <c r="X268" s="408"/>
      <c r="Y268" s="408"/>
      <c r="Z268" s="408"/>
      <c r="AA268" s="408"/>
      <c r="AB268" s="408"/>
      <c r="AC268" s="408"/>
      <c r="AD268" s="408"/>
      <c r="AE268" s="408"/>
      <c r="AF268" s="408"/>
      <c r="AG268" s="408"/>
      <c r="AH268" s="408"/>
      <c r="AI268" s="408"/>
      <c r="AJ268" s="408"/>
      <c r="AK268" s="408"/>
      <c r="AL268" s="408"/>
      <c r="AM268" s="408"/>
      <c r="AN268" s="408"/>
      <c r="AO268" s="408"/>
      <c r="AP268" s="408"/>
      <c r="AQ268" s="408"/>
      <c r="AR268" s="408"/>
      <c r="AS268" s="408"/>
      <c r="AT268" s="408"/>
      <c r="AU268" s="408"/>
      <c r="AV268" s="408"/>
      <c r="AW268" s="408"/>
      <c r="AX268" s="408"/>
      <c r="AY268" s="408"/>
      <c r="AZ268" s="408"/>
      <c r="BA268" s="408"/>
      <c r="BB268" s="408"/>
      <c r="BC268" s="408"/>
      <c r="BD268" s="408"/>
      <c r="BE268" s="408"/>
      <c r="BF268" s="408"/>
      <c r="BG268" s="408"/>
      <c r="BH268" s="408"/>
      <c r="BI268" s="408"/>
      <c r="BJ268" s="408"/>
      <c r="BK268" s="408"/>
      <c r="BL268" s="408"/>
      <c r="BM268" s="408"/>
      <c r="BN268" s="408"/>
      <c r="BO268" s="408"/>
      <c r="BP268" s="408"/>
      <c r="BQ268" s="408"/>
      <c r="BR268" s="408"/>
      <c r="BS268" s="408"/>
      <c r="BT268" s="408"/>
      <c r="BU268" s="408"/>
      <c r="BV268" s="408"/>
      <c r="BW268" s="408"/>
      <c r="BX268" s="408"/>
      <c r="BY268" s="408"/>
      <c r="BZ268" s="408"/>
      <c r="CA268" s="408"/>
      <c r="CB268" s="408"/>
      <c r="CC268" s="408"/>
      <c r="CD268" s="408"/>
      <c r="CE268" s="408"/>
      <c r="CF268" s="408"/>
      <c r="CG268" s="408"/>
      <c r="CH268" s="408"/>
      <c r="CI268" s="408"/>
      <c r="CJ268" s="408"/>
      <c r="CK268" s="408"/>
      <c r="CL268" s="408"/>
      <c r="CM268" s="408"/>
      <c r="CN268" s="408"/>
    </row>
    <row r="269">
      <c r="A269" s="408"/>
      <c r="B269" s="408"/>
      <c r="C269" s="408"/>
      <c r="D269" s="408"/>
      <c r="E269" s="408"/>
      <c r="F269" s="408"/>
      <c r="G269" s="408"/>
      <c r="H269" s="408"/>
      <c r="I269" s="408"/>
      <c r="J269" s="408"/>
      <c r="K269" s="408"/>
      <c r="L269" s="408"/>
      <c r="M269" s="408"/>
      <c r="N269" s="408"/>
      <c r="O269" s="408"/>
      <c r="P269" s="408"/>
      <c r="Q269" s="408"/>
      <c r="R269" s="408"/>
      <c r="S269" s="408"/>
      <c r="T269" s="408"/>
      <c r="U269" s="408"/>
      <c r="V269" s="408"/>
      <c r="W269" s="408"/>
      <c r="X269" s="408"/>
      <c r="Y269" s="408"/>
      <c r="Z269" s="408"/>
      <c r="AA269" s="408"/>
      <c r="AB269" s="408"/>
      <c r="AC269" s="408"/>
      <c r="AD269" s="408"/>
      <c r="AE269" s="408"/>
      <c r="AF269" s="408"/>
      <c r="AG269" s="408"/>
      <c r="AH269" s="408"/>
      <c r="AI269" s="408"/>
      <c r="AJ269" s="408"/>
      <c r="AK269" s="408"/>
      <c r="AL269" s="408"/>
      <c r="AM269" s="408"/>
      <c r="AN269" s="408"/>
      <c r="AO269" s="408"/>
      <c r="AP269" s="408"/>
      <c r="AQ269" s="408"/>
      <c r="AR269" s="408"/>
      <c r="AS269" s="408"/>
      <c r="AT269" s="408"/>
      <c r="AU269" s="408"/>
      <c r="AV269" s="408"/>
      <c r="AW269" s="408"/>
      <c r="AX269" s="408"/>
      <c r="AY269" s="408"/>
      <c r="AZ269" s="408"/>
      <c r="BA269" s="408"/>
      <c r="BB269" s="408"/>
      <c r="BC269" s="408"/>
      <c r="BD269" s="408"/>
      <c r="BE269" s="408"/>
      <c r="BF269" s="408"/>
      <c r="BG269" s="408"/>
      <c r="BH269" s="408"/>
      <c r="BI269" s="408"/>
      <c r="BJ269" s="408"/>
      <c r="BK269" s="408"/>
      <c r="BL269" s="408"/>
      <c r="BM269" s="408"/>
      <c r="BN269" s="408"/>
      <c r="BO269" s="408"/>
      <c r="BP269" s="408"/>
      <c r="BQ269" s="408"/>
      <c r="BR269" s="408"/>
      <c r="BS269" s="408"/>
      <c r="BT269" s="408"/>
      <c r="BU269" s="408"/>
      <c r="BV269" s="408"/>
      <c r="BW269" s="408"/>
      <c r="BX269" s="408"/>
      <c r="BY269" s="408"/>
      <c r="BZ269" s="408"/>
      <c r="CA269" s="408"/>
      <c r="CB269" s="408"/>
      <c r="CC269" s="408"/>
      <c r="CD269" s="408"/>
      <c r="CE269" s="408"/>
      <c r="CF269" s="408"/>
      <c r="CG269" s="408"/>
      <c r="CH269" s="408"/>
      <c r="CI269" s="408"/>
      <c r="CJ269" s="408"/>
      <c r="CK269" s="408"/>
      <c r="CL269" s="408"/>
      <c r="CM269" s="408"/>
      <c r="CN269" s="408"/>
    </row>
    <row r="270">
      <c r="A270" s="408"/>
      <c r="B270" s="408"/>
      <c r="C270" s="408"/>
      <c r="D270" s="408"/>
      <c r="E270" s="408"/>
      <c r="F270" s="408"/>
      <c r="G270" s="408"/>
      <c r="H270" s="408"/>
      <c r="I270" s="408"/>
      <c r="J270" s="408"/>
      <c r="K270" s="408"/>
      <c r="L270" s="408"/>
      <c r="M270" s="408"/>
      <c r="N270" s="408"/>
      <c r="O270" s="408"/>
      <c r="P270" s="408"/>
      <c r="Q270" s="408"/>
      <c r="R270" s="408"/>
      <c r="S270" s="408"/>
      <c r="T270" s="408"/>
      <c r="U270" s="408"/>
      <c r="V270" s="408"/>
      <c r="W270" s="408"/>
      <c r="X270" s="408"/>
      <c r="Y270" s="408"/>
      <c r="Z270" s="408"/>
      <c r="AA270" s="408"/>
      <c r="AB270" s="408"/>
      <c r="AC270" s="408"/>
      <c r="AD270" s="408"/>
      <c r="AE270" s="408"/>
      <c r="AF270" s="408"/>
      <c r="AG270" s="408"/>
      <c r="AH270" s="408"/>
      <c r="AI270" s="408"/>
      <c r="AJ270" s="408"/>
      <c r="AK270" s="408"/>
      <c r="AL270" s="408"/>
      <c r="AM270" s="408"/>
      <c r="AN270" s="408"/>
      <c r="AO270" s="408"/>
      <c r="AP270" s="408"/>
      <c r="AQ270" s="408"/>
      <c r="AR270" s="408"/>
      <c r="AS270" s="408"/>
      <c r="AT270" s="408"/>
      <c r="AU270" s="408"/>
      <c r="AV270" s="408"/>
      <c r="AW270" s="408"/>
      <c r="AX270" s="408"/>
      <c r="AY270" s="408"/>
      <c r="AZ270" s="408"/>
      <c r="BA270" s="408"/>
      <c r="BB270" s="408"/>
      <c r="BC270" s="408"/>
      <c r="BD270" s="408"/>
      <c r="BE270" s="408"/>
      <c r="BF270" s="408"/>
      <c r="BG270" s="408"/>
      <c r="BH270" s="408"/>
      <c r="BI270" s="408"/>
      <c r="BJ270" s="408"/>
      <c r="BK270" s="408"/>
      <c r="BL270" s="408"/>
      <c r="BM270" s="408"/>
      <c r="BN270" s="408"/>
      <c r="BO270" s="408"/>
      <c r="BP270" s="408"/>
      <c r="BQ270" s="408"/>
      <c r="BR270" s="408"/>
      <c r="BS270" s="408"/>
      <c r="BT270" s="408"/>
      <c r="BU270" s="408"/>
      <c r="BV270" s="408"/>
      <c r="BW270" s="408"/>
      <c r="BX270" s="408"/>
      <c r="BY270" s="408"/>
      <c r="BZ270" s="408"/>
      <c r="CA270" s="408"/>
      <c r="CB270" s="408"/>
      <c r="CC270" s="408"/>
      <c r="CD270" s="408"/>
      <c r="CE270" s="408"/>
      <c r="CF270" s="408"/>
      <c r="CG270" s="408"/>
      <c r="CH270" s="408"/>
      <c r="CI270" s="408"/>
      <c r="CJ270" s="408"/>
      <c r="CK270" s="408"/>
      <c r="CL270" s="408"/>
      <c r="CM270" s="408"/>
      <c r="CN270" s="408"/>
    </row>
    <row r="271">
      <c r="A271" s="408"/>
      <c r="B271" s="408"/>
      <c r="C271" s="408"/>
      <c r="D271" s="408"/>
      <c r="E271" s="408"/>
      <c r="F271" s="408"/>
      <c r="G271" s="408"/>
      <c r="H271" s="408"/>
      <c r="I271" s="408"/>
      <c r="J271" s="408"/>
      <c r="K271" s="408"/>
      <c r="L271" s="408"/>
      <c r="M271" s="408"/>
      <c r="N271" s="408"/>
      <c r="O271" s="408"/>
      <c r="P271" s="408"/>
      <c r="Q271" s="408"/>
      <c r="R271" s="408"/>
      <c r="S271" s="408"/>
      <c r="T271" s="408"/>
      <c r="U271" s="408"/>
      <c r="V271" s="408"/>
      <c r="W271" s="408"/>
      <c r="X271" s="408"/>
      <c r="Y271" s="408"/>
      <c r="Z271" s="408"/>
      <c r="AA271" s="408"/>
      <c r="AB271" s="408"/>
      <c r="AC271" s="408"/>
      <c r="AD271" s="408"/>
      <c r="AE271" s="408"/>
      <c r="AF271" s="408"/>
      <c r="AG271" s="408"/>
      <c r="AH271" s="408"/>
      <c r="AI271" s="408"/>
      <c r="AJ271" s="408"/>
      <c r="AK271" s="408"/>
      <c r="AL271" s="408"/>
      <c r="AM271" s="408"/>
      <c r="AN271" s="408"/>
      <c r="AO271" s="408"/>
      <c r="AP271" s="408"/>
      <c r="AQ271" s="408"/>
      <c r="AR271" s="408"/>
      <c r="AS271" s="408"/>
      <c r="AT271" s="408"/>
      <c r="AU271" s="408"/>
      <c r="AV271" s="408"/>
      <c r="AW271" s="408"/>
      <c r="AX271" s="408"/>
      <c r="AY271" s="408"/>
      <c r="AZ271" s="408"/>
      <c r="BA271" s="408"/>
      <c r="BB271" s="408"/>
      <c r="BC271" s="408"/>
      <c r="BD271" s="408"/>
      <c r="BE271" s="408"/>
      <c r="BF271" s="408"/>
      <c r="BG271" s="408"/>
      <c r="BH271" s="408"/>
      <c r="BI271" s="408"/>
      <c r="BJ271" s="408"/>
      <c r="BK271" s="408"/>
      <c r="BL271" s="408"/>
      <c r="BM271" s="408"/>
      <c r="BN271" s="408"/>
      <c r="BO271" s="408"/>
      <c r="BP271" s="408"/>
      <c r="BQ271" s="408"/>
      <c r="BR271" s="408"/>
      <c r="BS271" s="408"/>
      <c r="BT271" s="408"/>
      <c r="BU271" s="408"/>
      <c r="BV271" s="408"/>
      <c r="BW271" s="408"/>
      <c r="BX271" s="408"/>
      <c r="BY271" s="408"/>
      <c r="BZ271" s="408"/>
      <c r="CA271" s="408"/>
      <c r="CB271" s="408"/>
      <c r="CC271" s="408"/>
      <c r="CD271" s="408"/>
      <c r="CE271" s="408"/>
      <c r="CF271" s="408"/>
      <c r="CG271" s="408"/>
      <c r="CH271" s="408"/>
      <c r="CI271" s="408"/>
      <c r="CJ271" s="408"/>
      <c r="CK271" s="408"/>
      <c r="CL271" s="408"/>
      <c r="CM271" s="408"/>
      <c r="CN271" s="408"/>
    </row>
    <row r="272">
      <c r="A272" s="408"/>
      <c r="B272" s="408"/>
      <c r="C272" s="408"/>
      <c r="D272" s="408"/>
      <c r="E272" s="408"/>
      <c r="F272" s="408"/>
      <c r="G272" s="408"/>
      <c r="H272" s="408"/>
      <c r="I272" s="408"/>
      <c r="J272" s="408"/>
      <c r="K272" s="408"/>
      <c r="L272" s="408"/>
      <c r="M272" s="408"/>
      <c r="N272" s="408"/>
      <c r="O272" s="408"/>
      <c r="P272" s="408"/>
      <c r="Q272" s="408"/>
      <c r="R272" s="408"/>
      <c r="S272" s="408"/>
      <c r="T272" s="408"/>
      <c r="U272" s="408"/>
      <c r="V272" s="408"/>
      <c r="W272" s="408"/>
      <c r="X272" s="408"/>
      <c r="Y272" s="408"/>
      <c r="Z272" s="408"/>
      <c r="AA272" s="408"/>
      <c r="AB272" s="408"/>
      <c r="AC272" s="408"/>
      <c r="AD272" s="408"/>
      <c r="AE272" s="408"/>
      <c r="AF272" s="408"/>
      <c r="AG272" s="408"/>
      <c r="AH272" s="408"/>
      <c r="AI272" s="408"/>
      <c r="AJ272" s="408"/>
      <c r="AK272" s="408"/>
      <c r="AL272" s="408"/>
      <c r="AM272" s="408"/>
      <c r="AN272" s="408"/>
      <c r="AO272" s="408"/>
      <c r="AP272" s="408"/>
      <c r="AQ272" s="408"/>
      <c r="AR272" s="408"/>
      <c r="AS272" s="408"/>
      <c r="AT272" s="408"/>
      <c r="AU272" s="408"/>
      <c r="AV272" s="408"/>
      <c r="AW272" s="408"/>
      <c r="AX272" s="408"/>
      <c r="AY272" s="408"/>
      <c r="AZ272" s="408"/>
      <c r="BA272" s="408"/>
      <c r="BB272" s="408"/>
      <c r="BC272" s="408"/>
      <c r="BD272" s="408"/>
      <c r="BE272" s="408"/>
      <c r="BF272" s="408"/>
      <c r="BG272" s="408"/>
      <c r="BH272" s="408"/>
      <c r="BI272" s="408"/>
      <c r="BJ272" s="408"/>
      <c r="BK272" s="408"/>
      <c r="BL272" s="408"/>
      <c r="BM272" s="408"/>
      <c r="BN272" s="408"/>
      <c r="BO272" s="408"/>
      <c r="BP272" s="408"/>
      <c r="BQ272" s="408"/>
      <c r="BR272" s="408"/>
      <c r="BS272" s="408"/>
      <c r="BT272" s="408"/>
      <c r="BU272" s="408"/>
      <c r="BV272" s="408"/>
      <c r="BW272" s="408"/>
      <c r="BX272" s="408"/>
      <c r="BY272" s="408"/>
      <c r="BZ272" s="408"/>
      <c r="CA272" s="408"/>
      <c r="CB272" s="408"/>
      <c r="CC272" s="408"/>
      <c r="CD272" s="408"/>
      <c r="CE272" s="408"/>
      <c r="CF272" s="408"/>
      <c r="CG272" s="408"/>
      <c r="CH272" s="408"/>
      <c r="CI272" s="408"/>
      <c r="CJ272" s="408"/>
      <c r="CK272" s="408"/>
      <c r="CL272" s="408"/>
      <c r="CM272" s="408"/>
      <c r="CN272" s="408"/>
    </row>
    <row r="273">
      <c r="A273" s="408"/>
      <c r="B273" s="408"/>
      <c r="C273" s="408"/>
      <c r="D273" s="408"/>
      <c r="E273" s="408"/>
      <c r="F273" s="408"/>
      <c r="G273" s="408"/>
      <c r="H273" s="408"/>
      <c r="I273" s="408"/>
      <c r="J273" s="408"/>
      <c r="K273" s="408"/>
      <c r="L273" s="408"/>
      <c r="M273" s="408"/>
      <c r="N273" s="408"/>
      <c r="O273" s="408"/>
      <c r="P273" s="408"/>
      <c r="Q273" s="408"/>
      <c r="R273" s="408"/>
      <c r="S273" s="408"/>
      <c r="T273" s="408"/>
      <c r="U273" s="408"/>
      <c r="V273" s="408"/>
      <c r="W273" s="408"/>
      <c r="X273" s="408"/>
      <c r="Y273" s="408"/>
      <c r="Z273" s="408"/>
      <c r="AA273" s="408"/>
      <c r="AB273" s="408"/>
      <c r="AC273" s="408"/>
      <c r="AD273" s="408"/>
      <c r="AE273" s="408"/>
      <c r="AF273" s="408"/>
      <c r="AG273" s="408"/>
      <c r="AH273" s="408"/>
      <c r="AI273" s="408"/>
      <c r="AJ273" s="408"/>
      <c r="AK273" s="408"/>
      <c r="AL273" s="408"/>
      <c r="AM273" s="408"/>
      <c r="AN273" s="408"/>
      <c r="AO273" s="408"/>
      <c r="AP273" s="408"/>
      <c r="AQ273" s="408"/>
      <c r="AR273" s="408"/>
      <c r="AS273" s="408"/>
      <c r="AT273" s="408"/>
      <c r="AU273" s="408"/>
      <c r="AV273" s="408"/>
      <c r="AW273" s="408"/>
      <c r="AX273" s="408"/>
      <c r="AY273" s="408"/>
      <c r="AZ273" s="408"/>
      <c r="BA273" s="408"/>
      <c r="BB273" s="408"/>
      <c r="BC273" s="408"/>
      <c r="BD273" s="408"/>
      <c r="BE273" s="408"/>
      <c r="BF273" s="408"/>
      <c r="BG273" s="408"/>
      <c r="BH273" s="408"/>
      <c r="BI273" s="408"/>
      <c r="BJ273" s="408"/>
      <c r="BK273" s="408"/>
      <c r="BL273" s="408"/>
      <c r="BM273" s="408"/>
      <c r="BN273" s="408"/>
      <c r="BO273" s="408"/>
      <c r="BP273" s="408"/>
      <c r="BQ273" s="408"/>
      <c r="BR273" s="408"/>
      <c r="BS273" s="408"/>
      <c r="BT273" s="408"/>
      <c r="BU273" s="408"/>
      <c r="BV273" s="408"/>
      <c r="BW273" s="408"/>
      <c r="BX273" s="408"/>
      <c r="BY273" s="408"/>
      <c r="BZ273" s="408"/>
      <c r="CA273" s="408"/>
      <c r="CB273" s="408"/>
      <c r="CC273" s="408"/>
      <c r="CD273" s="408"/>
      <c r="CE273" s="408"/>
      <c r="CF273" s="408"/>
      <c r="CG273" s="408"/>
      <c r="CH273" s="408"/>
      <c r="CI273" s="408"/>
      <c r="CJ273" s="408"/>
      <c r="CK273" s="408"/>
      <c r="CL273" s="408"/>
      <c r="CM273" s="408"/>
      <c r="CN273" s="408"/>
    </row>
    <row r="274">
      <c r="A274" s="408"/>
      <c r="B274" s="408"/>
      <c r="C274" s="408"/>
      <c r="D274" s="408"/>
      <c r="E274" s="408"/>
      <c r="F274" s="408"/>
      <c r="G274" s="408"/>
      <c r="H274" s="408"/>
      <c r="I274" s="408"/>
      <c r="J274" s="408"/>
      <c r="K274" s="408"/>
      <c r="L274" s="408"/>
      <c r="M274" s="408"/>
      <c r="N274" s="408"/>
      <c r="O274" s="408"/>
      <c r="P274" s="408"/>
      <c r="Q274" s="408"/>
      <c r="R274" s="408"/>
      <c r="S274" s="408"/>
      <c r="T274" s="408"/>
      <c r="U274" s="408"/>
      <c r="V274" s="408"/>
      <c r="W274" s="408"/>
      <c r="X274" s="408"/>
      <c r="Y274" s="408"/>
      <c r="Z274" s="408"/>
      <c r="AA274" s="408"/>
      <c r="AB274" s="408"/>
      <c r="AC274" s="408"/>
      <c r="AD274" s="408"/>
      <c r="AE274" s="408"/>
      <c r="AF274" s="408"/>
      <c r="AG274" s="408"/>
      <c r="AH274" s="408"/>
      <c r="AI274" s="408"/>
      <c r="AJ274" s="408"/>
      <c r="AK274" s="408"/>
      <c r="AL274" s="408"/>
      <c r="AM274" s="408"/>
      <c r="AN274" s="408"/>
      <c r="AO274" s="408"/>
      <c r="AP274" s="408"/>
      <c r="AQ274" s="408"/>
      <c r="AR274" s="408"/>
      <c r="AS274" s="408"/>
      <c r="AT274" s="408"/>
      <c r="AU274" s="408"/>
      <c r="AV274" s="408"/>
      <c r="AW274" s="408"/>
      <c r="AX274" s="408"/>
      <c r="AY274" s="408"/>
      <c r="AZ274" s="408"/>
      <c r="BA274" s="408"/>
      <c r="BB274" s="408"/>
      <c r="BC274" s="408"/>
      <c r="BD274" s="408"/>
      <c r="BE274" s="408"/>
      <c r="BF274" s="408"/>
      <c r="BG274" s="408"/>
      <c r="BH274" s="408"/>
      <c r="BI274" s="408"/>
      <c r="BJ274" s="408"/>
      <c r="BK274" s="408"/>
      <c r="BL274" s="408"/>
      <c r="BM274" s="408"/>
      <c r="BN274" s="408"/>
      <c r="BO274" s="408"/>
      <c r="BP274" s="408"/>
      <c r="BQ274" s="408"/>
      <c r="BR274" s="408"/>
      <c r="BS274" s="408"/>
      <c r="BT274" s="408"/>
      <c r="BU274" s="408"/>
      <c r="BV274" s="408"/>
      <c r="BW274" s="408"/>
      <c r="BX274" s="408"/>
      <c r="BY274" s="408"/>
      <c r="BZ274" s="408"/>
      <c r="CA274" s="408"/>
      <c r="CB274" s="408"/>
      <c r="CC274" s="408"/>
      <c r="CD274" s="408"/>
      <c r="CE274" s="408"/>
      <c r="CF274" s="408"/>
      <c r="CG274" s="408"/>
      <c r="CH274" s="408"/>
      <c r="CI274" s="408"/>
      <c r="CJ274" s="408"/>
      <c r="CK274" s="408"/>
      <c r="CL274" s="408"/>
      <c r="CM274" s="408"/>
      <c r="CN274" s="408"/>
    </row>
    <row r="275">
      <c r="A275" s="408"/>
      <c r="B275" s="408"/>
      <c r="C275" s="408"/>
      <c r="D275" s="408"/>
      <c r="E275" s="408"/>
      <c r="F275" s="408"/>
      <c r="G275" s="408"/>
      <c r="H275" s="408"/>
      <c r="I275" s="408"/>
      <c r="J275" s="408"/>
      <c r="K275" s="408"/>
      <c r="L275" s="408"/>
      <c r="M275" s="408"/>
      <c r="N275" s="408"/>
      <c r="O275" s="408"/>
      <c r="P275" s="408"/>
      <c r="Q275" s="408"/>
      <c r="R275" s="408"/>
      <c r="S275" s="408"/>
      <c r="T275" s="408"/>
      <c r="U275" s="408"/>
      <c r="V275" s="408"/>
      <c r="W275" s="408"/>
      <c r="X275" s="408"/>
      <c r="Y275" s="408"/>
      <c r="Z275" s="408"/>
      <c r="AA275" s="408"/>
      <c r="AB275" s="408"/>
      <c r="AC275" s="408"/>
      <c r="AD275" s="408"/>
      <c r="AE275" s="408"/>
      <c r="AF275" s="408"/>
      <c r="AG275" s="408"/>
      <c r="AH275" s="408"/>
      <c r="AI275" s="408"/>
      <c r="AJ275" s="408"/>
      <c r="AK275" s="408"/>
      <c r="AL275" s="408"/>
      <c r="AM275" s="408"/>
      <c r="AN275" s="408"/>
      <c r="AO275" s="408"/>
      <c r="AP275" s="408"/>
      <c r="AQ275" s="408"/>
      <c r="AR275" s="408"/>
      <c r="AS275" s="408"/>
      <c r="AT275" s="408"/>
      <c r="AU275" s="408"/>
      <c r="AV275" s="408"/>
      <c r="AW275" s="408"/>
      <c r="AX275" s="408"/>
      <c r="AY275" s="408"/>
      <c r="AZ275" s="408"/>
      <c r="BA275" s="408"/>
      <c r="BB275" s="408"/>
      <c r="BC275" s="408"/>
      <c r="BD275" s="408"/>
      <c r="BE275" s="408"/>
      <c r="BF275" s="408"/>
      <c r="BG275" s="408"/>
      <c r="BH275" s="408"/>
      <c r="BI275" s="408"/>
      <c r="BJ275" s="408"/>
      <c r="BK275" s="408"/>
      <c r="BL275" s="408"/>
      <c r="BM275" s="408"/>
      <c r="BN275" s="408"/>
      <c r="BO275" s="408"/>
      <c r="BP275" s="408"/>
      <c r="BQ275" s="408"/>
      <c r="BR275" s="408"/>
      <c r="BS275" s="408"/>
      <c r="BT275" s="408"/>
      <c r="BU275" s="408"/>
      <c r="BV275" s="408"/>
      <c r="BW275" s="408"/>
      <c r="BX275" s="408"/>
      <c r="BY275" s="408"/>
      <c r="BZ275" s="408"/>
      <c r="CA275" s="408"/>
      <c r="CB275" s="408"/>
      <c r="CC275" s="408"/>
      <c r="CD275" s="408"/>
      <c r="CE275" s="408"/>
      <c r="CF275" s="408"/>
      <c r="CG275" s="408"/>
      <c r="CH275" s="408"/>
      <c r="CI275" s="408"/>
      <c r="CJ275" s="408"/>
      <c r="CK275" s="408"/>
      <c r="CL275" s="408"/>
      <c r="CM275" s="408"/>
      <c r="CN275" s="408"/>
    </row>
    <row r="276">
      <c r="A276" s="408"/>
      <c r="B276" s="408"/>
      <c r="C276" s="408"/>
      <c r="D276" s="408"/>
      <c r="E276" s="408"/>
      <c r="F276" s="408"/>
      <c r="G276" s="408"/>
      <c r="H276" s="408"/>
      <c r="I276" s="408"/>
      <c r="J276" s="408"/>
      <c r="K276" s="408"/>
      <c r="L276" s="408"/>
      <c r="M276" s="408"/>
      <c r="N276" s="408"/>
      <c r="O276" s="408"/>
      <c r="P276" s="408"/>
      <c r="Q276" s="408"/>
      <c r="R276" s="408"/>
      <c r="S276" s="408"/>
      <c r="T276" s="408"/>
      <c r="U276" s="408"/>
      <c r="V276" s="408"/>
      <c r="W276" s="408"/>
      <c r="X276" s="408"/>
      <c r="Y276" s="408"/>
      <c r="Z276" s="408"/>
      <c r="AA276" s="408"/>
      <c r="AB276" s="408"/>
      <c r="AC276" s="408"/>
      <c r="AD276" s="408"/>
      <c r="AE276" s="408"/>
      <c r="AF276" s="408"/>
      <c r="AG276" s="408"/>
      <c r="AH276" s="408"/>
      <c r="AI276" s="408"/>
      <c r="AJ276" s="408"/>
      <c r="AK276" s="408"/>
      <c r="AL276" s="408"/>
      <c r="AM276" s="408"/>
      <c r="AN276" s="408"/>
      <c r="AO276" s="408"/>
      <c r="AP276" s="408"/>
      <c r="AQ276" s="408"/>
      <c r="AR276" s="408"/>
      <c r="AS276" s="408"/>
      <c r="AT276" s="408"/>
      <c r="AU276" s="408"/>
      <c r="AV276" s="408"/>
      <c r="AW276" s="408"/>
      <c r="AX276" s="408"/>
      <c r="AY276" s="408"/>
      <c r="AZ276" s="408"/>
      <c r="BA276" s="408"/>
      <c r="BB276" s="408"/>
      <c r="BC276" s="408"/>
      <c r="BD276" s="408"/>
      <c r="BE276" s="408"/>
      <c r="BF276" s="408"/>
      <c r="BG276" s="408"/>
      <c r="BH276" s="408"/>
      <c r="BI276" s="408"/>
      <c r="BJ276" s="408"/>
      <c r="BK276" s="408"/>
      <c r="BL276" s="408"/>
      <c r="BM276" s="408"/>
      <c r="BN276" s="408"/>
      <c r="BO276" s="408"/>
      <c r="BP276" s="408"/>
      <c r="BQ276" s="408"/>
      <c r="BR276" s="408"/>
      <c r="BS276" s="408"/>
      <c r="BT276" s="408"/>
      <c r="BU276" s="408"/>
      <c r="BV276" s="408"/>
      <c r="BW276" s="408"/>
      <c r="BX276" s="408"/>
      <c r="BY276" s="408"/>
      <c r="BZ276" s="408"/>
      <c r="CA276" s="408"/>
      <c r="CB276" s="408"/>
      <c r="CC276" s="408"/>
      <c r="CD276" s="408"/>
      <c r="CE276" s="408"/>
      <c r="CF276" s="408"/>
      <c r="CG276" s="408"/>
      <c r="CH276" s="408"/>
      <c r="CI276" s="408"/>
      <c r="CJ276" s="408"/>
      <c r="CK276" s="408"/>
      <c r="CL276" s="408"/>
      <c r="CM276" s="408"/>
      <c r="CN276" s="408"/>
    </row>
    <row r="277">
      <c r="A277" s="408"/>
      <c r="B277" s="408"/>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8"/>
      <c r="Y277" s="408"/>
      <c r="Z277" s="408"/>
      <c r="AA277" s="408"/>
      <c r="AB277" s="408"/>
      <c r="AC277" s="408"/>
      <c r="AD277" s="408"/>
      <c r="AE277" s="408"/>
      <c r="AF277" s="408"/>
      <c r="AG277" s="408"/>
      <c r="AH277" s="408"/>
      <c r="AI277" s="408"/>
      <c r="AJ277" s="408"/>
      <c r="AK277" s="408"/>
      <c r="AL277" s="408"/>
      <c r="AM277" s="408"/>
      <c r="AN277" s="408"/>
      <c r="AO277" s="408"/>
      <c r="AP277" s="408"/>
      <c r="AQ277" s="408"/>
      <c r="AR277" s="408"/>
      <c r="AS277" s="408"/>
      <c r="AT277" s="408"/>
      <c r="AU277" s="408"/>
      <c r="AV277" s="408"/>
      <c r="AW277" s="408"/>
      <c r="AX277" s="408"/>
      <c r="AY277" s="408"/>
      <c r="AZ277" s="408"/>
      <c r="BA277" s="408"/>
      <c r="BB277" s="408"/>
      <c r="BC277" s="408"/>
      <c r="BD277" s="408"/>
      <c r="BE277" s="408"/>
      <c r="BF277" s="408"/>
      <c r="BG277" s="408"/>
      <c r="BH277" s="408"/>
      <c r="BI277" s="408"/>
      <c r="BJ277" s="408"/>
      <c r="BK277" s="408"/>
      <c r="BL277" s="408"/>
      <c r="BM277" s="408"/>
      <c r="BN277" s="408"/>
      <c r="BO277" s="408"/>
      <c r="BP277" s="408"/>
      <c r="BQ277" s="408"/>
      <c r="BR277" s="408"/>
      <c r="BS277" s="408"/>
      <c r="BT277" s="408"/>
      <c r="BU277" s="408"/>
      <c r="BV277" s="408"/>
      <c r="BW277" s="408"/>
      <c r="BX277" s="408"/>
      <c r="BY277" s="408"/>
      <c r="BZ277" s="408"/>
      <c r="CA277" s="408"/>
      <c r="CB277" s="408"/>
      <c r="CC277" s="408"/>
      <c r="CD277" s="408"/>
      <c r="CE277" s="408"/>
      <c r="CF277" s="408"/>
      <c r="CG277" s="408"/>
      <c r="CH277" s="408"/>
      <c r="CI277" s="408"/>
      <c r="CJ277" s="408"/>
      <c r="CK277" s="408"/>
      <c r="CL277" s="408"/>
      <c r="CM277" s="408"/>
      <c r="CN277" s="408"/>
    </row>
    <row r="278">
      <c r="A278" s="408"/>
      <c r="B278" s="408"/>
      <c r="C278" s="408"/>
      <c r="D278" s="408"/>
      <c r="E278" s="408"/>
      <c r="F278" s="408"/>
      <c r="G278" s="408"/>
      <c r="H278" s="408"/>
      <c r="I278" s="408"/>
      <c r="J278" s="408"/>
      <c r="K278" s="408"/>
      <c r="L278" s="408"/>
      <c r="M278" s="408"/>
      <c r="N278" s="408"/>
      <c r="O278" s="408"/>
      <c r="P278" s="408"/>
      <c r="Q278" s="408"/>
      <c r="R278" s="408"/>
      <c r="S278" s="408"/>
      <c r="T278" s="408"/>
      <c r="U278" s="408"/>
      <c r="V278" s="408"/>
      <c r="W278" s="408"/>
      <c r="X278" s="408"/>
      <c r="Y278" s="408"/>
      <c r="Z278" s="408"/>
      <c r="AA278" s="408"/>
      <c r="AB278" s="408"/>
      <c r="AC278" s="408"/>
      <c r="AD278" s="408"/>
      <c r="AE278" s="408"/>
      <c r="AF278" s="408"/>
      <c r="AG278" s="408"/>
      <c r="AH278" s="408"/>
      <c r="AI278" s="408"/>
      <c r="AJ278" s="408"/>
      <c r="AK278" s="408"/>
      <c r="AL278" s="408"/>
      <c r="AM278" s="408"/>
      <c r="AN278" s="408"/>
      <c r="AO278" s="408"/>
      <c r="AP278" s="408"/>
      <c r="AQ278" s="408"/>
      <c r="AR278" s="408"/>
      <c r="AS278" s="408"/>
      <c r="AT278" s="408"/>
      <c r="AU278" s="408"/>
      <c r="AV278" s="408"/>
      <c r="AW278" s="408"/>
      <c r="AX278" s="408"/>
      <c r="AY278" s="408"/>
      <c r="AZ278" s="408"/>
      <c r="BA278" s="408"/>
      <c r="BB278" s="408"/>
      <c r="BC278" s="408"/>
      <c r="BD278" s="408"/>
      <c r="BE278" s="408"/>
      <c r="BF278" s="408"/>
      <c r="BG278" s="408"/>
      <c r="BH278" s="408"/>
      <c r="BI278" s="408"/>
      <c r="BJ278" s="408"/>
      <c r="BK278" s="408"/>
      <c r="BL278" s="408"/>
      <c r="BM278" s="408"/>
      <c r="BN278" s="408"/>
      <c r="BO278" s="408"/>
      <c r="BP278" s="408"/>
      <c r="BQ278" s="408"/>
      <c r="BR278" s="408"/>
      <c r="BS278" s="408"/>
      <c r="BT278" s="408"/>
      <c r="BU278" s="408"/>
      <c r="BV278" s="408"/>
      <c r="BW278" s="408"/>
      <c r="BX278" s="408"/>
      <c r="BY278" s="408"/>
      <c r="BZ278" s="408"/>
      <c r="CA278" s="408"/>
      <c r="CB278" s="408"/>
      <c r="CC278" s="408"/>
      <c r="CD278" s="408"/>
      <c r="CE278" s="408"/>
      <c r="CF278" s="408"/>
      <c r="CG278" s="408"/>
      <c r="CH278" s="408"/>
      <c r="CI278" s="408"/>
      <c r="CJ278" s="408"/>
      <c r="CK278" s="408"/>
      <c r="CL278" s="408"/>
      <c r="CM278" s="408"/>
      <c r="CN278" s="408"/>
    </row>
    <row r="279">
      <c r="A279" s="408"/>
      <c r="B279" s="408"/>
      <c r="C279" s="408"/>
      <c r="D279" s="408"/>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c r="AA279" s="408"/>
      <c r="AB279" s="408"/>
      <c r="AC279" s="408"/>
      <c r="AD279" s="408"/>
      <c r="AE279" s="408"/>
      <c r="AF279" s="408"/>
      <c r="AG279" s="408"/>
      <c r="AH279" s="408"/>
      <c r="AI279" s="408"/>
      <c r="AJ279" s="408"/>
      <c r="AK279" s="408"/>
      <c r="AL279" s="408"/>
      <c r="AM279" s="408"/>
      <c r="AN279" s="408"/>
      <c r="AO279" s="408"/>
      <c r="AP279" s="408"/>
      <c r="AQ279" s="408"/>
      <c r="AR279" s="408"/>
      <c r="AS279" s="408"/>
      <c r="AT279" s="408"/>
      <c r="AU279" s="408"/>
      <c r="AV279" s="408"/>
      <c r="AW279" s="408"/>
      <c r="AX279" s="408"/>
      <c r="AY279" s="408"/>
      <c r="AZ279" s="408"/>
      <c r="BA279" s="408"/>
      <c r="BB279" s="408"/>
      <c r="BC279" s="408"/>
      <c r="BD279" s="408"/>
      <c r="BE279" s="408"/>
      <c r="BF279" s="408"/>
      <c r="BG279" s="408"/>
      <c r="BH279" s="408"/>
      <c r="BI279" s="408"/>
      <c r="BJ279" s="408"/>
      <c r="BK279" s="408"/>
      <c r="BL279" s="408"/>
      <c r="BM279" s="408"/>
      <c r="BN279" s="408"/>
      <c r="BO279" s="408"/>
      <c r="BP279" s="408"/>
      <c r="BQ279" s="408"/>
      <c r="BR279" s="408"/>
      <c r="BS279" s="408"/>
      <c r="BT279" s="408"/>
      <c r="BU279" s="408"/>
      <c r="BV279" s="408"/>
      <c r="BW279" s="408"/>
      <c r="BX279" s="408"/>
      <c r="BY279" s="408"/>
      <c r="BZ279" s="408"/>
      <c r="CA279" s="408"/>
      <c r="CB279" s="408"/>
      <c r="CC279" s="408"/>
      <c r="CD279" s="408"/>
      <c r="CE279" s="408"/>
      <c r="CF279" s="408"/>
      <c r="CG279" s="408"/>
      <c r="CH279" s="408"/>
      <c r="CI279" s="408"/>
      <c r="CJ279" s="408"/>
      <c r="CK279" s="408"/>
      <c r="CL279" s="408"/>
      <c r="CM279" s="408"/>
      <c r="CN279" s="408"/>
    </row>
    <row r="280">
      <c r="A280" s="408"/>
      <c r="B280" s="408"/>
      <c r="C280" s="408"/>
      <c r="D280" s="408"/>
      <c r="E280" s="408"/>
      <c r="F280" s="408"/>
      <c r="G280" s="408"/>
      <c r="H280" s="408"/>
      <c r="I280" s="408"/>
      <c r="J280" s="408"/>
      <c r="K280" s="408"/>
      <c r="L280" s="408"/>
      <c r="M280" s="408"/>
      <c r="N280" s="408"/>
      <c r="O280" s="408"/>
      <c r="P280" s="408"/>
      <c r="Q280" s="408"/>
      <c r="R280" s="408"/>
      <c r="S280" s="408"/>
      <c r="T280" s="408"/>
      <c r="U280" s="408"/>
      <c r="V280" s="408"/>
      <c r="W280" s="408"/>
      <c r="X280" s="408"/>
      <c r="Y280" s="408"/>
      <c r="Z280" s="408"/>
      <c r="AA280" s="408"/>
      <c r="AB280" s="408"/>
      <c r="AC280" s="408"/>
      <c r="AD280" s="408"/>
      <c r="AE280" s="408"/>
      <c r="AF280" s="408"/>
      <c r="AG280" s="408"/>
      <c r="AH280" s="408"/>
      <c r="AI280" s="408"/>
      <c r="AJ280" s="408"/>
      <c r="AK280" s="408"/>
      <c r="AL280" s="408"/>
      <c r="AM280" s="408"/>
      <c r="AN280" s="408"/>
      <c r="AO280" s="408"/>
      <c r="AP280" s="408"/>
      <c r="AQ280" s="408"/>
      <c r="AR280" s="408"/>
      <c r="AS280" s="408"/>
      <c r="AT280" s="408"/>
      <c r="AU280" s="408"/>
      <c r="AV280" s="408"/>
      <c r="AW280" s="408"/>
      <c r="AX280" s="408"/>
      <c r="AY280" s="408"/>
      <c r="AZ280" s="408"/>
      <c r="BA280" s="408"/>
      <c r="BB280" s="408"/>
      <c r="BC280" s="408"/>
      <c r="BD280" s="408"/>
      <c r="BE280" s="408"/>
      <c r="BF280" s="408"/>
      <c r="BG280" s="408"/>
      <c r="BH280" s="408"/>
      <c r="BI280" s="408"/>
      <c r="BJ280" s="408"/>
      <c r="BK280" s="408"/>
      <c r="BL280" s="408"/>
      <c r="BM280" s="408"/>
      <c r="BN280" s="408"/>
      <c r="BO280" s="408"/>
      <c r="BP280" s="408"/>
      <c r="BQ280" s="408"/>
      <c r="BR280" s="408"/>
      <c r="BS280" s="408"/>
      <c r="BT280" s="408"/>
      <c r="BU280" s="408"/>
      <c r="BV280" s="408"/>
      <c r="BW280" s="408"/>
      <c r="BX280" s="408"/>
      <c r="BY280" s="408"/>
      <c r="BZ280" s="408"/>
      <c r="CA280" s="408"/>
      <c r="CB280" s="408"/>
      <c r="CC280" s="408"/>
      <c r="CD280" s="408"/>
      <c r="CE280" s="408"/>
      <c r="CF280" s="408"/>
      <c r="CG280" s="408"/>
      <c r="CH280" s="408"/>
      <c r="CI280" s="408"/>
      <c r="CJ280" s="408"/>
      <c r="CK280" s="408"/>
      <c r="CL280" s="408"/>
      <c r="CM280" s="408"/>
      <c r="CN280" s="408"/>
    </row>
    <row r="281">
      <c r="A281" s="408"/>
      <c r="B281" s="408"/>
      <c r="C281" s="408"/>
      <c r="D281" s="408"/>
      <c r="E281" s="408"/>
      <c r="F281" s="408"/>
      <c r="G281" s="408"/>
      <c r="H281" s="408"/>
      <c r="I281" s="408"/>
      <c r="J281" s="408"/>
      <c r="K281" s="408"/>
      <c r="L281" s="408"/>
      <c r="M281" s="408"/>
      <c r="N281" s="408"/>
      <c r="O281" s="408"/>
      <c r="P281" s="408"/>
      <c r="Q281" s="408"/>
      <c r="R281" s="408"/>
      <c r="S281" s="408"/>
      <c r="T281" s="408"/>
      <c r="U281" s="408"/>
      <c r="V281" s="408"/>
      <c r="W281" s="408"/>
      <c r="X281" s="408"/>
      <c r="Y281" s="408"/>
      <c r="Z281" s="408"/>
      <c r="AA281" s="408"/>
      <c r="AB281" s="408"/>
      <c r="AC281" s="408"/>
      <c r="AD281" s="408"/>
      <c r="AE281" s="408"/>
      <c r="AF281" s="408"/>
      <c r="AG281" s="408"/>
      <c r="AH281" s="408"/>
      <c r="AI281" s="408"/>
      <c r="AJ281" s="408"/>
      <c r="AK281" s="408"/>
      <c r="AL281" s="408"/>
      <c r="AM281" s="408"/>
      <c r="AN281" s="408"/>
      <c r="AO281" s="408"/>
      <c r="AP281" s="408"/>
      <c r="AQ281" s="408"/>
      <c r="AR281" s="408"/>
      <c r="AS281" s="408"/>
      <c r="AT281" s="408"/>
      <c r="AU281" s="408"/>
      <c r="AV281" s="408"/>
      <c r="AW281" s="408"/>
      <c r="AX281" s="408"/>
      <c r="AY281" s="408"/>
      <c r="AZ281" s="408"/>
      <c r="BA281" s="408"/>
      <c r="BB281" s="408"/>
      <c r="BC281" s="408"/>
      <c r="BD281" s="408"/>
      <c r="BE281" s="408"/>
      <c r="BF281" s="408"/>
      <c r="BG281" s="408"/>
      <c r="BH281" s="408"/>
      <c r="BI281" s="408"/>
      <c r="BJ281" s="408"/>
      <c r="BK281" s="408"/>
      <c r="BL281" s="408"/>
      <c r="BM281" s="408"/>
      <c r="BN281" s="408"/>
      <c r="BO281" s="408"/>
      <c r="BP281" s="408"/>
      <c r="BQ281" s="408"/>
      <c r="BR281" s="408"/>
      <c r="BS281" s="408"/>
      <c r="BT281" s="408"/>
      <c r="BU281" s="408"/>
      <c r="BV281" s="408"/>
      <c r="BW281" s="408"/>
      <c r="BX281" s="408"/>
      <c r="BY281" s="408"/>
      <c r="BZ281" s="408"/>
      <c r="CA281" s="408"/>
      <c r="CB281" s="408"/>
      <c r="CC281" s="408"/>
      <c r="CD281" s="408"/>
      <c r="CE281" s="408"/>
      <c r="CF281" s="408"/>
      <c r="CG281" s="408"/>
      <c r="CH281" s="408"/>
      <c r="CI281" s="408"/>
      <c r="CJ281" s="408"/>
      <c r="CK281" s="408"/>
      <c r="CL281" s="408"/>
      <c r="CM281" s="408"/>
      <c r="CN281" s="408"/>
    </row>
    <row r="282">
      <c r="A282" s="408"/>
      <c r="B282" s="408"/>
      <c r="C282" s="408"/>
      <c r="D282" s="408"/>
      <c r="E282" s="408"/>
      <c r="F282" s="408"/>
      <c r="G282" s="408"/>
      <c r="H282" s="408"/>
      <c r="I282" s="408"/>
      <c r="J282" s="408"/>
      <c r="K282" s="408"/>
      <c r="L282" s="408"/>
      <c r="M282" s="408"/>
      <c r="N282" s="408"/>
      <c r="O282" s="408"/>
      <c r="P282" s="408"/>
      <c r="Q282" s="408"/>
      <c r="R282" s="408"/>
      <c r="S282" s="408"/>
      <c r="T282" s="408"/>
      <c r="U282" s="408"/>
      <c r="V282" s="408"/>
      <c r="W282" s="408"/>
      <c r="X282" s="408"/>
      <c r="Y282" s="408"/>
      <c r="Z282" s="408"/>
      <c r="AA282" s="408"/>
      <c r="AB282" s="408"/>
      <c r="AC282" s="408"/>
      <c r="AD282" s="408"/>
      <c r="AE282" s="408"/>
      <c r="AF282" s="408"/>
      <c r="AG282" s="408"/>
      <c r="AH282" s="408"/>
      <c r="AI282" s="408"/>
      <c r="AJ282" s="408"/>
      <c r="AK282" s="408"/>
      <c r="AL282" s="408"/>
      <c r="AM282" s="408"/>
      <c r="AN282" s="408"/>
      <c r="AO282" s="408"/>
      <c r="AP282" s="408"/>
      <c r="AQ282" s="408"/>
      <c r="AR282" s="408"/>
      <c r="AS282" s="408"/>
      <c r="AT282" s="408"/>
      <c r="AU282" s="408"/>
      <c r="AV282" s="408"/>
      <c r="AW282" s="408"/>
      <c r="AX282" s="408"/>
      <c r="AY282" s="408"/>
      <c r="AZ282" s="408"/>
      <c r="BA282" s="408"/>
      <c r="BB282" s="408"/>
      <c r="BC282" s="408"/>
      <c r="BD282" s="408"/>
      <c r="BE282" s="408"/>
      <c r="BF282" s="408"/>
      <c r="BG282" s="408"/>
      <c r="BH282" s="408"/>
      <c r="BI282" s="408"/>
      <c r="BJ282" s="408"/>
      <c r="BK282" s="408"/>
      <c r="BL282" s="408"/>
      <c r="BM282" s="408"/>
      <c r="BN282" s="408"/>
      <c r="BO282" s="408"/>
      <c r="BP282" s="408"/>
      <c r="BQ282" s="408"/>
      <c r="BR282" s="408"/>
      <c r="BS282" s="408"/>
      <c r="BT282" s="408"/>
      <c r="BU282" s="408"/>
      <c r="BV282" s="408"/>
      <c r="BW282" s="408"/>
      <c r="BX282" s="408"/>
      <c r="BY282" s="408"/>
      <c r="BZ282" s="408"/>
      <c r="CA282" s="408"/>
      <c r="CB282" s="408"/>
      <c r="CC282" s="408"/>
      <c r="CD282" s="408"/>
      <c r="CE282" s="408"/>
      <c r="CF282" s="408"/>
      <c r="CG282" s="408"/>
      <c r="CH282" s="408"/>
      <c r="CI282" s="408"/>
      <c r="CJ282" s="408"/>
      <c r="CK282" s="408"/>
      <c r="CL282" s="408"/>
      <c r="CM282" s="408"/>
      <c r="CN282" s="408"/>
    </row>
    <row r="283">
      <c r="A283" s="408"/>
      <c r="B283" s="408"/>
      <c r="C283" s="408"/>
      <c r="D283" s="408"/>
      <c r="E283" s="408"/>
      <c r="F283" s="408"/>
      <c r="G283" s="408"/>
      <c r="H283" s="408"/>
      <c r="I283" s="408"/>
      <c r="J283" s="408"/>
      <c r="K283" s="408"/>
      <c r="L283" s="408"/>
      <c r="M283" s="408"/>
      <c r="N283" s="408"/>
      <c r="O283" s="408"/>
      <c r="P283" s="408"/>
      <c r="Q283" s="408"/>
      <c r="R283" s="408"/>
      <c r="S283" s="408"/>
      <c r="T283" s="408"/>
      <c r="U283" s="408"/>
      <c r="V283" s="408"/>
      <c r="W283" s="408"/>
      <c r="X283" s="408"/>
      <c r="Y283" s="408"/>
      <c r="Z283" s="408"/>
      <c r="AA283" s="408"/>
      <c r="AB283" s="408"/>
      <c r="AC283" s="408"/>
      <c r="AD283" s="408"/>
      <c r="AE283" s="408"/>
      <c r="AF283" s="408"/>
      <c r="AG283" s="408"/>
      <c r="AH283" s="408"/>
      <c r="AI283" s="408"/>
      <c r="AJ283" s="408"/>
      <c r="AK283" s="408"/>
      <c r="AL283" s="408"/>
      <c r="AM283" s="408"/>
      <c r="AN283" s="408"/>
      <c r="AO283" s="408"/>
      <c r="AP283" s="408"/>
      <c r="AQ283" s="408"/>
      <c r="AR283" s="408"/>
      <c r="AS283" s="408"/>
      <c r="AT283" s="408"/>
      <c r="AU283" s="408"/>
      <c r="AV283" s="408"/>
      <c r="AW283" s="408"/>
      <c r="AX283" s="408"/>
      <c r="AY283" s="408"/>
      <c r="AZ283" s="408"/>
      <c r="BA283" s="408"/>
      <c r="BB283" s="408"/>
      <c r="BC283" s="408"/>
      <c r="BD283" s="408"/>
      <c r="BE283" s="408"/>
      <c r="BF283" s="408"/>
      <c r="BG283" s="408"/>
      <c r="BH283" s="408"/>
      <c r="BI283" s="408"/>
      <c r="BJ283" s="408"/>
      <c r="BK283" s="408"/>
      <c r="BL283" s="408"/>
      <c r="BM283" s="408"/>
      <c r="BN283" s="408"/>
      <c r="BO283" s="408"/>
      <c r="BP283" s="408"/>
      <c r="BQ283" s="408"/>
      <c r="BR283" s="408"/>
      <c r="BS283" s="408"/>
      <c r="BT283" s="408"/>
      <c r="BU283" s="408"/>
      <c r="BV283" s="408"/>
      <c r="BW283" s="408"/>
      <c r="BX283" s="408"/>
      <c r="BY283" s="408"/>
      <c r="BZ283" s="408"/>
      <c r="CA283" s="408"/>
      <c r="CB283" s="408"/>
      <c r="CC283" s="408"/>
      <c r="CD283" s="408"/>
      <c r="CE283" s="408"/>
      <c r="CF283" s="408"/>
      <c r="CG283" s="408"/>
      <c r="CH283" s="408"/>
      <c r="CI283" s="408"/>
      <c r="CJ283" s="408"/>
      <c r="CK283" s="408"/>
      <c r="CL283" s="408"/>
      <c r="CM283" s="408"/>
      <c r="CN283" s="408"/>
    </row>
    <row r="284">
      <c r="A284" s="408"/>
      <c r="B284" s="408"/>
      <c r="C284" s="408"/>
      <c r="D284" s="408"/>
      <c r="E284" s="408"/>
      <c r="F284" s="408"/>
      <c r="G284" s="408"/>
      <c r="H284" s="408"/>
      <c r="I284" s="408"/>
      <c r="J284" s="408"/>
      <c r="K284" s="408"/>
      <c r="L284" s="408"/>
      <c r="M284" s="408"/>
      <c r="N284" s="408"/>
      <c r="O284" s="408"/>
      <c r="P284" s="408"/>
      <c r="Q284" s="408"/>
      <c r="R284" s="408"/>
      <c r="S284" s="408"/>
      <c r="T284" s="408"/>
      <c r="U284" s="408"/>
      <c r="V284" s="408"/>
      <c r="W284" s="408"/>
      <c r="X284" s="408"/>
      <c r="Y284" s="408"/>
      <c r="Z284" s="408"/>
      <c r="AA284" s="408"/>
      <c r="AB284" s="408"/>
      <c r="AC284" s="408"/>
      <c r="AD284" s="408"/>
      <c r="AE284" s="408"/>
      <c r="AF284" s="408"/>
      <c r="AG284" s="408"/>
      <c r="AH284" s="408"/>
      <c r="AI284" s="408"/>
      <c r="AJ284" s="408"/>
      <c r="AK284" s="408"/>
      <c r="AL284" s="408"/>
      <c r="AM284" s="408"/>
      <c r="AN284" s="408"/>
      <c r="AO284" s="408"/>
      <c r="AP284" s="408"/>
      <c r="AQ284" s="408"/>
      <c r="AR284" s="408"/>
      <c r="AS284" s="408"/>
      <c r="AT284" s="408"/>
      <c r="AU284" s="408"/>
      <c r="AV284" s="408"/>
      <c r="AW284" s="408"/>
      <c r="AX284" s="408"/>
      <c r="AY284" s="408"/>
      <c r="AZ284" s="408"/>
      <c r="BA284" s="408"/>
      <c r="BB284" s="408"/>
      <c r="BC284" s="408"/>
      <c r="BD284" s="408"/>
      <c r="BE284" s="408"/>
      <c r="BF284" s="408"/>
      <c r="BG284" s="408"/>
      <c r="BH284" s="408"/>
      <c r="BI284" s="408"/>
      <c r="BJ284" s="408"/>
      <c r="BK284" s="408"/>
      <c r="BL284" s="408"/>
      <c r="BM284" s="408"/>
      <c r="BN284" s="408"/>
      <c r="BO284" s="408"/>
      <c r="BP284" s="408"/>
      <c r="BQ284" s="408"/>
      <c r="BR284" s="408"/>
      <c r="BS284" s="408"/>
      <c r="BT284" s="408"/>
      <c r="BU284" s="408"/>
      <c r="BV284" s="408"/>
      <c r="BW284" s="408"/>
      <c r="BX284" s="408"/>
      <c r="BY284" s="408"/>
      <c r="BZ284" s="408"/>
      <c r="CA284" s="408"/>
      <c r="CB284" s="408"/>
      <c r="CC284" s="408"/>
      <c r="CD284" s="408"/>
      <c r="CE284" s="408"/>
      <c r="CF284" s="408"/>
      <c r="CG284" s="408"/>
      <c r="CH284" s="408"/>
      <c r="CI284" s="408"/>
      <c r="CJ284" s="408"/>
      <c r="CK284" s="408"/>
      <c r="CL284" s="408"/>
      <c r="CM284" s="408"/>
      <c r="CN284" s="408"/>
    </row>
    <row r="285">
      <c r="A285" s="408"/>
      <c r="B285" s="408"/>
      <c r="C285" s="408"/>
      <c r="D285" s="408"/>
      <c r="E285" s="408"/>
      <c r="F285" s="408"/>
      <c r="G285" s="408"/>
      <c r="H285" s="408"/>
      <c r="I285" s="408"/>
      <c r="J285" s="408"/>
      <c r="K285" s="408"/>
      <c r="L285" s="408"/>
      <c r="M285" s="408"/>
      <c r="N285" s="408"/>
      <c r="O285" s="408"/>
      <c r="P285" s="408"/>
      <c r="Q285" s="408"/>
      <c r="R285" s="408"/>
      <c r="S285" s="408"/>
      <c r="T285" s="408"/>
      <c r="U285" s="408"/>
      <c r="V285" s="408"/>
      <c r="W285" s="408"/>
      <c r="X285" s="408"/>
      <c r="Y285" s="408"/>
      <c r="Z285" s="408"/>
      <c r="AA285" s="408"/>
      <c r="AB285" s="408"/>
      <c r="AC285" s="408"/>
      <c r="AD285" s="408"/>
      <c r="AE285" s="408"/>
      <c r="AF285" s="408"/>
      <c r="AG285" s="408"/>
      <c r="AH285" s="408"/>
      <c r="AI285" s="408"/>
      <c r="AJ285" s="408"/>
      <c r="AK285" s="408"/>
      <c r="AL285" s="408"/>
      <c r="AM285" s="408"/>
      <c r="AN285" s="408"/>
      <c r="AO285" s="408"/>
      <c r="AP285" s="408"/>
      <c r="AQ285" s="408"/>
      <c r="AR285" s="408"/>
      <c r="AS285" s="408"/>
      <c r="AT285" s="408"/>
      <c r="AU285" s="408"/>
      <c r="AV285" s="408"/>
      <c r="AW285" s="408"/>
      <c r="AX285" s="408"/>
      <c r="AY285" s="408"/>
      <c r="AZ285" s="408"/>
      <c r="BA285" s="408"/>
      <c r="BB285" s="408"/>
      <c r="BC285" s="408"/>
      <c r="BD285" s="408"/>
      <c r="BE285" s="408"/>
      <c r="BF285" s="408"/>
      <c r="BG285" s="408"/>
      <c r="BH285" s="408"/>
      <c r="BI285" s="408"/>
      <c r="BJ285" s="408"/>
      <c r="BK285" s="408"/>
      <c r="BL285" s="408"/>
      <c r="BM285" s="408"/>
      <c r="BN285" s="408"/>
      <c r="BO285" s="408"/>
      <c r="BP285" s="408"/>
      <c r="BQ285" s="408"/>
      <c r="BR285" s="408"/>
      <c r="BS285" s="408"/>
      <c r="BT285" s="408"/>
      <c r="BU285" s="408"/>
      <c r="BV285" s="408"/>
      <c r="BW285" s="408"/>
      <c r="BX285" s="408"/>
      <c r="BY285" s="408"/>
      <c r="BZ285" s="408"/>
      <c r="CA285" s="408"/>
      <c r="CB285" s="408"/>
      <c r="CC285" s="408"/>
      <c r="CD285" s="408"/>
      <c r="CE285" s="408"/>
      <c r="CF285" s="408"/>
      <c r="CG285" s="408"/>
      <c r="CH285" s="408"/>
      <c r="CI285" s="408"/>
      <c r="CJ285" s="408"/>
      <c r="CK285" s="408"/>
      <c r="CL285" s="408"/>
      <c r="CM285" s="408"/>
      <c r="CN285" s="408"/>
    </row>
    <row r="286">
      <c r="A286" s="408"/>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c r="AA286" s="408"/>
      <c r="AB286" s="408"/>
      <c r="AC286" s="408"/>
      <c r="AD286" s="408"/>
      <c r="AE286" s="408"/>
      <c r="AF286" s="408"/>
      <c r="AG286" s="408"/>
      <c r="AH286" s="408"/>
      <c r="AI286" s="408"/>
      <c r="AJ286" s="408"/>
      <c r="AK286" s="408"/>
      <c r="AL286" s="408"/>
      <c r="AM286" s="408"/>
      <c r="AN286" s="408"/>
      <c r="AO286" s="408"/>
      <c r="AP286" s="408"/>
      <c r="AQ286" s="408"/>
      <c r="AR286" s="408"/>
      <c r="AS286" s="408"/>
      <c r="AT286" s="408"/>
      <c r="AU286" s="408"/>
      <c r="AV286" s="408"/>
      <c r="AW286" s="408"/>
      <c r="AX286" s="408"/>
      <c r="AY286" s="408"/>
      <c r="AZ286" s="408"/>
      <c r="BA286" s="408"/>
      <c r="BB286" s="408"/>
      <c r="BC286" s="408"/>
      <c r="BD286" s="408"/>
      <c r="BE286" s="408"/>
      <c r="BF286" s="408"/>
      <c r="BG286" s="408"/>
      <c r="BH286" s="408"/>
      <c r="BI286" s="408"/>
      <c r="BJ286" s="408"/>
      <c r="BK286" s="408"/>
      <c r="BL286" s="408"/>
      <c r="BM286" s="408"/>
      <c r="BN286" s="408"/>
      <c r="BO286" s="408"/>
      <c r="BP286" s="408"/>
      <c r="BQ286" s="408"/>
      <c r="BR286" s="408"/>
      <c r="BS286" s="408"/>
      <c r="BT286" s="408"/>
      <c r="BU286" s="408"/>
      <c r="BV286" s="408"/>
      <c r="BW286" s="408"/>
      <c r="BX286" s="408"/>
      <c r="BY286" s="408"/>
      <c r="BZ286" s="408"/>
      <c r="CA286" s="408"/>
      <c r="CB286" s="408"/>
      <c r="CC286" s="408"/>
      <c r="CD286" s="408"/>
      <c r="CE286" s="408"/>
      <c r="CF286" s="408"/>
      <c r="CG286" s="408"/>
      <c r="CH286" s="408"/>
      <c r="CI286" s="408"/>
      <c r="CJ286" s="408"/>
      <c r="CK286" s="408"/>
      <c r="CL286" s="408"/>
      <c r="CM286" s="408"/>
      <c r="CN286" s="408"/>
    </row>
    <row r="287">
      <c r="A287" s="408"/>
      <c r="B287" s="408"/>
      <c r="C287" s="408"/>
      <c r="D287" s="408"/>
      <c r="E287" s="408"/>
      <c r="F287" s="408"/>
      <c r="G287" s="408"/>
      <c r="H287" s="408"/>
      <c r="I287" s="408"/>
      <c r="J287" s="408"/>
      <c r="K287" s="408"/>
      <c r="L287" s="408"/>
      <c r="M287" s="408"/>
      <c r="N287" s="408"/>
      <c r="O287" s="408"/>
      <c r="P287" s="408"/>
      <c r="Q287" s="408"/>
      <c r="R287" s="408"/>
      <c r="S287" s="408"/>
      <c r="T287" s="408"/>
      <c r="U287" s="408"/>
      <c r="V287" s="408"/>
      <c r="W287" s="408"/>
      <c r="X287" s="408"/>
      <c r="Y287" s="408"/>
      <c r="Z287" s="408"/>
      <c r="AA287" s="408"/>
      <c r="AB287" s="408"/>
      <c r="AC287" s="408"/>
      <c r="AD287" s="408"/>
      <c r="AE287" s="408"/>
      <c r="AF287" s="408"/>
      <c r="AG287" s="408"/>
      <c r="AH287" s="408"/>
      <c r="AI287" s="408"/>
      <c r="AJ287" s="408"/>
      <c r="AK287" s="408"/>
      <c r="AL287" s="408"/>
      <c r="AM287" s="408"/>
      <c r="AN287" s="408"/>
      <c r="AO287" s="408"/>
      <c r="AP287" s="408"/>
      <c r="AQ287" s="408"/>
      <c r="AR287" s="408"/>
      <c r="AS287" s="408"/>
      <c r="AT287" s="408"/>
      <c r="AU287" s="408"/>
      <c r="AV287" s="408"/>
      <c r="AW287" s="408"/>
      <c r="AX287" s="408"/>
      <c r="AY287" s="408"/>
      <c r="AZ287" s="408"/>
      <c r="BA287" s="408"/>
      <c r="BB287" s="408"/>
      <c r="BC287" s="408"/>
      <c r="BD287" s="408"/>
      <c r="BE287" s="408"/>
      <c r="BF287" s="408"/>
      <c r="BG287" s="408"/>
      <c r="BH287" s="408"/>
      <c r="BI287" s="408"/>
      <c r="BJ287" s="408"/>
      <c r="BK287" s="408"/>
      <c r="BL287" s="408"/>
      <c r="BM287" s="408"/>
      <c r="BN287" s="408"/>
      <c r="BO287" s="408"/>
      <c r="BP287" s="408"/>
      <c r="BQ287" s="408"/>
      <c r="BR287" s="408"/>
      <c r="BS287" s="408"/>
      <c r="BT287" s="408"/>
      <c r="BU287" s="408"/>
      <c r="BV287" s="408"/>
      <c r="BW287" s="408"/>
      <c r="BX287" s="408"/>
      <c r="BY287" s="408"/>
      <c r="BZ287" s="408"/>
      <c r="CA287" s="408"/>
      <c r="CB287" s="408"/>
      <c r="CC287" s="408"/>
      <c r="CD287" s="408"/>
      <c r="CE287" s="408"/>
      <c r="CF287" s="408"/>
      <c r="CG287" s="408"/>
      <c r="CH287" s="408"/>
      <c r="CI287" s="408"/>
      <c r="CJ287" s="408"/>
      <c r="CK287" s="408"/>
      <c r="CL287" s="408"/>
      <c r="CM287" s="408"/>
      <c r="CN287" s="408"/>
    </row>
    <row r="288">
      <c r="A288" s="408"/>
      <c r="B288" s="408"/>
      <c r="C288" s="408"/>
      <c r="D288" s="408"/>
      <c r="E288" s="408"/>
      <c r="F288" s="408"/>
      <c r="G288" s="408"/>
      <c r="H288" s="408"/>
      <c r="I288" s="408"/>
      <c r="J288" s="408"/>
      <c r="K288" s="408"/>
      <c r="L288" s="408"/>
      <c r="M288" s="408"/>
      <c r="N288" s="408"/>
      <c r="O288" s="408"/>
      <c r="P288" s="408"/>
      <c r="Q288" s="408"/>
      <c r="R288" s="408"/>
      <c r="S288" s="408"/>
      <c r="T288" s="408"/>
      <c r="U288" s="408"/>
      <c r="V288" s="408"/>
      <c r="W288" s="408"/>
      <c r="X288" s="408"/>
      <c r="Y288" s="408"/>
      <c r="Z288" s="408"/>
      <c r="AA288" s="408"/>
      <c r="AB288" s="408"/>
      <c r="AC288" s="408"/>
      <c r="AD288" s="408"/>
      <c r="AE288" s="408"/>
      <c r="AF288" s="408"/>
      <c r="AG288" s="408"/>
      <c r="AH288" s="408"/>
      <c r="AI288" s="408"/>
      <c r="AJ288" s="408"/>
      <c r="AK288" s="408"/>
      <c r="AL288" s="408"/>
      <c r="AM288" s="408"/>
      <c r="AN288" s="408"/>
      <c r="AO288" s="408"/>
      <c r="AP288" s="408"/>
      <c r="AQ288" s="408"/>
      <c r="AR288" s="408"/>
      <c r="AS288" s="408"/>
      <c r="AT288" s="408"/>
      <c r="AU288" s="408"/>
      <c r="AV288" s="408"/>
      <c r="AW288" s="408"/>
      <c r="AX288" s="408"/>
      <c r="AY288" s="408"/>
      <c r="AZ288" s="408"/>
      <c r="BA288" s="408"/>
      <c r="BB288" s="408"/>
      <c r="BC288" s="408"/>
      <c r="BD288" s="408"/>
      <c r="BE288" s="408"/>
      <c r="BF288" s="408"/>
      <c r="BG288" s="408"/>
      <c r="BH288" s="408"/>
      <c r="BI288" s="408"/>
      <c r="BJ288" s="408"/>
      <c r="BK288" s="408"/>
      <c r="BL288" s="408"/>
      <c r="BM288" s="408"/>
      <c r="BN288" s="408"/>
      <c r="BO288" s="408"/>
      <c r="BP288" s="408"/>
      <c r="BQ288" s="408"/>
      <c r="BR288" s="408"/>
      <c r="BS288" s="408"/>
      <c r="BT288" s="408"/>
      <c r="BU288" s="408"/>
      <c r="BV288" s="408"/>
      <c r="BW288" s="408"/>
      <c r="BX288" s="408"/>
      <c r="BY288" s="408"/>
      <c r="BZ288" s="408"/>
      <c r="CA288" s="408"/>
      <c r="CB288" s="408"/>
      <c r="CC288" s="408"/>
      <c r="CD288" s="408"/>
      <c r="CE288" s="408"/>
      <c r="CF288" s="408"/>
      <c r="CG288" s="408"/>
      <c r="CH288" s="408"/>
      <c r="CI288" s="408"/>
      <c r="CJ288" s="408"/>
      <c r="CK288" s="408"/>
      <c r="CL288" s="408"/>
      <c r="CM288" s="408"/>
      <c r="CN288" s="408"/>
    </row>
    <row r="289">
      <c r="A289" s="408"/>
      <c r="B289" s="408"/>
      <c r="C289" s="408"/>
      <c r="D289" s="408"/>
      <c r="E289" s="408"/>
      <c r="F289" s="408"/>
      <c r="G289" s="408"/>
      <c r="H289" s="408"/>
      <c r="I289" s="408"/>
      <c r="J289" s="408"/>
      <c r="K289" s="408"/>
      <c r="L289" s="408"/>
      <c r="M289" s="408"/>
      <c r="N289" s="408"/>
      <c r="O289" s="408"/>
      <c r="P289" s="408"/>
      <c r="Q289" s="408"/>
      <c r="R289" s="408"/>
      <c r="S289" s="408"/>
      <c r="T289" s="408"/>
      <c r="U289" s="408"/>
      <c r="V289" s="408"/>
      <c r="W289" s="408"/>
      <c r="X289" s="408"/>
      <c r="Y289" s="408"/>
      <c r="Z289" s="408"/>
      <c r="AA289" s="408"/>
      <c r="AB289" s="408"/>
      <c r="AC289" s="408"/>
      <c r="AD289" s="408"/>
      <c r="AE289" s="408"/>
      <c r="AF289" s="408"/>
      <c r="AG289" s="408"/>
      <c r="AH289" s="408"/>
      <c r="AI289" s="408"/>
      <c r="AJ289" s="408"/>
      <c r="AK289" s="408"/>
      <c r="AL289" s="408"/>
      <c r="AM289" s="408"/>
      <c r="AN289" s="408"/>
      <c r="AO289" s="408"/>
      <c r="AP289" s="408"/>
      <c r="AQ289" s="408"/>
      <c r="AR289" s="408"/>
      <c r="AS289" s="408"/>
      <c r="AT289" s="408"/>
      <c r="AU289" s="408"/>
      <c r="AV289" s="408"/>
      <c r="AW289" s="408"/>
      <c r="AX289" s="408"/>
      <c r="AY289" s="408"/>
      <c r="AZ289" s="408"/>
      <c r="BA289" s="408"/>
      <c r="BB289" s="408"/>
      <c r="BC289" s="408"/>
      <c r="BD289" s="408"/>
      <c r="BE289" s="408"/>
      <c r="BF289" s="408"/>
      <c r="BG289" s="408"/>
      <c r="BH289" s="408"/>
      <c r="BI289" s="408"/>
      <c r="BJ289" s="408"/>
      <c r="BK289" s="408"/>
      <c r="BL289" s="408"/>
      <c r="BM289" s="408"/>
      <c r="BN289" s="408"/>
      <c r="BO289" s="408"/>
      <c r="BP289" s="408"/>
      <c r="BQ289" s="408"/>
      <c r="BR289" s="408"/>
      <c r="BS289" s="408"/>
      <c r="BT289" s="408"/>
      <c r="BU289" s="408"/>
      <c r="BV289" s="408"/>
      <c r="BW289" s="408"/>
      <c r="BX289" s="408"/>
      <c r="BY289" s="408"/>
      <c r="BZ289" s="408"/>
      <c r="CA289" s="408"/>
      <c r="CB289" s="408"/>
      <c r="CC289" s="408"/>
      <c r="CD289" s="408"/>
      <c r="CE289" s="408"/>
      <c r="CF289" s="408"/>
      <c r="CG289" s="408"/>
      <c r="CH289" s="408"/>
      <c r="CI289" s="408"/>
      <c r="CJ289" s="408"/>
      <c r="CK289" s="408"/>
      <c r="CL289" s="408"/>
      <c r="CM289" s="408"/>
      <c r="CN289" s="408"/>
    </row>
    <row r="290">
      <c r="A290" s="408"/>
      <c r="B290" s="408"/>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c r="AA290" s="408"/>
      <c r="AB290" s="408"/>
      <c r="AC290" s="408"/>
      <c r="AD290" s="408"/>
      <c r="AE290" s="408"/>
      <c r="AF290" s="408"/>
      <c r="AG290" s="408"/>
      <c r="AH290" s="408"/>
      <c r="AI290" s="408"/>
      <c r="AJ290" s="408"/>
      <c r="AK290" s="408"/>
      <c r="AL290" s="408"/>
      <c r="AM290" s="408"/>
      <c r="AN290" s="408"/>
      <c r="AO290" s="408"/>
      <c r="AP290" s="408"/>
      <c r="AQ290" s="408"/>
      <c r="AR290" s="408"/>
      <c r="AS290" s="408"/>
      <c r="AT290" s="408"/>
      <c r="AU290" s="408"/>
      <c r="AV290" s="408"/>
      <c r="AW290" s="408"/>
      <c r="AX290" s="408"/>
      <c r="AY290" s="408"/>
      <c r="AZ290" s="408"/>
      <c r="BA290" s="408"/>
      <c r="BB290" s="408"/>
      <c r="BC290" s="408"/>
      <c r="BD290" s="408"/>
      <c r="BE290" s="408"/>
      <c r="BF290" s="408"/>
      <c r="BG290" s="408"/>
      <c r="BH290" s="408"/>
      <c r="BI290" s="408"/>
      <c r="BJ290" s="408"/>
      <c r="BK290" s="408"/>
      <c r="BL290" s="408"/>
      <c r="BM290" s="408"/>
      <c r="BN290" s="408"/>
      <c r="BO290" s="408"/>
      <c r="BP290" s="408"/>
      <c r="BQ290" s="408"/>
      <c r="BR290" s="408"/>
      <c r="BS290" s="408"/>
      <c r="BT290" s="408"/>
      <c r="BU290" s="408"/>
      <c r="BV290" s="408"/>
      <c r="BW290" s="408"/>
      <c r="BX290" s="408"/>
      <c r="BY290" s="408"/>
      <c r="BZ290" s="408"/>
      <c r="CA290" s="408"/>
      <c r="CB290" s="408"/>
      <c r="CC290" s="408"/>
      <c r="CD290" s="408"/>
      <c r="CE290" s="408"/>
      <c r="CF290" s="408"/>
      <c r="CG290" s="408"/>
      <c r="CH290" s="408"/>
      <c r="CI290" s="408"/>
      <c r="CJ290" s="408"/>
      <c r="CK290" s="408"/>
      <c r="CL290" s="408"/>
      <c r="CM290" s="408"/>
      <c r="CN290" s="408"/>
    </row>
    <row r="291">
      <c r="A291" s="408"/>
      <c r="B291" s="408"/>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c r="AA291" s="408"/>
      <c r="AB291" s="408"/>
      <c r="AC291" s="408"/>
      <c r="AD291" s="408"/>
      <c r="AE291" s="408"/>
      <c r="AF291" s="408"/>
      <c r="AG291" s="408"/>
      <c r="AH291" s="408"/>
      <c r="AI291" s="408"/>
      <c r="AJ291" s="408"/>
      <c r="AK291" s="408"/>
      <c r="AL291" s="408"/>
      <c r="AM291" s="408"/>
      <c r="AN291" s="408"/>
      <c r="AO291" s="408"/>
      <c r="AP291" s="408"/>
      <c r="AQ291" s="408"/>
      <c r="AR291" s="408"/>
      <c r="AS291" s="408"/>
      <c r="AT291" s="408"/>
      <c r="AU291" s="408"/>
      <c r="AV291" s="408"/>
      <c r="AW291" s="408"/>
      <c r="AX291" s="408"/>
      <c r="AY291" s="408"/>
      <c r="AZ291" s="408"/>
      <c r="BA291" s="408"/>
      <c r="BB291" s="408"/>
      <c r="BC291" s="408"/>
      <c r="BD291" s="408"/>
      <c r="BE291" s="408"/>
      <c r="BF291" s="408"/>
      <c r="BG291" s="408"/>
      <c r="BH291" s="408"/>
      <c r="BI291" s="408"/>
      <c r="BJ291" s="408"/>
      <c r="BK291" s="408"/>
      <c r="BL291" s="408"/>
      <c r="BM291" s="408"/>
      <c r="BN291" s="408"/>
      <c r="BO291" s="408"/>
      <c r="BP291" s="408"/>
      <c r="BQ291" s="408"/>
      <c r="BR291" s="408"/>
      <c r="BS291" s="408"/>
      <c r="BT291" s="408"/>
      <c r="BU291" s="408"/>
      <c r="BV291" s="408"/>
      <c r="BW291" s="408"/>
      <c r="BX291" s="408"/>
      <c r="BY291" s="408"/>
      <c r="BZ291" s="408"/>
      <c r="CA291" s="408"/>
      <c r="CB291" s="408"/>
      <c r="CC291" s="408"/>
      <c r="CD291" s="408"/>
      <c r="CE291" s="408"/>
      <c r="CF291" s="408"/>
      <c r="CG291" s="408"/>
      <c r="CH291" s="408"/>
      <c r="CI291" s="408"/>
      <c r="CJ291" s="408"/>
      <c r="CK291" s="408"/>
      <c r="CL291" s="408"/>
      <c r="CM291" s="408"/>
      <c r="CN291" s="408"/>
    </row>
    <row r="292">
      <c r="A292" s="408"/>
      <c r="B292" s="408"/>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c r="AA292" s="408"/>
      <c r="AB292" s="408"/>
      <c r="AC292" s="408"/>
      <c r="AD292" s="408"/>
      <c r="AE292" s="408"/>
      <c r="AF292" s="408"/>
      <c r="AG292" s="408"/>
      <c r="AH292" s="408"/>
      <c r="AI292" s="408"/>
      <c r="AJ292" s="408"/>
      <c r="AK292" s="408"/>
      <c r="AL292" s="408"/>
      <c r="AM292" s="408"/>
      <c r="AN292" s="408"/>
      <c r="AO292" s="408"/>
      <c r="AP292" s="408"/>
      <c r="AQ292" s="408"/>
      <c r="AR292" s="408"/>
      <c r="AS292" s="408"/>
      <c r="AT292" s="408"/>
      <c r="AU292" s="408"/>
      <c r="AV292" s="408"/>
      <c r="AW292" s="408"/>
      <c r="AX292" s="408"/>
      <c r="AY292" s="408"/>
      <c r="AZ292" s="408"/>
      <c r="BA292" s="408"/>
      <c r="BB292" s="408"/>
      <c r="BC292" s="408"/>
      <c r="BD292" s="408"/>
      <c r="BE292" s="408"/>
      <c r="BF292" s="408"/>
      <c r="BG292" s="408"/>
      <c r="BH292" s="408"/>
      <c r="BI292" s="408"/>
      <c r="BJ292" s="408"/>
      <c r="BK292" s="408"/>
      <c r="BL292" s="408"/>
      <c r="BM292" s="408"/>
      <c r="BN292" s="408"/>
      <c r="BO292" s="408"/>
      <c r="BP292" s="408"/>
      <c r="BQ292" s="408"/>
      <c r="BR292" s="408"/>
      <c r="BS292" s="408"/>
      <c r="BT292" s="408"/>
      <c r="BU292" s="408"/>
      <c r="BV292" s="408"/>
      <c r="BW292" s="408"/>
      <c r="BX292" s="408"/>
      <c r="BY292" s="408"/>
      <c r="BZ292" s="408"/>
      <c r="CA292" s="408"/>
      <c r="CB292" s="408"/>
      <c r="CC292" s="408"/>
      <c r="CD292" s="408"/>
      <c r="CE292" s="408"/>
      <c r="CF292" s="408"/>
      <c r="CG292" s="408"/>
      <c r="CH292" s="408"/>
      <c r="CI292" s="408"/>
      <c r="CJ292" s="408"/>
      <c r="CK292" s="408"/>
      <c r="CL292" s="408"/>
      <c r="CM292" s="408"/>
      <c r="CN292" s="408"/>
    </row>
    <row r="293">
      <c r="A293" s="408"/>
      <c r="B293" s="408"/>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c r="AA293" s="408"/>
      <c r="AB293" s="408"/>
      <c r="AC293" s="408"/>
      <c r="AD293" s="408"/>
      <c r="AE293" s="408"/>
      <c r="AF293" s="408"/>
      <c r="AG293" s="408"/>
      <c r="AH293" s="408"/>
      <c r="AI293" s="408"/>
      <c r="AJ293" s="408"/>
      <c r="AK293" s="408"/>
      <c r="AL293" s="408"/>
      <c r="AM293" s="408"/>
      <c r="AN293" s="408"/>
      <c r="AO293" s="408"/>
      <c r="AP293" s="408"/>
      <c r="AQ293" s="408"/>
      <c r="AR293" s="408"/>
      <c r="AS293" s="408"/>
      <c r="AT293" s="408"/>
      <c r="AU293" s="408"/>
      <c r="AV293" s="408"/>
      <c r="AW293" s="408"/>
      <c r="AX293" s="408"/>
      <c r="AY293" s="408"/>
      <c r="AZ293" s="408"/>
      <c r="BA293" s="408"/>
      <c r="BB293" s="408"/>
      <c r="BC293" s="408"/>
      <c r="BD293" s="408"/>
      <c r="BE293" s="408"/>
      <c r="BF293" s="408"/>
      <c r="BG293" s="408"/>
      <c r="BH293" s="408"/>
      <c r="BI293" s="408"/>
      <c r="BJ293" s="408"/>
      <c r="BK293" s="408"/>
      <c r="BL293" s="408"/>
      <c r="BM293" s="408"/>
      <c r="BN293" s="408"/>
      <c r="BO293" s="408"/>
      <c r="BP293" s="408"/>
      <c r="BQ293" s="408"/>
      <c r="BR293" s="408"/>
      <c r="BS293" s="408"/>
      <c r="BT293" s="408"/>
      <c r="BU293" s="408"/>
      <c r="BV293" s="408"/>
      <c r="BW293" s="408"/>
      <c r="BX293" s="408"/>
      <c r="BY293" s="408"/>
      <c r="BZ293" s="408"/>
      <c r="CA293" s="408"/>
      <c r="CB293" s="408"/>
      <c r="CC293" s="408"/>
      <c r="CD293" s="408"/>
      <c r="CE293" s="408"/>
      <c r="CF293" s="408"/>
      <c r="CG293" s="408"/>
      <c r="CH293" s="408"/>
      <c r="CI293" s="408"/>
      <c r="CJ293" s="408"/>
      <c r="CK293" s="408"/>
      <c r="CL293" s="408"/>
      <c r="CM293" s="408"/>
      <c r="CN293" s="408"/>
    </row>
    <row r="294">
      <c r="A294" s="408"/>
      <c r="B294" s="408"/>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c r="AA294" s="408"/>
      <c r="AB294" s="408"/>
      <c r="AC294" s="408"/>
      <c r="AD294" s="408"/>
      <c r="AE294" s="408"/>
      <c r="AF294" s="408"/>
      <c r="AG294" s="408"/>
      <c r="AH294" s="408"/>
      <c r="AI294" s="408"/>
      <c r="AJ294" s="408"/>
      <c r="AK294" s="408"/>
      <c r="AL294" s="408"/>
      <c r="AM294" s="408"/>
      <c r="AN294" s="408"/>
      <c r="AO294" s="408"/>
      <c r="AP294" s="408"/>
      <c r="AQ294" s="408"/>
      <c r="AR294" s="408"/>
      <c r="AS294" s="408"/>
      <c r="AT294" s="408"/>
      <c r="AU294" s="408"/>
      <c r="AV294" s="408"/>
      <c r="AW294" s="408"/>
      <c r="AX294" s="408"/>
      <c r="AY294" s="408"/>
      <c r="AZ294" s="408"/>
      <c r="BA294" s="408"/>
      <c r="BB294" s="408"/>
      <c r="BC294" s="408"/>
      <c r="BD294" s="408"/>
      <c r="BE294" s="408"/>
      <c r="BF294" s="408"/>
      <c r="BG294" s="408"/>
      <c r="BH294" s="408"/>
      <c r="BI294" s="408"/>
      <c r="BJ294" s="408"/>
      <c r="BK294" s="408"/>
      <c r="BL294" s="408"/>
      <c r="BM294" s="408"/>
      <c r="BN294" s="408"/>
      <c r="BO294" s="408"/>
      <c r="BP294" s="408"/>
      <c r="BQ294" s="408"/>
      <c r="BR294" s="408"/>
      <c r="BS294" s="408"/>
      <c r="BT294" s="408"/>
      <c r="BU294" s="408"/>
      <c r="BV294" s="408"/>
      <c r="BW294" s="408"/>
      <c r="BX294" s="408"/>
      <c r="BY294" s="408"/>
      <c r="BZ294" s="408"/>
      <c r="CA294" s="408"/>
      <c r="CB294" s="408"/>
      <c r="CC294" s="408"/>
      <c r="CD294" s="408"/>
      <c r="CE294" s="408"/>
      <c r="CF294" s="408"/>
      <c r="CG294" s="408"/>
      <c r="CH294" s="408"/>
      <c r="CI294" s="408"/>
      <c r="CJ294" s="408"/>
      <c r="CK294" s="408"/>
      <c r="CL294" s="408"/>
      <c r="CM294" s="408"/>
      <c r="CN294" s="408"/>
    </row>
    <row r="295">
      <c r="A295" s="408"/>
      <c r="B295" s="408"/>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c r="AA295" s="408"/>
      <c r="AB295" s="408"/>
      <c r="AC295" s="408"/>
      <c r="AD295" s="408"/>
      <c r="AE295" s="408"/>
      <c r="AF295" s="408"/>
      <c r="AG295" s="408"/>
      <c r="AH295" s="408"/>
      <c r="AI295" s="408"/>
      <c r="AJ295" s="408"/>
      <c r="AK295" s="408"/>
      <c r="AL295" s="408"/>
      <c r="AM295" s="408"/>
      <c r="AN295" s="408"/>
      <c r="AO295" s="408"/>
      <c r="AP295" s="408"/>
      <c r="AQ295" s="408"/>
      <c r="AR295" s="408"/>
      <c r="AS295" s="408"/>
      <c r="AT295" s="408"/>
      <c r="AU295" s="408"/>
      <c r="AV295" s="408"/>
      <c r="AW295" s="408"/>
      <c r="AX295" s="408"/>
      <c r="AY295" s="408"/>
      <c r="AZ295" s="408"/>
      <c r="BA295" s="408"/>
      <c r="BB295" s="408"/>
      <c r="BC295" s="408"/>
      <c r="BD295" s="408"/>
      <c r="BE295" s="408"/>
      <c r="BF295" s="408"/>
      <c r="BG295" s="408"/>
      <c r="BH295" s="408"/>
      <c r="BI295" s="408"/>
      <c r="BJ295" s="408"/>
      <c r="BK295" s="408"/>
      <c r="BL295" s="408"/>
      <c r="BM295" s="408"/>
      <c r="BN295" s="408"/>
      <c r="BO295" s="408"/>
      <c r="BP295" s="408"/>
      <c r="BQ295" s="408"/>
      <c r="BR295" s="408"/>
      <c r="BS295" s="408"/>
      <c r="BT295" s="408"/>
      <c r="BU295" s="408"/>
      <c r="BV295" s="408"/>
      <c r="BW295" s="408"/>
      <c r="BX295" s="408"/>
      <c r="BY295" s="408"/>
      <c r="BZ295" s="408"/>
      <c r="CA295" s="408"/>
      <c r="CB295" s="408"/>
      <c r="CC295" s="408"/>
      <c r="CD295" s="408"/>
      <c r="CE295" s="408"/>
      <c r="CF295" s="408"/>
      <c r="CG295" s="408"/>
      <c r="CH295" s="408"/>
      <c r="CI295" s="408"/>
      <c r="CJ295" s="408"/>
      <c r="CK295" s="408"/>
      <c r="CL295" s="408"/>
      <c r="CM295" s="408"/>
      <c r="CN295" s="408"/>
    </row>
    <row r="296">
      <c r="A296" s="408"/>
      <c r="B296" s="408"/>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c r="AA296" s="408"/>
      <c r="AB296" s="408"/>
      <c r="AC296" s="408"/>
      <c r="AD296" s="408"/>
      <c r="AE296" s="408"/>
      <c r="AF296" s="408"/>
      <c r="AG296" s="408"/>
      <c r="AH296" s="408"/>
      <c r="AI296" s="408"/>
      <c r="AJ296" s="408"/>
      <c r="AK296" s="408"/>
      <c r="AL296" s="408"/>
      <c r="AM296" s="408"/>
      <c r="AN296" s="408"/>
      <c r="AO296" s="408"/>
      <c r="AP296" s="408"/>
      <c r="AQ296" s="408"/>
      <c r="AR296" s="408"/>
      <c r="AS296" s="408"/>
      <c r="AT296" s="408"/>
      <c r="AU296" s="408"/>
      <c r="AV296" s="408"/>
      <c r="AW296" s="408"/>
      <c r="AX296" s="408"/>
      <c r="AY296" s="408"/>
      <c r="AZ296" s="408"/>
      <c r="BA296" s="408"/>
      <c r="BB296" s="408"/>
      <c r="BC296" s="408"/>
      <c r="BD296" s="408"/>
      <c r="BE296" s="408"/>
      <c r="BF296" s="408"/>
      <c r="BG296" s="408"/>
      <c r="BH296" s="408"/>
      <c r="BI296" s="408"/>
      <c r="BJ296" s="408"/>
      <c r="BK296" s="408"/>
      <c r="BL296" s="408"/>
      <c r="BM296" s="408"/>
      <c r="BN296" s="408"/>
      <c r="BO296" s="408"/>
      <c r="BP296" s="408"/>
      <c r="BQ296" s="408"/>
      <c r="BR296" s="408"/>
      <c r="BS296" s="408"/>
      <c r="BT296" s="408"/>
      <c r="BU296" s="408"/>
      <c r="BV296" s="408"/>
      <c r="BW296" s="408"/>
      <c r="BX296" s="408"/>
      <c r="BY296" s="408"/>
      <c r="BZ296" s="408"/>
      <c r="CA296" s="408"/>
      <c r="CB296" s="408"/>
      <c r="CC296" s="408"/>
      <c r="CD296" s="408"/>
      <c r="CE296" s="408"/>
      <c r="CF296" s="408"/>
      <c r="CG296" s="408"/>
      <c r="CH296" s="408"/>
      <c r="CI296" s="408"/>
      <c r="CJ296" s="408"/>
      <c r="CK296" s="408"/>
      <c r="CL296" s="408"/>
      <c r="CM296" s="408"/>
      <c r="CN296" s="408"/>
    </row>
    <row r="297">
      <c r="A297" s="408"/>
      <c r="B297" s="408"/>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c r="AA297" s="408"/>
      <c r="AB297" s="408"/>
      <c r="AC297" s="408"/>
      <c r="AD297" s="408"/>
      <c r="AE297" s="408"/>
      <c r="AF297" s="408"/>
      <c r="AG297" s="408"/>
      <c r="AH297" s="408"/>
      <c r="AI297" s="408"/>
      <c r="AJ297" s="408"/>
      <c r="AK297" s="408"/>
      <c r="AL297" s="408"/>
      <c r="AM297" s="408"/>
      <c r="AN297" s="408"/>
      <c r="AO297" s="408"/>
      <c r="AP297" s="408"/>
      <c r="AQ297" s="408"/>
      <c r="AR297" s="408"/>
      <c r="AS297" s="408"/>
      <c r="AT297" s="408"/>
      <c r="AU297" s="408"/>
      <c r="AV297" s="408"/>
      <c r="AW297" s="408"/>
      <c r="AX297" s="408"/>
      <c r="AY297" s="408"/>
      <c r="AZ297" s="408"/>
      <c r="BA297" s="408"/>
      <c r="BB297" s="408"/>
      <c r="BC297" s="408"/>
      <c r="BD297" s="408"/>
      <c r="BE297" s="408"/>
      <c r="BF297" s="408"/>
      <c r="BG297" s="408"/>
      <c r="BH297" s="408"/>
      <c r="BI297" s="408"/>
      <c r="BJ297" s="408"/>
      <c r="BK297" s="408"/>
      <c r="BL297" s="408"/>
      <c r="BM297" s="408"/>
      <c r="BN297" s="408"/>
      <c r="BO297" s="408"/>
      <c r="BP297" s="408"/>
      <c r="BQ297" s="408"/>
      <c r="BR297" s="408"/>
      <c r="BS297" s="408"/>
      <c r="BT297" s="408"/>
      <c r="BU297" s="408"/>
      <c r="BV297" s="408"/>
      <c r="BW297" s="408"/>
      <c r="BX297" s="408"/>
      <c r="BY297" s="408"/>
      <c r="BZ297" s="408"/>
      <c r="CA297" s="408"/>
      <c r="CB297" s="408"/>
      <c r="CC297" s="408"/>
      <c r="CD297" s="408"/>
      <c r="CE297" s="408"/>
      <c r="CF297" s="408"/>
      <c r="CG297" s="408"/>
      <c r="CH297" s="408"/>
      <c r="CI297" s="408"/>
      <c r="CJ297" s="408"/>
      <c r="CK297" s="408"/>
      <c r="CL297" s="408"/>
      <c r="CM297" s="408"/>
      <c r="CN297" s="408"/>
    </row>
    <row r="298">
      <c r="A298" s="408"/>
      <c r="B298" s="408"/>
      <c r="C298" s="408"/>
      <c r="D298" s="408"/>
      <c r="E298" s="408"/>
      <c r="F298" s="408"/>
      <c r="G298" s="408"/>
      <c r="H298" s="408"/>
      <c r="I298" s="408"/>
      <c r="J298" s="408"/>
      <c r="K298" s="408"/>
      <c r="L298" s="408"/>
      <c r="M298" s="408"/>
      <c r="N298" s="408"/>
      <c r="O298" s="408"/>
      <c r="P298" s="408"/>
      <c r="Q298" s="408"/>
      <c r="R298" s="408"/>
      <c r="S298" s="408"/>
      <c r="T298" s="408"/>
      <c r="U298" s="408"/>
      <c r="V298" s="408"/>
      <c r="W298" s="408"/>
      <c r="X298" s="408"/>
      <c r="Y298" s="408"/>
      <c r="Z298" s="408"/>
      <c r="AA298" s="408"/>
      <c r="AB298" s="408"/>
      <c r="AC298" s="408"/>
      <c r="AD298" s="408"/>
      <c r="AE298" s="408"/>
      <c r="AF298" s="408"/>
      <c r="AG298" s="408"/>
      <c r="AH298" s="408"/>
      <c r="AI298" s="408"/>
      <c r="AJ298" s="408"/>
      <c r="AK298" s="408"/>
      <c r="AL298" s="408"/>
      <c r="AM298" s="408"/>
      <c r="AN298" s="408"/>
      <c r="AO298" s="408"/>
      <c r="AP298" s="408"/>
      <c r="AQ298" s="408"/>
      <c r="AR298" s="408"/>
      <c r="AS298" s="408"/>
      <c r="AT298" s="408"/>
      <c r="AU298" s="408"/>
      <c r="AV298" s="408"/>
      <c r="AW298" s="408"/>
      <c r="AX298" s="408"/>
      <c r="AY298" s="408"/>
      <c r="AZ298" s="408"/>
      <c r="BA298" s="408"/>
      <c r="BB298" s="408"/>
      <c r="BC298" s="408"/>
      <c r="BD298" s="408"/>
      <c r="BE298" s="408"/>
      <c r="BF298" s="408"/>
      <c r="BG298" s="408"/>
      <c r="BH298" s="408"/>
      <c r="BI298" s="408"/>
      <c r="BJ298" s="408"/>
      <c r="BK298" s="408"/>
      <c r="BL298" s="408"/>
      <c r="BM298" s="408"/>
      <c r="BN298" s="408"/>
      <c r="BO298" s="408"/>
      <c r="BP298" s="408"/>
      <c r="BQ298" s="408"/>
      <c r="BR298" s="408"/>
      <c r="BS298" s="408"/>
      <c r="BT298" s="408"/>
      <c r="BU298" s="408"/>
      <c r="BV298" s="408"/>
      <c r="BW298" s="408"/>
      <c r="BX298" s="408"/>
      <c r="BY298" s="408"/>
      <c r="BZ298" s="408"/>
      <c r="CA298" s="408"/>
      <c r="CB298" s="408"/>
      <c r="CC298" s="408"/>
      <c r="CD298" s="408"/>
      <c r="CE298" s="408"/>
      <c r="CF298" s="408"/>
      <c r="CG298" s="408"/>
      <c r="CH298" s="408"/>
      <c r="CI298" s="408"/>
      <c r="CJ298" s="408"/>
      <c r="CK298" s="408"/>
      <c r="CL298" s="408"/>
      <c r="CM298" s="408"/>
      <c r="CN298" s="408"/>
    </row>
    <row r="299">
      <c r="A299" s="408"/>
      <c r="B299" s="408"/>
      <c r="C299" s="408"/>
      <c r="D299" s="408"/>
      <c r="E299" s="408"/>
      <c r="F299" s="408"/>
      <c r="G299" s="408"/>
      <c r="H299" s="408"/>
      <c r="I299" s="408"/>
      <c r="J299" s="408"/>
      <c r="K299" s="408"/>
      <c r="L299" s="408"/>
      <c r="M299" s="408"/>
      <c r="N299" s="408"/>
      <c r="O299" s="408"/>
      <c r="P299" s="408"/>
      <c r="Q299" s="408"/>
      <c r="R299" s="408"/>
      <c r="S299" s="408"/>
      <c r="T299" s="408"/>
      <c r="U299" s="408"/>
      <c r="V299" s="408"/>
      <c r="W299" s="408"/>
      <c r="X299" s="408"/>
      <c r="Y299" s="408"/>
      <c r="Z299" s="408"/>
      <c r="AA299" s="408"/>
      <c r="AB299" s="408"/>
      <c r="AC299" s="408"/>
      <c r="AD299" s="408"/>
      <c r="AE299" s="408"/>
      <c r="AF299" s="408"/>
      <c r="AG299" s="408"/>
      <c r="AH299" s="408"/>
      <c r="AI299" s="408"/>
      <c r="AJ299" s="408"/>
      <c r="AK299" s="408"/>
      <c r="AL299" s="408"/>
      <c r="AM299" s="408"/>
      <c r="AN299" s="408"/>
      <c r="AO299" s="408"/>
      <c r="AP299" s="408"/>
      <c r="AQ299" s="408"/>
      <c r="AR299" s="408"/>
      <c r="AS299" s="408"/>
      <c r="AT299" s="408"/>
      <c r="AU299" s="408"/>
      <c r="AV299" s="408"/>
      <c r="AW299" s="408"/>
      <c r="AX299" s="408"/>
      <c r="AY299" s="408"/>
      <c r="AZ299" s="408"/>
      <c r="BA299" s="408"/>
      <c r="BB299" s="408"/>
      <c r="BC299" s="408"/>
      <c r="BD299" s="408"/>
      <c r="BE299" s="408"/>
      <c r="BF299" s="408"/>
      <c r="BG299" s="408"/>
      <c r="BH299" s="408"/>
      <c r="BI299" s="408"/>
      <c r="BJ299" s="408"/>
      <c r="BK299" s="408"/>
      <c r="BL299" s="408"/>
      <c r="BM299" s="408"/>
      <c r="BN299" s="408"/>
      <c r="BO299" s="408"/>
      <c r="BP299" s="408"/>
      <c r="BQ299" s="408"/>
      <c r="BR299" s="408"/>
      <c r="BS299" s="408"/>
      <c r="BT299" s="408"/>
      <c r="BU299" s="408"/>
      <c r="BV299" s="408"/>
      <c r="BW299" s="408"/>
      <c r="BX299" s="408"/>
      <c r="BY299" s="408"/>
      <c r="BZ299" s="408"/>
      <c r="CA299" s="408"/>
      <c r="CB299" s="408"/>
      <c r="CC299" s="408"/>
      <c r="CD299" s="408"/>
      <c r="CE299" s="408"/>
      <c r="CF299" s="408"/>
      <c r="CG299" s="408"/>
      <c r="CH299" s="408"/>
      <c r="CI299" s="408"/>
      <c r="CJ299" s="408"/>
      <c r="CK299" s="408"/>
      <c r="CL299" s="408"/>
      <c r="CM299" s="408"/>
      <c r="CN299" s="408"/>
    </row>
    <row r="300">
      <c r="A300" s="408"/>
      <c r="B300" s="408"/>
      <c r="C300" s="408"/>
      <c r="D300" s="408"/>
      <c r="E300" s="408"/>
      <c r="F300" s="408"/>
      <c r="G300" s="408"/>
      <c r="H300" s="408"/>
      <c r="I300" s="408"/>
      <c r="J300" s="408"/>
      <c r="K300" s="408"/>
      <c r="L300" s="408"/>
      <c r="M300" s="408"/>
      <c r="N300" s="408"/>
      <c r="O300" s="408"/>
      <c r="P300" s="408"/>
      <c r="Q300" s="408"/>
      <c r="R300" s="408"/>
      <c r="S300" s="408"/>
      <c r="T300" s="408"/>
      <c r="U300" s="408"/>
      <c r="V300" s="408"/>
      <c r="W300" s="408"/>
      <c r="X300" s="408"/>
      <c r="Y300" s="408"/>
      <c r="Z300" s="408"/>
      <c r="AA300" s="408"/>
      <c r="AB300" s="408"/>
      <c r="AC300" s="408"/>
      <c r="AD300" s="408"/>
      <c r="AE300" s="408"/>
      <c r="AF300" s="408"/>
      <c r="AG300" s="408"/>
      <c r="AH300" s="408"/>
      <c r="AI300" s="408"/>
      <c r="AJ300" s="408"/>
      <c r="AK300" s="408"/>
      <c r="AL300" s="408"/>
      <c r="AM300" s="408"/>
      <c r="AN300" s="408"/>
      <c r="AO300" s="408"/>
      <c r="AP300" s="408"/>
      <c r="AQ300" s="408"/>
      <c r="AR300" s="408"/>
      <c r="AS300" s="408"/>
      <c r="AT300" s="408"/>
      <c r="AU300" s="408"/>
      <c r="AV300" s="408"/>
      <c r="AW300" s="408"/>
      <c r="AX300" s="408"/>
      <c r="AY300" s="408"/>
      <c r="AZ300" s="408"/>
      <c r="BA300" s="408"/>
      <c r="BB300" s="408"/>
      <c r="BC300" s="408"/>
      <c r="BD300" s="408"/>
      <c r="BE300" s="408"/>
      <c r="BF300" s="408"/>
      <c r="BG300" s="408"/>
      <c r="BH300" s="408"/>
      <c r="BI300" s="408"/>
      <c r="BJ300" s="408"/>
      <c r="BK300" s="408"/>
      <c r="BL300" s="408"/>
      <c r="BM300" s="408"/>
      <c r="BN300" s="408"/>
      <c r="BO300" s="408"/>
      <c r="BP300" s="408"/>
      <c r="BQ300" s="408"/>
      <c r="BR300" s="408"/>
      <c r="BS300" s="408"/>
      <c r="BT300" s="408"/>
      <c r="BU300" s="408"/>
      <c r="BV300" s="408"/>
      <c r="BW300" s="408"/>
      <c r="BX300" s="408"/>
      <c r="BY300" s="408"/>
      <c r="BZ300" s="408"/>
      <c r="CA300" s="408"/>
      <c r="CB300" s="408"/>
      <c r="CC300" s="408"/>
      <c r="CD300" s="408"/>
      <c r="CE300" s="408"/>
      <c r="CF300" s="408"/>
      <c r="CG300" s="408"/>
      <c r="CH300" s="408"/>
      <c r="CI300" s="408"/>
      <c r="CJ300" s="408"/>
      <c r="CK300" s="408"/>
      <c r="CL300" s="408"/>
      <c r="CM300" s="408"/>
      <c r="CN300" s="408"/>
    </row>
    <row r="301">
      <c r="A301" s="408"/>
      <c r="B301" s="408"/>
      <c r="C301" s="408"/>
      <c r="D301" s="408"/>
      <c r="E301" s="408"/>
      <c r="F301" s="408"/>
      <c r="G301" s="408"/>
      <c r="H301" s="408"/>
      <c r="I301" s="408"/>
      <c r="J301" s="408"/>
      <c r="K301" s="408"/>
      <c r="L301" s="408"/>
      <c r="M301" s="408"/>
      <c r="N301" s="408"/>
      <c r="O301" s="408"/>
      <c r="P301" s="408"/>
      <c r="Q301" s="408"/>
      <c r="R301" s="408"/>
      <c r="S301" s="408"/>
      <c r="T301" s="408"/>
      <c r="U301" s="408"/>
      <c r="V301" s="408"/>
      <c r="W301" s="408"/>
      <c r="X301" s="408"/>
      <c r="Y301" s="408"/>
      <c r="Z301" s="408"/>
      <c r="AA301" s="408"/>
      <c r="AB301" s="408"/>
      <c r="AC301" s="408"/>
      <c r="AD301" s="408"/>
      <c r="AE301" s="408"/>
      <c r="AF301" s="408"/>
      <c r="AG301" s="408"/>
      <c r="AH301" s="408"/>
      <c r="AI301" s="408"/>
      <c r="AJ301" s="408"/>
      <c r="AK301" s="408"/>
      <c r="AL301" s="408"/>
      <c r="AM301" s="408"/>
      <c r="AN301" s="408"/>
      <c r="AO301" s="408"/>
      <c r="AP301" s="408"/>
      <c r="AQ301" s="408"/>
      <c r="AR301" s="408"/>
      <c r="AS301" s="408"/>
      <c r="AT301" s="408"/>
      <c r="AU301" s="408"/>
      <c r="AV301" s="408"/>
      <c r="AW301" s="408"/>
      <c r="AX301" s="408"/>
      <c r="AY301" s="408"/>
      <c r="AZ301" s="408"/>
      <c r="BA301" s="408"/>
      <c r="BB301" s="408"/>
      <c r="BC301" s="408"/>
      <c r="BD301" s="408"/>
      <c r="BE301" s="408"/>
      <c r="BF301" s="408"/>
      <c r="BG301" s="408"/>
      <c r="BH301" s="408"/>
      <c r="BI301" s="408"/>
      <c r="BJ301" s="408"/>
      <c r="BK301" s="408"/>
      <c r="BL301" s="408"/>
      <c r="BM301" s="408"/>
      <c r="BN301" s="408"/>
      <c r="BO301" s="408"/>
      <c r="BP301" s="408"/>
      <c r="BQ301" s="408"/>
      <c r="BR301" s="408"/>
      <c r="BS301" s="408"/>
      <c r="BT301" s="408"/>
      <c r="BU301" s="408"/>
      <c r="BV301" s="408"/>
      <c r="BW301" s="408"/>
      <c r="BX301" s="408"/>
      <c r="BY301" s="408"/>
      <c r="BZ301" s="408"/>
      <c r="CA301" s="408"/>
      <c r="CB301" s="408"/>
      <c r="CC301" s="408"/>
      <c r="CD301" s="408"/>
      <c r="CE301" s="408"/>
      <c r="CF301" s="408"/>
      <c r="CG301" s="408"/>
      <c r="CH301" s="408"/>
      <c r="CI301" s="408"/>
      <c r="CJ301" s="408"/>
      <c r="CK301" s="408"/>
      <c r="CL301" s="408"/>
      <c r="CM301" s="408"/>
      <c r="CN301" s="408"/>
    </row>
    <row r="302">
      <c r="A302" s="408"/>
      <c r="B302" s="408"/>
      <c r="C302" s="408"/>
      <c r="D302" s="408"/>
      <c r="E302" s="408"/>
      <c r="F302" s="408"/>
      <c r="G302" s="408"/>
      <c r="H302" s="408"/>
      <c r="I302" s="408"/>
      <c r="J302" s="408"/>
      <c r="K302" s="408"/>
      <c r="L302" s="408"/>
      <c r="M302" s="408"/>
      <c r="N302" s="408"/>
      <c r="O302" s="408"/>
      <c r="P302" s="408"/>
      <c r="Q302" s="408"/>
      <c r="R302" s="408"/>
      <c r="S302" s="408"/>
      <c r="T302" s="408"/>
      <c r="U302" s="408"/>
      <c r="V302" s="408"/>
      <c r="W302" s="408"/>
      <c r="X302" s="408"/>
      <c r="Y302" s="408"/>
      <c r="Z302" s="408"/>
      <c r="AA302" s="408"/>
      <c r="AB302" s="408"/>
      <c r="AC302" s="408"/>
      <c r="AD302" s="408"/>
      <c r="AE302" s="408"/>
      <c r="AF302" s="408"/>
      <c r="AG302" s="408"/>
      <c r="AH302" s="408"/>
      <c r="AI302" s="408"/>
      <c r="AJ302" s="408"/>
      <c r="AK302" s="408"/>
      <c r="AL302" s="408"/>
      <c r="AM302" s="408"/>
      <c r="AN302" s="408"/>
      <c r="AO302" s="408"/>
      <c r="AP302" s="408"/>
      <c r="AQ302" s="408"/>
      <c r="AR302" s="408"/>
      <c r="AS302" s="408"/>
      <c r="AT302" s="408"/>
      <c r="AU302" s="408"/>
      <c r="AV302" s="408"/>
      <c r="AW302" s="408"/>
      <c r="AX302" s="408"/>
      <c r="AY302" s="408"/>
      <c r="AZ302" s="408"/>
      <c r="BA302" s="408"/>
      <c r="BB302" s="408"/>
      <c r="BC302" s="408"/>
      <c r="BD302" s="408"/>
      <c r="BE302" s="408"/>
      <c r="BF302" s="408"/>
      <c r="BG302" s="408"/>
      <c r="BH302" s="408"/>
      <c r="BI302" s="408"/>
      <c r="BJ302" s="408"/>
      <c r="BK302" s="408"/>
      <c r="BL302" s="408"/>
      <c r="BM302" s="408"/>
      <c r="BN302" s="408"/>
      <c r="BO302" s="408"/>
      <c r="BP302" s="408"/>
      <c r="BQ302" s="408"/>
      <c r="BR302" s="408"/>
      <c r="BS302" s="408"/>
      <c r="BT302" s="408"/>
      <c r="BU302" s="408"/>
      <c r="BV302" s="408"/>
      <c r="BW302" s="408"/>
      <c r="BX302" s="408"/>
      <c r="BY302" s="408"/>
      <c r="BZ302" s="408"/>
      <c r="CA302" s="408"/>
      <c r="CB302" s="408"/>
      <c r="CC302" s="408"/>
      <c r="CD302" s="408"/>
      <c r="CE302" s="408"/>
      <c r="CF302" s="408"/>
      <c r="CG302" s="408"/>
      <c r="CH302" s="408"/>
      <c r="CI302" s="408"/>
      <c r="CJ302" s="408"/>
      <c r="CK302" s="408"/>
      <c r="CL302" s="408"/>
      <c r="CM302" s="408"/>
      <c r="CN302" s="408"/>
    </row>
    <row r="303">
      <c r="A303" s="408"/>
      <c r="B303" s="408"/>
      <c r="C303" s="408"/>
      <c r="D303" s="408"/>
      <c r="E303" s="408"/>
      <c r="F303" s="408"/>
      <c r="G303" s="408"/>
      <c r="H303" s="408"/>
      <c r="I303" s="408"/>
      <c r="J303" s="408"/>
      <c r="K303" s="408"/>
      <c r="L303" s="408"/>
      <c r="M303" s="408"/>
      <c r="N303" s="408"/>
      <c r="O303" s="408"/>
      <c r="P303" s="408"/>
      <c r="Q303" s="408"/>
      <c r="R303" s="408"/>
      <c r="S303" s="408"/>
      <c r="T303" s="408"/>
      <c r="U303" s="408"/>
      <c r="V303" s="408"/>
      <c r="W303" s="408"/>
      <c r="X303" s="408"/>
      <c r="Y303" s="408"/>
      <c r="Z303" s="408"/>
      <c r="AA303" s="408"/>
      <c r="AB303" s="408"/>
      <c r="AC303" s="408"/>
      <c r="AD303" s="408"/>
      <c r="AE303" s="408"/>
      <c r="AF303" s="408"/>
      <c r="AG303" s="408"/>
      <c r="AH303" s="408"/>
      <c r="AI303" s="408"/>
      <c r="AJ303" s="408"/>
      <c r="AK303" s="408"/>
      <c r="AL303" s="408"/>
      <c r="AM303" s="408"/>
      <c r="AN303" s="408"/>
      <c r="AO303" s="408"/>
      <c r="AP303" s="408"/>
      <c r="AQ303" s="408"/>
      <c r="AR303" s="408"/>
      <c r="AS303" s="408"/>
      <c r="AT303" s="408"/>
      <c r="AU303" s="408"/>
      <c r="AV303" s="408"/>
      <c r="AW303" s="408"/>
      <c r="AX303" s="408"/>
      <c r="AY303" s="408"/>
      <c r="AZ303" s="408"/>
      <c r="BA303" s="408"/>
      <c r="BB303" s="408"/>
      <c r="BC303" s="408"/>
      <c r="BD303" s="408"/>
      <c r="BE303" s="408"/>
      <c r="BF303" s="408"/>
      <c r="BG303" s="408"/>
      <c r="BH303" s="408"/>
      <c r="BI303" s="408"/>
      <c r="BJ303" s="408"/>
      <c r="BK303" s="408"/>
      <c r="BL303" s="408"/>
      <c r="BM303" s="408"/>
      <c r="BN303" s="408"/>
      <c r="BO303" s="408"/>
      <c r="BP303" s="408"/>
      <c r="BQ303" s="408"/>
      <c r="BR303" s="408"/>
      <c r="BS303" s="408"/>
      <c r="BT303" s="408"/>
      <c r="BU303" s="408"/>
      <c r="BV303" s="408"/>
      <c r="BW303" s="408"/>
      <c r="BX303" s="408"/>
      <c r="BY303" s="408"/>
      <c r="BZ303" s="408"/>
      <c r="CA303" s="408"/>
      <c r="CB303" s="408"/>
      <c r="CC303" s="408"/>
      <c r="CD303" s="408"/>
      <c r="CE303" s="408"/>
      <c r="CF303" s="408"/>
      <c r="CG303" s="408"/>
      <c r="CH303" s="408"/>
      <c r="CI303" s="408"/>
      <c r="CJ303" s="408"/>
      <c r="CK303" s="408"/>
      <c r="CL303" s="408"/>
      <c r="CM303" s="408"/>
      <c r="CN303" s="408"/>
    </row>
    <row r="304">
      <c r="A304" s="408"/>
      <c r="B304" s="408"/>
      <c r="C304" s="408"/>
      <c r="D304" s="408"/>
      <c r="E304" s="408"/>
      <c r="F304" s="408"/>
      <c r="G304" s="408"/>
      <c r="H304" s="408"/>
      <c r="I304" s="408"/>
      <c r="J304" s="408"/>
      <c r="K304" s="408"/>
      <c r="L304" s="408"/>
      <c r="M304" s="408"/>
      <c r="N304" s="408"/>
      <c r="O304" s="408"/>
      <c r="P304" s="408"/>
      <c r="Q304" s="408"/>
      <c r="R304" s="408"/>
      <c r="S304" s="408"/>
      <c r="T304" s="408"/>
      <c r="U304" s="408"/>
      <c r="V304" s="408"/>
      <c r="W304" s="408"/>
      <c r="X304" s="408"/>
      <c r="Y304" s="408"/>
      <c r="Z304" s="408"/>
      <c r="AA304" s="408"/>
      <c r="AB304" s="408"/>
      <c r="AC304" s="408"/>
      <c r="AD304" s="408"/>
      <c r="AE304" s="408"/>
      <c r="AF304" s="408"/>
      <c r="AG304" s="408"/>
      <c r="AH304" s="408"/>
      <c r="AI304" s="408"/>
      <c r="AJ304" s="408"/>
      <c r="AK304" s="408"/>
      <c r="AL304" s="408"/>
      <c r="AM304" s="408"/>
      <c r="AN304" s="408"/>
      <c r="AO304" s="408"/>
      <c r="AP304" s="408"/>
      <c r="AQ304" s="408"/>
      <c r="AR304" s="408"/>
      <c r="AS304" s="408"/>
      <c r="AT304" s="408"/>
      <c r="AU304" s="408"/>
      <c r="AV304" s="408"/>
      <c r="AW304" s="408"/>
      <c r="AX304" s="408"/>
      <c r="AY304" s="408"/>
      <c r="AZ304" s="408"/>
      <c r="BA304" s="408"/>
      <c r="BB304" s="408"/>
      <c r="BC304" s="408"/>
      <c r="BD304" s="408"/>
      <c r="BE304" s="408"/>
      <c r="BF304" s="408"/>
      <c r="BG304" s="408"/>
      <c r="BH304" s="408"/>
      <c r="BI304" s="408"/>
      <c r="BJ304" s="408"/>
      <c r="BK304" s="408"/>
      <c r="BL304" s="408"/>
      <c r="BM304" s="408"/>
      <c r="BN304" s="408"/>
      <c r="BO304" s="408"/>
      <c r="BP304" s="408"/>
      <c r="BQ304" s="408"/>
      <c r="BR304" s="408"/>
      <c r="BS304" s="408"/>
      <c r="BT304" s="408"/>
      <c r="BU304" s="408"/>
      <c r="BV304" s="408"/>
      <c r="BW304" s="408"/>
      <c r="BX304" s="408"/>
      <c r="BY304" s="408"/>
      <c r="BZ304" s="408"/>
      <c r="CA304" s="408"/>
      <c r="CB304" s="408"/>
      <c r="CC304" s="408"/>
      <c r="CD304" s="408"/>
      <c r="CE304" s="408"/>
      <c r="CF304" s="408"/>
      <c r="CG304" s="408"/>
      <c r="CH304" s="408"/>
      <c r="CI304" s="408"/>
      <c r="CJ304" s="408"/>
      <c r="CK304" s="408"/>
      <c r="CL304" s="408"/>
      <c r="CM304" s="408"/>
      <c r="CN304" s="408"/>
    </row>
    <row r="305">
      <c r="A305" s="408"/>
      <c r="B305" s="408"/>
      <c r="C305" s="408"/>
      <c r="D305" s="408"/>
      <c r="E305" s="408"/>
      <c r="F305" s="408"/>
      <c r="G305" s="408"/>
      <c r="H305" s="408"/>
      <c r="I305" s="408"/>
      <c r="J305" s="408"/>
      <c r="K305" s="408"/>
      <c r="L305" s="408"/>
      <c r="M305" s="408"/>
      <c r="N305" s="408"/>
      <c r="O305" s="408"/>
      <c r="P305" s="408"/>
      <c r="Q305" s="408"/>
      <c r="R305" s="408"/>
      <c r="S305" s="408"/>
      <c r="T305" s="408"/>
      <c r="U305" s="408"/>
      <c r="V305" s="408"/>
      <c r="W305" s="408"/>
      <c r="X305" s="408"/>
      <c r="Y305" s="408"/>
      <c r="Z305" s="408"/>
      <c r="AA305" s="408"/>
      <c r="AB305" s="408"/>
      <c r="AC305" s="408"/>
      <c r="AD305" s="408"/>
      <c r="AE305" s="408"/>
      <c r="AF305" s="408"/>
      <c r="AG305" s="408"/>
      <c r="AH305" s="408"/>
      <c r="AI305" s="408"/>
      <c r="AJ305" s="408"/>
      <c r="AK305" s="408"/>
      <c r="AL305" s="408"/>
      <c r="AM305" s="408"/>
      <c r="AN305" s="408"/>
      <c r="AO305" s="408"/>
      <c r="AP305" s="408"/>
      <c r="AQ305" s="408"/>
      <c r="AR305" s="408"/>
      <c r="AS305" s="408"/>
      <c r="AT305" s="408"/>
      <c r="AU305" s="408"/>
      <c r="AV305" s="408"/>
      <c r="AW305" s="408"/>
      <c r="AX305" s="408"/>
      <c r="AY305" s="408"/>
      <c r="AZ305" s="408"/>
      <c r="BA305" s="408"/>
      <c r="BB305" s="408"/>
      <c r="BC305" s="408"/>
      <c r="BD305" s="408"/>
      <c r="BE305" s="408"/>
      <c r="BF305" s="408"/>
      <c r="BG305" s="408"/>
      <c r="BH305" s="408"/>
      <c r="BI305" s="408"/>
      <c r="BJ305" s="408"/>
      <c r="BK305" s="408"/>
      <c r="BL305" s="408"/>
      <c r="BM305" s="408"/>
      <c r="BN305" s="408"/>
      <c r="BO305" s="408"/>
      <c r="BP305" s="408"/>
      <c r="BQ305" s="408"/>
      <c r="BR305" s="408"/>
      <c r="BS305" s="408"/>
      <c r="BT305" s="408"/>
      <c r="BU305" s="408"/>
      <c r="BV305" s="408"/>
      <c r="BW305" s="408"/>
      <c r="BX305" s="408"/>
      <c r="BY305" s="408"/>
      <c r="BZ305" s="408"/>
      <c r="CA305" s="408"/>
      <c r="CB305" s="408"/>
      <c r="CC305" s="408"/>
      <c r="CD305" s="408"/>
      <c r="CE305" s="408"/>
      <c r="CF305" s="408"/>
      <c r="CG305" s="408"/>
      <c r="CH305" s="408"/>
      <c r="CI305" s="408"/>
      <c r="CJ305" s="408"/>
      <c r="CK305" s="408"/>
      <c r="CL305" s="408"/>
      <c r="CM305" s="408"/>
      <c r="CN305" s="408"/>
    </row>
    <row r="306">
      <c r="A306" s="408"/>
      <c r="B306" s="408"/>
      <c r="C306" s="408"/>
      <c r="D306" s="408"/>
      <c r="E306" s="408"/>
      <c r="F306" s="408"/>
      <c r="G306" s="408"/>
      <c r="H306" s="408"/>
      <c r="I306" s="408"/>
      <c r="J306" s="408"/>
      <c r="K306" s="408"/>
      <c r="L306" s="408"/>
      <c r="M306" s="408"/>
      <c r="N306" s="408"/>
      <c r="O306" s="408"/>
      <c r="P306" s="408"/>
      <c r="Q306" s="408"/>
      <c r="R306" s="408"/>
      <c r="S306" s="408"/>
      <c r="T306" s="408"/>
      <c r="U306" s="408"/>
      <c r="V306" s="408"/>
      <c r="W306" s="408"/>
      <c r="X306" s="408"/>
      <c r="Y306" s="408"/>
      <c r="Z306" s="408"/>
      <c r="AA306" s="408"/>
      <c r="AB306" s="408"/>
      <c r="AC306" s="408"/>
      <c r="AD306" s="408"/>
      <c r="AE306" s="408"/>
      <c r="AF306" s="408"/>
      <c r="AG306" s="408"/>
      <c r="AH306" s="408"/>
      <c r="AI306" s="408"/>
      <c r="AJ306" s="408"/>
      <c r="AK306" s="408"/>
      <c r="AL306" s="408"/>
      <c r="AM306" s="408"/>
      <c r="AN306" s="408"/>
      <c r="AO306" s="408"/>
      <c r="AP306" s="408"/>
      <c r="AQ306" s="408"/>
      <c r="AR306" s="408"/>
      <c r="AS306" s="408"/>
      <c r="AT306" s="408"/>
      <c r="AU306" s="408"/>
      <c r="AV306" s="408"/>
      <c r="AW306" s="408"/>
      <c r="AX306" s="408"/>
      <c r="AY306" s="408"/>
      <c r="AZ306" s="408"/>
      <c r="BA306" s="408"/>
      <c r="BB306" s="408"/>
      <c r="BC306" s="408"/>
      <c r="BD306" s="408"/>
      <c r="BE306" s="408"/>
      <c r="BF306" s="408"/>
      <c r="BG306" s="408"/>
      <c r="BH306" s="408"/>
      <c r="BI306" s="408"/>
      <c r="BJ306" s="408"/>
      <c r="BK306" s="408"/>
      <c r="BL306" s="408"/>
      <c r="BM306" s="408"/>
      <c r="BN306" s="408"/>
      <c r="BO306" s="408"/>
      <c r="BP306" s="408"/>
      <c r="BQ306" s="408"/>
      <c r="BR306" s="408"/>
      <c r="BS306" s="408"/>
      <c r="BT306" s="408"/>
      <c r="BU306" s="408"/>
      <c r="BV306" s="408"/>
      <c r="BW306" s="408"/>
      <c r="BX306" s="408"/>
      <c r="BY306" s="408"/>
      <c r="BZ306" s="408"/>
      <c r="CA306" s="408"/>
      <c r="CB306" s="408"/>
      <c r="CC306" s="408"/>
      <c r="CD306" s="408"/>
      <c r="CE306" s="408"/>
      <c r="CF306" s="408"/>
      <c r="CG306" s="408"/>
      <c r="CH306" s="408"/>
      <c r="CI306" s="408"/>
      <c r="CJ306" s="408"/>
      <c r="CK306" s="408"/>
      <c r="CL306" s="408"/>
      <c r="CM306" s="408"/>
      <c r="CN306" s="408"/>
    </row>
    <row r="307">
      <c r="A307" s="408"/>
      <c r="B307" s="408"/>
      <c r="C307" s="408"/>
      <c r="D307" s="408"/>
      <c r="E307" s="408"/>
      <c r="F307" s="408"/>
      <c r="G307" s="408"/>
      <c r="H307" s="408"/>
      <c r="I307" s="408"/>
      <c r="J307" s="408"/>
      <c r="K307" s="408"/>
      <c r="L307" s="408"/>
      <c r="M307" s="408"/>
      <c r="N307" s="408"/>
      <c r="O307" s="408"/>
      <c r="P307" s="408"/>
      <c r="Q307" s="408"/>
      <c r="R307" s="408"/>
      <c r="S307" s="408"/>
      <c r="T307" s="408"/>
      <c r="U307" s="408"/>
      <c r="V307" s="408"/>
      <c r="W307" s="408"/>
      <c r="X307" s="408"/>
      <c r="Y307" s="408"/>
      <c r="Z307" s="408"/>
      <c r="AA307" s="408"/>
      <c r="AB307" s="408"/>
      <c r="AC307" s="408"/>
      <c r="AD307" s="408"/>
      <c r="AE307" s="408"/>
      <c r="AF307" s="408"/>
      <c r="AG307" s="408"/>
      <c r="AH307" s="408"/>
      <c r="AI307" s="408"/>
      <c r="AJ307" s="408"/>
      <c r="AK307" s="408"/>
      <c r="AL307" s="408"/>
      <c r="AM307" s="408"/>
      <c r="AN307" s="408"/>
      <c r="AO307" s="408"/>
      <c r="AP307" s="408"/>
      <c r="AQ307" s="408"/>
      <c r="AR307" s="408"/>
      <c r="AS307" s="408"/>
      <c r="AT307" s="408"/>
      <c r="AU307" s="408"/>
      <c r="AV307" s="408"/>
      <c r="AW307" s="408"/>
      <c r="AX307" s="408"/>
      <c r="AY307" s="408"/>
      <c r="AZ307" s="408"/>
      <c r="BA307" s="408"/>
      <c r="BB307" s="408"/>
      <c r="BC307" s="408"/>
      <c r="BD307" s="408"/>
      <c r="BE307" s="408"/>
      <c r="BF307" s="408"/>
      <c r="BG307" s="408"/>
      <c r="BH307" s="408"/>
      <c r="BI307" s="408"/>
      <c r="BJ307" s="408"/>
      <c r="BK307" s="408"/>
      <c r="BL307" s="408"/>
      <c r="BM307" s="408"/>
      <c r="BN307" s="408"/>
      <c r="BO307" s="408"/>
      <c r="BP307" s="408"/>
      <c r="BQ307" s="408"/>
      <c r="BR307" s="408"/>
      <c r="BS307" s="408"/>
      <c r="BT307" s="408"/>
      <c r="BU307" s="408"/>
      <c r="BV307" s="408"/>
      <c r="BW307" s="408"/>
      <c r="BX307" s="408"/>
      <c r="BY307" s="408"/>
      <c r="BZ307" s="408"/>
      <c r="CA307" s="408"/>
      <c r="CB307" s="408"/>
      <c r="CC307" s="408"/>
      <c r="CD307" s="408"/>
      <c r="CE307" s="408"/>
      <c r="CF307" s="408"/>
      <c r="CG307" s="408"/>
      <c r="CH307" s="408"/>
      <c r="CI307" s="408"/>
      <c r="CJ307" s="408"/>
      <c r="CK307" s="408"/>
      <c r="CL307" s="408"/>
      <c r="CM307" s="408"/>
      <c r="CN307" s="408"/>
    </row>
    <row r="308">
      <c r="A308" s="408"/>
      <c r="B308" s="408"/>
      <c r="C308" s="408"/>
      <c r="D308" s="408"/>
      <c r="E308" s="408"/>
      <c r="F308" s="408"/>
      <c r="G308" s="408"/>
      <c r="H308" s="408"/>
      <c r="I308" s="408"/>
      <c r="J308" s="408"/>
      <c r="K308" s="408"/>
      <c r="L308" s="408"/>
      <c r="M308" s="408"/>
      <c r="N308" s="408"/>
      <c r="O308" s="408"/>
      <c r="P308" s="408"/>
      <c r="Q308" s="408"/>
      <c r="R308" s="408"/>
      <c r="S308" s="408"/>
      <c r="T308" s="408"/>
      <c r="U308" s="408"/>
      <c r="V308" s="408"/>
      <c r="W308" s="408"/>
      <c r="X308" s="408"/>
      <c r="Y308" s="408"/>
      <c r="Z308" s="408"/>
      <c r="AA308" s="408"/>
      <c r="AB308" s="408"/>
      <c r="AC308" s="408"/>
      <c r="AD308" s="408"/>
      <c r="AE308" s="408"/>
      <c r="AF308" s="408"/>
      <c r="AG308" s="408"/>
      <c r="AH308" s="408"/>
      <c r="AI308" s="408"/>
      <c r="AJ308" s="408"/>
      <c r="AK308" s="408"/>
      <c r="AL308" s="408"/>
      <c r="AM308" s="408"/>
      <c r="AN308" s="408"/>
      <c r="AO308" s="408"/>
      <c r="AP308" s="408"/>
      <c r="AQ308" s="408"/>
      <c r="AR308" s="408"/>
      <c r="AS308" s="408"/>
      <c r="AT308" s="408"/>
      <c r="AU308" s="408"/>
      <c r="AV308" s="408"/>
      <c r="AW308" s="408"/>
      <c r="AX308" s="408"/>
      <c r="AY308" s="408"/>
      <c r="AZ308" s="408"/>
      <c r="BA308" s="408"/>
      <c r="BB308" s="408"/>
      <c r="BC308" s="408"/>
      <c r="BD308" s="408"/>
      <c r="BE308" s="408"/>
      <c r="BF308" s="408"/>
      <c r="BG308" s="408"/>
      <c r="BH308" s="408"/>
      <c r="BI308" s="408"/>
      <c r="BJ308" s="408"/>
      <c r="BK308" s="408"/>
      <c r="BL308" s="408"/>
      <c r="BM308" s="408"/>
      <c r="BN308" s="408"/>
      <c r="BO308" s="408"/>
      <c r="BP308" s="408"/>
      <c r="BQ308" s="408"/>
      <c r="BR308" s="408"/>
      <c r="BS308" s="408"/>
      <c r="BT308" s="408"/>
      <c r="BU308" s="408"/>
      <c r="BV308" s="408"/>
      <c r="BW308" s="408"/>
      <c r="BX308" s="408"/>
      <c r="BY308" s="408"/>
      <c r="BZ308" s="408"/>
      <c r="CA308" s="408"/>
      <c r="CB308" s="408"/>
      <c r="CC308" s="408"/>
      <c r="CD308" s="408"/>
      <c r="CE308" s="408"/>
      <c r="CF308" s="408"/>
      <c r="CG308" s="408"/>
      <c r="CH308" s="408"/>
      <c r="CI308" s="408"/>
      <c r="CJ308" s="408"/>
      <c r="CK308" s="408"/>
      <c r="CL308" s="408"/>
      <c r="CM308" s="408"/>
      <c r="CN308" s="408"/>
    </row>
    <row r="309">
      <c r="A309" s="408"/>
      <c r="B309" s="408"/>
      <c r="C309" s="408"/>
      <c r="D309" s="408"/>
      <c r="E309" s="408"/>
      <c r="F309" s="408"/>
      <c r="G309" s="408"/>
      <c r="H309" s="408"/>
      <c r="I309" s="408"/>
      <c r="J309" s="408"/>
      <c r="K309" s="408"/>
      <c r="L309" s="408"/>
      <c r="M309" s="408"/>
      <c r="N309" s="408"/>
      <c r="O309" s="408"/>
      <c r="P309" s="408"/>
      <c r="Q309" s="408"/>
      <c r="R309" s="408"/>
      <c r="S309" s="408"/>
      <c r="T309" s="408"/>
      <c r="U309" s="408"/>
      <c r="V309" s="408"/>
      <c r="W309" s="408"/>
      <c r="X309" s="408"/>
      <c r="Y309" s="408"/>
      <c r="Z309" s="408"/>
      <c r="AA309" s="408"/>
      <c r="AB309" s="408"/>
      <c r="AC309" s="408"/>
      <c r="AD309" s="408"/>
      <c r="AE309" s="408"/>
      <c r="AF309" s="408"/>
      <c r="AG309" s="408"/>
      <c r="AH309" s="408"/>
      <c r="AI309" s="408"/>
      <c r="AJ309" s="408"/>
      <c r="AK309" s="408"/>
      <c r="AL309" s="408"/>
      <c r="AM309" s="408"/>
      <c r="AN309" s="408"/>
      <c r="AO309" s="408"/>
      <c r="AP309" s="408"/>
      <c r="AQ309" s="408"/>
      <c r="AR309" s="408"/>
      <c r="AS309" s="408"/>
      <c r="AT309" s="408"/>
      <c r="AU309" s="408"/>
      <c r="AV309" s="408"/>
      <c r="AW309" s="408"/>
      <c r="AX309" s="408"/>
      <c r="AY309" s="408"/>
      <c r="AZ309" s="408"/>
      <c r="BA309" s="408"/>
      <c r="BB309" s="408"/>
      <c r="BC309" s="408"/>
      <c r="BD309" s="408"/>
      <c r="BE309" s="408"/>
      <c r="BF309" s="408"/>
      <c r="BG309" s="408"/>
      <c r="BH309" s="408"/>
      <c r="BI309" s="408"/>
      <c r="BJ309" s="408"/>
      <c r="BK309" s="408"/>
      <c r="BL309" s="408"/>
      <c r="BM309" s="408"/>
      <c r="BN309" s="408"/>
      <c r="BO309" s="408"/>
      <c r="BP309" s="408"/>
      <c r="BQ309" s="408"/>
      <c r="BR309" s="408"/>
      <c r="BS309" s="408"/>
      <c r="BT309" s="408"/>
      <c r="BU309" s="408"/>
      <c r="BV309" s="408"/>
      <c r="BW309" s="408"/>
      <c r="BX309" s="408"/>
      <c r="BY309" s="408"/>
      <c r="BZ309" s="408"/>
      <c r="CA309" s="408"/>
      <c r="CB309" s="408"/>
      <c r="CC309" s="408"/>
      <c r="CD309" s="408"/>
      <c r="CE309" s="408"/>
      <c r="CF309" s="408"/>
      <c r="CG309" s="408"/>
      <c r="CH309" s="408"/>
      <c r="CI309" s="408"/>
      <c r="CJ309" s="408"/>
      <c r="CK309" s="408"/>
      <c r="CL309" s="408"/>
      <c r="CM309" s="408"/>
      <c r="CN309" s="408"/>
    </row>
    <row r="310">
      <c r="A310" s="408"/>
      <c r="B310" s="408"/>
      <c r="C310" s="408"/>
      <c r="D310" s="408"/>
      <c r="E310" s="408"/>
      <c r="F310" s="408"/>
      <c r="G310" s="408"/>
      <c r="H310" s="408"/>
      <c r="I310" s="408"/>
      <c r="J310" s="408"/>
      <c r="K310" s="408"/>
      <c r="L310" s="408"/>
      <c r="M310" s="408"/>
      <c r="N310" s="408"/>
      <c r="O310" s="408"/>
      <c r="P310" s="408"/>
      <c r="Q310" s="408"/>
      <c r="R310" s="408"/>
      <c r="S310" s="408"/>
      <c r="T310" s="408"/>
      <c r="U310" s="408"/>
      <c r="V310" s="408"/>
      <c r="W310" s="408"/>
      <c r="X310" s="408"/>
      <c r="Y310" s="408"/>
      <c r="Z310" s="408"/>
      <c r="AA310" s="408"/>
      <c r="AB310" s="408"/>
      <c r="AC310" s="408"/>
      <c r="AD310" s="408"/>
      <c r="AE310" s="408"/>
      <c r="AF310" s="408"/>
      <c r="AG310" s="408"/>
      <c r="AH310" s="408"/>
      <c r="AI310" s="408"/>
      <c r="AJ310" s="408"/>
      <c r="AK310" s="408"/>
      <c r="AL310" s="408"/>
      <c r="AM310" s="408"/>
      <c r="AN310" s="408"/>
      <c r="AO310" s="408"/>
      <c r="AP310" s="408"/>
      <c r="AQ310" s="408"/>
      <c r="AR310" s="408"/>
      <c r="AS310" s="408"/>
      <c r="AT310" s="408"/>
      <c r="AU310" s="408"/>
      <c r="AV310" s="408"/>
      <c r="AW310" s="408"/>
      <c r="AX310" s="408"/>
      <c r="AY310" s="408"/>
      <c r="AZ310" s="408"/>
      <c r="BA310" s="408"/>
      <c r="BB310" s="408"/>
      <c r="BC310" s="408"/>
      <c r="BD310" s="408"/>
      <c r="BE310" s="408"/>
      <c r="BF310" s="408"/>
      <c r="BG310" s="408"/>
      <c r="BH310" s="408"/>
      <c r="BI310" s="408"/>
      <c r="BJ310" s="408"/>
      <c r="BK310" s="408"/>
      <c r="BL310" s="408"/>
      <c r="BM310" s="408"/>
      <c r="BN310" s="408"/>
      <c r="BO310" s="408"/>
      <c r="BP310" s="408"/>
      <c r="BQ310" s="408"/>
      <c r="BR310" s="408"/>
      <c r="BS310" s="408"/>
      <c r="BT310" s="408"/>
      <c r="BU310" s="408"/>
      <c r="BV310" s="408"/>
      <c r="BW310" s="408"/>
      <c r="BX310" s="408"/>
      <c r="BY310" s="408"/>
      <c r="BZ310" s="408"/>
      <c r="CA310" s="408"/>
      <c r="CB310" s="408"/>
      <c r="CC310" s="408"/>
      <c r="CD310" s="408"/>
      <c r="CE310" s="408"/>
      <c r="CF310" s="408"/>
      <c r="CG310" s="408"/>
      <c r="CH310" s="408"/>
      <c r="CI310" s="408"/>
      <c r="CJ310" s="408"/>
      <c r="CK310" s="408"/>
      <c r="CL310" s="408"/>
      <c r="CM310" s="408"/>
      <c r="CN310" s="408"/>
    </row>
    <row r="311">
      <c r="A311" s="408"/>
      <c r="B311" s="408"/>
      <c r="C311" s="408"/>
      <c r="D311" s="408"/>
      <c r="E311" s="408"/>
      <c r="F311" s="408"/>
      <c r="G311" s="408"/>
      <c r="H311" s="408"/>
      <c r="I311" s="408"/>
      <c r="J311" s="408"/>
      <c r="K311" s="408"/>
      <c r="L311" s="408"/>
      <c r="M311" s="408"/>
      <c r="N311" s="408"/>
      <c r="O311" s="408"/>
      <c r="P311" s="408"/>
      <c r="Q311" s="408"/>
      <c r="R311" s="408"/>
      <c r="S311" s="408"/>
      <c r="T311" s="408"/>
      <c r="U311" s="408"/>
      <c r="V311" s="408"/>
      <c r="W311" s="408"/>
      <c r="X311" s="408"/>
      <c r="Y311" s="408"/>
      <c r="Z311" s="408"/>
      <c r="AA311" s="408"/>
      <c r="AB311" s="408"/>
      <c r="AC311" s="408"/>
      <c r="AD311" s="408"/>
      <c r="AE311" s="408"/>
      <c r="AF311" s="408"/>
      <c r="AG311" s="408"/>
      <c r="AH311" s="408"/>
      <c r="AI311" s="408"/>
      <c r="AJ311" s="408"/>
      <c r="AK311" s="408"/>
      <c r="AL311" s="408"/>
      <c r="AM311" s="408"/>
      <c r="AN311" s="408"/>
      <c r="AO311" s="408"/>
      <c r="AP311" s="408"/>
      <c r="AQ311" s="408"/>
      <c r="AR311" s="408"/>
      <c r="AS311" s="408"/>
      <c r="AT311" s="408"/>
      <c r="AU311" s="408"/>
      <c r="AV311" s="408"/>
      <c r="AW311" s="408"/>
      <c r="AX311" s="408"/>
      <c r="AY311" s="408"/>
      <c r="AZ311" s="408"/>
      <c r="BA311" s="408"/>
      <c r="BB311" s="408"/>
      <c r="BC311" s="408"/>
      <c r="BD311" s="408"/>
      <c r="BE311" s="408"/>
      <c r="BF311" s="408"/>
      <c r="BG311" s="408"/>
      <c r="BH311" s="408"/>
      <c r="BI311" s="408"/>
      <c r="BJ311" s="408"/>
      <c r="BK311" s="408"/>
      <c r="BL311" s="408"/>
      <c r="BM311" s="408"/>
      <c r="BN311" s="408"/>
      <c r="BO311" s="408"/>
      <c r="BP311" s="408"/>
      <c r="BQ311" s="408"/>
      <c r="BR311" s="408"/>
      <c r="BS311" s="408"/>
      <c r="BT311" s="408"/>
      <c r="BU311" s="408"/>
      <c r="BV311" s="408"/>
      <c r="BW311" s="408"/>
      <c r="BX311" s="408"/>
      <c r="BY311" s="408"/>
      <c r="BZ311" s="408"/>
      <c r="CA311" s="408"/>
      <c r="CB311" s="408"/>
      <c r="CC311" s="408"/>
      <c r="CD311" s="408"/>
      <c r="CE311" s="408"/>
      <c r="CF311" s="408"/>
      <c r="CG311" s="408"/>
      <c r="CH311" s="408"/>
      <c r="CI311" s="408"/>
      <c r="CJ311" s="408"/>
      <c r="CK311" s="408"/>
      <c r="CL311" s="408"/>
      <c r="CM311" s="408"/>
      <c r="CN311" s="408"/>
    </row>
    <row r="312">
      <c r="A312" s="408"/>
      <c r="B312" s="408"/>
      <c r="C312" s="408"/>
      <c r="D312" s="408"/>
      <c r="E312" s="408"/>
      <c r="F312" s="408"/>
      <c r="G312" s="408"/>
      <c r="H312" s="408"/>
      <c r="I312" s="408"/>
      <c r="J312" s="408"/>
      <c r="K312" s="408"/>
      <c r="L312" s="408"/>
      <c r="M312" s="408"/>
      <c r="N312" s="408"/>
      <c r="O312" s="408"/>
      <c r="P312" s="408"/>
      <c r="Q312" s="408"/>
      <c r="R312" s="408"/>
      <c r="S312" s="408"/>
      <c r="T312" s="408"/>
      <c r="U312" s="408"/>
      <c r="V312" s="408"/>
      <c r="W312" s="408"/>
      <c r="X312" s="408"/>
      <c r="Y312" s="408"/>
      <c r="Z312" s="408"/>
      <c r="AA312" s="408"/>
      <c r="AB312" s="408"/>
      <c r="AC312" s="408"/>
      <c r="AD312" s="408"/>
      <c r="AE312" s="408"/>
      <c r="AF312" s="408"/>
      <c r="AG312" s="408"/>
      <c r="AH312" s="408"/>
      <c r="AI312" s="408"/>
      <c r="AJ312" s="408"/>
      <c r="AK312" s="408"/>
      <c r="AL312" s="408"/>
      <c r="AM312" s="408"/>
      <c r="AN312" s="408"/>
      <c r="AO312" s="408"/>
      <c r="AP312" s="408"/>
      <c r="AQ312" s="408"/>
      <c r="AR312" s="408"/>
      <c r="AS312" s="408"/>
      <c r="AT312" s="408"/>
      <c r="AU312" s="408"/>
      <c r="AV312" s="408"/>
      <c r="AW312" s="408"/>
      <c r="AX312" s="408"/>
      <c r="AY312" s="408"/>
      <c r="AZ312" s="408"/>
      <c r="BA312" s="408"/>
      <c r="BB312" s="408"/>
      <c r="BC312" s="408"/>
      <c r="BD312" s="408"/>
      <c r="BE312" s="408"/>
      <c r="BF312" s="408"/>
      <c r="BG312" s="408"/>
      <c r="BH312" s="408"/>
      <c r="BI312" s="408"/>
      <c r="BJ312" s="408"/>
      <c r="BK312" s="408"/>
      <c r="BL312" s="408"/>
      <c r="BM312" s="408"/>
      <c r="BN312" s="408"/>
      <c r="BO312" s="408"/>
      <c r="BP312" s="408"/>
      <c r="BQ312" s="408"/>
      <c r="BR312" s="408"/>
      <c r="BS312" s="408"/>
      <c r="BT312" s="408"/>
      <c r="BU312" s="408"/>
      <c r="BV312" s="408"/>
      <c r="BW312" s="408"/>
      <c r="BX312" s="408"/>
      <c r="BY312" s="408"/>
      <c r="BZ312" s="408"/>
      <c r="CA312" s="408"/>
      <c r="CB312" s="408"/>
      <c r="CC312" s="408"/>
      <c r="CD312" s="408"/>
      <c r="CE312" s="408"/>
      <c r="CF312" s="408"/>
      <c r="CG312" s="408"/>
      <c r="CH312" s="408"/>
      <c r="CI312" s="408"/>
      <c r="CJ312" s="408"/>
      <c r="CK312" s="408"/>
      <c r="CL312" s="408"/>
      <c r="CM312" s="408"/>
      <c r="CN312" s="408"/>
    </row>
    <row r="313">
      <c r="A313" s="408"/>
      <c r="B313" s="408"/>
      <c r="C313" s="408"/>
      <c r="D313" s="408"/>
      <c r="E313" s="408"/>
      <c r="F313" s="408"/>
      <c r="G313" s="408"/>
      <c r="H313" s="408"/>
      <c r="I313" s="408"/>
      <c r="J313" s="408"/>
      <c r="K313" s="408"/>
      <c r="L313" s="408"/>
      <c r="M313" s="408"/>
      <c r="N313" s="408"/>
      <c r="O313" s="408"/>
      <c r="P313" s="408"/>
      <c r="Q313" s="408"/>
      <c r="R313" s="408"/>
      <c r="S313" s="408"/>
      <c r="T313" s="408"/>
      <c r="U313" s="408"/>
      <c r="V313" s="408"/>
      <c r="W313" s="408"/>
      <c r="X313" s="408"/>
      <c r="Y313" s="408"/>
      <c r="Z313" s="408"/>
      <c r="AA313" s="408"/>
      <c r="AB313" s="408"/>
      <c r="AC313" s="408"/>
      <c r="AD313" s="408"/>
      <c r="AE313" s="408"/>
      <c r="AF313" s="408"/>
      <c r="AG313" s="408"/>
      <c r="AH313" s="408"/>
      <c r="AI313" s="408"/>
      <c r="AJ313" s="408"/>
      <c r="AK313" s="408"/>
      <c r="AL313" s="408"/>
      <c r="AM313" s="408"/>
      <c r="AN313" s="408"/>
      <c r="AO313" s="408"/>
      <c r="AP313" s="408"/>
      <c r="AQ313" s="408"/>
      <c r="AR313" s="408"/>
      <c r="AS313" s="408"/>
      <c r="AT313" s="408"/>
      <c r="AU313" s="408"/>
      <c r="AV313" s="408"/>
      <c r="AW313" s="408"/>
      <c r="AX313" s="408"/>
      <c r="AY313" s="408"/>
      <c r="AZ313" s="408"/>
      <c r="BA313" s="408"/>
      <c r="BB313" s="408"/>
      <c r="BC313" s="408"/>
      <c r="BD313" s="408"/>
      <c r="BE313" s="408"/>
      <c r="BF313" s="408"/>
      <c r="BG313" s="408"/>
      <c r="BH313" s="408"/>
      <c r="BI313" s="408"/>
      <c r="BJ313" s="408"/>
      <c r="BK313" s="408"/>
      <c r="BL313" s="408"/>
      <c r="BM313" s="408"/>
      <c r="BN313" s="408"/>
      <c r="BO313" s="408"/>
      <c r="BP313" s="408"/>
      <c r="BQ313" s="408"/>
      <c r="BR313" s="408"/>
      <c r="BS313" s="408"/>
      <c r="BT313" s="408"/>
      <c r="BU313" s="408"/>
      <c r="BV313" s="408"/>
      <c r="BW313" s="408"/>
      <c r="BX313" s="408"/>
      <c r="BY313" s="408"/>
      <c r="BZ313" s="408"/>
      <c r="CA313" s="408"/>
      <c r="CB313" s="408"/>
      <c r="CC313" s="408"/>
      <c r="CD313" s="408"/>
      <c r="CE313" s="408"/>
      <c r="CF313" s="408"/>
      <c r="CG313" s="408"/>
      <c r="CH313" s="408"/>
      <c r="CI313" s="408"/>
      <c r="CJ313" s="408"/>
      <c r="CK313" s="408"/>
      <c r="CL313" s="408"/>
      <c r="CM313" s="408"/>
      <c r="CN313" s="408"/>
    </row>
    <row r="314">
      <c r="A314" s="408"/>
      <c r="B314" s="408"/>
      <c r="C314" s="408"/>
      <c r="D314" s="408"/>
      <c r="E314" s="408"/>
      <c r="F314" s="408"/>
      <c r="G314" s="408"/>
      <c r="H314" s="408"/>
      <c r="I314" s="408"/>
      <c r="J314" s="408"/>
      <c r="K314" s="408"/>
      <c r="L314" s="408"/>
      <c r="M314" s="408"/>
      <c r="N314" s="408"/>
      <c r="O314" s="408"/>
      <c r="P314" s="408"/>
      <c r="Q314" s="408"/>
      <c r="R314" s="408"/>
      <c r="S314" s="408"/>
      <c r="T314" s="408"/>
      <c r="U314" s="408"/>
      <c r="V314" s="408"/>
      <c r="W314" s="408"/>
      <c r="X314" s="408"/>
      <c r="Y314" s="408"/>
      <c r="Z314" s="408"/>
      <c r="AA314" s="408"/>
      <c r="AB314" s="408"/>
      <c r="AC314" s="408"/>
      <c r="AD314" s="408"/>
      <c r="AE314" s="408"/>
      <c r="AF314" s="408"/>
      <c r="AG314" s="408"/>
      <c r="AH314" s="408"/>
      <c r="AI314" s="408"/>
      <c r="AJ314" s="408"/>
      <c r="AK314" s="408"/>
      <c r="AL314" s="408"/>
      <c r="AM314" s="408"/>
      <c r="AN314" s="408"/>
      <c r="AO314" s="408"/>
      <c r="AP314" s="408"/>
      <c r="AQ314" s="408"/>
      <c r="AR314" s="408"/>
      <c r="AS314" s="408"/>
      <c r="AT314" s="408"/>
      <c r="AU314" s="408"/>
      <c r="AV314" s="408"/>
      <c r="AW314" s="408"/>
      <c r="AX314" s="408"/>
      <c r="AY314" s="408"/>
      <c r="AZ314" s="408"/>
      <c r="BA314" s="408"/>
      <c r="BB314" s="408"/>
      <c r="BC314" s="408"/>
      <c r="BD314" s="408"/>
      <c r="BE314" s="408"/>
      <c r="BF314" s="408"/>
      <c r="BG314" s="408"/>
      <c r="BH314" s="408"/>
      <c r="BI314" s="408"/>
      <c r="BJ314" s="408"/>
      <c r="BK314" s="408"/>
      <c r="BL314" s="408"/>
      <c r="BM314" s="408"/>
      <c r="BN314" s="408"/>
      <c r="BO314" s="408"/>
      <c r="BP314" s="408"/>
      <c r="BQ314" s="408"/>
      <c r="BR314" s="408"/>
      <c r="BS314" s="408"/>
      <c r="BT314" s="408"/>
      <c r="BU314" s="408"/>
      <c r="BV314" s="408"/>
      <c r="BW314" s="408"/>
      <c r="BX314" s="408"/>
      <c r="BY314" s="408"/>
      <c r="BZ314" s="408"/>
      <c r="CA314" s="408"/>
      <c r="CB314" s="408"/>
      <c r="CC314" s="408"/>
      <c r="CD314" s="408"/>
      <c r="CE314" s="408"/>
      <c r="CF314" s="408"/>
      <c r="CG314" s="408"/>
      <c r="CH314" s="408"/>
      <c r="CI314" s="408"/>
      <c r="CJ314" s="408"/>
      <c r="CK314" s="408"/>
      <c r="CL314" s="408"/>
      <c r="CM314" s="408"/>
      <c r="CN314" s="408"/>
    </row>
    <row r="315">
      <c r="A315" s="408"/>
      <c r="B315" s="408"/>
      <c r="C315" s="408"/>
      <c r="D315" s="408"/>
      <c r="E315" s="408"/>
      <c r="F315" s="408"/>
      <c r="G315" s="408"/>
      <c r="H315" s="408"/>
      <c r="I315" s="408"/>
      <c r="J315" s="408"/>
      <c r="K315" s="408"/>
      <c r="L315" s="408"/>
      <c r="M315" s="408"/>
      <c r="N315" s="408"/>
      <c r="O315" s="408"/>
      <c r="P315" s="408"/>
      <c r="Q315" s="408"/>
      <c r="R315" s="408"/>
      <c r="S315" s="408"/>
      <c r="T315" s="408"/>
      <c r="U315" s="408"/>
      <c r="V315" s="408"/>
      <c r="W315" s="408"/>
      <c r="X315" s="408"/>
      <c r="Y315" s="408"/>
      <c r="Z315" s="408"/>
      <c r="AA315" s="408"/>
      <c r="AB315" s="408"/>
      <c r="AC315" s="408"/>
      <c r="AD315" s="408"/>
      <c r="AE315" s="408"/>
      <c r="AF315" s="408"/>
      <c r="AG315" s="408"/>
      <c r="AH315" s="408"/>
      <c r="AI315" s="408"/>
      <c r="AJ315" s="408"/>
      <c r="AK315" s="408"/>
      <c r="AL315" s="408"/>
      <c r="AM315" s="408"/>
      <c r="AN315" s="408"/>
      <c r="AO315" s="408"/>
      <c r="AP315" s="408"/>
      <c r="AQ315" s="408"/>
      <c r="AR315" s="408"/>
      <c r="AS315" s="408"/>
      <c r="AT315" s="408"/>
      <c r="AU315" s="408"/>
      <c r="AV315" s="408"/>
      <c r="AW315" s="408"/>
      <c r="AX315" s="408"/>
      <c r="AY315" s="408"/>
      <c r="AZ315" s="408"/>
      <c r="BA315" s="408"/>
      <c r="BB315" s="408"/>
      <c r="BC315" s="408"/>
      <c r="BD315" s="408"/>
      <c r="BE315" s="408"/>
      <c r="BF315" s="408"/>
      <c r="BG315" s="408"/>
      <c r="BH315" s="408"/>
      <c r="BI315" s="408"/>
      <c r="BJ315" s="408"/>
      <c r="BK315" s="408"/>
      <c r="BL315" s="408"/>
      <c r="BM315" s="408"/>
      <c r="BN315" s="408"/>
      <c r="BO315" s="408"/>
      <c r="BP315" s="408"/>
      <c r="BQ315" s="408"/>
      <c r="BR315" s="408"/>
      <c r="BS315" s="408"/>
      <c r="BT315" s="408"/>
      <c r="BU315" s="408"/>
      <c r="BV315" s="408"/>
      <c r="BW315" s="408"/>
      <c r="BX315" s="408"/>
      <c r="BY315" s="408"/>
      <c r="BZ315" s="408"/>
      <c r="CA315" s="408"/>
      <c r="CB315" s="408"/>
      <c r="CC315" s="408"/>
      <c r="CD315" s="408"/>
      <c r="CE315" s="408"/>
      <c r="CF315" s="408"/>
      <c r="CG315" s="408"/>
      <c r="CH315" s="408"/>
      <c r="CI315" s="408"/>
      <c r="CJ315" s="408"/>
      <c r="CK315" s="408"/>
      <c r="CL315" s="408"/>
      <c r="CM315" s="408"/>
      <c r="CN315" s="408"/>
    </row>
    <row r="316">
      <c r="A316" s="408"/>
      <c r="B316" s="408"/>
      <c r="C316" s="408"/>
      <c r="D316" s="408"/>
      <c r="E316" s="408"/>
      <c r="F316" s="408"/>
      <c r="G316" s="408"/>
      <c r="H316" s="408"/>
      <c r="I316" s="408"/>
      <c r="J316" s="408"/>
      <c r="K316" s="408"/>
      <c r="L316" s="408"/>
      <c r="M316" s="408"/>
      <c r="N316" s="408"/>
      <c r="O316" s="408"/>
      <c r="P316" s="408"/>
      <c r="Q316" s="408"/>
      <c r="R316" s="408"/>
      <c r="S316" s="408"/>
      <c r="T316" s="408"/>
      <c r="U316" s="408"/>
      <c r="V316" s="408"/>
      <c r="W316" s="408"/>
      <c r="X316" s="408"/>
      <c r="Y316" s="408"/>
      <c r="Z316" s="408"/>
      <c r="AA316" s="408"/>
      <c r="AB316" s="408"/>
      <c r="AC316" s="408"/>
      <c r="AD316" s="408"/>
      <c r="AE316" s="408"/>
      <c r="AF316" s="408"/>
      <c r="AG316" s="408"/>
      <c r="AH316" s="408"/>
      <c r="AI316" s="408"/>
      <c r="AJ316" s="408"/>
      <c r="AK316" s="408"/>
      <c r="AL316" s="408"/>
      <c r="AM316" s="408"/>
      <c r="AN316" s="408"/>
      <c r="AO316" s="408"/>
      <c r="AP316" s="408"/>
      <c r="AQ316" s="408"/>
      <c r="AR316" s="408"/>
      <c r="AS316" s="408"/>
      <c r="AT316" s="408"/>
      <c r="AU316" s="408"/>
      <c r="AV316" s="408"/>
      <c r="AW316" s="408"/>
      <c r="AX316" s="408"/>
      <c r="AY316" s="408"/>
      <c r="AZ316" s="408"/>
      <c r="BA316" s="408"/>
      <c r="BB316" s="408"/>
      <c r="BC316" s="408"/>
      <c r="BD316" s="408"/>
      <c r="BE316" s="408"/>
      <c r="BF316" s="408"/>
      <c r="BG316" s="408"/>
      <c r="BH316" s="408"/>
      <c r="BI316" s="408"/>
      <c r="BJ316" s="408"/>
      <c r="BK316" s="408"/>
      <c r="BL316" s="408"/>
      <c r="BM316" s="408"/>
      <c r="BN316" s="408"/>
      <c r="BO316" s="408"/>
      <c r="BP316" s="408"/>
      <c r="BQ316" s="408"/>
      <c r="BR316" s="408"/>
      <c r="BS316" s="408"/>
      <c r="BT316" s="408"/>
      <c r="BU316" s="408"/>
      <c r="BV316" s="408"/>
      <c r="BW316" s="408"/>
      <c r="BX316" s="408"/>
      <c r="BY316" s="408"/>
      <c r="BZ316" s="408"/>
      <c r="CA316" s="408"/>
      <c r="CB316" s="408"/>
      <c r="CC316" s="408"/>
      <c r="CD316" s="408"/>
      <c r="CE316" s="408"/>
      <c r="CF316" s="408"/>
      <c r="CG316" s="408"/>
      <c r="CH316" s="408"/>
      <c r="CI316" s="408"/>
      <c r="CJ316" s="408"/>
      <c r="CK316" s="408"/>
      <c r="CL316" s="408"/>
      <c r="CM316" s="408"/>
      <c r="CN316" s="408"/>
    </row>
    <row r="317">
      <c r="A317" s="408"/>
      <c r="B317" s="408"/>
      <c r="C317" s="408"/>
      <c r="D317" s="408"/>
      <c r="E317" s="408"/>
      <c r="F317" s="408"/>
      <c r="G317" s="408"/>
      <c r="H317" s="408"/>
      <c r="I317" s="408"/>
      <c r="J317" s="408"/>
      <c r="K317" s="408"/>
      <c r="L317" s="408"/>
      <c r="M317" s="408"/>
      <c r="N317" s="408"/>
      <c r="O317" s="408"/>
      <c r="P317" s="408"/>
      <c r="Q317" s="408"/>
      <c r="R317" s="408"/>
      <c r="S317" s="408"/>
      <c r="T317" s="408"/>
      <c r="U317" s="408"/>
      <c r="V317" s="408"/>
      <c r="W317" s="408"/>
      <c r="X317" s="408"/>
      <c r="Y317" s="408"/>
      <c r="Z317" s="408"/>
      <c r="AA317" s="408"/>
      <c r="AB317" s="408"/>
      <c r="AC317" s="408"/>
      <c r="AD317" s="408"/>
      <c r="AE317" s="408"/>
      <c r="AF317" s="408"/>
      <c r="AG317" s="408"/>
      <c r="AH317" s="408"/>
      <c r="AI317" s="408"/>
      <c r="AJ317" s="408"/>
      <c r="AK317" s="408"/>
      <c r="AL317" s="408"/>
      <c r="AM317" s="408"/>
      <c r="AN317" s="408"/>
      <c r="AO317" s="408"/>
      <c r="AP317" s="408"/>
      <c r="AQ317" s="408"/>
      <c r="AR317" s="408"/>
      <c r="AS317" s="408"/>
      <c r="AT317" s="408"/>
      <c r="AU317" s="408"/>
      <c r="AV317" s="408"/>
      <c r="AW317" s="408"/>
      <c r="AX317" s="408"/>
      <c r="AY317" s="408"/>
      <c r="AZ317" s="408"/>
      <c r="BA317" s="408"/>
      <c r="BB317" s="408"/>
      <c r="BC317" s="408"/>
      <c r="BD317" s="408"/>
      <c r="BE317" s="408"/>
      <c r="BF317" s="408"/>
      <c r="BG317" s="408"/>
      <c r="BH317" s="408"/>
      <c r="BI317" s="408"/>
      <c r="BJ317" s="408"/>
      <c r="BK317" s="408"/>
      <c r="BL317" s="408"/>
      <c r="BM317" s="408"/>
      <c r="BN317" s="408"/>
      <c r="BO317" s="408"/>
      <c r="BP317" s="408"/>
      <c r="BQ317" s="408"/>
      <c r="BR317" s="408"/>
      <c r="BS317" s="408"/>
      <c r="BT317" s="408"/>
      <c r="BU317" s="408"/>
      <c r="BV317" s="408"/>
      <c r="BW317" s="408"/>
      <c r="BX317" s="408"/>
      <c r="BY317" s="408"/>
      <c r="BZ317" s="408"/>
      <c r="CA317" s="408"/>
      <c r="CB317" s="408"/>
      <c r="CC317" s="408"/>
      <c r="CD317" s="408"/>
      <c r="CE317" s="408"/>
      <c r="CF317" s="408"/>
      <c r="CG317" s="408"/>
      <c r="CH317" s="408"/>
      <c r="CI317" s="408"/>
      <c r="CJ317" s="408"/>
      <c r="CK317" s="408"/>
      <c r="CL317" s="408"/>
      <c r="CM317" s="408"/>
      <c r="CN317" s="408"/>
    </row>
    <row r="318">
      <c r="A318" s="408"/>
      <c r="B318" s="408"/>
      <c r="C318" s="408"/>
      <c r="D318" s="408"/>
      <c r="E318" s="408"/>
      <c r="F318" s="408"/>
      <c r="G318" s="408"/>
      <c r="H318" s="408"/>
      <c r="I318" s="408"/>
      <c r="J318" s="408"/>
      <c r="K318" s="408"/>
      <c r="L318" s="408"/>
      <c r="M318" s="408"/>
      <c r="N318" s="408"/>
      <c r="O318" s="408"/>
      <c r="P318" s="408"/>
      <c r="Q318" s="408"/>
      <c r="R318" s="408"/>
      <c r="S318" s="408"/>
      <c r="T318" s="408"/>
      <c r="U318" s="408"/>
      <c r="V318" s="408"/>
      <c r="W318" s="408"/>
      <c r="X318" s="408"/>
      <c r="Y318" s="408"/>
      <c r="Z318" s="408"/>
      <c r="AA318" s="408"/>
      <c r="AB318" s="408"/>
      <c r="AC318" s="408"/>
      <c r="AD318" s="408"/>
      <c r="AE318" s="408"/>
      <c r="AF318" s="408"/>
      <c r="AG318" s="408"/>
      <c r="AH318" s="408"/>
      <c r="AI318" s="408"/>
      <c r="AJ318" s="408"/>
      <c r="AK318" s="408"/>
      <c r="AL318" s="408"/>
      <c r="AM318" s="408"/>
      <c r="AN318" s="408"/>
      <c r="AO318" s="408"/>
      <c r="AP318" s="408"/>
      <c r="AQ318" s="408"/>
      <c r="AR318" s="408"/>
      <c r="AS318" s="408"/>
      <c r="AT318" s="408"/>
      <c r="AU318" s="408"/>
      <c r="AV318" s="408"/>
      <c r="AW318" s="408"/>
      <c r="AX318" s="408"/>
      <c r="AY318" s="408"/>
      <c r="AZ318" s="408"/>
      <c r="BA318" s="408"/>
      <c r="BB318" s="408"/>
      <c r="BC318" s="408"/>
      <c r="BD318" s="408"/>
      <c r="BE318" s="408"/>
      <c r="BF318" s="408"/>
      <c r="BG318" s="408"/>
      <c r="BH318" s="408"/>
      <c r="BI318" s="408"/>
      <c r="BJ318" s="408"/>
      <c r="BK318" s="408"/>
      <c r="BL318" s="408"/>
      <c r="BM318" s="408"/>
      <c r="BN318" s="408"/>
      <c r="BO318" s="408"/>
      <c r="BP318" s="408"/>
      <c r="BQ318" s="408"/>
      <c r="BR318" s="408"/>
      <c r="BS318" s="408"/>
      <c r="BT318" s="408"/>
      <c r="BU318" s="408"/>
      <c r="BV318" s="408"/>
      <c r="BW318" s="408"/>
      <c r="BX318" s="408"/>
      <c r="BY318" s="408"/>
      <c r="BZ318" s="408"/>
      <c r="CA318" s="408"/>
      <c r="CB318" s="408"/>
      <c r="CC318" s="408"/>
      <c r="CD318" s="408"/>
      <c r="CE318" s="408"/>
      <c r="CF318" s="408"/>
      <c r="CG318" s="408"/>
      <c r="CH318" s="408"/>
      <c r="CI318" s="408"/>
      <c r="CJ318" s="408"/>
      <c r="CK318" s="408"/>
      <c r="CL318" s="408"/>
      <c r="CM318" s="408"/>
      <c r="CN318" s="408"/>
    </row>
    <row r="319">
      <c r="A319" s="408"/>
      <c r="B319" s="408"/>
      <c r="C319" s="408"/>
      <c r="D319" s="408"/>
      <c r="E319" s="408"/>
      <c r="F319" s="408"/>
      <c r="G319" s="408"/>
      <c r="H319" s="408"/>
      <c r="I319" s="408"/>
      <c r="J319" s="408"/>
      <c r="K319" s="408"/>
      <c r="L319" s="408"/>
      <c r="M319" s="408"/>
      <c r="N319" s="408"/>
      <c r="O319" s="408"/>
      <c r="P319" s="408"/>
      <c r="Q319" s="408"/>
      <c r="R319" s="408"/>
      <c r="S319" s="408"/>
      <c r="T319" s="408"/>
      <c r="U319" s="408"/>
      <c r="V319" s="408"/>
      <c r="W319" s="408"/>
      <c r="X319" s="408"/>
      <c r="Y319" s="408"/>
      <c r="Z319" s="408"/>
      <c r="AA319" s="408"/>
      <c r="AB319" s="408"/>
      <c r="AC319" s="408"/>
      <c r="AD319" s="408"/>
      <c r="AE319" s="408"/>
      <c r="AF319" s="408"/>
      <c r="AG319" s="408"/>
      <c r="AH319" s="408"/>
      <c r="AI319" s="408"/>
      <c r="AJ319" s="408"/>
      <c r="AK319" s="408"/>
      <c r="AL319" s="408"/>
      <c r="AM319" s="408"/>
      <c r="AN319" s="408"/>
      <c r="AO319" s="408"/>
      <c r="AP319" s="408"/>
      <c r="AQ319" s="408"/>
      <c r="AR319" s="408"/>
      <c r="AS319" s="408"/>
      <c r="AT319" s="408"/>
      <c r="AU319" s="408"/>
      <c r="AV319" s="408"/>
      <c r="AW319" s="408"/>
      <c r="AX319" s="408"/>
      <c r="AY319" s="408"/>
      <c r="AZ319" s="408"/>
      <c r="BA319" s="408"/>
      <c r="BB319" s="408"/>
      <c r="BC319" s="408"/>
      <c r="BD319" s="408"/>
      <c r="BE319" s="408"/>
      <c r="BF319" s="408"/>
      <c r="BG319" s="408"/>
      <c r="BH319" s="408"/>
      <c r="BI319" s="408"/>
      <c r="BJ319" s="408"/>
      <c r="BK319" s="408"/>
      <c r="BL319" s="408"/>
      <c r="BM319" s="408"/>
      <c r="BN319" s="408"/>
      <c r="BO319" s="408"/>
      <c r="BP319" s="408"/>
      <c r="BQ319" s="408"/>
      <c r="BR319" s="408"/>
      <c r="BS319" s="408"/>
      <c r="BT319" s="408"/>
      <c r="BU319" s="408"/>
      <c r="BV319" s="408"/>
      <c r="BW319" s="408"/>
      <c r="BX319" s="408"/>
      <c r="BY319" s="408"/>
      <c r="BZ319" s="408"/>
      <c r="CA319" s="408"/>
      <c r="CB319" s="408"/>
      <c r="CC319" s="408"/>
      <c r="CD319" s="408"/>
      <c r="CE319" s="408"/>
      <c r="CF319" s="408"/>
      <c r="CG319" s="408"/>
      <c r="CH319" s="408"/>
      <c r="CI319" s="408"/>
      <c r="CJ319" s="408"/>
      <c r="CK319" s="408"/>
      <c r="CL319" s="408"/>
      <c r="CM319" s="408"/>
      <c r="CN319" s="408"/>
    </row>
    <row r="320">
      <c r="A320" s="408"/>
      <c r="B320" s="408"/>
      <c r="C320" s="408"/>
      <c r="D320" s="408"/>
      <c r="E320" s="408"/>
      <c r="F320" s="408"/>
      <c r="G320" s="408"/>
      <c r="H320" s="408"/>
      <c r="I320" s="408"/>
      <c r="J320" s="408"/>
      <c r="K320" s="408"/>
      <c r="L320" s="408"/>
      <c r="M320" s="408"/>
      <c r="N320" s="408"/>
      <c r="O320" s="408"/>
      <c r="P320" s="408"/>
      <c r="Q320" s="408"/>
      <c r="R320" s="408"/>
      <c r="S320" s="408"/>
      <c r="T320" s="408"/>
      <c r="U320" s="408"/>
      <c r="V320" s="408"/>
      <c r="W320" s="408"/>
      <c r="X320" s="408"/>
      <c r="Y320" s="408"/>
      <c r="Z320" s="408"/>
      <c r="AA320" s="408"/>
      <c r="AB320" s="408"/>
      <c r="AC320" s="408"/>
      <c r="AD320" s="408"/>
      <c r="AE320" s="408"/>
      <c r="AF320" s="408"/>
      <c r="AG320" s="408"/>
      <c r="AH320" s="408"/>
      <c r="AI320" s="408"/>
      <c r="AJ320" s="408"/>
      <c r="AK320" s="408"/>
      <c r="AL320" s="408"/>
      <c r="AM320" s="408"/>
      <c r="AN320" s="408"/>
      <c r="AO320" s="408"/>
      <c r="AP320" s="408"/>
      <c r="AQ320" s="408"/>
      <c r="AR320" s="408"/>
      <c r="AS320" s="408"/>
      <c r="AT320" s="408"/>
      <c r="AU320" s="408"/>
      <c r="AV320" s="408"/>
      <c r="AW320" s="408"/>
      <c r="AX320" s="408"/>
      <c r="AY320" s="408"/>
      <c r="AZ320" s="408"/>
      <c r="BA320" s="408"/>
      <c r="BB320" s="408"/>
      <c r="BC320" s="408"/>
      <c r="BD320" s="408"/>
      <c r="BE320" s="408"/>
      <c r="BF320" s="408"/>
      <c r="BG320" s="408"/>
      <c r="BH320" s="408"/>
      <c r="BI320" s="408"/>
      <c r="BJ320" s="408"/>
      <c r="BK320" s="408"/>
      <c r="BL320" s="408"/>
      <c r="BM320" s="408"/>
      <c r="BN320" s="408"/>
      <c r="BO320" s="408"/>
      <c r="BP320" s="408"/>
      <c r="BQ320" s="408"/>
      <c r="BR320" s="408"/>
      <c r="BS320" s="408"/>
      <c r="BT320" s="408"/>
      <c r="BU320" s="408"/>
      <c r="BV320" s="408"/>
      <c r="BW320" s="408"/>
      <c r="BX320" s="408"/>
      <c r="BY320" s="408"/>
      <c r="BZ320" s="408"/>
      <c r="CA320" s="408"/>
      <c r="CB320" s="408"/>
      <c r="CC320" s="408"/>
      <c r="CD320" s="408"/>
      <c r="CE320" s="408"/>
      <c r="CF320" s="408"/>
      <c r="CG320" s="408"/>
      <c r="CH320" s="408"/>
      <c r="CI320" s="408"/>
      <c r="CJ320" s="408"/>
      <c r="CK320" s="408"/>
      <c r="CL320" s="408"/>
      <c r="CM320" s="408"/>
      <c r="CN320" s="408"/>
    </row>
    <row r="321">
      <c r="A321" s="408"/>
      <c r="B321" s="408"/>
      <c r="C321" s="408"/>
      <c r="D321" s="408"/>
      <c r="E321" s="408"/>
      <c r="F321" s="408"/>
      <c r="G321" s="408"/>
      <c r="H321" s="408"/>
      <c r="I321" s="408"/>
      <c r="J321" s="408"/>
      <c r="K321" s="408"/>
      <c r="L321" s="408"/>
      <c r="M321" s="408"/>
      <c r="N321" s="408"/>
      <c r="O321" s="408"/>
      <c r="P321" s="408"/>
      <c r="Q321" s="408"/>
      <c r="R321" s="408"/>
      <c r="S321" s="408"/>
      <c r="T321" s="408"/>
      <c r="U321" s="408"/>
      <c r="V321" s="408"/>
      <c r="W321" s="408"/>
      <c r="X321" s="408"/>
      <c r="Y321" s="408"/>
      <c r="Z321" s="408"/>
      <c r="AA321" s="408"/>
      <c r="AB321" s="408"/>
      <c r="AC321" s="408"/>
      <c r="AD321" s="408"/>
      <c r="AE321" s="408"/>
      <c r="AF321" s="408"/>
      <c r="AG321" s="408"/>
      <c r="AH321" s="408"/>
      <c r="AI321" s="408"/>
      <c r="AJ321" s="408"/>
      <c r="AK321" s="408"/>
      <c r="AL321" s="408"/>
      <c r="AM321" s="408"/>
      <c r="AN321" s="408"/>
      <c r="AO321" s="408"/>
      <c r="AP321" s="408"/>
      <c r="AQ321" s="408"/>
      <c r="AR321" s="408"/>
      <c r="AS321" s="408"/>
      <c r="AT321" s="408"/>
      <c r="AU321" s="408"/>
      <c r="AV321" s="408"/>
      <c r="AW321" s="408"/>
      <c r="AX321" s="408"/>
      <c r="AY321" s="408"/>
      <c r="AZ321" s="408"/>
      <c r="BA321" s="408"/>
      <c r="BB321" s="408"/>
      <c r="BC321" s="408"/>
      <c r="BD321" s="408"/>
      <c r="BE321" s="408"/>
      <c r="BF321" s="408"/>
      <c r="BG321" s="408"/>
      <c r="BH321" s="408"/>
      <c r="BI321" s="408"/>
      <c r="BJ321" s="408"/>
      <c r="BK321" s="408"/>
      <c r="BL321" s="408"/>
      <c r="BM321" s="408"/>
      <c r="BN321" s="408"/>
      <c r="BO321" s="408"/>
      <c r="BP321" s="408"/>
      <c r="BQ321" s="408"/>
      <c r="BR321" s="408"/>
      <c r="BS321" s="408"/>
      <c r="BT321" s="408"/>
      <c r="BU321" s="408"/>
      <c r="BV321" s="408"/>
      <c r="BW321" s="408"/>
      <c r="BX321" s="408"/>
      <c r="BY321" s="408"/>
      <c r="BZ321" s="408"/>
      <c r="CA321" s="408"/>
      <c r="CB321" s="408"/>
      <c r="CC321" s="408"/>
      <c r="CD321" s="408"/>
      <c r="CE321" s="408"/>
      <c r="CF321" s="408"/>
      <c r="CG321" s="408"/>
      <c r="CH321" s="408"/>
      <c r="CI321" s="408"/>
      <c r="CJ321" s="408"/>
      <c r="CK321" s="408"/>
      <c r="CL321" s="408"/>
      <c r="CM321" s="408"/>
      <c r="CN321" s="408"/>
    </row>
    <row r="322">
      <c r="A322" s="408"/>
      <c r="B322" s="408"/>
      <c r="C322" s="408"/>
      <c r="D322" s="408"/>
      <c r="E322" s="408"/>
      <c r="F322" s="408"/>
      <c r="G322" s="408"/>
      <c r="H322" s="408"/>
      <c r="I322" s="408"/>
      <c r="J322" s="408"/>
      <c r="K322" s="408"/>
      <c r="L322" s="408"/>
      <c r="M322" s="408"/>
      <c r="N322" s="408"/>
      <c r="O322" s="408"/>
      <c r="P322" s="408"/>
      <c r="Q322" s="408"/>
      <c r="R322" s="408"/>
      <c r="S322" s="408"/>
      <c r="T322" s="408"/>
      <c r="U322" s="408"/>
      <c r="V322" s="408"/>
      <c r="W322" s="408"/>
      <c r="X322" s="408"/>
      <c r="Y322" s="408"/>
      <c r="Z322" s="408"/>
      <c r="AA322" s="408"/>
      <c r="AB322" s="408"/>
      <c r="AC322" s="408"/>
      <c r="AD322" s="408"/>
      <c r="AE322" s="408"/>
      <c r="AF322" s="408"/>
      <c r="AG322" s="408"/>
      <c r="AH322" s="408"/>
      <c r="AI322" s="408"/>
      <c r="AJ322" s="408"/>
      <c r="AK322" s="408"/>
      <c r="AL322" s="408"/>
      <c r="AM322" s="408"/>
      <c r="AN322" s="408"/>
      <c r="AO322" s="408"/>
      <c r="AP322" s="408"/>
      <c r="AQ322" s="408"/>
      <c r="AR322" s="408"/>
      <c r="AS322" s="408"/>
      <c r="AT322" s="408"/>
      <c r="AU322" s="408"/>
      <c r="AV322" s="408"/>
      <c r="AW322" s="408"/>
      <c r="AX322" s="408"/>
      <c r="AY322" s="408"/>
      <c r="AZ322" s="408"/>
      <c r="BA322" s="408"/>
      <c r="BB322" s="408"/>
      <c r="BC322" s="408"/>
      <c r="BD322" s="408"/>
      <c r="BE322" s="408"/>
      <c r="BF322" s="408"/>
      <c r="BG322" s="408"/>
      <c r="BH322" s="408"/>
      <c r="BI322" s="408"/>
      <c r="BJ322" s="408"/>
      <c r="BK322" s="408"/>
      <c r="BL322" s="408"/>
      <c r="BM322" s="408"/>
      <c r="BN322" s="408"/>
      <c r="BO322" s="408"/>
      <c r="BP322" s="408"/>
      <c r="BQ322" s="408"/>
      <c r="BR322" s="408"/>
      <c r="BS322" s="408"/>
      <c r="BT322" s="408"/>
      <c r="BU322" s="408"/>
      <c r="BV322" s="408"/>
      <c r="BW322" s="408"/>
      <c r="BX322" s="408"/>
      <c r="BY322" s="408"/>
      <c r="BZ322" s="408"/>
      <c r="CA322" s="408"/>
      <c r="CB322" s="408"/>
      <c r="CC322" s="408"/>
      <c r="CD322" s="408"/>
      <c r="CE322" s="408"/>
      <c r="CF322" s="408"/>
      <c r="CG322" s="408"/>
      <c r="CH322" s="408"/>
      <c r="CI322" s="408"/>
      <c r="CJ322" s="408"/>
      <c r="CK322" s="408"/>
      <c r="CL322" s="408"/>
      <c r="CM322" s="408"/>
      <c r="CN322" s="408"/>
    </row>
    <row r="323">
      <c r="A323" s="408"/>
      <c r="B323" s="408"/>
      <c r="C323" s="408"/>
      <c r="D323" s="408"/>
      <c r="E323" s="408"/>
      <c r="F323" s="408"/>
      <c r="G323" s="408"/>
      <c r="H323" s="408"/>
      <c r="I323" s="408"/>
      <c r="J323" s="408"/>
      <c r="K323" s="408"/>
      <c r="L323" s="408"/>
      <c r="M323" s="408"/>
      <c r="N323" s="408"/>
      <c r="O323" s="408"/>
      <c r="P323" s="408"/>
      <c r="Q323" s="408"/>
      <c r="R323" s="408"/>
      <c r="S323" s="408"/>
      <c r="T323" s="408"/>
      <c r="U323" s="408"/>
      <c r="V323" s="408"/>
      <c r="W323" s="408"/>
      <c r="X323" s="408"/>
      <c r="Y323" s="408"/>
      <c r="Z323" s="408"/>
      <c r="AA323" s="408"/>
      <c r="AB323" s="408"/>
      <c r="AC323" s="408"/>
      <c r="AD323" s="408"/>
      <c r="AE323" s="408"/>
      <c r="AF323" s="408"/>
      <c r="AG323" s="408"/>
      <c r="AH323" s="408"/>
      <c r="AI323" s="408"/>
      <c r="AJ323" s="408"/>
      <c r="AK323" s="408"/>
      <c r="AL323" s="408"/>
      <c r="AM323" s="408"/>
      <c r="AN323" s="408"/>
      <c r="AO323" s="408"/>
      <c r="AP323" s="408"/>
      <c r="AQ323" s="408"/>
      <c r="AR323" s="408"/>
      <c r="AS323" s="408"/>
      <c r="AT323" s="408"/>
      <c r="AU323" s="408"/>
      <c r="AV323" s="408"/>
      <c r="AW323" s="408"/>
      <c r="AX323" s="408"/>
      <c r="AY323" s="408"/>
      <c r="AZ323" s="408"/>
      <c r="BA323" s="408"/>
      <c r="BB323" s="408"/>
      <c r="BC323" s="408"/>
      <c r="BD323" s="408"/>
      <c r="BE323" s="408"/>
      <c r="BF323" s="408"/>
      <c r="BG323" s="408"/>
      <c r="BH323" s="408"/>
      <c r="BI323" s="408"/>
      <c r="BJ323" s="408"/>
      <c r="BK323" s="408"/>
      <c r="BL323" s="408"/>
      <c r="BM323" s="408"/>
      <c r="BN323" s="408"/>
      <c r="BO323" s="408"/>
      <c r="BP323" s="408"/>
      <c r="BQ323" s="408"/>
      <c r="BR323" s="408"/>
      <c r="BS323" s="408"/>
      <c r="BT323" s="408"/>
      <c r="BU323" s="408"/>
      <c r="BV323" s="408"/>
      <c r="BW323" s="408"/>
      <c r="BX323" s="408"/>
      <c r="BY323" s="408"/>
      <c r="BZ323" s="408"/>
      <c r="CA323" s="408"/>
      <c r="CB323" s="408"/>
      <c r="CC323" s="408"/>
      <c r="CD323" s="408"/>
      <c r="CE323" s="408"/>
      <c r="CF323" s="408"/>
      <c r="CG323" s="408"/>
      <c r="CH323" s="408"/>
      <c r="CI323" s="408"/>
      <c r="CJ323" s="408"/>
      <c r="CK323" s="408"/>
      <c r="CL323" s="408"/>
      <c r="CM323" s="408"/>
      <c r="CN323" s="408"/>
    </row>
    <row r="324">
      <c r="A324" s="408"/>
      <c r="B324" s="408"/>
      <c r="C324" s="408"/>
      <c r="D324" s="408"/>
      <c r="E324" s="408"/>
      <c r="F324" s="408"/>
      <c r="G324" s="408"/>
      <c r="H324" s="408"/>
      <c r="I324" s="408"/>
      <c r="J324" s="408"/>
      <c r="K324" s="408"/>
      <c r="L324" s="408"/>
      <c r="M324" s="408"/>
      <c r="N324" s="408"/>
      <c r="O324" s="408"/>
      <c r="P324" s="408"/>
      <c r="Q324" s="408"/>
      <c r="R324" s="408"/>
      <c r="S324" s="408"/>
      <c r="T324" s="408"/>
      <c r="U324" s="408"/>
      <c r="V324" s="408"/>
      <c r="W324" s="408"/>
      <c r="X324" s="408"/>
      <c r="Y324" s="408"/>
      <c r="Z324" s="408"/>
      <c r="AA324" s="408"/>
      <c r="AB324" s="408"/>
      <c r="AC324" s="408"/>
      <c r="AD324" s="408"/>
      <c r="AE324" s="408"/>
      <c r="AF324" s="408"/>
      <c r="AG324" s="408"/>
      <c r="AH324" s="408"/>
      <c r="AI324" s="408"/>
      <c r="AJ324" s="408"/>
      <c r="AK324" s="408"/>
      <c r="AL324" s="408"/>
      <c r="AM324" s="408"/>
      <c r="AN324" s="408"/>
      <c r="AO324" s="408"/>
      <c r="AP324" s="408"/>
      <c r="AQ324" s="408"/>
      <c r="AR324" s="408"/>
      <c r="AS324" s="408"/>
      <c r="AT324" s="408"/>
      <c r="AU324" s="408"/>
      <c r="AV324" s="408"/>
      <c r="AW324" s="408"/>
      <c r="AX324" s="408"/>
      <c r="AY324" s="408"/>
      <c r="AZ324" s="408"/>
      <c r="BA324" s="408"/>
      <c r="BB324" s="408"/>
      <c r="BC324" s="408"/>
      <c r="BD324" s="408"/>
      <c r="BE324" s="408"/>
      <c r="BF324" s="408"/>
      <c r="BG324" s="408"/>
      <c r="BH324" s="408"/>
      <c r="BI324" s="408"/>
      <c r="BJ324" s="408"/>
      <c r="BK324" s="408"/>
      <c r="BL324" s="408"/>
      <c r="BM324" s="408"/>
      <c r="BN324" s="408"/>
      <c r="BO324" s="408"/>
      <c r="BP324" s="408"/>
      <c r="BQ324" s="408"/>
      <c r="BR324" s="408"/>
      <c r="BS324" s="408"/>
      <c r="BT324" s="408"/>
      <c r="BU324" s="408"/>
      <c r="BV324" s="408"/>
      <c r="BW324" s="408"/>
      <c r="BX324" s="408"/>
      <c r="BY324" s="408"/>
      <c r="BZ324" s="408"/>
      <c r="CA324" s="408"/>
      <c r="CB324" s="408"/>
      <c r="CC324" s="408"/>
      <c r="CD324" s="408"/>
      <c r="CE324" s="408"/>
      <c r="CF324" s="408"/>
      <c r="CG324" s="408"/>
      <c r="CH324" s="408"/>
      <c r="CI324" s="408"/>
      <c r="CJ324" s="408"/>
      <c r="CK324" s="408"/>
      <c r="CL324" s="408"/>
      <c r="CM324" s="408"/>
      <c r="CN324" s="408"/>
    </row>
    <row r="325">
      <c r="A325" s="408"/>
      <c r="B325" s="408"/>
      <c r="C325" s="408"/>
      <c r="D325" s="408"/>
      <c r="E325" s="408"/>
      <c r="F325" s="408"/>
      <c r="G325" s="408"/>
      <c r="H325" s="408"/>
      <c r="I325" s="408"/>
      <c r="J325" s="408"/>
      <c r="K325" s="408"/>
      <c r="L325" s="408"/>
      <c r="M325" s="408"/>
      <c r="N325" s="408"/>
      <c r="O325" s="408"/>
      <c r="P325" s="408"/>
      <c r="Q325" s="408"/>
      <c r="R325" s="408"/>
      <c r="S325" s="408"/>
      <c r="T325" s="408"/>
      <c r="U325" s="408"/>
      <c r="V325" s="408"/>
      <c r="W325" s="408"/>
      <c r="X325" s="408"/>
      <c r="Y325" s="408"/>
      <c r="Z325" s="408"/>
      <c r="AA325" s="408"/>
      <c r="AB325" s="408"/>
      <c r="AC325" s="408"/>
      <c r="AD325" s="408"/>
      <c r="AE325" s="408"/>
      <c r="AF325" s="408"/>
      <c r="AG325" s="408"/>
      <c r="AH325" s="408"/>
      <c r="AI325" s="408"/>
      <c r="AJ325" s="408"/>
      <c r="AK325" s="408"/>
      <c r="AL325" s="408"/>
      <c r="AM325" s="408"/>
      <c r="AN325" s="408"/>
      <c r="AO325" s="408"/>
      <c r="AP325" s="408"/>
      <c r="AQ325" s="408"/>
      <c r="AR325" s="408"/>
      <c r="AS325" s="408"/>
      <c r="AT325" s="408"/>
      <c r="AU325" s="408"/>
      <c r="AV325" s="408"/>
      <c r="AW325" s="408"/>
      <c r="AX325" s="408"/>
      <c r="AY325" s="408"/>
      <c r="AZ325" s="408"/>
      <c r="BA325" s="408"/>
      <c r="BB325" s="408"/>
      <c r="BC325" s="408"/>
      <c r="BD325" s="408"/>
      <c r="BE325" s="408"/>
      <c r="BF325" s="408"/>
      <c r="BG325" s="408"/>
      <c r="BH325" s="408"/>
      <c r="BI325" s="408"/>
      <c r="BJ325" s="408"/>
      <c r="BK325" s="408"/>
      <c r="BL325" s="408"/>
      <c r="BM325" s="408"/>
      <c r="BN325" s="408"/>
      <c r="BO325" s="408"/>
      <c r="BP325" s="408"/>
      <c r="BQ325" s="408"/>
      <c r="BR325" s="408"/>
      <c r="BS325" s="408"/>
      <c r="BT325" s="408"/>
      <c r="BU325" s="408"/>
      <c r="BV325" s="408"/>
      <c r="BW325" s="408"/>
      <c r="BX325" s="408"/>
      <c r="BY325" s="408"/>
      <c r="BZ325" s="408"/>
      <c r="CA325" s="408"/>
      <c r="CB325" s="408"/>
      <c r="CC325" s="408"/>
      <c r="CD325" s="408"/>
      <c r="CE325" s="408"/>
      <c r="CF325" s="408"/>
      <c r="CG325" s="408"/>
      <c r="CH325" s="408"/>
      <c r="CI325" s="408"/>
      <c r="CJ325" s="408"/>
      <c r="CK325" s="408"/>
      <c r="CL325" s="408"/>
      <c r="CM325" s="408"/>
      <c r="CN325" s="408"/>
    </row>
    <row r="326">
      <c r="A326" s="408"/>
      <c r="B326" s="408"/>
      <c r="C326" s="408"/>
      <c r="D326" s="408"/>
      <c r="E326" s="408"/>
      <c r="F326" s="408"/>
      <c r="G326" s="408"/>
      <c r="H326" s="408"/>
      <c r="I326" s="408"/>
      <c r="J326" s="408"/>
      <c r="K326" s="408"/>
      <c r="L326" s="408"/>
      <c r="M326" s="408"/>
      <c r="N326" s="408"/>
      <c r="O326" s="408"/>
      <c r="P326" s="408"/>
      <c r="Q326" s="408"/>
      <c r="R326" s="408"/>
      <c r="S326" s="408"/>
      <c r="T326" s="408"/>
      <c r="U326" s="408"/>
      <c r="V326" s="408"/>
      <c r="W326" s="408"/>
      <c r="X326" s="408"/>
      <c r="Y326" s="408"/>
      <c r="Z326" s="408"/>
      <c r="AA326" s="408"/>
      <c r="AB326" s="408"/>
      <c r="AC326" s="408"/>
      <c r="AD326" s="408"/>
      <c r="AE326" s="408"/>
      <c r="AF326" s="408"/>
      <c r="AG326" s="408"/>
      <c r="AH326" s="408"/>
      <c r="AI326" s="408"/>
      <c r="AJ326" s="408"/>
      <c r="AK326" s="408"/>
      <c r="AL326" s="408"/>
      <c r="AM326" s="408"/>
      <c r="AN326" s="408"/>
      <c r="AO326" s="408"/>
      <c r="AP326" s="408"/>
      <c r="AQ326" s="408"/>
      <c r="AR326" s="408"/>
      <c r="AS326" s="408"/>
      <c r="AT326" s="408"/>
      <c r="AU326" s="408"/>
      <c r="AV326" s="408"/>
      <c r="AW326" s="408"/>
      <c r="AX326" s="408"/>
      <c r="AY326" s="408"/>
      <c r="AZ326" s="408"/>
      <c r="BA326" s="408"/>
      <c r="BB326" s="408"/>
      <c r="BC326" s="408"/>
      <c r="BD326" s="408"/>
      <c r="BE326" s="408"/>
      <c r="BF326" s="408"/>
      <c r="BG326" s="408"/>
      <c r="BH326" s="408"/>
      <c r="BI326" s="408"/>
      <c r="BJ326" s="408"/>
      <c r="BK326" s="408"/>
      <c r="BL326" s="408"/>
      <c r="BM326" s="408"/>
      <c r="BN326" s="408"/>
      <c r="BO326" s="408"/>
      <c r="BP326" s="408"/>
      <c r="BQ326" s="408"/>
      <c r="BR326" s="408"/>
      <c r="BS326" s="408"/>
      <c r="BT326" s="408"/>
      <c r="BU326" s="408"/>
      <c r="BV326" s="408"/>
      <c r="BW326" s="408"/>
      <c r="BX326" s="408"/>
      <c r="BY326" s="408"/>
      <c r="BZ326" s="408"/>
      <c r="CA326" s="408"/>
      <c r="CB326" s="408"/>
      <c r="CC326" s="408"/>
      <c r="CD326" s="408"/>
      <c r="CE326" s="408"/>
      <c r="CF326" s="408"/>
      <c r="CG326" s="408"/>
      <c r="CH326" s="408"/>
      <c r="CI326" s="408"/>
      <c r="CJ326" s="408"/>
      <c r="CK326" s="408"/>
      <c r="CL326" s="408"/>
      <c r="CM326" s="408"/>
      <c r="CN326" s="408"/>
    </row>
    <row r="327">
      <c r="A327" s="408"/>
      <c r="B327" s="408"/>
      <c r="C327" s="408"/>
      <c r="D327" s="408"/>
      <c r="E327" s="408"/>
      <c r="F327" s="408"/>
      <c r="G327" s="408"/>
      <c r="H327" s="408"/>
      <c r="I327" s="408"/>
      <c r="J327" s="408"/>
      <c r="K327" s="408"/>
      <c r="L327" s="408"/>
      <c r="M327" s="408"/>
      <c r="N327" s="408"/>
      <c r="O327" s="408"/>
      <c r="P327" s="408"/>
      <c r="Q327" s="408"/>
      <c r="R327" s="408"/>
      <c r="S327" s="408"/>
      <c r="T327" s="408"/>
      <c r="U327" s="408"/>
      <c r="V327" s="408"/>
      <c r="W327" s="408"/>
      <c r="X327" s="408"/>
      <c r="Y327" s="408"/>
      <c r="Z327" s="408"/>
      <c r="AA327" s="408"/>
      <c r="AB327" s="408"/>
      <c r="AC327" s="408"/>
      <c r="AD327" s="408"/>
      <c r="AE327" s="408"/>
      <c r="AF327" s="408"/>
      <c r="AG327" s="408"/>
      <c r="AH327" s="408"/>
      <c r="AI327" s="408"/>
      <c r="AJ327" s="408"/>
      <c r="AK327" s="408"/>
      <c r="AL327" s="408"/>
      <c r="AM327" s="408"/>
      <c r="AN327" s="408"/>
      <c r="AO327" s="408"/>
      <c r="AP327" s="408"/>
      <c r="AQ327" s="408"/>
      <c r="AR327" s="408"/>
      <c r="AS327" s="408"/>
      <c r="AT327" s="408"/>
      <c r="AU327" s="408"/>
      <c r="AV327" s="408"/>
      <c r="AW327" s="408"/>
      <c r="AX327" s="408"/>
      <c r="AY327" s="408"/>
      <c r="AZ327" s="408"/>
      <c r="BA327" s="408"/>
      <c r="BB327" s="408"/>
      <c r="BC327" s="408"/>
      <c r="BD327" s="408"/>
      <c r="BE327" s="408"/>
      <c r="BF327" s="408"/>
      <c r="BG327" s="408"/>
      <c r="BH327" s="408"/>
      <c r="BI327" s="408"/>
      <c r="BJ327" s="408"/>
      <c r="BK327" s="408"/>
      <c r="BL327" s="408"/>
      <c r="BM327" s="408"/>
      <c r="BN327" s="408"/>
      <c r="BO327" s="408"/>
      <c r="BP327" s="408"/>
      <c r="BQ327" s="408"/>
      <c r="BR327" s="408"/>
      <c r="BS327" s="408"/>
      <c r="BT327" s="408"/>
      <c r="BU327" s="408"/>
      <c r="BV327" s="408"/>
      <c r="BW327" s="408"/>
      <c r="BX327" s="408"/>
      <c r="BY327" s="408"/>
      <c r="BZ327" s="408"/>
      <c r="CA327" s="408"/>
      <c r="CB327" s="408"/>
      <c r="CC327" s="408"/>
      <c r="CD327" s="408"/>
      <c r="CE327" s="408"/>
      <c r="CF327" s="408"/>
      <c r="CG327" s="408"/>
      <c r="CH327" s="408"/>
      <c r="CI327" s="408"/>
      <c r="CJ327" s="408"/>
      <c r="CK327" s="408"/>
      <c r="CL327" s="408"/>
      <c r="CM327" s="408"/>
      <c r="CN327" s="408"/>
    </row>
    <row r="328">
      <c r="A328" s="408"/>
      <c r="B328" s="408"/>
      <c r="C328" s="408"/>
      <c r="D328" s="408"/>
      <c r="E328" s="408"/>
      <c r="F328" s="408"/>
      <c r="G328" s="408"/>
      <c r="H328" s="408"/>
      <c r="I328" s="408"/>
      <c r="J328" s="408"/>
      <c r="K328" s="408"/>
      <c r="L328" s="408"/>
      <c r="M328" s="408"/>
      <c r="N328" s="408"/>
      <c r="O328" s="408"/>
      <c r="P328" s="408"/>
      <c r="Q328" s="408"/>
      <c r="R328" s="408"/>
      <c r="S328" s="408"/>
      <c r="T328" s="408"/>
      <c r="U328" s="408"/>
      <c r="V328" s="408"/>
      <c r="W328" s="408"/>
      <c r="X328" s="408"/>
      <c r="Y328" s="408"/>
      <c r="Z328" s="408"/>
      <c r="AA328" s="408"/>
      <c r="AB328" s="408"/>
      <c r="AC328" s="408"/>
      <c r="AD328" s="408"/>
      <c r="AE328" s="408"/>
      <c r="AF328" s="408"/>
      <c r="AG328" s="408"/>
      <c r="AH328" s="408"/>
      <c r="AI328" s="408"/>
      <c r="AJ328" s="408"/>
      <c r="AK328" s="408"/>
      <c r="AL328" s="408"/>
      <c r="AM328" s="408"/>
      <c r="AN328" s="408"/>
      <c r="AO328" s="408"/>
      <c r="AP328" s="408"/>
      <c r="AQ328" s="408"/>
      <c r="AR328" s="408"/>
      <c r="AS328" s="408"/>
      <c r="AT328" s="408"/>
      <c r="AU328" s="408"/>
      <c r="AV328" s="408"/>
      <c r="AW328" s="408"/>
      <c r="AX328" s="408"/>
      <c r="AY328" s="408"/>
      <c r="AZ328" s="408"/>
      <c r="BA328" s="408"/>
      <c r="BB328" s="408"/>
      <c r="BC328" s="408"/>
      <c r="BD328" s="408"/>
      <c r="BE328" s="408"/>
      <c r="BF328" s="408"/>
      <c r="BG328" s="408"/>
      <c r="BH328" s="408"/>
      <c r="BI328" s="408"/>
      <c r="BJ328" s="408"/>
      <c r="BK328" s="408"/>
      <c r="BL328" s="408"/>
      <c r="BM328" s="408"/>
      <c r="BN328" s="408"/>
      <c r="BO328" s="408"/>
      <c r="BP328" s="408"/>
      <c r="BQ328" s="408"/>
      <c r="BR328" s="408"/>
      <c r="BS328" s="408"/>
      <c r="BT328" s="408"/>
      <c r="BU328" s="408"/>
      <c r="BV328" s="408"/>
      <c r="BW328" s="408"/>
      <c r="BX328" s="408"/>
      <c r="BY328" s="408"/>
      <c r="BZ328" s="408"/>
      <c r="CA328" s="408"/>
      <c r="CB328" s="408"/>
      <c r="CC328" s="408"/>
      <c r="CD328" s="408"/>
      <c r="CE328" s="408"/>
      <c r="CF328" s="408"/>
      <c r="CG328" s="408"/>
      <c r="CH328" s="408"/>
      <c r="CI328" s="408"/>
      <c r="CJ328" s="408"/>
      <c r="CK328" s="408"/>
      <c r="CL328" s="408"/>
      <c r="CM328" s="408"/>
      <c r="CN328" s="408"/>
    </row>
    <row r="329">
      <c r="A329" s="408"/>
      <c r="B329" s="408"/>
      <c r="C329" s="408"/>
      <c r="D329" s="408"/>
      <c r="E329" s="408"/>
      <c r="F329" s="408"/>
      <c r="G329" s="408"/>
      <c r="H329" s="408"/>
      <c r="I329" s="408"/>
      <c r="J329" s="408"/>
      <c r="K329" s="408"/>
      <c r="L329" s="408"/>
      <c r="M329" s="408"/>
      <c r="N329" s="408"/>
      <c r="O329" s="408"/>
      <c r="P329" s="408"/>
      <c r="Q329" s="408"/>
      <c r="R329" s="408"/>
      <c r="S329" s="408"/>
      <c r="T329" s="408"/>
      <c r="U329" s="408"/>
      <c r="V329" s="408"/>
      <c r="W329" s="408"/>
      <c r="X329" s="408"/>
      <c r="Y329" s="408"/>
      <c r="Z329" s="408"/>
      <c r="AA329" s="408"/>
      <c r="AB329" s="408"/>
      <c r="AC329" s="408"/>
      <c r="AD329" s="408"/>
      <c r="AE329" s="408"/>
      <c r="AF329" s="408"/>
      <c r="AG329" s="408"/>
      <c r="AH329" s="408"/>
      <c r="AI329" s="408"/>
      <c r="AJ329" s="408"/>
      <c r="AK329" s="408"/>
      <c r="AL329" s="408"/>
      <c r="AM329" s="408"/>
      <c r="AN329" s="408"/>
      <c r="AO329" s="408"/>
      <c r="AP329" s="408"/>
      <c r="AQ329" s="408"/>
      <c r="AR329" s="408"/>
      <c r="AS329" s="408"/>
      <c r="AT329" s="408"/>
      <c r="AU329" s="408"/>
      <c r="AV329" s="408"/>
      <c r="AW329" s="408"/>
      <c r="AX329" s="408"/>
      <c r="AY329" s="408"/>
      <c r="AZ329" s="408"/>
      <c r="BA329" s="408"/>
      <c r="BB329" s="408"/>
      <c r="BC329" s="408"/>
      <c r="BD329" s="408"/>
      <c r="BE329" s="408"/>
      <c r="BF329" s="408"/>
      <c r="BG329" s="408"/>
      <c r="BH329" s="408"/>
      <c r="BI329" s="408"/>
      <c r="BJ329" s="408"/>
      <c r="BK329" s="408"/>
      <c r="BL329" s="408"/>
      <c r="BM329" s="408"/>
      <c r="BN329" s="408"/>
      <c r="BO329" s="408"/>
      <c r="BP329" s="408"/>
      <c r="BQ329" s="408"/>
      <c r="BR329" s="408"/>
      <c r="BS329" s="408"/>
      <c r="BT329" s="408"/>
      <c r="BU329" s="408"/>
      <c r="BV329" s="408"/>
      <c r="BW329" s="408"/>
      <c r="BX329" s="408"/>
      <c r="BY329" s="408"/>
      <c r="BZ329" s="408"/>
      <c r="CA329" s="408"/>
      <c r="CB329" s="408"/>
      <c r="CC329" s="408"/>
      <c r="CD329" s="408"/>
      <c r="CE329" s="408"/>
      <c r="CF329" s="408"/>
      <c r="CG329" s="408"/>
      <c r="CH329" s="408"/>
      <c r="CI329" s="408"/>
      <c r="CJ329" s="408"/>
      <c r="CK329" s="408"/>
      <c r="CL329" s="408"/>
      <c r="CM329" s="408"/>
      <c r="CN329" s="408"/>
    </row>
    <row r="330">
      <c r="A330" s="408"/>
      <c r="B330" s="408"/>
      <c r="C330" s="408"/>
      <c r="D330" s="408"/>
      <c r="E330" s="408"/>
      <c r="F330" s="408"/>
      <c r="G330" s="408"/>
      <c r="H330" s="408"/>
      <c r="I330" s="408"/>
      <c r="J330" s="408"/>
      <c r="K330" s="408"/>
      <c r="L330" s="408"/>
      <c r="M330" s="408"/>
      <c r="N330" s="408"/>
      <c r="O330" s="408"/>
      <c r="P330" s="408"/>
      <c r="Q330" s="408"/>
      <c r="R330" s="408"/>
      <c r="S330" s="408"/>
      <c r="T330" s="408"/>
      <c r="U330" s="408"/>
      <c r="V330" s="408"/>
      <c r="W330" s="408"/>
      <c r="X330" s="408"/>
      <c r="Y330" s="408"/>
      <c r="Z330" s="408"/>
      <c r="AA330" s="408"/>
      <c r="AB330" s="408"/>
      <c r="AC330" s="408"/>
      <c r="AD330" s="408"/>
      <c r="AE330" s="408"/>
      <c r="AF330" s="408"/>
      <c r="AG330" s="408"/>
      <c r="AH330" s="408"/>
      <c r="AI330" s="408"/>
      <c r="AJ330" s="408"/>
      <c r="AK330" s="408"/>
      <c r="AL330" s="408"/>
      <c r="AM330" s="408"/>
      <c r="AN330" s="408"/>
      <c r="AO330" s="408"/>
      <c r="AP330" s="408"/>
      <c r="AQ330" s="408"/>
      <c r="AR330" s="408"/>
      <c r="AS330" s="408"/>
      <c r="AT330" s="408"/>
      <c r="AU330" s="408"/>
      <c r="AV330" s="408"/>
      <c r="AW330" s="408"/>
      <c r="AX330" s="408"/>
      <c r="AY330" s="408"/>
      <c r="AZ330" s="408"/>
      <c r="BA330" s="408"/>
      <c r="BB330" s="408"/>
      <c r="BC330" s="408"/>
      <c r="BD330" s="408"/>
      <c r="BE330" s="408"/>
      <c r="BF330" s="408"/>
      <c r="BG330" s="408"/>
      <c r="BH330" s="408"/>
      <c r="BI330" s="408"/>
      <c r="BJ330" s="408"/>
      <c r="BK330" s="408"/>
      <c r="BL330" s="408"/>
      <c r="BM330" s="408"/>
      <c r="BN330" s="408"/>
      <c r="BO330" s="408"/>
      <c r="BP330" s="408"/>
      <c r="BQ330" s="408"/>
      <c r="BR330" s="408"/>
      <c r="BS330" s="408"/>
      <c r="BT330" s="408"/>
      <c r="BU330" s="408"/>
      <c r="BV330" s="408"/>
      <c r="BW330" s="408"/>
      <c r="BX330" s="408"/>
      <c r="BY330" s="408"/>
      <c r="BZ330" s="408"/>
      <c r="CA330" s="408"/>
      <c r="CB330" s="408"/>
      <c r="CC330" s="408"/>
      <c r="CD330" s="408"/>
      <c r="CE330" s="408"/>
      <c r="CF330" s="408"/>
      <c r="CG330" s="408"/>
      <c r="CH330" s="408"/>
      <c r="CI330" s="408"/>
      <c r="CJ330" s="408"/>
      <c r="CK330" s="408"/>
      <c r="CL330" s="408"/>
      <c r="CM330" s="408"/>
      <c r="CN330" s="408"/>
    </row>
    <row r="331">
      <c r="A331" s="408"/>
      <c r="B331" s="408"/>
      <c r="C331" s="408"/>
      <c r="D331" s="408"/>
      <c r="E331" s="408"/>
      <c r="F331" s="408"/>
      <c r="G331" s="408"/>
      <c r="H331" s="408"/>
      <c r="I331" s="408"/>
      <c r="J331" s="408"/>
      <c r="K331" s="408"/>
      <c r="L331" s="408"/>
      <c r="M331" s="408"/>
      <c r="N331" s="408"/>
      <c r="O331" s="408"/>
      <c r="P331" s="408"/>
      <c r="Q331" s="408"/>
      <c r="R331" s="408"/>
      <c r="S331" s="408"/>
      <c r="T331" s="408"/>
      <c r="U331" s="408"/>
      <c r="V331" s="408"/>
      <c r="W331" s="408"/>
      <c r="X331" s="408"/>
      <c r="Y331" s="408"/>
      <c r="Z331" s="408"/>
      <c r="AA331" s="408"/>
      <c r="AB331" s="408"/>
      <c r="AC331" s="408"/>
      <c r="AD331" s="408"/>
      <c r="AE331" s="408"/>
      <c r="AF331" s="408"/>
      <c r="AG331" s="408"/>
      <c r="AH331" s="408"/>
      <c r="AI331" s="408"/>
      <c r="AJ331" s="408"/>
      <c r="AK331" s="408"/>
      <c r="AL331" s="408"/>
      <c r="AM331" s="408"/>
      <c r="AN331" s="408"/>
      <c r="AO331" s="408"/>
      <c r="AP331" s="408"/>
      <c r="AQ331" s="408"/>
      <c r="AR331" s="408"/>
      <c r="AS331" s="408"/>
      <c r="AT331" s="408"/>
      <c r="AU331" s="408"/>
      <c r="AV331" s="408"/>
      <c r="AW331" s="408"/>
      <c r="AX331" s="408"/>
      <c r="AY331" s="408"/>
      <c r="AZ331" s="408"/>
      <c r="BA331" s="408"/>
      <c r="BB331" s="408"/>
      <c r="BC331" s="408"/>
      <c r="BD331" s="408"/>
      <c r="BE331" s="408"/>
      <c r="BF331" s="408"/>
      <c r="BG331" s="408"/>
      <c r="BH331" s="408"/>
      <c r="BI331" s="408"/>
      <c r="BJ331" s="408"/>
      <c r="BK331" s="408"/>
      <c r="BL331" s="408"/>
      <c r="BM331" s="408"/>
      <c r="BN331" s="408"/>
      <c r="BO331" s="408"/>
      <c r="BP331" s="408"/>
      <c r="BQ331" s="408"/>
      <c r="BR331" s="408"/>
      <c r="BS331" s="408"/>
      <c r="BT331" s="408"/>
      <c r="BU331" s="408"/>
      <c r="BV331" s="408"/>
      <c r="BW331" s="408"/>
      <c r="BX331" s="408"/>
      <c r="BY331" s="408"/>
      <c r="BZ331" s="408"/>
      <c r="CA331" s="408"/>
      <c r="CB331" s="408"/>
      <c r="CC331" s="408"/>
      <c r="CD331" s="408"/>
      <c r="CE331" s="408"/>
      <c r="CF331" s="408"/>
      <c r="CG331" s="408"/>
      <c r="CH331" s="408"/>
      <c r="CI331" s="408"/>
      <c r="CJ331" s="408"/>
      <c r="CK331" s="408"/>
      <c r="CL331" s="408"/>
      <c r="CM331" s="408"/>
      <c r="CN331" s="408"/>
    </row>
    <row r="332">
      <c r="A332" s="408"/>
      <c r="B332" s="408"/>
      <c r="C332" s="408"/>
      <c r="D332" s="408"/>
      <c r="E332" s="408"/>
      <c r="F332" s="408"/>
      <c r="G332" s="408"/>
      <c r="H332" s="408"/>
      <c r="I332" s="408"/>
      <c r="J332" s="408"/>
      <c r="K332" s="408"/>
      <c r="L332" s="408"/>
      <c r="M332" s="408"/>
      <c r="N332" s="408"/>
      <c r="O332" s="408"/>
      <c r="P332" s="408"/>
      <c r="Q332" s="408"/>
      <c r="R332" s="408"/>
      <c r="S332" s="408"/>
      <c r="T332" s="408"/>
      <c r="U332" s="408"/>
      <c r="V332" s="408"/>
      <c r="W332" s="408"/>
      <c r="X332" s="408"/>
      <c r="Y332" s="408"/>
      <c r="Z332" s="408"/>
      <c r="AA332" s="408"/>
      <c r="AB332" s="408"/>
      <c r="AC332" s="408"/>
      <c r="AD332" s="408"/>
      <c r="AE332" s="408"/>
      <c r="AF332" s="408"/>
      <c r="AG332" s="408"/>
      <c r="AH332" s="408"/>
      <c r="AI332" s="408"/>
      <c r="AJ332" s="408"/>
      <c r="AK332" s="408"/>
      <c r="AL332" s="408"/>
      <c r="AM332" s="408"/>
      <c r="AN332" s="408"/>
      <c r="AO332" s="408"/>
      <c r="AP332" s="408"/>
      <c r="AQ332" s="408"/>
      <c r="AR332" s="408"/>
      <c r="AS332" s="408"/>
      <c r="AT332" s="408"/>
      <c r="AU332" s="408"/>
      <c r="AV332" s="408"/>
      <c r="AW332" s="408"/>
      <c r="AX332" s="408"/>
      <c r="AY332" s="408"/>
      <c r="AZ332" s="408"/>
      <c r="BA332" s="408"/>
      <c r="BB332" s="408"/>
      <c r="BC332" s="408"/>
      <c r="BD332" s="408"/>
      <c r="BE332" s="408"/>
      <c r="BF332" s="408"/>
      <c r="BG332" s="408"/>
      <c r="BH332" s="408"/>
      <c r="BI332" s="408"/>
      <c r="BJ332" s="408"/>
      <c r="BK332" s="408"/>
      <c r="BL332" s="408"/>
      <c r="BM332" s="408"/>
      <c r="BN332" s="408"/>
      <c r="BO332" s="408"/>
      <c r="BP332" s="408"/>
      <c r="BQ332" s="408"/>
      <c r="BR332" s="408"/>
      <c r="BS332" s="408"/>
      <c r="BT332" s="408"/>
      <c r="BU332" s="408"/>
      <c r="BV332" s="408"/>
      <c r="BW332" s="408"/>
      <c r="BX332" s="408"/>
      <c r="BY332" s="408"/>
      <c r="BZ332" s="408"/>
      <c r="CA332" s="408"/>
      <c r="CB332" s="408"/>
      <c r="CC332" s="408"/>
      <c r="CD332" s="408"/>
      <c r="CE332" s="408"/>
      <c r="CF332" s="408"/>
      <c r="CG332" s="408"/>
      <c r="CH332" s="408"/>
      <c r="CI332" s="408"/>
      <c r="CJ332" s="408"/>
      <c r="CK332" s="408"/>
      <c r="CL332" s="408"/>
      <c r="CM332" s="408"/>
      <c r="CN332" s="408"/>
    </row>
    <row r="333">
      <c r="A333" s="408"/>
      <c r="B333" s="408"/>
      <c r="C333" s="408"/>
      <c r="D333" s="408"/>
      <c r="E333" s="408"/>
      <c r="F333" s="408"/>
      <c r="G333" s="408"/>
      <c r="H333" s="408"/>
      <c r="I333" s="408"/>
      <c r="J333" s="408"/>
      <c r="K333" s="408"/>
      <c r="L333" s="408"/>
      <c r="M333" s="408"/>
      <c r="N333" s="408"/>
      <c r="O333" s="408"/>
      <c r="P333" s="408"/>
      <c r="Q333" s="408"/>
      <c r="R333" s="408"/>
      <c r="S333" s="408"/>
      <c r="T333" s="408"/>
      <c r="U333" s="408"/>
      <c r="V333" s="408"/>
      <c r="W333" s="408"/>
      <c r="X333" s="408"/>
      <c r="Y333" s="408"/>
      <c r="Z333" s="408"/>
      <c r="AA333" s="408"/>
      <c r="AB333" s="408"/>
      <c r="AC333" s="408"/>
      <c r="AD333" s="408"/>
      <c r="AE333" s="408"/>
      <c r="AF333" s="408"/>
      <c r="AG333" s="408"/>
      <c r="AH333" s="408"/>
      <c r="AI333" s="408"/>
      <c r="AJ333" s="408"/>
      <c r="AK333" s="408"/>
      <c r="AL333" s="408"/>
      <c r="AM333" s="408"/>
      <c r="AN333" s="408"/>
      <c r="AO333" s="408"/>
      <c r="AP333" s="408"/>
      <c r="AQ333" s="408"/>
      <c r="AR333" s="408"/>
      <c r="AS333" s="408"/>
      <c r="AT333" s="408"/>
      <c r="AU333" s="408"/>
      <c r="AV333" s="408"/>
      <c r="AW333" s="408"/>
      <c r="AX333" s="408"/>
      <c r="AY333" s="408"/>
      <c r="AZ333" s="408"/>
      <c r="BA333" s="408"/>
      <c r="BB333" s="408"/>
      <c r="BC333" s="408"/>
      <c r="BD333" s="408"/>
      <c r="BE333" s="408"/>
      <c r="BF333" s="408"/>
      <c r="BG333" s="408"/>
      <c r="BH333" s="408"/>
      <c r="BI333" s="408"/>
      <c r="BJ333" s="408"/>
      <c r="BK333" s="408"/>
      <c r="BL333" s="408"/>
      <c r="BM333" s="408"/>
      <c r="BN333" s="408"/>
      <c r="BO333" s="408"/>
      <c r="BP333" s="408"/>
      <c r="BQ333" s="408"/>
      <c r="BR333" s="408"/>
      <c r="BS333" s="408"/>
      <c r="BT333" s="408"/>
      <c r="BU333" s="408"/>
      <c r="BV333" s="408"/>
      <c r="BW333" s="408"/>
      <c r="BX333" s="408"/>
      <c r="BY333" s="408"/>
      <c r="BZ333" s="408"/>
      <c r="CA333" s="408"/>
      <c r="CB333" s="408"/>
      <c r="CC333" s="408"/>
      <c r="CD333" s="408"/>
      <c r="CE333" s="408"/>
      <c r="CF333" s="408"/>
      <c r="CG333" s="408"/>
      <c r="CH333" s="408"/>
      <c r="CI333" s="408"/>
      <c r="CJ333" s="408"/>
      <c r="CK333" s="408"/>
      <c r="CL333" s="408"/>
      <c r="CM333" s="408"/>
      <c r="CN333" s="408"/>
    </row>
    <row r="334">
      <c r="A334" s="408"/>
      <c r="B334" s="408"/>
      <c r="C334" s="408"/>
      <c r="D334" s="408"/>
      <c r="E334" s="408"/>
      <c r="F334" s="408"/>
      <c r="G334" s="408"/>
      <c r="H334" s="408"/>
      <c r="I334" s="408"/>
      <c r="J334" s="408"/>
      <c r="K334" s="408"/>
      <c r="L334" s="408"/>
      <c r="M334" s="408"/>
      <c r="N334" s="408"/>
      <c r="O334" s="408"/>
      <c r="P334" s="408"/>
      <c r="Q334" s="408"/>
      <c r="R334" s="408"/>
      <c r="S334" s="408"/>
      <c r="T334" s="408"/>
      <c r="U334" s="408"/>
      <c r="V334" s="408"/>
      <c r="W334" s="408"/>
      <c r="X334" s="408"/>
      <c r="Y334" s="408"/>
      <c r="Z334" s="408"/>
      <c r="AA334" s="408"/>
      <c r="AB334" s="408"/>
      <c r="AC334" s="408"/>
      <c r="AD334" s="408"/>
      <c r="AE334" s="408"/>
      <c r="AF334" s="408"/>
      <c r="AG334" s="408"/>
      <c r="AH334" s="408"/>
      <c r="AI334" s="408"/>
      <c r="AJ334" s="408"/>
      <c r="AK334" s="408"/>
      <c r="AL334" s="408"/>
      <c r="AM334" s="408"/>
      <c r="AN334" s="408"/>
      <c r="AO334" s="408"/>
      <c r="AP334" s="408"/>
      <c r="AQ334" s="408"/>
      <c r="AR334" s="408"/>
      <c r="AS334" s="408"/>
      <c r="AT334" s="408"/>
      <c r="AU334" s="408"/>
      <c r="AV334" s="408"/>
      <c r="AW334" s="408"/>
      <c r="AX334" s="408"/>
      <c r="AY334" s="408"/>
      <c r="AZ334" s="408"/>
      <c r="BA334" s="408"/>
      <c r="BB334" s="408"/>
      <c r="BC334" s="408"/>
      <c r="BD334" s="408"/>
      <c r="BE334" s="408"/>
      <c r="BF334" s="408"/>
      <c r="BG334" s="408"/>
      <c r="BH334" s="408"/>
      <c r="BI334" s="408"/>
      <c r="BJ334" s="408"/>
      <c r="BK334" s="408"/>
      <c r="BL334" s="408"/>
      <c r="BM334" s="408"/>
      <c r="BN334" s="408"/>
      <c r="BO334" s="408"/>
      <c r="BP334" s="408"/>
      <c r="BQ334" s="408"/>
      <c r="BR334" s="408"/>
      <c r="BS334" s="408"/>
      <c r="BT334" s="408"/>
      <c r="BU334" s="408"/>
      <c r="BV334" s="408"/>
      <c r="BW334" s="408"/>
      <c r="BX334" s="408"/>
      <c r="BY334" s="408"/>
      <c r="BZ334" s="408"/>
      <c r="CA334" s="408"/>
      <c r="CB334" s="408"/>
      <c r="CC334" s="408"/>
      <c r="CD334" s="408"/>
      <c r="CE334" s="408"/>
      <c r="CF334" s="408"/>
      <c r="CG334" s="408"/>
      <c r="CH334" s="408"/>
      <c r="CI334" s="408"/>
      <c r="CJ334" s="408"/>
      <c r="CK334" s="408"/>
      <c r="CL334" s="408"/>
      <c r="CM334" s="408"/>
      <c r="CN334" s="408"/>
    </row>
    <row r="335">
      <c r="A335" s="408"/>
      <c r="B335" s="408"/>
      <c r="C335" s="408"/>
      <c r="D335" s="408"/>
      <c r="E335" s="408"/>
      <c r="F335" s="408"/>
      <c r="G335" s="408"/>
      <c r="H335" s="408"/>
      <c r="I335" s="408"/>
      <c r="J335" s="408"/>
      <c r="K335" s="408"/>
      <c r="L335" s="408"/>
      <c r="M335" s="408"/>
      <c r="N335" s="408"/>
      <c r="O335" s="408"/>
      <c r="P335" s="408"/>
      <c r="Q335" s="408"/>
      <c r="R335" s="408"/>
      <c r="S335" s="408"/>
      <c r="T335" s="408"/>
      <c r="U335" s="408"/>
      <c r="V335" s="408"/>
      <c r="W335" s="408"/>
      <c r="X335" s="408"/>
      <c r="Y335" s="408"/>
      <c r="Z335" s="408"/>
      <c r="AA335" s="408"/>
      <c r="AB335" s="408"/>
      <c r="AC335" s="408"/>
      <c r="AD335" s="408"/>
      <c r="AE335" s="408"/>
      <c r="AF335" s="408"/>
      <c r="AG335" s="408"/>
      <c r="AH335" s="408"/>
      <c r="AI335" s="408"/>
      <c r="AJ335" s="408"/>
      <c r="AK335" s="408"/>
      <c r="AL335" s="408"/>
      <c r="AM335" s="408"/>
      <c r="AN335" s="408"/>
      <c r="AO335" s="408"/>
      <c r="AP335" s="408"/>
      <c r="AQ335" s="408"/>
      <c r="AR335" s="408"/>
      <c r="AS335" s="408"/>
      <c r="AT335" s="408"/>
      <c r="AU335" s="408"/>
      <c r="AV335" s="408"/>
      <c r="AW335" s="408"/>
      <c r="AX335" s="408"/>
      <c r="AY335" s="408"/>
      <c r="AZ335" s="408"/>
      <c r="BA335" s="408"/>
      <c r="BB335" s="408"/>
      <c r="BC335" s="408"/>
      <c r="BD335" s="408"/>
      <c r="BE335" s="408"/>
      <c r="BF335" s="408"/>
      <c r="BG335" s="408"/>
      <c r="BH335" s="408"/>
      <c r="BI335" s="408"/>
      <c r="BJ335" s="408"/>
      <c r="BK335" s="408"/>
      <c r="BL335" s="408"/>
      <c r="BM335" s="408"/>
      <c r="BN335" s="408"/>
      <c r="BO335" s="408"/>
      <c r="BP335" s="408"/>
      <c r="BQ335" s="408"/>
      <c r="BR335" s="408"/>
      <c r="BS335" s="408"/>
      <c r="BT335" s="408"/>
      <c r="BU335" s="408"/>
      <c r="BV335" s="408"/>
      <c r="BW335" s="408"/>
      <c r="BX335" s="408"/>
      <c r="BY335" s="408"/>
      <c r="BZ335" s="408"/>
      <c r="CA335" s="408"/>
      <c r="CB335" s="408"/>
      <c r="CC335" s="408"/>
      <c r="CD335" s="408"/>
      <c r="CE335" s="408"/>
      <c r="CF335" s="408"/>
      <c r="CG335" s="408"/>
      <c r="CH335" s="408"/>
      <c r="CI335" s="408"/>
      <c r="CJ335" s="408"/>
      <c r="CK335" s="408"/>
      <c r="CL335" s="408"/>
      <c r="CM335" s="408"/>
      <c r="CN335" s="408"/>
    </row>
    <row r="336">
      <c r="A336" s="408"/>
      <c r="B336" s="408"/>
      <c r="C336" s="408"/>
      <c r="D336" s="408"/>
      <c r="E336" s="408"/>
      <c r="F336" s="408"/>
      <c r="G336" s="408"/>
      <c r="H336" s="408"/>
      <c r="I336" s="408"/>
      <c r="J336" s="408"/>
      <c r="K336" s="408"/>
      <c r="L336" s="408"/>
      <c r="M336" s="408"/>
      <c r="N336" s="408"/>
      <c r="O336" s="408"/>
      <c r="P336" s="408"/>
      <c r="Q336" s="408"/>
      <c r="R336" s="408"/>
      <c r="S336" s="408"/>
      <c r="T336" s="408"/>
      <c r="U336" s="408"/>
      <c r="V336" s="408"/>
      <c r="W336" s="408"/>
      <c r="X336" s="408"/>
      <c r="Y336" s="408"/>
      <c r="Z336" s="408"/>
      <c r="AA336" s="408"/>
      <c r="AB336" s="408"/>
      <c r="AC336" s="408"/>
      <c r="AD336" s="408"/>
      <c r="AE336" s="408"/>
      <c r="AF336" s="408"/>
      <c r="AG336" s="408"/>
      <c r="AH336" s="408"/>
      <c r="AI336" s="408"/>
      <c r="AJ336" s="408"/>
      <c r="AK336" s="408"/>
      <c r="AL336" s="408"/>
      <c r="AM336" s="408"/>
      <c r="AN336" s="408"/>
      <c r="AO336" s="408"/>
      <c r="AP336" s="408"/>
      <c r="AQ336" s="408"/>
      <c r="AR336" s="408"/>
      <c r="AS336" s="408"/>
      <c r="AT336" s="408"/>
      <c r="AU336" s="408"/>
      <c r="AV336" s="408"/>
      <c r="AW336" s="408"/>
      <c r="AX336" s="408"/>
      <c r="AY336" s="408"/>
      <c r="AZ336" s="408"/>
      <c r="BA336" s="408"/>
      <c r="BB336" s="408"/>
      <c r="BC336" s="408"/>
      <c r="BD336" s="408"/>
      <c r="BE336" s="408"/>
      <c r="BF336" s="408"/>
      <c r="BG336" s="408"/>
      <c r="BH336" s="408"/>
      <c r="BI336" s="408"/>
      <c r="BJ336" s="408"/>
      <c r="BK336" s="408"/>
      <c r="BL336" s="408"/>
      <c r="BM336" s="408"/>
      <c r="BN336" s="408"/>
      <c r="BO336" s="408"/>
      <c r="BP336" s="408"/>
      <c r="BQ336" s="408"/>
      <c r="BR336" s="408"/>
      <c r="BS336" s="408"/>
      <c r="BT336" s="408"/>
      <c r="BU336" s="408"/>
      <c r="BV336" s="408"/>
      <c r="BW336" s="408"/>
      <c r="BX336" s="408"/>
      <c r="BY336" s="408"/>
      <c r="BZ336" s="408"/>
      <c r="CA336" s="408"/>
      <c r="CB336" s="408"/>
      <c r="CC336" s="408"/>
      <c r="CD336" s="408"/>
      <c r="CE336" s="408"/>
      <c r="CF336" s="408"/>
      <c r="CG336" s="408"/>
      <c r="CH336" s="408"/>
      <c r="CI336" s="408"/>
      <c r="CJ336" s="408"/>
      <c r="CK336" s="408"/>
      <c r="CL336" s="408"/>
      <c r="CM336" s="408"/>
      <c r="CN336" s="408"/>
    </row>
    <row r="337">
      <c r="A337" s="408"/>
      <c r="B337" s="408"/>
      <c r="C337" s="408"/>
      <c r="D337" s="408"/>
      <c r="E337" s="408"/>
      <c r="F337" s="408"/>
      <c r="G337" s="408"/>
      <c r="H337" s="408"/>
      <c r="I337" s="408"/>
      <c r="J337" s="408"/>
      <c r="K337" s="408"/>
      <c r="L337" s="408"/>
      <c r="M337" s="408"/>
      <c r="N337" s="408"/>
      <c r="O337" s="408"/>
      <c r="P337" s="408"/>
      <c r="Q337" s="408"/>
      <c r="R337" s="408"/>
      <c r="S337" s="408"/>
      <c r="T337" s="408"/>
      <c r="U337" s="408"/>
      <c r="V337" s="408"/>
      <c r="W337" s="408"/>
      <c r="X337" s="408"/>
      <c r="Y337" s="408"/>
      <c r="Z337" s="408"/>
      <c r="AA337" s="408"/>
      <c r="AB337" s="408"/>
      <c r="AC337" s="408"/>
      <c r="AD337" s="408"/>
      <c r="AE337" s="408"/>
      <c r="AF337" s="408"/>
      <c r="AG337" s="408"/>
      <c r="AH337" s="408"/>
      <c r="AI337" s="408"/>
      <c r="AJ337" s="408"/>
      <c r="AK337" s="408"/>
      <c r="AL337" s="408"/>
      <c r="AM337" s="408"/>
      <c r="AN337" s="408"/>
      <c r="AO337" s="408"/>
      <c r="AP337" s="408"/>
      <c r="AQ337" s="408"/>
      <c r="AR337" s="408"/>
      <c r="AS337" s="408"/>
      <c r="AT337" s="408"/>
      <c r="AU337" s="408"/>
      <c r="AV337" s="408"/>
      <c r="AW337" s="408"/>
      <c r="AX337" s="408"/>
      <c r="AY337" s="408"/>
      <c r="AZ337" s="408"/>
      <c r="BA337" s="408"/>
      <c r="BB337" s="408"/>
      <c r="BC337" s="408"/>
      <c r="BD337" s="408"/>
      <c r="BE337" s="408"/>
      <c r="BF337" s="408"/>
      <c r="BG337" s="408"/>
      <c r="BH337" s="408"/>
      <c r="BI337" s="408"/>
      <c r="BJ337" s="408"/>
      <c r="BK337" s="408"/>
      <c r="BL337" s="408"/>
      <c r="BM337" s="408"/>
      <c r="BN337" s="408"/>
      <c r="BO337" s="408"/>
      <c r="BP337" s="408"/>
      <c r="BQ337" s="408"/>
      <c r="BR337" s="408"/>
      <c r="BS337" s="408"/>
      <c r="BT337" s="408"/>
      <c r="BU337" s="408"/>
      <c r="BV337" s="408"/>
      <c r="BW337" s="408"/>
      <c r="BX337" s="408"/>
      <c r="BY337" s="408"/>
      <c r="BZ337" s="408"/>
      <c r="CA337" s="408"/>
      <c r="CB337" s="408"/>
      <c r="CC337" s="408"/>
      <c r="CD337" s="408"/>
      <c r="CE337" s="408"/>
      <c r="CF337" s="408"/>
      <c r="CG337" s="408"/>
      <c r="CH337" s="408"/>
      <c r="CI337" s="408"/>
      <c r="CJ337" s="408"/>
      <c r="CK337" s="408"/>
      <c r="CL337" s="408"/>
      <c r="CM337" s="408"/>
      <c r="CN337" s="408"/>
    </row>
    <row r="338">
      <c r="A338" s="408"/>
      <c r="B338" s="408"/>
      <c r="C338" s="408"/>
      <c r="D338" s="408"/>
      <c r="E338" s="408"/>
      <c r="F338" s="408"/>
      <c r="G338" s="408"/>
      <c r="H338" s="408"/>
      <c r="I338" s="408"/>
      <c r="J338" s="408"/>
      <c r="K338" s="408"/>
      <c r="L338" s="408"/>
      <c r="M338" s="408"/>
      <c r="N338" s="408"/>
      <c r="O338" s="408"/>
      <c r="P338" s="408"/>
      <c r="Q338" s="408"/>
      <c r="R338" s="408"/>
      <c r="S338" s="408"/>
      <c r="T338" s="408"/>
      <c r="U338" s="408"/>
      <c r="V338" s="408"/>
      <c r="W338" s="408"/>
      <c r="X338" s="408"/>
      <c r="Y338" s="408"/>
      <c r="Z338" s="408"/>
      <c r="AA338" s="408"/>
      <c r="AB338" s="408"/>
      <c r="AC338" s="408"/>
      <c r="AD338" s="408"/>
      <c r="AE338" s="408"/>
      <c r="AF338" s="408"/>
      <c r="AG338" s="408"/>
      <c r="AH338" s="408"/>
      <c r="AI338" s="408"/>
      <c r="AJ338" s="408"/>
      <c r="AK338" s="408"/>
      <c r="AL338" s="408"/>
      <c r="AM338" s="408"/>
      <c r="AN338" s="408"/>
      <c r="AO338" s="408"/>
      <c r="AP338" s="408"/>
      <c r="AQ338" s="408"/>
      <c r="AR338" s="408"/>
      <c r="AS338" s="408"/>
      <c r="AT338" s="408"/>
      <c r="AU338" s="408"/>
      <c r="AV338" s="408"/>
      <c r="AW338" s="408"/>
      <c r="AX338" s="408"/>
      <c r="AY338" s="408"/>
      <c r="AZ338" s="408"/>
      <c r="BA338" s="408"/>
      <c r="BB338" s="408"/>
      <c r="BC338" s="408"/>
      <c r="BD338" s="408"/>
      <c r="BE338" s="408"/>
      <c r="BF338" s="408"/>
      <c r="BG338" s="408"/>
      <c r="BH338" s="408"/>
      <c r="BI338" s="408"/>
      <c r="BJ338" s="408"/>
      <c r="BK338" s="408"/>
      <c r="BL338" s="408"/>
      <c r="BM338" s="408"/>
      <c r="BN338" s="408"/>
      <c r="BO338" s="408"/>
      <c r="BP338" s="408"/>
      <c r="BQ338" s="408"/>
      <c r="BR338" s="408"/>
      <c r="BS338" s="408"/>
      <c r="BT338" s="408"/>
      <c r="BU338" s="408"/>
      <c r="BV338" s="408"/>
      <c r="BW338" s="408"/>
      <c r="BX338" s="408"/>
      <c r="BY338" s="408"/>
      <c r="BZ338" s="408"/>
      <c r="CA338" s="408"/>
      <c r="CB338" s="408"/>
      <c r="CC338" s="408"/>
      <c r="CD338" s="408"/>
      <c r="CE338" s="408"/>
      <c r="CF338" s="408"/>
      <c r="CG338" s="408"/>
      <c r="CH338" s="408"/>
      <c r="CI338" s="408"/>
      <c r="CJ338" s="408"/>
      <c r="CK338" s="408"/>
      <c r="CL338" s="408"/>
      <c r="CM338" s="408"/>
      <c r="CN338" s="408"/>
    </row>
    <row r="339">
      <c r="A339" s="408"/>
      <c r="B339" s="408"/>
      <c r="C339" s="408"/>
      <c r="D339" s="408"/>
      <c r="E339" s="408"/>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c r="AF339" s="408"/>
      <c r="AG339" s="408"/>
      <c r="AH339" s="408"/>
      <c r="AI339" s="408"/>
      <c r="AJ339" s="408"/>
      <c r="AK339" s="408"/>
      <c r="AL339" s="408"/>
      <c r="AM339" s="408"/>
      <c r="AN339" s="408"/>
      <c r="AO339" s="408"/>
      <c r="AP339" s="408"/>
      <c r="AQ339" s="408"/>
      <c r="AR339" s="408"/>
      <c r="AS339" s="408"/>
      <c r="AT339" s="408"/>
      <c r="AU339" s="408"/>
      <c r="AV339" s="408"/>
      <c r="AW339" s="408"/>
      <c r="AX339" s="408"/>
      <c r="AY339" s="408"/>
      <c r="AZ339" s="408"/>
      <c r="BA339" s="408"/>
      <c r="BB339" s="408"/>
      <c r="BC339" s="408"/>
      <c r="BD339" s="408"/>
      <c r="BE339" s="408"/>
      <c r="BF339" s="408"/>
      <c r="BG339" s="408"/>
      <c r="BH339" s="408"/>
      <c r="BI339" s="408"/>
      <c r="BJ339" s="408"/>
      <c r="BK339" s="408"/>
      <c r="BL339" s="408"/>
      <c r="BM339" s="408"/>
      <c r="BN339" s="408"/>
      <c r="BO339" s="408"/>
      <c r="BP339" s="408"/>
      <c r="BQ339" s="408"/>
      <c r="BR339" s="408"/>
      <c r="BS339" s="408"/>
      <c r="BT339" s="408"/>
      <c r="BU339" s="408"/>
      <c r="BV339" s="408"/>
      <c r="BW339" s="408"/>
      <c r="BX339" s="408"/>
      <c r="BY339" s="408"/>
      <c r="BZ339" s="408"/>
      <c r="CA339" s="408"/>
      <c r="CB339" s="408"/>
      <c r="CC339" s="408"/>
      <c r="CD339" s="408"/>
      <c r="CE339" s="408"/>
      <c r="CF339" s="408"/>
      <c r="CG339" s="408"/>
      <c r="CH339" s="408"/>
      <c r="CI339" s="408"/>
      <c r="CJ339" s="408"/>
      <c r="CK339" s="408"/>
      <c r="CL339" s="408"/>
      <c r="CM339" s="408"/>
      <c r="CN339" s="408"/>
    </row>
    <row r="340">
      <c r="A340" s="408"/>
      <c r="B340" s="408"/>
      <c r="C340" s="408"/>
      <c r="D340" s="408"/>
      <c r="E340" s="408"/>
      <c r="F340" s="408"/>
      <c r="G340" s="408"/>
      <c r="H340" s="408"/>
      <c r="I340" s="408"/>
      <c r="J340" s="408"/>
      <c r="K340" s="408"/>
      <c r="L340" s="408"/>
      <c r="M340" s="408"/>
      <c r="N340" s="408"/>
      <c r="O340" s="408"/>
      <c r="P340" s="408"/>
      <c r="Q340" s="408"/>
      <c r="R340" s="408"/>
      <c r="S340" s="408"/>
      <c r="T340" s="408"/>
      <c r="U340" s="408"/>
      <c r="V340" s="408"/>
      <c r="W340" s="408"/>
      <c r="X340" s="408"/>
      <c r="Y340" s="408"/>
      <c r="Z340" s="408"/>
      <c r="AA340" s="408"/>
      <c r="AB340" s="408"/>
      <c r="AC340" s="408"/>
      <c r="AD340" s="408"/>
      <c r="AE340" s="408"/>
      <c r="AF340" s="408"/>
      <c r="AG340" s="408"/>
      <c r="AH340" s="408"/>
      <c r="AI340" s="408"/>
      <c r="AJ340" s="408"/>
      <c r="AK340" s="408"/>
      <c r="AL340" s="408"/>
      <c r="AM340" s="408"/>
      <c r="AN340" s="408"/>
      <c r="AO340" s="408"/>
      <c r="AP340" s="408"/>
      <c r="AQ340" s="408"/>
      <c r="AR340" s="408"/>
      <c r="AS340" s="408"/>
      <c r="AT340" s="408"/>
      <c r="AU340" s="408"/>
      <c r="AV340" s="408"/>
      <c r="AW340" s="408"/>
      <c r="AX340" s="408"/>
      <c r="AY340" s="408"/>
      <c r="AZ340" s="408"/>
      <c r="BA340" s="408"/>
      <c r="BB340" s="408"/>
      <c r="BC340" s="408"/>
      <c r="BD340" s="408"/>
      <c r="BE340" s="408"/>
      <c r="BF340" s="408"/>
      <c r="BG340" s="408"/>
      <c r="BH340" s="408"/>
      <c r="BI340" s="408"/>
      <c r="BJ340" s="408"/>
      <c r="BK340" s="408"/>
      <c r="BL340" s="408"/>
      <c r="BM340" s="408"/>
      <c r="BN340" s="408"/>
      <c r="BO340" s="408"/>
      <c r="BP340" s="408"/>
      <c r="BQ340" s="408"/>
      <c r="BR340" s="408"/>
      <c r="BS340" s="408"/>
      <c r="BT340" s="408"/>
      <c r="BU340" s="408"/>
      <c r="BV340" s="408"/>
      <c r="BW340" s="408"/>
      <c r="BX340" s="408"/>
      <c r="BY340" s="408"/>
      <c r="BZ340" s="408"/>
      <c r="CA340" s="408"/>
      <c r="CB340" s="408"/>
      <c r="CC340" s="408"/>
      <c r="CD340" s="408"/>
      <c r="CE340" s="408"/>
      <c r="CF340" s="408"/>
      <c r="CG340" s="408"/>
      <c r="CH340" s="408"/>
      <c r="CI340" s="408"/>
      <c r="CJ340" s="408"/>
      <c r="CK340" s="408"/>
      <c r="CL340" s="408"/>
      <c r="CM340" s="408"/>
      <c r="CN340" s="408"/>
    </row>
    <row r="341">
      <c r="A341" s="408"/>
      <c r="B341" s="408"/>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c r="AA341" s="408"/>
      <c r="AB341" s="408"/>
      <c r="AC341" s="408"/>
      <c r="AD341" s="408"/>
      <c r="AE341" s="408"/>
      <c r="AF341" s="408"/>
      <c r="AG341" s="408"/>
      <c r="AH341" s="408"/>
      <c r="AI341" s="408"/>
      <c r="AJ341" s="408"/>
      <c r="AK341" s="408"/>
      <c r="AL341" s="408"/>
      <c r="AM341" s="408"/>
      <c r="AN341" s="408"/>
      <c r="AO341" s="408"/>
      <c r="AP341" s="408"/>
      <c r="AQ341" s="408"/>
      <c r="AR341" s="408"/>
      <c r="AS341" s="408"/>
      <c r="AT341" s="408"/>
      <c r="AU341" s="408"/>
      <c r="AV341" s="408"/>
      <c r="AW341" s="408"/>
      <c r="AX341" s="408"/>
      <c r="AY341" s="408"/>
      <c r="AZ341" s="408"/>
      <c r="BA341" s="408"/>
      <c r="BB341" s="408"/>
      <c r="BC341" s="408"/>
      <c r="BD341" s="408"/>
      <c r="BE341" s="408"/>
      <c r="BF341" s="408"/>
      <c r="BG341" s="408"/>
      <c r="BH341" s="408"/>
      <c r="BI341" s="408"/>
      <c r="BJ341" s="408"/>
      <c r="BK341" s="408"/>
      <c r="BL341" s="408"/>
      <c r="BM341" s="408"/>
      <c r="BN341" s="408"/>
      <c r="BO341" s="408"/>
      <c r="BP341" s="408"/>
      <c r="BQ341" s="408"/>
      <c r="BR341" s="408"/>
      <c r="BS341" s="408"/>
      <c r="BT341" s="408"/>
      <c r="BU341" s="408"/>
      <c r="BV341" s="408"/>
      <c r="BW341" s="408"/>
      <c r="BX341" s="408"/>
      <c r="BY341" s="408"/>
      <c r="BZ341" s="408"/>
      <c r="CA341" s="408"/>
      <c r="CB341" s="408"/>
      <c r="CC341" s="408"/>
      <c r="CD341" s="408"/>
      <c r="CE341" s="408"/>
      <c r="CF341" s="408"/>
      <c r="CG341" s="408"/>
      <c r="CH341" s="408"/>
      <c r="CI341" s="408"/>
      <c r="CJ341" s="408"/>
      <c r="CK341" s="408"/>
      <c r="CL341" s="408"/>
      <c r="CM341" s="408"/>
      <c r="CN341" s="408"/>
    </row>
    <row r="342">
      <c r="A342" s="408"/>
      <c r="B342" s="408"/>
      <c r="C342" s="408"/>
      <c r="D342" s="408"/>
      <c r="E342" s="408"/>
      <c r="F342" s="408"/>
      <c r="G342" s="408"/>
      <c r="H342" s="408"/>
      <c r="I342" s="408"/>
      <c r="J342" s="408"/>
      <c r="K342" s="408"/>
      <c r="L342" s="408"/>
      <c r="M342" s="408"/>
      <c r="N342" s="408"/>
      <c r="O342" s="408"/>
      <c r="P342" s="408"/>
      <c r="Q342" s="408"/>
      <c r="R342" s="408"/>
      <c r="S342" s="408"/>
      <c r="T342" s="408"/>
      <c r="U342" s="408"/>
      <c r="V342" s="408"/>
      <c r="W342" s="408"/>
      <c r="X342" s="408"/>
      <c r="Y342" s="408"/>
      <c r="Z342" s="408"/>
      <c r="AA342" s="408"/>
      <c r="AB342" s="408"/>
      <c r="AC342" s="408"/>
      <c r="AD342" s="408"/>
      <c r="AE342" s="408"/>
      <c r="AF342" s="408"/>
      <c r="AG342" s="408"/>
      <c r="AH342" s="408"/>
      <c r="AI342" s="408"/>
      <c r="AJ342" s="408"/>
      <c r="AK342" s="408"/>
      <c r="AL342" s="408"/>
      <c r="AM342" s="408"/>
      <c r="AN342" s="408"/>
      <c r="AO342" s="408"/>
      <c r="AP342" s="408"/>
      <c r="AQ342" s="408"/>
      <c r="AR342" s="408"/>
      <c r="AS342" s="408"/>
      <c r="AT342" s="408"/>
      <c r="AU342" s="408"/>
      <c r="AV342" s="408"/>
      <c r="AW342" s="408"/>
      <c r="AX342" s="408"/>
      <c r="AY342" s="408"/>
      <c r="AZ342" s="408"/>
      <c r="BA342" s="408"/>
      <c r="BB342" s="408"/>
      <c r="BC342" s="408"/>
      <c r="BD342" s="408"/>
      <c r="BE342" s="408"/>
      <c r="BF342" s="408"/>
      <c r="BG342" s="408"/>
      <c r="BH342" s="408"/>
      <c r="BI342" s="408"/>
      <c r="BJ342" s="408"/>
      <c r="BK342" s="408"/>
      <c r="BL342" s="408"/>
      <c r="BM342" s="408"/>
      <c r="BN342" s="408"/>
      <c r="BO342" s="408"/>
      <c r="BP342" s="408"/>
      <c r="BQ342" s="408"/>
      <c r="BR342" s="408"/>
      <c r="BS342" s="408"/>
      <c r="BT342" s="408"/>
      <c r="BU342" s="408"/>
      <c r="BV342" s="408"/>
      <c r="BW342" s="408"/>
      <c r="BX342" s="408"/>
      <c r="BY342" s="408"/>
      <c r="BZ342" s="408"/>
      <c r="CA342" s="408"/>
      <c r="CB342" s="408"/>
      <c r="CC342" s="408"/>
      <c r="CD342" s="408"/>
      <c r="CE342" s="408"/>
      <c r="CF342" s="408"/>
      <c r="CG342" s="408"/>
      <c r="CH342" s="408"/>
      <c r="CI342" s="408"/>
      <c r="CJ342" s="408"/>
      <c r="CK342" s="408"/>
      <c r="CL342" s="408"/>
      <c r="CM342" s="408"/>
      <c r="CN342" s="408"/>
    </row>
    <row r="343">
      <c r="A343" s="408"/>
      <c r="B343" s="408"/>
      <c r="C343" s="408"/>
      <c r="D343" s="408"/>
      <c r="E343" s="408"/>
      <c r="F343" s="408"/>
      <c r="G343" s="408"/>
      <c r="H343" s="408"/>
      <c r="I343" s="408"/>
      <c r="J343" s="408"/>
      <c r="K343" s="408"/>
      <c r="L343" s="408"/>
      <c r="M343" s="408"/>
      <c r="N343" s="408"/>
      <c r="O343" s="408"/>
      <c r="P343" s="408"/>
      <c r="Q343" s="408"/>
      <c r="R343" s="408"/>
      <c r="S343" s="408"/>
      <c r="T343" s="408"/>
      <c r="U343" s="408"/>
      <c r="V343" s="408"/>
      <c r="W343" s="408"/>
      <c r="X343" s="408"/>
      <c r="Y343" s="408"/>
      <c r="Z343" s="408"/>
      <c r="AA343" s="408"/>
      <c r="AB343" s="408"/>
      <c r="AC343" s="408"/>
      <c r="AD343" s="408"/>
      <c r="AE343" s="408"/>
      <c r="AF343" s="408"/>
      <c r="AG343" s="408"/>
      <c r="AH343" s="408"/>
      <c r="AI343" s="408"/>
      <c r="AJ343" s="408"/>
      <c r="AK343" s="408"/>
      <c r="AL343" s="408"/>
      <c r="AM343" s="408"/>
      <c r="AN343" s="408"/>
      <c r="AO343" s="408"/>
      <c r="AP343" s="408"/>
      <c r="AQ343" s="408"/>
      <c r="AR343" s="408"/>
      <c r="AS343" s="408"/>
      <c r="AT343" s="408"/>
      <c r="AU343" s="408"/>
      <c r="AV343" s="408"/>
      <c r="AW343" s="408"/>
      <c r="AX343" s="408"/>
      <c r="AY343" s="408"/>
      <c r="AZ343" s="408"/>
      <c r="BA343" s="408"/>
      <c r="BB343" s="408"/>
      <c r="BC343" s="408"/>
      <c r="BD343" s="408"/>
      <c r="BE343" s="408"/>
      <c r="BF343" s="408"/>
      <c r="BG343" s="408"/>
      <c r="BH343" s="408"/>
      <c r="BI343" s="408"/>
      <c r="BJ343" s="408"/>
      <c r="BK343" s="408"/>
      <c r="BL343" s="408"/>
      <c r="BM343" s="408"/>
      <c r="BN343" s="408"/>
      <c r="BO343" s="408"/>
      <c r="BP343" s="408"/>
      <c r="BQ343" s="408"/>
      <c r="BR343" s="408"/>
      <c r="BS343" s="408"/>
      <c r="BT343" s="408"/>
      <c r="BU343" s="408"/>
      <c r="BV343" s="408"/>
      <c r="BW343" s="408"/>
      <c r="BX343" s="408"/>
      <c r="BY343" s="408"/>
      <c r="BZ343" s="408"/>
      <c r="CA343" s="408"/>
      <c r="CB343" s="408"/>
      <c r="CC343" s="408"/>
      <c r="CD343" s="408"/>
      <c r="CE343" s="408"/>
      <c r="CF343" s="408"/>
      <c r="CG343" s="408"/>
      <c r="CH343" s="408"/>
      <c r="CI343" s="408"/>
      <c r="CJ343" s="408"/>
      <c r="CK343" s="408"/>
      <c r="CL343" s="408"/>
      <c r="CM343" s="408"/>
      <c r="CN343" s="408"/>
    </row>
    <row r="344">
      <c r="A344" s="408"/>
      <c r="B344" s="408"/>
      <c r="C344" s="408"/>
      <c r="D344" s="408"/>
      <c r="E344" s="408"/>
      <c r="F344" s="408"/>
      <c r="G344" s="408"/>
      <c r="H344" s="408"/>
      <c r="I344" s="408"/>
      <c r="J344" s="408"/>
      <c r="K344" s="408"/>
      <c r="L344" s="408"/>
      <c r="M344" s="408"/>
      <c r="N344" s="408"/>
      <c r="O344" s="408"/>
      <c r="P344" s="408"/>
      <c r="Q344" s="408"/>
      <c r="R344" s="408"/>
      <c r="S344" s="408"/>
      <c r="T344" s="408"/>
      <c r="U344" s="408"/>
      <c r="V344" s="408"/>
      <c r="W344" s="408"/>
      <c r="X344" s="408"/>
      <c r="Y344" s="408"/>
      <c r="Z344" s="408"/>
      <c r="AA344" s="408"/>
      <c r="AB344" s="408"/>
      <c r="AC344" s="408"/>
      <c r="AD344" s="408"/>
      <c r="AE344" s="408"/>
      <c r="AF344" s="408"/>
      <c r="AG344" s="408"/>
      <c r="AH344" s="408"/>
      <c r="AI344" s="408"/>
      <c r="AJ344" s="408"/>
      <c r="AK344" s="408"/>
      <c r="AL344" s="408"/>
      <c r="AM344" s="408"/>
      <c r="AN344" s="408"/>
      <c r="AO344" s="408"/>
      <c r="AP344" s="408"/>
      <c r="AQ344" s="408"/>
      <c r="AR344" s="408"/>
      <c r="AS344" s="408"/>
      <c r="AT344" s="408"/>
      <c r="AU344" s="408"/>
      <c r="AV344" s="408"/>
      <c r="AW344" s="408"/>
      <c r="AX344" s="408"/>
      <c r="AY344" s="408"/>
      <c r="AZ344" s="408"/>
      <c r="BA344" s="408"/>
      <c r="BB344" s="408"/>
      <c r="BC344" s="408"/>
      <c r="BD344" s="408"/>
      <c r="BE344" s="408"/>
      <c r="BF344" s="408"/>
      <c r="BG344" s="408"/>
      <c r="BH344" s="408"/>
      <c r="BI344" s="408"/>
      <c r="BJ344" s="408"/>
      <c r="BK344" s="408"/>
      <c r="BL344" s="408"/>
      <c r="BM344" s="408"/>
      <c r="BN344" s="408"/>
      <c r="BO344" s="408"/>
      <c r="BP344" s="408"/>
      <c r="BQ344" s="408"/>
      <c r="BR344" s="408"/>
      <c r="BS344" s="408"/>
      <c r="BT344" s="408"/>
      <c r="BU344" s="408"/>
      <c r="BV344" s="408"/>
      <c r="BW344" s="408"/>
      <c r="BX344" s="408"/>
      <c r="BY344" s="408"/>
      <c r="BZ344" s="408"/>
      <c r="CA344" s="408"/>
      <c r="CB344" s="408"/>
      <c r="CC344" s="408"/>
      <c r="CD344" s="408"/>
      <c r="CE344" s="408"/>
      <c r="CF344" s="408"/>
      <c r="CG344" s="408"/>
      <c r="CH344" s="408"/>
      <c r="CI344" s="408"/>
      <c r="CJ344" s="408"/>
      <c r="CK344" s="408"/>
      <c r="CL344" s="408"/>
      <c r="CM344" s="408"/>
      <c r="CN344" s="408"/>
    </row>
    <row r="345">
      <c r="A345" s="408"/>
      <c r="B345" s="408"/>
      <c r="C345" s="408"/>
      <c r="D345" s="408"/>
      <c r="E345" s="408"/>
      <c r="F345" s="408"/>
      <c r="G345" s="408"/>
      <c r="H345" s="408"/>
      <c r="I345" s="408"/>
      <c r="J345" s="408"/>
      <c r="K345" s="408"/>
      <c r="L345" s="408"/>
      <c r="M345" s="408"/>
      <c r="N345" s="408"/>
      <c r="O345" s="408"/>
      <c r="P345" s="408"/>
      <c r="Q345" s="408"/>
      <c r="R345" s="408"/>
      <c r="S345" s="408"/>
      <c r="T345" s="408"/>
      <c r="U345" s="408"/>
      <c r="V345" s="408"/>
      <c r="W345" s="408"/>
      <c r="X345" s="408"/>
      <c r="Y345" s="408"/>
      <c r="Z345" s="408"/>
      <c r="AA345" s="408"/>
      <c r="AB345" s="408"/>
      <c r="AC345" s="408"/>
      <c r="AD345" s="408"/>
      <c r="AE345" s="408"/>
      <c r="AF345" s="408"/>
      <c r="AG345" s="408"/>
      <c r="AH345" s="408"/>
      <c r="AI345" s="408"/>
      <c r="AJ345" s="408"/>
      <c r="AK345" s="408"/>
      <c r="AL345" s="408"/>
      <c r="AM345" s="408"/>
      <c r="AN345" s="408"/>
      <c r="AO345" s="408"/>
      <c r="AP345" s="408"/>
      <c r="AQ345" s="408"/>
      <c r="AR345" s="408"/>
      <c r="AS345" s="408"/>
      <c r="AT345" s="408"/>
      <c r="AU345" s="408"/>
      <c r="AV345" s="408"/>
      <c r="AW345" s="408"/>
      <c r="AX345" s="408"/>
      <c r="AY345" s="408"/>
      <c r="AZ345" s="408"/>
      <c r="BA345" s="408"/>
      <c r="BB345" s="408"/>
      <c r="BC345" s="408"/>
      <c r="BD345" s="408"/>
      <c r="BE345" s="408"/>
      <c r="BF345" s="408"/>
      <c r="BG345" s="408"/>
      <c r="BH345" s="408"/>
      <c r="BI345" s="408"/>
      <c r="BJ345" s="408"/>
      <c r="BK345" s="408"/>
      <c r="BL345" s="408"/>
      <c r="BM345" s="408"/>
      <c r="BN345" s="408"/>
      <c r="BO345" s="408"/>
      <c r="BP345" s="408"/>
      <c r="BQ345" s="408"/>
      <c r="BR345" s="408"/>
      <c r="BS345" s="408"/>
      <c r="BT345" s="408"/>
      <c r="BU345" s="408"/>
      <c r="BV345" s="408"/>
      <c r="BW345" s="408"/>
      <c r="BX345" s="408"/>
      <c r="BY345" s="408"/>
      <c r="BZ345" s="408"/>
      <c r="CA345" s="408"/>
      <c r="CB345" s="408"/>
      <c r="CC345" s="408"/>
      <c r="CD345" s="408"/>
      <c r="CE345" s="408"/>
      <c r="CF345" s="408"/>
      <c r="CG345" s="408"/>
      <c r="CH345" s="408"/>
      <c r="CI345" s="408"/>
      <c r="CJ345" s="408"/>
      <c r="CK345" s="408"/>
      <c r="CL345" s="408"/>
      <c r="CM345" s="408"/>
      <c r="CN345" s="408"/>
    </row>
    <row r="346">
      <c r="A346" s="408"/>
      <c r="B346" s="408"/>
      <c r="C346" s="408"/>
      <c r="D346" s="408"/>
      <c r="E346" s="408"/>
      <c r="F346" s="408"/>
      <c r="G346" s="408"/>
      <c r="H346" s="408"/>
      <c r="I346" s="408"/>
      <c r="J346" s="408"/>
      <c r="K346" s="408"/>
      <c r="L346" s="408"/>
      <c r="M346" s="408"/>
      <c r="N346" s="408"/>
      <c r="O346" s="408"/>
      <c r="P346" s="408"/>
      <c r="Q346" s="408"/>
      <c r="R346" s="408"/>
      <c r="S346" s="408"/>
      <c r="T346" s="408"/>
      <c r="U346" s="408"/>
      <c r="V346" s="408"/>
      <c r="W346" s="408"/>
      <c r="X346" s="408"/>
      <c r="Y346" s="408"/>
      <c r="Z346" s="408"/>
      <c r="AA346" s="408"/>
      <c r="AB346" s="408"/>
      <c r="AC346" s="408"/>
      <c r="AD346" s="408"/>
      <c r="AE346" s="408"/>
      <c r="AF346" s="408"/>
      <c r="AG346" s="408"/>
      <c r="AH346" s="408"/>
      <c r="AI346" s="408"/>
      <c r="AJ346" s="408"/>
      <c r="AK346" s="408"/>
      <c r="AL346" s="408"/>
      <c r="AM346" s="408"/>
      <c r="AN346" s="408"/>
      <c r="AO346" s="408"/>
      <c r="AP346" s="408"/>
      <c r="AQ346" s="408"/>
      <c r="AR346" s="408"/>
      <c r="AS346" s="408"/>
      <c r="AT346" s="408"/>
      <c r="AU346" s="408"/>
      <c r="AV346" s="408"/>
      <c r="AW346" s="408"/>
      <c r="AX346" s="408"/>
      <c r="AY346" s="408"/>
      <c r="AZ346" s="408"/>
      <c r="BA346" s="408"/>
      <c r="BB346" s="408"/>
      <c r="BC346" s="408"/>
      <c r="BD346" s="408"/>
      <c r="BE346" s="408"/>
      <c r="BF346" s="408"/>
      <c r="BG346" s="408"/>
      <c r="BH346" s="408"/>
      <c r="BI346" s="408"/>
      <c r="BJ346" s="408"/>
      <c r="BK346" s="408"/>
      <c r="BL346" s="408"/>
      <c r="BM346" s="408"/>
      <c r="BN346" s="408"/>
      <c r="BO346" s="408"/>
      <c r="BP346" s="408"/>
      <c r="BQ346" s="408"/>
      <c r="BR346" s="408"/>
      <c r="BS346" s="408"/>
      <c r="BT346" s="408"/>
      <c r="BU346" s="408"/>
      <c r="BV346" s="408"/>
      <c r="BW346" s="408"/>
      <c r="BX346" s="408"/>
      <c r="BY346" s="408"/>
      <c r="BZ346" s="408"/>
      <c r="CA346" s="408"/>
      <c r="CB346" s="408"/>
      <c r="CC346" s="408"/>
      <c r="CD346" s="408"/>
      <c r="CE346" s="408"/>
      <c r="CF346" s="408"/>
      <c r="CG346" s="408"/>
      <c r="CH346" s="408"/>
      <c r="CI346" s="408"/>
      <c r="CJ346" s="408"/>
      <c r="CK346" s="408"/>
      <c r="CL346" s="408"/>
      <c r="CM346" s="408"/>
      <c r="CN346" s="408"/>
    </row>
    <row r="347">
      <c r="A347" s="408"/>
      <c r="B347" s="408"/>
      <c r="C347" s="408"/>
      <c r="D347" s="408"/>
      <c r="E347" s="408"/>
      <c r="F347" s="408"/>
      <c r="G347" s="408"/>
      <c r="H347" s="408"/>
      <c r="I347" s="408"/>
      <c r="J347" s="408"/>
      <c r="K347" s="408"/>
      <c r="L347" s="408"/>
      <c r="M347" s="408"/>
      <c r="N347" s="408"/>
      <c r="O347" s="408"/>
      <c r="P347" s="408"/>
      <c r="Q347" s="408"/>
      <c r="R347" s="408"/>
      <c r="S347" s="408"/>
      <c r="T347" s="408"/>
      <c r="U347" s="408"/>
      <c r="V347" s="408"/>
      <c r="W347" s="408"/>
      <c r="X347" s="408"/>
      <c r="Y347" s="408"/>
      <c r="Z347" s="408"/>
      <c r="AA347" s="408"/>
      <c r="AB347" s="408"/>
      <c r="AC347" s="408"/>
      <c r="AD347" s="408"/>
      <c r="AE347" s="408"/>
      <c r="AF347" s="408"/>
      <c r="AG347" s="408"/>
      <c r="AH347" s="408"/>
      <c r="AI347" s="408"/>
      <c r="AJ347" s="408"/>
      <c r="AK347" s="408"/>
      <c r="AL347" s="408"/>
      <c r="AM347" s="408"/>
      <c r="AN347" s="408"/>
      <c r="AO347" s="408"/>
      <c r="AP347" s="408"/>
      <c r="AQ347" s="408"/>
      <c r="AR347" s="408"/>
      <c r="AS347" s="408"/>
      <c r="AT347" s="408"/>
      <c r="AU347" s="408"/>
      <c r="AV347" s="408"/>
      <c r="AW347" s="408"/>
      <c r="AX347" s="408"/>
      <c r="AY347" s="408"/>
      <c r="AZ347" s="408"/>
      <c r="BA347" s="408"/>
      <c r="BB347" s="408"/>
      <c r="BC347" s="408"/>
      <c r="BD347" s="408"/>
      <c r="BE347" s="408"/>
      <c r="BF347" s="408"/>
      <c r="BG347" s="408"/>
      <c r="BH347" s="408"/>
      <c r="BI347" s="408"/>
      <c r="BJ347" s="408"/>
      <c r="BK347" s="408"/>
      <c r="BL347" s="408"/>
      <c r="BM347" s="408"/>
      <c r="BN347" s="408"/>
      <c r="BO347" s="408"/>
      <c r="BP347" s="408"/>
      <c r="BQ347" s="408"/>
      <c r="BR347" s="408"/>
      <c r="BS347" s="408"/>
      <c r="BT347" s="408"/>
      <c r="BU347" s="408"/>
      <c r="BV347" s="408"/>
      <c r="BW347" s="408"/>
      <c r="BX347" s="408"/>
      <c r="BY347" s="408"/>
      <c r="BZ347" s="408"/>
      <c r="CA347" s="408"/>
      <c r="CB347" s="408"/>
      <c r="CC347" s="408"/>
      <c r="CD347" s="408"/>
      <c r="CE347" s="408"/>
      <c r="CF347" s="408"/>
      <c r="CG347" s="408"/>
      <c r="CH347" s="408"/>
      <c r="CI347" s="408"/>
      <c r="CJ347" s="408"/>
      <c r="CK347" s="408"/>
      <c r="CL347" s="408"/>
      <c r="CM347" s="408"/>
      <c r="CN347" s="408"/>
    </row>
    <row r="348">
      <c r="A348" s="408"/>
      <c r="B348" s="408"/>
      <c r="C348" s="408"/>
      <c r="D348" s="408"/>
      <c r="E348" s="408"/>
      <c r="F348" s="408"/>
      <c r="G348" s="408"/>
      <c r="H348" s="408"/>
      <c r="I348" s="408"/>
      <c r="J348" s="408"/>
      <c r="K348" s="408"/>
      <c r="L348" s="408"/>
      <c r="M348" s="408"/>
      <c r="N348" s="408"/>
      <c r="O348" s="408"/>
      <c r="P348" s="408"/>
      <c r="Q348" s="408"/>
      <c r="R348" s="408"/>
      <c r="S348" s="408"/>
      <c r="T348" s="408"/>
      <c r="U348" s="408"/>
      <c r="V348" s="408"/>
      <c r="W348" s="408"/>
      <c r="X348" s="408"/>
      <c r="Y348" s="408"/>
      <c r="Z348" s="408"/>
      <c r="AA348" s="408"/>
      <c r="AB348" s="408"/>
      <c r="AC348" s="408"/>
      <c r="AD348" s="408"/>
      <c r="AE348" s="408"/>
      <c r="AF348" s="408"/>
      <c r="AG348" s="408"/>
      <c r="AH348" s="408"/>
      <c r="AI348" s="408"/>
      <c r="AJ348" s="408"/>
      <c r="AK348" s="408"/>
      <c r="AL348" s="408"/>
      <c r="AM348" s="408"/>
      <c r="AN348" s="408"/>
      <c r="AO348" s="408"/>
      <c r="AP348" s="408"/>
      <c r="AQ348" s="408"/>
      <c r="AR348" s="408"/>
      <c r="AS348" s="408"/>
      <c r="AT348" s="408"/>
      <c r="AU348" s="408"/>
      <c r="AV348" s="408"/>
      <c r="AW348" s="408"/>
      <c r="AX348" s="408"/>
      <c r="AY348" s="408"/>
      <c r="AZ348" s="408"/>
      <c r="BA348" s="408"/>
      <c r="BB348" s="408"/>
      <c r="BC348" s="408"/>
      <c r="BD348" s="408"/>
      <c r="BE348" s="408"/>
      <c r="BF348" s="408"/>
      <c r="BG348" s="408"/>
      <c r="BH348" s="408"/>
      <c r="BI348" s="408"/>
      <c r="BJ348" s="408"/>
      <c r="BK348" s="408"/>
      <c r="BL348" s="408"/>
      <c r="BM348" s="408"/>
      <c r="BN348" s="408"/>
      <c r="BO348" s="408"/>
      <c r="BP348" s="408"/>
      <c r="BQ348" s="408"/>
      <c r="BR348" s="408"/>
      <c r="BS348" s="408"/>
      <c r="BT348" s="408"/>
      <c r="BU348" s="408"/>
      <c r="BV348" s="408"/>
      <c r="BW348" s="408"/>
      <c r="BX348" s="408"/>
      <c r="BY348" s="408"/>
      <c r="BZ348" s="408"/>
      <c r="CA348" s="408"/>
      <c r="CB348" s="408"/>
      <c r="CC348" s="408"/>
      <c r="CD348" s="408"/>
      <c r="CE348" s="408"/>
      <c r="CF348" s="408"/>
      <c r="CG348" s="408"/>
      <c r="CH348" s="408"/>
      <c r="CI348" s="408"/>
      <c r="CJ348" s="408"/>
      <c r="CK348" s="408"/>
      <c r="CL348" s="408"/>
      <c r="CM348" s="408"/>
      <c r="CN348" s="408"/>
    </row>
    <row r="349">
      <c r="A349" s="408"/>
      <c r="B349" s="408"/>
      <c r="C349" s="408"/>
      <c r="D349" s="408"/>
      <c r="E349" s="408"/>
      <c r="F349" s="408"/>
      <c r="G349" s="408"/>
      <c r="H349" s="408"/>
      <c r="I349" s="408"/>
      <c r="J349" s="408"/>
      <c r="K349" s="408"/>
      <c r="L349" s="408"/>
      <c r="M349" s="408"/>
      <c r="N349" s="408"/>
      <c r="O349" s="408"/>
      <c r="P349" s="408"/>
      <c r="Q349" s="408"/>
      <c r="R349" s="408"/>
      <c r="S349" s="408"/>
      <c r="T349" s="408"/>
      <c r="U349" s="408"/>
      <c r="V349" s="408"/>
      <c r="W349" s="408"/>
      <c r="X349" s="408"/>
      <c r="Y349" s="408"/>
      <c r="Z349" s="408"/>
      <c r="AA349" s="408"/>
      <c r="AB349" s="408"/>
      <c r="AC349" s="408"/>
      <c r="AD349" s="408"/>
      <c r="AE349" s="408"/>
      <c r="AF349" s="408"/>
      <c r="AG349" s="408"/>
      <c r="AH349" s="408"/>
      <c r="AI349" s="408"/>
      <c r="AJ349" s="408"/>
      <c r="AK349" s="408"/>
      <c r="AL349" s="408"/>
      <c r="AM349" s="408"/>
      <c r="AN349" s="408"/>
      <c r="AO349" s="408"/>
      <c r="AP349" s="408"/>
      <c r="AQ349" s="408"/>
      <c r="AR349" s="408"/>
      <c r="AS349" s="408"/>
      <c r="AT349" s="408"/>
      <c r="AU349" s="408"/>
      <c r="AV349" s="408"/>
      <c r="AW349" s="408"/>
      <c r="AX349" s="408"/>
      <c r="AY349" s="408"/>
      <c r="AZ349" s="408"/>
      <c r="BA349" s="408"/>
      <c r="BB349" s="408"/>
      <c r="BC349" s="408"/>
      <c r="BD349" s="408"/>
      <c r="BE349" s="408"/>
      <c r="BF349" s="408"/>
      <c r="BG349" s="408"/>
      <c r="BH349" s="408"/>
      <c r="BI349" s="408"/>
      <c r="BJ349" s="408"/>
      <c r="BK349" s="408"/>
      <c r="BL349" s="408"/>
      <c r="BM349" s="408"/>
      <c r="BN349" s="408"/>
      <c r="BO349" s="408"/>
      <c r="BP349" s="408"/>
      <c r="BQ349" s="408"/>
      <c r="BR349" s="408"/>
      <c r="BS349" s="408"/>
      <c r="BT349" s="408"/>
      <c r="BU349" s="408"/>
      <c r="BV349" s="408"/>
      <c r="BW349" s="408"/>
      <c r="BX349" s="408"/>
      <c r="BY349" s="408"/>
      <c r="BZ349" s="408"/>
      <c r="CA349" s="408"/>
      <c r="CB349" s="408"/>
      <c r="CC349" s="408"/>
      <c r="CD349" s="408"/>
      <c r="CE349" s="408"/>
      <c r="CF349" s="408"/>
      <c r="CG349" s="408"/>
      <c r="CH349" s="408"/>
      <c r="CI349" s="408"/>
      <c r="CJ349" s="408"/>
      <c r="CK349" s="408"/>
      <c r="CL349" s="408"/>
      <c r="CM349" s="408"/>
      <c r="CN349" s="408"/>
    </row>
    <row r="350">
      <c r="A350" s="408"/>
      <c r="B350" s="408"/>
      <c r="C350" s="408"/>
      <c r="D350" s="408"/>
      <c r="E350" s="408"/>
      <c r="F350" s="408"/>
      <c r="G350" s="408"/>
      <c r="H350" s="408"/>
      <c r="I350" s="408"/>
      <c r="J350" s="408"/>
      <c r="K350" s="408"/>
      <c r="L350" s="408"/>
      <c r="M350" s="408"/>
      <c r="N350" s="408"/>
      <c r="O350" s="408"/>
      <c r="P350" s="408"/>
      <c r="Q350" s="408"/>
      <c r="R350" s="408"/>
      <c r="S350" s="408"/>
      <c r="T350" s="408"/>
      <c r="U350" s="408"/>
      <c r="V350" s="408"/>
      <c r="W350" s="408"/>
      <c r="X350" s="408"/>
      <c r="Y350" s="408"/>
      <c r="Z350" s="408"/>
      <c r="AA350" s="408"/>
      <c r="AB350" s="408"/>
      <c r="AC350" s="408"/>
      <c r="AD350" s="408"/>
      <c r="AE350" s="408"/>
      <c r="AF350" s="408"/>
      <c r="AG350" s="408"/>
      <c r="AH350" s="408"/>
      <c r="AI350" s="408"/>
      <c r="AJ350" s="408"/>
      <c r="AK350" s="408"/>
      <c r="AL350" s="408"/>
      <c r="AM350" s="408"/>
      <c r="AN350" s="408"/>
      <c r="AO350" s="408"/>
      <c r="AP350" s="408"/>
      <c r="AQ350" s="408"/>
      <c r="AR350" s="408"/>
      <c r="AS350" s="408"/>
      <c r="AT350" s="408"/>
      <c r="AU350" s="408"/>
      <c r="AV350" s="408"/>
      <c r="AW350" s="408"/>
      <c r="AX350" s="408"/>
      <c r="AY350" s="408"/>
      <c r="AZ350" s="408"/>
      <c r="BA350" s="408"/>
      <c r="BB350" s="408"/>
      <c r="BC350" s="408"/>
      <c r="BD350" s="408"/>
      <c r="BE350" s="408"/>
      <c r="BF350" s="408"/>
      <c r="BG350" s="408"/>
      <c r="BH350" s="408"/>
      <c r="BI350" s="408"/>
      <c r="BJ350" s="408"/>
      <c r="BK350" s="408"/>
      <c r="BL350" s="408"/>
      <c r="BM350" s="408"/>
      <c r="BN350" s="408"/>
      <c r="BO350" s="408"/>
      <c r="BP350" s="408"/>
      <c r="BQ350" s="408"/>
      <c r="BR350" s="408"/>
      <c r="BS350" s="408"/>
      <c r="BT350" s="408"/>
      <c r="BU350" s="408"/>
      <c r="BV350" s="408"/>
      <c r="BW350" s="408"/>
      <c r="BX350" s="408"/>
      <c r="BY350" s="408"/>
      <c r="BZ350" s="408"/>
      <c r="CA350" s="408"/>
      <c r="CB350" s="408"/>
      <c r="CC350" s="408"/>
      <c r="CD350" s="408"/>
      <c r="CE350" s="408"/>
      <c r="CF350" s="408"/>
      <c r="CG350" s="408"/>
      <c r="CH350" s="408"/>
      <c r="CI350" s="408"/>
      <c r="CJ350" s="408"/>
      <c r="CK350" s="408"/>
      <c r="CL350" s="408"/>
      <c r="CM350" s="408"/>
      <c r="CN350" s="408"/>
    </row>
    <row r="351">
      <c r="A351" s="408"/>
      <c r="B351" s="408"/>
      <c r="C351" s="408"/>
      <c r="D351" s="408"/>
      <c r="E351" s="408"/>
      <c r="F351" s="408"/>
      <c r="G351" s="408"/>
      <c r="H351" s="408"/>
      <c r="I351" s="408"/>
      <c r="J351" s="408"/>
      <c r="K351" s="408"/>
      <c r="L351" s="408"/>
      <c r="M351" s="408"/>
      <c r="N351" s="408"/>
      <c r="O351" s="408"/>
      <c r="P351" s="408"/>
      <c r="Q351" s="408"/>
      <c r="R351" s="408"/>
      <c r="S351" s="408"/>
      <c r="T351" s="408"/>
      <c r="U351" s="408"/>
      <c r="V351" s="408"/>
      <c r="W351" s="408"/>
      <c r="X351" s="408"/>
      <c r="Y351" s="408"/>
      <c r="Z351" s="408"/>
      <c r="AA351" s="408"/>
      <c r="AB351" s="408"/>
      <c r="AC351" s="408"/>
      <c r="AD351" s="408"/>
      <c r="AE351" s="408"/>
      <c r="AF351" s="408"/>
      <c r="AG351" s="408"/>
      <c r="AH351" s="408"/>
      <c r="AI351" s="408"/>
      <c r="AJ351" s="408"/>
      <c r="AK351" s="408"/>
      <c r="AL351" s="408"/>
      <c r="AM351" s="408"/>
      <c r="AN351" s="408"/>
      <c r="AO351" s="408"/>
      <c r="AP351" s="408"/>
      <c r="AQ351" s="408"/>
      <c r="AR351" s="408"/>
      <c r="AS351" s="408"/>
      <c r="AT351" s="408"/>
      <c r="AU351" s="408"/>
      <c r="AV351" s="408"/>
      <c r="AW351" s="408"/>
      <c r="AX351" s="408"/>
      <c r="AY351" s="408"/>
      <c r="AZ351" s="408"/>
      <c r="BA351" s="408"/>
      <c r="BB351" s="408"/>
      <c r="BC351" s="408"/>
      <c r="BD351" s="408"/>
      <c r="BE351" s="408"/>
      <c r="BF351" s="408"/>
      <c r="BG351" s="408"/>
      <c r="BH351" s="408"/>
      <c r="BI351" s="408"/>
      <c r="BJ351" s="408"/>
      <c r="BK351" s="408"/>
      <c r="BL351" s="408"/>
      <c r="BM351" s="408"/>
      <c r="BN351" s="408"/>
      <c r="BO351" s="408"/>
      <c r="BP351" s="408"/>
      <c r="BQ351" s="408"/>
      <c r="BR351" s="408"/>
      <c r="BS351" s="408"/>
      <c r="BT351" s="408"/>
      <c r="BU351" s="408"/>
      <c r="BV351" s="408"/>
      <c r="BW351" s="408"/>
      <c r="BX351" s="408"/>
      <c r="BY351" s="408"/>
      <c r="BZ351" s="408"/>
      <c r="CA351" s="408"/>
      <c r="CB351" s="408"/>
      <c r="CC351" s="408"/>
      <c r="CD351" s="408"/>
      <c r="CE351" s="408"/>
      <c r="CF351" s="408"/>
      <c r="CG351" s="408"/>
      <c r="CH351" s="408"/>
      <c r="CI351" s="408"/>
      <c r="CJ351" s="408"/>
      <c r="CK351" s="408"/>
      <c r="CL351" s="408"/>
      <c r="CM351" s="408"/>
      <c r="CN351" s="408"/>
    </row>
    <row r="352">
      <c r="A352" s="408"/>
      <c r="B352" s="408"/>
      <c r="C352" s="408"/>
      <c r="D352" s="408"/>
      <c r="E352" s="408"/>
      <c r="F352" s="408"/>
      <c r="G352" s="408"/>
      <c r="H352" s="408"/>
      <c r="I352" s="408"/>
      <c r="J352" s="408"/>
      <c r="K352" s="408"/>
      <c r="L352" s="408"/>
      <c r="M352" s="408"/>
      <c r="N352" s="408"/>
      <c r="O352" s="408"/>
      <c r="P352" s="408"/>
      <c r="Q352" s="408"/>
      <c r="R352" s="408"/>
      <c r="S352" s="408"/>
      <c r="T352" s="408"/>
      <c r="U352" s="408"/>
      <c r="V352" s="408"/>
      <c r="W352" s="408"/>
      <c r="X352" s="408"/>
      <c r="Y352" s="408"/>
      <c r="Z352" s="408"/>
      <c r="AA352" s="408"/>
      <c r="AB352" s="408"/>
      <c r="AC352" s="408"/>
      <c r="AD352" s="408"/>
      <c r="AE352" s="408"/>
      <c r="AF352" s="408"/>
      <c r="AG352" s="408"/>
      <c r="AH352" s="408"/>
      <c r="AI352" s="408"/>
      <c r="AJ352" s="408"/>
      <c r="AK352" s="408"/>
      <c r="AL352" s="408"/>
      <c r="AM352" s="408"/>
      <c r="AN352" s="408"/>
      <c r="AO352" s="408"/>
      <c r="AP352" s="408"/>
      <c r="AQ352" s="408"/>
      <c r="AR352" s="408"/>
      <c r="AS352" s="408"/>
      <c r="AT352" s="408"/>
      <c r="AU352" s="408"/>
      <c r="AV352" s="408"/>
      <c r="AW352" s="408"/>
      <c r="AX352" s="408"/>
      <c r="AY352" s="408"/>
      <c r="AZ352" s="408"/>
      <c r="BA352" s="408"/>
      <c r="BB352" s="408"/>
      <c r="BC352" s="408"/>
      <c r="BD352" s="408"/>
      <c r="BE352" s="408"/>
      <c r="BF352" s="408"/>
      <c r="BG352" s="408"/>
      <c r="BH352" s="408"/>
      <c r="BI352" s="408"/>
      <c r="BJ352" s="408"/>
      <c r="BK352" s="408"/>
      <c r="BL352" s="408"/>
      <c r="BM352" s="408"/>
      <c r="BN352" s="408"/>
      <c r="BO352" s="408"/>
      <c r="BP352" s="408"/>
      <c r="BQ352" s="408"/>
      <c r="BR352" s="408"/>
      <c r="BS352" s="408"/>
      <c r="BT352" s="408"/>
      <c r="BU352" s="408"/>
      <c r="BV352" s="408"/>
      <c r="BW352" s="408"/>
      <c r="BX352" s="408"/>
      <c r="BY352" s="408"/>
      <c r="BZ352" s="408"/>
      <c r="CA352" s="408"/>
      <c r="CB352" s="408"/>
      <c r="CC352" s="408"/>
      <c r="CD352" s="408"/>
      <c r="CE352" s="408"/>
      <c r="CF352" s="408"/>
      <c r="CG352" s="408"/>
      <c r="CH352" s="408"/>
      <c r="CI352" s="408"/>
      <c r="CJ352" s="408"/>
      <c r="CK352" s="408"/>
      <c r="CL352" s="408"/>
      <c r="CM352" s="408"/>
      <c r="CN352" s="408"/>
    </row>
    <row r="353">
      <c r="A353" s="408"/>
      <c r="B353" s="408"/>
      <c r="C353" s="408"/>
      <c r="D353" s="408"/>
      <c r="E353" s="408"/>
      <c r="F353" s="408"/>
      <c r="G353" s="408"/>
      <c r="H353" s="408"/>
      <c r="I353" s="408"/>
      <c r="J353" s="408"/>
      <c r="K353" s="408"/>
      <c r="L353" s="408"/>
      <c r="M353" s="408"/>
      <c r="N353" s="408"/>
      <c r="O353" s="408"/>
      <c r="P353" s="408"/>
      <c r="Q353" s="408"/>
      <c r="R353" s="408"/>
      <c r="S353" s="408"/>
      <c r="T353" s="408"/>
      <c r="U353" s="408"/>
      <c r="V353" s="408"/>
      <c r="W353" s="408"/>
      <c r="X353" s="408"/>
      <c r="Y353" s="408"/>
      <c r="Z353" s="408"/>
      <c r="AA353" s="408"/>
      <c r="AB353" s="408"/>
      <c r="AC353" s="408"/>
      <c r="AD353" s="408"/>
      <c r="AE353" s="408"/>
      <c r="AF353" s="408"/>
      <c r="AG353" s="408"/>
      <c r="AH353" s="408"/>
      <c r="AI353" s="408"/>
      <c r="AJ353" s="408"/>
      <c r="AK353" s="408"/>
      <c r="AL353" s="408"/>
      <c r="AM353" s="408"/>
      <c r="AN353" s="408"/>
      <c r="AO353" s="408"/>
      <c r="AP353" s="408"/>
      <c r="AQ353" s="408"/>
      <c r="AR353" s="408"/>
      <c r="AS353" s="408"/>
      <c r="AT353" s="408"/>
      <c r="AU353" s="408"/>
      <c r="AV353" s="408"/>
      <c r="AW353" s="408"/>
      <c r="AX353" s="408"/>
      <c r="AY353" s="408"/>
      <c r="AZ353" s="408"/>
      <c r="BA353" s="408"/>
      <c r="BB353" s="408"/>
      <c r="BC353" s="408"/>
      <c r="BD353" s="408"/>
      <c r="BE353" s="408"/>
      <c r="BF353" s="408"/>
      <c r="BG353" s="408"/>
      <c r="BH353" s="408"/>
      <c r="BI353" s="408"/>
      <c r="BJ353" s="408"/>
      <c r="BK353" s="408"/>
      <c r="BL353" s="408"/>
      <c r="BM353" s="408"/>
      <c r="BN353" s="408"/>
      <c r="BO353" s="408"/>
      <c r="BP353" s="408"/>
      <c r="BQ353" s="408"/>
      <c r="BR353" s="408"/>
      <c r="BS353" s="408"/>
      <c r="BT353" s="408"/>
      <c r="BU353" s="408"/>
      <c r="BV353" s="408"/>
      <c r="BW353" s="408"/>
      <c r="BX353" s="408"/>
      <c r="BY353" s="408"/>
      <c r="BZ353" s="408"/>
      <c r="CA353" s="408"/>
      <c r="CB353" s="408"/>
      <c r="CC353" s="408"/>
      <c r="CD353" s="408"/>
      <c r="CE353" s="408"/>
      <c r="CF353" s="408"/>
      <c r="CG353" s="408"/>
      <c r="CH353" s="408"/>
      <c r="CI353" s="408"/>
      <c r="CJ353" s="408"/>
      <c r="CK353" s="408"/>
      <c r="CL353" s="408"/>
      <c r="CM353" s="408"/>
      <c r="CN353" s="408"/>
    </row>
    <row r="354">
      <c r="A354" s="408"/>
      <c r="B354" s="408"/>
      <c r="C354" s="408"/>
      <c r="D354" s="408"/>
      <c r="E354" s="408"/>
      <c r="F354" s="408"/>
      <c r="G354" s="408"/>
      <c r="H354" s="408"/>
      <c r="I354" s="408"/>
      <c r="J354" s="408"/>
      <c r="K354" s="408"/>
      <c r="L354" s="408"/>
      <c r="M354" s="408"/>
      <c r="N354" s="408"/>
      <c r="O354" s="408"/>
      <c r="P354" s="408"/>
      <c r="Q354" s="408"/>
      <c r="R354" s="408"/>
      <c r="S354" s="408"/>
      <c r="T354" s="408"/>
      <c r="U354" s="408"/>
      <c r="V354" s="408"/>
      <c r="W354" s="408"/>
      <c r="X354" s="408"/>
      <c r="Y354" s="408"/>
      <c r="Z354" s="408"/>
      <c r="AA354" s="408"/>
      <c r="AB354" s="408"/>
      <c r="AC354" s="408"/>
      <c r="AD354" s="408"/>
      <c r="AE354" s="408"/>
      <c r="AF354" s="408"/>
      <c r="AG354" s="408"/>
      <c r="AH354" s="408"/>
      <c r="AI354" s="408"/>
      <c r="AJ354" s="408"/>
      <c r="AK354" s="408"/>
      <c r="AL354" s="408"/>
      <c r="AM354" s="408"/>
      <c r="AN354" s="408"/>
      <c r="AO354" s="408"/>
      <c r="AP354" s="408"/>
      <c r="AQ354" s="408"/>
      <c r="AR354" s="408"/>
      <c r="AS354" s="408"/>
      <c r="AT354" s="408"/>
      <c r="AU354" s="408"/>
      <c r="AV354" s="408"/>
      <c r="AW354" s="408"/>
      <c r="AX354" s="408"/>
      <c r="AY354" s="408"/>
      <c r="AZ354" s="408"/>
      <c r="BA354" s="408"/>
      <c r="BB354" s="408"/>
      <c r="BC354" s="408"/>
      <c r="BD354" s="408"/>
      <c r="BE354" s="408"/>
      <c r="BF354" s="408"/>
      <c r="BG354" s="408"/>
      <c r="BH354" s="408"/>
      <c r="BI354" s="408"/>
      <c r="BJ354" s="408"/>
      <c r="BK354" s="408"/>
      <c r="BL354" s="408"/>
      <c r="BM354" s="408"/>
      <c r="BN354" s="408"/>
      <c r="BO354" s="408"/>
      <c r="BP354" s="408"/>
      <c r="BQ354" s="408"/>
      <c r="BR354" s="408"/>
      <c r="BS354" s="408"/>
      <c r="BT354" s="408"/>
      <c r="BU354" s="408"/>
      <c r="BV354" s="408"/>
      <c r="BW354" s="408"/>
      <c r="BX354" s="408"/>
      <c r="BY354" s="408"/>
      <c r="BZ354" s="408"/>
      <c r="CA354" s="408"/>
      <c r="CB354" s="408"/>
      <c r="CC354" s="408"/>
      <c r="CD354" s="408"/>
      <c r="CE354" s="408"/>
      <c r="CF354" s="408"/>
      <c r="CG354" s="408"/>
      <c r="CH354" s="408"/>
      <c r="CI354" s="408"/>
      <c r="CJ354" s="408"/>
      <c r="CK354" s="408"/>
      <c r="CL354" s="408"/>
      <c r="CM354" s="408"/>
      <c r="CN354" s="408"/>
    </row>
    <row r="355">
      <c r="A355" s="408"/>
      <c r="B355" s="408"/>
      <c r="C355" s="408"/>
      <c r="D355" s="408"/>
      <c r="E355" s="408"/>
      <c r="F355" s="408"/>
      <c r="G355" s="408"/>
      <c r="H355" s="408"/>
      <c r="I355" s="408"/>
      <c r="J355" s="408"/>
      <c r="K355" s="408"/>
      <c r="L355" s="408"/>
      <c r="M355" s="408"/>
      <c r="N355" s="408"/>
      <c r="O355" s="408"/>
      <c r="P355" s="408"/>
      <c r="Q355" s="408"/>
      <c r="R355" s="408"/>
      <c r="S355" s="408"/>
      <c r="T355" s="408"/>
      <c r="U355" s="408"/>
      <c r="V355" s="408"/>
      <c r="W355" s="408"/>
      <c r="X355" s="408"/>
      <c r="Y355" s="408"/>
      <c r="Z355" s="408"/>
      <c r="AA355" s="408"/>
      <c r="AB355" s="408"/>
      <c r="AC355" s="408"/>
      <c r="AD355" s="408"/>
      <c r="AE355" s="408"/>
      <c r="AF355" s="408"/>
      <c r="AG355" s="408"/>
      <c r="AH355" s="408"/>
      <c r="AI355" s="408"/>
      <c r="AJ355" s="408"/>
      <c r="AK355" s="408"/>
      <c r="AL355" s="408"/>
      <c r="AM355" s="408"/>
      <c r="AN355" s="408"/>
      <c r="AO355" s="408"/>
      <c r="AP355" s="408"/>
      <c r="AQ355" s="408"/>
      <c r="AR355" s="408"/>
      <c r="AS355" s="408"/>
      <c r="AT355" s="408"/>
      <c r="AU355" s="408"/>
      <c r="AV355" s="408"/>
      <c r="AW355" s="408"/>
      <c r="AX355" s="408"/>
      <c r="AY355" s="408"/>
      <c r="AZ355" s="408"/>
      <c r="BA355" s="408"/>
      <c r="BB355" s="408"/>
      <c r="BC355" s="408"/>
      <c r="BD355" s="408"/>
      <c r="BE355" s="408"/>
      <c r="BF355" s="408"/>
      <c r="BG355" s="408"/>
      <c r="BH355" s="408"/>
      <c r="BI355" s="408"/>
      <c r="BJ355" s="408"/>
      <c r="BK355" s="408"/>
      <c r="BL355" s="408"/>
      <c r="BM355" s="408"/>
      <c r="BN355" s="408"/>
      <c r="BO355" s="408"/>
      <c r="BP355" s="408"/>
      <c r="BQ355" s="408"/>
      <c r="BR355" s="408"/>
      <c r="BS355" s="408"/>
      <c r="BT355" s="408"/>
      <c r="BU355" s="408"/>
      <c r="BV355" s="408"/>
      <c r="BW355" s="408"/>
      <c r="BX355" s="408"/>
      <c r="BY355" s="408"/>
      <c r="BZ355" s="408"/>
      <c r="CA355" s="408"/>
      <c r="CB355" s="408"/>
      <c r="CC355" s="408"/>
      <c r="CD355" s="408"/>
      <c r="CE355" s="408"/>
      <c r="CF355" s="408"/>
      <c r="CG355" s="408"/>
      <c r="CH355" s="408"/>
      <c r="CI355" s="408"/>
      <c r="CJ355" s="408"/>
      <c r="CK355" s="408"/>
      <c r="CL355" s="408"/>
      <c r="CM355" s="408"/>
      <c r="CN355" s="408"/>
    </row>
    <row r="356">
      <c r="A356" s="408"/>
      <c r="B356" s="408"/>
      <c r="C356" s="408"/>
      <c r="D356" s="408"/>
      <c r="E356" s="408"/>
      <c r="F356" s="408"/>
      <c r="G356" s="408"/>
      <c r="H356" s="408"/>
      <c r="I356" s="408"/>
      <c r="J356" s="408"/>
      <c r="K356" s="408"/>
      <c r="L356" s="408"/>
      <c r="M356" s="408"/>
      <c r="N356" s="408"/>
      <c r="O356" s="408"/>
      <c r="P356" s="408"/>
      <c r="Q356" s="408"/>
      <c r="R356" s="408"/>
      <c r="S356" s="408"/>
      <c r="T356" s="408"/>
      <c r="U356" s="408"/>
      <c r="V356" s="408"/>
      <c r="W356" s="408"/>
      <c r="X356" s="408"/>
      <c r="Y356" s="408"/>
      <c r="Z356" s="408"/>
      <c r="AA356" s="408"/>
      <c r="AB356" s="408"/>
      <c r="AC356" s="408"/>
      <c r="AD356" s="408"/>
      <c r="AE356" s="408"/>
      <c r="AF356" s="408"/>
      <c r="AG356" s="408"/>
      <c r="AH356" s="408"/>
      <c r="AI356" s="408"/>
      <c r="AJ356" s="408"/>
      <c r="AK356" s="408"/>
      <c r="AL356" s="408"/>
      <c r="AM356" s="408"/>
      <c r="AN356" s="408"/>
      <c r="AO356" s="408"/>
      <c r="AP356" s="408"/>
      <c r="AQ356" s="408"/>
      <c r="AR356" s="408"/>
      <c r="AS356" s="408"/>
      <c r="AT356" s="408"/>
      <c r="AU356" s="408"/>
      <c r="AV356" s="408"/>
      <c r="AW356" s="408"/>
      <c r="AX356" s="408"/>
      <c r="AY356" s="408"/>
      <c r="AZ356" s="408"/>
      <c r="BA356" s="408"/>
      <c r="BB356" s="408"/>
      <c r="BC356" s="408"/>
      <c r="BD356" s="408"/>
      <c r="BE356" s="408"/>
      <c r="BF356" s="408"/>
      <c r="BG356" s="408"/>
      <c r="BH356" s="408"/>
      <c r="BI356" s="408"/>
      <c r="BJ356" s="408"/>
      <c r="BK356" s="408"/>
      <c r="BL356" s="408"/>
      <c r="BM356" s="408"/>
      <c r="BN356" s="408"/>
      <c r="BO356" s="408"/>
      <c r="BP356" s="408"/>
      <c r="BQ356" s="408"/>
      <c r="BR356" s="408"/>
      <c r="BS356" s="408"/>
      <c r="BT356" s="408"/>
      <c r="BU356" s="408"/>
      <c r="BV356" s="408"/>
      <c r="BW356" s="408"/>
      <c r="BX356" s="408"/>
      <c r="BY356" s="408"/>
      <c r="BZ356" s="408"/>
      <c r="CA356" s="408"/>
      <c r="CB356" s="408"/>
      <c r="CC356" s="408"/>
      <c r="CD356" s="408"/>
      <c r="CE356" s="408"/>
      <c r="CF356" s="408"/>
      <c r="CG356" s="408"/>
      <c r="CH356" s="408"/>
      <c r="CI356" s="408"/>
      <c r="CJ356" s="408"/>
      <c r="CK356" s="408"/>
      <c r="CL356" s="408"/>
      <c r="CM356" s="408"/>
      <c r="CN356" s="408"/>
    </row>
    <row r="357">
      <c r="A357" s="408"/>
      <c r="B357" s="408"/>
      <c r="C357" s="408"/>
      <c r="D357" s="408"/>
      <c r="E357" s="408"/>
      <c r="F357" s="408"/>
      <c r="G357" s="408"/>
      <c r="H357" s="408"/>
      <c r="I357" s="408"/>
      <c r="J357" s="408"/>
      <c r="K357" s="408"/>
      <c r="L357" s="408"/>
      <c r="M357" s="408"/>
      <c r="N357" s="408"/>
      <c r="O357" s="408"/>
      <c r="P357" s="408"/>
      <c r="Q357" s="408"/>
      <c r="R357" s="408"/>
      <c r="S357" s="408"/>
      <c r="T357" s="408"/>
      <c r="U357" s="408"/>
      <c r="V357" s="408"/>
      <c r="W357" s="408"/>
      <c r="X357" s="408"/>
      <c r="Y357" s="408"/>
      <c r="Z357" s="408"/>
      <c r="AA357" s="408"/>
      <c r="AB357" s="408"/>
      <c r="AC357" s="408"/>
      <c r="AD357" s="408"/>
      <c r="AE357" s="408"/>
      <c r="AF357" s="408"/>
      <c r="AG357" s="408"/>
      <c r="AH357" s="408"/>
      <c r="AI357" s="408"/>
      <c r="AJ357" s="408"/>
      <c r="AK357" s="408"/>
      <c r="AL357" s="408"/>
      <c r="AM357" s="408"/>
      <c r="AN357" s="408"/>
      <c r="AO357" s="408"/>
      <c r="AP357" s="408"/>
      <c r="AQ357" s="408"/>
      <c r="AR357" s="408"/>
      <c r="AS357" s="408"/>
      <c r="AT357" s="408"/>
      <c r="AU357" s="408"/>
      <c r="AV357" s="408"/>
      <c r="AW357" s="408"/>
      <c r="AX357" s="408"/>
      <c r="AY357" s="408"/>
      <c r="AZ357" s="408"/>
      <c r="BA357" s="408"/>
      <c r="BB357" s="408"/>
      <c r="BC357" s="408"/>
      <c r="BD357" s="408"/>
      <c r="BE357" s="408"/>
      <c r="BF357" s="408"/>
      <c r="BG357" s="408"/>
      <c r="BH357" s="408"/>
      <c r="BI357" s="408"/>
      <c r="BJ357" s="408"/>
      <c r="BK357" s="408"/>
      <c r="BL357" s="408"/>
      <c r="BM357" s="408"/>
      <c r="BN357" s="408"/>
      <c r="BO357" s="408"/>
      <c r="BP357" s="408"/>
      <c r="BQ357" s="408"/>
      <c r="BR357" s="408"/>
      <c r="BS357" s="408"/>
      <c r="BT357" s="408"/>
      <c r="BU357" s="408"/>
      <c r="BV357" s="408"/>
      <c r="BW357" s="408"/>
      <c r="BX357" s="408"/>
      <c r="BY357" s="408"/>
      <c r="BZ357" s="408"/>
      <c r="CA357" s="408"/>
      <c r="CB357" s="408"/>
      <c r="CC357" s="408"/>
      <c r="CD357" s="408"/>
      <c r="CE357" s="408"/>
      <c r="CF357" s="408"/>
      <c r="CG357" s="408"/>
      <c r="CH357" s="408"/>
      <c r="CI357" s="408"/>
      <c r="CJ357" s="408"/>
      <c r="CK357" s="408"/>
      <c r="CL357" s="408"/>
      <c r="CM357" s="408"/>
      <c r="CN357" s="408"/>
    </row>
    <row r="358">
      <c r="A358" s="408"/>
      <c r="B358" s="408"/>
      <c r="C358" s="408"/>
      <c r="D358" s="408"/>
      <c r="E358" s="408"/>
      <c r="F358" s="408"/>
      <c r="G358" s="408"/>
      <c r="H358" s="408"/>
      <c r="I358" s="408"/>
      <c r="J358" s="408"/>
      <c r="K358" s="408"/>
      <c r="L358" s="408"/>
      <c r="M358" s="408"/>
      <c r="N358" s="408"/>
      <c r="O358" s="408"/>
      <c r="P358" s="408"/>
      <c r="Q358" s="408"/>
      <c r="R358" s="408"/>
      <c r="S358" s="408"/>
      <c r="T358" s="408"/>
      <c r="U358" s="408"/>
      <c r="V358" s="408"/>
      <c r="W358" s="408"/>
      <c r="X358" s="408"/>
      <c r="Y358" s="408"/>
      <c r="Z358" s="408"/>
      <c r="AA358" s="408"/>
      <c r="AB358" s="408"/>
      <c r="AC358" s="408"/>
      <c r="AD358" s="408"/>
      <c r="AE358" s="408"/>
      <c r="AF358" s="408"/>
      <c r="AG358" s="408"/>
      <c r="AH358" s="408"/>
      <c r="AI358" s="408"/>
      <c r="AJ358" s="408"/>
      <c r="AK358" s="408"/>
      <c r="AL358" s="408"/>
      <c r="AM358" s="408"/>
      <c r="AN358" s="408"/>
      <c r="AO358" s="408"/>
      <c r="AP358" s="408"/>
      <c r="AQ358" s="408"/>
      <c r="AR358" s="408"/>
      <c r="AS358" s="408"/>
      <c r="AT358" s="408"/>
      <c r="AU358" s="408"/>
      <c r="AV358" s="408"/>
      <c r="AW358" s="408"/>
      <c r="AX358" s="408"/>
      <c r="AY358" s="408"/>
      <c r="AZ358" s="408"/>
      <c r="BA358" s="408"/>
      <c r="BB358" s="408"/>
      <c r="BC358" s="408"/>
      <c r="BD358" s="408"/>
      <c r="BE358" s="408"/>
      <c r="BF358" s="408"/>
      <c r="BG358" s="408"/>
      <c r="BH358" s="408"/>
      <c r="BI358" s="408"/>
      <c r="BJ358" s="408"/>
      <c r="BK358" s="408"/>
      <c r="BL358" s="408"/>
      <c r="BM358" s="408"/>
      <c r="BN358" s="408"/>
      <c r="BO358" s="408"/>
      <c r="BP358" s="408"/>
      <c r="BQ358" s="408"/>
      <c r="BR358" s="408"/>
      <c r="BS358" s="408"/>
      <c r="BT358" s="408"/>
      <c r="BU358" s="408"/>
      <c r="BV358" s="408"/>
      <c r="BW358" s="408"/>
      <c r="BX358" s="408"/>
      <c r="BY358" s="408"/>
      <c r="BZ358" s="408"/>
      <c r="CA358" s="408"/>
      <c r="CB358" s="408"/>
      <c r="CC358" s="408"/>
      <c r="CD358" s="408"/>
      <c r="CE358" s="408"/>
      <c r="CF358" s="408"/>
      <c r="CG358" s="408"/>
      <c r="CH358" s="408"/>
      <c r="CI358" s="408"/>
      <c r="CJ358" s="408"/>
      <c r="CK358" s="408"/>
      <c r="CL358" s="408"/>
      <c r="CM358" s="408"/>
      <c r="CN358" s="408"/>
    </row>
    <row r="359">
      <c r="A359" s="408"/>
      <c r="B359" s="408"/>
      <c r="C359" s="408"/>
      <c r="D359" s="408"/>
      <c r="E359" s="408"/>
      <c r="F359" s="408"/>
      <c r="G359" s="408"/>
      <c r="H359" s="408"/>
      <c r="I359" s="408"/>
      <c r="J359" s="408"/>
      <c r="K359" s="408"/>
      <c r="L359" s="408"/>
      <c r="M359" s="408"/>
      <c r="N359" s="408"/>
      <c r="O359" s="408"/>
      <c r="P359" s="408"/>
      <c r="Q359" s="408"/>
      <c r="R359" s="408"/>
      <c r="S359" s="408"/>
      <c r="T359" s="408"/>
      <c r="U359" s="408"/>
      <c r="V359" s="408"/>
      <c r="W359" s="408"/>
      <c r="X359" s="408"/>
      <c r="Y359" s="408"/>
      <c r="Z359" s="408"/>
      <c r="AA359" s="408"/>
      <c r="AB359" s="408"/>
      <c r="AC359" s="408"/>
      <c r="AD359" s="408"/>
      <c r="AE359" s="408"/>
      <c r="AF359" s="408"/>
      <c r="AG359" s="408"/>
      <c r="AH359" s="408"/>
      <c r="AI359" s="408"/>
      <c r="AJ359" s="408"/>
      <c r="AK359" s="408"/>
      <c r="AL359" s="408"/>
      <c r="AM359" s="408"/>
      <c r="AN359" s="408"/>
      <c r="AO359" s="408"/>
      <c r="AP359" s="408"/>
      <c r="AQ359" s="408"/>
      <c r="AR359" s="408"/>
      <c r="AS359" s="408"/>
      <c r="AT359" s="408"/>
      <c r="AU359" s="408"/>
      <c r="AV359" s="408"/>
      <c r="AW359" s="408"/>
      <c r="AX359" s="408"/>
      <c r="AY359" s="408"/>
      <c r="AZ359" s="408"/>
      <c r="BA359" s="408"/>
      <c r="BB359" s="408"/>
      <c r="BC359" s="408"/>
      <c r="BD359" s="408"/>
      <c r="BE359" s="408"/>
      <c r="BF359" s="408"/>
      <c r="BG359" s="408"/>
      <c r="BH359" s="408"/>
      <c r="BI359" s="408"/>
      <c r="BJ359" s="408"/>
      <c r="BK359" s="408"/>
      <c r="BL359" s="408"/>
      <c r="BM359" s="408"/>
      <c r="BN359" s="408"/>
      <c r="BO359" s="408"/>
      <c r="BP359" s="408"/>
      <c r="BQ359" s="408"/>
      <c r="BR359" s="408"/>
      <c r="BS359" s="408"/>
      <c r="BT359" s="408"/>
      <c r="BU359" s="408"/>
      <c r="BV359" s="408"/>
      <c r="BW359" s="408"/>
      <c r="BX359" s="408"/>
      <c r="BY359" s="408"/>
      <c r="BZ359" s="408"/>
      <c r="CA359" s="408"/>
      <c r="CB359" s="408"/>
      <c r="CC359" s="408"/>
      <c r="CD359" s="408"/>
      <c r="CE359" s="408"/>
      <c r="CF359" s="408"/>
      <c r="CG359" s="408"/>
      <c r="CH359" s="408"/>
      <c r="CI359" s="408"/>
      <c r="CJ359" s="408"/>
      <c r="CK359" s="408"/>
      <c r="CL359" s="408"/>
      <c r="CM359" s="408"/>
      <c r="CN359" s="408"/>
    </row>
    <row r="360">
      <c r="A360" s="408"/>
      <c r="B360" s="408"/>
      <c r="C360" s="408"/>
      <c r="D360" s="408"/>
      <c r="E360" s="408"/>
      <c r="F360" s="408"/>
      <c r="G360" s="408"/>
      <c r="H360" s="408"/>
      <c r="I360" s="408"/>
      <c r="J360" s="408"/>
      <c r="K360" s="408"/>
      <c r="L360" s="408"/>
      <c r="M360" s="408"/>
      <c r="N360" s="408"/>
      <c r="O360" s="408"/>
      <c r="P360" s="408"/>
      <c r="Q360" s="408"/>
      <c r="R360" s="408"/>
      <c r="S360" s="408"/>
      <c r="T360" s="408"/>
      <c r="U360" s="408"/>
      <c r="V360" s="408"/>
      <c r="W360" s="408"/>
      <c r="X360" s="408"/>
      <c r="Y360" s="408"/>
      <c r="Z360" s="408"/>
      <c r="AA360" s="408"/>
      <c r="AB360" s="408"/>
      <c r="AC360" s="408"/>
      <c r="AD360" s="408"/>
      <c r="AE360" s="408"/>
      <c r="AF360" s="408"/>
      <c r="AG360" s="408"/>
      <c r="AH360" s="408"/>
      <c r="AI360" s="408"/>
      <c r="AJ360" s="408"/>
      <c r="AK360" s="408"/>
      <c r="AL360" s="408"/>
      <c r="AM360" s="408"/>
      <c r="AN360" s="408"/>
      <c r="AO360" s="408"/>
      <c r="AP360" s="408"/>
      <c r="AQ360" s="408"/>
      <c r="AR360" s="408"/>
      <c r="AS360" s="408"/>
      <c r="AT360" s="408"/>
      <c r="AU360" s="408"/>
      <c r="AV360" s="408"/>
      <c r="AW360" s="408"/>
      <c r="AX360" s="408"/>
      <c r="AY360" s="408"/>
      <c r="AZ360" s="408"/>
      <c r="BA360" s="408"/>
      <c r="BB360" s="408"/>
      <c r="BC360" s="408"/>
      <c r="BD360" s="408"/>
      <c r="BE360" s="408"/>
      <c r="BF360" s="408"/>
      <c r="BG360" s="408"/>
      <c r="BH360" s="408"/>
      <c r="BI360" s="408"/>
      <c r="BJ360" s="408"/>
      <c r="BK360" s="408"/>
      <c r="BL360" s="408"/>
      <c r="BM360" s="408"/>
      <c r="BN360" s="408"/>
      <c r="BO360" s="408"/>
      <c r="BP360" s="408"/>
      <c r="BQ360" s="408"/>
      <c r="BR360" s="408"/>
      <c r="BS360" s="408"/>
      <c r="BT360" s="408"/>
      <c r="BU360" s="408"/>
      <c r="BV360" s="408"/>
      <c r="BW360" s="408"/>
      <c r="BX360" s="408"/>
      <c r="BY360" s="408"/>
      <c r="BZ360" s="408"/>
      <c r="CA360" s="408"/>
      <c r="CB360" s="408"/>
      <c r="CC360" s="408"/>
      <c r="CD360" s="408"/>
      <c r="CE360" s="408"/>
      <c r="CF360" s="408"/>
      <c r="CG360" s="408"/>
      <c r="CH360" s="408"/>
      <c r="CI360" s="408"/>
      <c r="CJ360" s="408"/>
      <c r="CK360" s="408"/>
      <c r="CL360" s="408"/>
      <c r="CM360" s="408"/>
      <c r="CN360" s="408"/>
    </row>
    <row r="361">
      <c r="A361" s="408"/>
      <c r="B361" s="408"/>
      <c r="C361" s="408"/>
      <c r="D361" s="408"/>
      <c r="E361" s="408"/>
      <c r="F361" s="408"/>
      <c r="G361" s="408"/>
      <c r="H361" s="408"/>
      <c r="I361" s="408"/>
      <c r="J361" s="408"/>
      <c r="K361" s="408"/>
      <c r="L361" s="408"/>
      <c r="M361" s="408"/>
      <c r="N361" s="408"/>
      <c r="O361" s="408"/>
      <c r="P361" s="408"/>
      <c r="Q361" s="408"/>
      <c r="R361" s="408"/>
      <c r="S361" s="408"/>
      <c r="T361" s="408"/>
      <c r="U361" s="408"/>
      <c r="V361" s="408"/>
      <c r="W361" s="408"/>
      <c r="X361" s="408"/>
      <c r="Y361" s="408"/>
      <c r="Z361" s="408"/>
      <c r="AA361" s="408"/>
      <c r="AB361" s="408"/>
      <c r="AC361" s="408"/>
      <c r="AD361" s="408"/>
      <c r="AE361" s="408"/>
      <c r="AF361" s="408"/>
      <c r="AG361" s="408"/>
      <c r="AH361" s="408"/>
      <c r="AI361" s="408"/>
      <c r="AJ361" s="408"/>
      <c r="AK361" s="408"/>
      <c r="AL361" s="408"/>
      <c r="AM361" s="408"/>
      <c r="AN361" s="408"/>
      <c r="AO361" s="408"/>
      <c r="AP361" s="408"/>
      <c r="AQ361" s="408"/>
      <c r="AR361" s="408"/>
      <c r="AS361" s="408"/>
      <c r="AT361" s="408"/>
      <c r="AU361" s="408"/>
      <c r="AV361" s="408"/>
      <c r="AW361" s="408"/>
      <c r="AX361" s="408"/>
      <c r="AY361" s="408"/>
      <c r="AZ361" s="408"/>
      <c r="BA361" s="408"/>
      <c r="BB361" s="408"/>
      <c r="BC361" s="408"/>
      <c r="BD361" s="408"/>
      <c r="BE361" s="408"/>
      <c r="BF361" s="408"/>
      <c r="BG361" s="408"/>
      <c r="BH361" s="408"/>
      <c r="BI361" s="408"/>
      <c r="BJ361" s="408"/>
      <c r="BK361" s="408"/>
      <c r="BL361" s="408"/>
      <c r="BM361" s="408"/>
      <c r="BN361" s="408"/>
      <c r="BO361" s="408"/>
      <c r="BP361" s="408"/>
      <c r="BQ361" s="408"/>
      <c r="BR361" s="408"/>
      <c r="BS361" s="408"/>
      <c r="BT361" s="408"/>
      <c r="BU361" s="408"/>
      <c r="BV361" s="408"/>
      <c r="BW361" s="408"/>
      <c r="BX361" s="408"/>
      <c r="BY361" s="408"/>
      <c r="BZ361" s="408"/>
      <c r="CA361" s="408"/>
      <c r="CB361" s="408"/>
      <c r="CC361" s="408"/>
      <c r="CD361" s="408"/>
      <c r="CE361" s="408"/>
      <c r="CF361" s="408"/>
      <c r="CG361" s="408"/>
      <c r="CH361" s="408"/>
      <c r="CI361" s="408"/>
      <c r="CJ361" s="408"/>
      <c r="CK361" s="408"/>
      <c r="CL361" s="408"/>
      <c r="CM361" s="408"/>
      <c r="CN361" s="408"/>
    </row>
    <row r="362">
      <c r="A362" s="408"/>
      <c r="B362" s="408"/>
      <c r="C362" s="408"/>
      <c r="D362" s="408"/>
      <c r="E362" s="408"/>
      <c r="F362" s="408"/>
      <c r="G362" s="408"/>
      <c r="H362" s="408"/>
      <c r="I362" s="408"/>
      <c r="J362" s="408"/>
      <c r="K362" s="408"/>
      <c r="L362" s="408"/>
      <c r="M362" s="408"/>
      <c r="N362" s="408"/>
      <c r="O362" s="408"/>
      <c r="P362" s="408"/>
      <c r="Q362" s="408"/>
      <c r="R362" s="408"/>
      <c r="S362" s="408"/>
      <c r="T362" s="408"/>
      <c r="U362" s="408"/>
      <c r="V362" s="408"/>
      <c r="W362" s="408"/>
      <c r="X362" s="408"/>
      <c r="Y362" s="408"/>
      <c r="Z362" s="408"/>
      <c r="AA362" s="408"/>
      <c r="AB362" s="408"/>
      <c r="AC362" s="408"/>
      <c r="AD362" s="408"/>
      <c r="AE362" s="408"/>
      <c r="AF362" s="408"/>
      <c r="AG362" s="408"/>
      <c r="AH362" s="408"/>
      <c r="AI362" s="408"/>
      <c r="AJ362" s="408"/>
      <c r="AK362" s="408"/>
      <c r="AL362" s="408"/>
      <c r="AM362" s="408"/>
      <c r="AN362" s="408"/>
      <c r="AO362" s="408"/>
      <c r="AP362" s="408"/>
      <c r="AQ362" s="408"/>
      <c r="AR362" s="408"/>
      <c r="AS362" s="408"/>
      <c r="AT362" s="408"/>
      <c r="AU362" s="408"/>
      <c r="AV362" s="408"/>
      <c r="AW362" s="408"/>
      <c r="AX362" s="408"/>
      <c r="AY362" s="408"/>
      <c r="AZ362" s="408"/>
      <c r="BA362" s="408"/>
      <c r="BB362" s="408"/>
      <c r="BC362" s="408"/>
      <c r="BD362" s="408"/>
      <c r="BE362" s="408"/>
      <c r="BF362" s="408"/>
      <c r="BG362" s="408"/>
      <c r="BH362" s="408"/>
      <c r="BI362" s="408"/>
      <c r="BJ362" s="408"/>
      <c r="BK362" s="408"/>
      <c r="BL362" s="408"/>
      <c r="BM362" s="408"/>
      <c r="BN362" s="408"/>
      <c r="BO362" s="408"/>
      <c r="BP362" s="408"/>
      <c r="BQ362" s="408"/>
      <c r="BR362" s="408"/>
      <c r="BS362" s="408"/>
      <c r="BT362" s="408"/>
      <c r="BU362" s="408"/>
      <c r="BV362" s="408"/>
      <c r="BW362" s="408"/>
      <c r="BX362" s="408"/>
      <c r="BY362" s="408"/>
      <c r="BZ362" s="408"/>
      <c r="CA362" s="408"/>
      <c r="CB362" s="408"/>
      <c r="CC362" s="408"/>
      <c r="CD362" s="408"/>
      <c r="CE362" s="408"/>
      <c r="CF362" s="408"/>
      <c r="CG362" s="408"/>
      <c r="CH362" s="408"/>
      <c r="CI362" s="408"/>
      <c r="CJ362" s="408"/>
      <c r="CK362" s="408"/>
      <c r="CL362" s="408"/>
      <c r="CM362" s="408"/>
      <c r="CN362" s="408"/>
    </row>
    <row r="363">
      <c r="A363" s="408"/>
      <c r="B363" s="408"/>
      <c r="C363" s="408"/>
      <c r="D363" s="408"/>
      <c r="E363" s="408"/>
      <c r="F363" s="408"/>
      <c r="G363" s="408"/>
      <c r="H363" s="408"/>
      <c r="I363" s="408"/>
      <c r="J363" s="408"/>
      <c r="K363" s="408"/>
      <c r="L363" s="408"/>
      <c r="M363" s="408"/>
      <c r="N363" s="408"/>
      <c r="O363" s="408"/>
      <c r="P363" s="408"/>
      <c r="Q363" s="408"/>
      <c r="R363" s="408"/>
      <c r="S363" s="408"/>
      <c r="T363" s="408"/>
      <c r="U363" s="408"/>
      <c r="V363" s="408"/>
      <c r="W363" s="408"/>
      <c r="X363" s="408"/>
      <c r="Y363" s="408"/>
      <c r="Z363" s="408"/>
      <c r="AA363" s="408"/>
      <c r="AB363" s="408"/>
      <c r="AC363" s="408"/>
      <c r="AD363" s="408"/>
      <c r="AE363" s="408"/>
      <c r="AF363" s="408"/>
      <c r="AG363" s="408"/>
      <c r="AH363" s="408"/>
      <c r="AI363" s="408"/>
      <c r="AJ363" s="408"/>
      <c r="AK363" s="408"/>
      <c r="AL363" s="408"/>
      <c r="AM363" s="408"/>
      <c r="AN363" s="408"/>
      <c r="AO363" s="408"/>
      <c r="AP363" s="408"/>
      <c r="AQ363" s="408"/>
      <c r="AR363" s="408"/>
      <c r="AS363" s="408"/>
      <c r="AT363" s="408"/>
      <c r="AU363" s="408"/>
      <c r="AV363" s="408"/>
      <c r="AW363" s="408"/>
      <c r="AX363" s="408"/>
      <c r="AY363" s="408"/>
      <c r="AZ363" s="408"/>
      <c r="BA363" s="408"/>
      <c r="BB363" s="408"/>
      <c r="BC363" s="408"/>
      <c r="BD363" s="408"/>
      <c r="BE363" s="408"/>
      <c r="BF363" s="408"/>
      <c r="BG363" s="408"/>
      <c r="BH363" s="408"/>
      <c r="BI363" s="408"/>
      <c r="BJ363" s="408"/>
      <c r="BK363" s="408"/>
      <c r="BL363" s="408"/>
      <c r="BM363" s="408"/>
      <c r="BN363" s="408"/>
      <c r="BO363" s="408"/>
      <c r="BP363" s="408"/>
      <c r="BQ363" s="408"/>
      <c r="BR363" s="408"/>
      <c r="BS363" s="408"/>
      <c r="BT363" s="408"/>
      <c r="BU363" s="408"/>
      <c r="BV363" s="408"/>
      <c r="BW363" s="408"/>
      <c r="BX363" s="408"/>
      <c r="BY363" s="408"/>
      <c r="BZ363" s="408"/>
      <c r="CA363" s="408"/>
      <c r="CB363" s="408"/>
      <c r="CC363" s="408"/>
      <c r="CD363" s="408"/>
      <c r="CE363" s="408"/>
      <c r="CF363" s="408"/>
      <c r="CG363" s="408"/>
      <c r="CH363" s="408"/>
      <c r="CI363" s="408"/>
      <c r="CJ363" s="408"/>
      <c r="CK363" s="408"/>
      <c r="CL363" s="408"/>
      <c r="CM363" s="408"/>
      <c r="CN363" s="408"/>
    </row>
    <row r="364">
      <c r="A364" s="408"/>
      <c r="B364" s="408"/>
      <c r="C364" s="408"/>
      <c r="D364" s="408"/>
      <c r="E364" s="408"/>
      <c r="F364" s="408"/>
      <c r="G364" s="408"/>
      <c r="H364" s="408"/>
      <c r="I364" s="408"/>
      <c r="J364" s="408"/>
      <c r="K364" s="408"/>
      <c r="L364" s="408"/>
      <c r="M364" s="408"/>
      <c r="N364" s="408"/>
      <c r="O364" s="408"/>
      <c r="P364" s="408"/>
      <c r="Q364" s="408"/>
      <c r="R364" s="408"/>
      <c r="S364" s="408"/>
      <c r="T364" s="408"/>
      <c r="U364" s="408"/>
      <c r="V364" s="408"/>
      <c r="W364" s="408"/>
      <c r="X364" s="408"/>
      <c r="Y364" s="408"/>
      <c r="Z364" s="408"/>
      <c r="AA364" s="408"/>
      <c r="AB364" s="408"/>
      <c r="AC364" s="408"/>
      <c r="AD364" s="408"/>
      <c r="AE364" s="408"/>
      <c r="AF364" s="408"/>
      <c r="AG364" s="408"/>
      <c r="AH364" s="408"/>
      <c r="AI364" s="408"/>
      <c r="AJ364" s="408"/>
      <c r="AK364" s="408"/>
      <c r="AL364" s="408"/>
      <c r="AM364" s="408"/>
      <c r="AN364" s="408"/>
      <c r="AO364" s="408"/>
      <c r="AP364" s="408"/>
      <c r="AQ364" s="408"/>
      <c r="AR364" s="408"/>
      <c r="AS364" s="408"/>
      <c r="AT364" s="408"/>
      <c r="AU364" s="408"/>
      <c r="AV364" s="408"/>
      <c r="AW364" s="408"/>
      <c r="AX364" s="408"/>
      <c r="AY364" s="408"/>
      <c r="AZ364" s="408"/>
      <c r="BA364" s="408"/>
      <c r="BB364" s="408"/>
      <c r="BC364" s="408"/>
      <c r="BD364" s="408"/>
      <c r="BE364" s="408"/>
      <c r="BF364" s="408"/>
      <c r="BG364" s="408"/>
      <c r="BH364" s="408"/>
      <c r="BI364" s="408"/>
      <c r="BJ364" s="408"/>
      <c r="BK364" s="408"/>
      <c r="BL364" s="408"/>
      <c r="BM364" s="408"/>
      <c r="BN364" s="408"/>
      <c r="BO364" s="408"/>
      <c r="BP364" s="408"/>
      <c r="BQ364" s="408"/>
      <c r="BR364" s="408"/>
      <c r="BS364" s="408"/>
      <c r="BT364" s="408"/>
      <c r="BU364" s="408"/>
      <c r="BV364" s="408"/>
      <c r="BW364" s="408"/>
      <c r="BX364" s="408"/>
      <c r="BY364" s="408"/>
      <c r="BZ364" s="408"/>
      <c r="CA364" s="408"/>
      <c r="CB364" s="408"/>
      <c r="CC364" s="408"/>
      <c r="CD364" s="408"/>
      <c r="CE364" s="408"/>
      <c r="CF364" s="408"/>
      <c r="CG364" s="408"/>
      <c r="CH364" s="408"/>
      <c r="CI364" s="408"/>
      <c r="CJ364" s="408"/>
      <c r="CK364" s="408"/>
      <c r="CL364" s="408"/>
      <c r="CM364" s="408"/>
      <c r="CN364" s="408"/>
    </row>
    <row r="365">
      <c r="A365" s="408"/>
      <c r="B365" s="408"/>
      <c r="C365" s="408"/>
      <c r="D365" s="408"/>
      <c r="E365" s="408"/>
      <c r="F365" s="408"/>
      <c r="G365" s="408"/>
      <c r="H365" s="408"/>
      <c r="I365" s="408"/>
      <c r="J365" s="408"/>
      <c r="K365" s="408"/>
      <c r="L365" s="408"/>
      <c r="M365" s="408"/>
      <c r="N365" s="408"/>
      <c r="O365" s="408"/>
      <c r="P365" s="408"/>
      <c r="Q365" s="408"/>
      <c r="R365" s="408"/>
      <c r="S365" s="408"/>
      <c r="T365" s="408"/>
      <c r="U365" s="408"/>
      <c r="V365" s="408"/>
      <c r="W365" s="408"/>
      <c r="X365" s="408"/>
      <c r="Y365" s="408"/>
      <c r="Z365" s="408"/>
      <c r="AA365" s="408"/>
      <c r="AB365" s="408"/>
      <c r="AC365" s="408"/>
      <c r="AD365" s="408"/>
      <c r="AE365" s="408"/>
      <c r="AF365" s="408"/>
      <c r="AG365" s="408"/>
      <c r="AH365" s="408"/>
      <c r="AI365" s="408"/>
      <c r="AJ365" s="408"/>
      <c r="AK365" s="408"/>
      <c r="AL365" s="408"/>
      <c r="AM365" s="408"/>
      <c r="AN365" s="408"/>
      <c r="AO365" s="408"/>
      <c r="AP365" s="408"/>
      <c r="AQ365" s="408"/>
      <c r="AR365" s="408"/>
      <c r="AS365" s="408"/>
      <c r="AT365" s="408"/>
      <c r="AU365" s="408"/>
      <c r="AV365" s="408"/>
      <c r="AW365" s="408"/>
      <c r="AX365" s="408"/>
      <c r="AY365" s="408"/>
      <c r="AZ365" s="408"/>
      <c r="BA365" s="408"/>
      <c r="BB365" s="408"/>
      <c r="BC365" s="408"/>
      <c r="BD365" s="408"/>
      <c r="BE365" s="408"/>
      <c r="BF365" s="408"/>
      <c r="BG365" s="408"/>
      <c r="BH365" s="408"/>
      <c r="BI365" s="408"/>
      <c r="BJ365" s="408"/>
      <c r="BK365" s="408"/>
      <c r="BL365" s="408"/>
      <c r="BM365" s="408"/>
      <c r="BN365" s="408"/>
      <c r="BO365" s="408"/>
      <c r="BP365" s="408"/>
      <c r="BQ365" s="408"/>
      <c r="BR365" s="408"/>
      <c r="BS365" s="408"/>
      <c r="BT365" s="408"/>
      <c r="BU365" s="408"/>
      <c r="BV365" s="408"/>
      <c r="BW365" s="408"/>
      <c r="BX365" s="408"/>
      <c r="BY365" s="408"/>
      <c r="BZ365" s="408"/>
      <c r="CA365" s="408"/>
      <c r="CB365" s="408"/>
      <c r="CC365" s="408"/>
      <c r="CD365" s="408"/>
      <c r="CE365" s="408"/>
      <c r="CF365" s="408"/>
      <c r="CG365" s="408"/>
      <c r="CH365" s="408"/>
      <c r="CI365" s="408"/>
      <c r="CJ365" s="408"/>
      <c r="CK365" s="408"/>
      <c r="CL365" s="408"/>
      <c r="CM365" s="408"/>
      <c r="CN365" s="408"/>
    </row>
    <row r="366">
      <c r="A366" s="408"/>
      <c r="B366" s="408"/>
      <c r="C366" s="408"/>
      <c r="D366" s="408"/>
      <c r="E366" s="408"/>
      <c r="F366" s="408"/>
      <c r="G366" s="408"/>
      <c r="H366" s="408"/>
      <c r="I366" s="408"/>
      <c r="J366" s="408"/>
      <c r="K366" s="408"/>
      <c r="L366" s="408"/>
      <c r="M366" s="408"/>
      <c r="N366" s="408"/>
      <c r="O366" s="408"/>
      <c r="P366" s="408"/>
      <c r="Q366" s="408"/>
      <c r="R366" s="408"/>
      <c r="S366" s="408"/>
      <c r="T366" s="408"/>
      <c r="U366" s="408"/>
      <c r="V366" s="408"/>
      <c r="W366" s="408"/>
      <c r="X366" s="408"/>
      <c r="Y366" s="408"/>
      <c r="Z366" s="408"/>
      <c r="AA366" s="408"/>
      <c r="AB366" s="408"/>
      <c r="AC366" s="408"/>
      <c r="AD366" s="408"/>
      <c r="AE366" s="408"/>
      <c r="AF366" s="408"/>
      <c r="AG366" s="408"/>
      <c r="AH366" s="408"/>
      <c r="AI366" s="408"/>
      <c r="AJ366" s="408"/>
      <c r="AK366" s="408"/>
      <c r="AL366" s="408"/>
      <c r="AM366" s="408"/>
      <c r="AN366" s="408"/>
      <c r="AO366" s="408"/>
      <c r="AP366" s="408"/>
      <c r="AQ366" s="408"/>
      <c r="AR366" s="408"/>
      <c r="AS366" s="408"/>
      <c r="AT366" s="408"/>
      <c r="AU366" s="408"/>
      <c r="AV366" s="408"/>
      <c r="AW366" s="408"/>
      <c r="AX366" s="408"/>
      <c r="AY366" s="408"/>
      <c r="AZ366" s="408"/>
      <c r="BA366" s="408"/>
      <c r="BB366" s="408"/>
      <c r="BC366" s="408"/>
      <c r="BD366" s="408"/>
      <c r="BE366" s="408"/>
      <c r="BF366" s="408"/>
      <c r="BG366" s="408"/>
      <c r="BH366" s="408"/>
      <c r="BI366" s="408"/>
      <c r="BJ366" s="408"/>
      <c r="BK366" s="408"/>
      <c r="BL366" s="408"/>
      <c r="BM366" s="408"/>
      <c r="BN366" s="408"/>
      <c r="BO366" s="408"/>
      <c r="BP366" s="408"/>
      <c r="BQ366" s="408"/>
      <c r="BR366" s="408"/>
      <c r="BS366" s="408"/>
      <c r="BT366" s="408"/>
      <c r="BU366" s="408"/>
      <c r="BV366" s="408"/>
      <c r="BW366" s="408"/>
      <c r="BX366" s="408"/>
      <c r="BY366" s="408"/>
      <c r="BZ366" s="408"/>
      <c r="CA366" s="408"/>
      <c r="CB366" s="408"/>
      <c r="CC366" s="408"/>
      <c r="CD366" s="408"/>
      <c r="CE366" s="408"/>
      <c r="CF366" s="408"/>
      <c r="CG366" s="408"/>
      <c r="CH366" s="408"/>
      <c r="CI366" s="408"/>
      <c r="CJ366" s="408"/>
      <c r="CK366" s="408"/>
      <c r="CL366" s="408"/>
      <c r="CM366" s="408"/>
      <c r="CN366" s="408"/>
    </row>
    <row r="367">
      <c r="A367" s="408"/>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c r="AA367" s="408"/>
      <c r="AB367" s="408"/>
      <c r="AC367" s="408"/>
      <c r="AD367" s="408"/>
      <c r="AE367" s="408"/>
      <c r="AF367" s="408"/>
      <c r="AG367" s="408"/>
      <c r="AH367" s="408"/>
      <c r="AI367" s="408"/>
      <c r="AJ367" s="408"/>
      <c r="AK367" s="408"/>
      <c r="AL367" s="408"/>
      <c r="AM367" s="408"/>
      <c r="AN367" s="408"/>
      <c r="AO367" s="408"/>
      <c r="AP367" s="408"/>
      <c r="AQ367" s="408"/>
      <c r="AR367" s="408"/>
      <c r="AS367" s="408"/>
      <c r="AT367" s="408"/>
      <c r="AU367" s="408"/>
      <c r="AV367" s="408"/>
      <c r="AW367" s="408"/>
      <c r="AX367" s="408"/>
      <c r="AY367" s="408"/>
      <c r="AZ367" s="408"/>
      <c r="BA367" s="408"/>
      <c r="BB367" s="408"/>
      <c r="BC367" s="408"/>
      <c r="BD367" s="408"/>
      <c r="BE367" s="408"/>
      <c r="BF367" s="408"/>
      <c r="BG367" s="408"/>
      <c r="BH367" s="408"/>
      <c r="BI367" s="408"/>
      <c r="BJ367" s="408"/>
      <c r="BK367" s="408"/>
      <c r="BL367" s="408"/>
      <c r="BM367" s="408"/>
      <c r="BN367" s="408"/>
      <c r="BO367" s="408"/>
      <c r="BP367" s="408"/>
      <c r="BQ367" s="408"/>
      <c r="BR367" s="408"/>
      <c r="BS367" s="408"/>
      <c r="BT367" s="408"/>
      <c r="BU367" s="408"/>
      <c r="BV367" s="408"/>
      <c r="BW367" s="408"/>
      <c r="BX367" s="408"/>
      <c r="BY367" s="408"/>
      <c r="BZ367" s="408"/>
      <c r="CA367" s="408"/>
      <c r="CB367" s="408"/>
      <c r="CC367" s="408"/>
      <c r="CD367" s="408"/>
      <c r="CE367" s="408"/>
      <c r="CF367" s="408"/>
      <c r="CG367" s="408"/>
      <c r="CH367" s="408"/>
      <c r="CI367" s="408"/>
      <c r="CJ367" s="408"/>
      <c r="CK367" s="408"/>
      <c r="CL367" s="408"/>
      <c r="CM367" s="408"/>
      <c r="CN367" s="408"/>
    </row>
    <row r="368">
      <c r="A368" s="408"/>
      <c r="B368" s="408"/>
      <c r="C368" s="408"/>
      <c r="D368" s="408"/>
      <c r="E368" s="408"/>
      <c r="F368" s="408"/>
      <c r="G368" s="408"/>
      <c r="H368" s="408"/>
      <c r="I368" s="408"/>
      <c r="J368" s="408"/>
      <c r="K368" s="408"/>
      <c r="L368" s="408"/>
      <c r="M368" s="408"/>
      <c r="N368" s="408"/>
      <c r="O368" s="408"/>
      <c r="P368" s="408"/>
      <c r="Q368" s="408"/>
      <c r="R368" s="408"/>
      <c r="S368" s="408"/>
      <c r="T368" s="408"/>
      <c r="U368" s="408"/>
      <c r="V368" s="408"/>
      <c r="W368" s="408"/>
      <c r="X368" s="408"/>
      <c r="Y368" s="408"/>
      <c r="Z368" s="408"/>
      <c r="AA368" s="408"/>
      <c r="AB368" s="408"/>
      <c r="AC368" s="408"/>
      <c r="AD368" s="408"/>
      <c r="AE368" s="408"/>
      <c r="AF368" s="408"/>
      <c r="AG368" s="408"/>
      <c r="AH368" s="408"/>
      <c r="AI368" s="408"/>
      <c r="AJ368" s="408"/>
      <c r="AK368" s="408"/>
      <c r="AL368" s="408"/>
      <c r="AM368" s="408"/>
      <c r="AN368" s="408"/>
      <c r="AO368" s="408"/>
      <c r="AP368" s="408"/>
      <c r="AQ368" s="408"/>
      <c r="AR368" s="408"/>
      <c r="AS368" s="408"/>
      <c r="AT368" s="408"/>
      <c r="AU368" s="408"/>
      <c r="AV368" s="408"/>
      <c r="AW368" s="408"/>
      <c r="AX368" s="408"/>
      <c r="AY368" s="408"/>
      <c r="AZ368" s="408"/>
      <c r="BA368" s="408"/>
      <c r="BB368" s="408"/>
      <c r="BC368" s="408"/>
      <c r="BD368" s="408"/>
      <c r="BE368" s="408"/>
      <c r="BF368" s="408"/>
      <c r="BG368" s="408"/>
      <c r="BH368" s="408"/>
      <c r="BI368" s="408"/>
      <c r="BJ368" s="408"/>
      <c r="BK368" s="408"/>
      <c r="BL368" s="408"/>
      <c r="BM368" s="408"/>
      <c r="BN368" s="408"/>
      <c r="BO368" s="408"/>
      <c r="BP368" s="408"/>
      <c r="BQ368" s="408"/>
      <c r="BR368" s="408"/>
      <c r="BS368" s="408"/>
      <c r="BT368" s="408"/>
      <c r="BU368" s="408"/>
      <c r="BV368" s="408"/>
      <c r="BW368" s="408"/>
      <c r="BX368" s="408"/>
      <c r="BY368" s="408"/>
      <c r="BZ368" s="408"/>
      <c r="CA368" s="408"/>
      <c r="CB368" s="408"/>
      <c r="CC368" s="408"/>
      <c r="CD368" s="408"/>
      <c r="CE368" s="408"/>
      <c r="CF368" s="408"/>
      <c r="CG368" s="408"/>
      <c r="CH368" s="408"/>
      <c r="CI368" s="408"/>
      <c r="CJ368" s="408"/>
      <c r="CK368" s="408"/>
      <c r="CL368" s="408"/>
      <c r="CM368" s="408"/>
      <c r="CN368" s="408"/>
    </row>
    <row r="369">
      <c r="A369" s="408"/>
      <c r="B369" s="408"/>
      <c r="C369" s="408"/>
      <c r="D369" s="408"/>
      <c r="E369" s="408"/>
      <c r="F369" s="408"/>
      <c r="G369" s="408"/>
      <c r="H369" s="408"/>
      <c r="I369" s="408"/>
      <c r="J369" s="408"/>
      <c r="K369" s="408"/>
      <c r="L369" s="408"/>
      <c r="M369" s="408"/>
      <c r="N369" s="408"/>
      <c r="O369" s="408"/>
      <c r="P369" s="408"/>
      <c r="Q369" s="408"/>
      <c r="R369" s="408"/>
      <c r="S369" s="408"/>
      <c r="T369" s="408"/>
      <c r="U369" s="408"/>
      <c r="V369" s="408"/>
      <c r="W369" s="408"/>
      <c r="X369" s="408"/>
      <c r="Y369" s="408"/>
      <c r="Z369" s="408"/>
      <c r="AA369" s="408"/>
      <c r="AB369" s="408"/>
      <c r="AC369" s="408"/>
      <c r="AD369" s="408"/>
      <c r="AE369" s="408"/>
      <c r="AF369" s="408"/>
      <c r="AG369" s="408"/>
      <c r="AH369" s="408"/>
      <c r="AI369" s="408"/>
      <c r="AJ369" s="408"/>
      <c r="AK369" s="408"/>
      <c r="AL369" s="408"/>
      <c r="AM369" s="408"/>
      <c r="AN369" s="408"/>
      <c r="AO369" s="408"/>
      <c r="AP369" s="408"/>
      <c r="AQ369" s="408"/>
      <c r="AR369" s="408"/>
      <c r="AS369" s="408"/>
      <c r="AT369" s="408"/>
      <c r="AU369" s="408"/>
      <c r="AV369" s="408"/>
      <c r="AW369" s="408"/>
      <c r="AX369" s="408"/>
      <c r="AY369" s="408"/>
      <c r="AZ369" s="408"/>
      <c r="BA369" s="408"/>
      <c r="BB369" s="408"/>
      <c r="BC369" s="408"/>
      <c r="BD369" s="408"/>
      <c r="BE369" s="408"/>
      <c r="BF369" s="408"/>
      <c r="BG369" s="408"/>
      <c r="BH369" s="408"/>
      <c r="BI369" s="408"/>
      <c r="BJ369" s="408"/>
      <c r="BK369" s="408"/>
      <c r="BL369" s="408"/>
      <c r="BM369" s="408"/>
      <c r="BN369" s="408"/>
      <c r="BO369" s="408"/>
      <c r="BP369" s="408"/>
      <c r="BQ369" s="408"/>
      <c r="BR369" s="408"/>
      <c r="BS369" s="408"/>
      <c r="BT369" s="408"/>
      <c r="BU369" s="408"/>
      <c r="BV369" s="408"/>
      <c r="BW369" s="408"/>
      <c r="BX369" s="408"/>
      <c r="BY369" s="408"/>
      <c r="BZ369" s="408"/>
      <c r="CA369" s="408"/>
      <c r="CB369" s="408"/>
      <c r="CC369" s="408"/>
      <c r="CD369" s="408"/>
      <c r="CE369" s="408"/>
      <c r="CF369" s="408"/>
      <c r="CG369" s="408"/>
      <c r="CH369" s="408"/>
      <c r="CI369" s="408"/>
      <c r="CJ369" s="408"/>
      <c r="CK369" s="408"/>
      <c r="CL369" s="408"/>
      <c r="CM369" s="408"/>
      <c r="CN369" s="408"/>
    </row>
    <row r="370">
      <c r="A370" s="408"/>
      <c r="B370" s="408"/>
      <c r="C370" s="408"/>
      <c r="D370" s="408"/>
      <c r="E370" s="408"/>
      <c r="F370" s="408"/>
      <c r="G370" s="408"/>
      <c r="H370" s="408"/>
      <c r="I370" s="408"/>
      <c r="J370" s="408"/>
      <c r="K370" s="408"/>
      <c r="L370" s="408"/>
      <c r="M370" s="408"/>
      <c r="N370" s="408"/>
      <c r="O370" s="408"/>
      <c r="P370" s="408"/>
      <c r="Q370" s="408"/>
      <c r="R370" s="408"/>
      <c r="S370" s="408"/>
      <c r="T370" s="408"/>
      <c r="U370" s="408"/>
      <c r="V370" s="408"/>
      <c r="W370" s="408"/>
      <c r="X370" s="408"/>
      <c r="Y370" s="408"/>
      <c r="Z370" s="408"/>
      <c r="AA370" s="408"/>
      <c r="AB370" s="408"/>
      <c r="AC370" s="408"/>
      <c r="AD370" s="408"/>
      <c r="AE370" s="408"/>
      <c r="AF370" s="408"/>
      <c r="AG370" s="408"/>
      <c r="AH370" s="408"/>
      <c r="AI370" s="408"/>
      <c r="AJ370" s="408"/>
      <c r="AK370" s="408"/>
      <c r="AL370" s="408"/>
      <c r="AM370" s="408"/>
      <c r="AN370" s="408"/>
      <c r="AO370" s="408"/>
      <c r="AP370" s="408"/>
      <c r="AQ370" s="408"/>
      <c r="AR370" s="408"/>
      <c r="AS370" s="408"/>
      <c r="AT370" s="408"/>
      <c r="AU370" s="408"/>
      <c r="AV370" s="408"/>
      <c r="AW370" s="408"/>
      <c r="AX370" s="408"/>
      <c r="AY370" s="408"/>
      <c r="AZ370" s="408"/>
      <c r="BA370" s="408"/>
      <c r="BB370" s="408"/>
      <c r="BC370" s="408"/>
      <c r="BD370" s="408"/>
      <c r="BE370" s="408"/>
      <c r="BF370" s="408"/>
      <c r="BG370" s="408"/>
      <c r="BH370" s="408"/>
      <c r="BI370" s="408"/>
      <c r="BJ370" s="408"/>
      <c r="BK370" s="408"/>
      <c r="BL370" s="408"/>
      <c r="BM370" s="408"/>
      <c r="BN370" s="408"/>
      <c r="BO370" s="408"/>
      <c r="BP370" s="408"/>
      <c r="BQ370" s="408"/>
      <c r="BR370" s="408"/>
      <c r="BS370" s="408"/>
      <c r="BT370" s="408"/>
      <c r="BU370" s="408"/>
      <c r="BV370" s="408"/>
      <c r="BW370" s="408"/>
      <c r="BX370" s="408"/>
      <c r="BY370" s="408"/>
      <c r="BZ370" s="408"/>
      <c r="CA370" s="408"/>
      <c r="CB370" s="408"/>
      <c r="CC370" s="408"/>
      <c r="CD370" s="408"/>
      <c r="CE370" s="408"/>
      <c r="CF370" s="408"/>
      <c r="CG370" s="408"/>
      <c r="CH370" s="408"/>
      <c r="CI370" s="408"/>
      <c r="CJ370" s="408"/>
      <c r="CK370" s="408"/>
      <c r="CL370" s="408"/>
      <c r="CM370" s="408"/>
      <c r="CN370" s="408"/>
    </row>
    <row r="371">
      <c r="A371" s="408"/>
      <c r="B371" s="408"/>
      <c r="C371" s="408"/>
      <c r="D371" s="408"/>
      <c r="E371" s="408"/>
      <c r="F371" s="408"/>
      <c r="G371" s="408"/>
      <c r="H371" s="408"/>
      <c r="I371" s="408"/>
      <c r="J371" s="408"/>
      <c r="K371" s="408"/>
      <c r="L371" s="408"/>
      <c r="M371" s="408"/>
      <c r="N371" s="408"/>
      <c r="O371" s="408"/>
      <c r="P371" s="408"/>
      <c r="Q371" s="408"/>
      <c r="R371" s="408"/>
      <c r="S371" s="408"/>
      <c r="T371" s="408"/>
      <c r="U371" s="408"/>
      <c r="V371" s="408"/>
      <c r="W371" s="408"/>
      <c r="X371" s="408"/>
      <c r="Y371" s="408"/>
      <c r="Z371" s="408"/>
      <c r="AA371" s="408"/>
      <c r="AB371" s="408"/>
      <c r="AC371" s="408"/>
      <c r="AD371" s="408"/>
      <c r="AE371" s="408"/>
      <c r="AF371" s="408"/>
      <c r="AG371" s="408"/>
      <c r="AH371" s="408"/>
      <c r="AI371" s="408"/>
      <c r="AJ371" s="408"/>
      <c r="AK371" s="408"/>
      <c r="AL371" s="408"/>
      <c r="AM371" s="408"/>
      <c r="AN371" s="408"/>
      <c r="AO371" s="408"/>
      <c r="AP371" s="408"/>
      <c r="AQ371" s="408"/>
      <c r="AR371" s="408"/>
      <c r="AS371" s="408"/>
      <c r="AT371" s="408"/>
      <c r="AU371" s="408"/>
      <c r="AV371" s="408"/>
      <c r="AW371" s="408"/>
      <c r="AX371" s="408"/>
      <c r="AY371" s="408"/>
      <c r="AZ371" s="408"/>
      <c r="BA371" s="408"/>
      <c r="BB371" s="408"/>
      <c r="BC371" s="408"/>
      <c r="BD371" s="408"/>
      <c r="BE371" s="408"/>
      <c r="BF371" s="408"/>
      <c r="BG371" s="408"/>
      <c r="BH371" s="408"/>
      <c r="BI371" s="408"/>
      <c r="BJ371" s="408"/>
      <c r="BK371" s="408"/>
      <c r="BL371" s="408"/>
      <c r="BM371" s="408"/>
      <c r="BN371" s="408"/>
      <c r="BO371" s="408"/>
      <c r="BP371" s="408"/>
      <c r="BQ371" s="408"/>
      <c r="BR371" s="408"/>
      <c r="BS371" s="408"/>
      <c r="BT371" s="408"/>
      <c r="BU371" s="408"/>
      <c r="BV371" s="408"/>
      <c r="BW371" s="408"/>
      <c r="BX371" s="408"/>
      <c r="BY371" s="408"/>
      <c r="BZ371" s="408"/>
      <c r="CA371" s="408"/>
      <c r="CB371" s="408"/>
      <c r="CC371" s="408"/>
      <c r="CD371" s="408"/>
      <c r="CE371" s="408"/>
      <c r="CF371" s="408"/>
      <c r="CG371" s="408"/>
      <c r="CH371" s="408"/>
      <c r="CI371" s="408"/>
      <c r="CJ371" s="408"/>
      <c r="CK371" s="408"/>
      <c r="CL371" s="408"/>
      <c r="CM371" s="408"/>
      <c r="CN371" s="408"/>
    </row>
    <row r="372">
      <c r="A372" s="408"/>
      <c r="B372" s="408"/>
      <c r="C372" s="408"/>
      <c r="D372" s="408"/>
      <c r="E372" s="408"/>
      <c r="F372" s="408"/>
      <c r="G372" s="408"/>
      <c r="H372" s="408"/>
      <c r="I372" s="408"/>
      <c r="J372" s="408"/>
      <c r="K372" s="408"/>
      <c r="L372" s="408"/>
      <c r="M372" s="408"/>
      <c r="N372" s="408"/>
      <c r="O372" s="408"/>
      <c r="P372" s="408"/>
      <c r="Q372" s="408"/>
      <c r="R372" s="408"/>
      <c r="S372" s="408"/>
      <c r="T372" s="408"/>
      <c r="U372" s="408"/>
      <c r="V372" s="408"/>
      <c r="W372" s="408"/>
      <c r="X372" s="408"/>
      <c r="Y372" s="408"/>
      <c r="Z372" s="408"/>
      <c r="AA372" s="408"/>
      <c r="AB372" s="408"/>
      <c r="AC372" s="408"/>
      <c r="AD372" s="408"/>
      <c r="AE372" s="408"/>
      <c r="AF372" s="408"/>
      <c r="AG372" s="408"/>
      <c r="AH372" s="408"/>
      <c r="AI372" s="408"/>
      <c r="AJ372" s="408"/>
      <c r="AK372" s="408"/>
      <c r="AL372" s="408"/>
      <c r="AM372" s="408"/>
      <c r="AN372" s="408"/>
      <c r="AO372" s="408"/>
      <c r="AP372" s="408"/>
      <c r="AQ372" s="408"/>
      <c r="AR372" s="408"/>
      <c r="AS372" s="408"/>
      <c r="AT372" s="408"/>
      <c r="AU372" s="408"/>
      <c r="AV372" s="408"/>
      <c r="AW372" s="408"/>
      <c r="AX372" s="408"/>
      <c r="AY372" s="408"/>
      <c r="AZ372" s="408"/>
      <c r="BA372" s="408"/>
      <c r="BB372" s="408"/>
      <c r="BC372" s="408"/>
      <c r="BD372" s="408"/>
      <c r="BE372" s="408"/>
      <c r="BF372" s="408"/>
      <c r="BG372" s="408"/>
      <c r="BH372" s="408"/>
      <c r="BI372" s="408"/>
      <c r="BJ372" s="408"/>
      <c r="BK372" s="408"/>
      <c r="BL372" s="408"/>
      <c r="BM372" s="408"/>
      <c r="BN372" s="408"/>
      <c r="BO372" s="408"/>
      <c r="BP372" s="408"/>
      <c r="BQ372" s="408"/>
      <c r="BR372" s="408"/>
      <c r="BS372" s="408"/>
      <c r="BT372" s="408"/>
      <c r="BU372" s="408"/>
      <c r="BV372" s="408"/>
      <c r="BW372" s="408"/>
      <c r="BX372" s="408"/>
      <c r="BY372" s="408"/>
      <c r="BZ372" s="408"/>
      <c r="CA372" s="408"/>
      <c r="CB372" s="408"/>
      <c r="CC372" s="408"/>
      <c r="CD372" s="408"/>
      <c r="CE372" s="408"/>
      <c r="CF372" s="408"/>
      <c r="CG372" s="408"/>
      <c r="CH372" s="408"/>
      <c r="CI372" s="408"/>
      <c r="CJ372" s="408"/>
      <c r="CK372" s="408"/>
      <c r="CL372" s="408"/>
      <c r="CM372" s="408"/>
      <c r="CN372" s="408"/>
    </row>
    <row r="373">
      <c r="A373" s="408"/>
      <c r="B373" s="408"/>
      <c r="C373" s="408"/>
      <c r="D373" s="408"/>
      <c r="E373" s="408"/>
      <c r="F373" s="408"/>
      <c r="G373" s="408"/>
      <c r="H373" s="408"/>
      <c r="I373" s="408"/>
      <c r="J373" s="408"/>
      <c r="K373" s="408"/>
      <c r="L373" s="408"/>
      <c r="M373" s="408"/>
      <c r="N373" s="408"/>
      <c r="O373" s="408"/>
      <c r="P373" s="408"/>
      <c r="Q373" s="408"/>
      <c r="R373" s="408"/>
      <c r="S373" s="408"/>
      <c r="T373" s="408"/>
      <c r="U373" s="408"/>
      <c r="V373" s="408"/>
      <c r="W373" s="408"/>
      <c r="X373" s="408"/>
      <c r="Y373" s="408"/>
      <c r="Z373" s="408"/>
      <c r="AA373" s="408"/>
      <c r="AB373" s="408"/>
      <c r="AC373" s="408"/>
      <c r="AD373" s="408"/>
      <c r="AE373" s="408"/>
      <c r="AF373" s="408"/>
      <c r="AG373" s="408"/>
      <c r="AH373" s="408"/>
      <c r="AI373" s="408"/>
      <c r="AJ373" s="408"/>
      <c r="AK373" s="408"/>
      <c r="AL373" s="408"/>
      <c r="AM373" s="408"/>
      <c r="AN373" s="408"/>
      <c r="AO373" s="408"/>
      <c r="AP373" s="408"/>
      <c r="AQ373" s="408"/>
      <c r="AR373" s="408"/>
      <c r="AS373" s="408"/>
      <c r="AT373" s="408"/>
      <c r="AU373" s="408"/>
      <c r="AV373" s="408"/>
      <c r="AW373" s="408"/>
      <c r="AX373" s="408"/>
      <c r="AY373" s="408"/>
      <c r="AZ373" s="408"/>
      <c r="BA373" s="408"/>
      <c r="BB373" s="408"/>
      <c r="BC373" s="408"/>
      <c r="BD373" s="408"/>
      <c r="BE373" s="408"/>
      <c r="BF373" s="408"/>
      <c r="BG373" s="408"/>
      <c r="BH373" s="408"/>
      <c r="BI373" s="408"/>
      <c r="BJ373" s="408"/>
      <c r="BK373" s="408"/>
      <c r="BL373" s="408"/>
      <c r="BM373" s="408"/>
      <c r="BN373" s="408"/>
      <c r="BO373" s="408"/>
      <c r="BP373" s="408"/>
      <c r="BQ373" s="408"/>
      <c r="BR373" s="408"/>
      <c r="BS373" s="408"/>
      <c r="BT373" s="408"/>
      <c r="BU373" s="408"/>
      <c r="BV373" s="408"/>
      <c r="BW373" s="408"/>
      <c r="BX373" s="408"/>
      <c r="BY373" s="408"/>
      <c r="BZ373" s="408"/>
      <c r="CA373" s="408"/>
      <c r="CB373" s="408"/>
      <c r="CC373" s="408"/>
      <c r="CD373" s="408"/>
      <c r="CE373" s="408"/>
      <c r="CF373" s="408"/>
      <c r="CG373" s="408"/>
      <c r="CH373" s="408"/>
      <c r="CI373" s="408"/>
      <c r="CJ373" s="408"/>
      <c r="CK373" s="408"/>
      <c r="CL373" s="408"/>
      <c r="CM373" s="408"/>
      <c r="CN373" s="408"/>
    </row>
    <row r="374">
      <c r="A374" s="408"/>
      <c r="B374" s="408"/>
      <c r="C374" s="408"/>
      <c r="D374" s="408"/>
      <c r="E374" s="408"/>
      <c r="F374" s="408"/>
      <c r="G374" s="408"/>
      <c r="H374" s="408"/>
      <c r="I374" s="408"/>
      <c r="J374" s="408"/>
      <c r="K374" s="408"/>
      <c r="L374" s="408"/>
      <c r="M374" s="408"/>
      <c r="N374" s="408"/>
      <c r="O374" s="408"/>
      <c r="P374" s="408"/>
      <c r="Q374" s="408"/>
      <c r="R374" s="408"/>
      <c r="S374" s="408"/>
      <c r="T374" s="408"/>
      <c r="U374" s="408"/>
      <c r="V374" s="408"/>
      <c r="W374" s="408"/>
      <c r="X374" s="408"/>
      <c r="Y374" s="408"/>
      <c r="Z374" s="408"/>
      <c r="AA374" s="408"/>
      <c r="AB374" s="408"/>
      <c r="AC374" s="408"/>
      <c r="AD374" s="408"/>
      <c r="AE374" s="408"/>
      <c r="AF374" s="408"/>
      <c r="AG374" s="408"/>
      <c r="AH374" s="408"/>
      <c r="AI374" s="408"/>
      <c r="AJ374" s="408"/>
      <c r="AK374" s="408"/>
      <c r="AL374" s="408"/>
      <c r="AM374" s="408"/>
      <c r="AN374" s="408"/>
      <c r="AO374" s="408"/>
      <c r="AP374" s="408"/>
      <c r="AQ374" s="408"/>
      <c r="AR374" s="408"/>
      <c r="AS374" s="408"/>
      <c r="AT374" s="408"/>
      <c r="AU374" s="408"/>
      <c r="AV374" s="408"/>
      <c r="AW374" s="408"/>
      <c r="AX374" s="408"/>
      <c r="AY374" s="408"/>
      <c r="AZ374" s="408"/>
      <c r="BA374" s="408"/>
      <c r="BB374" s="408"/>
      <c r="BC374" s="408"/>
      <c r="BD374" s="408"/>
      <c r="BE374" s="408"/>
      <c r="BF374" s="408"/>
      <c r="BG374" s="408"/>
      <c r="BH374" s="408"/>
      <c r="BI374" s="408"/>
      <c r="BJ374" s="408"/>
      <c r="BK374" s="408"/>
      <c r="BL374" s="408"/>
      <c r="BM374" s="408"/>
      <c r="BN374" s="408"/>
      <c r="BO374" s="408"/>
      <c r="BP374" s="408"/>
      <c r="BQ374" s="408"/>
      <c r="BR374" s="408"/>
      <c r="BS374" s="408"/>
      <c r="BT374" s="408"/>
      <c r="BU374" s="408"/>
      <c r="BV374" s="408"/>
      <c r="BW374" s="408"/>
      <c r="BX374" s="408"/>
      <c r="BY374" s="408"/>
      <c r="BZ374" s="408"/>
      <c r="CA374" s="408"/>
      <c r="CB374" s="408"/>
      <c r="CC374" s="408"/>
      <c r="CD374" s="408"/>
      <c r="CE374" s="408"/>
      <c r="CF374" s="408"/>
      <c r="CG374" s="408"/>
      <c r="CH374" s="408"/>
      <c r="CI374" s="408"/>
      <c r="CJ374" s="408"/>
      <c r="CK374" s="408"/>
      <c r="CL374" s="408"/>
      <c r="CM374" s="408"/>
      <c r="CN374" s="408"/>
    </row>
    <row r="375">
      <c r="A375" s="408"/>
      <c r="B375" s="408"/>
      <c r="C375" s="408"/>
      <c r="D375" s="408"/>
      <c r="E375" s="408"/>
      <c r="F375" s="408"/>
      <c r="G375" s="408"/>
      <c r="H375" s="408"/>
      <c r="I375" s="408"/>
      <c r="J375" s="408"/>
      <c r="K375" s="408"/>
      <c r="L375" s="408"/>
      <c r="M375" s="408"/>
      <c r="N375" s="408"/>
      <c r="O375" s="408"/>
      <c r="P375" s="408"/>
      <c r="Q375" s="408"/>
      <c r="R375" s="408"/>
      <c r="S375" s="408"/>
      <c r="T375" s="408"/>
      <c r="U375" s="408"/>
      <c r="V375" s="408"/>
      <c r="W375" s="408"/>
      <c r="X375" s="408"/>
      <c r="Y375" s="408"/>
      <c r="Z375" s="408"/>
      <c r="AA375" s="408"/>
      <c r="AB375" s="408"/>
      <c r="AC375" s="408"/>
      <c r="AD375" s="408"/>
      <c r="AE375" s="408"/>
      <c r="AF375" s="408"/>
      <c r="AG375" s="408"/>
      <c r="AH375" s="408"/>
      <c r="AI375" s="408"/>
      <c r="AJ375" s="408"/>
      <c r="AK375" s="408"/>
      <c r="AL375" s="408"/>
      <c r="AM375" s="408"/>
      <c r="AN375" s="408"/>
      <c r="AO375" s="408"/>
      <c r="AP375" s="408"/>
      <c r="AQ375" s="408"/>
      <c r="AR375" s="408"/>
      <c r="AS375" s="408"/>
      <c r="AT375" s="408"/>
      <c r="AU375" s="408"/>
      <c r="AV375" s="408"/>
      <c r="AW375" s="408"/>
      <c r="AX375" s="408"/>
      <c r="AY375" s="408"/>
      <c r="AZ375" s="408"/>
      <c r="BA375" s="408"/>
      <c r="BB375" s="408"/>
      <c r="BC375" s="408"/>
      <c r="BD375" s="408"/>
      <c r="BE375" s="408"/>
      <c r="BF375" s="408"/>
      <c r="BG375" s="408"/>
      <c r="BH375" s="408"/>
      <c r="BI375" s="408"/>
      <c r="BJ375" s="408"/>
      <c r="BK375" s="408"/>
      <c r="BL375" s="408"/>
      <c r="BM375" s="408"/>
      <c r="BN375" s="408"/>
      <c r="BO375" s="408"/>
      <c r="BP375" s="408"/>
      <c r="BQ375" s="408"/>
      <c r="BR375" s="408"/>
      <c r="BS375" s="408"/>
      <c r="BT375" s="408"/>
      <c r="BU375" s="408"/>
      <c r="BV375" s="408"/>
      <c r="BW375" s="408"/>
      <c r="BX375" s="408"/>
      <c r="BY375" s="408"/>
      <c r="BZ375" s="408"/>
      <c r="CA375" s="408"/>
      <c r="CB375" s="408"/>
      <c r="CC375" s="408"/>
      <c r="CD375" s="408"/>
      <c r="CE375" s="408"/>
      <c r="CF375" s="408"/>
      <c r="CG375" s="408"/>
      <c r="CH375" s="408"/>
      <c r="CI375" s="408"/>
      <c r="CJ375" s="408"/>
      <c r="CK375" s="408"/>
      <c r="CL375" s="408"/>
      <c r="CM375" s="408"/>
      <c r="CN375" s="408"/>
    </row>
    <row r="376">
      <c r="A376" s="408"/>
      <c r="B376" s="408"/>
      <c r="C376" s="408"/>
      <c r="D376" s="408"/>
      <c r="E376" s="408"/>
      <c r="F376" s="408"/>
      <c r="G376" s="408"/>
      <c r="H376" s="408"/>
      <c r="I376" s="408"/>
      <c r="J376" s="408"/>
      <c r="K376" s="408"/>
      <c r="L376" s="408"/>
      <c r="M376" s="408"/>
      <c r="N376" s="408"/>
      <c r="O376" s="408"/>
      <c r="P376" s="408"/>
      <c r="Q376" s="408"/>
      <c r="R376" s="408"/>
      <c r="S376" s="408"/>
      <c r="T376" s="408"/>
      <c r="U376" s="408"/>
      <c r="V376" s="408"/>
      <c r="W376" s="408"/>
      <c r="X376" s="408"/>
      <c r="Y376" s="408"/>
      <c r="Z376" s="408"/>
      <c r="AA376" s="408"/>
      <c r="AB376" s="408"/>
      <c r="AC376" s="408"/>
      <c r="AD376" s="408"/>
      <c r="AE376" s="408"/>
      <c r="AF376" s="408"/>
      <c r="AG376" s="408"/>
      <c r="AH376" s="408"/>
      <c r="AI376" s="408"/>
      <c r="AJ376" s="408"/>
      <c r="AK376" s="408"/>
      <c r="AL376" s="408"/>
      <c r="AM376" s="408"/>
      <c r="AN376" s="408"/>
      <c r="AO376" s="408"/>
      <c r="AP376" s="408"/>
      <c r="AQ376" s="408"/>
      <c r="AR376" s="408"/>
      <c r="AS376" s="408"/>
      <c r="AT376" s="408"/>
      <c r="AU376" s="408"/>
      <c r="AV376" s="408"/>
      <c r="AW376" s="408"/>
      <c r="AX376" s="408"/>
      <c r="AY376" s="408"/>
      <c r="AZ376" s="408"/>
      <c r="BA376" s="408"/>
      <c r="BB376" s="408"/>
      <c r="BC376" s="408"/>
      <c r="BD376" s="408"/>
      <c r="BE376" s="408"/>
      <c r="BF376" s="408"/>
      <c r="BG376" s="408"/>
      <c r="BH376" s="408"/>
      <c r="BI376" s="408"/>
      <c r="BJ376" s="408"/>
      <c r="BK376" s="408"/>
      <c r="BL376" s="408"/>
      <c r="BM376" s="408"/>
      <c r="BN376" s="408"/>
      <c r="BO376" s="408"/>
      <c r="BP376" s="408"/>
      <c r="BQ376" s="408"/>
      <c r="BR376" s="408"/>
      <c r="BS376" s="408"/>
      <c r="BT376" s="408"/>
      <c r="BU376" s="408"/>
      <c r="BV376" s="408"/>
      <c r="BW376" s="408"/>
      <c r="BX376" s="408"/>
      <c r="BY376" s="408"/>
      <c r="BZ376" s="408"/>
      <c r="CA376" s="408"/>
      <c r="CB376" s="408"/>
      <c r="CC376" s="408"/>
      <c r="CD376" s="408"/>
      <c r="CE376" s="408"/>
      <c r="CF376" s="408"/>
      <c r="CG376" s="408"/>
      <c r="CH376" s="408"/>
      <c r="CI376" s="408"/>
      <c r="CJ376" s="408"/>
      <c r="CK376" s="408"/>
      <c r="CL376" s="408"/>
      <c r="CM376" s="408"/>
      <c r="CN376" s="408"/>
    </row>
    <row r="377">
      <c r="A377" s="408"/>
      <c r="B377" s="408"/>
      <c r="C377" s="408"/>
      <c r="D377" s="408"/>
      <c r="E377" s="408"/>
      <c r="F377" s="408"/>
      <c r="G377" s="408"/>
      <c r="H377" s="408"/>
      <c r="I377" s="408"/>
      <c r="J377" s="408"/>
      <c r="K377" s="408"/>
      <c r="L377" s="408"/>
      <c r="M377" s="408"/>
      <c r="N377" s="408"/>
      <c r="O377" s="408"/>
      <c r="P377" s="408"/>
      <c r="Q377" s="408"/>
      <c r="R377" s="408"/>
      <c r="S377" s="408"/>
      <c r="T377" s="408"/>
      <c r="U377" s="408"/>
      <c r="V377" s="408"/>
      <c r="W377" s="408"/>
      <c r="X377" s="408"/>
      <c r="Y377" s="408"/>
      <c r="Z377" s="408"/>
      <c r="AA377" s="408"/>
      <c r="AB377" s="408"/>
      <c r="AC377" s="408"/>
      <c r="AD377" s="408"/>
      <c r="AE377" s="408"/>
      <c r="AF377" s="408"/>
      <c r="AG377" s="408"/>
      <c r="AH377" s="408"/>
      <c r="AI377" s="408"/>
      <c r="AJ377" s="408"/>
      <c r="AK377" s="408"/>
      <c r="AL377" s="408"/>
      <c r="AM377" s="408"/>
      <c r="AN377" s="408"/>
      <c r="AO377" s="408"/>
      <c r="AP377" s="408"/>
      <c r="AQ377" s="408"/>
      <c r="AR377" s="408"/>
      <c r="AS377" s="408"/>
      <c r="AT377" s="408"/>
      <c r="AU377" s="408"/>
      <c r="AV377" s="408"/>
      <c r="AW377" s="408"/>
      <c r="AX377" s="408"/>
      <c r="AY377" s="408"/>
      <c r="AZ377" s="408"/>
      <c r="BA377" s="408"/>
      <c r="BB377" s="408"/>
      <c r="BC377" s="408"/>
      <c r="BD377" s="408"/>
      <c r="BE377" s="408"/>
      <c r="BF377" s="408"/>
      <c r="BG377" s="408"/>
      <c r="BH377" s="408"/>
      <c r="BI377" s="408"/>
      <c r="BJ377" s="408"/>
      <c r="BK377" s="408"/>
      <c r="BL377" s="408"/>
      <c r="BM377" s="408"/>
      <c r="BN377" s="408"/>
      <c r="BO377" s="408"/>
      <c r="BP377" s="408"/>
      <c r="BQ377" s="408"/>
      <c r="BR377" s="408"/>
      <c r="BS377" s="408"/>
      <c r="BT377" s="408"/>
      <c r="BU377" s="408"/>
      <c r="BV377" s="408"/>
      <c r="BW377" s="408"/>
      <c r="BX377" s="408"/>
      <c r="BY377" s="408"/>
      <c r="BZ377" s="408"/>
      <c r="CA377" s="408"/>
      <c r="CB377" s="408"/>
      <c r="CC377" s="408"/>
      <c r="CD377" s="408"/>
      <c r="CE377" s="408"/>
      <c r="CF377" s="408"/>
      <c r="CG377" s="408"/>
      <c r="CH377" s="408"/>
      <c r="CI377" s="408"/>
      <c r="CJ377" s="408"/>
      <c r="CK377" s="408"/>
      <c r="CL377" s="408"/>
      <c r="CM377" s="408"/>
      <c r="CN377" s="408"/>
    </row>
    <row r="378">
      <c r="A378" s="408"/>
      <c r="B378" s="408"/>
      <c r="C378" s="408"/>
      <c r="D378" s="408"/>
      <c r="E378" s="408"/>
      <c r="F378" s="408"/>
      <c r="G378" s="408"/>
      <c r="H378" s="408"/>
      <c r="I378" s="408"/>
      <c r="J378" s="408"/>
      <c r="K378" s="408"/>
      <c r="L378" s="408"/>
      <c r="M378" s="408"/>
      <c r="N378" s="408"/>
      <c r="O378" s="408"/>
      <c r="P378" s="408"/>
      <c r="Q378" s="408"/>
      <c r="R378" s="408"/>
      <c r="S378" s="408"/>
      <c r="T378" s="408"/>
      <c r="U378" s="408"/>
      <c r="V378" s="408"/>
      <c r="W378" s="408"/>
      <c r="X378" s="408"/>
      <c r="Y378" s="408"/>
      <c r="Z378" s="408"/>
      <c r="AA378" s="408"/>
      <c r="AB378" s="408"/>
      <c r="AC378" s="408"/>
      <c r="AD378" s="408"/>
      <c r="AE378" s="408"/>
      <c r="AF378" s="408"/>
      <c r="AG378" s="408"/>
      <c r="AH378" s="408"/>
      <c r="AI378" s="408"/>
      <c r="AJ378" s="408"/>
      <c r="AK378" s="408"/>
      <c r="AL378" s="408"/>
      <c r="AM378" s="408"/>
      <c r="AN378" s="408"/>
      <c r="AO378" s="408"/>
      <c r="AP378" s="408"/>
      <c r="AQ378" s="408"/>
      <c r="AR378" s="408"/>
      <c r="AS378" s="408"/>
      <c r="AT378" s="408"/>
      <c r="AU378" s="408"/>
      <c r="AV378" s="408"/>
      <c r="AW378" s="408"/>
      <c r="AX378" s="408"/>
      <c r="AY378" s="408"/>
      <c r="AZ378" s="408"/>
      <c r="BA378" s="408"/>
      <c r="BB378" s="408"/>
      <c r="BC378" s="408"/>
      <c r="BD378" s="408"/>
      <c r="BE378" s="408"/>
      <c r="BF378" s="408"/>
      <c r="BG378" s="408"/>
      <c r="BH378" s="408"/>
      <c r="BI378" s="408"/>
      <c r="BJ378" s="408"/>
      <c r="BK378" s="408"/>
      <c r="BL378" s="408"/>
      <c r="BM378" s="408"/>
      <c r="BN378" s="408"/>
      <c r="BO378" s="408"/>
      <c r="BP378" s="408"/>
      <c r="BQ378" s="408"/>
      <c r="BR378" s="408"/>
      <c r="BS378" s="408"/>
      <c r="BT378" s="408"/>
      <c r="BU378" s="408"/>
      <c r="BV378" s="408"/>
      <c r="BW378" s="408"/>
      <c r="BX378" s="408"/>
      <c r="BY378" s="408"/>
      <c r="BZ378" s="408"/>
      <c r="CA378" s="408"/>
      <c r="CB378" s="408"/>
      <c r="CC378" s="408"/>
      <c r="CD378" s="408"/>
      <c r="CE378" s="408"/>
      <c r="CF378" s="408"/>
      <c r="CG378" s="408"/>
      <c r="CH378" s="408"/>
      <c r="CI378" s="408"/>
      <c r="CJ378" s="408"/>
      <c r="CK378" s="408"/>
      <c r="CL378" s="408"/>
      <c r="CM378" s="408"/>
      <c r="CN378" s="408"/>
    </row>
    <row r="379">
      <c r="A379" s="408"/>
      <c r="B379" s="408"/>
      <c r="C379" s="408"/>
      <c r="D379" s="408"/>
      <c r="E379" s="408"/>
      <c r="F379" s="408"/>
      <c r="G379" s="408"/>
      <c r="H379" s="408"/>
      <c r="I379" s="408"/>
      <c r="J379" s="408"/>
      <c r="K379" s="408"/>
      <c r="L379" s="408"/>
      <c r="M379" s="408"/>
      <c r="N379" s="408"/>
      <c r="O379" s="408"/>
      <c r="P379" s="408"/>
      <c r="Q379" s="408"/>
      <c r="R379" s="408"/>
      <c r="S379" s="408"/>
      <c r="T379" s="408"/>
      <c r="U379" s="408"/>
      <c r="V379" s="408"/>
      <c r="W379" s="408"/>
      <c r="X379" s="408"/>
      <c r="Y379" s="408"/>
      <c r="Z379" s="408"/>
      <c r="AA379" s="408"/>
      <c r="AB379" s="408"/>
      <c r="AC379" s="408"/>
      <c r="AD379" s="408"/>
      <c r="AE379" s="408"/>
      <c r="AF379" s="408"/>
      <c r="AG379" s="408"/>
      <c r="AH379" s="408"/>
      <c r="AI379" s="408"/>
      <c r="AJ379" s="408"/>
      <c r="AK379" s="408"/>
      <c r="AL379" s="408"/>
      <c r="AM379" s="408"/>
      <c r="AN379" s="408"/>
      <c r="AO379" s="408"/>
      <c r="AP379" s="408"/>
      <c r="AQ379" s="408"/>
      <c r="AR379" s="408"/>
      <c r="AS379" s="408"/>
      <c r="AT379" s="408"/>
      <c r="AU379" s="408"/>
      <c r="AV379" s="408"/>
      <c r="AW379" s="408"/>
      <c r="AX379" s="408"/>
      <c r="AY379" s="408"/>
      <c r="AZ379" s="408"/>
      <c r="BA379" s="408"/>
      <c r="BB379" s="408"/>
      <c r="BC379" s="408"/>
      <c r="BD379" s="408"/>
      <c r="BE379" s="408"/>
      <c r="BF379" s="408"/>
      <c r="BG379" s="408"/>
      <c r="BH379" s="408"/>
      <c r="BI379" s="408"/>
      <c r="BJ379" s="408"/>
      <c r="BK379" s="408"/>
      <c r="BL379" s="408"/>
      <c r="BM379" s="408"/>
      <c r="BN379" s="408"/>
      <c r="BO379" s="408"/>
      <c r="BP379" s="408"/>
      <c r="BQ379" s="408"/>
      <c r="BR379" s="408"/>
      <c r="BS379" s="408"/>
      <c r="BT379" s="408"/>
      <c r="BU379" s="408"/>
      <c r="BV379" s="408"/>
      <c r="BW379" s="408"/>
      <c r="BX379" s="408"/>
      <c r="BY379" s="408"/>
      <c r="BZ379" s="408"/>
      <c r="CA379" s="408"/>
      <c r="CB379" s="408"/>
      <c r="CC379" s="408"/>
      <c r="CD379" s="408"/>
      <c r="CE379" s="408"/>
      <c r="CF379" s="408"/>
      <c r="CG379" s="408"/>
      <c r="CH379" s="408"/>
      <c r="CI379" s="408"/>
      <c r="CJ379" s="408"/>
      <c r="CK379" s="408"/>
      <c r="CL379" s="408"/>
      <c r="CM379" s="408"/>
      <c r="CN379" s="408"/>
    </row>
    <row r="380">
      <c r="A380" s="408"/>
      <c r="B380" s="408"/>
      <c r="C380" s="408"/>
      <c r="D380" s="408"/>
      <c r="E380" s="408"/>
      <c r="F380" s="408"/>
      <c r="G380" s="408"/>
      <c r="H380" s="408"/>
      <c r="I380" s="408"/>
      <c r="J380" s="408"/>
      <c r="K380" s="408"/>
      <c r="L380" s="408"/>
      <c r="M380" s="408"/>
      <c r="N380" s="408"/>
      <c r="O380" s="408"/>
      <c r="P380" s="408"/>
      <c r="Q380" s="408"/>
      <c r="R380" s="408"/>
      <c r="S380" s="408"/>
      <c r="T380" s="408"/>
      <c r="U380" s="408"/>
      <c r="V380" s="408"/>
      <c r="W380" s="408"/>
      <c r="X380" s="408"/>
      <c r="Y380" s="408"/>
      <c r="Z380" s="408"/>
      <c r="AA380" s="408"/>
      <c r="AB380" s="408"/>
      <c r="AC380" s="408"/>
      <c r="AD380" s="408"/>
      <c r="AE380" s="408"/>
      <c r="AF380" s="408"/>
      <c r="AG380" s="408"/>
      <c r="AH380" s="408"/>
      <c r="AI380" s="408"/>
      <c r="AJ380" s="408"/>
      <c r="AK380" s="408"/>
      <c r="AL380" s="408"/>
      <c r="AM380" s="408"/>
      <c r="AN380" s="408"/>
      <c r="AO380" s="408"/>
      <c r="AP380" s="408"/>
      <c r="AQ380" s="408"/>
      <c r="AR380" s="408"/>
      <c r="AS380" s="408"/>
      <c r="AT380" s="408"/>
      <c r="AU380" s="408"/>
      <c r="AV380" s="408"/>
      <c r="AW380" s="408"/>
      <c r="AX380" s="408"/>
      <c r="AY380" s="408"/>
      <c r="AZ380" s="408"/>
      <c r="BA380" s="408"/>
      <c r="BB380" s="408"/>
      <c r="BC380" s="408"/>
      <c r="BD380" s="408"/>
      <c r="BE380" s="408"/>
      <c r="BF380" s="408"/>
      <c r="BG380" s="408"/>
      <c r="BH380" s="408"/>
      <c r="BI380" s="408"/>
      <c r="BJ380" s="408"/>
      <c r="BK380" s="408"/>
      <c r="BL380" s="408"/>
      <c r="BM380" s="408"/>
      <c r="BN380" s="408"/>
      <c r="BO380" s="408"/>
      <c r="BP380" s="408"/>
      <c r="BQ380" s="408"/>
      <c r="BR380" s="408"/>
      <c r="BS380" s="408"/>
      <c r="BT380" s="408"/>
      <c r="BU380" s="408"/>
      <c r="BV380" s="408"/>
      <c r="BW380" s="408"/>
      <c r="BX380" s="408"/>
      <c r="BY380" s="408"/>
      <c r="BZ380" s="408"/>
      <c r="CA380" s="408"/>
      <c r="CB380" s="408"/>
      <c r="CC380" s="408"/>
      <c r="CD380" s="408"/>
      <c r="CE380" s="408"/>
      <c r="CF380" s="408"/>
      <c r="CG380" s="408"/>
      <c r="CH380" s="408"/>
      <c r="CI380" s="408"/>
      <c r="CJ380" s="408"/>
      <c r="CK380" s="408"/>
      <c r="CL380" s="408"/>
      <c r="CM380" s="408"/>
      <c r="CN380" s="408"/>
    </row>
    <row r="381">
      <c r="A381" s="408"/>
      <c r="B381" s="408"/>
      <c r="C381" s="408"/>
      <c r="D381" s="408"/>
      <c r="E381" s="408"/>
      <c r="F381" s="408"/>
      <c r="G381" s="408"/>
      <c r="H381" s="408"/>
      <c r="I381" s="408"/>
      <c r="J381" s="408"/>
      <c r="K381" s="408"/>
      <c r="L381" s="408"/>
      <c r="M381" s="408"/>
      <c r="N381" s="408"/>
      <c r="O381" s="408"/>
      <c r="P381" s="408"/>
      <c r="Q381" s="408"/>
      <c r="R381" s="408"/>
      <c r="S381" s="408"/>
      <c r="T381" s="408"/>
      <c r="U381" s="408"/>
      <c r="V381" s="408"/>
      <c r="W381" s="408"/>
      <c r="X381" s="408"/>
      <c r="Y381" s="408"/>
      <c r="Z381" s="408"/>
      <c r="AA381" s="408"/>
      <c r="AB381" s="408"/>
      <c r="AC381" s="408"/>
      <c r="AD381" s="408"/>
      <c r="AE381" s="408"/>
      <c r="AF381" s="408"/>
      <c r="AG381" s="408"/>
      <c r="AH381" s="408"/>
      <c r="AI381" s="408"/>
      <c r="AJ381" s="408"/>
      <c r="AK381" s="408"/>
      <c r="AL381" s="408"/>
      <c r="AM381" s="408"/>
      <c r="AN381" s="408"/>
      <c r="AO381" s="408"/>
      <c r="AP381" s="408"/>
      <c r="AQ381" s="408"/>
      <c r="AR381" s="408"/>
      <c r="AS381" s="408"/>
      <c r="AT381" s="408"/>
      <c r="AU381" s="408"/>
      <c r="AV381" s="408"/>
      <c r="AW381" s="408"/>
      <c r="AX381" s="408"/>
      <c r="AY381" s="408"/>
      <c r="AZ381" s="408"/>
      <c r="BA381" s="408"/>
      <c r="BB381" s="408"/>
      <c r="BC381" s="408"/>
      <c r="BD381" s="408"/>
      <c r="BE381" s="408"/>
      <c r="BF381" s="408"/>
      <c r="BG381" s="408"/>
      <c r="BH381" s="408"/>
      <c r="BI381" s="408"/>
      <c r="BJ381" s="408"/>
      <c r="BK381" s="408"/>
      <c r="BL381" s="408"/>
      <c r="BM381" s="408"/>
      <c r="BN381" s="408"/>
      <c r="BO381" s="408"/>
      <c r="BP381" s="408"/>
      <c r="BQ381" s="408"/>
      <c r="BR381" s="408"/>
      <c r="BS381" s="408"/>
      <c r="BT381" s="408"/>
      <c r="BU381" s="408"/>
      <c r="BV381" s="408"/>
      <c r="BW381" s="408"/>
      <c r="BX381" s="408"/>
      <c r="BY381" s="408"/>
      <c r="BZ381" s="408"/>
      <c r="CA381" s="408"/>
      <c r="CB381" s="408"/>
      <c r="CC381" s="408"/>
      <c r="CD381" s="408"/>
      <c r="CE381" s="408"/>
      <c r="CF381" s="408"/>
      <c r="CG381" s="408"/>
      <c r="CH381" s="408"/>
      <c r="CI381" s="408"/>
      <c r="CJ381" s="408"/>
      <c r="CK381" s="408"/>
      <c r="CL381" s="408"/>
      <c r="CM381" s="408"/>
      <c r="CN381" s="408"/>
    </row>
    <row r="382">
      <c r="A382" s="408"/>
      <c r="B382" s="408"/>
      <c r="C382" s="408"/>
      <c r="D382" s="408"/>
      <c r="E382" s="408"/>
      <c r="F382" s="408"/>
      <c r="G382" s="408"/>
      <c r="H382" s="408"/>
      <c r="I382" s="408"/>
      <c r="J382" s="408"/>
      <c r="K382" s="408"/>
      <c r="L382" s="408"/>
      <c r="M382" s="408"/>
      <c r="N382" s="408"/>
      <c r="O382" s="408"/>
      <c r="P382" s="408"/>
      <c r="Q382" s="408"/>
      <c r="R382" s="408"/>
      <c r="S382" s="408"/>
      <c r="T382" s="408"/>
      <c r="U382" s="408"/>
      <c r="V382" s="408"/>
      <c r="W382" s="408"/>
      <c r="X382" s="408"/>
      <c r="Y382" s="408"/>
      <c r="Z382" s="408"/>
      <c r="AA382" s="408"/>
      <c r="AB382" s="408"/>
      <c r="AC382" s="408"/>
      <c r="AD382" s="408"/>
      <c r="AE382" s="408"/>
      <c r="AF382" s="408"/>
      <c r="AG382" s="408"/>
      <c r="AH382" s="408"/>
      <c r="AI382" s="408"/>
      <c r="AJ382" s="408"/>
      <c r="AK382" s="408"/>
      <c r="AL382" s="408"/>
      <c r="AM382" s="408"/>
      <c r="AN382" s="408"/>
      <c r="AO382" s="408"/>
      <c r="AP382" s="408"/>
      <c r="AQ382" s="408"/>
      <c r="AR382" s="408"/>
      <c r="AS382" s="408"/>
      <c r="AT382" s="408"/>
      <c r="AU382" s="408"/>
      <c r="AV382" s="408"/>
      <c r="AW382" s="408"/>
      <c r="AX382" s="408"/>
      <c r="AY382" s="408"/>
      <c r="AZ382" s="408"/>
      <c r="BA382" s="408"/>
      <c r="BB382" s="408"/>
      <c r="BC382" s="408"/>
      <c r="BD382" s="408"/>
      <c r="BE382" s="408"/>
      <c r="BF382" s="408"/>
      <c r="BG382" s="408"/>
      <c r="BH382" s="408"/>
      <c r="BI382" s="408"/>
      <c r="BJ382" s="408"/>
      <c r="BK382" s="408"/>
      <c r="BL382" s="408"/>
      <c r="BM382" s="408"/>
      <c r="BN382" s="408"/>
      <c r="BO382" s="408"/>
      <c r="BP382" s="408"/>
      <c r="BQ382" s="408"/>
      <c r="BR382" s="408"/>
      <c r="BS382" s="408"/>
      <c r="BT382" s="408"/>
      <c r="BU382" s="408"/>
      <c r="BV382" s="408"/>
      <c r="BW382" s="408"/>
      <c r="BX382" s="408"/>
      <c r="BY382" s="408"/>
      <c r="BZ382" s="408"/>
      <c r="CA382" s="408"/>
      <c r="CB382" s="408"/>
      <c r="CC382" s="408"/>
      <c r="CD382" s="408"/>
      <c r="CE382" s="408"/>
      <c r="CF382" s="408"/>
      <c r="CG382" s="408"/>
      <c r="CH382" s="408"/>
      <c r="CI382" s="408"/>
      <c r="CJ382" s="408"/>
      <c r="CK382" s="408"/>
      <c r="CL382" s="408"/>
      <c r="CM382" s="408"/>
      <c r="CN382" s="408"/>
    </row>
    <row r="383">
      <c r="A383" s="408"/>
      <c r="B383" s="408"/>
      <c r="C383" s="408"/>
      <c r="D383" s="408"/>
      <c r="E383" s="408"/>
      <c r="F383" s="408"/>
      <c r="G383" s="408"/>
      <c r="H383" s="408"/>
      <c r="I383" s="408"/>
      <c r="J383" s="408"/>
      <c r="K383" s="408"/>
      <c r="L383" s="408"/>
      <c r="M383" s="408"/>
      <c r="N383" s="408"/>
      <c r="O383" s="408"/>
      <c r="P383" s="408"/>
      <c r="Q383" s="408"/>
      <c r="R383" s="408"/>
      <c r="S383" s="408"/>
      <c r="T383" s="408"/>
      <c r="U383" s="408"/>
      <c r="V383" s="408"/>
      <c r="W383" s="408"/>
      <c r="X383" s="408"/>
      <c r="Y383" s="408"/>
      <c r="Z383" s="408"/>
      <c r="AA383" s="408"/>
      <c r="AB383" s="408"/>
      <c r="AC383" s="408"/>
      <c r="AD383" s="408"/>
      <c r="AE383" s="408"/>
      <c r="AF383" s="408"/>
      <c r="AG383" s="408"/>
      <c r="AH383" s="408"/>
      <c r="AI383" s="408"/>
      <c r="AJ383" s="408"/>
      <c r="AK383" s="408"/>
      <c r="AL383" s="408"/>
      <c r="AM383" s="408"/>
      <c r="AN383" s="408"/>
      <c r="AO383" s="408"/>
      <c r="AP383" s="408"/>
      <c r="AQ383" s="408"/>
      <c r="AR383" s="408"/>
      <c r="AS383" s="408"/>
      <c r="AT383" s="408"/>
      <c r="AU383" s="408"/>
      <c r="AV383" s="408"/>
      <c r="AW383" s="408"/>
      <c r="AX383" s="408"/>
      <c r="AY383" s="408"/>
      <c r="AZ383" s="408"/>
      <c r="BA383" s="408"/>
      <c r="BB383" s="408"/>
      <c r="BC383" s="408"/>
      <c r="BD383" s="408"/>
      <c r="BE383" s="408"/>
      <c r="BF383" s="408"/>
      <c r="BG383" s="408"/>
      <c r="BH383" s="408"/>
      <c r="BI383" s="408"/>
      <c r="BJ383" s="408"/>
      <c r="BK383" s="408"/>
      <c r="BL383" s="408"/>
      <c r="BM383" s="408"/>
      <c r="BN383" s="408"/>
      <c r="BO383" s="408"/>
      <c r="BP383" s="408"/>
      <c r="BQ383" s="408"/>
      <c r="BR383" s="408"/>
      <c r="BS383" s="408"/>
      <c r="BT383" s="408"/>
      <c r="BU383" s="408"/>
      <c r="BV383" s="408"/>
      <c r="BW383" s="408"/>
      <c r="BX383" s="408"/>
      <c r="BY383" s="408"/>
      <c r="BZ383" s="408"/>
      <c r="CA383" s="408"/>
      <c r="CB383" s="408"/>
      <c r="CC383" s="408"/>
      <c r="CD383" s="408"/>
      <c r="CE383" s="408"/>
      <c r="CF383" s="408"/>
      <c r="CG383" s="408"/>
      <c r="CH383" s="408"/>
      <c r="CI383" s="408"/>
      <c r="CJ383" s="408"/>
      <c r="CK383" s="408"/>
      <c r="CL383" s="408"/>
      <c r="CM383" s="408"/>
      <c r="CN383" s="408"/>
    </row>
    <row r="384">
      <c r="A384" s="408"/>
      <c r="B384" s="408"/>
      <c r="C384" s="408"/>
      <c r="D384" s="408"/>
      <c r="E384" s="408"/>
      <c r="F384" s="408"/>
      <c r="G384" s="408"/>
      <c r="H384" s="408"/>
      <c r="I384" s="408"/>
      <c r="J384" s="408"/>
      <c r="K384" s="408"/>
      <c r="L384" s="408"/>
      <c r="M384" s="408"/>
      <c r="N384" s="408"/>
      <c r="O384" s="408"/>
      <c r="P384" s="408"/>
      <c r="Q384" s="408"/>
      <c r="R384" s="408"/>
      <c r="S384" s="408"/>
      <c r="T384" s="408"/>
      <c r="U384" s="408"/>
      <c r="V384" s="408"/>
      <c r="W384" s="408"/>
      <c r="X384" s="408"/>
      <c r="Y384" s="408"/>
      <c r="Z384" s="408"/>
      <c r="AA384" s="408"/>
      <c r="AB384" s="408"/>
      <c r="AC384" s="408"/>
      <c r="AD384" s="408"/>
      <c r="AE384" s="408"/>
      <c r="AF384" s="408"/>
      <c r="AG384" s="408"/>
      <c r="AH384" s="408"/>
      <c r="AI384" s="408"/>
      <c r="AJ384" s="408"/>
      <c r="AK384" s="408"/>
      <c r="AL384" s="408"/>
      <c r="AM384" s="408"/>
      <c r="AN384" s="408"/>
      <c r="AO384" s="408"/>
      <c r="AP384" s="408"/>
      <c r="AQ384" s="408"/>
      <c r="AR384" s="408"/>
      <c r="AS384" s="408"/>
      <c r="AT384" s="408"/>
      <c r="AU384" s="408"/>
      <c r="AV384" s="408"/>
      <c r="AW384" s="408"/>
      <c r="AX384" s="408"/>
      <c r="AY384" s="408"/>
      <c r="AZ384" s="408"/>
      <c r="BA384" s="408"/>
      <c r="BB384" s="408"/>
      <c r="BC384" s="408"/>
      <c r="BD384" s="408"/>
      <c r="BE384" s="408"/>
      <c r="BF384" s="408"/>
      <c r="BG384" s="408"/>
      <c r="BH384" s="408"/>
      <c r="BI384" s="408"/>
      <c r="BJ384" s="408"/>
      <c r="BK384" s="408"/>
      <c r="BL384" s="408"/>
      <c r="BM384" s="408"/>
      <c r="BN384" s="408"/>
      <c r="BO384" s="408"/>
      <c r="BP384" s="408"/>
      <c r="BQ384" s="408"/>
      <c r="BR384" s="408"/>
      <c r="BS384" s="408"/>
      <c r="BT384" s="408"/>
      <c r="BU384" s="408"/>
      <c r="BV384" s="408"/>
      <c r="BW384" s="408"/>
      <c r="BX384" s="408"/>
      <c r="BY384" s="408"/>
      <c r="BZ384" s="408"/>
      <c r="CA384" s="408"/>
      <c r="CB384" s="408"/>
      <c r="CC384" s="408"/>
      <c r="CD384" s="408"/>
      <c r="CE384" s="408"/>
      <c r="CF384" s="408"/>
      <c r="CG384" s="408"/>
      <c r="CH384" s="408"/>
      <c r="CI384" s="408"/>
      <c r="CJ384" s="408"/>
      <c r="CK384" s="408"/>
      <c r="CL384" s="408"/>
      <c r="CM384" s="408"/>
      <c r="CN384" s="408"/>
    </row>
    <row r="385">
      <c r="A385" s="408"/>
      <c r="B385" s="408"/>
      <c r="C385" s="408"/>
      <c r="D385" s="408"/>
      <c r="E385" s="408"/>
      <c r="F385" s="408"/>
      <c r="G385" s="408"/>
      <c r="H385" s="408"/>
      <c r="I385" s="408"/>
      <c r="J385" s="408"/>
      <c r="K385" s="408"/>
      <c r="L385" s="408"/>
      <c r="M385" s="408"/>
      <c r="N385" s="408"/>
      <c r="O385" s="408"/>
      <c r="P385" s="408"/>
      <c r="Q385" s="408"/>
      <c r="R385" s="408"/>
      <c r="S385" s="408"/>
      <c r="T385" s="408"/>
      <c r="U385" s="408"/>
      <c r="V385" s="408"/>
      <c r="W385" s="408"/>
      <c r="X385" s="408"/>
      <c r="Y385" s="408"/>
      <c r="Z385" s="408"/>
      <c r="AA385" s="408"/>
      <c r="AB385" s="408"/>
      <c r="AC385" s="408"/>
      <c r="AD385" s="408"/>
      <c r="AE385" s="408"/>
      <c r="AF385" s="408"/>
      <c r="AG385" s="408"/>
      <c r="AH385" s="408"/>
      <c r="AI385" s="408"/>
      <c r="AJ385" s="408"/>
      <c r="AK385" s="408"/>
      <c r="AL385" s="408"/>
      <c r="AM385" s="408"/>
      <c r="AN385" s="408"/>
      <c r="AO385" s="408"/>
      <c r="AP385" s="408"/>
      <c r="AQ385" s="408"/>
      <c r="AR385" s="408"/>
      <c r="AS385" s="408"/>
      <c r="AT385" s="408"/>
      <c r="AU385" s="408"/>
      <c r="AV385" s="408"/>
      <c r="AW385" s="408"/>
      <c r="AX385" s="408"/>
      <c r="AY385" s="408"/>
      <c r="AZ385" s="408"/>
      <c r="BA385" s="408"/>
      <c r="BB385" s="408"/>
      <c r="BC385" s="408"/>
      <c r="BD385" s="408"/>
      <c r="BE385" s="408"/>
      <c r="BF385" s="408"/>
      <c r="BG385" s="408"/>
      <c r="BH385" s="408"/>
      <c r="BI385" s="408"/>
      <c r="BJ385" s="408"/>
      <c r="BK385" s="408"/>
      <c r="BL385" s="408"/>
      <c r="BM385" s="408"/>
      <c r="BN385" s="408"/>
      <c r="BO385" s="408"/>
      <c r="BP385" s="408"/>
      <c r="BQ385" s="408"/>
      <c r="BR385" s="408"/>
      <c r="BS385" s="408"/>
      <c r="BT385" s="408"/>
      <c r="BU385" s="408"/>
      <c r="BV385" s="408"/>
      <c r="BW385" s="408"/>
      <c r="BX385" s="408"/>
      <c r="BY385" s="408"/>
      <c r="BZ385" s="408"/>
      <c r="CA385" s="408"/>
      <c r="CB385" s="408"/>
      <c r="CC385" s="408"/>
      <c r="CD385" s="408"/>
      <c r="CE385" s="408"/>
      <c r="CF385" s="408"/>
      <c r="CG385" s="408"/>
      <c r="CH385" s="408"/>
      <c r="CI385" s="408"/>
      <c r="CJ385" s="408"/>
      <c r="CK385" s="408"/>
      <c r="CL385" s="408"/>
      <c r="CM385" s="408"/>
      <c r="CN385" s="408"/>
    </row>
    <row r="386">
      <c r="A386" s="408"/>
      <c r="B386" s="408"/>
      <c r="C386" s="408"/>
      <c r="D386" s="408"/>
      <c r="E386" s="408"/>
      <c r="F386" s="408"/>
      <c r="G386" s="408"/>
      <c r="H386" s="408"/>
      <c r="I386" s="408"/>
      <c r="J386" s="408"/>
      <c r="K386" s="408"/>
      <c r="L386" s="408"/>
      <c r="M386" s="408"/>
      <c r="N386" s="408"/>
      <c r="O386" s="408"/>
      <c r="P386" s="408"/>
      <c r="Q386" s="408"/>
      <c r="R386" s="408"/>
      <c r="S386" s="408"/>
      <c r="T386" s="408"/>
      <c r="U386" s="408"/>
      <c r="V386" s="408"/>
      <c r="W386" s="408"/>
      <c r="X386" s="408"/>
      <c r="Y386" s="408"/>
      <c r="Z386" s="408"/>
      <c r="AA386" s="408"/>
      <c r="AB386" s="408"/>
      <c r="AC386" s="408"/>
      <c r="AD386" s="408"/>
      <c r="AE386" s="408"/>
      <c r="AF386" s="408"/>
      <c r="AG386" s="408"/>
      <c r="AH386" s="408"/>
      <c r="AI386" s="408"/>
      <c r="AJ386" s="408"/>
      <c r="AK386" s="408"/>
      <c r="AL386" s="408"/>
      <c r="AM386" s="408"/>
      <c r="AN386" s="408"/>
      <c r="AO386" s="408"/>
      <c r="AP386" s="408"/>
      <c r="AQ386" s="408"/>
      <c r="AR386" s="408"/>
      <c r="AS386" s="408"/>
      <c r="AT386" s="408"/>
      <c r="AU386" s="408"/>
      <c r="AV386" s="408"/>
      <c r="AW386" s="408"/>
      <c r="AX386" s="408"/>
      <c r="AY386" s="408"/>
      <c r="AZ386" s="408"/>
      <c r="BA386" s="408"/>
      <c r="BB386" s="408"/>
      <c r="BC386" s="408"/>
      <c r="BD386" s="408"/>
      <c r="BE386" s="408"/>
      <c r="BF386" s="408"/>
      <c r="BG386" s="408"/>
      <c r="BH386" s="408"/>
      <c r="BI386" s="408"/>
      <c r="BJ386" s="408"/>
      <c r="BK386" s="408"/>
      <c r="BL386" s="408"/>
      <c r="BM386" s="408"/>
      <c r="BN386" s="408"/>
      <c r="BO386" s="408"/>
      <c r="BP386" s="408"/>
      <c r="BQ386" s="408"/>
      <c r="BR386" s="408"/>
      <c r="BS386" s="408"/>
      <c r="BT386" s="408"/>
      <c r="BU386" s="408"/>
      <c r="BV386" s="408"/>
      <c r="BW386" s="408"/>
      <c r="BX386" s="408"/>
      <c r="BY386" s="408"/>
      <c r="BZ386" s="408"/>
      <c r="CA386" s="408"/>
      <c r="CB386" s="408"/>
      <c r="CC386" s="408"/>
      <c r="CD386" s="408"/>
      <c r="CE386" s="408"/>
      <c r="CF386" s="408"/>
      <c r="CG386" s="408"/>
      <c r="CH386" s="408"/>
      <c r="CI386" s="408"/>
      <c r="CJ386" s="408"/>
      <c r="CK386" s="408"/>
      <c r="CL386" s="408"/>
      <c r="CM386" s="408"/>
      <c r="CN386" s="408"/>
    </row>
    <row r="387">
      <c r="A387" s="408"/>
      <c r="B387" s="408"/>
      <c r="C387" s="408"/>
      <c r="D387" s="408"/>
      <c r="E387" s="408"/>
      <c r="F387" s="408"/>
      <c r="G387" s="408"/>
      <c r="H387" s="408"/>
      <c r="I387" s="408"/>
      <c r="J387" s="408"/>
      <c r="K387" s="408"/>
      <c r="L387" s="408"/>
      <c r="M387" s="408"/>
      <c r="N387" s="408"/>
      <c r="O387" s="408"/>
      <c r="P387" s="408"/>
      <c r="Q387" s="408"/>
      <c r="R387" s="408"/>
      <c r="S387" s="408"/>
      <c r="T387" s="408"/>
      <c r="U387" s="408"/>
      <c r="V387" s="408"/>
      <c r="W387" s="408"/>
      <c r="X387" s="408"/>
      <c r="Y387" s="408"/>
      <c r="Z387" s="408"/>
      <c r="AA387" s="408"/>
      <c r="AB387" s="408"/>
      <c r="AC387" s="408"/>
      <c r="AD387" s="408"/>
      <c r="AE387" s="408"/>
      <c r="AF387" s="408"/>
      <c r="AG387" s="408"/>
      <c r="AH387" s="408"/>
      <c r="AI387" s="408"/>
      <c r="AJ387" s="408"/>
      <c r="AK387" s="408"/>
      <c r="AL387" s="408"/>
      <c r="AM387" s="408"/>
      <c r="AN387" s="408"/>
      <c r="AO387" s="408"/>
      <c r="AP387" s="408"/>
      <c r="AQ387" s="408"/>
      <c r="AR387" s="408"/>
      <c r="AS387" s="408"/>
      <c r="AT387" s="408"/>
      <c r="AU387" s="408"/>
      <c r="AV387" s="408"/>
      <c r="AW387" s="408"/>
      <c r="AX387" s="408"/>
      <c r="AY387" s="408"/>
      <c r="AZ387" s="408"/>
      <c r="BA387" s="408"/>
      <c r="BB387" s="408"/>
      <c r="BC387" s="408"/>
      <c r="BD387" s="408"/>
      <c r="BE387" s="408"/>
      <c r="BF387" s="408"/>
      <c r="BG387" s="408"/>
      <c r="BH387" s="408"/>
      <c r="BI387" s="408"/>
      <c r="BJ387" s="408"/>
      <c r="BK387" s="408"/>
      <c r="BL387" s="408"/>
      <c r="BM387" s="408"/>
      <c r="BN387" s="408"/>
      <c r="BO387" s="408"/>
      <c r="BP387" s="408"/>
      <c r="BQ387" s="408"/>
      <c r="BR387" s="408"/>
      <c r="BS387" s="408"/>
      <c r="BT387" s="408"/>
      <c r="BU387" s="408"/>
      <c r="BV387" s="408"/>
      <c r="BW387" s="408"/>
      <c r="BX387" s="408"/>
      <c r="BY387" s="408"/>
      <c r="BZ387" s="408"/>
      <c r="CA387" s="408"/>
      <c r="CB387" s="408"/>
      <c r="CC387" s="408"/>
      <c r="CD387" s="408"/>
      <c r="CE387" s="408"/>
      <c r="CF387" s="408"/>
      <c r="CG387" s="408"/>
      <c r="CH387" s="408"/>
      <c r="CI387" s="408"/>
      <c r="CJ387" s="408"/>
      <c r="CK387" s="408"/>
      <c r="CL387" s="408"/>
      <c r="CM387" s="408"/>
      <c r="CN387" s="408"/>
    </row>
    <row r="388">
      <c r="A388" s="408"/>
      <c r="B388" s="408"/>
      <c r="C388" s="408"/>
      <c r="D388" s="408"/>
      <c r="E388" s="408"/>
      <c r="F388" s="408"/>
      <c r="G388" s="408"/>
      <c r="H388" s="408"/>
      <c r="I388" s="408"/>
      <c r="J388" s="408"/>
      <c r="K388" s="408"/>
      <c r="L388" s="408"/>
      <c r="M388" s="408"/>
      <c r="N388" s="408"/>
      <c r="O388" s="408"/>
      <c r="P388" s="408"/>
      <c r="Q388" s="408"/>
      <c r="R388" s="408"/>
      <c r="S388" s="408"/>
      <c r="T388" s="408"/>
      <c r="U388" s="408"/>
      <c r="V388" s="408"/>
      <c r="W388" s="408"/>
      <c r="X388" s="408"/>
      <c r="Y388" s="408"/>
      <c r="Z388" s="408"/>
      <c r="AA388" s="408"/>
      <c r="AB388" s="408"/>
      <c r="AC388" s="408"/>
      <c r="AD388" s="408"/>
      <c r="AE388" s="408"/>
      <c r="AF388" s="408"/>
      <c r="AG388" s="408"/>
      <c r="AH388" s="408"/>
      <c r="AI388" s="408"/>
      <c r="AJ388" s="408"/>
      <c r="AK388" s="408"/>
      <c r="AL388" s="408"/>
      <c r="AM388" s="408"/>
      <c r="AN388" s="408"/>
      <c r="AO388" s="408"/>
      <c r="AP388" s="408"/>
      <c r="AQ388" s="408"/>
      <c r="AR388" s="408"/>
      <c r="AS388" s="408"/>
      <c r="AT388" s="408"/>
      <c r="AU388" s="408"/>
      <c r="AV388" s="408"/>
      <c r="AW388" s="408"/>
      <c r="AX388" s="408"/>
      <c r="AY388" s="408"/>
      <c r="AZ388" s="408"/>
      <c r="BA388" s="408"/>
      <c r="BB388" s="408"/>
      <c r="BC388" s="408"/>
      <c r="BD388" s="408"/>
      <c r="BE388" s="408"/>
      <c r="BF388" s="408"/>
      <c r="BG388" s="408"/>
      <c r="BH388" s="408"/>
      <c r="BI388" s="408"/>
      <c r="BJ388" s="408"/>
      <c r="BK388" s="408"/>
      <c r="BL388" s="408"/>
      <c r="BM388" s="408"/>
      <c r="BN388" s="408"/>
      <c r="BO388" s="408"/>
      <c r="BP388" s="408"/>
      <c r="BQ388" s="408"/>
      <c r="BR388" s="408"/>
      <c r="BS388" s="408"/>
      <c r="BT388" s="408"/>
      <c r="BU388" s="408"/>
      <c r="BV388" s="408"/>
      <c r="BW388" s="408"/>
      <c r="BX388" s="408"/>
      <c r="BY388" s="408"/>
      <c r="BZ388" s="408"/>
      <c r="CA388" s="408"/>
      <c r="CB388" s="408"/>
      <c r="CC388" s="408"/>
      <c r="CD388" s="408"/>
      <c r="CE388" s="408"/>
      <c r="CF388" s="408"/>
      <c r="CG388" s="408"/>
      <c r="CH388" s="408"/>
      <c r="CI388" s="408"/>
      <c r="CJ388" s="408"/>
      <c r="CK388" s="408"/>
      <c r="CL388" s="408"/>
      <c r="CM388" s="408"/>
      <c r="CN388" s="408"/>
    </row>
    <row r="389">
      <c r="A389" s="408"/>
      <c r="B389" s="408"/>
      <c r="C389" s="408"/>
      <c r="D389" s="408"/>
      <c r="E389" s="408"/>
      <c r="F389" s="408"/>
      <c r="G389" s="408"/>
      <c r="H389" s="408"/>
      <c r="I389" s="408"/>
      <c r="J389" s="408"/>
      <c r="K389" s="408"/>
      <c r="L389" s="408"/>
      <c r="M389" s="408"/>
      <c r="N389" s="408"/>
      <c r="O389" s="408"/>
      <c r="P389" s="408"/>
      <c r="Q389" s="408"/>
      <c r="R389" s="408"/>
      <c r="S389" s="408"/>
      <c r="T389" s="408"/>
      <c r="U389" s="408"/>
      <c r="V389" s="408"/>
      <c r="W389" s="408"/>
      <c r="X389" s="408"/>
      <c r="Y389" s="408"/>
      <c r="Z389" s="408"/>
      <c r="AA389" s="408"/>
      <c r="AB389" s="408"/>
      <c r="AC389" s="408"/>
      <c r="AD389" s="408"/>
      <c r="AE389" s="408"/>
      <c r="AF389" s="408"/>
      <c r="AG389" s="408"/>
      <c r="AH389" s="408"/>
      <c r="AI389" s="408"/>
      <c r="AJ389" s="408"/>
      <c r="AK389" s="408"/>
      <c r="AL389" s="408"/>
      <c r="AM389" s="408"/>
      <c r="AN389" s="408"/>
      <c r="AO389" s="408"/>
      <c r="AP389" s="408"/>
      <c r="AQ389" s="408"/>
      <c r="AR389" s="408"/>
      <c r="AS389" s="408"/>
      <c r="AT389" s="408"/>
      <c r="AU389" s="408"/>
      <c r="AV389" s="408"/>
      <c r="AW389" s="408"/>
      <c r="AX389" s="408"/>
      <c r="AY389" s="408"/>
      <c r="AZ389" s="408"/>
      <c r="BA389" s="408"/>
      <c r="BB389" s="408"/>
      <c r="BC389" s="408"/>
      <c r="BD389" s="408"/>
      <c r="BE389" s="408"/>
      <c r="BF389" s="408"/>
      <c r="BG389" s="408"/>
      <c r="BH389" s="408"/>
      <c r="BI389" s="408"/>
      <c r="BJ389" s="408"/>
      <c r="BK389" s="408"/>
      <c r="BL389" s="408"/>
      <c r="BM389" s="408"/>
      <c r="BN389" s="408"/>
      <c r="BO389" s="408"/>
      <c r="BP389" s="408"/>
      <c r="BQ389" s="408"/>
      <c r="BR389" s="408"/>
      <c r="BS389" s="408"/>
      <c r="BT389" s="408"/>
      <c r="BU389" s="408"/>
      <c r="BV389" s="408"/>
      <c r="BW389" s="408"/>
      <c r="BX389" s="408"/>
      <c r="BY389" s="408"/>
      <c r="BZ389" s="408"/>
      <c r="CA389" s="408"/>
      <c r="CB389" s="408"/>
      <c r="CC389" s="408"/>
      <c r="CD389" s="408"/>
      <c r="CE389" s="408"/>
      <c r="CF389" s="408"/>
      <c r="CG389" s="408"/>
      <c r="CH389" s="408"/>
      <c r="CI389" s="408"/>
      <c r="CJ389" s="408"/>
      <c r="CK389" s="408"/>
      <c r="CL389" s="408"/>
      <c r="CM389" s="408"/>
      <c r="CN389" s="408"/>
    </row>
    <row r="390">
      <c r="A390" s="408"/>
      <c r="B390" s="408"/>
      <c r="C390" s="408"/>
      <c r="D390" s="408"/>
      <c r="E390" s="408"/>
      <c r="F390" s="408"/>
      <c r="G390" s="408"/>
      <c r="H390" s="408"/>
      <c r="I390" s="408"/>
      <c r="J390" s="408"/>
      <c r="K390" s="408"/>
      <c r="L390" s="408"/>
      <c r="M390" s="408"/>
      <c r="N390" s="408"/>
      <c r="O390" s="408"/>
      <c r="P390" s="408"/>
      <c r="Q390" s="408"/>
      <c r="R390" s="408"/>
      <c r="S390" s="408"/>
      <c r="T390" s="408"/>
      <c r="U390" s="408"/>
      <c r="V390" s="408"/>
      <c r="W390" s="408"/>
      <c r="X390" s="408"/>
      <c r="Y390" s="408"/>
      <c r="Z390" s="408"/>
      <c r="AA390" s="408"/>
      <c r="AB390" s="408"/>
      <c r="AC390" s="408"/>
      <c r="AD390" s="408"/>
      <c r="AE390" s="408"/>
      <c r="AF390" s="408"/>
      <c r="AG390" s="408"/>
      <c r="AH390" s="408"/>
      <c r="AI390" s="408"/>
      <c r="AJ390" s="408"/>
      <c r="AK390" s="408"/>
      <c r="AL390" s="408"/>
      <c r="AM390" s="408"/>
      <c r="AN390" s="408"/>
      <c r="AO390" s="408"/>
      <c r="AP390" s="408"/>
      <c r="AQ390" s="408"/>
      <c r="AR390" s="408"/>
      <c r="AS390" s="408"/>
      <c r="AT390" s="408"/>
      <c r="AU390" s="408"/>
      <c r="AV390" s="408"/>
      <c r="AW390" s="408"/>
      <c r="AX390" s="408"/>
      <c r="AY390" s="408"/>
      <c r="AZ390" s="408"/>
      <c r="BA390" s="408"/>
      <c r="BB390" s="408"/>
      <c r="BC390" s="408"/>
      <c r="BD390" s="408"/>
      <c r="BE390" s="408"/>
      <c r="BF390" s="408"/>
      <c r="BG390" s="408"/>
      <c r="BH390" s="408"/>
      <c r="BI390" s="408"/>
      <c r="BJ390" s="408"/>
      <c r="BK390" s="408"/>
      <c r="BL390" s="408"/>
      <c r="BM390" s="408"/>
      <c r="BN390" s="408"/>
      <c r="BO390" s="408"/>
      <c r="BP390" s="408"/>
      <c r="BQ390" s="408"/>
      <c r="BR390" s="408"/>
      <c r="BS390" s="408"/>
      <c r="BT390" s="408"/>
      <c r="BU390" s="408"/>
      <c r="BV390" s="408"/>
      <c r="BW390" s="408"/>
      <c r="BX390" s="408"/>
      <c r="BY390" s="408"/>
      <c r="BZ390" s="408"/>
      <c r="CA390" s="408"/>
      <c r="CB390" s="408"/>
      <c r="CC390" s="408"/>
      <c r="CD390" s="408"/>
      <c r="CE390" s="408"/>
      <c r="CF390" s="408"/>
      <c r="CG390" s="408"/>
      <c r="CH390" s="408"/>
      <c r="CI390" s="408"/>
      <c r="CJ390" s="408"/>
      <c r="CK390" s="408"/>
      <c r="CL390" s="408"/>
      <c r="CM390" s="408"/>
      <c r="CN390" s="408"/>
    </row>
    <row r="391">
      <c r="A391" s="408"/>
      <c r="B391" s="408"/>
      <c r="C391" s="408"/>
      <c r="D391" s="408"/>
      <c r="E391" s="408"/>
      <c r="F391" s="408"/>
      <c r="G391" s="408"/>
      <c r="H391" s="408"/>
      <c r="I391" s="408"/>
      <c r="J391" s="408"/>
      <c r="K391" s="408"/>
      <c r="L391" s="408"/>
      <c r="M391" s="408"/>
      <c r="N391" s="408"/>
      <c r="O391" s="408"/>
      <c r="P391" s="408"/>
      <c r="Q391" s="408"/>
      <c r="R391" s="408"/>
      <c r="S391" s="408"/>
      <c r="T391" s="408"/>
      <c r="U391" s="408"/>
      <c r="V391" s="408"/>
      <c r="W391" s="408"/>
      <c r="X391" s="408"/>
      <c r="Y391" s="408"/>
      <c r="Z391" s="408"/>
      <c r="AA391" s="408"/>
      <c r="AB391" s="408"/>
      <c r="AC391" s="408"/>
      <c r="AD391" s="408"/>
      <c r="AE391" s="408"/>
      <c r="AF391" s="408"/>
      <c r="AG391" s="408"/>
      <c r="AH391" s="408"/>
      <c r="AI391" s="408"/>
      <c r="AJ391" s="408"/>
      <c r="AK391" s="408"/>
      <c r="AL391" s="408"/>
      <c r="AM391" s="408"/>
      <c r="AN391" s="408"/>
      <c r="AO391" s="408"/>
      <c r="AP391" s="408"/>
      <c r="AQ391" s="408"/>
      <c r="AR391" s="408"/>
      <c r="AS391" s="408"/>
      <c r="AT391" s="408"/>
      <c r="AU391" s="408"/>
      <c r="AV391" s="408"/>
      <c r="AW391" s="408"/>
      <c r="AX391" s="408"/>
      <c r="AY391" s="408"/>
      <c r="AZ391" s="408"/>
      <c r="BA391" s="408"/>
      <c r="BB391" s="408"/>
      <c r="BC391" s="408"/>
      <c r="BD391" s="408"/>
      <c r="BE391" s="408"/>
      <c r="BF391" s="408"/>
      <c r="BG391" s="408"/>
      <c r="BH391" s="408"/>
      <c r="BI391" s="408"/>
      <c r="BJ391" s="408"/>
      <c r="BK391" s="408"/>
      <c r="BL391" s="408"/>
      <c r="BM391" s="408"/>
      <c r="BN391" s="408"/>
      <c r="BO391" s="408"/>
      <c r="BP391" s="408"/>
      <c r="BQ391" s="408"/>
      <c r="BR391" s="408"/>
      <c r="BS391" s="408"/>
      <c r="BT391" s="408"/>
      <c r="BU391" s="408"/>
      <c r="BV391" s="408"/>
      <c r="BW391" s="408"/>
      <c r="BX391" s="408"/>
      <c r="BY391" s="408"/>
      <c r="BZ391" s="408"/>
      <c r="CA391" s="408"/>
      <c r="CB391" s="408"/>
      <c r="CC391" s="408"/>
      <c r="CD391" s="408"/>
      <c r="CE391" s="408"/>
      <c r="CF391" s="408"/>
      <c r="CG391" s="408"/>
      <c r="CH391" s="408"/>
      <c r="CI391" s="408"/>
      <c r="CJ391" s="408"/>
      <c r="CK391" s="408"/>
      <c r="CL391" s="408"/>
      <c r="CM391" s="408"/>
      <c r="CN391" s="408"/>
    </row>
    <row r="392">
      <c r="A392" s="408"/>
      <c r="B392" s="408"/>
      <c r="C392" s="408"/>
      <c r="D392" s="408"/>
      <c r="E392" s="408"/>
      <c r="F392" s="408"/>
      <c r="G392" s="408"/>
      <c r="H392" s="408"/>
      <c r="I392" s="408"/>
      <c r="J392" s="408"/>
      <c r="K392" s="408"/>
      <c r="L392" s="408"/>
      <c r="M392" s="408"/>
      <c r="N392" s="408"/>
      <c r="O392" s="408"/>
      <c r="P392" s="408"/>
      <c r="Q392" s="408"/>
      <c r="R392" s="408"/>
      <c r="S392" s="408"/>
      <c r="T392" s="408"/>
      <c r="U392" s="408"/>
      <c r="V392" s="408"/>
      <c r="W392" s="408"/>
      <c r="X392" s="408"/>
      <c r="Y392" s="408"/>
      <c r="Z392" s="408"/>
      <c r="AA392" s="408"/>
      <c r="AB392" s="408"/>
      <c r="AC392" s="408"/>
      <c r="AD392" s="408"/>
      <c r="AE392" s="408"/>
      <c r="AF392" s="408"/>
      <c r="AG392" s="408"/>
      <c r="AH392" s="408"/>
      <c r="AI392" s="408"/>
      <c r="AJ392" s="408"/>
      <c r="AK392" s="408"/>
      <c r="AL392" s="408"/>
      <c r="AM392" s="408"/>
      <c r="AN392" s="408"/>
      <c r="AO392" s="408"/>
      <c r="AP392" s="408"/>
      <c r="AQ392" s="408"/>
      <c r="AR392" s="408"/>
      <c r="AS392" s="408"/>
      <c r="AT392" s="408"/>
      <c r="AU392" s="408"/>
      <c r="AV392" s="408"/>
      <c r="AW392" s="408"/>
      <c r="AX392" s="408"/>
      <c r="AY392" s="408"/>
      <c r="AZ392" s="408"/>
      <c r="BA392" s="408"/>
      <c r="BB392" s="408"/>
      <c r="BC392" s="408"/>
      <c r="BD392" s="408"/>
      <c r="BE392" s="408"/>
      <c r="BF392" s="408"/>
      <c r="BG392" s="408"/>
      <c r="BH392" s="408"/>
      <c r="BI392" s="408"/>
      <c r="BJ392" s="408"/>
      <c r="BK392" s="408"/>
      <c r="BL392" s="408"/>
      <c r="BM392" s="408"/>
      <c r="BN392" s="408"/>
      <c r="BO392" s="408"/>
      <c r="BP392" s="408"/>
      <c r="BQ392" s="408"/>
      <c r="BR392" s="408"/>
      <c r="BS392" s="408"/>
      <c r="BT392" s="408"/>
      <c r="BU392" s="408"/>
      <c r="BV392" s="408"/>
      <c r="BW392" s="408"/>
      <c r="BX392" s="408"/>
      <c r="BY392" s="408"/>
      <c r="BZ392" s="408"/>
      <c r="CA392" s="408"/>
      <c r="CB392" s="408"/>
      <c r="CC392" s="408"/>
      <c r="CD392" s="408"/>
      <c r="CE392" s="408"/>
      <c r="CF392" s="408"/>
      <c r="CG392" s="408"/>
      <c r="CH392" s="408"/>
      <c r="CI392" s="408"/>
      <c r="CJ392" s="408"/>
      <c r="CK392" s="408"/>
      <c r="CL392" s="408"/>
      <c r="CM392" s="408"/>
      <c r="CN392" s="408"/>
    </row>
    <row r="393">
      <c r="A393" s="408"/>
      <c r="B393" s="408"/>
      <c r="C393" s="408"/>
      <c r="D393" s="408"/>
      <c r="E393" s="408"/>
      <c r="F393" s="408"/>
      <c r="G393" s="408"/>
      <c r="H393" s="408"/>
      <c r="I393" s="408"/>
      <c r="J393" s="408"/>
      <c r="K393" s="408"/>
      <c r="L393" s="408"/>
      <c r="M393" s="408"/>
      <c r="N393" s="408"/>
      <c r="O393" s="408"/>
      <c r="P393" s="408"/>
      <c r="Q393" s="408"/>
      <c r="R393" s="408"/>
      <c r="S393" s="408"/>
      <c r="T393" s="408"/>
      <c r="U393" s="408"/>
      <c r="V393" s="408"/>
      <c r="W393" s="408"/>
      <c r="X393" s="408"/>
      <c r="Y393" s="408"/>
      <c r="Z393" s="408"/>
      <c r="AA393" s="408"/>
      <c r="AB393" s="408"/>
      <c r="AC393" s="408"/>
      <c r="AD393" s="408"/>
      <c r="AE393" s="408"/>
      <c r="AF393" s="408"/>
      <c r="AG393" s="408"/>
      <c r="AH393" s="408"/>
      <c r="AI393" s="408"/>
      <c r="AJ393" s="408"/>
      <c r="AK393" s="408"/>
      <c r="AL393" s="408"/>
      <c r="AM393" s="408"/>
      <c r="AN393" s="408"/>
      <c r="AO393" s="408"/>
      <c r="AP393" s="408"/>
      <c r="AQ393" s="408"/>
      <c r="AR393" s="408"/>
      <c r="AS393" s="408"/>
      <c r="AT393" s="408"/>
      <c r="AU393" s="408"/>
      <c r="AV393" s="408"/>
      <c r="AW393" s="408"/>
      <c r="AX393" s="408"/>
      <c r="AY393" s="408"/>
      <c r="AZ393" s="408"/>
      <c r="BA393" s="408"/>
      <c r="BB393" s="408"/>
      <c r="BC393" s="408"/>
      <c r="BD393" s="408"/>
      <c r="BE393" s="408"/>
      <c r="BF393" s="408"/>
      <c r="BG393" s="408"/>
      <c r="BH393" s="408"/>
      <c r="BI393" s="408"/>
      <c r="BJ393" s="408"/>
      <c r="BK393" s="408"/>
      <c r="BL393" s="408"/>
      <c r="BM393" s="408"/>
      <c r="BN393" s="408"/>
      <c r="BO393" s="408"/>
      <c r="BP393" s="408"/>
      <c r="BQ393" s="408"/>
      <c r="BR393" s="408"/>
      <c r="BS393" s="408"/>
      <c r="BT393" s="408"/>
      <c r="BU393" s="408"/>
      <c r="BV393" s="408"/>
      <c r="BW393" s="408"/>
      <c r="BX393" s="408"/>
      <c r="BY393" s="408"/>
      <c r="BZ393" s="408"/>
      <c r="CA393" s="408"/>
      <c r="CB393" s="408"/>
      <c r="CC393" s="408"/>
      <c r="CD393" s="408"/>
      <c r="CE393" s="408"/>
      <c r="CF393" s="408"/>
      <c r="CG393" s="408"/>
      <c r="CH393" s="408"/>
      <c r="CI393" s="408"/>
      <c r="CJ393" s="408"/>
      <c r="CK393" s="408"/>
      <c r="CL393" s="408"/>
      <c r="CM393" s="408"/>
      <c r="CN393" s="408"/>
    </row>
    <row r="394">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c r="W394" s="408"/>
      <c r="X394" s="408"/>
      <c r="Y394" s="408"/>
      <c r="Z394" s="408"/>
      <c r="AA394" s="408"/>
      <c r="AB394" s="408"/>
      <c r="AC394" s="408"/>
      <c r="AD394" s="408"/>
      <c r="AE394" s="408"/>
      <c r="AF394" s="408"/>
      <c r="AG394" s="408"/>
      <c r="AH394" s="408"/>
      <c r="AI394" s="408"/>
      <c r="AJ394" s="408"/>
      <c r="AK394" s="408"/>
      <c r="AL394" s="408"/>
      <c r="AM394" s="408"/>
      <c r="AN394" s="408"/>
      <c r="AO394" s="408"/>
      <c r="AP394" s="408"/>
      <c r="AQ394" s="408"/>
      <c r="AR394" s="408"/>
      <c r="AS394" s="408"/>
      <c r="AT394" s="408"/>
      <c r="AU394" s="408"/>
      <c r="AV394" s="408"/>
      <c r="AW394" s="408"/>
      <c r="AX394" s="408"/>
      <c r="AY394" s="408"/>
      <c r="AZ394" s="408"/>
      <c r="BA394" s="408"/>
      <c r="BB394" s="408"/>
      <c r="BC394" s="408"/>
      <c r="BD394" s="408"/>
      <c r="BE394" s="408"/>
      <c r="BF394" s="408"/>
      <c r="BG394" s="408"/>
      <c r="BH394" s="408"/>
      <c r="BI394" s="408"/>
      <c r="BJ394" s="408"/>
      <c r="BK394" s="408"/>
      <c r="BL394" s="408"/>
      <c r="BM394" s="408"/>
      <c r="BN394" s="408"/>
      <c r="BO394" s="408"/>
      <c r="BP394" s="408"/>
      <c r="BQ394" s="408"/>
      <c r="BR394" s="408"/>
      <c r="BS394" s="408"/>
      <c r="BT394" s="408"/>
      <c r="BU394" s="408"/>
      <c r="BV394" s="408"/>
      <c r="BW394" s="408"/>
      <c r="BX394" s="408"/>
      <c r="BY394" s="408"/>
      <c r="BZ394" s="408"/>
      <c r="CA394" s="408"/>
      <c r="CB394" s="408"/>
      <c r="CC394" s="408"/>
      <c r="CD394" s="408"/>
      <c r="CE394" s="408"/>
      <c r="CF394" s="408"/>
      <c r="CG394" s="408"/>
      <c r="CH394" s="408"/>
      <c r="CI394" s="408"/>
      <c r="CJ394" s="408"/>
      <c r="CK394" s="408"/>
      <c r="CL394" s="408"/>
      <c r="CM394" s="408"/>
      <c r="CN394" s="408"/>
    </row>
    <row r="395">
      <c r="A395" s="408"/>
      <c r="B395" s="408"/>
      <c r="C395" s="408"/>
      <c r="D395" s="408"/>
      <c r="E395" s="408"/>
      <c r="F395" s="408"/>
      <c r="G395" s="408"/>
      <c r="H395" s="408"/>
      <c r="I395" s="408"/>
      <c r="J395" s="408"/>
      <c r="K395" s="408"/>
      <c r="L395" s="408"/>
      <c r="M395" s="408"/>
      <c r="N395" s="408"/>
      <c r="O395" s="408"/>
      <c r="P395" s="408"/>
      <c r="Q395" s="408"/>
      <c r="R395" s="408"/>
      <c r="S395" s="408"/>
      <c r="T395" s="408"/>
      <c r="U395" s="408"/>
      <c r="V395" s="408"/>
      <c r="W395" s="408"/>
      <c r="X395" s="408"/>
      <c r="Y395" s="408"/>
      <c r="Z395" s="408"/>
      <c r="AA395" s="408"/>
      <c r="AB395" s="408"/>
      <c r="AC395" s="408"/>
      <c r="AD395" s="408"/>
      <c r="AE395" s="408"/>
      <c r="AF395" s="408"/>
      <c r="AG395" s="408"/>
      <c r="AH395" s="408"/>
      <c r="AI395" s="408"/>
      <c r="AJ395" s="408"/>
      <c r="AK395" s="408"/>
      <c r="AL395" s="408"/>
      <c r="AM395" s="408"/>
      <c r="AN395" s="408"/>
      <c r="AO395" s="408"/>
      <c r="AP395" s="408"/>
      <c r="AQ395" s="408"/>
      <c r="AR395" s="408"/>
      <c r="AS395" s="408"/>
      <c r="AT395" s="408"/>
      <c r="AU395" s="408"/>
      <c r="AV395" s="408"/>
      <c r="AW395" s="408"/>
      <c r="AX395" s="408"/>
      <c r="AY395" s="408"/>
      <c r="AZ395" s="408"/>
      <c r="BA395" s="408"/>
      <c r="BB395" s="408"/>
      <c r="BC395" s="408"/>
      <c r="BD395" s="408"/>
      <c r="BE395" s="408"/>
      <c r="BF395" s="408"/>
      <c r="BG395" s="408"/>
      <c r="BH395" s="408"/>
      <c r="BI395" s="408"/>
      <c r="BJ395" s="408"/>
      <c r="BK395" s="408"/>
      <c r="BL395" s="408"/>
      <c r="BM395" s="408"/>
      <c r="BN395" s="408"/>
      <c r="BO395" s="408"/>
      <c r="BP395" s="408"/>
      <c r="BQ395" s="408"/>
      <c r="BR395" s="408"/>
      <c r="BS395" s="408"/>
      <c r="BT395" s="408"/>
      <c r="BU395" s="408"/>
      <c r="BV395" s="408"/>
      <c r="BW395" s="408"/>
      <c r="BX395" s="408"/>
      <c r="BY395" s="408"/>
      <c r="BZ395" s="408"/>
      <c r="CA395" s="408"/>
      <c r="CB395" s="408"/>
      <c r="CC395" s="408"/>
      <c r="CD395" s="408"/>
      <c r="CE395" s="408"/>
      <c r="CF395" s="408"/>
      <c r="CG395" s="408"/>
      <c r="CH395" s="408"/>
      <c r="CI395" s="408"/>
      <c r="CJ395" s="408"/>
      <c r="CK395" s="408"/>
      <c r="CL395" s="408"/>
      <c r="CM395" s="408"/>
      <c r="CN395" s="408"/>
    </row>
    <row r="396">
      <c r="A396" s="408"/>
      <c r="B396" s="408"/>
      <c r="C396" s="408"/>
      <c r="D396" s="408"/>
      <c r="E396" s="408"/>
      <c r="F396" s="408"/>
      <c r="G396" s="408"/>
      <c r="H396" s="408"/>
      <c r="I396" s="408"/>
      <c r="J396" s="408"/>
      <c r="K396" s="408"/>
      <c r="L396" s="408"/>
      <c r="M396" s="408"/>
      <c r="N396" s="408"/>
      <c r="O396" s="408"/>
      <c r="P396" s="408"/>
      <c r="Q396" s="408"/>
      <c r="R396" s="408"/>
      <c r="S396" s="408"/>
      <c r="T396" s="408"/>
      <c r="U396" s="408"/>
      <c r="V396" s="408"/>
      <c r="W396" s="408"/>
      <c r="X396" s="408"/>
      <c r="Y396" s="408"/>
      <c r="Z396" s="408"/>
      <c r="AA396" s="408"/>
      <c r="AB396" s="408"/>
      <c r="AC396" s="408"/>
      <c r="AD396" s="408"/>
      <c r="AE396" s="408"/>
      <c r="AF396" s="408"/>
      <c r="AG396" s="408"/>
      <c r="AH396" s="408"/>
      <c r="AI396" s="408"/>
      <c r="AJ396" s="408"/>
      <c r="AK396" s="408"/>
      <c r="AL396" s="408"/>
      <c r="AM396" s="408"/>
      <c r="AN396" s="408"/>
      <c r="AO396" s="408"/>
      <c r="AP396" s="408"/>
      <c r="AQ396" s="408"/>
      <c r="AR396" s="408"/>
      <c r="AS396" s="408"/>
      <c r="AT396" s="408"/>
      <c r="AU396" s="408"/>
      <c r="AV396" s="408"/>
      <c r="AW396" s="408"/>
      <c r="AX396" s="408"/>
      <c r="AY396" s="408"/>
      <c r="AZ396" s="408"/>
      <c r="BA396" s="408"/>
      <c r="BB396" s="408"/>
      <c r="BC396" s="408"/>
      <c r="BD396" s="408"/>
      <c r="BE396" s="408"/>
      <c r="BF396" s="408"/>
      <c r="BG396" s="408"/>
      <c r="BH396" s="408"/>
      <c r="BI396" s="408"/>
      <c r="BJ396" s="408"/>
      <c r="BK396" s="408"/>
      <c r="BL396" s="408"/>
      <c r="BM396" s="408"/>
      <c r="BN396" s="408"/>
      <c r="BO396" s="408"/>
      <c r="BP396" s="408"/>
      <c r="BQ396" s="408"/>
      <c r="BR396" s="408"/>
      <c r="BS396" s="408"/>
      <c r="BT396" s="408"/>
      <c r="BU396" s="408"/>
      <c r="BV396" s="408"/>
      <c r="BW396" s="408"/>
      <c r="BX396" s="408"/>
      <c r="BY396" s="408"/>
      <c r="BZ396" s="408"/>
      <c r="CA396" s="408"/>
      <c r="CB396" s="408"/>
      <c r="CC396" s="408"/>
      <c r="CD396" s="408"/>
      <c r="CE396" s="408"/>
      <c r="CF396" s="408"/>
      <c r="CG396" s="408"/>
      <c r="CH396" s="408"/>
      <c r="CI396" s="408"/>
      <c r="CJ396" s="408"/>
      <c r="CK396" s="408"/>
      <c r="CL396" s="408"/>
      <c r="CM396" s="408"/>
      <c r="CN396" s="408"/>
    </row>
    <row r="397">
      <c r="A397" s="408"/>
      <c r="B397" s="408"/>
      <c r="C397" s="408"/>
      <c r="D397" s="408"/>
      <c r="E397" s="408"/>
      <c r="F397" s="408"/>
      <c r="G397" s="408"/>
      <c r="H397" s="408"/>
      <c r="I397" s="408"/>
      <c r="J397" s="408"/>
      <c r="K397" s="408"/>
      <c r="L397" s="408"/>
      <c r="M397" s="408"/>
      <c r="N397" s="408"/>
      <c r="O397" s="408"/>
      <c r="P397" s="408"/>
      <c r="Q397" s="408"/>
      <c r="R397" s="408"/>
      <c r="S397" s="408"/>
      <c r="T397" s="408"/>
      <c r="U397" s="408"/>
      <c r="V397" s="408"/>
      <c r="W397" s="408"/>
      <c r="X397" s="408"/>
      <c r="Y397" s="408"/>
      <c r="Z397" s="408"/>
      <c r="AA397" s="408"/>
      <c r="AB397" s="408"/>
      <c r="AC397" s="408"/>
      <c r="AD397" s="408"/>
      <c r="AE397" s="408"/>
      <c r="AF397" s="408"/>
      <c r="AG397" s="408"/>
      <c r="AH397" s="408"/>
      <c r="AI397" s="408"/>
      <c r="AJ397" s="408"/>
      <c r="AK397" s="408"/>
      <c r="AL397" s="408"/>
      <c r="AM397" s="408"/>
      <c r="AN397" s="408"/>
      <c r="AO397" s="408"/>
      <c r="AP397" s="408"/>
      <c r="AQ397" s="408"/>
      <c r="AR397" s="408"/>
      <c r="AS397" s="408"/>
      <c r="AT397" s="408"/>
      <c r="AU397" s="408"/>
      <c r="AV397" s="408"/>
      <c r="AW397" s="408"/>
      <c r="AX397" s="408"/>
      <c r="AY397" s="408"/>
      <c r="AZ397" s="408"/>
      <c r="BA397" s="408"/>
      <c r="BB397" s="408"/>
      <c r="BC397" s="408"/>
      <c r="BD397" s="408"/>
      <c r="BE397" s="408"/>
      <c r="BF397" s="408"/>
      <c r="BG397" s="408"/>
      <c r="BH397" s="408"/>
      <c r="BI397" s="408"/>
      <c r="BJ397" s="408"/>
      <c r="BK397" s="408"/>
      <c r="BL397" s="408"/>
      <c r="BM397" s="408"/>
      <c r="BN397" s="408"/>
      <c r="BO397" s="408"/>
      <c r="BP397" s="408"/>
      <c r="BQ397" s="408"/>
      <c r="BR397" s="408"/>
      <c r="BS397" s="408"/>
      <c r="BT397" s="408"/>
      <c r="BU397" s="408"/>
      <c r="BV397" s="408"/>
      <c r="BW397" s="408"/>
      <c r="BX397" s="408"/>
      <c r="BY397" s="408"/>
      <c r="BZ397" s="408"/>
      <c r="CA397" s="408"/>
      <c r="CB397" s="408"/>
      <c r="CC397" s="408"/>
      <c r="CD397" s="408"/>
      <c r="CE397" s="408"/>
      <c r="CF397" s="408"/>
      <c r="CG397" s="408"/>
      <c r="CH397" s="408"/>
      <c r="CI397" s="408"/>
      <c r="CJ397" s="408"/>
      <c r="CK397" s="408"/>
      <c r="CL397" s="408"/>
      <c r="CM397" s="408"/>
      <c r="CN397" s="408"/>
    </row>
    <row r="398">
      <c r="A398" s="408"/>
      <c r="B398" s="408"/>
      <c r="C398" s="408"/>
      <c r="D398" s="408"/>
      <c r="E398" s="408"/>
      <c r="F398" s="408"/>
      <c r="G398" s="408"/>
      <c r="H398" s="408"/>
      <c r="I398" s="408"/>
      <c r="J398" s="408"/>
      <c r="K398" s="408"/>
      <c r="L398" s="408"/>
      <c r="M398" s="408"/>
      <c r="N398" s="408"/>
      <c r="O398" s="408"/>
      <c r="P398" s="408"/>
      <c r="Q398" s="408"/>
      <c r="R398" s="408"/>
      <c r="S398" s="408"/>
      <c r="T398" s="408"/>
      <c r="U398" s="408"/>
      <c r="V398" s="408"/>
      <c r="W398" s="408"/>
      <c r="X398" s="408"/>
      <c r="Y398" s="408"/>
      <c r="Z398" s="408"/>
      <c r="AA398" s="408"/>
      <c r="AB398" s="408"/>
      <c r="AC398" s="408"/>
      <c r="AD398" s="408"/>
      <c r="AE398" s="408"/>
      <c r="AF398" s="408"/>
      <c r="AG398" s="408"/>
      <c r="AH398" s="408"/>
      <c r="AI398" s="408"/>
      <c r="AJ398" s="408"/>
      <c r="AK398" s="408"/>
      <c r="AL398" s="408"/>
      <c r="AM398" s="408"/>
      <c r="AN398" s="408"/>
      <c r="AO398" s="408"/>
      <c r="AP398" s="408"/>
      <c r="AQ398" s="408"/>
      <c r="AR398" s="408"/>
      <c r="AS398" s="408"/>
      <c r="AT398" s="408"/>
      <c r="AU398" s="408"/>
      <c r="AV398" s="408"/>
      <c r="AW398" s="408"/>
      <c r="AX398" s="408"/>
      <c r="AY398" s="408"/>
      <c r="AZ398" s="408"/>
      <c r="BA398" s="408"/>
      <c r="BB398" s="408"/>
      <c r="BC398" s="408"/>
      <c r="BD398" s="408"/>
      <c r="BE398" s="408"/>
      <c r="BF398" s="408"/>
      <c r="BG398" s="408"/>
      <c r="BH398" s="408"/>
      <c r="BI398" s="408"/>
      <c r="BJ398" s="408"/>
      <c r="BK398" s="408"/>
      <c r="BL398" s="408"/>
      <c r="BM398" s="408"/>
      <c r="BN398" s="408"/>
      <c r="BO398" s="408"/>
      <c r="BP398" s="408"/>
      <c r="BQ398" s="408"/>
      <c r="BR398" s="408"/>
      <c r="BS398" s="408"/>
      <c r="BT398" s="408"/>
      <c r="BU398" s="408"/>
      <c r="BV398" s="408"/>
      <c r="BW398" s="408"/>
      <c r="BX398" s="408"/>
      <c r="BY398" s="408"/>
      <c r="BZ398" s="408"/>
      <c r="CA398" s="408"/>
      <c r="CB398" s="408"/>
      <c r="CC398" s="408"/>
      <c r="CD398" s="408"/>
      <c r="CE398" s="408"/>
      <c r="CF398" s="408"/>
      <c r="CG398" s="408"/>
      <c r="CH398" s="408"/>
      <c r="CI398" s="408"/>
      <c r="CJ398" s="408"/>
      <c r="CK398" s="408"/>
      <c r="CL398" s="408"/>
      <c r="CM398" s="408"/>
      <c r="CN398" s="408"/>
    </row>
    <row r="399">
      <c r="A399" s="408"/>
      <c r="B399" s="408"/>
      <c r="C399" s="408"/>
      <c r="D399" s="408"/>
      <c r="E399" s="408"/>
      <c r="F399" s="408"/>
      <c r="G399" s="408"/>
      <c r="H399" s="408"/>
      <c r="I399" s="408"/>
      <c r="J399" s="408"/>
      <c r="K399" s="408"/>
      <c r="L399" s="408"/>
      <c r="M399" s="408"/>
      <c r="N399" s="408"/>
      <c r="O399" s="408"/>
      <c r="P399" s="408"/>
      <c r="Q399" s="408"/>
      <c r="R399" s="408"/>
      <c r="S399" s="408"/>
      <c r="T399" s="408"/>
      <c r="U399" s="408"/>
      <c r="V399" s="408"/>
      <c r="W399" s="408"/>
      <c r="X399" s="408"/>
      <c r="Y399" s="408"/>
      <c r="Z399" s="408"/>
      <c r="AA399" s="408"/>
      <c r="AB399" s="408"/>
      <c r="AC399" s="408"/>
      <c r="AD399" s="408"/>
      <c r="AE399" s="408"/>
      <c r="AF399" s="408"/>
      <c r="AG399" s="408"/>
      <c r="AH399" s="408"/>
      <c r="AI399" s="408"/>
      <c r="AJ399" s="408"/>
      <c r="AK399" s="408"/>
      <c r="AL399" s="408"/>
      <c r="AM399" s="408"/>
      <c r="AN399" s="408"/>
      <c r="AO399" s="408"/>
      <c r="AP399" s="408"/>
      <c r="AQ399" s="408"/>
      <c r="AR399" s="408"/>
      <c r="AS399" s="408"/>
      <c r="AT399" s="408"/>
      <c r="AU399" s="408"/>
      <c r="AV399" s="408"/>
      <c r="AW399" s="408"/>
      <c r="AX399" s="408"/>
      <c r="AY399" s="408"/>
      <c r="AZ399" s="408"/>
      <c r="BA399" s="408"/>
      <c r="BB399" s="408"/>
      <c r="BC399" s="408"/>
      <c r="BD399" s="408"/>
      <c r="BE399" s="408"/>
      <c r="BF399" s="408"/>
      <c r="BG399" s="408"/>
      <c r="BH399" s="408"/>
      <c r="BI399" s="408"/>
      <c r="BJ399" s="408"/>
      <c r="BK399" s="408"/>
      <c r="BL399" s="408"/>
      <c r="BM399" s="408"/>
      <c r="BN399" s="408"/>
      <c r="BO399" s="408"/>
      <c r="BP399" s="408"/>
      <c r="BQ399" s="408"/>
      <c r="BR399" s="408"/>
      <c r="BS399" s="408"/>
      <c r="BT399" s="408"/>
      <c r="BU399" s="408"/>
      <c r="BV399" s="408"/>
      <c r="BW399" s="408"/>
      <c r="BX399" s="408"/>
      <c r="BY399" s="408"/>
      <c r="BZ399" s="408"/>
      <c r="CA399" s="408"/>
      <c r="CB399" s="408"/>
      <c r="CC399" s="408"/>
      <c r="CD399" s="408"/>
      <c r="CE399" s="408"/>
      <c r="CF399" s="408"/>
      <c r="CG399" s="408"/>
      <c r="CH399" s="408"/>
      <c r="CI399" s="408"/>
      <c r="CJ399" s="408"/>
      <c r="CK399" s="408"/>
      <c r="CL399" s="408"/>
      <c r="CM399" s="408"/>
      <c r="CN399" s="408"/>
    </row>
    <row r="400">
      <c r="A400" s="408"/>
      <c r="B400" s="408"/>
      <c r="C400" s="408"/>
      <c r="D400" s="408"/>
      <c r="E400" s="408"/>
      <c r="F400" s="408"/>
      <c r="G400" s="408"/>
      <c r="H400" s="408"/>
      <c r="I400" s="408"/>
      <c r="J400" s="408"/>
      <c r="K400" s="408"/>
      <c r="L400" s="408"/>
      <c r="M400" s="408"/>
      <c r="N400" s="408"/>
      <c r="O400" s="408"/>
      <c r="P400" s="408"/>
      <c r="Q400" s="408"/>
      <c r="R400" s="408"/>
      <c r="S400" s="408"/>
      <c r="T400" s="408"/>
      <c r="U400" s="408"/>
      <c r="V400" s="408"/>
      <c r="W400" s="408"/>
      <c r="X400" s="408"/>
      <c r="Y400" s="408"/>
      <c r="Z400" s="408"/>
      <c r="AA400" s="408"/>
      <c r="AB400" s="408"/>
      <c r="AC400" s="408"/>
      <c r="AD400" s="408"/>
      <c r="AE400" s="408"/>
      <c r="AF400" s="408"/>
      <c r="AG400" s="408"/>
      <c r="AH400" s="408"/>
      <c r="AI400" s="408"/>
      <c r="AJ400" s="408"/>
      <c r="AK400" s="408"/>
      <c r="AL400" s="408"/>
      <c r="AM400" s="408"/>
      <c r="AN400" s="408"/>
      <c r="AO400" s="408"/>
      <c r="AP400" s="408"/>
      <c r="AQ400" s="408"/>
      <c r="AR400" s="408"/>
      <c r="AS400" s="408"/>
      <c r="AT400" s="408"/>
      <c r="AU400" s="408"/>
      <c r="AV400" s="408"/>
      <c r="AW400" s="408"/>
      <c r="AX400" s="408"/>
      <c r="AY400" s="408"/>
      <c r="AZ400" s="408"/>
      <c r="BA400" s="408"/>
      <c r="BB400" s="408"/>
      <c r="BC400" s="408"/>
      <c r="BD400" s="408"/>
      <c r="BE400" s="408"/>
      <c r="BF400" s="408"/>
      <c r="BG400" s="408"/>
      <c r="BH400" s="408"/>
      <c r="BI400" s="408"/>
      <c r="BJ400" s="408"/>
      <c r="BK400" s="408"/>
      <c r="BL400" s="408"/>
      <c r="BM400" s="408"/>
      <c r="BN400" s="408"/>
      <c r="BO400" s="408"/>
      <c r="BP400" s="408"/>
      <c r="BQ400" s="408"/>
      <c r="BR400" s="408"/>
      <c r="BS400" s="408"/>
      <c r="BT400" s="408"/>
      <c r="BU400" s="408"/>
      <c r="BV400" s="408"/>
      <c r="BW400" s="408"/>
      <c r="BX400" s="408"/>
      <c r="BY400" s="408"/>
      <c r="BZ400" s="408"/>
      <c r="CA400" s="408"/>
      <c r="CB400" s="408"/>
      <c r="CC400" s="408"/>
      <c r="CD400" s="408"/>
      <c r="CE400" s="408"/>
      <c r="CF400" s="408"/>
      <c r="CG400" s="408"/>
      <c r="CH400" s="408"/>
      <c r="CI400" s="408"/>
      <c r="CJ400" s="408"/>
      <c r="CK400" s="408"/>
      <c r="CL400" s="408"/>
      <c r="CM400" s="408"/>
      <c r="CN400" s="408"/>
    </row>
    <row r="401">
      <c r="A401" s="408"/>
      <c r="B401" s="408"/>
      <c r="C401" s="408"/>
      <c r="D401" s="408"/>
      <c r="E401" s="408"/>
      <c r="F401" s="408"/>
      <c r="G401" s="408"/>
      <c r="H401" s="408"/>
      <c r="I401" s="408"/>
      <c r="J401" s="408"/>
      <c r="K401" s="408"/>
      <c r="L401" s="408"/>
      <c r="M401" s="408"/>
      <c r="N401" s="408"/>
      <c r="O401" s="408"/>
      <c r="P401" s="408"/>
      <c r="Q401" s="408"/>
      <c r="R401" s="408"/>
      <c r="S401" s="408"/>
      <c r="T401" s="408"/>
      <c r="U401" s="408"/>
      <c r="V401" s="408"/>
      <c r="W401" s="408"/>
      <c r="X401" s="408"/>
      <c r="Y401" s="408"/>
      <c r="Z401" s="408"/>
      <c r="AA401" s="408"/>
      <c r="AB401" s="408"/>
      <c r="AC401" s="408"/>
      <c r="AD401" s="408"/>
      <c r="AE401" s="408"/>
      <c r="AF401" s="408"/>
      <c r="AG401" s="408"/>
      <c r="AH401" s="408"/>
      <c r="AI401" s="408"/>
      <c r="AJ401" s="408"/>
      <c r="AK401" s="408"/>
      <c r="AL401" s="408"/>
      <c r="AM401" s="408"/>
      <c r="AN401" s="408"/>
      <c r="AO401" s="408"/>
      <c r="AP401" s="408"/>
      <c r="AQ401" s="408"/>
      <c r="AR401" s="408"/>
      <c r="AS401" s="408"/>
      <c r="AT401" s="408"/>
      <c r="AU401" s="408"/>
      <c r="AV401" s="408"/>
      <c r="AW401" s="408"/>
      <c r="AX401" s="408"/>
      <c r="AY401" s="408"/>
      <c r="AZ401" s="408"/>
      <c r="BA401" s="408"/>
      <c r="BB401" s="408"/>
      <c r="BC401" s="408"/>
      <c r="BD401" s="408"/>
      <c r="BE401" s="408"/>
      <c r="BF401" s="408"/>
      <c r="BG401" s="408"/>
      <c r="BH401" s="408"/>
      <c r="BI401" s="408"/>
      <c r="BJ401" s="408"/>
      <c r="BK401" s="408"/>
      <c r="BL401" s="408"/>
      <c r="BM401" s="408"/>
      <c r="BN401" s="408"/>
      <c r="BO401" s="408"/>
      <c r="BP401" s="408"/>
      <c r="BQ401" s="408"/>
      <c r="BR401" s="408"/>
      <c r="BS401" s="408"/>
      <c r="BT401" s="408"/>
      <c r="BU401" s="408"/>
      <c r="BV401" s="408"/>
      <c r="BW401" s="408"/>
      <c r="BX401" s="408"/>
      <c r="BY401" s="408"/>
      <c r="BZ401" s="408"/>
      <c r="CA401" s="408"/>
      <c r="CB401" s="408"/>
      <c r="CC401" s="408"/>
      <c r="CD401" s="408"/>
      <c r="CE401" s="408"/>
      <c r="CF401" s="408"/>
      <c r="CG401" s="408"/>
      <c r="CH401" s="408"/>
      <c r="CI401" s="408"/>
      <c r="CJ401" s="408"/>
      <c r="CK401" s="408"/>
      <c r="CL401" s="408"/>
      <c r="CM401" s="408"/>
      <c r="CN401" s="408"/>
    </row>
    <row r="402">
      <c r="A402" s="408"/>
      <c r="B402" s="408"/>
      <c r="C402" s="408"/>
      <c r="D402" s="408"/>
      <c r="E402" s="408"/>
      <c r="F402" s="408"/>
      <c r="G402" s="408"/>
      <c r="H402" s="408"/>
      <c r="I402" s="408"/>
      <c r="J402" s="408"/>
      <c r="K402" s="408"/>
      <c r="L402" s="408"/>
      <c r="M402" s="408"/>
      <c r="N402" s="408"/>
      <c r="O402" s="408"/>
      <c r="P402" s="408"/>
      <c r="Q402" s="408"/>
      <c r="R402" s="408"/>
      <c r="S402" s="408"/>
      <c r="T402" s="408"/>
      <c r="U402" s="408"/>
      <c r="V402" s="408"/>
      <c r="W402" s="408"/>
      <c r="X402" s="408"/>
      <c r="Y402" s="408"/>
      <c r="Z402" s="408"/>
      <c r="AA402" s="408"/>
      <c r="AB402" s="408"/>
      <c r="AC402" s="408"/>
      <c r="AD402" s="408"/>
      <c r="AE402" s="408"/>
      <c r="AF402" s="408"/>
      <c r="AG402" s="408"/>
      <c r="AH402" s="408"/>
      <c r="AI402" s="408"/>
      <c r="AJ402" s="408"/>
      <c r="AK402" s="408"/>
      <c r="AL402" s="408"/>
      <c r="AM402" s="408"/>
      <c r="AN402" s="408"/>
      <c r="AO402" s="408"/>
      <c r="AP402" s="408"/>
      <c r="AQ402" s="408"/>
      <c r="AR402" s="408"/>
      <c r="AS402" s="408"/>
      <c r="AT402" s="408"/>
      <c r="AU402" s="408"/>
      <c r="AV402" s="408"/>
      <c r="AW402" s="408"/>
      <c r="AX402" s="408"/>
      <c r="AY402" s="408"/>
      <c r="AZ402" s="408"/>
      <c r="BA402" s="408"/>
      <c r="BB402" s="408"/>
      <c r="BC402" s="408"/>
      <c r="BD402" s="408"/>
      <c r="BE402" s="408"/>
      <c r="BF402" s="408"/>
      <c r="BG402" s="408"/>
      <c r="BH402" s="408"/>
      <c r="BI402" s="408"/>
      <c r="BJ402" s="408"/>
      <c r="BK402" s="408"/>
      <c r="BL402" s="408"/>
      <c r="BM402" s="408"/>
      <c r="BN402" s="408"/>
      <c r="BO402" s="408"/>
      <c r="BP402" s="408"/>
      <c r="BQ402" s="408"/>
      <c r="BR402" s="408"/>
      <c r="BS402" s="408"/>
      <c r="BT402" s="408"/>
      <c r="BU402" s="408"/>
      <c r="BV402" s="408"/>
      <c r="BW402" s="408"/>
      <c r="BX402" s="408"/>
      <c r="BY402" s="408"/>
      <c r="BZ402" s="408"/>
      <c r="CA402" s="408"/>
      <c r="CB402" s="408"/>
      <c r="CC402" s="408"/>
      <c r="CD402" s="408"/>
      <c r="CE402" s="408"/>
      <c r="CF402" s="408"/>
      <c r="CG402" s="408"/>
      <c r="CH402" s="408"/>
      <c r="CI402" s="408"/>
      <c r="CJ402" s="408"/>
      <c r="CK402" s="408"/>
      <c r="CL402" s="408"/>
      <c r="CM402" s="408"/>
      <c r="CN402" s="408"/>
    </row>
    <row r="403">
      <c r="A403" s="408"/>
      <c r="B403" s="408"/>
      <c r="C403" s="408"/>
      <c r="D403" s="408"/>
      <c r="E403" s="408"/>
      <c r="F403" s="408"/>
      <c r="G403" s="408"/>
      <c r="H403" s="408"/>
      <c r="I403" s="408"/>
      <c r="J403" s="408"/>
      <c r="K403" s="408"/>
      <c r="L403" s="408"/>
      <c r="M403" s="408"/>
      <c r="N403" s="408"/>
      <c r="O403" s="408"/>
      <c r="P403" s="408"/>
      <c r="Q403" s="408"/>
      <c r="R403" s="408"/>
      <c r="S403" s="408"/>
      <c r="T403" s="408"/>
      <c r="U403" s="408"/>
      <c r="V403" s="408"/>
      <c r="W403" s="408"/>
      <c r="X403" s="408"/>
      <c r="Y403" s="408"/>
      <c r="Z403" s="408"/>
      <c r="AA403" s="408"/>
      <c r="AB403" s="408"/>
      <c r="AC403" s="408"/>
      <c r="AD403" s="408"/>
      <c r="AE403" s="408"/>
      <c r="AF403" s="408"/>
      <c r="AG403" s="408"/>
      <c r="AH403" s="408"/>
      <c r="AI403" s="408"/>
      <c r="AJ403" s="408"/>
      <c r="AK403" s="408"/>
      <c r="AL403" s="408"/>
      <c r="AM403" s="408"/>
      <c r="AN403" s="408"/>
      <c r="AO403" s="408"/>
      <c r="AP403" s="408"/>
      <c r="AQ403" s="408"/>
      <c r="AR403" s="408"/>
      <c r="AS403" s="408"/>
      <c r="AT403" s="408"/>
      <c r="AU403" s="408"/>
      <c r="AV403" s="408"/>
      <c r="AW403" s="408"/>
      <c r="AX403" s="408"/>
      <c r="AY403" s="408"/>
      <c r="AZ403" s="408"/>
      <c r="BA403" s="408"/>
      <c r="BB403" s="408"/>
      <c r="BC403" s="408"/>
      <c r="BD403" s="408"/>
      <c r="BE403" s="408"/>
      <c r="BF403" s="408"/>
      <c r="BG403" s="408"/>
      <c r="BH403" s="408"/>
      <c r="BI403" s="408"/>
      <c r="BJ403" s="408"/>
      <c r="BK403" s="408"/>
      <c r="BL403" s="408"/>
      <c r="BM403" s="408"/>
      <c r="BN403" s="408"/>
      <c r="BO403" s="408"/>
      <c r="BP403" s="408"/>
      <c r="BQ403" s="408"/>
      <c r="BR403" s="408"/>
      <c r="BS403" s="408"/>
      <c r="BT403" s="408"/>
      <c r="BU403" s="408"/>
      <c r="BV403" s="408"/>
      <c r="BW403" s="408"/>
      <c r="BX403" s="408"/>
      <c r="BY403" s="408"/>
      <c r="BZ403" s="408"/>
      <c r="CA403" s="408"/>
      <c r="CB403" s="408"/>
      <c r="CC403" s="408"/>
      <c r="CD403" s="408"/>
      <c r="CE403" s="408"/>
      <c r="CF403" s="408"/>
      <c r="CG403" s="408"/>
      <c r="CH403" s="408"/>
      <c r="CI403" s="408"/>
      <c r="CJ403" s="408"/>
      <c r="CK403" s="408"/>
      <c r="CL403" s="408"/>
      <c r="CM403" s="408"/>
      <c r="CN403" s="408"/>
    </row>
    <row r="404">
      <c r="A404" s="408"/>
      <c r="B404" s="408"/>
      <c r="C404" s="408"/>
      <c r="D404" s="408"/>
      <c r="E404" s="408"/>
      <c r="F404" s="408"/>
      <c r="G404" s="408"/>
      <c r="H404" s="408"/>
      <c r="I404" s="408"/>
      <c r="J404" s="408"/>
      <c r="K404" s="408"/>
      <c r="L404" s="408"/>
      <c r="M404" s="408"/>
      <c r="N404" s="408"/>
      <c r="O404" s="408"/>
      <c r="P404" s="408"/>
      <c r="Q404" s="408"/>
      <c r="R404" s="408"/>
      <c r="S404" s="408"/>
      <c r="T404" s="408"/>
      <c r="U404" s="408"/>
      <c r="V404" s="408"/>
      <c r="W404" s="408"/>
      <c r="X404" s="408"/>
      <c r="Y404" s="408"/>
      <c r="Z404" s="408"/>
      <c r="AA404" s="408"/>
      <c r="AB404" s="408"/>
      <c r="AC404" s="408"/>
      <c r="AD404" s="408"/>
      <c r="AE404" s="408"/>
      <c r="AF404" s="408"/>
      <c r="AG404" s="408"/>
      <c r="AH404" s="408"/>
      <c r="AI404" s="408"/>
      <c r="AJ404" s="408"/>
      <c r="AK404" s="408"/>
      <c r="AL404" s="408"/>
      <c r="AM404" s="408"/>
      <c r="AN404" s="408"/>
      <c r="AO404" s="408"/>
      <c r="AP404" s="408"/>
      <c r="AQ404" s="408"/>
      <c r="AR404" s="408"/>
      <c r="AS404" s="408"/>
      <c r="AT404" s="408"/>
      <c r="AU404" s="408"/>
      <c r="AV404" s="408"/>
      <c r="AW404" s="408"/>
      <c r="AX404" s="408"/>
      <c r="AY404" s="408"/>
      <c r="AZ404" s="408"/>
      <c r="BA404" s="408"/>
      <c r="BB404" s="408"/>
      <c r="BC404" s="408"/>
      <c r="BD404" s="408"/>
      <c r="BE404" s="408"/>
      <c r="BF404" s="408"/>
      <c r="BG404" s="408"/>
      <c r="BH404" s="408"/>
      <c r="BI404" s="408"/>
      <c r="BJ404" s="408"/>
      <c r="BK404" s="408"/>
      <c r="BL404" s="408"/>
      <c r="BM404" s="408"/>
      <c r="BN404" s="408"/>
      <c r="BO404" s="408"/>
      <c r="BP404" s="408"/>
      <c r="BQ404" s="408"/>
      <c r="BR404" s="408"/>
      <c r="BS404" s="408"/>
      <c r="BT404" s="408"/>
      <c r="BU404" s="408"/>
      <c r="BV404" s="408"/>
      <c r="BW404" s="408"/>
      <c r="BX404" s="408"/>
      <c r="BY404" s="408"/>
      <c r="BZ404" s="408"/>
      <c r="CA404" s="408"/>
      <c r="CB404" s="408"/>
      <c r="CC404" s="408"/>
      <c r="CD404" s="408"/>
      <c r="CE404" s="408"/>
      <c r="CF404" s="408"/>
      <c r="CG404" s="408"/>
      <c r="CH404" s="408"/>
      <c r="CI404" s="408"/>
      <c r="CJ404" s="408"/>
      <c r="CK404" s="408"/>
      <c r="CL404" s="408"/>
      <c r="CM404" s="408"/>
      <c r="CN404" s="408"/>
    </row>
    <row r="405">
      <c r="A405" s="408"/>
      <c r="B405" s="408"/>
      <c r="C405" s="408"/>
      <c r="D405" s="408"/>
      <c r="E405" s="408"/>
      <c r="F405" s="408"/>
      <c r="G405" s="408"/>
      <c r="H405" s="408"/>
      <c r="I405" s="408"/>
      <c r="J405" s="408"/>
      <c r="K405" s="408"/>
      <c r="L405" s="408"/>
      <c r="M405" s="408"/>
      <c r="N405" s="408"/>
      <c r="O405" s="408"/>
      <c r="P405" s="408"/>
      <c r="Q405" s="408"/>
      <c r="R405" s="408"/>
      <c r="S405" s="408"/>
      <c r="T405" s="408"/>
      <c r="U405" s="408"/>
      <c r="V405" s="408"/>
      <c r="W405" s="408"/>
      <c r="X405" s="408"/>
      <c r="Y405" s="408"/>
      <c r="Z405" s="408"/>
      <c r="AA405" s="408"/>
      <c r="AB405" s="408"/>
      <c r="AC405" s="408"/>
      <c r="AD405" s="408"/>
      <c r="AE405" s="408"/>
      <c r="AF405" s="408"/>
      <c r="AG405" s="408"/>
      <c r="AH405" s="408"/>
      <c r="AI405" s="408"/>
      <c r="AJ405" s="408"/>
      <c r="AK405" s="408"/>
      <c r="AL405" s="408"/>
      <c r="AM405" s="408"/>
      <c r="AN405" s="408"/>
      <c r="AO405" s="408"/>
      <c r="AP405" s="408"/>
      <c r="AQ405" s="408"/>
      <c r="AR405" s="408"/>
      <c r="AS405" s="408"/>
      <c r="AT405" s="408"/>
      <c r="AU405" s="408"/>
      <c r="AV405" s="408"/>
      <c r="AW405" s="408"/>
      <c r="AX405" s="408"/>
      <c r="AY405" s="408"/>
      <c r="AZ405" s="408"/>
      <c r="BA405" s="408"/>
      <c r="BB405" s="408"/>
      <c r="BC405" s="408"/>
      <c r="BD405" s="408"/>
      <c r="BE405" s="408"/>
      <c r="BF405" s="408"/>
      <c r="BG405" s="408"/>
      <c r="BH405" s="408"/>
      <c r="BI405" s="408"/>
      <c r="BJ405" s="408"/>
      <c r="BK405" s="408"/>
      <c r="BL405" s="408"/>
      <c r="BM405" s="408"/>
      <c r="BN405" s="408"/>
      <c r="BO405" s="408"/>
      <c r="BP405" s="408"/>
      <c r="BQ405" s="408"/>
      <c r="BR405" s="408"/>
      <c r="BS405" s="408"/>
      <c r="BT405" s="408"/>
      <c r="BU405" s="408"/>
      <c r="BV405" s="408"/>
      <c r="BW405" s="408"/>
      <c r="BX405" s="408"/>
      <c r="BY405" s="408"/>
      <c r="BZ405" s="408"/>
      <c r="CA405" s="408"/>
      <c r="CB405" s="408"/>
      <c r="CC405" s="408"/>
      <c r="CD405" s="408"/>
      <c r="CE405" s="408"/>
      <c r="CF405" s="408"/>
      <c r="CG405" s="408"/>
      <c r="CH405" s="408"/>
      <c r="CI405" s="408"/>
      <c r="CJ405" s="408"/>
      <c r="CK405" s="408"/>
      <c r="CL405" s="408"/>
      <c r="CM405" s="408"/>
      <c r="CN405" s="408"/>
    </row>
    <row r="406">
      <c r="A406" s="408"/>
      <c r="B406" s="408"/>
      <c r="C406" s="408"/>
      <c r="D406" s="408"/>
      <c r="E406" s="408"/>
      <c r="F406" s="408"/>
      <c r="G406" s="408"/>
      <c r="H406" s="408"/>
      <c r="I406" s="408"/>
      <c r="J406" s="408"/>
      <c r="K406" s="408"/>
      <c r="L406" s="408"/>
      <c r="M406" s="408"/>
      <c r="N406" s="408"/>
      <c r="O406" s="408"/>
      <c r="P406" s="408"/>
      <c r="Q406" s="408"/>
      <c r="R406" s="408"/>
      <c r="S406" s="408"/>
      <c r="T406" s="408"/>
      <c r="U406" s="408"/>
      <c r="V406" s="408"/>
      <c r="W406" s="408"/>
      <c r="X406" s="408"/>
      <c r="Y406" s="408"/>
      <c r="Z406" s="408"/>
      <c r="AA406" s="408"/>
      <c r="AB406" s="408"/>
      <c r="AC406" s="408"/>
      <c r="AD406" s="408"/>
      <c r="AE406" s="408"/>
      <c r="AF406" s="408"/>
      <c r="AG406" s="408"/>
      <c r="AH406" s="408"/>
      <c r="AI406" s="408"/>
      <c r="AJ406" s="408"/>
      <c r="AK406" s="408"/>
      <c r="AL406" s="408"/>
      <c r="AM406" s="408"/>
      <c r="AN406" s="408"/>
      <c r="AO406" s="408"/>
      <c r="AP406" s="408"/>
      <c r="AQ406" s="408"/>
      <c r="AR406" s="408"/>
      <c r="AS406" s="408"/>
      <c r="AT406" s="408"/>
      <c r="AU406" s="408"/>
      <c r="AV406" s="408"/>
      <c r="AW406" s="408"/>
      <c r="AX406" s="408"/>
      <c r="AY406" s="408"/>
      <c r="AZ406" s="408"/>
      <c r="BA406" s="408"/>
      <c r="BB406" s="408"/>
      <c r="BC406" s="408"/>
      <c r="BD406" s="408"/>
      <c r="BE406" s="408"/>
      <c r="BF406" s="408"/>
      <c r="BG406" s="408"/>
      <c r="BH406" s="408"/>
      <c r="BI406" s="408"/>
      <c r="BJ406" s="408"/>
      <c r="BK406" s="408"/>
      <c r="BL406" s="408"/>
      <c r="BM406" s="408"/>
      <c r="BN406" s="408"/>
      <c r="BO406" s="408"/>
      <c r="BP406" s="408"/>
      <c r="BQ406" s="408"/>
      <c r="BR406" s="408"/>
      <c r="BS406" s="408"/>
      <c r="BT406" s="408"/>
      <c r="BU406" s="408"/>
      <c r="BV406" s="408"/>
      <c r="BW406" s="408"/>
      <c r="BX406" s="408"/>
      <c r="BY406" s="408"/>
      <c r="BZ406" s="408"/>
      <c r="CA406" s="408"/>
      <c r="CB406" s="408"/>
      <c r="CC406" s="408"/>
      <c r="CD406" s="408"/>
      <c r="CE406" s="408"/>
      <c r="CF406" s="408"/>
      <c r="CG406" s="408"/>
      <c r="CH406" s="408"/>
      <c r="CI406" s="408"/>
      <c r="CJ406" s="408"/>
      <c r="CK406" s="408"/>
      <c r="CL406" s="408"/>
      <c r="CM406" s="408"/>
      <c r="CN406" s="408"/>
    </row>
    <row r="407">
      <c r="A407" s="408"/>
      <c r="B407" s="408"/>
      <c r="C407" s="408"/>
      <c r="D407" s="408"/>
      <c r="E407" s="408"/>
      <c r="F407" s="408"/>
      <c r="G407" s="408"/>
      <c r="H407" s="408"/>
      <c r="I407" s="408"/>
      <c r="J407" s="408"/>
      <c r="K407" s="408"/>
      <c r="L407" s="408"/>
      <c r="M407" s="408"/>
      <c r="N407" s="408"/>
      <c r="O407" s="408"/>
      <c r="P407" s="408"/>
      <c r="Q407" s="408"/>
      <c r="R407" s="408"/>
      <c r="S407" s="408"/>
      <c r="T407" s="408"/>
      <c r="U407" s="408"/>
      <c r="V407" s="408"/>
      <c r="W407" s="408"/>
      <c r="X407" s="408"/>
      <c r="Y407" s="408"/>
      <c r="Z407" s="408"/>
      <c r="AA407" s="408"/>
      <c r="AB407" s="408"/>
      <c r="AC407" s="408"/>
      <c r="AD407" s="408"/>
      <c r="AE407" s="408"/>
      <c r="AF407" s="408"/>
      <c r="AG407" s="408"/>
      <c r="AH407" s="408"/>
      <c r="AI407" s="408"/>
      <c r="AJ407" s="408"/>
      <c r="AK407" s="408"/>
      <c r="AL407" s="408"/>
      <c r="AM407" s="408"/>
      <c r="AN407" s="408"/>
      <c r="AO407" s="408"/>
      <c r="AP407" s="408"/>
      <c r="AQ407" s="408"/>
      <c r="AR407" s="408"/>
      <c r="AS407" s="408"/>
      <c r="AT407" s="408"/>
      <c r="AU407" s="408"/>
      <c r="AV407" s="408"/>
      <c r="AW407" s="408"/>
      <c r="AX407" s="408"/>
      <c r="AY407" s="408"/>
      <c r="AZ407" s="408"/>
      <c r="BA407" s="408"/>
      <c r="BB407" s="408"/>
      <c r="BC407" s="408"/>
      <c r="BD407" s="408"/>
      <c r="BE407" s="408"/>
      <c r="BF407" s="408"/>
      <c r="BG407" s="408"/>
      <c r="BH407" s="408"/>
      <c r="BI407" s="408"/>
      <c r="BJ407" s="408"/>
      <c r="BK407" s="408"/>
      <c r="BL407" s="408"/>
      <c r="BM407" s="408"/>
      <c r="BN407" s="408"/>
      <c r="BO407" s="408"/>
      <c r="BP407" s="408"/>
      <c r="BQ407" s="408"/>
      <c r="BR407" s="408"/>
      <c r="BS407" s="408"/>
      <c r="BT407" s="408"/>
      <c r="BU407" s="408"/>
      <c r="BV407" s="408"/>
      <c r="BW407" s="408"/>
      <c r="BX407" s="408"/>
      <c r="BY407" s="408"/>
      <c r="BZ407" s="408"/>
      <c r="CA407" s="408"/>
      <c r="CB407" s="408"/>
      <c r="CC407" s="408"/>
      <c r="CD407" s="408"/>
      <c r="CE407" s="408"/>
      <c r="CF407" s="408"/>
      <c r="CG407" s="408"/>
      <c r="CH407" s="408"/>
      <c r="CI407" s="408"/>
      <c r="CJ407" s="408"/>
      <c r="CK407" s="408"/>
      <c r="CL407" s="408"/>
      <c r="CM407" s="408"/>
      <c r="CN407" s="408"/>
    </row>
    <row r="408">
      <c r="A408" s="408"/>
      <c r="B408" s="408"/>
      <c r="C408" s="408"/>
      <c r="D408" s="408"/>
      <c r="E408" s="408"/>
      <c r="F408" s="408"/>
      <c r="G408" s="408"/>
      <c r="H408" s="408"/>
      <c r="I408" s="408"/>
      <c r="J408" s="408"/>
      <c r="K408" s="408"/>
      <c r="L408" s="408"/>
      <c r="M408" s="408"/>
      <c r="N408" s="408"/>
      <c r="O408" s="408"/>
      <c r="P408" s="408"/>
      <c r="Q408" s="408"/>
      <c r="R408" s="408"/>
      <c r="S408" s="408"/>
      <c r="T408" s="408"/>
      <c r="U408" s="408"/>
      <c r="V408" s="408"/>
      <c r="W408" s="408"/>
      <c r="X408" s="408"/>
      <c r="Y408" s="408"/>
      <c r="Z408" s="408"/>
      <c r="AA408" s="408"/>
      <c r="AB408" s="408"/>
      <c r="AC408" s="408"/>
      <c r="AD408" s="408"/>
      <c r="AE408" s="408"/>
      <c r="AF408" s="408"/>
      <c r="AG408" s="408"/>
      <c r="AH408" s="408"/>
      <c r="AI408" s="408"/>
      <c r="AJ408" s="408"/>
      <c r="AK408" s="408"/>
      <c r="AL408" s="408"/>
      <c r="AM408" s="408"/>
      <c r="AN408" s="408"/>
      <c r="AO408" s="408"/>
      <c r="AP408" s="408"/>
      <c r="AQ408" s="408"/>
      <c r="AR408" s="408"/>
      <c r="AS408" s="408"/>
      <c r="AT408" s="408"/>
      <c r="AU408" s="408"/>
      <c r="AV408" s="408"/>
      <c r="AW408" s="408"/>
      <c r="AX408" s="408"/>
      <c r="AY408" s="408"/>
      <c r="AZ408" s="408"/>
      <c r="BA408" s="408"/>
      <c r="BB408" s="408"/>
      <c r="BC408" s="408"/>
      <c r="BD408" s="408"/>
      <c r="BE408" s="408"/>
      <c r="BF408" s="408"/>
      <c r="BG408" s="408"/>
      <c r="BH408" s="408"/>
      <c r="BI408" s="408"/>
      <c r="BJ408" s="408"/>
      <c r="BK408" s="408"/>
      <c r="BL408" s="408"/>
      <c r="BM408" s="408"/>
      <c r="BN408" s="408"/>
      <c r="BO408" s="408"/>
      <c r="BP408" s="408"/>
      <c r="BQ408" s="408"/>
      <c r="BR408" s="408"/>
      <c r="BS408" s="408"/>
      <c r="BT408" s="408"/>
      <c r="BU408" s="408"/>
      <c r="BV408" s="408"/>
      <c r="BW408" s="408"/>
      <c r="BX408" s="408"/>
      <c r="BY408" s="408"/>
      <c r="BZ408" s="408"/>
      <c r="CA408" s="408"/>
      <c r="CB408" s="408"/>
      <c r="CC408" s="408"/>
      <c r="CD408" s="408"/>
      <c r="CE408" s="408"/>
      <c r="CF408" s="408"/>
      <c r="CG408" s="408"/>
      <c r="CH408" s="408"/>
      <c r="CI408" s="408"/>
      <c r="CJ408" s="408"/>
      <c r="CK408" s="408"/>
      <c r="CL408" s="408"/>
      <c r="CM408" s="408"/>
      <c r="CN408" s="408"/>
    </row>
    <row r="409">
      <c r="A409" s="408"/>
      <c r="B409" s="408"/>
      <c r="C409" s="408"/>
      <c r="D409" s="408"/>
      <c r="E409" s="408"/>
      <c r="F409" s="408"/>
      <c r="G409" s="408"/>
      <c r="H409" s="408"/>
      <c r="I409" s="408"/>
      <c r="J409" s="408"/>
      <c r="K409" s="408"/>
      <c r="L409" s="408"/>
      <c r="M409" s="408"/>
      <c r="N409" s="408"/>
      <c r="O409" s="408"/>
      <c r="P409" s="408"/>
      <c r="Q409" s="408"/>
      <c r="R409" s="408"/>
      <c r="S409" s="408"/>
      <c r="T409" s="408"/>
      <c r="U409" s="408"/>
      <c r="V409" s="408"/>
      <c r="W409" s="408"/>
      <c r="X409" s="408"/>
      <c r="Y409" s="408"/>
      <c r="Z409" s="408"/>
      <c r="AA409" s="408"/>
      <c r="AB409" s="408"/>
      <c r="AC409" s="408"/>
      <c r="AD409" s="408"/>
      <c r="AE409" s="408"/>
      <c r="AF409" s="408"/>
      <c r="AG409" s="408"/>
      <c r="AH409" s="408"/>
      <c r="AI409" s="408"/>
      <c r="AJ409" s="408"/>
      <c r="AK409" s="408"/>
      <c r="AL409" s="408"/>
      <c r="AM409" s="408"/>
      <c r="AN409" s="408"/>
      <c r="AO409" s="408"/>
      <c r="AP409" s="408"/>
      <c r="AQ409" s="408"/>
      <c r="AR409" s="408"/>
      <c r="AS409" s="408"/>
      <c r="AT409" s="408"/>
      <c r="AU409" s="408"/>
      <c r="AV409" s="408"/>
      <c r="AW409" s="408"/>
      <c r="AX409" s="408"/>
      <c r="AY409" s="408"/>
      <c r="AZ409" s="408"/>
      <c r="BA409" s="408"/>
      <c r="BB409" s="408"/>
      <c r="BC409" s="408"/>
      <c r="BD409" s="408"/>
      <c r="BE409" s="408"/>
      <c r="BF409" s="408"/>
      <c r="BG409" s="408"/>
      <c r="BH409" s="408"/>
      <c r="BI409" s="408"/>
      <c r="BJ409" s="408"/>
      <c r="BK409" s="408"/>
      <c r="BL409" s="408"/>
      <c r="BM409" s="408"/>
      <c r="BN409" s="408"/>
      <c r="BO409" s="408"/>
      <c r="BP409" s="408"/>
      <c r="BQ409" s="408"/>
      <c r="BR409" s="408"/>
      <c r="BS409" s="408"/>
      <c r="BT409" s="408"/>
      <c r="BU409" s="408"/>
      <c r="BV409" s="408"/>
      <c r="BW409" s="408"/>
      <c r="BX409" s="408"/>
      <c r="BY409" s="408"/>
      <c r="BZ409" s="408"/>
      <c r="CA409" s="408"/>
      <c r="CB409" s="408"/>
      <c r="CC409" s="408"/>
      <c r="CD409" s="408"/>
      <c r="CE409" s="408"/>
      <c r="CF409" s="408"/>
      <c r="CG409" s="408"/>
      <c r="CH409" s="408"/>
      <c r="CI409" s="408"/>
      <c r="CJ409" s="408"/>
      <c r="CK409" s="408"/>
      <c r="CL409" s="408"/>
      <c r="CM409" s="408"/>
      <c r="CN409" s="408"/>
    </row>
    <row r="410">
      <c r="A410" s="408"/>
      <c r="B410" s="408"/>
      <c r="C410" s="408"/>
      <c r="D410" s="408"/>
      <c r="E410" s="408"/>
      <c r="F410" s="408"/>
      <c r="G410" s="408"/>
      <c r="H410" s="408"/>
      <c r="I410" s="408"/>
      <c r="J410" s="408"/>
      <c r="K410" s="408"/>
      <c r="L410" s="408"/>
      <c r="M410" s="408"/>
      <c r="N410" s="408"/>
      <c r="O410" s="408"/>
      <c r="P410" s="408"/>
      <c r="Q410" s="408"/>
      <c r="R410" s="408"/>
      <c r="S410" s="408"/>
      <c r="T410" s="408"/>
      <c r="U410" s="408"/>
      <c r="V410" s="408"/>
      <c r="W410" s="408"/>
      <c r="X410" s="408"/>
      <c r="Y410" s="408"/>
      <c r="Z410" s="408"/>
      <c r="AA410" s="408"/>
      <c r="AB410" s="408"/>
      <c r="AC410" s="408"/>
      <c r="AD410" s="408"/>
      <c r="AE410" s="408"/>
      <c r="AF410" s="408"/>
      <c r="AG410" s="408"/>
      <c r="AH410" s="408"/>
      <c r="AI410" s="408"/>
      <c r="AJ410" s="408"/>
      <c r="AK410" s="408"/>
      <c r="AL410" s="408"/>
      <c r="AM410" s="408"/>
      <c r="AN410" s="408"/>
      <c r="AO410" s="408"/>
      <c r="AP410" s="408"/>
      <c r="AQ410" s="408"/>
      <c r="AR410" s="408"/>
      <c r="AS410" s="408"/>
      <c r="AT410" s="408"/>
      <c r="AU410" s="408"/>
      <c r="AV410" s="408"/>
      <c r="AW410" s="408"/>
      <c r="AX410" s="408"/>
      <c r="AY410" s="408"/>
      <c r="AZ410" s="408"/>
      <c r="BA410" s="408"/>
      <c r="BB410" s="408"/>
      <c r="BC410" s="408"/>
      <c r="BD410" s="408"/>
      <c r="BE410" s="408"/>
      <c r="BF410" s="408"/>
      <c r="BG410" s="408"/>
      <c r="BH410" s="408"/>
      <c r="BI410" s="408"/>
      <c r="BJ410" s="408"/>
      <c r="BK410" s="408"/>
      <c r="BL410" s="408"/>
      <c r="BM410" s="408"/>
      <c r="BN410" s="408"/>
      <c r="BO410" s="408"/>
      <c r="BP410" s="408"/>
      <c r="BQ410" s="408"/>
      <c r="BR410" s="408"/>
      <c r="BS410" s="408"/>
      <c r="BT410" s="408"/>
      <c r="BU410" s="408"/>
      <c r="BV410" s="408"/>
      <c r="BW410" s="408"/>
      <c r="BX410" s="408"/>
      <c r="BY410" s="408"/>
      <c r="BZ410" s="408"/>
      <c r="CA410" s="408"/>
      <c r="CB410" s="408"/>
      <c r="CC410" s="408"/>
      <c r="CD410" s="408"/>
      <c r="CE410" s="408"/>
      <c r="CF410" s="408"/>
      <c r="CG410" s="408"/>
      <c r="CH410" s="408"/>
      <c r="CI410" s="408"/>
      <c r="CJ410" s="408"/>
      <c r="CK410" s="408"/>
      <c r="CL410" s="408"/>
      <c r="CM410" s="408"/>
      <c r="CN410" s="408"/>
    </row>
    <row r="411">
      <c r="A411" s="408"/>
      <c r="B411" s="408"/>
      <c r="C411" s="408"/>
      <c r="D411" s="408"/>
      <c r="E411" s="408"/>
      <c r="F411" s="408"/>
      <c r="G411" s="408"/>
      <c r="H411" s="408"/>
      <c r="I411" s="408"/>
      <c r="J411" s="408"/>
      <c r="K411" s="408"/>
      <c r="L411" s="408"/>
      <c r="M411" s="408"/>
      <c r="N411" s="408"/>
      <c r="O411" s="408"/>
      <c r="P411" s="408"/>
      <c r="Q411" s="408"/>
      <c r="R411" s="408"/>
      <c r="S411" s="408"/>
      <c r="T411" s="408"/>
      <c r="U411" s="408"/>
      <c r="V411" s="408"/>
      <c r="W411" s="408"/>
      <c r="X411" s="408"/>
      <c r="Y411" s="408"/>
      <c r="Z411" s="408"/>
      <c r="AA411" s="408"/>
      <c r="AB411" s="408"/>
      <c r="AC411" s="408"/>
      <c r="AD411" s="408"/>
      <c r="AE411" s="408"/>
      <c r="AF411" s="408"/>
      <c r="AG411" s="408"/>
      <c r="AH411" s="408"/>
      <c r="AI411" s="408"/>
      <c r="AJ411" s="408"/>
      <c r="AK411" s="408"/>
      <c r="AL411" s="408"/>
      <c r="AM411" s="408"/>
      <c r="AN411" s="408"/>
      <c r="AO411" s="408"/>
      <c r="AP411" s="408"/>
      <c r="AQ411" s="408"/>
      <c r="AR411" s="408"/>
      <c r="AS411" s="408"/>
      <c r="AT411" s="408"/>
      <c r="AU411" s="408"/>
      <c r="AV411" s="408"/>
      <c r="AW411" s="408"/>
      <c r="AX411" s="408"/>
      <c r="AY411" s="408"/>
      <c r="AZ411" s="408"/>
      <c r="BA411" s="408"/>
      <c r="BB411" s="408"/>
      <c r="BC411" s="408"/>
      <c r="BD411" s="408"/>
      <c r="BE411" s="408"/>
      <c r="BF411" s="408"/>
      <c r="BG411" s="408"/>
      <c r="BH411" s="408"/>
      <c r="BI411" s="408"/>
      <c r="BJ411" s="408"/>
      <c r="BK411" s="408"/>
      <c r="BL411" s="408"/>
      <c r="BM411" s="408"/>
      <c r="BN411" s="408"/>
      <c r="BO411" s="408"/>
      <c r="BP411" s="408"/>
      <c r="BQ411" s="408"/>
      <c r="BR411" s="408"/>
      <c r="BS411" s="408"/>
      <c r="BT411" s="408"/>
      <c r="BU411" s="408"/>
      <c r="BV411" s="408"/>
      <c r="BW411" s="408"/>
      <c r="BX411" s="408"/>
      <c r="BY411" s="408"/>
      <c r="BZ411" s="408"/>
      <c r="CA411" s="408"/>
      <c r="CB411" s="408"/>
      <c r="CC411" s="408"/>
      <c r="CD411" s="408"/>
      <c r="CE411" s="408"/>
      <c r="CF411" s="408"/>
      <c r="CG411" s="408"/>
      <c r="CH411" s="408"/>
      <c r="CI411" s="408"/>
      <c r="CJ411" s="408"/>
      <c r="CK411" s="408"/>
      <c r="CL411" s="408"/>
      <c r="CM411" s="408"/>
      <c r="CN411" s="408"/>
    </row>
    <row r="412">
      <c r="A412" s="408"/>
      <c r="B412" s="408"/>
      <c r="C412" s="408"/>
      <c r="D412" s="408"/>
      <c r="E412" s="408"/>
      <c r="F412" s="408"/>
      <c r="G412" s="408"/>
      <c r="H412" s="408"/>
      <c r="I412" s="408"/>
      <c r="J412" s="408"/>
      <c r="K412" s="408"/>
      <c r="L412" s="408"/>
      <c r="M412" s="408"/>
      <c r="N412" s="408"/>
      <c r="O412" s="408"/>
      <c r="P412" s="408"/>
      <c r="Q412" s="408"/>
      <c r="R412" s="408"/>
      <c r="S412" s="408"/>
      <c r="T412" s="408"/>
      <c r="U412" s="408"/>
      <c r="V412" s="408"/>
      <c r="W412" s="408"/>
      <c r="X412" s="408"/>
      <c r="Y412" s="408"/>
      <c r="Z412" s="408"/>
      <c r="AA412" s="408"/>
      <c r="AB412" s="408"/>
      <c r="AC412" s="408"/>
      <c r="AD412" s="408"/>
      <c r="AE412" s="408"/>
      <c r="AF412" s="408"/>
      <c r="AG412" s="408"/>
      <c r="AH412" s="408"/>
      <c r="AI412" s="408"/>
      <c r="AJ412" s="408"/>
      <c r="AK412" s="408"/>
      <c r="AL412" s="408"/>
      <c r="AM412" s="408"/>
      <c r="AN412" s="408"/>
      <c r="AO412" s="408"/>
      <c r="AP412" s="408"/>
      <c r="AQ412" s="408"/>
      <c r="AR412" s="408"/>
      <c r="AS412" s="408"/>
      <c r="AT412" s="408"/>
      <c r="AU412" s="408"/>
      <c r="AV412" s="408"/>
      <c r="AW412" s="408"/>
      <c r="AX412" s="408"/>
      <c r="AY412" s="408"/>
      <c r="AZ412" s="408"/>
      <c r="BA412" s="408"/>
      <c r="BB412" s="408"/>
      <c r="BC412" s="408"/>
      <c r="BD412" s="408"/>
      <c r="BE412" s="408"/>
      <c r="BF412" s="408"/>
      <c r="BG412" s="408"/>
      <c r="BH412" s="408"/>
      <c r="BI412" s="408"/>
      <c r="BJ412" s="408"/>
      <c r="BK412" s="408"/>
      <c r="BL412" s="408"/>
      <c r="BM412" s="408"/>
      <c r="BN412" s="408"/>
      <c r="BO412" s="408"/>
      <c r="BP412" s="408"/>
      <c r="BQ412" s="408"/>
      <c r="BR412" s="408"/>
      <c r="BS412" s="408"/>
      <c r="BT412" s="408"/>
      <c r="BU412" s="408"/>
      <c r="BV412" s="408"/>
      <c r="BW412" s="408"/>
      <c r="BX412" s="408"/>
      <c r="BY412" s="408"/>
      <c r="BZ412" s="408"/>
      <c r="CA412" s="408"/>
      <c r="CB412" s="408"/>
      <c r="CC412" s="408"/>
      <c r="CD412" s="408"/>
      <c r="CE412" s="408"/>
      <c r="CF412" s="408"/>
      <c r="CG412" s="408"/>
      <c r="CH412" s="408"/>
      <c r="CI412" s="408"/>
      <c r="CJ412" s="408"/>
      <c r="CK412" s="408"/>
      <c r="CL412" s="408"/>
      <c r="CM412" s="408"/>
      <c r="CN412" s="408"/>
    </row>
    <row r="413">
      <c r="A413" s="408"/>
      <c r="B413" s="408"/>
      <c r="C413" s="408"/>
      <c r="D413" s="408"/>
      <c r="E413" s="408"/>
      <c r="F413" s="408"/>
      <c r="G413" s="408"/>
      <c r="H413" s="408"/>
      <c r="I413" s="408"/>
      <c r="J413" s="408"/>
      <c r="K413" s="408"/>
      <c r="L413" s="408"/>
      <c r="M413" s="408"/>
      <c r="N413" s="408"/>
      <c r="O413" s="408"/>
      <c r="P413" s="408"/>
      <c r="Q413" s="408"/>
      <c r="R413" s="408"/>
      <c r="S413" s="408"/>
      <c r="T413" s="408"/>
      <c r="U413" s="408"/>
      <c r="V413" s="408"/>
      <c r="W413" s="408"/>
      <c r="X413" s="408"/>
      <c r="Y413" s="408"/>
      <c r="Z413" s="408"/>
      <c r="AA413" s="408"/>
      <c r="AB413" s="408"/>
      <c r="AC413" s="408"/>
      <c r="AD413" s="408"/>
      <c r="AE413" s="408"/>
      <c r="AF413" s="408"/>
      <c r="AG413" s="408"/>
      <c r="AH413" s="408"/>
      <c r="AI413" s="408"/>
      <c r="AJ413" s="408"/>
      <c r="AK413" s="408"/>
      <c r="AL413" s="408"/>
      <c r="AM413" s="408"/>
      <c r="AN413" s="408"/>
      <c r="AO413" s="408"/>
      <c r="AP413" s="408"/>
      <c r="AQ413" s="408"/>
      <c r="AR413" s="408"/>
      <c r="AS413" s="408"/>
      <c r="AT413" s="408"/>
      <c r="AU413" s="408"/>
      <c r="AV413" s="408"/>
      <c r="AW413" s="408"/>
      <c r="AX413" s="408"/>
      <c r="AY413" s="408"/>
      <c r="AZ413" s="408"/>
      <c r="BA413" s="408"/>
      <c r="BB413" s="408"/>
      <c r="BC413" s="408"/>
      <c r="BD413" s="408"/>
      <c r="BE413" s="408"/>
      <c r="BF413" s="408"/>
      <c r="BG413" s="408"/>
      <c r="BH413" s="408"/>
      <c r="BI413" s="408"/>
      <c r="BJ413" s="408"/>
      <c r="BK413" s="408"/>
      <c r="BL413" s="408"/>
      <c r="BM413" s="408"/>
      <c r="BN413" s="408"/>
      <c r="BO413" s="408"/>
      <c r="BP413" s="408"/>
      <c r="BQ413" s="408"/>
      <c r="BR413" s="408"/>
      <c r="BS413" s="408"/>
      <c r="BT413" s="408"/>
      <c r="BU413" s="408"/>
      <c r="BV413" s="408"/>
      <c r="BW413" s="408"/>
      <c r="BX413" s="408"/>
      <c r="BY413" s="408"/>
      <c r="BZ413" s="408"/>
      <c r="CA413" s="408"/>
      <c r="CB413" s="408"/>
      <c r="CC413" s="408"/>
      <c r="CD413" s="408"/>
      <c r="CE413" s="408"/>
      <c r="CF413" s="408"/>
      <c r="CG413" s="408"/>
      <c r="CH413" s="408"/>
      <c r="CI413" s="408"/>
      <c r="CJ413" s="408"/>
      <c r="CK413" s="408"/>
      <c r="CL413" s="408"/>
      <c r="CM413" s="408"/>
      <c r="CN413" s="408"/>
    </row>
    <row r="414">
      <c r="A414" s="408"/>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c r="AA414" s="408"/>
      <c r="AB414" s="408"/>
      <c r="AC414" s="408"/>
      <c r="AD414" s="408"/>
      <c r="AE414" s="408"/>
      <c r="AF414" s="408"/>
      <c r="AG414" s="408"/>
      <c r="AH414" s="408"/>
      <c r="AI414" s="408"/>
      <c r="AJ414" s="408"/>
      <c r="AK414" s="408"/>
      <c r="AL414" s="408"/>
      <c r="AM414" s="408"/>
      <c r="AN414" s="408"/>
      <c r="AO414" s="408"/>
      <c r="AP414" s="408"/>
      <c r="AQ414" s="408"/>
      <c r="AR414" s="408"/>
      <c r="AS414" s="408"/>
      <c r="AT414" s="408"/>
      <c r="AU414" s="408"/>
      <c r="AV414" s="408"/>
      <c r="AW414" s="408"/>
      <c r="AX414" s="408"/>
      <c r="AY414" s="408"/>
      <c r="AZ414" s="408"/>
      <c r="BA414" s="408"/>
      <c r="BB414" s="408"/>
      <c r="BC414" s="408"/>
      <c r="BD414" s="408"/>
      <c r="BE414" s="408"/>
      <c r="BF414" s="408"/>
      <c r="BG414" s="408"/>
      <c r="BH414" s="408"/>
      <c r="BI414" s="408"/>
      <c r="BJ414" s="408"/>
      <c r="BK414" s="408"/>
      <c r="BL414" s="408"/>
      <c r="BM414" s="408"/>
      <c r="BN414" s="408"/>
      <c r="BO414" s="408"/>
      <c r="BP414" s="408"/>
      <c r="BQ414" s="408"/>
      <c r="BR414" s="408"/>
      <c r="BS414" s="408"/>
      <c r="BT414" s="408"/>
      <c r="BU414" s="408"/>
      <c r="BV414" s="408"/>
      <c r="BW414" s="408"/>
      <c r="BX414" s="408"/>
      <c r="BY414" s="408"/>
      <c r="BZ414" s="408"/>
      <c r="CA414" s="408"/>
      <c r="CB414" s="408"/>
      <c r="CC414" s="408"/>
      <c r="CD414" s="408"/>
      <c r="CE414" s="408"/>
      <c r="CF414" s="408"/>
      <c r="CG414" s="408"/>
      <c r="CH414" s="408"/>
      <c r="CI414" s="408"/>
      <c r="CJ414" s="408"/>
      <c r="CK414" s="408"/>
      <c r="CL414" s="408"/>
      <c r="CM414" s="408"/>
      <c r="CN414" s="408"/>
    </row>
    <row r="415">
      <c r="A415" s="408"/>
      <c r="B415" s="408"/>
      <c r="C415" s="408"/>
      <c r="D415" s="408"/>
      <c r="E415" s="408"/>
      <c r="F415" s="408"/>
      <c r="G415" s="408"/>
      <c r="H415" s="408"/>
      <c r="I415" s="408"/>
      <c r="J415" s="408"/>
      <c r="K415" s="408"/>
      <c r="L415" s="408"/>
      <c r="M415" s="408"/>
      <c r="N415" s="408"/>
      <c r="O415" s="408"/>
      <c r="P415" s="408"/>
      <c r="Q415" s="408"/>
      <c r="R415" s="408"/>
      <c r="S415" s="408"/>
      <c r="T415" s="408"/>
      <c r="U415" s="408"/>
      <c r="V415" s="408"/>
      <c r="W415" s="408"/>
      <c r="X415" s="408"/>
      <c r="Y415" s="408"/>
      <c r="Z415" s="408"/>
      <c r="AA415" s="408"/>
      <c r="AB415" s="408"/>
      <c r="AC415" s="408"/>
      <c r="AD415" s="408"/>
      <c r="AE415" s="408"/>
      <c r="AF415" s="408"/>
      <c r="AG415" s="408"/>
      <c r="AH415" s="408"/>
      <c r="AI415" s="408"/>
      <c r="AJ415" s="408"/>
      <c r="AK415" s="408"/>
      <c r="AL415" s="408"/>
      <c r="AM415" s="408"/>
      <c r="AN415" s="408"/>
      <c r="AO415" s="408"/>
      <c r="AP415" s="408"/>
      <c r="AQ415" s="408"/>
      <c r="AR415" s="408"/>
      <c r="AS415" s="408"/>
      <c r="AT415" s="408"/>
      <c r="AU415" s="408"/>
      <c r="AV415" s="408"/>
      <c r="AW415" s="408"/>
      <c r="AX415" s="408"/>
      <c r="AY415" s="408"/>
      <c r="AZ415" s="408"/>
      <c r="BA415" s="408"/>
      <c r="BB415" s="408"/>
      <c r="BC415" s="408"/>
      <c r="BD415" s="408"/>
      <c r="BE415" s="408"/>
      <c r="BF415" s="408"/>
      <c r="BG415" s="408"/>
      <c r="BH415" s="408"/>
      <c r="BI415" s="408"/>
      <c r="BJ415" s="408"/>
      <c r="BK415" s="408"/>
      <c r="BL415" s="408"/>
      <c r="BM415" s="408"/>
      <c r="BN415" s="408"/>
      <c r="BO415" s="408"/>
      <c r="BP415" s="408"/>
      <c r="BQ415" s="408"/>
      <c r="BR415" s="408"/>
      <c r="BS415" s="408"/>
      <c r="BT415" s="408"/>
      <c r="BU415" s="408"/>
      <c r="BV415" s="408"/>
      <c r="BW415" s="408"/>
      <c r="BX415" s="408"/>
      <c r="BY415" s="408"/>
      <c r="BZ415" s="408"/>
      <c r="CA415" s="408"/>
      <c r="CB415" s="408"/>
      <c r="CC415" s="408"/>
      <c r="CD415" s="408"/>
      <c r="CE415" s="408"/>
      <c r="CF415" s="408"/>
      <c r="CG415" s="408"/>
      <c r="CH415" s="408"/>
      <c r="CI415" s="408"/>
      <c r="CJ415" s="408"/>
      <c r="CK415" s="408"/>
      <c r="CL415" s="408"/>
      <c r="CM415" s="408"/>
      <c r="CN415" s="408"/>
    </row>
    <row r="416">
      <c r="A416" s="408"/>
      <c r="B416" s="408"/>
      <c r="C416" s="408"/>
      <c r="D416" s="408"/>
      <c r="E416" s="408"/>
      <c r="F416" s="408"/>
      <c r="G416" s="408"/>
      <c r="H416" s="408"/>
      <c r="I416" s="408"/>
      <c r="J416" s="408"/>
      <c r="K416" s="408"/>
      <c r="L416" s="408"/>
      <c r="M416" s="408"/>
      <c r="N416" s="408"/>
      <c r="O416" s="408"/>
      <c r="P416" s="408"/>
      <c r="Q416" s="408"/>
      <c r="R416" s="408"/>
      <c r="S416" s="408"/>
      <c r="T416" s="408"/>
      <c r="U416" s="408"/>
      <c r="V416" s="408"/>
      <c r="W416" s="408"/>
      <c r="X416" s="408"/>
      <c r="Y416" s="408"/>
      <c r="Z416" s="408"/>
      <c r="AA416" s="408"/>
      <c r="AB416" s="408"/>
      <c r="AC416" s="408"/>
      <c r="AD416" s="408"/>
      <c r="AE416" s="408"/>
      <c r="AF416" s="408"/>
      <c r="AG416" s="408"/>
      <c r="AH416" s="408"/>
      <c r="AI416" s="408"/>
      <c r="AJ416" s="408"/>
      <c r="AK416" s="408"/>
      <c r="AL416" s="408"/>
      <c r="AM416" s="408"/>
      <c r="AN416" s="408"/>
      <c r="AO416" s="408"/>
      <c r="AP416" s="408"/>
      <c r="AQ416" s="408"/>
      <c r="AR416" s="408"/>
      <c r="AS416" s="408"/>
      <c r="AT416" s="408"/>
      <c r="AU416" s="408"/>
      <c r="AV416" s="408"/>
      <c r="AW416" s="408"/>
      <c r="AX416" s="408"/>
      <c r="AY416" s="408"/>
      <c r="AZ416" s="408"/>
      <c r="BA416" s="408"/>
      <c r="BB416" s="408"/>
      <c r="BC416" s="408"/>
      <c r="BD416" s="408"/>
      <c r="BE416" s="408"/>
      <c r="BF416" s="408"/>
      <c r="BG416" s="408"/>
      <c r="BH416" s="408"/>
      <c r="BI416" s="408"/>
      <c r="BJ416" s="408"/>
      <c r="BK416" s="408"/>
      <c r="BL416" s="408"/>
      <c r="BM416" s="408"/>
      <c r="BN416" s="408"/>
      <c r="BO416" s="408"/>
      <c r="BP416" s="408"/>
      <c r="BQ416" s="408"/>
      <c r="BR416" s="408"/>
      <c r="BS416" s="408"/>
      <c r="BT416" s="408"/>
      <c r="BU416" s="408"/>
      <c r="BV416" s="408"/>
      <c r="BW416" s="408"/>
      <c r="BX416" s="408"/>
      <c r="BY416" s="408"/>
      <c r="BZ416" s="408"/>
      <c r="CA416" s="408"/>
      <c r="CB416" s="408"/>
      <c r="CC416" s="408"/>
      <c r="CD416" s="408"/>
      <c r="CE416" s="408"/>
      <c r="CF416" s="408"/>
      <c r="CG416" s="408"/>
      <c r="CH416" s="408"/>
      <c r="CI416" s="408"/>
      <c r="CJ416" s="408"/>
      <c r="CK416" s="408"/>
      <c r="CL416" s="408"/>
      <c r="CM416" s="408"/>
      <c r="CN416" s="408"/>
    </row>
    <row r="417">
      <c r="A417" s="408"/>
      <c r="B417" s="408"/>
      <c r="C417" s="408"/>
      <c r="D417" s="408"/>
      <c r="E417" s="408"/>
      <c r="F417" s="408"/>
      <c r="G417" s="408"/>
      <c r="H417" s="408"/>
      <c r="I417" s="408"/>
      <c r="J417" s="408"/>
      <c r="K417" s="408"/>
      <c r="L417" s="408"/>
      <c r="M417" s="408"/>
      <c r="N417" s="408"/>
      <c r="O417" s="408"/>
      <c r="P417" s="408"/>
      <c r="Q417" s="408"/>
      <c r="R417" s="408"/>
      <c r="S417" s="408"/>
      <c r="T417" s="408"/>
      <c r="U417" s="408"/>
      <c r="V417" s="408"/>
      <c r="W417" s="408"/>
      <c r="X417" s="408"/>
      <c r="Y417" s="408"/>
      <c r="Z417" s="408"/>
      <c r="AA417" s="408"/>
      <c r="AB417" s="408"/>
      <c r="AC417" s="408"/>
      <c r="AD417" s="408"/>
      <c r="AE417" s="408"/>
      <c r="AF417" s="408"/>
      <c r="AG417" s="408"/>
      <c r="AH417" s="408"/>
      <c r="AI417" s="408"/>
      <c r="AJ417" s="408"/>
      <c r="AK417" s="408"/>
      <c r="AL417" s="408"/>
      <c r="AM417" s="408"/>
      <c r="AN417" s="408"/>
      <c r="AO417" s="408"/>
      <c r="AP417" s="408"/>
      <c r="AQ417" s="408"/>
      <c r="AR417" s="408"/>
      <c r="AS417" s="408"/>
      <c r="AT417" s="408"/>
      <c r="AU417" s="408"/>
      <c r="AV417" s="408"/>
      <c r="AW417" s="408"/>
      <c r="AX417" s="408"/>
      <c r="AY417" s="408"/>
      <c r="AZ417" s="408"/>
      <c r="BA417" s="408"/>
      <c r="BB417" s="408"/>
      <c r="BC417" s="408"/>
      <c r="BD417" s="408"/>
      <c r="BE417" s="408"/>
      <c r="BF417" s="408"/>
      <c r="BG417" s="408"/>
      <c r="BH417" s="408"/>
      <c r="BI417" s="408"/>
      <c r="BJ417" s="408"/>
      <c r="BK417" s="408"/>
      <c r="BL417" s="408"/>
      <c r="BM417" s="408"/>
      <c r="BN417" s="408"/>
      <c r="BO417" s="408"/>
      <c r="BP417" s="408"/>
      <c r="BQ417" s="408"/>
      <c r="BR417" s="408"/>
      <c r="BS417" s="408"/>
      <c r="BT417" s="408"/>
      <c r="BU417" s="408"/>
      <c r="BV417" s="408"/>
      <c r="BW417" s="408"/>
      <c r="BX417" s="408"/>
      <c r="BY417" s="408"/>
      <c r="BZ417" s="408"/>
      <c r="CA417" s="408"/>
      <c r="CB417" s="408"/>
      <c r="CC417" s="408"/>
      <c r="CD417" s="408"/>
      <c r="CE417" s="408"/>
      <c r="CF417" s="408"/>
      <c r="CG417" s="408"/>
      <c r="CH417" s="408"/>
      <c r="CI417" s="408"/>
      <c r="CJ417" s="408"/>
      <c r="CK417" s="408"/>
      <c r="CL417" s="408"/>
      <c r="CM417" s="408"/>
      <c r="CN417" s="408"/>
    </row>
    <row r="418">
      <c r="A418" s="408"/>
      <c r="B418" s="408"/>
      <c r="C418" s="408"/>
      <c r="D418" s="408"/>
      <c r="E418" s="408"/>
      <c r="F418" s="408"/>
      <c r="G418" s="408"/>
      <c r="H418" s="408"/>
      <c r="I418" s="408"/>
      <c r="J418" s="408"/>
      <c r="K418" s="408"/>
      <c r="L418" s="408"/>
      <c r="M418" s="408"/>
      <c r="N418" s="408"/>
      <c r="O418" s="408"/>
      <c r="P418" s="408"/>
      <c r="Q418" s="408"/>
      <c r="R418" s="408"/>
      <c r="S418" s="408"/>
      <c r="T418" s="408"/>
      <c r="U418" s="408"/>
      <c r="V418" s="408"/>
      <c r="W418" s="408"/>
      <c r="X418" s="408"/>
      <c r="Y418" s="408"/>
      <c r="Z418" s="408"/>
      <c r="AA418" s="408"/>
      <c r="AB418" s="408"/>
      <c r="AC418" s="408"/>
      <c r="AD418" s="408"/>
      <c r="AE418" s="408"/>
      <c r="AF418" s="408"/>
      <c r="AG418" s="408"/>
      <c r="AH418" s="408"/>
      <c r="AI418" s="408"/>
      <c r="AJ418" s="408"/>
      <c r="AK418" s="408"/>
      <c r="AL418" s="408"/>
      <c r="AM418" s="408"/>
      <c r="AN418" s="408"/>
      <c r="AO418" s="408"/>
      <c r="AP418" s="408"/>
      <c r="AQ418" s="408"/>
      <c r="AR418" s="408"/>
      <c r="AS418" s="408"/>
      <c r="AT418" s="408"/>
      <c r="AU418" s="408"/>
      <c r="AV418" s="408"/>
      <c r="AW418" s="408"/>
      <c r="AX418" s="408"/>
      <c r="AY418" s="408"/>
      <c r="AZ418" s="408"/>
      <c r="BA418" s="408"/>
      <c r="BB418" s="408"/>
      <c r="BC418" s="408"/>
      <c r="BD418" s="408"/>
      <c r="BE418" s="408"/>
      <c r="BF418" s="408"/>
      <c r="BG418" s="408"/>
      <c r="BH418" s="408"/>
      <c r="BI418" s="408"/>
      <c r="BJ418" s="408"/>
      <c r="BK418" s="408"/>
      <c r="BL418" s="408"/>
      <c r="BM418" s="408"/>
      <c r="BN418" s="408"/>
      <c r="BO418" s="408"/>
      <c r="BP418" s="408"/>
      <c r="BQ418" s="408"/>
      <c r="BR418" s="408"/>
      <c r="BS418" s="408"/>
      <c r="BT418" s="408"/>
      <c r="BU418" s="408"/>
      <c r="BV418" s="408"/>
      <c r="BW418" s="408"/>
      <c r="BX418" s="408"/>
      <c r="BY418" s="408"/>
      <c r="BZ418" s="408"/>
      <c r="CA418" s="408"/>
      <c r="CB418" s="408"/>
      <c r="CC418" s="408"/>
      <c r="CD418" s="408"/>
      <c r="CE418" s="408"/>
      <c r="CF418" s="408"/>
      <c r="CG418" s="408"/>
      <c r="CH418" s="408"/>
      <c r="CI418" s="408"/>
      <c r="CJ418" s="408"/>
      <c r="CK418" s="408"/>
      <c r="CL418" s="408"/>
      <c r="CM418" s="408"/>
      <c r="CN418" s="408"/>
    </row>
    <row r="419">
      <c r="A419" s="408"/>
      <c r="B419" s="408"/>
      <c r="C419" s="408"/>
      <c r="D419" s="408"/>
      <c r="E419" s="408"/>
      <c r="F419" s="408"/>
      <c r="G419" s="408"/>
      <c r="H419" s="408"/>
      <c r="I419" s="408"/>
      <c r="J419" s="408"/>
      <c r="K419" s="408"/>
      <c r="L419" s="408"/>
      <c r="M419" s="408"/>
      <c r="N419" s="408"/>
      <c r="O419" s="408"/>
      <c r="P419" s="408"/>
      <c r="Q419" s="408"/>
      <c r="R419" s="408"/>
      <c r="S419" s="408"/>
      <c r="T419" s="408"/>
      <c r="U419" s="408"/>
      <c r="V419" s="408"/>
      <c r="W419" s="408"/>
      <c r="X419" s="408"/>
      <c r="Y419" s="408"/>
      <c r="Z419" s="408"/>
      <c r="AA419" s="408"/>
      <c r="AB419" s="408"/>
      <c r="AC419" s="408"/>
      <c r="AD419" s="408"/>
      <c r="AE419" s="408"/>
      <c r="AF419" s="408"/>
      <c r="AG419" s="408"/>
      <c r="AH419" s="408"/>
      <c r="AI419" s="408"/>
      <c r="AJ419" s="408"/>
      <c r="AK419" s="408"/>
      <c r="AL419" s="408"/>
      <c r="AM419" s="408"/>
      <c r="AN419" s="408"/>
      <c r="AO419" s="408"/>
      <c r="AP419" s="408"/>
      <c r="AQ419" s="408"/>
      <c r="AR419" s="408"/>
      <c r="AS419" s="408"/>
      <c r="AT419" s="408"/>
      <c r="AU419" s="408"/>
      <c r="AV419" s="408"/>
      <c r="AW419" s="408"/>
      <c r="AX419" s="408"/>
      <c r="AY419" s="408"/>
      <c r="AZ419" s="408"/>
      <c r="BA419" s="408"/>
      <c r="BB419" s="408"/>
      <c r="BC419" s="408"/>
      <c r="BD419" s="408"/>
      <c r="BE419" s="408"/>
      <c r="BF419" s="408"/>
      <c r="BG419" s="408"/>
      <c r="BH419" s="408"/>
      <c r="BI419" s="408"/>
      <c r="BJ419" s="408"/>
      <c r="BK419" s="408"/>
      <c r="BL419" s="408"/>
      <c r="BM419" s="408"/>
      <c r="BN419" s="408"/>
      <c r="BO419" s="408"/>
      <c r="BP419" s="408"/>
      <c r="BQ419" s="408"/>
      <c r="BR419" s="408"/>
      <c r="BS419" s="408"/>
      <c r="BT419" s="408"/>
      <c r="BU419" s="408"/>
      <c r="BV419" s="408"/>
      <c r="BW419" s="408"/>
      <c r="BX419" s="408"/>
      <c r="BY419" s="408"/>
      <c r="BZ419" s="408"/>
      <c r="CA419" s="408"/>
      <c r="CB419" s="408"/>
      <c r="CC419" s="408"/>
      <c r="CD419" s="408"/>
      <c r="CE419" s="408"/>
      <c r="CF419" s="408"/>
      <c r="CG419" s="408"/>
      <c r="CH419" s="408"/>
      <c r="CI419" s="408"/>
      <c r="CJ419" s="408"/>
      <c r="CK419" s="408"/>
      <c r="CL419" s="408"/>
      <c r="CM419" s="408"/>
      <c r="CN419" s="408"/>
    </row>
    <row r="420">
      <c r="A420" s="408"/>
      <c r="B420" s="408"/>
      <c r="C420" s="408"/>
      <c r="D420" s="408"/>
      <c r="E420" s="408"/>
      <c r="F420" s="408"/>
      <c r="G420" s="408"/>
      <c r="H420" s="408"/>
      <c r="I420" s="408"/>
      <c r="J420" s="408"/>
      <c r="K420" s="408"/>
      <c r="L420" s="408"/>
      <c r="M420" s="408"/>
      <c r="N420" s="408"/>
      <c r="O420" s="408"/>
      <c r="P420" s="408"/>
      <c r="Q420" s="408"/>
      <c r="R420" s="408"/>
      <c r="S420" s="408"/>
      <c r="T420" s="408"/>
      <c r="U420" s="408"/>
      <c r="V420" s="408"/>
      <c r="W420" s="408"/>
      <c r="X420" s="408"/>
      <c r="Y420" s="408"/>
      <c r="Z420" s="408"/>
      <c r="AA420" s="408"/>
      <c r="AB420" s="408"/>
      <c r="AC420" s="408"/>
      <c r="AD420" s="408"/>
      <c r="AE420" s="408"/>
      <c r="AF420" s="408"/>
      <c r="AG420" s="408"/>
      <c r="AH420" s="408"/>
      <c r="AI420" s="408"/>
      <c r="AJ420" s="408"/>
      <c r="AK420" s="408"/>
      <c r="AL420" s="408"/>
      <c r="AM420" s="408"/>
      <c r="AN420" s="408"/>
      <c r="AO420" s="408"/>
      <c r="AP420" s="408"/>
      <c r="AQ420" s="408"/>
      <c r="AR420" s="408"/>
      <c r="AS420" s="408"/>
      <c r="AT420" s="408"/>
      <c r="AU420" s="408"/>
      <c r="AV420" s="408"/>
      <c r="AW420" s="408"/>
      <c r="AX420" s="408"/>
      <c r="AY420" s="408"/>
      <c r="AZ420" s="408"/>
      <c r="BA420" s="408"/>
      <c r="BB420" s="408"/>
      <c r="BC420" s="408"/>
      <c r="BD420" s="408"/>
      <c r="BE420" s="408"/>
      <c r="BF420" s="408"/>
      <c r="BG420" s="408"/>
      <c r="BH420" s="408"/>
      <c r="BI420" s="408"/>
      <c r="BJ420" s="408"/>
      <c r="BK420" s="408"/>
      <c r="BL420" s="408"/>
      <c r="BM420" s="408"/>
      <c r="BN420" s="408"/>
      <c r="BO420" s="408"/>
      <c r="BP420" s="408"/>
      <c r="BQ420" s="408"/>
      <c r="BR420" s="408"/>
      <c r="BS420" s="408"/>
      <c r="BT420" s="408"/>
      <c r="BU420" s="408"/>
      <c r="BV420" s="408"/>
      <c r="BW420" s="408"/>
      <c r="BX420" s="408"/>
      <c r="BY420" s="408"/>
      <c r="BZ420" s="408"/>
      <c r="CA420" s="408"/>
      <c r="CB420" s="408"/>
      <c r="CC420" s="408"/>
      <c r="CD420" s="408"/>
      <c r="CE420" s="408"/>
      <c r="CF420" s="408"/>
      <c r="CG420" s="408"/>
      <c r="CH420" s="408"/>
      <c r="CI420" s="408"/>
      <c r="CJ420" s="408"/>
      <c r="CK420" s="408"/>
      <c r="CL420" s="408"/>
      <c r="CM420" s="408"/>
      <c r="CN420" s="408"/>
    </row>
    <row r="421">
      <c r="A421" s="408"/>
      <c r="B421" s="408"/>
      <c r="C421" s="408"/>
      <c r="D421" s="408"/>
      <c r="E421" s="408"/>
      <c r="F421" s="408"/>
      <c r="G421" s="408"/>
      <c r="H421" s="408"/>
      <c r="I421" s="408"/>
      <c r="J421" s="408"/>
      <c r="K421" s="408"/>
      <c r="L421" s="408"/>
      <c r="M421" s="408"/>
      <c r="N421" s="408"/>
      <c r="O421" s="408"/>
      <c r="P421" s="408"/>
      <c r="Q421" s="408"/>
      <c r="R421" s="408"/>
      <c r="S421" s="408"/>
      <c r="T421" s="408"/>
      <c r="U421" s="408"/>
      <c r="V421" s="408"/>
      <c r="W421" s="408"/>
      <c r="X421" s="408"/>
      <c r="Y421" s="408"/>
      <c r="Z421" s="408"/>
      <c r="AA421" s="408"/>
      <c r="AB421" s="408"/>
      <c r="AC421" s="408"/>
      <c r="AD421" s="408"/>
      <c r="AE421" s="408"/>
      <c r="AF421" s="408"/>
      <c r="AG421" s="408"/>
      <c r="AH421" s="408"/>
      <c r="AI421" s="408"/>
      <c r="AJ421" s="408"/>
      <c r="AK421" s="408"/>
      <c r="AL421" s="408"/>
      <c r="AM421" s="408"/>
      <c r="AN421" s="408"/>
      <c r="AO421" s="408"/>
      <c r="AP421" s="408"/>
      <c r="AQ421" s="408"/>
      <c r="AR421" s="408"/>
      <c r="AS421" s="408"/>
      <c r="AT421" s="408"/>
      <c r="AU421" s="408"/>
      <c r="AV421" s="408"/>
      <c r="AW421" s="408"/>
      <c r="AX421" s="408"/>
      <c r="AY421" s="408"/>
      <c r="AZ421" s="408"/>
      <c r="BA421" s="408"/>
      <c r="BB421" s="408"/>
      <c r="BC421" s="408"/>
      <c r="BD421" s="408"/>
      <c r="BE421" s="408"/>
      <c r="BF421" s="408"/>
      <c r="BG421" s="408"/>
      <c r="BH421" s="408"/>
      <c r="BI421" s="408"/>
      <c r="BJ421" s="408"/>
      <c r="BK421" s="408"/>
      <c r="BL421" s="408"/>
      <c r="BM421" s="408"/>
      <c r="BN421" s="408"/>
      <c r="BO421" s="408"/>
      <c r="BP421" s="408"/>
      <c r="BQ421" s="408"/>
      <c r="BR421" s="408"/>
      <c r="BS421" s="408"/>
      <c r="BT421" s="408"/>
      <c r="BU421" s="408"/>
      <c r="BV421" s="408"/>
      <c r="BW421" s="408"/>
      <c r="BX421" s="408"/>
      <c r="BY421" s="408"/>
      <c r="BZ421" s="408"/>
      <c r="CA421" s="408"/>
      <c r="CB421" s="408"/>
      <c r="CC421" s="408"/>
      <c r="CD421" s="408"/>
      <c r="CE421" s="408"/>
      <c r="CF421" s="408"/>
      <c r="CG421" s="408"/>
      <c r="CH421" s="408"/>
      <c r="CI421" s="408"/>
      <c r="CJ421" s="408"/>
      <c r="CK421" s="408"/>
      <c r="CL421" s="408"/>
      <c r="CM421" s="408"/>
      <c r="CN421" s="408"/>
    </row>
    <row r="422">
      <c r="A422" s="408"/>
      <c r="B422" s="408"/>
      <c r="C422" s="408"/>
      <c r="D422" s="408"/>
      <c r="E422" s="408"/>
      <c r="F422" s="408"/>
      <c r="G422" s="408"/>
      <c r="H422" s="408"/>
      <c r="I422" s="408"/>
      <c r="J422" s="408"/>
      <c r="K422" s="408"/>
      <c r="L422" s="408"/>
      <c r="M422" s="408"/>
      <c r="N422" s="408"/>
      <c r="O422" s="408"/>
      <c r="P422" s="408"/>
      <c r="Q422" s="408"/>
      <c r="R422" s="408"/>
      <c r="S422" s="408"/>
      <c r="T422" s="408"/>
      <c r="U422" s="408"/>
      <c r="V422" s="408"/>
      <c r="W422" s="408"/>
      <c r="X422" s="408"/>
      <c r="Y422" s="408"/>
      <c r="Z422" s="408"/>
      <c r="AA422" s="408"/>
      <c r="AB422" s="408"/>
      <c r="AC422" s="408"/>
      <c r="AD422" s="408"/>
      <c r="AE422" s="408"/>
      <c r="AF422" s="408"/>
      <c r="AG422" s="408"/>
      <c r="AH422" s="408"/>
      <c r="AI422" s="408"/>
      <c r="AJ422" s="408"/>
      <c r="AK422" s="408"/>
      <c r="AL422" s="408"/>
      <c r="AM422" s="408"/>
      <c r="AN422" s="408"/>
      <c r="AO422" s="408"/>
      <c r="AP422" s="408"/>
      <c r="AQ422" s="408"/>
      <c r="AR422" s="408"/>
      <c r="AS422" s="408"/>
      <c r="AT422" s="408"/>
      <c r="AU422" s="408"/>
      <c r="AV422" s="408"/>
      <c r="AW422" s="408"/>
      <c r="AX422" s="408"/>
      <c r="AY422" s="408"/>
      <c r="AZ422" s="408"/>
      <c r="BA422" s="408"/>
      <c r="BB422" s="408"/>
      <c r="BC422" s="408"/>
      <c r="BD422" s="408"/>
      <c r="BE422" s="408"/>
      <c r="BF422" s="408"/>
      <c r="BG422" s="408"/>
      <c r="BH422" s="408"/>
      <c r="BI422" s="408"/>
      <c r="BJ422" s="408"/>
      <c r="BK422" s="408"/>
      <c r="BL422" s="408"/>
      <c r="BM422" s="408"/>
      <c r="BN422" s="408"/>
      <c r="BO422" s="408"/>
      <c r="BP422" s="408"/>
      <c r="BQ422" s="408"/>
      <c r="BR422" s="408"/>
      <c r="BS422" s="408"/>
      <c r="BT422" s="408"/>
      <c r="BU422" s="408"/>
      <c r="BV422" s="408"/>
      <c r="BW422" s="408"/>
      <c r="BX422" s="408"/>
      <c r="BY422" s="408"/>
      <c r="BZ422" s="408"/>
      <c r="CA422" s="408"/>
      <c r="CB422" s="408"/>
      <c r="CC422" s="408"/>
      <c r="CD422" s="408"/>
      <c r="CE422" s="408"/>
      <c r="CF422" s="408"/>
      <c r="CG422" s="408"/>
      <c r="CH422" s="408"/>
      <c r="CI422" s="408"/>
      <c r="CJ422" s="408"/>
      <c r="CK422" s="408"/>
      <c r="CL422" s="408"/>
      <c r="CM422" s="408"/>
      <c r="CN422" s="408"/>
    </row>
    <row r="423">
      <c r="A423" s="408"/>
      <c r="B423" s="408"/>
      <c r="C423" s="408"/>
      <c r="D423" s="408"/>
      <c r="E423" s="408"/>
      <c r="F423" s="408"/>
      <c r="G423" s="408"/>
      <c r="H423" s="408"/>
      <c r="I423" s="408"/>
      <c r="J423" s="408"/>
      <c r="K423" s="408"/>
      <c r="L423" s="408"/>
      <c r="M423" s="408"/>
      <c r="N423" s="408"/>
      <c r="O423" s="408"/>
      <c r="P423" s="408"/>
      <c r="Q423" s="408"/>
      <c r="R423" s="408"/>
      <c r="S423" s="408"/>
      <c r="T423" s="408"/>
      <c r="U423" s="408"/>
      <c r="V423" s="408"/>
      <c r="W423" s="408"/>
      <c r="X423" s="408"/>
      <c r="Y423" s="408"/>
      <c r="Z423" s="408"/>
      <c r="AA423" s="408"/>
      <c r="AB423" s="408"/>
      <c r="AC423" s="408"/>
      <c r="AD423" s="408"/>
      <c r="AE423" s="408"/>
      <c r="AF423" s="408"/>
      <c r="AG423" s="408"/>
      <c r="AH423" s="408"/>
      <c r="AI423" s="408"/>
      <c r="AJ423" s="408"/>
      <c r="AK423" s="408"/>
      <c r="AL423" s="408"/>
      <c r="AM423" s="408"/>
      <c r="AN423" s="408"/>
      <c r="AO423" s="408"/>
      <c r="AP423" s="408"/>
      <c r="AQ423" s="408"/>
      <c r="AR423" s="408"/>
      <c r="AS423" s="408"/>
      <c r="AT423" s="408"/>
      <c r="AU423" s="408"/>
      <c r="AV423" s="408"/>
      <c r="AW423" s="408"/>
      <c r="AX423" s="408"/>
      <c r="AY423" s="408"/>
      <c r="AZ423" s="408"/>
      <c r="BA423" s="408"/>
      <c r="BB423" s="408"/>
      <c r="BC423" s="408"/>
      <c r="BD423" s="408"/>
      <c r="BE423" s="408"/>
      <c r="BF423" s="408"/>
      <c r="BG423" s="408"/>
      <c r="BH423" s="408"/>
      <c r="BI423" s="408"/>
      <c r="BJ423" s="408"/>
      <c r="BK423" s="408"/>
      <c r="BL423" s="408"/>
      <c r="BM423" s="408"/>
      <c r="BN423" s="408"/>
      <c r="BO423" s="408"/>
      <c r="BP423" s="408"/>
      <c r="BQ423" s="408"/>
      <c r="BR423" s="408"/>
      <c r="BS423" s="408"/>
      <c r="BT423" s="408"/>
      <c r="BU423" s="408"/>
      <c r="BV423" s="408"/>
      <c r="BW423" s="408"/>
      <c r="BX423" s="408"/>
      <c r="BY423" s="408"/>
      <c r="BZ423" s="408"/>
      <c r="CA423" s="408"/>
      <c r="CB423" s="408"/>
      <c r="CC423" s="408"/>
      <c r="CD423" s="408"/>
      <c r="CE423" s="408"/>
      <c r="CF423" s="408"/>
      <c r="CG423" s="408"/>
      <c r="CH423" s="408"/>
      <c r="CI423" s="408"/>
      <c r="CJ423" s="408"/>
      <c r="CK423" s="408"/>
      <c r="CL423" s="408"/>
      <c r="CM423" s="408"/>
      <c r="CN423" s="408"/>
    </row>
    <row r="424">
      <c r="A424" s="408"/>
      <c r="B424" s="408"/>
      <c r="C424" s="408"/>
      <c r="D424" s="408"/>
      <c r="E424" s="408"/>
      <c r="F424" s="408"/>
      <c r="G424" s="408"/>
      <c r="H424" s="408"/>
      <c r="I424" s="408"/>
      <c r="J424" s="408"/>
      <c r="K424" s="408"/>
      <c r="L424" s="408"/>
      <c r="M424" s="408"/>
      <c r="N424" s="408"/>
      <c r="O424" s="408"/>
      <c r="P424" s="408"/>
      <c r="Q424" s="408"/>
      <c r="R424" s="408"/>
      <c r="S424" s="408"/>
      <c r="T424" s="408"/>
      <c r="U424" s="408"/>
      <c r="V424" s="408"/>
      <c r="W424" s="408"/>
      <c r="X424" s="408"/>
      <c r="Y424" s="408"/>
      <c r="Z424" s="408"/>
      <c r="AA424" s="408"/>
      <c r="AB424" s="408"/>
      <c r="AC424" s="408"/>
      <c r="AD424" s="408"/>
      <c r="AE424" s="408"/>
      <c r="AF424" s="408"/>
      <c r="AG424" s="408"/>
      <c r="AH424" s="408"/>
      <c r="AI424" s="408"/>
      <c r="AJ424" s="408"/>
      <c r="AK424" s="408"/>
      <c r="AL424" s="408"/>
      <c r="AM424" s="408"/>
      <c r="AN424" s="408"/>
      <c r="AO424" s="408"/>
      <c r="AP424" s="408"/>
      <c r="AQ424" s="408"/>
      <c r="AR424" s="408"/>
      <c r="AS424" s="408"/>
      <c r="AT424" s="408"/>
      <c r="AU424" s="408"/>
      <c r="AV424" s="408"/>
      <c r="AW424" s="408"/>
      <c r="AX424" s="408"/>
      <c r="AY424" s="408"/>
      <c r="AZ424" s="408"/>
      <c r="BA424" s="408"/>
      <c r="BB424" s="408"/>
      <c r="BC424" s="408"/>
      <c r="BD424" s="408"/>
      <c r="BE424" s="408"/>
      <c r="BF424" s="408"/>
      <c r="BG424" s="408"/>
      <c r="BH424" s="408"/>
      <c r="BI424" s="408"/>
      <c r="BJ424" s="408"/>
      <c r="BK424" s="408"/>
      <c r="BL424" s="408"/>
      <c r="BM424" s="408"/>
      <c r="BN424" s="408"/>
      <c r="BO424" s="408"/>
      <c r="BP424" s="408"/>
      <c r="BQ424" s="408"/>
      <c r="BR424" s="408"/>
      <c r="BS424" s="408"/>
      <c r="BT424" s="408"/>
      <c r="BU424" s="408"/>
      <c r="BV424" s="408"/>
      <c r="BW424" s="408"/>
      <c r="BX424" s="408"/>
      <c r="BY424" s="408"/>
      <c r="BZ424" s="408"/>
      <c r="CA424" s="408"/>
      <c r="CB424" s="408"/>
      <c r="CC424" s="408"/>
      <c r="CD424" s="408"/>
      <c r="CE424" s="408"/>
      <c r="CF424" s="408"/>
      <c r="CG424" s="408"/>
      <c r="CH424" s="408"/>
      <c r="CI424" s="408"/>
      <c r="CJ424" s="408"/>
      <c r="CK424" s="408"/>
      <c r="CL424" s="408"/>
      <c r="CM424" s="408"/>
      <c r="CN424" s="408"/>
    </row>
    <row r="425">
      <c r="A425" s="408"/>
      <c r="B425" s="408"/>
      <c r="C425" s="408"/>
      <c r="D425" s="408"/>
      <c r="E425" s="408"/>
      <c r="F425" s="408"/>
      <c r="G425" s="408"/>
      <c r="H425" s="408"/>
      <c r="I425" s="408"/>
      <c r="J425" s="408"/>
      <c r="K425" s="408"/>
      <c r="L425" s="408"/>
      <c r="M425" s="408"/>
      <c r="N425" s="408"/>
      <c r="O425" s="408"/>
      <c r="P425" s="408"/>
      <c r="Q425" s="408"/>
      <c r="R425" s="408"/>
      <c r="S425" s="408"/>
      <c r="T425" s="408"/>
      <c r="U425" s="408"/>
      <c r="V425" s="408"/>
      <c r="W425" s="408"/>
      <c r="X425" s="408"/>
      <c r="Y425" s="408"/>
      <c r="Z425" s="408"/>
      <c r="AA425" s="408"/>
      <c r="AB425" s="408"/>
      <c r="AC425" s="408"/>
      <c r="AD425" s="408"/>
      <c r="AE425" s="408"/>
      <c r="AF425" s="408"/>
      <c r="AG425" s="408"/>
      <c r="AH425" s="408"/>
      <c r="AI425" s="408"/>
      <c r="AJ425" s="408"/>
      <c r="AK425" s="408"/>
      <c r="AL425" s="408"/>
      <c r="AM425" s="408"/>
      <c r="AN425" s="408"/>
      <c r="AO425" s="408"/>
      <c r="AP425" s="408"/>
      <c r="AQ425" s="408"/>
      <c r="AR425" s="408"/>
      <c r="AS425" s="408"/>
      <c r="AT425" s="408"/>
      <c r="AU425" s="408"/>
      <c r="AV425" s="408"/>
      <c r="AW425" s="408"/>
      <c r="AX425" s="408"/>
      <c r="AY425" s="408"/>
      <c r="AZ425" s="408"/>
      <c r="BA425" s="408"/>
      <c r="BB425" s="408"/>
      <c r="BC425" s="408"/>
      <c r="BD425" s="408"/>
      <c r="BE425" s="408"/>
      <c r="BF425" s="408"/>
      <c r="BG425" s="408"/>
      <c r="BH425" s="408"/>
      <c r="BI425" s="408"/>
      <c r="BJ425" s="408"/>
      <c r="BK425" s="408"/>
      <c r="BL425" s="408"/>
      <c r="BM425" s="408"/>
      <c r="BN425" s="408"/>
      <c r="BO425" s="408"/>
      <c r="BP425" s="408"/>
      <c r="BQ425" s="408"/>
      <c r="BR425" s="408"/>
      <c r="BS425" s="408"/>
      <c r="BT425" s="408"/>
      <c r="BU425" s="408"/>
      <c r="BV425" s="408"/>
      <c r="BW425" s="408"/>
      <c r="BX425" s="408"/>
      <c r="BY425" s="408"/>
      <c r="BZ425" s="408"/>
      <c r="CA425" s="408"/>
      <c r="CB425" s="408"/>
      <c r="CC425" s="408"/>
      <c r="CD425" s="408"/>
      <c r="CE425" s="408"/>
      <c r="CF425" s="408"/>
      <c r="CG425" s="408"/>
      <c r="CH425" s="408"/>
      <c r="CI425" s="408"/>
      <c r="CJ425" s="408"/>
      <c r="CK425" s="408"/>
      <c r="CL425" s="408"/>
      <c r="CM425" s="408"/>
      <c r="CN425" s="408"/>
    </row>
    <row r="426">
      <c r="A426" s="408"/>
      <c r="B426" s="408"/>
      <c r="C426" s="408"/>
      <c r="D426" s="408"/>
      <c r="E426" s="408"/>
      <c r="F426" s="408"/>
      <c r="G426" s="408"/>
      <c r="H426" s="408"/>
      <c r="I426" s="408"/>
      <c r="J426" s="408"/>
      <c r="K426" s="408"/>
      <c r="L426" s="408"/>
      <c r="M426" s="408"/>
      <c r="N426" s="408"/>
      <c r="O426" s="408"/>
      <c r="P426" s="408"/>
      <c r="Q426" s="408"/>
      <c r="R426" s="408"/>
      <c r="S426" s="408"/>
      <c r="T426" s="408"/>
      <c r="U426" s="408"/>
      <c r="V426" s="408"/>
      <c r="W426" s="408"/>
      <c r="X426" s="408"/>
      <c r="Y426" s="408"/>
      <c r="Z426" s="408"/>
      <c r="AA426" s="408"/>
      <c r="AB426" s="408"/>
      <c r="AC426" s="408"/>
      <c r="AD426" s="408"/>
      <c r="AE426" s="408"/>
      <c r="AF426" s="408"/>
      <c r="AG426" s="408"/>
      <c r="AH426" s="408"/>
      <c r="AI426" s="408"/>
      <c r="AJ426" s="408"/>
      <c r="AK426" s="408"/>
      <c r="AL426" s="408"/>
      <c r="AM426" s="408"/>
      <c r="AN426" s="408"/>
      <c r="AO426" s="408"/>
      <c r="AP426" s="408"/>
      <c r="AQ426" s="408"/>
      <c r="AR426" s="408"/>
      <c r="AS426" s="408"/>
      <c r="AT426" s="408"/>
      <c r="AU426" s="408"/>
      <c r="AV426" s="408"/>
      <c r="AW426" s="408"/>
      <c r="AX426" s="408"/>
      <c r="AY426" s="408"/>
      <c r="AZ426" s="408"/>
      <c r="BA426" s="408"/>
      <c r="BB426" s="408"/>
      <c r="BC426" s="408"/>
      <c r="BD426" s="408"/>
      <c r="BE426" s="408"/>
      <c r="BF426" s="408"/>
      <c r="BG426" s="408"/>
      <c r="BH426" s="408"/>
      <c r="BI426" s="408"/>
      <c r="BJ426" s="408"/>
      <c r="BK426" s="408"/>
      <c r="BL426" s="408"/>
      <c r="BM426" s="408"/>
      <c r="BN426" s="408"/>
      <c r="BO426" s="408"/>
      <c r="BP426" s="408"/>
      <c r="BQ426" s="408"/>
      <c r="BR426" s="408"/>
      <c r="BS426" s="408"/>
      <c r="BT426" s="408"/>
      <c r="BU426" s="408"/>
      <c r="BV426" s="408"/>
      <c r="BW426" s="408"/>
      <c r="BX426" s="408"/>
      <c r="BY426" s="408"/>
      <c r="BZ426" s="408"/>
      <c r="CA426" s="408"/>
      <c r="CB426" s="408"/>
      <c r="CC426" s="408"/>
      <c r="CD426" s="408"/>
      <c r="CE426" s="408"/>
      <c r="CF426" s="408"/>
      <c r="CG426" s="408"/>
      <c r="CH426" s="408"/>
      <c r="CI426" s="408"/>
      <c r="CJ426" s="408"/>
      <c r="CK426" s="408"/>
      <c r="CL426" s="408"/>
      <c r="CM426" s="408"/>
      <c r="CN426" s="408"/>
    </row>
    <row r="427">
      <c r="A427" s="408"/>
      <c r="B427" s="408"/>
      <c r="C427" s="408"/>
      <c r="D427" s="408"/>
      <c r="E427" s="408"/>
      <c r="F427" s="408"/>
      <c r="G427" s="408"/>
      <c r="H427" s="408"/>
      <c r="I427" s="408"/>
      <c r="J427" s="408"/>
      <c r="K427" s="408"/>
      <c r="L427" s="408"/>
      <c r="M427" s="408"/>
      <c r="N427" s="408"/>
      <c r="O427" s="408"/>
      <c r="P427" s="408"/>
      <c r="Q427" s="408"/>
      <c r="R427" s="408"/>
      <c r="S427" s="408"/>
      <c r="T427" s="408"/>
      <c r="U427" s="408"/>
      <c r="V427" s="408"/>
      <c r="W427" s="408"/>
      <c r="X427" s="408"/>
      <c r="Y427" s="408"/>
      <c r="Z427" s="408"/>
      <c r="AA427" s="408"/>
      <c r="AB427" s="408"/>
      <c r="AC427" s="408"/>
      <c r="AD427" s="408"/>
      <c r="AE427" s="408"/>
      <c r="AF427" s="408"/>
      <c r="AG427" s="408"/>
      <c r="AH427" s="408"/>
      <c r="AI427" s="408"/>
      <c r="AJ427" s="408"/>
      <c r="AK427" s="408"/>
      <c r="AL427" s="408"/>
      <c r="AM427" s="408"/>
      <c r="AN427" s="408"/>
      <c r="AO427" s="408"/>
      <c r="AP427" s="408"/>
      <c r="AQ427" s="408"/>
      <c r="AR427" s="408"/>
      <c r="AS427" s="408"/>
      <c r="AT427" s="408"/>
      <c r="AU427" s="408"/>
      <c r="AV427" s="408"/>
      <c r="AW427" s="408"/>
      <c r="AX427" s="408"/>
      <c r="AY427" s="408"/>
      <c r="AZ427" s="408"/>
      <c r="BA427" s="408"/>
      <c r="BB427" s="408"/>
      <c r="BC427" s="408"/>
      <c r="BD427" s="408"/>
      <c r="BE427" s="408"/>
      <c r="BF427" s="408"/>
      <c r="BG427" s="408"/>
      <c r="BH427" s="408"/>
      <c r="BI427" s="408"/>
      <c r="BJ427" s="408"/>
      <c r="BK427" s="408"/>
      <c r="BL427" s="408"/>
      <c r="BM427" s="408"/>
      <c r="BN427" s="408"/>
      <c r="BO427" s="408"/>
      <c r="BP427" s="408"/>
      <c r="BQ427" s="408"/>
      <c r="BR427" s="408"/>
      <c r="BS427" s="408"/>
      <c r="BT427" s="408"/>
      <c r="BU427" s="408"/>
      <c r="BV427" s="408"/>
      <c r="BW427" s="408"/>
      <c r="BX427" s="408"/>
      <c r="BY427" s="408"/>
      <c r="BZ427" s="408"/>
      <c r="CA427" s="408"/>
      <c r="CB427" s="408"/>
      <c r="CC427" s="408"/>
      <c r="CD427" s="408"/>
      <c r="CE427" s="408"/>
      <c r="CF427" s="408"/>
      <c r="CG427" s="408"/>
      <c r="CH427" s="408"/>
      <c r="CI427" s="408"/>
      <c r="CJ427" s="408"/>
      <c r="CK427" s="408"/>
      <c r="CL427" s="408"/>
      <c r="CM427" s="408"/>
      <c r="CN427" s="408"/>
    </row>
    <row r="428">
      <c r="A428" s="408"/>
      <c r="B428" s="408"/>
      <c r="C428" s="408"/>
      <c r="D428" s="408"/>
      <c r="E428" s="408"/>
      <c r="F428" s="408"/>
      <c r="G428" s="408"/>
      <c r="H428" s="408"/>
      <c r="I428" s="408"/>
      <c r="J428" s="408"/>
      <c r="K428" s="408"/>
      <c r="L428" s="408"/>
      <c r="M428" s="408"/>
      <c r="N428" s="408"/>
      <c r="O428" s="408"/>
      <c r="P428" s="408"/>
      <c r="Q428" s="408"/>
      <c r="R428" s="408"/>
      <c r="S428" s="408"/>
      <c r="T428" s="408"/>
      <c r="U428" s="408"/>
      <c r="V428" s="408"/>
      <c r="W428" s="408"/>
      <c r="X428" s="408"/>
      <c r="Y428" s="408"/>
      <c r="Z428" s="408"/>
      <c r="AA428" s="408"/>
      <c r="AB428" s="408"/>
      <c r="AC428" s="408"/>
      <c r="AD428" s="408"/>
      <c r="AE428" s="408"/>
      <c r="AF428" s="408"/>
      <c r="AG428" s="408"/>
      <c r="AH428" s="408"/>
      <c r="AI428" s="408"/>
      <c r="AJ428" s="408"/>
      <c r="AK428" s="408"/>
      <c r="AL428" s="408"/>
      <c r="AM428" s="408"/>
      <c r="AN428" s="408"/>
      <c r="AO428" s="408"/>
      <c r="AP428" s="408"/>
      <c r="AQ428" s="408"/>
      <c r="AR428" s="408"/>
      <c r="AS428" s="408"/>
      <c r="AT428" s="408"/>
      <c r="AU428" s="408"/>
      <c r="AV428" s="408"/>
      <c r="AW428" s="408"/>
      <c r="AX428" s="408"/>
      <c r="AY428" s="408"/>
      <c r="AZ428" s="408"/>
      <c r="BA428" s="408"/>
      <c r="BB428" s="408"/>
      <c r="BC428" s="408"/>
      <c r="BD428" s="408"/>
      <c r="BE428" s="408"/>
      <c r="BF428" s="408"/>
      <c r="BG428" s="408"/>
      <c r="BH428" s="408"/>
      <c r="BI428" s="408"/>
      <c r="BJ428" s="408"/>
      <c r="BK428" s="408"/>
      <c r="BL428" s="408"/>
      <c r="BM428" s="408"/>
      <c r="BN428" s="408"/>
      <c r="BO428" s="408"/>
      <c r="BP428" s="408"/>
      <c r="BQ428" s="408"/>
      <c r="BR428" s="408"/>
      <c r="BS428" s="408"/>
      <c r="BT428" s="408"/>
      <c r="BU428" s="408"/>
      <c r="BV428" s="408"/>
      <c r="BW428" s="408"/>
      <c r="BX428" s="408"/>
      <c r="BY428" s="408"/>
      <c r="BZ428" s="408"/>
      <c r="CA428" s="408"/>
      <c r="CB428" s="408"/>
      <c r="CC428" s="408"/>
      <c r="CD428" s="408"/>
      <c r="CE428" s="408"/>
      <c r="CF428" s="408"/>
      <c r="CG428" s="408"/>
      <c r="CH428" s="408"/>
      <c r="CI428" s="408"/>
      <c r="CJ428" s="408"/>
      <c r="CK428" s="408"/>
      <c r="CL428" s="408"/>
      <c r="CM428" s="408"/>
      <c r="CN428" s="408"/>
    </row>
    <row r="429">
      <c r="A429" s="408"/>
      <c r="B429" s="408"/>
      <c r="C429" s="408"/>
      <c r="D429" s="408"/>
      <c r="E429" s="408"/>
      <c r="F429" s="408"/>
      <c r="G429" s="408"/>
      <c r="H429" s="408"/>
      <c r="I429" s="408"/>
      <c r="J429" s="408"/>
      <c r="K429" s="408"/>
      <c r="L429" s="408"/>
      <c r="M429" s="408"/>
      <c r="N429" s="408"/>
      <c r="O429" s="408"/>
      <c r="P429" s="408"/>
      <c r="Q429" s="408"/>
      <c r="R429" s="408"/>
      <c r="S429" s="408"/>
      <c r="T429" s="408"/>
      <c r="U429" s="408"/>
      <c r="V429" s="408"/>
      <c r="W429" s="408"/>
      <c r="X429" s="408"/>
      <c r="Y429" s="408"/>
      <c r="Z429" s="408"/>
      <c r="AA429" s="408"/>
      <c r="AB429" s="408"/>
      <c r="AC429" s="408"/>
      <c r="AD429" s="408"/>
      <c r="AE429" s="408"/>
      <c r="AF429" s="408"/>
      <c r="AG429" s="408"/>
      <c r="AH429" s="408"/>
      <c r="AI429" s="408"/>
      <c r="AJ429" s="408"/>
      <c r="AK429" s="408"/>
      <c r="AL429" s="408"/>
      <c r="AM429" s="408"/>
      <c r="AN429" s="408"/>
      <c r="AO429" s="408"/>
      <c r="AP429" s="408"/>
      <c r="AQ429" s="408"/>
      <c r="AR429" s="408"/>
      <c r="AS429" s="408"/>
      <c r="AT429" s="408"/>
      <c r="AU429" s="408"/>
      <c r="AV429" s="408"/>
      <c r="AW429" s="408"/>
      <c r="AX429" s="408"/>
      <c r="AY429" s="408"/>
      <c r="AZ429" s="408"/>
      <c r="BA429" s="408"/>
      <c r="BB429" s="408"/>
      <c r="BC429" s="408"/>
      <c r="BD429" s="408"/>
      <c r="BE429" s="408"/>
      <c r="BF429" s="408"/>
      <c r="BG429" s="408"/>
      <c r="BH429" s="408"/>
      <c r="BI429" s="408"/>
      <c r="BJ429" s="408"/>
      <c r="BK429" s="408"/>
      <c r="BL429" s="408"/>
      <c r="BM429" s="408"/>
      <c r="BN429" s="408"/>
      <c r="BO429" s="408"/>
      <c r="BP429" s="408"/>
      <c r="BQ429" s="408"/>
      <c r="BR429" s="408"/>
      <c r="BS429" s="408"/>
      <c r="BT429" s="408"/>
      <c r="BU429" s="408"/>
      <c r="BV429" s="408"/>
      <c r="BW429" s="408"/>
      <c r="BX429" s="408"/>
      <c r="BY429" s="408"/>
      <c r="BZ429" s="408"/>
      <c r="CA429" s="408"/>
      <c r="CB429" s="408"/>
      <c r="CC429" s="408"/>
      <c r="CD429" s="408"/>
      <c r="CE429" s="408"/>
      <c r="CF429" s="408"/>
      <c r="CG429" s="408"/>
      <c r="CH429" s="408"/>
      <c r="CI429" s="408"/>
      <c r="CJ429" s="408"/>
      <c r="CK429" s="408"/>
      <c r="CL429" s="408"/>
      <c r="CM429" s="408"/>
      <c r="CN429" s="408"/>
    </row>
    <row r="430">
      <c r="A430" s="408"/>
      <c r="B430" s="408"/>
      <c r="C430" s="408"/>
      <c r="D430" s="408"/>
      <c r="E430" s="408"/>
      <c r="F430" s="408"/>
      <c r="G430" s="408"/>
      <c r="H430" s="408"/>
      <c r="I430" s="408"/>
      <c r="J430" s="408"/>
      <c r="K430" s="408"/>
      <c r="L430" s="408"/>
      <c r="M430" s="408"/>
      <c r="N430" s="408"/>
      <c r="O430" s="408"/>
      <c r="P430" s="408"/>
      <c r="Q430" s="408"/>
      <c r="R430" s="408"/>
      <c r="S430" s="408"/>
      <c r="T430" s="408"/>
      <c r="U430" s="408"/>
      <c r="V430" s="408"/>
      <c r="W430" s="408"/>
      <c r="X430" s="408"/>
      <c r="Y430" s="408"/>
      <c r="Z430" s="408"/>
      <c r="AA430" s="408"/>
      <c r="AB430" s="408"/>
      <c r="AC430" s="408"/>
      <c r="AD430" s="408"/>
      <c r="AE430" s="408"/>
      <c r="AF430" s="408"/>
      <c r="AG430" s="408"/>
      <c r="AH430" s="408"/>
      <c r="AI430" s="408"/>
      <c r="AJ430" s="408"/>
      <c r="AK430" s="408"/>
      <c r="AL430" s="408"/>
      <c r="AM430" s="408"/>
      <c r="AN430" s="408"/>
      <c r="AO430" s="408"/>
      <c r="AP430" s="408"/>
      <c r="AQ430" s="408"/>
      <c r="AR430" s="408"/>
      <c r="AS430" s="408"/>
      <c r="AT430" s="408"/>
      <c r="AU430" s="408"/>
      <c r="AV430" s="408"/>
      <c r="AW430" s="408"/>
      <c r="AX430" s="408"/>
      <c r="AY430" s="408"/>
      <c r="AZ430" s="408"/>
      <c r="BA430" s="408"/>
      <c r="BB430" s="408"/>
      <c r="BC430" s="408"/>
      <c r="BD430" s="408"/>
      <c r="BE430" s="408"/>
      <c r="BF430" s="408"/>
      <c r="BG430" s="408"/>
      <c r="BH430" s="408"/>
      <c r="BI430" s="408"/>
      <c r="BJ430" s="408"/>
      <c r="BK430" s="408"/>
      <c r="BL430" s="408"/>
      <c r="BM430" s="408"/>
      <c r="BN430" s="408"/>
      <c r="BO430" s="408"/>
      <c r="BP430" s="408"/>
      <c r="BQ430" s="408"/>
      <c r="BR430" s="408"/>
      <c r="BS430" s="408"/>
      <c r="BT430" s="408"/>
      <c r="BU430" s="408"/>
      <c r="BV430" s="408"/>
      <c r="BW430" s="408"/>
      <c r="BX430" s="408"/>
      <c r="BY430" s="408"/>
      <c r="BZ430" s="408"/>
      <c r="CA430" s="408"/>
      <c r="CB430" s="408"/>
      <c r="CC430" s="408"/>
      <c r="CD430" s="408"/>
      <c r="CE430" s="408"/>
      <c r="CF430" s="408"/>
      <c r="CG430" s="408"/>
      <c r="CH430" s="408"/>
      <c r="CI430" s="408"/>
      <c r="CJ430" s="408"/>
      <c r="CK430" s="408"/>
      <c r="CL430" s="408"/>
      <c r="CM430" s="408"/>
      <c r="CN430" s="408"/>
    </row>
    <row r="431">
      <c r="A431" s="408"/>
      <c r="B431" s="408"/>
      <c r="C431" s="408"/>
      <c r="D431" s="408"/>
      <c r="E431" s="408"/>
      <c r="F431" s="408"/>
      <c r="G431" s="408"/>
      <c r="H431" s="408"/>
      <c r="I431" s="408"/>
      <c r="J431" s="408"/>
      <c r="K431" s="408"/>
      <c r="L431" s="408"/>
      <c r="M431" s="408"/>
      <c r="N431" s="408"/>
      <c r="O431" s="408"/>
      <c r="P431" s="408"/>
      <c r="Q431" s="408"/>
      <c r="R431" s="408"/>
      <c r="S431" s="408"/>
      <c r="T431" s="408"/>
      <c r="U431" s="408"/>
      <c r="V431" s="408"/>
      <c r="W431" s="408"/>
      <c r="X431" s="408"/>
      <c r="Y431" s="408"/>
      <c r="Z431" s="408"/>
      <c r="AA431" s="408"/>
      <c r="AB431" s="408"/>
      <c r="AC431" s="408"/>
      <c r="AD431" s="408"/>
      <c r="AE431" s="408"/>
      <c r="AF431" s="408"/>
      <c r="AG431" s="408"/>
      <c r="AH431" s="408"/>
      <c r="AI431" s="408"/>
      <c r="AJ431" s="408"/>
      <c r="AK431" s="408"/>
      <c r="AL431" s="408"/>
      <c r="AM431" s="408"/>
      <c r="AN431" s="408"/>
      <c r="AO431" s="408"/>
      <c r="AP431" s="408"/>
      <c r="AQ431" s="408"/>
      <c r="AR431" s="408"/>
      <c r="AS431" s="408"/>
      <c r="AT431" s="408"/>
      <c r="AU431" s="408"/>
      <c r="AV431" s="408"/>
      <c r="AW431" s="408"/>
      <c r="AX431" s="408"/>
      <c r="AY431" s="408"/>
      <c r="AZ431" s="408"/>
      <c r="BA431" s="408"/>
      <c r="BB431" s="408"/>
      <c r="BC431" s="408"/>
      <c r="BD431" s="408"/>
      <c r="BE431" s="408"/>
      <c r="BF431" s="408"/>
      <c r="BG431" s="408"/>
      <c r="BH431" s="408"/>
      <c r="BI431" s="408"/>
      <c r="BJ431" s="408"/>
      <c r="BK431" s="408"/>
      <c r="BL431" s="408"/>
      <c r="BM431" s="408"/>
      <c r="BN431" s="408"/>
      <c r="BO431" s="408"/>
      <c r="BP431" s="408"/>
      <c r="BQ431" s="408"/>
      <c r="BR431" s="408"/>
      <c r="BS431" s="408"/>
      <c r="BT431" s="408"/>
      <c r="BU431" s="408"/>
      <c r="BV431" s="408"/>
      <c r="BW431" s="408"/>
      <c r="BX431" s="408"/>
      <c r="BY431" s="408"/>
      <c r="BZ431" s="408"/>
      <c r="CA431" s="408"/>
      <c r="CB431" s="408"/>
      <c r="CC431" s="408"/>
      <c r="CD431" s="408"/>
      <c r="CE431" s="408"/>
      <c r="CF431" s="408"/>
      <c r="CG431" s="408"/>
      <c r="CH431" s="408"/>
      <c r="CI431" s="408"/>
      <c r="CJ431" s="408"/>
      <c r="CK431" s="408"/>
      <c r="CL431" s="408"/>
      <c r="CM431" s="408"/>
      <c r="CN431" s="408"/>
    </row>
    <row r="432">
      <c r="A432" s="408"/>
      <c r="B432" s="408"/>
      <c r="C432" s="408"/>
      <c r="D432" s="408"/>
      <c r="E432" s="408"/>
      <c r="F432" s="408"/>
      <c r="G432" s="408"/>
      <c r="H432" s="408"/>
      <c r="I432" s="408"/>
      <c r="J432" s="408"/>
      <c r="K432" s="408"/>
      <c r="L432" s="408"/>
      <c r="M432" s="408"/>
      <c r="N432" s="408"/>
      <c r="O432" s="408"/>
      <c r="P432" s="408"/>
      <c r="Q432" s="408"/>
      <c r="R432" s="408"/>
      <c r="S432" s="408"/>
      <c r="T432" s="408"/>
      <c r="U432" s="408"/>
      <c r="V432" s="408"/>
      <c r="W432" s="408"/>
      <c r="X432" s="408"/>
      <c r="Y432" s="408"/>
      <c r="Z432" s="408"/>
      <c r="AA432" s="408"/>
      <c r="AB432" s="408"/>
      <c r="AC432" s="408"/>
      <c r="AD432" s="408"/>
      <c r="AE432" s="408"/>
      <c r="AF432" s="408"/>
      <c r="AG432" s="408"/>
      <c r="AH432" s="408"/>
      <c r="AI432" s="408"/>
      <c r="AJ432" s="408"/>
      <c r="AK432" s="408"/>
      <c r="AL432" s="408"/>
      <c r="AM432" s="408"/>
      <c r="AN432" s="408"/>
      <c r="AO432" s="408"/>
      <c r="AP432" s="408"/>
      <c r="AQ432" s="408"/>
      <c r="AR432" s="408"/>
      <c r="AS432" s="408"/>
      <c r="AT432" s="408"/>
      <c r="AU432" s="408"/>
      <c r="AV432" s="408"/>
      <c r="AW432" s="408"/>
      <c r="AX432" s="408"/>
      <c r="AY432" s="408"/>
      <c r="AZ432" s="408"/>
      <c r="BA432" s="408"/>
      <c r="BB432" s="408"/>
      <c r="BC432" s="408"/>
      <c r="BD432" s="408"/>
      <c r="BE432" s="408"/>
      <c r="BF432" s="408"/>
      <c r="BG432" s="408"/>
      <c r="BH432" s="408"/>
      <c r="BI432" s="408"/>
      <c r="BJ432" s="408"/>
      <c r="BK432" s="408"/>
      <c r="BL432" s="408"/>
      <c r="BM432" s="408"/>
      <c r="BN432" s="408"/>
      <c r="BO432" s="408"/>
      <c r="BP432" s="408"/>
      <c r="BQ432" s="408"/>
      <c r="BR432" s="408"/>
      <c r="BS432" s="408"/>
      <c r="BT432" s="408"/>
      <c r="BU432" s="408"/>
      <c r="BV432" s="408"/>
      <c r="BW432" s="408"/>
      <c r="BX432" s="408"/>
      <c r="BY432" s="408"/>
      <c r="BZ432" s="408"/>
      <c r="CA432" s="408"/>
      <c r="CB432" s="408"/>
      <c r="CC432" s="408"/>
      <c r="CD432" s="408"/>
      <c r="CE432" s="408"/>
      <c r="CF432" s="408"/>
      <c r="CG432" s="408"/>
      <c r="CH432" s="408"/>
      <c r="CI432" s="408"/>
      <c r="CJ432" s="408"/>
      <c r="CK432" s="408"/>
      <c r="CL432" s="408"/>
      <c r="CM432" s="408"/>
      <c r="CN432" s="408"/>
    </row>
    <row r="433">
      <c r="A433" s="408"/>
      <c r="B433" s="408"/>
      <c r="C433" s="408"/>
      <c r="D433" s="408"/>
      <c r="E433" s="408"/>
      <c r="F433" s="408"/>
      <c r="G433" s="408"/>
      <c r="H433" s="408"/>
      <c r="I433" s="408"/>
      <c r="J433" s="408"/>
      <c r="K433" s="408"/>
      <c r="L433" s="408"/>
      <c r="M433" s="408"/>
      <c r="N433" s="408"/>
      <c r="O433" s="408"/>
      <c r="P433" s="408"/>
      <c r="Q433" s="408"/>
      <c r="R433" s="408"/>
      <c r="S433" s="408"/>
      <c r="T433" s="408"/>
      <c r="U433" s="408"/>
      <c r="V433" s="408"/>
      <c r="W433" s="408"/>
      <c r="X433" s="408"/>
      <c r="Y433" s="408"/>
      <c r="Z433" s="408"/>
      <c r="AA433" s="408"/>
      <c r="AB433" s="408"/>
      <c r="AC433" s="408"/>
      <c r="AD433" s="408"/>
      <c r="AE433" s="408"/>
      <c r="AF433" s="408"/>
      <c r="AG433" s="408"/>
      <c r="AH433" s="408"/>
      <c r="AI433" s="408"/>
      <c r="AJ433" s="408"/>
      <c r="AK433" s="408"/>
      <c r="AL433" s="408"/>
      <c r="AM433" s="408"/>
      <c r="AN433" s="408"/>
      <c r="AO433" s="408"/>
      <c r="AP433" s="408"/>
      <c r="AQ433" s="408"/>
      <c r="AR433" s="408"/>
      <c r="AS433" s="408"/>
      <c r="AT433" s="408"/>
      <c r="AU433" s="408"/>
      <c r="AV433" s="408"/>
      <c r="AW433" s="408"/>
      <c r="AX433" s="408"/>
      <c r="AY433" s="408"/>
      <c r="AZ433" s="408"/>
      <c r="BA433" s="408"/>
      <c r="BB433" s="408"/>
      <c r="BC433" s="408"/>
      <c r="BD433" s="408"/>
      <c r="BE433" s="408"/>
      <c r="BF433" s="408"/>
      <c r="BG433" s="408"/>
      <c r="BH433" s="408"/>
      <c r="BI433" s="408"/>
      <c r="BJ433" s="408"/>
      <c r="BK433" s="408"/>
      <c r="BL433" s="408"/>
      <c r="BM433" s="408"/>
      <c r="BN433" s="408"/>
      <c r="BO433" s="408"/>
      <c r="BP433" s="408"/>
      <c r="BQ433" s="408"/>
      <c r="BR433" s="408"/>
      <c r="BS433" s="408"/>
      <c r="BT433" s="408"/>
      <c r="BU433" s="408"/>
      <c r="BV433" s="408"/>
      <c r="BW433" s="408"/>
      <c r="BX433" s="408"/>
      <c r="BY433" s="408"/>
      <c r="BZ433" s="408"/>
      <c r="CA433" s="408"/>
      <c r="CB433" s="408"/>
      <c r="CC433" s="408"/>
      <c r="CD433" s="408"/>
      <c r="CE433" s="408"/>
      <c r="CF433" s="408"/>
      <c r="CG433" s="408"/>
      <c r="CH433" s="408"/>
      <c r="CI433" s="408"/>
      <c r="CJ433" s="408"/>
      <c r="CK433" s="408"/>
      <c r="CL433" s="408"/>
      <c r="CM433" s="408"/>
      <c r="CN433" s="408"/>
    </row>
    <row r="434">
      <c r="A434" s="408"/>
      <c r="B434" s="408"/>
      <c r="C434" s="408"/>
      <c r="D434" s="408"/>
      <c r="E434" s="408"/>
      <c r="F434" s="408"/>
      <c r="G434" s="408"/>
      <c r="H434" s="408"/>
      <c r="I434" s="408"/>
      <c r="J434" s="408"/>
      <c r="K434" s="408"/>
      <c r="L434" s="408"/>
      <c r="M434" s="408"/>
      <c r="N434" s="408"/>
      <c r="O434" s="408"/>
      <c r="P434" s="408"/>
      <c r="Q434" s="408"/>
      <c r="R434" s="408"/>
      <c r="S434" s="408"/>
      <c r="T434" s="408"/>
      <c r="U434" s="408"/>
      <c r="V434" s="408"/>
      <c r="W434" s="408"/>
      <c r="X434" s="408"/>
      <c r="Y434" s="408"/>
      <c r="Z434" s="408"/>
      <c r="AA434" s="408"/>
      <c r="AB434" s="408"/>
      <c r="AC434" s="408"/>
      <c r="AD434" s="408"/>
      <c r="AE434" s="408"/>
      <c r="AF434" s="408"/>
      <c r="AG434" s="408"/>
      <c r="AH434" s="408"/>
      <c r="AI434" s="408"/>
      <c r="AJ434" s="408"/>
      <c r="AK434" s="408"/>
      <c r="AL434" s="408"/>
      <c r="AM434" s="408"/>
      <c r="AN434" s="408"/>
      <c r="AO434" s="408"/>
      <c r="AP434" s="408"/>
      <c r="AQ434" s="408"/>
      <c r="AR434" s="408"/>
      <c r="AS434" s="408"/>
      <c r="AT434" s="408"/>
      <c r="AU434" s="408"/>
      <c r="AV434" s="408"/>
      <c r="AW434" s="408"/>
      <c r="AX434" s="408"/>
      <c r="AY434" s="408"/>
      <c r="AZ434" s="408"/>
      <c r="BA434" s="408"/>
      <c r="BB434" s="408"/>
      <c r="BC434" s="408"/>
      <c r="BD434" s="408"/>
      <c r="BE434" s="408"/>
      <c r="BF434" s="408"/>
      <c r="BG434" s="408"/>
      <c r="BH434" s="408"/>
      <c r="BI434" s="408"/>
      <c r="BJ434" s="408"/>
      <c r="BK434" s="408"/>
      <c r="BL434" s="408"/>
      <c r="BM434" s="408"/>
      <c r="BN434" s="408"/>
      <c r="BO434" s="408"/>
      <c r="BP434" s="408"/>
      <c r="BQ434" s="408"/>
      <c r="BR434" s="408"/>
      <c r="BS434" s="408"/>
      <c r="BT434" s="408"/>
      <c r="BU434" s="408"/>
      <c r="BV434" s="408"/>
      <c r="BW434" s="408"/>
      <c r="BX434" s="408"/>
      <c r="BY434" s="408"/>
      <c r="BZ434" s="408"/>
      <c r="CA434" s="408"/>
      <c r="CB434" s="408"/>
      <c r="CC434" s="408"/>
      <c r="CD434" s="408"/>
      <c r="CE434" s="408"/>
      <c r="CF434" s="408"/>
      <c r="CG434" s="408"/>
      <c r="CH434" s="408"/>
      <c r="CI434" s="408"/>
      <c r="CJ434" s="408"/>
      <c r="CK434" s="408"/>
      <c r="CL434" s="408"/>
      <c r="CM434" s="408"/>
      <c r="CN434" s="408"/>
    </row>
    <row r="435">
      <c r="A435" s="408"/>
      <c r="B435" s="408"/>
      <c r="C435" s="408"/>
      <c r="D435" s="408"/>
      <c r="E435" s="408"/>
      <c r="F435" s="408"/>
      <c r="G435" s="408"/>
      <c r="H435" s="408"/>
      <c r="I435" s="408"/>
      <c r="J435" s="408"/>
      <c r="K435" s="408"/>
      <c r="L435" s="408"/>
      <c r="M435" s="408"/>
      <c r="N435" s="408"/>
      <c r="O435" s="408"/>
      <c r="P435" s="408"/>
      <c r="Q435" s="408"/>
      <c r="R435" s="408"/>
      <c r="S435" s="408"/>
      <c r="T435" s="408"/>
      <c r="U435" s="408"/>
      <c r="V435" s="408"/>
      <c r="W435" s="408"/>
      <c r="X435" s="408"/>
      <c r="Y435" s="408"/>
      <c r="Z435" s="408"/>
      <c r="AA435" s="408"/>
      <c r="AB435" s="408"/>
      <c r="AC435" s="408"/>
      <c r="AD435" s="408"/>
      <c r="AE435" s="408"/>
      <c r="AF435" s="408"/>
      <c r="AG435" s="408"/>
      <c r="AH435" s="408"/>
      <c r="AI435" s="408"/>
      <c r="AJ435" s="408"/>
      <c r="AK435" s="408"/>
      <c r="AL435" s="408"/>
      <c r="AM435" s="408"/>
      <c r="AN435" s="408"/>
      <c r="AO435" s="408"/>
      <c r="AP435" s="408"/>
      <c r="AQ435" s="408"/>
      <c r="AR435" s="408"/>
      <c r="AS435" s="408"/>
      <c r="AT435" s="408"/>
      <c r="AU435" s="408"/>
      <c r="AV435" s="408"/>
      <c r="AW435" s="408"/>
      <c r="AX435" s="408"/>
      <c r="AY435" s="408"/>
      <c r="AZ435" s="408"/>
      <c r="BA435" s="408"/>
      <c r="BB435" s="408"/>
      <c r="BC435" s="408"/>
      <c r="BD435" s="408"/>
      <c r="BE435" s="408"/>
      <c r="BF435" s="408"/>
      <c r="BG435" s="408"/>
      <c r="BH435" s="408"/>
      <c r="BI435" s="408"/>
      <c r="BJ435" s="408"/>
      <c r="BK435" s="408"/>
      <c r="BL435" s="408"/>
      <c r="BM435" s="408"/>
      <c r="BN435" s="408"/>
      <c r="BO435" s="408"/>
      <c r="BP435" s="408"/>
      <c r="BQ435" s="408"/>
      <c r="BR435" s="408"/>
      <c r="BS435" s="408"/>
      <c r="BT435" s="408"/>
      <c r="BU435" s="408"/>
      <c r="BV435" s="408"/>
      <c r="BW435" s="408"/>
      <c r="BX435" s="408"/>
      <c r="BY435" s="408"/>
      <c r="BZ435" s="408"/>
      <c r="CA435" s="408"/>
      <c r="CB435" s="408"/>
      <c r="CC435" s="408"/>
      <c r="CD435" s="408"/>
      <c r="CE435" s="408"/>
      <c r="CF435" s="408"/>
      <c r="CG435" s="408"/>
      <c r="CH435" s="408"/>
      <c r="CI435" s="408"/>
      <c r="CJ435" s="408"/>
      <c r="CK435" s="408"/>
      <c r="CL435" s="408"/>
      <c r="CM435" s="408"/>
      <c r="CN435" s="408"/>
    </row>
    <row r="436">
      <c r="A436" s="408"/>
      <c r="B436" s="408"/>
      <c r="C436" s="408"/>
      <c r="D436" s="408"/>
      <c r="E436" s="408"/>
      <c r="F436" s="408"/>
      <c r="G436" s="408"/>
      <c r="H436" s="408"/>
      <c r="I436" s="408"/>
      <c r="J436" s="408"/>
      <c r="K436" s="408"/>
      <c r="L436" s="408"/>
      <c r="M436" s="408"/>
      <c r="N436" s="408"/>
      <c r="O436" s="408"/>
      <c r="P436" s="408"/>
      <c r="Q436" s="408"/>
      <c r="R436" s="408"/>
      <c r="S436" s="408"/>
      <c r="T436" s="408"/>
      <c r="U436" s="408"/>
      <c r="V436" s="408"/>
      <c r="W436" s="408"/>
      <c r="X436" s="408"/>
      <c r="Y436" s="408"/>
      <c r="Z436" s="408"/>
      <c r="AA436" s="408"/>
      <c r="AB436" s="408"/>
      <c r="AC436" s="408"/>
      <c r="AD436" s="408"/>
      <c r="AE436" s="408"/>
      <c r="AF436" s="408"/>
      <c r="AG436" s="408"/>
      <c r="AH436" s="408"/>
      <c r="AI436" s="408"/>
      <c r="AJ436" s="408"/>
      <c r="AK436" s="408"/>
      <c r="AL436" s="408"/>
      <c r="AM436" s="408"/>
      <c r="AN436" s="408"/>
      <c r="AO436" s="408"/>
      <c r="AP436" s="408"/>
      <c r="AQ436" s="408"/>
      <c r="AR436" s="408"/>
      <c r="AS436" s="408"/>
      <c r="AT436" s="408"/>
      <c r="AU436" s="408"/>
      <c r="AV436" s="408"/>
      <c r="AW436" s="408"/>
      <c r="AX436" s="408"/>
      <c r="AY436" s="408"/>
      <c r="AZ436" s="408"/>
      <c r="BA436" s="408"/>
      <c r="BB436" s="408"/>
      <c r="BC436" s="408"/>
      <c r="BD436" s="408"/>
      <c r="BE436" s="408"/>
      <c r="BF436" s="408"/>
      <c r="BG436" s="408"/>
      <c r="BH436" s="408"/>
      <c r="BI436" s="408"/>
      <c r="BJ436" s="408"/>
      <c r="BK436" s="408"/>
      <c r="BL436" s="408"/>
      <c r="BM436" s="408"/>
      <c r="BN436" s="408"/>
      <c r="BO436" s="408"/>
      <c r="BP436" s="408"/>
      <c r="BQ436" s="408"/>
      <c r="BR436" s="408"/>
      <c r="BS436" s="408"/>
      <c r="BT436" s="408"/>
      <c r="BU436" s="408"/>
      <c r="BV436" s="408"/>
      <c r="BW436" s="408"/>
      <c r="BX436" s="408"/>
      <c r="BY436" s="408"/>
      <c r="BZ436" s="408"/>
      <c r="CA436" s="408"/>
      <c r="CB436" s="408"/>
      <c r="CC436" s="408"/>
      <c r="CD436" s="408"/>
      <c r="CE436" s="408"/>
      <c r="CF436" s="408"/>
      <c r="CG436" s="408"/>
      <c r="CH436" s="408"/>
      <c r="CI436" s="408"/>
      <c r="CJ436" s="408"/>
      <c r="CK436" s="408"/>
      <c r="CL436" s="408"/>
      <c r="CM436" s="408"/>
      <c r="CN436" s="408"/>
    </row>
    <row r="437">
      <c r="A437" s="408"/>
      <c r="B437" s="408"/>
      <c r="C437" s="408"/>
      <c r="D437" s="408"/>
      <c r="E437" s="408"/>
      <c r="F437" s="408"/>
      <c r="G437" s="408"/>
      <c r="H437" s="408"/>
      <c r="I437" s="408"/>
      <c r="J437" s="408"/>
      <c r="K437" s="408"/>
      <c r="L437" s="408"/>
      <c r="M437" s="408"/>
      <c r="N437" s="408"/>
      <c r="O437" s="408"/>
      <c r="P437" s="408"/>
      <c r="Q437" s="408"/>
      <c r="R437" s="408"/>
      <c r="S437" s="408"/>
      <c r="T437" s="408"/>
      <c r="U437" s="408"/>
      <c r="V437" s="408"/>
      <c r="W437" s="408"/>
      <c r="X437" s="408"/>
      <c r="Y437" s="408"/>
      <c r="Z437" s="408"/>
      <c r="AA437" s="408"/>
      <c r="AB437" s="408"/>
      <c r="AC437" s="408"/>
      <c r="AD437" s="408"/>
      <c r="AE437" s="408"/>
      <c r="AF437" s="408"/>
      <c r="AG437" s="408"/>
      <c r="AH437" s="408"/>
      <c r="AI437" s="408"/>
      <c r="AJ437" s="408"/>
      <c r="AK437" s="408"/>
      <c r="AL437" s="408"/>
      <c r="AM437" s="408"/>
      <c r="AN437" s="408"/>
      <c r="AO437" s="408"/>
      <c r="AP437" s="408"/>
      <c r="AQ437" s="408"/>
      <c r="AR437" s="408"/>
      <c r="AS437" s="408"/>
      <c r="AT437" s="408"/>
      <c r="AU437" s="408"/>
      <c r="AV437" s="408"/>
      <c r="AW437" s="408"/>
      <c r="AX437" s="408"/>
      <c r="AY437" s="408"/>
      <c r="AZ437" s="408"/>
      <c r="BA437" s="408"/>
      <c r="BB437" s="408"/>
      <c r="BC437" s="408"/>
      <c r="BD437" s="408"/>
      <c r="BE437" s="408"/>
      <c r="BF437" s="408"/>
      <c r="BG437" s="408"/>
      <c r="BH437" s="408"/>
      <c r="BI437" s="408"/>
      <c r="BJ437" s="408"/>
      <c r="BK437" s="408"/>
      <c r="BL437" s="408"/>
      <c r="BM437" s="408"/>
      <c r="BN437" s="408"/>
      <c r="BO437" s="408"/>
      <c r="BP437" s="408"/>
      <c r="BQ437" s="408"/>
      <c r="BR437" s="408"/>
      <c r="BS437" s="408"/>
      <c r="BT437" s="408"/>
      <c r="BU437" s="408"/>
      <c r="BV437" s="408"/>
      <c r="BW437" s="408"/>
      <c r="BX437" s="408"/>
      <c r="BY437" s="408"/>
      <c r="BZ437" s="408"/>
      <c r="CA437" s="408"/>
      <c r="CB437" s="408"/>
      <c r="CC437" s="408"/>
      <c r="CD437" s="408"/>
      <c r="CE437" s="408"/>
      <c r="CF437" s="408"/>
      <c r="CG437" s="408"/>
      <c r="CH437" s="408"/>
      <c r="CI437" s="408"/>
      <c r="CJ437" s="408"/>
      <c r="CK437" s="408"/>
      <c r="CL437" s="408"/>
      <c r="CM437" s="408"/>
      <c r="CN437" s="408"/>
    </row>
    <row r="438">
      <c r="A438" s="408"/>
      <c r="B438" s="408"/>
      <c r="C438" s="408"/>
      <c r="D438" s="408"/>
      <c r="E438" s="408"/>
      <c r="F438" s="408"/>
      <c r="G438" s="408"/>
      <c r="H438" s="408"/>
      <c r="I438" s="408"/>
      <c r="J438" s="408"/>
      <c r="K438" s="408"/>
      <c r="L438" s="408"/>
      <c r="M438" s="408"/>
      <c r="N438" s="408"/>
      <c r="O438" s="408"/>
      <c r="P438" s="408"/>
      <c r="Q438" s="408"/>
      <c r="R438" s="408"/>
      <c r="S438" s="408"/>
      <c r="T438" s="408"/>
      <c r="U438" s="408"/>
      <c r="V438" s="408"/>
      <c r="W438" s="408"/>
      <c r="X438" s="408"/>
      <c r="Y438" s="408"/>
      <c r="Z438" s="408"/>
      <c r="AA438" s="408"/>
      <c r="AB438" s="408"/>
      <c r="AC438" s="408"/>
      <c r="AD438" s="408"/>
      <c r="AE438" s="408"/>
      <c r="AF438" s="408"/>
      <c r="AG438" s="408"/>
      <c r="AH438" s="408"/>
      <c r="AI438" s="408"/>
      <c r="AJ438" s="408"/>
      <c r="AK438" s="408"/>
      <c r="AL438" s="408"/>
      <c r="AM438" s="408"/>
      <c r="AN438" s="408"/>
      <c r="AO438" s="408"/>
      <c r="AP438" s="408"/>
      <c r="AQ438" s="408"/>
      <c r="AR438" s="408"/>
      <c r="AS438" s="408"/>
      <c r="AT438" s="408"/>
      <c r="AU438" s="408"/>
      <c r="AV438" s="408"/>
      <c r="AW438" s="408"/>
      <c r="AX438" s="408"/>
      <c r="AY438" s="408"/>
      <c r="AZ438" s="408"/>
      <c r="BA438" s="408"/>
      <c r="BB438" s="408"/>
      <c r="BC438" s="408"/>
      <c r="BD438" s="408"/>
      <c r="BE438" s="408"/>
      <c r="BF438" s="408"/>
      <c r="BG438" s="408"/>
      <c r="BH438" s="408"/>
      <c r="BI438" s="408"/>
      <c r="BJ438" s="408"/>
      <c r="BK438" s="408"/>
      <c r="BL438" s="408"/>
      <c r="BM438" s="408"/>
      <c r="BN438" s="408"/>
      <c r="BO438" s="408"/>
      <c r="BP438" s="408"/>
      <c r="BQ438" s="408"/>
      <c r="BR438" s="408"/>
      <c r="BS438" s="408"/>
      <c r="BT438" s="408"/>
      <c r="BU438" s="408"/>
      <c r="BV438" s="408"/>
      <c r="BW438" s="408"/>
      <c r="BX438" s="408"/>
      <c r="BY438" s="408"/>
      <c r="BZ438" s="408"/>
      <c r="CA438" s="408"/>
      <c r="CB438" s="408"/>
      <c r="CC438" s="408"/>
      <c r="CD438" s="408"/>
      <c r="CE438" s="408"/>
      <c r="CF438" s="408"/>
      <c r="CG438" s="408"/>
      <c r="CH438" s="408"/>
      <c r="CI438" s="408"/>
      <c r="CJ438" s="408"/>
      <c r="CK438" s="408"/>
      <c r="CL438" s="408"/>
      <c r="CM438" s="408"/>
      <c r="CN438" s="408"/>
    </row>
    <row r="439">
      <c r="A439" s="408"/>
      <c r="B439" s="408"/>
      <c r="C439" s="408"/>
      <c r="D439" s="408"/>
      <c r="E439" s="408"/>
      <c r="F439" s="408"/>
      <c r="G439" s="408"/>
      <c r="H439" s="408"/>
      <c r="I439" s="408"/>
      <c r="J439" s="408"/>
      <c r="K439" s="408"/>
      <c r="L439" s="408"/>
      <c r="M439" s="408"/>
      <c r="N439" s="408"/>
      <c r="O439" s="408"/>
      <c r="P439" s="408"/>
      <c r="Q439" s="408"/>
      <c r="R439" s="408"/>
      <c r="S439" s="408"/>
      <c r="T439" s="408"/>
      <c r="U439" s="408"/>
      <c r="V439" s="408"/>
      <c r="W439" s="408"/>
      <c r="X439" s="408"/>
      <c r="Y439" s="408"/>
      <c r="Z439" s="408"/>
      <c r="AA439" s="408"/>
      <c r="AB439" s="408"/>
      <c r="AC439" s="408"/>
      <c r="AD439" s="408"/>
      <c r="AE439" s="408"/>
      <c r="AF439" s="408"/>
      <c r="AG439" s="408"/>
      <c r="AH439" s="408"/>
      <c r="AI439" s="408"/>
      <c r="AJ439" s="408"/>
      <c r="AK439" s="408"/>
      <c r="AL439" s="408"/>
      <c r="AM439" s="408"/>
      <c r="AN439" s="408"/>
      <c r="AO439" s="408"/>
      <c r="AP439" s="408"/>
      <c r="AQ439" s="408"/>
      <c r="AR439" s="408"/>
      <c r="AS439" s="408"/>
      <c r="AT439" s="408"/>
      <c r="AU439" s="408"/>
      <c r="AV439" s="408"/>
      <c r="AW439" s="408"/>
      <c r="AX439" s="408"/>
      <c r="AY439" s="408"/>
      <c r="AZ439" s="408"/>
      <c r="BA439" s="408"/>
      <c r="BB439" s="408"/>
      <c r="BC439" s="408"/>
      <c r="BD439" s="408"/>
      <c r="BE439" s="408"/>
      <c r="BF439" s="408"/>
      <c r="BG439" s="408"/>
      <c r="BH439" s="408"/>
      <c r="BI439" s="408"/>
      <c r="BJ439" s="408"/>
      <c r="BK439" s="408"/>
      <c r="BL439" s="408"/>
      <c r="BM439" s="408"/>
      <c r="BN439" s="408"/>
      <c r="BO439" s="408"/>
      <c r="BP439" s="408"/>
      <c r="BQ439" s="408"/>
      <c r="BR439" s="408"/>
      <c r="BS439" s="408"/>
      <c r="BT439" s="408"/>
      <c r="BU439" s="408"/>
      <c r="BV439" s="408"/>
      <c r="BW439" s="408"/>
      <c r="BX439" s="408"/>
      <c r="BY439" s="408"/>
      <c r="BZ439" s="408"/>
      <c r="CA439" s="408"/>
      <c r="CB439" s="408"/>
      <c r="CC439" s="408"/>
      <c r="CD439" s="408"/>
      <c r="CE439" s="408"/>
      <c r="CF439" s="408"/>
      <c r="CG439" s="408"/>
      <c r="CH439" s="408"/>
      <c r="CI439" s="408"/>
      <c r="CJ439" s="408"/>
      <c r="CK439" s="408"/>
      <c r="CL439" s="408"/>
      <c r="CM439" s="408"/>
      <c r="CN439" s="408"/>
    </row>
    <row r="440">
      <c r="A440" s="408"/>
      <c r="B440" s="408"/>
      <c r="C440" s="408"/>
      <c r="D440" s="408"/>
      <c r="E440" s="408"/>
      <c r="F440" s="408"/>
      <c r="G440" s="408"/>
      <c r="H440" s="408"/>
      <c r="I440" s="408"/>
      <c r="J440" s="408"/>
      <c r="K440" s="408"/>
      <c r="L440" s="408"/>
      <c r="M440" s="408"/>
      <c r="N440" s="408"/>
      <c r="O440" s="408"/>
      <c r="P440" s="408"/>
      <c r="Q440" s="408"/>
      <c r="R440" s="408"/>
      <c r="S440" s="408"/>
      <c r="T440" s="408"/>
      <c r="U440" s="408"/>
      <c r="V440" s="408"/>
      <c r="W440" s="408"/>
      <c r="X440" s="408"/>
      <c r="Y440" s="408"/>
      <c r="Z440" s="408"/>
      <c r="AA440" s="408"/>
      <c r="AB440" s="408"/>
      <c r="AC440" s="408"/>
      <c r="AD440" s="408"/>
      <c r="AE440" s="408"/>
      <c r="AF440" s="408"/>
      <c r="AG440" s="408"/>
      <c r="AH440" s="408"/>
      <c r="AI440" s="408"/>
      <c r="AJ440" s="408"/>
      <c r="AK440" s="408"/>
      <c r="AL440" s="408"/>
      <c r="AM440" s="408"/>
      <c r="AN440" s="408"/>
      <c r="AO440" s="408"/>
      <c r="AP440" s="408"/>
      <c r="AQ440" s="408"/>
      <c r="AR440" s="408"/>
      <c r="AS440" s="408"/>
      <c r="AT440" s="408"/>
      <c r="AU440" s="408"/>
      <c r="AV440" s="408"/>
      <c r="AW440" s="408"/>
      <c r="AX440" s="408"/>
      <c r="AY440" s="408"/>
      <c r="AZ440" s="408"/>
      <c r="BA440" s="408"/>
      <c r="BB440" s="408"/>
      <c r="BC440" s="408"/>
      <c r="BD440" s="408"/>
      <c r="BE440" s="408"/>
      <c r="BF440" s="408"/>
      <c r="BG440" s="408"/>
      <c r="BH440" s="408"/>
      <c r="BI440" s="408"/>
      <c r="BJ440" s="408"/>
      <c r="BK440" s="408"/>
      <c r="BL440" s="408"/>
      <c r="BM440" s="408"/>
      <c r="BN440" s="408"/>
      <c r="BO440" s="408"/>
      <c r="BP440" s="408"/>
      <c r="BQ440" s="408"/>
      <c r="BR440" s="408"/>
      <c r="BS440" s="408"/>
      <c r="BT440" s="408"/>
      <c r="BU440" s="408"/>
      <c r="BV440" s="408"/>
      <c r="BW440" s="408"/>
      <c r="BX440" s="408"/>
      <c r="BY440" s="408"/>
      <c r="BZ440" s="408"/>
      <c r="CA440" s="408"/>
      <c r="CB440" s="408"/>
      <c r="CC440" s="408"/>
      <c r="CD440" s="408"/>
      <c r="CE440" s="408"/>
      <c r="CF440" s="408"/>
      <c r="CG440" s="408"/>
      <c r="CH440" s="408"/>
      <c r="CI440" s="408"/>
      <c r="CJ440" s="408"/>
      <c r="CK440" s="408"/>
      <c r="CL440" s="408"/>
      <c r="CM440" s="408"/>
      <c r="CN440" s="408"/>
    </row>
    <row r="441">
      <c r="A441" s="408"/>
      <c r="B441" s="408"/>
      <c r="C441" s="408"/>
      <c r="D441" s="408"/>
      <c r="E441" s="408"/>
      <c r="F441" s="408"/>
      <c r="G441" s="408"/>
      <c r="H441" s="408"/>
      <c r="I441" s="408"/>
      <c r="J441" s="408"/>
      <c r="K441" s="408"/>
      <c r="L441" s="408"/>
      <c r="M441" s="408"/>
      <c r="N441" s="408"/>
      <c r="O441" s="408"/>
      <c r="P441" s="408"/>
      <c r="Q441" s="408"/>
      <c r="R441" s="408"/>
      <c r="S441" s="408"/>
      <c r="T441" s="408"/>
      <c r="U441" s="408"/>
      <c r="V441" s="408"/>
      <c r="W441" s="408"/>
      <c r="X441" s="408"/>
      <c r="Y441" s="408"/>
      <c r="Z441" s="408"/>
      <c r="AA441" s="408"/>
      <c r="AB441" s="408"/>
      <c r="AC441" s="408"/>
      <c r="AD441" s="408"/>
      <c r="AE441" s="408"/>
      <c r="AF441" s="408"/>
      <c r="AG441" s="408"/>
      <c r="AH441" s="408"/>
      <c r="AI441" s="408"/>
      <c r="AJ441" s="408"/>
      <c r="AK441" s="408"/>
      <c r="AL441" s="408"/>
      <c r="AM441" s="408"/>
      <c r="AN441" s="408"/>
      <c r="AO441" s="408"/>
      <c r="AP441" s="408"/>
      <c r="AQ441" s="408"/>
      <c r="AR441" s="408"/>
      <c r="AS441" s="408"/>
      <c r="AT441" s="408"/>
      <c r="AU441" s="408"/>
      <c r="AV441" s="408"/>
      <c r="AW441" s="408"/>
      <c r="AX441" s="408"/>
      <c r="AY441" s="408"/>
      <c r="AZ441" s="408"/>
      <c r="BA441" s="408"/>
      <c r="BB441" s="408"/>
      <c r="BC441" s="408"/>
      <c r="BD441" s="408"/>
      <c r="BE441" s="408"/>
      <c r="BF441" s="408"/>
      <c r="BG441" s="408"/>
      <c r="BH441" s="408"/>
      <c r="BI441" s="408"/>
      <c r="BJ441" s="408"/>
      <c r="BK441" s="408"/>
      <c r="BL441" s="408"/>
      <c r="BM441" s="408"/>
      <c r="BN441" s="408"/>
      <c r="BO441" s="408"/>
      <c r="BP441" s="408"/>
      <c r="BQ441" s="408"/>
      <c r="BR441" s="408"/>
      <c r="BS441" s="408"/>
      <c r="BT441" s="408"/>
      <c r="BU441" s="408"/>
      <c r="BV441" s="408"/>
      <c r="BW441" s="408"/>
      <c r="BX441" s="408"/>
      <c r="BY441" s="408"/>
      <c r="BZ441" s="408"/>
      <c r="CA441" s="408"/>
      <c r="CB441" s="408"/>
      <c r="CC441" s="408"/>
      <c r="CD441" s="408"/>
      <c r="CE441" s="408"/>
      <c r="CF441" s="408"/>
      <c r="CG441" s="408"/>
      <c r="CH441" s="408"/>
      <c r="CI441" s="408"/>
      <c r="CJ441" s="408"/>
      <c r="CK441" s="408"/>
      <c r="CL441" s="408"/>
      <c r="CM441" s="408"/>
      <c r="CN441" s="408"/>
    </row>
    <row r="442">
      <c r="A442" s="408"/>
      <c r="B442" s="408"/>
      <c r="C442" s="408"/>
      <c r="D442" s="408"/>
      <c r="E442" s="408"/>
      <c r="F442" s="408"/>
      <c r="G442" s="408"/>
      <c r="H442" s="408"/>
      <c r="I442" s="408"/>
      <c r="J442" s="408"/>
      <c r="K442" s="408"/>
      <c r="L442" s="408"/>
      <c r="M442" s="408"/>
      <c r="N442" s="408"/>
      <c r="O442" s="408"/>
      <c r="P442" s="408"/>
      <c r="Q442" s="408"/>
      <c r="R442" s="408"/>
      <c r="S442" s="408"/>
      <c r="T442" s="408"/>
      <c r="U442" s="408"/>
      <c r="V442" s="408"/>
      <c r="W442" s="408"/>
      <c r="X442" s="408"/>
      <c r="Y442" s="408"/>
      <c r="Z442" s="408"/>
      <c r="AA442" s="408"/>
      <c r="AB442" s="408"/>
      <c r="AC442" s="408"/>
      <c r="AD442" s="408"/>
      <c r="AE442" s="408"/>
      <c r="AF442" s="408"/>
      <c r="AG442" s="408"/>
      <c r="AH442" s="408"/>
      <c r="AI442" s="408"/>
      <c r="AJ442" s="408"/>
      <c r="AK442" s="408"/>
      <c r="AL442" s="408"/>
      <c r="AM442" s="408"/>
      <c r="AN442" s="408"/>
      <c r="AO442" s="408"/>
      <c r="AP442" s="408"/>
      <c r="AQ442" s="408"/>
      <c r="AR442" s="408"/>
      <c r="AS442" s="408"/>
      <c r="AT442" s="408"/>
      <c r="AU442" s="408"/>
      <c r="AV442" s="408"/>
      <c r="AW442" s="408"/>
      <c r="AX442" s="408"/>
      <c r="AY442" s="408"/>
      <c r="AZ442" s="408"/>
      <c r="BA442" s="408"/>
      <c r="BB442" s="408"/>
      <c r="BC442" s="408"/>
      <c r="BD442" s="408"/>
      <c r="BE442" s="408"/>
      <c r="BF442" s="408"/>
      <c r="BG442" s="408"/>
      <c r="BH442" s="408"/>
      <c r="BI442" s="408"/>
      <c r="BJ442" s="408"/>
      <c r="BK442" s="408"/>
      <c r="BL442" s="408"/>
      <c r="BM442" s="408"/>
      <c r="BN442" s="408"/>
      <c r="BO442" s="408"/>
      <c r="BP442" s="408"/>
      <c r="BQ442" s="408"/>
      <c r="BR442" s="408"/>
      <c r="BS442" s="408"/>
      <c r="BT442" s="408"/>
      <c r="BU442" s="408"/>
      <c r="BV442" s="408"/>
      <c r="BW442" s="408"/>
      <c r="BX442" s="408"/>
      <c r="BY442" s="408"/>
      <c r="BZ442" s="408"/>
      <c r="CA442" s="408"/>
      <c r="CB442" s="408"/>
      <c r="CC442" s="408"/>
      <c r="CD442" s="408"/>
      <c r="CE442" s="408"/>
      <c r="CF442" s="408"/>
      <c r="CG442" s="408"/>
      <c r="CH442" s="408"/>
      <c r="CI442" s="408"/>
      <c r="CJ442" s="408"/>
      <c r="CK442" s="408"/>
      <c r="CL442" s="408"/>
      <c r="CM442" s="408"/>
      <c r="CN442" s="408"/>
    </row>
    <row r="443">
      <c r="A443" s="408"/>
      <c r="B443" s="408"/>
      <c r="C443" s="408"/>
      <c r="D443" s="408"/>
      <c r="E443" s="408"/>
      <c r="F443" s="408"/>
      <c r="G443" s="408"/>
      <c r="H443" s="408"/>
      <c r="I443" s="408"/>
      <c r="J443" s="408"/>
      <c r="K443" s="408"/>
      <c r="L443" s="408"/>
      <c r="M443" s="408"/>
      <c r="N443" s="408"/>
      <c r="O443" s="408"/>
      <c r="P443" s="408"/>
      <c r="Q443" s="408"/>
      <c r="R443" s="408"/>
      <c r="S443" s="408"/>
      <c r="T443" s="408"/>
      <c r="U443" s="408"/>
      <c r="V443" s="408"/>
      <c r="W443" s="408"/>
      <c r="X443" s="408"/>
      <c r="Y443" s="408"/>
      <c r="Z443" s="408"/>
      <c r="AA443" s="408"/>
      <c r="AB443" s="408"/>
      <c r="AC443" s="408"/>
      <c r="AD443" s="408"/>
      <c r="AE443" s="408"/>
      <c r="AF443" s="408"/>
      <c r="AG443" s="408"/>
      <c r="AH443" s="408"/>
      <c r="AI443" s="408"/>
      <c r="AJ443" s="408"/>
      <c r="AK443" s="408"/>
      <c r="AL443" s="408"/>
      <c r="AM443" s="408"/>
      <c r="AN443" s="408"/>
      <c r="AO443" s="408"/>
      <c r="AP443" s="408"/>
      <c r="AQ443" s="408"/>
      <c r="AR443" s="408"/>
      <c r="AS443" s="408"/>
      <c r="AT443" s="408"/>
      <c r="AU443" s="408"/>
      <c r="AV443" s="408"/>
      <c r="AW443" s="408"/>
      <c r="AX443" s="408"/>
      <c r="AY443" s="408"/>
      <c r="AZ443" s="408"/>
      <c r="BA443" s="408"/>
      <c r="BB443" s="408"/>
      <c r="BC443" s="408"/>
      <c r="BD443" s="408"/>
      <c r="BE443" s="408"/>
      <c r="BF443" s="408"/>
      <c r="BG443" s="408"/>
      <c r="BH443" s="408"/>
      <c r="BI443" s="408"/>
      <c r="BJ443" s="408"/>
      <c r="BK443" s="408"/>
      <c r="BL443" s="408"/>
      <c r="BM443" s="408"/>
      <c r="BN443" s="408"/>
      <c r="BO443" s="408"/>
      <c r="BP443" s="408"/>
      <c r="BQ443" s="408"/>
      <c r="BR443" s="408"/>
      <c r="BS443" s="408"/>
      <c r="BT443" s="408"/>
      <c r="BU443" s="408"/>
      <c r="BV443" s="408"/>
      <c r="BW443" s="408"/>
      <c r="BX443" s="408"/>
      <c r="BY443" s="408"/>
      <c r="BZ443" s="408"/>
      <c r="CA443" s="408"/>
      <c r="CB443" s="408"/>
      <c r="CC443" s="408"/>
      <c r="CD443" s="408"/>
      <c r="CE443" s="408"/>
      <c r="CF443" s="408"/>
      <c r="CG443" s="408"/>
      <c r="CH443" s="408"/>
      <c r="CI443" s="408"/>
      <c r="CJ443" s="408"/>
      <c r="CK443" s="408"/>
      <c r="CL443" s="408"/>
      <c r="CM443" s="408"/>
      <c r="CN443" s="408"/>
    </row>
    <row r="444">
      <c r="A444" s="408"/>
      <c r="B444" s="408"/>
      <c r="C444" s="408"/>
      <c r="D444" s="408"/>
      <c r="E444" s="408"/>
      <c r="F444" s="408"/>
      <c r="G444" s="408"/>
      <c r="H444" s="408"/>
      <c r="I444" s="408"/>
      <c r="J444" s="408"/>
      <c r="K444" s="408"/>
      <c r="L444" s="408"/>
      <c r="M444" s="408"/>
      <c r="N444" s="408"/>
      <c r="O444" s="408"/>
      <c r="P444" s="408"/>
      <c r="Q444" s="408"/>
      <c r="R444" s="408"/>
      <c r="S444" s="408"/>
      <c r="T444" s="408"/>
      <c r="U444" s="408"/>
      <c r="V444" s="408"/>
      <c r="W444" s="408"/>
      <c r="X444" s="408"/>
      <c r="Y444" s="408"/>
      <c r="Z444" s="408"/>
      <c r="AA444" s="408"/>
      <c r="AB444" s="408"/>
      <c r="AC444" s="408"/>
      <c r="AD444" s="408"/>
      <c r="AE444" s="408"/>
      <c r="AF444" s="408"/>
      <c r="AG444" s="408"/>
      <c r="AH444" s="408"/>
      <c r="AI444" s="408"/>
      <c r="AJ444" s="408"/>
      <c r="AK444" s="408"/>
      <c r="AL444" s="408"/>
      <c r="AM444" s="408"/>
      <c r="AN444" s="408"/>
      <c r="AO444" s="408"/>
      <c r="AP444" s="408"/>
      <c r="AQ444" s="408"/>
      <c r="AR444" s="408"/>
      <c r="AS444" s="408"/>
      <c r="AT444" s="408"/>
      <c r="AU444" s="408"/>
      <c r="AV444" s="408"/>
      <c r="AW444" s="408"/>
      <c r="AX444" s="408"/>
      <c r="AY444" s="408"/>
      <c r="AZ444" s="408"/>
      <c r="BA444" s="408"/>
      <c r="BB444" s="408"/>
      <c r="BC444" s="408"/>
      <c r="BD444" s="408"/>
      <c r="BE444" s="408"/>
      <c r="BF444" s="408"/>
      <c r="BG444" s="408"/>
      <c r="BH444" s="408"/>
      <c r="BI444" s="408"/>
      <c r="BJ444" s="408"/>
      <c r="BK444" s="408"/>
      <c r="BL444" s="408"/>
      <c r="BM444" s="408"/>
      <c r="BN444" s="408"/>
      <c r="BO444" s="408"/>
      <c r="BP444" s="408"/>
      <c r="BQ444" s="408"/>
      <c r="BR444" s="408"/>
      <c r="BS444" s="408"/>
      <c r="BT444" s="408"/>
      <c r="BU444" s="408"/>
      <c r="BV444" s="408"/>
      <c r="BW444" s="408"/>
      <c r="BX444" s="408"/>
      <c r="BY444" s="408"/>
      <c r="BZ444" s="408"/>
      <c r="CA444" s="408"/>
      <c r="CB444" s="408"/>
      <c r="CC444" s="408"/>
      <c r="CD444" s="408"/>
      <c r="CE444" s="408"/>
      <c r="CF444" s="408"/>
      <c r="CG444" s="408"/>
      <c r="CH444" s="408"/>
      <c r="CI444" s="408"/>
      <c r="CJ444" s="408"/>
      <c r="CK444" s="408"/>
      <c r="CL444" s="408"/>
      <c r="CM444" s="408"/>
      <c r="CN444" s="408"/>
    </row>
    <row r="445">
      <c r="A445" s="408"/>
      <c r="B445" s="408"/>
      <c r="C445" s="408"/>
      <c r="D445" s="408"/>
      <c r="E445" s="408"/>
      <c r="F445" s="408"/>
      <c r="G445" s="408"/>
      <c r="H445" s="408"/>
      <c r="I445" s="408"/>
      <c r="J445" s="408"/>
      <c r="K445" s="408"/>
      <c r="L445" s="408"/>
      <c r="M445" s="408"/>
      <c r="N445" s="408"/>
      <c r="O445" s="408"/>
      <c r="P445" s="408"/>
      <c r="Q445" s="408"/>
      <c r="R445" s="408"/>
      <c r="S445" s="408"/>
      <c r="T445" s="408"/>
      <c r="U445" s="408"/>
      <c r="V445" s="408"/>
      <c r="W445" s="408"/>
      <c r="X445" s="408"/>
      <c r="Y445" s="408"/>
      <c r="Z445" s="408"/>
      <c r="AA445" s="408"/>
      <c r="AB445" s="408"/>
      <c r="AC445" s="408"/>
      <c r="AD445" s="408"/>
      <c r="AE445" s="408"/>
      <c r="AF445" s="408"/>
      <c r="AG445" s="408"/>
      <c r="AH445" s="408"/>
      <c r="AI445" s="408"/>
      <c r="AJ445" s="408"/>
      <c r="AK445" s="408"/>
      <c r="AL445" s="408"/>
      <c r="AM445" s="408"/>
      <c r="AN445" s="408"/>
      <c r="AO445" s="408"/>
      <c r="AP445" s="408"/>
      <c r="AQ445" s="408"/>
      <c r="AR445" s="408"/>
      <c r="AS445" s="408"/>
      <c r="AT445" s="408"/>
      <c r="AU445" s="408"/>
      <c r="AV445" s="408"/>
      <c r="AW445" s="408"/>
      <c r="AX445" s="408"/>
      <c r="AY445" s="408"/>
      <c r="AZ445" s="408"/>
      <c r="BA445" s="408"/>
      <c r="BB445" s="408"/>
      <c r="BC445" s="408"/>
      <c r="BD445" s="408"/>
      <c r="BE445" s="408"/>
      <c r="BF445" s="408"/>
      <c r="BG445" s="408"/>
      <c r="BH445" s="408"/>
      <c r="BI445" s="408"/>
      <c r="BJ445" s="408"/>
      <c r="BK445" s="408"/>
      <c r="BL445" s="408"/>
      <c r="BM445" s="408"/>
      <c r="BN445" s="408"/>
      <c r="BO445" s="408"/>
      <c r="BP445" s="408"/>
      <c r="BQ445" s="408"/>
      <c r="BR445" s="408"/>
      <c r="BS445" s="408"/>
      <c r="BT445" s="408"/>
      <c r="BU445" s="408"/>
      <c r="BV445" s="408"/>
      <c r="BW445" s="408"/>
      <c r="BX445" s="408"/>
      <c r="BY445" s="408"/>
      <c r="BZ445" s="408"/>
      <c r="CA445" s="408"/>
      <c r="CB445" s="408"/>
      <c r="CC445" s="408"/>
      <c r="CD445" s="408"/>
      <c r="CE445" s="408"/>
      <c r="CF445" s="408"/>
      <c r="CG445" s="408"/>
      <c r="CH445" s="408"/>
      <c r="CI445" s="408"/>
      <c r="CJ445" s="408"/>
      <c r="CK445" s="408"/>
      <c r="CL445" s="408"/>
      <c r="CM445" s="408"/>
      <c r="CN445" s="408"/>
    </row>
    <row r="446">
      <c r="A446" s="408"/>
      <c r="B446" s="408"/>
      <c r="C446" s="408"/>
      <c r="D446" s="408"/>
      <c r="E446" s="408"/>
      <c r="F446" s="408"/>
      <c r="G446" s="408"/>
      <c r="H446" s="408"/>
      <c r="I446" s="408"/>
      <c r="J446" s="408"/>
      <c r="K446" s="408"/>
      <c r="L446" s="408"/>
      <c r="M446" s="408"/>
      <c r="N446" s="408"/>
      <c r="O446" s="408"/>
      <c r="P446" s="408"/>
      <c r="Q446" s="408"/>
      <c r="R446" s="408"/>
      <c r="S446" s="408"/>
      <c r="T446" s="408"/>
      <c r="U446" s="408"/>
      <c r="V446" s="408"/>
      <c r="W446" s="408"/>
      <c r="X446" s="408"/>
      <c r="Y446" s="408"/>
      <c r="Z446" s="408"/>
      <c r="AA446" s="408"/>
      <c r="AB446" s="408"/>
      <c r="AC446" s="408"/>
      <c r="AD446" s="408"/>
      <c r="AE446" s="408"/>
      <c r="AF446" s="408"/>
      <c r="AG446" s="408"/>
      <c r="AH446" s="408"/>
      <c r="AI446" s="408"/>
      <c r="AJ446" s="408"/>
      <c r="AK446" s="408"/>
      <c r="AL446" s="408"/>
      <c r="AM446" s="408"/>
      <c r="AN446" s="408"/>
      <c r="AO446" s="408"/>
      <c r="AP446" s="408"/>
      <c r="AQ446" s="408"/>
      <c r="AR446" s="408"/>
      <c r="AS446" s="408"/>
      <c r="AT446" s="408"/>
      <c r="AU446" s="408"/>
      <c r="AV446" s="408"/>
      <c r="AW446" s="408"/>
      <c r="AX446" s="408"/>
      <c r="AY446" s="408"/>
      <c r="AZ446" s="408"/>
      <c r="BA446" s="408"/>
      <c r="BB446" s="408"/>
      <c r="BC446" s="408"/>
      <c r="BD446" s="408"/>
      <c r="BE446" s="408"/>
      <c r="BF446" s="408"/>
      <c r="BG446" s="408"/>
      <c r="BH446" s="408"/>
      <c r="BI446" s="408"/>
      <c r="BJ446" s="408"/>
      <c r="BK446" s="408"/>
      <c r="BL446" s="408"/>
      <c r="BM446" s="408"/>
      <c r="BN446" s="408"/>
      <c r="BO446" s="408"/>
      <c r="BP446" s="408"/>
      <c r="BQ446" s="408"/>
      <c r="BR446" s="408"/>
      <c r="BS446" s="408"/>
      <c r="BT446" s="408"/>
      <c r="BU446" s="408"/>
      <c r="BV446" s="408"/>
      <c r="BW446" s="408"/>
      <c r="BX446" s="408"/>
      <c r="BY446" s="408"/>
      <c r="BZ446" s="408"/>
      <c r="CA446" s="408"/>
      <c r="CB446" s="408"/>
      <c r="CC446" s="408"/>
      <c r="CD446" s="408"/>
      <c r="CE446" s="408"/>
      <c r="CF446" s="408"/>
      <c r="CG446" s="408"/>
      <c r="CH446" s="408"/>
      <c r="CI446" s="408"/>
      <c r="CJ446" s="408"/>
      <c r="CK446" s="408"/>
      <c r="CL446" s="408"/>
      <c r="CM446" s="408"/>
      <c r="CN446" s="408"/>
    </row>
    <row r="447">
      <c r="A447" s="408"/>
      <c r="B447" s="408"/>
      <c r="C447" s="408"/>
      <c r="D447" s="408"/>
      <c r="E447" s="408"/>
      <c r="F447" s="408"/>
      <c r="G447" s="408"/>
      <c r="H447" s="408"/>
      <c r="I447" s="408"/>
      <c r="J447" s="408"/>
      <c r="K447" s="408"/>
      <c r="L447" s="408"/>
      <c r="M447" s="408"/>
      <c r="N447" s="408"/>
      <c r="O447" s="408"/>
      <c r="P447" s="408"/>
      <c r="Q447" s="408"/>
      <c r="R447" s="408"/>
      <c r="S447" s="408"/>
      <c r="T447" s="408"/>
      <c r="U447" s="408"/>
      <c r="V447" s="408"/>
      <c r="W447" s="408"/>
      <c r="X447" s="408"/>
      <c r="Y447" s="408"/>
      <c r="Z447" s="408"/>
      <c r="AA447" s="408"/>
      <c r="AB447" s="408"/>
      <c r="AC447" s="408"/>
      <c r="AD447" s="408"/>
      <c r="AE447" s="408"/>
      <c r="AF447" s="408"/>
      <c r="AG447" s="408"/>
      <c r="AH447" s="408"/>
      <c r="AI447" s="408"/>
      <c r="AJ447" s="408"/>
      <c r="AK447" s="408"/>
      <c r="AL447" s="408"/>
      <c r="AM447" s="408"/>
      <c r="AN447" s="408"/>
      <c r="AO447" s="408"/>
      <c r="AP447" s="408"/>
      <c r="AQ447" s="408"/>
      <c r="AR447" s="408"/>
      <c r="AS447" s="408"/>
      <c r="AT447" s="408"/>
      <c r="AU447" s="408"/>
      <c r="AV447" s="408"/>
      <c r="AW447" s="408"/>
      <c r="AX447" s="408"/>
      <c r="AY447" s="408"/>
      <c r="AZ447" s="408"/>
      <c r="BA447" s="408"/>
      <c r="BB447" s="408"/>
      <c r="BC447" s="408"/>
      <c r="BD447" s="408"/>
      <c r="BE447" s="408"/>
      <c r="BF447" s="408"/>
      <c r="BG447" s="408"/>
      <c r="BH447" s="408"/>
      <c r="BI447" s="408"/>
      <c r="BJ447" s="408"/>
      <c r="BK447" s="408"/>
      <c r="BL447" s="408"/>
      <c r="BM447" s="408"/>
      <c r="BN447" s="408"/>
      <c r="BO447" s="408"/>
      <c r="BP447" s="408"/>
      <c r="BQ447" s="408"/>
      <c r="BR447" s="408"/>
      <c r="BS447" s="408"/>
      <c r="BT447" s="408"/>
      <c r="BU447" s="408"/>
      <c r="BV447" s="408"/>
      <c r="BW447" s="408"/>
      <c r="BX447" s="408"/>
      <c r="BY447" s="408"/>
      <c r="BZ447" s="408"/>
      <c r="CA447" s="408"/>
      <c r="CB447" s="408"/>
      <c r="CC447" s="408"/>
      <c r="CD447" s="408"/>
      <c r="CE447" s="408"/>
      <c r="CF447" s="408"/>
      <c r="CG447" s="408"/>
      <c r="CH447" s="408"/>
      <c r="CI447" s="408"/>
      <c r="CJ447" s="408"/>
      <c r="CK447" s="408"/>
      <c r="CL447" s="408"/>
      <c r="CM447" s="408"/>
      <c r="CN447" s="408"/>
    </row>
    <row r="448">
      <c r="A448" s="408"/>
      <c r="B448" s="408"/>
      <c r="C448" s="408"/>
      <c r="D448" s="408"/>
      <c r="E448" s="408"/>
      <c r="F448" s="408"/>
      <c r="G448" s="408"/>
      <c r="H448" s="408"/>
      <c r="I448" s="408"/>
      <c r="J448" s="408"/>
      <c r="K448" s="408"/>
      <c r="L448" s="408"/>
      <c r="M448" s="408"/>
      <c r="N448" s="408"/>
      <c r="O448" s="408"/>
      <c r="P448" s="408"/>
      <c r="Q448" s="408"/>
      <c r="R448" s="408"/>
      <c r="S448" s="408"/>
      <c r="T448" s="408"/>
      <c r="U448" s="408"/>
      <c r="V448" s="408"/>
      <c r="W448" s="408"/>
      <c r="X448" s="408"/>
      <c r="Y448" s="408"/>
      <c r="Z448" s="408"/>
      <c r="AA448" s="408"/>
      <c r="AB448" s="408"/>
      <c r="AC448" s="408"/>
      <c r="AD448" s="408"/>
      <c r="AE448" s="408"/>
      <c r="AF448" s="408"/>
      <c r="AG448" s="408"/>
      <c r="AH448" s="408"/>
      <c r="AI448" s="408"/>
      <c r="AJ448" s="408"/>
      <c r="AK448" s="408"/>
      <c r="AL448" s="408"/>
      <c r="AM448" s="408"/>
      <c r="AN448" s="408"/>
      <c r="AO448" s="408"/>
      <c r="AP448" s="408"/>
      <c r="AQ448" s="408"/>
      <c r="AR448" s="408"/>
      <c r="AS448" s="408"/>
      <c r="AT448" s="408"/>
      <c r="AU448" s="408"/>
      <c r="AV448" s="408"/>
      <c r="AW448" s="408"/>
      <c r="AX448" s="408"/>
      <c r="AY448" s="408"/>
      <c r="AZ448" s="408"/>
      <c r="BA448" s="408"/>
      <c r="BB448" s="408"/>
      <c r="BC448" s="408"/>
      <c r="BD448" s="408"/>
      <c r="BE448" s="408"/>
      <c r="BF448" s="408"/>
      <c r="BG448" s="408"/>
      <c r="BH448" s="408"/>
      <c r="BI448" s="408"/>
      <c r="BJ448" s="408"/>
      <c r="BK448" s="408"/>
      <c r="BL448" s="408"/>
      <c r="BM448" s="408"/>
      <c r="BN448" s="408"/>
      <c r="BO448" s="408"/>
      <c r="BP448" s="408"/>
      <c r="BQ448" s="408"/>
      <c r="BR448" s="408"/>
      <c r="BS448" s="408"/>
      <c r="BT448" s="408"/>
      <c r="BU448" s="408"/>
      <c r="BV448" s="408"/>
      <c r="BW448" s="408"/>
      <c r="BX448" s="408"/>
      <c r="BY448" s="408"/>
      <c r="BZ448" s="408"/>
      <c r="CA448" s="408"/>
      <c r="CB448" s="408"/>
      <c r="CC448" s="408"/>
      <c r="CD448" s="408"/>
      <c r="CE448" s="408"/>
      <c r="CF448" s="408"/>
      <c r="CG448" s="408"/>
      <c r="CH448" s="408"/>
      <c r="CI448" s="408"/>
      <c r="CJ448" s="408"/>
      <c r="CK448" s="408"/>
      <c r="CL448" s="408"/>
      <c r="CM448" s="408"/>
      <c r="CN448" s="408"/>
    </row>
    <row r="449">
      <c r="A449" s="408"/>
      <c r="B449" s="408"/>
      <c r="C449" s="408"/>
      <c r="D449" s="408"/>
      <c r="E449" s="408"/>
      <c r="F449" s="408"/>
      <c r="G449" s="408"/>
      <c r="H449" s="408"/>
      <c r="I449" s="408"/>
      <c r="J449" s="408"/>
      <c r="K449" s="408"/>
      <c r="L449" s="408"/>
      <c r="M449" s="408"/>
      <c r="N449" s="408"/>
      <c r="O449" s="408"/>
      <c r="P449" s="408"/>
      <c r="Q449" s="408"/>
      <c r="R449" s="408"/>
      <c r="S449" s="408"/>
      <c r="T449" s="408"/>
      <c r="U449" s="408"/>
      <c r="V449" s="408"/>
      <c r="W449" s="408"/>
      <c r="X449" s="408"/>
      <c r="Y449" s="408"/>
      <c r="Z449" s="408"/>
      <c r="AA449" s="408"/>
      <c r="AB449" s="408"/>
      <c r="AC449" s="408"/>
      <c r="AD449" s="408"/>
      <c r="AE449" s="408"/>
      <c r="AF449" s="408"/>
      <c r="AG449" s="408"/>
      <c r="AH449" s="408"/>
      <c r="AI449" s="408"/>
      <c r="AJ449" s="408"/>
      <c r="AK449" s="408"/>
      <c r="AL449" s="408"/>
      <c r="AM449" s="408"/>
      <c r="AN449" s="408"/>
      <c r="AO449" s="408"/>
      <c r="AP449" s="408"/>
      <c r="AQ449" s="408"/>
      <c r="AR449" s="408"/>
      <c r="AS449" s="408"/>
      <c r="AT449" s="408"/>
      <c r="AU449" s="408"/>
      <c r="AV449" s="408"/>
      <c r="AW449" s="408"/>
      <c r="AX449" s="408"/>
      <c r="AY449" s="408"/>
      <c r="AZ449" s="408"/>
      <c r="BA449" s="408"/>
      <c r="BB449" s="408"/>
      <c r="BC449" s="408"/>
      <c r="BD449" s="408"/>
      <c r="BE449" s="408"/>
      <c r="BF449" s="408"/>
      <c r="BG449" s="408"/>
      <c r="BH449" s="408"/>
      <c r="BI449" s="408"/>
      <c r="BJ449" s="408"/>
      <c r="BK449" s="408"/>
      <c r="BL449" s="408"/>
      <c r="BM449" s="408"/>
      <c r="BN449" s="408"/>
      <c r="BO449" s="408"/>
      <c r="BP449" s="408"/>
      <c r="BQ449" s="408"/>
      <c r="BR449" s="408"/>
      <c r="BS449" s="408"/>
      <c r="BT449" s="408"/>
      <c r="BU449" s="408"/>
      <c r="BV449" s="408"/>
      <c r="BW449" s="408"/>
      <c r="BX449" s="408"/>
      <c r="BY449" s="408"/>
      <c r="BZ449" s="408"/>
      <c r="CA449" s="408"/>
      <c r="CB449" s="408"/>
      <c r="CC449" s="408"/>
      <c r="CD449" s="408"/>
      <c r="CE449" s="408"/>
      <c r="CF449" s="408"/>
      <c r="CG449" s="408"/>
      <c r="CH449" s="408"/>
      <c r="CI449" s="408"/>
      <c r="CJ449" s="408"/>
      <c r="CK449" s="408"/>
      <c r="CL449" s="408"/>
      <c r="CM449" s="408"/>
      <c r="CN449" s="408"/>
    </row>
    <row r="450">
      <c r="A450" s="408"/>
      <c r="B450" s="408"/>
      <c r="C450" s="408"/>
      <c r="D450" s="408"/>
      <c r="E450" s="408"/>
      <c r="F450" s="408"/>
      <c r="G450" s="408"/>
      <c r="H450" s="408"/>
      <c r="I450" s="408"/>
      <c r="J450" s="408"/>
      <c r="K450" s="408"/>
      <c r="L450" s="408"/>
      <c r="M450" s="408"/>
      <c r="N450" s="408"/>
      <c r="O450" s="408"/>
      <c r="P450" s="408"/>
      <c r="Q450" s="408"/>
      <c r="R450" s="408"/>
      <c r="S450" s="408"/>
      <c r="T450" s="408"/>
      <c r="U450" s="408"/>
      <c r="V450" s="408"/>
      <c r="W450" s="408"/>
      <c r="X450" s="408"/>
      <c r="Y450" s="408"/>
      <c r="Z450" s="408"/>
      <c r="AA450" s="408"/>
      <c r="AB450" s="408"/>
      <c r="AC450" s="408"/>
      <c r="AD450" s="408"/>
      <c r="AE450" s="408"/>
      <c r="AF450" s="408"/>
      <c r="AG450" s="408"/>
      <c r="AH450" s="408"/>
      <c r="AI450" s="408"/>
      <c r="AJ450" s="408"/>
      <c r="AK450" s="408"/>
      <c r="AL450" s="408"/>
      <c r="AM450" s="408"/>
      <c r="AN450" s="408"/>
      <c r="AO450" s="408"/>
      <c r="AP450" s="408"/>
      <c r="AQ450" s="408"/>
      <c r="AR450" s="408"/>
      <c r="AS450" s="408"/>
      <c r="AT450" s="408"/>
      <c r="AU450" s="408"/>
      <c r="AV450" s="408"/>
      <c r="AW450" s="408"/>
      <c r="AX450" s="408"/>
      <c r="AY450" s="408"/>
      <c r="AZ450" s="408"/>
      <c r="BA450" s="408"/>
      <c r="BB450" s="408"/>
      <c r="BC450" s="408"/>
      <c r="BD450" s="408"/>
      <c r="BE450" s="408"/>
      <c r="BF450" s="408"/>
      <c r="BG450" s="408"/>
      <c r="BH450" s="408"/>
      <c r="BI450" s="408"/>
      <c r="BJ450" s="408"/>
      <c r="BK450" s="408"/>
      <c r="BL450" s="408"/>
      <c r="BM450" s="408"/>
      <c r="BN450" s="408"/>
      <c r="BO450" s="408"/>
      <c r="BP450" s="408"/>
      <c r="BQ450" s="408"/>
      <c r="BR450" s="408"/>
      <c r="BS450" s="408"/>
      <c r="BT450" s="408"/>
      <c r="BU450" s="408"/>
      <c r="BV450" s="408"/>
      <c r="BW450" s="408"/>
      <c r="BX450" s="408"/>
      <c r="BY450" s="408"/>
      <c r="BZ450" s="408"/>
      <c r="CA450" s="408"/>
      <c r="CB450" s="408"/>
      <c r="CC450" s="408"/>
      <c r="CD450" s="408"/>
      <c r="CE450" s="408"/>
      <c r="CF450" s="408"/>
      <c r="CG450" s="408"/>
      <c r="CH450" s="408"/>
      <c r="CI450" s="408"/>
      <c r="CJ450" s="408"/>
      <c r="CK450" s="408"/>
      <c r="CL450" s="408"/>
      <c r="CM450" s="408"/>
      <c r="CN450" s="408"/>
    </row>
    <row r="451">
      <c r="A451" s="408"/>
      <c r="B451" s="408"/>
      <c r="C451" s="408"/>
      <c r="D451" s="408"/>
      <c r="E451" s="408"/>
      <c r="F451" s="408"/>
      <c r="G451" s="408"/>
      <c r="H451" s="408"/>
      <c r="I451" s="408"/>
      <c r="J451" s="408"/>
      <c r="K451" s="408"/>
      <c r="L451" s="408"/>
      <c r="M451" s="408"/>
      <c r="N451" s="408"/>
      <c r="O451" s="408"/>
      <c r="P451" s="408"/>
      <c r="Q451" s="408"/>
      <c r="R451" s="408"/>
      <c r="S451" s="408"/>
      <c r="T451" s="408"/>
      <c r="U451" s="408"/>
      <c r="V451" s="408"/>
      <c r="W451" s="408"/>
      <c r="X451" s="408"/>
      <c r="Y451" s="408"/>
      <c r="Z451" s="408"/>
      <c r="AA451" s="408"/>
      <c r="AB451" s="408"/>
      <c r="AC451" s="408"/>
      <c r="AD451" s="408"/>
      <c r="AE451" s="408"/>
      <c r="AF451" s="408"/>
      <c r="AG451" s="408"/>
      <c r="AH451" s="408"/>
      <c r="AI451" s="408"/>
      <c r="AJ451" s="408"/>
      <c r="AK451" s="408"/>
      <c r="AL451" s="408"/>
      <c r="AM451" s="408"/>
      <c r="AN451" s="408"/>
      <c r="AO451" s="408"/>
      <c r="AP451" s="408"/>
      <c r="AQ451" s="408"/>
      <c r="AR451" s="408"/>
      <c r="AS451" s="408"/>
      <c r="AT451" s="408"/>
      <c r="AU451" s="408"/>
      <c r="AV451" s="408"/>
      <c r="AW451" s="408"/>
      <c r="AX451" s="408"/>
      <c r="AY451" s="408"/>
      <c r="AZ451" s="408"/>
      <c r="BA451" s="408"/>
      <c r="BB451" s="408"/>
      <c r="BC451" s="408"/>
      <c r="BD451" s="408"/>
      <c r="BE451" s="408"/>
      <c r="BF451" s="408"/>
      <c r="BG451" s="408"/>
      <c r="BH451" s="408"/>
      <c r="BI451" s="408"/>
      <c r="BJ451" s="408"/>
      <c r="BK451" s="408"/>
      <c r="BL451" s="408"/>
      <c r="BM451" s="408"/>
      <c r="BN451" s="408"/>
      <c r="BO451" s="408"/>
      <c r="BP451" s="408"/>
      <c r="BQ451" s="408"/>
      <c r="BR451" s="408"/>
      <c r="BS451" s="408"/>
      <c r="BT451" s="408"/>
      <c r="BU451" s="408"/>
      <c r="BV451" s="408"/>
      <c r="BW451" s="408"/>
      <c r="BX451" s="408"/>
      <c r="BY451" s="408"/>
      <c r="BZ451" s="408"/>
      <c r="CA451" s="408"/>
      <c r="CB451" s="408"/>
      <c r="CC451" s="408"/>
      <c r="CD451" s="408"/>
      <c r="CE451" s="408"/>
      <c r="CF451" s="408"/>
      <c r="CG451" s="408"/>
      <c r="CH451" s="408"/>
      <c r="CI451" s="408"/>
      <c r="CJ451" s="408"/>
      <c r="CK451" s="408"/>
      <c r="CL451" s="408"/>
      <c r="CM451" s="408"/>
      <c r="CN451" s="408"/>
    </row>
    <row r="452">
      <c r="A452" s="408"/>
      <c r="B452" s="408"/>
      <c r="C452" s="408"/>
      <c r="D452" s="408"/>
      <c r="E452" s="408"/>
      <c r="F452" s="408"/>
      <c r="G452" s="408"/>
      <c r="H452" s="408"/>
      <c r="I452" s="408"/>
      <c r="J452" s="408"/>
      <c r="K452" s="408"/>
      <c r="L452" s="408"/>
      <c r="M452" s="408"/>
      <c r="N452" s="408"/>
      <c r="O452" s="408"/>
      <c r="P452" s="408"/>
      <c r="Q452" s="408"/>
      <c r="R452" s="408"/>
      <c r="S452" s="408"/>
      <c r="T452" s="408"/>
      <c r="U452" s="408"/>
      <c r="V452" s="408"/>
      <c r="W452" s="408"/>
      <c r="X452" s="408"/>
      <c r="Y452" s="408"/>
      <c r="Z452" s="408"/>
      <c r="AA452" s="408"/>
      <c r="AB452" s="408"/>
      <c r="AC452" s="408"/>
      <c r="AD452" s="408"/>
      <c r="AE452" s="408"/>
      <c r="AF452" s="408"/>
      <c r="AG452" s="408"/>
      <c r="AH452" s="408"/>
      <c r="AI452" s="408"/>
      <c r="AJ452" s="408"/>
      <c r="AK452" s="408"/>
      <c r="AL452" s="408"/>
      <c r="AM452" s="408"/>
      <c r="AN452" s="408"/>
      <c r="AO452" s="408"/>
      <c r="AP452" s="408"/>
      <c r="AQ452" s="408"/>
      <c r="AR452" s="408"/>
      <c r="AS452" s="408"/>
      <c r="AT452" s="408"/>
      <c r="AU452" s="408"/>
      <c r="AV452" s="408"/>
      <c r="AW452" s="408"/>
      <c r="AX452" s="408"/>
      <c r="AY452" s="408"/>
      <c r="AZ452" s="408"/>
      <c r="BA452" s="408"/>
      <c r="BB452" s="408"/>
      <c r="BC452" s="408"/>
      <c r="BD452" s="408"/>
      <c r="BE452" s="408"/>
      <c r="BF452" s="408"/>
      <c r="BG452" s="408"/>
      <c r="BH452" s="408"/>
      <c r="BI452" s="408"/>
      <c r="BJ452" s="408"/>
      <c r="BK452" s="408"/>
      <c r="BL452" s="408"/>
      <c r="BM452" s="408"/>
      <c r="BN452" s="408"/>
      <c r="BO452" s="408"/>
      <c r="BP452" s="408"/>
      <c r="BQ452" s="408"/>
      <c r="BR452" s="408"/>
      <c r="BS452" s="408"/>
      <c r="BT452" s="408"/>
      <c r="BU452" s="408"/>
      <c r="BV452" s="408"/>
      <c r="BW452" s="408"/>
      <c r="BX452" s="408"/>
      <c r="BY452" s="408"/>
      <c r="BZ452" s="408"/>
      <c r="CA452" s="408"/>
      <c r="CB452" s="408"/>
      <c r="CC452" s="408"/>
      <c r="CD452" s="408"/>
      <c r="CE452" s="408"/>
      <c r="CF452" s="408"/>
      <c r="CG452" s="408"/>
      <c r="CH452" s="408"/>
      <c r="CI452" s="408"/>
      <c r="CJ452" s="408"/>
      <c r="CK452" s="408"/>
      <c r="CL452" s="408"/>
      <c r="CM452" s="408"/>
      <c r="CN452" s="408"/>
    </row>
    <row r="453">
      <c r="A453" s="408"/>
      <c r="B453" s="408"/>
      <c r="C453" s="408"/>
      <c r="D453" s="408"/>
      <c r="E453" s="408"/>
      <c r="F453" s="408"/>
      <c r="G453" s="408"/>
      <c r="H453" s="408"/>
      <c r="I453" s="408"/>
      <c r="J453" s="408"/>
      <c r="K453" s="408"/>
      <c r="L453" s="408"/>
      <c r="M453" s="408"/>
      <c r="N453" s="408"/>
      <c r="O453" s="408"/>
      <c r="P453" s="408"/>
      <c r="Q453" s="408"/>
      <c r="R453" s="408"/>
      <c r="S453" s="408"/>
      <c r="T453" s="408"/>
      <c r="U453" s="408"/>
      <c r="V453" s="408"/>
      <c r="W453" s="408"/>
      <c r="X453" s="408"/>
      <c r="Y453" s="408"/>
      <c r="Z453" s="408"/>
      <c r="AA453" s="408"/>
      <c r="AB453" s="408"/>
      <c r="AC453" s="408"/>
      <c r="AD453" s="408"/>
      <c r="AE453" s="408"/>
      <c r="AF453" s="408"/>
      <c r="AG453" s="408"/>
      <c r="AH453" s="408"/>
      <c r="AI453" s="408"/>
      <c r="AJ453" s="408"/>
      <c r="AK453" s="408"/>
      <c r="AL453" s="408"/>
      <c r="AM453" s="408"/>
      <c r="AN453" s="408"/>
      <c r="AO453" s="408"/>
      <c r="AP453" s="408"/>
      <c r="AQ453" s="408"/>
      <c r="AR453" s="408"/>
      <c r="AS453" s="408"/>
      <c r="AT453" s="408"/>
      <c r="AU453" s="408"/>
      <c r="AV453" s="408"/>
      <c r="AW453" s="408"/>
      <c r="AX453" s="408"/>
      <c r="AY453" s="408"/>
      <c r="AZ453" s="408"/>
      <c r="BA453" s="408"/>
      <c r="BB453" s="408"/>
      <c r="BC453" s="408"/>
      <c r="BD453" s="408"/>
      <c r="BE453" s="408"/>
      <c r="BF453" s="408"/>
      <c r="BG453" s="408"/>
      <c r="BH453" s="408"/>
      <c r="BI453" s="408"/>
      <c r="BJ453" s="408"/>
      <c r="BK453" s="408"/>
      <c r="BL453" s="408"/>
      <c r="BM453" s="408"/>
      <c r="BN453" s="408"/>
      <c r="BO453" s="408"/>
      <c r="BP453" s="408"/>
      <c r="BQ453" s="408"/>
      <c r="BR453" s="408"/>
      <c r="BS453" s="408"/>
      <c r="BT453" s="408"/>
      <c r="BU453" s="408"/>
      <c r="BV453" s="408"/>
      <c r="BW453" s="408"/>
      <c r="BX453" s="408"/>
      <c r="BY453" s="408"/>
      <c r="BZ453" s="408"/>
      <c r="CA453" s="408"/>
      <c r="CB453" s="408"/>
      <c r="CC453" s="408"/>
      <c r="CD453" s="408"/>
      <c r="CE453" s="408"/>
      <c r="CF453" s="408"/>
      <c r="CG453" s="408"/>
      <c r="CH453" s="408"/>
      <c r="CI453" s="408"/>
      <c r="CJ453" s="408"/>
      <c r="CK453" s="408"/>
      <c r="CL453" s="408"/>
      <c r="CM453" s="408"/>
      <c r="CN453" s="408"/>
    </row>
    <row r="454">
      <c r="A454" s="408"/>
      <c r="B454" s="408"/>
      <c r="C454" s="408"/>
      <c r="D454" s="408"/>
      <c r="E454" s="408"/>
      <c r="F454" s="408"/>
      <c r="G454" s="408"/>
      <c r="H454" s="408"/>
      <c r="I454" s="408"/>
      <c r="J454" s="408"/>
      <c r="K454" s="408"/>
      <c r="L454" s="408"/>
      <c r="M454" s="408"/>
      <c r="N454" s="408"/>
      <c r="O454" s="408"/>
      <c r="P454" s="408"/>
      <c r="Q454" s="408"/>
      <c r="R454" s="408"/>
      <c r="S454" s="408"/>
      <c r="T454" s="408"/>
      <c r="U454" s="408"/>
      <c r="V454" s="408"/>
      <c r="W454" s="408"/>
      <c r="X454" s="408"/>
      <c r="Y454" s="408"/>
      <c r="Z454" s="408"/>
      <c r="AA454" s="408"/>
      <c r="AB454" s="408"/>
      <c r="AC454" s="408"/>
      <c r="AD454" s="408"/>
      <c r="AE454" s="408"/>
      <c r="AF454" s="408"/>
      <c r="AG454" s="408"/>
      <c r="AH454" s="408"/>
      <c r="AI454" s="408"/>
      <c r="AJ454" s="408"/>
      <c r="AK454" s="408"/>
      <c r="AL454" s="408"/>
      <c r="AM454" s="408"/>
      <c r="AN454" s="408"/>
      <c r="AO454" s="408"/>
      <c r="AP454" s="408"/>
      <c r="AQ454" s="408"/>
      <c r="AR454" s="408"/>
      <c r="AS454" s="408"/>
      <c r="AT454" s="408"/>
      <c r="AU454" s="408"/>
      <c r="AV454" s="408"/>
      <c r="AW454" s="408"/>
      <c r="AX454" s="408"/>
      <c r="AY454" s="408"/>
      <c r="AZ454" s="408"/>
      <c r="BA454" s="408"/>
      <c r="BB454" s="408"/>
      <c r="BC454" s="408"/>
      <c r="BD454" s="408"/>
      <c r="BE454" s="408"/>
      <c r="BF454" s="408"/>
      <c r="BG454" s="408"/>
      <c r="BH454" s="408"/>
      <c r="BI454" s="408"/>
      <c r="BJ454" s="408"/>
      <c r="BK454" s="408"/>
      <c r="BL454" s="408"/>
      <c r="BM454" s="408"/>
      <c r="BN454" s="408"/>
      <c r="BO454" s="408"/>
      <c r="BP454" s="408"/>
      <c r="BQ454" s="408"/>
      <c r="BR454" s="408"/>
      <c r="BS454" s="408"/>
      <c r="BT454" s="408"/>
      <c r="BU454" s="408"/>
      <c r="BV454" s="408"/>
      <c r="BW454" s="408"/>
      <c r="BX454" s="408"/>
      <c r="BY454" s="408"/>
      <c r="BZ454" s="408"/>
      <c r="CA454" s="408"/>
      <c r="CB454" s="408"/>
      <c r="CC454" s="408"/>
      <c r="CD454" s="408"/>
      <c r="CE454" s="408"/>
      <c r="CF454" s="408"/>
      <c r="CG454" s="408"/>
      <c r="CH454" s="408"/>
      <c r="CI454" s="408"/>
      <c r="CJ454" s="408"/>
      <c r="CK454" s="408"/>
      <c r="CL454" s="408"/>
      <c r="CM454" s="408"/>
      <c r="CN454" s="408"/>
    </row>
    <row r="455">
      <c r="A455" s="408"/>
      <c r="B455" s="408"/>
      <c r="C455" s="408"/>
      <c r="D455" s="408"/>
      <c r="E455" s="408"/>
      <c r="F455" s="408"/>
      <c r="G455" s="408"/>
      <c r="H455" s="408"/>
      <c r="I455" s="408"/>
      <c r="J455" s="408"/>
      <c r="K455" s="408"/>
      <c r="L455" s="408"/>
      <c r="M455" s="408"/>
      <c r="N455" s="408"/>
      <c r="O455" s="408"/>
      <c r="P455" s="408"/>
      <c r="Q455" s="408"/>
      <c r="R455" s="408"/>
      <c r="S455" s="408"/>
      <c r="T455" s="408"/>
      <c r="U455" s="408"/>
      <c r="V455" s="408"/>
      <c r="W455" s="408"/>
      <c r="X455" s="408"/>
      <c r="Y455" s="408"/>
      <c r="Z455" s="408"/>
      <c r="AA455" s="408"/>
      <c r="AB455" s="408"/>
      <c r="AC455" s="408"/>
      <c r="AD455" s="408"/>
      <c r="AE455" s="408"/>
      <c r="AF455" s="408"/>
      <c r="AG455" s="408"/>
      <c r="AH455" s="408"/>
      <c r="AI455" s="408"/>
      <c r="AJ455" s="408"/>
      <c r="AK455" s="408"/>
      <c r="AL455" s="408"/>
      <c r="AM455" s="408"/>
      <c r="AN455" s="408"/>
      <c r="AO455" s="408"/>
      <c r="AP455" s="408"/>
      <c r="AQ455" s="408"/>
      <c r="AR455" s="408"/>
      <c r="AS455" s="408"/>
      <c r="AT455" s="408"/>
      <c r="AU455" s="408"/>
      <c r="AV455" s="408"/>
      <c r="AW455" s="408"/>
      <c r="AX455" s="408"/>
      <c r="AY455" s="408"/>
      <c r="AZ455" s="408"/>
      <c r="BA455" s="408"/>
      <c r="BB455" s="408"/>
      <c r="BC455" s="408"/>
      <c r="BD455" s="408"/>
      <c r="BE455" s="408"/>
      <c r="BF455" s="408"/>
      <c r="BG455" s="408"/>
      <c r="BH455" s="408"/>
      <c r="BI455" s="408"/>
      <c r="BJ455" s="408"/>
      <c r="BK455" s="408"/>
      <c r="BL455" s="408"/>
      <c r="BM455" s="408"/>
      <c r="BN455" s="408"/>
      <c r="BO455" s="408"/>
      <c r="BP455" s="408"/>
      <c r="BQ455" s="408"/>
      <c r="BR455" s="408"/>
      <c r="BS455" s="408"/>
      <c r="BT455" s="408"/>
      <c r="BU455" s="408"/>
      <c r="BV455" s="408"/>
      <c r="BW455" s="408"/>
      <c r="BX455" s="408"/>
      <c r="BY455" s="408"/>
      <c r="BZ455" s="408"/>
      <c r="CA455" s="408"/>
      <c r="CB455" s="408"/>
      <c r="CC455" s="408"/>
      <c r="CD455" s="408"/>
      <c r="CE455" s="408"/>
      <c r="CF455" s="408"/>
      <c r="CG455" s="408"/>
      <c r="CH455" s="408"/>
      <c r="CI455" s="408"/>
      <c r="CJ455" s="408"/>
      <c r="CK455" s="408"/>
      <c r="CL455" s="408"/>
      <c r="CM455" s="408"/>
      <c r="CN455" s="408"/>
    </row>
    <row r="456">
      <c r="A456" s="408"/>
      <c r="B456" s="408"/>
      <c r="C456" s="408"/>
      <c r="D456" s="408"/>
      <c r="E456" s="408"/>
      <c r="F456" s="408"/>
      <c r="G456" s="408"/>
      <c r="H456" s="408"/>
      <c r="I456" s="408"/>
      <c r="J456" s="408"/>
      <c r="K456" s="408"/>
      <c r="L456" s="408"/>
      <c r="M456" s="408"/>
      <c r="N456" s="408"/>
      <c r="O456" s="408"/>
      <c r="P456" s="408"/>
      <c r="Q456" s="408"/>
      <c r="R456" s="408"/>
      <c r="S456" s="408"/>
      <c r="T456" s="408"/>
      <c r="U456" s="408"/>
      <c r="V456" s="408"/>
      <c r="W456" s="408"/>
      <c r="X456" s="408"/>
      <c r="Y456" s="408"/>
      <c r="Z456" s="408"/>
      <c r="AA456" s="408"/>
      <c r="AB456" s="408"/>
      <c r="AC456" s="408"/>
      <c r="AD456" s="408"/>
      <c r="AE456" s="408"/>
      <c r="AF456" s="408"/>
      <c r="AG456" s="408"/>
      <c r="AH456" s="408"/>
      <c r="AI456" s="408"/>
      <c r="AJ456" s="408"/>
      <c r="AK456" s="408"/>
      <c r="AL456" s="408"/>
      <c r="AM456" s="408"/>
      <c r="AN456" s="408"/>
      <c r="AO456" s="408"/>
      <c r="AP456" s="408"/>
      <c r="AQ456" s="408"/>
      <c r="AR456" s="408"/>
      <c r="AS456" s="408"/>
      <c r="AT456" s="408"/>
      <c r="AU456" s="408"/>
      <c r="AV456" s="408"/>
      <c r="AW456" s="408"/>
      <c r="AX456" s="408"/>
      <c r="AY456" s="408"/>
      <c r="AZ456" s="408"/>
      <c r="BA456" s="408"/>
      <c r="BB456" s="408"/>
      <c r="BC456" s="408"/>
      <c r="BD456" s="408"/>
      <c r="BE456" s="408"/>
      <c r="BF456" s="408"/>
      <c r="BG456" s="408"/>
      <c r="BH456" s="408"/>
      <c r="BI456" s="408"/>
      <c r="BJ456" s="408"/>
      <c r="BK456" s="408"/>
      <c r="BL456" s="408"/>
      <c r="BM456" s="408"/>
      <c r="BN456" s="408"/>
      <c r="BO456" s="408"/>
      <c r="BP456" s="408"/>
      <c r="BQ456" s="408"/>
      <c r="BR456" s="408"/>
      <c r="BS456" s="408"/>
      <c r="BT456" s="408"/>
      <c r="BU456" s="408"/>
      <c r="BV456" s="408"/>
      <c r="BW456" s="408"/>
      <c r="BX456" s="408"/>
      <c r="BY456" s="408"/>
      <c r="BZ456" s="408"/>
      <c r="CA456" s="408"/>
      <c r="CB456" s="408"/>
      <c r="CC456" s="408"/>
      <c r="CD456" s="408"/>
      <c r="CE456" s="408"/>
      <c r="CF456" s="408"/>
      <c r="CG456" s="408"/>
      <c r="CH456" s="408"/>
      <c r="CI456" s="408"/>
      <c r="CJ456" s="408"/>
      <c r="CK456" s="408"/>
      <c r="CL456" s="408"/>
      <c r="CM456" s="408"/>
      <c r="CN456" s="408"/>
    </row>
    <row r="457">
      <c r="A457" s="408"/>
      <c r="B457" s="408"/>
      <c r="C457" s="408"/>
      <c r="D457" s="408"/>
      <c r="E457" s="408"/>
      <c r="F457" s="408"/>
      <c r="G457" s="408"/>
      <c r="H457" s="408"/>
      <c r="I457" s="408"/>
      <c r="J457" s="408"/>
      <c r="K457" s="408"/>
      <c r="L457" s="408"/>
      <c r="M457" s="408"/>
      <c r="N457" s="408"/>
      <c r="O457" s="408"/>
      <c r="P457" s="408"/>
      <c r="Q457" s="408"/>
      <c r="R457" s="408"/>
      <c r="S457" s="408"/>
      <c r="T457" s="408"/>
      <c r="U457" s="408"/>
      <c r="V457" s="408"/>
      <c r="W457" s="408"/>
      <c r="X457" s="408"/>
      <c r="Y457" s="408"/>
      <c r="Z457" s="408"/>
      <c r="AA457" s="408"/>
      <c r="AB457" s="408"/>
      <c r="AC457" s="408"/>
      <c r="AD457" s="408"/>
      <c r="AE457" s="408"/>
      <c r="AF457" s="408"/>
      <c r="AG457" s="408"/>
      <c r="AH457" s="408"/>
      <c r="AI457" s="408"/>
      <c r="AJ457" s="408"/>
      <c r="AK457" s="408"/>
      <c r="AL457" s="408"/>
      <c r="AM457" s="408"/>
      <c r="AN457" s="408"/>
      <c r="AO457" s="408"/>
      <c r="AP457" s="408"/>
      <c r="AQ457" s="408"/>
      <c r="AR457" s="408"/>
      <c r="AS457" s="408"/>
      <c r="AT457" s="408"/>
      <c r="AU457" s="408"/>
      <c r="AV457" s="408"/>
      <c r="AW457" s="408"/>
      <c r="AX457" s="408"/>
      <c r="AY457" s="408"/>
      <c r="AZ457" s="408"/>
      <c r="BA457" s="408"/>
      <c r="BB457" s="408"/>
      <c r="BC457" s="408"/>
      <c r="BD457" s="408"/>
      <c r="BE457" s="408"/>
      <c r="BF457" s="408"/>
      <c r="BG457" s="408"/>
      <c r="BH457" s="408"/>
      <c r="BI457" s="408"/>
      <c r="BJ457" s="408"/>
      <c r="BK457" s="408"/>
      <c r="BL457" s="408"/>
      <c r="BM457" s="408"/>
      <c r="BN457" s="408"/>
      <c r="BO457" s="408"/>
      <c r="BP457" s="408"/>
      <c r="BQ457" s="408"/>
      <c r="BR457" s="408"/>
      <c r="BS457" s="408"/>
      <c r="BT457" s="408"/>
      <c r="BU457" s="408"/>
      <c r="BV457" s="408"/>
      <c r="BW457" s="408"/>
      <c r="BX457" s="408"/>
      <c r="BY457" s="408"/>
      <c r="BZ457" s="408"/>
      <c r="CA457" s="408"/>
      <c r="CB457" s="408"/>
      <c r="CC457" s="408"/>
      <c r="CD457" s="408"/>
      <c r="CE457" s="408"/>
      <c r="CF457" s="408"/>
      <c r="CG457" s="408"/>
      <c r="CH457" s="408"/>
      <c r="CI457" s="408"/>
      <c r="CJ457" s="408"/>
      <c r="CK457" s="408"/>
      <c r="CL457" s="408"/>
      <c r="CM457" s="408"/>
      <c r="CN457" s="408"/>
    </row>
    <row r="458">
      <c r="A458" s="408"/>
      <c r="B458" s="408"/>
      <c r="C458" s="408"/>
      <c r="D458" s="408"/>
      <c r="E458" s="408"/>
      <c r="F458" s="408"/>
      <c r="G458" s="408"/>
      <c r="H458" s="408"/>
      <c r="I458" s="408"/>
      <c r="J458" s="408"/>
      <c r="K458" s="408"/>
      <c r="L458" s="408"/>
      <c r="M458" s="408"/>
      <c r="N458" s="408"/>
      <c r="O458" s="408"/>
      <c r="P458" s="408"/>
      <c r="Q458" s="408"/>
      <c r="R458" s="408"/>
      <c r="S458" s="408"/>
      <c r="T458" s="408"/>
      <c r="U458" s="408"/>
      <c r="V458" s="408"/>
      <c r="W458" s="408"/>
      <c r="X458" s="408"/>
      <c r="Y458" s="408"/>
      <c r="Z458" s="408"/>
      <c r="AA458" s="408"/>
      <c r="AB458" s="408"/>
      <c r="AC458" s="408"/>
      <c r="AD458" s="408"/>
      <c r="AE458" s="408"/>
      <c r="AF458" s="408"/>
      <c r="AG458" s="408"/>
      <c r="AH458" s="408"/>
      <c r="AI458" s="408"/>
      <c r="AJ458" s="408"/>
      <c r="AK458" s="408"/>
      <c r="AL458" s="408"/>
      <c r="AM458" s="408"/>
      <c r="AN458" s="408"/>
      <c r="AO458" s="408"/>
      <c r="AP458" s="408"/>
      <c r="AQ458" s="408"/>
      <c r="AR458" s="408"/>
      <c r="AS458" s="408"/>
      <c r="AT458" s="408"/>
      <c r="AU458" s="408"/>
      <c r="AV458" s="408"/>
      <c r="AW458" s="408"/>
      <c r="AX458" s="408"/>
      <c r="AY458" s="408"/>
      <c r="AZ458" s="408"/>
      <c r="BA458" s="408"/>
      <c r="BB458" s="408"/>
      <c r="BC458" s="408"/>
      <c r="BD458" s="408"/>
      <c r="BE458" s="408"/>
      <c r="BF458" s="408"/>
      <c r="BG458" s="408"/>
      <c r="BH458" s="408"/>
      <c r="BI458" s="408"/>
      <c r="BJ458" s="408"/>
      <c r="BK458" s="408"/>
      <c r="BL458" s="408"/>
      <c r="BM458" s="408"/>
      <c r="BN458" s="408"/>
      <c r="BO458" s="408"/>
      <c r="BP458" s="408"/>
      <c r="BQ458" s="408"/>
      <c r="BR458" s="408"/>
      <c r="BS458" s="408"/>
      <c r="BT458" s="408"/>
      <c r="BU458" s="408"/>
      <c r="BV458" s="408"/>
      <c r="BW458" s="408"/>
      <c r="BX458" s="408"/>
      <c r="BY458" s="408"/>
      <c r="BZ458" s="408"/>
      <c r="CA458" s="408"/>
      <c r="CB458" s="408"/>
      <c r="CC458" s="408"/>
      <c r="CD458" s="408"/>
      <c r="CE458" s="408"/>
      <c r="CF458" s="408"/>
      <c r="CG458" s="408"/>
      <c r="CH458" s="408"/>
      <c r="CI458" s="408"/>
      <c r="CJ458" s="408"/>
      <c r="CK458" s="408"/>
      <c r="CL458" s="408"/>
      <c r="CM458" s="408"/>
      <c r="CN458" s="408"/>
    </row>
    <row r="459">
      <c r="A459" s="408"/>
      <c r="B459" s="408"/>
      <c r="C459" s="408"/>
      <c r="D459" s="408"/>
      <c r="E459" s="408"/>
      <c r="F459" s="408"/>
      <c r="G459" s="408"/>
      <c r="H459" s="408"/>
      <c r="I459" s="408"/>
      <c r="J459" s="408"/>
      <c r="K459" s="408"/>
      <c r="L459" s="408"/>
      <c r="M459" s="408"/>
      <c r="N459" s="408"/>
      <c r="O459" s="408"/>
      <c r="P459" s="408"/>
      <c r="Q459" s="408"/>
      <c r="R459" s="408"/>
      <c r="S459" s="408"/>
      <c r="T459" s="408"/>
      <c r="U459" s="408"/>
      <c r="V459" s="408"/>
      <c r="W459" s="408"/>
      <c r="X459" s="408"/>
      <c r="Y459" s="408"/>
      <c r="Z459" s="408"/>
      <c r="AA459" s="408"/>
      <c r="AB459" s="408"/>
      <c r="AC459" s="408"/>
      <c r="AD459" s="408"/>
      <c r="AE459" s="408"/>
      <c r="AF459" s="408"/>
      <c r="AG459" s="408"/>
      <c r="AH459" s="408"/>
      <c r="AI459" s="408"/>
      <c r="AJ459" s="408"/>
      <c r="AK459" s="408"/>
      <c r="AL459" s="408"/>
      <c r="AM459" s="408"/>
      <c r="AN459" s="408"/>
      <c r="AO459" s="408"/>
      <c r="AP459" s="408"/>
      <c r="AQ459" s="408"/>
      <c r="AR459" s="408"/>
      <c r="AS459" s="408"/>
      <c r="AT459" s="408"/>
      <c r="AU459" s="408"/>
      <c r="AV459" s="408"/>
      <c r="AW459" s="408"/>
      <c r="AX459" s="408"/>
      <c r="AY459" s="408"/>
      <c r="AZ459" s="408"/>
      <c r="BA459" s="408"/>
      <c r="BB459" s="408"/>
      <c r="BC459" s="408"/>
      <c r="BD459" s="408"/>
      <c r="BE459" s="408"/>
      <c r="BF459" s="408"/>
      <c r="BG459" s="408"/>
      <c r="BH459" s="408"/>
      <c r="BI459" s="408"/>
      <c r="BJ459" s="408"/>
      <c r="BK459" s="408"/>
      <c r="BL459" s="408"/>
      <c r="BM459" s="408"/>
      <c r="BN459" s="408"/>
      <c r="BO459" s="408"/>
      <c r="BP459" s="408"/>
      <c r="BQ459" s="408"/>
      <c r="BR459" s="408"/>
      <c r="BS459" s="408"/>
      <c r="BT459" s="408"/>
      <c r="BU459" s="408"/>
      <c r="BV459" s="408"/>
      <c r="BW459" s="408"/>
      <c r="BX459" s="408"/>
      <c r="BY459" s="408"/>
      <c r="BZ459" s="408"/>
      <c r="CA459" s="408"/>
      <c r="CB459" s="408"/>
      <c r="CC459" s="408"/>
      <c r="CD459" s="408"/>
      <c r="CE459" s="408"/>
      <c r="CF459" s="408"/>
      <c r="CG459" s="408"/>
      <c r="CH459" s="408"/>
      <c r="CI459" s="408"/>
      <c r="CJ459" s="408"/>
      <c r="CK459" s="408"/>
      <c r="CL459" s="408"/>
      <c r="CM459" s="408"/>
      <c r="CN459" s="408"/>
    </row>
    <row r="460">
      <c r="A460" s="408"/>
      <c r="B460" s="408"/>
      <c r="C460" s="408"/>
      <c r="D460" s="408"/>
      <c r="E460" s="408"/>
      <c r="F460" s="408"/>
      <c r="G460" s="408"/>
      <c r="H460" s="408"/>
      <c r="I460" s="408"/>
      <c r="J460" s="408"/>
      <c r="K460" s="408"/>
      <c r="L460" s="408"/>
      <c r="M460" s="408"/>
      <c r="N460" s="408"/>
      <c r="O460" s="408"/>
      <c r="P460" s="408"/>
      <c r="Q460" s="408"/>
      <c r="R460" s="408"/>
      <c r="S460" s="408"/>
      <c r="T460" s="408"/>
      <c r="U460" s="408"/>
      <c r="V460" s="408"/>
      <c r="W460" s="408"/>
      <c r="X460" s="408"/>
      <c r="Y460" s="408"/>
      <c r="Z460" s="408"/>
      <c r="AA460" s="408"/>
      <c r="AB460" s="408"/>
      <c r="AC460" s="408"/>
      <c r="AD460" s="408"/>
      <c r="AE460" s="408"/>
      <c r="AF460" s="408"/>
      <c r="AG460" s="408"/>
      <c r="AH460" s="408"/>
      <c r="AI460" s="408"/>
      <c r="AJ460" s="408"/>
      <c r="AK460" s="408"/>
      <c r="AL460" s="408"/>
      <c r="AM460" s="408"/>
      <c r="AN460" s="408"/>
      <c r="AO460" s="408"/>
      <c r="AP460" s="408"/>
      <c r="AQ460" s="408"/>
      <c r="AR460" s="408"/>
      <c r="AS460" s="408"/>
      <c r="AT460" s="408"/>
      <c r="AU460" s="408"/>
      <c r="AV460" s="408"/>
      <c r="AW460" s="408"/>
      <c r="AX460" s="408"/>
      <c r="AY460" s="408"/>
      <c r="AZ460" s="408"/>
      <c r="BA460" s="408"/>
      <c r="BB460" s="408"/>
      <c r="BC460" s="408"/>
      <c r="BD460" s="408"/>
      <c r="BE460" s="408"/>
      <c r="BF460" s="408"/>
      <c r="BG460" s="408"/>
      <c r="BH460" s="408"/>
      <c r="BI460" s="408"/>
      <c r="BJ460" s="408"/>
      <c r="BK460" s="408"/>
      <c r="BL460" s="408"/>
      <c r="BM460" s="408"/>
      <c r="BN460" s="408"/>
      <c r="BO460" s="408"/>
      <c r="BP460" s="408"/>
      <c r="BQ460" s="408"/>
      <c r="BR460" s="408"/>
      <c r="BS460" s="408"/>
      <c r="BT460" s="408"/>
      <c r="BU460" s="408"/>
      <c r="BV460" s="408"/>
      <c r="BW460" s="408"/>
      <c r="BX460" s="408"/>
      <c r="BY460" s="408"/>
      <c r="BZ460" s="408"/>
      <c r="CA460" s="408"/>
      <c r="CB460" s="408"/>
      <c r="CC460" s="408"/>
      <c r="CD460" s="408"/>
      <c r="CE460" s="408"/>
      <c r="CF460" s="408"/>
      <c r="CG460" s="408"/>
      <c r="CH460" s="408"/>
      <c r="CI460" s="408"/>
      <c r="CJ460" s="408"/>
      <c r="CK460" s="408"/>
      <c r="CL460" s="408"/>
      <c r="CM460" s="408"/>
      <c r="CN460" s="408"/>
    </row>
    <row r="461">
      <c r="A461" s="408"/>
      <c r="B461" s="408"/>
      <c r="C461" s="408"/>
      <c r="D461" s="408"/>
      <c r="E461" s="408"/>
      <c r="F461" s="408"/>
      <c r="G461" s="408"/>
      <c r="H461" s="408"/>
      <c r="I461" s="408"/>
      <c r="J461" s="408"/>
      <c r="K461" s="408"/>
      <c r="L461" s="408"/>
      <c r="M461" s="408"/>
      <c r="N461" s="408"/>
      <c r="O461" s="408"/>
      <c r="P461" s="408"/>
      <c r="Q461" s="408"/>
      <c r="R461" s="408"/>
      <c r="S461" s="408"/>
      <c r="T461" s="408"/>
      <c r="U461" s="408"/>
      <c r="V461" s="408"/>
      <c r="W461" s="408"/>
      <c r="X461" s="408"/>
      <c r="Y461" s="408"/>
      <c r="Z461" s="408"/>
      <c r="AA461" s="408"/>
      <c r="AB461" s="408"/>
      <c r="AC461" s="408"/>
      <c r="AD461" s="408"/>
      <c r="AE461" s="408"/>
      <c r="AF461" s="408"/>
      <c r="AG461" s="408"/>
      <c r="AH461" s="408"/>
      <c r="AI461" s="408"/>
      <c r="AJ461" s="408"/>
      <c r="AK461" s="408"/>
      <c r="AL461" s="408"/>
      <c r="AM461" s="408"/>
      <c r="AN461" s="408"/>
      <c r="AO461" s="408"/>
      <c r="AP461" s="408"/>
      <c r="AQ461" s="408"/>
      <c r="AR461" s="408"/>
      <c r="AS461" s="408"/>
      <c r="AT461" s="408"/>
      <c r="AU461" s="408"/>
      <c r="AV461" s="408"/>
      <c r="AW461" s="408"/>
      <c r="AX461" s="408"/>
      <c r="AY461" s="408"/>
      <c r="AZ461" s="408"/>
      <c r="BA461" s="408"/>
      <c r="BB461" s="408"/>
      <c r="BC461" s="408"/>
      <c r="BD461" s="408"/>
      <c r="BE461" s="408"/>
      <c r="BF461" s="408"/>
      <c r="BG461" s="408"/>
      <c r="BH461" s="408"/>
      <c r="BI461" s="408"/>
      <c r="BJ461" s="408"/>
      <c r="BK461" s="408"/>
      <c r="BL461" s="408"/>
      <c r="BM461" s="408"/>
      <c r="BN461" s="408"/>
      <c r="BO461" s="408"/>
      <c r="BP461" s="408"/>
      <c r="BQ461" s="408"/>
      <c r="BR461" s="408"/>
      <c r="BS461" s="408"/>
      <c r="BT461" s="408"/>
      <c r="BU461" s="408"/>
      <c r="BV461" s="408"/>
      <c r="BW461" s="408"/>
      <c r="BX461" s="408"/>
      <c r="BY461" s="408"/>
      <c r="BZ461" s="408"/>
      <c r="CA461" s="408"/>
      <c r="CB461" s="408"/>
      <c r="CC461" s="408"/>
      <c r="CD461" s="408"/>
      <c r="CE461" s="408"/>
      <c r="CF461" s="408"/>
      <c r="CG461" s="408"/>
      <c r="CH461" s="408"/>
      <c r="CI461" s="408"/>
      <c r="CJ461" s="408"/>
      <c r="CK461" s="408"/>
      <c r="CL461" s="408"/>
      <c r="CM461" s="408"/>
      <c r="CN461" s="408"/>
    </row>
    <row r="462">
      <c r="A462" s="408"/>
      <c r="B462" s="408"/>
      <c r="C462" s="408"/>
      <c r="D462" s="408"/>
      <c r="E462" s="408"/>
      <c r="F462" s="408"/>
      <c r="G462" s="408"/>
      <c r="H462" s="408"/>
      <c r="I462" s="408"/>
      <c r="J462" s="408"/>
      <c r="K462" s="408"/>
      <c r="L462" s="408"/>
      <c r="M462" s="408"/>
      <c r="N462" s="408"/>
      <c r="O462" s="408"/>
      <c r="P462" s="408"/>
      <c r="Q462" s="408"/>
      <c r="R462" s="408"/>
      <c r="S462" s="408"/>
      <c r="T462" s="408"/>
      <c r="U462" s="408"/>
      <c r="V462" s="408"/>
      <c r="W462" s="408"/>
      <c r="X462" s="408"/>
      <c r="Y462" s="408"/>
      <c r="Z462" s="408"/>
      <c r="AA462" s="408"/>
      <c r="AB462" s="408"/>
      <c r="AC462" s="408"/>
      <c r="AD462" s="408"/>
      <c r="AE462" s="408"/>
      <c r="AF462" s="408"/>
      <c r="AG462" s="408"/>
      <c r="AH462" s="408"/>
      <c r="AI462" s="408"/>
      <c r="AJ462" s="408"/>
      <c r="AK462" s="408"/>
      <c r="AL462" s="408"/>
      <c r="AM462" s="408"/>
      <c r="AN462" s="408"/>
      <c r="AO462" s="408"/>
      <c r="AP462" s="408"/>
      <c r="AQ462" s="408"/>
      <c r="AR462" s="408"/>
      <c r="AS462" s="408"/>
      <c r="AT462" s="408"/>
      <c r="AU462" s="408"/>
      <c r="AV462" s="408"/>
      <c r="AW462" s="408"/>
      <c r="AX462" s="408"/>
      <c r="AY462" s="408"/>
      <c r="AZ462" s="408"/>
      <c r="BA462" s="408"/>
      <c r="BB462" s="408"/>
      <c r="BC462" s="408"/>
      <c r="BD462" s="408"/>
      <c r="BE462" s="408"/>
      <c r="BF462" s="408"/>
      <c r="BG462" s="408"/>
      <c r="BH462" s="408"/>
      <c r="BI462" s="408"/>
      <c r="BJ462" s="408"/>
      <c r="BK462" s="408"/>
      <c r="BL462" s="408"/>
      <c r="BM462" s="408"/>
      <c r="BN462" s="408"/>
      <c r="BO462" s="408"/>
      <c r="BP462" s="408"/>
      <c r="BQ462" s="408"/>
      <c r="BR462" s="408"/>
      <c r="BS462" s="408"/>
      <c r="BT462" s="408"/>
      <c r="BU462" s="408"/>
      <c r="BV462" s="408"/>
      <c r="BW462" s="408"/>
      <c r="BX462" s="408"/>
      <c r="BY462" s="408"/>
      <c r="BZ462" s="408"/>
      <c r="CA462" s="408"/>
      <c r="CB462" s="408"/>
      <c r="CC462" s="408"/>
      <c r="CD462" s="408"/>
      <c r="CE462" s="408"/>
      <c r="CF462" s="408"/>
      <c r="CG462" s="408"/>
      <c r="CH462" s="408"/>
      <c r="CI462" s="408"/>
      <c r="CJ462" s="408"/>
      <c r="CK462" s="408"/>
      <c r="CL462" s="408"/>
      <c r="CM462" s="408"/>
      <c r="CN462" s="408"/>
    </row>
    <row r="463">
      <c r="A463" s="408"/>
      <c r="B463" s="408"/>
      <c r="C463" s="408"/>
      <c r="D463" s="408"/>
      <c r="E463" s="408"/>
      <c r="F463" s="408"/>
      <c r="G463" s="408"/>
      <c r="H463" s="408"/>
      <c r="I463" s="408"/>
      <c r="J463" s="408"/>
      <c r="K463" s="408"/>
      <c r="L463" s="408"/>
      <c r="M463" s="408"/>
      <c r="N463" s="408"/>
      <c r="O463" s="408"/>
      <c r="P463" s="408"/>
      <c r="Q463" s="408"/>
      <c r="R463" s="408"/>
      <c r="S463" s="408"/>
      <c r="T463" s="408"/>
      <c r="U463" s="408"/>
      <c r="V463" s="408"/>
      <c r="W463" s="408"/>
      <c r="X463" s="408"/>
      <c r="Y463" s="408"/>
      <c r="Z463" s="408"/>
      <c r="AA463" s="408"/>
      <c r="AB463" s="408"/>
      <c r="AC463" s="408"/>
      <c r="AD463" s="408"/>
      <c r="AE463" s="408"/>
      <c r="AF463" s="408"/>
      <c r="AG463" s="408"/>
      <c r="AH463" s="408"/>
      <c r="AI463" s="408"/>
      <c r="AJ463" s="408"/>
      <c r="AK463" s="408"/>
      <c r="AL463" s="408"/>
      <c r="AM463" s="408"/>
      <c r="AN463" s="408"/>
      <c r="AO463" s="408"/>
      <c r="AP463" s="408"/>
      <c r="AQ463" s="408"/>
      <c r="AR463" s="408"/>
      <c r="AS463" s="408"/>
      <c r="AT463" s="408"/>
      <c r="AU463" s="408"/>
      <c r="AV463" s="408"/>
      <c r="AW463" s="408"/>
      <c r="AX463" s="408"/>
      <c r="AY463" s="408"/>
      <c r="AZ463" s="408"/>
      <c r="BA463" s="408"/>
      <c r="BB463" s="408"/>
      <c r="BC463" s="408"/>
      <c r="BD463" s="408"/>
      <c r="BE463" s="408"/>
      <c r="BF463" s="408"/>
      <c r="BG463" s="408"/>
      <c r="BH463" s="408"/>
      <c r="BI463" s="408"/>
      <c r="BJ463" s="408"/>
      <c r="BK463" s="408"/>
      <c r="BL463" s="408"/>
      <c r="BM463" s="408"/>
      <c r="BN463" s="408"/>
      <c r="BO463" s="408"/>
      <c r="BP463" s="408"/>
      <c r="BQ463" s="408"/>
      <c r="BR463" s="408"/>
      <c r="BS463" s="408"/>
      <c r="BT463" s="408"/>
      <c r="BU463" s="408"/>
      <c r="BV463" s="408"/>
      <c r="BW463" s="408"/>
      <c r="BX463" s="408"/>
      <c r="BY463" s="408"/>
      <c r="BZ463" s="408"/>
      <c r="CA463" s="408"/>
      <c r="CB463" s="408"/>
      <c r="CC463" s="408"/>
      <c r="CD463" s="408"/>
      <c r="CE463" s="408"/>
      <c r="CF463" s="408"/>
      <c r="CG463" s="408"/>
      <c r="CH463" s="408"/>
      <c r="CI463" s="408"/>
      <c r="CJ463" s="408"/>
      <c r="CK463" s="408"/>
      <c r="CL463" s="408"/>
      <c r="CM463" s="408"/>
      <c r="CN463" s="408"/>
    </row>
    <row r="464">
      <c r="A464" s="408"/>
      <c r="B464" s="408"/>
      <c r="C464" s="408"/>
      <c r="D464" s="408"/>
      <c r="E464" s="408"/>
      <c r="F464" s="408"/>
      <c r="G464" s="408"/>
      <c r="H464" s="408"/>
      <c r="I464" s="408"/>
      <c r="J464" s="408"/>
      <c r="K464" s="408"/>
      <c r="L464" s="408"/>
      <c r="M464" s="408"/>
      <c r="N464" s="408"/>
      <c r="O464" s="408"/>
      <c r="P464" s="408"/>
      <c r="Q464" s="408"/>
      <c r="R464" s="408"/>
      <c r="S464" s="408"/>
      <c r="T464" s="408"/>
      <c r="U464" s="408"/>
      <c r="V464" s="408"/>
      <c r="W464" s="408"/>
      <c r="X464" s="408"/>
      <c r="Y464" s="408"/>
      <c r="Z464" s="408"/>
      <c r="AA464" s="408"/>
      <c r="AB464" s="408"/>
      <c r="AC464" s="408"/>
      <c r="AD464" s="408"/>
      <c r="AE464" s="408"/>
      <c r="AF464" s="408"/>
      <c r="AG464" s="408"/>
      <c r="AH464" s="408"/>
      <c r="AI464" s="408"/>
      <c r="AJ464" s="408"/>
      <c r="AK464" s="408"/>
      <c r="AL464" s="408"/>
      <c r="AM464" s="408"/>
      <c r="AN464" s="408"/>
      <c r="AO464" s="408"/>
      <c r="AP464" s="408"/>
      <c r="AQ464" s="408"/>
      <c r="AR464" s="408"/>
      <c r="AS464" s="408"/>
      <c r="AT464" s="408"/>
      <c r="AU464" s="408"/>
      <c r="AV464" s="408"/>
      <c r="AW464" s="408"/>
      <c r="AX464" s="408"/>
      <c r="AY464" s="408"/>
      <c r="AZ464" s="408"/>
      <c r="BA464" s="408"/>
      <c r="BB464" s="408"/>
      <c r="BC464" s="408"/>
      <c r="BD464" s="408"/>
      <c r="BE464" s="408"/>
      <c r="BF464" s="408"/>
      <c r="BG464" s="408"/>
      <c r="BH464" s="408"/>
      <c r="BI464" s="408"/>
      <c r="BJ464" s="408"/>
      <c r="BK464" s="408"/>
      <c r="BL464" s="408"/>
      <c r="BM464" s="408"/>
      <c r="BN464" s="408"/>
      <c r="BO464" s="408"/>
      <c r="BP464" s="408"/>
      <c r="BQ464" s="408"/>
      <c r="BR464" s="408"/>
      <c r="BS464" s="408"/>
      <c r="BT464" s="408"/>
      <c r="BU464" s="408"/>
      <c r="BV464" s="408"/>
      <c r="BW464" s="408"/>
      <c r="BX464" s="408"/>
      <c r="BY464" s="408"/>
      <c r="BZ464" s="408"/>
      <c r="CA464" s="408"/>
      <c r="CB464" s="408"/>
      <c r="CC464" s="408"/>
      <c r="CD464" s="408"/>
      <c r="CE464" s="408"/>
      <c r="CF464" s="408"/>
      <c r="CG464" s="408"/>
      <c r="CH464" s="408"/>
      <c r="CI464" s="408"/>
      <c r="CJ464" s="408"/>
      <c r="CK464" s="408"/>
      <c r="CL464" s="408"/>
      <c r="CM464" s="408"/>
      <c r="CN464" s="408"/>
    </row>
    <row r="465">
      <c r="A465" s="408"/>
      <c r="B465" s="408"/>
      <c r="C465" s="408"/>
      <c r="D465" s="408"/>
      <c r="E465" s="408"/>
      <c r="F465" s="408"/>
      <c r="G465" s="408"/>
      <c r="H465" s="408"/>
      <c r="I465" s="408"/>
      <c r="J465" s="408"/>
      <c r="K465" s="408"/>
      <c r="L465" s="408"/>
      <c r="M465" s="408"/>
      <c r="N465" s="408"/>
      <c r="O465" s="408"/>
      <c r="P465" s="408"/>
      <c r="Q465" s="408"/>
      <c r="R465" s="408"/>
      <c r="S465" s="408"/>
      <c r="T465" s="408"/>
      <c r="U465" s="408"/>
      <c r="V465" s="408"/>
      <c r="W465" s="408"/>
      <c r="X465" s="408"/>
      <c r="Y465" s="408"/>
      <c r="Z465" s="408"/>
      <c r="AA465" s="408"/>
      <c r="AB465" s="408"/>
      <c r="AC465" s="408"/>
      <c r="AD465" s="408"/>
      <c r="AE465" s="408"/>
      <c r="AF465" s="408"/>
      <c r="AG465" s="408"/>
      <c r="AH465" s="408"/>
      <c r="AI465" s="408"/>
      <c r="AJ465" s="408"/>
      <c r="AK465" s="408"/>
      <c r="AL465" s="408"/>
      <c r="AM465" s="408"/>
      <c r="AN465" s="408"/>
      <c r="AO465" s="408"/>
      <c r="AP465" s="408"/>
      <c r="AQ465" s="408"/>
      <c r="AR465" s="408"/>
      <c r="AS465" s="408"/>
      <c r="AT465" s="408"/>
      <c r="AU465" s="408"/>
      <c r="AV465" s="408"/>
      <c r="AW465" s="408"/>
      <c r="AX465" s="408"/>
      <c r="AY465" s="408"/>
      <c r="AZ465" s="408"/>
      <c r="BA465" s="408"/>
      <c r="BB465" s="408"/>
      <c r="BC465" s="408"/>
      <c r="BD465" s="408"/>
      <c r="BE465" s="408"/>
      <c r="BF465" s="408"/>
      <c r="BG465" s="408"/>
      <c r="BH465" s="408"/>
      <c r="BI465" s="408"/>
      <c r="BJ465" s="408"/>
      <c r="BK465" s="408"/>
      <c r="BL465" s="408"/>
      <c r="BM465" s="408"/>
      <c r="BN465" s="408"/>
      <c r="BO465" s="408"/>
      <c r="BP465" s="408"/>
      <c r="BQ465" s="408"/>
      <c r="BR465" s="408"/>
      <c r="BS465" s="408"/>
      <c r="BT465" s="408"/>
      <c r="BU465" s="408"/>
      <c r="BV465" s="408"/>
      <c r="BW465" s="408"/>
      <c r="BX465" s="408"/>
      <c r="BY465" s="408"/>
      <c r="BZ465" s="408"/>
      <c r="CA465" s="408"/>
      <c r="CB465" s="408"/>
      <c r="CC465" s="408"/>
      <c r="CD465" s="408"/>
      <c r="CE465" s="408"/>
      <c r="CF465" s="408"/>
      <c r="CG465" s="408"/>
      <c r="CH465" s="408"/>
      <c r="CI465" s="408"/>
      <c r="CJ465" s="408"/>
      <c r="CK465" s="408"/>
      <c r="CL465" s="408"/>
      <c r="CM465" s="408"/>
      <c r="CN465" s="408"/>
    </row>
    <row r="466">
      <c r="A466" s="408"/>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c r="AA466" s="408"/>
      <c r="AB466" s="408"/>
      <c r="AC466" s="408"/>
      <c r="AD466" s="408"/>
      <c r="AE466" s="408"/>
      <c r="AF466" s="408"/>
      <c r="AG466" s="408"/>
      <c r="AH466" s="408"/>
      <c r="AI466" s="408"/>
      <c r="AJ466" s="408"/>
      <c r="AK466" s="408"/>
      <c r="AL466" s="408"/>
      <c r="AM466" s="408"/>
      <c r="AN466" s="408"/>
      <c r="AO466" s="408"/>
      <c r="AP466" s="408"/>
      <c r="AQ466" s="408"/>
      <c r="AR466" s="408"/>
      <c r="AS466" s="408"/>
      <c r="AT466" s="408"/>
      <c r="AU466" s="408"/>
      <c r="AV466" s="408"/>
      <c r="AW466" s="408"/>
      <c r="AX466" s="408"/>
      <c r="AY466" s="408"/>
      <c r="AZ466" s="408"/>
      <c r="BA466" s="408"/>
      <c r="BB466" s="408"/>
      <c r="BC466" s="408"/>
      <c r="BD466" s="408"/>
      <c r="BE466" s="408"/>
      <c r="BF466" s="408"/>
      <c r="BG466" s="408"/>
      <c r="BH466" s="408"/>
      <c r="BI466" s="408"/>
      <c r="BJ466" s="408"/>
      <c r="BK466" s="408"/>
      <c r="BL466" s="408"/>
      <c r="BM466" s="408"/>
      <c r="BN466" s="408"/>
      <c r="BO466" s="408"/>
      <c r="BP466" s="408"/>
      <c r="BQ466" s="408"/>
      <c r="BR466" s="408"/>
      <c r="BS466" s="408"/>
      <c r="BT466" s="408"/>
      <c r="BU466" s="408"/>
      <c r="BV466" s="408"/>
      <c r="BW466" s="408"/>
      <c r="BX466" s="408"/>
      <c r="BY466" s="408"/>
      <c r="BZ466" s="408"/>
      <c r="CA466" s="408"/>
      <c r="CB466" s="408"/>
      <c r="CC466" s="408"/>
      <c r="CD466" s="408"/>
      <c r="CE466" s="408"/>
      <c r="CF466" s="408"/>
      <c r="CG466" s="408"/>
      <c r="CH466" s="408"/>
      <c r="CI466" s="408"/>
      <c r="CJ466" s="408"/>
      <c r="CK466" s="408"/>
      <c r="CL466" s="408"/>
      <c r="CM466" s="408"/>
      <c r="CN466" s="408"/>
    </row>
    <row r="467">
      <c r="A467" s="408"/>
      <c r="B467" s="408"/>
      <c r="C467" s="408"/>
      <c r="D467" s="408"/>
      <c r="E467" s="408"/>
      <c r="F467" s="408"/>
      <c r="G467" s="408"/>
      <c r="H467" s="408"/>
      <c r="I467" s="408"/>
      <c r="J467" s="408"/>
      <c r="K467" s="408"/>
      <c r="L467" s="408"/>
      <c r="M467" s="408"/>
      <c r="N467" s="408"/>
      <c r="O467" s="408"/>
      <c r="P467" s="408"/>
      <c r="Q467" s="408"/>
      <c r="R467" s="408"/>
      <c r="S467" s="408"/>
      <c r="T467" s="408"/>
      <c r="U467" s="408"/>
      <c r="V467" s="408"/>
      <c r="W467" s="408"/>
      <c r="X467" s="408"/>
      <c r="Y467" s="408"/>
      <c r="Z467" s="408"/>
      <c r="AA467" s="408"/>
      <c r="AB467" s="408"/>
      <c r="AC467" s="408"/>
      <c r="AD467" s="408"/>
      <c r="AE467" s="408"/>
      <c r="AF467" s="408"/>
      <c r="AG467" s="408"/>
      <c r="AH467" s="408"/>
      <c r="AI467" s="408"/>
      <c r="AJ467" s="408"/>
      <c r="AK467" s="408"/>
      <c r="AL467" s="408"/>
      <c r="AM467" s="408"/>
      <c r="AN467" s="408"/>
      <c r="AO467" s="408"/>
      <c r="AP467" s="408"/>
      <c r="AQ467" s="408"/>
      <c r="AR467" s="408"/>
      <c r="AS467" s="408"/>
      <c r="AT467" s="408"/>
      <c r="AU467" s="408"/>
      <c r="AV467" s="408"/>
      <c r="AW467" s="408"/>
      <c r="AX467" s="408"/>
      <c r="AY467" s="408"/>
      <c r="AZ467" s="408"/>
      <c r="BA467" s="408"/>
      <c r="BB467" s="408"/>
      <c r="BC467" s="408"/>
      <c r="BD467" s="408"/>
      <c r="BE467" s="408"/>
      <c r="BF467" s="408"/>
      <c r="BG467" s="408"/>
      <c r="BH467" s="408"/>
      <c r="BI467" s="408"/>
      <c r="BJ467" s="408"/>
      <c r="BK467" s="408"/>
      <c r="BL467" s="408"/>
      <c r="BM467" s="408"/>
      <c r="BN467" s="408"/>
      <c r="BO467" s="408"/>
      <c r="BP467" s="408"/>
      <c r="BQ467" s="408"/>
      <c r="BR467" s="408"/>
      <c r="BS467" s="408"/>
      <c r="BT467" s="408"/>
      <c r="BU467" s="408"/>
      <c r="BV467" s="408"/>
      <c r="BW467" s="408"/>
      <c r="BX467" s="408"/>
      <c r="BY467" s="408"/>
      <c r="BZ467" s="408"/>
      <c r="CA467" s="408"/>
      <c r="CB467" s="408"/>
      <c r="CC467" s="408"/>
      <c r="CD467" s="408"/>
      <c r="CE467" s="408"/>
      <c r="CF467" s="408"/>
      <c r="CG467" s="408"/>
      <c r="CH467" s="408"/>
      <c r="CI467" s="408"/>
      <c r="CJ467" s="408"/>
      <c r="CK467" s="408"/>
      <c r="CL467" s="408"/>
      <c r="CM467" s="408"/>
      <c r="CN467" s="408"/>
    </row>
    <row r="468">
      <c r="A468" s="408"/>
      <c r="B468" s="408"/>
      <c r="C468" s="408"/>
      <c r="D468" s="408"/>
      <c r="E468" s="408"/>
      <c r="F468" s="408"/>
      <c r="G468" s="408"/>
      <c r="H468" s="408"/>
      <c r="I468" s="408"/>
      <c r="J468" s="408"/>
      <c r="K468" s="408"/>
      <c r="L468" s="408"/>
      <c r="M468" s="408"/>
      <c r="N468" s="408"/>
      <c r="O468" s="408"/>
      <c r="P468" s="408"/>
      <c r="Q468" s="408"/>
      <c r="R468" s="408"/>
      <c r="S468" s="408"/>
      <c r="T468" s="408"/>
      <c r="U468" s="408"/>
      <c r="V468" s="408"/>
      <c r="W468" s="408"/>
      <c r="X468" s="408"/>
      <c r="Y468" s="408"/>
      <c r="Z468" s="408"/>
      <c r="AA468" s="408"/>
      <c r="AB468" s="408"/>
      <c r="AC468" s="408"/>
      <c r="AD468" s="408"/>
      <c r="AE468" s="408"/>
      <c r="AF468" s="408"/>
      <c r="AG468" s="408"/>
      <c r="AH468" s="408"/>
      <c r="AI468" s="408"/>
      <c r="AJ468" s="408"/>
      <c r="AK468" s="408"/>
      <c r="AL468" s="408"/>
      <c r="AM468" s="408"/>
      <c r="AN468" s="408"/>
      <c r="AO468" s="408"/>
      <c r="AP468" s="408"/>
      <c r="AQ468" s="408"/>
      <c r="AR468" s="408"/>
      <c r="AS468" s="408"/>
      <c r="AT468" s="408"/>
      <c r="AU468" s="408"/>
      <c r="AV468" s="408"/>
      <c r="AW468" s="408"/>
      <c r="AX468" s="408"/>
      <c r="AY468" s="408"/>
      <c r="AZ468" s="408"/>
      <c r="BA468" s="408"/>
      <c r="BB468" s="408"/>
      <c r="BC468" s="408"/>
      <c r="BD468" s="408"/>
      <c r="BE468" s="408"/>
      <c r="BF468" s="408"/>
      <c r="BG468" s="408"/>
      <c r="BH468" s="408"/>
      <c r="BI468" s="408"/>
      <c r="BJ468" s="408"/>
      <c r="BK468" s="408"/>
      <c r="BL468" s="408"/>
      <c r="BM468" s="408"/>
      <c r="BN468" s="408"/>
      <c r="BO468" s="408"/>
      <c r="BP468" s="408"/>
      <c r="BQ468" s="408"/>
      <c r="BR468" s="408"/>
      <c r="BS468" s="408"/>
      <c r="BT468" s="408"/>
      <c r="BU468" s="408"/>
      <c r="BV468" s="408"/>
      <c r="BW468" s="408"/>
      <c r="BX468" s="408"/>
      <c r="BY468" s="408"/>
      <c r="BZ468" s="408"/>
      <c r="CA468" s="408"/>
      <c r="CB468" s="408"/>
      <c r="CC468" s="408"/>
      <c r="CD468" s="408"/>
      <c r="CE468" s="408"/>
      <c r="CF468" s="408"/>
      <c r="CG468" s="408"/>
      <c r="CH468" s="408"/>
      <c r="CI468" s="408"/>
      <c r="CJ468" s="408"/>
      <c r="CK468" s="408"/>
      <c r="CL468" s="408"/>
      <c r="CM468" s="408"/>
      <c r="CN468" s="408"/>
    </row>
    <row r="469">
      <c r="A469" s="408"/>
      <c r="B469" s="408"/>
      <c r="C469" s="408"/>
      <c r="D469" s="408"/>
      <c r="E469" s="408"/>
      <c r="F469" s="408"/>
      <c r="G469" s="408"/>
      <c r="H469" s="408"/>
      <c r="I469" s="408"/>
      <c r="J469" s="408"/>
      <c r="K469" s="408"/>
      <c r="L469" s="408"/>
      <c r="M469" s="408"/>
      <c r="N469" s="408"/>
      <c r="O469" s="408"/>
      <c r="P469" s="408"/>
      <c r="Q469" s="408"/>
      <c r="R469" s="408"/>
      <c r="S469" s="408"/>
      <c r="T469" s="408"/>
      <c r="U469" s="408"/>
      <c r="V469" s="408"/>
      <c r="W469" s="408"/>
      <c r="X469" s="408"/>
      <c r="Y469" s="408"/>
      <c r="Z469" s="408"/>
      <c r="AA469" s="408"/>
      <c r="AB469" s="408"/>
      <c r="AC469" s="408"/>
      <c r="AD469" s="408"/>
      <c r="AE469" s="408"/>
      <c r="AF469" s="408"/>
      <c r="AG469" s="408"/>
      <c r="AH469" s="408"/>
      <c r="AI469" s="408"/>
      <c r="AJ469" s="408"/>
      <c r="AK469" s="408"/>
      <c r="AL469" s="408"/>
      <c r="AM469" s="408"/>
      <c r="AN469" s="408"/>
      <c r="AO469" s="408"/>
      <c r="AP469" s="408"/>
      <c r="AQ469" s="408"/>
      <c r="AR469" s="408"/>
      <c r="AS469" s="408"/>
      <c r="AT469" s="408"/>
      <c r="AU469" s="408"/>
      <c r="AV469" s="408"/>
      <c r="AW469" s="408"/>
      <c r="AX469" s="408"/>
      <c r="AY469" s="408"/>
      <c r="AZ469" s="408"/>
      <c r="BA469" s="408"/>
      <c r="BB469" s="408"/>
      <c r="BC469" s="408"/>
      <c r="BD469" s="408"/>
      <c r="BE469" s="408"/>
      <c r="BF469" s="408"/>
      <c r="BG469" s="408"/>
      <c r="BH469" s="408"/>
      <c r="BI469" s="408"/>
      <c r="BJ469" s="408"/>
      <c r="BK469" s="408"/>
      <c r="BL469" s="408"/>
      <c r="BM469" s="408"/>
      <c r="BN469" s="408"/>
      <c r="BO469" s="408"/>
      <c r="BP469" s="408"/>
      <c r="BQ469" s="408"/>
      <c r="BR469" s="408"/>
      <c r="BS469" s="408"/>
      <c r="BT469" s="408"/>
      <c r="BU469" s="408"/>
      <c r="BV469" s="408"/>
      <c r="BW469" s="408"/>
      <c r="BX469" s="408"/>
      <c r="BY469" s="408"/>
      <c r="BZ469" s="408"/>
      <c r="CA469" s="408"/>
      <c r="CB469" s="408"/>
      <c r="CC469" s="408"/>
      <c r="CD469" s="408"/>
      <c r="CE469" s="408"/>
      <c r="CF469" s="408"/>
      <c r="CG469" s="408"/>
      <c r="CH469" s="408"/>
      <c r="CI469" s="408"/>
      <c r="CJ469" s="408"/>
      <c r="CK469" s="408"/>
      <c r="CL469" s="408"/>
      <c r="CM469" s="408"/>
      <c r="CN469" s="408"/>
    </row>
    <row r="470">
      <c r="A470" s="408"/>
      <c r="B470" s="408"/>
      <c r="C470" s="408"/>
      <c r="D470" s="408"/>
      <c r="E470" s="408"/>
      <c r="F470" s="408"/>
      <c r="G470" s="408"/>
      <c r="H470" s="408"/>
      <c r="I470" s="408"/>
      <c r="J470" s="408"/>
      <c r="K470" s="408"/>
      <c r="L470" s="408"/>
      <c r="M470" s="408"/>
      <c r="N470" s="408"/>
      <c r="O470" s="408"/>
      <c r="P470" s="408"/>
      <c r="Q470" s="408"/>
      <c r="R470" s="408"/>
      <c r="S470" s="408"/>
      <c r="T470" s="408"/>
      <c r="U470" s="408"/>
      <c r="V470" s="408"/>
      <c r="W470" s="408"/>
      <c r="X470" s="408"/>
      <c r="Y470" s="408"/>
      <c r="Z470" s="408"/>
      <c r="AA470" s="408"/>
      <c r="AB470" s="408"/>
      <c r="AC470" s="408"/>
      <c r="AD470" s="408"/>
      <c r="AE470" s="408"/>
      <c r="AF470" s="408"/>
      <c r="AG470" s="408"/>
      <c r="AH470" s="408"/>
      <c r="AI470" s="408"/>
      <c r="AJ470" s="408"/>
      <c r="AK470" s="408"/>
      <c r="AL470" s="408"/>
      <c r="AM470" s="408"/>
      <c r="AN470" s="408"/>
      <c r="AO470" s="408"/>
      <c r="AP470" s="408"/>
      <c r="AQ470" s="408"/>
      <c r="AR470" s="408"/>
      <c r="AS470" s="408"/>
      <c r="AT470" s="408"/>
      <c r="AU470" s="408"/>
      <c r="AV470" s="408"/>
      <c r="AW470" s="408"/>
      <c r="AX470" s="408"/>
      <c r="AY470" s="408"/>
      <c r="AZ470" s="408"/>
      <c r="BA470" s="408"/>
      <c r="BB470" s="408"/>
      <c r="BC470" s="408"/>
      <c r="BD470" s="408"/>
      <c r="BE470" s="408"/>
      <c r="BF470" s="408"/>
      <c r="BG470" s="408"/>
      <c r="BH470" s="408"/>
      <c r="BI470" s="408"/>
      <c r="BJ470" s="408"/>
      <c r="BK470" s="408"/>
      <c r="BL470" s="408"/>
      <c r="BM470" s="408"/>
      <c r="BN470" s="408"/>
      <c r="BO470" s="408"/>
      <c r="BP470" s="408"/>
      <c r="BQ470" s="408"/>
      <c r="BR470" s="408"/>
      <c r="BS470" s="408"/>
      <c r="BT470" s="408"/>
      <c r="BU470" s="408"/>
      <c r="BV470" s="408"/>
      <c r="BW470" s="408"/>
      <c r="BX470" s="408"/>
      <c r="BY470" s="408"/>
      <c r="BZ470" s="408"/>
      <c r="CA470" s="408"/>
      <c r="CB470" s="408"/>
      <c r="CC470" s="408"/>
      <c r="CD470" s="408"/>
      <c r="CE470" s="408"/>
      <c r="CF470" s="408"/>
      <c r="CG470" s="408"/>
      <c r="CH470" s="408"/>
      <c r="CI470" s="408"/>
      <c r="CJ470" s="408"/>
      <c r="CK470" s="408"/>
      <c r="CL470" s="408"/>
      <c r="CM470" s="408"/>
      <c r="CN470" s="408"/>
    </row>
    <row r="471">
      <c r="A471" s="408"/>
      <c r="B471" s="408"/>
      <c r="C471" s="408"/>
      <c r="D471" s="408"/>
      <c r="E471" s="408"/>
      <c r="F471" s="408"/>
      <c r="G471" s="408"/>
      <c r="H471" s="408"/>
      <c r="I471" s="408"/>
      <c r="J471" s="408"/>
      <c r="K471" s="408"/>
      <c r="L471" s="408"/>
      <c r="M471" s="408"/>
      <c r="N471" s="408"/>
      <c r="O471" s="408"/>
      <c r="P471" s="408"/>
      <c r="Q471" s="408"/>
      <c r="R471" s="408"/>
      <c r="S471" s="408"/>
      <c r="T471" s="408"/>
      <c r="U471" s="408"/>
      <c r="V471" s="408"/>
      <c r="W471" s="408"/>
      <c r="X471" s="408"/>
      <c r="Y471" s="408"/>
      <c r="Z471" s="408"/>
      <c r="AA471" s="408"/>
      <c r="AB471" s="408"/>
      <c r="AC471" s="408"/>
      <c r="AD471" s="408"/>
      <c r="AE471" s="408"/>
      <c r="AF471" s="408"/>
      <c r="AG471" s="408"/>
      <c r="AH471" s="408"/>
      <c r="AI471" s="408"/>
      <c r="AJ471" s="408"/>
      <c r="AK471" s="408"/>
      <c r="AL471" s="408"/>
      <c r="AM471" s="408"/>
      <c r="AN471" s="408"/>
      <c r="AO471" s="408"/>
      <c r="AP471" s="408"/>
      <c r="AQ471" s="408"/>
      <c r="AR471" s="408"/>
      <c r="AS471" s="408"/>
      <c r="AT471" s="408"/>
      <c r="AU471" s="408"/>
      <c r="AV471" s="408"/>
      <c r="AW471" s="408"/>
      <c r="AX471" s="408"/>
      <c r="AY471" s="408"/>
      <c r="AZ471" s="408"/>
      <c r="BA471" s="408"/>
      <c r="BB471" s="408"/>
      <c r="BC471" s="408"/>
      <c r="BD471" s="408"/>
      <c r="BE471" s="408"/>
      <c r="BF471" s="408"/>
      <c r="BG471" s="408"/>
      <c r="BH471" s="408"/>
      <c r="BI471" s="408"/>
      <c r="BJ471" s="408"/>
      <c r="BK471" s="408"/>
      <c r="BL471" s="408"/>
      <c r="BM471" s="408"/>
      <c r="BN471" s="408"/>
      <c r="BO471" s="408"/>
      <c r="BP471" s="408"/>
      <c r="BQ471" s="408"/>
      <c r="BR471" s="408"/>
      <c r="BS471" s="408"/>
      <c r="BT471" s="408"/>
      <c r="BU471" s="408"/>
      <c r="BV471" s="408"/>
      <c r="BW471" s="408"/>
      <c r="BX471" s="408"/>
      <c r="BY471" s="408"/>
      <c r="BZ471" s="408"/>
      <c r="CA471" s="408"/>
      <c r="CB471" s="408"/>
      <c r="CC471" s="408"/>
      <c r="CD471" s="408"/>
      <c r="CE471" s="408"/>
      <c r="CF471" s="408"/>
      <c r="CG471" s="408"/>
      <c r="CH471" s="408"/>
      <c r="CI471" s="408"/>
      <c r="CJ471" s="408"/>
      <c r="CK471" s="408"/>
      <c r="CL471" s="408"/>
      <c r="CM471" s="408"/>
      <c r="CN471" s="408"/>
    </row>
    <row r="472">
      <c r="A472" s="408"/>
      <c r="B472" s="408"/>
      <c r="C472" s="408"/>
      <c r="D472" s="408"/>
      <c r="E472" s="408"/>
      <c r="F472" s="408"/>
      <c r="G472" s="408"/>
      <c r="H472" s="408"/>
      <c r="I472" s="408"/>
      <c r="J472" s="408"/>
      <c r="K472" s="408"/>
      <c r="L472" s="408"/>
      <c r="M472" s="408"/>
      <c r="N472" s="408"/>
      <c r="O472" s="408"/>
      <c r="P472" s="408"/>
      <c r="Q472" s="408"/>
      <c r="R472" s="408"/>
      <c r="S472" s="408"/>
      <c r="T472" s="408"/>
      <c r="U472" s="408"/>
      <c r="V472" s="408"/>
      <c r="W472" s="408"/>
      <c r="X472" s="408"/>
      <c r="Y472" s="408"/>
      <c r="Z472" s="408"/>
      <c r="AA472" s="408"/>
      <c r="AB472" s="408"/>
      <c r="AC472" s="408"/>
      <c r="AD472" s="408"/>
      <c r="AE472" s="408"/>
      <c r="AF472" s="408"/>
      <c r="AG472" s="408"/>
      <c r="AH472" s="408"/>
      <c r="AI472" s="408"/>
      <c r="AJ472" s="408"/>
      <c r="AK472" s="408"/>
      <c r="AL472" s="408"/>
      <c r="AM472" s="408"/>
      <c r="AN472" s="408"/>
      <c r="AO472" s="408"/>
      <c r="AP472" s="408"/>
      <c r="AQ472" s="408"/>
      <c r="AR472" s="408"/>
      <c r="AS472" s="408"/>
      <c r="AT472" s="408"/>
      <c r="AU472" s="408"/>
      <c r="AV472" s="408"/>
      <c r="AW472" s="408"/>
      <c r="AX472" s="408"/>
      <c r="AY472" s="408"/>
      <c r="AZ472" s="408"/>
      <c r="BA472" s="408"/>
      <c r="BB472" s="408"/>
      <c r="BC472" s="408"/>
      <c r="BD472" s="408"/>
      <c r="BE472" s="408"/>
      <c r="BF472" s="408"/>
      <c r="BG472" s="408"/>
      <c r="BH472" s="408"/>
      <c r="BI472" s="408"/>
      <c r="BJ472" s="408"/>
      <c r="BK472" s="408"/>
      <c r="BL472" s="408"/>
      <c r="BM472" s="408"/>
      <c r="BN472" s="408"/>
      <c r="BO472" s="408"/>
      <c r="BP472" s="408"/>
      <c r="BQ472" s="408"/>
      <c r="BR472" s="408"/>
      <c r="BS472" s="408"/>
      <c r="BT472" s="408"/>
      <c r="BU472" s="408"/>
      <c r="BV472" s="408"/>
      <c r="BW472" s="408"/>
      <c r="BX472" s="408"/>
      <c r="BY472" s="408"/>
      <c r="BZ472" s="408"/>
      <c r="CA472" s="408"/>
      <c r="CB472" s="408"/>
      <c r="CC472" s="408"/>
      <c r="CD472" s="408"/>
      <c r="CE472" s="408"/>
      <c r="CF472" s="408"/>
      <c r="CG472" s="408"/>
      <c r="CH472" s="408"/>
      <c r="CI472" s="408"/>
      <c r="CJ472" s="408"/>
      <c r="CK472" s="408"/>
      <c r="CL472" s="408"/>
      <c r="CM472" s="408"/>
      <c r="CN472" s="408"/>
    </row>
    <row r="473">
      <c r="A473" s="408"/>
      <c r="B473" s="408"/>
      <c r="C473" s="408"/>
      <c r="D473" s="408"/>
      <c r="E473" s="408"/>
      <c r="F473" s="408"/>
      <c r="G473" s="408"/>
      <c r="H473" s="408"/>
      <c r="I473" s="408"/>
      <c r="J473" s="408"/>
      <c r="K473" s="408"/>
      <c r="L473" s="408"/>
      <c r="M473" s="408"/>
      <c r="N473" s="408"/>
      <c r="O473" s="408"/>
      <c r="P473" s="408"/>
      <c r="Q473" s="408"/>
      <c r="R473" s="408"/>
      <c r="S473" s="408"/>
      <c r="T473" s="408"/>
      <c r="U473" s="408"/>
      <c r="V473" s="408"/>
      <c r="W473" s="408"/>
      <c r="X473" s="408"/>
      <c r="Y473" s="408"/>
      <c r="Z473" s="408"/>
      <c r="AA473" s="408"/>
      <c r="AB473" s="408"/>
      <c r="AC473" s="408"/>
      <c r="AD473" s="408"/>
      <c r="AE473" s="408"/>
      <c r="AF473" s="408"/>
      <c r="AG473" s="408"/>
      <c r="AH473" s="408"/>
      <c r="AI473" s="408"/>
      <c r="AJ473" s="408"/>
      <c r="AK473" s="408"/>
      <c r="AL473" s="408"/>
      <c r="AM473" s="408"/>
      <c r="AN473" s="408"/>
      <c r="AO473" s="408"/>
      <c r="AP473" s="408"/>
      <c r="AQ473" s="408"/>
      <c r="AR473" s="408"/>
      <c r="AS473" s="408"/>
      <c r="AT473" s="408"/>
      <c r="AU473" s="408"/>
      <c r="AV473" s="408"/>
      <c r="AW473" s="408"/>
      <c r="AX473" s="408"/>
      <c r="AY473" s="408"/>
      <c r="AZ473" s="408"/>
      <c r="BA473" s="408"/>
      <c r="BB473" s="408"/>
      <c r="BC473" s="408"/>
      <c r="BD473" s="408"/>
      <c r="BE473" s="408"/>
      <c r="BF473" s="408"/>
      <c r="BG473" s="408"/>
      <c r="BH473" s="408"/>
      <c r="BI473" s="408"/>
      <c r="BJ473" s="408"/>
      <c r="BK473" s="408"/>
      <c r="BL473" s="408"/>
      <c r="BM473" s="408"/>
      <c r="BN473" s="408"/>
      <c r="BO473" s="408"/>
      <c r="BP473" s="408"/>
      <c r="BQ473" s="408"/>
      <c r="BR473" s="408"/>
      <c r="BS473" s="408"/>
      <c r="BT473" s="408"/>
      <c r="BU473" s="408"/>
      <c r="BV473" s="408"/>
      <c r="BW473" s="408"/>
      <c r="BX473" s="408"/>
      <c r="BY473" s="408"/>
      <c r="BZ473" s="408"/>
      <c r="CA473" s="408"/>
      <c r="CB473" s="408"/>
      <c r="CC473" s="408"/>
      <c r="CD473" s="408"/>
      <c r="CE473" s="408"/>
      <c r="CF473" s="408"/>
      <c r="CG473" s="408"/>
      <c r="CH473" s="408"/>
      <c r="CI473" s="408"/>
      <c r="CJ473" s="408"/>
      <c r="CK473" s="408"/>
      <c r="CL473" s="408"/>
      <c r="CM473" s="408"/>
      <c r="CN473" s="408"/>
    </row>
    <row r="474">
      <c r="A474" s="408"/>
      <c r="B474" s="408"/>
      <c r="C474" s="408"/>
      <c r="D474" s="408"/>
      <c r="E474" s="408"/>
      <c r="F474" s="408"/>
      <c r="G474" s="408"/>
      <c r="H474" s="408"/>
      <c r="I474" s="408"/>
      <c r="J474" s="408"/>
      <c r="K474" s="408"/>
      <c r="L474" s="408"/>
      <c r="M474" s="408"/>
      <c r="N474" s="408"/>
      <c r="O474" s="408"/>
      <c r="P474" s="408"/>
      <c r="Q474" s="408"/>
      <c r="R474" s="408"/>
      <c r="S474" s="408"/>
      <c r="T474" s="408"/>
      <c r="U474" s="408"/>
      <c r="V474" s="408"/>
      <c r="W474" s="408"/>
      <c r="X474" s="408"/>
      <c r="Y474" s="408"/>
      <c r="Z474" s="408"/>
      <c r="AA474" s="408"/>
      <c r="AB474" s="408"/>
      <c r="AC474" s="408"/>
      <c r="AD474" s="408"/>
      <c r="AE474" s="408"/>
      <c r="AF474" s="408"/>
      <c r="AG474" s="408"/>
      <c r="AH474" s="408"/>
      <c r="AI474" s="408"/>
      <c r="AJ474" s="408"/>
      <c r="AK474" s="408"/>
      <c r="AL474" s="408"/>
      <c r="AM474" s="408"/>
      <c r="AN474" s="408"/>
      <c r="AO474" s="408"/>
      <c r="AP474" s="408"/>
      <c r="AQ474" s="408"/>
      <c r="AR474" s="408"/>
      <c r="AS474" s="408"/>
      <c r="AT474" s="408"/>
      <c r="AU474" s="408"/>
      <c r="AV474" s="408"/>
      <c r="AW474" s="408"/>
      <c r="AX474" s="408"/>
      <c r="AY474" s="408"/>
      <c r="AZ474" s="408"/>
      <c r="BA474" s="408"/>
      <c r="BB474" s="408"/>
      <c r="BC474" s="408"/>
      <c r="BD474" s="408"/>
      <c r="BE474" s="408"/>
      <c r="BF474" s="408"/>
      <c r="BG474" s="408"/>
      <c r="BH474" s="408"/>
      <c r="BI474" s="408"/>
      <c r="BJ474" s="408"/>
      <c r="BK474" s="408"/>
      <c r="BL474" s="408"/>
      <c r="BM474" s="408"/>
      <c r="BN474" s="408"/>
      <c r="BO474" s="408"/>
      <c r="BP474" s="408"/>
      <c r="BQ474" s="408"/>
      <c r="BR474" s="408"/>
      <c r="BS474" s="408"/>
      <c r="BT474" s="408"/>
      <c r="BU474" s="408"/>
      <c r="BV474" s="408"/>
      <c r="BW474" s="408"/>
      <c r="BX474" s="408"/>
      <c r="BY474" s="408"/>
      <c r="BZ474" s="408"/>
      <c r="CA474" s="408"/>
      <c r="CB474" s="408"/>
      <c r="CC474" s="408"/>
      <c r="CD474" s="408"/>
      <c r="CE474" s="408"/>
      <c r="CF474" s="408"/>
      <c r="CG474" s="408"/>
      <c r="CH474" s="408"/>
      <c r="CI474" s="408"/>
      <c r="CJ474" s="408"/>
      <c r="CK474" s="408"/>
      <c r="CL474" s="408"/>
      <c r="CM474" s="408"/>
      <c r="CN474" s="408"/>
    </row>
    <row r="475">
      <c r="A475" s="408"/>
      <c r="B475" s="408"/>
      <c r="C475" s="408"/>
      <c r="D475" s="408"/>
      <c r="E475" s="408"/>
      <c r="F475" s="408"/>
      <c r="G475" s="408"/>
      <c r="H475" s="408"/>
      <c r="I475" s="408"/>
      <c r="J475" s="408"/>
      <c r="K475" s="408"/>
      <c r="L475" s="408"/>
      <c r="M475" s="408"/>
      <c r="N475" s="408"/>
      <c r="O475" s="408"/>
      <c r="P475" s="408"/>
      <c r="Q475" s="408"/>
      <c r="R475" s="408"/>
      <c r="S475" s="408"/>
      <c r="T475" s="408"/>
      <c r="U475" s="408"/>
      <c r="V475" s="408"/>
      <c r="W475" s="408"/>
      <c r="X475" s="408"/>
      <c r="Y475" s="408"/>
      <c r="Z475" s="408"/>
      <c r="AA475" s="408"/>
      <c r="AB475" s="408"/>
      <c r="AC475" s="408"/>
      <c r="AD475" s="408"/>
      <c r="AE475" s="408"/>
      <c r="AF475" s="408"/>
      <c r="AG475" s="408"/>
      <c r="AH475" s="408"/>
      <c r="AI475" s="408"/>
      <c r="AJ475" s="408"/>
      <c r="AK475" s="408"/>
      <c r="AL475" s="408"/>
      <c r="AM475" s="408"/>
      <c r="AN475" s="408"/>
      <c r="AO475" s="408"/>
      <c r="AP475" s="408"/>
      <c r="AQ475" s="408"/>
      <c r="AR475" s="408"/>
      <c r="AS475" s="408"/>
      <c r="AT475" s="408"/>
      <c r="AU475" s="408"/>
      <c r="AV475" s="408"/>
      <c r="AW475" s="408"/>
      <c r="AX475" s="408"/>
      <c r="AY475" s="408"/>
      <c r="AZ475" s="408"/>
      <c r="BA475" s="408"/>
      <c r="BB475" s="408"/>
      <c r="BC475" s="408"/>
      <c r="BD475" s="408"/>
      <c r="BE475" s="408"/>
      <c r="BF475" s="408"/>
      <c r="BG475" s="408"/>
      <c r="BH475" s="408"/>
      <c r="BI475" s="408"/>
      <c r="BJ475" s="408"/>
      <c r="BK475" s="408"/>
      <c r="BL475" s="408"/>
      <c r="BM475" s="408"/>
      <c r="BN475" s="408"/>
      <c r="BO475" s="408"/>
      <c r="BP475" s="408"/>
      <c r="BQ475" s="408"/>
      <c r="BR475" s="408"/>
      <c r="BS475" s="408"/>
      <c r="BT475" s="408"/>
      <c r="BU475" s="408"/>
      <c r="BV475" s="408"/>
      <c r="BW475" s="408"/>
      <c r="BX475" s="408"/>
      <c r="BY475" s="408"/>
      <c r="BZ475" s="408"/>
      <c r="CA475" s="408"/>
      <c r="CB475" s="408"/>
      <c r="CC475" s="408"/>
      <c r="CD475" s="408"/>
      <c r="CE475" s="408"/>
      <c r="CF475" s="408"/>
      <c r="CG475" s="408"/>
      <c r="CH475" s="408"/>
      <c r="CI475" s="408"/>
      <c r="CJ475" s="408"/>
      <c r="CK475" s="408"/>
      <c r="CL475" s="408"/>
      <c r="CM475" s="408"/>
      <c r="CN475" s="408"/>
    </row>
    <row r="476">
      <c r="A476" s="408"/>
      <c r="B476" s="408"/>
      <c r="C476" s="408"/>
      <c r="D476" s="408"/>
      <c r="E476" s="408"/>
      <c r="F476" s="408"/>
      <c r="G476" s="408"/>
      <c r="H476" s="408"/>
      <c r="I476" s="408"/>
      <c r="J476" s="408"/>
      <c r="K476" s="408"/>
      <c r="L476" s="408"/>
      <c r="M476" s="408"/>
      <c r="N476" s="408"/>
      <c r="O476" s="408"/>
      <c r="P476" s="408"/>
      <c r="Q476" s="408"/>
      <c r="R476" s="408"/>
      <c r="S476" s="408"/>
      <c r="T476" s="408"/>
      <c r="U476" s="408"/>
      <c r="V476" s="408"/>
      <c r="W476" s="408"/>
      <c r="X476" s="408"/>
      <c r="Y476" s="408"/>
      <c r="Z476" s="408"/>
      <c r="AA476" s="408"/>
      <c r="AB476" s="408"/>
      <c r="AC476" s="408"/>
      <c r="AD476" s="408"/>
      <c r="AE476" s="408"/>
      <c r="AF476" s="408"/>
      <c r="AG476" s="408"/>
      <c r="AH476" s="408"/>
      <c r="AI476" s="408"/>
      <c r="AJ476" s="408"/>
      <c r="AK476" s="408"/>
      <c r="AL476" s="408"/>
      <c r="AM476" s="408"/>
      <c r="AN476" s="408"/>
      <c r="AO476" s="408"/>
      <c r="AP476" s="408"/>
      <c r="AQ476" s="408"/>
      <c r="AR476" s="408"/>
      <c r="AS476" s="408"/>
      <c r="AT476" s="408"/>
      <c r="AU476" s="408"/>
      <c r="AV476" s="408"/>
      <c r="AW476" s="408"/>
      <c r="AX476" s="408"/>
      <c r="AY476" s="408"/>
      <c r="AZ476" s="408"/>
      <c r="BA476" s="408"/>
      <c r="BB476" s="408"/>
      <c r="BC476" s="408"/>
      <c r="BD476" s="408"/>
      <c r="BE476" s="408"/>
      <c r="BF476" s="408"/>
      <c r="BG476" s="408"/>
      <c r="BH476" s="408"/>
      <c r="BI476" s="408"/>
      <c r="BJ476" s="408"/>
      <c r="BK476" s="408"/>
      <c r="BL476" s="408"/>
      <c r="BM476" s="408"/>
      <c r="BN476" s="408"/>
      <c r="BO476" s="408"/>
      <c r="BP476" s="408"/>
      <c r="BQ476" s="408"/>
      <c r="BR476" s="408"/>
      <c r="BS476" s="408"/>
      <c r="BT476" s="408"/>
      <c r="BU476" s="408"/>
      <c r="BV476" s="408"/>
      <c r="BW476" s="408"/>
      <c r="BX476" s="408"/>
      <c r="BY476" s="408"/>
      <c r="BZ476" s="408"/>
      <c r="CA476" s="408"/>
      <c r="CB476" s="408"/>
      <c r="CC476" s="408"/>
      <c r="CD476" s="408"/>
      <c r="CE476" s="408"/>
      <c r="CF476" s="408"/>
      <c r="CG476" s="408"/>
      <c r="CH476" s="408"/>
      <c r="CI476" s="408"/>
      <c r="CJ476" s="408"/>
      <c r="CK476" s="408"/>
      <c r="CL476" s="408"/>
      <c r="CM476" s="408"/>
      <c r="CN476" s="408"/>
    </row>
    <row r="477">
      <c r="A477" s="408"/>
      <c r="B477" s="408"/>
      <c r="C477" s="408"/>
      <c r="D477" s="408"/>
      <c r="E477" s="408"/>
      <c r="F477" s="408"/>
      <c r="G477" s="408"/>
      <c r="H477" s="408"/>
      <c r="I477" s="408"/>
      <c r="J477" s="408"/>
      <c r="K477" s="408"/>
      <c r="L477" s="408"/>
      <c r="M477" s="408"/>
      <c r="N477" s="408"/>
      <c r="O477" s="408"/>
      <c r="P477" s="408"/>
      <c r="Q477" s="408"/>
      <c r="R477" s="408"/>
      <c r="S477" s="408"/>
      <c r="T477" s="408"/>
      <c r="U477" s="408"/>
      <c r="V477" s="408"/>
      <c r="W477" s="408"/>
      <c r="X477" s="408"/>
      <c r="Y477" s="408"/>
      <c r="Z477" s="408"/>
      <c r="AA477" s="408"/>
      <c r="AB477" s="408"/>
      <c r="AC477" s="408"/>
      <c r="AD477" s="408"/>
      <c r="AE477" s="408"/>
      <c r="AF477" s="408"/>
      <c r="AG477" s="408"/>
      <c r="AH477" s="408"/>
      <c r="AI477" s="408"/>
      <c r="AJ477" s="408"/>
      <c r="AK477" s="408"/>
      <c r="AL477" s="408"/>
      <c r="AM477" s="408"/>
      <c r="AN477" s="408"/>
      <c r="AO477" s="408"/>
      <c r="AP477" s="408"/>
      <c r="AQ477" s="408"/>
      <c r="AR477" s="408"/>
      <c r="AS477" s="408"/>
      <c r="AT477" s="408"/>
      <c r="AU477" s="408"/>
      <c r="AV477" s="408"/>
      <c r="AW477" s="408"/>
      <c r="AX477" s="408"/>
      <c r="AY477" s="408"/>
      <c r="AZ477" s="408"/>
      <c r="BA477" s="408"/>
      <c r="BB477" s="408"/>
      <c r="BC477" s="408"/>
      <c r="BD477" s="408"/>
      <c r="BE477" s="408"/>
      <c r="BF477" s="408"/>
      <c r="BG477" s="408"/>
      <c r="BH477" s="408"/>
      <c r="BI477" s="408"/>
      <c r="BJ477" s="408"/>
      <c r="BK477" s="408"/>
      <c r="BL477" s="408"/>
      <c r="BM477" s="408"/>
      <c r="BN477" s="408"/>
      <c r="BO477" s="408"/>
      <c r="BP477" s="408"/>
      <c r="BQ477" s="408"/>
      <c r="BR477" s="408"/>
      <c r="BS477" s="408"/>
      <c r="BT477" s="408"/>
      <c r="BU477" s="408"/>
      <c r="BV477" s="408"/>
      <c r="BW477" s="408"/>
      <c r="BX477" s="408"/>
      <c r="BY477" s="408"/>
      <c r="BZ477" s="408"/>
      <c r="CA477" s="408"/>
      <c r="CB477" s="408"/>
      <c r="CC477" s="408"/>
      <c r="CD477" s="408"/>
      <c r="CE477" s="408"/>
      <c r="CF477" s="408"/>
      <c r="CG477" s="408"/>
      <c r="CH477" s="408"/>
      <c r="CI477" s="408"/>
      <c r="CJ477" s="408"/>
      <c r="CK477" s="408"/>
      <c r="CL477" s="408"/>
      <c r="CM477" s="408"/>
      <c r="CN477" s="408"/>
    </row>
    <row r="478">
      <c r="A478" s="408"/>
      <c r="B478" s="408"/>
      <c r="C478" s="408"/>
      <c r="D478" s="408"/>
      <c r="E478" s="408"/>
      <c r="F478" s="408"/>
      <c r="G478" s="408"/>
      <c r="H478" s="408"/>
      <c r="I478" s="408"/>
      <c r="J478" s="408"/>
      <c r="K478" s="408"/>
      <c r="L478" s="408"/>
      <c r="M478" s="408"/>
      <c r="N478" s="408"/>
      <c r="O478" s="408"/>
      <c r="P478" s="408"/>
      <c r="Q478" s="408"/>
      <c r="R478" s="408"/>
      <c r="S478" s="408"/>
      <c r="T478" s="408"/>
      <c r="U478" s="408"/>
      <c r="V478" s="408"/>
      <c r="W478" s="408"/>
      <c r="X478" s="408"/>
      <c r="Y478" s="408"/>
      <c r="Z478" s="408"/>
      <c r="AA478" s="408"/>
      <c r="AB478" s="408"/>
      <c r="AC478" s="408"/>
      <c r="AD478" s="408"/>
      <c r="AE478" s="408"/>
      <c r="AF478" s="408"/>
      <c r="AG478" s="408"/>
      <c r="AH478" s="408"/>
      <c r="AI478" s="408"/>
      <c r="AJ478" s="408"/>
      <c r="AK478" s="408"/>
      <c r="AL478" s="408"/>
      <c r="AM478" s="408"/>
      <c r="AN478" s="408"/>
      <c r="AO478" s="408"/>
      <c r="AP478" s="408"/>
      <c r="AQ478" s="408"/>
      <c r="AR478" s="408"/>
      <c r="AS478" s="408"/>
      <c r="AT478" s="408"/>
      <c r="AU478" s="408"/>
      <c r="AV478" s="408"/>
      <c r="AW478" s="408"/>
      <c r="AX478" s="408"/>
      <c r="AY478" s="408"/>
      <c r="AZ478" s="408"/>
      <c r="BA478" s="408"/>
      <c r="BB478" s="408"/>
      <c r="BC478" s="408"/>
      <c r="BD478" s="408"/>
      <c r="BE478" s="408"/>
      <c r="BF478" s="408"/>
      <c r="BG478" s="408"/>
      <c r="BH478" s="408"/>
      <c r="BI478" s="408"/>
      <c r="BJ478" s="408"/>
      <c r="BK478" s="408"/>
      <c r="BL478" s="408"/>
      <c r="BM478" s="408"/>
      <c r="BN478" s="408"/>
      <c r="BO478" s="408"/>
      <c r="BP478" s="408"/>
      <c r="BQ478" s="408"/>
      <c r="BR478" s="408"/>
      <c r="BS478" s="408"/>
      <c r="BT478" s="408"/>
      <c r="BU478" s="408"/>
      <c r="BV478" s="408"/>
      <c r="BW478" s="408"/>
      <c r="BX478" s="408"/>
      <c r="BY478" s="408"/>
      <c r="BZ478" s="408"/>
      <c r="CA478" s="408"/>
      <c r="CB478" s="408"/>
      <c r="CC478" s="408"/>
      <c r="CD478" s="408"/>
      <c r="CE478" s="408"/>
      <c r="CF478" s="408"/>
      <c r="CG478" s="408"/>
      <c r="CH478" s="408"/>
      <c r="CI478" s="408"/>
      <c r="CJ478" s="408"/>
      <c r="CK478" s="408"/>
      <c r="CL478" s="408"/>
      <c r="CM478" s="408"/>
      <c r="CN478" s="408"/>
    </row>
    <row r="479">
      <c r="A479" s="408"/>
      <c r="B479" s="408"/>
      <c r="C479" s="408"/>
      <c r="D479" s="408"/>
      <c r="E479" s="408"/>
      <c r="F479" s="408"/>
      <c r="G479" s="408"/>
      <c r="H479" s="408"/>
      <c r="I479" s="408"/>
      <c r="J479" s="408"/>
      <c r="K479" s="408"/>
      <c r="L479" s="408"/>
      <c r="M479" s="408"/>
      <c r="N479" s="408"/>
      <c r="O479" s="408"/>
      <c r="P479" s="408"/>
      <c r="Q479" s="408"/>
      <c r="R479" s="408"/>
      <c r="S479" s="408"/>
      <c r="T479" s="408"/>
      <c r="U479" s="408"/>
      <c r="V479" s="408"/>
      <c r="W479" s="408"/>
      <c r="X479" s="408"/>
      <c r="Y479" s="408"/>
      <c r="Z479" s="408"/>
      <c r="AA479" s="408"/>
      <c r="AB479" s="408"/>
      <c r="AC479" s="408"/>
      <c r="AD479" s="408"/>
      <c r="AE479" s="408"/>
      <c r="AF479" s="408"/>
      <c r="AG479" s="408"/>
      <c r="AH479" s="408"/>
      <c r="AI479" s="408"/>
      <c r="AJ479" s="408"/>
      <c r="AK479" s="408"/>
      <c r="AL479" s="408"/>
      <c r="AM479" s="408"/>
      <c r="AN479" s="408"/>
      <c r="AO479" s="408"/>
      <c r="AP479" s="408"/>
      <c r="AQ479" s="408"/>
      <c r="AR479" s="408"/>
      <c r="AS479" s="408"/>
      <c r="AT479" s="408"/>
      <c r="AU479" s="408"/>
      <c r="AV479" s="408"/>
      <c r="AW479" s="408"/>
      <c r="AX479" s="408"/>
      <c r="AY479" s="408"/>
      <c r="AZ479" s="408"/>
      <c r="BA479" s="408"/>
      <c r="BB479" s="408"/>
      <c r="BC479" s="408"/>
      <c r="BD479" s="408"/>
      <c r="BE479" s="408"/>
      <c r="BF479" s="408"/>
      <c r="BG479" s="408"/>
      <c r="BH479" s="408"/>
      <c r="BI479" s="408"/>
      <c r="BJ479" s="408"/>
      <c r="BK479" s="408"/>
      <c r="BL479" s="408"/>
      <c r="BM479" s="408"/>
      <c r="BN479" s="408"/>
      <c r="BO479" s="408"/>
      <c r="BP479" s="408"/>
      <c r="BQ479" s="408"/>
      <c r="BR479" s="408"/>
      <c r="BS479" s="408"/>
      <c r="BT479" s="408"/>
      <c r="BU479" s="408"/>
      <c r="BV479" s="408"/>
      <c r="BW479" s="408"/>
      <c r="BX479" s="408"/>
      <c r="BY479" s="408"/>
      <c r="BZ479" s="408"/>
      <c r="CA479" s="408"/>
      <c r="CB479" s="408"/>
      <c r="CC479" s="408"/>
      <c r="CD479" s="408"/>
      <c r="CE479" s="408"/>
      <c r="CF479" s="408"/>
      <c r="CG479" s="408"/>
      <c r="CH479" s="408"/>
      <c r="CI479" s="408"/>
      <c r="CJ479" s="408"/>
      <c r="CK479" s="408"/>
      <c r="CL479" s="408"/>
      <c r="CM479" s="408"/>
      <c r="CN479" s="408"/>
    </row>
    <row r="480">
      <c r="A480" s="408"/>
      <c r="B480" s="408"/>
      <c r="C480" s="408"/>
      <c r="D480" s="408"/>
      <c r="E480" s="408"/>
      <c r="F480" s="408"/>
      <c r="G480" s="408"/>
      <c r="H480" s="408"/>
      <c r="I480" s="408"/>
      <c r="J480" s="408"/>
      <c r="K480" s="408"/>
      <c r="L480" s="408"/>
      <c r="M480" s="408"/>
      <c r="N480" s="408"/>
      <c r="O480" s="408"/>
      <c r="P480" s="408"/>
      <c r="Q480" s="408"/>
      <c r="R480" s="408"/>
      <c r="S480" s="408"/>
      <c r="T480" s="408"/>
      <c r="U480" s="408"/>
      <c r="V480" s="408"/>
      <c r="W480" s="408"/>
      <c r="X480" s="408"/>
      <c r="Y480" s="408"/>
      <c r="Z480" s="408"/>
      <c r="AA480" s="408"/>
      <c r="AB480" s="408"/>
      <c r="AC480" s="408"/>
      <c r="AD480" s="408"/>
      <c r="AE480" s="408"/>
      <c r="AF480" s="408"/>
      <c r="AG480" s="408"/>
      <c r="AH480" s="408"/>
      <c r="AI480" s="408"/>
      <c r="AJ480" s="408"/>
      <c r="AK480" s="408"/>
      <c r="AL480" s="408"/>
      <c r="AM480" s="408"/>
      <c r="AN480" s="408"/>
      <c r="AO480" s="408"/>
      <c r="AP480" s="408"/>
      <c r="AQ480" s="408"/>
      <c r="AR480" s="408"/>
      <c r="AS480" s="408"/>
      <c r="AT480" s="408"/>
      <c r="AU480" s="408"/>
      <c r="AV480" s="408"/>
      <c r="AW480" s="408"/>
      <c r="AX480" s="408"/>
      <c r="AY480" s="408"/>
      <c r="AZ480" s="408"/>
      <c r="BA480" s="408"/>
      <c r="BB480" s="408"/>
      <c r="BC480" s="408"/>
      <c r="BD480" s="408"/>
      <c r="BE480" s="408"/>
      <c r="BF480" s="408"/>
      <c r="BG480" s="408"/>
      <c r="BH480" s="408"/>
      <c r="BI480" s="408"/>
      <c r="BJ480" s="408"/>
      <c r="BK480" s="408"/>
      <c r="BL480" s="408"/>
      <c r="BM480" s="408"/>
      <c r="BN480" s="408"/>
      <c r="BO480" s="408"/>
      <c r="BP480" s="408"/>
      <c r="BQ480" s="408"/>
      <c r="BR480" s="408"/>
      <c r="BS480" s="408"/>
      <c r="BT480" s="408"/>
      <c r="BU480" s="408"/>
      <c r="BV480" s="408"/>
      <c r="BW480" s="408"/>
      <c r="BX480" s="408"/>
      <c r="BY480" s="408"/>
      <c r="BZ480" s="408"/>
      <c r="CA480" s="408"/>
      <c r="CB480" s="408"/>
      <c r="CC480" s="408"/>
      <c r="CD480" s="408"/>
      <c r="CE480" s="408"/>
      <c r="CF480" s="408"/>
      <c r="CG480" s="408"/>
      <c r="CH480" s="408"/>
      <c r="CI480" s="408"/>
      <c r="CJ480" s="408"/>
      <c r="CK480" s="408"/>
      <c r="CL480" s="408"/>
      <c r="CM480" s="408"/>
      <c r="CN480" s="408"/>
    </row>
    <row r="481">
      <c r="A481" s="408"/>
      <c r="B481" s="408"/>
      <c r="C481" s="408"/>
      <c r="D481" s="408"/>
      <c r="E481" s="408"/>
      <c r="F481" s="408"/>
      <c r="G481" s="408"/>
      <c r="H481" s="408"/>
      <c r="I481" s="408"/>
      <c r="J481" s="408"/>
      <c r="K481" s="408"/>
      <c r="L481" s="408"/>
      <c r="M481" s="408"/>
      <c r="N481" s="408"/>
      <c r="O481" s="408"/>
      <c r="P481" s="408"/>
      <c r="Q481" s="408"/>
      <c r="R481" s="408"/>
      <c r="S481" s="408"/>
      <c r="T481" s="408"/>
      <c r="U481" s="408"/>
      <c r="V481" s="408"/>
      <c r="W481" s="408"/>
      <c r="X481" s="408"/>
      <c r="Y481" s="408"/>
      <c r="Z481" s="408"/>
      <c r="AA481" s="408"/>
      <c r="AB481" s="408"/>
      <c r="AC481" s="408"/>
      <c r="AD481" s="408"/>
      <c r="AE481" s="408"/>
      <c r="AF481" s="408"/>
      <c r="AG481" s="408"/>
      <c r="AH481" s="408"/>
      <c r="AI481" s="408"/>
      <c r="AJ481" s="408"/>
      <c r="AK481" s="408"/>
      <c r="AL481" s="408"/>
      <c r="AM481" s="408"/>
      <c r="AN481" s="408"/>
      <c r="AO481" s="408"/>
      <c r="AP481" s="408"/>
      <c r="AQ481" s="408"/>
      <c r="AR481" s="408"/>
      <c r="AS481" s="408"/>
      <c r="AT481" s="408"/>
      <c r="AU481" s="408"/>
      <c r="AV481" s="408"/>
      <c r="AW481" s="408"/>
      <c r="AX481" s="408"/>
      <c r="AY481" s="408"/>
      <c r="AZ481" s="408"/>
      <c r="BA481" s="408"/>
      <c r="BB481" s="408"/>
      <c r="BC481" s="408"/>
      <c r="BD481" s="408"/>
      <c r="BE481" s="408"/>
      <c r="BF481" s="408"/>
      <c r="BG481" s="408"/>
      <c r="BH481" s="408"/>
      <c r="BI481" s="408"/>
      <c r="BJ481" s="408"/>
      <c r="BK481" s="408"/>
      <c r="BL481" s="408"/>
      <c r="BM481" s="408"/>
      <c r="BN481" s="408"/>
      <c r="BO481" s="408"/>
      <c r="BP481" s="408"/>
      <c r="BQ481" s="408"/>
      <c r="BR481" s="408"/>
      <c r="BS481" s="408"/>
      <c r="BT481" s="408"/>
      <c r="BU481" s="408"/>
      <c r="BV481" s="408"/>
      <c r="BW481" s="408"/>
      <c r="BX481" s="408"/>
      <c r="BY481" s="408"/>
      <c r="BZ481" s="408"/>
      <c r="CA481" s="408"/>
      <c r="CB481" s="408"/>
      <c r="CC481" s="408"/>
      <c r="CD481" s="408"/>
      <c r="CE481" s="408"/>
      <c r="CF481" s="408"/>
      <c r="CG481" s="408"/>
      <c r="CH481" s="408"/>
      <c r="CI481" s="408"/>
      <c r="CJ481" s="408"/>
      <c r="CK481" s="408"/>
      <c r="CL481" s="408"/>
      <c r="CM481" s="408"/>
      <c r="CN481" s="408"/>
    </row>
    <row r="482">
      <c r="A482" s="408"/>
      <c r="B482" s="408"/>
      <c r="C482" s="408"/>
      <c r="D482" s="408"/>
      <c r="E482" s="408"/>
      <c r="F482" s="408"/>
      <c r="G482" s="408"/>
      <c r="H482" s="408"/>
      <c r="I482" s="408"/>
      <c r="J482" s="408"/>
      <c r="K482" s="408"/>
      <c r="L482" s="408"/>
      <c r="M482" s="408"/>
      <c r="N482" s="408"/>
      <c r="O482" s="408"/>
      <c r="P482" s="408"/>
      <c r="Q482" s="408"/>
      <c r="R482" s="408"/>
      <c r="S482" s="408"/>
      <c r="T482" s="408"/>
      <c r="U482" s="408"/>
      <c r="V482" s="408"/>
      <c r="W482" s="408"/>
      <c r="X482" s="408"/>
      <c r="Y482" s="408"/>
      <c r="Z482" s="408"/>
      <c r="AA482" s="408"/>
      <c r="AB482" s="408"/>
      <c r="AC482" s="408"/>
      <c r="AD482" s="408"/>
      <c r="AE482" s="408"/>
      <c r="AF482" s="408"/>
      <c r="AG482" s="408"/>
      <c r="AH482" s="408"/>
      <c r="AI482" s="408"/>
      <c r="AJ482" s="408"/>
      <c r="AK482" s="408"/>
      <c r="AL482" s="408"/>
      <c r="AM482" s="408"/>
      <c r="AN482" s="408"/>
      <c r="AO482" s="408"/>
      <c r="AP482" s="408"/>
      <c r="AQ482" s="408"/>
      <c r="AR482" s="408"/>
      <c r="AS482" s="408"/>
      <c r="AT482" s="408"/>
      <c r="AU482" s="408"/>
      <c r="AV482" s="408"/>
      <c r="AW482" s="408"/>
      <c r="AX482" s="408"/>
      <c r="AY482" s="408"/>
      <c r="AZ482" s="408"/>
      <c r="BA482" s="408"/>
      <c r="BB482" s="408"/>
      <c r="BC482" s="408"/>
      <c r="BD482" s="408"/>
      <c r="BE482" s="408"/>
      <c r="BF482" s="408"/>
      <c r="BG482" s="408"/>
      <c r="BH482" s="408"/>
      <c r="BI482" s="408"/>
      <c r="BJ482" s="408"/>
      <c r="BK482" s="408"/>
      <c r="BL482" s="408"/>
      <c r="BM482" s="408"/>
      <c r="BN482" s="408"/>
      <c r="BO482" s="408"/>
      <c r="BP482" s="408"/>
      <c r="BQ482" s="408"/>
      <c r="BR482" s="408"/>
      <c r="BS482" s="408"/>
      <c r="BT482" s="408"/>
      <c r="BU482" s="408"/>
      <c r="BV482" s="408"/>
      <c r="BW482" s="408"/>
      <c r="BX482" s="408"/>
      <c r="BY482" s="408"/>
      <c r="BZ482" s="408"/>
      <c r="CA482" s="408"/>
      <c r="CB482" s="408"/>
      <c r="CC482" s="408"/>
      <c r="CD482" s="408"/>
      <c r="CE482" s="408"/>
      <c r="CF482" s="408"/>
      <c r="CG482" s="408"/>
      <c r="CH482" s="408"/>
      <c r="CI482" s="408"/>
      <c r="CJ482" s="408"/>
      <c r="CK482" s="408"/>
      <c r="CL482" s="408"/>
      <c r="CM482" s="408"/>
      <c r="CN482" s="408"/>
    </row>
    <row r="483">
      <c r="A483" s="408"/>
      <c r="B483" s="408"/>
      <c r="C483" s="408"/>
      <c r="D483" s="408"/>
      <c r="E483" s="408"/>
      <c r="F483" s="408"/>
      <c r="G483" s="408"/>
      <c r="H483" s="408"/>
      <c r="I483" s="408"/>
      <c r="J483" s="408"/>
      <c r="K483" s="408"/>
      <c r="L483" s="408"/>
      <c r="M483" s="408"/>
      <c r="N483" s="408"/>
      <c r="O483" s="408"/>
      <c r="P483" s="408"/>
      <c r="Q483" s="408"/>
      <c r="R483" s="408"/>
      <c r="S483" s="408"/>
      <c r="T483" s="408"/>
      <c r="U483" s="408"/>
      <c r="V483" s="408"/>
      <c r="W483" s="408"/>
      <c r="X483" s="408"/>
      <c r="Y483" s="408"/>
      <c r="Z483" s="408"/>
      <c r="AA483" s="408"/>
      <c r="AB483" s="408"/>
      <c r="AC483" s="408"/>
      <c r="AD483" s="408"/>
      <c r="AE483" s="408"/>
      <c r="AF483" s="408"/>
      <c r="AG483" s="408"/>
      <c r="AH483" s="408"/>
      <c r="AI483" s="408"/>
      <c r="AJ483" s="408"/>
      <c r="AK483" s="408"/>
      <c r="AL483" s="408"/>
      <c r="AM483" s="408"/>
      <c r="AN483" s="408"/>
      <c r="AO483" s="408"/>
      <c r="AP483" s="408"/>
      <c r="AQ483" s="408"/>
      <c r="AR483" s="408"/>
      <c r="AS483" s="408"/>
      <c r="AT483" s="408"/>
      <c r="AU483" s="408"/>
      <c r="AV483" s="408"/>
      <c r="AW483" s="408"/>
      <c r="AX483" s="408"/>
      <c r="AY483" s="408"/>
      <c r="AZ483" s="408"/>
      <c r="BA483" s="408"/>
      <c r="BB483" s="408"/>
      <c r="BC483" s="408"/>
      <c r="BD483" s="408"/>
      <c r="BE483" s="408"/>
      <c r="BF483" s="408"/>
      <c r="BG483" s="408"/>
      <c r="BH483" s="408"/>
      <c r="BI483" s="408"/>
      <c r="BJ483" s="408"/>
      <c r="BK483" s="408"/>
      <c r="BL483" s="408"/>
      <c r="BM483" s="408"/>
      <c r="BN483" s="408"/>
      <c r="BO483" s="408"/>
      <c r="BP483" s="408"/>
      <c r="BQ483" s="408"/>
      <c r="BR483" s="408"/>
      <c r="BS483" s="408"/>
      <c r="BT483" s="408"/>
      <c r="BU483" s="408"/>
      <c r="BV483" s="408"/>
      <c r="BW483" s="408"/>
      <c r="BX483" s="408"/>
      <c r="BY483" s="408"/>
      <c r="BZ483" s="408"/>
      <c r="CA483" s="408"/>
      <c r="CB483" s="408"/>
      <c r="CC483" s="408"/>
      <c r="CD483" s="408"/>
      <c r="CE483" s="408"/>
      <c r="CF483" s="408"/>
      <c r="CG483" s="408"/>
      <c r="CH483" s="408"/>
      <c r="CI483" s="408"/>
      <c r="CJ483" s="408"/>
      <c r="CK483" s="408"/>
      <c r="CL483" s="408"/>
      <c r="CM483" s="408"/>
      <c r="CN483" s="408"/>
    </row>
    <row r="484">
      <c r="A484" s="408"/>
      <c r="B484" s="408"/>
      <c r="C484" s="408"/>
      <c r="D484" s="408"/>
      <c r="E484" s="408"/>
      <c r="F484" s="408"/>
      <c r="G484" s="408"/>
      <c r="H484" s="408"/>
      <c r="I484" s="408"/>
      <c r="J484" s="408"/>
      <c r="K484" s="408"/>
      <c r="L484" s="408"/>
      <c r="M484" s="408"/>
      <c r="N484" s="408"/>
      <c r="O484" s="408"/>
      <c r="P484" s="408"/>
      <c r="Q484" s="408"/>
      <c r="R484" s="408"/>
      <c r="S484" s="408"/>
      <c r="T484" s="408"/>
      <c r="U484" s="408"/>
      <c r="V484" s="408"/>
      <c r="W484" s="408"/>
      <c r="X484" s="408"/>
      <c r="Y484" s="408"/>
      <c r="Z484" s="408"/>
      <c r="AA484" s="408"/>
      <c r="AB484" s="408"/>
      <c r="AC484" s="408"/>
      <c r="AD484" s="408"/>
      <c r="AE484" s="408"/>
      <c r="AF484" s="408"/>
      <c r="AG484" s="408"/>
      <c r="AH484" s="408"/>
      <c r="AI484" s="408"/>
      <c r="AJ484" s="408"/>
      <c r="AK484" s="408"/>
      <c r="AL484" s="408"/>
      <c r="AM484" s="408"/>
      <c r="AN484" s="408"/>
      <c r="AO484" s="408"/>
      <c r="AP484" s="408"/>
      <c r="AQ484" s="408"/>
      <c r="AR484" s="408"/>
      <c r="AS484" s="408"/>
      <c r="AT484" s="408"/>
      <c r="AU484" s="408"/>
      <c r="AV484" s="408"/>
      <c r="AW484" s="408"/>
      <c r="AX484" s="408"/>
      <c r="AY484" s="408"/>
      <c r="AZ484" s="408"/>
      <c r="BA484" s="408"/>
      <c r="BB484" s="408"/>
      <c r="BC484" s="408"/>
      <c r="BD484" s="408"/>
      <c r="BE484" s="408"/>
      <c r="BF484" s="408"/>
      <c r="BG484" s="408"/>
      <c r="BH484" s="408"/>
      <c r="BI484" s="408"/>
      <c r="BJ484" s="408"/>
      <c r="BK484" s="408"/>
      <c r="BL484" s="408"/>
      <c r="BM484" s="408"/>
      <c r="BN484" s="408"/>
      <c r="BO484" s="408"/>
      <c r="BP484" s="408"/>
      <c r="BQ484" s="408"/>
      <c r="BR484" s="408"/>
      <c r="BS484" s="408"/>
      <c r="BT484" s="408"/>
      <c r="BU484" s="408"/>
      <c r="BV484" s="408"/>
      <c r="BW484" s="408"/>
      <c r="BX484" s="408"/>
      <c r="BY484" s="408"/>
      <c r="BZ484" s="408"/>
      <c r="CA484" s="408"/>
      <c r="CB484" s="408"/>
      <c r="CC484" s="408"/>
      <c r="CD484" s="408"/>
      <c r="CE484" s="408"/>
      <c r="CF484" s="408"/>
      <c r="CG484" s="408"/>
      <c r="CH484" s="408"/>
      <c r="CI484" s="408"/>
      <c r="CJ484" s="408"/>
      <c r="CK484" s="408"/>
      <c r="CL484" s="408"/>
      <c r="CM484" s="408"/>
      <c r="CN484" s="408"/>
    </row>
    <row r="485">
      <c r="A485" s="408"/>
      <c r="B485" s="408"/>
      <c r="C485" s="408"/>
      <c r="D485" s="408"/>
      <c r="E485" s="408"/>
      <c r="F485" s="408"/>
      <c r="G485" s="408"/>
      <c r="H485" s="408"/>
      <c r="I485" s="408"/>
      <c r="J485" s="408"/>
      <c r="K485" s="408"/>
      <c r="L485" s="408"/>
      <c r="M485" s="408"/>
      <c r="N485" s="408"/>
      <c r="O485" s="408"/>
      <c r="P485" s="408"/>
      <c r="Q485" s="408"/>
      <c r="R485" s="408"/>
      <c r="S485" s="408"/>
      <c r="T485" s="408"/>
      <c r="U485" s="408"/>
      <c r="V485" s="408"/>
      <c r="W485" s="408"/>
      <c r="X485" s="408"/>
      <c r="Y485" s="408"/>
      <c r="Z485" s="408"/>
      <c r="AA485" s="408"/>
      <c r="AB485" s="408"/>
      <c r="AC485" s="408"/>
      <c r="AD485" s="408"/>
      <c r="AE485" s="408"/>
      <c r="AF485" s="408"/>
      <c r="AG485" s="408"/>
      <c r="AH485" s="408"/>
      <c r="AI485" s="408"/>
      <c r="AJ485" s="408"/>
      <c r="AK485" s="408"/>
      <c r="AL485" s="408"/>
      <c r="AM485" s="408"/>
      <c r="AN485" s="408"/>
      <c r="AO485" s="408"/>
      <c r="AP485" s="408"/>
      <c r="AQ485" s="408"/>
      <c r="AR485" s="408"/>
      <c r="AS485" s="408"/>
      <c r="AT485" s="408"/>
      <c r="AU485" s="408"/>
      <c r="AV485" s="408"/>
      <c r="AW485" s="408"/>
      <c r="AX485" s="408"/>
      <c r="AY485" s="408"/>
      <c r="AZ485" s="408"/>
      <c r="BA485" s="408"/>
      <c r="BB485" s="408"/>
      <c r="BC485" s="408"/>
      <c r="BD485" s="408"/>
      <c r="BE485" s="408"/>
      <c r="BF485" s="408"/>
      <c r="BG485" s="408"/>
      <c r="BH485" s="408"/>
      <c r="BI485" s="408"/>
      <c r="BJ485" s="408"/>
      <c r="BK485" s="408"/>
      <c r="BL485" s="408"/>
      <c r="BM485" s="408"/>
      <c r="BN485" s="408"/>
      <c r="BO485" s="408"/>
      <c r="BP485" s="408"/>
      <c r="BQ485" s="408"/>
      <c r="BR485" s="408"/>
      <c r="BS485" s="408"/>
      <c r="BT485" s="408"/>
      <c r="BU485" s="408"/>
      <c r="BV485" s="408"/>
      <c r="BW485" s="408"/>
      <c r="BX485" s="408"/>
      <c r="BY485" s="408"/>
      <c r="BZ485" s="408"/>
      <c r="CA485" s="408"/>
      <c r="CB485" s="408"/>
      <c r="CC485" s="408"/>
      <c r="CD485" s="408"/>
      <c r="CE485" s="408"/>
      <c r="CF485" s="408"/>
      <c r="CG485" s="408"/>
      <c r="CH485" s="408"/>
      <c r="CI485" s="408"/>
      <c r="CJ485" s="408"/>
      <c r="CK485" s="408"/>
      <c r="CL485" s="408"/>
      <c r="CM485" s="408"/>
      <c r="CN485" s="408"/>
    </row>
    <row r="486">
      <c r="A486" s="408"/>
      <c r="B486" s="408"/>
      <c r="C486" s="408"/>
      <c r="D486" s="408"/>
      <c r="E486" s="408"/>
      <c r="F486" s="408"/>
      <c r="G486" s="408"/>
      <c r="H486" s="408"/>
      <c r="I486" s="408"/>
      <c r="J486" s="408"/>
      <c r="K486" s="408"/>
      <c r="L486" s="408"/>
      <c r="M486" s="408"/>
      <c r="N486" s="408"/>
      <c r="O486" s="408"/>
      <c r="P486" s="408"/>
      <c r="Q486" s="408"/>
      <c r="R486" s="408"/>
      <c r="S486" s="408"/>
      <c r="T486" s="408"/>
      <c r="U486" s="408"/>
      <c r="V486" s="408"/>
      <c r="W486" s="408"/>
      <c r="X486" s="408"/>
      <c r="Y486" s="408"/>
      <c r="Z486" s="408"/>
      <c r="AA486" s="408"/>
      <c r="AB486" s="408"/>
      <c r="AC486" s="408"/>
      <c r="AD486" s="408"/>
      <c r="AE486" s="408"/>
      <c r="AF486" s="408"/>
      <c r="AG486" s="408"/>
      <c r="AH486" s="408"/>
      <c r="AI486" s="408"/>
      <c r="AJ486" s="408"/>
      <c r="AK486" s="408"/>
      <c r="AL486" s="408"/>
      <c r="AM486" s="408"/>
      <c r="AN486" s="408"/>
      <c r="AO486" s="408"/>
      <c r="AP486" s="408"/>
      <c r="AQ486" s="408"/>
      <c r="AR486" s="408"/>
      <c r="AS486" s="408"/>
      <c r="AT486" s="408"/>
      <c r="AU486" s="408"/>
      <c r="AV486" s="408"/>
      <c r="AW486" s="408"/>
      <c r="AX486" s="408"/>
      <c r="AY486" s="408"/>
      <c r="AZ486" s="408"/>
      <c r="BA486" s="408"/>
      <c r="BB486" s="408"/>
      <c r="BC486" s="408"/>
      <c r="BD486" s="408"/>
      <c r="BE486" s="408"/>
      <c r="BF486" s="408"/>
      <c r="BG486" s="408"/>
      <c r="BH486" s="408"/>
      <c r="BI486" s="408"/>
      <c r="BJ486" s="408"/>
      <c r="BK486" s="408"/>
      <c r="BL486" s="408"/>
      <c r="BM486" s="408"/>
      <c r="BN486" s="408"/>
      <c r="BO486" s="408"/>
      <c r="BP486" s="408"/>
      <c r="BQ486" s="408"/>
      <c r="BR486" s="408"/>
      <c r="BS486" s="408"/>
      <c r="BT486" s="408"/>
      <c r="BU486" s="408"/>
      <c r="BV486" s="408"/>
      <c r="BW486" s="408"/>
      <c r="BX486" s="408"/>
      <c r="BY486" s="408"/>
      <c r="BZ486" s="408"/>
      <c r="CA486" s="408"/>
      <c r="CB486" s="408"/>
      <c r="CC486" s="408"/>
      <c r="CD486" s="408"/>
      <c r="CE486" s="408"/>
      <c r="CF486" s="408"/>
      <c r="CG486" s="408"/>
      <c r="CH486" s="408"/>
      <c r="CI486" s="408"/>
      <c r="CJ486" s="408"/>
      <c r="CK486" s="408"/>
      <c r="CL486" s="408"/>
      <c r="CM486" s="408"/>
      <c r="CN486" s="408"/>
    </row>
    <row r="487">
      <c r="A487" s="408"/>
      <c r="B487" s="408"/>
      <c r="C487" s="408"/>
      <c r="D487" s="408"/>
      <c r="E487" s="408"/>
      <c r="F487" s="408"/>
      <c r="G487" s="408"/>
      <c r="H487" s="408"/>
      <c r="I487" s="408"/>
      <c r="J487" s="408"/>
      <c r="K487" s="408"/>
      <c r="L487" s="408"/>
      <c r="M487" s="408"/>
      <c r="N487" s="408"/>
      <c r="O487" s="408"/>
      <c r="P487" s="408"/>
      <c r="Q487" s="408"/>
      <c r="R487" s="408"/>
      <c r="S487" s="408"/>
      <c r="T487" s="408"/>
      <c r="U487" s="408"/>
      <c r="V487" s="408"/>
      <c r="W487" s="408"/>
      <c r="X487" s="408"/>
      <c r="Y487" s="408"/>
      <c r="Z487" s="408"/>
      <c r="AA487" s="408"/>
      <c r="AB487" s="408"/>
      <c r="AC487" s="408"/>
      <c r="AD487" s="408"/>
      <c r="AE487" s="408"/>
      <c r="AF487" s="408"/>
      <c r="AG487" s="408"/>
      <c r="AH487" s="408"/>
      <c r="AI487" s="408"/>
      <c r="AJ487" s="408"/>
      <c r="AK487" s="408"/>
      <c r="AL487" s="408"/>
      <c r="AM487" s="408"/>
      <c r="AN487" s="408"/>
      <c r="AO487" s="408"/>
      <c r="AP487" s="408"/>
      <c r="AQ487" s="408"/>
      <c r="AR487" s="408"/>
      <c r="AS487" s="408"/>
      <c r="AT487" s="408"/>
      <c r="AU487" s="408"/>
      <c r="AV487" s="408"/>
      <c r="AW487" s="408"/>
      <c r="AX487" s="408"/>
      <c r="AY487" s="408"/>
      <c r="AZ487" s="408"/>
      <c r="BA487" s="408"/>
      <c r="BB487" s="408"/>
      <c r="BC487" s="408"/>
      <c r="BD487" s="408"/>
      <c r="BE487" s="408"/>
      <c r="BF487" s="408"/>
      <c r="BG487" s="408"/>
      <c r="BH487" s="408"/>
      <c r="BI487" s="408"/>
      <c r="BJ487" s="408"/>
      <c r="BK487" s="408"/>
      <c r="BL487" s="408"/>
      <c r="BM487" s="408"/>
      <c r="BN487" s="408"/>
      <c r="BO487" s="408"/>
      <c r="BP487" s="408"/>
      <c r="BQ487" s="408"/>
      <c r="BR487" s="408"/>
      <c r="BS487" s="408"/>
      <c r="BT487" s="408"/>
      <c r="BU487" s="408"/>
      <c r="BV487" s="408"/>
      <c r="BW487" s="408"/>
      <c r="BX487" s="408"/>
      <c r="BY487" s="408"/>
      <c r="BZ487" s="408"/>
      <c r="CA487" s="408"/>
      <c r="CB487" s="408"/>
      <c r="CC487" s="408"/>
      <c r="CD487" s="408"/>
      <c r="CE487" s="408"/>
      <c r="CF487" s="408"/>
      <c r="CG487" s="408"/>
      <c r="CH487" s="408"/>
      <c r="CI487" s="408"/>
      <c r="CJ487" s="408"/>
      <c r="CK487" s="408"/>
      <c r="CL487" s="408"/>
      <c r="CM487" s="408"/>
      <c r="CN487" s="408"/>
    </row>
    <row r="488">
      <c r="A488" s="408"/>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c r="AA488" s="408"/>
      <c r="AB488" s="408"/>
      <c r="AC488" s="408"/>
      <c r="AD488" s="408"/>
      <c r="AE488" s="408"/>
      <c r="AF488" s="408"/>
      <c r="AG488" s="408"/>
      <c r="AH488" s="408"/>
      <c r="AI488" s="408"/>
      <c r="AJ488" s="408"/>
      <c r="AK488" s="408"/>
      <c r="AL488" s="408"/>
      <c r="AM488" s="408"/>
      <c r="AN488" s="408"/>
      <c r="AO488" s="408"/>
      <c r="AP488" s="408"/>
      <c r="AQ488" s="408"/>
      <c r="AR488" s="408"/>
      <c r="AS488" s="408"/>
      <c r="AT488" s="408"/>
      <c r="AU488" s="408"/>
      <c r="AV488" s="408"/>
      <c r="AW488" s="408"/>
      <c r="AX488" s="408"/>
      <c r="AY488" s="408"/>
      <c r="AZ488" s="408"/>
      <c r="BA488" s="408"/>
      <c r="BB488" s="408"/>
      <c r="BC488" s="408"/>
      <c r="BD488" s="408"/>
      <c r="BE488" s="408"/>
      <c r="BF488" s="408"/>
      <c r="BG488" s="408"/>
      <c r="BH488" s="408"/>
      <c r="BI488" s="408"/>
      <c r="BJ488" s="408"/>
      <c r="BK488" s="408"/>
      <c r="BL488" s="408"/>
      <c r="BM488" s="408"/>
      <c r="BN488" s="408"/>
      <c r="BO488" s="408"/>
      <c r="BP488" s="408"/>
      <c r="BQ488" s="408"/>
      <c r="BR488" s="408"/>
      <c r="BS488" s="408"/>
      <c r="BT488" s="408"/>
      <c r="BU488" s="408"/>
      <c r="BV488" s="408"/>
      <c r="BW488" s="408"/>
      <c r="BX488" s="408"/>
      <c r="BY488" s="408"/>
      <c r="BZ488" s="408"/>
      <c r="CA488" s="408"/>
      <c r="CB488" s="408"/>
      <c r="CC488" s="408"/>
      <c r="CD488" s="408"/>
      <c r="CE488" s="408"/>
      <c r="CF488" s="408"/>
      <c r="CG488" s="408"/>
      <c r="CH488" s="408"/>
      <c r="CI488" s="408"/>
      <c r="CJ488" s="408"/>
      <c r="CK488" s="408"/>
      <c r="CL488" s="408"/>
      <c r="CM488" s="408"/>
      <c r="CN488" s="408"/>
    </row>
    <row r="489">
      <c r="A489" s="408"/>
      <c r="B489" s="408"/>
      <c r="C489" s="408"/>
      <c r="D489" s="408"/>
      <c r="E489" s="408"/>
      <c r="F489" s="408"/>
      <c r="G489" s="408"/>
      <c r="H489" s="408"/>
      <c r="I489" s="408"/>
      <c r="J489" s="408"/>
      <c r="K489" s="408"/>
      <c r="L489" s="408"/>
      <c r="M489" s="408"/>
      <c r="N489" s="408"/>
      <c r="O489" s="408"/>
      <c r="P489" s="408"/>
      <c r="Q489" s="408"/>
      <c r="R489" s="408"/>
      <c r="S489" s="408"/>
      <c r="T489" s="408"/>
      <c r="U489" s="408"/>
      <c r="V489" s="408"/>
      <c r="W489" s="408"/>
      <c r="X489" s="408"/>
      <c r="Y489" s="408"/>
      <c r="Z489" s="408"/>
      <c r="AA489" s="408"/>
      <c r="AB489" s="408"/>
      <c r="AC489" s="408"/>
      <c r="AD489" s="408"/>
      <c r="AE489" s="408"/>
      <c r="AF489" s="408"/>
      <c r="AG489" s="408"/>
      <c r="AH489" s="408"/>
      <c r="AI489" s="408"/>
      <c r="AJ489" s="408"/>
      <c r="AK489" s="408"/>
      <c r="AL489" s="408"/>
      <c r="AM489" s="408"/>
      <c r="AN489" s="408"/>
      <c r="AO489" s="408"/>
      <c r="AP489" s="408"/>
      <c r="AQ489" s="408"/>
      <c r="AR489" s="408"/>
      <c r="AS489" s="408"/>
      <c r="AT489" s="408"/>
      <c r="AU489" s="408"/>
      <c r="AV489" s="408"/>
      <c r="AW489" s="408"/>
      <c r="AX489" s="408"/>
      <c r="AY489" s="408"/>
      <c r="AZ489" s="408"/>
      <c r="BA489" s="408"/>
      <c r="BB489" s="408"/>
      <c r="BC489" s="408"/>
      <c r="BD489" s="408"/>
      <c r="BE489" s="408"/>
      <c r="BF489" s="408"/>
      <c r="BG489" s="408"/>
      <c r="BH489" s="408"/>
      <c r="BI489" s="408"/>
      <c r="BJ489" s="408"/>
      <c r="BK489" s="408"/>
      <c r="BL489" s="408"/>
      <c r="BM489" s="408"/>
      <c r="BN489" s="408"/>
      <c r="BO489" s="408"/>
      <c r="BP489" s="408"/>
      <c r="BQ489" s="408"/>
      <c r="BR489" s="408"/>
      <c r="BS489" s="408"/>
      <c r="BT489" s="408"/>
      <c r="BU489" s="408"/>
      <c r="BV489" s="408"/>
      <c r="BW489" s="408"/>
      <c r="BX489" s="408"/>
      <c r="BY489" s="408"/>
      <c r="BZ489" s="408"/>
      <c r="CA489" s="408"/>
      <c r="CB489" s="408"/>
      <c r="CC489" s="408"/>
      <c r="CD489" s="408"/>
      <c r="CE489" s="408"/>
      <c r="CF489" s="408"/>
      <c r="CG489" s="408"/>
      <c r="CH489" s="408"/>
      <c r="CI489" s="408"/>
      <c r="CJ489" s="408"/>
      <c r="CK489" s="408"/>
      <c r="CL489" s="408"/>
      <c r="CM489" s="408"/>
      <c r="CN489" s="408"/>
    </row>
    <row r="490">
      <c r="A490" s="408"/>
      <c r="B490" s="408"/>
      <c r="C490" s="408"/>
      <c r="D490" s="408"/>
      <c r="E490" s="408"/>
      <c r="F490" s="408"/>
      <c r="G490" s="408"/>
      <c r="H490" s="408"/>
      <c r="I490" s="408"/>
      <c r="J490" s="408"/>
      <c r="K490" s="408"/>
      <c r="L490" s="408"/>
      <c r="M490" s="408"/>
      <c r="N490" s="408"/>
      <c r="O490" s="408"/>
      <c r="P490" s="408"/>
      <c r="Q490" s="408"/>
      <c r="R490" s="408"/>
      <c r="S490" s="408"/>
      <c r="T490" s="408"/>
      <c r="U490" s="408"/>
      <c r="V490" s="408"/>
      <c r="W490" s="408"/>
      <c r="X490" s="408"/>
      <c r="Y490" s="408"/>
      <c r="Z490" s="408"/>
      <c r="AA490" s="408"/>
      <c r="AB490" s="408"/>
      <c r="AC490" s="408"/>
      <c r="AD490" s="408"/>
      <c r="AE490" s="408"/>
      <c r="AF490" s="408"/>
      <c r="AG490" s="408"/>
      <c r="AH490" s="408"/>
      <c r="AI490" s="408"/>
      <c r="AJ490" s="408"/>
      <c r="AK490" s="408"/>
      <c r="AL490" s="408"/>
      <c r="AM490" s="408"/>
      <c r="AN490" s="408"/>
      <c r="AO490" s="408"/>
      <c r="AP490" s="408"/>
      <c r="AQ490" s="408"/>
      <c r="AR490" s="408"/>
      <c r="AS490" s="408"/>
      <c r="AT490" s="408"/>
      <c r="AU490" s="408"/>
      <c r="AV490" s="408"/>
      <c r="AW490" s="408"/>
      <c r="AX490" s="408"/>
      <c r="AY490" s="408"/>
      <c r="AZ490" s="408"/>
      <c r="BA490" s="408"/>
      <c r="BB490" s="408"/>
      <c r="BC490" s="408"/>
      <c r="BD490" s="408"/>
      <c r="BE490" s="408"/>
      <c r="BF490" s="408"/>
      <c r="BG490" s="408"/>
      <c r="BH490" s="408"/>
      <c r="BI490" s="408"/>
      <c r="BJ490" s="408"/>
      <c r="BK490" s="408"/>
      <c r="BL490" s="408"/>
      <c r="BM490" s="408"/>
      <c r="BN490" s="408"/>
      <c r="BO490" s="408"/>
      <c r="BP490" s="408"/>
      <c r="BQ490" s="408"/>
      <c r="BR490" s="408"/>
      <c r="BS490" s="408"/>
      <c r="BT490" s="408"/>
      <c r="BU490" s="408"/>
      <c r="BV490" s="408"/>
      <c r="BW490" s="408"/>
      <c r="BX490" s="408"/>
      <c r="BY490" s="408"/>
      <c r="BZ490" s="408"/>
      <c r="CA490" s="408"/>
      <c r="CB490" s="408"/>
      <c r="CC490" s="408"/>
      <c r="CD490" s="408"/>
      <c r="CE490" s="408"/>
      <c r="CF490" s="408"/>
      <c r="CG490" s="408"/>
      <c r="CH490" s="408"/>
      <c r="CI490" s="408"/>
      <c r="CJ490" s="408"/>
      <c r="CK490" s="408"/>
      <c r="CL490" s="408"/>
      <c r="CM490" s="408"/>
      <c r="CN490" s="408"/>
    </row>
    <row r="491">
      <c r="A491" s="408"/>
      <c r="B491" s="408"/>
      <c r="C491" s="408"/>
      <c r="D491" s="408"/>
      <c r="E491" s="408"/>
      <c r="F491" s="408"/>
      <c r="G491" s="408"/>
      <c r="H491" s="408"/>
      <c r="I491" s="408"/>
      <c r="J491" s="408"/>
      <c r="K491" s="408"/>
      <c r="L491" s="408"/>
      <c r="M491" s="408"/>
      <c r="N491" s="408"/>
      <c r="O491" s="408"/>
      <c r="P491" s="408"/>
      <c r="Q491" s="408"/>
      <c r="R491" s="408"/>
      <c r="S491" s="408"/>
      <c r="T491" s="408"/>
      <c r="U491" s="408"/>
      <c r="V491" s="408"/>
      <c r="W491" s="408"/>
      <c r="X491" s="408"/>
      <c r="Y491" s="408"/>
      <c r="Z491" s="408"/>
      <c r="AA491" s="408"/>
      <c r="AB491" s="408"/>
      <c r="AC491" s="408"/>
      <c r="AD491" s="408"/>
      <c r="AE491" s="408"/>
      <c r="AF491" s="408"/>
      <c r="AG491" s="408"/>
      <c r="AH491" s="408"/>
      <c r="AI491" s="408"/>
      <c r="AJ491" s="408"/>
      <c r="AK491" s="408"/>
      <c r="AL491" s="408"/>
      <c r="AM491" s="408"/>
      <c r="AN491" s="408"/>
      <c r="AO491" s="408"/>
      <c r="AP491" s="408"/>
      <c r="AQ491" s="408"/>
      <c r="AR491" s="408"/>
      <c r="AS491" s="408"/>
      <c r="AT491" s="408"/>
      <c r="AU491" s="408"/>
      <c r="AV491" s="408"/>
      <c r="AW491" s="408"/>
      <c r="AX491" s="408"/>
      <c r="AY491" s="408"/>
      <c r="AZ491" s="408"/>
      <c r="BA491" s="408"/>
      <c r="BB491" s="408"/>
      <c r="BC491" s="408"/>
      <c r="BD491" s="408"/>
      <c r="BE491" s="408"/>
      <c r="BF491" s="408"/>
      <c r="BG491" s="408"/>
      <c r="BH491" s="408"/>
      <c r="BI491" s="408"/>
      <c r="BJ491" s="408"/>
      <c r="BK491" s="408"/>
      <c r="BL491" s="408"/>
      <c r="BM491" s="408"/>
      <c r="BN491" s="408"/>
      <c r="BO491" s="408"/>
      <c r="BP491" s="408"/>
      <c r="BQ491" s="408"/>
      <c r="BR491" s="408"/>
      <c r="BS491" s="408"/>
      <c r="BT491" s="408"/>
      <c r="BU491" s="408"/>
      <c r="BV491" s="408"/>
      <c r="BW491" s="408"/>
      <c r="BX491" s="408"/>
      <c r="BY491" s="408"/>
      <c r="BZ491" s="408"/>
      <c r="CA491" s="408"/>
      <c r="CB491" s="408"/>
      <c r="CC491" s="408"/>
      <c r="CD491" s="408"/>
      <c r="CE491" s="408"/>
      <c r="CF491" s="408"/>
      <c r="CG491" s="408"/>
      <c r="CH491" s="408"/>
      <c r="CI491" s="408"/>
      <c r="CJ491" s="408"/>
      <c r="CK491" s="408"/>
      <c r="CL491" s="408"/>
      <c r="CM491" s="408"/>
      <c r="CN491" s="408"/>
    </row>
    <row r="492">
      <c r="A492" s="408"/>
      <c r="B492" s="408"/>
      <c r="C492" s="408"/>
      <c r="D492" s="408"/>
      <c r="E492" s="408"/>
      <c r="F492" s="408"/>
      <c r="G492" s="408"/>
      <c r="H492" s="408"/>
      <c r="I492" s="408"/>
      <c r="J492" s="408"/>
      <c r="K492" s="408"/>
      <c r="L492" s="408"/>
      <c r="M492" s="408"/>
      <c r="N492" s="408"/>
      <c r="O492" s="408"/>
      <c r="P492" s="408"/>
      <c r="Q492" s="408"/>
      <c r="R492" s="408"/>
      <c r="S492" s="408"/>
      <c r="T492" s="408"/>
      <c r="U492" s="408"/>
      <c r="V492" s="408"/>
      <c r="W492" s="408"/>
      <c r="X492" s="408"/>
      <c r="Y492" s="408"/>
      <c r="Z492" s="408"/>
      <c r="AA492" s="408"/>
      <c r="AB492" s="408"/>
      <c r="AC492" s="408"/>
      <c r="AD492" s="408"/>
      <c r="AE492" s="408"/>
      <c r="AF492" s="408"/>
      <c r="AG492" s="408"/>
      <c r="AH492" s="408"/>
      <c r="AI492" s="408"/>
      <c r="AJ492" s="408"/>
      <c r="AK492" s="408"/>
      <c r="AL492" s="408"/>
      <c r="AM492" s="408"/>
      <c r="AN492" s="408"/>
      <c r="AO492" s="408"/>
      <c r="AP492" s="408"/>
      <c r="AQ492" s="408"/>
      <c r="AR492" s="408"/>
      <c r="AS492" s="408"/>
      <c r="AT492" s="408"/>
      <c r="AU492" s="408"/>
      <c r="AV492" s="408"/>
      <c r="AW492" s="408"/>
      <c r="AX492" s="408"/>
      <c r="AY492" s="408"/>
      <c r="AZ492" s="408"/>
      <c r="BA492" s="408"/>
      <c r="BB492" s="408"/>
      <c r="BC492" s="408"/>
      <c r="BD492" s="408"/>
      <c r="BE492" s="408"/>
      <c r="BF492" s="408"/>
      <c r="BG492" s="408"/>
      <c r="BH492" s="408"/>
      <c r="BI492" s="408"/>
      <c r="BJ492" s="408"/>
      <c r="BK492" s="408"/>
      <c r="BL492" s="408"/>
      <c r="BM492" s="408"/>
      <c r="BN492" s="408"/>
      <c r="BO492" s="408"/>
      <c r="BP492" s="408"/>
      <c r="BQ492" s="408"/>
      <c r="BR492" s="408"/>
      <c r="BS492" s="408"/>
      <c r="BT492" s="408"/>
      <c r="BU492" s="408"/>
      <c r="BV492" s="408"/>
      <c r="BW492" s="408"/>
      <c r="BX492" s="408"/>
      <c r="BY492" s="408"/>
      <c r="BZ492" s="408"/>
      <c r="CA492" s="408"/>
      <c r="CB492" s="408"/>
      <c r="CC492" s="408"/>
      <c r="CD492" s="408"/>
      <c r="CE492" s="408"/>
      <c r="CF492" s="408"/>
      <c r="CG492" s="408"/>
      <c r="CH492" s="408"/>
      <c r="CI492" s="408"/>
      <c r="CJ492" s="408"/>
      <c r="CK492" s="408"/>
      <c r="CL492" s="408"/>
      <c r="CM492" s="408"/>
      <c r="CN492" s="408"/>
    </row>
    <row r="493">
      <c r="A493" s="408"/>
      <c r="B493" s="408"/>
      <c r="C493" s="408"/>
      <c r="D493" s="408"/>
      <c r="E493" s="408"/>
      <c r="F493" s="408"/>
      <c r="G493" s="408"/>
      <c r="H493" s="408"/>
      <c r="I493" s="408"/>
      <c r="J493" s="408"/>
      <c r="K493" s="408"/>
      <c r="L493" s="408"/>
      <c r="M493" s="408"/>
      <c r="N493" s="408"/>
      <c r="O493" s="408"/>
      <c r="P493" s="408"/>
      <c r="Q493" s="408"/>
      <c r="R493" s="408"/>
      <c r="S493" s="408"/>
      <c r="T493" s="408"/>
      <c r="U493" s="408"/>
      <c r="V493" s="408"/>
      <c r="W493" s="408"/>
      <c r="X493" s="408"/>
      <c r="Y493" s="408"/>
      <c r="Z493" s="408"/>
      <c r="AA493" s="408"/>
      <c r="AB493" s="408"/>
      <c r="AC493" s="408"/>
      <c r="AD493" s="408"/>
      <c r="AE493" s="408"/>
      <c r="AF493" s="408"/>
      <c r="AG493" s="408"/>
      <c r="AH493" s="408"/>
      <c r="AI493" s="408"/>
      <c r="AJ493" s="408"/>
      <c r="AK493" s="408"/>
      <c r="AL493" s="408"/>
      <c r="AM493" s="408"/>
      <c r="AN493" s="408"/>
      <c r="AO493" s="408"/>
      <c r="AP493" s="408"/>
      <c r="AQ493" s="408"/>
      <c r="AR493" s="408"/>
      <c r="AS493" s="408"/>
      <c r="AT493" s="408"/>
      <c r="AU493" s="408"/>
      <c r="AV493" s="408"/>
      <c r="AW493" s="408"/>
      <c r="AX493" s="408"/>
      <c r="AY493" s="408"/>
      <c r="AZ493" s="408"/>
      <c r="BA493" s="408"/>
      <c r="BB493" s="408"/>
      <c r="BC493" s="408"/>
      <c r="BD493" s="408"/>
      <c r="BE493" s="408"/>
      <c r="BF493" s="408"/>
      <c r="BG493" s="408"/>
      <c r="BH493" s="408"/>
      <c r="BI493" s="408"/>
      <c r="BJ493" s="408"/>
      <c r="BK493" s="408"/>
      <c r="BL493" s="408"/>
      <c r="BM493" s="408"/>
      <c r="BN493" s="408"/>
      <c r="BO493" s="408"/>
      <c r="BP493" s="408"/>
      <c r="BQ493" s="408"/>
      <c r="BR493" s="408"/>
      <c r="BS493" s="408"/>
      <c r="BT493" s="408"/>
      <c r="BU493" s="408"/>
      <c r="BV493" s="408"/>
      <c r="BW493" s="408"/>
      <c r="BX493" s="408"/>
      <c r="BY493" s="408"/>
      <c r="BZ493" s="408"/>
      <c r="CA493" s="408"/>
      <c r="CB493" s="408"/>
      <c r="CC493" s="408"/>
      <c r="CD493" s="408"/>
      <c r="CE493" s="408"/>
      <c r="CF493" s="408"/>
      <c r="CG493" s="408"/>
      <c r="CH493" s="408"/>
      <c r="CI493" s="408"/>
      <c r="CJ493" s="408"/>
      <c r="CK493" s="408"/>
      <c r="CL493" s="408"/>
      <c r="CM493" s="408"/>
      <c r="CN493" s="408"/>
    </row>
    <row r="494">
      <c r="A494" s="408"/>
      <c r="B494" s="408"/>
      <c r="C494" s="408"/>
      <c r="D494" s="408"/>
      <c r="E494" s="408"/>
      <c r="F494" s="408"/>
      <c r="G494" s="408"/>
      <c r="H494" s="408"/>
      <c r="I494" s="408"/>
      <c r="J494" s="408"/>
      <c r="K494" s="408"/>
      <c r="L494" s="408"/>
      <c r="M494" s="408"/>
      <c r="N494" s="408"/>
      <c r="O494" s="408"/>
      <c r="P494" s="408"/>
      <c r="Q494" s="408"/>
      <c r="R494" s="408"/>
      <c r="S494" s="408"/>
      <c r="T494" s="408"/>
      <c r="U494" s="408"/>
      <c r="V494" s="408"/>
      <c r="W494" s="408"/>
      <c r="X494" s="408"/>
      <c r="Y494" s="408"/>
      <c r="Z494" s="408"/>
      <c r="AA494" s="408"/>
      <c r="AB494" s="408"/>
      <c r="AC494" s="408"/>
      <c r="AD494" s="408"/>
      <c r="AE494" s="408"/>
      <c r="AF494" s="408"/>
      <c r="AG494" s="408"/>
      <c r="AH494" s="408"/>
      <c r="AI494" s="408"/>
      <c r="AJ494" s="408"/>
      <c r="AK494" s="408"/>
      <c r="AL494" s="408"/>
      <c r="AM494" s="408"/>
      <c r="AN494" s="408"/>
      <c r="AO494" s="408"/>
      <c r="AP494" s="408"/>
      <c r="AQ494" s="408"/>
      <c r="AR494" s="408"/>
      <c r="AS494" s="408"/>
      <c r="AT494" s="408"/>
      <c r="AU494" s="408"/>
      <c r="AV494" s="408"/>
      <c r="AW494" s="408"/>
      <c r="AX494" s="408"/>
      <c r="AY494" s="408"/>
      <c r="AZ494" s="408"/>
      <c r="BA494" s="408"/>
      <c r="BB494" s="408"/>
      <c r="BC494" s="408"/>
      <c r="BD494" s="408"/>
      <c r="BE494" s="408"/>
      <c r="BF494" s="408"/>
      <c r="BG494" s="408"/>
      <c r="BH494" s="408"/>
      <c r="BI494" s="408"/>
      <c r="BJ494" s="408"/>
      <c r="BK494" s="408"/>
      <c r="BL494" s="408"/>
      <c r="BM494" s="408"/>
      <c r="BN494" s="408"/>
      <c r="BO494" s="408"/>
      <c r="BP494" s="408"/>
      <c r="BQ494" s="408"/>
      <c r="BR494" s="408"/>
      <c r="BS494" s="408"/>
      <c r="BT494" s="408"/>
      <c r="BU494" s="408"/>
      <c r="BV494" s="408"/>
      <c r="BW494" s="408"/>
      <c r="BX494" s="408"/>
      <c r="BY494" s="408"/>
      <c r="BZ494" s="408"/>
      <c r="CA494" s="408"/>
      <c r="CB494" s="408"/>
      <c r="CC494" s="408"/>
      <c r="CD494" s="408"/>
      <c r="CE494" s="408"/>
      <c r="CF494" s="408"/>
      <c r="CG494" s="408"/>
      <c r="CH494" s="408"/>
      <c r="CI494" s="408"/>
      <c r="CJ494" s="408"/>
      <c r="CK494" s="408"/>
      <c r="CL494" s="408"/>
      <c r="CM494" s="408"/>
      <c r="CN494" s="408"/>
    </row>
    <row r="495">
      <c r="A495" s="408"/>
      <c r="B495" s="408"/>
      <c r="C495" s="408"/>
      <c r="D495" s="408"/>
      <c r="E495" s="408"/>
      <c r="F495" s="408"/>
      <c r="G495" s="408"/>
      <c r="H495" s="408"/>
      <c r="I495" s="408"/>
      <c r="J495" s="408"/>
      <c r="K495" s="408"/>
      <c r="L495" s="408"/>
      <c r="M495" s="408"/>
      <c r="N495" s="408"/>
      <c r="O495" s="408"/>
      <c r="P495" s="408"/>
      <c r="Q495" s="408"/>
      <c r="R495" s="408"/>
      <c r="S495" s="408"/>
      <c r="T495" s="408"/>
      <c r="U495" s="408"/>
      <c r="V495" s="408"/>
      <c r="W495" s="408"/>
      <c r="X495" s="408"/>
      <c r="Y495" s="408"/>
      <c r="Z495" s="408"/>
      <c r="AA495" s="408"/>
      <c r="AB495" s="408"/>
      <c r="AC495" s="408"/>
      <c r="AD495" s="408"/>
      <c r="AE495" s="408"/>
      <c r="AF495" s="408"/>
      <c r="AG495" s="408"/>
      <c r="AH495" s="408"/>
      <c r="AI495" s="408"/>
      <c r="AJ495" s="408"/>
      <c r="AK495" s="408"/>
      <c r="AL495" s="408"/>
      <c r="AM495" s="408"/>
      <c r="AN495" s="408"/>
      <c r="AO495" s="408"/>
      <c r="AP495" s="408"/>
      <c r="AQ495" s="408"/>
      <c r="AR495" s="408"/>
      <c r="AS495" s="408"/>
      <c r="AT495" s="408"/>
      <c r="AU495" s="408"/>
      <c r="AV495" s="408"/>
      <c r="AW495" s="408"/>
      <c r="AX495" s="408"/>
      <c r="AY495" s="408"/>
      <c r="AZ495" s="408"/>
      <c r="BA495" s="408"/>
      <c r="BB495" s="408"/>
      <c r="BC495" s="408"/>
      <c r="BD495" s="408"/>
      <c r="BE495" s="408"/>
      <c r="BF495" s="408"/>
      <c r="BG495" s="408"/>
      <c r="BH495" s="408"/>
      <c r="BI495" s="408"/>
      <c r="BJ495" s="408"/>
      <c r="BK495" s="408"/>
      <c r="BL495" s="408"/>
      <c r="BM495" s="408"/>
      <c r="BN495" s="408"/>
      <c r="BO495" s="408"/>
      <c r="BP495" s="408"/>
      <c r="BQ495" s="408"/>
      <c r="BR495" s="408"/>
      <c r="BS495" s="408"/>
      <c r="BT495" s="408"/>
      <c r="BU495" s="408"/>
      <c r="BV495" s="408"/>
      <c r="BW495" s="408"/>
      <c r="BX495" s="408"/>
      <c r="BY495" s="408"/>
      <c r="BZ495" s="408"/>
      <c r="CA495" s="408"/>
      <c r="CB495" s="408"/>
      <c r="CC495" s="408"/>
      <c r="CD495" s="408"/>
      <c r="CE495" s="408"/>
      <c r="CF495" s="408"/>
      <c r="CG495" s="408"/>
      <c r="CH495" s="408"/>
      <c r="CI495" s="408"/>
      <c r="CJ495" s="408"/>
      <c r="CK495" s="408"/>
      <c r="CL495" s="408"/>
      <c r="CM495" s="408"/>
      <c r="CN495" s="408"/>
    </row>
    <row r="496">
      <c r="A496" s="408"/>
      <c r="B496" s="408"/>
      <c r="C496" s="408"/>
      <c r="D496" s="408"/>
      <c r="E496" s="408"/>
      <c r="F496" s="408"/>
      <c r="G496" s="408"/>
      <c r="H496" s="408"/>
      <c r="I496" s="408"/>
      <c r="J496" s="408"/>
      <c r="K496" s="408"/>
      <c r="L496" s="408"/>
      <c r="M496" s="408"/>
      <c r="N496" s="408"/>
      <c r="O496" s="408"/>
      <c r="P496" s="408"/>
      <c r="Q496" s="408"/>
      <c r="R496" s="408"/>
      <c r="S496" s="408"/>
      <c r="T496" s="408"/>
      <c r="U496" s="408"/>
      <c r="V496" s="408"/>
      <c r="W496" s="408"/>
      <c r="X496" s="408"/>
      <c r="Y496" s="408"/>
      <c r="Z496" s="408"/>
      <c r="AA496" s="408"/>
      <c r="AB496" s="408"/>
      <c r="AC496" s="408"/>
      <c r="AD496" s="408"/>
      <c r="AE496" s="408"/>
      <c r="AF496" s="408"/>
      <c r="AG496" s="408"/>
      <c r="AH496" s="408"/>
      <c r="AI496" s="408"/>
      <c r="AJ496" s="408"/>
      <c r="AK496" s="408"/>
      <c r="AL496" s="408"/>
      <c r="AM496" s="408"/>
      <c r="AN496" s="408"/>
      <c r="AO496" s="408"/>
      <c r="AP496" s="408"/>
      <c r="AQ496" s="408"/>
      <c r="AR496" s="408"/>
      <c r="AS496" s="408"/>
      <c r="AT496" s="408"/>
      <c r="AU496" s="408"/>
      <c r="AV496" s="408"/>
      <c r="AW496" s="408"/>
      <c r="AX496" s="408"/>
      <c r="AY496" s="408"/>
      <c r="AZ496" s="408"/>
      <c r="BA496" s="408"/>
      <c r="BB496" s="408"/>
      <c r="BC496" s="408"/>
      <c r="BD496" s="408"/>
      <c r="BE496" s="408"/>
      <c r="BF496" s="408"/>
      <c r="BG496" s="408"/>
      <c r="BH496" s="408"/>
      <c r="BI496" s="408"/>
      <c r="BJ496" s="408"/>
      <c r="BK496" s="408"/>
      <c r="BL496" s="408"/>
      <c r="BM496" s="408"/>
      <c r="BN496" s="408"/>
      <c r="BO496" s="408"/>
      <c r="BP496" s="408"/>
      <c r="BQ496" s="408"/>
      <c r="BR496" s="408"/>
      <c r="BS496" s="408"/>
      <c r="BT496" s="408"/>
      <c r="BU496" s="408"/>
      <c r="BV496" s="408"/>
      <c r="BW496" s="408"/>
      <c r="BX496" s="408"/>
      <c r="BY496" s="408"/>
      <c r="BZ496" s="408"/>
      <c r="CA496" s="408"/>
      <c r="CB496" s="408"/>
      <c r="CC496" s="408"/>
      <c r="CD496" s="408"/>
      <c r="CE496" s="408"/>
      <c r="CF496" s="408"/>
      <c r="CG496" s="408"/>
      <c r="CH496" s="408"/>
      <c r="CI496" s="408"/>
      <c r="CJ496" s="408"/>
      <c r="CK496" s="408"/>
      <c r="CL496" s="408"/>
      <c r="CM496" s="408"/>
      <c r="CN496" s="408"/>
    </row>
    <row r="497">
      <c r="A497" s="408"/>
      <c r="B497" s="408"/>
      <c r="C497" s="408"/>
      <c r="D497" s="408"/>
      <c r="E497" s="408"/>
      <c r="F497" s="408"/>
      <c r="G497" s="408"/>
      <c r="H497" s="408"/>
      <c r="I497" s="408"/>
      <c r="J497" s="408"/>
      <c r="K497" s="408"/>
      <c r="L497" s="408"/>
      <c r="M497" s="408"/>
      <c r="N497" s="408"/>
      <c r="O497" s="408"/>
      <c r="P497" s="408"/>
      <c r="Q497" s="408"/>
      <c r="R497" s="408"/>
      <c r="S497" s="408"/>
      <c r="T497" s="408"/>
      <c r="U497" s="408"/>
      <c r="V497" s="408"/>
      <c r="W497" s="408"/>
      <c r="X497" s="408"/>
      <c r="Y497" s="408"/>
      <c r="Z497" s="408"/>
      <c r="AA497" s="408"/>
      <c r="AB497" s="408"/>
      <c r="AC497" s="408"/>
      <c r="AD497" s="408"/>
      <c r="AE497" s="408"/>
      <c r="AF497" s="408"/>
      <c r="AG497" s="408"/>
      <c r="AH497" s="408"/>
      <c r="AI497" s="408"/>
      <c r="AJ497" s="408"/>
      <c r="AK497" s="408"/>
      <c r="AL497" s="408"/>
      <c r="AM497" s="408"/>
      <c r="AN497" s="408"/>
      <c r="AO497" s="408"/>
      <c r="AP497" s="408"/>
      <c r="AQ497" s="408"/>
      <c r="AR497" s="408"/>
      <c r="AS497" s="408"/>
      <c r="AT497" s="408"/>
      <c r="AU497" s="408"/>
      <c r="AV497" s="408"/>
      <c r="AW497" s="408"/>
      <c r="AX497" s="408"/>
      <c r="AY497" s="408"/>
      <c r="AZ497" s="408"/>
      <c r="BA497" s="408"/>
      <c r="BB497" s="408"/>
      <c r="BC497" s="408"/>
      <c r="BD497" s="408"/>
      <c r="BE497" s="408"/>
      <c r="BF497" s="408"/>
      <c r="BG497" s="408"/>
      <c r="BH497" s="408"/>
      <c r="BI497" s="408"/>
      <c r="BJ497" s="408"/>
      <c r="BK497" s="408"/>
      <c r="BL497" s="408"/>
      <c r="BM497" s="408"/>
      <c r="BN497" s="408"/>
      <c r="BO497" s="408"/>
      <c r="BP497" s="408"/>
      <c r="BQ497" s="408"/>
      <c r="BR497" s="408"/>
      <c r="BS497" s="408"/>
      <c r="BT497" s="408"/>
      <c r="BU497" s="408"/>
      <c r="BV497" s="408"/>
      <c r="BW497" s="408"/>
      <c r="BX497" s="408"/>
      <c r="BY497" s="408"/>
      <c r="BZ497" s="408"/>
      <c r="CA497" s="408"/>
      <c r="CB497" s="408"/>
      <c r="CC497" s="408"/>
      <c r="CD497" s="408"/>
      <c r="CE497" s="408"/>
      <c r="CF497" s="408"/>
      <c r="CG497" s="408"/>
      <c r="CH497" s="408"/>
      <c r="CI497" s="408"/>
      <c r="CJ497" s="408"/>
      <c r="CK497" s="408"/>
      <c r="CL497" s="408"/>
      <c r="CM497" s="408"/>
      <c r="CN497" s="408"/>
    </row>
    <row r="498">
      <c r="A498" s="408"/>
      <c r="B498" s="408"/>
      <c r="C498" s="408"/>
      <c r="D498" s="408"/>
      <c r="E498" s="408"/>
      <c r="F498" s="408"/>
      <c r="G498" s="408"/>
      <c r="H498" s="408"/>
      <c r="I498" s="408"/>
      <c r="J498" s="408"/>
      <c r="K498" s="408"/>
      <c r="L498" s="408"/>
      <c r="M498" s="408"/>
      <c r="N498" s="408"/>
      <c r="O498" s="408"/>
      <c r="P498" s="408"/>
      <c r="Q498" s="408"/>
      <c r="R498" s="408"/>
      <c r="S498" s="408"/>
      <c r="T498" s="408"/>
      <c r="U498" s="408"/>
      <c r="V498" s="408"/>
      <c r="W498" s="408"/>
      <c r="X498" s="408"/>
      <c r="Y498" s="408"/>
      <c r="Z498" s="408"/>
      <c r="AA498" s="408"/>
      <c r="AB498" s="408"/>
      <c r="AC498" s="408"/>
      <c r="AD498" s="408"/>
      <c r="AE498" s="408"/>
      <c r="AF498" s="408"/>
      <c r="AG498" s="408"/>
      <c r="AH498" s="408"/>
      <c r="AI498" s="408"/>
      <c r="AJ498" s="408"/>
      <c r="AK498" s="408"/>
      <c r="AL498" s="408"/>
      <c r="AM498" s="408"/>
      <c r="AN498" s="408"/>
      <c r="AO498" s="408"/>
      <c r="AP498" s="408"/>
      <c r="AQ498" s="408"/>
      <c r="AR498" s="408"/>
      <c r="AS498" s="408"/>
      <c r="AT498" s="408"/>
      <c r="AU498" s="408"/>
      <c r="AV498" s="408"/>
      <c r="AW498" s="408"/>
      <c r="AX498" s="408"/>
      <c r="AY498" s="408"/>
      <c r="AZ498" s="408"/>
      <c r="BA498" s="408"/>
      <c r="BB498" s="408"/>
      <c r="BC498" s="408"/>
      <c r="BD498" s="408"/>
      <c r="BE498" s="408"/>
      <c r="BF498" s="408"/>
      <c r="BG498" s="408"/>
      <c r="BH498" s="408"/>
      <c r="BI498" s="408"/>
      <c r="BJ498" s="408"/>
      <c r="BK498" s="408"/>
      <c r="BL498" s="408"/>
      <c r="BM498" s="408"/>
      <c r="BN498" s="408"/>
      <c r="BO498" s="408"/>
      <c r="BP498" s="408"/>
      <c r="BQ498" s="408"/>
      <c r="BR498" s="408"/>
      <c r="BS498" s="408"/>
      <c r="BT498" s="408"/>
      <c r="BU498" s="408"/>
      <c r="BV498" s="408"/>
      <c r="BW498" s="408"/>
      <c r="BX498" s="408"/>
      <c r="BY498" s="408"/>
      <c r="BZ498" s="408"/>
      <c r="CA498" s="408"/>
      <c r="CB498" s="408"/>
      <c r="CC498" s="408"/>
      <c r="CD498" s="408"/>
      <c r="CE498" s="408"/>
      <c r="CF498" s="408"/>
      <c r="CG498" s="408"/>
      <c r="CH498" s="408"/>
      <c r="CI498" s="408"/>
      <c r="CJ498" s="408"/>
      <c r="CK498" s="408"/>
      <c r="CL498" s="408"/>
      <c r="CM498" s="408"/>
      <c r="CN498" s="408"/>
    </row>
    <row r="499">
      <c r="A499" s="408"/>
      <c r="B499" s="408"/>
      <c r="C499" s="408"/>
      <c r="D499" s="408"/>
      <c r="E499" s="408"/>
      <c r="F499" s="408"/>
      <c r="G499" s="408"/>
      <c r="H499" s="408"/>
      <c r="I499" s="408"/>
      <c r="J499" s="408"/>
      <c r="K499" s="408"/>
      <c r="L499" s="408"/>
      <c r="M499" s="408"/>
      <c r="N499" s="408"/>
      <c r="O499" s="408"/>
      <c r="P499" s="408"/>
      <c r="Q499" s="408"/>
      <c r="R499" s="408"/>
      <c r="S499" s="408"/>
      <c r="T499" s="408"/>
      <c r="U499" s="408"/>
      <c r="V499" s="408"/>
      <c r="W499" s="408"/>
      <c r="X499" s="408"/>
      <c r="Y499" s="408"/>
      <c r="Z499" s="408"/>
      <c r="AA499" s="408"/>
      <c r="AB499" s="408"/>
      <c r="AC499" s="408"/>
      <c r="AD499" s="408"/>
      <c r="AE499" s="408"/>
      <c r="AF499" s="408"/>
      <c r="AG499" s="408"/>
      <c r="AH499" s="408"/>
      <c r="AI499" s="408"/>
      <c r="AJ499" s="408"/>
      <c r="AK499" s="408"/>
      <c r="AL499" s="408"/>
      <c r="AM499" s="408"/>
      <c r="AN499" s="408"/>
      <c r="AO499" s="408"/>
      <c r="AP499" s="408"/>
      <c r="AQ499" s="408"/>
      <c r="AR499" s="408"/>
      <c r="AS499" s="408"/>
      <c r="AT499" s="408"/>
      <c r="AU499" s="408"/>
      <c r="AV499" s="408"/>
      <c r="AW499" s="408"/>
      <c r="AX499" s="408"/>
      <c r="AY499" s="408"/>
      <c r="AZ499" s="408"/>
      <c r="BA499" s="408"/>
      <c r="BB499" s="408"/>
      <c r="BC499" s="408"/>
      <c r="BD499" s="408"/>
      <c r="BE499" s="408"/>
      <c r="BF499" s="408"/>
      <c r="BG499" s="408"/>
      <c r="BH499" s="408"/>
      <c r="BI499" s="408"/>
      <c r="BJ499" s="408"/>
      <c r="BK499" s="408"/>
      <c r="BL499" s="408"/>
      <c r="BM499" s="408"/>
      <c r="BN499" s="408"/>
      <c r="BO499" s="408"/>
      <c r="BP499" s="408"/>
      <c r="BQ499" s="408"/>
      <c r="BR499" s="408"/>
      <c r="BS499" s="408"/>
      <c r="BT499" s="408"/>
      <c r="BU499" s="408"/>
      <c r="BV499" s="408"/>
      <c r="BW499" s="408"/>
      <c r="BX499" s="408"/>
      <c r="BY499" s="408"/>
      <c r="BZ499" s="408"/>
      <c r="CA499" s="408"/>
      <c r="CB499" s="408"/>
      <c r="CC499" s="408"/>
      <c r="CD499" s="408"/>
      <c r="CE499" s="408"/>
      <c r="CF499" s="408"/>
      <c r="CG499" s="408"/>
      <c r="CH499" s="408"/>
      <c r="CI499" s="408"/>
      <c r="CJ499" s="408"/>
      <c r="CK499" s="408"/>
      <c r="CL499" s="408"/>
      <c r="CM499" s="408"/>
      <c r="CN499" s="408"/>
    </row>
    <row r="500">
      <c r="A500" s="408"/>
      <c r="B500" s="408"/>
      <c r="C500" s="408"/>
      <c r="D500" s="408"/>
      <c r="E500" s="408"/>
      <c r="F500" s="408"/>
      <c r="G500" s="408"/>
      <c r="H500" s="408"/>
      <c r="I500" s="408"/>
      <c r="J500" s="408"/>
      <c r="K500" s="408"/>
      <c r="L500" s="408"/>
      <c r="M500" s="408"/>
      <c r="N500" s="408"/>
      <c r="O500" s="408"/>
      <c r="P500" s="408"/>
      <c r="Q500" s="408"/>
      <c r="R500" s="408"/>
      <c r="S500" s="408"/>
      <c r="T500" s="408"/>
      <c r="U500" s="408"/>
      <c r="V500" s="408"/>
      <c r="W500" s="408"/>
      <c r="X500" s="408"/>
      <c r="Y500" s="408"/>
      <c r="Z500" s="408"/>
      <c r="AA500" s="408"/>
      <c r="AB500" s="408"/>
      <c r="AC500" s="408"/>
      <c r="AD500" s="408"/>
      <c r="AE500" s="408"/>
      <c r="AF500" s="408"/>
      <c r="AG500" s="408"/>
      <c r="AH500" s="408"/>
      <c r="AI500" s="408"/>
      <c r="AJ500" s="408"/>
      <c r="AK500" s="408"/>
      <c r="AL500" s="408"/>
      <c r="AM500" s="408"/>
      <c r="AN500" s="408"/>
      <c r="AO500" s="408"/>
      <c r="AP500" s="408"/>
      <c r="AQ500" s="408"/>
      <c r="AR500" s="408"/>
      <c r="AS500" s="408"/>
      <c r="AT500" s="408"/>
      <c r="AU500" s="408"/>
      <c r="AV500" s="408"/>
      <c r="AW500" s="408"/>
      <c r="AX500" s="408"/>
      <c r="AY500" s="408"/>
      <c r="AZ500" s="408"/>
      <c r="BA500" s="408"/>
      <c r="BB500" s="408"/>
      <c r="BC500" s="408"/>
      <c r="BD500" s="408"/>
      <c r="BE500" s="408"/>
      <c r="BF500" s="408"/>
      <c r="BG500" s="408"/>
      <c r="BH500" s="408"/>
      <c r="BI500" s="408"/>
      <c r="BJ500" s="408"/>
      <c r="BK500" s="408"/>
      <c r="BL500" s="408"/>
      <c r="BM500" s="408"/>
      <c r="BN500" s="408"/>
      <c r="BO500" s="408"/>
      <c r="BP500" s="408"/>
      <c r="BQ500" s="408"/>
      <c r="BR500" s="408"/>
      <c r="BS500" s="408"/>
      <c r="BT500" s="408"/>
      <c r="BU500" s="408"/>
      <c r="BV500" s="408"/>
      <c r="BW500" s="408"/>
      <c r="BX500" s="408"/>
      <c r="BY500" s="408"/>
      <c r="BZ500" s="408"/>
      <c r="CA500" s="408"/>
      <c r="CB500" s="408"/>
      <c r="CC500" s="408"/>
      <c r="CD500" s="408"/>
      <c r="CE500" s="408"/>
      <c r="CF500" s="408"/>
      <c r="CG500" s="408"/>
      <c r="CH500" s="408"/>
      <c r="CI500" s="408"/>
      <c r="CJ500" s="408"/>
      <c r="CK500" s="408"/>
      <c r="CL500" s="408"/>
      <c r="CM500" s="408"/>
      <c r="CN500" s="408"/>
    </row>
    <row r="501">
      <c r="A501" s="408"/>
      <c r="B501" s="408"/>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c r="AA501" s="408"/>
      <c r="AB501" s="408"/>
      <c r="AC501" s="408"/>
      <c r="AD501" s="408"/>
      <c r="AE501" s="408"/>
      <c r="AF501" s="408"/>
      <c r="AG501" s="408"/>
      <c r="AH501" s="408"/>
      <c r="AI501" s="408"/>
      <c r="AJ501" s="408"/>
      <c r="AK501" s="408"/>
      <c r="AL501" s="408"/>
      <c r="AM501" s="408"/>
      <c r="AN501" s="408"/>
      <c r="AO501" s="408"/>
      <c r="AP501" s="408"/>
      <c r="AQ501" s="408"/>
      <c r="AR501" s="408"/>
      <c r="AS501" s="408"/>
      <c r="AT501" s="408"/>
      <c r="AU501" s="408"/>
      <c r="AV501" s="408"/>
      <c r="AW501" s="408"/>
      <c r="AX501" s="408"/>
      <c r="AY501" s="408"/>
      <c r="AZ501" s="408"/>
      <c r="BA501" s="408"/>
      <c r="BB501" s="408"/>
      <c r="BC501" s="408"/>
      <c r="BD501" s="408"/>
      <c r="BE501" s="408"/>
      <c r="BF501" s="408"/>
      <c r="BG501" s="408"/>
      <c r="BH501" s="408"/>
      <c r="BI501" s="408"/>
      <c r="BJ501" s="408"/>
      <c r="BK501" s="408"/>
      <c r="BL501" s="408"/>
      <c r="BM501" s="408"/>
      <c r="BN501" s="408"/>
      <c r="BO501" s="408"/>
      <c r="BP501" s="408"/>
      <c r="BQ501" s="408"/>
      <c r="BR501" s="408"/>
      <c r="BS501" s="408"/>
      <c r="BT501" s="408"/>
      <c r="BU501" s="408"/>
      <c r="BV501" s="408"/>
      <c r="BW501" s="408"/>
      <c r="BX501" s="408"/>
      <c r="BY501" s="408"/>
      <c r="BZ501" s="408"/>
      <c r="CA501" s="408"/>
      <c r="CB501" s="408"/>
      <c r="CC501" s="408"/>
      <c r="CD501" s="408"/>
      <c r="CE501" s="408"/>
      <c r="CF501" s="408"/>
      <c r="CG501" s="408"/>
      <c r="CH501" s="408"/>
      <c r="CI501" s="408"/>
      <c r="CJ501" s="408"/>
      <c r="CK501" s="408"/>
      <c r="CL501" s="408"/>
      <c r="CM501" s="408"/>
      <c r="CN501" s="408"/>
    </row>
    <row r="502">
      <c r="A502" s="408"/>
      <c r="B502" s="408"/>
      <c r="C502" s="408"/>
      <c r="D502" s="408"/>
      <c r="E502" s="408"/>
      <c r="F502" s="408"/>
      <c r="G502" s="408"/>
      <c r="H502" s="408"/>
      <c r="I502" s="408"/>
      <c r="J502" s="408"/>
      <c r="K502" s="408"/>
      <c r="L502" s="408"/>
      <c r="M502" s="408"/>
      <c r="N502" s="408"/>
      <c r="O502" s="408"/>
      <c r="P502" s="408"/>
      <c r="Q502" s="408"/>
      <c r="R502" s="408"/>
      <c r="S502" s="408"/>
      <c r="T502" s="408"/>
      <c r="U502" s="408"/>
      <c r="V502" s="408"/>
      <c r="W502" s="408"/>
      <c r="X502" s="408"/>
      <c r="Y502" s="408"/>
      <c r="Z502" s="408"/>
      <c r="AA502" s="408"/>
      <c r="AB502" s="408"/>
      <c r="AC502" s="408"/>
      <c r="AD502" s="408"/>
      <c r="AE502" s="408"/>
      <c r="AF502" s="408"/>
      <c r="AG502" s="408"/>
      <c r="AH502" s="408"/>
      <c r="AI502" s="408"/>
      <c r="AJ502" s="408"/>
      <c r="AK502" s="408"/>
      <c r="AL502" s="408"/>
      <c r="AM502" s="408"/>
      <c r="AN502" s="408"/>
      <c r="AO502" s="408"/>
      <c r="AP502" s="408"/>
      <c r="AQ502" s="408"/>
      <c r="AR502" s="408"/>
      <c r="AS502" s="408"/>
      <c r="AT502" s="408"/>
      <c r="AU502" s="408"/>
      <c r="AV502" s="408"/>
      <c r="AW502" s="408"/>
      <c r="AX502" s="408"/>
      <c r="AY502" s="408"/>
      <c r="AZ502" s="408"/>
      <c r="BA502" s="408"/>
      <c r="BB502" s="408"/>
      <c r="BC502" s="408"/>
      <c r="BD502" s="408"/>
      <c r="BE502" s="408"/>
      <c r="BF502" s="408"/>
      <c r="BG502" s="408"/>
      <c r="BH502" s="408"/>
      <c r="BI502" s="408"/>
      <c r="BJ502" s="408"/>
      <c r="BK502" s="408"/>
      <c r="BL502" s="408"/>
      <c r="BM502" s="408"/>
      <c r="BN502" s="408"/>
      <c r="BO502" s="408"/>
      <c r="BP502" s="408"/>
      <c r="BQ502" s="408"/>
      <c r="BR502" s="408"/>
      <c r="BS502" s="408"/>
      <c r="BT502" s="408"/>
      <c r="BU502" s="408"/>
      <c r="BV502" s="408"/>
      <c r="BW502" s="408"/>
      <c r="BX502" s="408"/>
      <c r="BY502" s="408"/>
      <c r="BZ502" s="408"/>
      <c r="CA502" s="408"/>
      <c r="CB502" s="408"/>
      <c r="CC502" s="408"/>
      <c r="CD502" s="408"/>
      <c r="CE502" s="408"/>
      <c r="CF502" s="408"/>
      <c r="CG502" s="408"/>
      <c r="CH502" s="408"/>
      <c r="CI502" s="408"/>
      <c r="CJ502" s="408"/>
      <c r="CK502" s="408"/>
      <c r="CL502" s="408"/>
      <c r="CM502" s="408"/>
      <c r="CN502" s="408"/>
    </row>
    <row r="503">
      <c r="A503" s="408"/>
      <c r="B503" s="408"/>
      <c r="C503" s="408"/>
      <c r="D503" s="408"/>
      <c r="E503" s="408"/>
      <c r="F503" s="408"/>
      <c r="G503" s="408"/>
      <c r="H503" s="408"/>
      <c r="I503" s="408"/>
      <c r="J503" s="408"/>
      <c r="K503" s="408"/>
      <c r="L503" s="408"/>
      <c r="M503" s="408"/>
      <c r="N503" s="408"/>
      <c r="O503" s="408"/>
      <c r="P503" s="408"/>
      <c r="Q503" s="408"/>
      <c r="R503" s="408"/>
      <c r="S503" s="408"/>
      <c r="T503" s="408"/>
      <c r="U503" s="408"/>
      <c r="V503" s="408"/>
      <c r="W503" s="408"/>
      <c r="X503" s="408"/>
      <c r="Y503" s="408"/>
      <c r="Z503" s="408"/>
      <c r="AA503" s="408"/>
      <c r="AB503" s="408"/>
      <c r="AC503" s="408"/>
      <c r="AD503" s="408"/>
      <c r="AE503" s="408"/>
      <c r="AF503" s="408"/>
      <c r="AG503" s="408"/>
      <c r="AH503" s="408"/>
      <c r="AI503" s="408"/>
      <c r="AJ503" s="408"/>
      <c r="AK503" s="408"/>
      <c r="AL503" s="408"/>
      <c r="AM503" s="408"/>
      <c r="AN503" s="408"/>
      <c r="AO503" s="408"/>
      <c r="AP503" s="408"/>
      <c r="AQ503" s="408"/>
      <c r="AR503" s="408"/>
      <c r="AS503" s="408"/>
      <c r="AT503" s="408"/>
      <c r="AU503" s="408"/>
      <c r="AV503" s="408"/>
      <c r="AW503" s="408"/>
      <c r="AX503" s="408"/>
      <c r="AY503" s="408"/>
      <c r="AZ503" s="408"/>
      <c r="BA503" s="408"/>
      <c r="BB503" s="408"/>
      <c r="BC503" s="408"/>
      <c r="BD503" s="408"/>
      <c r="BE503" s="408"/>
      <c r="BF503" s="408"/>
      <c r="BG503" s="408"/>
      <c r="BH503" s="408"/>
      <c r="BI503" s="408"/>
      <c r="BJ503" s="408"/>
      <c r="BK503" s="408"/>
      <c r="BL503" s="408"/>
      <c r="BM503" s="408"/>
      <c r="BN503" s="408"/>
      <c r="BO503" s="408"/>
      <c r="BP503" s="408"/>
      <c r="BQ503" s="408"/>
      <c r="BR503" s="408"/>
      <c r="BS503" s="408"/>
      <c r="BT503" s="408"/>
      <c r="BU503" s="408"/>
      <c r="BV503" s="408"/>
      <c r="BW503" s="408"/>
      <c r="BX503" s="408"/>
      <c r="BY503" s="408"/>
      <c r="BZ503" s="408"/>
      <c r="CA503" s="408"/>
      <c r="CB503" s="408"/>
      <c r="CC503" s="408"/>
      <c r="CD503" s="408"/>
      <c r="CE503" s="408"/>
      <c r="CF503" s="408"/>
      <c r="CG503" s="408"/>
      <c r="CH503" s="408"/>
      <c r="CI503" s="408"/>
      <c r="CJ503" s="408"/>
      <c r="CK503" s="408"/>
      <c r="CL503" s="408"/>
      <c r="CM503" s="408"/>
      <c r="CN503" s="408"/>
    </row>
    <row r="504">
      <c r="A504" s="408"/>
      <c r="B504" s="408"/>
      <c r="C504" s="408"/>
      <c r="D504" s="408"/>
      <c r="E504" s="408"/>
      <c r="F504" s="408"/>
      <c r="G504" s="408"/>
      <c r="H504" s="408"/>
      <c r="I504" s="408"/>
      <c r="J504" s="408"/>
      <c r="K504" s="408"/>
      <c r="L504" s="408"/>
      <c r="M504" s="408"/>
      <c r="N504" s="408"/>
      <c r="O504" s="408"/>
      <c r="P504" s="408"/>
      <c r="Q504" s="408"/>
      <c r="R504" s="408"/>
      <c r="S504" s="408"/>
      <c r="T504" s="408"/>
      <c r="U504" s="408"/>
      <c r="V504" s="408"/>
      <c r="W504" s="408"/>
      <c r="X504" s="408"/>
      <c r="Y504" s="408"/>
      <c r="Z504" s="408"/>
      <c r="AA504" s="408"/>
      <c r="AB504" s="408"/>
      <c r="AC504" s="408"/>
      <c r="AD504" s="408"/>
      <c r="AE504" s="408"/>
      <c r="AF504" s="408"/>
      <c r="AG504" s="408"/>
      <c r="AH504" s="408"/>
      <c r="AI504" s="408"/>
      <c r="AJ504" s="408"/>
      <c r="AK504" s="408"/>
      <c r="AL504" s="408"/>
      <c r="AM504" s="408"/>
      <c r="AN504" s="408"/>
      <c r="AO504" s="408"/>
      <c r="AP504" s="408"/>
      <c r="AQ504" s="408"/>
      <c r="AR504" s="408"/>
      <c r="AS504" s="408"/>
      <c r="AT504" s="408"/>
      <c r="AU504" s="408"/>
      <c r="AV504" s="408"/>
      <c r="AW504" s="408"/>
      <c r="AX504" s="408"/>
      <c r="AY504" s="408"/>
      <c r="AZ504" s="408"/>
      <c r="BA504" s="408"/>
      <c r="BB504" s="408"/>
      <c r="BC504" s="408"/>
      <c r="BD504" s="408"/>
      <c r="BE504" s="408"/>
      <c r="BF504" s="408"/>
      <c r="BG504" s="408"/>
      <c r="BH504" s="408"/>
      <c r="BI504" s="408"/>
      <c r="BJ504" s="408"/>
      <c r="BK504" s="408"/>
      <c r="BL504" s="408"/>
      <c r="BM504" s="408"/>
      <c r="BN504" s="408"/>
      <c r="BO504" s="408"/>
      <c r="BP504" s="408"/>
      <c r="BQ504" s="408"/>
      <c r="BR504" s="408"/>
      <c r="BS504" s="408"/>
      <c r="BT504" s="408"/>
      <c r="BU504" s="408"/>
      <c r="BV504" s="408"/>
      <c r="BW504" s="408"/>
      <c r="BX504" s="408"/>
      <c r="BY504" s="408"/>
      <c r="BZ504" s="408"/>
      <c r="CA504" s="408"/>
      <c r="CB504" s="408"/>
      <c r="CC504" s="408"/>
      <c r="CD504" s="408"/>
      <c r="CE504" s="408"/>
      <c r="CF504" s="408"/>
      <c r="CG504" s="408"/>
      <c r="CH504" s="408"/>
      <c r="CI504" s="408"/>
      <c r="CJ504" s="408"/>
      <c r="CK504" s="408"/>
      <c r="CL504" s="408"/>
      <c r="CM504" s="408"/>
      <c r="CN504" s="408"/>
    </row>
    <row r="505">
      <c r="A505" s="408"/>
      <c r="B505" s="408"/>
      <c r="C505" s="408"/>
      <c r="D505" s="408"/>
      <c r="E505" s="408"/>
      <c r="F505" s="408"/>
      <c r="G505" s="408"/>
      <c r="H505" s="408"/>
      <c r="I505" s="408"/>
      <c r="J505" s="408"/>
      <c r="K505" s="408"/>
      <c r="L505" s="408"/>
      <c r="M505" s="408"/>
      <c r="N505" s="408"/>
      <c r="O505" s="408"/>
      <c r="P505" s="408"/>
      <c r="Q505" s="408"/>
      <c r="R505" s="408"/>
      <c r="S505" s="408"/>
      <c r="T505" s="408"/>
      <c r="U505" s="408"/>
      <c r="V505" s="408"/>
      <c r="W505" s="408"/>
      <c r="X505" s="408"/>
      <c r="Y505" s="408"/>
      <c r="Z505" s="408"/>
      <c r="AA505" s="408"/>
      <c r="AB505" s="408"/>
      <c r="AC505" s="408"/>
      <c r="AD505" s="408"/>
      <c r="AE505" s="408"/>
      <c r="AF505" s="408"/>
      <c r="AG505" s="408"/>
      <c r="AH505" s="408"/>
      <c r="AI505" s="408"/>
      <c r="AJ505" s="408"/>
      <c r="AK505" s="408"/>
      <c r="AL505" s="408"/>
      <c r="AM505" s="408"/>
      <c r="AN505" s="408"/>
      <c r="AO505" s="408"/>
      <c r="AP505" s="408"/>
      <c r="AQ505" s="408"/>
      <c r="AR505" s="408"/>
      <c r="AS505" s="408"/>
      <c r="AT505" s="408"/>
      <c r="AU505" s="408"/>
      <c r="AV505" s="408"/>
      <c r="AW505" s="408"/>
      <c r="AX505" s="408"/>
      <c r="AY505" s="408"/>
      <c r="AZ505" s="408"/>
      <c r="BA505" s="408"/>
      <c r="BB505" s="408"/>
      <c r="BC505" s="408"/>
      <c r="BD505" s="408"/>
      <c r="BE505" s="408"/>
      <c r="BF505" s="408"/>
      <c r="BG505" s="408"/>
      <c r="BH505" s="408"/>
      <c r="BI505" s="408"/>
      <c r="BJ505" s="408"/>
      <c r="BK505" s="408"/>
      <c r="BL505" s="408"/>
      <c r="BM505" s="408"/>
      <c r="BN505" s="408"/>
      <c r="BO505" s="408"/>
      <c r="BP505" s="408"/>
      <c r="BQ505" s="408"/>
      <c r="BR505" s="408"/>
      <c r="BS505" s="408"/>
      <c r="BT505" s="408"/>
      <c r="BU505" s="408"/>
      <c r="BV505" s="408"/>
      <c r="BW505" s="408"/>
      <c r="BX505" s="408"/>
      <c r="BY505" s="408"/>
      <c r="BZ505" s="408"/>
      <c r="CA505" s="408"/>
      <c r="CB505" s="408"/>
      <c r="CC505" s="408"/>
      <c r="CD505" s="408"/>
      <c r="CE505" s="408"/>
      <c r="CF505" s="408"/>
      <c r="CG505" s="408"/>
      <c r="CH505" s="408"/>
      <c r="CI505" s="408"/>
      <c r="CJ505" s="408"/>
      <c r="CK505" s="408"/>
      <c r="CL505" s="408"/>
      <c r="CM505" s="408"/>
      <c r="CN505" s="408"/>
    </row>
    <row r="506">
      <c r="A506" s="408"/>
      <c r="B506" s="408"/>
      <c r="C506" s="408"/>
      <c r="D506" s="408"/>
      <c r="E506" s="408"/>
      <c r="F506" s="408"/>
      <c r="G506" s="408"/>
      <c r="H506" s="408"/>
      <c r="I506" s="408"/>
      <c r="J506" s="408"/>
      <c r="K506" s="408"/>
      <c r="L506" s="408"/>
      <c r="M506" s="408"/>
      <c r="N506" s="408"/>
      <c r="O506" s="408"/>
      <c r="P506" s="408"/>
      <c r="Q506" s="408"/>
      <c r="R506" s="408"/>
      <c r="S506" s="408"/>
      <c r="T506" s="408"/>
      <c r="U506" s="408"/>
      <c r="V506" s="408"/>
      <c r="W506" s="408"/>
      <c r="X506" s="408"/>
      <c r="Y506" s="408"/>
      <c r="Z506" s="408"/>
      <c r="AA506" s="408"/>
      <c r="AB506" s="408"/>
      <c r="AC506" s="408"/>
      <c r="AD506" s="408"/>
      <c r="AE506" s="408"/>
      <c r="AF506" s="408"/>
      <c r="AG506" s="408"/>
      <c r="AH506" s="408"/>
      <c r="AI506" s="408"/>
      <c r="AJ506" s="408"/>
      <c r="AK506" s="408"/>
      <c r="AL506" s="408"/>
      <c r="AM506" s="408"/>
      <c r="AN506" s="408"/>
      <c r="AO506" s="408"/>
      <c r="AP506" s="408"/>
      <c r="AQ506" s="408"/>
      <c r="AR506" s="408"/>
      <c r="AS506" s="408"/>
      <c r="AT506" s="408"/>
      <c r="AU506" s="408"/>
      <c r="AV506" s="408"/>
      <c r="AW506" s="408"/>
      <c r="AX506" s="408"/>
      <c r="AY506" s="408"/>
      <c r="AZ506" s="408"/>
      <c r="BA506" s="408"/>
      <c r="BB506" s="408"/>
      <c r="BC506" s="408"/>
      <c r="BD506" s="408"/>
      <c r="BE506" s="408"/>
      <c r="BF506" s="408"/>
      <c r="BG506" s="408"/>
      <c r="BH506" s="408"/>
      <c r="BI506" s="408"/>
      <c r="BJ506" s="408"/>
      <c r="BK506" s="408"/>
      <c r="BL506" s="408"/>
      <c r="BM506" s="408"/>
      <c r="BN506" s="408"/>
      <c r="BO506" s="408"/>
      <c r="BP506" s="408"/>
      <c r="BQ506" s="408"/>
      <c r="BR506" s="408"/>
      <c r="BS506" s="408"/>
      <c r="BT506" s="408"/>
      <c r="BU506" s="408"/>
      <c r="BV506" s="408"/>
      <c r="BW506" s="408"/>
      <c r="BX506" s="408"/>
      <c r="BY506" s="408"/>
      <c r="BZ506" s="408"/>
      <c r="CA506" s="408"/>
      <c r="CB506" s="408"/>
      <c r="CC506" s="408"/>
      <c r="CD506" s="408"/>
      <c r="CE506" s="408"/>
      <c r="CF506" s="408"/>
      <c r="CG506" s="408"/>
      <c r="CH506" s="408"/>
      <c r="CI506" s="408"/>
      <c r="CJ506" s="408"/>
      <c r="CK506" s="408"/>
      <c r="CL506" s="408"/>
      <c r="CM506" s="408"/>
      <c r="CN506" s="408"/>
    </row>
    <row r="507">
      <c r="A507" s="408"/>
      <c r="B507" s="408"/>
      <c r="C507" s="408"/>
      <c r="D507" s="408"/>
      <c r="E507" s="408"/>
      <c r="F507" s="408"/>
      <c r="G507" s="408"/>
      <c r="H507" s="408"/>
      <c r="I507" s="408"/>
      <c r="J507" s="408"/>
      <c r="K507" s="408"/>
      <c r="L507" s="408"/>
      <c r="M507" s="408"/>
      <c r="N507" s="408"/>
      <c r="O507" s="408"/>
      <c r="P507" s="408"/>
      <c r="Q507" s="408"/>
      <c r="R507" s="408"/>
      <c r="S507" s="408"/>
      <c r="T507" s="408"/>
      <c r="U507" s="408"/>
      <c r="V507" s="408"/>
      <c r="W507" s="408"/>
      <c r="X507" s="408"/>
      <c r="Y507" s="408"/>
      <c r="Z507" s="408"/>
      <c r="AA507" s="408"/>
      <c r="AB507" s="408"/>
      <c r="AC507" s="408"/>
      <c r="AD507" s="408"/>
      <c r="AE507" s="408"/>
      <c r="AF507" s="408"/>
      <c r="AG507" s="408"/>
      <c r="AH507" s="408"/>
      <c r="AI507" s="408"/>
      <c r="AJ507" s="408"/>
      <c r="AK507" s="408"/>
      <c r="AL507" s="408"/>
      <c r="AM507" s="408"/>
      <c r="AN507" s="408"/>
      <c r="AO507" s="408"/>
      <c r="AP507" s="408"/>
      <c r="AQ507" s="408"/>
      <c r="AR507" s="408"/>
      <c r="AS507" s="408"/>
      <c r="AT507" s="408"/>
      <c r="AU507" s="408"/>
      <c r="AV507" s="408"/>
      <c r="AW507" s="408"/>
      <c r="AX507" s="408"/>
      <c r="AY507" s="408"/>
      <c r="AZ507" s="408"/>
      <c r="BA507" s="408"/>
      <c r="BB507" s="408"/>
      <c r="BC507" s="408"/>
      <c r="BD507" s="408"/>
      <c r="BE507" s="408"/>
      <c r="BF507" s="408"/>
      <c r="BG507" s="408"/>
      <c r="BH507" s="408"/>
      <c r="BI507" s="408"/>
      <c r="BJ507" s="408"/>
      <c r="BK507" s="408"/>
      <c r="BL507" s="408"/>
      <c r="BM507" s="408"/>
      <c r="BN507" s="408"/>
      <c r="BO507" s="408"/>
      <c r="BP507" s="408"/>
      <c r="BQ507" s="408"/>
      <c r="BR507" s="408"/>
      <c r="BS507" s="408"/>
      <c r="BT507" s="408"/>
      <c r="BU507" s="408"/>
      <c r="BV507" s="408"/>
      <c r="BW507" s="408"/>
      <c r="BX507" s="408"/>
      <c r="BY507" s="408"/>
      <c r="BZ507" s="408"/>
      <c r="CA507" s="408"/>
      <c r="CB507" s="408"/>
      <c r="CC507" s="408"/>
      <c r="CD507" s="408"/>
      <c r="CE507" s="408"/>
      <c r="CF507" s="408"/>
      <c r="CG507" s="408"/>
      <c r="CH507" s="408"/>
      <c r="CI507" s="408"/>
      <c r="CJ507" s="408"/>
      <c r="CK507" s="408"/>
      <c r="CL507" s="408"/>
      <c r="CM507" s="408"/>
      <c r="CN507" s="408"/>
    </row>
    <row r="508">
      <c r="A508" s="408"/>
      <c r="B508" s="408"/>
      <c r="C508" s="408"/>
      <c r="D508" s="408"/>
      <c r="E508" s="408"/>
      <c r="F508" s="408"/>
      <c r="G508" s="408"/>
      <c r="H508" s="408"/>
      <c r="I508" s="408"/>
      <c r="J508" s="408"/>
      <c r="K508" s="408"/>
      <c r="L508" s="408"/>
      <c r="M508" s="408"/>
      <c r="N508" s="408"/>
      <c r="O508" s="408"/>
      <c r="P508" s="408"/>
      <c r="Q508" s="408"/>
      <c r="R508" s="408"/>
      <c r="S508" s="408"/>
      <c r="T508" s="408"/>
      <c r="U508" s="408"/>
      <c r="V508" s="408"/>
      <c r="W508" s="408"/>
      <c r="X508" s="408"/>
      <c r="Y508" s="408"/>
      <c r="Z508" s="408"/>
      <c r="AA508" s="408"/>
      <c r="AB508" s="408"/>
      <c r="AC508" s="408"/>
      <c r="AD508" s="408"/>
      <c r="AE508" s="408"/>
      <c r="AF508" s="408"/>
      <c r="AG508" s="408"/>
      <c r="AH508" s="408"/>
      <c r="AI508" s="408"/>
      <c r="AJ508" s="408"/>
      <c r="AK508" s="408"/>
      <c r="AL508" s="408"/>
      <c r="AM508" s="408"/>
      <c r="AN508" s="408"/>
      <c r="AO508" s="408"/>
      <c r="AP508" s="408"/>
      <c r="AQ508" s="408"/>
      <c r="AR508" s="408"/>
      <c r="AS508" s="408"/>
      <c r="AT508" s="408"/>
      <c r="AU508" s="408"/>
      <c r="AV508" s="408"/>
      <c r="AW508" s="408"/>
      <c r="AX508" s="408"/>
      <c r="AY508" s="408"/>
      <c r="AZ508" s="408"/>
      <c r="BA508" s="408"/>
      <c r="BB508" s="408"/>
      <c r="BC508" s="408"/>
      <c r="BD508" s="408"/>
      <c r="BE508" s="408"/>
      <c r="BF508" s="408"/>
      <c r="BG508" s="408"/>
      <c r="BH508" s="408"/>
      <c r="BI508" s="408"/>
      <c r="BJ508" s="408"/>
      <c r="BK508" s="408"/>
      <c r="BL508" s="408"/>
      <c r="BM508" s="408"/>
      <c r="BN508" s="408"/>
      <c r="BO508" s="408"/>
      <c r="BP508" s="408"/>
      <c r="BQ508" s="408"/>
      <c r="BR508" s="408"/>
      <c r="BS508" s="408"/>
      <c r="BT508" s="408"/>
      <c r="BU508" s="408"/>
      <c r="BV508" s="408"/>
      <c r="BW508" s="408"/>
      <c r="BX508" s="408"/>
      <c r="BY508" s="408"/>
      <c r="BZ508" s="408"/>
      <c r="CA508" s="408"/>
      <c r="CB508" s="408"/>
      <c r="CC508" s="408"/>
      <c r="CD508" s="408"/>
      <c r="CE508" s="408"/>
      <c r="CF508" s="408"/>
      <c r="CG508" s="408"/>
      <c r="CH508" s="408"/>
      <c r="CI508" s="408"/>
      <c r="CJ508" s="408"/>
      <c r="CK508" s="408"/>
      <c r="CL508" s="408"/>
      <c r="CM508" s="408"/>
      <c r="CN508" s="408"/>
    </row>
    <row r="509">
      <c r="A509" s="408"/>
      <c r="B509" s="408"/>
      <c r="C509" s="408"/>
      <c r="D509" s="408"/>
      <c r="E509" s="408"/>
      <c r="F509" s="408"/>
      <c r="G509" s="408"/>
      <c r="H509" s="408"/>
      <c r="I509" s="408"/>
      <c r="J509" s="408"/>
      <c r="K509" s="408"/>
      <c r="L509" s="408"/>
      <c r="M509" s="408"/>
      <c r="N509" s="408"/>
      <c r="O509" s="408"/>
      <c r="P509" s="408"/>
      <c r="Q509" s="408"/>
      <c r="R509" s="408"/>
      <c r="S509" s="408"/>
      <c r="T509" s="408"/>
      <c r="U509" s="408"/>
      <c r="V509" s="408"/>
      <c r="W509" s="408"/>
      <c r="X509" s="408"/>
      <c r="Y509" s="408"/>
      <c r="Z509" s="408"/>
      <c r="AA509" s="408"/>
      <c r="AB509" s="408"/>
      <c r="AC509" s="408"/>
      <c r="AD509" s="408"/>
      <c r="AE509" s="408"/>
      <c r="AF509" s="408"/>
      <c r="AG509" s="408"/>
      <c r="AH509" s="408"/>
      <c r="AI509" s="408"/>
      <c r="AJ509" s="408"/>
      <c r="AK509" s="408"/>
      <c r="AL509" s="408"/>
      <c r="AM509" s="408"/>
      <c r="AN509" s="408"/>
      <c r="AO509" s="408"/>
      <c r="AP509" s="408"/>
      <c r="AQ509" s="408"/>
      <c r="AR509" s="408"/>
      <c r="AS509" s="408"/>
      <c r="AT509" s="408"/>
      <c r="AU509" s="408"/>
      <c r="AV509" s="408"/>
      <c r="AW509" s="408"/>
      <c r="AX509" s="408"/>
      <c r="AY509" s="408"/>
      <c r="AZ509" s="408"/>
      <c r="BA509" s="408"/>
      <c r="BB509" s="408"/>
      <c r="BC509" s="408"/>
      <c r="BD509" s="408"/>
      <c r="BE509" s="408"/>
      <c r="BF509" s="408"/>
      <c r="BG509" s="408"/>
      <c r="BH509" s="408"/>
      <c r="BI509" s="408"/>
      <c r="BJ509" s="408"/>
      <c r="BK509" s="408"/>
      <c r="BL509" s="408"/>
      <c r="BM509" s="408"/>
      <c r="BN509" s="408"/>
      <c r="BO509" s="408"/>
      <c r="BP509" s="408"/>
      <c r="BQ509" s="408"/>
      <c r="BR509" s="408"/>
      <c r="BS509" s="408"/>
      <c r="BT509" s="408"/>
      <c r="BU509" s="408"/>
      <c r="BV509" s="408"/>
      <c r="BW509" s="408"/>
      <c r="BX509" s="408"/>
      <c r="BY509" s="408"/>
      <c r="BZ509" s="408"/>
      <c r="CA509" s="408"/>
      <c r="CB509" s="408"/>
      <c r="CC509" s="408"/>
      <c r="CD509" s="408"/>
      <c r="CE509" s="408"/>
      <c r="CF509" s="408"/>
      <c r="CG509" s="408"/>
      <c r="CH509" s="408"/>
      <c r="CI509" s="408"/>
      <c r="CJ509" s="408"/>
      <c r="CK509" s="408"/>
      <c r="CL509" s="408"/>
      <c r="CM509" s="408"/>
      <c r="CN509" s="408"/>
    </row>
    <row r="510">
      <c r="A510" s="408"/>
      <c r="B510" s="408"/>
      <c r="C510" s="408"/>
      <c r="D510" s="408"/>
      <c r="E510" s="408"/>
      <c r="F510" s="408"/>
      <c r="G510" s="408"/>
      <c r="H510" s="408"/>
      <c r="I510" s="408"/>
      <c r="J510" s="408"/>
      <c r="K510" s="408"/>
      <c r="L510" s="408"/>
      <c r="M510" s="408"/>
      <c r="N510" s="408"/>
      <c r="O510" s="408"/>
      <c r="P510" s="408"/>
      <c r="Q510" s="408"/>
      <c r="R510" s="408"/>
      <c r="S510" s="408"/>
      <c r="T510" s="408"/>
      <c r="U510" s="408"/>
      <c r="V510" s="408"/>
      <c r="W510" s="408"/>
      <c r="X510" s="408"/>
      <c r="Y510" s="408"/>
      <c r="Z510" s="408"/>
      <c r="AA510" s="408"/>
      <c r="AB510" s="408"/>
      <c r="AC510" s="408"/>
      <c r="AD510" s="408"/>
      <c r="AE510" s="408"/>
      <c r="AF510" s="408"/>
      <c r="AG510" s="408"/>
      <c r="AH510" s="408"/>
      <c r="AI510" s="408"/>
      <c r="AJ510" s="408"/>
      <c r="AK510" s="408"/>
      <c r="AL510" s="408"/>
      <c r="AM510" s="408"/>
      <c r="AN510" s="408"/>
      <c r="AO510" s="408"/>
      <c r="AP510" s="408"/>
      <c r="AQ510" s="408"/>
      <c r="AR510" s="408"/>
      <c r="AS510" s="408"/>
      <c r="AT510" s="408"/>
      <c r="AU510" s="408"/>
      <c r="AV510" s="408"/>
      <c r="AW510" s="408"/>
      <c r="AX510" s="408"/>
      <c r="AY510" s="408"/>
      <c r="AZ510" s="408"/>
      <c r="BA510" s="408"/>
      <c r="BB510" s="408"/>
      <c r="BC510" s="408"/>
      <c r="BD510" s="408"/>
      <c r="BE510" s="408"/>
      <c r="BF510" s="408"/>
      <c r="BG510" s="408"/>
      <c r="BH510" s="408"/>
      <c r="BI510" s="408"/>
      <c r="BJ510" s="408"/>
      <c r="BK510" s="408"/>
      <c r="BL510" s="408"/>
      <c r="BM510" s="408"/>
      <c r="BN510" s="408"/>
      <c r="BO510" s="408"/>
      <c r="BP510" s="408"/>
      <c r="BQ510" s="408"/>
      <c r="BR510" s="408"/>
      <c r="BS510" s="408"/>
      <c r="BT510" s="408"/>
      <c r="BU510" s="408"/>
      <c r="BV510" s="408"/>
      <c r="BW510" s="408"/>
      <c r="BX510" s="408"/>
      <c r="BY510" s="408"/>
      <c r="BZ510" s="408"/>
      <c r="CA510" s="408"/>
      <c r="CB510" s="408"/>
      <c r="CC510" s="408"/>
      <c r="CD510" s="408"/>
      <c r="CE510" s="408"/>
      <c r="CF510" s="408"/>
      <c r="CG510" s="408"/>
      <c r="CH510" s="408"/>
      <c r="CI510" s="408"/>
      <c r="CJ510" s="408"/>
      <c r="CK510" s="408"/>
      <c r="CL510" s="408"/>
      <c r="CM510" s="408"/>
      <c r="CN510" s="408"/>
    </row>
    <row r="511">
      <c r="A511" s="408"/>
      <c r="B511" s="408"/>
      <c r="C511" s="408"/>
      <c r="D511" s="408"/>
      <c r="E511" s="408"/>
      <c r="F511" s="408"/>
      <c r="G511" s="408"/>
      <c r="H511" s="408"/>
      <c r="I511" s="408"/>
      <c r="J511" s="408"/>
      <c r="K511" s="408"/>
      <c r="L511" s="408"/>
      <c r="M511" s="408"/>
      <c r="N511" s="408"/>
      <c r="O511" s="408"/>
      <c r="P511" s="408"/>
      <c r="Q511" s="408"/>
      <c r="R511" s="408"/>
      <c r="S511" s="408"/>
      <c r="T511" s="408"/>
      <c r="U511" s="408"/>
      <c r="V511" s="408"/>
      <c r="W511" s="408"/>
      <c r="X511" s="408"/>
      <c r="Y511" s="408"/>
      <c r="Z511" s="408"/>
      <c r="AA511" s="408"/>
      <c r="AB511" s="408"/>
      <c r="AC511" s="408"/>
      <c r="AD511" s="408"/>
      <c r="AE511" s="408"/>
      <c r="AF511" s="408"/>
      <c r="AG511" s="408"/>
      <c r="AH511" s="408"/>
      <c r="AI511" s="408"/>
      <c r="AJ511" s="408"/>
      <c r="AK511" s="408"/>
      <c r="AL511" s="408"/>
      <c r="AM511" s="408"/>
      <c r="AN511" s="408"/>
      <c r="AO511" s="408"/>
      <c r="AP511" s="408"/>
      <c r="AQ511" s="408"/>
      <c r="AR511" s="408"/>
      <c r="AS511" s="408"/>
      <c r="AT511" s="408"/>
      <c r="AU511" s="408"/>
      <c r="AV511" s="408"/>
      <c r="AW511" s="408"/>
      <c r="AX511" s="408"/>
      <c r="AY511" s="408"/>
      <c r="AZ511" s="408"/>
      <c r="BA511" s="408"/>
      <c r="BB511" s="408"/>
      <c r="BC511" s="408"/>
      <c r="BD511" s="408"/>
      <c r="BE511" s="408"/>
      <c r="BF511" s="408"/>
      <c r="BG511" s="408"/>
      <c r="BH511" s="408"/>
      <c r="BI511" s="408"/>
      <c r="BJ511" s="408"/>
      <c r="BK511" s="408"/>
      <c r="BL511" s="408"/>
      <c r="BM511" s="408"/>
      <c r="BN511" s="408"/>
      <c r="BO511" s="408"/>
      <c r="BP511" s="408"/>
      <c r="BQ511" s="408"/>
      <c r="BR511" s="408"/>
      <c r="BS511" s="408"/>
      <c r="BT511" s="408"/>
      <c r="BU511" s="408"/>
      <c r="BV511" s="408"/>
      <c r="BW511" s="408"/>
      <c r="BX511" s="408"/>
      <c r="BY511" s="408"/>
      <c r="BZ511" s="408"/>
      <c r="CA511" s="408"/>
      <c r="CB511" s="408"/>
      <c r="CC511" s="408"/>
      <c r="CD511" s="408"/>
      <c r="CE511" s="408"/>
      <c r="CF511" s="408"/>
      <c r="CG511" s="408"/>
      <c r="CH511" s="408"/>
      <c r="CI511" s="408"/>
      <c r="CJ511" s="408"/>
      <c r="CK511" s="408"/>
      <c r="CL511" s="408"/>
      <c r="CM511" s="408"/>
      <c r="CN511" s="408"/>
    </row>
    <row r="512">
      <c r="A512" s="408"/>
      <c r="B512" s="408"/>
      <c r="C512" s="408"/>
      <c r="D512" s="408"/>
      <c r="E512" s="408"/>
      <c r="F512" s="408"/>
      <c r="G512" s="408"/>
      <c r="H512" s="408"/>
      <c r="I512" s="408"/>
      <c r="J512" s="408"/>
      <c r="K512" s="408"/>
      <c r="L512" s="408"/>
      <c r="M512" s="408"/>
      <c r="N512" s="408"/>
      <c r="O512" s="408"/>
      <c r="P512" s="408"/>
      <c r="Q512" s="408"/>
      <c r="R512" s="408"/>
      <c r="S512" s="408"/>
      <c r="T512" s="408"/>
      <c r="U512" s="408"/>
      <c r="V512" s="408"/>
      <c r="W512" s="408"/>
      <c r="X512" s="408"/>
      <c r="Y512" s="408"/>
      <c r="Z512" s="408"/>
      <c r="AA512" s="408"/>
      <c r="AB512" s="408"/>
      <c r="AC512" s="408"/>
      <c r="AD512" s="408"/>
      <c r="AE512" s="408"/>
      <c r="AF512" s="408"/>
      <c r="AG512" s="408"/>
      <c r="AH512" s="408"/>
      <c r="AI512" s="408"/>
      <c r="AJ512" s="408"/>
      <c r="AK512" s="408"/>
      <c r="AL512" s="408"/>
      <c r="AM512" s="408"/>
      <c r="AN512" s="408"/>
      <c r="AO512" s="408"/>
      <c r="AP512" s="408"/>
      <c r="AQ512" s="408"/>
      <c r="AR512" s="408"/>
      <c r="AS512" s="408"/>
      <c r="AT512" s="408"/>
      <c r="AU512" s="408"/>
      <c r="AV512" s="408"/>
      <c r="AW512" s="408"/>
      <c r="AX512" s="408"/>
      <c r="AY512" s="408"/>
      <c r="AZ512" s="408"/>
      <c r="BA512" s="408"/>
      <c r="BB512" s="408"/>
      <c r="BC512" s="408"/>
      <c r="BD512" s="408"/>
      <c r="BE512" s="408"/>
      <c r="BF512" s="408"/>
      <c r="BG512" s="408"/>
      <c r="BH512" s="408"/>
      <c r="BI512" s="408"/>
      <c r="BJ512" s="408"/>
      <c r="BK512" s="408"/>
      <c r="BL512" s="408"/>
      <c r="BM512" s="408"/>
      <c r="BN512" s="408"/>
      <c r="BO512" s="408"/>
      <c r="BP512" s="408"/>
      <c r="BQ512" s="408"/>
      <c r="BR512" s="408"/>
      <c r="BS512" s="408"/>
      <c r="BT512" s="408"/>
      <c r="BU512" s="408"/>
      <c r="BV512" s="408"/>
      <c r="BW512" s="408"/>
      <c r="BX512" s="408"/>
      <c r="BY512" s="408"/>
      <c r="BZ512" s="408"/>
      <c r="CA512" s="408"/>
      <c r="CB512" s="408"/>
      <c r="CC512" s="408"/>
      <c r="CD512" s="408"/>
      <c r="CE512" s="408"/>
      <c r="CF512" s="408"/>
      <c r="CG512" s="408"/>
      <c r="CH512" s="408"/>
      <c r="CI512" s="408"/>
      <c r="CJ512" s="408"/>
      <c r="CK512" s="408"/>
      <c r="CL512" s="408"/>
      <c r="CM512" s="408"/>
      <c r="CN512" s="408"/>
    </row>
    <row r="513">
      <c r="A513" s="408"/>
      <c r="B513" s="408"/>
      <c r="C513" s="408"/>
      <c r="D513" s="408"/>
      <c r="E513" s="408"/>
      <c r="F513" s="408"/>
      <c r="G513" s="408"/>
      <c r="H513" s="408"/>
      <c r="I513" s="408"/>
      <c r="J513" s="408"/>
      <c r="K513" s="408"/>
      <c r="L513" s="408"/>
      <c r="M513" s="408"/>
      <c r="N513" s="408"/>
      <c r="O513" s="408"/>
      <c r="P513" s="408"/>
      <c r="Q513" s="408"/>
      <c r="R513" s="408"/>
      <c r="S513" s="408"/>
      <c r="T513" s="408"/>
      <c r="U513" s="408"/>
      <c r="V513" s="408"/>
      <c r="W513" s="408"/>
      <c r="X513" s="408"/>
      <c r="Y513" s="408"/>
      <c r="Z513" s="408"/>
      <c r="AA513" s="408"/>
      <c r="AB513" s="408"/>
      <c r="AC513" s="408"/>
      <c r="AD513" s="408"/>
      <c r="AE513" s="408"/>
      <c r="AF513" s="408"/>
      <c r="AG513" s="408"/>
      <c r="AH513" s="408"/>
      <c r="AI513" s="408"/>
      <c r="AJ513" s="408"/>
      <c r="AK513" s="408"/>
      <c r="AL513" s="408"/>
      <c r="AM513" s="408"/>
      <c r="AN513" s="408"/>
      <c r="AO513" s="408"/>
      <c r="AP513" s="408"/>
      <c r="AQ513" s="408"/>
      <c r="AR513" s="408"/>
      <c r="AS513" s="408"/>
      <c r="AT513" s="408"/>
      <c r="AU513" s="408"/>
      <c r="AV513" s="408"/>
      <c r="AW513" s="408"/>
      <c r="AX513" s="408"/>
      <c r="AY513" s="408"/>
      <c r="AZ513" s="408"/>
      <c r="BA513" s="408"/>
      <c r="BB513" s="408"/>
      <c r="BC513" s="408"/>
      <c r="BD513" s="408"/>
      <c r="BE513" s="408"/>
      <c r="BF513" s="408"/>
      <c r="BG513" s="408"/>
      <c r="BH513" s="408"/>
      <c r="BI513" s="408"/>
      <c r="BJ513" s="408"/>
      <c r="BK513" s="408"/>
      <c r="BL513" s="408"/>
      <c r="BM513" s="408"/>
      <c r="BN513" s="408"/>
      <c r="BO513" s="408"/>
      <c r="BP513" s="408"/>
      <c r="BQ513" s="408"/>
      <c r="BR513" s="408"/>
      <c r="BS513" s="408"/>
      <c r="BT513" s="408"/>
      <c r="BU513" s="408"/>
      <c r="BV513" s="408"/>
      <c r="BW513" s="408"/>
      <c r="BX513" s="408"/>
      <c r="BY513" s="408"/>
      <c r="BZ513" s="408"/>
      <c r="CA513" s="408"/>
      <c r="CB513" s="408"/>
      <c r="CC513" s="408"/>
      <c r="CD513" s="408"/>
      <c r="CE513" s="408"/>
      <c r="CF513" s="408"/>
      <c r="CG513" s="408"/>
      <c r="CH513" s="408"/>
      <c r="CI513" s="408"/>
      <c r="CJ513" s="408"/>
      <c r="CK513" s="408"/>
      <c r="CL513" s="408"/>
      <c r="CM513" s="408"/>
      <c r="CN513" s="408"/>
    </row>
    <row r="514">
      <c r="A514" s="408"/>
      <c r="B514" s="408"/>
      <c r="C514" s="408"/>
      <c r="D514" s="408"/>
      <c r="E514" s="408"/>
      <c r="F514" s="408"/>
      <c r="G514" s="408"/>
      <c r="H514" s="408"/>
      <c r="I514" s="408"/>
      <c r="J514" s="408"/>
      <c r="K514" s="408"/>
      <c r="L514" s="408"/>
      <c r="M514" s="408"/>
      <c r="N514" s="408"/>
      <c r="O514" s="408"/>
      <c r="P514" s="408"/>
      <c r="Q514" s="408"/>
      <c r="R514" s="408"/>
      <c r="S514" s="408"/>
      <c r="T514" s="408"/>
      <c r="U514" s="408"/>
      <c r="V514" s="408"/>
      <c r="W514" s="408"/>
      <c r="X514" s="408"/>
      <c r="Y514" s="408"/>
      <c r="Z514" s="408"/>
      <c r="AA514" s="408"/>
      <c r="AB514" s="408"/>
      <c r="AC514" s="408"/>
      <c r="AD514" s="408"/>
      <c r="AE514" s="408"/>
      <c r="AF514" s="408"/>
      <c r="AG514" s="408"/>
      <c r="AH514" s="408"/>
      <c r="AI514" s="408"/>
      <c r="AJ514" s="408"/>
      <c r="AK514" s="408"/>
      <c r="AL514" s="408"/>
      <c r="AM514" s="408"/>
      <c r="AN514" s="408"/>
      <c r="AO514" s="408"/>
      <c r="AP514" s="408"/>
      <c r="AQ514" s="408"/>
      <c r="AR514" s="408"/>
      <c r="AS514" s="408"/>
      <c r="AT514" s="408"/>
      <c r="AU514" s="408"/>
      <c r="AV514" s="408"/>
      <c r="AW514" s="408"/>
      <c r="AX514" s="408"/>
      <c r="AY514" s="408"/>
      <c r="AZ514" s="408"/>
      <c r="BA514" s="408"/>
      <c r="BB514" s="408"/>
      <c r="BC514" s="408"/>
      <c r="BD514" s="408"/>
      <c r="BE514" s="408"/>
      <c r="BF514" s="408"/>
      <c r="BG514" s="408"/>
      <c r="BH514" s="408"/>
      <c r="BI514" s="408"/>
      <c r="BJ514" s="408"/>
      <c r="BK514" s="408"/>
      <c r="BL514" s="408"/>
      <c r="BM514" s="408"/>
      <c r="BN514" s="408"/>
      <c r="BO514" s="408"/>
      <c r="BP514" s="408"/>
      <c r="BQ514" s="408"/>
      <c r="BR514" s="408"/>
      <c r="BS514" s="408"/>
      <c r="BT514" s="408"/>
      <c r="BU514" s="408"/>
      <c r="BV514" s="408"/>
      <c r="BW514" s="408"/>
      <c r="BX514" s="408"/>
      <c r="BY514" s="408"/>
      <c r="BZ514" s="408"/>
      <c r="CA514" s="408"/>
      <c r="CB514" s="408"/>
      <c r="CC514" s="408"/>
      <c r="CD514" s="408"/>
      <c r="CE514" s="408"/>
      <c r="CF514" s="408"/>
      <c r="CG514" s="408"/>
      <c r="CH514" s="408"/>
      <c r="CI514" s="408"/>
      <c r="CJ514" s="408"/>
      <c r="CK514" s="408"/>
      <c r="CL514" s="408"/>
      <c r="CM514" s="408"/>
      <c r="CN514" s="408"/>
    </row>
    <row r="515">
      <c r="A515" s="408"/>
      <c r="B515" s="408"/>
      <c r="C515" s="408"/>
      <c r="D515" s="408"/>
      <c r="E515" s="408"/>
      <c r="F515" s="408"/>
      <c r="G515" s="408"/>
      <c r="H515" s="408"/>
      <c r="I515" s="408"/>
      <c r="J515" s="408"/>
      <c r="K515" s="408"/>
      <c r="L515" s="408"/>
      <c r="M515" s="408"/>
      <c r="N515" s="408"/>
      <c r="O515" s="408"/>
      <c r="P515" s="408"/>
      <c r="Q515" s="408"/>
      <c r="R515" s="408"/>
      <c r="S515" s="408"/>
      <c r="T515" s="408"/>
      <c r="U515" s="408"/>
      <c r="V515" s="408"/>
      <c r="W515" s="408"/>
      <c r="X515" s="408"/>
      <c r="Y515" s="408"/>
      <c r="Z515" s="408"/>
      <c r="AA515" s="408"/>
      <c r="AB515" s="408"/>
      <c r="AC515" s="408"/>
      <c r="AD515" s="408"/>
      <c r="AE515" s="408"/>
      <c r="AF515" s="408"/>
      <c r="AG515" s="408"/>
      <c r="AH515" s="408"/>
      <c r="AI515" s="408"/>
      <c r="AJ515" s="408"/>
      <c r="AK515" s="408"/>
      <c r="AL515" s="408"/>
      <c r="AM515" s="408"/>
      <c r="AN515" s="408"/>
      <c r="AO515" s="408"/>
      <c r="AP515" s="408"/>
      <c r="AQ515" s="408"/>
      <c r="AR515" s="408"/>
      <c r="AS515" s="408"/>
      <c r="AT515" s="408"/>
      <c r="AU515" s="408"/>
      <c r="AV515" s="408"/>
      <c r="AW515" s="408"/>
      <c r="AX515" s="408"/>
      <c r="AY515" s="408"/>
      <c r="AZ515" s="408"/>
      <c r="BA515" s="408"/>
      <c r="BB515" s="408"/>
      <c r="BC515" s="408"/>
      <c r="BD515" s="408"/>
      <c r="BE515" s="408"/>
      <c r="BF515" s="408"/>
      <c r="BG515" s="408"/>
      <c r="BH515" s="408"/>
      <c r="BI515" s="408"/>
      <c r="BJ515" s="408"/>
      <c r="BK515" s="408"/>
      <c r="BL515" s="408"/>
      <c r="BM515" s="408"/>
      <c r="BN515" s="408"/>
      <c r="BO515" s="408"/>
      <c r="BP515" s="408"/>
      <c r="BQ515" s="408"/>
      <c r="BR515" s="408"/>
      <c r="BS515" s="408"/>
      <c r="BT515" s="408"/>
      <c r="BU515" s="408"/>
      <c r="BV515" s="408"/>
      <c r="BW515" s="408"/>
      <c r="BX515" s="408"/>
      <c r="BY515" s="408"/>
      <c r="BZ515" s="408"/>
      <c r="CA515" s="408"/>
      <c r="CB515" s="408"/>
      <c r="CC515" s="408"/>
      <c r="CD515" s="408"/>
      <c r="CE515" s="408"/>
      <c r="CF515" s="408"/>
      <c r="CG515" s="408"/>
      <c r="CH515" s="408"/>
      <c r="CI515" s="408"/>
      <c r="CJ515" s="408"/>
      <c r="CK515" s="408"/>
      <c r="CL515" s="408"/>
      <c r="CM515" s="408"/>
      <c r="CN515" s="408"/>
    </row>
    <row r="516">
      <c r="A516" s="408"/>
      <c r="B516" s="408"/>
      <c r="C516" s="408"/>
      <c r="D516" s="408"/>
      <c r="E516" s="408"/>
      <c r="F516" s="408"/>
      <c r="G516" s="408"/>
      <c r="H516" s="408"/>
      <c r="I516" s="408"/>
      <c r="J516" s="408"/>
      <c r="K516" s="408"/>
      <c r="L516" s="408"/>
      <c r="M516" s="408"/>
      <c r="N516" s="408"/>
      <c r="O516" s="408"/>
      <c r="P516" s="408"/>
      <c r="Q516" s="408"/>
      <c r="R516" s="408"/>
      <c r="S516" s="408"/>
      <c r="T516" s="408"/>
      <c r="U516" s="408"/>
      <c r="V516" s="408"/>
      <c r="W516" s="408"/>
      <c r="X516" s="408"/>
      <c r="Y516" s="408"/>
      <c r="Z516" s="408"/>
      <c r="AA516" s="408"/>
      <c r="AB516" s="408"/>
      <c r="AC516" s="408"/>
      <c r="AD516" s="408"/>
      <c r="AE516" s="408"/>
      <c r="AF516" s="408"/>
      <c r="AG516" s="408"/>
      <c r="AH516" s="408"/>
      <c r="AI516" s="408"/>
      <c r="AJ516" s="408"/>
      <c r="AK516" s="408"/>
      <c r="AL516" s="408"/>
      <c r="AM516" s="408"/>
      <c r="AN516" s="408"/>
      <c r="AO516" s="408"/>
      <c r="AP516" s="408"/>
      <c r="AQ516" s="408"/>
      <c r="AR516" s="408"/>
      <c r="AS516" s="408"/>
      <c r="AT516" s="408"/>
      <c r="AU516" s="408"/>
      <c r="AV516" s="408"/>
      <c r="AW516" s="408"/>
      <c r="AX516" s="408"/>
      <c r="AY516" s="408"/>
      <c r="AZ516" s="408"/>
      <c r="BA516" s="408"/>
      <c r="BB516" s="408"/>
      <c r="BC516" s="408"/>
      <c r="BD516" s="408"/>
      <c r="BE516" s="408"/>
      <c r="BF516" s="408"/>
      <c r="BG516" s="408"/>
      <c r="BH516" s="408"/>
      <c r="BI516" s="408"/>
      <c r="BJ516" s="408"/>
      <c r="BK516" s="408"/>
      <c r="BL516" s="408"/>
      <c r="BM516" s="408"/>
      <c r="BN516" s="408"/>
      <c r="BO516" s="408"/>
      <c r="BP516" s="408"/>
      <c r="BQ516" s="408"/>
      <c r="BR516" s="408"/>
      <c r="BS516" s="408"/>
      <c r="BT516" s="408"/>
      <c r="BU516" s="408"/>
      <c r="BV516" s="408"/>
      <c r="BW516" s="408"/>
      <c r="BX516" s="408"/>
      <c r="BY516" s="408"/>
      <c r="BZ516" s="408"/>
      <c r="CA516" s="408"/>
      <c r="CB516" s="408"/>
      <c r="CC516" s="408"/>
      <c r="CD516" s="408"/>
      <c r="CE516" s="408"/>
      <c r="CF516" s="408"/>
      <c r="CG516" s="408"/>
      <c r="CH516" s="408"/>
      <c r="CI516" s="408"/>
      <c r="CJ516" s="408"/>
      <c r="CK516" s="408"/>
      <c r="CL516" s="408"/>
      <c r="CM516" s="408"/>
      <c r="CN516" s="408"/>
    </row>
    <row r="517">
      <c r="A517" s="408"/>
      <c r="B517" s="408"/>
      <c r="C517" s="408"/>
      <c r="D517" s="408"/>
      <c r="E517" s="408"/>
      <c r="F517" s="408"/>
      <c r="G517" s="408"/>
      <c r="H517" s="408"/>
      <c r="I517" s="408"/>
      <c r="J517" s="408"/>
      <c r="K517" s="408"/>
      <c r="L517" s="408"/>
      <c r="M517" s="408"/>
      <c r="N517" s="408"/>
      <c r="O517" s="408"/>
      <c r="P517" s="408"/>
      <c r="Q517" s="408"/>
      <c r="R517" s="408"/>
      <c r="S517" s="408"/>
      <c r="T517" s="408"/>
      <c r="U517" s="408"/>
      <c r="V517" s="408"/>
      <c r="W517" s="408"/>
      <c r="X517" s="408"/>
      <c r="Y517" s="408"/>
      <c r="Z517" s="408"/>
      <c r="AA517" s="408"/>
      <c r="AB517" s="408"/>
      <c r="AC517" s="408"/>
      <c r="AD517" s="408"/>
      <c r="AE517" s="408"/>
      <c r="AF517" s="408"/>
      <c r="AG517" s="408"/>
      <c r="AH517" s="408"/>
      <c r="AI517" s="408"/>
      <c r="AJ517" s="408"/>
      <c r="AK517" s="408"/>
      <c r="AL517" s="408"/>
      <c r="AM517" s="408"/>
      <c r="AN517" s="408"/>
      <c r="AO517" s="408"/>
      <c r="AP517" s="408"/>
      <c r="AQ517" s="408"/>
      <c r="AR517" s="408"/>
      <c r="AS517" s="408"/>
      <c r="AT517" s="408"/>
      <c r="AU517" s="408"/>
      <c r="AV517" s="408"/>
      <c r="AW517" s="408"/>
      <c r="AX517" s="408"/>
      <c r="AY517" s="408"/>
      <c r="AZ517" s="408"/>
      <c r="BA517" s="408"/>
      <c r="BB517" s="408"/>
      <c r="BC517" s="408"/>
      <c r="BD517" s="408"/>
      <c r="BE517" s="408"/>
      <c r="BF517" s="408"/>
      <c r="BG517" s="408"/>
      <c r="BH517" s="408"/>
      <c r="BI517" s="408"/>
      <c r="BJ517" s="408"/>
      <c r="BK517" s="408"/>
      <c r="BL517" s="408"/>
      <c r="BM517" s="408"/>
      <c r="BN517" s="408"/>
      <c r="BO517" s="408"/>
      <c r="BP517" s="408"/>
      <c r="BQ517" s="408"/>
      <c r="BR517" s="408"/>
      <c r="BS517" s="408"/>
      <c r="BT517" s="408"/>
      <c r="BU517" s="408"/>
      <c r="BV517" s="408"/>
      <c r="BW517" s="408"/>
      <c r="BX517" s="408"/>
      <c r="BY517" s="408"/>
      <c r="BZ517" s="408"/>
      <c r="CA517" s="408"/>
      <c r="CB517" s="408"/>
      <c r="CC517" s="408"/>
      <c r="CD517" s="408"/>
      <c r="CE517" s="408"/>
      <c r="CF517" s="408"/>
      <c r="CG517" s="408"/>
      <c r="CH517" s="408"/>
      <c r="CI517" s="408"/>
      <c r="CJ517" s="408"/>
      <c r="CK517" s="408"/>
      <c r="CL517" s="408"/>
      <c r="CM517" s="408"/>
      <c r="CN517" s="408"/>
    </row>
    <row r="518">
      <c r="A518" s="408"/>
      <c r="B518" s="408"/>
      <c r="C518" s="408"/>
      <c r="D518" s="408"/>
      <c r="E518" s="408"/>
      <c r="F518" s="408"/>
      <c r="G518" s="408"/>
      <c r="H518" s="408"/>
      <c r="I518" s="408"/>
      <c r="J518" s="408"/>
      <c r="K518" s="408"/>
      <c r="L518" s="408"/>
      <c r="M518" s="408"/>
      <c r="N518" s="408"/>
      <c r="O518" s="408"/>
      <c r="P518" s="408"/>
      <c r="Q518" s="408"/>
      <c r="R518" s="408"/>
      <c r="S518" s="408"/>
      <c r="T518" s="408"/>
      <c r="U518" s="408"/>
      <c r="V518" s="408"/>
      <c r="W518" s="408"/>
      <c r="X518" s="408"/>
      <c r="Y518" s="408"/>
      <c r="Z518" s="408"/>
      <c r="AA518" s="408"/>
      <c r="AB518" s="408"/>
      <c r="AC518" s="408"/>
      <c r="AD518" s="408"/>
      <c r="AE518" s="408"/>
      <c r="AF518" s="408"/>
      <c r="AG518" s="408"/>
      <c r="AH518" s="408"/>
      <c r="AI518" s="408"/>
      <c r="AJ518" s="408"/>
      <c r="AK518" s="408"/>
      <c r="AL518" s="408"/>
      <c r="AM518" s="408"/>
      <c r="AN518" s="408"/>
      <c r="AO518" s="408"/>
      <c r="AP518" s="408"/>
      <c r="AQ518" s="408"/>
      <c r="AR518" s="408"/>
      <c r="AS518" s="408"/>
      <c r="AT518" s="408"/>
      <c r="AU518" s="408"/>
      <c r="AV518" s="408"/>
      <c r="AW518" s="408"/>
      <c r="AX518" s="408"/>
      <c r="AY518" s="408"/>
      <c r="AZ518" s="408"/>
      <c r="BA518" s="408"/>
      <c r="BB518" s="408"/>
      <c r="BC518" s="408"/>
      <c r="BD518" s="408"/>
      <c r="BE518" s="408"/>
      <c r="BF518" s="408"/>
      <c r="BG518" s="408"/>
      <c r="BH518" s="408"/>
      <c r="BI518" s="408"/>
      <c r="BJ518" s="408"/>
      <c r="BK518" s="408"/>
      <c r="BL518" s="408"/>
      <c r="BM518" s="408"/>
      <c r="BN518" s="408"/>
      <c r="BO518" s="408"/>
      <c r="BP518" s="408"/>
      <c r="BQ518" s="408"/>
      <c r="BR518" s="408"/>
      <c r="BS518" s="408"/>
      <c r="BT518" s="408"/>
      <c r="BU518" s="408"/>
      <c r="BV518" s="408"/>
      <c r="BW518" s="408"/>
      <c r="BX518" s="408"/>
      <c r="BY518" s="408"/>
      <c r="BZ518" s="408"/>
      <c r="CA518" s="408"/>
      <c r="CB518" s="408"/>
      <c r="CC518" s="408"/>
      <c r="CD518" s="408"/>
      <c r="CE518" s="408"/>
      <c r="CF518" s="408"/>
      <c r="CG518" s="408"/>
      <c r="CH518" s="408"/>
      <c r="CI518" s="408"/>
      <c r="CJ518" s="408"/>
      <c r="CK518" s="408"/>
      <c r="CL518" s="408"/>
      <c r="CM518" s="408"/>
      <c r="CN518" s="408"/>
    </row>
    <row r="519">
      <c r="A519" s="408"/>
      <c r="B519" s="408"/>
      <c r="C519" s="408"/>
      <c r="D519" s="408"/>
      <c r="E519" s="408"/>
      <c r="F519" s="408"/>
      <c r="G519" s="408"/>
      <c r="H519" s="408"/>
      <c r="I519" s="408"/>
      <c r="J519" s="408"/>
      <c r="K519" s="408"/>
      <c r="L519" s="408"/>
      <c r="M519" s="408"/>
      <c r="N519" s="408"/>
      <c r="O519" s="408"/>
      <c r="P519" s="408"/>
      <c r="Q519" s="408"/>
      <c r="R519" s="408"/>
      <c r="S519" s="408"/>
      <c r="T519" s="408"/>
      <c r="U519" s="408"/>
      <c r="V519" s="408"/>
      <c r="W519" s="408"/>
      <c r="X519" s="408"/>
      <c r="Y519" s="408"/>
      <c r="Z519" s="408"/>
      <c r="AA519" s="408"/>
      <c r="AB519" s="408"/>
      <c r="AC519" s="408"/>
      <c r="AD519" s="408"/>
      <c r="AE519" s="408"/>
      <c r="AF519" s="408"/>
      <c r="AG519" s="408"/>
      <c r="AH519" s="408"/>
      <c r="AI519" s="408"/>
      <c r="AJ519" s="408"/>
      <c r="AK519" s="408"/>
      <c r="AL519" s="408"/>
      <c r="AM519" s="408"/>
      <c r="AN519" s="408"/>
      <c r="AO519" s="408"/>
      <c r="AP519" s="408"/>
      <c r="AQ519" s="408"/>
      <c r="AR519" s="408"/>
      <c r="AS519" s="408"/>
      <c r="AT519" s="408"/>
      <c r="AU519" s="408"/>
      <c r="AV519" s="408"/>
      <c r="AW519" s="408"/>
      <c r="AX519" s="408"/>
      <c r="AY519" s="408"/>
      <c r="AZ519" s="408"/>
      <c r="BA519" s="408"/>
      <c r="BB519" s="408"/>
      <c r="BC519" s="408"/>
      <c r="BD519" s="408"/>
      <c r="BE519" s="408"/>
      <c r="BF519" s="408"/>
      <c r="BG519" s="408"/>
      <c r="BH519" s="408"/>
      <c r="BI519" s="408"/>
      <c r="BJ519" s="408"/>
      <c r="BK519" s="408"/>
      <c r="BL519" s="408"/>
      <c r="BM519" s="408"/>
      <c r="BN519" s="408"/>
      <c r="BO519" s="408"/>
      <c r="BP519" s="408"/>
      <c r="BQ519" s="408"/>
      <c r="BR519" s="408"/>
      <c r="BS519" s="408"/>
      <c r="BT519" s="408"/>
      <c r="BU519" s="408"/>
      <c r="BV519" s="408"/>
      <c r="BW519" s="408"/>
      <c r="BX519" s="408"/>
      <c r="BY519" s="408"/>
      <c r="BZ519" s="408"/>
      <c r="CA519" s="408"/>
      <c r="CB519" s="408"/>
      <c r="CC519" s="408"/>
      <c r="CD519" s="408"/>
      <c r="CE519" s="408"/>
      <c r="CF519" s="408"/>
      <c r="CG519" s="408"/>
      <c r="CH519" s="408"/>
      <c r="CI519" s="408"/>
      <c r="CJ519" s="408"/>
      <c r="CK519" s="408"/>
      <c r="CL519" s="408"/>
      <c r="CM519" s="408"/>
      <c r="CN519" s="408"/>
    </row>
    <row r="520">
      <c r="A520" s="408"/>
      <c r="B520" s="408"/>
      <c r="C520" s="408"/>
      <c r="D520" s="408"/>
      <c r="E520" s="408"/>
      <c r="F520" s="408"/>
      <c r="G520" s="408"/>
      <c r="H520" s="408"/>
      <c r="I520" s="408"/>
      <c r="J520" s="408"/>
      <c r="K520" s="408"/>
      <c r="L520" s="408"/>
      <c r="M520" s="408"/>
      <c r="N520" s="408"/>
      <c r="O520" s="408"/>
      <c r="P520" s="408"/>
      <c r="Q520" s="408"/>
      <c r="R520" s="408"/>
      <c r="S520" s="408"/>
      <c r="T520" s="408"/>
      <c r="U520" s="408"/>
      <c r="V520" s="408"/>
      <c r="W520" s="408"/>
      <c r="X520" s="408"/>
      <c r="Y520" s="408"/>
      <c r="Z520" s="408"/>
      <c r="AA520" s="408"/>
      <c r="AB520" s="408"/>
      <c r="AC520" s="408"/>
      <c r="AD520" s="408"/>
      <c r="AE520" s="408"/>
      <c r="AF520" s="408"/>
      <c r="AG520" s="408"/>
      <c r="AH520" s="408"/>
      <c r="AI520" s="408"/>
      <c r="AJ520" s="408"/>
      <c r="AK520" s="408"/>
      <c r="AL520" s="408"/>
      <c r="AM520" s="408"/>
      <c r="AN520" s="408"/>
      <c r="AO520" s="408"/>
      <c r="AP520" s="408"/>
      <c r="AQ520" s="408"/>
      <c r="AR520" s="408"/>
      <c r="AS520" s="408"/>
      <c r="AT520" s="408"/>
      <c r="AU520" s="408"/>
      <c r="AV520" s="408"/>
      <c r="AW520" s="408"/>
      <c r="AX520" s="408"/>
      <c r="AY520" s="408"/>
      <c r="AZ520" s="408"/>
      <c r="BA520" s="408"/>
      <c r="BB520" s="408"/>
      <c r="BC520" s="408"/>
      <c r="BD520" s="408"/>
      <c r="BE520" s="408"/>
      <c r="BF520" s="408"/>
      <c r="BG520" s="408"/>
      <c r="BH520" s="408"/>
      <c r="BI520" s="408"/>
      <c r="BJ520" s="408"/>
      <c r="BK520" s="408"/>
      <c r="BL520" s="408"/>
      <c r="BM520" s="408"/>
      <c r="BN520" s="408"/>
      <c r="BO520" s="408"/>
      <c r="BP520" s="408"/>
      <c r="BQ520" s="408"/>
      <c r="BR520" s="408"/>
      <c r="BS520" s="408"/>
      <c r="BT520" s="408"/>
      <c r="BU520" s="408"/>
      <c r="BV520" s="408"/>
      <c r="BW520" s="408"/>
      <c r="BX520" s="408"/>
      <c r="BY520" s="408"/>
      <c r="BZ520" s="408"/>
      <c r="CA520" s="408"/>
      <c r="CB520" s="408"/>
      <c r="CC520" s="408"/>
      <c r="CD520" s="408"/>
      <c r="CE520" s="408"/>
      <c r="CF520" s="408"/>
      <c r="CG520" s="408"/>
      <c r="CH520" s="408"/>
      <c r="CI520" s="408"/>
      <c r="CJ520" s="408"/>
      <c r="CK520" s="408"/>
      <c r="CL520" s="408"/>
      <c r="CM520" s="408"/>
      <c r="CN520" s="408"/>
    </row>
    <row r="521">
      <c r="A521" s="408"/>
      <c r="B521" s="408"/>
      <c r="C521" s="408"/>
      <c r="D521" s="408"/>
      <c r="E521" s="408"/>
      <c r="F521" s="408"/>
      <c r="G521" s="408"/>
      <c r="H521" s="408"/>
      <c r="I521" s="408"/>
      <c r="J521" s="408"/>
      <c r="K521" s="408"/>
      <c r="L521" s="408"/>
      <c r="M521" s="408"/>
      <c r="N521" s="408"/>
      <c r="O521" s="408"/>
      <c r="P521" s="408"/>
      <c r="Q521" s="408"/>
      <c r="R521" s="408"/>
      <c r="S521" s="408"/>
      <c r="T521" s="408"/>
      <c r="U521" s="408"/>
      <c r="V521" s="408"/>
      <c r="W521" s="408"/>
      <c r="X521" s="408"/>
      <c r="Y521" s="408"/>
      <c r="Z521" s="408"/>
      <c r="AA521" s="408"/>
      <c r="AB521" s="408"/>
      <c r="AC521" s="408"/>
      <c r="AD521" s="408"/>
      <c r="AE521" s="408"/>
      <c r="AF521" s="408"/>
      <c r="AG521" s="408"/>
      <c r="AH521" s="408"/>
      <c r="AI521" s="408"/>
      <c r="AJ521" s="408"/>
      <c r="AK521" s="408"/>
      <c r="AL521" s="408"/>
      <c r="AM521" s="408"/>
      <c r="AN521" s="408"/>
      <c r="AO521" s="408"/>
      <c r="AP521" s="408"/>
      <c r="AQ521" s="408"/>
      <c r="AR521" s="408"/>
      <c r="AS521" s="408"/>
      <c r="AT521" s="408"/>
      <c r="AU521" s="408"/>
      <c r="AV521" s="408"/>
      <c r="AW521" s="408"/>
      <c r="AX521" s="408"/>
      <c r="AY521" s="408"/>
      <c r="AZ521" s="408"/>
      <c r="BA521" s="408"/>
      <c r="BB521" s="408"/>
      <c r="BC521" s="408"/>
      <c r="BD521" s="408"/>
      <c r="BE521" s="408"/>
      <c r="BF521" s="408"/>
      <c r="BG521" s="408"/>
      <c r="BH521" s="408"/>
      <c r="BI521" s="408"/>
      <c r="BJ521" s="408"/>
      <c r="BK521" s="408"/>
      <c r="BL521" s="408"/>
      <c r="BM521" s="408"/>
      <c r="BN521" s="408"/>
      <c r="BO521" s="408"/>
      <c r="BP521" s="408"/>
      <c r="BQ521" s="408"/>
      <c r="BR521" s="408"/>
      <c r="BS521" s="408"/>
      <c r="BT521" s="408"/>
      <c r="BU521" s="408"/>
      <c r="BV521" s="408"/>
      <c r="BW521" s="408"/>
      <c r="BX521" s="408"/>
      <c r="BY521" s="408"/>
      <c r="BZ521" s="408"/>
      <c r="CA521" s="408"/>
      <c r="CB521" s="408"/>
      <c r="CC521" s="408"/>
      <c r="CD521" s="408"/>
      <c r="CE521" s="408"/>
      <c r="CF521" s="408"/>
      <c r="CG521" s="408"/>
      <c r="CH521" s="408"/>
      <c r="CI521" s="408"/>
      <c r="CJ521" s="408"/>
      <c r="CK521" s="408"/>
      <c r="CL521" s="408"/>
      <c r="CM521" s="408"/>
      <c r="CN521" s="408"/>
    </row>
    <row r="522">
      <c r="A522" s="408"/>
      <c r="B522" s="408"/>
      <c r="C522" s="408"/>
      <c r="D522" s="408"/>
      <c r="E522" s="408"/>
      <c r="F522" s="408"/>
      <c r="G522" s="408"/>
      <c r="H522" s="408"/>
      <c r="I522" s="408"/>
      <c r="J522" s="408"/>
      <c r="K522" s="408"/>
      <c r="L522" s="408"/>
      <c r="M522" s="408"/>
      <c r="N522" s="408"/>
      <c r="O522" s="408"/>
      <c r="P522" s="408"/>
      <c r="Q522" s="408"/>
      <c r="R522" s="408"/>
      <c r="S522" s="408"/>
      <c r="T522" s="408"/>
      <c r="U522" s="408"/>
      <c r="V522" s="408"/>
      <c r="W522" s="408"/>
      <c r="X522" s="408"/>
      <c r="Y522" s="408"/>
      <c r="Z522" s="408"/>
      <c r="AA522" s="408"/>
      <c r="AB522" s="408"/>
      <c r="AC522" s="408"/>
      <c r="AD522" s="408"/>
      <c r="AE522" s="408"/>
      <c r="AF522" s="408"/>
      <c r="AG522" s="408"/>
      <c r="AH522" s="408"/>
      <c r="AI522" s="408"/>
      <c r="AJ522" s="408"/>
      <c r="AK522" s="408"/>
      <c r="AL522" s="408"/>
      <c r="AM522" s="408"/>
      <c r="AN522" s="408"/>
      <c r="AO522" s="408"/>
      <c r="AP522" s="408"/>
      <c r="AQ522" s="408"/>
      <c r="AR522" s="408"/>
      <c r="AS522" s="408"/>
      <c r="AT522" s="408"/>
      <c r="AU522" s="408"/>
      <c r="AV522" s="408"/>
      <c r="AW522" s="408"/>
      <c r="AX522" s="408"/>
      <c r="AY522" s="408"/>
      <c r="AZ522" s="408"/>
      <c r="BA522" s="408"/>
      <c r="BB522" s="408"/>
      <c r="BC522" s="408"/>
      <c r="BD522" s="408"/>
      <c r="BE522" s="408"/>
      <c r="BF522" s="408"/>
      <c r="BG522" s="408"/>
      <c r="BH522" s="408"/>
      <c r="BI522" s="408"/>
      <c r="BJ522" s="408"/>
      <c r="BK522" s="408"/>
      <c r="BL522" s="408"/>
      <c r="BM522" s="408"/>
      <c r="BN522" s="408"/>
      <c r="BO522" s="408"/>
      <c r="BP522" s="408"/>
      <c r="BQ522" s="408"/>
      <c r="BR522" s="408"/>
      <c r="BS522" s="408"/>
      <c r="BT522" s="408"/>
      <c r="BU522" s="408"/>
      <c r="BV522" s="408"/>
      <c r="BW522" s="408"/>
      <c r="BX522" s="408"/>
      <c r="BY522" s="408"/>
      <c r="BZ522" s="408"/>
      <c r="CA522" s="408"/>
      <c r="CB522" s="408"/>
      <c r="CC522" s="408"/>
      <c r="CD522" s="408"/>
      <c r="CE522" s="408"/>
      <c r="CF522" s="408"/>
      <c r="CG522" s="408"/>
      <c r="CH522" s="408"/>
      <c r="CI522" s="408"/>
      <c r="CJ522" s="408"/>
      <c r="CK522" s="408"/>
      <c r="CL522" s="408"/>
      <c r="CM522" s="408"/>
      <c r="CN522" s="408"/>
    </row>
    <row r="523">
      <c r="A523" s="408"/>
      <c r="B523" s="408"/>
      <c r="C523" s="408"/>
      <c r="D523" s="408"/>
      <c r="E523" s="408"/>
      <c r="F523" s="408"/>
      <c r="G523" s="408"/>
      <c r="H523" s="408"/>
      <c r="I523" s="408"/>
      <c r="J523" s="408"/>
      <c r="K523" s="408"/>
      <c r="L523" s="408"/>
      <c r="M523" s="408"/>
      <c r="N523" s="408"/>
      <c r="O523" s="408"/>
      <c r="P523" s="408"/>
      <c r="Q523" s="408"/>
      <c r="R523" s="408"/>
      <c r="S523" s="408"/>
      <c r="T523" s="408"/>
      <c r="U523" s="408"/>
      <c r="V523" s="408"/>
      <c r="W523" s="408"/>
      <c r="X523" s="408"/>
      <c r="Y523" s="408"/>
      <c r="Z523" s="408"/>
      <c r="AA523" s="408"/>
      <c r="AB523" s="408"/>
      <c r="AC523" s="408"/>
      <c r="AD523" s="408"/>
      <c r="AE523" s="408"/>
      <c r="AF523" s="408"/>
      <c r="AG523" s="408"/>
      <c r="AH523" s="408"/>
      <c r="AI523" s="408"/>
      <c r="AJ523" s="408"/>
      <c r="AK523" s="408"/>
      <c r="AL523" s="408"/>
      <c r="AM523" s="408"/>
      <c r="AN523" s="408"/>
      <c r="AO523" s="408"/>
      <c r="AP523" s="408"/>
      <c r="AQ523" s="408"/>
      <c r="AR523" s="408"/>
      <c r="AS523" s="408"/>
      <c r="AT523" s="408"/>
      <c r="AU523" s="408"/>
      <c r="AV523" s="408"/>
      <c r="AW523" s="408"/>
      <c r="AX523" s="408"/>
      <c r="AY523" s="408"/>
      <c r="AZ523" s="408"/>
      <c r="BA523" s="408"/>
      <c r="BB523" s="408"/>
      <c r="BC523" s="408"/>
      <c r="BD523" s="408"/>
      <c r="BE523" s="408"/>
      <c r="BF523" s="408"/>
      <c r="BG523" s="408"/>
      <c r="BH523" s="408"/>
      <c r="BI523" s="408"/>
      <c r="BJ523" s="408"/>
      <c r="BK523" s="408"/>
      <c r="BL523" s="408"/>
      <c r="BM523" s="408"/>
      <c r="BN523" s="408"/>
      <c r="BO523" s="408"/>
      <c r="BP523" s="408"/>
      <c r="BQ523" s="408"/>
      <c r="BR523" s="408"/>
      <c r="BS523" s="408"/>
      <c r="BT523" s="408"/>
      <c r="BU523" s="408"/>
      <c r="BV523" s="408"/>
      <c r="BW523" s="408"/>
      <c r="BX523" s="408"/>
      <c r="BY523" s="408"/>
      <c r="BZ523" s="408"/>
      <c r="CA523" s="408"/>
      <c r="CB523" s="408"/>
      <c r="CC523" s="408"/>
      <c r="CD523" s="408"/>
      <c r="CE523" s="408"/>
      <c r="CF523" s="408"/>
      <c r="CG523" s="408"/>
      <c r="CH523" s="408"/>
      <c r="CI523" s="408"/>
      <c r="CJ523" s="408"/>
      <c r="CK523" s="408"/>
      <c r="CL523" s="408"/>
      <c r="CM523" s="408"/>
      <c r="CN523" s="408"/>
    </row>
    <row r="524">
      <c r="A524" s="408"/>
      <c r="B524" s="408"/>
      <c r="C524" s="408"/>
      <c r="D524" s="408"/>
      <c r="E524" s="408"/>
      <c r="F524" s="408"/>
      <c r="G524" s="408"/>
      <c r="H524" s="408"/>
      <c r="I524" s="408"/>
      <c r="J524" s="408"/>
      <c r="K524" s="408"/>
      <c r="L524" s="408"/>
      <c r="M524" s="408"/>
      <c r="N524" s="408"/>
      <c r="O524" s="408"/>
      <c r="P524" s="408"/>
      <c r="Q524" s="408"/>
      <c r="R524" s="408"/>
      <c r="S524" s="408"/>
      <c r="T524" s="408"/>
      <c r="U524" s="408"/>
      <c r="V524" s="408"/>
      <c r="W524" s="408"/>
      <c r="X524" s="408"/>
      <c r="Y524" s="408"/>
      <c r="Z524" s="408"/>
      <c r="AA524" s="408"/>
      <c r="AB524" s="408"/>
      <c r="AC524" s="408"/>
      <c r="AD524" s="408"/>
      <c r="AE524" s="408"/>
      <c r="AF524" s="408"/>
      <c r="AG524" s="408"/>
      <c r="AH524" s="408"/>
      <c r="AI524" s="408"/>
      <c r="AJ524" s="408"/>
      <c r="AK524" s="408"/>
      <c r="AL524" s="408"/>
      <c r="AM524" s="408"/>
      <c r="AN524" s="408"/>
      <c r="AO524" s="408"/>
      <c r="AP524" s="408"/>
      <c r="AQ524" s="408"/>
      <c r="AR524" s="408"/>
      <c r="AS524" s="408"/>
      <c r="AT524" s="408"/>
      <c r="AU524" s="408"/>
      <c r="AV524" s="408"/>
      <c r="AW524" s="408"/>
      <c r="AX524" s="408"/>
      <c r="AY524" s="408"/>
      <c r="AZ524" s="408"/>
      <c r="BA524" s="408"/>
      <c r="BB524" s="408"/>
      <c r="BC524" s="408"/>
      <c r="BD524" s="408"/>
      <c r="BE524" s="408"/>
      <c r="BF524" s="408"/>
      <c r="BG524" s="408"/>
      <c r="BH524" s="408"/>
      <c r="BI524" s="408"/>
      <c r="BJ524" s="408"/>
      <c r="BK524" s="408"/>
      <c r="BL524" s="408"/>
      <c r="BM524" s="408"/>
      <c r="BN524" s="408"/>
      <c r="BO524" s="408"/>
      <c r="BP524" s="408"/>
      <c r="BQ524" s="408"/>
      <c r="BR524" s="408"/>
      <c r="BS524" s="408"/>
      <c r="BT524" s="408"/>
      <c r="BU524" s="408"/>
      <c r="BV524" s="408"/>
      <c r="BW524" s="408"/>
      <c r="BX524" s="408"/>
      <c r="BY524" s="408"/>
      <c r="BZ524" s="408"/>
      <c r="CA524" s="408"/>
      <c r="CB524" s="408"/>
      <c r="CC524" s="408"/>
      <c r="CD524" s="408"/>
      <c r="CE524" s="408"/>
      <c r="CF524" s="408"/>
      <c r="CG524" s="408"/>
      <c r="CH524" s="408"/>
      <c r="CI524" s="408"/>
      <c r="CJ524" s="408"/>
      <c r="CK524" s="408"/>
      <c r="CL524" s="408"/>
      <c r="CM524" s="408"/>
      <c r="CN524" s="408"/>
    </row>
    <row r="525">
      <c r="A525" s="408"/>
      <c r="B525" s="408"/>
      <c r="C525" s="408"/>
      <c r="D525" s="408"/>
      <c r="E525" s="408"/>
      <c r="F525" s="408"/>
      <c r="G525" s="408"/>
      <c r="H525" s="408"/>
      <c r="I525" s="408"/>
      <c r="J525" s="408"/>
      <c r="K525" s="408"/>
      <c r="L525" s="408"/>
      <c r="M525" s="408"/>
      <c r="N525" s="408"/>
      <c r="O525" s="408"/>
      <c r="P525" s="408"/>
      <c r="Q525" s="408"/>
      <c r="R525" s="408"/>
      <c r="S525" s="408"/>
      <c r="T525" s="408"/>
      <c r="U525" s="408"/>
      <c r="V525" s="408"/>
      <c r="W525" s="408"/>
      <c r="X525" s="408"/>
      <c r="Y525" s="408"/>
      <c r="Z525" s="408"/>
      <c r="AA525" s="408"/>
      <c r="AB525" s="408"/>
      <c r="AC525" s="408"/>
      <c r="AD525" s="408"/>
      <c r="AE525" s="408"/>
      <c r="AF525" s="408"/>
      <c r="AG525" s="408"/>
      <c r="AH525" s="408"/>
      <c r="AI525" s="408"/>
      <c r="AJ525" s="408"/>
      <c r="AK525" s="408"/>
      <c r="AL525" s="408"/>
      <c r="AM525" s="408"/>
      <c r="AN525" s="408"/>
      <c r="AO525" s="408"/>
      <c r="AP525" s="408"/>
      <c r="AQ525" s="408"/>
      <c r="AR525" s="408"/>
      <c r="AS525" s="408"/>
      <c r="AT525" s="408"/>
      <c r="AU525" s="408"/>
      <c r="AV525" s="408"/>
      <c r="AW525" s="408"/>
      <c r="AX525" s="408"/>
      <c r="AY525" s="408"/>
      <c r="AZ525" s="408"/>
      <c r="BA525" s="408"/>
      <c r="BB525" s="408"/>
      <c r="BC525" s="408"/>
      <c r="BD525" s="408"/>
      <c r="BE525" s="408"/>
      <c r="BF525" s="408"/>
      <c r="BG525" s="408"/>
      <c r="BH525" s="408"/>
      <c r="BI525" s="408"/>
      <c r="BJ525" s="408"/>
      <c r="BK525" s="408"/>
      <c r="BL525" s="408"/>
      <c r="BM525" s="408"/>
      <c r="BN525" s="408"/>
      <c r="BO525" s="408"/>
      <c r="BP525" s="408"/>
      <c r="BQ525" s="408"/>
      <c r="BR525" s="408"/>
      <c r="BS525" s="408"/>
      <c r="BT525" s="408"/>
      <c r="BU525" s="408"/>
      <c r="BV525" s="408"/>
      <c r="BW525" s="408"/>
      <c r="BX525" s="408"/>
      <c r="BY525" s="408"/>
      <c r="BZ525" s="408"/>
      <c r="CA525" s="408"/>
      <c r="CB525" s="408"/>
      <c r="CC525" s="408"/>
      <c r="CD525" s="408"/>
      <c r="CE525" s="408"/>
      <c r="CF525" s="408"/>
      <c r="CG525" s="408"/>
      <c r="CH525" s="408"/>
      <c r="CI525" s="408"/>
      <c r="CJ525" s="408"/>
      <c r="CK525" s="408"/>
      <c r="CL525" s="408"/>
      <c r="CM525" s="408"/>
      <c r="CN525" s="408"/>
    </row>
    <row r="526">
      <c r="A526" s="408"/>
      <c r="B526" s="408"/>
      <c r="C526" s="408"/>
      <c r="D526" s="408"/>
      <c r="E526" s="408"/>
      <c r="F526" s="408"/>
      <c r="G526" s="408"/>
      <c r="H526" s="408"/>
      <c r="I526" s="408"/>
      <c r="J526" s="408"/>
      <c r="K526" s="408"/>
      <c r="L526" s="408"/>
      <c r="M526" s="408"/>
      <c r="N526" s="408"/>
      <c r="O526" s="408"/>
      <c r="P526" s="408"/>
      <c r="Q526" s="408"/>
      <c r="R526" s="408"/>
      <c r="S526" s="408"/>
      <c r="T526" s="408"/>
      <c r="U526" s="408"/>
      <c r="V526" s="408"/>
      <c r="W526" s="408"/>
      <c r="X526" s="408"/>
      <c r="Y526" s="408"/>
      <c r="Z526" s="408"/>
      <c r="AA526" s="408"/>
      <c r="AB526" s="408"/>
      <c r="AC526" s="408"/>
      <c r="AD526" s="408"/>
      <c r="AE526" s="408"/>
      <c r="AF526" s="408"/>
      <c r="AG526" s="408"/>
      <c r="AH526" s="408"/>
      <c r="AI526" s="408"/>
      <c r="AJ526" s="408"/>
      <c r="AK526" s="408"/>
      <c r="AL526" s="408"/>
      <c r="AM526" s="408"/>
      <c r="AN526" s="408"/>
      <c r="AO526" s="408"/>
      <c r="AP526" s="408"/>
      <c r="AQ526" s="408"/>
      <c r="AR526" s="408"/>
      <c r="AS526" s="408"/>
      <c r="AT526" s="408"/>
      <c r="AU526" s="408"/>
      <c r="AV526" s="408"/>
      <c r="AW526" s="408"/>
      <c r="AX526" s="408"/>
      <c r="AY526" s="408"/>
      <c r="AZ526" s="408"/>
      <c r="BA526" s="408"/>
      <c r="BB526" s="408"/>
      <c r="BC526" s="408"/>
      <c r="BD526" s="408"/>
      <c r="BE526" s="408"/>
      <c r="BF526" s="408"/>
      <c r="BG526" s="408"/>
      <c r="BH526" s="408"/>
      <c r="BI526" s="408"/>
      <c r="BJ526" s="408"/>
      <c r="BK526" s="408"/>
      <c r="BL526" s="408"/>
      <c r="BM526" s="408"/>
      <c r="BN526" s="408"/>
      <c r="BO526" s="408"/>
      <c r="BP526" s="408"/>
      <c r="BQ526" s="408"/>
      <c r="BR526" s="408"/>
      <c r="BS526" s="408"/>
      <c r="BT526" s="408"/>
      <c r="BU526" s="408"/>
      <c r="BV526" s="408"/>
      <c r="BW526" s="408"/>
      <c r="BX526" s="408"/>
      <c r="BY526" s="408"/>
      <c r="BZ526" s="408"/>
      <c r="CA526" s="408"/>
      <c r="CB526" s="408"/>
      <c r="CC526" s="408"/>
      <c r="CD526" s="408"/>
      <c r="CE526" s="408"/>
      <c r="CF526" s="408"/>
      <c r="CG526" s="408"/>
      <c r="CH526" s="408"/>
      <c r="CI526" s="408"/>
      <c r="CJ526" s="408"/>
      <c r="CK526" s="408"/>
      <c r="CL526" s="408"/>
      <c r="CM526" s="408"/>
      <c r="CN526" s="408"/>
    </row>
    <row r="527">
      <c r="A527" s="408"/>
      <c r="B527" s="408"/>
      <c r="C527" s="408"/>
      <c r="D527" s="408"/>
      <c r="E527" s="408"/>
      <c r="F527" s="408"/>
      <c r="G527" s="408"/>
      <c r="H527" s="408"/>
      <c r="I527" s="408"/>
      <c r="J527" s="408"/>
      <c r="K527" s="408"/>
      <c r="L527" s="408"/>
      <c r="M527" s="408"/>
      <c r="N527" s="408"/>
      <c r="O527" s="408"/>
      <c r="P527" s="408"/>
      <c r="Q527" s="408"/>
      <c r="R527" s="408"/>
      <c r="S527" s="408"/>
      <c r="T527" s="408"/>
      <c r="U527" s="408"/>
      <c r="V527" s="408"/>
      <c r="W527" s="408"/>
      <c r="X527" s="408"/>
      <c r="Y527" s="408"/>
      <c r="Z527" s="408"/>
      <c r="AA527" s="408"/>
      <c r="AB527" s="408"/>
      <c r="AC527" s="408"/>
      <c r="AD527" s="408"/>
      <c r="AE527" s="408"/>
      <c r="AF527" s="408"/>
      <c r="AG527" s="408"/>
      <c r="AH527" s="408"/>
      <c r="AI527" s="408"/>
      <c r="AJ527" s="408"/>
      <c r="AK527" s="408"/>
      <c r="AL527" s="408"/>
      <c r="AM527" s="408"/>
      <c r="AN527" s="408"/>
      <c r="AO527" s="408"/>
      <c r="AP527" s="408"/>
      <c r="AQ527" s="408"/>
      <c r="AR527" s="408"/>
      <c r="AS527" s="408"/>
      <c r="AT527" s="408"/>
      <c r="AU527" s="408"/>
      <c r="AV527" s="408"/>
      <c r="AW527" s="408"/>
      <c r="AX527" s="408"/>
      <c r="AY527" s="408"/>
      <c r="AZ527" s="408"/>
      <c r="BA527" s="408"/>
      <c r="BB527" s="408"/>
      <c r="BC527" s="408"/>
      <c r="BD527" s="408"/>
      <c r="BE527" s="408"/>
      <c r="BF527" s="408"/>
      <c r="BG527" s="408"/>
      <c r="BH527" s="408"/>
      <c r="BI527" s="408"/>
      <c r="BJ527" s="408"/>
      <c r="BK527" s="408"/>
      <c r="BL527" s="408"/>
      <c r="BM527" s="408"/>
      <c r="BN527" s="408"/>
      <c r="BO527" s="408"/>
      <c r="BP527" s="408"/>
      <c r="BQ527" s="408"/>
      <c r="BR527" s="408"/>
      <c r="BS527" s="408"/>
      <c r="BT527" s="408"/>
      <c r="BU527" s="408"/>
      <c r="BV527" s="408"/>
      <c r="BW527" s="408"/>
      <c r="BX527" s="408"/>
      <c r="BY527" s="408"/>
      <c r="BZ527" s="408"/>
      <c r="CA527" s="408"/>
      <c r="CB527" s="408"/>
      <c r="CC527" s="408"/>
      <c r="CD527" s="408"/>
      <c r="CE527" s="408"/>
      <c r="CF527" s="408"/>
      <c r="CG527" s="408"/>
      <c r="CH527" s="408"/>
      <c r="CI527" s="408"/>
      <c r="CJ527" s="408"/>
      <c r="CK527" s="408"/>
      <c r="CL527" s="408"/>
      <c r="CM527" s="408"/>
      <c r="CN527" s="408"/>
    </row>
    <row r="528">
      <c r="A528" s="408"/>
      <c r="B528" s="408"/>
      <c r="C528" s="408"/>
      <c r="D528" s="408"/>
      <c r="E528" s="408"/>
      <c r="F528" s="408"/>
      <c r="G528" s="408"/>
      <c r="H528" s="408"/>
      <c r="I528" s="408"/>
      <c r="J528" s="408"/>
      <c r="K528" s="408"/>
      <c r="L528" s="408"/>
      <c r="M528" s="408"/>
      <c r="N528" s="408"/>
      <c r="O528" s="408"/>
      <c r="P528" s="408"/>
      <c r="Q528" s="408"/>
      <c r="R528" s="408"/>
      <c r="S528" s="408"/>
      <c r="T528" s="408"/>
      <c r="U528" s="408"/>
      <c r="V528" s="408"/>
      <c r="W528" s="408"/>
      <c r="X528" s="408"/>
      <c r="Y528" s="408"/>
      <c r="Z528" s="408"/>
      <c r="AA528" s="408"/>
      <c r="AB528" s="408"/>
      <c r="AC528" s="408"/>
      <c r="AD528" s="408"/>
      <c r="AE528" s="408"/>
      <c r="AF528" s="408"/>
      <c r="AG528" s="408"/>
      <c r="AH528" s="408"/>
      <c r="AI528" s="408"/>
      <c r="AJ528" s="408"/>
      <c r="AK528" s="408"/>
      <c r="AL528" s="408"/>
      <c r="AM528" s="408"/>
      <c r="AN528" s="408"/>
      <c r="AO528" s="408"/>
      <c r="AP528" s="408"/>
      <c r="AQ528" s="408"/>
      <c r="AR528" s="408"/>
      <c r="AS528" s="408"/>
      <c r="AT528" s="408"/>
      <c r="AU528" s="408"/>
      <c r="AV528" s="408"/>
      <c r="AW528" s="408"/>
      <c r="AX528" s="408"/>
      <c r="AY528" s="408"/>
      <c r="AZ528" s="408"/>
      <c r="BA528" s="408"/>
      <c r="BB528" s="408"/>
      <c r="BC528" s="408"/>
      <c r="BD528" s="408"/>
      <c r="BE528" s="408"/>
      <c r="BF528" s="408"/>
      <c r="BG528" s="408"/>
      <c r="BH528" s="408"/>
      <c r="BI528" s="408"/>
      <c r="BJ528" s="408"/>
      <c r="BK528" s="408"/>
      <c r="BL528" s="408"/>
      <c r="BM528" s="408"/>
      <c r="BN528" s="408"/>
      <c r="BO528" s="408"/>
      <c r="BP528" s="408"/>
      <c r="BQ528" s="408"/>
      <c r="BR528" s="408"/>
      <c r="BS528" s="408"/>
      <c r="BT528" s="408"/>
      <c r="BU528" s="408"/>
      <c r="BV528" s="408"/>
      <c r="BW528" s="408"/>
      <c r="BX528" s="408"/>
      <c r="BY528" s="408"/>
      <c r="BZ528" s="408"/>
      <c r="CA528" s="408"/>
      <c r="CB528" s="408"/>
      <c r="CC528" s="408"/>
      <c r="CD528" s="408"/>
      <c r="CE528" s="408"/>
      <c r="CF528" s="408"/>
      <c r="CG528" s="408"/>
      <c r="CH528" s="408"/>
      <c r="CI528" s="408"/>
      <c r="CJ528" s="408"/>
      <c r="CK528" s="408"/>
      <c r="CL528" s="408"/>
      <c r="CM528" s="408"/>
      <c r="CN528" s="408"/>
    </row>
    <row r="529">
      <c r="A529" s="408"/>
      <c r="B529" s="408"/>
      <c r="C529" s="408"/>
      <c r="D529" s="408"/>
      <c r="E529" s="408"/>
      <c r="F529" s="408"/>
      <c r="G529" s="408"/>
      <c r="H529" s="408"/>
      <c r="I529" s="408"/>
      <c r="J529" s="408"/>
      <c r="K529" s="408"/>
      <c r="L529" s="408"/>
      <c r="M529" s="408"/>
      <c r="N529" s="408"/>
      <c r="O529" s="408"/>
      <c r="P529" s="408"/>
      <c r="Q529" s="408"/>
      <c r="R529" s="408"/>
      <c r="S529" s="408"/>
      <c r="T529" s="408"/>
      <c r="U529" s="408"/>
      <c r="V529" s="408"/>
      <c r="W529" s="408"/>
      <c r="X529" s="408"/>
      <c r="Y529" s="408"/>
      <c r="Z529" s="408"/>
      <c r="AA529" s="408"/>
      <c r="AB529" s="408"/>
      <c r="AC529" s="408"/>
      <c r="AD529" s="408"/>
      <c r="AE529" s="408"/>
      <c r="AF529" s="408"/>
      <c r="AG529" s="408"/>
      <c r="AH529" s="408"/>
      <c r="AI529" s="408"/>
      <c r="AJ529" s="408"/>
      <c r="AK529" s="408"/>
      <c r="AL529" s="408"/>
      <c r="AM529" s="408"/>
      <c r="AN529" s="408"/>
      <c r="AO529" s="408"/>
      <c r="AP529" s="408"/>
      <c r="AQ529" s="408"/>
      <c r="AR529" s="408"/>
      <c r="AS529" s="408"/>
      <c r="AT529" s="408"/>
      <c r="AU529" s="408"/>
      <c r="AV529" s="408"/>
      <c r="AW529" s="408"/>
      <c r="AX529" s="408"/>
      <c r="AY529" s="408"/>
      <c r="AZ529" s="408"/>
      <c r="BA529" s="408"/>
      <c r="BB529" s="408"/>
      <c r="BC529" s="408"/>
      <c r="BD529" s="408"/>
      <c r="BE529" s="408"/>
      <c r="BF529" s="408"/>
      <c r="BG529" s="408"/>
      <c r="BH529" s="408"/>
      <c r="BI529" s="408"/>
      <c r="BJ529" s="408"/>
      <c r="BK529" s="408"/>
      <c r="BL529" s="408"/>
      <c r="BM529" s="408"/>
      <c r="BN529" s="408"/>
      <c r="BO529" s="408"/>
      <c r="BP529" s="408"/>
      <c r="BQ529" s="408"/>
      <c r="BR529" s="408"/>
      <c r="BS529" s="408"/>
      <c r="BT529" s="408"/>
      <c r="BU529" s="408"/>
      <c r="BV529" s="408"/>
      <c r="BW529" s="408"/>
      <c r="BX529" s="408"/>
      <c r="BY529" s="408"/>
      <c r="BZ529" s="408"/>
      <c r="CA529" s="408"/>
      <c r="CB529" s="408"/>
      <c r="CC529" s="408"/>
      <c r="CD529" s="408"/>
      <c r="CE529" s="408"/>
      <c r="CF529" s="408"/>
      <c r="CG529" s="408"/>
      <c r="CH529" s="408"/>
      <c r="CI529" s="408"/>
      <c r="CJ529" s="408"/>
      <c r="CK529" s="408"/>
      <c r="CL529" s="408"/>
      <c r="CM529" s="408"/>
      <c r="CN529" s="408"/>
    </row>
    <row r="530">
      <c r="A530" s="408"/>
      <c r="B530" s="408"/>
      <c r="C530" s="408"/>
      <c r="D530" s="408"/>
      <c r="E530" s="408"/>
      <c r="F530" s="408"/>
      <c r="G530" s="408"/>
      <c r="H530" s="408"/>
      <c r="I530" s="408"/>
      <c r="J530" s="408"/>
      <c r="K530" s="408"/>
      <c r="L530" s="408"/>
      <c r="M530" s="408"/>
      <c r="N530" s="408"/>
      <c r="O530" s="408"/>
      <c r="P530" s="408"/>
      <c r="Q530" s="408"/>
      <c r="R530" s="408"/>
      <c r="S530" s="408"/>
      <c r="T530" s="408"/>
      <c r="U530" s="408"/>
      <c r="V530" s="408"/>
      <c r="W530" s="408"/>
      <c r="X530" s="408"/>
      <c r="Y530" s="408"/>
      <c r="Z530" s="408"/>
      <c r="AA530" s="408"/>
      <c r="AB530" s="408"/>
      <c r="AC530" s="408"/>
      <c r="AD530" s="408"/>
      <c r="AE530" s="408"/>
      <c r="AF530" s="408"/>
      <c r="AG530" s="408"/>
      <c r="AH530" s="408"/>
      <c r="AI530" s="408"/>
      <c r="AJ530" s="408"/>
      <c r="AK530" s="408"/>
      <c r="AL530" s="408"/>
      <c r="AM530" s="408"/>
      <c r="AN530" s="408"/>
      <c r="AO530" s="408"/>
      <c r="AP530" s="408"/>
      <c r="AQ530" s="408"/>
      <c r="AR530" s="408"/>
      <c r="AS530" s="408"/>
      <c r="AT530" s="408"/>
      <c r="AU530" s="408"/>
      <c r="AV530" s="408"/>
      <c r="AW530" s="408"/>
      <c r="AX530" s="408"/>
      <c r="AY530" s="408"/>
      <c r="AZ530" s="408"/>
      <c r="BA530" s="408"/>
      <c r="BB530" s="408"/>
      <c r="BC530" s="408"/>
      <c r="BD530" s="408"/>
      <c r="BE530" s="408"/>
      <c r="BF530" s="408"/>
      <c r="BG530" s="408"/>
      <c r="BH530" s="408"/>
      <c r="BI530" s="408"/>
      <c r="BJ530" s="408"/>
      <c r="BK530" s="408"/>
      <c r="BL530" s="408"/>
      <c r="BM530" s="408"/>
      <c r="BN530" s="408"/>
      <c r="BO530" s="408"/>
      <c r="BP530" s="408"/>
      <c r="BQ530" s="408"/>
      <c r="BR530" s="408"/>
      <c r="BS530" s="408"/>
      <c r="BT530" s="408"/>
      <c r="BU530" s="408"/>
      <c r="BV530" s="408"/>
      <c r="BW530" s="408"/>
      <c r="BX530" s="408"/>
      <c r="BY530" s="408"/>
      <c r="BZ530" s="408"/>
      <c r="CA530" s="408"/>
      <c r="CB530" s="408"/>
      <c r="CC530" s="408"/>
      <c r="CD530" s="408"/>
      <c r="CE530" s="408"/>
      <c r="CF530" s="408"/>
      <c r="CG530" s="408"/>
      <c r="CH530" s="408"/>
      <c r="CI530" s="408"/>
      <c r="CJ530" s="408"/>
      <c r="CK530" s="408"/>
      <c r="CL530" s="408"/>
      <c r="CM530" s="408"/>
      <c r="CN530" s="408"/>
    </row>
    <row r="531">
      <c r="A531" s="408"/>
      <c r="B531" s="408"/>
      <c r="C531" s="408"/>
      <c r="D531" s="408"/>
      <c r="E531" s="408"/>
      <c r="F531" s="408"/>
      <c r="G531" s="408"/>
      <c r="H531" s="408"/>
      <c r="I531" s="408"/>
      <c r="J531" s="408"/>
      <c r="K531" s="408"/>
      <c r="L531" s="408"/>
      <c r="M531" s="408"/>
      <c r="N531" s="408"/>
      <c r="O531" s="408"/>
      <c r="P531" s="408"/>
      <c r="Q531" s="408"/>
      <c r="R531" s="408"/>
      <c r="S531" s="408"/>
      <c r="T531" s="408"/>
      <c r="U531" s="408"/>
      <c r="V531" s="408"/>
      <c r="W531" s="408"/>
      <c r="X531" s="408"/>
      <c r="Y531" s="408"/>
      <c r="Z531" s="408"/>
      <c r="AA531" s="408"/>
      <c r="AB531" s="408"/>
      <c r="AC531" s="408"/>
      <c r="AD531" s="408"/>
      <c r="AE531" s="408"/>
      <c r="AF531" s="408"/>
      <c r="AG531" s="408"/>
      <c r="AH531" s="408"/>
      <c r="AI531" s="408"/>
      <c r="AJ531" s="408"/>
      <c r="AK531" s="408"/>
      <c r="AL531" s="408"/>
      <c r="AM531" s="408"/>
      <c r="AN531" s="408"/>
      <c r="AO531" s="408"/>
      <c r="AP531" s="408"/>
      <c r="AQ531" s="408"/>
      <c r="AR531" s="408"/>
      <c r="AS531" s="408"/>
      <c r="AT531" s="408"/>
      <c r="AU531" s="408"/>
      <c r="AV531" s="408"/>
      <c r="AW531" s="408"/>
      <c r="AX531" s="408"/>
      <c r="AY531" s="408"/>
      <c r="AZ531" s="408"/>
      <c r="BA531" s="408"/>
      <c r="BB531" s="408"/>
      <c r="BC531" s="408"/>
      <c r="BD531" s="408"/>
      <c r="BE531" s="408"/>
      <c r="BF531" s="408"/>
      <c r="BG531" s="408"/>
      <c r="BH531" s="408"/>
      <c r="BI531" s="408"/>
      <c r="BJ531" s="408"/>
      <c r="BK531" s="408"/>
      <c r="BL531" s="408"/>
      <c r="BM531" s="408"/>
      <c r="BN531" s="408"/>
      <c r="BO531" s="408"/>
      <c r="BP531" s="408"/>
      <c r="BQ531" s="408"/>
      <c r="BR531" s="408"/>
      <c r="BS531" s="408"/>
      <c r="BT531" s="408"/>
      <c r="BU531" s="408"/>
      <c r="BV531" s="408"/>
      <c r="BW531" s="408"/>
      <c r="BX531" s="408"/>
      <c r="BY531" s="408"/>
      <c r="BZ531" s="408"/>
      <c r="CA531" s="408"/>
      <c r="CB531" s="408"/>
      <c r="CC531" s="408"/>
      <c r="CD531" s="408"/>
      <c r="CE531" s="408"/>
      <c r="CF531" s="408"/>
      <c r="CG531" s="408"/>
      <c r="CH531" s="408"/>
      <c r="CI531" s="408"/>
      <c r="CJ531" s="408"/>
      <c r="CK531" s="408"/>
      <c r="CL531" s="408"/>
      <c r="CM531" s="408"/>
      <c r="CN531" s="408"/>
    </row>
    <row r="532">
      <c r="A532" s="408"/>
      <c r="B532" s="408"/>
      <c r="C532" s="408"/>
      <c r="D532" s="408"/>
      <c r="E532" s="408"/>
      <c r="F532" s="408"/>
      <c r="G532" s="408"/>
      <c r="H532" s="408"/>
      <c r="I532" s="408"/>
      <c r="J532" s="408"/>
      <c r="K532" s="408"/>
      <c r="L532" s="408"/>
      <c r="M532" s="408"/>
      <c r="N532" s="408"/>
      <c r="O532" s="408"/>
      <c r="P532" s="408"/>
      <c r="Q532" s="408"/>
      <c r="R532" s="408"/>
      <c r="S532" s="408"/>
      <c r="T532" s="408"/>
      <c r="U532" s="408"/>
      <c r="V532" s="408"/>
      <c r="W532" s="408"/>
      <c r="X532" s="408"/>
      <c r="Y532" s="408"/>
      <c r="Z532" s="408"/>
      <c r="AA532" s="408"/>
      <c r="AB532" s="408"/>
      <c r="AC532" s="408"/>
      <c r="AD532" s="408"/>
      <c r="AE532" s="408"/>
      <c r="AF532" s="408"/>
      <c r="AG532" s="408"/>
      <c r="AH532" s="408"/>
      <c r="AI532" s="408"/>
      <c r="AJ532" s="408"/>
      <c r="AK532" s="408"/>
      <c r="AL532" s="408"/>
      <c r="AM532" s="408"/>
      <c r="AN532" s="408"/>
      <c r="AO532" s="408"/>
      <c r="AP532" s="408"/>
      <c r="AQ532" s="408"/>
      <c r="AR532" s="408"/>
      <c r="AS532" s="408"/>
      <c r="AT532" s="408"/>
      <c r="AU532" s="408"/>
      <c r="AV532" s="408"/>
      <c r="AW532" s="408"/>
      <c r="AX532" s="408"/>
      <c r="AY532" s="408"/>
      <c r="AZ532" s="408"/>
      <c r="BA532" s="408"/>
      <c r="BB532" s="408"/>
      <c r="BC532" s="408"/>
      <c r="BD532" s="408"/>
      <c r="BE532" s="408"/>
      <c r="BF532" s="408"/>
      <c r="BG532" s="408"/>
      <c r="BH532" s="408"/>
      <c r="BI532" s="408"/>
      <c r="BJ532" s="408"/>
      <c r="BK532" s="408"/>
      <c r="BL532" s="408"/>
      <c r="BM532" s="408"/>
      <c r="BN532" s="408"/>
      <c r="BO532" s="408"/>
      <c r="BP532" s="408"/>
      <c r="BQ532" s="408"/>
      <c r="BR532" s="408"/>
      <c r="BS532" s="408"/>
      <c r="BT532" s="408"/>
      <c r="BU532" s="408"/>
      <c r="BV532" s="408"/>
      <c r="BW532" s="408"/>
      <c r="BX532" s="408"/>
      <c r="BY532" s="408"/>
      <c r="BZ532" s="408"/>
      <c r="CA532" s="408"/>
      <c r="CB532" s="408"/>
      <c r="CC532" s="408"/>
      <c r="CD532" s="408"/>
      <c r="CE532" s="408"/>
      <c r="CF532" s="408"/>
      <c r="CG532" s="408"/>
      <c r="CH532" s="408"/>
      <c r="CI532" s="408"/>
      <c r="CJ532" s="408"/>
      <c r="CK532" s="408"/>
      <c r="CL532" s="408"/>
      <c r="CM532" s="408"/>
      <c r="CN532" s="408"/>
    </row>
    <row r="533">
      <c r="A533" s="408"/>
      <c r="B533" s="408"/>
      <c r="C533" s="408"/>
      <c r="D533" s="408"/>
      <c r="E533" s="408"/>
      <c r="F533" s="408"/>
      <c r="G533" s="408"/>
      <c r="H533" s="408"/>
      <c r="I533" s="408"/>
      <c r="J533" s="408"/>
      <c r="K533" s="408"/>
      <c r="L533" s="408"/>
      <c r="M533" s="408"/>
      <c r="N533" s="408"/>
      <c r="O533" s="408"/>
      <c r="P533" s="408"/>
      <c r="Q533" s="408"/>
      <c r="R533" s="408"/>
      <c r="S533" s="408"/>
      <c r="T533" s="408"/>
      <c r="U533" s="408"/>
      <c r="V533" s="408"/>
      <c r="W533" s="408"/>
      <c r="X533" s="408"/>
      <c r="Y533" s="408"/>
      <c r="Z533" s="408"/>
      <c r="AA533" s="408"/>
      <c r="AB533" s="408"/>
      <c r="AC533" s="408"/>
      <c r="AD533" s="408"/>
      <c r="AE533" s="408"/>
      <c r="AF533" s="408"/>
      <c r="AG533" s="408"/>
      <c r="AH533" s="408"/>
      <c r="AI533" s="408"/>
      <c r="AJ533" s="408"/>
      <c r="AK533" s="408"/>
      <c r="AL533" s="408"/>
      <c r="AM533" s="408"/>
      <c r="AN533" s="408"/>
      <c r="AO533" s="408"/>
      <c r="AP533" s="408"/>
      <c r="AQ533" s="408"/>
      <c r="AR533" s="408"/>
      <c r="AS533" s="408"/>
      <c r="AT533" s="408"/>
      <c r="AU533" s="408"/>
      <c r="AV533" s="408"/>
      <c r="AW533" s="408"/>
      <c r="AX533" s="408"/>
      <c r="AY533" s="408"/>
      <c r="AZ533" s="408"/>
      <c r="BA533" s="408"/>
      <c r="BB533" s="408"/>
      <c r="BC533" s="408"/>
      <c r="BD533" s="408"/>
      <c r="BE533" s="408"/>
      <c r="BF533" s="408"/>
      <c r="BG533" s="408"/>
      <c r="BH533" s="408"/>
      <c r="BI533" s="408"/>
      <c r="BJ533" s="408"/>
      <c r="BK533" s="408"/>
      <c r="BL533" s="408"/>
      <c r="BM533" s="408"/>
      <c r="BN533" s="408"/>
      <c r="BO533" s="408"/>
      <c r="BP533" s="408"/>
      <c r="BQ533" s="408"/>
      <c r="BR533" s="408"/>
      <c r="BS533" s="408"/>
      <c r="BT533" s="408"/>
      <c r="BU533" s="408"/>
      <c r="BV533" s="408"/>
      <c r="BW533" s="408"/>
      <c r="BX533" s="408"/>
      <c r="BY533" s="408"/>
      <c r="BZ533" s="408"/>
      <c r="CA533" s="408"/>
      <c r="CB533" s="408"/>
      <c r="CC533" s="408"/>
      <c r="CD533" s="408"/>
      <c r="CE533" s="408"/>
      <c r="CF533" s="408"/>
      <c r="CG533" s="408"/>
      <c r="CH533" s="408"/>
      <c r="CI533" s="408"/>
      <c r="CJ533" s="408"/>
      <c r="CK533" s="408"/>
      <c r="CL533" s="408"/>
      <c r="CM533" s="408"/>
      <c r="CN533" s="408"/>
    </row>
    <row r="534">
      <c r="A534" s="408"/>
      <c r="B534" s="408"/>
      <c r="C534" s="408"/>
      <c r="D534" s="408"/>
      <c r="E534" s="408"/>
      <c r="F534" s="408"/>
      <c r="G534" s="408"/>
      <c r="H534" s="408"/>
      <c r="I534" s="408"/>
      <c r="J534" s="408"/>
      <c r="K534" s="408"/>
      <c r="L534" s="408"/>
      <c r="M534" s="408"/>
      <c r="N534" s="408"/>
      <c r="O534" s="408"/>
      <c r="P534" s="408"/>
      <c r="Q534" s="408"/>
      <c r="R534" s="408"/>
      <c r="S534" s="408"/>
      <c r="T534" s="408"/>
      <c r="U534" s="408"/>
      <c r="V534" s="408"/>
      <c r="W534" s="408"/>
      <c r="X534" s="408"/>
      <c r="Y534" s="408"/>
      <c r="Z534" s="408"/>
      <c r="AA534" s="408"/>
      <c r="AB534" s="408"/>
      <c r="AC534" s="408"/>
      <c r="AD534" s="408"/>
      <c r="AE534" s="408"/>
      <c r="AF534" s="408"/>
      <c r="AG534" s="408"/>
      <c r="AH534" s="408"/>
      <c r="AI534" s="408"/>
      <c r="AJ534" s="408"/>
      <c r="AK534" s="408"/>
      <c r="AL534" s="408"/>
      <c r="AM534" s="408"/>
      <c r="AN534" s="408"/>
      <c r="AO534" s="408"/>
      <c r="AP534" s="408"/>
      <c r="AQ534" s="408"/>
      <c r="AR534" s="408"/>
      <c r="AS534" s="408"/>
      <c r="AT534" s="408"/>
      <c r="AU534" s="408"/>
      <c r="AV534" s="408"/>
      <c r="AW534" s="408"/>
      <c r="AX534" s="408"/>
      <c r="AY534" s="408"/>
      <c r="AZ534" s="408"/>
      <c r="BA534" s="408"/>
      <c r="BB534" s="408"/>
      <c r="BC534" s="408"/>
      <c r="BD534" s="408"/>
      <c r="BE534" s="408"/>
      <c r="BF534" s="408"/>
      <c r="BG534" s="408"/>
      <c r="BH534" s="408"/>
      <c r="BI534" s="408"/>
      <c r="BJ534" s="408"/>
      <c r="BK534" s="408"/>
      <c r="BL534" s="408"/>
      <c r="BM534" s="408"/>
      <c r="BN534" s="408"/>
      <c r="BO534" s="408"/>
      <c r="BP534" s="408"/>
      <c r="BQ534" s="408"/>
      <c r="BR534" s="408"/>
      <c r="BS534" s="408"/>
      <c r="BT534" s="408"/>
      <c r="BU534" s="408"/>
      <c r="BV534" s="408"/>
      <c r="BW534" s="408"/>
      <c r="BX534" s="408"/>
      <c r="BY534" s="408"/>
      <c r="BZ534" s="408"/>
      <c r="CA534" s="408"/>
      <c r="CB534" s="408"/>
      <c r="CC534" s="408"/>
      <c r="CD534" s="408"/>
      <c r="CE534" s="408"/>
      <c r="CF534" s="408"/>
      <c r="CG534" s="408"/>
      <c r="CH534" s="408"/>
      <c r="CI534" s="408"/>
      <c r="CJ534" s="408"/>
      <c r="CK534" s="408"/>
      <c r="CL534" s="408"/>
      <c r="CM534" s="408"/>
      <c r="CN534" s="408"/>
    </row>
    <row r="535">
      <c r="A535" s="408"/>
      <c r="B535" s="408"/>
      <c r="C535" s="408"/>
      <c r="D535" s="408"/>
      <c r="E535" s="408"/>
      <c r="F535" s="408"/>
      <c r="G535" s="408"/>
      <c r="H535" s="408"/>
      <c r="I535" s="408"/>
      <c r="J535" s="408"/>
      <c r="K535" s="408"/>
      <c r="L535" s="408"/>
      <c r="M535" s="408"/>
      <c r="N535" s="408"/>
      <c r="O535" s="408"/>
      <c r="P535" s="408"/>
      <c r="Q535" s="408"/>
      <c r="R535" s="408"/>
      <c r="S535" s="408"/>
      <c r="T535" s="408"/>
      <c r="U535" s="408"/>
      <c r="V535" s="408"/>
      <c r="W535" s="408"/>
      <c r="X535" s="408"/>
      <c r="Y535" s="408"/>
      <c r="Z535" s="408"/>
      <c r="AA535" s="408"/>
      <c r="AB535" s="408"/>
      <c r="AC535" s="408"/>
      <c r="AD535" s="408"/>
      <c r="AE535" s="408"/>
      <c r="AF535" s="408"/>
      <c r="AG535" s="408"/>
      <c r="AH535" s="408"/>
      <c r="AI535" s="408"/>
      <c r="AJ535" s="408"/>
      <c r="AK535" s="408"/>
      <c r="AL535" s="408"/>
      <c r="AM535" s="408"/>
      <c r="AN535" s="408"/>
      <c r="AO535" s="408"/>
      <c r="AP535" s="408"/>
      <c r="AQ535" s="408"/>
      <c r="AR535" s="408"/>
      <c r="AS535" s="408"/>
      <c r="AT535" s="408"/>
      <c r="AU535" s="408"/>
      <c r="AV535" s="408"/>
      <c r="AW535" s="408"/>
      <c r="AX535" s="408"/>
      <c r="AY535" s="408"/>
      <c r="AZ535" s="408"/>
      <c r="BA535" s="408"/>
      <c r="BB535" s="408"/>
      <c r="BC535" s="408"/>
      <c r="BD535" s="408"/>
      <c r="BE535" s="408"/>
      <c r="BF535" s="408"/>
      <c r="BG535" s="408"/>
      <c r="BH535" s="408"/>
      <c r="BI535" s="408"/>
      <c r="BJ535" s="408"/>
      <c r="BK535" s="408"/>
      <c r="BL535" s="408"/>
      <c r="BM535" s="408"/>
      <c r="BN535" s="408"/>
      <c r="BO535" s="408"/>
      <c r="BP535" s="408"/>
      <c r="BQ535" s="408"/>
      <c r="BR535" s="408"/>
      <c r="BS535" s="408"/>
      <c r="BT535" s="408"/>
      <c r="BU535" s="408"/>
      <c r="BV535" s="408"/>
      <c r="BW535" s="408"/>
      <c r="BX535" s="408"/>
      <c r="BY535" s="408"/>
      <c r="BZ535" s="408"/>
      <c r="CA535" s="408"/>
      <c r="CB535" s="408"/>
      <c r="CC535" s="408"/>
      <c r="CD535" s="408"/>
      <c r="CE535" s="408"/>
      <c r="CF535" s="408"/>
      <c r="CG535" s="408"/>
      <c r="CH535" s="408"/>
      <c r="CI535" s="408"/>
      <c r="CJ535" s="408"/>
      <c r="CK535" s="408"/>
      <c r="CL535" s="408"/>
      <c r="CM535" s="408"/>
      <c r="CN535" s="408"/>
    </row>
    <row r="536">
      <c r="A536" s="408"/>
      <c r="B536" s="408"/>
      <c r="C536" s="408"/>
      <c r="D536" s="408"/>
      <c r="E536" s="408"/>
      <c r="F536" s="408"/>
      <c r="G536" s="408"/>
      <c r="H536" s="408"/>
      <c r="I536" s="408"/>
      <c r="J536" s="408"/>
      <c r="K536" s="408"/>
      <c r="L536" s="408"/>
      <c r="M536" s="408"/>
      <c r="N536" s="408"/>
      <c r="O536" s="408"/>
      <c r="P536" s="408"/>
      <c r="Q536" s="408"/>
      <c r="R536" s="408"/>
      <c r="S536" s="408"/>
      <c r="T536" s="408"/>
      <c r="U536" s="408"/>
      <c r="V536" s="408"/>
      <c r="W536" s="408"/>
      <c r="X536" s="408"/>
      <c r="Y536" s="408"/>
      <c r="Z536" s="408"/>
      <c r="AA536" s="408"/>
      <c r="AB536" s="408"/>
      <c r="AC536" s="408"/>
      <c r="AD536" s="408"/>
      <c r="AE536" s="408"/>
      <c r="AF536" s="408"/>
      <c r="AG536" s="408"/>
      <c r="AH536" s="408"/>
      <c r="AI536" s="408"/>
      <c r="AJ536" s="408"/>
      <c r="AK536" s="408"/>
      <c r="AL536" s="408"/>
      <c r="AM536" s="408"/>
      <c r="AN536" s="408"/>
      <c r="AO536" s="408"/>
      <c r="AP536" s="408"/>
      <c r="AQ536" s="408"/>
      <c r="AR536" s="408"/>
      <c r="AS536" s="408"/>
      <c r="AT536" s="408"/>
      <c r="AU536" s="408"/>
      <c r="AV536" s="408"/>
      <c r="AW536" s="408"/>
      <c r="AX536" s="408"/>
      <c r="AY536" s="408"/>
      <c r="AZ536" s="408"/>
      <c r="BA536" s="408"/>
      <c r="BB536" s="408"/>
      <c r="BC536" s="408"/>
      <c r="BD536" s="408"/>
      <c r="BE536" s="408"/>
      <c r="BF536" s="408"/>
      <c r="BG536" s="408"/>
      <c r="BH536" s="408"/>
      <c r="BI536" s="408"/>
      <c r="BJ536" s="408"/>
      <c r="BK536" s="408"/>
      <c r="BL536" s="408"/>
      <c r="BM536" s="408"/>
      <c r="BN536" s="408"/>
      <c r="BO536" s="408"/>
      <c r="BP536" s="408"/>
      <c r="BQ536" s="408"/>
      <c r="BR536" s="408"/>
      <c r="BS536" s="408"/>
      <c r="BT536" s="408"/>
      <c r="BU536" s="408"/>
      <c r="BV536" s="408"/>
      <c r="BW536" s="408"/>
      <c r="BX536" s="408"/>
      <c r="BY536" s="408"/>
      <c r="BZ536" s="408"/>
      <c r="CA536" s="408"/>
      <c r="CB536" s="408"/>
      <c r="CC536" s="408"/>
      <c r="CD536" s="408"/>
      <c r="CE536" s="408"/>
      <c r="CF536" s="408"/>
      <c r="CG536" s="408"/>
      <c r="CH536" s="408"/>
      <c r="CI536" s="408"/>
      <c r="CJ536" s="408"/>
      <c r="CK536" s="408"/>
      <c r="CL536" s="408"/>
      <c r="CM536" s="408"/>
      <c r="CN536" s="408"/>
    </row>
    <row r="537">
      <c r="A537" s="408"/>
      <c r="B537" s="408"/>
      <c r="C537" s="408"/>
      <c r="D537" s="408"/>
      <c r="E537" s="408"/>
      <c r="F537" s="408"/>
      <c r="G537" s="408"/>
      <c r="H537" s="408"/>
      <c r="I537" s="408"/>
      <c r="J537" s="408"/>
      <c r="K537" s="408"/>
      <c r="L537" s="408"/>
      <c r="M537" s="408"/>
      <c r="N537" s="408"/>
      <c r="O537" s="408"/>
      <c r="P537" s="408"/>
      <c r="Q537" s="408"/>
      <c r="R537" s="408"/>
      <c r="S537" s="408"/>
      <c r="T537" s="408"/>
      <c r="U537" s="408"/>
      <c r="V537" s="408"/>
      <c r="W537" s="408"/>
      <c r="X537" s="408"/>
      <c r="Y537" s="408"/>
      <c r="Z537" s="408"/>
      <c r="AA537" s="408"/>
      <c r="AB537" s="408"/>
      <c r="AC537" s="408"/>
      <c r="AD537" s="408"/>
      <c r="AE537" s="408"/>
      <c r="AF537" s="408"/>
      <c r="AG537" s="408"/>
      <c r="AH537" s="408"/>
      <c r="AI537" s="408"/>
      <c r="AJ537" s="408"/>
      <c r="AK537" s="408"/>
      <c r="AL537" s="408"/>
      <c r="AM537" s="408"/>
      <c r="AN537" s="408"/>
      <c r="AO537" s="408"/>
      <c r="AP537" s="408"/>
      <c r="AQ537" s="408"/>
      <c r="AR537" s="408"/>
      <c r="AS537" s="408"/>
      <c r="AT537" s="408"/>
      <c r="AU537" s="408"/>
      <c r="AV537" s="408"/>
      <c r="AW537" s="408"/>
      <c r="AX537" s="408"/>
      <c r="AY537" s="408"/>
      <c r="AZ537" s="408"/>
      <c r="BA537" s="408"/>
      <c r="BB537" s="408"/>
      <c r="BC537" s="408"/>
      <c r="BD537" s="408"/>
      <c r="BE537" s="408"/>
      <c r="BF537" s="408"/>
      <c r="BG537" s="408"/>
      <c r="BH537" s="408"/>
      <c r="BI537" s="408"/>
      <c r="BJ537" s="408"/>
      <c r="BK537" s="408"/>
      <c r="BL537" s="408"/>
      <c r="BM537" s="408"/>
      <c r="BN537" s="408"/>
      <c r="BO537" s="408"/>
      <c r="BP537" s="408"/>
      <c r="BQ537" s="408"/>
      <c r="BR537" s="408"/>
      <c r="BS537" s="408"/>
      <c r="BT537" s="408"/>
      <c r="BU537" s="408"/>
      <c r="BV537" s="408"/>
      <c r="BW537" s="408"/>
      <c r="BX537" s="408"/>
      <c r="BY537" s="408"/>
      <c r="BZ537" s="408"/>
      <c r="CA537" s="408"/>
      <c r="CB537" s="408"/>
      <c r="CC537" s="408"/>
      <c r="CD537" s="408"/>
      <c r="CE537" s="408"/>
      <c r="CF537" s="408"/>
      <c r="CG537" s="408"/>
      <c r="CH537" s="408"/>
      <c r="CI537" s="408"/>
      <c r="CJ537" s="408"/>
      <c r="CK537" s="408"/>
      <c r="CL537" s="408"/>
      <c r="CM537" s="408"/>
      <c r="CN537" s="408"/>
    </row>
    <row r="538">
      <c r="A538" s="408"/>
      <c r="B538" s="408"/>
      <c r="C538" s="408"/>
      <c r="D538" s="408"/>
      <c r="E538" s="408"/>
      <c r="F538" s="408"/>
      <c r="G538" s="408"/>
      <c r="H538" s="408"/>
      <c r="I538" s="408"/>
      <c r="J538" s="408"/>
      <c r="K538" s="408"/>
      <c r="L538" s="408"/>
      <c r="M538" s="408"/>
      <c r="N538" s="408"/>
      <c r="O538" s="408"/>
      <c r="P538" s="408"/>
      <c r="Q538" s="408"/>
      <c r="R538" s="408"/>
      <c r="S538" s="408"/>
      <c r="T538" s="408"/>
      <c r="U538" s="408"/>
      <c r="V538" s="408"/>
      <c r="W538" s="408"/>
      <c r="X538" s="408"/>
      <c r="Y538" s="408"/>
      <c r="Z538" s="408"/>
      <c r="AA538" s="408"/>
      <c r="AB538" s="408"/>
      <c r="AC538" s="408"/>
      <c r="AD538" s="408"/>
      <c r="AE538" s="408"/>
      <c r="AF538" s="408"/>
      <c r="AG538" s="408"/>
      <c r="AH538" s="408"/>
      <c r="AI538" s="408"/>
      <c r="AJ538" s="408"/>
      <c r="AK538" s="408"/>
      <c r="AL538" s="408"/>
      <c r="AM538" s="408"/>
      <c r="AN538" s="408"/>
      <c r="AO538" s="408"/>
      <c r="AP538" s="408"/>
      <c r="AQ538" s="408"/>
      <c r="AR538" s="408"/>
      <c r="AS538" s="408"/>
      <c r="AT538" s="408"/>
      <c r="AU538" s="408"/>
      <c r="AV538" s="408"/>
      <c r="AW538" s="408"/>
      <c r="AX538" s="408"/>
      <c r="AY538" s="408"/>
      <c r="AZ538" s="408"/>
      <c r="BA538" s="408"/>
      <c r="BB538" s="408"/>
      <c r="BC538" s="408"/>
      <c r="BD538" s="408"/>
      <c r="BE538" s="408"/>
      <c r="BF538" s="408"/>
      <c r="BG538" s="408"/>
      <c r="BH538" s="408"/>
      <c r="BI538" s="408"/>
      <c r="BJ538" s="408"/>
      <c r="BK538" s="408"/>
      <c r="BL538" s="408"/>
      <c r="BM538" s="408"/>
      <c r="BN538" s="408"/>
      <c r="BO538" s="408"/>
      <c r="BP538" s="408"/>
      <c r="BQ538" s="408"/>
      <c r="BR538" s="408"/>
      <c r="BS538" s="408"/>
      <c r="BT538" s="408"/>
      <c r="BU538" s="408"/>
      <c r="BV538" s="408"/>
      <c r="BW538" s="408"/>
      <c r="BX538" s="408"/>
      <c r="BY538" s="408"/>
      <c r="BZ538" s="408"/>
      <c r="CA538" s="408"/>
      <c r="CB538" s="408"/>
      <c r="CC538" s="408"/>
      <c r="CD538" s="408"/>
      <c r="CE538" s="408"/>
      <c r="CF538" s="408"/>
      <c r="CG538" s="408"/>
      <c r="CH538" s="408"/>
      <c r="CI538" s="408"/>
      <c r="CJ538" s="408"/>
      <c r="CK538" s="408"/>
      <c r="CL538" s="408"/>
      <c r="CM538" s="408"/>
      <c r="CN538" s="408"/>
    </row>
    <row r="539">
      <c r="A539" s="408"/>
      <c r="B539" s="408"/>
      <c r="C539" s="408"/>
      <c r="D539" s="408"/>
      <c r="E539" s="408"/>
      <c r="F539" s="408"/>
      <c r="G539" s="408"/>
      <c r="H539" s="408"/>
      <c r="I539" s="408"/>
      <c r="J539" s="408"/>
      <c r="K539" s="408"/>
      <c r="L539" s="408"/>
      <c r="M539" s="408"/>
      <c r="N539" s="408"/>
      <c r="O539" s="408"/>
      <c r="P539" s="408"/>
      <c r="Q539" s="408"/>
      <c r="R539" s="408"/>
      <c r="S539" s="408"/>
      <c r="T539" s="408"/>
      <c r="U539" s="408"/>
      <c r="V539" s="408"/>
      <c r="W539" s="408"/>
      <c r="X539" s="408"/>
      <c r="Y539" s="408"/>
      <c r="Z539" s="408"/>
      <c r="AA539" s="408"/>
      <c r="AB539" s="408"/>
      <c r="AC539" s="408"/>
      <c r="AD539" s="408"/>
      <c r="AE539" s="408"/>
      <c r="AF539" s="408"/>
      <c r="AG539" s="408"/>
      <c r="AH539" s="408"/>
      <c r="AI539" s="408"/>
      <c r="AJ539" s="408"/>
      <c r="AK539" s="408"/>
      <c r="AL539" s="408"/>
      <c r="AM539" s="408"/>
      <c r="AN539" s="408"/>
      <c r="AO539" s="408"/>
      <c r="AP539" s="408"/>
      <c r="AQ539" s="408"/>
      <c r="AR539" s="408"/>
      <c r="AS539" s="408"/>
      <c r="AT539" s="408"/>
      <c r="AU539" s="408"/>
      <c r="AV539" s="408"/>
      <c r="AW539" s="408"/>
      <c r="AX539" s="408"/>
      <c r="AY539" s="408"/>
      <c r="AZ539" s="408"/>
      <c r="BA539" s="408"/>
      <c r="BB539" s="408"/>
      <c r="BC539" s="408"/>
      <c r="BD539" s="408"/>
      <c r="BE539" s="408"/>
      <c r="BF539" s="408"/>
      <c r="BG539" s="408"/>
      <c r="BH539" s="408"/>
      <c r="BI539" s="408"/>
      <c r="BJ539" s="408"/>
      <c r="BK539" s="408"/>
      <c r="BL539" s="408"/>
      <c r="BM539" s="408"/>
      <c r="BN539" s="408"/>
      <c r="BO539" s="408"/>
      <c r="BP539" s="408"/>
      <c r="BQ539" s="408"/>
      <c r="BR539" s="408"/>
      <c r="BS539" s="408"/>
      <c r="BT539" s="408"/>
      <c r="BU539" s="408"/>
      <c r="BV539" s="408"/>
      <c r="BW539" s="408"/>
      <c r="BX539" s="408"/>
      <c r="BY539" s="408"/>
      <c r="BZ539" s="408"/>
      <c r="CA539" s="408"/>
      <c r="CB539" s="408"/>
      <c r="CC539" s="408"/>
      <c r="CD539" s="408"/>
      <c r="CE539" s="408"/>
      <c r="CF539" s="408"/>
      <c r="CG539" s="408"/>
      <c r="CH539" s="408"/>
      <c r="CI539" s="408"/>
      <c r="CJ539" s="408"/>
      <c r="CK539" s="408"/>
      <c r="CL539" s="408"/>
      <c r="CM539" s="408"/>
      <c r="CN539" s="408"/>
    </row>
    <row r="540">
      <c r="A540" s="408"/>
      <c r="B540" s="408"/>
      <c r="C540" s="408"/>
      <c r="D540" s="408"/>
      <c r="E540" s="408"/>
      <c r="F540" s="408"/>
      <c r="G540" s="408"/>
      <c r="H540" s="408"/>
      <c r="I540" s="408"/>
      <c r="J540" s="408"/>
      <c r="K540" s="408"/>
      <c r="L540" s="408"/>
      <c r="M540" s="408"/>
      <c r="N540" s="408"/>
      <c r="O540" s="408"/>
      <c r="P540" s="408"/>
      <c r="Q540" s="408"/>
      <c r="R540" s="408"/>
      <c r="S540" s="408"/>
      <c r="T540" s="408"/>
      <c r="U540" s="408"/>
      <c r="V540" s="408"/>
      <c r="W540" s="408"/>
      <c r="X540" s="408"/>
      <c r="Y540" s="408"/>
      <c r="Z540" s="408"/>
      <c r="AA540" s="408"/>
      <c r="AB540" s="408"/>
      <c r="AC540" s="408"/>
      <c r="AD540" s="408"/>
      <c r="AE540" s="408"/>
      <c r="AF540" s="408"/>
      <c r="AG540" s="408"/>
      <c r="AH540" s="408"/>
      <c r="AI540" s="408"/>
      <c r="AJ540" s="408"/>
      <c r="AK540" s="408"/>
      <c r="AL540" s="408"/>
      <c r="AM540" s="408"/>
      <c r="AN540" s="408"/>
      <c r="AO540" s="408"/>
      <c r="AP540" s="408"/>
      <c r="AQ540" s="408"/>
      <c r="AR540" s="408"/>
      <c r="AS540" s="408"/>
      <c r="AT540" s="408"/>
      <c r="AU540" s="408"/>
      <c r="AV540" s="408"/>
      <c r="AW540" s="408"/>
      <c r="AX540" s="408"/>
      <c r="AY540" s="408"/>
      <c r="AZ540" s="408"/>
      <c r="BA540" s="408"/>
      <c r="BB540" s="408"/>
      <c r="BC540" s="408"/>
      <c r="BD540" s="408"/>
      <c r="BE540" s="408"/>
      <c r="BF540" s="408"/>
      <c r="BG540" s="408"/>
      <c r="BH540" s="408"/>
      <c r="BI540" s="408"/>
      <c r="BJ540" s="408"/>
      <c r="BK540" s="408"/>
      <c r="BL540" s="408"/>
      <c r="BM540" s="408"/>
      <c r="BN540" s="408"/>
      <c r="BO540" s="408"/>
      <c r="BP540" s="408"/>
      <c r="BQ540" s="408"/>
      <c r="BR540" s="408"/>
      <c r="BS540" s="408"/>
      <c r="BT540" s="408"/>
      <c r="BU540" s="408"/>
      <c r="BV540" s="408"/>
      <c r="BW540" s="408"/>
      <c r="BX540" s="408"/>
      <c r="BY540" s="408"/>
      <c r="BZ540" s="408"/>
      <c r="CA540" s="408"/>
      <c r="CB540" s="408"/>
      <c r="CC540" s="408"/>
      <c r="CD540" s="408"/>
      <c r="CE540" s="408"/>
      <c r="CF540" s="408"/>
      <c r="CG540" s="408"/>
      <c r="CH540" s="408"/>
      <c r="CI540" s="408"/>
      <c r="CJ540" s="408"/>
      <c r="CK540" s="408"/>
      <c r="CL540" s="408"/>
      <c r="CM540" s="408"/>
      <c r="CN540" s="408"/>
    </row>
    <row r="541">
      <c r="A541" s="408"/>
      <c r="B541" s="408"/>
      <c r="C541" s="408"/>
      <c r="D541" s="408"/>
      <c r="E541" s="408"/>
      <c r="F541" s="408"/>
      <c r="G541" s="408"/>
      <c r="H541" s="408"/>
      <c r="I541" s="408"/>
      <c r="J541" s="408"/>
      <c r="K541" s="408"/>
      <c r="L541" s="408"/>
      <c r="M541" s="408"/>
      <c r="N541" s="408"/>
      <c r="O541" s="408"/>
      <c r="P541" s="408"/>
      <c r="Q541" s="408"/>
      <c r="R541" s="408"/>
      <c r="S541" s="408"/>
      <c r="T541" s="408"/>
      <c r="U541" s="408"/>
      <c r="V541" s="408"/>
      <c r="W541" s="408"/>
      <c r="X541" s="408"/>
      <c r="Y541" s="408"/>
      <c r="Z541" s="408"/>
      <c r="AA541" s="408"/>
      <c r="AB541" s="408"/>
      <c r="AC541" s="408"/>
      <c r="AD541" s="408"/>
      <c r="AE541" s="408"/>
      <c r="AF541" s="408"/>
      <c r="AG541" s="408"/>
      <c r="AH541" s="408"/>
      <c r="AI541" s="408"/>
      <c r="AJ541" s="408"/>
      <c r="AK541" s="408"/>
      <c r="AL541" s="408"/>
      <c r="AM541" s="408"/>
      <c r="AN541" s="408"/>
      <c r="AO541" s="408"/>
      <c r="AP541" s="408"/>
      <c r="AQ541" s="408"/>
      <c r="AR541" s="408"/>
      <c r="AS541" s="408"/>
      <c r="AT541" s="408"/>
      <c r="AU541" s="408"/>
      <c r="AV541" s="408"/>
      <c r="AW541" s="408"/>
      <c r="AX541" s="408"/>
      <c r="AY541" s="408"/>
      <c r="AZ541" s="408"/>
      <c r="BA541" s="408"/>
      <c r="BB541" s="408"/>
      <c r="BC541" s="408"/>
      <c r="BD541" s="408"/>
      <c r="BE541" s="408"/>
      <c r="BF541" s="408"/>
      <c r="BG541" s="408"/>
      <c r="BH541" s="408"/>
      <c r="BI541" s="408"/>
      <c r="BJ541" s="408"/>
      <c r="BK541" s="408"/>
      <c r="BL541" s="408"/>
      <c r="BM541" s="408"/>
      <c r="BN541" s="408"/>
      <c r="BO541" s="408"/>
      <c r="BP541" s="408"/>
      <c r="BQ541" s="408"/>
      <c r="BR541" s="408"/>
      <c r="BS541" s="408"/>
      <c r="BT541" s="408"/>
      <c r="BU541" s="408"/>
      <c r="BV541" s="408"/>
      <c r="BW541" s="408"/>
      <c r="BX541" s="408"/>
      <c r="BY541" s="408"/>
      <c r="BZ541" s="408"/>
      <c r="CA541" s="408"/>
      <c r="CB541" s="408"/>
      <c r="CC541" s="408"/>
      <c r="CD541" s="408"/>
      <c r="CE541" s="408"/>
      <c r="CF541" s="408"/>
      <c r="CG541" s="408"/>
      <c r="CH541" s="408"/>
      <c r="CI541" s="408"/>
      <c r="CJ541" s="408"/>
      <c r="CK541" s="408"/>
      <c r="CL541" s="408"/>
      <c r="CM541" s="408"/>
      <c r="CN541" s="408"/>
    </row>
    <row r="542">
      <c r="A542" s="408"/>
      <c r="B542" s="408"/>
      <c r="C542" s="408"/>
      <c r="D542" s="408"/>
      <c r="E542" s="408"/>
      <c r="F542" s="408"/>
      <c r="G542" s="408"/>
      <c r="H542" s="408"/>
      <c r="I542" s="408"/>
      <c r="J542" s="408"/>
      <c r="K542" s="408"/>
      <c r="L542" s="408"/>
      <c r="M542" s="408"/>
      <c r="N542" s="408"/>
      <c r="O542" s="408"/>
      <c r="P542" s="408"/>
      <c r="Q542" s="408"/>
      <c r="R542" s="408"/>
      <c r="S542" s="408"/>
      <c r="T542" s="408"/>
      <c r="U542" s="408"/>
      <c r="V542" s="408"/>
      <c r="W542" s="408"/>
      <c r="X542" s="408"/>
      <c r="Y542" s="408"/>
      <c r="Z542" s="408"/>
      <c r="AA542" s="408"/>
      <c r="AB542" s="408"/>
      <c r="AC542" s="408"/>
      <c r="AD542" s="408"/>
      <c r="AE542" s="408"/>
      <c r="AF542" s="408"/>
      <c r="AG542" s="408"/>
      <c r="AH542" s="408"/>
      <c r="AI542" s="408"/>
      <c r="AJ542" s="408"/>
      <c r="AK542" s="408"/>
      <c r="AL542" s="408"/>
      <c r="AM542" s="408"/>
      <c r="AN542" s="408"/>
      <c r="AO542" s="408"/>
      <c r="AP542" s="408"/>
      <c r="AQ542" s="408"/>
      <c r="AR542" s="408"/>
      <c r="AS542" s="408"/>
      <c r="AT542" s="408"/>
      <c r="AU542" s="408"/>
      <c r="AV542" s="408"/>
      <c r="AW542" s="408"/>
      <c r="AX542" s="408"/>
      <c r="AY542" s="408"/>
      <c r="AZ542" s="408"/>
      <c r="BA542" s="408"/>
      <c r="BB542" s="408"/>
      <c r="BC542" s="408"/>
      <c r="BD542" s="408"/>
      <c r="BE542" s="408"/>
      <c r="BF542" s="408"/>
      <c r="BG542" s="408"/>
      <c r="BH542" s="408"/>
      <c r="BI542" s="408"/>
      <c r="BJ542" s="408"/>
      <c r="BK542" s="408"/>
      <c r="BL542" s="408"/>
      <c r="BM542" s="408"/>
      <c r="BN542" s="408"/>
      <c r="BO542" s="408"/>
      <c r="BP542" s="408"/>
      <c r="BQ542" s="408"/>
      <c r="BR542" s="408"/>
      <c r="BS542" s="408"/>
      <c r="BT542" s="408"/>
      <c r="BU542" s="408"/>
      <c r="BV542" s="408"/>
      <c r="BW542" s="408"/>
      <c r="BX542" s="408"/>
      <c r="BY542" s="408"/>
      <c r="BZ542" s="408"/>
      <c r="CA542" s="408"/>
      <c r="CB542" s="408"/>
      <c r="CC542" s="408"/>
      <c r="CD542" s="408"/>
      <c r="CE542" s="408"/>
      <c r="CF542" s="408"/>
      <c r="CG542" s="408"/>
      <c r="CH542" s="408"/>
      <c r="CI542" s="408"/>
      <c r="CJ542" s="408"/>
      <c r="CK542" s="408"/>
      <c r="CL542" s="408"/>
      <c r="CM542" s="408"/>
      <c r="CN542" s="408"/>
    </row>
    <row r="543">
      <c r="A543" s="408"/>
      <c r="B543" s="408"/>
      <c r="C543" s="408"/>
      <c r="D543" s="408"/>
      <c r="E543" s="408"/>
      <c r="F543" s="408"/>
      <c r="G543" s="408"/>
      <c r="H543" s="408"/>
      <c r="I543" s="408"/>
      <c r="J543" s="408"/>
      <c r="K543" s="408"/>
      <c r="L543" s="408"/>
      <c r="M543" s="408"/>
      <c r="N543" s="408"/>
      <c r="O543" s="408"/>
      <c r="P543" s="408"/>
      <c r="Q543" s="408"/>
      <c r="R543" s="408"/>
      <c r="S543" s="408"/>
      <c r="T543" s="408"/>
      <c r="U543" s="408"/>
      <c r="V543" s="408"/>
      <c r="W543" s="408"/>
      <c r="X543" s="408"/>
      <c r="Y543" s="408"/>
      <c r="Z543" s="408"/>
      <c r="AA543" s="408"/>
      <c r="AB543" s="408"/>
      <c r="AC543" s="408"/>
      <c r="AD543" s="408"/>
      <c r="AE543" s="408"/>
      <c r="AF543" s="408"/>
      <c r="AG543" s="408"/>
      <c r="AH543" s="408"/>
      <c r="AI543" s="408"/>
      <c r="AJ543" s="408"/>
      <c r="AK543" s="408"/>
      <c r="AL543" s="408"/>
      <c r="AM543" s="408"/>
      <c r="AN543" s="408"/>
      <c r="AO543" s="408"/>
      <c r="AP543" s="408"/>
      <c r="AQ543" s="408"/>
      <c r="AR543" s="408"/>
      <c r="AS543" s="408"/>
      <c r="AT543" s="408"/>
      <c r="AU543" s="408"/>
      <c r="AV543" s="408"/>
      <c r="AW543" s="408"/>
      <c r="AX543" s="408"/>
      <c r="AY543" s="408"/>
      <c r="AZ543" s="408"/>
      <c r="BA543" s="408"/>
      <c r="BB543" s="408"/>
      <c r="BC543" s="408"/>
      <c r="BD543" s="408"/>
      <c r="BE543" s="408"/>
      <c r="BF543" s="408"/>
      <c r="BG543" s="408"/>
      <c r="BH543" s="408"/>
      <c r="BI543" s="408"/>
      <c r="BJ543" s="408"/>
      <c r="BK543" s="408"/>
      <c r="BL543" s="408"/>
      <c r="BM543" s="408"/>
      <c r="BN543" s="408"/>
      <c r="BO543" s="408"/>
      <c r="BP543" s="408"/>
      <c r="BQ543" s="408"/>
      <c r="BR543" s="408"/>
      <c r="BS543" s="408"/>
      <c r="BT543" s="408"/>
      <c r="BU543" s="408"/>
      <c r="BV543" s="408"/>
      <c r="BW543" s="408"/>
      <c r="BX543" s="408"/>
      <c r="BY543" s="408"/>
      <c r="BZ543" s="408"/>
      <c r="CA543" s="408"/>
      <c r="CB543" s="408"/>
      <c r="CC543" s="408"/>
      <c r="CD543" s="408"/>
      <c r="CE543" s="408"/>
      <c r="CF543" s="408"/>
      <c r="CG543" s="408"/>
      <c r="CH543" s="408"/>
      <c r="CI543" s="408"/>
      <c r="CJ543" s="408"/>
      <c r="CK543" s="408"/>
      <c r="CL543" s="408"/>
      <c r="CM543" s="408"/>
      <c r="CN543" s="408"/>
    </row>
    <row r="544">
      <c r="A544" s="408"/>
      <c r="B544" s="408"/>
      <c r="C544" s="408"/>
      <c r="D544" s="408"/>
      <c r="E544" s="408"/>
      <c r="F544" s="408"/>
      <c r="G544" s="408"/>
      <c r="H544" s="408"/>
      <c r="I544" s="408"/>
      <c r="J544" s="408"/>
      <c r="K544" s="408"/>
      <c r="L544" s="408"/>
      <c r="M544" s="408"/>
      <c r="N544" s="408"/>
      <c r="O544" s="408"/>
      <c r="P544" s="408"/>
      <c r="Q544" s="408"/>
      <c r="R544" s="408"/>
      <c r="S544" s="408"/>
      <c r="T544" s="408"/>
      <c r="U544" s="408"/>
      <c r="V544" s="408"/>
      <c r="W544" s="408"/>
      <c r="X544" s="408"/>
      <c r="Y544" s="408"/>
      <c r="Z544" s="408"/>
      <c r="AA544" s="408"/>
      <c r="AB544" s="408"/>
      <c r="AC544" s="408"/>
      <c r="AD544" s="408"/>
      <c r="AE544" s="408"/>
      <c r="AF544" s="408"/>
      <c r="AG544" s="408"/>
      <c r="AH544" s="408"/>
      <c r="AI544" s="408"/>
      <c r="AJ544" s="408"/>
      <c r="AK544" s="408"/>
      <c r="AL544" s="408"/>
      <c r="AM544" s="408"/>
      <c r="AN544" s="408"/>
      <c r="AO544" s="408"/>
      <c r="AP544" s="408"/>
      <c r="AQ544" s="408"/>
      <c r="AR544" s="408"/>
      <c r="AS544" s="408"/>
      <c r="AT544" s="408"/>
      <c r="AU544" s="408"/>
      <c r="AV544" s="408"/>
      <c r="AW544" s="408"/>
      <c r="AX544" s="408"/>
      <c r="AY544" s="408"/>
      <c r="AZ544" s="408"/>
      <c r="BA544" s="408"/>
      <c r="BB544" s="408"/>
      <c r="BC544" s="408"/>
      <c r="BD544" s="408"/>
      <c r="BE544" s="408"/>
      <c r="BF544" s="408"/>
      <c r="BG544" s="408"/>
      <c r="BH544" s="408"/>
      <c r="BI544" s="408"/>
      <c r="BJ544" s="408"/>
      <c r="BK544" s="408"/>
      <c r="BL544" s="408"/>
      <c r="BM544" s="408"/>
      <c r="BN544" s="408"/>
      <c r="BO544" s="408"/>
      <c r="BP544" s="408"/>
      <c r="BQ544" s="408"/>
      <c r="BR544" s="408"/>
      <c r="BS544" s="408"/>
      <c r="BT544" s="408"/>
      <c r="BU544" s="408"/>
      <c r="BV544" s="408"/>
      <c r="BW544" s="408"/>
      <c r="BX544" s="408"/>
      <c r="BY544" s="408"/>
      <c r="BZ544" s="408"/>
      <c r="CA544" s="408"/>
      <c r="CB544" s="408"/>
      <c r="CC544" s="408"/>
      <c r="CD544" s="408"/>
      <c r="CE544" s="408"/>
      <c r="CF544" s="408"/>
      <c r="CG544" s="408"/>
      <c r="CH544" s="408"/>
      <c r="CI544" s="408"/>
      <c r="CJ544" s="408"/>
      <c r="CK544" s="408"/>
      <c r="CL544" s="408"/>
      <c r="CM544" s="408"/>
      <c r="CN544" s="408"/>
    </row>
    <row r="545">
      <c r="A545" s="408"/>
      <c r="B545" s="408"/>
      <c r="C545" s="408"/>
      <c r="D545" s="408"/>
      <c r="E545" s="408"/>
      <c r="F545" s="408"/>
      <c r="G545" s="408"/>
      <c r="H545" s="408"/>
      <c r="I545" s="408"/>
      <c r="J545" s="408"/>
      <c r="K545" s="408"/>
      <c r="L545" s="408"/>
      <c r="M545" s="408"/>
      <c r="N545" s="408"/>
      <c r="O545" s="408"/>
      <c r="P545" s="408"/>
      <c r="Q545" s="408"/>
      <c r="R545" s="408"/>
      <c r="S545" s="408"/>
      <c r="T545" s="408"/>
      <c r="U545" s="408"/>
      <c r="V545" s="408"/>
      <c r="W545" s="408"/>
      <c r="X545" s="408"/>
      <c r="Y545" s="408"/>
      <c r="Z545" s="408"/>
      <c r="AA545" s="408"/>
      <c r="AB545" s="408"/>
      <c r="AC545" s="408"/>
      <c r="AD545" s="408"/>
      <c r="AE545" s="408"/>
      <c r="AF545" s="408"/>
      <c r="AG545" s="408"/>
      <c r="AH545" s="408"/>
      <c r="AI545" s="408"/>
      <c r="AJ545" s="408"/>
      <c r="AK545" s="408"/>
      <c r="AL545" s="408"/>
      <c r="AM545" s="408"/>
      <c r="AN545" s="408"/>
      <c r="AO545" s="408"/>
      <c r="AP545" s="408"/>
      <c r="AQ545" s="408"/>
      <c r="AR545" s="408"/>
      <c r="AS545" s="408"/>
      <c r="AT545" s="408"/>
      <c r="AU545" s="408"/>
      <c r="AV545" s="408"/>
      <c r="AW545" s="408"/>
      <c r="AX545" s="408"/>
      <c r="AY545" s="408"/>
      <c r="AZ545" s="408"/>
      <c r="BA545" s="408"/>
      <c r="BB545" s="408"/>
      <c r="BC545" s="408"/>
      <c r="BD545" s="408"/>
      <c r="BE545" s="408"/>
      <c r="BF545" s="408"/>
      <c r="BG545" s="408"/>
      <c r="BH545" s="408"/>
      <c r="BI545" s="408"/>
      <c r="BJ545" s="408"/>
      <c r="BK545" s="408"/>
      <c r="BL545" s="408"/>
      <c r="BM545" s="408"/>
      <c r="BN545" s="408"/>
      <c r="BO545" s="408"/>
      <c r="BP545" s="408"/>
      <c r="BQ545" s="408"/>
      <c r="BR545" s="408"/>
      <c r="BS545" s="408"/>
      <c r="BT545" s="408"/>
      <c r="BU545" s="408"/>
      <c r="BV545" s="408"/>
      <c r="BW545" s="408"/>
      <c r="BX545" s="408"/>
      <c r="BY545" s="408"/>
      <c r="BZ545" s="408"/>
      <c r="CA545" s="408"/>
      <c r="CB545" s="408"/>
      <c r="CC545" s="408"/>
      <c r="CD545" s="408"/>
      <c r="CE545" s="408"/>
      <c r="CF545" s="408"/>
      <c r="CG545" s="408"/>
      <c r="CH545" s="408"/>
      <c r="CI545" s="408"/>
      <c r="CJ545" s="408"/>
      <c r="CK545" s="408"/>
      <c r="CL545" s="408"/>
      <c r="CM545" s="408"/>
      <c r="CN545" s="408"/>
    </row>
    <row r="546">
      <c r="A546" s="408"/>
      <c r="B546" s="408"/>
      <c r="C546" s="408"/>
      <c r="D546" s="408"/>
      <c r="E546" s="408"/>
      <c r="F546" s="408"/>
      <c r="G546" s="408"/>
      <c r="H546" s="408"/>
      <c r="I546" s="408"/>
      <c r="J546" s="408"/>
      <c r="K546" s="408"/>
      <c r="L546" s="408"/>
      <c r="M546" s="408"/>
      <c r="N546" s="408"/>
      <c r="O546" s="408"/>
      <c r="P546" s="408"/>
      <c r="Q546" s="408"/>
      <c r="R546" s="408"/>
      <c r="S546" s="408"/>
      <c r="T546" s="408"/>
      <c r="U546" s="408"/>
      <c r="V546" s="408"/>
      <c r="W546" s="408"/>
      <c r="X546" s="408"/>
      <c r="Y546" s="408"/>
      <c r="Z546" s="408"/>
      <c r="AA546" s="408"/>
      <c r="AB546" s="408"/>
      <c r="AC546" s="408"/>
      <c r="AD546" s="408"/>
      <c r="AE546" s="408"/>
      <c r="AF546" s="408"/>
      <c r="AG546" s="408"/>
      <c r="AH546" s="408"/>
      <c r="AI546" s="408"/>
      <c r="AJ546" s="408"/>
      <c r="AK546" s="408"/>
      <c r="AL546" s="408"/>
      <c r="AM546" s="408"/>
      <c r="AN546" s="408"/>
      <c r="AO546" s="408"/>
      <c r="AP546" s="408"/>
      <c r="AQ546" s="408"/>
      <c r="AR546" s="408"/>
      <c r="AS546" s="408"/>
      <c r="AT546" s="408"/>
      <c r="AU546" s="408"/>
      <c r="AV546" s="408"/>
      <c r="AW546" s="408"/>
      <c r="AX546" s="408"/>
      <c r="AY546" s="408"/>
      <c r="AZ546" s="408"/>
      <c r="BA546" s="408"/>
      <c r="BB546" s="408"/>
      <c r="BC546" s="408"/>
      <c r="BD546" s="408"/>
      <c r="BE546" s="408"/>
      <c r="BF546" s="408"/>
      <c r="BG546" s="408"/>
      <c r="BH546" s="408"/>
      <c r="BI546" s="408"/>
      <c r="BJ546" s="408"/>
      <c r="BK546" s="408"/>
      <c r="BL546" s="408"/>
      <c r="BM546" s="408"/>
      <c r="BN546" s="408"/>
      <c r="BO546" s="408"/>
      <c r="BP546" s="408"/>
      <c r="BQ546" s="408"/>
      <c r="BR546" s="408"/>
      <c r="BS546" s="408"/>
      <c r="BT546" s="408"/>
      <c r="BU546" s="408"/>
      <c r="BV546" s="408"/>
      <c r="BW546" s="408"/>
      <c r="BX546" s="408"/>
      <c r="BY546" s="408"/>
      <c r="BZ546" s="408"/>
      <c r="CA546" s="408"/>
      <c r="CB546" s="408"/>
      <c r="CC546" s="408"/>
      <c r="CD546" s="408"/>
      <c r="CE546" s="408"/>
      <c r="CF546" s="408"/>
      <c r="CG546" s="408"/>
      <c r="CH546" s="408"/>
      <c r="CI546" s="408"/>
      <c r="CJ546" s="408"/>
      <c r="CK546" s="408"/>
      <c r="CL546" s="408"/>
      <c r="CM546" s="408"/>
      <c r="CN546" s="408"/>
    </row>
    <row r="547">
      <c r="A547" s="408"/>
      <c r="B547" s="408"/>
      <c r="C547" s="408"/>
      <c r="D547" s="408"/>
      <c r="E547" s="408"/>
      <c r="F547" s="408"/>
      <c r="G547" s="408"/>
      <c r="H547" s="408"/>
      <c r="I547" s="408"/>
      <c r="J547" s="408"/>
      <c r="K547" s="408"/>
      <c r="L547" s="408"/>
      <c r="M547" s="408"/>
      <c r="N547" s="408"/>
      <c r="O547" s="408"/>
      <c r="P547" s="408"/>
      <c r="Q547" s="408"/>
      <c r="R547" s="408"/>
      <c r="S547" s="408"/>
      <c r="T547" s="408"/>
      <c r="U547" s="408"/>
      <c r="V547" s="408"/>
      <c r="W547" s="408"/>
      <c r="X547" s="408"/>
      <c r="Y547" s="408"/>
      <c r="Z547" s="408"/>
      <c r="AA547" s="408"/>
      <c r="AB547" s="408"/>
      <c r="AC547" s="408"/>
      <c r="AD547" s="408"/>
      <c r="AE547" s="408"/>
      <c r="AF547" s="408"/>
      <c r="AG547" s="408"/>
      <c r="AH547" s="408"/>
      <c r="AI547" s="408"/>
      <c r="AJ547" s="408"/>
      <c r="AK547" s="408"/>
      <c r="AL547" s="408"/>
      <c r="AM547" s="408"/>
      <c r="AN547" s="408"/>
      <c r="AO547" s="408"/>
      <c r="AP547" s="408"/>
      <c r="AQ547" s="408"/>
      <c r="AR547" s="408"/>
      <c r="AS547" s="408"/>
      <c r="AT547" s="408"/>
      <c r="AU547" s="408"/>
      <c r="AV547" s="408"/>
      <c r="AW547" s="408"/>
      <c r="AX547" s="408"/>
      <c r="AY547" s="408"/>
      <c r="AZ547" s="408"/>
      <c r="BA547" s="408"/>
      <c r="BB547" s="408"/>
      <c r="BC547" s="408"/>
      <c r="BD547" s="408"/>
      <c r="BE547" s="408"/>
      <c r="BF547" s="408"/>
      <c r="BG547" s="408"/>
      <c r="BH547" s="408"/>
      <c r="BI547" s="408"/>
      <c r="BJ547" s="408"/>
      <c r="BK547" s="408"/>
      <c r="BL547" s="408"/>
      <c r="BM547" s="408"/>
      <c r="BN547" s="408"/>
      <c r="BO547" s="408"/>
      <c r="BP547" s="408"/>
      <c r="BQ547" s="408"/>
      <c r="BR547" s="408"/>
      <c r="BS547" s="408"/>
      <c r="BT547" s="408"/>
      <c r="BU547" s="408"/>
      <c r="BV547" s="408"/>
      <c r="BW547" s="408"/>
      <c r="BX547" s="408"/>
      <c r="BY547" s="408"/>
      <c r="BZ547" s="408"/>
      <c r="CA547" s="408"/>
      <c r="CB547" s="408"/>
      <c r="CC547" s="408"/>
      <c r="CD547" s="408"/>
      <c r="CE547" s="408"/>
      <c r="CF547" s="408"/>
      <c r="CG547" s="408"/>
      <c r="CH547" s="408"/>
      <c r="CI547" s="408"/>
      <c r="CJ547" s="408"/>
      <c r="CK547" s="408"/>
      <c r="CL547" s="408"/>
      <c r="CM547" s="408"/>
      <c r="CN547" s="408"/>
    </row>
    <row r="548">
      <c r="A548" s="408"/>
      <c r="B548" s="408"/>
      <c r="C548" s="408"/>
      <c r="D548" s="408"/>
      <c r="E548" s="408"/>
      <c r="F548" s="408"/>
      <c r="G548" s="408"/>
      <c r="H548" s="408"/>
      <c r="I548" s="408"/>
      <c r="J548" s="408"/>
      <c r="K548" s="408"/>
      <c r="L548" s="408"/>
      <c r="M548" s="408"/>
      <c r="N548" s="408"/>
      <c r="O548" s="408"/>
      <c r="P548" s="408"/>
      <c r="Q548" s="408"/>
      <c r="R548" s="408"/>
      <c r="S548" s="408"/>
      <c r="T548" s="408"/>
      <c r="U548" s="408"/>
      <c r="V548" s="408"/>
      <c r="W548" s="408"/>
      <c r="X548" s="408"/>
      <c r="Y548" s="408"/>
      <c r="Z548" s="408"/>
      <c r="AA548" s="408"/>
      <c r="AB548" s="408"/>
      <c r="AC548" s="408"/>
      <c r="AD548" s="408"/>
      <c r="AE548" s="408"/>
      <c r="AF548" s="408"/>
      <c r="AG548" s="408"/>
      <c r="AH548" s="408"/>
      <c r="AI548" s="408"/>
      <c r="AJ548" s="408"/>
      <c r="AK548" s="408"/>
      <c r="AL548" s="408"/>
      <c r="AM548" s="408"/>
      <c r="AN548" s="408"/>
      <c r="AO548" s="408"/>
      <c r="AP548" s="408"/>
      <c r="AQ548" s="408"/>
      <c r="AR548" s="408"/>
      <c r="AS548" s="408"/>
      <c r="AT548" s="408"/>
      <c r="AU548" s="408"/>
      <c r="AV548" s="408"/>
      <c r="AW548" s="408"/>
      <c r="AX548" s="408"/>
      <c r="AY548" s="408"/>
      <c r="AZ548" s="408"/>
      <c r="BA548" s="408"/>
      <c r="BB548" s="408"/>
      <c r="BC548" s="408"/>
      <c r="BD548" s="408"/>
      <c r="BE548" s="408"/>
      <c r="BF548" s="408"/>
      <c r="BG548" s="408"/>
      <c r="BH548" s="408"/>
      <c r="BI548" s="408"/>
      <c r="BJ548" s="408"/>
      <c r="BK548" s="408"/>
      <c r="BL548" s="408"/>
      <c r="BM548" s="408"/>
      <c r="BN548" s="408"/>
      <c r="BO548" s="408"/>
      <c r="BP548" s="408"/>
      <c r="BQ548" s="408"/>
      <c r="BR548" s="408"/>
      <c r="BS548" s="408"/>
      <c r="BT548" s="408"/>
      <c r="BU548" s="408"/>
      <c r="BV548" s="408"/>
      <c r="BW548" s="408"/>
      <c r="BX548" s="408"/>
      <c r="BY548" s="408"/>
      <c r="BZ548" s="408"/>
      <c r="CA548" s="408"/>
      <c r="CB548" s="408"/>
      <c r="CC548" s="408"/>
      <c r="CD548" s="408"/>
      <c r="CE548" s="408"/>
      <c r="CF548" s="408"/>
      <c r="CG548" s="408"/>
      <c r="CH548" s="408"/>
      <c r="CI548" s="408"/>
      <c r="CJ548" s="408"/>
      <c r="CK548" s="408"/>
      <c r="CL548" s="408"/>
      <c r="CM548" s="408"/>
      <c r="CN548" s="408"/>
    </row>
    <row r="549">
      <c r="A549" s="408"/>
      <c r="B549" s="408"/>
      <c r="C549" s="408"/>
      <c r="D549" s="408"/>
      <c r="E549" s="408"/>
      <c r="F549" s="408"/>
      <c r="G549" s="408"/>
      <c r="H549" s="408"/>
      <c r="I549" s="408"/>
      <c r="J549" s="408"/>
      <c r="K549" s="408"/>
      <c r="L549" s="408"/>
      <c r="M549" s="408"/>
      <c r="N549" s="408"/>
      <c r="O549" s="408"/>
      <c r="P549" s="408"/>
      <c r="Q549" s="408"/>
      <c r="R549" s="408"/>
      <c r="S549" s="408"/>
      <c r="T549" s="408"/>
      <c r="U549" s="408"/>
      <c r="V549" s="408"/>
      <c r="W549" s="408"/>
      <c r="X549" s="408"/>
      <c r="Y549" s="408"/>
      <c r="Z549" s="408"/>
      <c r="AA549" s="408"/>
      <c r="AB549" s="408"/>
      <c r="AC549" s="408"/>
      <c r="AD549" s="408"/>
      <c r="AE549" s="408"/>
      <c r="AF549" s="408"/>
      <c r="AG549" s="408"/>
      <c r="AH549" s="408"/>
      <c r="AI549" s="408"/>
      <c r="AJ549" s="408"/>
      <c r="AK549" s="408"/>
      <c r="AL549" s="408"/>
      <c r="AM549" s="408"/>
      <c r="AN549" s="408"/>
      <c r="AO549" s="408"/>
      <c r="AP549" s="408"/>
      <c r="AQ549" s="408"/>
      <c r="AR549" s="408"/>
      <c r="AS549" s="408"/>
      <c r="AT549" s="408"/>
      <c r="AU549" s="408"/>
      <c r="AV549" s="408"/>
      <c r="AW549" s="408"/>
      <c r="AX549" s="408"/>
      <c r="AY549" s="408"/>
      <c r="AZ549" s="408"/>
      <c r="BA549" s="408"/>
      <c r="BB549" s="408"/>
      <c r="BC549" s="408"/>
      <c r="BD549" s="408"/>
      <c r="BE549" s="408"/>
      <c r="BF549" s="408"/>
      <c r="BG549" s="408"/>
      <c r="BH549" s="408"/>
      <c r="BI549" s="408"/>
      <c r="BJ549" s="408"/>
      <c r="BK549" s="408"/>
      <c r="BL549" s="408"/>
      <c r="BM549" s="408"/>
      <c r="BN549" s="408"/>
      <c r="BO549" s="408"/>
      <c r="BP549" s="408"/>
      <c r="BQ549" s="408"/>
      <c r="BR549" s="408"/>
      <c r="BS549" s="408"/>
      <c r="BT549" s="408"/>
      <c r="BU549" s="408"/>
      <c r="BV549" s="408"/>
      <c r="BW549" s="408"/>
      <c r="BX549" s="408"/>
      <c r="BY549" s="408"/>
      <c r="BZ549" s="408"/>
      <c r="CA549" s="408"/>
      <c r="CB549" s="408"/>
      <c r="CC549" s="408"/>
      <c r="CD549" s="408"/>
      <c r="CE549" s="408"/>
      <c r="CF549" s="408"/>
      <c r="CG549" s="408"/>
      <c r="CH549" s="408"/>
      <c r="CI549" s="408"/>
      <c r="CJ549" s="408"/>
      <c r="CK549" s="408"/>
      <c r="CL549" s="408"/>
      <c r="CM549" s="408"/>
      <c r="CN549" s="408"/>
    </row>
    <row r="550">
      <c r="A550" s="408"/>
      <c r="B550" s="408"/>
      <c r="C550" s="408"/>
      <c r="D550" s="408"/>
      <c r="E550" s="408"/>
      <c r="F550" s="408"/>
      <c r="G550" s="408"/>
      <c r="H550" s="408"/>
      <c r="I550" s="408"/>
      <c r="J550" s="408"/>
      <c r="K550" s="408"/>
      <c r="L550" s="408"/>
      <c r="M550" s="408"/>
      <c r="N550" s="408"/>
      <c r="O550" s="408"/>
      <c r="P550" s="408"/>
      <c r="Q550" s="408"/>
      <c r="R550" s="408"/>
      <c r="S550" s="408"/>
      <c r="T550" s="408"/>
      <c r="U550" s="408"/>
      <c r="V550" s="408"/>
      <c r="W550" s="408"/>
      <c r="X550" s="408"/>
      <c r="Y550" s="408"/>
      <c r="Z550" s="408"/>
      <c r="AA550" s="408"/>
      <c r="AB550" s="408"/>
      <c r="AC550" s="408"/>
      <c r="AD550" s="408"/>
      <c r="AE550" s="408"/>
      <c r="AF550" s="408"/>
      <c r="AG550" s="408"/>
      <c r="AH550" s="408"/>
      <c r="AI550" s="408"/>
      <c r="AJ550" s="408"/>
      <c r="AK550" s="408"/>
      <c r="AL550" s="408"/>
      <c r="AM550" s="408"/>
      <c r="AN550" s="408"/>
      <c r="AO550" s="408"/>
      <c r="AP550" s="408"/>
      <c r="AQ550" s="408"/>
      <c r="AR550" s="408"/>
      <c r="AS550" s="408"/>
      <c r="AT550" s="408"/>
      <c r="AU550" s="408"/>
      <c r="AV550" s="408"/>
      <c r="AW550" s="408"/>
      <c r="AX550" s="408"/>
      <c r="AY550" s="408"/>
      <c r="AZ550" s="408"/>
      <c r="BA550" s="408"/>
      <c r="BB550" s="408"/>
      <c r="BC550" s="408"/>
      <c r="BD550" s="408"/>
      <c r="BE550" s="408"/>
      <c r="BF550" s="408"/>
      <c r="BG550" s="408"/>
      <c r="BH550" s="408"/>
      <c r="BI550" s="408"/>
      <c r="BJ550" s="408"/>
      <c r="BK550" s="408"/>
      <c r="BL550" s="408"/>
      <c r="BM550" s="408"/>
      <c r="BN550" s="408"/>
      <c r="BO550" s="408"/>
      <c r="BP550" s="408"/>
      <c r="BQ550" s="408"/>
      <c r="BR550" s="408"/>
      <c r="BS550" s="408"/>
      <c r="BT550" s="408"/>
      <c r="BU550" s="408"/>
      <c r="BV550" s="408"/>
      <c r="BW550" s="408"/>
      <c r="BX550" s="408"/>
      <c r="BY550" s="408"/>
      <c r="BZ550" s="408"/>
      <c r="CA550" s="408"/>
      <c r="CB550" s="408"/>
      <c r="CC550" s="408"/>
      <c r="CD550" s="408"/>
      <c r="CE550" s="408"/>
      <c r="CF550" s="408"/>
      <c r="CG550" s="408"/>
      <c r="CH550" s="408"/>
      <c r="CI550" s="408"/>
      <c r="CJ550" s="408"/>
      <c r="CK550" s="408"/>
      <c r="CL550" s="408"/>
      <c r="CM550" s="408"/>
      <c r="CN550" s="408"/>
    </row>
    <row r="551">
      <c r="A551" s="408"/>
      <c r="B551" s="408"/>
      <c r="C551" s="408"/>
      <c r="D551" s="408"/>
      <c r="E551" s="408"/>
      <c r="F551" s="408"/>
      <c r="G551" s="408"/>
      <c r="H551" s="408"/>
      <c r="I551" s="408"/>
      <c r="J551" s="408"/>
      <c r="K551" s="408"/>
      <c r="L551" s="408"/>
      <c r="M551" s="408"/>
      <c r="N551" s="408"/>
      <c r="O551" s="408"/>
      <c r="P551" s="408"/>
      <c r="Q551" s="408"/>
      <c r="R551" s="408"/>
      <c r="S551" s="408"/>
      <c r="T551" s="408"/>
      <c r="U551" s="408"/>
      <c r="V551" s="408"/>
      <c r="W551" s="408"/>
      <c r="X551" s="408"/>
      <c r="Y551" s="408"/>
      <c r="Z551" s="408"/>
      <c r="AA551" s="408"/>
      <c r="AB551" s="408"/>
      <c r="AC551" s="408"/>
      <c r="AD551" s="408"/>
      <c r="AE551" s="408"/>
      <c r="AF551" s="408"/>
      <c r="AG551" s="408"/>
      <c r="AH551" s="408"/>
      <c r="AI551" s="408"/>
      <c r="AJ551" s="408"/>
      <c r="AK551" s="408"/>
      <c r="AL551" s="408"/>
      <c r="AM551" s="408"/>
      <c r="AN551" s="408"/>
      <c r="AO551" s="408"/>
      <c r="AP551" s="408"/>
      <c r="AQ551" s="408"/>
      <c r="AR551" s="408"/>
      <c r="AS551" s="408"/>
      <c r="AT551" s="408"/>
      <c r="AU551" s="408"/>
      <c r="AV551" s="408"/>
      <c r="AW551" s="408"/>
      <c r="AX551" s="408"/>
      <c r="AY551" s="408"/>
      <c r="AZ551" s="408"/>
      <c r="BA551" s="408"/>
      <c r="BB551" s="408"/>
      <c r="BC551" s="408"/>
      <c r="BD551" s="408"/>
      <c r="BE551" s="408"/>
      <c r="BF551" s="408"/>
      <c r="BG551" s="408"/>
      <c r="BH551" s="408"/>
      <c r="BI551" s="408"/>
      <c r="BJ551" s="408"/>
      <c r="BK551" s="408"/>
      <c r="BL551" s="408"/>
      <c r="BM551" s="408"/>
      <c r="BN551" s="408"/>
      <c r="BO551" s="408"/>
      <c r="BP551" s="408"/>
      <c r="BQ551" s="408"/>
      <c r="BR551" s="408"/>
      <c r="BS551" s="408"/>
      <c r="BT551" s="408"/>
      <c r="BU551" s="408"/>
      <c r="BV551" s="408"/>
      <c r="BW551" s="408"/>
      <c r="BX551" s="408"/>
      <c r="BY551" s="408"/>
      <c r="BZ551" s="408"/>
      <c r="CA551" s="408"/>
      <c r="CB551" s="408"/>
      <c r="CC551" s="408"/>
      <c r="CD551" s="408"/>
      <c r="CE551" s="408"/>
      <c r="CF551" s="408"/>
      <c r="CG551" s="408"/>
      <c r="CH551" s="408"/>
      <c r="CI551" s="408"/>
      <c r="CJ551" s="408"/>
      <c r="CK551" s="408"/>
      <c r="CL551" s="408"/>
      <c r="CM551" s="408"/>
      <c r="CN551" s="408"/>
    </row>
    <row r="552">
      <c r="A552" s="408"/>
      <c r="B552" s="408"/>
      <c r="C552" s="408"/>
      <c r="D552" s="408"/>
      <c r="E552" s="408"/>
      <c r="F552" s="408"/>
      <c r="G552" s="408"/>
      <c r="H552" s="408"/>
      <c r="I552" s="408"/>
      <c r="J552" s="408"/>
      <c r="K552" s="408"/>
      <c r="L552" s="408"/>
      <c r="M552" s="408"/>
      <c r="N552" s="408"/>
      <c r="O552" s="408"/>
      <c r="P552" s="408"/>
      <c r="Q552" s="408"/>
      <c r="R552" s="408"/>
      <c r="S552" s="408"/>
      <c r="T552" s="408"/>
      <c r="U552" s="408"/>
      <c r="V552" s="408"/>
      <c r="W552" s="408"/>
      <c r="X552" s="408"/>
      <c r="Y552" s="408"/>
      <c r="Z552" s="408"/>
      <c r="AA552" s="408"/>
      <c r="AB552" s="408"/>
      <c r="AC552" s="408"/>
      <c r="AD552" s="408"/>
      <c r="AE552" s="408"/>
      <c r="AF552" s="408"/>
      <c r="AG552" s="408"/>
      <c r="AH552" s="408"/>
      <c r="AI552" s="408"/>
      <c r="AJ552" s="408"/>
      <c r="AK552" s="408"/>
      <c r="AL552" s="408"/>
      <c r="AM552" s="408"/>
      <c r="AN552" s="408"/>
      <c r="AO552" s="408"/>
      <c r="AP552" s="408"/>
      <c r="AQ552" s="408"/>
      <c r="AR552" s="408"/>
      <c r="AS552" s="408"/>
      <c r="AT552" s="408"/>
      <c r="AU552" s="408"/>
      <c r="AV552" s="408"/>
      <c r="AW552" s="408"/>
      <c r="AX552" s="408"/>
      <c r="AY552" s="408"/>
      <c r="AZ552" s="408"/>
      <c r="BA552" s="408"/>
      <c r="BB552" s="408"/>
      <c r="BC552" s="408"/>
      <c r="BD552" s="408"/>
      <c r="BE552" s="408"/>
      <c r="BF552" s="408"/>
      <c r="BG552" s="408"/>
      <c r="BH552" s="408"/>
      <c r="BI552" s="408"/>
      <c r="BJ552" s="408"/>
      <c r="BK552" s="408"/>
      <c r="BL552" s="408"/>
      <c r="BM552" s="408"/>
      <c r="BN552" s="408"/>
      <c r="BO552" s="408"/>
      <c r="BP552" s="408"/>
      <c r="BQ552" s="408"/>
      <c r="BR552" s="408"/>
      <c r="BS552" s="408"/>
      <c r="BT552" s="408"/>
      <c r="BU552" s="408"/>
      <c r="BV552" s="408"/>
      <c r="BW552" s="408"/>
      <c r="BX552" s="408"/>
      <c r="BY552" s="408"/>
      <c r="BZ552" s="408"/>
      <c r="CA552" s="408"/>
      <c r="CB552" s="408"/>
      <c r="CC552" s="408"/>
      <c r="CD552" s="408"/>
      <c r="CE552" s="408"/>
      <c r="CF552" s="408"/>
      <c r="CG552" s="408"/>
      <c r="CH552" s="408"/>
      <c r="CI552" s="408"/>
      <c r="CJ552" s="408"/>
      <c r="CK552" s="408"/>
      <c r="CL552" s="408"/>
      <c r="CM552" s="408"/>
      <c r="CN552" s="408"/>
    </row>
    <row r="553">
      <c r="A553" s="408"/>
      <c r="B553" s="408"/>
      <c r="C553" s="408"/>
      <c r="D553" s="408"/>
      <c r="E553" s="408"/>
      <c r="F553" s="408"/>
      <c r="G553" s="408"/>
      <c r="H553" s="408"/>
      <c r="I553" s="408"/>
      <c r="J553" s="408"/>
      <c r="K553" s="408"/>
      <c r="L553" s="408"/>
      <c r="M553" s="408"/>
      <c r="N553" s="408"/>
      <c r="O553" s="408"/>
      <c r="P553" s="408"/>
      <c r="Q553" s="408"/>
      <c r="R553" s="408"/>
      <c r="S553" s="408"/>
      <c r="T553" s="408"/>
      <c r="U553" s="408"/>
      <c r="V553" s="408"/>
      <c r="W553" s="408"/>
      <c r="X553" s="408"/>
      <c r="Y553" s="408"/>
      <c r="Z553" s="408"/>
      <c r="AA553" s="408"/>
      <c r="AB553" s="408"/>
      <c r="AC553" s="408"/>
      <c r="AD553" s="408"/>
      <c r="AE553" s="408"/>
      <c r="AF553" s="408"/>
      <c r="AG553" s="408"/>
      <c r="AH553" s="408"/>
      <c r="AI553" s="408"/>
      <c r="AJ553" s="408"/>
      <c r="AK553" s="408"/>
      <c r="AL553" s="408"/>
      <c r="AM553" s="408"/>
      <c r="AN553" s="408"/>
      <c r="AO553" s="408"/>
      <c r="AP553" s="408"/>
      <c r="AQ553" s="408"/>
      <c r="AR553" s="408"/>
      <c r="AS553" s="408"/>
      <c r="AT553" s="408"/>
      <c r="AU553" s="408"/>
      <c r="AV553" s="408"/>
      <c r="AW553" s="408"/>
      <c r="AX553" s="408"/>
      <c r="AY553" s="408"/>
      <c r="AZ553" s="408"/>
      <c r="BA553" s="408"/>
      <c r="BB553" s="408"/>
      <c r="BC553" s="408"/>
      <c r="BD553" s="408"/>
      <c r="BE553" s="408"/>
      <c r="BF553" s="408"/>
      <c r="BG553" s="408"/>
      <c r="BH553" s="408"/>
      <c r="BI553" s="408"/>
      <c r="BJ553" s="408"/>
      <c r="BK553" s="408"/>
      <c r="BL553" s="408"/>
      <c r="BM553" s="408"/>
      <c r="BN553" s="408"/>
      <c r="BO553" s="408"/>
      <c r="BP553" s="408"/>
      <c r="BQ553" s="408"/>
      <c r="BR553" s="408"/>
      <c r="BS553" s="408"/>
      <c r="BT553" s="408"/>
      <c r="BU553" s="408"/>
      <c r="BV553" s="408"/>
      <c r="BW553" s="408"/>
      <c r="BX553" s="408"/>
      <c r="BY553" s="408"/>
      <c r="BZ553" s="408"/>
      <c r="CA553" s="408"/>
      <c r="CB553" s="408"/>
      <c r="CC553" s="408"/>
      <c r="CD553" s="408"/>
      <c r="CE553" s="408"/>
      <c r="CF553" s="408"/>
      <c r="CG553" s="408"/>
      <c r="CH553" s="408"/>
      <c r="CI553" s="408"/>
      <c r="CJ553" s="408"/>
      <c r="CK553" s="408"/>
      <c r="CL553" s="408"/>
      <c r="CM553" s="408"/>
      <c r="CN553" s="408"/>
    </row>
    <row r="554">
      <c r="A554" s="408"/>
      <c r="B554" s="408"/>
      <c r="C554" s="408"/>
      <c r="D554" s="408"/>
      <c r="E554" s="408"/>
      <c r="F554" s="408"/>
      <c r="G554" s="408"/>
      <c r="H554" s="408"/>
      <c r="I554" s="408"/>
      <c r="J554" s="408"/>
      <c r="K554" s="408"/>
      <c r="L554" s="408"/>
      <c r="M554" s="408"/>
      <c r="N554" s="408"/>
      <c r="O554" s="408"/>
      <c r="P554" s="408"/>
      <c r="Q554" s="408"/>
      <c r="R554" s="408"/>
      <c r="S554" s="408"/>
      <c r="T554" s="408"/>
      <c r="U554" s="408"/>
      <c r="V554" s="408"/>
      <c r="W554" s="408"/>
      <c r="X554" s="408"/>
      <c r="Y554" s="408"/>
      <c r="Z554" s="408"/>
      <c r="AA554" s="408"/>
      <c r="AB554" s="408"/>
      <c r="AC554" s="408"/>
      <c r="AD554" s="408"/>
      <c r="AE554" s="408"/>
      <c r="AF554" s="408"/>
      <c r="AG554" s="408"/>
      <c r="AH554" s="408"/>
      <c r="AI554" s="408"/>
      <c r="AJ554" s="408"/>
      <c r="AK554" s="408"/>
      <c r="AL554" s="408"/>
      <c r="AM554" s="408"/>
      <c r="AN554" s="408"/>
      <c r="AO554" s="408"/>
      <c r="AP554" s="408"/>
      <c r="AQ554" s="408"/>
      <c r="AR554" s="408"/>
      <c r="AS554" s="408"/>
      <c r="AT554" s="408"/>
      <c r="AU554" s="408"/>
      <c r="AV554" s="408"/>
      <c r="AW554" s="408"/>
      <c r="AX554" s="408"/>
      <c r="AY554" s="408"/>
      <c r="AZ554" s="408"/>
      <c r="BA554" s="408"/>
      <c r="BB554" s="408"/>
      <c r="BC554" s="408"/>
      <c r="BD554" s="408"/>
      <c r="BE554" s="408"/>
      <c r="BF554" s="408"/>
      <c r="BG554" s="408"/>
      <c r="BH554" s="408"/>
      <c r="BI554" s="408"/>
      <c r="BJ554" s="408"/>
      <c r="BK554" s="408"/>
      <c r="BL554" s="408"/>
      <c r="BM554" s="408"/>
      <c r="BN554" s="408"/>
      <c r="BO554" s="408"/>
      <c r="BP554" s="408"/>
      <c r="BQ554" s="408"/>
      <c r="BR554" s="408"/>
      <c r="BS554" s="408"/>
      <c r="BT554" s="408"/>
      <c r="BU554" s="408"/>
      <c r="BV554" s="408"/>
      <c r="BW554" s="408"/>
      <c r="BX554" s="408"/>
      <c r="BY554" s="408"/>
      <c r="BZ554" s="408"/>
      <c r="CA554" s="408"/>
      <c r="CB554" s="408"/>
      <c r="CC554" s="408"/>
      <c r="CD554" s="408"/>
      <c r="CE554" s="408"/>
      <c r="CF554" s="408"/>
      <c r="CG554" s="408"/>
      <c r="CH554" s="408"/>
      <c r="CI554" s="408"/>
      <c r="CJ554" s="408"/>
      <c r="CK554" s="408"/>
      <c r="CL554" s="408"/>
      <c r="CM554" s="408"/>
      <c r="CN554" s="408"/>
    </row>
    <row r="555">
      <c r="A555" s="408"/>
      <c r="B555" s="408"/>
      <c r="C555" s="408"/>
      <c r="D555" s="408"/>
      <c r="E555" s="408"/>
      <c r="F555" s="408"/>
      <c r="G555" s="408"/>
      <c r="H555" s="408"/>
      <c r="I555" s="408"/>
      <c r="J555" s="408"/>
      <c r="K555" s="408"/>
      <c r="L555" s="408"/>
      <c r="M555" s="408"/>
      <c r="N555" s="408"/>
      <c r="O555" s="408"/>
      <c r="P555" s="408"/>
      <c r="Q555" s="408"/>
      <c r="R555" s="408"/>
      <c r="S555" s="408"/>
      <c r="T555" s="408"/>
      <c r="U555" s="408"/>
      <c r="V555" s="408"/>
      <c r="W555" s="408"/>
      <c r="X555" s="408"/>
      <c r="Y555" s="408"/>
      <c r="Z555" s="408"/>
      <c r="AA555" s="408"/>
      <c r="AB555" s="408"/>
      <c r="AC555" s="408"/>
      <c r="AD555" s="408"/>
      <c r="AE555" s="408"/>
      <c r="AF555" s="408"/>
      <c r="AG555" s="408"/>
      <c r="AH555" s="408"/>
      <c r="AI555" s="408"/>
      <c r="AJ555" s="408"/>
      <c r="AK555" s="408"/>
      <c r="AL555" s="408"/>
      <c r="AM555" s="408"/>
      <c r="AN555" s="408"/>
      <c r="AO555" s="408"/>
      <c r="AP555" s="408"/>
      <c r="AQ555" s="408"/>
      <c r="AR555" s="408"/>
      <c r="AS555" s="408"/>
      <c r="AT555" s="408"/>
      <c r="AU555" s="408"/>
      <c r="AV555" s="408"/>
      <c r="AW555" s="408"/>
      <c r="AX555" s="408"/>
      <c r="AY555" s="408"/>
      <c r="AZ555" s="408"/>
      <c r="BA555" s="408"/>
      <c r="BB555" s="408"/>
      <c r="BC555" s="408"/>
      <c r="BD555" s="408"/>
      <c r="BE555" s="408"/>
      <c r="BF555" s="408"/>
      <c r="BG555" s="408"/>
      <c r="BH555" s="408"/>
      <c r="BI555" s="408"/>
      <c r="BJ555" s="408"/>
      <c r="BK555" s="408"/>
      <c r="BL555" s="408"/>
      <c r="BM555" s="408"/>
      <c r="BN555" s="408"/>
      <c r="BO555" s="408"/>
      <c r="BP555" s="408"/>
      <c r="BQ555" s="408"/>
      <c r="BR555" s="408"/>
      <c r="BS555" s="408"/>
      <c r="BT555" s="408"/>
      <c r="BU555" s="408"/>
      <c r="BV555" s="408"/>
      <c r="BW555" s="408"/>
      <c r="BX555" s="408"/>
      <c r="BY555" s="408"/>
      <c r="BZ555" s="408"/>
      <c r="CA555" s="408"/>
      <c r="CB555" s="408"/>
      <c r="CC555" s="408"/>
      <c r="CD555" s="408"/>
      <c r="CE555" s="408"/>
      <c r="CF555" s="408"/>
      <c r="CG555" s="408"/>
      <c r="CH555" s="408"/>
      <c r="CI555" s="408"/>
      <c r="CJ555" s="408"/>
      <c r="CK555" s="408"/>
      <c r="CL555" s="408"/>
      <c r="CM555" s="408"/>
      <c r="CN555" s="408"/>
    </row>
    <row r="556">
      <c r="A556" s="408"/>
      <c r="B556" s="408"/>
      <c r="C556" s="408"/>
      <c r="D556" s="408"/>
      <c r="E556" s="408"/>
      <c r="F556" s="408"/>
      <c r="G556" s="408"/>
      <c r="H556" s="408"/>
      <c r="I556" s="408"/>
      <c r="J556" s="408"/>
      <c r="K556" s="408"/>
      <c r="L556" s="408"/>
      <c r="M556" s="408"/>
      <c r="N556" s="408"/>
      <c r="O556" s="408"/>
      <c r="P556" s="408"/>
      <c r="Q556" s="408"/>
      <c r="R556" s="408"/>
      <c r="S556" s="408"/>
      <c r="T556" s="408"/>
      <c r="U556" s="408"/>
      <c r="V556" s="408"/>
      <c r="W556" s="408"/>
      <c r="X556" s="408"/>
      <c r="Y556" s="408"/>
      <c r="Z556" s="408"/>
      <c r="AA556" s="408"/>
      <c r="AB556" s="408"/>
      <c r="AC556" s="408"/>
      <c r="AD556" s="408"/>
      <c r="AE556" s="408"/>
      <c r="AF556" s="408"/>
      <c r="AG556" s="408"/>
      <c r="AH556" s="408"/>
      <c r="AI556" s="408"/>
      <c r="AJ556" s="408"/>
      <c r="AK556" s="408"/>
      <c r="AL556" s="408"/>
      <c r="AM556" s="408"/>
      <c r="AN556" s="408"/>
      <c r="AO556" s="408"/>
      <c r="AP556" s="408"/>
      <c r="AQ556" s="408"/>
      <c r="AR556" s="408"/>
      <c r="AS556" s="408"/>
      <c r="AT556" s="408"/>
      <c r="AU556" s="408"/>
      <c r="AV556" s="408"/>
      <c r="AW556" s="408"/>
      <c r="AX556" s="408"/>
      <c r="AY556" s="408"/>
      <c r="AZ556" s="408"/>
      <c r="BA556" s="408"/>
      <c r="BB556" s="408"/>
      <c r="BC556" s="408"/>
      <c r="BD556" s="408"/>
      <c r="BE556" s="408"/>
      <c r="BF556" s="408"/>
      <c r="BG556" s="408"/>
      <c r="BH556" s="408"/>
      <c r="BI556" s="408"/>
      <c r="BJ556" s="408"/>
      <c r="BK556" s="408"/>
      <c r="BL556" s="408"/>
      <c r="BM556" s="408"/>
      <c r="BN556" s="408"/>
      <c r="BO556" s="408"/>
      <c r="BP556" s="408"/>
      <c r="BQ556" s="408"/>
      <c r="BR556" s="408"/>
      <c r="BS556" s="408"/>
      <c r="BT556" s="408"/>
      <c r="BU556" s="408"/>
      <c r="BV556" s="408"/>
      <c r="BW556" s="408"/>
      <c r="BX556" s="408"/>
      <c r="BY556" s="408"/>
      <c r="BZ556" s="408"/>
      <c r="CA556" s="408"/>
      <c r="CB556" s="408"/>
      <c r="CC556" s="408"/>
      <c r="CD556" s="408"/>
      <c r="CE556" s="408"/>
      <c r="CF556" s="408"/>
      <c r="CG556" s="408"/>
      <c r="CH556" s="408"/>
      <c r="CI556" s="408"/>
      <c r="CJ556" s="408"/>
      <c r="CK556" s="408"/>
      <c r="CL556" s="408"/>
      <c r="CM556" s="408"/>
      <c r="CN556" s="408"/>
    </row>
    <row r="557">
      <c r="A557" s="408"/>
      <c r="B557" s="408"/>
      <c r="C557" s="408"/>
      <c r="D557" s="408"/>
      <c r="E557" s="408"/>
      <c r="F557" s="408"/>
      <c r="G557" s="408"/>
      <c r="H557" s="408"/>
      <c r="I557" s="408"/>
      <c r="J557" s="408"/>
      <c r="K557" s="408"/>
      <c r="L557" s="408"/>
      <c r="M557" s="408"/>
      <c r="N557" s="408"/>
      <c r="O557" s="408"/>
      <c r="P557" s="408"/>
      <c r="Q557" s="408"/>
      <c r="R557" s="408"/>
      <c r="S557" s="408"/>
      <c r="T557" s="408"/>
      <c r="U557" s="408"/>
      <c r="V557" s="408"/>
      <c r="W557" s="408"/>
      <c r="X557" s="408"/>
      <c r="Y557" s="408"/>
      <c r="Z557" s="408"/>
      <c r="AA557" s="408"/>
      <c r="AB557" s="408"/>
      <c r="AC557" s="408"/>
      <c r="AD557" s="408"/>
      <c r="AE557" s="408"/>
      <c r="AF557" s="408"/>
      <c r="AG557" s="408"/>
      <c r="AH557" s="408"/>
      <c r="AI557" s="408"/>
      <c r="AJ557" s="408"/>
      <c r="AK557" s="408"/>
      <c r="AL557" s="408"/>
      <c r="AM557" s="408"/>
      <c r="AN557" s="408"/>
      <c r="AO557" s="408"/>
      <c r="AP557" s="408"/>
      <c r="AQ557" s="408"/>
      <c r="AR557" s="408"/>
      <c r="AS557" s="408"/>
      <c r="AT557" s="408"/>
      <c r="AU557" s="408"/>
      <c r="AV557" s="408"/>
      <c r="AW557" s="408"/>
      <c r="AX557" s="408"/>
      <c r="AY557" s="408"/>
      <c r="AZ557" s="408"/>
      <c r="BA557" s="408"/>
      <c r="BB557" s="408"/>
      <c r="BC557" s="408"/>
      <c r="BD557" s="408"/>
      <c r="BE557" s="408"/>
      <c r="BF557" s="408"/>
      <c r="BG557" s="408"/>
      <c r="BH557" s="408"/>
      <c r="BI557" s="408"/>
      <c r="BJ557" s="408"/>
      <c r="BK557" s="408"/>
      <c r="BL557" s="408"/>
      <c r="BM557" s="408"/>
      <c r="BN557" s="408"/>
      <c r="BO557" s="408"/>
      <c r="BP557" s="408"/>
      <c r="BQ557" s="408"/>
      <c r="BR557" s="408"/>
      <c r="BS557" s="408"/>
      <c r="BT557" s="408"/>
      <c r="BU557" s="408"/>
      <c r="BV557" s="408"/>
      <c r="BW557" s="408"/>
      <c r="BX557" s="408"/>
      <c r="BY557" s="408"/>
      <c r="BZ557" s="408"/>
      <c r="CA557" s="408"/>
      <c r="CB557" s="408"/>
      <c r="CC557" s="408"/>
      <c r="CD557" s="408"/>
      <c r="CE557" s="408"/>
      <c r="CF557" s="408"/>
      <c r="CG557" s="408"/>
      <c r="CH557" s="408"/>
      <c r="CI557" s="408"/>
      <c r="CJ557" s="408"/>
      <c r="CK557" s="408"/>
      <c r="CL557" s="408"/>
      <c r="CM557" s="408"/>
      <c r="CN557" s="408"/>
    </row>
    <row r="558">
      <c r="A558" s="408"/>
      <c r="B558" s="408"/>
      <c r="C558" s="408"/>
      <c r="D558" s="408"/>
      <c r="E558" s="408"/>
      <c r="F558" s="408"/>
      <c r="G558" s="408"/>
      <c r="H558" s="408"/>
      <c r="I558" s="408"/>
      <c r="J558" s="408"/>
      <c r="K558" s="408"/>
      <c r="L558" s="408"/>
      <c r="M558" s="408"/>
      <c r="N558" s="408"/>
      <c r="O558" s="408"/>
      <c r="P558" s="408"/>
      <c r="Q558" s="408"/>
      <c r="R558" s="408"/>
      <c r="S558" s="408"/>
      <c r="T558" s="408"/>
      <c r="U558" s="408"/>
      <c r="V558" s="408"/>
      <c r="W558" s="408"/>
      <c r="X558" s="408"/>
      <c r="Y558" s="408"/>
      <c r="Z558" s="408"/>
      <c r="AA558" s="408"/>
      <c r="AB558" s="408"/>
      <c r="AC558" s="408"/>
      <c r="AD558" s="408"/>
      <c r="AE558" s="408"/>
      <c r="AF558" s="408"/>
      <c r="AG558" s="408"/>
      <c r="AH558" s="408"/>
      <c r="AI558" s="408"/>
      <c r="AJ558" s="408"/>
      <c r="AK558" s="408"/>
      <c r="AL558" s="408"/>
      <c r="AM558" s="408"/>
      <c r="AN558" s="408"/>
      <c r="AO558" s="408"/>
      <c r="AP558" s="408"/>
      <c r="AQ558" s="408"/>
      <c r="AR558" s="408"/>
      <c r="AS558" s="408"/>
      <c r="AT558" s="408"/>
      <c r="AU558" s="408"/>
      <c r="AV558" s="408"/>
      <c r="AW558" s="408"/>
      <c r="AX558" s="408"/>
      <c r="AY558" s="408"/>
      <c r="AZ558" s="408"/>
      <c r="BA558" s="408"/>
      <c r="BB558" s="408"/>
      <c r="BC558" s="408"/>
      <c r="BD558" s="408"/>
      <c r="BE558" s="408"/>
      <c r="BF558" s="408"/>
      <c r="BG558" s="408"/>
      <c r="BH558" s="408"/>
      <c r="BI558" s="408"/>
      <c r="BJ558" s="408"/>
      <c r="BK558" s="408"/>
      <c r="BL558" s="408"/>
      <c r="BM558" s="408"/>
      <c r="BN558" s="408"/>
      <c r="BO558" s="408"/>
      <c r="BP558" s="408"/>
      <c r="BQ558" s="408"/>
      <c r="BR558" s="408"/>
      <c r="BS558" s="408"/>
      <c r="BT558" s="408"/>
      <c r="BU558" s="408"/>
      <c r="BV558" s="408"/>
      <c r="BW558" s="408"/>
      <c r="BX558" s="408"/>
      <c r="BY558" s="408"/>
      <c r="BZ558" s="408"/>
      <c r="CA558" s="408"/>
      <c r="CB558" s="408"/>
      <c r="CC558" s="408"/>
      <c r="CD558" s="408"/>
      <c r="CE558" s="408"/>
      <c r="CF558" s="408"/>
      <c r="CG558" s="408"/>
      <c r="CH558" s="408"/>
      <c r="CI558" s="408"/>
      <c r="CJ558" s="408"/>
      <c r="CK558" s="408"/>
      <c r="CL558" s="408"/>
      <c r="CM558" s="408"/>
      <c r="CN558" s="408"/>
    </row>
    <row r="559">
      <c r="A559" s="408"/>
      <c r="B559" s="408"/>
      <c r="C559" s="408"/>
      <c r="D559" s="408"/>
      <c r="E559" s="408"/>
      <c r="F559" s="408"/>
      <c r="G559" s="408"/>
      <c r="H559" s="408"/>
      <c r="I559" s="408"/>
      <c r="J559" s="408"/>
      <c r="K559" s="408"/>
      <c r="L559" s="408"/>
      <c r="M559" s="408"/>
      <c r="N559" s="408"/>
      <c r="O559" s="408"/>
      <c r="P559" s="408"/>
      <c r="Q559" s="408"/>
      <c r="R559" s="408"/>
      <c r="S559" s="408"/>
      <c r="T559" s="408"/>
      <c r="U559" s="408"/>
      <c r="V559" s="408"/>
      <c r="W559" s="408"/>
      <c r="X559" s="408"/>
      <c r="Y559" s="408"/>
      <c r="Z559" s="408"/>
      <c r="AA559" s="408"/>
      <c r="AB559" s="408"/>
      <c r="AC559" s="408"/>
      <c r="AD559" s="408"/>
      <c r="AE559" s="408"/>
      <c r="AF559" s="408"/>
      <c r="AG559" s="408"/>
      <c r="AH559" s="408"/>
      <c r="AI559" s="408"/>
      <c r="AJ559" s="408"/>
      <c r="AK559" s="408"/>
      <c r="AL559" s="408"/>
      <c r="AM559" s="408"/>
      <c r="AN559" s="408"/>
      <c r="AO559" s="408"/>
      <c r="AP559" s="408"/>
      <c r="AQ559" s="408"/>
      <c r="AR559" s="408"/>
      <c r="AS559" s="408"/>
      <c r="AT559" s="408"/>
      <c r="AU559" s="408"/>
      <c r="AV559" s="408"/>
      <c r="AW559" s="408"/>
      <c r="AX559" s="408"/>
      <c r="AY559" s="408"/>
      <c r="AZ559" s="408"/>
      <c r="BA559" s="408"/>
      <c r="BB559" s="408"/>
      <c r="BC559" s="408"/>
      <c r="BD559" s="408"/>
      <c r="BE559" s="408"/>
      <c r="BF559" s="408"/>
      <c r="BG559" s="408"/>
      <c r="BH559" s="408"/>
      <c r="BI559" s="408"/>
      <c r="BJ559" s="408"/>
      <c r="BK559" s="408"/>
      <c r="BL559" s="408"/>
      <c r="BM559" s="408"/>
      <c r="BN559" s="408"/>
      <c r="BO559" s="408"/>
      <c r="BP559" s="408"/>
      <c r="BQ559" s="408"/>
      <c r="BR559" s="408"/>
      <c r="BS559" s="408"/>
      <c r="BT559" s="408"/>
      <c r="BU559" s="408"/>
      <c r="BV559" s="408"/>
      <c r="BW559" s="408"/>
      <c r="BX559" s="408"/>
      <c r="BY559" s="408"/>
      <c r="BZ559" s="408"/>
      <c r="CA559" s="408"/>
      <c r="CB559" s="408"/>
      <c r="CC559" s="408"/>
      <c r="CD559" s="408"/>
      <c r="CE559" s="408"/>
      <c r="CF559" s="408"/>
      <c r="CG559" s="408"/>
      <c r="CH559" s="408"/>
      <c r="CI559" s="408"/>
      <c r="CJ559" s="408"/>
      <c r="CK559" s="408"/>
      <c r="CL559" s="408"/>
      <c r="CM559" s="408"/>
      <c r="CN559" s="408"/>
    </row>
    <row r="560">
      <c r="A560" s="408"/>
      <c r="B560" s="408"/>
      <c r="C560" s="408"/>
      <c r="D560" s="408"/>
      <c r="E560" s="408"/>
      <c r="F560" s="408"/>
      <c r="G560" s="408"/>
      <c r="H560" s="408"/>
      <c r="I560" s="408"/>
      <c r="J560" s="408"/>
      <c r="K560" s="408"/>
      <c r="L560" s="408"/>
      <c r="M560" s="408"/>
      <c r="N560" s="408"/>
      <c r="O560" s="408"/>
      <c r="P560" s="408"/>
      <c r="Q560" s="408"/>
      <c r="R560" s="408"/>
      <c r="S560" s="408"/>
      <c r="T560" s="408"/>
      <c r="U560" s="408"/>
      <c r="V560" s="408"/>
      <c r="W560" s="408"/>
      <c r="X560" s="408"/>
      <c r="Y560" s="408"/>
      <c r="Z560" s="408"/>
      <c r="AA560" s="408"/>
      <c r="AB560" s="408"/>
      <c r="AC560" s="408"/>
      <c r="AD560" s="408"/>
      <c r="AE560" s="408"/>
      <c r="AF560" s="408"/>
      <c r="AG560" s="408"/>
      <c r="AH560" s="408"/>
      <c r="AI560" s="408"/>
      <c r="AJ560" s="408"/>
      <c r="AK560" s="408"/>
      <c r="AL560" s="408"/>
      <c r="AM560" s="408"/>
      <c r="AN560" s="408"/>
      <c r="AO560" s="408"/>
      <c r="AP560" s="408"/>
      <c r="AQ560" s="408"/>
      <c r="AR560" s="408"/>
      <c r="AS560" s="408"/>
      <c r="AT560" s="408"/>
      <c r="AU560" s="408"/>
      <c r="AV560" s="408"/>
      <c r="AW560" s="408"/>
      <c r="AX560" s="408"/>
      <c r="AY560" s="408"/>
      <c r="AZ560" s="408"/>
      <c r="BA560" s="408"/>
      <c r="BB560" s="408"/>
      <c r="BC560" s="408"/>
      <c r="BD560" s="408"/>
      <c r="BE560" s="408"/>
      <c r="BF560" s="408"/>
      <c r="BG560" s="408"/>
      <c r="BH560" s="408"/>
      <c r="BI560" s="408"/>
      <c r="BJ560" s="408"/>
      <c r="BK560" s="408"/>
      <c r="BL560" s="408"/>
      <c r="BM560" s="408"/>
      <c r="BN560" s="408"/>
      <c r="BO560" s="408"/>
      <c r="BP560" s="408"/>
      <c r="BQ560" s="408"/>
      <c r="BR560" s="408"/>
      <c r="BS560" s="408"/>
      <c r="BT560" s="408"/>
      <c r="BU560" s="408"/>
      <c r="BV560" s="408"/>
      <c r="BW560" s="408"/>
      <c r="BX560" s="408"/>
      <c r="BY560" s="408"/>
      <c r="BZ560" s="408"/>
      <c r="CA560" s="408"/>
      <c r="CB560" s="408"/>
      <c r="CC560" s="408"/>
      <c r="CD560" s="408"/>
      <c r="CE560" s="408"/>
      <c r="CF560" s="408"/>
      <c r="CG560" s="408"/>
      <c r="CH560" s="408"/>
      <c r="CI560" s="408"/>
      <c r="CJ560" s="408"/>
      <c r="CK560" s="408"/>
      <c r="CL560" s="408"/>
      <c r="CM560" s="408"/>
      <c r="CN560" s="408"/>
    </row>
    <row r="561">
      <c r="A561" s="408"/>
      <c r="B561" s="408"/>
      <c r="C561" s="408"/>
      <c r="D561" s="408"/>
      <c r="E561" s="408"/>
      <c r="F561" s="408"/>
      <c r="G561" s="408"/>
      <c r="H561" s="408"/>
      <c r="I561" s="408"/>
      <c r="J561" s="408"/>
      <c r="K561" s="408"/>
      <c r="L561" s="408"/>
      <c r="M561" s="408"/>
      <c r="N561" s="408"/>
      <c r="O561" s="408"/>
      <c r="P561" s="408"/>
      <c r="Q561" s="408"/>
      <c r="R561" s="408"/>
      <c r="S561" s="408"/>
      <c r="T561" s="408"/>
      <c r="U561" s="408"/>
      <c r="V561" s="408"/>
      <c r="W561" s="408"/>
      <c r="X561" s="408"/>
      <c r="Y561" s="408"/>
      <c r="Z561" s="408"/>
      <c r="AA561" s="408"/>
      <c r="AB561" s="408"/>
      <c r="AC561" s="408"/>
      <c r="AD561" s="408"/>
      <c r="AE561" s="408"/>
      <c r="AF561" s="408"/>
      <c r="AG561" s="408"/>
      <c r="AH561" s="408"/>
      <c r="AI561" s="408"/>
      <c r="AJ561" s="408"/>
      <c r="AK561" s="408"/>
      <c r="AL561" s="408"/>
      <c r="AM561" s="408"/>
      <c r="AN561" s="408"/>
      <c r="AO561" s="408"/>
      <c r="AP561" s="408"/>
      <c r="AQ561" s="408"/>
      <c r="AR561" s="408"/>
      <c r="AS561" s="408"/>
      <c r="AT561" s="408"/>
      <c r="AU561" s="408"/>
      <c r="AV561" s="408"/>
      <c r="AW561" s="408"/>
      <c r="AX561" s="408"/>
      <c r="AY561" s="408"/>
      <c r="AZ561" s="408"/>
      <c r="BA561" s="408"/>
      <c r="BB561" s="408"/>
      <c r="BC561" s="408"/>
      <c r="BD561" s="408"/>
      <c r="BE561" s="408"/>
      <c r="BF561" s="408"/>
      <c r="BG561" s="408"/>
      <c r="BH561" s="408"/>
      <c r="BI561" s="408"/>
      <c r="BJ561" s="408"/>
      <c r="BK561" s="408"/>
      <c r="BL561" s="408"/>
      <c r="BM561" s="408"/>
      <c r="BN561" s="408"/>
      <c r="BO561" s="408"/>
      <c r="BP561" s="408"/>
      <c r="BQ561" s="408"/>
      <c r="BR561" s="408"/>
      <c r="BS561" s="408"/>
      <c r="BT561" s="408"/>
      <c r="BU561" s="408"/>
      <c r="BV561" s="408"/>
      <c r="BW561" s="408"/>
      <c r="BX561" s="408"/>
      <c r="BY561" s="408"/>
      <c r="BZ561" s="408"/>
      <c r="CA561" s="408"/>
      <c r="CB561" s="408"/>
      <c r="CC561" s="408"/>
      <c r="CD561" s="408"/>
      <c r="CE561" s="408"/>
      <c r="CF561" s="408"/>
      <c r="CG561" s="408"/>
      <c r="CH561" s="408"/>
      <c r="CI561" s="408"/>
      <c r="CJ561" s="408"/>
      <c r="CK561" s="408"/>
      <c r="CL561" s="408"/>
      <c r="CM561" s="408"/>
      <c r="CN561" s="408"/>
    </row>
    <row r="562">
      <c r="A562" s="408"/>
      <c r="B562" s="408"/>
      <c r="C562" s="408"/>
      <c r="D562" s="408"/>
      <c r="E562" s="408"/>
      <c r="F562" s="408"/>
      <c r="G562" s="408"/>
      <c r="H562" s="408"/>
      <c r="I562" s="408"/>
      <c r="J562" s="408"/>
      <c r="K562" s="408"/>
      <c r="L562" s="408"/>
      <c r="M562" s="408"/>
      <c r="N562" s="408"/>
      <c r="O562" s="408"/>
      <c r="P562" s="408"/>
      <c r="Q562" s="408"/>
      <c r="R562" s="408"/>
      <c r="S562" s="408"/>
      <c r="T562" s="408"/>
      <c r="U562" s="408"/>
      <c r="V562" s="408"/>
      <c r="W562" s="408"/>
      <c r="X562" s="408"/>
      <c r="Y562" s="408"/>
      <c r="Z562" s="408"/>
      <c r="AA562" s="408"/>
      <c r="AB562" s="408"/>
      <c r="AC562" s="408"/>
      <c r="AD562" s="408"/>
      <c r="AE562" s="408"/>
      <c r="AF562" s="408"/>
      <c r="AG562" s="408"/>
      <c r="AH562" s="408"/>
      <c r="AI562" s="408"/>
      <c r="AJ562" s="408"/>
      <c r="AK562" s="408"/>
      <c r="AL562" s="408"/>
      <c r="AM562" s="408"/>
      <c r="AN562" s="408"/>
      <c r="AO562" s="408"/>
      <c r="AP562" s="408"/>
      <c r="AQ562" s="408"/>
      <c r="AR562" s="408"/>
      <c r="AS562" s="408"/>
      <c r="AT562" s="408"/>
      <c r="AU562" s="408"/>
      <c r="AV562" s="408"/>
      <c r="AW562" s="408"/>
      <c r="AX562" s="408"/>
      <c r="AY562" s="408"/>
      <c r="AZ562" s="408"/>
      <c r="BA562" s="408"/>
      <c r="BB562" s="408"/>
      <c r="BC562" s="408"/>
      <c r="BD562" s="408"/>
      <c r="BE562" s="408"/>
      <c r="BF562" s="408"/>
      <c r="BG562" s="408"/>
      <c r="BH562" s="408"/>
      <c r="BI562" s="408"/>
      <c r="BJ562" s="408"/>
      <c r="BK562" s="408"/>
      <c r="BL562" s="408"/>
      <c r="BM562" s="408"/>
      <c r="BN562" s="408"/>
      <c r="BO562" s="408"/>
      <c r="BP562" s="408"/>
      <c r="BQ562" s="408"/>
      <c r="BR562" s="408"/>
      <c r="BS562" s="408"/>
      <c r="BT562" s="408"/>
      <c r="BU562" s="408"/>
      <c r="BV562" s="408"/>
      <c r="BW562" s="408"/>
      <c r="BX562" s="408"/>
      <c r="BY562" s="408"/>
      <c r="BZ562" s="408"/>
      <c r="CA562" s="408"/>
      <c r="CB562" s="408"/>
      <c r="CC562" s="408"/>
      <c r="CD562" s="408"/>
      <c r="CE562" s="408"/>
      <c r="CF562" s="408"/>
      <c r="CG562" s="408"/>
      <c r="CH562" s="408"/>
      <c r="CI562" s="408"/>
      <c r="CJ562" s="408"/>
      <c r="CK562" s="408"/>
      <c r="CL562" s="408"/>
      <c r="CM562" s="408"/>
      <c r="CN562" s="408"/>
    </row>
    <row r="563">
      <c r="A563" s="408"/>
      <c r="B563" s="408"/>
      <c r="C563" s="408"/>
      <c r="D563" s="408"/>
      <c r="E563" s="408"/>
      <c r="F563" s="408"/>
      <c r="G563" s="408"/>
      <c r="H563" s="408"/>
      <c r="I563" s="408"/>
      <c r="J563" s="408"/>
      <c r="K563" s="408"/>
      <c r="L563" s="408"/>
      <c r="M563" s="408"/>
      <c r="N563" s="408"/>
      <c r="O563" s="408"/>
      <c r="P563" s="408"/>
      <c r="Q563" s="408"/>
      <c r="R563" s="408"/>
      <c r="S563" s="408"/>
      <c r="T563" s="408"/>
      <c r="U563" s="408"/>
      <c r="V563" s="408"/>
      <c r="W563" s="408"/>
      <c r="X563" s="408"/>
      <c r="Y563" s="408"/>
      <c r="Z563" s="408"/>
      <c r="AA563" s="408"/>
      <c r="AB563" s="408"/>
      <c r="AC563" s="408"/>
      <c r="AD563" s="408"/>
      <c r="AE563" s="408"/>
      <c r="AF563" s="408"/>
      <c r="AG563" s="408"/>
      <c r="AH563" s="408"/>
      <c r="AI563" s="408"/>
      <c r="AJ563" s="408"/>
      <c r="AK563" s="408"/>
      <c r="AL563" s="408"/>
      <c r="AM563" s="408"/>
      <c r="AN563" s="408"/>
      <c r="AO563" s="408"/>
      <c r="AP563" s="408"/>
      <c r="AQ563" s="408"/>
      <c r="AR563" s="408"/>
      <c r="AS563" s="408"/>
      <c r="AT563" s="408"/>
      <c r="AU563" s="408"/>
      <c r="AV563" s="408"/>
      <c r="AW563" s="408"/>
      <c r="AX563" s="408"/>
      <c r="AY563" s="408"/>
      <c r="AZ563" s="408"/>
      <c r="BA563" s="408"/>
      <c r="BB563" s="408"/>
      <c r="BC563" s="408"/>
      <c r="BD563" s="408"/>
      <c r="BE563" s="408"/>
      <c r="BF563" s="408"/>
      <c r="BG563" s="408"/>
      <c r="BH563" s="408"/>
      <c r="BI563" s="408"/>
      <c r="BJ563" s="408"/>
      <c r="BK563" s="408"/>
      <c r="BL563" s="408"/>
      <c r="BM563" s="408"/>
      <c r="BN563" s="408"/>
      <c r="BO563" s="408"/>
      <c r="BP563" s="408"/>
      <c r="BQ563" s="408"/>
      <c r="BR563" s="408"/>
      <c r="BS563" s="408"/>
      <c r="BT563" s="408"/>
      <c r="BU563" s="408"/>
      <c r="BV563" s="408"/>
      <c r="BW563" s="408"/>
      <c r="BX563" s="408"/>
      <c r="BY563" s="408"/>
      <c r="BZ563" s="408"/>
      <c r="CA563" s="408"/>
      <c r="CB563" s="408"/>
      <c r="CC563" s="408"/>
      <c r="CD563" s="408"/>
      <c r="CE563" s="408"/>
      <c r="CF563" s="408"/>
      <c r="CG563" s="408"/>
      <c r="CH563" s="408"/>
      <c r="CI563" s="408"/>
      <c r="CJ563" s="408"/>
      <c r="CK563" s="408"/>
      <c r="CL563" s="408"/>
      <c r="CM563" s="408"/>
      <c r="CN563" s="408"/>
    </row>
    <row r="564">
      <c r="A564" s="408"/>
      <c r="B564" s="408"/>
      <c r="C564" s="408"/>
      <c r="D564" s="408"/>
      <c r="E564" s="408"/>
      <c r="F564" s="408"/>
      <c r="G564" s="408"/>
      <c r="H564" s="408"/>
      <c r="I564" s="408"/>
      <c r="J564" s="408"/>
      <c r="K564" s="408"/>
      <c r="L564" s="408"/>
      <c r="M564" s="408"/>
      <c r="N564" s="408"/>
      <c r="O564" s="408"/>
      <c r="P564" s="408"/>
      <c r="Q564" s="408"/>
      <c r="R564" s="408"/>
      <c r="S564" s="408"/>
      <c r="T564" s="408"/>
      <c r="U564" s="408"/>
      <c r="V564" s="408"/>
      <c r="W564" s="408"/>
      <c r="X564" s="408"/>
      <c r="Y564" s="408"/>
      <c r="Z564" s="408"/>
      <c r="AA564" s="408"/>
      <c r="AB564" s="408"/>
      <c r="AC564" s="408"/>
      <c r="AD564" s="408"/>
      <c r="AE564" s="408"/>
      <c r="AF564" s="408"/>
      <c r="AG564" s="408"/>
      <c r="AH564" s="408"/>
      <c r="AI564" s="408"/>
      <c r="AJ564" s="408"/>
      <c r="AK564" s="408"/>
      <c r="AL564" s="408"/>
      <c r="AM564" s="408"/>
      <c r="AN564" s="408"/>
      <c r="AO564" s="408"/>
      <c r="AP564" s="408"/>
      <c r="AQ564" s="408"/>
      <c r="AR564" s="408"/>
      <c r="AS564" s="408"/>
      <c r="AT564" s="408"/>
      <c r="AU564" s="408"/>
      <c r="AV564" s="408"/>
      <c r="AW564" s="408"/>
      <c r="AX564" s="408"/>
      <c r="AY564" s="408"/>
      <c r="AZ564" s="408"/>
      <c r="BA564" s="408"/>
      <c r="BB564" s="408"/>
      <c r="BC564" s="408"/>
      <c r="BD564" s="408"/>
      <c r="BE564" s="408"/>
      <c r="BF564" s="408"/>
      <c r="BG564" s="408"/>
      <c r="BH564" s="408"/>
      <c r="BI564" s="408"/>
      <c r="BJ564" s="408"/>
      <c r="BK564" s="408"/>
      <c r="BL564" s="408"/>
      <c r="BM564" s="408"/>
      <c r="BN564" s="408"/>
      <c r="BO564" s="408"/>
      <c r="BP564" s="408"/>
      <c r="BQ564" s="408"/>
      <c r="BR564" s="408"/>
      <c r="BS564" s="408"/>
      <c r="BT564" s="408"/>
      <c r="BU564" s="408"/>
      <c r="BV564" s="408"/>
      <c r="BW564" s="408"/>
      <c r="BX564" s="408"/>
      <c r="BY564" s="408"/>
      <c r="BZ564" s="408"/>
      <c r="CA564" s="408"/>
      <c r="CB564" s="408"/>
      <c r="CC564" s="408"/>
      <c r="CD564" s="408"/>
      <c r="CE564" s="408"/>
      <c r="CF564" s="408"/>
      <c r="CG564" s="408"/>
      <c r="CH564" s="408"/>
      <c r="CI564" s="408"/>
      <c r="CJ564" s="408"/>
      <c r="CK564" s="408"/>
      <c r="CL564" s="408"/>
      <c r="CM564" s="408"/>
      <c r="CN564" s="408"/>
    </row>
    <row r="565">
      <c r="A565" s="408"/>
      <c r="B565" s="408"/>
      <c r="C565" s="408"/>
      <c r="D565" s="408"/>
      <c r="E565" s="408"/>
      <c r="F565" s="408"/>
      <c r="G565" s="408"/>
      <c r="H565" s="408"/>
      <c r="I565" s="408"/>
      <c r="J565" s="408"/>
      <c r="K565" s="408"/>
      <c r="L565" s="408"/>
      <c r="M565" s="408"/>
      <c r="N565" s="408"/>
      <c r="O565" s="408"/>
      <c r="P565" s="408"/>
      <c r="Q565" s="408"/>
      <c r="R565" s="408"/>
      <c r="S565" s="408"/>
      <c r="T565" s="408"/>
      <c r="U565" s="408"/>
      <c r="V565" s="408"/>
      <c r="W565" s="408"/>
      <c r="X565" s="408"/>
      <c r="Y565" s="408"/>
      <c r="Z565" s="408"/>
      <c r="AA565" s="408"/>
      <c r="AB565" s="408"/>
      <c r="AC565" s="408"/>
      <c r="AD565" s="408"/>
      <c r="AE565" s="408"/>
      <c r="AF565" s="408"/>
      <c r="AG565" s="408"/>
      <c r="AH565" s="408"/>
      <c r="AI565" s="408"/>
      <c r="AJ565" s="408"/>
      <c r="AK565" s="408"/>
      <c r="AL565" s="408"/>
      <c r="AM565" s="408"/>
      <c r="AN565" s="408"/>
      <c r="AO565" s="408"/>
      <c r="AP565" s="408"/>
      <c r="AQ565" s="408"/>
      <c r="AR565" s="408"/>
      <c r="AS565" s="408"/>
      <c r="AT565" s="408"/>
      <c r="AU565" s="408"/>
      <c r="AV565" s="408"/>
      <c r="AW565" s="408"/>
      <c r="AX565" s="408"/>
      <c r="AY565" s="408"/>
      <c r="AZ565" s="408"/>
      <c r="BA565" s="408"/>
      <c r="BB565" s="408"/>
      <c r="BC565" s="408"/>
      <c r="BD565" s="408"/>
      <c r="BE565" s="408"/>
      <c r="BF565" s="408"/>
      <c r="BG565" s="408"/>
      <c r="BH565" s="408"/>
      <c r="BI565" s="408"/>
      <c r="BJ565" s="408"/>
      <c r="BK565" s="408"/>
      <c r="BL565" s="408"/>
      <c r="BM565" s="408"/>
      <c r="BN565" s="408"/>
      <c r="BO565" s="408"/>
      <c r="BP565" s="408"/>
      <c r="BQ565" s="408"/>
      <c r="BR565" s="408"/>
      <c r="BS565" s="408"/>
      <c r="BT565" s="408"/>
      <c r="BU565" s="408"/>
      <c r="BV565" s="408"/>
      <c r="BW565" s="408"/>
      <c r="BX565" s="408"/>
      <c r="BY565" s="408"/>
      <c r="BZ565" s="408"/>
      <c r="CA565" s="408"/>
      <c r="CB565" s="408"/>
      <c r="CC565" s="408"/>
      <c r="CD565" s="408"/>
      <c r="CE565" s="408"/>
      <c r="CF565" s="408"/>
      <c r="CG565" s="408"/>
      <c r="CH565" s="408"/>
      <c r="CI565" s="408"/>
      <c r="CJ565" s="408"/>
      <c r="CK565" s="408"/>
      <c r="CL565" s="408"/>
      <c r="CM565" s="408"/>
      <c r="CN565" s="408"/>
    </row>
    <row r="566">
      <c r="A566" s="408"/>
      <c r="B566" s="408"/>
      <c r="C566" s="408"/>
      <c r="D566" s="408"/>
      <c r="E566" s="408"/>
      <c r="F566" s="408"/>
      <c r="G566" s="408"/>
      <c r="H566" s="408"/>
      <c r="I566" s="408"/>
      <c r="J566" s="408"/>
      <c r="K566" s="408"/>
      <c r="L566" s="408"/>
      <c r="M566" s="408"/>
      <c r="N566" s="408"/>
      <c r="O566" s="408"/>
      <c r="P566" s="408"/>
      <c r="Q566" s="408"/>
      <c r="R566" s="408"/>
      <c r="S566" s="408"/>
      <c r="T566" s="408"/>
      <c r="U566" s="408"/>
      <c r="V566" s="408"/>
      <c r="W566" s="408"/>
      <c r="X566" s="408"/>
      <c r="Y566" s="408"/>
      <c r="Z566" s="408"/>
      <c r="AA566" s="408"/>
      <c r="AB566" s="408"/>
      <c r="AC566" s="408"/>
      <c r="AD566" s="408"/>
      <c r="AE566" s="408"/>
      <c r="AF566" s="408"/>
      <c r="AG566" s="408"/>
      <c r="AH566" s="408"/>
      <c r="AI566" s="408"/>
      <c r="AJ566" s="408"/>
      <c r="AK566" s="408"/>
      <c r="AL566" s="408"/>
      <c r="AM566" s="408"/>
      <c r="AN566" s="408"/>
      <c r="AO566" s="408"/>
      <c r="AP566" s="408"/>
      <c r="AQ566" s="408"/>
      <c r="AR566" s="408"/>
      <c r="AS566" s="408"/>
      <c r="AT566" s="408"/>
      <c r="AU566" s="408"/>
      <c r="AV566" s="408"/>
      <c r="AW566" s="408"/>
      <c r="AX566" s="408"/>
      <c r="AY566" s="408"/>
      <c r="AZ566" s="408"/>
      <c r="BA566" s="408"/>
      <c r="BB566" s="408"/>
      <c r="BC566" s="408"/>
      <c r="BD566" s="408"/>
      <c r="BE566" s="408"/>
      <c r="BF566" s="408"/>
      <c r="BG566" s="408"/>
      <c r="BH566" s="408"/>
      <c r="BI566" s="408"/>
      <c r="BJ566" s="408"/>
      <c r="BK566" s="408"/>
      <c r="BL566" s="408"/>
      <c r="BM566" s="408"/>
      <c r="BN566" s="408"/>
      <c r="BO566" s="408"/>
      <c r="BP566" s="408"/>
      <c r="BQ566" s="408"/>
      <c r="BR566" s="408"/>
      <c r="BS566" s="408"/>
      <c r="BT566" s="408"/>
      <c r="BU566" s="408"/>
      <c r="BV566" s="408"/>
      <c r="BW566" s="408"/>
      <c r="BX566" s="408"/>
      <c r="BY566" s="408"/>
      <c r="BZ566" s="408"/>
      <c r="CA566" s="408"/>
      <c r="CB566" s="408"/>
      <c r="CC566" s="408"/>
      <c r="CD566" s="408"/>
      <c r="CE566" s="408"/>
      <c r="CF566" s="408"/>
      <c r="CG566" s="408"/>
      <c r="CH566" s="408"/>
      <c r="CI566" s="408"/>
      <c r="CJ566" s="408"/>
      <c r="CK566" s="408"/>
      <c r="CL566" s="408"/>
      <c r="CM566" s="408"/>
      <c r="CN566" s="408"/>
    </row>
    <row r="567">
      <c r="A567" s="408"/>
      <c r="B567" s="408"/>
      <c r="C567" s="408"/>
      <c r="D567" s="408"/>
      <c r="E567" s="408"/>
      <c r="F567" s="408"/>
      <c r="G567" s="408"/>
      <c r="H567" s="408"/>
      <c r="I567" s="408"/>
      <c r="J567" s="408"/>
      <c r="K567" s="408"/>
      <c r="L567" s="408"/>
      <c r="M567" s="408"/>
      <c r="N567" s="408"/>
      <c r="O567" s="408"/>
      <c r="P567" s="408"/>
      <c r="Q567" s="408"/>
      <c r="R567" s="408"/>
      <c r="S567" s="408"/>
      <c r="T567" s="408"/>
      <c r="U567" s="408"/>
      <c r="V567" s="408"/>
      <c r="W567" s="408"/>
      <c r="X567" s="408"/>
      <c r="Y567" s="408"/>
      <c r="Z567" s="408"/>
      <c r="AA567" s="408"/>
      <c r="AB567" s="408"/>
      <c r="AC567" s="408"/>
      <c r="AD567" s="408"/>
      <c r="AE567" s="408"/>
      <c r="AF567" s="408"/>
      <c r="AG567" s="408"/>
      <c r="AH567" s="408"/>
      <c r="AI567" s="408"/>
      <c r="AJ567" s="408"/>
      <c r="AK567" s="408"/>
      <c r="AL567" s="408"/>
      <c r="AM567" s="408"/>
      <c r="AN567" s="408"/>
      <c r="AO567" s="408"/>
      <c r="AP567" s="408"/>
      <c r="AQ567" s="408"/>
      <c r="AR567" s="408"/>
      <c r="AS567" s="408"/>
      <c r="AT567" s="408"/>
      <c r="AU567" s="408"/>
      <c r="AV567" s="408"/>
      <c r="AW567" s="408"/>
      <c r="AX567" s="408"/>
      <c r="AY567" s="408"/>
      <c r="AZ567" s="408"/>
      <c r="BA567" s="408"/>
      <c r="BB567" s="408"/>
      <c r="BC567" s="408"/>
      <c r="BD567" s="408"/>
      <c r="BE567" s="408"/>
      <c r="BF567" s="408"/>
      <c r="BG567" s="408"/>
      <c r="BH567" s="408"/>
      <c r="BI567" s="408"/>
      <c r="BJ567" s="408"/>
      <c r="BK567" s="408"/>
      <c r="BL567" s="408"/>
      <c r="BM567" s="408"/>
      <c r="BN567" s="408"/>
      <c r="BO567" s="408"/>
      <c r="BP567" s="408"/>
      <c r="BQ567" s="408"/>
      <c r="BR567" s="408"/>
      <c r="BS567" s="408"/>
      <c r="BT567" s="408"/>
      <c r="BU567" s="408"/>
      <c r="BV567" s="408"/>
      <c r="BW567" s="408"/>
      <c r="BX567" s="408"/>
      <c r="BY567" s="408"/>
      <c r="BZ567" s="408"/>
      <c r="CA567" s="408"/>
      <c r="CB567" s="408"/>
      <c r="CC567" s="408"/>
      <c r="CD567" s="408"/>
      <c r="CE567" s="408"/>
      <c r="CF567" s="408"/>
      <c r="CG567" s="408"/>
      <c r="CH567" s="408"/>
      <c r="CI567" s="408"/>
      <c r="CJ567" s="408"/>
      <c r="CK567" s="408"/>
      <c r="CL567" s="408"/>
      <c r="CM567" s="408"/>
      <c r="CN567" s="408"/>
    </row>
    <row r="568">
      <c r="A568" s="408"/>
      <c r="B568" s="408"/>
      <c r="C568" s="408"/>
      <c r="D568" s="408"/>
      <c r="E568" s="408"/>
      <c r="F568" s="408"/>
      <c r="G568" s="408"/>
      <c r="H568" s="408"/>
      <c r="I568" s="408"/>
      <c r="J568" s="408"/>
      <c r="K568" s="408"/>
      <c r="L568" s="408"/>
      <c r="M568" s="408"/>
      <c r="N568" s="408"/>
      <c r="O568" s="408"/>
      <c r="P568" s="408"/>
      <c r="Q568" s="408"/>
      <c r="R568" s="408"/>
      <c r="S568" s="408"/>
      <c r="T568" s="408"/>
      <c r="U568" s="408"/>
      <c r="V568" s="408"/>
      <c r="W568" s="408"/>
      <c r="X568" s="408"/>
      <c r="Y568" s="408"/>
      <c r="Z568" s="408"/>
      <c r="AA568" s="408"/>
      <c r="AB568" s="408"/>
      <c r="AC568" s="408"/>
      <c r="AD568" s="408"/>
      <c r="AE568" s="408"/>
      <c r="AF568" s="408"/>
      <c r="AG568" s="408"/>
      <c r="AH568" s="408"/>
      <c r="AI568" s="408"/>
      <c r="AJ568" s="408"/>
      <c r="AK568" s="408"/>
      <c r="AL568" s="408"/>
      <c r="AM568" s="408"/>
      <c r="AN568" s="408"/>
      <c r="AO568" s="408"/>
      <c r="AP568" s="408"/>
      <c r="AQ568" s="408"/>
      <c r="AR568" s="408"/>
      <c r="AS568" s="408"/>
      <c r="AT568" s="408"/>
      <c r="AU568" s="408"/>
      <c r="AV568" s="408"/>
      <c r="AW568" s="408"/>
      <c r="AX568" s="408"/>
      <c r="AY568" s="408"/>
      <c r="AZ568" s="408"/>
      <c r="BA568" s="408"/>
      <c r="BB568" s="408"/>
      <c r="BC568" s="408"/>
      <c r="BD568" s="408"/>
      <c r="BE568" s="408"/>
      <c r="BF568" s="408"/>
      <c r="BG568" s="408"/>
      <c r="BH568" s="408"/>
      <c r="BI568" s="408"/>
      <c r="BJ568" s="408"/>
      <c r="BK568" s="408"/>
      <c r="BL568" s="408"/>
      <c r="BM568" s="408"/>
      <c r="BN568" s="408"/>
      <c r="BO568" s="408"/>
      <c r="BP568" s="408"/>
      <c r="BQ568" s="408"/>
      <c r="BR568" s="408"/>
      <c r="BS568" s="408"/>
      <c r="BT568" s="408"/>
      <c r="BU568" s="408"/>
      <c r="BV568" s="408"/>
      <c r="BW568" s="408"/>
      <c r="BX568" s="408"/>
      <c r="BY568" s="408"/>
      <c r="BZ568" s="408"/>
      <c r="CA568" s="408"/>
      <c r="CB568" s="408"/>
      <c r="CC568" s="408"/>
      <c r="CD568" s="408"/>
      <c r="CE568" s="408"/>
      <c r="CF568" s="408"/>
      <c r="CG568" s="408"/>
      <c r="CH568" s="408"/>
      <c r="CI568" s="408"/>
      <c r="CJ568" s="408"/>
      <c r="CK568" s="408"/>
      <c r="CL568" s="408"/>
      <c r="CM568" s="408"/>
      <c r="CN568" s="408"/>
    </row>
    <row r="569">
      <c r="A569" s="408"/>
      <c r="B569" s="408"/>
      <c r="C569" s="408"/>
      <c r="D569" s="408"/>
      <c r="E569" s="408"/>
      <c r="F569" s="408"/>
      <c r="G569" s="408"/>
      <c r="H569" s="408"/>
      <c r="I569" s="408"/>
      <c r="J569" s="408"/>
      <c r="K569" s="408"/>
      <c r="L569" s="408"/>
      <c r="M569" s="408"/>
      <c r="N569" s="408"/>
      <c r="O569" s="408"/>
      <c r="P569" s="408"/>
      <c r="Q569" s="408"/>
      <c r="R569" s="408"/>
      <c r="S569" s="408"/>
      <c r="T569" s="408"/>
      <c r="U569" s="408"/>
      <c r="V569" s="408"/>
      <c r="W569" s="408"/>
      <c r="X569" s="408"/>
      <c r="Y569" s="408"/>
      <c r="Z569" s="408"/>
      <c r="AA569" s="408"/>
      <c r="AB569" s="408"/>
      <c r="AC569" s="408"/>
      <c r="AD569" s="408"/>
      <c r="AE569" s="408"/>
      <c r="AF569" s="408"/>
      <c r="AG569" s="408"/>
      <c r="AH569" s="408"/>
      <c r="AI569" s="408"/>
      <c r="AJ569" s="408"/>
      <c r="AK569" s="408"/>
      <c r="AL569" s="408"/>
      <c r="AM569" s="408"/>
      <c r="AN569" s="408"/>
      <c r="AO569" s="408"/>
      <c r="AP569" s="408"/>
      <c r="AQ569" s="408"/>
      <c r="AR569" s="408"/>
      <c r="AS569" s="408"/>
      <c r="AT569" s="408"/>
      <c r="AU569" s="408"/>
      <c r="AV569" s="408"/>
      <c r="AW569" s="408"/>
      <c r="AX569" s="408"/>
      <c r="AY569" s="408"/>
      <c r="AZ569" s="408"/>
      <c r="BA569" s="408"/>
      <c r="BB569" s="408"/>
      <c r="BC569" s="408"/>
      <c r="BD569" s="408"/>
      <c r="BE569" s="408"/>
      <c r="BF569" s="408"/>
      <c r="BG569" s="408"/>
      <c r="BH569" s="408"/>
      <c r="BI569" s="408"/>
      <c r="BJ569" s="408"/>
      <c r="BK569" s="408"/>
      <c r="BL569" s="408"/>
      <c r="BM569" s="408"/>
      <c r="BN569" s="408"/>
      <c r="BO569" s="408"/>
      <c r="BP569" s="408"/>
      <c r="BQ569" s="408"/>
      <c r="BR569" s="408"/>
      <c r="BS569" s="408"/>
      <c r="BT569" s="408"/>
      <c r="BU569" s="408"/>
      <c r="BV569" s="408"/>
      <c r="BW569" s="408"/>
      <c r="BX569" s="408"/>
      <c r="BY569" s="408"/>
      <c r="BZ569" s="408"/>
      <c r="CA569" s="408"/>
      <c r="CB569" s="408"/>
      <c r="CC569" s="408"/>
      <c r="CD569" s="408"/>
      <c r="CE569" s="408"/>
      <c r="CF569" s="408"/>
      <c r="CG569" s="408"/>
      <c r="CH569" s="408"/>
      <c r="CI569" s="408"/>
      <c r="CJ569" s="408"/>
      <c r="CK569" s="408"/>
      <c r="CL569" s="408"/>
      <c r="CM569" s="408"/>
      <c r="CN569" s="408"/>
    </row>
    <row r="570">
      <c r="A570" s="408"/>
      <c r="B570" s="408"/>
      <c r="C570" s="408"/>
      <c r="D570" s="408"/>
      <c r="E570" s="408"/>
      <c r="F570" s="408"/>
      <c r="G570" s="408"/>
      <c r="H570" s="408"/>
      <c r="I570" s="408"/>
      <c r="J570" s="408"/>
      <c r="K570" s="408"/>
      <c r="L570" s="408"/>
      <c r="M570" s="408"/>
      <c r="N570" s="408"/>
      <c r="O570" s="408"/>
      <c r="P570" s="408"/>
      <c r="Q570" s="408"/>
      <c r="R570" s="408"/>
      <c r="S570" s="408"/>
      <c r="T570" s="408"/>
      <c r="U570" s="408"/>
      <c r="V570" s="408"/>
      <c r="W570" s="408"/>
      <c r="X570" s="408"/>
      <c r="Y570" s="408"/>
      <c r="Z570" s="408"/>
      <c r="AA570" s="408"/>
      <c r="AB570" s="408"/>
      <c r="AC570" s="408"/>
      <c r="AD570" s="408"/>
      <c r="AE570" s="408"/>
      <c r="AF570" s="408"/>
      <c r="AG570" s="408"/>
      <c r="AH570" s="408"/>
      <c r="AI570" s="408"/>
      <c r="AJ570" s="408"/>
      <c r="AK570" s="408"/>
      <c r="AL570" s="408"/>
      <c r="AM570" s="408"/>
      <c r="AN570" s="408"/>
      <c r="AO570" s="408"/>
      <c r="AP570" s="408"/>
      <c r="AQ570" s="408"/>
      <c r="AR570" s="408"/>
      <c r="AS570" s="408"/>
      <c r="AT570" s="408"/>
      <c r="AU570" s="408"/>
      <c r="AV570" s="408"/>
      <c r="AW570" s="408"/>
      <c r="AX570" s="408"/>
      <c r="AY570" s="408"/>
      <c r="AZ570" s="408"/>
      <c r="BA570" s="408"/>
      <c r="BB570" s="408"/>
      <c r="BC570" s="408"/>
      <c r="BD570" s="408"/>
      <c r="BE570" s="408"/>
      <c r="BF570" s="408"/>
      <c r="BG570" s="408"/>
      <c r="BH570" s="408"/>
      <c r="BI570" s="408"/>
      <c r="BJ570" s="408"/>
      <c r="BK570" s="408"/>
      <c r="BL570" s="408"/>
      <c r="BM570" s="408"/>
      <c r="BN570" s="408"/>
      <c r="BO570" s="408"/>
      <c r="BP570" s="408"/>
      <c r="BQ570" s="408"/>
      <c r="BR570" s="408"/>
      <c r="BS570" s="408"/>
      <c r="BT570" s="408"/>
      <c r="BU570" s="408"/>
      <c r="BV570" s="408"/>
      <c r="BW570" s="408"/>
      <c r="BX570" s="408"/>
      <c r="BY570" s="408"/>
      <c r="BZ570" s="408"/>
      <c r="CA570" s="408"/>
      <c r="CB570" s="408"/>
      <c r="CC570" s="408"/>
      <c r="CD570" s="408"/>
      <c r="CE570" s="408"/>
      <c r="CF570" s="408"/>
      <c r="CG570" s="408"/>
      <c r="CH570" s="408"/>
      <c r="CI570" s="408"/>
      <c r="CJ570" s="408"/>
      <c r="CK570" s="408"/>
      <c r="CL570" s="408"/>
      <c r="CM570" s="408"/>
      <c r="CN570" s="408"/>
    </row>
    <row r="571">
      <c r="A571" s="408"/>
      <c r="B571" s="408"/>
      <c r="C571" s="408"/>
      <c r="D571" s="408"/>
      <c r="E571" s="408"/>
      <c r="F571" s="408"/>
      <c r="G571" s="408"/>
      <c r="H571" s="408"/>
      <c r="I571" s="408"/>
      <c r="J571" s="408"/>
      <c r="K571" s="408"/>
      <c r="L571" s="408"/>
      <c r="M571" s="408"/>
      <c r="N571" s="408"/>
      <c r="O571" s="408"/>
      <c r="P571" s="408"/>
      <c r="Q571" s="408"/>
      <c r="R571" s="408"/>
      <c r="S571" s="408"/>
      <c r="T571" s="408"/>
      <c r="U571" s="408"/>
      <c r="V571" s="408"/>
      <c r="W571" s="408"/>
      <c r="X571" s="408"/>
      <c r="Y571" s="408"/>
      <c r="Z571" s="408"/>
      <c r="AA571" s="408"/>
      <c r="AB571" s="408"/>
      <c r="AC571" s="408"/>
      <c r="AD571" s="408"/>
      <c r="AE571" s="408"/>
      <c r="AF571" s="408"/>
      <c r="AG571" s="408"/>
      <c r="AH571" s="408"/>
      <c r="AI571" s="408"/>
      <c r="AJ571" s="408"/>
      <c r="AK571" s="408"/>
      <c r="AL571" s="408"/>
      <c r="AM571" s="408"/>
      <c r="AN571" s="408"/>
      <c r="AO571" s="408"/>
      <c r="AP571" s="408"/>
      <c r="AQ571" s="408"/>
      <c r="AR571" s="408"/>
      <c r="AS571" s="408"/>
      <c r="AT571" s="408"/>
      <c r="AU571" s="408"/>
      <c r="AV571" s="408"/>
      <c r="AW571" s="408"/>
      <c r="AX571" s="408"/>
      <c r="AY571" s="408"/>
      <c r="AZ571" s="408"/>
      <c r="BA571" s="408"/>
      <c r="BB571" s="408"/>
      <c r="BC571" s="408"/>
      <c r="BD571" s="408"/>
      <c r="BE571" s="408"/>
      <c r="BF571" s="408"/>
      <c r="BG571" s="408"/>
      <c r="BH571" s="408"/>
      <c r="BI571" s="408"/>
      <c r="BJ571" s="408"/>
      <c r="BK571" s="408"/>
      <c r="BL571" s="408"/>
      <c r="BM571" s="408"/>
      <c r="BN571" s="408"/>
      <c r="BO571" s="408"/>
      <c r="BP571" s="408"/>
      <c r="BQ571" s="408"/>
      <c r="BR571" s="408"/>
      <c r="BS571" s="408"/>
      <c r="BT571" s="408"/>
      <c r="BU571" s="408"/>
      <c r="BV571" s="408"/>
      <c r="BW571" s="408"/>
      <c r="BX571" s="408"/>
      <c r="BY571" s="408"/>
      <c r="BZ571" s="408"/>
      <c r="CA571" s="408"/>
      <c r="CB571" s="408"/>
      <c r="CC571" s="408"/>
      <c r="CD571" s="408"/>
      <c r="CE571" s="408"/>
      <c r="CF571" s="408"/>
      <c r="CG571" s="408"/>
      <c r="CH571" s="408"/>
      <c r="CI571" s="408"/>
      <c r="CJ571" s="408"/>
      <c r="CK571" s="408"/>
      <c r="CL571" s="408"/>
      <c r="CM571" s="408"/>
      <c r="CN571" s="408"/>
    </row>
    <row r="572">
      <c r="A572" s="408"/>
      <c r="B572" s="408"/>
      <c r="C572" s="408"/>
      <c r="D572" s="408"/>
      <c r="E572" s="408"/>
      <c r="F572" s="408"/>
      <c r="G572" s="408"/>
      <c r="H572" s="408"/>
      <c r="I572" s="408"/>
      <c r="J572" s="408"/>
      <c r="K572" s="408"/>
      <c r="L572" s="408"/>
      <c r="M572" s="408"/>
      <c r="N572" s="408"/>
      <c r="O572" s="408"/>
      <c r="P572" s="408"/>
      <c r="Q572" s="408"/>
      <c r="R572" s="408"/>
      <c r="S572" s="408"/>
      <c r="T572" s="408"/>
      <c r="U572" s="408"/>
      <c r="V572" s="408"/>
      <c r="W572" s="408"/>
      <c r="X572" s="408"/>
      <c r="Y572" s="408"/>
      <c r="Z572" s="408"/>
      <c r="AA572" s="408"/>
      <c r="AB572" s="408"/>
      <c r="AC572" s="408"/>
      <c r="AD572" s="408"/>
      <c r="AE572" s="408"/>
      <c r="AF572" s="408"/>
      <c r="AG572" s="408"/>
      <c r="AH572" s="408"/>
      <c r="AI572" s="408"/>
      <c r="AJ572" s="408"/>
      <c r="AK572" s="408"/>
      <c r="AL572" s="408"/>
      <c r="AM572" s="408"/>
      <c r="AN572" s="408"/>
      <c r="AO572" s="408"/>
      <c r="AP572" s="408"/>
      <c r="AQ572" s="408"/>
      <c r="AR572" s="408"/>
      <c r="AS572" s="408"/>
      <c r="AT572" s="408"/>
      <c r="AU572" s="408"/>
      <c r="AV572" s="408"/>
      <c r="AW572" s="408"/>
      <c r="AX572" s="408"/>
      <c r="AY572" s="408"/>
      <c r="AZ572" s="408"/>
      <c r="BA572" s="408"/>
      <c r="BB572" s="408"/>
      <c r="BC572" s="408"/>
      <c r="BD572" s="408"/>
      <c r="BE572" s="408"/>
      <c r="BF572" s="408"/>
      <c r="BG572" s="408"/>
      <c r="BH572" s="408"/>
      <c r="BI572" s="408"/>
      <c r="BJ572" s="408"/>
      <c r="BK572" s="408"/>
      <c r="BL572" s="408"/>
      <c r="BM572" s="408"/>
      <c r="BN572" s="408"/>
      <c r="BO572" s="408"/>
      <c r="BP572" s="408"/>
      <c r="BQ572" s="408"/>
      <c r="BR572" s="408"/>
      <c r="BS572" s="408"/>
      <c r="BT572" s="408"/>
      <c r="BU572" s="408"/>
      <c r="BV572" s="408"/>
      <c r="BW572" s="408"/>
      <c r="BX572" s="408"/>
      <c r="BY572" s="408"/>
      <c r="BZ572" s="408"/>
      <c r="CA572" s="408"/>
      <c r="CB572" s="408"/>
      <c r="CC572" s="408"/>
      <c r="CD572" s="408"/>
      <c r="CE572" s="408"/>
      <c r="CF572" s="408"/>
      <c r="CG572" s="408"/>
      <c r="CH572" s="408"/>
      <c r="CI572" s="408"/>
      <c r="CJ572" s="408"/>
      <c r="CK572" s="408"/>
      <c r="CL572" s="408"/>
      <c r="CM572" s="408"/>
      <c r="CN572" s="408"/>
    </row>
    <row r="573">
      <c r="A573" s="408"/>
      <c r="B573" s="408"/>
      <c r="C573" s="408"/>
      <c r="D573" s="408"/>
      <c r="E573" s="408"/>
      <c r="F573" s="408"/>
      <c r="G573" s="408"/>
      <c r="H573" s="408"/>
      <c r="I573" s="408"/>
      <c r="J573" s="408"/>
      <c r="K573" s="408"/>
      <c r="L573" s="408"/>
      <c r="M573" s="408"/>
      <c r="N573" s="408"/>
      <c r="O573" s="408"/>
      <c r="P573" s="408"/>
      <c r="Q573" s="408"/>
      <c r="R573" s="408"/>
      <c r="S573" s="408"/>
      <c r="T573" s="408"/>
      <c r="U573" s="408"/>
      <c r="V573" s="408"/>
      <c r="W573" s="408"/>
      <c r="X573" s="408"/>
      <c r="Y573" s="408"/>
      <c r="Z573" s="408"/>
      <c r="AA573" s="408"/>
      <c r="AB573" s="408"/>
      <c r="AC573" s="408"/>
      <c r="AD573" s="408"/>
      <c r="AE573" s="408"/>
      <c r="AF573" s="408"/>
      <c r="AG573" s="408"/>
      <c r="AH573" s="408"/>
      <c r="AI573" s="408"/>
      <c r="AJ573" s="408"/>
      <c r="AK573" s="408"/>
      <c r="AL573" s="408"/>
      <c r="AM573" s="408"/>
      <c r="AN573" s="408"/>
      <c r="AO573" s="408"/>
      <c r="AP573" s="408"/>
      <c r="AQ573" s="408"/>
      <c r="AR573" s="408"/>
      <c r="AS573" s="408"/>
      <c r="AT573" s="408"/>
      <c r="AU573" s="408"/>
      <c r="AV573" s="408"/>
      <c r="AW573" s="408"/>
      <c r="AX573" s="408"/>
      <c r="AY573" s="408"/>
      <c r="AZ573" s="408"/>
      <c r="BA573" s="408"/>
      <c r="BB573" s="408"/>
      <c r="BC573" s="408"/>
      <c r="BD573" s="408"/>
      <c r="BE573" s="408"/>
      <c r="BF573" s="408"/>
      <c r="BG573" s="408"/>
      <c r="BH573" s="408"/>
      <c r="BI573" s="408"/>
      <c r="BJ573" s="408"/>
      <c r="BK573" s="408"/>
      <c r="BL573" s="408"/>
      <c r="BM573" s="408"/>
      <c r="BN573" s="408"/>
      <c r="BO573" s="408"/>
      <c r="BP573" s="408"/>
      <c r="BQ573" s="408"/>
      <c r="BR573" s="408"/>
      <c r="BS573" s="408"/>
      <c r="BT573" s="408"/>
      <c r="BU573" s="408"/>
      <c r="BV573" s="408"/>
      <c r="BW573" s="408"/>
      <c r="BX573" s="408"/>
      <c r="BY573" s="408"/>
      <c r="BZ573" s="408"/>
      <c r="CA573" s="408"/>
      <c r="CB573" s="408"/>
      <c r="CC573" s="408"/>
      <c r="CD573" s="408"/>
      <c r="CE573" s="408"/>
      <c r="CF573" s="408"/>
      <c r="CG573" s="408"/>
      <c r="CH573" s="408"/>
      <c r="CI573" s="408"/>
      <c r="CJ573" s="408"/>
      <c r="CK573" s="408"/>
      <c r="CL573" s="408"/>
      <c r="CM573" s="408"/>
      <c r="CN573" s="408"/>
    </row>
    <row r="574">
      <c r="A574" s="408"/>
      <c r="B574" s="408"/>
      <c r="C574" s="408"/>
      <c r="D574" s="408"/>
      <c r="E574" s="408"/>
      <c r="F574" s="408"/>
      <c r="G574" s="408"/>
      <c r="H574" s="408"/>
      <c r="I574" s="408"/>
      <c r="J574" s="408"/>
      <c r="K574" s="408"/>
      <c r="L574" s="408"/>
      <c r="M574" s="408"/>
      <c r="N574" s="408"/>
      <c r="O574" s="408"/>
      <c r="P574" s="408"/>
      <c r="Q574" s="408"/>
      <c r="R574" s="408"/>
      <c r="S574" s="408"/>
      <c r="T574" s="408"/>
      <c r="U574" s="408"/>
      <c r="V574" s="408"/>
      <c r="W574" s="408"/>
      <c r="X574" s="408"/>
      <c r="Y574" s="408"/>
      <c r="Z574" s="408"/>
      <c r="AA574" s="408"/>
      <c r="AB574" s="408"/>
      <c r="AC574" s="408"/>
      <c r="AD574" s="408"/>
      <c r="AE574" s="408"/>
      <c r="AF574" s="408"/>
      <c r="AG574" s="408"/>
      <c r="AH574" s="408"/>
      <c r="AI574" s="408"/>
      <c r="AJ574" s="408"/>
      <c r="AK574" s="408"/>
      <c r="AL574" s="408"/>
      <c r="AM574" s="408"/>
      <c r="AN574" s="408"/>
      <c r="AO574" s="408"/>
      <c r="AP574" s="408"/>
      <c r="AQ574" s="408"/>
      <c r="AR574" s="408"/>
      <c r="AS574" s="408"/>
      <c r="AT574" s="408"/>
      <c r="AU574" s="408"/>
      <c r="AV574" s="408"/>
      <c r="AW574" s="408"/>
      <c r="AX574" s="408"/>
      <c r="AY574" s="408"/>
      <c r="AZ574" s="408"/>
      <c r="BA574" s="408"/>
      <c r="BB574" s="408"/>
      <c r="BC574" s="408"/>
      <c r="BD574" s="408"/>
      <c r="BE574" s="408"/>
      <c r="BF574" s="408"/>
      <c r="BG574" s="408"/>
      <c r="BH574" s="408"/>
      <c r="BI574" s="408"/>
      <c r="BJ574" s="408"/>
      <c r="BK574" s="408"/>
      <c r="BL574" s="408"/>
      <c r="BM574" s="408"/>
      <c r="BN574" s="408"/>
      <c r="BO574" s="408"/>
      <c r="BP574" s="408"/>
      <c r="BQ574" s="408"/>
      <c r="BR574" s="408"/>
      <c r="BS574" s="408"/>
      <c r="BT574" s="408"/>
      <c r="BU574" s="408"/>
      <c r="BV574" s="408"/>
      <c r="BW574" s="408"/>
      <c r="BX574" s="408"/>
      <c r="BY574" s="408"/>
      <c r="BZ574" s="408"/>
      <c r="CA574" s="408"/>
      <c r="CB574" s="408"/>
      <c r="CC574" s="408"/>
      <c r="CD574" s="408"/>
      <c r="CE574" s="408"/>
      <c r="CF574" s="408"/>
      <c r="CG574" s="408"/>
      <c r="CH574" s="408"/>
      <c r="CI574" s="408"/>
      <c r="CJ574" s="408"/>
      <c r="CK574" s="408"/>
      <c r="CL574" s="408"/>
      <c r="CM574" s="408"/>
      <c r="CN574" s="408"/>
    </row>
    <row r="575">
      <c r="A575" s="408"/>
      <c r="B575" s="408"/>
      <c r="C575" s="408"/>
      <c r="D575" s="408"/>
      <c r="E575" s="408"/>
      <c r="F575" s="408"/>
      <c r="G575" s="408"/>
      <c r="H575" s="408"/>
      <c r="I575" s="408"/>
      <c r="J575" s="408"/>
      <c r="K575" s="408"/>
      <c r="L575" s="408"/>
      <c r="M575" s="408"/>
      <c r="N575" s="408"/>
      <c r="O575" s="408"/>
      <c r="P575" s="408"/>
      <c r="Q575" s="408"/>
      <c r="R575" s="408"/>
      <c r="S575" s="408"/>
      <c r="T575" s="408"/>
      <c r="U575" s="408"/>
      <c r="V575" s="408"/>
      <c r="W575" s="408"/>
      <c r="X575" s="408"/>
      <c r="Y575" s="408"/>
      <c r="Z575" s="408"/>
      <c r="AA575" s="408"/>
      <c r="AB575" s="408"/>
      <c r="AC575" s="408"/>
      <c r="AD575" s="408"/>
      <c r="AE575" s="408"/>
      <c r="AF575" s="408"/>
      <c r="AG575" s="408"/>
      <c r="AH575" s="408"/>
      <c r="AI575" s="408"/>
      <c r="AJ575" s="408"/>
      <c r="AK575" s="408"/>
      <c r="AL575" s="408"/>
      <c r="AM575" s="408"/>
      <c r="AN575" s="408"/>
      <c r="AO575" s="408"/>
      <c r="AP575" s="408"/>
      <c r="AQ575" s="408"/>
      <c r="AR575" s="408"/>
      <c r="AS575" s="408"/>
      <c r="AT575" s="408"/>
      <c r="AU575" s="408"/>
      <c r="AV575" s="408"/>
      <c r="AW575" s="408"/>
      <c r="AX575" s="408"/>
      <c r="AY575" s="408"/>
      <c r="AZ575" s="408"/>
      <c r="BA575" s="408"/>
      <c r="BB575" s="408"/>
      <c r="BC575" s="408"/>
      <c r="BD575" s="408"/>
      <c r="BE575" s="408"/>
      <c r="BF575" s="408"/>
      <c r="BG575" s="408"/>
      <c r="BH575" s="408"/>
      <c r="BI575" s="408"/>
      <c r="BJ575" s="408"/>
      <c r="BK575" s="408"/>
      <c r="BL575" s="408"/>
      <c r="BM575" s="408"/>
      <c r="BN575" s="408"/>
      <c r="BO575" s="408"/>
      <c r="BP575" s="408"/>
      <c r="BQ575" s="408"/>
      <c r="BR575" s="408"/>
      <c r="BS575" s="408"/>
      <c r="BT575" s="408"/>
      <c r="BU575" s="408"/>
      <c r="BV575" s="408"/>
      <c r="BW575" s="408"/>
      <c r="BX575" s="408"/>
      <c r="BY575" s="408"/>
      <c r="BZ575" s="408"/>
      <c r="CA575" s="408"/>
      <c r="CB575" s="408"/>
      <c r="CC575" s="408"/>
      <c r="CD575" s="408"/>
      <c r="CE575" s="408"/>
      <c r="CF575" s="408"/>
      <c r="CG575" s="408"/>
      <c r="CH575" s="408"/>
      <c r="CI575" s="408"/>
      <c r="CJ575" s="408"/>
      <c r="CK575" s="408"/>
      <c r="CL575" s="408"/>
      <c r="CM575" s="408"/>
      <c r="CN575" s="408"/>
    </row>
    <row r="576">
      <c r="A576" s="408"/>
      <c r="B576" s="408"/>
      <c r="C576" s="408"/>
      <c r="D576" s="408"/>
      <c r="E576" s="408"/>
      <c r="F576" s="408"/>
      <c r="G576" s="408"/>
      <c r="H576" s="408"/>
      <c r="I576" s="408"/>
      <c r="J576" s="408"/>
      <c r="K576" s="408"/>
      <c r="L576" s="408"/>
      <c r="M576" s="408"/>
      <c r="N576" s="408"/>
      <c r="O576" s="408"/>
      <c r="P576" s="408"/>
      <c r="Q576" s="408"/>
      <c r="R576" s="408"/>
      <c r="S576" s="408"/>
      <c r="T576" s="408"/>
      <c r="U576" s="408"/>
      <c r="V576" s="408"/>
      <c r="W576" s="408"/>
      <c r="X576" s="408"/>
      <c r="Y576" s="408"/>
      <c r="Z576" s="408"/>
      <c r="AA576" s="408"/>
      <c r="AB576" s="408"/>
      <c r="AC576" s="408"/>
      <c r="AD576" s="408"/>
      <c r="AE576" s="408"/>
      <c r="AF576" s="408"/>
      <c r="AG576" s="408"/>
      <c r="AH576" s="408"/>
      <c r="AI576" s="408"/>
      <c r="AJ576" s="408"/>
      <c r="AK576" s="408"/>
      <c r="AL576" s="408"/>
      <c r="AM576" s="408"/>
      <c r="AN576" s="408"/>
      <c r="AO576" s="408"/>
      <c r="AP576" s="408"/>
      <c r="AQ576" s="408"/>
      <c r="AR576" s="408"/>
      <c r="AS576" s="408"/>
      <c r="AT576" s="408"/>
      <c r="AU576" s="408"/>
      <c r="AV576" s="408"/>
      <c r="AW576" s="408"/>
      <c r="AX576" s="408"/>
      <c r="AY576" s="408"/>
      <c r="AZ576" s="408"/>
      <c r="BA576" s="408"/>
      <c r="BB576" s="408"/>
      <c r="BC576" s="408"/>
      <c r="BD576" s="408"/>
      <c r="BE576" s="408"/>
      <c r="BF576" s="408"/>
      <c r="BG576" s="408"/>
      <c r="BH576" s="408"/>
      <c r="BI576" s="408"/>
      <c r="BJ576" s="408"/>
      <c r="BK576" s="408"/>
      <c r="BL576" s="408"/>
      <c r="BM576" s="408"/>
      <c r="BN576" s="408"/>
      <c r="BO576" s="408"/>
      <c r="BP576" s="408"/>
      <c r="BQ576" s="408"/>
      <c r="BR576" s="408"/>
      <c r="BS576" s="408"/>
      <c r="BT576" s="408"/>
      <c r="BU576" s="408"/>
      <c r="BV576" s="408"/>
      <c r="BW576" s="408"/>
      <c r="BX576" s="408"/>
      <c r="BY576" s="408"/>
      <c r="BZ576" s="408"/>
      <c r="CA576" s="408"/>
      <c r="CB576" s="408"/>
      <c r="CC576" s="408"/>
      <c r="CD576" s="408"/>
      <c r="CE576" s="408"/>
      <c r="CF576" s="408"/>
      <c r="CG576" s="408"/>
      <c r="CH576" s="408"/>
      <c r="CI576" s="408"/>
      <c r="CJ576" s="408"/>
      <c r="CK576" s="408"/>
      <c r="CL576" s="408"/>
      <c r="CM576" s="408"/>
      <c r="CN576" s="408"/>
    </row>
    <row r="577">
      <c r="A577" s="408"/>
      <c r="B577" s="408"/>
      <c r="C577" s="408"/>
      <c r="D577" s="408"/>
      <c r="E577" s="408"/>
      <c r="F577" s="408"/>
      <c r="G577" s="408"/>
      <c r="H577" s="408"/>
      <c r="I577" s="408"/>
      <c r="J577" s="408"/>
      <c r="K577" s="408"/>
      <c r="L577" s="408"/>
      <c r="M577" s="408"/>
      <c r="N577" s="408"/>
      <c r="O577" s="408"/>
      <c r="P577" s="408"/>
      <c r="Q577" s="408"/>
      <c r="R577" s="408"/>
      <c r="S577" s="408"/>
      <c r="T577" s="408"/>
      <c r="U577" s="408"/>
      <c r="V577" s="408"/>
      <c r="W577" s="408"/>
      <c r="X577" s="408"/>
      <c r="Y577" s="408"/>
      <c r="Z577" s="408"/>
      <c r="AA577" s="408"/>
      <c r="AB577" s="408"/>
      <c r="AC577" s="408"/>
      <c r="AD577" s="408"/>
      <c r="AE577" s="408"/>
      <c r="AF577" s="408"/>
      <c r="AG577" s="408"/>
      <c r="AH577" s="408"/>
      <c r="AI577" s="408"/>
      <c r="AJ577" s="408"/>
      <c r="AK577" s="408"/>
      <c r="AL577" s="408"/>
      <c r="AM577" s="408"/>
      <c r="AN577" s="408"/>
      <c r="AO577" s="408"/>
      <c r="AP577" s="408"/>
      <c r="AQ577" s="408"/>
      <c r="AR577" s="408"/>
      <c r="AS577" s="408"/>
      <c r="AT577" s="408"/>
      <c r="AU577" s="408"/>
      <c r="AV577" s="408"/>
      <c r="AW577" s="408"/>
      <c r="AX577" s="408"/>
      <c r="AY577" s="408"/>
      <c r="AZ577" s="408"/>
      <c r="BA577" s="408"/>
      <c r="BB577" s="408"/>
      <c r="BC577" s="408"/>
      <c r="BD577" s="408"/>
      <c r="BE577" s="408"/>
      <c r="BF577" s="408"/>
      <c r="BG577" s="408"/>
      <c r="BH577" s="408"/>
      <c r="BI577" s="408"/>
      <c r="BJ577" s="408"/>
      <c r="BK577" s="408"/>
      <c r="BL577" s="408"/>
      <c r="BM577" s="408"/>
      <c r="BN577" s="408"/>
      <c r="BO577" s="408"/>
      <c r="BP577" s="408"/>
      <c r="BQ577" s="408"/>
      <c r="BR577" s="408"/>
      <c r="BS577" s="408"/>
      <c r="BT577" s="408"/>
      <c r="BU577" s="408"/>
      <c r="BV577" s="408"/>
      <c r="BW577" s="408"/>
      <c r="BX577" s="408"/>
      <c r="BY577" s="408"/>
      <c r="BZ577" s="408"/>
      <c r="CA577" s="408"/>
      <c r="CB577" s="408"/>
      <c r="CC577" s="408"/>
      <c r="CD577" s="408"/>
      <c r="CE577" s="408"/>
      <c r="CF577" s="408"/>
      <c r="CG577" s="408"/>
      <c r="CH577" s="408"/>
      <c r="CI577" s="408"/>
      <c r="CJ577" s="408"/>
      <c r="CK577" s="408"/>
      <c r="CL577" s="408"/>
      <c r="CM577" s="408"/>
      <c r="CN577" s="408"/>
    </row>
    <row r="578">
      <c r="A578" s="408"/>
      <c r="B578" s="408"/>
      <c r="C578" s="408"/>
      <c r="D578" s="408"/>
      <c r="E578" s="408"/>
      <c r="F578" s="408"/>
      <c r="G578" s="408"/>
      <c r="H578" s="408"/>
      <c r="I578" s="408"/>
      <c r="J578" s="408"/>
      <c r="K578" s="408"/>
      <c r="L578" s="408"/>
      <c r="M578" s="408"/>
      <c r="N578" s="408"/>
      <c r="O578" s="408"/>
      <c r="P578" s="408"/>
      <c r="Q578" s="408"/>
      <c r="R578" s="408"/>
      <c r="S578" s="408"/>
      <c r="T578" s="408"/>
      <c r="U578" s="408"/>
      <c r="V578" s="408"/>
      <c r="W578" s="408"/>
      <c r="X578" s="408"/>
      <c r="Y578" s="408"/>
      <c r="Z578" s="408"/>
      <c r="AA578" s="408"/>
      <c r="AB578" s="408"/>
      <c r="AC578" s="408"/>
      <c r="AD578" s="408"/>
      <c r="AE578" s="408"/>
      <c r="AF578" s="408"/>
      <c r="AG578" s="408"/>
      <c r="AH578" s="408"/>
      <c r="AI578" s="408"/>
      <c r="AJ578" s="408"/>
      <c r="AK578" s="408"/>
      <c r="AL578" s="408"/>
      <c r="AM578" s="408"/>
      <c r="AN578" s="408"/>
      <c r="AO578" s="408"/>
      <c r="AP578" s="408"/>
      <c r="AQ578" s="408"/>
      <c r="AR578" s="408"/>
      <c r="AS578" s="408"/>
      <c r="AT578" s="408"/>
      <c r="AU578" s="408"/>
      <c r="AV578" s="408"/>
      <c r="AW578" s="408"/>
      <c r="AX578" s="408"/>
      <c r="AY578" s="408"/>
      <c r="AZ578" s="408"/>
      <c r="BA578" s="408"/>
      <c r="BB578" s="408"/>
      <c r="BC578" s="408"/>
      <c r="BD578" s="408"/>
      <c r="BE578" s="408"/>
      <c r="BF578" s="408"/>
      <c r="BG578" s="408"/>
      <c r="BH578" s="408"/>
      <c r="BI578" s="408"/>
      <c r="BJ578" s="408"/>
      <c r="BK578" s="408"/>
      <c r="BL578" s="408"/>
      <c r="BM578" s="408"/>
      <c r="BN578" s="408"/>
      <c r="BO578" s="408"/>
      <c r="BP578" s="408"/>
      <c r="BQ578" s="408"/>
      <c r="BR578" s="408"/>
      <c r="BS578" s="408"/>
      <c r="BT578" s="408"/>
      <c r="BU578" s="408"/>
      <c r="BV578" s="408"/>
      <c r="BW578" s="408"/>
      <c r="BX578" s="408"/>
      <c r="BY578" s="408"/>
      <c r="BZ578" s="408"/>
      <c r="CA578" s="408"/>
      <c r="CB578" s="408"/>
      <c r="CC578" s="408"/>
      <c r="CD578" s="408"/>
      <c r="CE578" s="408"/>
      <c r="CF578" s="408"/>
      <c r="CG578" s="408"/>
      <c r="CH578" s="408"/>
      <c r="CI578" s="408"/>
      <c r="CJ578" s="408"/>
      <c r="CK578" s="408"/>
      <c r="CL578" s="408"/>
      <c r="CM578" s="408"/>
      <c r="CN578" s="408"/>
    </row>
    <row r="579">
      <c r="A579" s="408"/>
      <c r="B579" s="408"/>
      <c r="C579" s="408"/>
      <c r="D579" s="408"/>
      <c r="E579" s="408"/>
      <c r="F579" s="408"/>
      <c r="G579" s="408"/>
      <c r="H579" s="408"/>
      <c r="I579" s="408"/>
      <c r="J579" s="408"/>
      <c r="K579" s="408"/>
      <c r="L579" s="408"/>
      <c r="M579" s="408"/>
      <c r="N579" s="408"/>
      <c r="O579" s="408"/>
      <c r="P579" s="408"/>
      <c r="Q579" s="408"/>
      <c r="R579" s="408"/>
      <c r="S579" s="408"/>
      <c r="T579" s="408"/>
      <c r="U579" s="408"/>
      <c r="V579" s="408"/>
      <c r="W579" s="408"/>
      <c r="X579" s="408"/>
      <c r="Y579" s="408"/>
      <c r="Z579" s="408"/>
      <c r="AA579" s="408"/>
      <c r="AB579" s="408"/>
      <c r="AC579" s="408"/>
      <c r="AD579" s="408"/>
      <c r="AE579" s="408"/>
      <c r="AF579" s="408"/>
      <c r="AG579" s="408"/>
      <c r="AH579" s="408"/>
      <c r="AI579" s="408"/>
      <c r="AJ579" s="408"/>
      <c r="AK579" s="408"/>
      <c r="AL579" s="408"/>
      <c r="AM579" s="408"/>
      <c r="AN579" s="408"/>
      <c r="AO579" s="408"/>
      <c r="AP579" s="408"/>
      <c r="AQ579" s="408"/>
      <c r="AR579" s="408"/>
      <c r="AS579" s="408"/>
      <c r="AT579" s="408"/>
      <c r="AU579" s="408"/>
      <c r="AV579" s="408"/>
      <c r="AW579" s="408"/>
      <c r="AX579" s="408"/>
      <c r="AY579" s="408"/>
      <c r="AZ579" s="408"/>
      <c r="BA579" s="408"/>
      <c r="BB579" s="408"/>
      <c r="BC579" s="408"/>
      <c r="BD579" s="408"/>
      <c r="BE579" s="408"/>
      <c r="BF579" s="408"/>
      <c r="BG579" s="408"/>
      <c r="BH579" s="408"/>
      <c r="BI579" s="408"/>
      <c r="BJ579" s="408"/>
      <c r="BK579" s="408"/>
      <c r="BL579" s="408"/>
      <c r="BM579" s="408"/>
      <c r="BN579" s="408"/>
      <c r="BO579" s="408"/>
      <c r="BP579" s="408"/>
      <c r="BQ579" s="408"/>
      <c r="BR579" s="408"/>
      <c r="BS579" s="408"/>
      <c r="BT579" s="408"/>
      <c r="BU579" s="408"/>
      <c r="BV579" s="408"/>
      <c r="BW579" s="408"/>
      <c r="BX579" s="408"/>
      <c r="BY579" s="408"/>
      <c r="BZ579" s="408"/>
      <c r="CA579" s="408"/>
      <c r="CB579" s="408"/>
      <c r="CC579" s="408"/>
      <c r="CD579" s="408"/>
      <c r="CE579" s="408"/>
      <c r="CF579" s="408"/>
      <c r="CG579" s="408"/>
      <c r="CH579" s="408"/>
      <c r="CI579" s="408"/>
      <c r="CJ579" s="408"/>
      <c r="CK579" s="408"/>
      <c r="CL579" s="408"/>
      <c r="CM579" s="408"/>
      <c r="CN579" s="408"/>
    </row>
    <row r="580">
      <c r="A580" s="408"/>
      <c r="B580" s="408"/>
      <c r="C580" s="408"/>
      <c r="D580" s="408"/>
      <c r="E580" s="408"/>
      <c r="F580" s="408"/>
      <c r="G580" s="408"/>
      <c r="H580" s="408"/>
      <c r="I580" s="408"/>
      <c r="J580" s="408"/>
      <c r="K580" s="408"/>
      <c r="L580" s="408"/>
      <c r="M580" s="408"/>
      <c r="N580" s="408"/>
      <c r="O580" s="408"/>
      <c r="P580" s="408"/>
      <c r="Q580" s="408"/>
      <c r="R580" s="408"/>
      <c r="S580" s="408"/>
      <c r="T580" s="408"/>
      <c r="U580" s="408"/>
      <c r="V580" s="408"/>
      <c r="W580" s="408"/>
      <c r="X580" s="408"/>
      <c r="Y580" s="408"/>
      <c r="Z580" s="408"/>
      <c r="AA580" s="408"/>
      <c r="AB580" s="408"/>
      <c r="AC580" s="408"/>
      <c r="AD580" s="408"/>
      <c r="AE580" s="408"/>
      <c r="AF580" s="408"/>
      <c r="AG580" s="408"/>
      <c r="AH580" s="408"/>
      <c r="AI580" s="408"/>
      <c r="AJ580" s="408"/>
      <c r="AK580" s="408"/>
      <c r="AL580" s="408"/>
      <c r="AM580" s="408"/>
      <c r="AN580" s="408"/>
      <c r="AO580" s="408"/>
      <c r="AP580" s="408"/>
      <c r="AQ580" s="408"/>
      <c r="AR580" s="408"/>
      <c r="AS580" s="408"/>
      <c r="AT580" s="408"/>
      <c r="AU580" s="408"/>
      <c r="AV580" s="408"/>
      <c r="AW580" s="408"/>
      <c r="AX580" s="408"/>
      <c r="AY580" s="408"/>
      <c r="AZ580" s="408"/>
      <c r="BA580" s="408"/>
      <c r="BB580" s="408"/>
      <c r="BC580" s="408"/>
      <c r="BD580" s="408"/>
      <c r="BE580" s="408"/>
      <c r="BF580" s="408"/>
      <c r="BG580" s="408"/>
      <c r="BH580" s="408"/>
      <c r="BI580" s="408"/>
      <c r="BJ580" s="408"/>
      <c r="BK580" s="408"/>
      <c r="BL580" s="408"/>
      <c r="BM580" s="408"/>
      <c r="BN580" s="408"/>
      <c r="BO580" s="408"/>
      <c r="BP580" s="408"/>
      <c r="BQ580" s="408"/>
      <c r="BR580" s="408"/>
      <c r="BS580" s="408"/>
      <c r="BT580" s="408"/>
      <c r="BU580" s="408"/>
      <c r="BV580" s="408"/>
      <c r="BW580" s="408"/>
      <c r="BX580" s="408"/>
      <c r="BY580" s="408"/>
      <c r="BZ580" s="408"/>
      <c r="CA580" s="408"/>
      <c r="CB580" s="408"/>
      <c r="CC580" s="408"/>
      <c r="CD580" s="408"/>
      <c r="CE580" s="408"/>
      <c r="CF580" s="408"/>
      <c r="CG580" s="408"/>
      <c r="CH580" s="408"/>
      <c r="CI580" s="408"/>
      <c r="CJ580" s="408"/>
      <c r="CK580" s="408"/>
      <c r="CL580" s="408"/>
      <c r="CM580" s="408"/>
      <c r="CN580" s="408"/>
    </row>
    <row r="581">
      <c r="A581" s="408"/>
      <c r="B581" s="408"/>
      <c r="C581" s="408"/>
      <c r="D581" s="408"/>
      <c r="E581" s="408"/>
      <c r="F581" s="408"/>
      <c r="G581" s="408"/>
      <c r="H581" s="408"/>
      <c r="I581" s="408"/>
      <c r="J581" s="408"/>
      <c r="K581" s="408"/>
      <c r="L581" s="408"/>
      <c r="M581" s="408"/>
      <c r="N581" s="408"/>
      <c r="O581" s="408"/>
      <c r="P581" s="408"/>
      <c r="Q581" s="408"/>
      <c r="R581" s="408"/>
      <c r="S581" s="408"/>
      <c r="T581" s="408"/>
      <c r="U581" s="408"/>
      <c r="V581" s="408"/>
      <c r="W581" s="408"/>
      <c r="X581" s="408"/>
      <c r="Y581" s="408"/>
      <c r="Z581" s="408"/>
      <c r="AA581" s="408"/>
      <c r="AB581" s="408"/>
      <c r="AC581" s="408"/>
      <c r="AD581" s="408"/>
      <c r="AE581" s="408"/>
      <c r="AF581" s="408"/>
      <c r="AG581" s="408"/>
      <c r="AH581" s="408"/>
      <c r="AI581" s="408"/>
      <c r="AJ581" s="408"/>
      <c r="AK581" s="408"/>
      <c r="AL581" s="408"/>
      <c r="AM581" s="408"/>
      <c r="AN581" s="408"/>
      <c r="AO581" s="408"/>
      <c r="AP581" s="408"/>
      <c r="AQ581" s="408"/>
      <c r="AR581" s="408"/>
      <c r="AS581" s="408"/>
      <c r="AT581" s="408"/>
      <c r="AU581" s="408"/>
      <c r="AV581" s="408"/>
      <c r="AW581" s="408"/>
      <c r="AX581" s="408"/>
      <c r="AY581" s="408"/>
      <c r="AZ581" s="408"/>
      <c r="BA581" s="408"/>
      <c r="BB581" s="408"/>
      <c r="BC581" s="408"/>
      <c r="BD581" s="408"/>
      <c r="BE581" s="408"/>
      <c r="BF581" s="408"/>
      <c r="BG581" s="408"/>
      <c r="BH581" s="408"/>
      <c r="BI581" s="408"/>
      <c r="BJ581" s="408"/>
      <c r="BK581" s="408"/>
      <c r="BL581" s="408"/>
      <c r="BM581" s="408"/>
      <c r="BN581" s="408"/>
      <c r="BO581" s="408"/>
      <c r="BP581" s="408"/>
      <c r="BQ581" s="408"/>
      <c r="BR581" s="408"/>
      <c r="BS581" s="408"/>
      <c r="BT581" s="408"/>
      <c r="BU581" s="408"/>
      <c r="BV581" s="408"/>
      <c r="BW581" s="408"/>
      <c r="BX581" s="408"/>
      <c r="BY581" s="408"/>
      <c r="BZ581" s="408"/>
      <c r="CA581" s="408"/>
      <c r="CB581" s="408"/>
      <c r="CC581" s="408"/>
      <c r="CD581" s="408"/>
      <c r="CE581" s="408"/>
      <c r="CF581" s="408"/>
      <c r="CG581" s="408"/>
      <c r="CH581" s="408"/>
      <c r="CI581" s="408"/>
      <c r="CJ581" s="408"/>
      <c r="CK581" s="408"/>
      <c r="CL581" s="408"/>
      <c r="CM581" s="408"/>
      <c r="CN581" s="408"/>
    </row>
    <row r="582">
      <c r="A582" s="408"/>
      <c r="B582" s="408"/>
      <c r="C582" s="408"/>
      <c r="D582" s="408"/>
      <c r="E582" s="408"/>
      <c r="F582" s="408"/>
      <c r="G582" s="408"/>
      <c r="H582" s="408"/>
      <c r="I582" s="408"/>
      <c r="J582" s="408"/>
      <c r="K582" s="408"/>
      <c r="L582" s="408"/>
      <c r="M582" s="408"/>
      <c r="N582" s="408"/>
      <c r="O582" s="408"/>
      <c r="P582" s="408"/>
      <c r="Q582" s="408"/>
      <c r="R582" s="408"/>
      <c r="S582" s="408"/>
      <c r="T582" s="408"/>
      <c r="U582" s="408"/>
      <c r="V582" s="408"/>
      <c r="W582" s="408"/>
      <c r="X582" s="408"/>
      <c r="Y582" s="408"/>
      <c r="Z582" s="408"/>
      <c r="AA582" s="408"/>
      <c r="AB582" s="408"/>
      <c r="AC582" s="408"/>
      <c r="AD582" s="408"/>
      <c r="AE582" s="408"/>
      <c r="AF582" s="408"/>
      <c r="AG582" s="408"/>
      <c r="AH582" s="408"/>
      <c r="AI582" s="408"/>
      <c r="AJ582" s="408"/>
      <c r="AK582" s="408"/>
      <c r="AL582" s="408"/>
      <c r="AM582" s="408"/>
      <c r="AN582" s="408"/>
      <c r="AO582" s="408"/>
      <c r="AP582" s="408"/>
      <c r="AQ582" s="408"/>
      <c r="AR582" s="408"/>
      <c r="AS582" s="408"/>
      <c r="AT582" s="408"/>
      <c r="AU582" s="408"/>
      <c r="AV582" s="408"/>
      <c r="AW582" s="408"/>
      <c r="AX582" s="408"/>
      <c r="AY582" s="408"/>
      <c r="AZ582" s="408"/>
      <c r="BA582" s="408"/>
      <c r="BB582" s="408"/>
      <c r="BC582" s="408"/>
      <c r="BD582" s="408"/>
      <c r="BE582" s="408"/>
      <c r="BF582" s="408"/>
      <c r="BG582" s="408"/>
      <c r="BH582" s="408"/>
      <c r="BI582" s="408"/>
      <c r="BJ582" s="408"/>
      <c r="BK582" s="408"/>
      <c r="BL582" s="408"/>
      <c r="BM582" s="408"/>
      <c r="BN582" s="408"/>
      <c r="BO582" s="408"/>
      <c r="BP582" s="408"/>
      <c r="BQ582" s="408"/>
      <c r="BR582" s="408"/>
      <c r="BS582" s="408"/>
      <c r="BT582" s="408"/>
      <c r="BU582" s="408"/>
      <c r="BV582" s="408"/>
      <c r="BW582" s="408"/>
      <c r="BX582" s="408"/>
      <c r="BY582" s="408"/>
      <c r="BZ582" s="408"/>
      <c r="CA582" s="408"/>
      <c r="CB582" s="408"/>
      <c r="CC582" s="408"/>
      <c r="CD582" s="408"/>
      <c r="CE582" s="408"/>
      <c r="CF582" s="408"/>
      <c r="CG582" s="408"/>
      <c r="CH582" s="408"/>
      <c r="CI582" s="408"/>
      <c r="CJ582" s="408"/>
      <c r="CK582" s="408"/>
      <c r="CL582" s="408"/>
      <c r="CM582" s="408"/>
      <c r="CN582" s="408"/>
    </row>
    <row r="583">
      <c r="A583" s="408"/>
      <c r="B583" s="408"/>
      <c r="C583" s="408"/>
      <c r="D583" s="408"/>
      <c r="E583" s="408"/>
      <c r="F583" s="408"/>
      <c r="G583" s="408"/>
      <c r="H583" s="408"/>
      <c r="I583" s="408"/>
      <c r="J583" s="408"/>
      <c r="K583" s="408"/>
      <c r="L583" s="408"/>
      <c r="M583" s="408"/>
      <c r="N583" s="408"/>
      <c r="O583" s="408"/>
      <c r="P583" s="408"/>
      <c r="Q583" s="408"/>
      <c r="R583" s="408"/>
      <c r="S583" s="408"/>
      <c r="T583" s="408"/>
      <c r="U583" s="408"/>
      <c r="V583" s="408"/>
      <c r="W583" s="408"/>
      <c r="X583" s="408"/>
      <c r="Y583" s="408"/>
      <c r="Z583" s="408"/>
      <c r="AA583" s="408"/>
      <c r="AB583" s="408"/>
      <c r="AC583" s="408"/>
      <c r="AD583" s="408"/>
      <c r="AE583" s="408"/>
      <c r="AF583" s="408"/>
      <c r="AG583" s="408"/>
      <c r="AH583" s="408"/>
      <c r="AI583" s="408"/>
      <c r="AJ583" s="408"/>
      <c r="AK583" s="408"/>
      <c r="AL583" s="408"/>
      <c r="AM583" s="408"/>
      <c r="AN583" s="408"/>
      <c r="AO583" s="408"/>
      <c r="AP583" s="408"/>
      <c r="AQ583" s="408"/>
      <c r="AR583" s="408"/>
      <c r="AS583" s="408"/>
      <c r="AT583" s="408"/>
      <c r="AU583" s="408"/>
      <c r="AV583" s="408"/>
      <c r="AW583" s="408"/>
      <c r="AX583" s="408"/>
      <c r="AY583" s="408"/>
      <c r="AZ583" s="408"/>
      <c r="BA583" s="408"/>
      <c r="BB583" s="408"/>
      <c r="BC583" s="408"/>
      <c r="BD583" s="408"/>
      <c r="BE583" s="408"/>
      <c r="BF583" s="408"/>
      <c r="BG583" s="408"/>
      <c r="BH583" s="408"/>
      <c r="BI583" s="408"/>
      <c r="BJ583" s="408"/>
      <c r="BK583" s="408"/>
      <c r="BL583" s="408"/>
      <c r="BM583" s="408"/>
      <c r="BN583" s="408"/>
      <c r="BO583" s="408"/>
      <c r="BP583" s="408"/>
      <c r="BQ583" s="408"/>
      <c r="BR583" s="408"/>
      <c r="BS583" s="408"/>
      <c r="BT583" s="408"/>
      <c r="BU583" s="408"/>
      <c r="BV583" s="408"/>
      <c r="BW583" s="408"/>
      <c r="BX583" s="408"/>
      <c r="BY583" s="408"/>
      <c r="BZ583" s="408"/>
      <c r="CA583" s="408"/>
      <c r="CB583" s="408"/>
      <c r="CC583" s="408"/>
      <c r="CD583" s="408"/>
      <c r="CE583" s="408"/>
      <c r="CF583" s="408"/>
      <c r="CG583" s="408"/>
      <c r="CH583" s="408"/>
      <c r="CI583" s="408"/>
      <c r="CJ583" s="408"/>
      <c r="CK583" s="408"/>
      <c r="CL583" s="408"/>
      <c r="CM583" s="408"/>
      <c r="CN583" s="408"/>
    </row>
    <row r="584">
      <c r="A584" s="408"/>
      <c r="B584" s="408"/>
      <c r="C584" s="408"/>
      <c r="D584" s="408"/>
      <c r="E584" s="408"/>
      <c r="F584" s="408"/>
      <c r="G584" s="408"/>
      <c r="H584" s="408"/>
      <c r="I584" s="408"/>
      <c r="J584" s="408"/>
      <c r="K584" s="408"/>
      <c r="L584" s="408"/>
      <c r="M584" s="408"/>
      <c r="N584" s="408"/>
      <c r="O584" s="408"/>
      <c r="P584" s="408"/>
      <c r="Q584" s="408"/>
      <c r="R584" s="408"/>
      <c r="S584" s="408"/>
      <c r="T584" s="408"/>
      <c r="U584" s="408"/>
      <c r="V584" s="408"/>
      <c r="W584" s="408"/>
      <c r="X584" s="408"/>
      <c r="Y584" s="408"/>
      <c r="Z584" s="408"/>
      <c r="AA584" s="408"/>
      <c r="AB584" s="408"/>
      <c r="AC584" s="408"/>
      <c r="AD584" s="408"/>
      <c r="AE584" s="408"/>
      <c r="AF584" s="408"/>
      <c r="AG584" s="408"/>
      <c r="AH584" s="408"/>
      <c r="AI584" s="408"/>
      <c r="AJ584" s="408"/>
      <c r="AK584" s="408"/>
      <c r="AL584" s="408"/>
      <c r="AM584" s="408"/>
      <c r="AN584" s="408"/>
      <c r="AO584" s="408"/>
      <c r="AP584" s="408"/>
      <c r="AQ584" s="408"/>
      <c r="AR584" s="408"/>
      <c r="AS584" s="408"/>
      <c r="AT584" s="408"/>
      <c r="AU584" s="408"/>
      <c r="AV584" s="408"/>
      <c r="AW584" s="408"/>
      <c r="AX584" s="408"/>
      <c r="AY584" s="408"/>
      <c r="AZ584" s="408"/>
      <c r="BA584" s="408"/>
      <c r="BB584" s="408"/>
      <c r="BC584" s="408"/>
      <c r="BD584" s="408"/>
      <c r="BE584" s="408"/>
      <c r="BF584" s="408"/>
      <c r="BG584" s="408"/>
      <c r="BH584" s="408"/>
      <c r="BI584" s="408"/>
      <c r="BJ584" s="408"/>
      <c r="BK584" s="408"/>
      <c r="BL584" s="408"/>
      <c r="BM584" s="408"/>
      <c r="BN584" s="408"/>
      <c r="BO584" s="408"/>
      <c r="BP584" s="408"/>
      <c r="BQ584" s="408"/>
      <c r="BR584" s="408"/>
      <c r="BS584" s="408"/>
      <c r="BT584" s="408"/>
      <c r="BU584" s="408"/>
      <c r="BV584" s="408"/>
      <c r="BW584" s="408"/>
      <c r="BX584" s="408"/>
      <c r="BY584" s="408"/>
      <c r="BZ584" s="408"/>
      <c r="CA584" s="408"/>
      <c r="CB584" s="408"/>
      <c r="CC584" s="408"/>
      <c r="CD584" s="408"/>
      <c r="CE584" s="408"/>
      <c r="CF584" s="408"/>
      <c r="CG584" s="408"/>
      <c r="CH584" s="408"/>
      <c r="CI584" s="408"/>
      <c r="CJ584" s="408"/>
      <c r="CK584" s="408"/>
      <c r="CL584" s="408"/>
      <c r="CM584" s="408"/>
      <c r="CN584" s="408"/>
    </row>
    <row r="585">
      <c r="A585" s="408"/>
      <c r="B585" s="408"/>
      <c r="C585" s="408"/>
      <c r="D585" s="408"/>
      <c r="E585" s="408"/>
      <c r="F585" s="408"/>
      <c r="G585" s="408"/>
      <c r="H585" s="408"/>
      <c r="I585" s="408"/>
      <c r="J585" s="408"/>
      <c r="K585" s="408"/>
      <c r="L585" s="408"/>
      <c r="M585" s="408"/>
      <c r="N585" s="408"/>
      <c r="O585" s="408"/>
      <c r="P585" s="408"/>
      <c r="Q585" s="408"/>
      <c r="R585" s="408"/>
      <c r="S585" s="408"/>
      <c r="T585" s="408"/>
      <c r="U585" s="408"/>
      <c r="V585" s="408"/>
      <c r="W585" s="408"/>
      <c r="X585" s="408"/>
      <c r="Y585" s="408"/>
      <c r="Z585" s="408"/>
      <c r="AA585" s="408"/>
      <c r="AB585" s="408"/>
      <c r="AC585" s="408"/>
      <c r="AD585" s="408"/>
      <c r="AE585" s="408"/>
      <c r="AF585" s="408"/>
      <c r="AG585" s="408"/>
      <c r="AH585" s="408"/>
      <c r="AI585" s="408"/>
      <c r="AJ585" s="408"/>
      <c r="AK585" s="408"/>
      <c r="AL585" s="408"/>
      <c r="AM585" s="408"/>
      <c r="AN585" s="408"/>
      <c r="AO585" s="408"/>
      <c r="AP585" s="408"/>
      <c r="AQ585" s="408"/>
      <c r="AR585" s="408"/>
      <c r="AS585" s="408"/>
      <c r="AT585" s="408"/>
      <c r="AU585" s="408"/>
      <c r="AV585" s="408"/>
      <c r="AW585" s="408"/>
      <c r="AX585" s="408"/>
      <c r="AY585" s="408"/>
      <c r="AZ585" s="408"/>
      <c r="BA585" s="408"/>
      <c r="BB585" s="408"/>
      <c r="BC585" s="408"/>
      <c r="BD585" s="408"/>
      <c r="BE585" s="408"/>
      <c r="BF585" s="408"/>
      <c r="BG585" s="408"/>
      <c r="BH585" s="408"/>
      <c r="BI585" s="408"/>
      <c r="BJ585" s="408"/>
      <c r="BK585" s="408"/>
      <c r="BL585" s="408"/>
      <c r="BM585" s="408"/>
      <c r="BN585" s="408"/>
      <c r="BO585" s="408"/>
      <c r="BP585" s="408"/>
      <c r="BQ585" s="408"/>
      <c r="BR585" s="408"/>
      <c r="BS585" s="408"/>
      <c r="BT585" s="408"/>
      <c r="BU585" s="408"/>
      <c r="BV585" s="408"/>
      <c r="BW585" s="408"/>
      <c r="BX585" s="408"/>
      <c r="BY585" s="408"/>
      <c r="BZ585" s="408"/>
      <c r="CA585" s="408"/>
      <c r="CB585" s="408"/>
      <c r="CC585" s="408"/>
      <c r="CD585" s="408"/>
      <c r="CE585" s="408"/>
      <c r="CF585" s="408"/>
      <c r="CG585" s="408"/>
      <c r="CH585" s="408"/>
      <c r="CI585" s="408"/>
      <c r="CJ585" s="408"/>
      <c r="CK585" s="408"/>
      <c r="CL585" s="408"/>
      <c r="CM585" s="408"/>
      <c r="CN585" s="408"/>
    </row>
    <row r="586">
      <c r="A586" s="408"/>
      <c r="B586" s="408"/>
      <c r="C586" s="408"/>
      <c r="D586" s="408"/>
      <c r="E586" s="408"/>
      <c r="F586" s="408"/>
      <c r="G586" s="408"/>
      <c r="H586" s="408"/>
      <c r="I586" s="408"/>
      <c r="J586" s="408"/>
      <c r="K586" s="408"/>
      <c r="L586" s="408"/>
      <c r="M586" s="408"/>
      <c r="N586" s="408"/>
      <c r="O586" s="408"/>
      <c r="P586" s="408"/>
      <c r="Q586" s="408"/>
      <c r="R586" s="408"/>
      <c r="S586" s="408"/>
      <c r="T586" s="408"/>
      <c r="U586" s="408"/>
      <c r="V586" s="408"/>
      <c r="W586" s="408"/>
      <c r="X586" s="408"/>
      <c r="Y586" s="408"/>
      <c r="Z586" s="408"/>
      <c r="AA586" s="408"/>
      <c r="AB586" s="408"/>
      <c r="AC586" s="408"/>
      <c r="AD586" s="408"/>
      <c r="AE586" s="408"/>
      <c r="AF586" s="408"/>
      <c r="AG586" s="408"/>
      <c r="AH586" s="408"/>
      <c r="AI586" s="408"/>
      <c r="AJ586" s="408"/>
      <c r="AK586" s="408"/>
      <c r="AL586" s="408"/>
      <c r="AM586" s="408"/>
      <c r="AN586" s="408"/>
      <c r="AO586" s="408"/>
      <c r="AP586" s="408"/>
      <c r="AQ586" s="408"/>
      <c r="AR586" s="408"/>
      <c r="AS586" s="408"/>
      <c r="AT586" s="408"/>
      <c r="AU586" s="408"/>
      <c r="AV586" s="408"/>
      <c r="AW586" s="408"/>
      <c r="AX586" s="408"/>
      <c r="AY586" s="408"/>
      <c r="AZ586" s="408"/>
      <c r="BA586" s="408"/>
      <c r="BB586" s="408"/>
      <c r="BC586" s="408"/>
      <c r="BD586" s="408"/>
      <c r="BE586" s="408"/>
      <c r="BF586" s="408"/>
      <c r="BG586" s="408"/>
      <c r="BH586" s="408"/>
      <c r="BI586" s="408"/>
      <c r="BJ586" s="408"/>
      <c r="BK586" s="408"/>
      <c r="BL586" s="408"/>
      <c r="BM586" s="408"/>
      <c r="BN586" s="408"/>
      <c r="BO586" s="408"/>
      <c r="BP586" s="408"/>
      <c r="BQ586" s="408"/>
      <c r="BR586" s="408"/>
      <c r="BS586" s="408"/>
      <c r="BT586" s="408"/>
      <c r="BU586" s="408"/>
      <c r="BV586" s="408"/>
      <c r="BW586" s="408"/>
      <c r="BX586" s="408"/>
      <c r="BY586" s="408"/>
      <c r="BZ586" s="408"/>
      <c r="CA586" s="408"/>
      <c r="CB586" s="408"/>
      <c r="CC586" s="408"/>
      <c r="CD586" s="408"/>
      <c r="CE586" s="408"/>
      <c r="CF586" s="408"/>
      <c r="CG586" s="408"/>
      <c r="CH586" s="408"/>
      <c r="CI586" s="408"/>
      <c r="CJ586" s="408"/>
      <c r="CK586" s="408"/>
      <c r="CL586" s="408"/>
      <c r="CM586" s="408"/>
      <c r="CN586" s="408"/>
    </row>
    <row r="587">
      <c r="A587" s="408"/>
      <c r="B587" s="408"/>
      <c r="C587" s="408"/>
      <c r="D587" s="408"/>
      <c r="E587" s="408"/>
      <c r="F587" s="408"/>
      <c r="G587" s="408"/>
      <c r="H587" s="408"/>
      <c r="I587" s="408"/>
      <c r="J587" s="408"/>
      <c r="K587" s="408"/>
      <c r="L587" s="408"/>
      <c r="M587" s="408"/>
      <c r="N587" s="408"/>
      <c r="O587" s="408"/>
      <c r="P587" s="408"/>
      <c r="Q587" s="408"/>
      <c r="R587" s="408"/>
      <c r="S587" s="408"/>
      <c r="T587" s="408"/>
      <c r="U587" s="408"/>
      <c r="V587" s="408"/>
      <c r="W587" s="408"/>
      <c r="X587" s="408"/>
      <c r="Y587" s="408"/>
      <c r="Z587" s="408"/>
      <c r="AA587" s="408"/>
      <c r="AB587" s="408"/>
      <c r="AC587" s="408"/>
      <c r="AD587" s="408"/>
      <c r="AE587" s="408"/>
      <c r="AF587" s="408"/>
      <c r="AG587" s="408"/>
      <c r="AH587" s="408"/>
      <c r="AI587" s="408"/>
      <c r="AJ587" s="408"/>
      <c r="AK587" s="408"/>
      <c r="AL587" s="408"/>
      <c r="AM587" s="408"/>
      <c r="AN587" s="408"/>
      <c r="AO587" s="408"/>
      <c r="AP587" s="408"/>
      <c r="AQ587" s="408"/>
      <c r="AR587" s="408"/>
      <c r="AS587" s="408"/>
      <c r="AT587" s="408"/>
      <c r="AU587" s="408"/>
      <c r="AV587" s="408"/>
      <c r="AW587" s="408"/>
      <c r="AX587" s="408"/>
      <c r="AY587" s="408"/>
      <c r="AZ587" s="408"/>
      <c r="BA587" s="408"/>
      <c r="BB587" s="408"/>
      <c r="BC587" s="408"/>
      <c r="BD587" s="408"/>
      <c r="BE587" s="408"/>
      <c r="BF587" s="408"/>
      <c r="BG587" s="408"/>
      <c r="BH587" s="408"/>
      <c r="BI587" s="408"/>
      <c r="BJ587" s="408"/>
      <c r="BK587" s="408"/>
      <c r="BL587" s="408"/>
      <c r="BM587" s="408"/>
      <c r="BN587" s="408"/>
      <c r="BO587" s="408"/>
      <c r="BP587" s="408"/>
      <c r="BQ587" s="408"/>
      <c r="BR587" s="408"/>
      <c r="BS587" s="408"/>
      <c r="BT587" s="408"/>
      <c r="BU587" s="408"/>
      <c r="BV587" s="408"/>
      <c r="BW587" s="408"/>
      <c r="BX587" s="408"/>
      <c r="BY587" s="408"/>
      <c r="BZ587" s="408"/>
      <c r="CA587" s="408"/>
      <c r="CB587" s="408"/>
      <c r="CC587" s="408"/>
      <c r="CD587" s="408"/>
      <c r="CE587" s="408"/>
      <c r="CF587" s="408"/>
      <c r="CG587" s="408"/>
      <c r="CH587" s="408"/>
      <c r="CI587" s="408"/>
      <c r="CJ587" s="408"/>
      <c r="CK587" s="408"/>
      <c r="CL587" s="408"/>
      <c r="CM587" s="408"/>
      <c r="CN587" s="408"/>
    </row>
    <row r="588">
      <c r="A588" s="408"/>
      <c r="B588" s="408"/>
      <c r="C588" s="408"/>
      <c r="D588" s="408"/>
      <c r="E588" s="408"/>
      <c r="F588" s="408"/>
      <c r="G588" s="408"/>
      <c r="H588" s="408"/>
      <c r="I588" s="408"/>
      <c r="J588" s="408"/>
      <c r="K588" s="408"/>
      <c r="L588" s="408"/>
      <c r="M588" s="408"/>
      <c r="N588" s="408"/>
      <c r="O588" s="408"/>
      <c r="P588" s="408"/>
      <c r="Q588" s="408"/>
      <c r="R588" s="408"/>
      <c r="S588" s="408"/>
      <c r="T588" s="408"/>
      <c r="U588" s="408"/>
      <c r="V588" s="408"/>
      <c r="W588" s="408"/>
      <c r="X588" s="408"/>
      <c r="Y588" s="408"/>
      <c r="Z588" s="408"/>
      <c r="AA588" s="408"/>
      <c r="AB588" s="408"/>
      <c r="AC588" s="408"/>
      <c r="AD588" s="408"/>
      <c r="AE588" s="408"/>
      <c r="AF588" s="408"/>
      <c r="AG588" s="408"/>
      <c r="AH588" s="408"/>
      <c r="AI588" s="408"/>
      <c r="AJ588" s="408"/>
      <c r="AK588" s="408"/>
      <c r="AL588" s="408"/>
      <c r="AM588" s="408"/>
      <c r="AN588" s="408"/>
      <c r="AO588" s="408"/>
      <c r="AP588" s="408"/>
      <c r="AQ588" s="408"/>
      <c r="AR588" s="408"/>
      <c r="AS588" s="408"/>
      <c r="AT588" s="408"/>
      <c r="AU588" s="408"/>
      <c r="AV588" s="408"/>
      <c r="AW588" s="408"/>
      <c r="AX588" s="408"/>
      <c r="AY588" s="408"/>
      <c r="AZ588" s="408"/>
      <c r="BA588" s="408"/>
      <c r="BB588" s="408"/>
      <c r="BC588" s="408"/>
      <c r="BD588" s="408"/>
      <c r="BE588" s="408"/>
      <c r="BF588" s="408"/>
      <c r="BG588" s="408"/>
      <c r="BH588" s="408"/>
      <c r="BI588" s="408"/>
      <c r="BJ588" s="408"/>
      <c r="BK588" s="408"/>
      <c r="BL588" s="408"/>
      <c r="BM588" s="408"/>
      <c r="BN588" s="408"/>
      <c r="BO588" s="408"/>
      <c r="BP588" s="408"/>
      <c r="BQ588" s="408"/>
      <c r="BR588" s="408"/>
      <c r="BS588" s="408"/>
      <c r="BT588" s="408"/>
      <c r="BU588" s="408"/>
      <c r="BV588" s="408"/>
      <c r="BW588" s="408"/>
      <c r="BX588" s="408"/>
      <c r="BY588" s="408"/>
      <c r="BZ588" s="408"/>
      <c r="CA588" s="408"/>
      <c r="CB588" s="408"/>
      <c r="CC588" s="408"/>
      <c r="CD588" s="408"/>
      <c r="CE588" s="408"/>
      <c r="CF588" s="408"/>
      <c r="CG588" s="408"/>
      <c r="CH588" s="408"/>
      <c r="CI588" s="408"/>
      <c r="CJ588" s="408"/>
      <c r="CK588" s="408"/>
      <c r="CL588" s="408"/>
      <c r="CM588" s="408"/>
      <c r="CN588" s="408"/>
    </row>
    <row r="589">
      <c r="A589" s="408"/>
      <c r="B589" s="408"/>
      <c r="C589" s="408"/>
      <c r="D589" s="408"/>
      <c r="E589" s="408"/>
      <c r="F589" s="408"/>
      <c r="G589" s="408"/>
      <c r="H589" s="408"/>
      <c r="I589" s="408"/>
      <c r="J589" s="408"/>
      <c r="K589" s="408"/>
      <c r="L589" s="408"/>
      <c r="M589" s="408"/>
      <c r="N589" s="408"/>
      <c r="O589" s="408"/>
      <c r="P589" s="408"/>
      <c r="Q589" s="408"/>
      <c r="R589" s="408"/>
      <c r="S589" s="408"/>
      <c r="T589" s="408"/>
      <c r="U589" s="408"/>
      <c r="V589" s="408"/>
      <c r="W589" s="408"/>
      <c r="X589" s="408"/>
      <c r="Y589" s="408"/>
      <c r="Z589" s="408"/>
      <c r="AA589" s="408"/>
      <c r="AB589" s="408"/>
      <c r="AC589" s="408"/>
      <c r="AD589" s="408"/>
      <c r="AE589" s="408"/>
      <c r="AF589" s="408"/>
      <c r="AG589" s="408"/>
      <c r="AH589" s="408"/>
      <c r="AI589" s="408"/>
      <c r="AJ589" s="408"/>
      <c r="AK589" s="408"/>
      <c r="AL589" s="408"/>
      <c r="AM589" s="408"/>
      <c r="AN589" s="408"/>
      <c r="AO589" s="408"/>
      <c r="AP589" s="408"/>
      <c r="AQ589" s="408"/>
      <c r="AR589" s="408"/>
      <c r="AS589" s="408"/>
      <c r="AT589" s="408"/>
      <c r="AU589" s="408"/>
      <c r="AV589" s="408"/>
      <c r="AW589" s="408"/>
      <c r="AX589" s="408"/>
      <c r="AY589" s="408"/>
      <c r="AZ589" s="408"/>
      <c r="BA589" s="408"/>
      <c r="BB589" s="408"/>
      <c r="BC589" s="408"/>
      <c r="BD589" s="408"/>
      <c r="BE589" s="408"/>
      <c r="BF589" s="408"/>
      <c r="BG589" s="408"/>
      <c r="BH589" s="408"/>
      <c r="BI589" s="408"/>
      <c r="BJ589" s="408"/>
      <c r="BK589" s="408"/>
      <c r="BL589" s="408"/>
      <c r="BM589" s="408"/>
      <c r="BN589" s="408"/>
      <c r="BO589" s="408"/>
      <c r="BP589" s="408"/>
      <c r="BQ589" s="408"/>
      <c r="BR589" s="408"/>
      <c r="BS589" s="408"/>
      <c r="BT589" s="408"/>
      <c r="BU589" s="408"/>
      <c r="BV589" s="408"/>
      <c r="BW589" s="408"/>
      <c r="BX589" s="408"/>
      <c r="BY589" s="408"/>
      <c r="BZ589" s="408"/>
      <c r="CA589" s="408"/>
      <c r="CB589" s="408"/>
      <c r="CC589" s="408"/>
      <c r="CD589" s="408"/>
      <c r="CE589" s="408"/>
      <c r="CF589" s="408"/>
      <c r="CG589" s="408"/>
      <c r="CH589" s="408"/>
      <c r="CI589" s="408"/>
      <c r="CJ589" s="408"/>
      <c r="CK589" s="408"/>
      <c r="CL589" s="408"/>
      <c r="CM589" s="408"/>
      <c r="CN589" s="408"/>
    </row>
    <row r="590">
      <c r="A590" s="408"/>
      <c r="B590" s="408"/>
      <c r="C590" s="408"/>
      <c r="D590" s="408"/>
      <c r="E590" s="408"/>
      <c r="F590" s="408"/>
      <c r="G590" s="408"/>
      <c r="H590" s="408"/>
      <c r="I590" s="408"/>
      <c r="J590" s="408"/>
      <c r="K590" s="408"/>
      <c r="L590" s="408"/>
      <c r="M590" s="408"/>
      <c r="N590" s="408"/>
      <c r="O590" s="408"/>
      <c r="P590" s="408"/>
      <c r="Q590" s="408"/>
      <c r="R590" s="408"/>
      <c r="S590" s="408"/>
      <c r="T590" s="408"/>
      <c r="U590" s="408"/>
      <c r="V590" s="408"/>
      <c r="W590" s="408"/>
      <c r="X590" s="408"/>
      <c r="Y590" s="408"/>
      <c r="Z590" s="408"/>
      <c r="AA590" s="408"/>
      <c r="AB590" s="408"/>
      <c r="AC590" s="408"/>
      <c r="AD590" s="408"/>
      <c r="AE590" s="408"/>
      <c r="AF590" s="408"/>
      <c r="AG590" s="408"/>
      <c r="AH590" s="408"/>
      <c r="AI590" s="408"/>
      <c r="AJ590" s="408"/>
      <c r="AK590" s="408"/>
      <c r="AL590" s="408"/>
      <c r="AM590" s="408"/>
      <c r="AN590" s="408"/>
      <c r="AO590" s="408"/>
      <c r="AP590" s="408"/>
      <c r="AQ590" s="408"/>
      <c r="AR590" s="408"/>
      <c r="AS590" s="408"/>
      <c r="AT590" s="408"/>
      <c r="AU590" s="408"/>
      <c r="AV590" s="408"/>
      <c r="AW590" s="408"/>
      <c r="AX590" s="408"/>
      <c r="AY590" s="408"/>
      <c r="AZ590" s="408"/>
      <c r="BA590" s="408"/>
      <c r="BB590" s="408"/>
      <c r="BC590" s="408"/>
      <c r="BD590" s="408"/>
      <c r="BE590" s="408"/>
      <c r="BF590" s="408"/>
      <c r="BG590" s="408"/>
      <c r="BH590" s="408"/>
      <c r="BI590" s="408"/>
      <c r="BJ590" s="408"/>
      <c r="BK590" s="408"/>
      <c r="BL590" s="408"/>
      <c r="BM590" s="408"/>
      <c r="BN590" s="408"/>
      <c r="BO590" s="408"/>
      <c r="BP590" s="408"/>
      <c r="BQ590" s="408"/>
      <c r="BR590" s="408"/>
      <c r="BS590" s="408"/>
      <c r="BT590" s="408"/>
      <c r="BU590" s="408"/>
      <c r="BV590" s="408"/>
      <c r="BW590" s="408"/>
      <c r="BX590" s="408"/>
      <c r="BY590" s="408"/>
      <c r="BZ590" s="408"/>
      <c r="CA590" s="408"/>
      <c r="CB590" s="408"/>
      <c r="CC590" s="408"/>
      <c r="CD590" s="408"/>
      <c r="CE590" s="408"/>
      <c r="CF590" s="408"/>
      <c r="CG590" s="408"/>
      <c r="CH590" s="408"/>
      <c r="CI590" s="408"/>
      <c r="CJ590" s="408"/>
      <c r="CK590" s="408"/>
      <c r="CL590" s="408"/>
      <c r="CM590" s="408"/>
      <c r="CN590" s="408"/>
    </row>
    <row r="591">
      <c r="A591" s="408"/>
      <c r="B591" s="408"/>
      <c r="C591" s="408"/>
      <c r="D591" s="408"/>
      <c r="E591" s="408"/>
      <c r="F591" s="408"/>
      <c r="G591" s="408"/>
      <c r="H591" s="408"/>
      <c r="I591" s="408"/>
      <c r="J591" s="408"/>
      <c r="K591" s="408"/>
      <c r="L591" s="408"/>
      <c r="M591" s="408"/>
      <c r="N591" s="408"/>
      <c r="O591" s="408"/>
      <c r="P591" s="408"/>
      <c r="Q591" s="408"/>
      <c r="R591" s="408"/>
      <c r="S591" s="408"/>
      <c r="T591" s="408"/>
      <c r="U591" s="408"/>
      <c r="V591" s="408"/>
      <c r="W591" s="408"/>
      <c r="X591" s="408"/>
      <c r="Y591" s="408"/>
      <c r="Z591" s="408"/>
      <c r="AA591" s="408"/>
      <c r="AB591" s="408"/>
      <c r="AC591" s="408"/>
      <c r="AD591" s="408"/>
      <c r="AE591" s="408"/>
      <c r="AF591" s="408"/>
      <c r="AG591" s="408"/>
      <c r="AH591" s="408"/>
      <c r="AI591" s="408"/>
      <c r="AJ591" s="408"/>
      <c r="AK591" s="408"/>
      <c r="AL591" s="408"/>
      <c r="AM591" s="408"/>
      <c r="AN591" s="408"/>
      <c r="AO591" s="408"/>
      <c r="AP591" s="408"/>
      <c r="AQ591" s="408"/>
      <c r="AR591" s="408"/>
      <c r="AS591" s="408"/>
      <c r="AT591" s="408"/>
      <c r="AU591" s="408"/>
      <c r="AV591" s="408"/>
      <c r="AW591" s="408"/>
      <c r="AX591" s="408"/>
      <c r="AY591" s="408"/>
      <c r="AZ591" s="408"/>
      <c r="BA591" s="408"/>
      <c r="BB591" s="408"/>
      <c r="BC591" s="408"/>
      <c r="BD591" s="408"/>
      <c r="BE591" s="408"/>
      <c r="BF591" s="408"/>
      <c r="BG591" s="408"/>
      <c r="BH591" s="408"/>
      <c r="BI591" s="408"/>
      <c r="BJ591" s="408"/>
      <c r="BK591" s="408"/>
      <c r="BL591" s="408"/>
      <c r="BM591" s="408"/>
      <c r="BN591" s="408"/>
      <c r="BO591" s="408"/>
      <c r="BP591" s="408"/>
      <c r="BQ591" s="408"/>
      <c r="BR591" s="408"/>
      <c r="BS591" s="408"/>
      <c r="BT591" s="408"/>
      <c r="BU591" s="408"/>
      <c r="BV591" s="408"/>
      <c r="BW591" s="408"/>
      <c r="BX591" s="408"/>
      <c r="BY591" s="408"/>
      <c r="BZ591" s="408"/>
      <c r="CA591" s="408"/>
      <c r="CB591" s="408"/>
      <c r="CC591" s="408"/>
      <c r="CD591" s="408"/>
      <c r="CE591" s="408"/>
      <c r="CF591" s="408"/>
      <c r="CG591" s="408"/>
      <c r="CH591" s="408"/>
      <c r="CI591" s="408"/>
      <c r="CJ591" s="408"/>
      <c r="CK591" s="408"/>
      <c r="CL591" s="408"/>
      <c r="CM591" s="408"/>
      <c r="CN591" s="408"/>
    </row>
    <row r="592">
      <c r="A592" s="408"/>
      <c r="B592" s="408"/>
      <c r="C592" s="408"/>
      <c r="D592" s="408"/>
      <c r="E592" s="408"/>
      <c r="F592" s="408"/>
      <c r="G592" s="408"/>
      <c r="H592" s="408"/>
      <c r="I592" s="408"/>
      <c r="J592" s="408"/>
      <c r="K592" s="408"/>
      <c r="L592" s="408"/>
      <c r="M592" s="408"/>
      <c r="N592" s="408"/>
      <c r="O592" s="408"/>
      <c r="P592" s="408"/>
      <c r="Q592" s="408"/>
      <c r="R592" s="408"/>
      <c r="S592" s="408"/>
      <c r="T592" s="408"/>
      <c r="U592" s="408"/>
      <c r="V592" s="408"/>
      <c r="W592" s="408"/>
      <c r="X592" s="408"/>
      <c r="Y592" s="408"/>
      <c r="Z592" s="408"/>
      <c r="AA592" s="408"/>
      <c r="AB592" s="408"/>
      <c r="AC592" s="408"/>
      <c r="AD592" s="408"/>
      <c r="AE592" s="408"/>
      <c r="AF592" s="408"/>
      <c r="AG592" s="408"/>
      <c r="AH592" s="408"/>
      <c r="AI592" s="408"/>
      <c r="AJ592" s="408"/>
      <c r="AK592" s="408"/>
      <c r="AL592" s="408"/>
      <c r="AM592" s="408"/>
      <c r="AN592" s="408"/>
      <c r="AO592" s="408"/>
      <c r="AP592" s="408"/>
      <c r="AQ592" s="408"/>
      <c r="AR592" s="408"/>
      <c r="AS592" s="408"/>
      <c r="AT592" s="408"/>
      <c r="AU592" s="408"/>
      <c r="AV592" s="408"/>
      <c r="AW592" s="408"/>
      <c r="AX592" s="408"/>
      <c r="AY592" s="408"/>
      <c r="AZ592" s="408"/>
      <c r="BA592" s="408"/>
      <c r="BB592" s="408"/>
      <c r="BC592" s="408"/>
      <c r="BD592" s="408"/>
      <c r="BE592" s="408"/>
      <c r="BF592" s="408"/>
      <c r="BG592" s="408"/>
      <c r="BH592" s="408"/>
      <c r="BI592" s="408"/>
      <c r="BJ592" s="408"/>
      <c r="BK592" s="408"/>
      <c r="BL592" s="408"/>
      <c r="BM592" s="408"/>
      <c r="BN592" s="408"/>
      <c r="BO592" s="408"/>
      <c r="BP592" s="408"/>
      <c r="BQ592" s="408"/>
      <c r="BR592" s="408"/>
      <c r="BS592" s="408"/>
      <c r="BT592" s="408"/>
      <c r="BU592" s="408"/>
      <c r="BV592" s="408"/>
      <c r="BW592" s="408"/>
      <c r="BX592" s="408"/>
      <c r="BY592" s="408"/>
      <c r="BZ592" s="408"/>
      <c r="CA592" s="408"/>
      <c r="CB592" s="408"/>
      <c r="CC592" s="408"/>
      <c r="CD592" s="408"/>
      <c r="CE592" s="408"/>
      <c r="CF592" s="408"/>
      <c r="CG592" s="408"/>
      <c r="CH592" s="408"/>
      <c r="CI592" s="408"/>
      <c r="CJ592" s="408"/>
      <c r="CK592" s="408"/>
      <c r="CL592" s="408"/>
      <c r="CM592" s="408"/>
      <c r="CN592" s="408"/>
    </row>
    <row r="593">
      <c r="A593" s="408"/>
      <c r="B593" s="408"/>
      <c r="C593" s="408"/>
      <c r="D593" s="408"/>
      <c r="E593" s="408"/>
      <c r="F593" s="408"/>
      <c r="G593" s="408"/>
      <c r="H593" s="408"/>
      <c r="I593" s="408"/>
      <c r="J593" s="408"/>
      <c r="K593" s="408"/>
      <c r="L593" s="408"/>
      <c r="M593" s="408"/>
      <c r="N593" s="408"/>
      <c r="O593" s="408"/>
      <c r="P593" s="408"/>
      <c r="Q593" s="408"/>
      <c r="R593" s="408"/>
      <c r="S593" s="408"/>
      <c r="T593" s="408"/>
      <c r="U593" s="408"/>
      <c r="V593" s="408"/>
      <c r="W593" s="408"/>
      <c r="X593" s="408"/>
      <c r="Y593" s="408"/>
      <c r="Z593" s="408"/>
      <c r="AA593" s="408"/>
      <c r="AB593" s="408"/>
      <c r="AC593" s="408"/>
      <c r="AD593" s="408"/>
      <c r="AE593" s="408"/>
      <c r="AF593" s="408"/>
      <c r="AG593" s="408"/>
      <c r="AH593" s="408"/>
      <c r="AI593" s="408"/>
      <c r="AJ593" s="408"/>
      <c r="AK593" s="408"/>
      <c r="AL593" s="408"/>
      <c r="AM593" s="408"/>
      <c r="AN593" s="408"/>
      <c r="AO593" s="408"/>
      <c r="AP593" s="408"/>
      <c r="AQ593" s="408"/>
      <c r="AR593" s="408"/>
      <c r="AS593" s="408"/>
      <c r="AT593" s="408"/>
      <c r="AU593" s="408"/>
      <c r="AV593" s="408"/>
      <c r="AW593" s="408"/>
      <c r="AX593" s="408"/>
      <c r="AY593" s="408"/>
      <c r="AZ593" s="408"/>
      <c r="BA593" s="408"/>
      <c r="BB593" s="408"/>
      <c r="BC593" s="408"/>
      <c r="BD593" s="408"/>
      <c r="BE593" s="408"/>
      <c r="BF593" s="408"/>
      <c r="BG593" s="408"/>
      <c r="BH593" s="408"/>
      <c r="BI593" s="408"/>
      <c r="BJ593" s="408"/>
      <c r="BK593" s="408"/>
      <c r="BL593" s="408"/>
      <c r="BM593" s="408"/>
      <c r="BN593" s="408"/>
      <c r="BO593" s="408"/>
      <c r="BP593" s="408"/>
      <c r="BQ593" s="408"/>
      <c r="BR593" s="408"/>
      <c r="BS593" s="408"/>
      <c r="BT593" s="408"/>
      <c r="BU593" s="408"/>
      <c r="BV593" s="408"/>
      <c r="BW593" s="408"/>
      <c r="BX593" s="408"/>
      <c r="BY593" s="408"/>
      <c r="BZ593" s="408"/>
      <c r="CA593" s="408"/>
      <c r="CB593" s="408"/>
      <c r="CC593" s="408"/>
      <c r="CD593" s="408"/>
      <c r="CE593" s="408"/>
      <c r="CF593" s="408"/>
      <c r="CG593" s="408"/>
      <c r="CH593" s="408"/>
      <c r="CI593" s="408"/>
      <c r="CJ593" s="408"/>
      <c r="CK593" s="408"/>
      <c r="CL593" s="408"/>
      <c r="CM593" s="408"/>
      <c r="CN593" s="408"/>
    </row>
    <row r="594">
      <c r="A594" s="408"/>
      <c r="B594" s="408"/>
      <c r="C594" s="408"/>
      <c r="D594" s="408"/>
      <c r="E594" s="408"/>
      <c r="F594" s="408"/>
      <c r="G594" s="408"/>
      <c r="H594" s="408"/>
      <c r="I594" s="408"/>
      <c r="J594" s="408"/>
      <c r="K594" s="408"/>
      <c r="L594" s="408"/>
      <c r="M594" s="408"/>
      <c r="N594" s="408"/>
      <c r="O594" s="408"/>
      <c r="P594" s="408"/>
      <c r="Q594" s="408"/>
      <c r="R594" s="408"/>
      <c r="S594" s="408"/>
      <c r="T594" s="408"/>
      <c r="U594" s="408"/>
      <c r="V594" s="408"/>
      <c r="W594" s="408"/>
      <c r="X594" s="408"/>
      <c r="Y594" s="408"/>
      <c r="Z594" s="408"/>
      <c r="AA594" s="408"/>
      <c r="AB594" s="408"/>
      <c r="AC594" s="408"/>
      <c r="AD594" s="408"/>
      <c r="AE594" s="408"/>
      <c r="AF594" s="408"/>
      <c r="AG594" s="408"/>
      <c r="AH594" s="408"/>
      <c r="AI594" s="408"/>
      <c r="AJ594" s="408"/>
      <c r="AK594" s="408"/>
      <c r="AL594" s="408"/>
      <c r="AM594" s="408"/>
      <c r="AN594" s="408"/>
      <c r="AO594" s="408"/>
      <c r="AP594" s="408"/>
      <c r="AQ594" s="408"/>
      <c r="AR594" s="408"/>
      <c r="AS594" s="408"/>
      <c r="AT594" s="408"/>
      <c r="AU594" s="408"/>
      <c r="AV594" s="408"/>
      <c r="AW594" s="408"/>
      <c r="AX594" s="408"/>
      <c r="AY594" s="408"/>
      <c r="AZ594" s="408"/>
      <c r="BA594" s="408"/>
      <c r="BB594" s="408"/>
      <c r="BC594" s="408"/>
      <c r="BD594" s="408"/>
      <c r="BE594" s="408"/>
      <c r="BF594" s="408"/>
      <c r="BG594" s="408"/>
      <c r="BH594" s="408"/>
      <c r="BI594" s="408"/>
      <c r="BJ594" s="408"/>
      <c r="BK594" s="408"/>
      <c r="BL594" s="408"/>
      <c r="BM594" s="408"/>
      <c r="BN594" s="408"/>
      <c r="BO594" s="408"/>
      <c r="BP594" s="408"/>
      <c r="BQ594" s="408"/>
      <c r="BR594" s="408"/>
      <c r="BS594" s="408"/>
      <c r="BT594" s="408"/>
      <c r="BU594" s="408"/>
      <c r="BV594" s="408"/>
      <c r="BW594" s="408"/>
      <c r="BX594" s="408"/>
      <c r="BY594" s="408"/>
      <c r="BZ594" s="408"/>
      <c r="CA594" s="408"/>
      <c r="CB594" s="408"/>
      <c r="CC594" s="408"/>
      <c r="CD594" s="408"/>
      <c r="CE594" s="408"/>
      <c r="CF594" s="408"/>
      <c r="CG594" s="408"/>
      <c r="CH594" s="408"/>
      <c r="CI594" s="408"/>
      <c r="CJ594" s="408"/>
      <c r="CK594" s="408"/>
      <c r="CL594" s="408"/>
      <c r="CM594" s="408"/>
      <c r="CN594" s="408"/>
    </row>
    <row r="595">
      <c r="A595" s="408"/>
      <c r="B595" s="408"/>
      <c r="C595" s="408"/>
      <c r="D595" s="408"/>
      <c r="E595" s="408"/>
      <c r="F595" s="408"/>
      <c r="G595" s="408"/>
      <c r="H595" s="408"/>
      <c r="I595" s="408"/>
      <c r="J595" s="408"/>
      <c r="K595" s="408"/>
      <c r="L595" s="408"/>
      <c r="M595" s="408"/>
      <c r="N595" s="408"/>
      <c r="O595" s="408"/>
      <c r="P595" s="408"/>
      <c r="Q595" s="408"/>
      <c r="R595" s="408"/>
      <c r="S595" s="408"/>
      <c r="T595" s="408"/>
      <c r="U595" s="408"/>
      <c r="V595" s="408"/>
      <c r="W595" s="408"/>
      <c r="X595" s="408"/>
      <c r="Y595" s="408"/>
      <c r="Z595" s="408"/>
      <c r="AA595" s="408"/>
      <c r="AB595" s="408"/>
      <c r="AC595" s="408"/>
      <c r="AD595" s="408"/>
      <c r="AE595" s="408"/>
      <c r="AF595" s="408"/>
      <c r="AG595" s="408"/>
      <c r="AH595" s="408"/>
      <c r="AI595" s="408"/>
      <c r="AJ595" s="408"/>
      <c r="AK595" s="408"/>
      <c r="AL595" s="408"/>
      <c r="AM595" s="408"/>
      <c r="AN595" s="408"/>
      <c r="AO595" s="408"/>
      <c r="AP595" s="408"/>
      <c r="AQ595" s="408"/>
      <c r="AR595" s="408"/>
      <c r="AS595" s="408"/>
      <c r="AT595" s="408"/>
      <c r="AU595" s="408"/>
      <c r="AV595" s="408"/>
      <c r="AW595" s="408"/>
      <c r="AX595" s="408"/>
      <c r="AY595" s="408"/>
      <c r="AZ595" s="408"/>
      <c r="BA595" s="408"/>
      <c r="BB595" s="408"/>
      <c r="BC595" s="408"/>
      <c r="BD595" s="408"/>
      <c r="BE595" s="408"/>
      <c r="BF595" s="408"/>
      <c r="BG595" s="408"/>
      <c r="BH595" s="408"/>
      <c r="BI595" s="408"/>
      <c r="BJ595" s="408"/>
      <c r="BK595" s="408"/>
      <c r="BL595" s="408"/>
      <c r="BM595" s="408"/>
      <c r="BN595" s="408"/>
      <c r="BO595" s="408"/>
      <c r="BP595" s="408"/>
      <c r="BQ595" s="408"/>
      <c r="BR595" s="408"/>
      <c r="BS595" s="408"/>
      <c r="BT595" s="408"/>
      <c r="BU595" s="408"/>
      <c r="BV595" s="408"/>
      <c r="BW595" s="408"/>
      <c r="BX595" s="408"/>
      <c r="BY595" s="408"/>
      <c r="BZ595" s="408"/>
      <c r="CA595" s="408"/>
      <c r="CB595" s="408"/>
      <c r="CC595" s="408"/>
      <c r="CD595" s="408"/>
      <c r="CE595" s="408"/>
      <c r="CF595" s="408"/>
      <c r="CG595" s="408"/>
      <c r="CH595" s="408"/>
      <c r="CI595" s="408"/>
      <c r="CJ595" s="408"/>
      <c r="CK595" s="408"/>
      <c r="CL595" s="408"/>
      <c r="CM595" s="408"/>
      <c r="CN595" s="408"/>
    </row>
    <row r="596">
      <c r="A596" s="408"/>
      <c r="B596" s="408"/>
      <c r="C596" s="408"/>
      <c r="D596" s="408"/>
      <c r="E596" s="408"/>
      <c r="F596" s="408"/>
      <c r="G596" s="408"/>
      <c r="H596" s="408"/>
      <c r="I596" s="408"/>
      <c r="J596" s="408"/>
      <c r="K596" s="408"/>
      <c r="L596" s="408"/>
      <c r="M596" s="408"/>
      <c r="N596" s="408"/>
      <c r="O596" s="408"/>
      <c r="P596" s="408"/>
      <c r="Q596" s="408"/>
      <c r="R596" s="408"/>
      <c r="S596" s="408"/>
      <c r="T596" s="408"/>
      <c r="U596" s="408"/>
      <c r="V596" s="408"/>
      <c r="W596" s="408"/>
      <c r="X596" s="408"/>
      <c r="Y596" s="408"/>
      <c r="Z596" s="408"/>
      <c r="AA596" s="408"/>
      <c r="AB596" s="408"/>
      <c r="AC596" s="408"/>
      <c r="AD596" s="408"/>
      <c r="AE596" s="408"/>
      <c r="AF596" s="408"/>
      <c r="AG596" s="408"/>
      <c r="AH596" s="408"/>
      <c r="AI596" s="408"/>
      <c r="AJ596" s="408"/>
      <c r="AK596" s="408"/>
      <c r="AL596" s="408"/>
      <c r="AM596" s="408"/>
      <c r="AN596" s="408"/>
      <c r="AO596" s="408"/>
      <c r="AP596" s="408"/>
      <c r="AQ596" s="408"/>
      <c r="AR596" s="408"/>
      <c r="AS596" s="408"/>
      <c r="AT596" s="408"/>
      <c r="AU596" s="408"/>
      <c r="AV596" s="408"/>
      <c r="AW596" s="408"/>
      <c r="AX596" s="408"/>
      <c r="AY596" s="408"/>
      <c r="AZ596" s="408"/>
      <c r="BA596" s="408"/>
      <c r="BB596" s="408"/>
      <c r="BC596" s="408"/>
      <c r="BD596" s="408"/>
      <c r="BE596" s="408"/>
      <c r="BF596" s="408"/>
      <c r="BG596" s="408"/>
      <c r="BH596" s="408"/>
      <c r="BI596" s="408"/>
      <c r="BJ596" s="408"/>
      <c r="BK596" s="408"/>
      <c r="BL596" s="408"/>
      <c r="BM596" s="408"/>
      <c r="BN596" s="408"/>
      <c r="BO596" s="408"/>
      <c r="BP596" s="408"/>
      <c r="BQ596" s="408"/>
      <c r="BR596" s="408"/>
      <c r="BS596" s="408"/>
      <c r="BT596" s="408"/>
      <c r="BU596" s="408"/>
      <c r="BV596" s="408"/>
      <c r="BW596" s="408"/>
      <c r="BX596" s="408"/>
      <c r="BY596" s="408"/>
      <c r="BZ596" s="408"/>
      <c r="CA596" s="408"/>
      <c r="CB596" s="408"/>
      <c r="CC596" s="408"/>
      <c r="CD596" s="408"/>
      <c r="CE596" s="408"/>
      <c r="CF596" s="408"/>
      <c r="CG596" s="408"/>
      <c r="CH596" s="408"/>
      <c r="CI596" s="408"/>
      <c r="CJ596" s="408"/>
      <c r="CK596" s="408"/>
      <c r="CL596" s="408"/>
      <c r="CM596" s="408"/>
      <c r="CN596" s="408"/>
    </row>
    <row r="597">
      <c r="A597" s="408"/>
      <c r="B597" s="408"/>
      <c r="C597" s="408"/>
      <c r="D597" s="408"/>
      <c r="E597" s="408"/>
      <c r="F597" s="408"/>
      <c r="G597" s="408"/>
      <c r="H597" s="408"/>
      <c r="I597" s="408"/>
      <c r="J597" s="408"/>
      <c r="K597" s="408"/>
      <c r="L597" s="408"/>
      <c r="M597" s="408"/>
      <c r="N597" s="408"/>
      <c r="O597" s="408"/>
      <c r="P597" s="408"/>
      <c r="Q597" s="408"/>
      <c r="R597" s="408"/>
      <c r="S597" s="408"/>
      <c r="T597" s="408"/>
      <c r="U597" s="408"/>
      <c r="V597" s="408"/>
      <c r="W597" s="408"/>
      <c r="X597" s="408"/>
      <c r="Y597" s="408"/>
      <c r="Z597" s="408"/>
      <c r="AA597" s="408"/>
      <c r="AB597" s="408"/>
      <c r="AC597" s="408"/>
      <c r="AD597" s="408"/>
      <c r="AE597" s="408"/>
      <c r="AF597" s="408"/>
      <c r="AG597" s="408"/>
      <c r="AH597" s="408"/>
      <c r="AI597" s="408"/>
      <c r="AJ597" s="408"/>
      <c r="AK597" s="408"/>
      <c r="AL597" s="408"/>
      <c r="AM597" s="408"/>
      <c r="AN597" s="408"/>
      <c r="AO597" s="408"/>
      <c r="AP597" s="408"/>
      <c r="AQ597" s="408"/>
      <c r="AR597" s="408"/>
      <c r="AS597" s="408"/>
      <c r="AT597" s="408"/>
      <c r="AU597" s="408"/>
      <c r="AV597" s="408"/>
      <c r="AW597" s="408"/>
      <c r="AX597" s="408"/>
      <c r="AY597" s="408"/>
      <c r="AZ597" s="408"/>
      <c r="BA597" s="408"/>
      <c r="BB597" s="408"/>
      <c r="BC597" s="408"/>
      <c r="BD597" s="408"/>
      <c r="BE597" s="408"/>
      <c r="BF597" s="408"/>
      <c r="BG597" s="408"/>
      <c r="BH597" s="408"/>
      <c r="BI597" s="408"/>
      <c r="BJ597" s="408"/>
      <c r="BK597" s="408"/>
      <c r="BL597" s="408"/>
      <c r="BM597" s="408"/>
      <c r="BN597" s="408"/>
      <c r="BO597" s="408"/>
      <c r="BP597" s="408"/>
      <c r="BQ597" s="408"/>
      <c r="BR597" s="408"/>
      <c r="BS597" s="408"/>
      <c r="BT597" s="408"/>
      <c r="BU597" s="408"/>
      <c r="BV597" s="408"/>
      <c r="BW597" s="408"/>
      <c r="BX597" s="408"/>
      <c r="BY597" s="408"/>
      <c r="BZ597" s="408"/>
      <c r="CA597" s="408"/>
      <c r="CB597" s="408"/>
      <c r="CC597" s="408"/>
      <c r="CD597" s="408"/>
      <c r="CE597" s="408"/>
      <c r="CF597" s="408"/>
      <c r="CG597" s="408"/>
      <c r="CH597" s="408"/>
      <c r="CI597" s="408"/>
      <c r="CJ597" s="408"/>
      <c r="CK597" s="408"/>
      <c r="CL597" s="408"/>
      <c r="CM597" s="408"/>
      <c r="CN597" s="408"/>
    </row>
    <row r="598">
      <c r="A598" s="408"/>
      <c r="B598" s="408"/>
      <c r="C598" s="408"/>
      <c r="D598" s="408"/>
      <c r="E598" s="408"/>
      <c r="F598" s="408"/>
      <c r="G598" s="408"/>
      <c r="H598" s="408"/>
      <c r="I598" s="408"/>
      <c r="J598" s="408"/>
      <c r="K598" s="408"/>
      <c r="L598" s="408"/>
      <c r="M598" s="408"/>
      <c r="N598" s="408"/>
      <c r="O598" s="408"/>
      <c r="P598" s="408"/>
      <c r="Q598" s="408"/>
      <c r="R598" s="408"/>
      <c r="S598" s="408"/>
      <c r="T598" s="408"/>
      <c r="U598" s="408"/>
      <c r="V598" s="408"/>
      <c r="W598" s="408"/>
      <c r="X598" s="408"/>
      <c r="Y598" s="408"/>
      <c r="Z598" s="408"/>
      <c r="AA598" s="408"/>
      <c r="AB598" s="408"/>
      <c r="AC598" s="408"/>
      <c r="AD598" s="408"/>
      <c r="AE598" s="408"/>
      <c r="AF598" s="408"/>
      <c r="AG598" s="408"/>
      <c r="AH598" s="408"/>
      <c r="AI598" s="408"/>
      <c r="AJ598" s="408"/>
      <c r="AK598" s="408"/>
      <c r="AL598" s="408"/>
      <c r="AM598" s="408"/>
      <c r="AN598" s="408"/>
      <c r="AO598" s="408"/>
      <c r="AP598" s="408"/>
      <c r="AQ598" s="408"/>
      <c r="AR598" s="408"/>
      <c r="AS598" s="408"/>
      <c r="AT598" s="408"/>
      <c r="AU598" s="408"/>
      <c r="AV598" s="408"/>
      <c r="AW598" s="408"/>
      <c r="AX598" s="408"/>
      <c r="AY598" s="408"/>
      <c r="AZ598" s="408"/>
      <c r="BA598" s="408"/>
      <c r="BB598" s="408"/>
      <c r="BC598" s="408"/>
      <c r="BD598" s="408"/>
      <c r="BE598" s="408"/>
      <c r="BF598" s="408"/>
      <c r="BG598" s="408"/>
      <c r="BH598" s="408"/>
      <c r="BI598" s="408"/>
      <c r="BJ598" s="408"/>
      <c r="BK598" s="408"/>
      <c r="BL598" s="408"/>
      <c r="BM598" s="408"/>
      <c r="BN598" s="408"/>
      <c r="BO598" s="408"/>
      <c r="BP598" s="408"/>
      <c r="BQ598" s="408"/>
      <c r="BR598" s="408"/>
      <c r="BS598" s="408"/>
      <c r="BT598" s="408"/>
      <c r="BU598" s="408"/>
      <c r="BV598" s="408"/>
      <c r="BW598" s="408"/>
      <c r="BX598" s="408"/>
      <c r="BY598" s="408"/>
      <c r="BZ598" s="408"/>
      <c r="CA598" s="408"/>
      <c r="CB598" s="408"/>
      <c r="CC598" s="408"/>
      <c r="CD598" s="408"/>
      <c r="CE598" s="408"/>
      <c r="CF598" s="408"/>
      <c r="CG598" s="408"/>
      <c r="CH598" s="408"/>
      <c r="CI598" s="408"/>
      <c r="CJ598" s="408"/>
      <c r="CK598" s="408"/>
      <c r="CL598" s="408"/>
      <c r="CM598" s="408"/>
      <c r="CN598" s="408"/>
    </row>
    <row r="599">
      <c r="A599" s="408"/>
      <c r="B599" s="408"/>
      <c r="C599" s="408"/>
      <c r="D599" s="408"/>
      <c r="E599" s="408"/>
      <c r="F599" s="408"/>
      <c r="G599" s="408"/>
      <c r="H599" s="408"/>
      <c r="I599" s="408"/>
      <c r="J599" s="408"/>
      <c r="K599" s="408"/>
      <c r="L599" s="408"/>
      <c r="M599" s="408"/>
      <c r="N599" s="408"/>
      <c r="O599" s="408"/>
      <c r="P599" s="408"/>
      <c r="Q599" s="408"/>
      <c r="R599" s="408"/>
      <c r="S599" s="408"/>
      <c r="T599" s="408"/>
      <c r="U599" s="408"/>
      <c r="V599" s="408"/>
      <c r="W599" s="408"/>
      <c r="X599" s="408"/>
      <c r="Y599" s="408"/>
      <c r="Z599" s="408"/>
      <c r="AA599" s="408"/>
      <c r="AB599" s="408"/>
      <c r="AC599" s="408"/>
      <c r="AD599" s="408"/>
      <c r="AE599" s="408"/>
      <c r="AF599" s="408"/>
      <c r="AG599" s="408"/>
      <c r="AH599" s="408"/>
      <c r="AI599" s="408"/>
      <c r="AJ599" s="408"/>
      <c r="AK599" s="408"/>
      <c r="AL599" s="408"/>
      <c r="AM599" s="408"/>
      <c r="AN599" s="408"/>
      <c r="AO599" s="408"/>
      <c r="AP599" s="408"/>
      <c r="AQ599" s="408"/>
      <c r="AR599" s="408"/>
      <c r="AS599" s="408"/>
      <c r="AT599" s="408"/>
      <c r="AU599" s="408"/>
      <c r="AV599" s="408"/>
      <c r="AW599" s="408"/>
      <c r="AX599" s="408"/>
      <c r="AY599" s="408"/>
      <c r="AZ599" s="408"/>
      <c r="BA599" s="408"/>
      <c r="BB599" s="408"/>
      <c r="BC599" s="408"/>
      <c r="BD599" s="408"/>
      <c r="BE599" s="408"/>
      <c r="BF599" s="408"/>
      <c r="BG599" s="408"/>
      <c r="BH599" s="408"/>
      <c r="BI599" s="408"/>
      <c r="BJ599" s="408"/>
      <c r="BK599" s="408"/>
      <c r="BL599" s="408"/>
      <c r="BM599" s="408"/>
      <c r="BN599" s="408"/>
      <c r="BO599" s="408"/>
      <c r="BP599" s="408"/>
      <c r="BQ599" s="408"/>
      <c r="BR599" s="408"/>
      <c r="BS599" s="408"/>
      <c r="BT599" s="408"/>
      <c r="BU599" s="408"/>
      <c r="BV599" s="408"/>
      <c r="BW599" s="408"/>
      <c r="BX599" s="408"/>
      <c r="BY599" s="408"/>
      <c r="BZ599" s="408"/>
      <c r="CA599" s="408"/>
      <c r="CB599" s="408"/>
      <c r="CC599" s="408"/>
      <c r="CD599" s="408"/>
      <c r="CE599" s="408"/>
      <c r="CF599" s="408"/>
      <c r="CG599" s="408"/>
      <c r="CH599" s="408"/>
      <c r="CI599" s="408"/>
      <c r="CJ599" s="408"/>
      <c r="CK599" s="408"/>
      <c r="CL599" s="408"/>
      <c r="CM599" s="408"/>
      <c r="CN599" s="408"/>
    </row>
    <row r="600">
      <c r="A600" s="408"/>
      <c r="B600" s="408"/>
      <c r="C600" s="408"/>
      <c r="D600" s="408"/>
      <c r="E600" s="408"/>
      <c r="F600" s="408"/>
      <c r="G600" s="408"/>
      <c r="H600" s="408"/>
      <c r="I600" s="408"/>
      <c r="J600" s="408"/>
      <c r="K600" s="408"/>
      <c r="L600" s="408"/>
      <c r="M600" s="408"/>
      <c r="N600" s="408"/>
      <c r="O600" s="408"/>
      <c r="P600" s="408"/>
      <c r="Q600" s="408"/>
      <c r="R600" s="408"/>
      <c r="S600" s="408"/>
      <c r="T600" s="408"/>
      <c r="U600" s="408"/>
      <c r="V600" s="408"/>
      <c r="W600" s="408"/>
      <c r="X600" s="408"/>
      <c r="Y600" s="408"/>
      <c r="Z600" s="408"/>
      <c r="AA600" s="408"/>
      <c r="AB600" s="408"/>
      <c r="AC600" s="408"/>
      <c r="AD600" s="408"/>
      <c r="AE600" s="408"/>
      <c r="AF600" s="408"/>
      <c r="AG600" s="408"/>
      <c r="AH600" s="408"/>
      <c r="AI600" s="408"/>
      <c r="AJ600" s="408"/>
      <c r="AK600" s="408"/>
      <c r="AL600" s="408"/>
      <c r="AM600" s="408"/>
      <c r="AN600" s="408"/>
      <c r="AO600" s="408"/>
      <c r="AP600" s="408"/>
      <c r="AQ600" s="408"/>
      <c r="AR600" s="408"/>
      <c r="AS600" s="408"/>
      <c r="AT600" s="408"/>
      <c r="AU600" s="408"/>
      <c r="AV600" s="408"/>
      <c r="AW600" s="408"/>
      <c r="AX600" s="408"/>
      <c r="AY600" s="408"/>
      <c r="AZ600" s="408"/>
      <c r="BA600" s="408"/>
      <c r="BB600" s="408"/>
      <c r="BC600" s="408"/>
      <c r="BD600" s="408"/>
      <c r="BE600" s="408"/>
      <c r="BF600" s="408"/>
      <c r="BG600" s="408"/>
      <c r="BH600" s="408"/>
      <c r="BI600" s="408"/>
      <c r="BJ600" s="408"/>
      <c r="BK600" s="408"/>
      <c r="BL600" s="408"/>
      <c r="BM600" s="408"/>
      <c r="BN600" s="408"/>
      <c r="BO600" s="408"/>
      <c r="BP600" s="408"/>
      <c r="BQ600" s="408"/>
      <c r="BR600" s="408"/>
      <c r="BS600" s="408"/>
      <c r="BT600" s="408"/>
      <c r="BU600" s="408"/>
      <c r="BV600" s="408"/>
      <c r="BW600" s="408"/>
      <c r="BX600" s="408"/>
      <c r="BY600" s="408"/>
      <c r="BZ600" s="408"/>
      <c r="CA600" s="408"/>
      <c r="CB600" s="408"/>
      <c r="CC600" s="408"/>
      <c r="CD600" s="408"/>
      <c r="CE600" s="408"/>
      <c r="CF600" s="408"/>
      <c r="CG600" s="408"/>
      <c r="CH600" s="408"/>
      <c r="CI600" s="408"/>
      <c r="CJ600" s="408"/>
      <c r="CK600" s="408"/>
      <c r="CL600" s="408"/>
      <c r="CM600" s="408"/>
      <c r="CN600" s="408"/>
    </row>
    <row r="601">
      <c r="A601" s="408"/>
      <c r="B601" s="408"/>
      <c r="C601" s="408"/>
      <c r="D601" s="408"/>
      <c r="E601" s="408"/>
      <c r="F601" s="408"/>
      <c r="G601" s="408"/>
      <c r="H601" s="408"/>
      <c r="I601" s="408"/>
      <c r="J601" s="408"/>
      <c r="K601" s="408"/>
      <c r="L601" s="408"/>
      <c r="M601" s="408"/>
      <c r="N601" s="408"/>
      <c r="O601" s="408"/>
      <c r="P601" s="408"/>
      <c r="Q601" s="408"/>
      <c r="R601" s="408"/>
      <c r="S601" s="408"/>
      <c r="T601" s="408"/>
      <c r="U601" s="408"/>
      <c r="V601" s="408"/>
      <c r="W601" s="408"/>
      <c r="X601" s="408"/>
      <c r="Y601" s="408"/>
      <c r="Z601" s="408"/>
      <c r="AA601" s="408"/>
      <c r="AB601" s="408"/>
      <c r="AC601" s="408"/>
      <c r="AD601" s="408"/>
      <c r="AE601" s="408"/>
      <c r="AF601" s="408"/>
      <c r="AG601" s="408"/>
      <c r="AH601" s="408"/>
      <c r="AI601" s="408"/>
      <c r="AJ601" s="408"/>
      <c r="AK601" s="408"/>
      <c r="AL601" s="408"/>
      <c r="AM601" s="408"/>
      <c r="AN601" s="408"/>
      <c r="AO601" s="408"/>
      <c r="AP601" s="408"/>
      <c r="AQ601" s="408"/>
      <c r="AR601" s="408"/>
      <c r="AS601" s="408"/>
      <c r="AT601" s="408"/>
      <c r="AU601" s="408"/>
      <c r="AV601" s="408"/>
      <c r="AW601" s="408"/>
      <c r="AX601" s="408"/>
      <c r="AY601" s="408"/>
      <c r="AZ601" s="408"/>
      <c r="BA601" s="408"/>
      <c r="BB601" s="408"/>
      <c r="BC601" s="408"/>
      <c r="BD601" s="408"/>
      <c r="BE601" s="408"/>
      <c r="BF601" s="408"/>
      <c r="BG601" s="408"/>
      <c r="BH601" s="408"/>
      <c r="BI601" s="408"/>
      <c r="BJ601" s="408"/>
      <c r="BK601" s="408"/>
      <c r="BL601" s="408"/>
      <c r="BM601" s="408"/>
      <c r="BN601" s="408"/>
      <c r="BO601" s="408"/>
      <c r="BP601" s="408"/>
      <c r="BQ601" s="408"/>
      <c r="BR601" s="408"/>
      <c r="BS601" s="408"/>
      <c r="BT601" s="408"/>
      <c r="BU601" s="408"/>
      <c r="BV601" s="408"/>
      <c r="BW601" s="408"/>
      <c r="BX601" s="408"/>
      <c r="BY601" s="408"/>
      <c r="BZ601" s="408"/>
      <c r="CA601" s="408"/>
      <c r="CB601" s="408"/>
      <c r="CC601" s="408"/>
      <c r="CD601" s="408"/>
      <c r="CE601" s="408"/>
      <c r="CF601" s="408"/>
      <c r="CG601" s="408"/>
      <c r="CH601" s="408"/>
      <c r="CI601" s="408"/>
      <c r="CJ601" s="408"/>
      <c r="CK601" s="408"/>
      <c r="CL601" s="408"/>
      <c r="CM601" s="408"/>
      <c r="CN601" s="408"/>
    </row>
    <row r="602">
      <c r="A602" s="408"/>
      <c r="B602" s="408"/>
      <c r="C602" s="408"/>
      <c r="D602" s="408"/>
      <c r="E602" s="408"/>
      <c r="F602" s="408"/>
      <c r="G602" s="408"/>
      <c r="H602" s="408"/>
      <c r="I602" s="408"/>
      <c r="J602" s="408"/>
      <c r="K602" s="408"/>
      <c r="L602" s="408"/>
      <c r="M602" s="408"/>
      <c r="N602" s="408"/>
      <c r="O602" s="408"/>
      <c r="P602" s="408"/>
      <c r="Q602" s="408"/>
      <c r="R602" s="408"/>
      <c r="S602" s="408"/>
      <c r="T602" s="408"/>
      <c r="U602" s="408"/>
      <c r="V602" s="408"/>
      <c r="W602" s="408"/>
      <c r="X602" s="408"/>
      <c r="Y602" s="408"/>
      <c r="Z602" s="408"/>
      <c r="AA602" s="408"/>
      <c r="AB602" s="408"/>
      <c r="AC602" s="408"/>
      <c r="AD602" s="408"/>
      <c r="AE602" s="408"/>
      <c r="AF602" s="408"/>
      <c r="AG602" s="408"/>
      <c r="AH602" s="408"/>
      <c r="AI602" s="408"/>
      <c r="AJ602" s="408"/>
      <c r="AK602" s="408"/>
      <c r="AL602" s="408"/>
      <c r="AM602" s="408"/>
      <c r="AN602" s="408"/>
      <c r="AO602" s="408"/>
      <c r="AP602" s="408"/>
      <c r="AQ602" s="408"/>
      <c r="AR602" s="408"/>
      <c r="AS602" s="408"/>
      <c r="AT602" s="408"/>
      <c r="AU602" s="408"/>
      <c r="AV602" s="408"/>
      <c r="AW602" s="408"/>
      <c r="AX602" s="408"/>
      <c r="AY602" s="408"/>
      <c r="AZ602" s="408"/>
      <c r="BA602" s="408"/>
      <c r="BB602" s="408"/>
      <c r="BC602" s="408"/>
      <c r="BD602" s="408"/>
      <c r="BE602" s="408"/>
      <c r="BF602" s="408"/>
      <c r="BG602" s="408"/>
      <c r="BH602" s="408"/>
      <c r="BI602" s="408"/>
      <c r="BJ602" s="408"/>
      <c r="BK602" s="408"/>
      <c r="BL602" s="408"/>
      <c r="BM602" s="408"/>
      <c r="BN602" s="408"/>
      <c r="BO602" s="408"/>
      <c r="BP602" s="408"/>
      <c r="BQ602" s="408"/>
      <c r="BR602" s="408"/>
      <c r="BS602" s="408"/>
      <c r="BT602" s="408"/>
      <c r="BU602" s="408"/>
      <c r="BV602" s="408"/>
      <c r="BW602" s="408"/>
      <c r="BX602" s="408"/>
      <c r="BY602" s="408"/>
      <c r="BZ602" s="408"/>
      <c r="CA602" s="408"/>
      <c r="CB602" s="408"/>
      <c r="CC602" s="408"/>
      <c r="CD602" s="408"/>
      <c r="CE602" s="408"/>
      <c r="CF602" s="408"/>
      <c r="CG602" s="408"/>
      <c r="CH602" s="408"/>
      <c r="CI602" s="408"/>
      <c r="CJ602" s="408"/>
      <c r="CK602" s="408"/>
      <c r="CL602" s="408"/>
      <c r="CM602" s="408"/>
      <c r="CN602" s="408"/>
    </row>
    <row r="603">
      <c r="A603" s="408"/>
      <c r="B603" s="408"/>
      <c r="C603" s="408"/>
      <c r="D603" s="408"/>
      <c r="E603" s="408"/>
      <c r="F603" s="408"/>
      <c r="G603" s="408"/>
      <c r="H603" s="408"/>
      <c r="I603" s="408"/>
      <c r="J603" s="408"/>
      <c r="K603" s="408"/>
      <c r="L603" s="408"/>
      <c r="M603" s="408"/>
      <c r="N603" s="408"/>
      <c r="O603" s="408"/>
      <c r="P603" s="408"/>
      <c r="Q603" s="408"/>
      <c r="R603" s="408"/>
      <c r="S603" s="408"/>
      <c r="T603" s="408"/>
      <c r="U603" s="408"/>
      <c r="V603" s="408"/>
      <c r="W603" s="408"/>
      <c r="X603" s="408"/>
      <c r="Y603" s="408"/>
      <c r="Z603" s="408"/>
      <c r="AA603" s="408"/>
      <c r="AB603" s="408"/>
      <c r="AC603" s="408"/>
      <c r="AD603" s="408"/>
      <c r="AE603" s="408"/>
      <c r="AF603" s="408"/>
      <c r="AG603" s="408"/>
      <c r="AH603" s="408"/>
      <c r="AI603" s="408"/>
      <c r="AJ603" s="408"/>
      <c r="AK603" s="408"/>
      <c r="AL603" s="408"/>
      <c r="AM603" s="408"/>
      <c r="AN603" s="408"/>
      <c r="AO603" s="408"/>
      <c r="AP603" s="408"/>
      <c r="AQ603" s="408"/>
      <c r="AR603" s="408"/>
      <c r="AS603" s="408"/>
      <c r="AT603" s="408"/>
      <c r="AU603" s="408"/>
      <c r="AV603" s="408"/>
      <c r="AW603" s="408"/>
      <c r="AX603" s="408"/>
      <c r="AY603" s="408"/>
      <c r="AZ603" s="408"/>
      <c r="BA603" s="408"/>
      <c r="BB603" s="408"/>
      <c r="BC603" s="408"/>
      <c r="BD603" s="408"/>
      <c r="BE603" s="408"/>
      <c r="BF603" s="408"/>
      <c r="BG603" s="408"/>
      <c r="BH603" s="408"/>
      <c r="BI603" s="408"/>
      <c r="BJ603" s="408"/>
      <c r="BK603" s="408"/>
      <c r="BL603" s="408"/>
      <c r="BM603" s="408"/>
      <c r="BN603" s="408"/>
      <c r="BO603" s="408"/>
      <c r="BP603" s="408"/>
      <c r="BQ603" s="408"/>
      <c r="BR603" s="408"/>
      <c r="BS603" s="408"/>
      <c r="BT603" s="408"/>
      <c r="BU603" s="408"/>
      <c r="BV603" s="408"/>
      <c r="BW603" s="408"/>
      <c r="BX603" s="408"/>
      <c r="BY603" s="408"/>
      <c r="BZ603" s="408"/>
      <c r="CA603" s="408"/>
      <c r="CB603" s="408"/>
      <c r="CC603" s="408"/>
      <c r="CD603" s="408"/>
      <c r="CE603" s="408"/>
      <c r="CF603" s="408"/>
      <c r="CG603" s="408"/>
      <c r="CH603" s="408"/>
      <c r="CI603" s="408"/>
      <c r="CJ603" s="408"/>
      <c r="CK603" s="408"/>
      <c r="CL603" s="408"/>
      <c r="CM603" s="408"/>
      <c r="CN603" s="408"/>
    </row>
    <row r="604">
      <c r="A604" s="408"/>
      <c r="B604" s="408"/>
      <c r="C604" s="408"/>
      <c r="D604" s="408"/>
      <c r="E604" s="408"/>
      <c r="F604" s="408"/>
      <c r="G604" s="408"/>
      <c r="H604" s="408"/>
      <c r="I604" s="408"/>
      <c r="J604" s="408"/>
      <c r="K604" s="408"/>
      <c r="L604" s="408"/>
      <c r="M604" s="408"/>
      <c r="N604" s="408"/>
      <c r="O604" s="408"/>
      <c r="P604" s="408"/>
      <c r="Q604" s="408"/>
      <c r="R604" s="408"/>
      <c r="S604" s="408"/>
      <c r="T604" s="408"/>
      <c r="U604" s="408"/>
      <c r="V604" s="408"/>
      <c r="W604" s="408"/>
      <c r="X604" s="408"/>
      <c r="Y604" s="408"/>
      <c r="Z604" s="408"/>
      <c r="AA604" s="408"/>
      <c r="AB604" s="408"/>
      <c r="AC604" s="408"/>
      <c r="AD604" s="408"/>
      <c r="AE604" s="408"/>
      <c r="AF604" s="408"/>
      <c r="AG604" s="408"/>
      <c r="AH604" s="408"/>
      <c r="AI604" s="408"/>
      <c r="AJ604" s="408"/>
      <c r="AK604" s="408"/>
      <c r="AL604" s="408"/>
      <c r="AM604" s="408"/>
      <c r="AN604" s="408"/>
      <c r="AO604" s="408"/>
      <c r="AP604" s="408"/>
      <c r="AQ604" s="408"/>
      <c r="AR604" s="408"/>
      <c r="AS604" s="408"/>
      <c r="AT604" s="408"/>
      <c r="AU604" s="408"/>
      <c r="AV604" s="408"/>
      <c r="AW604" s="408"/>
      <c r="AX604" s="408"/>
      <c r="AY604" s="408"/>
      <c r="AZ604" s="408"/>
      <c r="BA604" s="408"/>
      <c r="BB604" s="408"/>
      <c r="BC604" s="408"/>
      <c r="BD604" s="408"/>
      <c r="BE604" s="408"/>
      <c r="BF604" s="408"/>
      <c r="BG604" s="408"/>
      <c r="BH604" s="408"/>
      <c r="BI604" s="408"/>
      <c r="BJ604" s="408"/>
      <c r="BK604" s="408"/>
      <c r="BL604" s="408"/>
      <c r="BM604" s="408"/>
      <c r="BN604" s="408"/>
      <c r="BO604" s="408"/>
      <c r="BP604" s="408"/>
      <c r="BQ604" s="408"/>
      <c r="BR604" s="408"/>
      <c r="BS604" s="408"/>
      <c r="BT604" s="408"/>
      <c r="BU604" s="408"/>
      <c r="BV604" s="408"/>
      <c r="BW604" s="408"/>
      <c r="BX604" s="408"/>
      <c r="BY604" s="408"/>
      <c r="BZ604" s="408"/>
      <c r="CA604" s="408"/>
      <c r="CB604" s="408"/>
      <c r="CC604" s="408"/>
      <c r="CD604" s="408"/>
      <c r="CE604" s="408"/>
      <c r="CF604" s="408"/>
      <c r="CG604" s="408"/>
      <c r="CH604" s="408"/>
      <c r="CI604" s="408"/>
      <c r="CJ604" s="408"/>
      <c r="CK604" s="408"/>
      <c r="CL604" s="408"/>
      <c r="CM604" s="408"/>
      <c r="CN604" s="408"/>
    </row>
    <row r="605">
      <c r="A605" s="408"/>
      <c r="B605" s="408"/>
      <c r="C605" s="408"/>
      <c r="D605" s="408"/>
      <c r="E605" s="408"/>
      <c r="F605" s="408"/>
      <c r="G605" s="408"/>
      <c r="H605" s="408"/>
      <c r="I605" s="408"/>
      <c r="J605" s="408"/>
      <c r="K605" s="408"/>
      <c r="L605" s="408"/>
      <c r="M605" s="408"/>
      <c r="N605" s="408"/>
      <c r="O605" s="408"/>
      <c r="P605" s="408"/>
      <c r="Q605" s="408"/>
      <c r="R605" s="408"/>
      <c r="S605" s="408"/>
      <c r="T605" s="408"/>
      <c r="U605" s="408"/>
      <c r="V605" s="408"/>
      <c r="W605" s="408"/>
      <c r="X605" s="408"/>
      <c r="Y605" s="408"/>
      <c r="Z605" s="408"/>
      <c r="AA605" s="408"/>
      <c r="AB605" s="408"/>
      <c r="AC605" s="408"/>
      <c r="AD605" s="408"/>
      <c r="AE605" s="408"/>
      <c r="AF605" s="408"/>
      <c r="AG605" s="408"/>
      <c r="AH605" s="408"/>
      <c r="AI605" s="408"/>
      <c r="AJ605" s="408"/>
      <c r="AK605" s="408"/>
      <c r="AL605" s="408"/>
      <c r="AM605" s="408"/>
      <c r="AN605" s="408"/>
      <c r="AO605" s="408"/>
      <c r="AP605" s="408"/>
      <c r="AQ605" s="408"/>
      <c r="AR605" s="408"/>
      <c r="AS605" s="408"/>
      <c r="AT605" s="408"/>
      <c r="AU605" s="408"/>
      <c r="AV605" s="408"/>
      <c r="AW605" s="408"/>
      <c r="AX605" s="408"/>
      <c r="AY605" s="408"/>
      <c r="AZ605" s="408"/>
      <c r="BA605" s="408"/>
      <c r="BB605" s="408"/>
      <c r="BC605" s="408"/>
      <c r="BD605" s="408"/>
      <c r="BE605" s="408"/>
      <c r="BF605" s="408"/>
      <c r="BG605" s="408"/>
      <c r="BH605" s="408"/>
      <c r="BI605" s="408"/>
      <c r="BJ605" s="408"/>
      <c r="BK605" s="408"/>
      <c r="BL605" s="408"/>
      <c r="BM605" s="408"/>
      <c r="BN605" s="408"/>
      <c r="BO605" s="408"/>
      <c r="BP605" s="408"/>
      <c r="BQ605" s="408"/>
      <c r="BR605" s="408"/>
      <c r="BS605" s="408"/>
      <c r="BT605" s="408"/>
      <c r="BU605" s="408"/>
      <c r="BV605" s="408"/>
      <c r="BW605" s="408"/>
      <c r="BX605" s="408"/>
      <c r="BY605" s="408"/>
      <c r="BZ605" s="408"/>
      <c r="CA605" s="408"/>
      <c r="CB605" s="408"/>
      <c r="CC605" s="408"/>
      <c r="CD605" s="408"/>
      <c r="CE605" s="408"/>
      <c r="CF605" s="408"/>
      <c r="CG605" s="408"/>
      <c r="CH605" s="408"/>
      <c r="CI605" s="408"/>
      <c r="CJ605" s="408"/>
      <c r="CK605" s="408"/>
      <c r="CL605" s="408"/>
      <c r="CM605" s="408"/>
      <c r="CN605" s="408"/>
    </row>
    <row r="606">
      <c r="A606" s="408"/>
      <c r="B606" s="408"/>
      <c r="C606" s="408"/>
      <c r="D606" s="408"/>
      <c r="E606" s="408"/>
      <c r="F606" s="408"/>
      <c r="G606" s="408"/>
      <c r="H606" s="408"/>
      <c r="I606" s="408"/>
      <c r="J606" s="408"/>
      <c r="K606" s="408"/>
      <c r="L606" s="408"/>
      <c r="M606" s="408"/>
      <c r="N606" s="408"/>
      <c r="O606" s="408"/>
      <c r="P606" s="408"/>
      <c r="Q606" s="408"/>
      <c r="R606" s="408"/>
      <c r="S606" s="408"/>
      <c r="T606" s="408"/>
      <c r="U606" s="408"/>
      <c r="V606" s="408"/>
      <c r="W606" s="408"/>
      <c r="X606" s="408"/>
      <c r="Y606" s="408"/>
      <c r="Z606" s="408"/>
      <c r="AA606" s="408"/>
      <c r="AB606" s="408"/>
      <c r="AC606" s="408"/>
      <c r="AD606" s="408"/>
      <c r="AE606" s="408"/>
      <c r="AF606" s="408"/>
      <c r="AG606" s="408"/>
      <c r="AH606" s="408"/>
      <c r="AI606" s="408"/>
      <c r="AJ606" s="408"/>
      <c r="AK606" s="408"/>
      <c r="AL606" s="408"/>
      <c r="AM606" s="408"/>
      <c r="AN606" s="408"/>
      <c r="AO606" s="408"/>
      <c r="AP606" s="408"/>
      <c r="AQ606" s="408"/>
      <c r="AR606" s="408"/>
      <c r="AS606" s="408"/>
      <c r="AT606" s="408"/>
      <c r="AU606" s="408"/>
      <c r="AV606" s="408"/>
      <c r="AW606" s="408"/>
      <c r="AX606" s="408"/>
      <c r="AY606" s="408"/>
      <c r="AZ606" s="408"/>
      <c r="BA606" s="408"/>
      <c r="BB606" s="408"/>
      <c r="BC606" s="408"/>
      <c r="BD606" s="408"/>
      <c r="BE606" s="408"/>
      <c r="BF606" s="408"/>
      <c r="BG606" s="408"/>
      <c r="BH606" s="408"/>
      <c r="BI606" s="408"/>
      <c r="BJ606" s="408"/>
      <c r="BK606" s="408"/>
      <c r="BL606" s="408"/>
      <c r="BM606" s="408"/>
      <c r="BN606" s="408"/>
      <c r="BO606" s="408"/>
      <c r="BP606" s="408"/>
      <c r="BQ606" s="408"/>
      <c r="BR606" s="408"/>
      <c r="BS606" s="408"/>
      <c r="BT606" s="408"/>
      <c r="BU606" s="408"/>
      <c r="BV606" s="408"/>
      <c r="BW606" s="408"/>
      <c r="BX606" s="408"/>
      <c r="BY606" s="408"/>
      <c r="BZ606" s="408"/>
      <c r="CA606" s="408"/>
      <c r="CB606" s="408"/>
      <c r="CC606" s="408"/>
      <c r="CD606" s="408"/>
      <c r="CE606" s="408"/>
      <c r="CF606" s="408"/>
      <c r="CG606" s="408"/>
      <c r="CH606" s="408"/>
      <c r="CI606" s="408"/>
      <c r="CJ606" s="408"/>
      <c r="CK606" s="408"/>
      <c r="CL606" s="408"/>
      <c r="CM606" s="408"/>
      <c r="CN606" s="408"/>
    </row>
    <row r="607">
      <c r="A607" s="408"/>
      <c r="B607" s="408"/>
      <c r="C607" s="408"/>
      <c r="D607" s="408"/>
      <c r="E607" s="408"/>
      <c r="F607" s="408"/>
      <c r="G607" s="408"/>
      <c r="H607" s="408"/>
      <c r="I607" s="408"/>
      <c r="J607" s="408"/>
      <c r="K607" s="408"/>
      <c r="L607" s="408"/>
      <c r="M607" s="408"/>
      <c r="N607" s="408"/>
      <c r="O607" s="408"/>
      <c r="P607" s="408"/>
      <c r="Q607" s="408"/>
      <c r="R607" s="408"/>
      <c r="S607" s="408"/>
      <c r="T607" s="408"/>
      <c r="U607" s="408"/>
      <c r="V607" s="408"/>
      <c r="W607" s="408"/>
      <c r="X607" s="408"/>
      <c r="Y607" s="408"/>
      <c r="Z607" s="408"/>
      <c r="AA607" s="408"/>
      <c r="AB607" s="408"/>
      <c r="AC607" s="408"/>
      <c r="AD607" s="408"/>
      <c r="AE607" s="408"/>
      <c r="AF607" s="408"/>
      <c r="AG607" s="408"/>
      <c r="AH607" s="408"/>
      <c r="AI607" s="408"/>
      <c r="AJ607" s="408"/>
      <c r="AK607" s="408"/>
      <c r="AL607" s="408"/>
      <c r="AM607" s="408"/>
      <c r="AN607" s="408"/>
      <c r="AO607" s="408"/>
      <c r="AP607" s="408"/>
      <c r="AQ607" s="408"/>
      <c r="AR607" s="408"/>
      <c r="AS607" s="408"/>
      <c r="AT607" s="408"/>
      <c r="AU607" s="408"/>
      <c r="AV607" s="408"/>
      <c r="AW607" s="408"/>
      <c r="AX607" s="408"/>
      <c r="AY607" s="408"/>
      <c r="AZ607" s="408"/>
      <c r="BA607" s="408"/>
      <c r="BB607" s="408"/>
      <c r="BC607" s="408"/>
      <c r="BD607" s="408"/>
      <c r="BE607" s="408"/>
      <c r="BF607" s="408"/>
      <c r="BG607" s="408"/>
      <c r="BH607" s="408"/>
      <c r="BI607" s="408"/>
      <c r="BJ607" s="408"/>
      <c r="BK607" s="408"/>
      <c r="BL607" s="408"/>
      <c r="BM607" s="408"/>
      <c r="BN607" s="408"/>
      <c r="BO607" s="408"/>
      <c r="BP607" s="408"/>
      <c r="BQ607" s="408"/>
      <c r="BR607" s="408"/>
      <c r="BS607" s="408"/>
      <c r="BT607" s="408"/>
      <c r="BU607" s="408"/>
      <c r="BV607" s="408"/>
      <c r="BW607" s="408"/>
      <c r="BX607" s="408"/>
      <c r="BY607" s="408"/>
      <c r="BZ607" s="408"/>
      <c r="CA607" s="408"/>
      <c r="CB607" s="408"/>
      <c r="CC607" s="408"/>
      <c r="CD607" s="408"/>
      <c r="CE607" s="408"/>
      <c r="CF607" s="408"/>
      <c r="CG607" s="408"/>
      <c r="CH607" s="408"/>
      <c r="CI607" s="408"/>
      <c r="CJ607" s="408"/>
      <c r="CK607" s="408"/>
      <c r="CL607" s="408"/>
      <c r="CM607" s="408"/>
      <c r="CN607" s="408"/>
    </row>
    <row r="608">
      <c r="A608" s="408"/>
      <c r="B608" s="408"/>
      <c r="C608" s="408"/>
      <c r="D608" s="408"/>
      <c r="E608" s="408"/>
      <c r="F608" s="408"/>
      <c r="G608" s="408"/>
      <c r="H608" s="408"/>
      <c r="I608" s="408"/>
      <c r="J608" s="408"/>
      <c r="K608" s="408"/>
      <c r="L608" s="408"/>
      <c r="M608" s="408"/>
      <c r="N608" s="408"/>
      <c r="O608" s="408"/>
      <c r="P608" s="408"/>
      <c r="Q608" s="408"/>
      <c r="R608" s="408"/>
      <c r="S608" s="408"/>
      <c r="T608" s="408"/>
      <c r="U608" s="408"/>
      <c r="V608" s="408"/>
      <c r="W608" s="408"/>
      <c r="X608" s="408"/>
      <c r="Y608" s="408"/>
      <c r="Z608" s="408"/>
      <c r="AA608" s="408"/>
      <c r="AB608" s="408"/>
      <c r="AC608" s="408"/>
      <c r="AD608" s="408"/>
      <c r="AE608" s="408"/>
      <c r="AF608" s="408"/>
      <c r="AG608" s="408"/>
      <c r="AH608" s="408"/>
      <c r="AI608" s="408"/>
      <c r="AJ608" s="408"/>
      <c r="AK608" s="408"/>
      <c r="AL608" s="408"/>
      <c r="AM608" s="408"/>
      <c r="AN608" s="408"/>
      <c r="AO608" s="408"/>
      <c r="AP608" s="408"/>
      <c r="AQ608" s="408"/>
      <c r="AR608" s="408"/>
      <c r="AS608" s="408"/>
      <c r="AT608" s="408"/>
      <c r="AU608" s="408"/>
      <c r="AV608" s="408"/>
      <c r="AW608" s="408"/>
      <c r="AX608" s="408"/>
      <c r="AY608" s="408"/>
      <c r="AZ608" s="408"/>
      <c r="BA608" s="408"/>
      <c r="BB608" s="408"/>
      <c r="BC608" s="408"/>
      <c r="BD608" s="408"/>
      <c r="BE608" s="408"/>
      <c r="BF608" s="408"/>
      <c r="BG608" s="408"/>
      <c r="BH608" s="408"/>
      <c r="BI608" s="408"/>
      <c r="BJ608" s="408"/>
      <c r="BK608" s="408"/>
      <c r="BL608" s="408"/>
      <c r="BM608" s="408"/>
      <c r="BN608" s="408"/>
      <c r="BO608" s="408"/>
      <c r="BP608" s="408"/>
      <c r="BQ608" s="408"/>
      <c r="BR608" s="408"/>
      <c r="BS608" s="408"/>
      <c r="BT608" s="408"/>
      <c r="BU608" s="408"/>
      <c r="BV608" s="408"/>
      <c r="BW608" s="408"/>
      <c r="BX608" s="408"/>
      <c r="BY608" s="408"/>
      <c r="BZ608" s="408"/>
      <c r="CA608" s="408"/>
      <c r="CB608" s="408"/>
      <c r="CC608" s="408"/>
      <c r="CD608" s="408"/>
      <c r="CE608" s="408"/>
      <c r="CF608" s="408"/>
      <c r="CG608" s="408"/>
      <c r="CH608" s="408"/>
      <c r="CI608" s="408"/>
      <c r="CJ608" s="408"/>
      <c r="CK608" s="408"/>
      <c r="CL608" s="408"/>
      <c r="CM608" s="408"/>
      <c r="CN608" s="408"/>
    </row>
    <row r="609">
      <c r="A609" s="408"/>
      <c r="B609" s="408"/>
      <c r="C609" s="408"/>
      <c r="D609" s="408"/>
      <c r="E609" s="408"/>
      <c r="F609" s="408"/>
      <c r="G609" s="408"/>
      <c r="H609" s="408"/>
      <c r="I609" s="408"/>
      <c r="J609" s="408"/>
      <c r="K609" s="408"/>
      <c r="L609" s="408"/>
      <c r="M609" s="408"/>
      <c r="N609" s="408"/>
      <c r="O609" s="408"/>
      <c r="P609" s="408"/>
      <c r="Q609" s="408"/>
      <c r="R609" s="408"/>
      <c r="S609" s="408"/>
      <c r="T609" s="408"/>
      <c r="U609" s="408"/>
      <c r="V609" s="408"/>
      <c r="W609" s="408"/>
      <c r="X609" s="408"/>
      <c r="Y609" s="408"/>
      <c r="Z609" s="408"/>
      <c r="AA609" s="408"/>
      <c r="AB609" s="408"/>
      <c r="AC609" s="408"/>
      <c r="AD609" s="408"/>
      <c r="AE609" s="408"/>
      <c r="AF609" s="408"/>
      <c r="AG609" s="408"/>
      <c r="AH609" s="408"/>
      <c r="AI609" s="408"/>
      <c r="AJ609" s="408"/>
      <c r="AK609" s="408"/>
      <c r="AL609" s="408"/>
      <c r="AM609" s="408"/>
      <c r="AN609" s="408"/>
      <c r="AO609" s="408"/>
      <c r="AP609" s="408"/>
      <c r="AQ609" s="408"/>
      <c r="AR609" s="408"/>
      <c r="AS609" s="408"/>
      <c r="AT609" s="408"/>
      <c r="AU609" s="408"/>
      <c r="AV609" s="408"/>
      <c r="AW609" s="408"/>
      <c r="AX609" s="408"/>
      <c r="AY609" s="408"/>
      <c r="AZ609" s="408"/>
      <c r="BA609" s="408"/>
      <c r="BB609" s="408"/>
      <c r="BC609" s="408"/>
      <c r="BD609" s="408"/>
      <c r="BE609" s="408"/>
      <c r="BF609" s="408"/>
      <c r="BG609" s="408"/>
      <c r="BH609" s="408"/>
      <c r="BI609" s="408"/>
      <c r="BJ609" s="408"/>
      <c r="BK609" s="408"/>
      <c r="BL609" s="408"/>
      <c r="BM609" s="408"/>
      <c r="BN609" s="408"/>
      <c r="BO609" s="408"/>
      <c r="BP609" s="408"/>
      <c r="BQ609" s="408"/>
      <c r="BR609" s="408"/>
      <c r="BS609" s="408"/>
      <c r="BT609" s="408"/>
      <c r="BU609" s="408"/>
      <c r="BV609" s="408"/>
      <c r="BW609" s="408"/>
      <c r="BX609" s="408"/>
      <c r="BY609" s="408"/>
      <c r="BZ609" s="408"/>
      <c r="CA609" s="408"/>
      <c r="CB609" s="408"/>
      <c r="CC609" s="408"/>
      <c r="CD609" s="408"/>
      <c r="CE609" s="408"/>
      <c r="CF609" s="408"/>
      <c r="CG609" s="408"/>
      <c r="CH609" s="408"/>
      <c r="CI609" s="408"/>
      <c r="CJ609" s="408"/>
      <c r="CK609" s="408"/>
      <c r="CL609" s="408"/>
      <c r="CM609" s="408"/>
      <c r="CN609" s="408"/>
    </row>
    <row r="610">
      <c r="A610" s="408"/>
      <c r="B610" s="408"/>
      <c r="C610" s="408"/>
      <c r="D610" s="408"/>
      <c r="E610" s="408"/>
      <c r="F610" s="408"/>
      <c r="G610" s="408"/>
      <c r="H610" s="408"/>
      <c r="I610" s="408"/>
      <c r="J610" s="408"/>
      <c r="K610" s="408"/>
      <c r="L610" s="408"/>
      <c r="M610" s="408"/>
      <c r="N610" s="408"/>
      <c r="O610" s="408"/>
      <c r="P610" s="408"/>
      <c r="Q610" s="408"/>
      <c r="R610" s="408"/>
      <c r="S610" s="408"/>
      <c r="T610" s="408"/>
      <c r="U610" s="408"/>
      <c r="V610" s="408"/>
      <c r="W610" s="408"/>
      <c r="X610" s="408"/>
      <c r="Y610" s="408"/>
      <c r="Z610" s="408"/>
      <c r="AA610" s="408"/>
      <c r="AB610" s="408"/>
      <c r="AC610" s="408"/>
      <c r="AD610" s="408"/>
      <c r="AE610" s="408"/>
      <c r="AF610" s="408"/>
      <c r="AG610" s="408"/>
      <c r="AH610" s="408"/>
      <c r="AI610" s="408"/>
      <c r="AJ610" s="408"/>
      <c r="AK610" s="408"/>
      <c r="AL610" s="408"/>
      <c r="AM610" s="408"/>
      <c r="AN610" s="408"/>
      <c r="AO610" s="408"/>
      <c r="AP610" s="408"/>
      <c r="AQ610" s="408"/>
      <c r="AR610" s="408"/>
      <c r="AS610" s="408"/>
      <c r="AT610" s="408"/>
      <c r="AU610" s="408"/>
      <c r="AV610" s="408"/>
      <c r="AW610" s="408"/>
      <c r="AX610" s="408"/>
      <c r="AY610" s="408"/>
      <c r="AZ610" s="408"/>
      <c r="BA610" s="408"/>
      <c r="BB610" s="408"/>
      <c r="BC610" s="408"/>
      <c r="BD610" s="408"/>
      <c r="BE610" s="408"/>
      <c r="BF610" s="408"/>
      <c r="BG610" s="408"/>
      <c r="BH610" s="408"/>
      <c r="BI610" s="408"/>
      <c r="BJ610" s="408"/>
      <c r="BK610" s="408"/>
      <c r="BL610" s="408"/>
      <c r="BM610" s="408"/>
      <c r="BN610" s="408"/>
      <c r="BO610" s="408"/>
      <c r="BP610" s="408"/>
      <c r="BQ610" s="408"/>
      <c r="BR610" s="408"/>
      <c r="BS610" s="408"/>
      <c r="BT610" s="408"/>
      <c r="BU610" s="408"/>
      <c r="BV610" s="408"/>
      <c r="BW610" s="408"/>
      <c r="BX610" s="408"/>
      <c r="BY610" s="408"/>
      <c r="BZ610" s="408"/>
      <c r="CA610" s="408"/>
      <c r="CB610" s="408"/>
      <c r="CC610" s="408"/>
      <c r="CD610" s="408"/>
      <c r="CE610" s="408"/>
      <c r="CF610" s="408"/>
      <c r="CG610" s="408"/>
      <c r="CH610" s="408"/>
      <c r="CI610" s="408"/>
      <c r="CJ610" s="408"/>
      <c r="CK610" s="408"/>
      <c r="CL610" s="408"/>
      <c r="CM610" s="408"/>
      <c r="CN610" s="408"/>
    </row>
    <row r="611">
      <c r="A611" s="408"/>
      <c r="B611" s="408"/>
      <c r="C611" s="408"/>
      <c r="D611" s="408"/>
      <c r="E611" s="408"/>
      <c r="F611" s="408"/>
      <c r="G611" s="408"/>
      <c r="H611" s="408"/>
      <c r="I611" s="408"/>
      <c r="J611" s="408"/>
      <c r="K611" s="408"/>
      <c r="L611" s="408"/>
      <c r="M611" s="408"/>
      <c r="N611" s="408"/>
      <c r="O611" s="408"/>
      <c r="P611" s="408"/>
      <c r="Q611" s="408"/>
      <c r="R611" s="408"/>
      <c r="S611" s="408"/>
      <c r="T611" s="408"/>
      <c r="U611" s="408"/>
      <c r="V611" s="408"/>
      <c r="W611" s="408"/>
      <c r="X611" s="408"/>
      <c r="Y611" s="408"/>
      <c r="Z611" s="408"/>
      <c r="AA611" s="408"/>
      <c r="AB611" s="408"/>
      <c r="AC611" s="408"/>
      <c r="AD611" s="408"/>
      <c r="AE611" s="408"/>
      <c r="AF611" s="408"/>
      <c r="AG611" s="408"/>
      <c r="AH611" s="408"/>
      <c r="AI611" s="408"/>
      <c r="AJ611" s="408"/>
      <c r="AK611" s="408"/>
      <c r="AL611" s="408"/>
      <c r="AM611" s="408"/>
      <c r="AN611" s="408"/>
      <c r="AO611" s="408"/>
      <c r="AP611" s="408"/>
      <c r="AQ611" s="408"/>
      <c r="AR611" s="408"/>
      <c r="AS611" s="408"/>
      <c r="AT611" s="408"/>
      <c r="AU611" s="408"/>
      <c r="AV611" s="408"/>
      <c r="AW611" s="408"/>
      <c r="AX611" s="408"/>
      <c r="AY611" s="408"/>
      <c r="AZ611" s="408"/>
      <c r="BA611" s="408"/>
      <c r="BB611" s="408"/>
      <c r="BC611" s="408"/>
      <c r="BD611" s="408"/>
      <c r="BE611" s="408"/>
      <c r="BF611" s="408"/>
      <c r="BG611" s="408"/>
      <c r="BH611" s="408"/>
      <c r="BI611" s="408"/>
      <c r="BJ611" s="408"/>
      <c r="BK611" s="408"/>
      <c r="BL611" s="408"/>
      <c r="BM611" s="408"/>
      <c r="BN611" s="408"/>
      <c r="BO611" s="408"/>
      <c r="BP611" s="408"/>
      <c r="BQ611" s="408"/>
      <c r="BR611" s="408"/>
      <c r="BS611" s="408"/>
      <c r="BT611" s="408"/>
      <c r="BU611" s="408"/>
      <c r="BV611" s="408"/>
      <c r="BW611" s="408"/>
      <c r="BX611" s="408"/>
      <c r="BY611" s="408"/>
      <c r="BZ611" s="408"/>
      <c r="CA611" s="408"/>
      <c r="CB611" s="408"/>
      <c r="CC611" s="408"/>
      <c r="CD611" s="408"/>
      <c r="CE611" s="408"/>
      <c r="CF611" s="408"/>
      <c r="CG611" s="408"/>
      <c r="CH611" s="408"/>
      <c r="CI611" s="408"/>
      <c r="CJ611" s="408"/>
      <c r="CK611" s="408"/>
      <c r="CL611" s="408"/>
      <c r="CM611" s="408"/>
      <c r="CN611" s="408"/>
    </row>
    <row r="612">
      <c r="A612" s="408"/>
      <c r="B612" s="408"/>
      <c r="C612" s="408"/>
      <c r="D612" s="408"/>
      <c r="E612" s="408"/>
      <c r="F612" s="408"/>
      <c r="G612" s="408"/>
      <c r="H612" s="408"/>
      <c r="I612" s="408"/>
      <c r="J612" s="408"/>
      <c r="K612" s="408"/>
      <c r="L612" s="408"/>
      <c r="M612" s="408"/>
      <c r="N612" s="408"/>
      <c r="O612" s="408"/>
      <c r="P612" s="408"/>
      <c r="Q612" s="408"/>
      <c r="R612" s="408"/>
      <c r="S612" s="408"/>
      <c r="T612" s="408"/>
      <c r="U612" s="408"/>
      <c r="V612" s="408"/>
      <c r="W612" s="408"/>
      <c r="X612" s="408"/>
      <c r="Y612" s="408"/>
      <c r="Z612" s="408"/>
      <c r="AA612" s="408"/>
      <c r="AB612" s="408"/>
      <c r="AC612" s="408"/>
      <c r="AD612" s="408"/>
      <c r="AE612" s="408"/>
      <c r="AF612" s="408"/>
      <c r="AG612" s="408"/>
      <c r="AH612" s="408"/>
      <c r="AI612" s="408"/>
      <c r="AJ612" s="408"/>
      <c r="AK612" s="408"/>
      <c r="AL612" s="408"/>
      <c r="AM612" s="408"/>
      <c r="AN612" s="408"/>
      <c r="AO612" s="408"/>
      <c r="AP612" s="408"/>
      <c r="AQ612" s="408"/>
      <c r="AR612" s="408"/>
      <c r="AS612" s="408"/>
      <c r="AT612" s="408"/>
      <c r="AU612" s="408"/>
      <c r="AV612" s="408"/>
      <c r="AW612" s="408"/>
      <c r="AX612" s="408"/>
      <c r="AY612" s="408"/>
      <c r="AZ612" s="408"/>
      <c r="BA612" s="408"/>
      <c r="BB612" s="408"/>
      <c r="BC612" s="408"/>
      <c r="BD612" s="408"/>
      <c r="BE612" s="408"/>
      <c r="BF612" s="408"/>
      <c r="BG612" s="408"/>
      <c r="BH612" s="408"/>
      <c r="BI612" s="408"/>
      <c r="BJ612" s="408"/>
      <c r="BK612" s="408"/>
      <c r="BL612" s="408"/>
      <c r="BM612" s="408"/>
      <c r="BN612" s="408"/>
      <c r="BO612" s="408"/>
      <c r="BP612" s="408"/>
      <c r="BQ612" s="408"/>
      <c r="BR612" s="408"/>
      <c r="BS612" s="408"/>
      <c r="BT612" s="408"/>
      <c r="BU612" s="408"/>
      <c r="BV612" s="408"/>
      <c r="BW612" s="408"/>
      <c r="BX612" s="408"/>
      <c r="BY612" s="408"/>
      <c r="BZ612" s="408"/>
      <c r="CA612" s="408"/>
      <c r="CB612" s="408"/>
      <c r="CC612" s="408"/>
      <c r="CD612" s="408"/>
      <c r="CE612" s="408"/>
      <c r="CF612" s="408"/>
      <c r="CG612" s="408"/>
      <c r="CH612" s="408"/>
      <c r="CI612" s="408"/>
      <c r="CJ612" s="408"/>
      <c r="CK612" s="408"/>
      <c r="CL612" s="408"/>
      <c r="CM612" s="408"/>
      <c r="CN612" s="408"/>
    </row>
    <row r="613">
      <c r="A613" s="408"/>
      <c r="B613" s="408"/>
      <c r="C613" s="408"/>
      <c r="D613" s="408"/>
      <c r="E613" s="408"/>
      <c r="F613" s="408"/>
      <c r="G613" s="408"/>
      <c r="H613" s="408"/>
      <c r="I613" s="408"/>
      <c r="J613" s="408"/>
      <c r="K613" s="408"/>
      <c r="L613" s="408"/>
      <c r="M613" s="408"/>
      <c r="N613" s="408"/>
      <c r="O613" s="408"/>
      <c r="P613" s="408"/>
      <c r="Q613" s="408"/>
      <c r="R613" s="408"/>
      <c r="S613" s="408"/>
      <c r="T613" s="408"/>
      <c r="U613" s="408"/>
      <c r="V613" s="408"/>
      <c r="W613" s="408"/>
      <c r="X613" s="408"/>
      <c r="Y613" s="408"/>
      <c r="Z613" s="408"/>
      <c r="AA613" s="408"/>
      <c r="AB613" s="408"/>
      <c r="AC613" s="408"/>
      <c r="AD613" s="408"/>
      <c r="AE613" s="408"/>
      <c r="AF613" s="408"/>
      <c r="AG613" s="408"/>
      <c r="AH613" s="408"/>
      <c r="AI613" s="408"/>
      <c r="AJ613" s="408"/>
      <c r="AK613" s="408"/>
      <c r="AL613" s="408"/>
      <c r="AM613" s="408"/>
      <c r="AN613" s="408"/>
      <c r="AO613" s="408"/>
      <c r="AP613" s="408"/>
      <c r="AQ613" s="408"/>
      <c r="AR613" s="408"/>
      <c r="AS613" s="408"/>
      <c r="AT613" s="408"/>
      <c r="AU613" s="408"/>
      <c r="AV613" s="408"/>
      <c r="AW613" s="408"/>
      <c r="AX613" s="408"/>
      <c r="AY613" s="408"/>
      <c r="AZ613" s="408"/>
      <c r="BA613" s="408"/>
      <c r="BB613" s="408"/>
      <c r="BC613" s="408"/>
      <c r="BD613" s="408"/>
      <c r="BE613" s="408"/>
      <c r="BF613" s="408"/>
      <c r="BG613" s="408"/>
      <c r="BH613" s="408"/>
      <c r="BI613" s="408"/>
      <c r="BJ613" s="408"/>
      <c r="BK613" s="408"/>
      <c r="BL613" s="408"/>
      <c r="BM613" s="408"/>
      <c r="BN613" s="408"/>
      <c r="BO613" s="408"/>
      <c r="BP613" s="408"/>
      <c r="BQ613" s="408"/>
      <c r="BR613" s="408"/>
      <c r="BS613" s="408"/>
      <c r="BT613" s="408"/>
      <c r="BU613" s="408"/>
      <c r="BV613" s="408"/>
      <c r="BW613" s="408"/>
      <c r="BX613" s="408"/>
      <c r="BY613" s="408"/>
      <c r="BZ613" s="408"/>
      <c r="CA613" s="408"/>
      <c r="CB613" s="408"/>
      <c r="CC613" s="408"/>
      <c r="CD613" s="408"/>
      <c r="CE613" s="408"/>
      <c r="CF613" s="408"/>
      <c r="CG613" s="408"/>
      <c r="CH613" s="408"/>
      <c r="CI613" s="408"/>
      <c r="CJ613" s="408"/>
      <c r="CK613" s="408"/>
      <c r="CL613" s="408"/>
      <c r="CM613" s="408"/>
      <c r="CN613" s="408"/>
    </row>
    <row r="614">
      <c r="A614" s="408"/>
      <c r="B614" s="408"/>
      <c r="C614" s="408"/>
      <c r="D614" s="408"/>
      <c r="E614" s="408"/>
      <c r="F614" s="408"/>
      <c r="G614" s="408"/>
      <c r="H614" s="408"/>
      <c r="I614" s="408"/>
      <c r="J614" s="408"/>
      <c r="K614" s="408"/>
      <c r="L614" s="408"/>
      <c r="M614" s="408"/>
      <c r="N614" s="408"/>
      <c r="O614" s="408"/>
      <c r="P614" s="408"/>
      <c r="Q614" s="408"/>
      <c r="R614" s="408"/>
      <c r="S614" s="408"/>
      <c r="T614" s="408"/>
      <c r="U614" s="408"/>
      <c r="V614" s="408"/>
      <c r="W614" s="408"/>
      <c r="X614" s="408"/>
      <c r="Y614" s="408"/>
      <c r="Z614" s="408"/>
      <c r="AA614" s="408"/>
      <c r="AB614" s="408"/>
      <c r="AC614" s="408"/>
      <c r="AD614" s="408"/>
      <c r="AE614" s="408"/>
      <c r="AF614" s="408"/>
      <c r="AG614" s="408"/>
      <c r="AH614" s="408"/>
      <c r="AI614" s="408"/>
      <c r="AJ614" s="408"/>
      <c r="AK614" s="408"/>
      <c r="AL614" s="408"/>
      <c r="AM614" s="408"/>
      <c r="AN614" s="408"/>
      <c r="AO614" s="408"/>
      <c r="AP614" s="408"/>
      <c r="AQ614" s="408"/>
      <c r="AR614" s="408"/>
      <c r="AS614" s="408"/>
      <c r="AT614" s="408"/>
      <c r="AU614" s="408"/>
      <c r="AV614" s="408"/>
      <c r="AW614" s="408"/>
      <c r="AX614" s="408"/>
      <c r="AY614" s="408"/>
      <c r="AZ614" s="408"/>
      <c r="BA614" s="408"/>
      <c r="BB614" s="408"/>
      <c r="BC614" s="408"/>
      <c r="BD614" s="408"/>
      <c r="BE614" s="408"/>
      <c r="BF614" s="408"/>
      <c r="BG614" s="408"/>
      <c r="BH614" s="408"/>
      <c r="BI614" s="408"/>
      <c r="BJ614" s="408"/>
      <c r="BK614" s="408"/>
      <c r="BL614" s="408"/>
      <c r="BM614" s="408"/>
      <c r="BN614" s="408"/>
      <c r="BO614" s="408"/>
      <c r="BP614" s="408"/>
      <c r="BQ614" s="408"/>
      <c r="BR614" s="408"/>
      <c r="BS614" s="408"/>
      <c r="BT614" s="408"/>
      <c r="BU614" s="408"/>
      <c r="BV614" s="408"/>
      <c r="BW614" s="408"/>
      <c r="BX614" s="408"/>
      <c r="BY614" s="408"/>
      <c r="BZ614" s="408"/>
      <c r="CA614" s="408"/>
      <c r="CB614" s="408"/>
      <c r="CC614" s="408"/>
      <c r="CD614" s="408"/>
      <c r="CE614" s="408"/>
      <c r="CF614" s="408"/>
      <c r="CG614" s="408"/>
      <c r="CH614" s="408"/>
      <c r="CI614" s="408"/>
      <c r="CJ614" s="408"/>
      <c r="CK614" s="408"/>
      <c r="CL614" s="408"/>
      <c r="CM614" s="408"/>
      <c r="CN614" s="408"/>
    </row>
    <row r="615">
      <c r="A615" s="408"/>
      <c r="B615" s="408"/>
      <c r="C615" s="408"/>
      <c r="D615" s="408"/>
      <c r="E615" s="408"/>
      <c r="F615" s="408"/>
      <c r="G615" s="408"/>
      <c r="H615" s="408"/>
      <c r="I615" s="408"/>
      <c r="J615" s="408"/>
      <c r="K615" s="408"/>
      <c r="L615" s="408"/>
      <c r="M615" s="408"/>
      <c r="N615" s="408"/>
      <c r="O615" s="408"/>
      <c r="P615" s="408"/>
      <c r="Q615" s="408"/>
      <c r="R615" s="408"/>
      <c r="S615" s="408"/>
      <c r="T615" s="408"/>
      <c r="U615" s="408"/>
      <c r="V615" s="408"/>
      <c r="W615" s="408"/>
      <c r="X615" s="408"/>
      <c r="Y615" s="408"/>
      <c r="Z615" s="408"/>
      <c r="AA615" s="408"/>
      <c r="AB615" s="408"/>
      <c r="AC615" s="408"/>
      <c r="AD615" s="408"/>
      <c r="AE615" s="408"/>
      <c r="AF615" s="408"/>
      <c r="AG615" s="408"/>
      <c r="AH615" s="408"/>
      <c r="AI615" s="408"/>
      <c r="AJ615" s="408"/>
      <c r="AK615" s="408"/>
      <c r="AL615" s="408"/>
      <c r="AM615" s="408"/>
      <c r="AN615" s="408"/>
      <c r="AO615" s="408"/>
      <c r="AP615" s="408"/>
      <c r="AQ615" s="408"/>
      <c r="AR615" s="408"/>
      <c r="AS615" s="408"/>
      <c r="AT615" s="408"/>
      <c r="AU615" s="408"/>
      <c r="AV615" s="408"/>
      <c r="AW615" s="408"/>
      <c r="AX615" s="408"/>
      <c r="AY615" s="408"/>
      <c r="AZ615" s="408"/>
      <c r="BA615" s="408"/>
      <c r="BB615" s="408"/>
      <c r="BC615" s="408"/>
      <c r="BD615" s="408"/>
      <c r="BE615" s="408"/>
      <c r="BF615" s="408"/>
      <c r="BG615" s="408"/>
      <c r="BH615" s="408"/>
      <c r="BI615" s="408"/>
      <c r="BJ615" s="408"/>
      <c r="BK615" s="408"/>
      <c r="BL615" s="408"/>
      <c r="BM615" s="408"/>
      <c r="BN615" s="408"/>
      <c r="BO615" s="408"/>
      <c r="BP615" s="408"/>
      <c r="BQ615" s="408"/>
      <c r="BR615" s="408"/>
      <c r="BS615" s="408"/>
      <c r="BT615" s="408"/>
      <c r="BU615" s="408"/>
      <c r="BV615" s="408"/>
      <c r="BW615" s="408"/>
      <c r="BX615" s="408"/>
      <c r="BY615" s="408"/>
      <c r="BZ615" s="408"/>
      <c r="CA615" s="408"/>
      <c r="CB615" s="408"/>
      <c r="CC615" s="408"/>
      <c r="CD615" s="408"/>
      <c r="CE615" s="408"/>
      <c r="CF615" s="408"/>
      <c r="CG615" s="408"/>
      <c r="CH615" s="408"/>
      <c r="CI615" s="408"/>
      <c r="CJ615" s="408"/>
      <c r="CK615" s="408"/>
      <c r="CL615" s="408"/>
      <c r="CM615" s="408"/>
      <c r="CN615" s="408"/>
    </row>
    <row r="616">
      <c r="A616" s="408"/>
      <c r="B616" s="408"/>
      <c r="C616" s="408"/>
      <c r="D616" s="408"/>
      <c r="E616" s="408"/>
      <c r="F616" s="408"/>
      <c r="G616" s="408"/>
      <c r="H616" s="408"/>
      <c r="I616" s="408"/>
      <c r="J616" s="408"/>
      <c r="K616" s="408"/>
      <c r="L616" s="408"/>
      <c r="M616" s="408"/>
      <c r="N616" s="408"/>
      <c r="O616" s="408"/>
      <c r="P616" s="408"/>
      <c r="Q616" s="408"/>
      <c r="R616" s="408"/>
      <c r="S616" s="408"/>
      <c r="T616" s="408"/>
      <c r="U616" s="408"/>
      <c r="V616" s="408"/>
      <c r="W616" s="408"/>
      <c r="X616" s="408"/>
      <c r="Y616" s="408"/>
      <c r="Z616" s="408"/>
      <c r="AA616" s="408"/>
      <c r="AB616" s="408"/>
      <c r="AC616" s="408"/>
      <c r="AD616" s="408"/>
      <c r="AE616" s="408"/>
      <c r="AF616" s="408"/>
      <c r="AG616" s="408"/>
      <c r="AH616" s="408"/>
      <c r="AI616" s="408"/>
      <c r="AJ616" s="408"/>
      <c r="AK616" s="408"/>
      <c r="AL616" s="408"/>
      <c r="AM616" s="408"/>
      <c r="AN616" s="408"/>
      <c r="AO616" s="408"/>
      <c r="AP616" s="408"/>
      <c r="AQ616" s="408"/>
      <c r="AR616" s="408"/>
      <c r="AS616" s="408"/>
      <c r="AT616" s="408"/>
      <c r="AU616" s="408"/>
      <c r="AV616" s="408"/>
      <c r="AW616" s="408"/>
      <c r="AX616" s="408"/>
      <c r="AY616" s="408"/>
      <c r="AZ616" s="408"/>
      <c r="BA616" s="408"/>
      <c r="BB616" s="408"/>
      <c r="BC616" s="408"/>
      <c r="BD616" s="408"/>
      <c r="BE616" s="408"/>
      <c r="BF616" s="408"/>
      <c r="BG616" s="408"/>
      <c r="BH616" s="408"/>
      <c r="BI616" s="408"/>
      <c r="BJ616" s="408"/>
      <c r="BK616" s="408"/>
      <c r="BL616" s="408"/>
      <c r="BM616" s="408"/>
      <c r="BN616" s="408"/>
      <c r="BO616" s="408"/>
      <c r="BP616" s="408"/>
      <c r="BQ616" s="408"/>
      <c r="BR616" s="408"/>
      <c r="BS616" s="408"/>
      <c r="BT616" s="408"/>
      <c r="BU616" s="408"/>
      <c r="BV616" s="408"/>
      <c r="BW616" s="408"/>
      <c r="BX616" s="408"/>
      <c r="BY616" s="408"/>
      <c r="BZ616" s="408"/>
      <c r="CA616" s="408"/>
      <c r="CB616" s="408"/>
      <c r="CC616" s="408"/>
      <c r="CD616" s="408"/>
      <c r="CE616" s="408"/>
      <c r="CF616" s="408"/>
      <c r="CG616" s="408"/>
      <c r="CH616" s="408"/>
      <c r="CI616" s="408"/>
      <c r="CJ616" s="408"/>
      <c r="CK616" s="408"/>
      <c r="CL616" s="408"/>
      <c r="CM616" s="408"/>
      <c r="CN616" s="408"/>
    </row>
    <row r="617">
      <c r="A617" s="408"/>
      <c r="B617" s="408"/>
      <c r="C617" s="408"/>
      <c r="D617" s="408"/>
      <c r="E617" s="408"/>
      <c r="F617" s="408"/>
      <c r="G617" s="408"/>
      <c r="H617" s="408"/>
      <c r="I617" s="408"/>
      <c r="J617" s="408"/>
      <c r="K617" s="408"/>
      <c r="L617" s="408"/>
      <c r="M617" s="408"/>
      <c r="N617" s="408"/>
      <c r="O617" s="408"/>
      <c r="P617" s="408"/>
      <c r="Q617" s="408"/>
      <c r="R617" s="408"/>
      <c r="S617" s="408"/>
      <c r="T617" s="408"/>
      <c r="U617" s="408"/>
      <c r="V617" s="408"/>
      <c r="W617" s="408"/>
      <c r="X617" s="408"/>
      <c r="Y617" s="408"/>
      <c r="Z617" s="408"/>
      <c r="AA617" s="408"/>
      <c r="AB617" s="408"/>
      <c r="AC617" s="408"/>
      <c r="AD617" s="408"/>
      <c r="AE617" s="408"/>
      <c r="AF617" s="408"/>
      <c r="AG617" s="408"/>
      <c r="AH617" s="408"/>
      <c r="AI617" s="408"/>
      <c r="AJ617" s="408"/>
      <c r="AK617" s="408"/>
      <c r="AL617" s="408"/>
      <c r="AM617" s="408"/>
      <c r="AN617" s="408"/>
      <c r="AO617" s="408"/>
      <c r="AP617" s="408"/>
      <c r="AQ617" s="408"/>
      <c r="AR617" s="408"/>
      <c r="AS617" s="408"/>
      <c r="AT617" s="408"/>
      <c r="AU617" s="408"/>
      <c r="AV617" s="408"/>
      <c r="AW617" s="408"/>
      <c r="AX617" s="408"/>
      <c r="AY617" s="408"/>
      <c r="AZ617" s="408"/>
      <c r="BA617" s="408"/>
      <c r="BB617" s="408"/>
      <c r="BC617" s="408"/>
      <c r="BD617" s="408"/>
      <c r="BE617" s="408"/>
      <c r="BF617" s="408"/>
      <c r="BG617" s="408"/>
      <c r="BH617" s="408"/>
      <c r="BI617" s="408"/>
      <c r="BJ617" s="408"/>
      <c r="BK617" s="408"/>
      <c r="BL617" s="408"/>
      <c r="BM617" s="408"/>
      <c r="BN617" s="408"/>
      <c r="BO617" s="408"/>
      <c r="BP617" s="408"/>
      <c r="BQ617" s="408"/>
      <c r="BR617" s="408"/>
      <c r="BS617" s="408"/>
      <c r="BT617" s="408"/>
      <c r="BU617" s="408"/>
      <c r="BV617" s="408"/>
      <c r="BW617" s="408"/>
      <c r="BX617" s="408"/>
      <c r="BY617" s="408"/>
      <c r="BZ617" s="408"/>
      <c r="CA617" s="408"/>
      <c r="CB617" s="408"/>
      <c r="CC617" s="408"/>
      <c r="CD617" s="408"/>
      <c r="CE617" s="408"/>
      <c r="CF617" s="408"/>
      <c r="CG617" s="408"/>
      <c r="CH617" s="408"/>
      <c r="CI617" s="408"/>
      <c r="CJ617" s="408"/>
      <c r="CK617" s="408"/>
      <c r="CL617" s="408"/>
      <c r="CM617" s="408"/>
      <c r="CN617" s="408"/>
    </row>
    <row r="618">
      <c r="A618" s="408"/>
      <c r="B618" s="408"/>
      <c r="C618" s="408"/>
      <c r="D618" s="408"/>
      <c r="E618" s="408"/>
      <c r="F618" s="408"/>
      <c r="G618" s="408"/>
      <c r="H618" s="408"/>
      <c r="I618" s="408"/>
      <c r="J618" s="408"/>
      <c r="K618" s="408"/>
      <c r="L618" s="408"/>
      <c r="M618" s="408"/>
      <c r="N618" s="408"/>
      <c r="O618" s="408"/>
      <c r="P618" s="408"/>
      <c r="Q618" s="408"/>
      <c r="R618" s="408"/>
      <c r="S618" s="408"/>
      <c r="T618" s="408"/>
      <c r="U618" s="408"/>
      <c r="V618" s="408"/>
      <c r="W618" s="408"/>
      <c r="X618" s="408"/>
      <c r="Y618" s="408"/>
      <c r="Z618" s="408"/>
      <c r="AA618" s="408"/>
      <c r="AB618" s="408"/>
      <c r="AC618" s="408"/>
      <c r="AD618" s="408"/>
      <c r="AE618" s="408"/>
      <c r="AF618" s="408"/>
      <c r="AG618" s="408"/>
      <c r="AH618" s="408"/>
      <c r="AI618" s="408"/>
      <c r="AJ618" s="408"/>
      <c r="AK618" s="408"/>
      <c r="AL618" s="408"/>
      <c r="AM618" s="408"/>
      <c r="AN618" s="408"/>
      <c r="AO618" s="408"/>
      <c r="AP618" s="408"/>
      <c r="AQ618" s="408"/>
      <c r="AR618" s="408"/>
      <c r="AS618" s="408"/>
      <c r="AT618" s="408"/>
      <c r="AU618" s="408"/>
      <c r="AV618" s="408"/>
      <c r="AW618" s="408"/>
      <c r="AX618" s="408"/>
      <c r="AY618" s="408"/>
      <c r="AZ618" s="408"/>
      <c r="BA618" s="408"/>
      <c r="BB618" s="408"/>
      <c r="BC618" s="408"/>
      <c r="BD618" s="408"/>
      <c r="BE618" s="408"/>
      <c r="BF618" s="408"/>
      <c r="BG618" s="408"/>
      <c r="BH618" s="408"/>
      <c r="BI618" s="408"/>
      <c r="BJ618" s="408"/>
      <c r="BK618" s="408"/>
      <c r="BL618" s="408"/>
      <c r="BM618" s="408"/>
      <c r="BN618" s="408"/>
      <c r="BO618" s="408"/>
      <c r="BP618" s="408"/>
      <c r="BQ618" s="408"/>
      <c r="BR618" s="408"/>
      <c r="BS618" s="408"/>
      <c r="BT618" s="408"/>
      <c r="BU618" s="408"/>
      <c r="BV618" s="408"/>
      <c r="BW618" s="408"/>
      <c r="BX618" s="408"/>
      <c r="BY618" s="408"/>
      <c r="BZ618" s="408"/>
      <c r="CA618" s="408"/>
      <c r="CB618" s="408"/>
      <c r="CC618" s="408"/>
      <c r="CD618" s="408"/>
      <c r="CE618" s="408"/>
      <c r="CF618" s="408"/>
      <c r="CG618" s="408"/>
      <c r="CH618" s="408"/>
      <c r="CI618" s="408"/>
      <c r="CJ618" s="408"/>
      <c r="CK618" s="408"/>
      <c r="CL618" s="408"/>
      <c r="CM618" s="408"/>
      <c r="CN618" s="408"/>
    </row>
    <row r="619">
      <c r="A619" s="408"/>
      <c r="B619" s="408"/>
      <c r="C619" s="408"/>
      <c r="D619" s="408"/>
      <c r="E619" s="408"/>
      <c r="F619" s="408"/>
      <c r="G619" s="408"/>
      <c r="H619" s="408"/>
      <c r="I619" s="408"/>
      <c r="J619" s="408"/>
      <c r="K619" s="408"/>
      <c r="L619" s="408"/>
      <c r="M619" s="408"/>
      <c r="N619" s="408"/>
      <c r="O619" s="408"/>
      <c r="P619" s="408"/>
      <c r="Q619" s="408"/>
      <c r="R619" s="408"/>
      <c r="S619" s="408"/>
      <c r="T619" s="408"/>
      <c r="U619" s="408"/>
      <c r="V619" s="408"/>
      <c r="W619" s="408"/>
      <c r="X619" s="408"/>
      <c r="Y619" s="408"/>
      <c r="Z619" s="408"/>
      <c r="AA619" s="408"/>
      <c r="AB619" s="408"/>
      <c r="AC619" s="408"/>
      <c r="AD619" s="408"/>
      <c r="AE619" s="408"/>
      <c r="AF619" s="408"/>
      <c r="AG619" s="408"/>
      <c r="AH619" s="408"/>
      <c r="AI619" s="408"/>
      <c r="AJ619" s="408"/>
      <c r="AK619" s="408"/>
      <c r="AL619" s="408"/>
      <c r="AM619" s="408"/>
      <c r="AN619" s="408"/>
      <c r="AO619" s="408"/>
      <c r="AP619" s="408"/>
      <c r="AQ619" s="408"/>
      <c r="AR619" s="408"/>
      <c r="AS619" s="408"/>
      <c r="AT619" s="408"/>
      <c r="AU619" s="408"/>
      <c r="AV619" s="408"/>
      <c r="AW619" s="408"/>
      <c r="AX619" s="408"/>
      <c r="AY619" s="408"/>
      <c r="AZ619" s="408"/>
      <c r="BA619" s="408"/>
      <c r="BB619" s="408"/>
      <c r="BC619" s="408"/>
      <c r="BD619" s="408"/>
      <c r="BE619" s="408"/>
      <c r="BF619" s="408"/>
      <c r="BG619" s="408"/>
      <c r="BH619" s="408"/>
      <c r="BI619" s="408"/>
      <c r="BJ619" s="408"/>
      <c r="BK619" s="408"/>
      <c r="BL619" s="408"/>
      <c r="BM619" s="408"/>
      <c r="BN619" s="408"/>
      <c r="BO619" s="408"/>
      <c r="BP619" s="408"/>
      <c r="BQ619" s="408"/>
      <c r="BR619" s="408"/>
      <c r="BS619" s="408"/>
      <c r="BT619" s="408"/>
      <c r="BU619" s="408"/>
      <c r="BV619" s="408"/>
      <c r="BW619" s="408"/>
      <c r="BX619" s="408"/>
      <c r="BY619" s="408"/>
      <c r="BZ619" s="408"/>
      <c r="CA619" s="408"/>
      <c r="CB619" s="408"/>
      <c r="CC619" s="408"/>
      <c r="CD619" s="408"/>
      <c r="CE619" s="408"/>
      <c r="CF619" s="408"/>
      <c r="CG619" s="408"/>
      <c r="CH619" s="408"/>
      <c r="CI619" s="408"/>
      <c r="CJ619" s="408"/>
      <c r="CK619" s="408"/>
      <c r="CL619" s="408"/>
      <c r="CM619" s="408"/>
      <c r="CN619" s="408"/>
    </row>
    <row r="620">
      <c r="A620" s="408"/>
      <c r="B620" s="408"/>
      <c r="C620" s="408"/>
      <c r="D620" s="408"/>
      <c r="E620" s="408"/>
      <c r="F620" s="408"/>
      <c r="G620" s="408"/>
      <c r="H620" s="408"/>
      <c r="I620" s="408"/>
      <c r="J620" s="408"/>
      <c r="K620" s="408"/>
      <c r="L620" s="408"/>
      <c r="M620" s="408"/>
      <c r="N620" s="408"/>
      <c r="O620" s="408"/>
      <c r="P620" s="408"/>
      <c r="Q620" s="408"/>
      <c r="R620" s="408"/>
      <c r="S620" s="408"/>
      <c r="T620" s="408"/>
      <c r="U620" s="408"/>
      <c r="V620" s="408"/>
      <c r="W620" s="408"/>
      <c r="X620" s="408"/>
      <c r="Y620" s="408"/>
      <c r="Z620" s="408"/>
      <c r="AA620" s="408"/>
      <c r="AB620" s="408"/>
      <c r="AC620" s="408"/>
      <c r="AD620" s="408"/>
      <c r="AE620" s="408"/>
      <c r="AF620" s="408"/>
      <c r="AG620" s="408"/>
      <c r="AH620" s="408"/>
      <c r="AI620" s="408"/>
      <c r="AJ620" s="408"/>
      <c r="AK620" s="408"/>
      <c r="AL620" s="408"/>
      <c r="AM620" s="408"/>
      <c r="AN620" s="408"/>
      <c r="AO620" s="408"/>
      <c r="AP620" s="408"/>
      <c r="AQ620" s="408"/>
      <c r="AR620" s="408"/>
      <c r="AS620" s="408"/>
      <c r="AT620" s="408"/>
      <c r="AU620" s="408"/>
      <c r="AV620" s="408"/>
      <c r="AW620" s="408"/>
      <c r="AX620" s="408"/>
      <c r="AY620" s="408"/>
      <c r="AZ620" s="408"/>
      <c r="BA620" s="408"/>
      <c r="BB620" s="408"/>
      <c r="BC620" s="408"/>
      <c r="BD620" s="408"/>
      <c r="BE620" s="408"/>
      <c r="BF620" s="408"/>
      <c r="BG620" s="408"/>
      <c r="BH620" s="408"/>
      <c r="BI620" s="408"/>
      <c r="BJ620" s="408"/>
      <c r="BK620" s="408"/>
      <c r="BL620" s="408"/>
      <c r="BM620" s="408"/>
      <c r="BN620" s="408"/>
      <c r="BO620" s="408"/>
      <c r="BP620" s="408"/>
      <c r="BQ620" s="408"/>
      <c r="BR620" s="408"/>
      <c r="BS620" s="408"/>
      <c r="BT620" s="408"/>
      <c r="BU620" s="408"/>
      <c r="BV620" s="408"/>
      <c r="BW620" s="408"/>
      <c r="BX620" s="408"/>
      <c r="BY620" s="408"/>
      <c r="BZ620" s="408"/>
      <c r="CA620" s="408"/>
      <c r="CB620" s="408"/>
      <c r="CC620" s="408"/>
      <c r="CD620" s="408"/>
      <c r="CE620" s="408"/>
      <c r="CF620" s="408"/>
      <c r="CG620" s="408"/>
      <c r="CH620" s="408"/>
      <c r="CI620" s="408"/>
      <c r="CJ620" s="408"/>
      <c r="CK620" s="408"/>
      <c r="CL620" s="408"/>
      <c r="CM620" s="408"/>
      <c r="CN620" s="408"/>
    </row>
    <row r="621">
      <c r="A621" s="408"/>
      <c r="B621" s="408"/>
      <c r="C621" s="408"/>
      <c r="D621" s="408"/>
      <c r="E621" s="408"/>
      <c r="F621" s="408"/>
      <c r="G621" s="408"/>
      <c r="H621" s="408"/>
      <c r="I621" s="408"/>
      <c r="J621" s="408"/>
      <c r="K621" s="408"/>
      <c r="L621" s="408"/>
      <c r="M621" s="408"/>
      <c r="N621" s="408"/>
      <c r="O621" s="408"/>
      <c r="P621" s="408"/>
      <c r="Q621" s="408"/>
      <c r="R621" s="408"/>
      <c r="S621" s="408"/>
      <c r="T621" s="408"/>
      <c r="U621" s="408"/>
      <c r="V621" s="408"/>
      <c r="W621" s="408"/>
      <c r="X621" s="408"/>
      <c r="Y621" s="408"/>
      <c r="Z621" s="408"/>
      <c r="AA621" s="408"/>
      <c r="AB621" s="408"/>
      <c r="AC621" s="408"/>
      <c r="AD621" s="408"/>
      <c r="AE621" s="408"/>
      <c r="AF621" s="408"/>
      <c r="AG621" s="408"/>
      <c r="AH621" s="408"/>
      <c r="AI621" s="408"/>
      <c r="AJ621" s="408"/>
      <c r="AK621" s="408"/>
      <c r="AL621" s="408"/>
      <c r="AM621" s="408"/>
      <c r="AN621" s="408"/>
      <c r="AO621" s="408"/>
      <c r="AP621" s="408"/>
      <c r="AQ621" s="408"/>
      <c r="AR621" s="408"/>
      <c r="AS621" s="408"/>
      <c r="AT621" s="408"/>
      <c r="AU621" s="408"/>
      <c r="AV621" s="408"/>
      <c r="AW621" s="408"/>
      <c r="AX621" s="408"/>
      <c r="AY621" s="408"/>
      <c r="AZ621" s="408"/>
      <c r="BA621" s="408"/>
      <c r="BB621" s="408"/>
      <c r="BC621" s="408"/>
      <c r="BD621" s="408"/>
      <c r="BE621" s="408"/>
      <c r="BF621" s="408"/>
      <c r="BG621" s="408"/>
      <c r="BH621" s="408"/>
      <c r="BI621" s="408"/>
      <c r="BJ621" s="408"/>
      <c r="BK621" s="408"/>
      <c r="BL621" s="408"/>
      <c r="BM621" s="408"/>
      <c r="BN621" s="408"/>
      <c r="BO621" s="408"/>
      <c r="BP621" s="408"/>
      <c r="BQ621" s="408"/>
      <c r="BR621" s="408"/>
      <c r="BS621" s="408"/>
      <c r="BT621" s="408"/>
      <c r="BU621" s="408"/>
      <c r="BV621" s="408"/>
      <c r="BW621" s="408"/>
      <c r="BX621" s="408"/>
      <c r="BY621" s="408"/>
      <c r="BZ621" s="408"/>
      <c r="CA621" s="408"/>
      <c r="CB621" s="408"/>
      <c r="CC621" s="408"/>
      <c r="CD621" s="408"/>
      <c r="CE621" s="408"/>
      <c r="CF621" s="408"/>
      <c r="CG621" s="408"/>
      <c r="CH621" s="408"/>
      <c r="CI621" s="408"/>
      <c r="CJ621" s="408"/>
      <c r="CK621" s="408"/>
      <c r="CL621" s="408"/>
      <c r="CM621" s="408"/>
      <c r="CN621" s="408"/>
    </row>
    <row r="622">
      <c r="A622" s="408"/>
      <c r="B622" s="408"/>
      <c r="C622" s="408"/>
      <c r="D622" s="408"/>
      <c r="E622" s="408"/>
      <c r="F622" s="408"/>
      <c r="G622" s="408"/>
      <c r="H622" s="408"/>
      <c r="I622" s="408"/>
      <c r="J622" s="408"/>
      <c r="K622" s="408"/>
      <c r="L622" s="408"/>
      <c r="M622" s="408"/>
      <c r="N622" s="408"/>
      <c r="O622" s="408"/>
      <c r="P622" s="408"/>
      <c r="Q622" s="408"/>
      <c r="R622" s="408"/>
      <c r="S622" s="408"/>
      <c r="T622" s="408"/>
      <c r="U622" s="408"/>
      <c r="V622" s="408"/>
      <c r="W622" s="408"/>
      <c r="X622" s="408"/>
      <c r="Y622" s="408"/>
      <c r="Z622" s="408"/>
      <c r="AA622" s="408"/>
      <c r="AB622" s="408"/>
      <c r="AC622" s="408"/>
      <c r="AD622" s="408"/>
      <c r="AE622" s="408"/>
      <c r="AF622" s="408"/>
      <c r="AG622" s="408"/>
      <c r="AH622" s="408"/>
      <c r="AI622" s="408"/>
      <c r="AJ622" s="408"/>
      <c r="AK622" s="408"/>
      <c r="AL622" s="408"/>
      <c r="AM622" s="408"/>
      <c r="AN622" s="408"/>
      <c r="AO622" s="408"/>
      <c r="AP622" s="408"/>
      <c r="AQ622" s="408"/>
      <c r="AR622" s="408"/>
      <c r="AS622" s="408"/>
      <c r="AT622" s="408"/>
      <c r="AU622" s="408"/>
      <c r="AV622" s="408"/>
      <c r="AW622" s="408"/>
      <c r="AX622" s="408"/>
      <c r="AY622" s="408"/>
      <c r="AZ622" s="408"/>
      <c r="BA622" s="408"/>
      <c r="BB622" s="408"/>
      <c r="BC622" s="408"/>
      <c r="BD622" s="408"/>
      <c r="BE622" s="408"/>
      <c r="BF622" s="408"/>
      <c r="BG622" s="408"/>
      <c r="BH622" s="408"/>
      <c r="BI622" s="408"/>
      <c r="BJ622" s="408"/>
      <c r="BK622" s="408"/>
      <c r="BL622" s="408"/>
      <c r="BM622" s="408"/>
      <c r="BN622" s="408"/>
      <c r="BO622" s="408"/>
      <c r="BP622" s="408"/>
      <c r="BQ622" s="408"/>
      <c r="BR622" s="408"/>
      <c r="BS622" s="408"/>
      <c r="BT622" s="408"/>
      <c r="BU622" s="408"/>
      <c r="BV622" s="408"/>
      <c r="BW622" s="408"/>
      <c r="BX622" s="408"/>
      <c r="BY622" s="408"/>
      <c r="BZ622" s="408"/>
      <c r="CA622" s="408"/>
      <c r="CB622" s="408"/>
      <c r="CC622" s="408"/>
      <c r="CD622" s="408"/>
      <c r="CE622" s="408"/>
      <c r="CF622" s="408"/>
      <c r="CG622" s="408"/>
      <c r="CH622" s="408"/>
      <c r="CI622" s="408"/>
      <c r="CJ622" s="408"/>
      <c r="CK622" s="408"/>
      <c r="CL622" s="408"/>
      <c r="CM622" s="408"/>
      <c r="CN622" s="408"/>
    </row>
    <row r="623">
      <c r="A623" s="408"/>
      <c r="B623" s="408"/>
      <c r="C623" s="408"/>
      <c r="D623" s="408"/>
      <c r="E623" s="408"/>
      <c r="F623" s="408"/>
      <c r="G623" s="408"/>
      <c r="H623" s="408"/>
      <c r="I623" s="408"/>
      <c r="J623" s="408"/>
      <c r="K623" s="408"/>
      <c r="L623" s="408"/>
      <c r="M623" s="408"/>
      <c r="N623" s="408"/>
      <c r="O623" s="408"/>
      <c r="P623" s="408"/>
      <c r="Q623" s="408"/>
      <c r="R623" s="408"/>
      <c r="S623" s="408"/>
      <c r="T623" s="408"/>
      <c r="U623" s="408"/>
      <c r="V623" s="408"/>
      <c r="W623" s="408"/>
      <c r="X623" s="408"/>
      <c r="Y623" s="408"/>
      <c r="Z623" s="408"/>
      <c r="AA623" s="408"/>
      <c r="AB623" s="408"/>
      <c r="AC623" s="408"/>
      <c r="AD623" s="408"/>
      <c r="AE623" s="408"/>
      <c r="AF623" s="408"/>
      <c r="AG623" s="408"/>
      <c r="AH623" s="408"/>
      <c r="AI623" s="408"/>
      <c r="AJ623" s="408"/>
      <c r="AK623" s="408"/>
      <c r="AL623" s="408"/>
      <c r="AM623" s="408"/>
      <c r="AN623" s="408"/>
      <c r="AO623" s="408"/>
      <c r="AP623" s="408"/>
      <c r="AQ623" s="408"/>
      <c r="AR623" s="408"/>
      <c r="AS623" s="408"/>
      <c r="AT623" s="408"/>
      <c r="AU623" s="408"/>
      <c r="AV623" s="408"/>
      <c r="AW623" s="408"/>
      <c r="AX623" s="408"/>
      <c r="AY623" s="408"/>
      <c r="AZ623" s="408"/>
      <c r="BA623" s="408"/>
      <c r="BB623" s="408"/>
      <c r="BC623" s="408"/>
      <c r="BD623" s="408"/>
      <c r="BE623" s="408"/>
      <c r="BF623" s="408"/>
      <c r="BG623" s="408"/>
      <c r="BH623" s="408"/>
      <c r="BI623" s="408"/>
      <c r="BJ623" s="408"/>
      <c r="BK623" s="408"/>
      <c r="BL623" s="408"/>
      <c r="BM623" s="408"/>
      <c r="BN623" s="408"/>
      <c r="BO623" s="408"/>
      <c r="BP623" s="408"/>
      <c r="BQ623" s="408"/>
      <c r="BR623" s="408"/>
      <c r="BS623" s="408"/>
      <c r="BT623" s="408"/>
      <c r="BU623" s="408"/>
      <c r="BV623" s="408"/>
      <c r="BW623" s="408"/>
      <c r="BX623" s="408"/>
      <c r="BY623" s="408"/>
      <c r="BZ623" s="408"/>
      <c r="CA623" s="408"/>
      <c r="CB623" s="408"/>
      <c r="CC623" s="408"/>
      <c r="CD623" s="408"/>
      <c r="CE623" s="408"/>
      <c r="CF623" s="408"/>
      <c r="CG623" s="408"/>
      <c r="CH623" s="408"/>
      <c r="CI623" s="408"/>
      <c r="CJ623" s="408"/>
      <c r="CK623" s="408"/>
      <c r="CL623" s="408"/>
      <c r="CM623" s="408"/>
      <c r="CN623" s="408"/>
    </row>
    <row r="624">
      <c r="A624" s="408"/>
      <c r="B624" s="408"/>
      <c r="C624" s="408"/>
      <c r="D624" s="408"/>
      <c r="E624" s="408"/>
      <c r="F624" s="408"/>
      <c r="G624" s="408"/>
      <c r="H624" s="408"/>
      <c r="I624" s="408"/>
      <c r="J624" s="408"/>
      <c r="K624" s="408"/>
      <c r="L624" s="408"/>
      <c r="M624" s="408"/>
      <c r="N624" s="408"/>
      <c r="O624" s="408"/>
      <c r="P624" s="408"/>
      <c r="Q624" s="408"/>
      <c r="R624" s="408"/>
      <c r="S624" s="408"/>
      <c r="T624" s="408"/>
      <c r="U624" s="408"/>
      <c r="V624" s="408"/>
      <c r="W624" s="408"/>
      <c r="X624" s="408"/>
      <c r="Y624" s="408"/>
      <c r="Z624" s="408"/>
      <c r="AA624" s="408"/>
      <c r="AB624" s="408"/>
      <c r="AC624" s="408"/>
      <c r="AD624" s="408"/>
      <c r="AE624" s="408"/>
      <c r="AF624" s="408"/>
      <c r="AG624" s="408"/>
      <c r="AH624" s="408"/>
      <c r="AI624" s="408"/>
      <c r="AJ624" s="408"/>
      <c r="AK624" s="408"/>
      <c r="AL624" s="408"/>
      <c r="AM624" s="408"/>
      <c r="AN624" s="408"/>
      <c r="AO624" s="408"/>
      <c r="AP624" s="408"/>
      <c r="AQ624" s="408"/>
      <c r="AR624" s="408"/>
      <c r="AS624" s="408"/>
      <c r="AT624" s="408"/>
      <c r="AU624" s="408"/>
      <c r="AV624" s="408"/>
      <c r="AW624" s="408"/>
      <c r="AX624" s="408"/>
      <c r="AY624" s="408"/>
      <c r="AZ624" s="408"/>
      <c r="BA624" s="408"/>
      <c r="BB624" s="408"/>
      <c r="BC624" s="408"/>
      <c r="BD624" s="408"/>
      <c r="BE624" s="408"/>
      <c r="BF624" s="408"/>
      <c r="BG624" s="408"/>
      <c r="BH624" s="408"/>
      <c r="BI624" s="408"/>
      <c r="BJ624" s="408"/>
      <c r="BK624" s="408"/>
      <c r="BL624" s="408"/>
      <c r="BM624" s="408"/>
      <c r="BN624" s="408"/>
      <c r="BO624" s="408"/>
      <c r="BP624" s="408"/>
      <c r="BQ624" s="408"/>
      <c r="BR624" s="408"/>
      <c r="BS624" s="408"/>
      <c r="BT624" s="408"/>
      <c r="BU624" s="408"/>
      <c r="BV624" s="408"/>
      <c r="BW624" s="408"/>
      <c r="BX624" s="408"/>
      <c r="BY624" s="408"/>
      <c r="BZ624" s="408"/>
      <c r="CA624" s="408"/>
      <c r="CB624" s="408"/>
      <c r="CC624" s="408"/>
      <c r="CD624" s="408"/>
      <c r="CE624" s="408"/>
      <c r="CF624" s="408"/>
      <c r="CG624" s="408"/>
      <c r="CH624" s="408"/>
      <c r="CI624" s="408"/>
      <c r="CJ624" s="408"/>
      <c r="CK624" s="408"/>
      <c r="CL624" s="408"/>
      <c r="CM624" s="408"/>
      <c r="CN624" s="408"/>
    </row>
    <row r="625">
      <c r="A625" s="408"/>
      <c r="B625" s="408"/>
      <c r="C625" s="408"/>
      <c r="D625" s="408"/>
      <c r="E625" s="408"/>
      <c r="F625" s="408"/>
      <c r="G625" s="408"/>
      <c r="H625" s="408"/>
      <c r="I625" s="408"/>
      <c r="J625" s="408"/>
      <c r="K625" s="408"/>
      <c r="L625" s="408"/>
      <c r="M625" s="408"/>
      <c r="N625" s="408"/>
      <c r="O625" s="408"/>
      <c r="P625" s="408"/>
      <c r="Q625" s="408"/>
      <c r="R625" s="408"/>
      <c r="S625" s="408"/>
      <c r="T625" s="408"/>
      <c r="U625" s="408"/>
      <c r="V625" s="408"/>
      <c r="W625" s="408"/>
      <c r="X625" s="408"/>
      <c r="Y625" s="408"/>
      <c r="Z625" s="408"/>
      <c r="AA625" s="408"/>
      <c r="AB625" s="408"/>
      <c r="AC625" s="408"/>
      <c r="AD625" s="408"/>
      <c r="AE625" s="408"/>
      <c r="AF625" s="408"/>
      <c r="AG625" s="408"/>
      <c r="AH625" s="408"/>
      <c r="AI625" s="408"/>
      <c r="AJ625" s="408"/>
      <c r="AK625" s="408"/>
      <c r="AL625" s="408"/>
      <c r="AM625" s="408"/>
      <c r="AN625" s="408"/>
      <c r="AO625" s="408"/>
      <c r="AP625" s="408"/>
      <c r="AQ625" s="408"/>
      <c r="AR625" s="408"/>
      <c r="AS625" s="408"/>
      <c r="AT625" s="408"/>
      <c r="AU625" s="408"/>
      <c r="AV625" s="408"/>
      <c r="AW625" s="408"/>
      <c r="AX625" s="408"/>
      <c r="AY625" s="408"/>
      <c r="AZ625" s="408"/>
      <c r="BA625" s="408"/>
      <c r="BB625" s="408"/>
      <c r="BC625" s="408"/>
      <c r="BD625" s="408"/>
      <c r="BE625" s="408"/>
      <c r="BF625" s="408"/>
      <c r="BG625" s="408"/>
      <c r="BH625" s="408"/>
      <c r="BI625" s="408"/>
      <c r="BJ625" s="408"/>
      <c r="BK625" s="408"/>
      <c r="BL625" s="408"/>
      <c r="BM625" s="408"/>
      <c r="BN625" s="408"/>
      <c r="BO625" s="408"/>
      <c r="BP625" s="408"/>
      <c r="BQ625" s="408"/>
      <c r="BR625" s="408"/>
      <c r="BS625" s="408"/>
      <c r="BT625" s="408"/>
      <c r="BU625" s="408"/>
      <c r="BV625" s="408"/>
      <c r="BW625" s="408"/>
      <c r="BX625" s="408"/>
      <c r="BY625" s="408"/>
      <c r="BZ625" s="408"/>
      <c r="CA625" s="408"/>
      <c r="CB625" s="408"/>
      <c r="CC625" s="408"/>
      <c r="CD625" s="408"/>
      <c r="CE625" s="408"/>
      <c r="CF625" s="408"/>
      <c r="CG625" s="408"/>
      <c r="CH625" s="408"/>
      <c r="CI625" s="408"/>
      <c r="CJ625" s="408"/>
      <c r="CK625" s="408"/>
      <c r="CL625" s="408"/>
      <c r="CM625" s="408"/>
      <c r="CN625" s="408"/>
    </row>
    <row r="626">
      <c r="A626" s="408"/>
      <c r="B626" s="408"/>
      <c r="C626" s="408"/>
      <c r="D626" s="408"/>
      <c r="E626" s="408"/>
      <c r="F626" s="408"/>
      <c r="G626" s="408"/>
      <c r="H626" s="408"/>
      <c r="I626" s="408"/>
      <c r="J626" s="408"/>
      <c r="K626" s="408"/>
      <c r="L626" s="408"/>
      <c r="M626" s="408"/>
      <c r="N626" s="408"/>
      <c r="O626" s="408"/>
      <c r="P626" s="408"/>
      <c r="Q626" s="408"/>
      <c r="R626" s="408"/>
      <c r="S626" s="408"/>
      <c r="T626" s="408"/>
      <c r="U626" s="408"/>
      <c r="V626" s="408"/>
      <c r="W626" s="408"/>
      <c r="X626" s="408"/>
      <c r="Y626" s="408"/>
      <c r="Z626" s="408"/>
      <c r="AA626" s="408"/>
      <c r="AB626" s="408"/>
      <c r="AC626" s="408"/>
      <c r="AD626" s="408"/>
      <c r="AE626" s="408"/>
      <c r="AF626" s="408"/>
      <c r="AG626" s="408"/>
      <c r="AH626" s="408"/>
      <c r="AI626" s="408"/>
      <c r="AJ626" s="408"/>
      <c r="AK626" s="408"/>
      <c r="AL626" s="408"/>
      <c r="AM626" s="408"/>
      <c r="AN626" s="408"/>
      <c r="AO626" s="408"/>
      <c r="AP626" s="408"/>
      <c r="AQ626" s="408"/>
      <c r="AR626" s="408"/>
      <c r="AS626" s="408"/>
      <c r="AT626" s="408"/>
      <c r="AU626" s="408"/>
      <c r="AV626" s="408"/>
      <c r="AW626" s="408"/>
      <c r="AX626" s="408"/>
      <c r="AY626" s="408"/>
      <c r="AZ626" s="408"/>
      <c r="BA626" s="408"/>
      <c r="BB626" s="408"/>
      <c r="BC626" s="408"/>
      <c r="BD626" s="408"/>
      <c r="BE626" s="408"/>
      <c r="BF626" s="408"/>
      <c r="BG626" s="408"/>
      <c r="BH626" s="408"/>
      <c r="BI626" s="408"/>
      <c r="BJ626" s="408"/>
      <c r="BK626" s="408"/>
      <c r="BL626" s="408"/>
      <c r="BM626" s="408"/>
      <c r="BN626" s="408"/>
      <c r="BO626" s="408"/>
      <c r="BP626" s="408"/>
      <c r="BQ626" s="408"/>
      <c r="BR626" s="408"/>
      <c r="BS626" s="408"/>
      <c r="BT626" s="408"/>
      <c r="BU626" s="408"/>
      <c r="BV626" s="408"/>
      <c r="BW626" s="408"/>
      <c r="BX626" s="408"/>
      <c r="BY626" s="408"/>
      <c r="BZ626" s="408"/>
      <c r="CA626" s="408"/>
      <c r="CB626" s="408"/>
      <c r="CC626" s="408"/>
      <c r="CD626" s="408"/>
      <c r="CE626" s="408"/>
      <c r="CF626" s="408"/>
      <c r="CG626" s="408"/>
      <c r="CH626" s="408"/>
      <c r="CI626" s="408"/>
      <c r="CJ626" s="408"/>
      <c r="CK626" s="408"/>
      <c r="CL626" s="408"/>
      <c r="CM626" s="408"/>
      <c r="CN626" s="408"/>
    </row>
    <row r="627">
      <c r="A627" s="408"/>
      <c r="B627" s="408"/>
      <c r="C627" s="408"/>
      <c r="D627" s="408"/>
      <c r="E627" s="408"/>
      <c r="F627" s="408"/>
      <c r="G627" s="408"/>
      <c r="H627" s="408"/>
      <c r="I627" s="408"/>
      <c r="J627" s="408"/>
      <c r="K627" s="408"/>
      <c r="L627" s="408"/>
      <c r="M627" s="408"/>
      <c r="N627" s="408"/>
      <c r="O627" s="408"/>
      <c r="P627" s="408"/>
      <c r="Q627" s="408"/>
      <c r="R627" s="408"/>
      <c r="S627" s="408"/>
      <c r="T627" s="408"/>
      <c r="U627" s="408"/>
      <c r="V627" s="408"/>
      <c r="W627" s="408"/>
      <c r="X627" s="408"/>
      <c r="Y627" s="408"/>
      <c r="Z627" s="408"/>
      <c r="AA627" s="408"/>
      <c r="AB627" s="408"/>
      <c r="AC627" s="408"/>
      <c r="AD627" s="408"/>
      <c r="AE627" s="408"/>
      <c r="AF627" s="408"/>
      <c r="AG627" s="408"/>
      <c r="AH627" s="408"/>
      <c r="AI627" s="408"/>
      <c r="AJ627" s="408"/>
      <c r="AK627" s="408"/>
      <c r="AL627" s="408"/>
      <c r="AM627" s="408"/>
      <c r="AN627" s="408"/>
      <c r="AO627" s="408"/>
      <c r="AP627" s="408"/>
      <c r="AQ627" s="408"/>
      <c r="AR627" s="408"/>
      <c r="AS627" s="408"/>
      <c r="AT627" s="408"/>
      <c r="AU627" s="408"/>
      <c r="AV627" s="408"/>
      <c r="AW627" s="408"/>
      <c r="AX627" s="408"/>
      <c r="AY627" s="408"/>
      <c r="AZ627" s="408"/>
      <c r="BA627" s="408"/>
      <c r="BB627" s="408"/>
      <c r="BC627" s="408"/>
      <c r="BD627" s="408"/>
      <c r="BE627" s="408"/>
      <c r="BF627" s="408"/>
      <c r="BG627" s="408"/>
      <c r="BH627" s="408"/>
      <c r="BI627" s="408"/>
      <c r="BJ627" s="408"/>
      <c r="BK627" s="408"/>
      <c r="BL627" s="408"/>
      <c r="BM627" s="408"/>
      <c r="BN627" s="408"/>
      <c r="BO627" s="408"/>
      <c r="BP627" s="408"/>
      <c r="BQ627" s="408"/>
      <c r="BR627" s="408"/>
      <c r="BS627" s="408"/>
      <c r="BT627" s="408"/>
      <c r="BU627" s="408"/>
      <c r="BV627" s="408"/>
      <c r="BW627" s="408"/>
      <c r="BX627" s="408"/>
      <c r="BY627" s="408"/>
      <c r="BZ627" s="408"/>
      <c r="CA627" s="408"/>
      <c r="CB627" s="408"/>
      <c r="CC627" s="408"/>
      <c r="CD627" s="408"/>
      <c r="CE627" s="408"/>
      <c r="CF627" s="408"/>
      <c r="CG627" s="408"/>
      <c r="CH627" s="408"/>
      <c r="CI627" s="408"/>
      <c r="CJ627" s="408"/>
      <c r="CK627" s="408"/>
      <c r="CL627" s="408"/>
      <c r="CM627" s="408"/>
      <c r="CN627" s="408"/>
    </row>
    <row r="628">
      <c r="A628" s="408"/>
      <c r="B628" s="408"/>
      <c r="C628" s="408"/>
      <c r="D628" s="408"/>
      <c r="E628" s="408"/>
      <c r="F628" s="408"/>
      <c r="G628" s="408"/>
      <c r="H628" s="408"/>
      <c r="I628" s="408"/>
      <c r="J628" s="408"/>
      <c r="K628" s="408"/>
      <c r="L628" s="408"/>
      <c r="M628" s="408"/>
      <c r="N628" s="408"/>
      <c r="O628" s="408"/>
      <c r="P628" s="408"/>
      <c r="Q628" s="408"/>
      <c r="R628" s="408"/>
      <c r="S628" s="408"/>
      <c r="T628" s="408"/>
      <c r="U628" s="408"/>
      <c r="V628" s="408"/>
      <c r="W628" s="408"/>
      <c r="X628" s="408"/>
      <c r="Y628" s="408"/>
      <c r="Z628" s="408"/>
      <c r="AA628" s="408"/>
      <c r="AB628" s="408"/>
      <c r="AC628" s="408"/>
      <c r="AD628" s="408"/>
      <c r="AE628" s="408"/>
      <c r="AF628" s="408"/>
      <c r="AG628" s="408"/>
      <c r="AH628" s="408"/>
      <c r="AI628" s="408"/>
      <c r="AJ628" s="408"/>
      <c r="AK628" s="408"/>
      <c r="AL628" s="408"/>
      <c r="AM628" s="408"/>
      <c r="AN628" s="408"/>
      <c r="AO628" s="408"/>
      <c r="AP628" s="408"/>
      <c r="AQ628" s="408"/>
      <c r="AR628" s="408"/>
      <c r="AS628" s="408"/>
      <c r="AT628" s="408"/>
      <c r="AU628" s="408"/>
      <c r="AV628" s="408"/>
      <c r="AW628" s="408"/>
      <c r="AX628" s="408"/>
      <c r="AY628" s="408"/>
      <c r="AZ628" s="408"/>
      <c r="BA628" s="408"/>
      <c r="BB628" s="408"/>
      <c r="BC628" s="408"/>
      <c r="BD628" s="408"/>
      <c r="BE628" s="408"/>
      <c r="BF628" s="408"/>
      <c r="BG628" s="408"/>
      <c r="BH628" s="408"/>
      <c r="BI628" s="408"/>
      <c r="BJ628" s="408"/>
      <c r="BK628" s="408"/>
      <c r="BL628" s="408"/>
      <c r="BM628" s="408"/>
      <c r="BN628" s="408"/>
      <c r="BO628" s="408"/>
      <c r="BP628" s="408"/>
      <c r="BQ628" s="408"/>
      <c r="BR628" s="408"/>
      <c r="BS628" s="408"/>
      <c r="BT628" s="408"/>
      <c r="BU628" s="408"/>
      <c r="BV628" s="408"/>
      <c r="BW628" s="408"/>
      <c r="BX628" s="408"/>
      <c r="BY628" s="408"/>
      <c r="BZ628" s="408"/>
      <c r="CA628" s="408"/>
      <c r="CB628" s="408"/>
      <c r="CC628" s="408"/>
      <c r="CD628" s="408"/>
      <c r="CE628" s="408"/>
      <c r="CF628" s="408"/>
      <c r="CG628" s="408"/>
      <c r="CH628" s="408"/>
      <c r="CI628" s="408"/>
      <c r="CJ628" s="408"/>
      <c r="CK628" s="408"/>
      <c r="CL628" s="408"/>
      <c r="CM628" s="408"/>
      <c r="CN628" s="408"/>
    </row>
    <row r="629">
      <c r="A629" s="408"/>
      <c r="B629" s="408"/>
      <c r="C629" s="408"/>
      <c r="D629" s="408"/>
      <c r="E629" s="408"/>
      <c r="F629" s="408"/>
      <c r="G629" s="408"/>
      <c r="H629" s="408"/>
      <c r="I629" s="408"/>
      <c r="J629" s="408"/>
      <c r="K629" s="408"/>
      <c r="L629" s="408"/>
      <c r="M629" s="408"/>
      <c r="N629" s="408"/>
      <c r="O629" s="408"/>
      <c r="P629" s="408"/>
      <c r="Q629" s="408"/>
      <c r="R629" s="408"/>
      <c r="S629" s="408"/>
      <c r="T629" s="408"/>
      <c r="U629" s="408"/>
      <c r="V629" s="408"/>
      <c r="W629" s="408"/>
      <c r="X629" s="408"/>
      <c r="Y629" s="408"/>
      <c r="Z629" s="408"/>
      <c r="AA629" s="408"/>
      <c r="AB629" s="408"/>
      <c r="AC629" s="408"/>
      <c r="AD629" s="408"/>
      <c r="AE629" s="408"/>
      <c r="AF629" s="408"/>
      <c r="AG629" s="408"/>
      <c r="AH629" s="408"/>
      <c r="AI629" s="408"/>
      <c r="AJ629" s="408"/>
      <c r="AK629" s="408"/>
      <c r="AL629" s="408"/>
      <c r="AM629" s="408"/>
      <c r="AN629" s="408"/>
      <c r="AO629" s="408"/>
      <c r="AP629" s="408"/>
      <c r="AQ629" s="408"/>
      <c r="AR629" s="408"/>
      <c r="AS629" s="408"/>
      <c r="AT629" s="408"/>
      <c r="AU629" s="408"/>
      <c r="AV629" s="408"/>
      <c r="AW629" s="408"/>
      <c r="AX629" s="408"/>
      <c r="AY629" s="408"/>
      <c r="AZ629" s="408"/>
      <c r="BA629" s="408"/>
      <c r="BB629" s="408"/>
      <c r="BC629" s="408"/>
      <c r="BD629" s="408"/>
      <c r="BE629" s="408"/>
      <c r="BF629" s="408"/>
      <c r="BG629" s="408"/>
      <c r="BH629" s="408"/>
      <c r="BI629" s="408"/>
      <c r="BJ629" s="408"/>
      <c r="BK629" s="408"/>
      <c r="BL629" s="408"/>
      <c r="BM629" s="408"/>
      <c r="BN629" s="408"/>
      <c r="BO629" s="408"/>
      <c r="BP629" s="408"/>
      <c r="BQ629" s="408"/>
      <c r="BR629" s="408"/>
      <c r="BS629" s="408"/>
      <c r="BT629" s="408"/>
      <c r="BU629" s="408"/>
      <c r="BV629" s="408"/>
      <c r="BW629" s="408"/>
      <c r="BX629" s="408"/>
      <c r="BY629" s="408"/>
      <c r="BZ629" s="408"/>
      <c r="CA629" s="408"/>
      <c r="CB629" s="408"/>
      <c r="CC629" s="408"/>
      <c r="CD629" s="408"/>
      <c r="CE629" s="408"/>
      <c r="CF629" s="408"/>
      <c r="CG629" s="408"/>
      <c r="CH629" s="408"/>
      <c r="CI629" s="408"/>
      <c r="CJ629" s="408"/>
      <c r="CK629" s="408"/>
      <c r="CL629" s="408"/>
      <c r="CM629" s="408"/>
      <c r="CN629" s="408"/>
    </row>
    <row r="630">
      <c r="A630" s="408"/>
      <c r="B630" s="408"/>
      <c r="C630" s="408"/>
      <c r="D630" s="408"/>
      <c r="E630" s="408"/>
      <c r="F630" s="408"/>
      <c r="G630" s="408"/>
      <c r="H630" s="408"/>
      <c r="I630" s="408"/>
      <c r="J630" s="408"/>
      <c r="K630" s="408"/>
      <c r="L630" s="408"/>
      <c r="M630" s="408"/>
      <c r="N630" s="408"/>
      <c r="O630" s="408"/>
      <c r="P630" s="408"/>
      <c r="Q630" s="408"/>
      <c r="R630" s="408"/>
      <c r="S630" s="408"/>
      <c r="T630" s="408"/>
      <c r="U630" s="408"/>
      <c r="V630" s="408"/>
      <c r="W630" s="408"/>
      <c r="X630" s="408"/>
      <c r="Y630" s="408"/>
      <c r="Z630" s="408"/>
      <c r="AA630" s="408"/>
      <c r="AB630" s="408"/>
      <c r="AC630" s="408"/>
      <c r="AD630" s="408"/>
      <c r="AE630" s="408"/>
      <c r="AF630" s="408"/>
      <c r="AG630" s="408"/>
      <c r="AH630" s="408"/>
      <c r="AI630" s="408"/>
      <c r="AJ630" s="408"/>
      <c r="AK630" s="408"/>
      <c r="AL630" s="408"/>
      <c r="AM630" s="408"/>
      <c r="AN630" s="408"/>
      <c r="AO630" s="408"/>
      <c r="AP630" s="408"/>
      <c r="AQ630" s="408"/>
      <c r="AR630" s="408"/>
      <c r="AS630" s="408"/>
      <c r="AT630" s="408"/>
      <c r="AU630" s="408"/>
      <c r="AV630" s="408"/>
      <c r="AW630" s="408"/>
      <c r="AX630" s="408"/>
      <c r="AY630" s="408"/>
      <c r="AZ630" s="408"/>
      <c r="BA630" s="408"/>
      <c r="BB630" s="408"/>
      <c r="BC630" s="408"/>
      <c r="BD630" s="408"/>
      <c r="BE630" s="408"/>
      <c r="BF630" s="408"/>
      <c r="BG630" s="408"/>
      <c r="BH630" s="408"/>
      <c r="BI630" s="408"/>
      <c r="BJ630" s="408"/>
      <c r="BK630" s="408"/>
      <c r="BL630" s="408"/>
      <c r="BM630" s="408"/>
      <c r="BN630" s="408"/>
      <c r="BO630" s="408"/>
      <c r="BP630" s="408"/>
      <c r="BQ630" s="408"/>
      <c r="BR630" s="408"/>
      <c r="BS630" s="408"/>
      <c r="BT630" s="408"/>
      <c r="BU630" s="408"/>
      <c r="BV630" s="408"/>
      <c r="BW630" s="408"/>
      <c r="BX630" s="408"/>
      <c r="BY630" s="408"/>
      <c r="BZ630" s="408"/>
      <c r="CA630" s="408"/>
      <c r="CB630" s="408"/>
      <c r="CC630" s="408"/>
      <c r="CD630" s="408"/>
      <c r="CE630" s="408"/>
      <c r="CF630" s="408"/>
      <c r="CG630" s="408"/>
      <c r="CH630" s="408"/>
      <c r="CI630" s="408"/>
      <c r="CJ630" s="408"/>
      <c r="CK630" s="408"/>
      <c r="CL630" s="408"/>
      <c r="CM630" s="408"/>
      <c r="CN630" s="408"/>
    </row>
    <row r="631">
      <c r="A631" s="408"/>
      <c r="B631" s="408"/>
      <c r="C631" s="408"/>
      <c r="D631" s="408"/>
      <c r="E631" s="408"/>
      <c r="F631" s="408"/>
      <c r="G631" s="408"/>
      <c r="H631" s="408"/>
      <c r="I631" s="408"/>
      <c r="J631" s="408"/>
      <c r="K631" s="408"/>
      <c r="L631" s="408"/>
      <c r="M631" s="408"/>
      <c r="N631" s="408"/>
      <c r="O631" s="408"/>
      <c r="P631" s="408"/>
      <c r="Q631" s="408"/>
      <c r="R631" s="408"/>
      <c r="S631" s="408"/>
      <c r="T631" s="408"/>
      <c r="U631" s="408"/>
      <c r="V631" s="408"/>
      <c r="W631" s="408"/>
      <c r="X631" s="408"/>
      <c r="Y631" s="408"/>
      <c r="Z631" s="408"/>
      <c r="AA631" s="408"/>
      <c r="AB631" s="408"/>
      <c r="AC631" s="408"/>
      <c r="AD631" s="408"/>
      <c r="AE631" s="408"/>
      <c r="AF631" s="408"/>
      <c r="AG631" s="408"/>
      <c r="AH631" s="408"/>
      <c r="AI631" s="408"/>
      <c r="AJ631" s="408"/>
      <c r="AK631" s="408"/>
      <c r="AL631" s="408"/>
      <c r="AM631" s="408"/>
      <c r="AN631" s="408"/>
      <c r="AO631" s="408"/>
      <c r="AP631" s="408"/>
      <c r="AQ631" s="408"/>
      <c r="AR631" s="408"/>
      <c r="AS631" s="408"/>
      <c r="AT631" s="408"/>
      <c r="AU631" s="408"/>
      <c r="AV631" s="408"/>
      <c r="AW631" s="408"/>
      <c r="AX631" s="408"/>
      <c r="AY631" s="408"/>
      <c r="AZ631" s="408"/>
      <c r="BA631" s="408"/>
      <c r="BB631" s="408"/>
      <c r="BC631" s="408"/>
      <c r="BD631" s="408"/>
      <c r="BE631" s="408"/>
      <c r="BF631" s="408"/>
      <c r="BG631" s="408"/>
      <c r="BH631" s="408"/>
      <c r="BI631" s="408"/>
      <c r="BJ631" s="408"/>
      <c r="BK631" s="408"/>
      <c r="BL631" s="408"/>
      <c r="BM631" s="408"/>
      <c r="BN631" s="408"/>
      <c r="BO631" s="408"/>
      <c r="BP631" s="408"/>
      <c r="BQ631" s="408"/>
      <c r="BR631" s="408"/>
      <c r="BS631" s="408"/>
      <c r="BT631" s="408"/>
      <c r="BU631" s="408"/>
      <c r="BV631" s="408"/>
      <c r="BW631" s="408"/>
      <c r="BX631" s="408"/>
      <c r="BY631" s="408"/>
      <c r="BZ631" s="408"/>
      <c r="CA631" s="408"/>
      <c r="CB631" s="408"/>
      <c r="CC631" s="408"/>
      <c r="CD631" s="408"/>
      <c r="CE631" s="408"/>
      <c r="CF631" s="408"/>
      <c r="CG631" s="408"/>
      <c r="CH631" s="408"/>
      <c r="CI631" s="408"/>
      <c r="CJ631" s="408"/>
      <c r="CK631" s="408"/>
      <c r="CL631" s="408"/>
      <c r="CM631" s="408"/>
      <c r="CN631" s="408"/>
    </row>
    <row r="632">
      <c r="A632" s="408"/>
      <c r="B632" s="408"/>
      <c r="C632" s="408"/>
      <c r="D632" s="408"/>
      <c r="E632" s="408"/>
      <c r="F632" s="408"/>
      <c r="G632" s="408"/>
      <c r="H632" s="408"/>
      <c r="I632" s="408"/>
      <c r="J632" s="408"/>
      <c r="K632" s="408"/>
      <c r="L632" s="408"/>
      <c r="M632" s="408"/>
      <c r="N632" s="408"/>
      <c r="O632" s="408"/>
      <c r="P632" s="408"/>
      <c r="Q632" s="408"/>
      <c r="R632" s="408"/>
      <c r="S632" s="408"/>
      <c r="T632" s="408"/>
      <c r="U632" s="408"/>
      <c r="V632" s="408"/>
      <c r="W632" s="408"/>
      <c r="X632" s="408"/>
      <c r="Y632" s="408"/>
      <c r="Z632" s="408"/>
      <c r="AA632" s="408"/>
      <c r="AB632" s="408"/>
      <c r="AC632" s="408"/>
      <c r="AD632" s="408"/>
      <c r="AE632" s="408"/>
      <c r="AF632" s="408"/>
      <c r="AG632" s="408"/>
      <c r="AH632" s="408"/>
      <c r="AI632" s="408"/>
      <c r="AJ632" s="408"/>
      <c r="AK632" s="408"/>
      <c r="AL632" s="408"/>
      <c r="AM632" s="408"/>
      <c r="AN632" s="408"/>
      <c r="AO632" s="408"/>
      <c r="AP632" s="408"/>
      <c r="AQ632" s="408"/>
      <c r="AR632" s="408"/>
      <c r="AS632" s="408"/>
      <c r="AT632" s="408"/>
      <c r="AU632" s="408"/>
      <c r="AV632" s="408"/>
      <c r="AW632" s="408"/>
      <c r="AX632" s="408"/>
      <c r="AY632" s="408"/>
      <c r="AZ632" s="408"/>
      <c r="BA632" s="408"/>
      <c r="BB632" s="408"/>
      <c r="BC632" s="408"/>
      <c r="BD632" s="408"/>
      <c r="BE632" s="408"/>
      <c r="BF632" s="408"/>
      <c r="BG632" s="408"/>
      <c r="BH632" s="408"/>
      <c r="BI632" s="408"/>
      <c r="BJ632" s="408"/>
      <c r="BK632" s="408"/>
      <c r="BL632" s="408"/>
      <c r="BM632" s="408"/>
      <c r="BN632" s="408"/>
      <c r="BO632" s="408"/>
      <c r="BP632" s="408"/>
      <c r="BQ632" s="408"/>
      <c r="BR632" s="408"/>
      <c r="BS632" s="408"/>
      <c r="BT632" s="408"/>
      <c r="BU632" s="408"/>
      <c r="BV632" s="408"/>
      <c r="BW632" s="408"/>
      <c r="BX632" s="408"/>
      <c r="BY632" s="408"/>
      <c r="BZ632" s="408"/>
      <c r="CA632" s="408"/>
      <c r="CB632" s="408"/>
      <c r="CC632" s="408"/>
      <c r="CD632" s="408"/>
      <c r="CE632" s="408"/>
      <c r="CF632" s="408"/>
      <c r="CG632" s="408"/>
      <c r="CH632" s="408"/>
      <c r="CI632" s="408"/>
      <c r="CJ632" s="408"/>
      <c r="CK632" s="408"/>
      <c r="CL632" s="408"/>
      <c r="CM632" s="408"/>
      <c r="CN632" s="408"/>
    </row>
    <row r="633">
      <c r="A633" s="408"/>
      <c r="B633" s="408"/>
      <c r="C633" s="408"/>
      <c r="D633" s="408"/>
      <c r="E633" s="408"/>
      <c r="F633" s="408"/>
      <c r="G633" s="408"/>
      <c r="H633" s="408"/>
      <c r="I633" s="408"/>
      <c r="J633" s="408"/>
      <c r="K633" s="408"/>
      <c r="L633" s="408"/>
      <c r="M633" s="408"/>
      <c r="N633" s="408"/>
      <c r="O633" s="408"/>
      <c r="P633" s="408"/>
      <c r="Q633" s="408"/>
      <c r="R633" s="408"/>
      <c r="S633" s="408"/>
      <c r="T633" s="408"/>
      <c r="U633" s="408"/>
      <c r="V633" s="408"/>
      <c r="W633" s="408"/>
      <c r="X633" s="408"/>
      <c r="Y633" s="408"/>
      <c r="Z633" s="408"/>
      <c r="AA633" s="408"/>
      <c r="AB633" s="408"/>
      <c r="AC633" s="408"/>
      <c r="AD633" s="408"/>
      <c r="AE633" s="408"/>
      <c r="AF633" s="408"/>
      <c r="AG633" s="408"/>
      <c r="AH633" s="408"/>
      <c r="AI633" s="408"/>
      <c r="AJ633" s="408"/>
      <c r="AK633" s="408"/>
      <c r="AL633" s="408"/>
      <c r="AM633" s="408"/>
      <c r="AN633" s="408"/>
      <c r="AO633" s="408"/>
      <c r="AP633" s="408"/>
      <c r="AQ633" s="408"/>
      <c r="AR633" s="408"/>
      <c r="AS633" s="408"/>
      <c r="AT633" s="408"/>
      <c r="AU633" s="408"/>
      <c r="AV633" s="408"/>
      <c r="AW633" s="408"/>
      <c r="AX633" s="408"/>
      <c r="AY633" s="408"/>
      <c r="AZ633" s="408"/>
      <c r="BA633" s="408"/>
      <c r="BB633" s="408"/>
      <c r="BC633" s="408"/>
      <c r="BD633" s="408"/>
      <c r="BE633" s="408"/>
      <c r="BF633" s="408"/>
      <c r="BG633" s="408"/>
      <c r="BH633" s="408"/>
      <c r="BI633" s="408"/>
      <c r="BJ633" s="408"/>
      <c r="BK633" s="408"/>
      <c r="BL633" s="408"/>
      <c r="BM633" s="408"/>
      <c r="BN633" s="408"/>
      <c r="BO633" s="408"/>
      <c r="BP633" s="408"/>
      <c r="BQ633" s="408"/>
      <c r="BR633" s="408"/>
      <c r="BS633" s="408"/>
      <c r="BT633" s="408"/>
      <c r="BU633" s="408"/>
      <c r="BV633" s="408"/>
      <c r="BW633" s="408"/>
      <c r="BX633" s="408"/>
      <c r="BY633" s="408"/>
      <c r="BZ633" s="408"/>
      <c r="CA633" s="408"/>
      <c r="CB633" s="408"/>
      <c r="CC633" s="408"/>
      <c r="CD633" s="408"/>
      <c r="CE633" s="408"/>
      <c r="CF633" s="408"/>
      <c r="CG633" s="408"/>
      <c r="CH633" s="408"/>
      <c r="CI633" s="408"/>
      <c r="CJ633" s="408"/>
      <c r="CK633" s="408"/>
      <c r="CL633" s="408"/>
      <c r="CM633" s="408"/>
      <c r="CN633" s="408"/>
    </row>
    <row r="634">
      <c r="A634" s="408"/>
      <c r="B634" s="408"/>
      <c r="C634" s="408"/>
      <c r="D634" s="408"/>
      <c r="E634" s="408"/>
      <c r="F634" s="408"/>
      <c r="G634" s="408"/>
      <c r="H634" s="408"/>
      <c r="I634" s="408"/>
      <c r="J634" s="408"/>
      <c r="K634" s="408"/>
      <c r="L634" s="408"/>
      <c r="M634" s="408"/>
      <c r="N634" s="408"/>
      <c r="O634" s="408"/>
      <c r="P634" s="408"/>
      <c r="Q634" s="408"/>
      <c r="R634" s="408"/>
      <c r="S634" s="408"/>
      <c r="T634" s="408"/>
      <c r="U634" s="408"/>
      <c r="V634" s="408"/>
      <c r="W634" s="408"/>
      <c r="X634" s="408"/>
      <c r="Y634" s="408"/>
      <c r="Z634" s="408"/>
      <c r="AA634" s="408"/>
      <c r="AB634" s="408"/>
      <c r="AC634" s="408"/>
      <c r="AD634" s="408"/>
      <c r="AE634" s="408"/>
      <c r="AF634" s="408"/>
      <c r="AG634" s="408"/>
      <c r="AH634" s="408"/>
      <c r="AI634" s="408"/>
      <c r="AJ634" s="408"/>
      <c r="AK634" s="408"/>
      <c r="AL634" s="408"/>
      <c r="AM634" s="408"/>
      <c r="AN634" s="408"/>
      <c r="AO634" s="408"/>
      <c r="AP634" s="408"/>
      <c r="AQ634" s="408"/>
      <c r="AR634" s="408"/>
      <c r="AS634" s="408"/>
      <c r="AT634" s="408"/>
      <c r="AU634" s="408"/>
      <c r="AV634" s="408"/>
      <c r="AW634" s="408"/>
      <c r="AX634" s="408"/>
      <c r="AY634" s="408"/>
      <c r="AZ634" s="408"/>
      <c r="BA634" s="408"/>
      <c r="BB634" s="408"/>
      <c r="BC634" s="408"/>
      <c r="BD634" s="408"/>
      <c r="BE634" s="408"/>
      <c r="BF634" s="408"/>
      <c r="BG634" s="408"/>
      <c r="BH634" s="408"/>
      <c r="BI634" s="408"/>
      <c r="BJ634" s="408"/>
      <c r="BK634" s="408"/>
      <c r="BL634" s="408"/>
      <c r="BM634" s="408"/>
      <c r="BN634" s="408"/>
      <c r="BO634" s="408"/>
      <c r="BP634" s="408"/>
      <c r="BQ634" s="408"/>
      <c r="BR634" s="408"/>
      <c r="BS634" s="408"/>
      <c r="BT634" s="408"/>
      <c r="BU634" s="408"/>
      <c r="BV634" s="408"/>
      <c r="BW634" s="408"/>
      <c r="BX634" s="408"/>
      <c r="BY634" s="408"/>
      <c r="BZ634" s="408"/>
      <c r="CA634" s="408"/>
      <c r="CB634" s="408"/>
      <c r="CC634" s="408"/>
      <c r="CD634" s="408"/>
      <c r="CE634" s="408"/>
      <c r="CF634" s="408"/>
      <c r="CG634" s="408"/>
      <c r="CH634" s="408"/>
      <c r="CI634" s="408"/>
      <c r="CJ634" s="408"/>
      <c r="CK634" s="408"/>
      <c r="CL634" s="408"/>
      <c r="CM634" s="408"/>
      <c r="CN634" s="408"/>
    </row>
    <row r="635">
      <c r="A635" s="408"/>
      <c r="B635" s="408"/>
      <c r="C635" s="408"/>
      <c r="D635" s="408"/>
      <c r="E635" s="408"/>
      <c r="F635" s="408"/>
      <c r="G635" s="408"/>
      <c r="H635" s="408"/>
      <c r="I635" s="408"/>
      <c r="J635" s="408"/>
      <c r="K635" s="408"/>
      <c r="L635" s="408"/>
      <c r="M635" s="408"/>
      <c r="N635" s="408"/>
      <c r="O635" s="408"/>
      <c r="P635" s="408"/>
      <c r="Q635" s="408"/>
      <c r="R635" s="408"/>
      <c r="S635" s="408"/>
      <c r="T635" s="408"/>
      <c r="U635" s="408"/>
      <c r="V635" s="408"/>
      <c r="W635" s="408"/>
      <c r="X635" s="408"/>
      <c r="Y635" s="408"/>
      <c r="Z635" s="408"/>
      <c r="AA635" s="408"/>
      <c r="AB635" s="408"/>
      <c r="AC635" s="408"/>
      <c r="AD635" s="408"/>
      <c r="AE635" s="408"/>
      <c r="AF635" s="408"/>
      <c r="AG635" s="408"/>
      <c r="AH635" s="408"/>
      <c r="AI635" s="408"/>
      <c r="AJ635" s="408"/>
      <c r="AK635" s="408"/>
      <c r="AL635" s="408"/>
      <c r="AM635" s="408"/>
      <c r="AN635" s="408"/>
      <c r="AO635" s="408"/>
      <c r="AP635" s="408"/>
      <c r="AQ635" s="408"/>
      <c r="AR635" s="408"/>
      <c r="AS635" s="408"/>
      <c r="AT635" s="408"/>
      <c r="AU635" s="408"/>
      <c r="AV635" s="408"/>
      <c r="AW635" s="408"/>
      <c r="AX635" s="408"/>
      <c r="AY635" s="408"/>
      <c r="AZ635" s="408"/>
      <c r="BA635" s="408"/>
      <c r="BB635" s="408"/>
      <c r="BC635" s="408"/>
      <c r="BD635" s="408"/>
      <c r="BE635" s="408"/>
      <c r="BF635" s="408"/>
      <c r="BG635" s="408"/>
      <c r="BH635" s="408"/>
      <c r="BI635" s="408"/>
      <c r="BJ635" s="408"/>
      <c r="BK635" s="408"/>
      <c r="BL635" s="408"/>
      <c r="BM635" s="408"/>
      <c r="BN635" s="408"/>
      <c r="BO635" s="408"/>
      <c r="BP635" s="408"/>
      <c r="BQ635" s="408"/>
      <c r="BR635" s="408"/>
      <c r="BS635" s="408"/>
      <c r="BT635" s="408"/>
      <c r="BU635" s="408"/>
      <c r="BV635" s="408"/>
      <c r="BW635" s="408"/>
      <c r="BX635" s="408"/>
      <c r="BY635" s="408"/>
      <c r="BZ635" s="408"/>
      <c r="CA635" s="408"/>
      <c r="CB635" s="408"/>
      <c r="CC635" s="408"/>
      <c r="CD635" s="408"/>
      <c r="CE635" s="408"/>
      <c r="CF635" s="408"/>
      <c r="CG635" s="408"/>
      <c r="CH635" s="408"/>
      <c r="CI635" s="408"/>
      <c r="CJ635" s="408"/>
      <c r="CK635" s="408"/>
      <c r="CL635" s="408"/>
      <c r="CM635" s="408"/>
      <c r="CN635" s="408"/>
    </row>
    <row r="636">
      <c r="A636" s="408"/>
      <c r="B636" s="408"/>
      <c r="C636" s="408"/>
      <c r="D636" s="408"/>
      <c r="E636" s="408"/>
      <c r="F636" s="408"/>
      <c r="G636" s="408"/>
      <c r="H636" s="408"/>
      <c r="I636" s="408"/>
      <c r="J636" s="408"/>
      <c r="K636" s="408"/>
      <c r="L636" s="408"/>
      <c r="M636" s="408"/>
      <c r="N636" s="408"/>
      <c r="O636" s="408"/>
      <c r="P636" s="408"/>
      <c r="Q636" s="408"/>
      <c r="R636" s="408"/>
      <c r="S636" s="408"/>
      <c r="T636" s="408"/>
      <c r="U636" s="408"/>
      <c r="V636" s="408"/>
      <c r="W636" s="408"/>
      <c r="X636" s="408"/>
      <c r="Y636" s="408"/>
      <c r="Z636" s="408"/>
      <c r="AA636" s="408"/>
      <c r="AB636" s="408"/>
      <c r="AC636" s="408"/>
      <c r="AD636" s="408"/>
      <c r="AE636" s="408"/>
      <c r="AF636" s="408"/>
      <c r="AG636" s="408"/>
      <c r="AH636" s="408"/>
      <c r="AI636" s="408"/>
      <c r="AJ636" s="408"/>
      <c r="AK636" s="408"/>
      <c r="AL636" s="408"/>
      <c r="AM636" s="408"/>
      <c r="AN636" s="408"/>
      <c r="AO636" s="408"/>
      <c r="AP636" s="408"/>
      <c r="AQ636" s="408"/>
      <c r="AR636" s="408"/>
      <c r="AS636" s="408"/>
      <c r="AT636" s="408"/>
      <c r="AU636" s="408"/>
      <c r="AV636" s="408"/>
      <c r="AW636" s="408"/>
      <c r="AX636" s="408"/>
      <c r="AY636" s="408"/>
      <c r="AZ636" s="408"/>
      <c r="BA636" s="408"/>
      <c r="BB636" s="408"/>
      <c r="BC636" s="408"/>
      <c r="BD636" s="408"/>
      <c r="BE636" s="408"/>
      <c r="BF636" s="408"/>
      <c r="BG636" s="408"/>
      <c r="BH636" s="408"/>
      <c r="BI636" s="408"/>
      <c r="BJ636" s="408"/>
      <c r="BK636" s="408"/>
      <c r="BL636" s="408"/>
      <c r="BM636" s="408"/>
      <c r="BN636" s="408"/>
      <c r="BO636" s="408"/>
      <c r="BP636" s="408"/>
      <c r="BQ636" s="408"/>
      <c r="BR636" s="408"/>
      <c r="BS636" s="408"/>
      <c r="BT636" s="408"/>
      <c r="BU636" s="408"/>
      <c r="BV636" s="408"/>
      <c r="BW636" s="408"/>
      <c r="BX636" s="408"/>
      <c r="BY636" s="408"/>
      <c r="BZ636" s="408"/>
      <c r="CA636" s="408"/>
      <c r="CB636" s="408"/>
      <c r="CC636" s="408"/>
      <c r="CD636" s="408"/>
      <c r="CE636" s="408"/>
      <c r="CF636" s="408"/>
      <c r="CG636" s="408"/>
      <c r="CH636" s="408"/>
      <c r="CI636" s="408"/>
      <c r="CJ636" s="408"/>
      <c r="CK636" s="408"/>
      <c r="CL636" s="408"/>
      <c r="CM636" s="408"/>
      <c r="CN636" s="408"/>
    </row>
    <row r="637">
      <c r="A637" s="408"/>
      <c r="B637" s="408"/>
      <c r="C637" s="408"/>
      <c r="D637" s="408"/>
      <c r="E637" s="408"/>
      <c r="F637" s="408"/>
      <c r="G637" s="408"/>
      <c r="H637" s="408"/>
      <c r="I637" s="408"/>
      <c r="J637" s="408"/>
      <c r="K637" s="408"/>
      <c r="L637" s="408"/>
      <c r="M637" s="408"/>
      <c r="N637" s="408"/>
      <c r="O637" s="408"/>
      <c r="P637" s="408"/>
      <c r="Q637" s="408"/>
      <c r="R637" s="408"/>
      <c r="S637" s="408"/>
      <c r="T637" s="408"/>
      <c r="U637" s="408"/>
      <c r="V637" s="408"/>
      <c r="W637" s="408"/>
      <c r="X637" s="408"/>
      <c r="Y637" s="408"/>
      <c r="Z637" s="408"/>
      <c r="AA637" s="408"/>
      <c r="AB637" s="408"/>
      <c r="AC637" s="408"/>
      <c r="AD637" s="408"/>
      <c r="AE637" s="408"/>
      <c r="AF637" s="408"/>
      <c r="AG637" s="408"/>
      <c r="AH637" s="408"/>
      <c r="AI637" s="408"/>
      <c r="AJ637" s="408"/>
      <c r="AK637" s="408"/>
      <c r="AL637" s="408"/>
      <c r="AM637" s="408"/>
      <c r="AN637" s="408"/>
      <c r="AO637" s="408"/>
      <c r="AP637" s="408"/>
      <c r="AQ637" s="408"/>
      <c r="AR637" s="408"/>
      <c r="AS637" s="408"/>
      <c r="AT637" s="408"/>
      <c r="AU637" s="408"/>
      <c r="AV637" s="408"/>
      <c r="AW637" s="408"/>
      <c r="AX637" s="408"/>
      <c r="AY637" s="408"/>
      <c r="AZ637" s="408"/>
      <c r="BA637" s="408"/>
      <c r="BB637" s="408"/>
      <c r="BC637" s="408"/>
      <c r="BD637" s="408"/>
      <c r="BE637" s="408"/>
      <c r="BF637" s="408"/>
      <c r="BG637" s="408"/>
      <c r="BH637" s="408"/>
      <c r="BI637" s="408"/>
      <c r="BJ637" s="408"/>
      <c r="BK637" s="408"/>
      <c r="BL637" s="408"/>
      <c r="BM637" s="408"/>
      <c r="BN637" s="408"/>
      <c r="BO637" s="408"/>
      <c r="BP637" s="408"/>
      <c r="BQ637" s="408"/>
      <c r="BR637" s="408"/>
      <c r="BS637" s="408"/>
      <c r="BT637" s="408"/>
      <c r="BU637" s="408"/>
      <c r="BV637" s="408"/>
      <c r="BW637" s="408"/>
      <c r="BX637" s="408"/>
      <c r="BY637" s="408"/>
      <c r="BZ637" s="408"/>
      <c r="CA637" s="408"/>
      <c r="CB637" s="408"/>
      <c r="CC637" s="408"/>
      <c r="CD637" s="408"/>
      <c r="CE637" s="408"/>
      <c r="CF637" s="408"/>
      <c r="CG637" s="408"/>
      <c r="CH637" s="408"/>
      <c r="CI637" s="408"/>
      <c r="CJ637" s="408"/>
      <c r="CK637" s="408"/>
      <c r="CL637" s="408"/>
      <c r="CM637" s="408"/>
      <c r="CN637" s="408"/>
    </row>
    <row r="638">
      <c r="A638" s="408"/>
      <c r="B638" s="408"/>
      <c r="C638" s="408"/>
      <c r="D638" s="408"/>
      <c r="E638" s="408"/>
      <c r="F638" s="408"/>
      <c r="G638" s="408"/>
      <c r="H638" s="408"/>
      <c r="I638" s="408"/>
      <c r="J638" s="408"/>
      <c r="K638" s="408"/>
      <c r="L638" s="408"/>
      <c r="M638" s="408"/>
      <c r="N638" s="408"/>
      <c r="O638" s="408"/>
      <c r="P638" s="408"/>
      <c r="Q638" s="408"/>
      <c r="R638" s="408"/>
      <c r="S638" s="408"/>
      <c r="T638" s="408"/>
      <c r="U638" s="408"/>
      <c r="V638" s="408"/>
      <c r="W638" s="408"/>
      <c r="X638" s="408"/>
      <c r="Y638" s="408"/>
      <c r="Z638" s="408"/>
      <c r="AA638" s="408"/>
      <c r="AB638" s="408"/>
      <c r="AC638" s="408"/>
      <c r="AD638" s="408"/>
      <c r="AE638" s="408"/>
      <c r="AF638" s="408"/>
      <c r="AG638" s="408"/>
      <c r="AH638" s="408"/>
      <c r="AI638" s="408"/>
      <c r="AJ638" s="408"/>
      <c r="AK638" s="408"/>
      <c r="AL638" s="408"/>
      <c r="AM638" s="408"/>
      <c r="AN638" s="408"/>
      <c r="AO638" s="408"/>
      <c r="AP638" s="408"/>
      <c r="AQ638" s="408"/>
      <c r="AR638" s="408"/>
      <c r="AS638" s="408"/>
      <c r="AT638" s="408"/>
      <c r="AU638" s="408"/>
      <c r="AV638" s="408"/>
      <c r="AW638" s="408"/>
      <c r="AX638" s="408"/>
      <c r="AY638" s="408"/>
      <c r="AZ638" s="408"/>
      <c r="BA638" s="408"/>
      <c r="BB638" s="408"/>
      <c r="BC638" s="408"/>
      <c r="BD638" s="408"/>
      <c r="BE638" s="408"/>
      <c r="BF638" s="408"/>
      <c r="BG638" s="408"/>
      <c r="BH638" s="408"/>
      <c r="BI638" s="408"/>
      <c r="BJ638" s="408"/>
      <c r="BK638" s="408"/>
      <c r="BL638" s="408"/>
      <c r="BM638" s="408"/>
      <c r="BN638" s="408"/>
      <c r="BO638" s="408"/>
      <c r="BP638" s="408"/>
      <c r="BQ638" s="408"/>
      <c r="BR638" s="408"/>
      <c r="BS638" s="408"/>
      <c r="BT638" s="408"/>
      <c r="BU638" s="408"/>
      <c r="BV638" s="408"/>
      <c r="BW638" s="408"/>
      <c r="BX638" s="408"/>
      <c r="BY638" s="408"/>
      <c r="BZ638" s="408"/>
      <c r="CA638" s="408"/>
      <c r="CB638" s="408"/>
      <c r="CC638" s="408"/>
      <c r="CD638" s="408"/>
      <c r="CE638" s="408"/>
      <c r="CF638" s="408"/>
      <c r="CG638" s="408"/>
      <c r="CH638" s="408"/>
      <c r="CI638" s="408"/>
      <c r="CJ638" s="408"/>
      <c r="CK638" s="408"/>
      <c r="CL638" s="408"/>
      <c r="CM638" s="408"/>
      <c r="CN638" s="408"/>
    </row>
    <row r="639">
      <c r="A639" s="408"/>
      <c r="B639" s="408"/>
      <c r="C639" s="408"/>
      <c r="D639" s="408"/>
      <c r="E639" s="408"/>
      <c r="F639" s="408"/>
      <c r="G639" s="408"/>
      <c r="H639" s="408"/>
      <c r="I639" s="408"/>
      <c r="J639" s="408"/>
      <c r="K639" s="408"/>
      <c r="L639" s="408"/>
      <c r="M639" s="408"/>
      <c r="N639" s="408"/>
      <c r="O639" s="408"/>
      <c r="P639" s="408"/>
      <c r="Q639" s="408"/>
      <c r="R639" s="408"/>
      <c r="S639" s="408"/>
      <c r="T639" s="408"/>
      <c r="U639" s="408"/>
      <c r="V639" s="408"/>
      <c r="W639" s="408"/>
      <c r="X639" s="408"/>
      <c r="Y639" s="408"/>
      <c r="Z639" s="408"/>
      <c r="AA639" s="408"/>
      <c r="AB639" s="408"/>
      <c r="AC639" s="408"/>
      <c r="AD639" s="408"/>
      <c r="AE639" s="408"/>
      <c r="AF639" s="408"/>
      <c r="AG639" s="408"/>
      <c r="AH639" s="408"/>
      <c r="AI639" s="408"/>
      <c r="AJ639" s="408"/>
      <c r="AK639" s="408"/>
      <c r="AL639" s="408"/>
      <c r="AM639" s="408"/>
      <c r="AN639" s="408"/>
      <c r="AO639" s="408"/>
      <c r="AP639" s="408"/>
      <c r="AQ639" s="408"/>
      <c r="AR639" s="408"/>
      <c r="AS639" s="408"/>
      <c r="AT639" s="408"/>
      <c r="AU639" s="408"/>
      <c r="AV639" s="408"/>
      <c r="AW639" s="408"/>
      <c r="AX639" s="408"/>
      <c r="AY639" s="408"/>
      <c r="AZ639" s="408"/>
      <c r="BA639" s="408"/>
      <c r="BB639" s="408"/>
      <c r="BC639" s="408"/>
      <c r="BD639" s="408"/>
      <c r="BE639" s="408"/>
      <c r="BF639" s="408"/>
      <c r="BG639" s="408"/>
      <c r="BH639" s="408"/>
      <c r="BI639" s="408"/>
      <c r="BJ639" s="408"/>
      <c r="BK639" s="408"/>
      <c r="BL639" s="408"/>
      <c r="BM639" s="408"/>
      <c r="BN639" s="408"/>
      <c r="BO639" s="408"/>
      <c r="BP639" s="408"/>
      <c r="BQ639" s="408"/>
      <c r="BR639" s="408"/>
      <c r="BS639" s="408"/>
      <c r="BT639" s="408"/>
      <c r="BU639" s="408"/>
      <c r="BV639" s="408"/>
      <c r="BW639" s="408"/>
      <c r="BX639" s="408"/>
      <c r="BY639" s="408"/>
      <c r="BZ639" s="408"/>
      <c r="CA639" s="408"/>
      <c r="CB639" s="408"/>
      <c r="CC639" s="408"/>
      <c r="CD639" s="408"/>
      <c r="CE639" s="408"/>
      <c r="CF639" s="408"/>
      <c r="CG639" s="408"/>
      <c r="CH639" s="408"/>
      <c r="CI639" s="408"/>
      <c r="CJ639" s="408"/>
      <c r="CK639" s="408"/>
      <c r="CL639" s="408"/>
      <c r="CM639" s="408"/>
      <c r="CN639" s="408"/>
    </row>
    <row r="640">
      <c r="A640" s="408"/>
      <c r="B640" s="408"/>
      <c r="C640" s="408"/>
      <c r="D640" s="408"/>
      <c r="E640" s="408"/>
      <c r="F640" s="408"/>
      <c r="G640" s="408"/>
      <c r="H640" s="408"/>
      <c r="I640" s="408"/>
      <c r="J640" s="408"/>
      <c r="K640" s="408"/>
      <c r="L640" s="408"/>
      <c r="M640" s="408"/>
      <c r="N640" s="408"/>
      <c r="O640" s="408"/>
      <c r="P640" s="408"/>
      <c r="Q640" s="408"/>
      <c r="R640" s="408"/>
      <c r="S640" s="408"/>
      <c r="T640" s="408"/>
      <c r="U640" s="408"/>
      <c r="V640" s="408"/>
      <c r="W640" s="408"/>
      <c r="X640" s="408"/>
      <c r="Y640" s="408"/>
      <c r="Z640" s="408"/>
      <c r="AA640" s="408"/>
      <c r="AB640" s="408"/>
      <c r="AC640" s="408"/>
      <c r="AD640" s="408"/>
      <c r="AE640" s="408"/>
      <c r="AF640" s="408"/>
      <c r="AG640" s="408"/>
      <c r="AH640" s="408"/>
      <c r="AI640" s="408"/>
      <c r="AJ640" s="408"/>
      <c r="AK640" s="408"/>
      <c r="AL640" s="408"/>
      <c r="AM640" s="408"/>
      <c r="AN640" s="408"/>
      <c r="AO640" s="408"/>
      <c r="AP640" s="408"/>
      <c r="AQ640" s="408"/>
      <c r="AR640" s="408"/>
      <c r="AS640" s="408"/>
      <c r="AT640" s="408"/>
      <c r="AU640" s="408"/>
      <c r="AV640" s="408"/>
      <c r="AW640" s="408"/>
      <c r="AX640" s="408"/>
      <c r="AY640" s="408"/>
      <c r="AZ640" s="408"/>
      <c r="BA640" s="408"/>
      <c r="BB640" s="408"/>
      <c r="BC640" s="408"/>
      <c r="BD640" s="408"/>
      <c r="BE640" s="408"/>
      <c r="BF640" s="408"/>
      <c r="BG640" s="408"/>
      <c r="BH640" s="408"/>
      <c r="BI640" s="408"/>
      <c r="BJ640" s="408"/>
      <c r="BK640" s="408"/>
      <c r="BL640" s="408"/>
      <c r="BM640" s="408"/>
      <c r="BN640" s="408"/>
      <c r="BO640" s="408"/>
      <c r="BP640" s="408"/>
      <c r="BQ640" s="408"/>
      <c r="BR640" s="408"/>
      <c r="BS640" s="408"/>
      <c r="BT640" s="408"/>
      <c r="BU640" s="408"/>
      <c r="BV640" s="408"/>
      <c r="BW640" s="408"/>
      <c r="BX640" s="408"/>
      <c r="BY640" s="408"/>
      <c r="BZ640" s="408"/>
      <c r="CA640" s="408"/>
      <c r="CB640" s="408"/>
      <c r="CC640" s="408"/>
      <c r="CD640" s="408"/>
      <c r="CE640" s="408"/>
      <c r="CF640" s="408"/>
      <c r="CG640" s="408"/>
      <c r="CH640" s="408"/>
      <c r="CI640" s="408"/>
      <c r="CJ640" s="408"/>
      <c r="CK640" s="408"/>
      <c r="CL640" s="408"/>
      <c r="CM640" s="408"/>
      <c r="CN640" s="408"/>
    </row>
    <row r="641">
      <c r="A641" s="408"/>
      <c r="B641" s="408"/>
      <c r="C641" s="408"/>
      <c r="D641" s="408"/>
      <c r="E641" s="408"/>
      <c r="F641" s="408"/>
      <c r="G641" s="408"/>
      <c r="H641" s="408"/>
      <c r="I641" s="408"/>
      <c r="J641" s="408"/>
      <c r="K641" s="408"/>
      <c r="L641" s="408"/>
      <c r="M641" s="408"/>
      <c r="N641" s="408"/>
      <c r="O641" s="408"/>
      <c r="P641" s="408"/>
      <c r="Q641" s="408"/>
      <c r="R641" s="408"/>
      <c r="S641" s="408"/>
      <c r="T641" s="408"/>
      <c r="U641" s="408"/>
      <c r="V641" s="408"/>
      <c r="W641" s="408"/>
      <c r="X641" s="408"/>
      <c r="Y641" s="408"/>
      <c r="Z641" s="408"/>
      <c r="AA641" s="408"/>
      <c r="AB641" s="408"/>
      <c r="AC641" s="408"/>
      <c r="AD641" s="408"/>
      <c r="AE641" s="408"/>
      <c r="AF641" s="408"/>
      <c r="AG641" s="408"/>
      <c r="AH641" s="408"/>
      <c r="AI641" s="408"/>
      <c r="AJ641" s="408"/>
      <c r="AK641" s="408"/>
      <c r="AL641" s="408"/>
      <c r="AM641" s="408"/>
      <c r="AN641" s="408"/>
      <c r="AO641" s="408"/>
      <c r="AP641" s="408"/>
      <c r="AQ641" s="408"/>
      <c r="AR641" s="408"/>
      <c r="AS641" s="408"/>
      <c r="AT641" s="408"/>
      <c r="AU641" s="408"/>
      <c r="AV641" s="408"/>
      <c r="AW641" s="408"/>
      <c r="AX641" s="408"/>
      <c r="AY641" s="408"/>
      <c r="AZ641" s="408"/>
      <c r="BA641" s="408"/>
      <c r="BB641" s="408"/>
      <c r="BC641" s="408"/>
      <c r="BD641" s="408"/>
      <c r="BE641" s="408"/>
      <c r="BF641" s="408"/>
      <c r="BG641" s="408"/>
      <c r="BH641" s="408"/>
      <c r="BI641" s="408"/>
      <c r="BJ641" s="408"/>
      <c r="BK641" s="408"/>
      <c r="BL641" s="408"/>
      <c r="BM641" s="408"/>
      <c r="BN641" s="408"/>
      <c r="BO641" s="408"/>
      <c r="BP641" s="408"/>
      <c r="BQ641" s="408"/>
      <c r="BR641" s="408"/>
      <c r="BS641" s="408"/>
      <c r="BT641" s="408"/>
      <c r="BU641" s="408"/>
      <c r="BV641" s="408"/>
      <c r="BW641" s="408"/>
      <c r="BX641" s="408"/>
      <c r="BY641" s="408"/>
      <c r="BZ641" s="408"/>
      <c r="CA641" s="408"/>
      <c r="CB641" s="408"/>
      <c r="CC641" s="408"/>
      <c r="CD641" s="408"/>
      <c r="CE641" s="408"/>
      <c r="CF641" s="408"/>
      <c r="CG641" s="408"/>
      <c r="CH641" s="408"/>
      <c r="CI641" s="408"/>
      <c r="CJ641" s="408"/>
      <c r="CK641" s="408"/>
      <c r="CL641" s="408"/>
      <c r="CM641" s="408"/>
      <c r="CN641" s="408"/>
    </row>
    <row r="642">
      <c r="A642" s="408"/>
      <c r="B642" s="408"/>
      <c r="C642" s="408"/>
      <c r="D642" s="408"/>
      <c r="E642" s="408"/>
      <c r="F642" s="408"/>
      <c r="G642" s="408"/>
      <c r="H642" s="408"/>
      <c r="I642" s="408"/>
      <c r="J642" s="408"/>
      <c r="K642" s="408"/>
      <c r="L642" s="408"/>
      <c r="M642" s="408"/>
      <c r="N642" s="408"/>
      <c r="O642" s="408"/>
      <c r="P642" s="408"/>
      <c r="Q642" s="408"/>
      <c r="R642" s="408"/>
      <c r="S642" s="408"/>
      <c r="T642" s="408"/>
      <c r="U642" s="408"/>
      <c r="V642" s="408"/>
      <c r="W642" s="408"/>
      <c r="X642" s="408"/>
      <c r="Y642" s="408"/>
      <c r="Z642" s="408"/>
      <c r="AA642" s="408"/>
      <c r="AB642" s="408"/>
      <c r="AC642" s="408"/>
      <c r="AD642" s="408"/>
      <c r="AE642" s="408"/>
      <c r="AF642" s="408"/>
      <c r="AG642" s="408"/>
      <c r="AH642" s="408"/>
      <c r="AI642" s="408"/>
      <c r="AJ642" s="408"/>
      <c r="AK642" s="408"/>
      <c r="AL642" s="408"/>
      <c r="AM642" s="408"/>
      <c r="AN642" s="408"/>
      <c r="AO642" s="408"/>
      <c r="AP642" s="408"/>
      <c r="AQ642" s="408"/>
      <c r="AR642" s="408"/>
      <c r="AS642" s="408"/>
      <c r="AT642" s="408"/>
      <c r="AU642" s="408"/>
      <c r="AV642" s="408"/>
      <c r="AW642" s="408"/>
      <c r="AX642" s="408"/>
      <c r="AY642" s="408"/>
      <c r="AZ642" s="408"/>
      <c r="BA642" s="408"/>
      <c r="BB642" s="408"/>
      <c r="BC642" s="408"/>
      <c r="BD642" s="408"/>
      <c r="BE642" s="408"/>
      <c r="BF642" s="408"/>
      <c r="BG642" s="408"/>
      <c r="BH642" s="408"/>
      <c r="BI642" s="408"/>
      <c r="BJ642" s="408"/>
      <c r="BK642" s="408"/>
      <c r="BL642" s="408"/>
      <c r="BM642" s="408"/>
      <c r="BN642" s="408"/>
      <c r="BO642" s="408"/>
      <c r="BP642" s="408"/>
      <c r="BQ642" s="408"/>
      <c r="BR642" s="408"/>
      <c r="BS642" s="408"/>
      <c r="BT642" s="408"/>
      <c r="BU642" s="408"/>
      <c r="BV642" s="408"/>
      <c r="BW642" s="408"/>
      <c r="BX642" s="408"/>
      <c r="BY642" s="408"/>
      <c r="BZ642" s="408"/>
      <c r="CA642" s="408"/>
      <c r="CB642" s="408"/>
      <c r="CC642" s="408"/>
      <c r="CD642" s="408"/>
      <c r="CE642" s="408"/>
      <c r="CF642" s="408"/>
      <c r="CG642" s="408"/>
      <c r="CH642" s="408"/>
      <c r="CI642" s="408"/>
      <c r="CJ642" s="408"/>
      <c r="CK642" s="408"/>
      <c r="CL642" s="408"/>
      <c r="CM642" s="408"/>
      <c r="CN642" s="408"/>
    </row>
    <row r="643">
      <c r="A643" s="408"/>
      <c r="B643" s="408"/>
      <c r="C643" s="408"/>
      <c r="D643" s="408"/>
      <c r="E643" s="408"/>
      <c r="F643" s="408"/>
      <c r="G643" s="408"/>
      <c r="H643" s="408"/>
      <c r="I643" s="408"/>
      <c r="J643" s="408"/>
      <c r="K643" s="408"/>
      <c r="L643" s="408"/>
      <c r="M643" s="408"/>
      <c r="N643" s="408"/>
      <c r="O643" s="408"/>
      <c r="P643" s="408"/>
      <c r="Q643" s="408"/>
      <c r="R643" s="408"/>
      <c r="S643" s="408"/>
      <c r="T643" s="408"/>
      <c r="U643" s="408"/>
      <c r="V643" s="408"/>
      <c r="W643" s="408"/>
      <c r="X643" s="408"/>
      <c r="Y643" s="408"/>
      <c r="Z643" s="408"/>
      <c r="AA643" s="408"/>
      <c r="AB643" s="408"/>
      <c r="AC643" s="408"/>
      <c r="AD643" s="408"/>
      <c r="AE643" s="408"/>
      <c r="AF643" s="408"/>
      <c r="AG643" s="408"/>
      <c r="AH643" s="408"/>
      <c r="AI643" s="408"/>
      <c r="AJ643" s="408"/>
      <c r="AK643" s="408"/>
      <c r="AL643" s="408"/>
      <c r="AM643" s="408"/>
      <c r="AN643" s="408"/>
      <c r="AO643" s="408"/>
      <c r="AP643" s="408"/>
      <c r="AQ643" s="408"/>
      <c r="AR643" s="408"/>
      <c r="AS643" s="408"/>
      <c r="AT643" s="408"/>
      <c r="AU643" s="408"/>
      <c r="AV643" s="408"/>
      <c r="AW643" s="408"/>
      <c r="AX643" s="408"/>
      <c r="AY643" s="408"/>
      <c r="AZ643" s="408"/>
      <c r="BA643" s="408"/>
      <c r="BB643" s="408"/>
      <c r="BC643" s="408"/>
      <c r="BD643" s="408"/>
      <c r="BE643" s="408"/>
      <c r="BF643" s="408"/>
      <c r="BG643" s="408"/>
      <c r="BH643" s="408"/>
      <c r="BI643" s="408"/>
      <c r="BJ643" s="408"/>
      <c r="BK643" s="408"/>
      <c r="BL643" s="408"/>
      <c r="BM643" s="408"/>
      <c r="BN643" s="408"/>
      <c r="BO643" s="408"/>
      <c r="BP643" s="408"/>
      <c r="BQ643" s="408"/>
      <c r="BR643" s="408"/>
      <c r="BS643" s="408"/>
      <c r="BT643" s="408"/>
      <c r="BU643" s="408"/>
      <c r="BV643" s="408"/>
      <c r="BW643" s="408"/>
      <c r="BX643" s="408"/>
      <c r="BY643" s="408"/>
      <c r="BZ643" s="408"/>
      <c r="CA643" s="408"/>
      <c r="CB643" s="408"/>
      <c r="CC643" s="408"/>
      <c r="CD643" s="408"/>
      <c r="CE643" s="408"/>
      <c r="CF643" s="408"/>
      <c r="CG643" s="408"/>
      <c r="CH643" s="408"/>
      <c r="CI643" s="408"/>
      <c r="CJ643" s="408"/>
      <c r="CK643" s="408"/>
      <c r="CL643" s="408"/>
      <c r="CM643" s="408"/>
      <c r="CN643" s="408"/>
    </row>
    <row r="644">
      <c r="A644" s="408"/>
      <c r="B644" s="408"/>
      <c r="C644" s="408"/>
      <c r="D644" s="408"/>
      <c r="E644" s="408"/>
      <c r="F644" s="408"/>
      <c r="G644" s="408"/>
      <c r="H644" s="408"/>
      <c r="I644" s="408"/>
      <c r="J644" s="408"/>
      <c r="K644" s="408"/>
      <c r="L644" s="408"/>
      <c r="M644" s="408"/>
      <c r="N644" s="408"/>
      <c r="O644" s="408"/>
      <c r="P644" s="408"/>
      <c r="Q644" s="408"/>
      <c r="R644" s="408"/>
      <c r="S644" s="408"/>
      <c r="T644" s="408"/>
      <c r="U644" s="408"/>
      <c r="V644" s="408"/>
      <c r="W644" s="408"/>
      <c r="X644" s="408"/>
      <c r="Y644" s="408"/>
      <c r="Z644" s="408"/>
      <c r="AA644" s="408"/>
      <c r="AB644" s="408"/>
      <c r="AC644" s="408"/>
      <c r="AD644" s="408"/>
      <c r="AE644" s="408"/>
      <c r="AF644" s="408"/>
      <c r="AG644" s="408"/>
      <c r="AH644" s="408"/>
      <c r="AI644" s="408"/>
      <c r="AJ644" s="408"/>
      <c r="AK644" s="408"/>
      <c r="AL644" s="408"/>
      <c r="AM644" s="408"/>
      <c r="AN644" s="408"/>
      <c r="AO644" s="408"/>
      <c r="AP644" s="408"/>
      <c r="AQ644" s="408"/>
      <c r="AR644" s="408"/>
      <c r="AS644" s="408"/>
      <c r="AT644" s="408"/>
      <c r="AU644" s="408"/>
      <c r="AV644" s="408"/>
      <c r="AW644" s="408"/>
      <c r="AX644" s="408"/>
      <c r="AY644" s="408"/>
      <c r="AZ644" s="408"/>
      <c r="BA644" s="408"/>
      <c r="BB644" s="408"/>
      <c r="BC644" s="408"/>
      <c r="BD644" s="408"/>
      <c r="BE644" s="408"/>
      <c r="BF644" s="408"/>
      <c r="BG644" s="408"/>
      <c r="BH644" s="408"/>
      <c r="BI644" s="408"/>
      <c r="BJ644" s="408"/>
      <c r="BK644" s="408"/>
      <c r="BL644" s="408"/>
      <c r="BM644" s="408"/>
      <c r="BN644" s="408"/>
      <c r="BO644" s="408"/>
      <c r="BP644" s="408"/>
      <c r="BQ644" s="408"/>
      <c r="BR644" s="408"/>
      <c r="BS644" s="408"/>
      <c r="BT644" s="408"/>
      <c r="BU644" s="408"/>
      <c r="BV644" s="408"/>
      <c r="BW644" s="408"/>
      <c r="BX644" s="408"/>
      <c r="BY644" s="408"/>
      <c r="BZ644" s="408"/>
      <c r="CA644" s="408"/>
      <c r="CB644" s="408"/>
      <c r="CC644" s="408"/>
      <c r="CD644" s="408"/>
      <c r="CE644" s="408"/>
      <c r="CF644" s="408"/>
      <c r="CG644" s="408"/>
      <c r="CH644" s="408"/>
      <c r="CI644" s="408"/>
      <c r="CJ644" s="408"/>
      <c r="CK644" s="408"/>
      <c r="CL644" s="408"/>
      <c r="CM644" s="408"/>
      <c r="CN644" s="408"/>
    </row>
    <row r="645">
      <c r="A645" s="408"/>
      <c r="B645" s="408"/>
      <c r="C645" s="408"/>
      <c r="D645" s="408"/>
      <c r="E645" s="408"/>
      <c r="F645" s="408"/>
      <c r="G645" s="408"/>
      <c r="H645" s="408"/>
      <c r="I645" s="408"/>
      <c r="J645" s="408"/>
      <c r="K645" s="408"/>
      <c r="L645" s="408"/>
      <c r="M645" s="408"/>
      <c r="N645" s="408"/>
      <c r="O645" s="408"/>
      <c r="P645" s="408"/>
      <c r="Q645" s="408"/>
      <c r="R645" s="408"/>
      <c r="S645" s="408"/>
      <c r="T645" s="408"/>
      <c r="U645" s="408"/>
      <c r="V645" s="408"/>
      <c r="W645" s="408"/>
      <c r="X645" s="408"/>
      <c r="Y645" s="408"/>
      <c r="Z645" s="408"/>
      <c r="AA645" s="408"/>
      <c r="AB645" s="408"/>
      <c r="AC645" s="408"/>
      <c r="AD645" s="408"/>
      <c r="AE645" s="408"/>
      <c r="AF645" s="408"/>
      <c r="AG645" s="408"/>
      <c r="AH645" s="408"/>
      <c r="AI645" s="408"/>
      <c r="AJ645" s="408"/>
      <c r="AK645" s="408"/>
      <c r="AL645" s="408"/>
      <c r="AM645" s="408"/>
      <c r="AN645" s="408"/>
      <c r="AO645" s="408"/>
      <c r="AP645" s="408"/>
      <c r="AQ645" s="408"/>
      <c r="AR645" s="408"/>
      <c r="AS645" s="408"/>
      <c r="AT645" s="408"/>
      <c r="AU645" s="408"/>
      <c r="AV645" s="408"/>
      <c r="AW645" s="408"/>
      <c r="AX645" s="408"/>
      <c r="AY645" s="408"/>
      <c r="AZ645" s="408"/>
      <c r="BA645" s="408"/>
      <c r="BB645" s="408"/>
      <c r="BC645" s="408"/>
      <c r="BD645" s="408"/>
      <c r="BE645" s="408"/>
      <c r="BF645" s="408"/>
      <c r="BG645" s="408"/>
      <c r="BH645" s="408"/>
      <c r="BI645" s="408"/>
      <c r="BJ645" s="408"/>
      <c r="BK645" s="408"/>
      <c r="BL645" s="408"/>
      <c r="BM645" s="408"/>
      <c r="BN645" s="408"/>
      <c r="BO645" s="408"/>
      <c r="BP645" s="408"/>
      <c r="BQ645" s="408"/>
      <c r="BR645" s="408"/>
      <c r="BS645" s="408"/>
      <c r="BT645" s="408"/>
      <c r="BU645" s="408"/>
      <c r="BV645" s="408"/>
      <c r="BW645" s="408"/>
      <c r="BX645" s="408"/>
      <c r="BY645" s="408"/>
      <c r="BZ645" s="408"/>
      <c r="CA645" s="408"/>
      <c r="CB645" s="408"/>
      <c r="CC645" s="408"/>
      <c r="CD645" s="408"/>
      <c r="CE645" s="408"/>
      <c r="CF645" s="408"/>
      <c r="CG645" s="408"/>
      <c r="CH645" s="408"/>
      <c r="CI645" s="408"/>
      <c r="CJ645" s="408"/>
      <c r="CK645" s="408"/>
      <c r="CL645" s="408"/>
      <c r="CM645" s="408"/>
      <c r="CN645" s="408"/>
    </row>
    <row r="646">
      <c r="A646" s="408"/>
      <c r="B646" s="408"/>
      <c r="C646" s="408"/>
      <c r="D646" s="408"/>
      <c r="E646" s="408"/>
      <c r="F646" s="408"/>
      <c r="G646" s="408"/>
      <c r="H646" s="408"/>
      <c r="I646" s="408"/>
      <c r="J646" s="408"/>
      <c r="K646" s="408"/>
      <c r="L646" s="408"/>
      <c r="M646" s="408"/>
      <c r="N646" s="408"/>
      <c r="O646" s="408"/>
      <c r="P646" s="408"/>
      <c r="Q646" s="408"/>
      <c r="R646" s="408"/>
      <c r="S646" s="408"/>
      <c r="T646" s="408"/>
      <c r="U646" s="408"/>
      <c r="V646" s="408"/>
      <c r="W646" s="408"/>
      <c r="X646" s="408"/>
      <c r="Y646" s="408"/>
      <c r="Z646" s="408"/>
      <c r="AA646" s="408"/>
      <c r="AB646" s="408"/>
      <c r="AC646" s="408"/>
      <c r="AD646" s="408"/>
      <c r="AE646" s="408"/>
      <c r="AF646" s="408"/>
      <c r="AG646" s="408"/>
      <c r="AH646" s="408"/>
      <c r="AI646" s="408"/>
      <c r="AJ646" s="408"/>
      <c r="AK646" s="408"/>
      <c r="AL646" s="408"/>
      <c r="AM646" s="408"/>
      <c r="AN646" s="408"/>
      <c r="AO646" s="408"/>
      <c r="AP646" s="408"/>
      <c r="AQ646" s="408"/>
      <c r="AR646" s="408"/>
      <c r="AS646" s="408"/>
      <c r="AT646" s="408"/>
      <c r="AU646" s="408"/>
      <c r="AV646" s="408"/>
      <c r="AW646" s="408"/>
      <c r="AX646" s="408"/>
      <c r="AY646" s="408"/>
      <c r="AZ646" s="408"/>
      <c r="BA646" s="408"/>
      <c r="BB646" s="408"/>
      <c r="BC646" s="408"/>
      <c r="BD646" s="408"/>
      <c r="BE646" s="408"/>
      <c r="BF646" s="408"/>
      <c r="BG646" s="408"/>
      <c r="BH646" s="408"/>
      <c r="BI646" s="408"/>
      <c r="BJ646" s="408"/>
      <c r="BK646" s="408"/>
      <c r="BL646" s="408"/>
      <c r="BM646" s="408"/>
      <c r="BN646" s="408"/>
      <c r="BO646" s="408"/>
      <c r="BP646" s="408"/>
      <c r="BQ646" s="408"/>
      <c r="BR646" s="408"/>
      <c r="BS646" s="408"/>
      <c r="BT646" s="408"/>
      <c r="BU646" s="408"/>
      <c r="BV646" s="408"/>
      <c r="BW646" s="408"/>
      <c r="BX646" s="408"/>
      <c r="BY646" s="408"/>
      <c r="BZ646" s="408"/>
      <c r="CA646" s="408"/>
      <c r="CB646" s="408"/>
      <c r="CC646" s="408"/>
      <c r="CD646" s="408"/>
      <c r="CE646" s="408"/>
      <c r="CF646" s="408"/>
      <c r="CG646" s="408"/>
      <c r="CH646" s="408"/>
      <c r="CI646" s="408"/>
      <c r="CJ646" s="408"/>
      <c r="CK646" s="408"/>
      <c r="CL646" s="408"/>
      <c r="CM646" s="408"/>
      <c r="CN646" s="408"/>
    </row>
    <row r="647">
      <c r="A647" s="408"/>
      <c r="B647" s="408"/>
      <c r="C647" s="408"/>
      <c r="D647" s="408"/>
      <c r="E647" s="408"/>
      <c r="F647" s="408"/>
      <c r="G647" s="408"/>
      <c r="H647" s="408"/>
      <c r="I647" s="408"/>
      <c r="J647" s="408"/>
      <c r="K647" s="408"/>
      <c r="L647" s="408"/>
      <c r="M647" s="408"/>
      <c r="N647" s="408"/>
      <c r="O647" s="408"/>
      <c r="P647" s="408"/>
      <c r="Q647" s="408"/>
      <c r="R647" s="408"/>
      <c r="S647" s="408"/>
      <c r="T647" s="408"/>
      <c r="U647" s="408"/>
      <c r="V647" s="408"/>
      <c r="W647" s="408"/>
      <c r="X647" s="408"/>
      <c r="Y647" s="408"/>
      <c r="Z647" s="408"/>
      <c r="AA647" s="408"/>
      <c r="AB647" s="408"/>
      <c r="AC647" s="408"/>
      <c r="AD647" s="408"/>
      <c r="AE647" s="408"/>
      <c r="AF647" s="408"/>
      <c r="AG647" s="408"/>
      <c r="AH647" s="408"/>
      <c r="AI647" s="408"/>
      <c r="AJ647" s="408"/>
      <c r="AK647" s="408"/>
      <c r="AL647" s="408"/>
      <c r="AM647" s="408"/>
      <c r="AN647" s="408"/>
      <c r="AO647" s="408"/>
      <c r="AP647" s="408"/>
      <c r="AQ647" s="408"/>
      <c r="AR647" s="408"/>
      <c r="AS647" s="408"/>
      <c r="AT647" s="408"/>
      <c r="AU647" s="408"/>
      <c r="AV647" s="408"/>
      <c r="AW647" s="408"/>
      <c r="AX647" s="408"/>
      <c r="AY647" s="408"/>
      <c r="AZ647" s="408"/>
      <c r="BA647" s="408"/>
      <c r="BB647" s="408"/>
      <c r="BC647" s="408"/>
      <c r="BD647" s="408"/>
      <c r="BE647" s="408"/>
      <c r="BF647" s="408"/>
      <c r="BG647" s="408"/>
      <c r="BH647" s="408"/>
      <c r="BI647" s="408"/>
      <c r="BJ647" s="408"/>
      <c r="BK647" s="408"/>
      <c r="BL647" s="408"/>
      <c r="BM647" s="408"/>
      <c r="BN647" s="408"/>
      <c r="BO647" s="408"/>
      <c r="BP647" s="408"/>
      <c r="BQ647" s="408"/>
      <c r="BR647" s="408"/>
      <c r="BS647" s="408"/>
      <c r="BT647" s="408"/>
      <c r="BU647" s="408"/>
      <c r="BV647" s="408"/>
      <c r="BW647" s="408"/>
      <c r="BX647" s="408"/>
      <c r="BY647" s="408"/>
      <c r="BZ647" s="408"/>
      <c r="CA647" s="408"/>
      <c r="CB647" s="408"/>
      <c r="CC647" s="408"/>
      <c r="CD647" s="408"/>
      <c r="CE647" s="408"/>
      <c r="CF647" s="408"/>
      <c r="CG647" s="408"/>
      <c r="CH647" s="408"/>
      <c r="CI647" s="408"/>
      <c r="CJ647" s="408"/>
      <c r="CK647" s="408"/>
      <c r="CL647" s="408"/>
      <c r="CM647" s="408"/>
      <c r="CN647" s="408"/>
    </row>
    <row r="648">
      <c r="A648" s="408"/>
      <c r="B648" s="408"/>
      <c r="C648" s="408"/>
      <c r="D648" s="408"/>
      <c r="E648" s="408"/>
      <c r="F648" s="408"/>
      <c r="G648" s="408"/>
      <c r="H648" s="408"/>
      <c r="I648" s="408"/>
      <c r="J648" s="408"/>
      <c r="K648" s="408"/>
      <c r="L648" s="408"/>
      <c r="M648" s="408"/>
      <c r="N648" s="408"/>
      <c r="O648" s="408"/>
      <c r="P648" s="408"/>
      <c r="Q648" s="408"/>
      <c r="R648" s="408"/>
      <c r="S648" s="408"/>
      <c r="T648" s="408"/>
      <c r="U648" s="408"/>
      <c r="V648" s="408"/>
      <c r="W648" s="408"/>
      <c r="X648" s="408"/>
      <c r="Y648" s="408"/>
      <c r="Z648" s="408"/>
      <c r="AA648" s="408"/>
      <c r="AB648" s="408"/>
      <c r="AC648" s="408"/>
      <c r="AD648" s="408"/>
      <c r="AE648" s="408"/>
      <c r="AF648" s="408"/>
      <c r="AG648" s="408"/>
      <c r="AH648" s="408"/>
      <c r="AI648" s="408"/>
      <c r="AJ648" s="408"/>
      <c r="AK648" s="408"/>
      <c r="AL648" s="408"/>
      <c r="AM648" s="408"/>
      <c r="AN648" s="408"/>
      <c r="AO648" s="408"/>
      <c r="AP648" s="408"/>
      <c r="AQ648" s="408"/>
      <c r="AR648" s="408"/>
      <c r="AS648" s="408"/>
      <c r="AT648" s="408"/>
      <c r="AU648" s="408"/>
      <c r="AV648" s="408"/>
      <c r="AW648" s="408"/>
      <c r="AX648" s="408"/>
      <c r="AY648" s="408"/>
      <c r="AZ648" s="408"/>
      <c r="BA648" s="408"/>
      <c r="BB648" s="408"/>
      <c r="BC648" s="408"/>
      <c r="BD648" s="408"/>
      <c r="BE648" s="408"/>
      <c r="BF648" s="408"/>
      <c r="BG648" s="408"/>
      <c r="BH648" s="408"/>
      <c r="BI648" s="408"/>
      <c r="BJ648" s="408"/>
      <c r="BK648" s="408"/>
      <c r="BL648" s="408"/>
      <c r="BM648" s="408"/>
      <c r="BN648" s="408"/>
      <c r="BO648" s="408"/>
      <c r="BP648" s="408"/>
      <c r="BQ648" s="408"/>
      <c r="BR648" s="408"/>
      <c r="BS648" s="408"/>
      <c r="BT648" s="408"/>
      <c r="BU648" s="408"/>
      <c r="BV648" s="408"/>
      <c r="BW648" s="408"/>
      <c r="BX648" s="408"/>
      <c r="BY648" s="408"/>
      <c r="BZ648" s="408"/>
      <c r="CA648" s="408"/>
      <c r="CB648" s="408"/>
      <c r="CC648" s="408"/>
      <c r="CD648" s="408"/>
      <c r="CE648" s="408"/>
      <c r="CF648" s="408"/>
      <c r="CG648" s="408"/>
      <c r="CH648" s="408"/>
      <c r="CI648" s="408"/>
      <c r="CJ648" s="408"/>
      <c r="CK648" s="408"/>
      <c r="CL648" s="408"/>
      <c r="CM648" s="408"/>
      <c r="CN648" s="408"/>
    </row>
    <row r="649">
      <c r="A649" s="408"/>
      <c r="B649" s="408"/>
      <c r="C649" s="408"/>
      <c r="D649" s="408"/>
      <c r="E649" s="408"/>
      <c r="F649" s="408"/>
      <c r="G649" s="408"/>
      <c r="H649" s="408"/>
      <c r="I649" s="408"/>
      <c r="J649" s="408"/>
      <c r="K649" s="408"/>
      <c r="L649" s="408"/>
      <c r="M649" s="408"/>
      <c r="N649" s="408"/>
      <c r="O649" s="408"/>
      <c r="P649" s="408"/>
      <c r="Q649" s="408"/>
      <c r="R649" s="408"/>
      <c r="S649" s="408"/>
      <c r="T649" s="408"/>
      <c r="U649" s="408"/>
      <c r="V649" s="408"/>
      <c r="W649" s="408"/>
      <c r="X649" s="408"/>
      <c r="Y649" s="408"/>
      <c r="Z649" s="408"/>
      <c r="AA649" s="408"/>
      <c r="AB649" s="408"/>
      <c r="AC649" s="408"/>
      <c r="AD649" s="408"/>
      <c r="AE649" s="408"/>
      <c r="AF649" s="408"/>
      <c r="AG649" s="408"/>
      <c r="AH649" s="408"/>
      <c r="AI649" s="408"/>
      <c r="AJ649" s="408"/>
      <c r="AK649" s="408"/>
      <c r="AL649" s="408"/>
      <c r="AM649" s="408"/>
      <c r="AN649" s="408"/>
      <c r="AO649" s="408"/>
      <c r="AP649" s="408"/>
      <c r="AQ649" s="408"/>
      <c r="AR649" s="408"/>
      <c r="AS649" s="408"/>
      <c r="AT649" s="408"/>
      <c r="AU649" s="408"/>
      <c r="AV649" s="408"/>
      <c r="AW649" s="408"/>
      <c r="AX649" s="408"/>
      <c r="AY649" s="408"/>
      <c r="AZ649" s="408"/>
      <c r="BA649" s="408"/>
      <c r="BB649" s="408"/>
      <c r="BC649" s="408"/>
      <c r="BD649" s="408"/>
      <c r="BE649" s="408"/>
      <c r="BF649" s="408"/>
      <c r="BG649" s="408"/>
      <c r="BH649" s="408"/>
      <c r="BI649" s="408"/>
      <c r="BJ649" s="408"/>
      <c r="BK649" s="408"/>
      <c r="BL649" s="408"/>
      <c r="BM649" s="408"/>
      <c r="BN649" s="408"/>
      <c r="BO649" s="408"/>
      <c r="BP649" s="408"/>
      <c r="BQ649" s="408"/>
      <c r="BR649" s="408"/>
      <c r="BS649" s="408"/>
      <c r="BT649" s="408"/>
      <c r="BU649" s="408"/>
      <c r="BV649" s="408"/>
      <c r="BW649" s="408"/>
      <c r="BX649" s="408"/>
      <c r="BY649" s="408"/>
      <c r="BZ649" s="408"/>
      <c r="CA649" s="408"/>
      <c r="CB649" s="408"/>
      <c r="CC649" s="408"/>
      <c r="CD649" s="408"/>
      <c r="CE649" s="408"/>
      <c r="CF649" s="408"/>
      <c r="CG649" s="408"/>
      <c r="CH649" s="408"/>
      <c r="CI649" s="408"/>
      <c r="CJ649" s="408"/>
      <c r="CK649" s="408"/>
      <c r="CL649" s="408"/>
      <c r="CM649" s="408"/>
      <c r="CN649" s="408"/>
    </row>
    <row r="650">
      <c r="A650" s="408"/>
      <c r="B650" s="408"/>
      <c r="C650" s="408"/>
      <c r="D650" s="408"/>
      <c r="E650" s="408"/>
      <c r="F650" s="408"/>
      <c r="G650" s="408"/>
      <c r="H650" s="408"/>
      <c r="I650" s="408"/>
      <c r="J650" s="408"/>
      <c r="K650" s="408"/>
      <c r="L650" s="408"/>
      <c r="M650" s="408"/>
      <c r="N650" s="408"/>
      <c r="O650" s="408"/>
      <c r="P650" s="408"/>
      <c r="Q650" s="408"/>
      <c r="R650" s="408"/>
      <c r="S650" s="408"/>
      <c r="T650" s="408"/>
      <c r="U650" s="408"/>
      <c r="V650" s="408"/>
      <c r="W650" s="408"/>
      <c r="X650" s="408"/>
      <c r="Y650" s="408"/>
      <c r="Z650" s="408"/>
      <c r="AA650" s="408"/>
      <c r="AB650" s="408"/>
      <c r="AC650" s="408"/>
      <c r="AD650" s="408"/>
      <c r="AE650" s="408"/>
      <c r="AF650" s="408"/>
      <c r="AG650" s="408"/>
      <c r="AH650" s="408"/>
      <c r="AI650" s="408"/>
      <c r="AJ650" s="408"/>
      <c r="AK650" s="408"/>
      <c r="AL650" s="408"/>
      <c r="AM650" s="408"/>
      <c r="AN650" s="408"/>
      <c r="AO650" s="408"/>
      <c r="AP650" s="408"/>
      <c r="AQ650" s="408"/>
      <c r="AR650" s="408"/>
      <c r="AS650" s="408"/>
      <c r="AT650" s="408"/>
      <c r="AU650" s="408"/>
      <c r="AV650" s="408"/>
      <c r="AW650" s="408"/>
      <c r="AX650" s="408"/>
      <c r="AY650" s="408"/>
      <c r="AZ650" s="408"/>
      <c r="BA650" s="408"/>
      <c r="BB650" s="408"/>
      <c r="BC650" s="408"/>
      <c r="BD650" s="408"/>
      <c r="BE650" s="408"/>
      <c r="BF650" s="408"/>
      <c r="BG650" s="408"/>
      <c r="BH650" s="408"/>
      <c r="BI650" s="408"/>
      <c r="BJ650" s="408"/>
      <c r="BK650" s="408"/>
      <c r="BL650" s="408"/>
      <c r="BM650" s="408"/>
      <c r="BN650" s="408"/>
      <c r="BO650" s="408"/>
      <c r="BP650" s="408"/>
      <c r="BQ650" s="408"/>
      <c r="BR650" s="408"/>
      <c r="BS650" s="408"/>
      <c r="BT650" s="408"/>
      <c r="BU650" s="408"/>
      <c r="BV650" s="408"/>
      <c r="BW650" s="408"/>
      <c r="BX650" s="408"/>
      <c r="BY650" s="408"/>
      <c r="BZ650" s="408"/>
      <c r="CA650" s="408"/>
      <c r="CB650" s="408"/>
      <c r="CC650" s="408"/>
      <c r="CD650" s="408"/>
      <c r="CE650" s="408"/>
      <c r="CF650" s="408"/>
      <c r="CG650" s="408"/>
      <c r="CH650" s="408"/>
      <c r="CI650" s="408"/>
      <c r="CJ650" s="408"/>
      <c r="CK650" s="408"/>
      <c r="CL650" s="408"/>
      <c r="CM650" s="408"/>
      <c r="CN650" s="408"/>
    </row>
    <row r="651">
      <c r="A651" s="408"/>
      <c r="B651" s="408"/>
      <c r="C651" s="408"/>
      <c r="D651" s="408"/>
      <c r="E651" s="408"/>
      <c r="F651" s="408"/>
      <c r="G651" s="408"/>
      <c r="H651" s="408"/>
      <c r="I651" s="408"/>
      <c r="J651" s="408"/>
      <c r="K651" s="408"/>
      <c r="L651" s="408"/>
      <c r="M651" s="408"/>
      <c r="N651" s="408"/>
      <c r="O651" s="408"/>
      <c r="P651" s="408"/>
      <c r="Q651" s="408"/>
      <c r="R651" s="408"/>
      <c r="S651" s="408"/>
      <c r="T651" s="408"/>
      <c r="U651" s="408"/>
      <c r="V651" s="408"/>
      <c r="W651" s="408"/>
      <c r="X651" s="408"/>
      <c r="Y651" s="408"/>
      <c r="Z651" s="408"/>
      <c r="AA651" s="408"/>
      <c r="AB651" s="408"/>
      <c r="AC651" s="408"/>
      <c r="AD651" s="408"/>
      <c r="AE651" s="408"/>
      <c r="AF651" s="408"/>
      <c r="AG651" s="408"/>
      <c r="AH651" s="408"/>
      <c r="AI651" s="408"/>
      <c r="AJ651" s="408"/>
      <c r="AK651" s="408"/>
      <c r="AL651" s="408"/>
      <c r="AM651" s="408"/>
      <c r="AN651" s="408"/>
      <c r="AO651" s="408"/>
      <c r="AP651" s="408"/>
      <c r="AQ651" s="408"/>
      <c r="AR651" s="408"/>
      <c r="AS651" s="408"/>
      <c r="AT651" s="408"/>
      <c r="AU651" s="408"/>
      <c r="AV651" s="408"/>
      <c r="AW651" s="408"/>
      <c r="AX651" s="408"/>
      <c r="AY651" s="408"/>
      <c r="AZ651" s="408"/>
      <c r="BA651" s="408"/>
      <c r="BB651" s="408"/>
      <c r="BC651" s="408"/>
      <c r="BD651" s="408"/>
      <c r="BE651" s="408"/>
      <c r="BF651" s="408"/>
      <c r="BG651" s="408"/>
      <c r="BH651" s="408"/>
      <c r="BI651" s="408"/>
      <c r="BJ651" s="408"/>
      <c r="BK651" s="408"/>
      <c r="BL651" s="408"/>
      <c r="BM651" s="408"/>
      <c r="BN651" s="408"/>
      <c r="BO651" s="408"/>
      <c r="BP651" s="408"/>
      <c r="BQ651" s="408"/>
      <c r="BR651" s="408"/>
      <c r="BS651" s="408"/>
      <c r="BT651" s="408"/>
      <c r="BU651" s="408"/>
      <c r="BV651" s="408"/>
      <c r="BW651" s="408"/>
      <c r="BX651" s="408"/>
      <c r="BY651" s="408"/>
      <c r="BZ651" s="408"/>
      <c r="CA651" s="408"/>
      <c r="CB651" s="408"/>
      <c r="CC651" s="408"/>
      <c r="CD651" s="408"/>
      <c r="CE651" s="408"/>
      <c r="CF651" s="408"/>
      <c r="CG651" s="408"/>
      <c r="CH651" s="408"/>
      <c r="CI651" s="408"/>
      <c r="CJ651" s="408"/>
      <c r="CK651" s="408"/>
      <c r="CL651" s="408"/>
      <c r="CM651" s="408"/>
      <c r="CN651" s="408"/>
    </row>
    <row r="652">
      <c r="A652" s="408"/>
      <c r="B652" s="408"/>
      <c r="C652" s="408"/>
      <c r="D652" s="408"/>
      <c r="E652" s="408"/>
      <c r="F652" s="408"/>
      <c r="G652" s="408"/>
      <c r="H652" s="408"/>
      <c r="I652" s="408"/>
      <c r="J652" s="408"/>
      <c r="K652" s="408"/>
      <c r="L652" s="408"/>
      <c r="M652" s="408"/>
      <c r="N652" s="408"/>
      <c r="O652" s="408"/>
      <c r="P652" s="408"/>
      <c r="Q652" s="408"/>
      <c r="R652" s="408"/>
      <c r="S652" s="408"/>
      <c r="T652" s="408"/>
      <c r="U652" s="408"/>
      <c r="V652" s="408"/>
      <c r="W652" s="408"/>
      <c r="X652" s="408"/>
      <c r="Y652" s="408"/>
      <c r="Z652" s="408"/>
      <c r="AA652" s="408"/>
      <c r="AB652" s="408"/>
      <c r="AC652" s="408"/>
      <c r="AD652" s="408"/>
      <c r="AE652" s="408"/>
      <c r="AF652" s="408"/>
      <c r="AG652" s="408"/>
      <c r="AH652" s="408"/>
      <c r="AI652" s="408"/>
      <c r="AJ652" s="408"/>
      <c r="AK652" s="408"/>
      <c r="AL652" s="408"/>
      <c r="AM652" s="408"/>
      <c r="AN652" s="408"/>
      <c r="AO652" s="408"/>
      <c r="AP652" s="408"/>
      <c r="AQ652" s="408"/>
      <c r="AR652" s="408"/>
      <c r="AS652" s="408"/>
      <c r="AT652" s="408"/>
      <c r="AU652" s="408"/>
      <c r="AV652" s="408"/>
      <c r="AW652" s="408"/>
      <c r="AX652" s="408"/>
      <c r="AY652" s="408"/>
      <c r="AZ652" s="408"/>
      <c r="BA652" s="408"/>
      <c r="BB652" s="408"/>
      <c r="BC652" s="408"/>
      <c r="BD652" s="408"/>
      <c r="BE652" s="408"/>
      <c r="BF652" s="408"/>
      <c r="BG652" s="408"/>
      <c r="BH652" s="408"/>
      <c r="BI652" s="408"/>
      <c r="BJ652" s="408"/>
      <c r="BK652" s="408"/>
      <c r="BL652" s="408"/>
      <c r="BM652" s="408"/>
      <c r="BN652" s="408"/>
      <c r="BO652" s="408"/>
      <c r="BP652" s="408"/>
      <c r="BQ652" s="408"/>
      <c r="BR652" s="408"/>
      <c r="BS652" s="408"/>
      <c r="BT652" s="408"/>
      <c r="BU652" s="408"/>
      <c r="BV652" s="408"/>
      <c r="BW652" s="408"/>
      <c r="BX652" s="408"/>
      <c r="BY652" s="408"/>
      <c r="BZ652" s="408"/>
      <c r="CA652" s="408"/>
      <c r="CB652" s="408"/>
      <c r="CC652" s="408"/>
      <c r="CD652" s="408"/>
      <c r="CE652" s="408"/>
      <c r="CF652" s="408"/>
      <c r="CG652" s="408"/>
      <c r="CH652" s="408"/>
      <c r="CI652" s="408"/>
      <c r="CJ652" s="408"/>
      <c r="CK652" s="408"/>
      <c r="CL652" s="408"/>
      <c r="CM652" s="408"/>
      <c r="CN652" s="408"/>
    </row>
    <row r="653">
      <c r="A653" s="408"/>
      <c r="B653" s="408"/>
      <c r="C653" s="408"/>
      <c r="D653" s="408"/>
      <c r="E653" s="408"/>
      <c r="F653" s="408"/>
      <c r="G653" s="408"/>
      <c r="H653" s="408"/>
      <c r="I653" s="408"/>
      <c r="J653" s="408"/>
      <c r="K653" s="408"/>
      <c r="L653" s="408"/>
      <c r="M653" s="408"/>
      <c r="N653" s="408"/>
      <c r="O653" s="408"/>
      <c r="P653" s="408"/>
      <c r="Q653" s="408"/>
      <c r="R653" s="408"/>
      <c r="S653" s="408"/>
      <c r="T653" s="408"/>
      <c r="U653" s="408"/>
      <c r="V653" s="408"/>
      <c r="W653" s="408"/>
      <c r="X653" s="408"/>
      <c r="Y653" s="408"/>
      <c r="Z653" s="408"/>
      <c r="AA653" s="408"/>
      <c r="AB653" s="408"/>
      <c r="AC653" s="408"/>
      <c r="AD653" s="408"/>
      <c r="AE653" s="408"/>
      <c r="AF653" s="408"/>
      <c r="AG653" s="408"/>
      <c r="AH653" s="408"/>
      <c r="AI653" s="408"/>
      <c r="AJ653" s="408"/>
      <c r="AK653" s="408"/>
      <c r="AL653" s="408"/>
      <c r="AM653" s="408"/>
      <c r="AN653" s="408"/>
      <c r="AO653" s="408"/>
      <c r="AP653" s="408"/>
      <c r="AQ653" s="408"/>
      <c r="AR653" s="408"/>
      <c r="AS653" s="408"/>
      <c r="AT653" s="408"/>
      <c r="AU653" s="408"/>
      <c r="AV653" s="408"/>
      <c r="AW653" s="408"/>
      <c r="AX653" s="408"/>
      <c r="AY653" s="408"/>
      <c r="AZ653" s="408"/>
      <c r="BA653" s="408"/>
      <c r="BB653" s="408"/>
      <c r="BC653" s="408"/>
      <c r="BD653" s="408"/>
      <c r="BE653" s="408"/>
      <c r="BF653" s="408"/>
      <c r="BG653" s="408"/>
      <c r="BH653" s="408"/>
      <c r="BI653" s="408"/>
      <c r="BJ653" s="408"/>
      <c r="BK653" s="408"/>
      <c r="BL653" s="408"/>
      <c r="BM653" s="408"/>
      <c r="BN653" s="408"/>
      <c r="BO653" s="408"/>
      <c r="BP653" s="408"/>
      <c r="BQ653" s="408"/>
      <c r="BR653" s="408"/>
      <c r="BS653" s="408"/>
      <c r="BT653" s="408"/>
      <c r="BU653" s="408"/>
      <c r="BV653" s="408"/>
      <c r="BW653" s="408"/>
      <c r="BX653" s="408"/>
      <c r="BY653" s="408"/>
      <c r="BZ653" s="408"/>
      <c r="CA653" s="408"/>
      <c r="CB653" s="408"/>
      <c r="CC653" s="408"/>
      <c r="CD653" s="408"/>
      <c r="CE653" s="408"/>
      <c r="CF653" s="408"/>
      <c r="CG653" s="408"/>
      <c r="CH653" s="408"/>
      <c r="CI653" s="408"/>
      <c r="CJ653" s="408"/>
      <c r="CK653" s="408"/>
      <c r="CL653" s="408"/>
      <c r="CM653" s="408"/>
      <c r="CN653" s="408"/>
    </row>
    <row r="654">
      <c r="A654" s="408"/>
      <c r="B654" s="408"/>
      <c r="C654" s="408"/>
      <c r="D654" s="408"/>
      <c r="E654" s="408"/>
      <c r="F654" s="408"/>
      <c r="G654" s="408"/>
      <c r="H654" s="408"/>
      <c r="I654" s="408"/>
      <c r="J654" s="408"/>
      <c r="K654" s="408"/>
      <c r="L654" s="408"/>
      <c r="M654" s="408"/>
      <c r="N654" s="408"/>
      <c r="O654" s="408"/>
      <c r="P654" s="408"/>
      <c r="Q654" s="408"/>
      <c r="R654" s="408"/>
      <c r="S654" s="408"/>
      <c r="T654" s="408"/>
      <c r="U654" s="408"/>
      <c r="V654" s="408"/>
      <c r="W654" s="408"/>
      <c r="X654" s="408"/>
      <c r="Y654" s="408"/>
      <c r="Z654" s="408"/>
      <c r="AA654" s="408"/>
      <c r="AB654" s="408"/>
      <c r="AC654" s="408"/>
      <c r="AD654" s="408"/>
      <c r="AE654" s="408"/>
      <c r="AF654" s="408"/>
      <c r="AG654" s="408"/>
      <c r="AH654" s="408"/>
      <c r="AI654" s="408"/>
      <c r="AJ654" s="408"/>
      <c r="AK654" s="408"/>
      <c r="AL654" s="408"/>
      <c r="AM654" s="408"/>
      <c r="AN654" s="408"/>
      <c r="AO654" s="408"/>
      <c r="AP654" s="408"/>
      <c r="AQ654" s="408"/>
      <c r="AR654" s="408"/>
      <c r="AS654" s="408"/>
      <c r="AT654" s="408"/>
      <c r="AU654" s="408"/>
      <c r="AV654" s="408"/>
      <c r="AW654" s="408"/>
      <c r="AX654" s="408"/>
      <c r="AY654" s="408"/>
      <c r="AZ654" s="408"/>
      <c r="BA654" s="408"/>
      <c r="BB654" s="408"/>
      <c r="BC654" s="408"/>
      <c r="BD654" s="408"/>
      <c r="BE654" s="408"/>
      <c r="BF654" s="408"/>
      <c r="BG654" s="408"/>
      <c r="BH654" s="408"/>
      <c r="BI654" s="408"/>
      <c r="BJ654" s="408"/>
      <c r="BK654" s="408"/>
      <c r="BL654" s="408"/>
      <c r="BM654" s="408"/>
      <c r="BN654" s="408"/>
      <c r="BO654" s="408"/>
      <c r="BP654" s="408"/>
      <c r="BQ654" s="408"/>
      <c r="BR654" s="408"/>
      <c r="BS654" s="408"/>
      <c r="BT654" s="408"/>
      <c r="BU654" s="408"/>
      <c r="BV654" s="408"/>
      <c r="BW654" s="408"/>
      <c r="BX654" s="408"/>
      <c r="BY654" s="408"/>
      <c r="BZ654" s="408"/>
      <c r="CA654" s="408"/>
      <c r="CB654" s="408"/>
      <c r="CC654" s="408"/>
      <c r="CD654" s="408"/>
      <c r="CE654" s="408"/>
      <c r="CF654" s="408"/>
      <c r="CG654" s="408"/>
      <c r="CH654" s="408"/>
      <c r="CI654" s="408"/>
      <c r="CJ654" s="408"/>
      <c r="CK654" s="408"/>
      <c r="CL654" s="408"/>
      <c r="CM654" s="408"/>
      <c r="CN654" s="408"/>
    </row>
    <row r="655">
      <c r="A655" s="408"/>
      <c r="B655" s="408"/>
      <c r="C655" s="408"/>
      <c r="D655" s="408"/>
      <c r="E655" s="408"/>
      <c r="F655" s="408"/>
      <c r="G655" s="408"/>
      <c r="H655" s="408"/>
      <c r="I655" s="408"/>
      <c r="J655" s="408"/>
      <c r="K655" s="408"/>
      <c r="L655" s="408"/>
      <c r="M655" s="408"/>
      <c r="N655" s="408"/>
      <c r="O655" s="408"/>
      <c r="P655" s="408"/>
      <c r="Q655" s="408"/>
      <c r="R655" s="408"/>
      <c r="S655" s="408"/>
      <c r="T655" s="408"/>
      <c r="U655" s="408"/>
      <c r="V655" s="408"/>
      <c r="W655" s="408"/>
      <c r="X655" s="408"/>
      <c r="Y655" s="408"/>
      <c r="Z655" s="408"/>
      <c r="AA655" s="408"/>
      <c r="AB655" s="408"/>
      <c r="AC655" s="408"/>
      <c r="AD655" s="408"/>
      <c r="AE655" s="408"/>
      <c r="AF655" s="408"/>
      <c r="AG655" s="408"/>
      <c r="AH655" s="408"/>
      <c r="AI655" s="408"/>
      <c r="AJ655" s="408"/>
      <c r="AK655" s="408"/>
      <c r="AL655" s="408"/>
      <c r="AM655" s="408"/>
      <c r="AN655" s="408"/>
      <c r="AO655" s="408"/>
      <c r="AP655" s="408"/>
      <c r="AQ655" s="408"/>
      <c r="AR655" s="408"/>
      <c r="AS655" s="408"/>
      <c r="AT655" s="408"/>
      <c r="AU655" s="408"/>
      <c r="AV655" s="408"/>
      <c r="AW655" s="408"/>
      <c r="AX655" s="408"/>
      <c r="AY655" s="408"/>
      <c r="AZ655" s="408"/>
      <c r="BA655" s="408"/>
      <c r="BB655" s="408"/>
      <c r="BC655" s="408"/>
      <c r="BD655" s="408"/>
      <c r="BE655" s="408"/>
      <c r="BF655" s="408"/>
      <c r="BG655" s="408"/>
      <c r="BH655" s="408"/>
      <c r="BI655" s="408"/>
      <c r="BJ655" s="408"/>
      <c r="BK655" s="408"/>
      <c r="BL655" s="408"/>
      <c r="BM655" s="408"/>
      <c r="BN655" s="408"/>
      <c r="BO655" s="408"/>
      <c r="BP655" s="408"/>
      <c r="BQ655" s="408"/>
      <c r="BR655" s="408"/>
      <c r="BS655" s="408"/>
      <c r="BT655" s="408"/>
      <c r="BU655" s="408"/>
      <c r="BV655" s="408"/>
      <c r="BW655" s="408"/>
      <c r="BX655" s="408"/>
      <c r="BY655" s="408"/>
      <c r="BZ655" s="408"/>
      <c r="CA655" s="408"/>
      <c r="CB655" s="408"/>
      <c r="CC655" s="408"/>
      <c r="CD655" s="408"/>
      <c r="CE655" s="408"/>
      <c r="CF655" s="408"/>
      <c r="CG655" s="408"/>
      <c r="CH655" s="408"/>
      <c r="CI655" s="408"/>
      <c r="CJ655" s="408"/>
      <c r="CK655" s="408"/>
      <c r="CL655" s="408"/>
      <c r="CM655" s="408"/>
      <c r="CN655" s="408"/>
    </row>
    <row r="656">
      <c r="A656" s="408"/>
      <c r="B656" s="408"/>
      <c r="C656" s="408"/>
      <c r="D656" s="408"/>
      <c r="E656" s="408"/>
      <c r="F656" s="408"/>
      <c r="G656" s="408"/>
      <c r="H656" s="408"/>
      <c r="I656" s="408"/>
      <c r="J656" s="408"/>
      <c r="K656" s="408"/>
      <c r="L656" s="408"/>
      <c r="M656" s="408"/>
      <c r="N656" s="408"/>
      <c r="O656" s="408"/>
      <c r="P656" s="408"/>
      <c r="Q656" s="408"/>
      <c r="R656" s="408"/>
      <c r="S656" s="408"/>
      <c r="T656" s="408"/>
      <c r="U656" s="408"/>
      <c r="V656" s="408"/>
      <c r="W656" s="408"/>
      <c r="X656" s="408"/>
      <c r="Y656" s="408"/>
      <c r="Z656" s="408"/>
      <c r="AA656" s="408"/>
      <c r="AB656" s="408"/>
      <c r="AC656" s="408"/>
      <c r="AD656" s="408"/>
      <c r="AE656" s="408"/>
      <c r="AF656" s="408"/>
      <c r="AG656" s="408"/>
      <c r="AH656" s="408"/>
      <c r="AI656" s="408"/>
      <c r="AJ656" s="408"/>
      <c r="AK656" s="408"/>
      <c r="AL656" s="408"/>
      <c r="AM656" s="408"/>
      <c r="AN656" s="408"/>
      <c r="AO656" s="408"/>
      <c r="AP656" s="408"/>
      <c r="AQ656" s="408"/>
      <c r="AR656" s="408"/>
      <c r="AS656" s="408"/>
      <c r="AT656" s="408"/>
      <c r="AU656" s="408"/>
      <c r="AV656" s="408"/>
      <c r="AW656" s="408"/>
      <c r="AX656" s="408"/>
      <c r="AY656" s="408"/>
      <c r="AZ656" s="408"/>
      <c r="BA656" s="408"/>
      <c r="BB656" s="408"/>
      <c r="BC656" s="408"/>
      <c r="BD656" s="408"/>
      <c r="BE656" s="408"/>
      <c r="BF656" s="408"/>
      <c r="BG656" s="408"/>
      <c r="BH656" s="408"/>
      <c r="BI656" s="408"/>
      <c r="BJ656" s="408"/>
      <c r="BK656" s="408"/>
      <c r="BL656" s="408"/>
      <c r="BM656" s="408"/>
      <c r="BN656" s="408"/>
      <c r="BO656" s="408"/>
      <c r="BP656" s="408"/>
      <c r="BQ656" s="408"/>
      <c r="BR656" s="408"/>
      <c r="BS656" s="408"/>
      <c r="BT656" s="408"/>
      <c r="BU656" s="408"/>
      <c r="BV656" s="408"/>
      <c r="BW656" s="408"/>
      <c r="BX656" s="408"/>
      <c r="BY656" s="408"/>
      <c r="BZ656" s="408"/>
      <c r="CA656" s="408"/>
      <c r="CB656" s="408"/>
      <c r="CC656" s="408"/>
      <c r="CD656" s="408"/>
      <c r="CE656" s="408"/>
      <c r="CF656" s="408"/>
      <c r="CG656" s="408"/>
      <c r="CH656" s="408"/>
      <c r="CI656" s="408"/>
      <c r="CJ656" s="408"/>
      <c r="CK656" s="408"/>
      <c r="CL656" s="408"/>
      <c r="CM656" s="408"/>
      <c r="CN656" s="408"/>
    </row>
    <row r="657">
      <c r="A657" s="408"/>
      <c r="B657" s="408"/>
      <c r="C657" s="408"/>
      <c r="D657" s="408"/>
      <c r="E657" s="408"/>
      <c r="F657" s="408"/>
      <c r="G657" s="408"/>
      <c r="H657" s="408"/>
      <c r="I657" s="408"/>
      <c r="J657" s="408"/>
      <c r="K657" s="408"/>
      <c r="L657" s="408"/>
      <c r="M657" s="408"/>
      <c r="N657" s="408"/>
      <c r="O657" s="408"/>
      <c r="P657" s="408"/>
      <c r="Q657" s="408"/>
      <c r="R657" s="408"/>
      <c r="S657" s="408"/>
      <c r="T657" s="408"/>
      <c r="U657" s="408"/>
      <c r="V657" s="408"/>
      <c r="W657" s="408"/>
      <c r="X657" s="408"/>
      <c r="Y657" s="408"/>
      <c r="Z657" s="408"/>
      <c r="AA657" s="408"/>
      <c r="AB657" s="408"/>
      <c r="AC657" s="408"/>
      <c r="AD657" s="408"/>
      <c r="AE657" s="408"/>
      <c r="AF657" s="408"/>
      <c r="AG657" s="408"/>
      <c r="AH657" s="408"/>
      <c r="AI657" s="408"/>
      <c r="AJ657" s="408"/>
      <c r="AK657" s="408"/>
      <c r="AL657" s="408"/>
      <c r="AM657" s="408"/>
      <c r="AN657" s="408"/>
      <c r="AO657" s="408"/>
      <c r="AP657" s="408"/>
      <c r="AQ657" s="408"/>
      <c r="AR657" s="408"/>
      <c r="AS657" s="408"/>
      <c r="AT657" s="408"/>
      <c r="AU657" s="408"/>
      <c r="AV657" s="408"/>
      <c r="AW657" s="408"/>
      <c r="AX657" s="408"/>
      <c r="AY657" s="408"/>
      <c r="AZ657" s="408"/>
      <c r="BA657" s="408"/>
      <c r="BB657" s="408"/>
      <c r="BC657" s="408"/>
      <c r="BD657" s="408"/>
      <c r="BE657" s="408"/>
      <c r="BF657" s="408"/>
      <c r="BG657" s="408"/>
      <c r="BH657" s="408"/>
      <c r="BI657" s="408"/>
      <c r="BJ657" s="408"/>
      <c r="BK657" s="408"/>
      <c r="BL657" s="408"/>
      <c r="BM657" s="408"/>
      <c r="BN657" s="408"/>
      <c r="BO657" s="408"/>
      <c r="BP657" s="408"/>
      <c r="BQ657" s="408"/>
      <c r="BR657" s="408"/>
      <c r="BS657" s="408"/>
      <c r="BT657" s="408"/>
      <c r="BU657" s="408"/>
      <c r="BV657" s="408"/>
      <c r="BW657" s="408"/>
      <c r="BX657" s="408"/>
      <c r="BY657" s="408"/>
      <c r="BZ657" s="408"/>
      <c r="CA657" s="408"/>
      <c r="CB657" s="408"/>
      <c r="CC657" s="408"/>
      <c r="CD657" s="408"/>
      <c r="CE657" s="408"/>
      <c r="CF657" s="408"/>
      <c r="CG657" s="408"/>
      <c r="CH657" s="408"/>
      <c r="CI657" s="408"/>
      <c r="CJ657" s="408"/>
      <c r="CK657" s="408"/>
      <c r="CL657" s="408"/>
      <c r="CM657" s="408"/>
      <c r="CN657" s="408"/>
    </row>
    <row r="658">
      <c r="A658" s="408"/>
      <c r="B658" s="408"/>
      <c r="C658" s="408"/>
      <c r="D658" s="408"/>
      <c r="E658" s="408"/>
      <c r="F658" s="408"/>
      <c r="G658" s="408"/>
      <c r="H658" s="408"/>
      <c r="I658" s="408"/>
      <c r="J658" s="408"/>
      <c r="K658" s="408"/>
      <c r="L658" s="408"/>
      <c r="M658" s="408"/>
      <c r="N658" s="408"/>
      <c r="O658" s="408"/>
      <c r="P658" s="408"/>
      <c r="Q658" s="408"/>
      <c r="R658" s="408"/>
      <c r="S658" s="408"/>
      <c r="T658" s="408"/>
      <c r="U658" s="408"/>
      <c r="V658" s="408"/>
      <c r="W658" s="408"/>
      <c r="X658" s="408"/>
      <c r="Y658" s="408"/>
      <c r="Z658" s="408"/>
      <c r="AA658" s="408"/>
      <c r="AB658" s="408"/>
      <c r="AC658" s="408"/>
      <c r="AD658" s="408"/>
      <c r="AE658" s="408"/>
      <c r="AF658" s="408"/>
      <c r="AG658" s="408"/>
      <c r="AH658" s="408"/>
      <c r="AI658" s="408"/>
      <c r="AJ658" s="408"/>
      <c r="AK658" s="408"/>
      <c r="AL658" s="408"/>
      <c r="AM658" s="408"/>
      <c r="AN658" s="408"/>
      <c r="AO658" s="408"/>
      <c r="AP658" s="408"/>
      <c r="AQ658" s="408"/>
      <c r="AR658" s="408"/>
      <c r="AS658" s="408"/>
      <c r="AT658" s="408"/>
      <c r="AU658" s="408"/>
      <c r="AV658" s="408"/>
      <c r="AW658" s="408"/>
      <c r="AX658" s="408"/>
      <c r="AY658" s="408"/>
      <c r="AZ658" s="408"/>
      <c r="BA658" s="408"/>
      <c r="BB658" s="408"/>
      <c r="BC658" s="408"/>
      <c r="BD658" s="408"/>
      <c r="BE658" s="408"/>
      <c r="BF658" s="408"/>
      <c r="BG658" s="408"/>
      <c r="BH658" s="408"/>
      <c r="BI658" s="408"/>
      <c r="BJ658" s="408"/>
      <c r="BK658" s="408"/>
      <c r="BL658" s="408"/>
      <c r="BM658" s="408"/>
      <c r="BN658" s="408"/>
      <c r="BO658" s="408"/>
      <c r="BP658" s="408"/>
      <c r="BQ658" s="408"/>
      <c r="BR658" s="408"/>
      <c r="BS658" s="408"/>
      <c r="BT658" s="408"/>
      <c r="BU658" s="408"/>
      <c r="BV658" s="408"/>
      <c r="BW658" s="408"/>
      <c r="BX658" s="408"/>
      <c r="BY658" s="408"/>
      <c r="BZ658" s="408"/>
      <c r="CA658" s="408"/>
      <c r="CB658" s="408"/>
      <c r="CC658" s="408"/>
      <c r="CD658" s="408"/>
      <c r="CE658" s="408"/>
      <c r="CF658" s="408"/>
      <c r="CG658" s="408"/>
      <c r="CH658" s="408"/>
      <c r="CI658" s="408"/>
      <c r="CJ658" s="408"/>
      <c r="CK658" s="408"/>
      <c r="CL658" s="408"/>
      <c r="CM658" s="408"/>
      <c r="CN658" s="408"/>
    </row>
    <row r="659">
      <c r="A659" s="408"/>
      <c r="B659" s="408"/>
      <c r="C659" s="408"/>
      <c r="D659" s="408"/>
      <c r="E659" s="408"/>
      <c r="F659" s="408"/>
      <c r="G659" s="408"/>
      <c r="H659" s="408"/>
      <c r="I659" s="408"/>
      <c r="J659" s="408"/>
      <c r="K659" s="408"/>
      <c r="L659" s="408"/>
      <c r="M659" s="408"/>
      <c r="N659" s="408"/>
      <c r="O659" s="408"/>
      <c r="P659" s="408"/>
      <c r="Q659" s="408"/>
      <c r="R659" s="408"/>
      <c r="S659" s="408"/>
      <c r="T659" s="408"/>
      <c r="U659" s="408"/>
      <c r="V659" s="408"/>
      <c r="W659" s="408"/>
      <c r="X659" s="408"/>
      <c r="Y659" s="408"/>
      <c r="Z659" s="408"/>
      <c r="AA659" s="408"/>
      <c r="AB659" s="408"/>
      <c r="AC659" s="408"/>
      <c r="AD659" s="408"/>
      <c r="AE659" s="408"/>
      <c r="AF659" s="408"/>
      <c r="AG659" s="408"/>
      <c r="AH659" s="408"/>
      <c r="AI659" s="408"/>
      <c r="AJ659" s="408"/>
      <c r="AK659" s="408"/>
      <c r="AL659" s="408"/>
      <c r="AM659" s="408"/>
      <c r="AN659" s="408"/>
      <c r="AO659" s="408"/>
      <c r="AP659" s="408"/>
      <c r="AQ659" s="408"/>
      <c r="AR659" s="408"/>
      <c r="AS659" s="408"/>
      <c r="AT659" s="408"/>
      <c r="AU659" s="408"/>
      <c r="AV659" s="408"/>
      <c r="AW659" s="408"/>
      <c r="AX659" s="408"/>
      <c r="AY659" s="408"/>
      <c r="AZ659" s="408"/>
      <c r="BA659" s="408"/>
      <c r="BB659" s="408"/>
      <c r="BC659" s="408"/>
      <c r="BD659" s="408"/>
      <c r="BE659" s="408"/>
      <c r="BF659" s="408"/>
      <c r="BG659" s="408"/>
      <c r="BH659" s="408"/>
      <c r="BI659" s="408"/>
      <c r="BJ659" s="408"/>
      <c r="BK659" s="408"/>
      <c r="BL659" s="408"/>
      <c r="BM659" s="408"/>
      <c r="BN659" s="408"/>
      <c r="BO659" s="408"/>
      <c r="BP659" s="408"/>
      <c r="BQ659" s="408"/>
      <c r="BR659" s="408"/>
      <c r="BS659" s="408"/>
      <c r="BT659" s="408"/>
      <c r="BU659" s="408"/>
      <c r="BV659" s="408"/>
      <c r="BW659" s="408"/>
      <c r="BX659" s="408"/>
      <c r="BY659" s="408"/>
      <c r="BZ659" s="408"/>
      <c r="CA659" s="408"/>
      <c r="CB659" s="408"/>
      <c r="CC659" s="408"/>
      <c r="CD659" s="408"/>
      <c r="CE659" s="408"/>
      <c r="CF659" s="408"/>
      <c r="CG659" s="408"/>
      <c r="CH659" s="408"/>
      <c r="CI659" s="408"/>
      <c r="CJ659" s="408"/>
      <c r="CK659" s="408"/>
      <c r="CL659" s="408"/>
      <c r="CM659" s="408"/>
      <c r="CN659" s="408"/>
    </row>
    <row r="660">
      <c r="A660" s="408"/>
      <c r="B660" s="408"/>
      <c r="C660" s="408"/>
      <c r="D660" s="408"/>
      <c r="E660" s="408"/>
      <c r="F660" s="408"/>
      <c r="G660" s="408"/>
      <c r="H660" s="408"/>
      <c r="I660" s="408"/>
      <c r="J660" s="408"/>
      <c r="K660" s="408"/>
      <c r="L660" s="408"/>
      <c r="M660" s="408"/>
      <c r="N660" s="408"/>
      <c r="O660" s="408"/>
      <c r="P660" s="408"/>
      <c r="Q660" s="408"/>
      <c r="R660" s="408"/>
      <c r="S660" s="408"/>
      <c r="T660" s="408"/>
      <c r="U660" s="408"/>
      <c r="V660" s="408"/>
      <c r="W660" s="408"/>
      <c r="X660" s="408"/>
      <c r="Y660" s="408"/>
      <c r="Z660" s="408"/>
      <c r="AA660" s="408"/>
      <c r="AB660" s="408"/>
      <c r="AC660" s="408"/>
      <c r="AD660" s="408"/>
      <c r="AE660" s="408"/>
      <c r="AF660" s="408"/>
      <c r="AG660" s="408"/>
      <c r="AH660" s="408"/>
      <c r="AI660" s="408"/>
      <c r="AJ660" s="408"/>
      <c r="AK660" s="408"/>
      <c r="AL660" s="408"/>
      <c r="AM660" s="408"/>
      <c r="AN660" s="408"/>
      <c r="AO660" s="408"/>
      <c r="AP660" s="408"/>
      <c r="AQ660" s="408"/>
      <c r="AR660" s="408"/>
      <c r="AS660" s="408"/>
      <c r="AT660" s="408"/>
      <c r="AU660" s="408"/>
      <c r="AV660" s="408"/>
      <c r="AW660" s="408"/>
      <c r="AX660" s="408"/>
      <c r="AY660" s="408"/>
      <c r="AZ660" s="408"/>
      <c r="BA660" s="408"/>
      <c r="BB660" s="408"/>
      <c r="BC660" s="408"/>
      <c r="BD660" s="408"/>
      <c r="BE660" s="408"/>
      <c r="BF660" s="408"/>
      <c r="BG660" s="408"/>
      <c r="BH660" s="408"/>
      <c r="BI660" s="408"/>
      <c r="BJ660" s="408"/>
      <c r="BK660" s="408"/>
      <c r="BL660" s="408"/>
      <c r="BM660" s="408"/>
      <c r="BN660" s="408"/>
      <c r="BO660" s="408"/>
      <c r="BP660" s="408"/>
      <c r="BQ660" s="408"/>
      <c r="BR660" s="408"/>
      <c r="BS660" s="408"/>
      <c r="BT660" s="408"/>
      <c r="BU660" s="408"/>
      <c r="BV660" s="408"/>
      <c r="BW660" s="408"/>
      <c r="BX660" s="408"/>
      <c r="BY660" s="408"/>
      <c r="BZ660" s="408"/>
      <c r="CA660" s="408"/>
      <c r="CB660" s="408"/>
      <c r="CC660" s="408"/>
      <c r="CD660" s="408"/>
      <c r="CE660" s="408"/>
      <c r="CF660" s="408"/>
      <c r="CG660" s="408"/>
      <c r="CH660" s="408"/>
      <c r="CI660" s="408"/>
      <c r="CJ660" s="408"/>
      <c r="CK660" s="408"/>
      <c r="CL660" s="408"/>
      <c r="CM660" s="408"/>
      <c r="CN660" s="408"/>
    </row>
    <row r="661">
      <c r="A661" s="408"/>
      <c r="B661" s="408"/>
      <c r="C661" s="408"/>
      <c r="D661" s="408"/>
      <c r="E661" s="408"/>
      <c r="F661" s="408"/>
      <c r="G661" s="408"/>
      <c r="H661" s="408"/>
      <c r="I661" s="408"/>
      <c r="J661" s="408"/>
      <c r="K661" s="408"/>
      <c r="L661" s="408"/>
      <c r="M661" s="408"/>
      <c r="N661" s="408"/>
      <c r="O661" s="408"/>
      <c r="P661" s="408"/>
      <c r="Q661" s="408"/>
      <c r="R661" s="408"/>
      <c r="S661" s="408"/>
      <c r="T661" s="408"/>
      <c r="U661" s="408"/>
      <c r="V661" s="408"/>
      <c r="W661" s="408"/>
      <c r="X661" s="408"/>
      <c r="Y661" s="408"/>
      <c r="Z661" s="408"/>
      <c r="AA661" s="408"/>
      <c r="AB661" s="408"/>
      <c r="AC661" s="408"/>
      <c r="AD661" s="408"/>
      <c r="AE661" s="408"/>
      <c r="AF661" s="408"/>
      <c r="AG661" s="408"/>
      <c r="AH661" s="408"/>
      <c r="AI661" s="408"/>
      <c r="AJ661" s="408"/>
      <c r="AK661" s="408"/>
      <c r="AL661" s="408"/>
      <c r="AM661" s="408"/>
      <c r="AN661" s="408"/>
      <c r="AO661" s="408"/>
      <c r="AP661" s="408"/>
      <c r="AQ661" s="408"/>
      <c r="AR661" s="408"/>
      <c r="AS661" s="408"/>
      <c r="AT661" s="408"/>
      <c r="AU661" s="408"/>
      <c r="AV661" s="408"/>
      <c r="AW661" s="408"/>
      <c r="AX661" s="408"/>
      <c r="AY661" s="408"/>
      <c r="AZ661" s="408"/>
      <c r="BA661" s="408"/>
      <c r="BB661" s="408"/>
      <c r="BC661" s="408"/>
      <c r="BD661" s="408"/>
      <c r="BE661" s="408"/>
      <c r="BF661" s="408"/>
      <c r="BG661" s="408"/>
      <c r="BH661" s="408"/>
      <c r="BI661" s="408"/>
      <c r="BJ661" s="408"/>
      <c r="BK661" s="408"/>
      <c r="BL661" s="408"/>
      <c r="BM661" s="408"/>
      <c r="BN661" s="408"/>
      <c r="BO661" s="408"/>
      <c r="BP661" s="408"/>
      <c r="BQ661" s="408"/>
      <c r="BR661" s="408"/>
      <c r="BS661" s="408"/>
      <c r="BT661" s="408"/>
      <c r="BU661" s="408"/>
      <c r="BV661" s="408"/>
      <c r="BW661" s="408"/>
      <c r="BX661" s="408"/>
      <c r="BY661" s="408"/>
      <c r="BZ661" s="408"/>
      <c r="CA661" s="408"/>
      <c r="CB661" s="408"/>
      <c r="CC661" s="408"/>
      <c r="CD661" s="408"/>
      <c r="CE661" s="408"/>
      <c r="CF661" s="408"/>
      <c r="CG661" s="408"/>
      <c r="CH661" s="408"/>
      <c r="CI661" s="408"/>
      <c r="CJ661" s="408"/>
      <c r="CK661" s="408"/>
      <c r="CL661" s="408"/>
      <c r="CM661" s="408"/>
      <c r="CN661" s="408"/>
    </row>
    <row r="662">
      <c r="A662" s="408"/>
      <c r="B662" s="408"/>
      <c r="C662" s="408"/>
      <c r="D662" s="408"/>
      <c r="E662" s="408"/>
      <c r="F662" s="408"/>
      <c r="G662" s="408"/>
      <c r="H662" s="408"/>
      <c r="I662" s="408"/>
      <c r="J662" s="408"/>
      <c r="K662" s="408"/>
      <c r="L662" s="408"/>
      <c r="M662" s="408"/>
      <c r="N662" s="408"/>
      <c r="O662" s="408"/>
      <c r="P662" s="408"/>
      <c r="Q662" s="408"/>
      <c r="R662" s="408"/>
      <c r="S662" s="408"/>
      <c r="T662" s="408"/>
      <c r="U662" s="408"/>
      <c r="V662" s="408"/>
      <c r="W662" s="408"/>
      <c r="X662" s="408"/>
      <c r="Y662" s="408"/>
      <c r="Z662" s="408"/>
      <c r="AA662" s="408"/>
      <c r="AB662" s="408"/>
      <c r="AC662" s="408"/>
      <c r="AD662" s="408"/>
      <c r="AE662" s="408"/>
      <c r="AF662" s="408"/>
      <c r="AG662" s="408"/>
      <c r="AH662" s="408"/>
      <c r="AI662" s="408"/>
      <c r="AJ662" s="408"/>
      <c r="AK662" s="408"/>
      <c r="AL662" s="408"/>
      <c r="AM662" s="408"/>
      <c r="AN662" s="408"/>
      <c r="AO662" s="408"/>
      <c r="AP662" s="408"/>
      <c r="AQ662" s="408"/>
      <c r="AR662" s="408"/>
      <c r="AS662" s="408"/>
      <c r="AT662" s="408"/>
      <c r="AU662" s="408"/>
      <c r="AV662" s="408"/>
      <c r="AW662" s="408"/>
      <c r="AX662" s="408"/>
      <c r="AY662" s="408"/>
      <c r="AZ662" s="408"/>
      <c r="BA662" s="408"/>
      <c r="BB662" s="408"/>
      <c r="BC662" s="408"/>
      <c r="BD662" s="408"/>
      <c r="BE662" s="408"/>
      <c r="BF662" s="408"/>
      <c r="BG662" s="408"/>
      <c r="BH662" s="408"/>
      <c r="BI662" s="408"/>
      <c r="BJ662" s="408"/>
      <c r="BK662" s="408"/>
      <c r="BL662" s="408"/>
      <c r="BM662" s="408"/>
      <c r="BN662" s="408"/>
      <c r="BO662" s="408"/>
      <c r="BP662" s="408"/>
      <c r="BQ662" s="408"/>
      <c r="BR662" s="408"/>
      <c r="BS662" s="408"/>
      <c r="BT662" s="408"/>
      <c r="BU662" s="408"/>
      <c r="BV662" s="408"/>
      <c r="BW662" s="408"/>
      <c r="BX662" s="408"/>
      <c r="BY662" s="408"/>
      <c r="BZ662" s="408"/>
      <c r="CA662" s="408"/>
      <c r="CB662" s="408"/>
      <c r="CC662" s="408"/>
      <c r="CD662" s="408"/>
      <c r="CE662" s="408"/>
      <c r="CF662" s="408"/>
      <c r="CG662" s="408"/>
      <c r="CH662" s="408"/>
      <c r="CI662" s="408"/>
      <c r="CJ662" s="408"/>
      <c r="CK662" s="408"/>
      <c r="CL662" s="408"/>
      <c r="CM662" s="408"/>
      <c r="CN662" s="408"/>
    </row>
    <row r="663">
      <c r="A663" s="408"/>
      <c r="B663" s="408"/>
      <c r="C663" s="408"/>
      <c r="D663" s="408"/>
      <c r="E663" s="408"/>
      <c r="F663" s="408"/>
      <c r="G663" s="408"/>
      <c r="H663" s="408"/>
      <c r="I663" s="408"/>
      <c r="J663" s="408"/>
      <c r="K663" s="408"/>
      <c r="L663" s="408"/>
      <c r="M663" s="408"/>
      <c r="N663" s="408"/>
      <c r="O663" s="408"/>
      <c r="P663" s="408"/>
      <c r="Q663" s="408"/>
      <c r="R663" s="408"/>
      <c r="S663" s="408"/>
      <c r="T663" s="408"/>
      <c r="U663" s="408"/>
      <c r="V663" s="408"/>
      <c r="W663" s="408"/>
      <c r="X663" s="408"/>
      <c r="Y663" s="408"/>
      <c r="Z663" s="408"/>
      <c r="AA663" s="408"/>
      <c r="AB663" s="408"/>
      <c r="AC663" s="408"/>
      <c r="AD663" s="408"/>
      <c r="AE663" s="408"/>
      <c r="AF663" s="408"/>
      <c r="AG663" s="408"/>
      <c r="AH663" s="408"/>
      <c r="AI663" s="408"/>
      <c r="AJ663" s="408"/>
      <c r="AK663" s="408"/>
      <c r="AL663" s="408"/>
      <c r="AM663" s="408"/>
      <c r="AN663" s="408"/>
      <c r="AO663" s="408"/>
      <c r="AP663" s="408"/>
      <c r="AQ663" s="408"/>
      <c r="AR663" s="408"/>
      <c r="AS663" s="408"/>
      <c r="AT663" s="408"/>
      <c r="AU663" s="408"/>
      <c r="AV663" s="408"/>
      <c r="AW663" s="408"/>
      <c r="AX663" s="408"/>
      <c r="AY663" s="408"/>
      <c r="AZ663" s="408"/>
      <c r="BA663" s="408"/>
      <c r="BB663" s="408"/>
      <c r="BC663" s="408"/>
      <c r="BD663" s="408"/>
      <c r="BE663" s="408"/>
      <c r="BF663" s="408"/>
      <c r="BG663" s="408"/>
      <c r="BH663" s="408"/>
      <c r="BI663" s="408"/>
      <c r="BJ663" s="408"/>
      <c r="BK663" s="408"/>
      <c r="BL663" s="408"/>
      <c r="BM663" s="408"/>
      <c r="BN663" s="408"/>
      <c r="BO663" s="408"/>
      <c r="BP663" s="408"/>
      <c r="BQ663" s="408"/>
      <c r="BR663" s="408"/>
      <c r="BS663" s="408"/>
      <c r="BT663" s="408"/>
      <c r="BU663" s="408"/>
      <c r="BV663" s="408"/>
      <c r="BW663" s="408"/>
      <c r="BX663" s="408"/>
      <c r="BY663" s="408"/>
      <c r="BZ663" s="408"/>
      <c r="CA663" s="408"/>
      <c r="CB663" s="408"/>
      <c r="CC663" s="408"/>
      <c r="CD663" s="408"/>
      <c r="CE663" s="408"/>
      <c r="CF663" s="408"/>
      <c r="CG663" s="408"/>
      <c r="CH663" s="408"/>
      <c r="CI663" s="408"/>
      <c r="CJ663" s="408"/>
      <c r="CK663" s="408"/>
      <c r="CL663" s="408"/>
      <c r="CM663" s="408"/>
      <c r="CN663" s="408"/>
    </row>
    <row r="664">
      <c r="A664" s="408"/>
      <c r="B664" s="408"/>
      <c r="C664" s="408"/>
      <c r="D664" s="408"/>
      <c r="E664" s="408"/>
      <c r="F664" s="408"/>
      <c r="G664" s="408"/>
      <c r="H664" s="408"/>
      <c r="I664" s="408"/>
      <c r="J664" s="408"/>
      <c r="K664" s="408"/>
      <c r="L664" s="408"/>
      <c r="M664" s="408"/>
      <c r="N664" s="408"/>
      <c r="O664" s="408"/>
      <c r="P664" s="408"/>
      <c r="Q664" s="408"/>
      <c r="R664" s="408"/>
      <c r="S664" s="408"/>
      <c r="T664" s="408"/>
      <c r="U664" s="408"/>
      <c r="V664" s="408"/>
      <c r="W664" s="408"/>
      <c r="X664" s="408"/>
      <c r="Y664" s="408"/>
      <c r="Z664" s="408"/>
      <c r="AA664" s="408"/>
      <c r="AB664" s="408"/>
      <c r="AC664" s="408"/>
      <c r="AD664" s="408"/>
      <c r="AE664" s="408"/>
      <c r="AF664" s="408"/>
      <c r="AG664" s="408"/>
      <c r="AH664" s="408"/>
      <c r="AI664" s="408"/>
      <c r="AJ664" s="408"/>
      <c r="AK664" s="408"/>
      <c r="AL664" s="408"/>
      <c r="AM664" s="408"/>
      <c r="AN664" s="408"/>
      <c r="AO664" s="408"/>
      <c r="AP664" s="408"/>
      <c r="AQ664" s="408"/>
      <c r="AR664" s="408"/>
      <c r="AS664" s="408"/>
      <c r="AT664" s="408"/>
      <c r="AU664" s="408"/>
      <c r="AV664" s="408"/>
      <c r="AW664" s="408"/>
      <c r="AX664" s="408"/>
      <c r="AY664" s="408"/>
      <c r="AZ664" s="408"/>
      <c r="BA664" s="408"/>
      <c r="BB664" s="408"/>
      <c r="BC664" s="408"/>
      <c r="BD664" s="408"/>
      <c r="BE664" s="408"/>
      <c r="BF664" s="408"/>
      <c r="BG664" s="408"/>
      <c r="BH664" s="408"/>
      <c r="BI664" s="408"/>
      <c r="BJ664" s="408"/>
      <c r="BK664" s="408"/>
      <c r="BL664" s="408"/>
      <c r="BM664" s="408"/>
      <c r="BN664" s="408"/>
      <c r="BO664" s="408"/>
      <c r="BP664" s="408"/>
      <c r="BQ664" s="408"/>
      <c r="BR664" s="408"/>
      <c r="BS664" s="408"/>
      <c r="BT664" s="408"/>
      <c r="BU664" s="408"/>
      <c r="BV664" s="408"/>
      <c r="BW664" s="408"/>
      <c r="BX664" s="408"/>
      <c r="BY664" s="408"/>
      <c r="BZ664" s="408"/>
      <c r="CA664" s="408"/>
      <c r="CB664" s="408"/>
      <c r="CC664" s="408"/>
      <c r="CD664" s="408"/>
      <c r="CE664" s="408"/>
      <c r="CF664" s="408"/>
      <c r="CG664" s="408"/>
      <c r="CH664" s="408"/>
      <c r="CI664" s="408"/>
      <c r="CJ664" s="408"/>
      <c r="CK664" s="408"/>
      <c r="CL664" s="408"/>
      <c r="CM664" s="408"/>
      <c r="CN664" s="408"/>
    </row>
    <row r="665">
      <c r="A665" s="408"/>
      <c r="B665" s="408"/>
      <c r="C665" s="408"/>
      <c r="D665" s="408"/>
      <c r="E665" s="408"/>
      <c r="F665" s="408"/>
      <c r="G665" s="408"/>
      <c r="H665" s="408"/>
      <c r="I665" s="408"/>
      <c r="J665" s="408"/>
      <c r="K665" s="408"/>
      <c r="L665" s="408"/>
      <c r="M665" s="408"/>
      <c r="N665" s="408"/>
      <c r="O665" s="408"/>
      <c r="P665" s="408"/>
      <c r="Q665" s="408"/>
      <c r="R665" s="408"/>
      <c r="S665" s="408"/>
      <c r="T665" s="408"/>
      <c r="U665" s="408"/>
      <c r="V665" s="408"/>
      <c r="W665" s="408"/>
      <c r="X665" s="408"/>
      <c r="Y665" s="408"/>
      <c r="Z665" s="408"/>
      <c r="AA665" s="408"/>
      <c r="AB665" s="408"/>
      <c r="AC665" s="408"/>
      <c r="AD665" s="408"/>
      <c r="AE665" s="408"/>
      <c r="AF665" s="408"/>
      <c r="AG665" s="408"/>
      <c r="AH665" s="408"/>
      <c r="AI665" s="408"/>
      <c r="AJ665" s="408"/>
      <c r="AK665" s="408"/>
      <c r="AL665" s="408"/>
      <c r="AM665" s="408"/>
      <c r="AN665" s="408"/>
      <c r="AO665" s="408"/>
      <c r="AP665" s="408"/>
      <c r="AQ665" s="408"/>
      <c r="AR665" s="408"/>
      <c r="AS665" s="408"/>
      <c r="AT665" s="408"/>
      <c r="AU665" s="408"/>
      <c r="AV665" s="408"/>
      <c r="AW665" s="408"/>
      <c r="AX665" s="408"/>
      <c r="AY665" s="408"/>
      <c r="AZ665" s="408"/>
      <c r="BA665" s="408"/>
      <c r="BB665" s="408"/>
      <c r="BC665" s="408"/>
      <c r="BD665" s="408"/>
      <c r="BE665" s="408"/>
      <c r="BF665" s="408"/>
      <c r="BG665" s="408"/>
      <c r="BH665" s="408"/>
      <c r="BI665" s="408"/>
      <c r="BJ665" s="408"/>
      <c r="BK665" s="408"/>
      <c r="BL665" s="408"/>
      <c r="BM665" s="408"/>
      <c r="BN665" s="408"/>
      <c r="BO665" s="408"/>
      <c r="BP665" s="408"/>
      <c r="BQ665" s="408"/>
      <c r="BR665" s="408"/>
      <c r="BS665" s="408"/>
      <c r="BT665" s="408"/>
      <c r="BU665" s="408"/>
      <c r="BV665" s="408"/>
      <c r="BW665" s="408"/>
      <c r="BX665" s="408"/>
      <c r="BY665" s="408"/>
      <c r="BZ665" s="408"/>
      <c r="CA665" s="408"/>
      <c r="CB665" s="408"/>
      <c r="CC665" s="408"/>
      <c r="CD665" s="408"/>
      <c r="CE665" s="408"/>
      <c r="CF665" s="408"/>
      <c r="CG665" s="408"/>
      <c r="CH665" s="408"/>
      <c r="CI665" s="408"/>
      <c r="CJ665" s="408"/>
      <c r="CK665" s="408"/>
      <c r="CL665" s="408"/>
      <c r="CM665" s="408"/>
      <c r="CN665" s="408"/>
    </row>
    <row r="666">
      <c r="A666" s="408"/>
      <c r="B666" s="408"/>
      <c r="C666" s="408"/>
      <c r="D666" s="408"/>
      <c r="E666" s="408"/>
      <c r="F666" s="408"/>
      <c r="G666" s="408"/>
      <c r="H666" s="408"/>
      <c r="I666" s="408"/>
      <c r="J666" s="408"/>
      <c r="K666" s="408"/>
      <c r="L666" s="408"/>
      <c r="M666" s="408"/>
      <c r="N666" s="408"/>
      <c r="O666" s="408"/>
      <c r="P666" s="408"/>
      <c r="Q666" s="408"/>
      <c r="R666" s="408"/>
      <c r="S666" s="408"/>
      <c r="T666" s="408"/>
      <c r="U666" s="408"/>
      <c r="V666" s="408"/>
      <c r="W666" s="408"/>
      <c r="X666" s="408"/>
      <c r="Y666" s="408"/>
      <c r="Z666" s="408"/>
      <c r="AA666" s="408"/>
      <c r="AB666" s="408"/>
      <c r="AC666" s="408"/>
      <c r="AD666" s="408"/>
      <c r="AE666" s="408"/>
      <c r="AF666" s="408"/>
      <c r="AG666" s="408"/>
      <c r="AH666" s="408"/>
      <c r="AI666" s="408"/>
      <c r="AJ666" s="408"/>
      <c r="AK666" s="408"/>
      <c r="AL666" s="408"/>
      <c r="AM666" s="408"/>
      <c r="AN666" s="408"/>
      <c r="AO666" s="408"/>
      <c r="AP666" s="408"/>
      <c r="AQ666" s="408"/>
      <c r="AR666" s="408"/>
      <c r="AS666" s="408"/>
      <c r="AT666" s="408"/>
      <c r="AU666" s="408"/>
      <c r="AV666" s="408"/>
      <c r="AW666" s="408"/>
      <c r="AX666" s="408"/>
      <c r="AY666" s="408"/>
      <c r="AZ666" s="408"/>
      <c r="BA666" s="408"/>
      <c r="BB666" s="408"/>
      <c r="BC666" s="408"/>
      <c r="BD666" s="408"/>
      <c r="BE666" s="408"/>
      <c r="BF666" s="408"/>
      <c r="BG666" s="408"/>
      <c r="BH666" s="408"/>
      <c r="BI666" s="408"/>
      <c r="BJ666" s="408"/>
      <c r="BK666" s="408"/>
      <c r="BL666" s="408"/>
      <c r="BM666" s="408"/>
      <c r="BN666" s="408"/>
      <c r="BO666" s="408"/>
      <c r="BP666" s="408"/>
      <c r="BQ666" s="408"/>
      <c r="BR666" s="408"/>
      <c r="BS666" s="408"/>
      <c r="BT666" s="408"/>
      <c r="BU666" s="408"/>
      <c r="BV666" s="408"/>
      <c r="BW666" s="408"/>
      <c r="BX666" s="408"/>
      <c r="BY666" s="408"/>
      <c r="BZ666" s="408"/>
      <c r="CA666" s="408"/>
      <c r="CB666" s="408"/>
      <c r="CC666" s="408"/>
      <c r="CD666" s="408"/>
      <c r="CE666" s="408"/>
      <c r="CF666" s="408"/>
      <c r="CG666" s="408"/>
      <c r="CH666" s="408"/>
      <c r="CI666" s="408"/>
      <c r="CJ666" s="408"/>
      <c r="CK666" s="408"/>
      <c r="CL666" s="408"/>
      <c r="CM666" s="408"/>
      <c r="CN666" s="408"/>
    </row>
    <row r="667">
      <c r="A667" s="408"/>
      <c r="B667" s="408"/>
      <c r="C667" s="408"/>
      <c r="D667" s="408"/>
      <c r="E667" s="408"/>
      <c r="F667" s="408"/>
      <c r="G667" s="408"/>
      <c r="H667" s="408"/>
      <c r="I667" s="408"/>
      <c r="J667" s="408"/>
      <c r="K667" s="408"/>
      <c r="L667" s="408"/>
      <c r="M667" s="408"/>
      <c r="N667" s="408"/>
      <c r="O667" s="408"/>
      <c r="P667" s="408"/>
      <c r="Q667" s="408"/>
      <c r="R667" s="408"/>
      <c r="S667" s="408"/>
      <c r="T667" s="408"/>
      <c r="U667" s="408"/>
      <c r="V667" s="408"/>
      <c r="W667" s="408"/>
      <c r="X667" s="408"/>
      <c r="Y667" s="408"/>
      <c r="Z667" s="408"/>
      <c r="AA667" s="408"/>
      <c r="AB667" s="408"/>
      <c r="AC667" s="408"/>
      <c r="AD667" s="408"/>
      <c r="AE667" s="408"/>
      <c r="AF667" s="408"/>
      <c r="AG667" s="408"/>
      <c r="AH667" s="408"/>
      <c r="AI667" s="408"/>
      <c r="AJ667" s="408"/>
      <c r="AK667" s="408"/>
      <c r="AL667" s="408"/>
      <c r="AM667" s="408"/>
      <c r="AN667" s="408"/>
      <c r="AO667" s="408"/>
      <c r="AP667" s="408"/>
      <c r="AQ667" s="408"/>
      <c r="AR667" s="408"/>
      <c r="AS667" s="408"/>
      <c r="AT667" s="408"/>
      <c r="AU667" s="408"/>
      <c r="AV667" s="408"/>
      <c r="AW667" s="408"/>
      <c r="AX667" s="408"/>
      <c r="AY667" s="408"/>
      <c r="AZ667" s="408"/>
      <c r="BA667" s="408"/>
      <c r="BB667" s="408"/>
      <c r="BC667" s="408"/>
      <c r="BD667" s="408"/>
      <c r="BE667" s="408"/>
      <c r="BF667" s="408"/>
      <c r="BG667" s="408"/>
      <c r="BH667" s="408"/>
      <c r="BI667" s="408"/>
      <c r="BJ667" s="408"/>
      <c r="BK667" s="408"/>
      <c r="BL667" s="408"/>
      <c r="BM667" s="408"/>
      <c r="BN667" s="408"/>
      <c r="BO667" s="408"/>
      <c r="BP667" s="408"/>
      <c r="BQ667" s="408"/>
      <c r="BR667" s="408"/>
      <c r="BS667" s="408"/>
      <c r="BT667" s="408"/>
      <c r="BU667" s="408"/>
      <c r="BV667" s="408"/>
      <c r="BW667" s="408"/>
      <c r="BX667" s="408"/>
      <c r="BY667" s="408"/>
      <c r="BZ667" s="408"/>
      <c r="CA667" s="408"/>
      <c r="CB667" s="408"/>
      <c r="CC667" s="408"/>
      <c r="CD667" s="408"/>
      <c r="CE667" s="408"/>
      <c r="CF667" s="408"/>
      <c r="CG667" s="408"/>
      <c r="CH667" s="408"/>
      <c r="CI667" s="408"/>
      <c r="CJ667" s="408"/>
      <c r="CK667" s="408"/>
      <c r="CL667" s="408"/>
      <c r="CM667" s="408"/>
      <c r="CN667" s="408"/>
    </row>
    <row r="668">
      <c r="A668" s="408"/>
      <c r="B668" s="408"/>
      <c r="C668" s="408"/>
      <c r="D668" s="408"/>
      <c r="E668" s="408"/>
      <c r="F668" s="408"/>
      <c r="G668" s="408"/>
      <c r="H668" s="408"/>
      <c r="I668" s="408"/>
      <c r="J668" s="408"/>
      <c r="K668" s="408"/>
      <c r="L668" s="408"/>
      <c r="M668" s="408"/>
      <c r="N668" s="408"/>
      <c r="O668" s="408"/>
      <c r="P668" s="408"/>
      <c r="Q668" s="408"/>
      <c r="R668" s="408"/>
      <c r="S668" s="408"/>
      <c r="T668" s="408"/>
      <c r="U668" s="408"/>
      <c r="V668" s="408"/>
      <c r="W668" s="408"/>
      <c r="X668" s="408"/>
      <c r="Y668" s="408"/>
      <c r="Z668" s="408"/>
      <c r="AA668" s="408"/>
      <c r="AB668" s="408"/>
      <c r="AC668" s="408"/>
      <c r="AD668" s="408"/>
      <c r="AE668" s="408"/>
      <c r="AF668" s="408"/>
      <c r="AG668" s="408"/>
      <c r="AH668" s="408"/>
      <c r="AI668" s="408"/>
      <c r="AJ668" s="408"/>
      <c r="AK668" s="408"/>
      <c r="AL668" s="408"/>
      <c r="AM668" s="408"/>
      <c r="AN668" s="408"/>
      <c r="AO668" s="408"/>
      <c r="AP668" s="408"/>
      <c r="AQ668" s="408"/>
      <c r="AR668" s="408"/>
      <c r="AS668" s="408"/>
      <c r="AT668" s="408"/>
      <c r="AU668" s="408"/>
      <c r="AV668" s="408"/>
      <c r="AW668" s="408"/>
      <c r="AX668" s="408"/>
      <c r="AY668" s="408"/>
      <c r="AZ668" s="408"/>
      <c r="BA668" s="408"/>
      <c r="BB668" s="408"/>
      <c r="BC668" s="408"/>
      <c r="BD668" s="408"/>
      <c r="BE668" s="408"/>
      <c r="BF668" s="408"/>
      <c r="BG668" s="408"/>
      <c r="BH668" s="408"/>
      <c r="BI668" s="408"/>
      <c r="BJ668" s="408"/>
      <c r="BK668" s="408"/>
      <c r="BL668" s="408"/>
      <c r="BM668" s="408"/>
      <c r="BN668" s="408"/>
      <c r="BO668" s="408"/>
      <c r="BP668" s="408"/>
      <c r="BQ668" s="408"/>
      <c r="BR668" s="408"/>
      <c r="BS668" s="408"/>
      <c r="BT668" s="408"/>
      <c r="BU668" s="408"/>
      <c r="BV668" s="408"/>
      <c r="BW668" s="408"/>
      <c r="BX668" s="408"/>
      <c r="BY668" s="408"/>
      <c r="BZ668" s="408"/>
      <c r="CA668" s="408"/>
      <c r="CB668" s="408"/>
      <c r="CC668" s="408"/>
      <c r="CD668" s="408"/>
      <c r="CE668" s="408"/>
      <c r="CF668" s="408"/>
      <c r="CG668" s="408"/>
      <c r="CH668" s="408"/>
      <c r="CI668" s="408"/>
      <c r="CJ668" s="408"/>
      <c r="CK668" s="408"/>
      <c r="CL668" s="408"/>
      <c r="CM668" s="408"/>
      <c r="CN668" s="408"/>
    </row>
    <row r="669">
      <c r="A669" s="408"/>
      <c r="B669" s="408"/>
      <c r="C669" s="408"/>
      <c r="D669" s="408"/>
      <c r="E669" s="408"/>
      <c r="F669" s="408"/>
      <c r="G669" s="408"/>
      <c r="H669" s="408"/>
      <c r="I669" s="408"/>
      <c r="J669" s="408"/>
      <c r="K669" s="408"/>
      <c r="L669" s="408"/>
      <c r="M669" s="408"/>
      <c r="N669" s="408"/>
      <c r="O669" s="408"/>
      <c r="P669" s="408"/>
      <c r="Q669" s="408"/>
      <c r="R669" s="408"/>
      <c r="S669" s="408"/>
      <c r="T669" s="408"/>
      <c r="U669" s="408"/>
      <c r="V669" s="408"/>
      <c r="W669" s="408"/>
      <c r="X669" s="408"/>
      <c r="Y669" s="408"/>
      <c r="Z669" s="408"/>
      <c r="AA669" s="408"/>
      <c r="AB669" s="408"/>
      <c r="AC669" s="408"/>
      <c r="AD669" s="408"/>
      <c r="AE669" s="408"/>
      <c r="AF669" s="408"/>
      <c r="AG669" s="408"/>
      <c r="AH669" s="408"/>
      <c r="AI669" s="408"/>
      <c r="AJ669" s="408"/>
      <c r="AK669" s="408"/>
      <c r="AL669" s="408"/>
      <c r="AM669" s="408"/>
      <c r="AN669" s="408"/>
      <c r="AO669" s="408"/>
      <c r="AP669" s="408"/>
      <c r="AQ669" s="408"/>
      <c r="AR669" s="408"/>
      <c r="AS669" s="408"/>
      <c r="AT669" s="408"/>
      <c r="AU669" s="408"/>
      <c r="AV669" s="408"/>
      <c r="AW669" s="408"/>
      <c r="AX669" s="408"/>
      <c r="AY669" s="408"/>
      <c r="AZ669" s="408"/>
      <c r="BA669" s="408"/>
      <c r="BB669" s="408"/>
      <c r="BC669" s="408"/>
      <c r="BD669" s="408"/>
      <c r="BE669" s="408"/>
      <c r="BF669" s="408"/>
      <c r="BG669" s="408"/>
      <c r="BH669" s="408"/>
      <c r="BI669" s="408"/>
      <c r="BJ669" s="408"/>
      <c r="BK669" s="408"/>
      <c r="BL669" s="408"/>
      <c r="BM669" s="408"/>
      <c r="BN669" s="408"/>
      <c r="BO669" s="408"/>
      <c r="BP669" s="408"/>
      <c r="BQ669" s="408"/>
      <c r="BR669" s="408"/>
      <c r="BS669" s="408"/>
      <c r="BT669" s="408"/>
      <c r="BU669" s="408"/>
      <c r="BV669" s="408"/>
      <c r="BW669" s="408"/>
      <c r="BX669" s="408"/>
      <c r="BY669" s="408"/>
      <c r="BZ669" s="408"/>
      <c r="CA669" s="408"/>
      <c r="CB669" s="408"/>
      <c r="CC669" s="408"/>
      <c r="CD669" s="408"/>
      <c r="CE669" s="408"/>
      <c r="CF669" s="408"/>
      <c r="CG669" s="408"/>
      <c r="CH669" s="408"/>
      <c r="CI669" s="408"/>
      <c r="CJ669" s="408"/>
      <c r="CK669" s="408"/>
      <c r="CL669" s="408"/>
      <c r="CM669" s="408"/>
      <c r="CN669" s="408"/>
    </row>
    <row r="670">
      <c r="A670" s="408"/>
      <c r="B670" s="408"/>
      <c r="C670" s="408"/>
      <c r="D670" s="408"/>
      <c r="E670" s="408"/>
      <c r="F670" s="408"/>
      <c r="G670" s="408"/>
      <c r="H670" s="408"/>
      <c r="I670" s="408"/>
      <c r="J670" s="408"/>
      <c r="K670" s="408"/>
      <c r="L670" s="408"/>
      <c r="M670" s="408"/>
      <c r="N670" s="408"/>
      <c r="O670" s="408"/>
      <c r="P670" s="408"/>
      <c r="Q670" s="408"/>
      <c r="R670" s="408"/>
      <c r="S670" s="408"/>
      <c r="T670" s="408"/>
      <c r="U670" s="408"/>
      <c r="V670" s="408"/>
      <c r="W670" s="408"/>
      <c r="X670" s="408"/>
      <c r="Y670" s="408"/>
      <c r="Z670" s="408"/>
      <c r="AA670" s="408"/>
      <c r="AB670" s="408"/>
      <c r="AC670" s="408"/>
      <c r="AD670" s="408"/>
      <c r="AE670" s="408"/>
      <c r="AF670" s="408"/>
      <c r="AG670" s="408"/>
      <c r="AH670" s="408"/>
      <c r="AI670" s="408"/>
      <c r="AJ670" s="408"/>
      <c r="AK670" s="408"/>
      <c r="AL670" s="408"/>
      <c r="AM670" s="408"/>
      <c r="AN670" s="408"/>
      <c r="AO670" s="408"/>
      <c r="AP670" s="408"/>
      <c r="AQ670" s="408"/>
      <c r="AR670" s="408"/>
      <c r="AS670" s="408"/>
      <c r="AT670" s="408"/>
      <c r="AU670" s="408"/>
      <c r="AV670" s="408"/>
      <c r="AW670" s="408"/>
      <c r="AX670" s="408"/>
      <c r="AY670" s="408"/>
      <c r="AZ670" s="408"/>
      <c r="BA670" s="408"/>
      <c r="BB670" s="408"/>
      <c r="BC670" s="408"/>
      <c r="BD670" s="408"/>
      <c r="BE670" s="408"/>
      <c r="BF670" s="408"/>
      <c r="BG670" s="408"/>
      <c r="BH670" s="408"/>
      <c r="BI670" s="408"/>
      <c r="BJ670" s="408"/>
      <c r="BK670" s="408"/>
      <c r="BL670" s="408"/>
      <c r="BM670" s="408"/>
      <c r="BN670" s="408"/>
      <c r="BO670" s="408"/>
      <c r="BP670" s="408"/>
      <c r="BQ670" s="408"/>
      <c r="BR670" s="408"/>
      <c r="BS670" s="408"/>
      <c r="BT670" s="408"/>
      <c r="BU670" s="408"/>
      <c r="BV670" s="408"/>
      <c r="BW670" s="408"/>
      <c r="BX670" s="408"/>
      <c r="BY670" s="408"/>
      <c r="BZ670" s="408"/>
      <c r="CA670" s="408"/>
      <c r="CB670" s="408"/>
      <c r="CC670" s="408"/>
      <c r="CD670" s="408"/>
      <c r="CE670" s="408"/>
      <c r="CF670" s="408"/>
      <c r="CG670" s="408"/>
      <c r="CH670" s="408"/>
      <c r="CI670" s="408"/>
      <c r="CJ670" s="408"/>
      <c r="CK670" s="408"/>
      <c r="CL670" s="408"/>
      <c r="CM670" s="408"/>
      <c r="CN670" s="408"/>
    </row>
    <row r="671">
      <c r="A671" s="408"/>
      <c r="B671" s="408"/>
      <c r="C671" s="408"/>
      <c r="D671" s="408"/>
      <c r="E671" s="408"/>
      <c r="F671" s="408"/>
      <c r="G671" s="408"/>
      <c r="H671" s="408"/>
      <c r="I671" s="408"/>
      <c r="J671" s="408"/>
      <c r="K671" s="408"/>
      <c r="L671" s="408"/>
      <c r="M671" s="408"/>
      <c r="N671" s="408"/>
      <c r="O671" s="408"/>
      <c r="P671" s="408"/>
      <c r="Q671" s="408"/>
      <c r="R671" s="408"/>
      <c r="S671" s="408"/>
      <c r="T671" s="408"/>
      <c r="U671" s="408"/>
      <c r="V671" s="408"/>
      <c r="W671" s="408"/>
      <c r="X671" s="408"/>
      <c r="Y671" s="408"/>
      <c r="Z671" s="408"/>
      <c r="AA671" s="408"/>
      <c r="AB671" s="408"/>
      <c r="AC671" s="408"/>
      <c r="AD671" s="408"/>
      <c r="AE671" s="408"/>
      <c r="AF671" s="408"/>
      <c r="AG671" s="408"/>
      <c r="AH671" s="408"/>
      <c r="AI671" s="408"/>
      <c r="AJ671" s="408"/>
      <c r="AK671" s="408"/>
      <c r="AL671" s="408"/>
      <c r="AM671" s="408"/>
      <c r="AN671" s="408"/>
      <c r="AO671" s="408"/>
      <c r="AP671" s="408"/>
      <c r="AQ671" s="408"/>
      <c r="AR671" s="408"/>
      <c r="AS671" s="408"/>
      <c r="AT671" s="408"/>
      <c r="AU671" s="408"/>
      <c r="AV671" s="408"/>
      <c r="AW671" s="408"/>
      <c r="AX671" s="408"/>
      <c r="AY671" s="408"/>
      <c r="AZ671" s="408"/>
      <c r="BA671" s="408"/>
      <c r="BB671" s="408"/>
      <c r="BC671" s="408"/>
      <c r="BD671" s="408"/>
      <c r="BE671" s="408"/>
      <c r="BF671" s="408"/>
      <c r="BG671" s="408"/>
      <c r="BH671" s="408"/>
      <c r="BI671" s="408"/>
      <c r="BJ671" s="408"/>
      <c r="BK671" s="408"/>
      <c r="BL671" s="408"/>
      <c r="BM671" s="408"/>
      <c r="BN671" s="408"/>
      <c r="BO671" s="408"/>
      <c r="BP671" s="408"/>
      <c r="BQ671" s="408"/>
      <c r="BR671" s="408"/>
      <c r="BS671" s="408"/>
      <c r="BT671" s="408"/>
      <c r="BU671" s="408"/>
      <c r="BV671" s="408"/>
      <c r="BW671" s="408"/>
      <c r="BX671" s="408"/>
      <c r="BY671" s="408"/>
      <c r="BZ671" s="408"/>
      <c r="CA671" s="408"/>
      <c r="CB671" s="408"/>
      <c r="CC671" s="408"/>
      <c r="CD671" s="408"/>
      <c r="CE671" s="408"/>
      <c r="CF671" s="408"/>
      <c r="CG671" s="408"/>
      <c r="CH671" s="408"/>
      <c r="CI671" s="408"/>
      <c r="CJ671" s="408"/>
      <c r="CK671" s="408"/>
      <c r="CL671" s="408"/>
      <c r="CM671" s="408"/>
      <c r="CN671" s="408"/>
    </row>
    <row r="672">
      <c r="A672" s="408"/>
      <c r="B672" s="408"/>
      <c r="C672" s="408"/>
      <c r="D672" s="408"/>
      <c r="E672" s="408"/>
      <c r="F672" s="408"/>
      <c r="G672" s="408"/>
      <c r="H672" s="408"/>
      <c r="I672" s="408"/>
      <c r="J672" s="408"/>
      <c r="K672" s="408"/>
      <c r="L672" s="408"/>
      <c r="M672" s="408"/>
      <c r="N672" s="408"/>
      <c r="O672" s="408"/>
      <c r="P672" s="408"/>
      <c r="Q672" s="408"/>
      <c r="R672" s="408"/>
      <c r="S672" s="408"/>
      <c r="T672" s="408"/>
      <c r="U672" s="408"/>
      <c r="V672" s="408"/>
      <c r="W672" s="408"/>
      <c r="X672" s="408"/>
      <c r="Y672" s="408"/>
      <c r="Z672" s="408"/>
      <c r="AA672" s="408"/>
      <c r="AB672" s="408"/>
      <c r="AC672" s="408"/>
      <c r="AD672" s="408"/>
      <c r="AE672" s="408"/>
      <c r="AF672" s="408"/>
      <c r="AG672" s="408"/>
      <c r="AH672" s="408"/>
      <c r="AI672" s="408"/>
      <c r="AJ672" s="408"/>
      <c r="AK672" s="408"/>
      <c r="AL672" s="408"/>
      <c r="AM672" s="408"/>
      <c r="AN672" s="408"/>
      <c r="AO672" s="408"/>
      <c r="AP672" s="408"/>
      <c r="AQ672" s="408"/>
      <c r="AR672" s="408"/>
      <c r="AS672" s="408"/>
      <c r="AT672" s="408"/>
      <c r="AU672" s="408"/>
      <c r="AV672" s="408"/>
      <c r="AW672" s="408"/>
      <c r="AX672" s="408"/>
      <c r="AY672" s="408"/>
      <c r="AZ672" s="408"/>
      <c r="BA672" s="408"/>
      <c r="BB672" s="408"/>
      <c r="BC672" s="408"/>
      <c r="BD672" s="408"/>
      <c r="BE672" s="408"/>
      <c r="BF672" s="408"/>
      <c r="BG672" s="408"/>
      <c r="BH672" s="408"/>
      <c r="BI672" s="408"/>
      <c r="BJ672" s="408"/>
      <c r="BK672" s="408"/>
      <c r="BL672" s="408"/>
      <c r="BM672" s="408"/>
      <c r="BN672" s="408"/>
      <c r="BO672" s="408"/>
      <c r="BP672" s="408"/>
      <c r="BQ672" s="408"/>
      <c r="BR672" s="408"/>
      <c r="BS672" s="408"/>
      <c r="BT672" s="408"/>
      <c r="BU672" s="408"/>
      <c r="BV672" s="408"/>
      <c r="BW672" s="408"/>
      <c r="BX672" s="408"/>
      <c r="BY672" s="408"/>
      <c r="BZ672" s="408"/>
      <c r="CA672" s="408"/>
      <c r="CB672" s="408"/>
      <c r="CC672" s="408"/>
      <c r="CD672" s="408"/>
      <c r="CE672" s="408"/>
      <c r="CF672" s="408"/>
      <c r="CG672" s="408"/>
      <c r="CH672" s="408"/>
      <c r="CI672" s="408"/>
      <c r="CJ672" s="408"/>
      <c r="CK672" s="408"/>
      <c r="CL672" s="408"/>
      <c r="CM672" s="408"/>
      <c r="CN672" s="408"/>
    </row>
    <row r="673">
      <c r="A673" s="408"/>
      <c r="B673" s="408"/>
      <c r="C673" s="408"/>
      <c r="D673" s="408"/>
      <c r="E673" s="408"/>
      <c r="F673" s="408"/>
      <c r="G673" s="408"/>
      <c r="H673" s="408"/>
      <c r="I673" s="408"/>
      <c r="J673" s="408"/>
      <c r="K673" s="408"/>
      <c r="L673" s="408"/>
      <c r="M673" s="408"/>
      <c r="N673" s="408"/>
      <c r="O673" s="408"/>
      <c r="P673" s="408"/>
      <c r="Q673" s="408"/>
      <c r="R673" s="408"/>
      <c r="S673" s="408"/>
      <c r="T673" s="408"/>
      <c r="U673" s="408"/>
      <c r="V673" s="408"/>
      <c r="W673" s="408"/>
      <c r="X673" s="408"/>
      <c r="Y673" s="408"/>
      <c r="Z673" s="408"/>
      <c r="AA673" s="408"/>
      <c r="AB673" s="408"/>
      <c r="AC673" s="408"/>
      <c r="AD673" s="408"/>
      <c r="AE673" s="408"/>
      <c r="AF673" s="408"/>
      <c r="AG673" s="408"/>
      <c r="AH673" s="408"/>
      <c r="AI673" s="408"/>
      <c r="AJ673" s="408"/>
      <c r="AK673" s="408"/>
      <c r="AL673" s="408"/>
      <c r="AM673" s="408"/>
      <c r="AN673" s="408"/>
      <c r="AO673" s="408"/>
      <c r="AP673" s="408"/>
      <c r="AQ673" s="408"/>
      <c r="AR673" s="408"/>
      <c r="AS673" s="408"/>
      <c r="AT673" s="408"/>
      <c r="AU673" s="408"/>
      <c r="AV673" s="408"/>
      <c r="AW673" s="408"/>
      <c r="AX673" s="408"/>
      <c r="AY673" s="408"/>
      <c r="AZ673" s="408"/>
      <c r="BA673" s="408"/>
      <c r="BB673" s="408"/>
      <c r="BC673" s="408"/>
      <c r="BD673" s="408"/>
      <c r="BE673" s="408"/>
      <c r="BF673" s="408"/>
      <c r="BG673" s="408"/>
      <c r="BH673" s="408"/>
      <c r="BI673" s="408"/>
      <c r="BJ673" s="408"/>
      <c r="BK673" s="408"/>
      <c r="BL673" s="408"/>
      <c r="BM673" s="408"/>
      <c r="BN673" s="408"/>
      <c r="BO673" s="408"/>
      <c r="BP673" s="408"/>
      <c r="BQ673" s="408"/>
      <c r="BR673" s="408"/>
      <c r="BS673" s="408"/>
      <c r="BT673" s="408"/>
      <c r="BU673" s="408"/>
      <c r="BV673" s="408"/>
      <c r="BW673" s="408"/>
      <c r="BX673" s="408"/>
      <c r="BY673" s="408"/>
      <c r="BZ673" s="408"/>
      <c r="CA673" s="408"/>
      <c r="CB673" s="408"/>
      <c r="CC673" s="408"/>
      <c r="CD673" s="408"/>
      <c r="CE673" s="408"/>
      <c r="CF673" s="408"/>
      <c r="CG673" s="408"/>
      <c r="CH673" s="408"/>
      <c r="CI673" s="408"/>
      <c r="CJ673" s="408"/>
      <c r="CK673" s="408"/>
      <c r="CL673" s="408"/>
      <c r="CM673" s="408"/>
      <c r="CN673" s="408"/>
    </row>
    <row r="674">
      <c r="A674" s="408"/>
      <c r="B674" s="408"/>
      <c r="C674" s="408"/>
      <c r="D674" s="408"/>
      <c r="E674" s="408"/>
      <c r="F674" s="408"/>
      <c r="G674" s="408"/>
      <c r="H674" s="408"/>
      <c r="I674" s="408"/>
      <c r="J674" s="408"/>
      <c r="K674" s="408"/>
      <c r="L674" s="408"/>
      <c r="M674" s="408"/>
      <c r="N674" s="408"/>
      <c r="O674" s="408"/>
      <c r="P674" s="408"/>
      <c r="Q674" s="408"/>
      <c r="R674" s="408"/>
      <c r="S674" s="408"/>
      <c r="T674" s="408"/>
      <c r="U674" s="408"/>
      <c r="V674" s="408"/>
      <c r="W674" s="408"/>
      <c r="X674" s="408"/>
      <c r="Y674" s="408"/>
      <c r="Z674" s="408"/>
      <c r="AA674" s="408"/>
      <c r="AB674" s="408"/>
      <c r="AC674" s="408"/>
      <c r="AD674" s="408"/>
      <c r="AE674" s="408"/>
      <c r="AF674" s="408"/>
      <c r="AG674" s="408"/>
      <c r="AH674" s="408"/>
      <c r="AI674" s="408"/>
      <c r="AJ674" s="408"/>
      <c r="AK674" s="408"/>
      <c r="AL674" s="408"/>
      <c r="AM674" s="408"/>
      <c r="AN674" s="408"/>
      <c r="AO674" s="408"/>
      <c r="AP674" s="408"/>
      <c r="AQ674" s="408"/>
      <c r="AR674" s="408"/>
      <c r="AS674" s="408"/>
      <c r="AT674" s="408"/>
      <c r="AU674" s="408"/>
      <c r="AV674" s="408"/>
      <c r="AW674" s="408"/>
      <c r="AX674" s="408"/>
      <c r="AY674" s="408"/>
      <c r="AZ674" s="408"/>
      <c r="BA674" s="408"/>
      <c r="BB674" s="408"/>
      <c r="BC674" s="408"/>
      <c r="BD674" s="408"/>
      <c r="BE674" s="408"/>
      <c r="BF674" s="408"/>
      <c r="BG674" s="408"/>
      <c r="BH674" s="408"/>
      <c r="BI674" s="408"/>
      <c r="BJ674" s="408"/>
      <c r="BK674" s="408"/>
      <c r="BL674" s="408"/>
      <c r="BM674" s="408"/>
      <c r="BN674" s="408"/>
      <c r="BO674" s="408"/>
      <c r="BP674" s="408"/>
      <c r="BQ674" s="408"/>
      <c r="BR674" s="408"/>
      <c r="BS674" s="408"/>
      <c r="BT674" s="408"/>
      <c r="BU674" s="408"/>
      <c r="BV674" s="408"/>
      <c r="BW674" s="408"/>
      <c r="BX674" s="408"/>
      <c r="BY674" s="408"/>
      <c r="BZ674" s="408"/>
      <c r="CA674" s="408"/>
      <c r="CB674" s="408"/>
      <c r="CC674" s="408"/>
      <c r="CD674" s="408"/>
      <c r="CE674" s="408"/>
      <c r="CF674" s="408"/>
      <c r="CG674" s="408"/>
      <c r="CH674" s="408"/>
      <c r="CI674" s="408"/>
      <c r="CJ674" s="408"/>
      <c r="CK674" s="408"/>
      <c r="CL674" s="408"/>
      <c r="CM674" s="408"/>
      <c r="CN674" s="408"/>
    </row>
    <row r="675">
      <c r="A675" s="408"/>
      <c r="B675" s="408"/>
      <c r="C675" s="408"/>
      <c r="D675" s="408"/>
      <c r="E675" s="408"/>
      <c r="F675" s="408"/>
      <c r="G675" s="408"/>
      <c r="H675" s="408"/>
      <c r="I675" s="408"/>
      <c r="J675" s="408"/>
      <c r="K675" s="408"/>
      <c r="L675" s="408"/>
      <c r="M675" s="408"/>
      <c r="N675" s="408"/>
      <c r="O675" s="408"/>
      <c r="P675" s="408"/>
      <c r="Q675" s="408"/>
      <c r="R675" s="408"/>
      <c r="S675" s="408"/>
      <c r="T675" s="408"/>
      <c r="U675" s="408"/>
      <c r="V675" s="408"/>
      <c r="W675" s="408"/>
      <c r="X675" s="408"/>
      <c r="Y675" s="408"/>
      <c r="Z675" s="408"/>
      <c r="AA675" s="408"/>
      <c r="AB675" s="408"/>
      <c r="AC675" s="408"/>
      <c r="AD675" s="408"/>
      <c r="AE675" s="408"/>
      <c r="AF675" s="408"/>
      <c r="AG675" s="408"/>
      <c r="AH675" s="408"/>
      <c r="AI675" s="408"/>
      <c r="AJ675" s="408"/>
      <c r="AK675" s="408"/>
      <c r="AL675" s="408"/>
      <c r="AM675" s="408"/>
      <c r="AN675" s="408"/>
      <c r="AO675" s="408"/>
      <c r="AP675" s="408"/>
      <c r="AQ675" s="408"/>
      <c r="AR675" s="408"/>
      <c r="AS675" s="408"/>
      <c r="AT675" s="408"/>
      <c r="AU675" s="408"/>
      <c r="AV675" s="408"/>
      <c r="AW675" s="408"/>
      <c r="AX675" s="408"/>
      <c r="AY675" s="408"/>
      <c r="AZ675" s="408"/>
      <c r="BA675" s="408"/>
      <c r="BB675" s="408"/>
      <c r="BC675" s="408"/>
      <c r="BD675" s="408"/>
      <c r="BE675" s="408"/>
      <c r="BF675" s="408"/>
      <c r="BG675" s="408"/>
      <c r="BH675" s="408"/>
      <c r="BI675" s="408"/>
      <c r="BJ675" s="408"/>
      <c r="BK675" s="408"/>
      <c r="BL675" s="408"/>
      <c r="BM675" s="408"/>
      <c r="BN675" s="408"/>
      <c r="BO675" s="408"/>
      <c r="BP675" s="408"/>
      <c r="BQ675" s="408"/>
      <c r="BR675" s="408"/>
      <c r="BS675" s="408"/>
      <c r="BT675" s="408"/>
      <c r="BU675" s="408"/>
      <c r="BV675" s="408"/>
      <c r="BW675" s="408"/>
      <c r="BX675" s="408"/>
      <c r="BY675" s="408"/>
      <c r="BZ675" s="408"/>
      <c r="CA675" s="408"/>
      <c r="CB675" s="408"/>
      <c r="CC675" s="408"/>
      <c r="CD675" s="408"/>
      <c r="CE675" s="408"/>
      <c r="CF675" s="408"/>
      <c r="CG675" s="408"/>
      <c r="CH675" s="408"/>
      <c r="CI675" s="408"/>
      <c r="CJ675" s="408"/>
      <c r="CK675" s="408"/>
      <c r="CL675" s="408"/>
      <c r="CM675" s="408"/>
      <c r="CN675" s="408"/>
    </row>
    <row r="676">
      <c r="A676" s="408"/>
      <c r="B676" s="408"/>
      <c r="C676" s="408"/>
      <c r="D676" s="408"/>
      <c r="E676" s="408"/>
      <c r="F676" s="408"/>
      <c r="G676" s="408"/>
      <c r="H676" s="408"/>
      <c r="I676" s="408"/>
      <c r="J676" s="408"/>
      <c r="K676" s="408"/>
      <c r="L676" s="408"/>
      <c r="M676" s="408"/>
      <c r="N676" s="408"/>
      <c r="O676" s="408"/>
      <c r="P676" s="408"/>
      <c r="Q676" s="408"/>
      <c r="R676" s="408"/>
      <c r="S676" s="408"/>
      <c r="T676" s="408"/>
      <c r="U676" s="408"/>
      <c r="V676" s="408"/>
      <c r="W676" s="408"/>
      <c r="X676" s="408"/>
      <c r="Y676" s="408"/>
      <c r="Z676" s="408"/>
      <c r="AA676" s="408"/>
      <c r="AB676" s="408"/>
      <c r="AC676" s="408"/>
      <c r="AD676" s="408"/>
      <c r="AE676" s="408"/>
      <c r="AF676" s="408"/>
      <c r="AG676" s="408"/>
      <c r="AH676" s="408"/>
      <c r="AI676" s="408"/>
      <c r="AJ676" s="408"/>
      <c r="AK676" s="408"/>
      <c r="AL676" s="408"/>
      <c r="AM676" s="408"/>
      <c r="AN676" s="408"/>
      <c r="AO676" s="408"/>
      <c r="AP676" s="408"/>
      <c r="AQ676" s="408"/>
      <c r="AR676" s="408"/>
      <c r="AS676" s="408"/>
      <c r="AT676" s="408"/>
      <c r="AU676" s="408"/>
      <c r="AV676" s="408"/>
      <c r="AW676" s="408"/>
      <c r="AX676" s="408"/>
      <c r="AY676" s="408"/>
      <c r="AZ676" s="408"/>
      <c r="BA676" s="408"/>
      <c r="BB676" s="408"/>
      <c r="BC676" s="408"/>
      <c r="BD676" s="408"/>
      <c r="BE676" s="408"/>
      <c r="BF676" s="408"/>
      <c r="BG676" s="408"/>
      <c r="BH676" s="408"/>
      <c r="BI676" s="408"/>
      <c r="BJ676" s="408"/>
      <c r="BK676" s="408"/>
      <c r="BL676" s="408"/>
      <c r="BM676" s="408"/>
      <c r="BN676" s="408"/>
      <c r="BO676" s="408"/>
      <c r="BP676" s="408"/>
      <c r="BQ676" s="408"/>
      <c r="BR676" s="408"/>
      <c r="BS676" s="408"/>
      <c r="BT676" s="408"/>
      <c r="BU676" s="408"/>
      <c r="BV676" s="408"/>
      <c r="BW676" s="408"/>
      <c r="BX676" s="408"/>
      <c r="BY676" s="408"/>
      <c r="BZ676" s="408"/>
      <c r="CA676" s="408"/>
      <c r="CB676" s="408"/>
      <c r="CC676" s="408"/>
      <c r="CD676" s="408"/>
      <c r="CE676" s="408"/>
      <c r="CF676" s="408"/>
      <c r="CG676" s="408"/>
      <c r="CH676" s="408"/>
      <c r="CI676" s="408"/>
      <c r="CJ676" s="408"/>
      <c r="CK676" s="408"/>
      <c r="CL676" s="408"/>
      <c r="CM676" s="408"/>
      <c r="CN676" s="408"/>
    </row>
    <row r="677">
      <c r="A677" s="408"/>
      <c r="B677" s="408"/>
      <c r="C677" s="408"/>
      <c r="D677" s="408"/>
      <c r="E677" s="408"/>
      <c r="F677" s="408"/>
      <c r="G677" s="408"/>
      <c r="H677" s="408"/>
      <c r="I677" s="408"/>
      <c r="J677" s="408"/>
      <c r="K677" s="408"/>
      <c r="L677" s="408"/>
      <c r="M677" s="408"/>
      <c r="N677" s="408"/>
      <c r="O677" s="408"/>
      <c r="P677" s="408"/>
      <c r="Q677" s="408"/>
      <c r="R677" s="408"/>
      <c r="S677" s="408"/>
      <c r="T677" s="408"/>
      <c r="U677" s="408"/>
      <c r="V677" s="408"/>
      <c r="W677" s="408"/>
      <c r="X677" s="408"/>
      <c r="Y677" s="408"/>
      <c r="Z677" s="408"/>
      <c r="AA677" s="408"/>
      <c r="AB677" s="408"/>
      <c r="AC677" s="408"/>
      <c r="AD677" s="408"/>
      <c r="AE677" s="408"/>
      <c r="AF677" s="408"/>
      <c r="AG677" s="408"/>
      <c r="AH677" s="408"/>
      <c r="AI677" s="408"/>
      <c r="AJ677" s="408"/>
      <c r="AK677" s="408"/>
      <c r="AL677" s="408"/>
      <c r="AM677" s="408"/>
      <c r="AN677" s="408"/>
      <c r="AO677" s="408"/>
      <c r="AP677" s="408"/>
      <c r="AQ677" s="408"/>
      <c r="AR677" s="408"/>
      <c r="AS677" s="408"/>
      <c r="AT677" s="408"/>
      <c r="AU677" s="408"/>
      <c r="AV677" s="408"/>
      <c r="AW677" s="408"/>
      <c r="AX677" s="408"/>
      <c r="AY677" s="408"/>
      <c r="AZ677" s="408"/>
      <c r="BA677" s="408"/>
      <c r="BB677" s="408"/>
      <c r="BC677" s="408"/>
      <c r="BD677" s="408"/>
      <c r="BE677" s="408"/>
      <c r="BF677" s="408"/>
      <c r="BG677" s="408"/>
      <c r="BH677" s="408"/>
      <c r="BI677" s="408"/>
      <c r="BJ677" s="408"/>
      <c r="BK677" s="408"/>
      <c r="BL677" s="408"/>
      <c r="BM677" s="408"/>
      <c r="BN677" s="408"/>
      <c r="BO677" s="408"/>
      <c r="BP677" s="408"/>
      <c r="BQ677" s="408"/>
      <c r="BR677" s="408"/>
      <c r="BS677" s="408"/>
      <c r="BT677" s="408"/>
      <c r="BU677" s="408"/>
      <c r="BV677" s="408"/>
      <c r="BW677" s="408"/>
      <c r="BX677" s="408"/>
      <c r="BY677" s="408"/>
      <c r="BZ677" s="408"/>
      <c r="CA677" s="408"/>
      <c r="CB677" s="408"/>
      <c r="CC677" s="408"/>
      <c r="CD677" s="408"/>
      <c r="CE677" s="408"/>
      <c r="CF677" s="408"/>
      <c r="CG677" s="408"/>
      <c r="CH677" s="408"/>
      <c r="CI677" s="408"/>
      <c r="CJ677" s="408"/>
      <c r="CK677" s="408"/>
      <c r="CL677" s="408"/>
      <c r="CM677" s="408"/>
      <c r="CN677" s="408"/>
    </row>
    <row r="678">
      <c r="A678" s="408"/>
      <c r="B678" s="408"/>
      <c r="C678" s="408"/>
      <c r="D678" s="408"/>
      <c r="E678" s="408"/>
      <c r="F678" s="408"/>
      <c r="G678" s="408"/>
      <c r="H678" s="408"/>
      <c r="I678" s="408"/>
      <c r="J678" s="408"/>
      <c r="K678" s="408"/>
      <c r="L678" s="408"/>
      <c r="M678" s="408"/>
      <c r="N678" s="408"/>
      <c r="O678" s="408"/>
      <c r="P678" s="408"/>
      <c r="Q678" s="408"/>
      <c r="R678" s="408"/>
      <c r="S678" s="408"/>
      <c r="T678" s="408"/>
      <c r="U678" s="408"/>
      <c r="V678" s="408"/>
      <c r="W678" s="408"/>
      <c r="X678" s="408"/>
      <c r="Y678" s="408"/>
      <c r="Z678" s="408"/>
      <c r="AA678" s="408"/>
      <c r="AB678" s="408"/>
      <c r="AC678" s="408"/>
      <c r="AD678" s="408"/>
      <c r="AE678" s="408"/>
      <c r="AF678" s="408"/>
      <c r="AG678" s="408"/>
      <c r="AH678" s="408"/>
      <c r="AI678" s="408"/>
      <c r="AJ678" s="408"/>
      <c r="AK678" s="408"/>
      <c r="AL678" s="408"/>
      <c r="AM678" s="408"/>
      <c r="AN678" s="408"/>
      <c r="AO678" s="408"/>
      <c r="AP678" s="408"/>
      <c r="AQ678" s="408"/>
      <c r="AR678" s="408"/>
      <c r="AS678" s="408"/>
      <c r="AT678" s="408"/>
      <c r="AU678" s="408"/>
      <c r="AV678" s="408"/>
      <c r="AW678" s="408"/>
      <c r="AX678" s="408"/>
      <c r="AY678" s="408"/>
      <c r="AZ678" s="408"/>
      <c r="BA678" s="408"/>
      <c r="BB678" s="408"/>
      <c r="BC678" s="408"/>
      <c r="BD678" s="408"/>
      <c r="BE678" s="408"/>
      <c r="BF678" s="408"/>
      <c r="BG678" s="408"/>
      <c r="BH678" s="408"/>
      <c r="BI678" s="408"/>
      <c r="BJ678" s="408"/>
      <c r="BK678" s="408"/>
      <c r="BL678" s="408"/>
      <c r="BM678" s="408"/>
      <c r="BN678" s="408"/>
      <c r="BO678" s="408"/>
      <c r="BP678" s="408"/>
      <c r="BQ678" s="408"/>
      <c r="BR678" s="408"/>
      <c r="BS678" s="408"/>
      <c r="BT678" s="408"/>
      <c r="BU678" s="408"/>
      <c r="BV678" s="408"/>
      <c r="BW678" s="408"/>
      <c r="BX678" s="408"/>
      <c r="BY678" s="408"/>
      <c r="BZ678" s="408"/>
      <c r="CA678" s="408"/>
      <c r="CB678" s="408"/>
      <c r="CC678" s="408"/>
      <c r="CD678" s="408"/>
      <c r="CE678" s="408"/>
      <c r="CF678" s="408"/>
      <c r="CG678" s="408"/>
      <c r="CH678" s="408"/>
      <c r="CI678" s="408"/>
      <c r="CJ678" s="408"/>
      <c r="CK678" s="408"/>
      <c r="CL678" s="408"/>
      <c r="CM678" s="408"/>
      <c r="CN678" s="408"/>
    </row>
    <row r="679">
      <c r="A679" s="408"/>
      <c r="B679" s="408"/>
      <c r="C679" s="408"/>
      <c r="D679" s="408"/>
      <c r="E679" s="408"/>
      <c r="F679" s="408"/>
      <c r="G679" s="408"/>
      <c r="H679" s="408"/>
      <c r="I679" s="408"/>
      <c r="J679" s="408"/>
      <c r="K679" s="408"/>
      <c r="L679" s="408"/>
      <c r="M679" s="408"/>
      <c r="N679" s="408"/>
      <c r="O679" s="408"/>
      <c r="P679" s="408"/>
      <c r="Q679" s="408"/>
      <c r="R679" s="408"/>
      <c r="S679" s="408"/>
      <c r="T679" s="408"/>
      <c r="U679" s="408"/>
      <c r="V679" s="408"/>
      <c r="W679" s="408"/>
      <c r="X679" s="408"/>
      <c r="Y679" s="408"/>
      <c r="Z679" s="408"/>
      <c r="AA679" s="408"/>
      <c r="AB679" s="408"/>
      <c r="AC679" s="408"/>
      <c r="AD679" s="408"/>
      <c r="AE679" s="408"/>
      <c r="AF679" s="408"/>
      <c r="AG679" s="408"/>
      <c r="AH679" s="408"/>
      <c r="AI679" s="408"/>
      <c r="AJ679" s="408"/>
      <c r="AK679" s="408"/>
      <c r="AL679" s="408"/>
      <c r="AM679" s="408"/>
      <c r="AN679" s="408"/>
      <c r="AO679" s="408"/>
      <c r="AP679" s="408"/>
      <c r="AQ679" s="408"/>
      <c r="AR679" s="408"/>
      <c r="AS679" s="408"/>
      <c r="AT679" s="408"/>
      <c r="AU679" s="408"/>
      <c r="AV679" s="408"/>
      <c r="AW679" s="408"/>
      <c r="AX679" s="408"/>
      <c r="AY679" s="408"/>
      <c r="AZ679" s="408"/>
      <c r="BA679" s="408"/>
      <c r="BB679" s="408"/>
      <c r="BC679" s="408"/>
      <c r="BD679" s="408"/>
      <c r="BE679" s="408"/>
      <c r="BF679" s="408"/>
      <c r="BG679" s="408"/>
      <c r="BH679" s="408"/>
      <c r="BI679" s="408"/>
      <c r="BJ679" s="408"/>
      <c r="BK679" s="408"/>
      <c r="BL679" s="408"/>
      <c r="BM679" s="408"/>
      <c r="BN679" s="408"/>
      <c r="BO679" s="408"/>
      <c r="BP679" s="408"/>
      <c r="BQ679" s="408"/>
      <c r="BR679" s="408"/>
      <c r="BS679" s="408"/>
      <c r="BT679" s="408"/>
      <c r="BU679" s="408"/>
      <c r="BV679" s="408"/>
      <c r="BW679" s="408"/>
      <c r="BX679" s="408"/>
      <c r="BY679" s="408"/>
      <c r="BZ679" s="408"/>
      <c r="CA679" s="408"/>
      <c r="CB679" s="408"/>
      <c r="CC679" s="408"/>
      <c r="CD679" s="408"/>
      <c r="CE679" s="408"/>
      <c r="CF679" s="408"/>
      <c r="CG679" s="408"/>
      <c r="CH679" s="408"/>
      <c r="CI679" s="408"/>
      <c r="CJ679" s="408"/>
      <c r="CK679" s="408"/>
      <c r="CL679" s="408"/>
      <c r="CM679" s="408"/>
      <c r="CN679" s="408"/>
    </row>
    <row r="680">
      <c r="A680" s="408"/>
      <c r="B680" s="408"/>
      <c r="C680" s="408"/>
      <c r="D680" s="408"/>
      <c r="E680" s="408"/>
      <c r="F680" s="408"/>
      <c r="G680" s="408"/>
      <c r="H680" s="408"/>
      <c r="I680" s="408"/>
      <c r="J680" s="408"/>
      <c r="K680" s="408"/>
      <c r="L680" s="408"/>
      <c r="M680" s="408"/>
      <c r="N680" s="408"/>
      <c r="O680" s="408"/>
      <c r="P680" s="408"/>
      <c r="Q680" s="408"/>
      <c r="R680" s="408"/>
      <c r="S680" s="408"/>
      <c r="T680" s="408"/>
      <c r="U680" s="408"/>
      <c r="V680" s="408"/>
      <c r="W680" s="408"/>
      <c r="X680" s="408"/>
      <c r="Y680" s="408"/>
      <c r="Z680" s="408"/>
      <c r="AA680" s="408"/>
      <c r="AB680" s="408"/>
      <c r="AC680" s="408"/>
      <c r="AD680" s="408"/>
      <c r="AE680" s="408"/>
      <c r="AF680" s="408"/>
      <c r="AG680" s="408"/>
      <c r="AH680" s="408"/>
      <c r="AI680" s="408"/>
      <c r="AJ680" s="408"/>
      <c r="AK680" s="408"/>
      <c r="AL680" s="408"/>
      <c r="AM680" s="408"/>
      <c r="AN680" s="408"/>
      <c r="AO680" s="408"/>
      <c r="AP680" s="408"/>
      <c r="AQ680" s="408"/>
      <c r="AR680" s="408"/>
      <c r="AS680" s="408"/>
      <c r="AT680" s="408"/>
      <c r="AU680" s="408"/>
      <c r="AV680" s="408"/>
      <c r="AW680" s="408"/>
      <c r="AX680" s="408"/>
      <c r="AY680" s="408"/>
      <c r="AZ680" s="408"/>
      <c r="BA680" s="408"/>
      <c r="BB680" s="408"/>
      <c r="BC680" s="408"/>
      <c r="BD680" s="408"/>
      <c r="BE680" s="408"/>
      <c r="BF680" s="408"/>
      <c r="BG680" s="408"/>
      <c r="BH680" s="408"/>
      <c r="BI680" s="408"/>
      <c r="BJ680" s="408"/>
      <c r="BK680" s="408"/>
      <c r="BL680" s="408"/>
      <c r="BM680" s="408"/>
      <c r="BN680" s="408"/>
      <c r="BO680" s="408"/>
      <c r="BP680" s="408"/>
      <c r="BQ680" s="408"/>
      <c r="BR680" s="408"/>
      <c r="BS680" s="408"/>
      <c r="BT680" s="408"/>
      <c r="BU680" s="408"/>
      <c r="BV680" s="408"/>
      <c r="BW680" s="408"/>
      <c r="BX680" s="408"/>
      <c r="BY680" s="408"/>
      <c r="BZ680" s="408"/>
      <c r="CA680" s="408"/>
      <c r="CB680" s="408"/>
      <c r="CC680" s="408"/>
      <c r="CD680" s="408"/>
      <c r="CE680" s="408"/>
      <c r="CF680" s="408"/>
      <c r="CG680" s="408"/>
      <c r="CH680" s="408"/>
      <c r="CI680" s="408"/>
      <c r="CJ680" s="408"/>
      <c r="CK680" s="408"/>
      <c r="CL680" s="408"/>
      <c r="CM680" s="408"/>
      <c r="CN680" s="408"/>
    </row>
    <row r="681">
      <c r="A681" s="408"/>
      <c r="B681" s="408"/>
      <c r="C681" s="408"/>
      <c r="D681" s="408"/>
      <c r="E681" s="408"/>
      <c r="F681" s="408"/>
      <c r="G681" s="408"/>
      <c r="H681" s="408"/>
      <c r="I681" s="408"/>
      <c r="J681" s="408"/>
      <c r="K681" s="408"/>
      <c r="L681" s="408"/>
      <c r="M681" s="408"/>
      <c r="N681" s="408"/>
      <c r="O681" s="408"/>
      <c r="P681" s="408"/>
      <c r="Q681" s="408"/>
      <c r="R681" s="408"/>
      <c r="S681" s="408"/>
      <c r="T681" s="408"/>
      <c r="U681" s="408"/>
      <c r="V681" s="408"/>
      <c r="W681" s="408"/>
      <c r="X681" s="408"/>
      <c r="Y681" s="408"/>
      <c r="Z681" s="408"/>
      <c r="AA681" s="408"/>
      <c r="AB681" s="408"/>
      <c r="AC681" s="408"/>
      <c r="AD681" s="408"/>
      <c r="AE681" s="408"/>
      <c r="AF681" s="408"/>
      <c r="AG681" s="408"/>
      <c r="AH681" s="408"/>
      <c r="AI681" s="408"/>
      <c r="AJ681" s="408"/>
      <c r="AK681" s="408"/>
      <c r="AL681" s="408"/>
      <c r="AM681" s="408"/>
      <c r="AN681" s="408"/>
      <c r="AO681" s="408"/>
      <c r="AP681" s="408"/>
      <c r="AQ681" s="408"/>
      <c r="AR681" s="408"/>
      <c r="AS681" s="408"/>
      <c r="AT681" s="408"/>
      <c r="AU681" s="408"/>
      <c r="AV681" s="408"/>
      <c r="AW681" s="408"/>
      <c r="AX681" s="408"/>
      <c r="AY681" s="408"/>
      <c r="AZ681" s="408"/>
      <c r="BA681" s="408"/>
      <c r="BB681" s="408"/>
      <c r="BC681" s="408"/>
      <c r="BD681" s="408"/>
      <c r="BE681" s="408"/>
      <c r="BF681" s="408"/>
      <c r="BG681" s="408"/>
      <c r="BH681" s="408"/>
      <c r="BI681" s="408"/>
      <c r="BJ681" s="408"/>
      <c r="BK681" s="408"/>
      <c r="BL681" s="408"/>
      <c r="BM681" s="408"/>
      <c r="BN681" s="408"/>
      <c r="BO681" s="408"/>
      <c r="BP681" s="408"/>
      <c r="BQ681" s="408"/>
      <c r="BR681" s="408"/>
      <c r="BS681" s="408"/>
      <c r="BT681" s="408"/>
      <c r="BU681" s="408"/>
      <c r="BV681" s="408"/>
      <c r="BW681" s="408"/>
      <c r="BX681" s="408"/>
      <c r="BY681" s="408"/>
      <c r="BZ681" s="408"/>
      <c r="CA681" s="408"/>
      <c r="CB681" s="408"/>
      <c r="CC681" s="408"/>
      <c r="CD681" s="408"/>
      <c r="CE681" s="408"/>
      <c r="CF681" s="408"/>
      <c r="CG681" s="408"/>
      <c r="CH681" s="408"/>
      <c r="CI681" s="408"/>
      <c r="CJ681" s="408"/>
      <c r="CK681" s="408"/>
      <c r="CL681" s="408"/>
      <c r="CM681" s="408"/>
      <c r="CN681" s="408"/>
    </row>
    <row r="682">
      <c r="A682" s="408"/>
      <c r="B682" s="408"/>
      <c r="C682" s="408"/>
      <c r="D682" s="408"/>
      <c r="E682" s="408"/>
      <c r="F682" s="408"/>
      <c r="G682" s="408"/>
      <c r="H682" s="408"/>
      <c r="I682" s="408"/>
      <c r="J682" s="408"/>
      <c r="K682" s="408"/>
      <c r="L682" s="408"/>
      <c r="M682" s="408"/>
      <c r="N682" s="408"/>
      <c r="O682" s="408"/>
      <c r="P682" s="408"/>
      <c r="Q682" s="408"/>
      <c r="R682" s="408"/>
      <c r="S682" s="408"/>
      <c r="T682" s="408"/>
      <c r="U682" s="408"/>
      <c r="V682" s="408"/>
      <c r="W682" s="408"/>
      <c r="X682" s="408"/>
      <c r="Y682" s="408"/>
      <c r="Z682" s="408"/>
      <c r="AA682" s="408"/>
      <c r="AB682" s="408"/>
      <c r="AC682" s="408"/>
      <c r="AD682" s="408"/>
      <c r="AE682" s="408"/>
      <c r="AF682" s="408"/>
      <c r="AG682" s="408"/>
      <c r="AH682" s="408"/>
      <c r="AI682" s="408"/>
      <c r="AJ682" s="408"/>
      <c r="AK682" s="408"/>
      <c r="AL682" s="408"/>
      <c r="AM682" s="408"/>
      <c r="AN682" s="408"/>
      <c r="AO682" s="408"/>
      <c r="AP682" s="408"/>
      <c r="AQ682" s="408"/>
      <c r="AR682" s="408"/>
      <c r="AS682" s="408"/>
      <c r="AT682" s="408"/>
      <c r="AU682" s="408"/>
      <c r="AV682" s="408"/>
      <c r="AW682" s="408"/>
      <c r="AX682" s="408"/>
      <c r="AY682" s="408"/>
      <c r="AZ682" s="408"/>
      <c r="BA682" s="408"/>
      <c r="BB682" s="408"/>
      <c r="BC682" s="408"/>
      <c r="BD682" s="408"/>
      <c r="BE682" s="408"/>
      <c r="BF682" s="408"/>
      <c r="BG682" s="408"/>
      <c r="BH682" s="408"/>
      <c r="BI682" s="408"/>
      <c r="BJ682" s="408"/>
      <c r="BK682" s="408"/>
      <c r="BL682" s="408"/>
      <c r="BM682" s="408"/>
      <c r="BN682" s="408"/>
      <c r="BO682" s="408"/>
      <c r="BP682" s="408"/>
      <c r="BQ682" s="408"/>
      <c r="BR682" s="408"/>
      <c r="BS682" s="408"/>
      <c r="BT682" s="408"/>
      <c r="BU682" s="408"/>
      <c r="BV682" s="408"/>
      <c r="BW682" s="408"/>
      <c r="BX682" s="408"/>
      <c r="BY682" s="408"/>
      <c r="BZ682" s="408"/>
      <c r="CA682" s="408"/>
      <c r="CB682" s="408"/>
      <c r="CC682" s="408"/>
      <c r="CD682" s="408"/>
      <c r="CE682" s="408"/>
      <c r="CF682" s="408"/>
      <c r="CG682" s="408"/>
      <c r="CH682" s="408"/>
      <c r="CI682" s="408"/>
      <c r="CJ682" s="408"/>
      <c r="CK682" s="408"/>
      <c r="CL682" s="408"/>
      <c r="CM682" s="408"/>
      <c r="CN682" s="408"/>
    </row>
    <row r="683">
      <c r="A683" s="408"/>
      <c r="B683" s="408"/>
      <c r="C683" s="408"/>
      <c r="D683" s="408"/>
      <c r="E683" s="408"/>
      <c r="F683" s="408"/>
      <c r="G683" s="408"/>
      <c r="H683" s="408"/>
      <c r="I683" s="408"/>
      <c r="J683" s="408"/>
      <c r="K683" s="408"/>
      <c r="L683" s="408"/>
      <c r="M683" s="408"/>
      <c r="N683" s="408"/>
      <c r="O683" s="408"/>
      <c r="P683" s="408"/>
      <c r="Q683" s="408"/>
      <c r="R683" s="408"/>
      <c r="S683" s="408"/>
      <c r="T683" s="408"/>
      <c r="U683" s="408"/>
      <c r="V683" s="408"/>
      <c r="W683" s="408"/>
      <c r="X683" s="408"/>
      <c r="Y683" s="408"/>
      <c r="Z683" s="408"/>
      <c r="AA683" s="408"/>
      <c r="AB683" s="408"/>
      <c r="AC683" s="408"/>
      <c r="AD683" s="408"/>
      <c r="AE683" s="408"/>
      <c r="AF683" s="408"/>
      <c r="AG683" s="408"/>
      <c r="AH683" s="408"/>
      <c r="AI683" s="408"/>
      <c r="AJ683" s="408"/>
      <c r="AK683" s="408"/>
      <c r="AL683" s="408"/>
      <c r="AM683" s="408"/>
      <c r="AN683" s="408"/>
      <c r="AO683" s="408"/>
      <c r="AP683" s="408"/>
      <c r="AQ683" s="408"/>
      <c r="AR683" s="408"/>
      <c r="AS683" s="408"/>
      <c r="AT683" s="408"/>
      <c r="AU683" s="408"/>
      <c r="AV683" s="408"/>
      <c r="AW683" s="408"/>
      <c r="AX683" s="408"/>
      <c r="AY683" s="408"/>
      <c r="AZ683" s="408"/>
      <c r="BA683" s="408"/>
      <c r="BB683" s="408"/>
      <c r="BC683" s="408"/>
      <c r="BD683" s="408"/>
      <c r="BE683" s="408"/>
      <c r="BF683" s="408"/>
      <c r="BG683" s="408"/>
      <c r="BH683" s="408"/>
      <c r="BI683" s="408"/>
      <c r="BJ683" s="408"/>
      <c r="BK683" s="408"/>
      <c r="BL683" s="408"/>
      <c r="BM683" s="408"/>
      <c r="BN683" s="408"/>
      <c r="BO683" s="408"/>
      <c r="BP683" s="408"/>
      <c r="BQ683" s="408"/>
      <c r="BR683" s="408"/>
      <c r="BS683" s="408"/>
      <c r="BT683" s="408"/>
      <c r="BU683" s="408"/>
      <c r="BV683" s="408"/>
      <c r="BW683" s="408"/>
      <c r="BX683" s="408"/>
      <c r="BY683" s="408"/>
      <c r="BZ683" s="408"/>
      <c r="CA683" s="408"/>
      <c r="CB683" s="408"/>
      <c r="CC683" s="408"/>
      <c r="CD683" s="408"/>
      <c r="CE683" s="408"/>
      <c r="CF683" s="408"/>
      <c r="CG683" s="408"/>
      <c r="CH683" s="408"/>
      <c r="CI683" s="408"/>
      <c r="CJ683" s="408"/>
      <c r="CK683" s="408"/>
      <c r="CL683" s="408"/>
      <c r="CM683" s="408"/>
      <c r="CN683" s="408"/>
    </row>
    <row r="684">
      <c r="A684" s="408"/>
      <c r="B684" s="408"/>
      <c r="C684" s="408"/>
      <c r="D684" s="408"/>
      <c r="E684" s="408"/>
      <c r="F684" s="408"/>
      <c r="G684" s="408"/>
      <c r="H684" s="408"/>
      <c r="I684" s="408"/>
      <c r="J684" s="408"/>
      <c r="K684" s="408"/>
      <c r="L684" s="408"/>
      <c r="M684" s="408"/>
      <c r="N684" s="408"/>
      <c r="O684" s="408"/>
      <c r="P684" s="408"/>
      <c r="Q684" s="408"/>
      <c r="R684" s="408"/>
      <c r="S684" s="408"/>
      <c r="T684" s="408"/>
      <c r="U684" s="408"/>
      <c r="V684" s="408"/>
      <c r="W684" s="408"/>
      <c r="X684" s="408"/>
      <c r="Y684" s="408"/>
      <c r="Z684" s="408"/>
      <c r="AA684" s="408"/>
      <c r="AB684" s="408"/>
      <c r="AC684" s="408"/>
      <c r="AD684" s="408"/>
      <c r="AE684" s="408"/>
      <c r="AF684" s="408"/>
      <c r="AG684" s="408"/>
      <c r="AH684" s="408"/>
      <c r="AI684" s="408"/>
      <c r="AJ684" s="408"/>
      <c r="AK684" s="408"/>
      <c r="AL684" s="408"/>
      <c r="AM684" s="408"/>
      <c r="AN684" s="408"/>
      <c r="AO684" s="408"/>
      <c r="AP684" s="408"/>
      <c r="AQ684" s="408"/>
      <c r="AR684" s="408"/>
      <c r="AS684" s="408"/>
      <c r="AT684" s="408"/>
      <c r="AU684" s="408"/>
      <c r="AV684" s="408"/>
      <c r="AW684" s="408"/>
      <c r="AX684" s="408"/>
      <c r="AY684" s="408"/>
      <c r="AZ684" s="408"/>
      <c r="BA684" s="408"/>
      <c r="BB684" s="408"/>
      <c r="BC684" s="408"/>
      <c r="BD684" s="408"/>
      <c r="BE684" s="408"/>
      <c r="BF684" s="408"/>
      <c r="BG684" s="408"/>
      <c r="BH684" s="408"/>
      <c r="BI684" s="408"/>
      <c r="BJ684" s="408"/>
      <c r="BK684" s="408"/>
      <c r="BL684" s="408"/>
      <c r="BM684" s="408"/>
      <c r="BN684" s="408"/>
      <c r="BO684" s="408"/>
      <c r="BP684" s="408"/>
      <c r="BQ684" s="408"/>
      <c r="BR684" s="408"/>
      <c r="BS684" s="408"/>
      <c r="BT684" s="408"/>
      <c r="BU684" s="408"/>
      <c r="BV684" s="408"/>
      <c r="BW684" s="408"/>
      <c r="BX684" s="408"/>
      <c r="BY684" s="408"/>
      <c r="BZ684" s="408"/>
      <c r="CA684" s="408"/>
      <c r="CB684" s="408"/>
      <c r="CC684" s="408"/>
      <c r="CD684" s="408"/>
      <c r="CE684" s="408"/>
      <c r="CF684" s="408"/>
      <c r="CG684" s="408"/>
      <c r="CH684" s="408"/>
      <c r="CI684" s="408"/>
      <c r="CJ684" s="408"/>
      <c r="CK684" s="408"/>
      <c r="CL684" s="408"/>
      <c r="CM684" s="408"/>
      <c r="CN684" s="408"/>
    </row>
    <row r="685">
      <c r="A685" s="408"/>
      <c r="B685" s="408"/>
      <c r="C685" s="408"/>
      <c r="D685" s="408"/>
      <c r="E685" s="408"/>
      <c r="F685" s="408"/>
      <c r="G685" s="408"/>
      <c r="H685" s="408"/>
      <c r="I685" s="408"/>
      <c r="J685" s="408"/>
      <c r="K685" s="408"/>
      <c r="L685" s="408"/>
      <c r="M685" s="408"/>
      <c r="N685" s="408"/>
      <c r="O685" s="408"/>
      <c r="P685" s="408"/>
      <c r="Q685" s="408"/>
      <c r="R685" s="408"/>
      <c r="S685" s="408"/>
      <c r="T685" s="408"/>
      <c r="U685" s="408"/>
      <c r="V685" s="408"/>
      <c r="W685" s="408"/>
      <c r="X685" s="408"/>
      <c r="Y685" s="408"/>
      <c r="Z685" s="408"/>
      <c r="AA685" s="408"/>
      <c r="AB685" s="408"/>
      <c r="AC685" s="408"/>
      <c r="AD685" s="408"/>
      <c r="AE685" s="408"/>
      <c r="AF685" s="408"/>
      <c r="AG685" s="408"/>
      <c r="AH685" s="408"/>
      <c r="AI685" s="408"/>
      <c r="AJ685" s="408"/>
      <c r="AK685" s="408"/>
      <c r="AL685" s="408"/>
      <c r="AM685" s="408"/>
      <c r="AN685" s="408"/>
      <c r="AO685" s="408"/>
      <c r="AP685" s="408"/>
      <c r="AQ685" s="408"/>
      <c r="AR685" s="408"/>
      <c r="AS685" s="408"/>
      <c r="AT685" s="408"/>
      <c r="AU685" s="408"/>
      <c r="AV685" s="408"/>
      <c r="AW685" s="408"/>
      <c r="AX685" s="408"/>
      <c r="AY685" s="408"/>
      <c r="AZ685" s="408"/>
      <c r="BA685" s="408"/>
      <c r="BB685" s="408"/>
      <c r="BC685" s="408"/>
      <c r="BD685" s="408"/>
      <c r="BE685" s="408"/>
      <c r="BF685" s="408"/>
      <c r="BG685" s="408"/>
      <c r="BH685" s="408"/>
      <c r="BI685" s="408"/>
      <c r="BJ685" s="408"/>
      <c r="BK685" s="408"/>
      <c r="BL685" s="408"/>
      <c r="BM685" s="408"/>
      <c r="BN685" s="408"/>
      <c r="BO685" s="408"/>
      <c r="BP685" s="408"/>
      <c r="BQ685" s="408"/>
      <c r="BR685" s="408"/>
      <c r="BS685" s="408"/>
      <c r="BT685" s="408"/>
      <c r="BU685" s="408"/>
      <c r="BV685" s="408"/>
      <c r="BW685" s="408"/>
      <c r="BX685" s="408"/>
      <c r="BY685" s="408"/>
      <c r="BZ685" s="408"/>
      <c r="CA685" s="408"/>
      <c r="CB685" s="408"/>
      <c r="CC685" s="408"/>
      <c r="CD685" s="408"/>
      <c r="CE685" s="408"/>
      <c r="CF685" s="408"/>
      <c r="CG685" s="408"/>
      <c r="CH685" s="408"/>
      <c r="CI685" s="408"/>
      <c r="CJ685" s="408"/>
      <c r="CK685" s="408"/>
      <c r="CL685" s="408"/>
      <c r="CM685" s="408"/>
      <c r="CN685" s="408"/>
    </row>
    <row r="686">
      <c r="A686" s="408"/>
      <c r="B686" s="408"/>
      <c r="C686" s="408"/>
      <c r="D686" s="408"/>
      <c r="E686" s="408"/>
      <c r="F686" s="408"/>
      <c r="G686" s="408"/>
      <c r="H686" s="408"/>
      <c r="I686" s="408"/>
      <c r="J686" s="408"/>
      <c r="K686" s="408"/>
      <c r="L686" s="408"/>
      <c r="M686" s="408"/>
      <c r="N686" s="408"/>
      <c r="O686" s="408"/>
      <c r="P686" s="408"/>
      <c r="Q686" s="408"/>
      <c r="R686" s="408"/>
      <c r="S686" s="408"/>
      <c r="T686" s="408"/>
      <c r="U686" s="408"/>
      <c r="V686" s="408"/>
      <c r="W686" s="408"/>
      <c r="X686" s="408"/>
      <c r="Y686" s="408"/>
      <c r="Z686" s="408"/>
      <c r="AA686" s="408"/>
      <c r="AB686" s="408"/>
      <c r="AC686" s="408"/>
      <c r="AD686" s="408"/>
      <c r="AE686" s="408"/>
      <c r="AF686" s="408"/>
      <c r="AG686" s="408"/>
      <c r="AH686" s="408"/>
      <c r="AI686" s="408"/>
      <c r="AJ686" s="408"/>
      <c r="AK686" s="408"/>
      <c r="AL686" s="408"/>
      <c r="AM686" s="408"/>
      <c r="AN686" s="408"/>
      <c r="AO686" s="408"/>
      <c r="AP686" s="408"/>
      <c r="AQ686" s="408"/>
      <c r="AR686" s="408"/>
      <c r="AS686" s="408"/>
      <c r="AT686" s="408"/>
      <c r="AU686" s="408"/>
      <c r="AV686" s="408"/>
      <c r="AW686" s="408"/>
      <c r="AX686" s="408"/>
      <c r="AY686" s="408"/>
      <c r="AZ686" s="408"/>
      <c r="BA686" s="408"/>
      <c r="BB686" s="408"/>
      <c r="BC686" s="408"/>
      <c r="BD686" s="408"/>
      <c r="BE686" s="408"/>
      <c r="BF686" s="408"/>
      <c r="BG686" s="408"/>
      <c r="BH686" s="408"/>
      <c r="BI686" s="408"/>
      <c r="BJ686" s="408"/>
      <c r="BK686" s="408"/>
      <c r="BL686" s="408"/>
      <c r="BM686" s="408"/>
      <c r="BN686" s="408"/>
      <c r="BO686" s="408"/>
      <c r="BP686" s="408"/>
      <c r="BQ686" s="408"/>
      <c r="BR686" s="408"/>
      <c r="BS686" s="408"/>
      <c r="BT686" s="408"/>
      <c r="BU686" s="408"/>
      <c r="BV686" s="408"/>
      <c r="BW686" s="408"/>
      <c r="BX686" s="408"/>
      <c r="BY686" s="408"/>
      <c r="BZ686" s="408"/>
      <c r="CA686" s="408"/>
      <c r="CB686" s="408"/>
      <c r="CC686" s="408"/>
      <c r="CD686" s="408"/>
      <c r="CE686" s="408"/>
      <c r="CF686" s="408"/>
      <c r="CG686" s="408"/>
      <c r="CH686" s="408"/>
      <c r="CI686" s="408"/>
      <c r="CJ686" s="408"/>
      <c r="CK686" s="408"/>
      <c r="CL686" s="408"/>
      <c r="CM686" s="408"/>
      <c r="CN686" s="408"/>
    </row>
    <row r="687">
      <c r="A687" s="408"/>
      <c r="B687" s="408"/>
      <c r="C687" s="408"/>
      <c r="D687" s="408"/>
      <c r="E687" s="408"/>
      <c r="F687" s="408"/>
      <c r="G687" s="408"/>
      <c r="H687" s="408"/>
      <c r="I687" s="408"/>
      <c r="J687" s="408"/>
      <c r="K687" s="408"/>
      <c r="L687" s="408"/>
      <c r="M687" s="408"/>
      <c r="N687" s="408"/>
      <c r="O687" s="408"/>
      <c r="P687" s="408"/>
      <c r="Q687" s="408"/>
      <c r="R687" s="408"/>
      <c r="S687" s="408"/>
      <c r="T687" s="408"/>
      <c r="U687" s="408"/>
      <c r="V687" s="408"/>
      <c r="W687" s="408"/>
      <c r="X687" s="408"/>
      <c r="Y687" s="408"/>
      <c r="Z687" s="408"/>
      <c r="AA687" s="408"/>
      <c r="AB687" s="408"/>
      <c r="AC687" s="408"/>
      <c r="AD687" s="408"/>
      <c r="AE687" s="408"/>
      <c r="AF687" s="408"/>
      <c r="AG687" s="408"/>
      <c r="AH687" s="408"/>
      <c r="AI687" s="408"/>
      <c r="AJ687" s="408"/>
      <c r="AK687" s="408"/>
      <c r="AL687" s="408"/>
      <c r="AM687" s="408"/>
      <c r="AN687" s="408"/>
      <c r="AO687" s="408"/>
      <c r="AP687" s="408"/>
      <c r="AQ687" s="408"/>
      <c r="AR687" s="408"/>
      <c r="AS687" s="408"/>
      <c r="AT687" s="408"/>
      <c r="AU687" s="408"/>
      <c r="AV687" s="408"/>
      <c r="AW687" s="408"/>
      <c r="AX687" s="408"/>
      <c r="AY687" s="408"/>
      <c r="AZ687" s="408"/>
      <c r="BA687" s="408"/>
      <c r="BB687" s="408"/>
      <c r="BC687" s="408"/>
      <c r="BD687" s="408"/>
      <c r="BE687" s="408"/>
      <c r="BF687" s="408"/>
      <c r="BG687" s="408"/>
      <c r="BH687" s="408"/>
      <c r="BI687" s="408"/>
      <c r="BJ687" s="408"/>
      <c r="BK687" s="408"/>
      <c r="BL687" s="408"/>
      <c r="BM687" s="408"/>
      <c r="BN687" s="408"/>
      <c r="BO687" s="408"/>
      <c r="BP687" s="408"/>
      <c r="BQ687" s="408"/>
      <c r="BR687" s="408"/>
      <c r="BS687" s="408"/>
      <c r="BT687" s="408"/>
      <c r="BU687" s="408"/>
      <c r="BV687" s="408"/>
      <c r="BW687" s="408"/>
      <c r="BX687" s="408"/>
      <c r="BY687" s="408"/>
      <c r="BZ687" s="408"/>
      <c r="CA687" s="408"/>
      <c r="CB687" s="408"/>
      <c r="CC687" s="408"/>
      <c r="CD687" s="408"/>
      <c r="CE687" s="408"/>
      <c r="CF687" s="408"/>
      <c r="CG687" s="408"/>
      <c r="CH687" s="408"/>
      <c r="CI687" s="408"/>
      <c r="CJ687" s="408"/>
      <c r="CK687" s="408"/>
      <c r="CL687" s="408"/>
      <c r="CM687" s="408"/>
      <c r="CN687" s="408"/>
    </row>
    <row r="688">
      <c r="A688" s="408"/>
      <c r="B688" s="408"/>
      <c r="C688" s="408"/>
      <c r="D688" s="408"/>
      <c r="E688" s="408"/>
      <c r="F688" s="408"/>
      <c r="G688" s="408"/>
      <c r="H688" s="408"/>
      <c r="I688" s="408"/>
      <c r="J688" s="408"/>
      <c r="K688" s="408"/>
      <c r="L688" s="408"/>
      <c r="M688" s="408"/>
      <c r="N688" s="408"/>
      <c r="O688" s="408"/>
      <c r="P688" s="408"/>
      <c r="Q688" s="408"/>
      <c r="R688" s="408"/>
      <c r="S688" s="408"/>
      <c r="T688" s="408"/>
      <c r="U688" s="408"/>
      <c r="V688" s="408"/>
      <c r="W688" s="408"/>
      <c r="X688" s="408"/>
      <c r="Y688" s="408"/>
      <c r="Z688" s="408"/>
      <c r="AA688" s="408"/>
      <c r="AB688" s="408"/>
      <c r="AC688" s="408"/>
      <c r="AD688" s="408"/>
      <c r="AE688" s="408"/>
      <c r="AF688" s="408"/>
      <c r="AG688" s="408"/>
      <c r="AH688" s="408"/>
      <c r="AI688" s="408"/>
      <c r="AJ688" s="408"/>
      <c r="AK688" s="408"/>
      <c r="AL688" s="408"/>
      <c r="AM688" s="408"/>
      <c r="AN688" s="408"/>
      <c r="AO688" s="408"/>
      <c r="AP688" s="408"/>
      <c r="AQ688" s="408"/>
      <c r="AR688" s="408"/>
      <c r="AS688" s="408"/>
      <c r="AT688" s="408"/>
      <c r="AU688" s="408"/>
      <c r="AV688" s="408"/>
      <c r="AW688" s="408"/>
      <c r="AX688" s="408"/>
      <c r="AY688" s="408"/>
      <c r="AZ688" s="408"/>
      <c r="BA688" s="408"/>
      <c r="BB688" s="408"/>
      <c r="BC688" s="408"/>
      <c r="BD688" s="408"/>
      <c r="BE688" s="408"/>
      <c r="BF688" s="408"/>
      <c r="BG688" s="408"/>
      <c r="BH688" s="408"/>
      <c r="BI688" s="408"/>
      <c r="BJ688" s="408"/>
      <c r="BK688" s="408"/>
      <c r="BL688" s="408"/>
      <c r="BM688" s="408"/>
      <c r="BN688" s="408"/>
      <c r="BO688" s="408"/>
      <c r="BP688" s="408"/>
      <c r="BQ688" s="408"/>
      <c r="BR688" s="408"/>
      <c r="BS688" s="408"/>
      <c r="BT688" s="408"/>
      <c r="BU688" s="408"/>
      <c r="BV688" s="408"/>
      <c r="BW688" s="408"/>
      <c r="BX688" s="408"/>
      <c r="BY688" s="408"/>
      <c r="BZ688" s="408"/>
      <c r="CA688" s="408"/>
      <c r="CB688" s="408"/>
      <c r="CC688" s="408"/>
      <c r="CD688" s="408"/>
      <c r="CE688" s="408"/>
      <c r="CF688" s="408"/>
      <c r="CG688" s="408"/>
      <c r="CH688" s="408"/>
      <c r="CI688" s="408"/>
      <c r="CJ688" s="408"/>
      <c r="CK688" s="408"/>
      <c r="CL688" s="408"/>
      <c r="CM688" s="408"/>
      <c r="CN688" s="408"/>
    </row>
    <row r="689">
      <c r="A689" s="408"/>
      <c r="B689" s="408"/>
      <c r="C689" s="408"/>
      <c r="D689" s="408"/>
      <c r="E689" s="408"/>
      <c r="F689" s="408"/>
      <c r="G689" s="408"/>
      <c r="H689" s="408"/>
      <c r="I689" s="408"/>
      <c r="J689" s="408"/>
      <c r="K689" s="408"/>
      <c r="L689" s="408"/>
      <c r="M689" s="408"/>
      <c r="N689" s="408"/>
      <c r="O689" s="408"/>
      <c r="P689" s="408"/>
      <c r="Q689" s="408"/>
      <c r="R689" s="408"/>
      <c r="S689" s="408"/>
      <c r="T689" s="408"/>
      <c r="U689" s="408"/>
      <c r="V689" s="408"/>
      <c r="W689" s="408"/>
      <c r="X689" s="408"/>
      <c r="Y689" s="408"/>
      <c r="Z689" s="408"/>
      <c r="AA689" s="408"/>
      <c r="AB689" s="408"/>
      <c r="AC689" s="408"/>
      <c r="AD689" s="408"/>
      <c r="AE689" s="408"/>
      <c r="AF689" s="408"/>
      <c r="AG689" s="408"/>
      <c r="AH689" s="408"/>
      <c r="AI689" s="408"/>
      <c r="AJ689" s="408"/>
      <c r="AK689" s="408"/>
      <c r="AL689" s="408"/>
      <c r="AM689" s="408"/>
      <c r="AN689" s="408"/>
      <c r="AO689" s="408"/>
      <c r="AP689" s="408"/>
      <c r="AQ689" s="408"/>
      <c r="AR689" s="408"/>
      <c r="AS689" s="408"/>
      <c r="AT689" s="408"/>
      <c r="AU689" s="408"/>
      <c r="AV689" s="408"/>
      <c r="AW689" s="408"/>
      <c r="AX689" s="408"/>
      <c r="AY689" s="408"/>
      <c r="AZ689" s="408"/>
      <c r="BA689" s="408"/>
      <c r="BB689" s="408"/>
      <c r="BC689" s="408"/>
      <c r="BD689" s="408"/>
      <c r="BE689" s="408"/>
      <c r="BF689" s="408"/>
      <c r="BG689" s="408"/>
      <c r="BH689" s="408"/>
      <c r="BI689" s="408"/>
      <c r="BJ689" s="408"/>
      <c r="BK689" s="408"/>
      <c r="BL689" s="408"/>
      <c r="BM689" s="408"/>
      <c r="BN689" s="408"/>
      <c r="BO689" s="408"/>
      <c r="BP689" s="408"/>
      <c r="BQ689" s="408"/>
      <c r="BR689" s="408"/>
      <c r="BS689" s="408"/>
      <c r="BT689" s="408"/>
      <c r="BU689" s="408"/>
      <c r="BV689" s="408"/>
      <c r="BW689" s="408"/>
      <c r="BX689" s="408"/>
      <c r="BY689" s="408"/>
      <c r="BZ689" s="408"/>
      <c r="CA689" s="408"/>
      <c r="CB689" s="408"/>
      <c r="CC689" s="408"/>
      <c r="CD689" s="408"/>
      <c r="CE689" s="408"/>
      <c r="CF689" s="408"/>
      <c r="CG689" s="408"/>
      <c r="CH689" s="408"/>
      <c r="CI689" s="408"/>
      <c r="CJ689" s="408"/>
      <c r="CK689" s="408"/>
      <c r="CL689" s="408"/>
      <c r="CM689" s="408"/>
      <c r="CN689" s="408"/>
    </row>
    <row r="690">
      <c r="A690" s="408"/>
      <c r="B690" s="408"/>
      <c r="C690" s="408"/>
      <c r="D690" s="408"/>
      <c r="E690" s="408"/>
      <c r="F690" s="408"/>
      <c r="G690" s="408"/>
      <c r="H690" s="408"/>
      <c r="I690" s="408"/>
      <c r="J690" s="408"/>
      <c r="K690" s="408"/>
      <c r="L690" s="408"/>
      <c r="M690" s="408"/>
      <c r="N690" s="408"/>
      <c r="O690" s="408"/>
      <c r="P690" s="408"/>
      <c r="Q690" s="408"/>
      <c r="R690" s="408"/>
      <c r="S690" s="408"/>
      <c r="T690" s="408"/>
      <c r="U690" s="408"/>
      <c r="V690" s="408"/>
      <c r="W690" s="408"/>
      <c r="X690" s="408"/>
      <c r="Y690" s="408"/>
      <c r="Z690" s="408"/>
      <c r="AA690" s="408"/>
      <c r="AB690" s="408"/>
      <c r="AC690" s="408"/>
      <c r="AD690" s="408"/>
      <c r="AE690" s="408"/>
      <c r="AF690" s="408"/>
      <c r="AG690" s="408"/>
      <c r="AH690" s="408"/>
      <c r="AI690" s="408"/>
      <c r="AJ690" s="408"/>
      <c r="AK690" s="408"/>
      <c r="AL690" s="408"/>
      <c r="AM690" s="408"/>
      <c r="AN690" s="408"/>
      <c r="AO690" s="408"/>
      <c r="AP690" s="408"/>
      <c r="AQ690" s="408"/>
      <c r="AR690" s="408"/>
      <c r="AS690" s="408"/>
      <c r="AT690" s="408"/>
      <c r="AU690" s="408"/>
      <c r="AV690" s="408"/>
      <c r="AW690" s="408"/>
      <c r="AX690" s="408"/>
      <c r="AY690" s="408"/>
      <c r="AZ690" s="408"/>
      <c r="BA690" s="408"/>
      <c r="BB690" s="408"/>
      <c r="BC690" s="408"/>
      <c r="BD690" s="408"/>
      <c r="BE690" s="408"/>
      <c r="BF690" s="408"/>
      <c r="BG690" s="408"/>
      <c r="BH690" s="408"/>
      <c r="BI690" s="408"/>
      <c r="BJ690" s="408"/>
      <c r="BK690" s="408"/>
      <c r="BL690" s="408"/>
      <c r="BM690" s="408"/>
      <c r="BN690" s="408"/>
      <c r="BO690" s="408"/>
      <c r="BP690" s="408"/>
      <c r="BQ690" s="408"/>
      <c r="BR690" s="408"/>
      <c r="BS690" s="408"/>
      <c r="BT690" s="408"/>
      <c r="BU690" s="408"/>
      <c r="BV690" s="408"/>
      <c r="BW690" s="408"/>
      <c r="BX690" s="408"/>
      <c r="BY690" s="408"/>
      <c r="BZ690" s="408"/>
      <c r="CA690" s="408"/>
      <c r="CB690" s="408"/>
      <c r="CC690" s="408"/>
      <c r="CD690" s="408"/>
      <c r="CE690" s="408"/>
      <c r="CF690" s="408"/>
      <c r="CG690" s="408"/>
      <c r="CH690" s="408"/>
      <c r="CI690" s="408"/>
      <c r="CJ690" s="408"/>
      <c r="CK690" s="408"/>
      <c r="CL690" s="408"/>
      <c r="CM690" s="408"/>
      <c r="CN690" s="408"/>
    </row>
    <row r="691">
      <c r="A691" s="408"/>
      <c r="B691" s="408"/>
      <c r="C691" s="408"/>
      <c r="D691" s="408"/>
      <c r="E691" s="408"/>
      <c r="F691" s="408"/>
      <c r="G691" s="408"/>
      <c r="H691" s="408"/>
      <c r="I691" s="408"/>
      <c r="J691" s="408"/>
      <c r="K691" s="408"/>
      <c r="L691" s="408"/>
      <c r="M691" s="408"/>
      <c r="N691" s="408"/>
      <c r="O691" s="408"/>
      <c r="P691" s="408"/>
      <c r="Q691" s="408"/>
      <c r="R691" s="408"/>
      <c r="S691" s="408"/>
      <c r="T691" s="408"/>
      <c r="U691" s="408"/>
      <c r="V691" s="408"/>
      <c r="W691" s="408"/>
      <c r="X691" s="408"/>
      <c r="Y691" s="408"/>
      <c r="Z691" s="408"/>
      <c r="AA691" s="408"/>
      <c r="AB691" s="408"/>
      <c r="AC691" s="408"/>
      <c r="AD691" s="408"/>
      <c r="AE691" s="408"/>
      <c r="AF691" s="408"/>
      <c r="AG691" s="408"/>
      <c r="AH691" s="408"/>
      <c r="AI691" s="408"/>
      <c r="AJ691" s="408"/>
      <c r="AK691" s="408"/>
      <c r="AL691" s="408"/>
      <c r="AM691" s="408"/>
      <c r="AN691" s="408"/>
      <c r="AO691" s="408"/>
      <c r="AP691" s="408"/>
      <c r="AQ691" s="408"/>
      <c r="AR691" s="408"/>
      <c r="AS691" s="408"/>
      <c r="AT691" s="408"/>
      <c r="AU691" s="408"/>
      <c r="AV691" s="408"/>
      <c r="AW691" s="408"/>
      <c r="AX691" s="408"/>
      <c r="AY691" s="408"/>
      <c r="AZ691" s="408"/>
      <c r="BA691" s="408"/>
      <c r="BB691" s="408"/>
      <c r="BC691" s="408"/>
      <c r="BD691" s="408"/>
      <c r="BE691" s="408"/>
      <c r="BF691" s="408"/>
      <c r="BG691" s="408"/>
      <c r="BH691" s="408"/>
      <c r="BI691" s="408"/>
      <c r="BJ691" s="408"/>
      <c r="BK691" s="408"/>
      <c r="BL691" s="408"/>
      <c r="BM691" s="408"/>
      <c r="BN691" s="408"/>
      <c r="BO691" s="408"/>
      <c r="BP691" s="408"/>
      <c r="BQ691" s="408"/>
      <c r="BR691" s="408"/>
      <c r="BS691" s="408"/>
      <c r="BT691" s="408"/>
      <c r="BU691" s="408"/>
      <c r="BV691" s="408"/>
      <c r="BW691" s="408"/>
      <c r="BX691" s="408"/>
      <c r="BY691" s="408"/>
      <c r="BZ691" s="408"/>
      <c r="CA691" s="408"/>
      <c r="CB691" s="408"/>
      <c r="CC691" s="408"/>
      <c r="CD691" s="408"/>
      <c r="CE691" s="408"/>
      <c r="CF691" s="408"/>
      <c r="CG691" s="408"/>
      <c r="CH691" s="408"/>
      <c r="CI691" s="408"/>
      <c r="CJ691" s="408"/>
      <c r="CK691" s="408"/>
      <c r="CL691" s="408"/>
      <c r="CM691" s="408"/>
      <c r="CN691" s="408"/>
    </row>
    <row r="692">
      <c r="A692" s="408"/>
      <c r="B692" s="408"/>
      <c r="C692" s="408"/>
      <c r="D692" s="408"/>
      <c r="E692" s="408"/>
      <c r="F692" s="408"/>
      <c r="G692" s="408"/>
      <c r="H692" s="408"/>
      <c r="I692" s="408"/>
      <c r="J692" s="408"/>
      <c r="K692" s="408"/>
      <c r="L692" s="408"/>
      <c r="M692" s="408"/>
      <c r="N692" s="408"/>
      <c r="O692" s="408"/>
      <c r="P692" s="408"/>
      <c r="Q692" s="408"/>
      <c r="R692" s="408"/>
      <c r="S692" s="408"/>
      <c r="T692" s="408"/>
      <c r="U692" s="408"/>
      <c r="V692" s="408"/>
      <c r="W692" s="408"/>
      <c r="X692" s="408"/>
      <c r="Y692" s="408"/>
      <c r="Z692" s="408"/>
      <c r="AA692" s="408"/>
      <c r="AB692" s="408"/>
      <c r="AC692" s="408"/>
      <c r="AD692" s="408"/>
      <c r="AE692" s="408"/>
      <c r="AF692" s="408"/>
      <c r="AG692" s="408"/>
      <c r="AH692" s="408"/>
      <c r="AI692" s="408"/>
      <c r="AJ692" s="408"/>
      <c r="AK692" s="408"/>
      <c r="AL692" s="408"/>
      <c r="AM692" s="408"/>
      <c r="AN692" s="408"/>
      <c r="AO692" s="408"/>
      <c r="AP692" s="408"/>
      <c r="AQ692" s="408"/>
      <c r="AR692" s="408"/>
      <c r="AS692" s="408"/>
      <c r="AT692" s="408"/>
      <c r="AU692" s="408"/>
      <c r="AV692" s="408"/>
      <c r="AW692" s="408"/>
      <c r="AX692" s="408"/>
      <c r="AY692" s="408"/>
      <c r="AZ692" s="408"/>
      <c r="BA692" s="408"/>
      <c r="BB692" s="408"/>
      <c r="BC692" s="408"/>
      <c r="BD692" s="408"/>
      <c r="BE692" s="408"/>
      <c r="BF692" s="408"/>
      <c r="BG692" s="408"/>
      <c r="BH692" s="408"/>
      <c r="BI692" s="408"/>
      <c r="BJ692" s="408"/>
      <c r="BK692" s="408"/>
      <c r="BL692" s="408"/>
      <c r="BM692" s="408"/>
      <c r="BN692" s="408"/>
      <c r="BO692" s="408"/>
      <c r="BP692" s="408"/>
      <c r="BQ692" s="408"/>
      <c r="BR692" s="408"/>
      <c r="BS692" s="408"/>
      <c r="BT692" s="408"/>
      <c r="BU692" s="408"/>
      <c r="BV692" s="408"/>
      <c r="BW692" s="408"/>
      <c r="BX692" s="408"/>
      <c r="BY692" s="408"/>
      <c r="BZ692" s="408"/>
      <c r="CA692" s="408"/>
      <c r="CB692" s="408"/>
      <c r="CC692" s="408"/>
      <c r="CD692" s="408"/>
      <c r="CE692" s="408"/>
      <c r="CF692" s="408"/>
      <c r="CG692" s="408"/>
      <c r="CH692" s="408"/>
      <c r="CI692" s="408"/>
      <c r="CJ692" s="408"/>
      <c r="CK692" s="408"/>
      <c r="CL692" s="408"/>
      <c r="CM692" s="408"/>
      <c r="CN692" s="408"/>
    </row>
    <row r="693">
      <c r="A693" s="408"/>
      <c r="B693" s="408"/>
      <c r="C693" s="408"/>
      <c r="D693" s="408"/>
      <c r="E693" s="408"/>
      <c r="F693" s="408"/>
      <c r="G693" s="408"/>
      <c r="H693" s="408"/>
      <c r="I693" s="408"/>
      <c r="J693" s="408"/>
      <c r="K693" s="408"/>
      <c r="L693" s="408"/>
      <c r="M693" s="408"/>
      <c r="N693" s="408"/>
      <c r="O693" s="408"/>
      <c r="P693" s="408"/>
      <c r="Q693" s="408"/>
      <c r="R693" s="408"/>
      <c r="S693" s="408"/>
      <c r="T693" s="408"/>
      <c r="U693" s="408"/>
      <c r="V693" s="408"/>
      <c r="W693" s="408"/>
      <c r="X693" s="408"/>
      <c r="Y693" s="408"/>
      <c r="Z693" s="408"/>
      <c r="AA693" s="408"/>
      <c r="AB693" s="408"/>
      <c r="AC693" s="408"/>
      <c r="AD693" s="408"/>
      <c r="AE693" s="408"/>
      <c r="AF693" s="408"/>
      <c r="AG693" s="408"/>
      <c r="AH693" s="408"/>
      <c r="AI693" s="408"/>
      <c r="AJ693" s="408"/>
      <c r="AK693" s="408"/>
      <c r="AL693" s="408"/>
      <c r="AM693" s="408"/>
      <c r="AN693" s="408"/>
      <c r="AO693" s="408"/>
      <c r="AP693" s="408"/>
      <c r="AQ693" s="408"/>
      <c r="AR693" s="408"/>
      <c r="AS693" s="408"/>
      <c r="AT693" s="408"/>
      <c r="AU693" s="408"/>
      <c r="AV693" s="408"/>
      <c r="AW693" s="408"/>
      <c r="AX693" s="408"/>
      <c r="AY693" s="408"/>
      <c r="AZ693" s="408"/>
      <c r="BA693" s="408"/>
      <c r="BB693" s="408"/>
      <c r="BC693" s="408"/>
      <c r="BD693" s="408"/>
      <c r="BE693" s="408"/>
      <c r="BF693" s="408"/>
      <c r="BG693" s="408"/>
      <c r="BH693" s="408"/>
      <c r="BI693" s="408"/>
      <c r="BJ693" s="408"/>
      <c r="BK693" s="408"/>
      <c r="BL693" s="408"/>
      <c r="BM693" s="408"/>
      <c r="BN693" s="408"/>
      <c r="BO693" s="408"/>
      <c r="BP693" s="408"/>
      <c r="BQ693" s="408"/>
      <c r="BR693" s="408"/>
      <c r="BS693" s="408"/>
      <c r="BT693" s="408"/>
      <c r="BU693" s="408"/>
      <c r="BV693" s="408"/>
      <c r="BW693" s="408"/>
      <c r="BX693" s="408"/>
      <c r="BY693" s="408"/>
      <c r="BZ693" s="408"/>
      <c r="CA693" s="408"/>
      <c r="CB693" s="408"/>
      <c r="CC693" s="408"/>
      <c r="CD693" s="408"/>
      <c r="CE693" s="408"/>
      <c r="CF693" s="408"/>
      <c r="CG693" s="408"/>
      <c r="CH693" s="408"/>
      <c r="CI693" s="408"/>
      <c r="CJ693" s="408"/>
      <c r="CK693" s="408"/>
      <c r="CL693" s="408"/>
      <c r="CM693" s="408"/>
      <c r="CN693" s="408"/>
    </row>
    <row r="694">
      <c r="A694" s="408"/>
      <c r="B694" s="408"/>
      <c r="C694" s="408"/>
      <c r="D694" s="408"/>
      <c r="E694" s="408"/>
      <c r="F694" s="408"/>
      <c r="G694" s="408"/>
      <c r="H694" s="408"/>
      <c r="I694" s="408"/>
      <c r="J694" s="408"/>
      <c r="K694" s="408"/>
      <c r="L694" s="408"/>
      <c r="M694" s="408"/>
      <c r="N694" s="408"/>
      <c r="O694" s="408"/>
      <c r="P694" s="408"/>
      <c r="Q694" s="408"/>
      <c r="R694" s="408"/>
      <c r="S694" s="408"/>
      <c r="T694" s="408"/>
      <c r="U694" s="408"/>
      <c r="V694" s="408"/>
      <c r="W694" s="408"/>
      <c r="X694" s="408"/>
      <c r="Y694" s="408"/>
      <c r="Z694" s="408"/>
      <c r="AA694" s="408"/>
      <c r="AB694" s="408"/>
      <c r="AC694" s="408"/>
      <c r="AD694" s="408"/>
      <c r="AE694" s="408"/>
      <c r="AF694" s="408"/>
      <c r="AG694" s="408"/>
      <c r="AH694" s="408"/>
      <c r="AI694" s="408"/>
      <c r="AJ694" s="408"/>
      <c r="AK694" s="408"/>
      <c r="AL694" s="408"/>
      <c r="AM694" s="408"/>
      <c r="AN694" s="408"/>
      <c r="AO694" s="408"/>
      <c r="AP694" s="408"/>
      <c r="AQ694" s="408"/>
      <c r="AR694" s="408"/>
      <c r="AS694" s="408"/>
      <c r="AT694" s="408"/>
      <c r="AU694" s="408"/>
      <c r="AV694" s="408"/>
      <c r="AW694" s="408"/>
      <c r="AX694" s="408"/>
      <c r="AY694" s="408"/>
      <c r="AZ694" s="408"/>
      <c r="BA694" s="408"/>
      <c r="BB694" s="408"/>
      <c r="BC694" s="408"/>
      <c r="BD694" s="408"/>
      <c r="BE694" s="408"/>
      <c r="BF694" s="408"/>
      <c r="BG694" s="408"/>
      <c r="BH694" s="408"/>
      <c r="BI694" s="408"/>
      <c r="BJ694" s="408"/>
      <c r="BK694" s="408"/>
      <c r="BL694" s="408"/>
      <c r="BM694" s="408"/>
      <c r="BN694" s="408"/>
      <c r="BO694" s="408"/>
      <c r="BP694" s="408"/>
      <c r="BQ694" s="408"/>
      <c r="BR694" s="408"/>
      <c r="BS694" s="408"/>
      <c r="BT694" s="408"/>
      <c r="BU694" s="408"/>
      <c r="BV694" s="408"/>
      <c r="BW694" s="408"/>
      <c r="BX694" s="408"/>
      <c r="BY694" s="408"/>
      <c r="BZ694" s="408"/>
      <c r="CA694" s="408"/>
      <c r="CB694" s="408"/>
      <c r="CC694" s="408"/>
      <c r="CD694" s="408"/>
      <c r="CE694" s="408"/>
      <c r="CF694" s="408"/>
      <c r="CG694" s="408"/>
      <c r="CH694" s="408"/>
      <c r="CI694" s="408"/>
      <c r="CJ694" s="408"/>
      <c r="CK694" s="408"/>
      <c r="CL694" s="408"/>
      <c r="CM694" s="408"/>
      <c r="CN694" s="408"/>
    </row>
    <row r="695">
      <c r="A695" s="408"/>
      <c r="B695" s="408"/>
      <c r="C695" s="408"/>
      <c r="D695" s="408"/>
      <c r="E695" s="408"/>
      <c r="F695" s="408"/>
      <c r="G695" s="408"/>
      <c r="H695" s="408"/>
      <c r="I695" s="408"/>
      <c r="J695" s="408"/>
      <c r="K695" s="408"/>
      <c r="L695" s="408"/>
      <c r="M695" s="408"/>
      <c r="N695" s="408"/>
      <c r="O695" s="408"/>
      <c r="P695" s="408"/>
      <c r="Q695" s="408"/>
      <c r="R695" s="408"/>
      <c r="S695" s="408"/>
      <c r="T695" s="408"/>
      <c r="U695" s="408"/>
      <c r="V695" s="408"/>
      <c r="W695" s="408"/>
      <c r="X695" s="408"/>
      <c r="Y695" s="408"/>
      <c r="Z695" s="408"/>
      <c r="AA695" s="408"/>
      <c r="AB695" s="408"/>
      <c r="AC695" s="408"/>
      <c r="AD695" s="408"/>
      <c r="AE695" s="408"/>
      <c r="AF695" s="408"/>
      <c r="AG695" s="408"/>
      <c r="AH695" s="408"/>
      <c r="AI695" s="408"/>
      <c r="AJ695" s="408"/>
      <c r="AK695" s="408"/>
      <c r="AL695" s="408"/>
      <c r="AM695" s="408"/>
      <c r="AN695" s="408"/>
      <c r="AO695" s="408"/>
      <c r="AP695" s="408"/>
      <c r="AQ695" s="408"/>
      <c r="AR695" s="408"/>
      <c r="AS695" s="408"/>
      <c r="AT695" s="408"/>
      <c r="AU695" s="408"/>
      <c r="AV695" s="408"/>
      <c r="AW695" s="408"/>
      <c r="AX695" s="408"/>
      <c r="AY695" s="408"/>
      <c r="AZ695" s="408"/>
      <c r="BA695" s="408"/>
      <c r="BB695" s="408"/>
      <c r="BC695" s="408"/>
      <c r="BD695" s="408"/>
      <c r="BE695" s="408"/>
      <c r="BF695" s="408"/>
      <c r="BG695" s="408"/>
      <c r="BH695" s="408"/>
      <c r="BI695" s="408"/>
      <c r="BJ695" s="408"/>
      <c r="BK695" s="408"/>
      <c r="BL695" s="408"/>
      <c r="BM695" s="408"/>
      <c r="BN695" s="408"/>
      <c r="BO695" s="408"/>
      <c r="BP695" s="408"/>
      <c r="BQ695" s="408"/>
      <c r="BR695" s="408"/>
      <c r="BS695" s="408"/>
      <c r="BT695" s="408"/>
      <c r="BU695" s="408"/>
      <c r="BV695" s="408"/>
      <c r="BW695" s="408"/>
      <c r="BX695" s="408"/>
      <c r="BY695" s="408"/>
      <c r="BZ695" s="408"/>
      <c r="CA695" s="408"/>
      <c r="CB695" s="408"/>
      <c r="CC695" s="408"/>
      <c r="CD695" s="408"/>
      <c r="CE695" s="408"/>
      <c r="CF695" s="408"/>
      <c r="CG695" s="408"/>
      <c r="CH695" s="408"/>
      <c r="CI695" s="408"/>
      <c r="CJ695" s="408"/>
      <c r="CK695" s="408"/>
      <c r="CL695" s="408"/>
      <c r="CM695" s="408"/>
      <c r="CN695" s="408"/>
    </row>
    <row r="696">
      <c r="A696" s="408"/>
      <c r="B696" s="408"/>
      <c r="C696" s="408"/>
      <c r="D696" s="408"/>
      <c r="E696" s="408"/>
      <c r="F696" s="408"/>
      <c r="G696" s="408"/>
      <c r="H696" s="408"/>
      <c r="I696" s="408"/>
      <c r="J696" s="408"/>
      <c r="K696" s="408"/>
      <c r="L696" s="408"/>
      <c r="M696" s="408"/>
      <c r="N696" s="408"/>
      <c r="O696" s="408"/>
      <c r="P696" s="408"/>
      <c r="Q696" s="408"/>
      <c r="R696" s="408"/>
      <c r="S696" s="408"/>
      <c r="T696" s="408"/>
      <c r="U696" s="408"/>
      <c r="V696" s="408"/>
      <c r="W696" s="408"/>
      <c r="X696" s="408"/>
      <c r="Y696" s="408"/>
      <c r="Z696" s="408"/>
      <c r="AA696" s="408"/>
      <c r="AB696" s="408"/>
      <c r="AC696" s="408"/>
      <c r="AD696" s="408"/>
      <c r="AE696" s="408"/>
      <c r="AF696" s="408"/>
      <c r="AG696" s="408"/>
      <c r="AH696" s="408"/>
      <c r="AI696" s="408"/>
      <c r="AJ696" s="408"/>
      <c r="AK696" s="408"/>
      <c r="AL696" s="408"/>
      <c r="AM696" s="408"/>
      <c r="AN696" s="408"/>
      <c r="AO696" s="408"/>
      <c r="AP696" s="408"/>
      <c r="AQ696" s="408"/>
      <c r="AR696" s="408"/>
      <c r="AS696" s="408"/>
      <c r="AT696" s="408"/>
      <c r="AU696" s="408"/>
      <c r="AV696" s="408"/>
      <c r="AW696" s="408"/>
      <c r="AX696" s="408"/>
      <c r="AY696" s="408"/>
      <c r="AZ696" s="408"/>
      <c r="BA696" s="408"/>
      <c r="BB696" s="408"/>
      <c r="BC696" s="408"/>
      <c r="BD696" s="408"/>
      <c r="BE696" s="408"/>
      <c r="BF696" s="408"/>
      <c r="BG696" s="408"/>
      <c r="BH696" s="408"/>
      <c r="BI696" s="408"/>
      <c r="BJ696" s="408"/>
      <c r="BK696" s="408"/>
      <c r="BL696" s="408"/>
      <c r="BM696" s="408"/>
      <c r="BN696" s="408"/>
      <c r="BO696" s="408"/>
      <c r="BP696" s="408"/>
      <c r="BQ696" s="408"/>
      <c r="BR696" s="408"/>
      <c r="BS696" s="408"/>
      <c r="BT696" s="408"/>
      <c r="BU696" s="408"/>
      <c r="BV696" s="408"/>
      <c r="BW696" s="408"/>
      <c r="BX696" s="408"/>
      <c r="BY696" s="408"/>
      <c r="BZ696" s="408"/>
      <c r="CA696" s="408"/>
      <c r="CB696" s="408"/>
      <c r="CC696" s="408"/>
      <c r="CD696" s="408"/>
      <c r="CE696" s="408"/>
      <c r="CF696" s="408"/>
      <c r="CG696" s="408"/>
      <c r="CH696" s="408"/>
      <c r="CI696" s="408"/>
      <c r="CJ696" s="408"/>
      <c r="CK696" s="408"/>
      <c r="CL696" s="408"/>
      <c r="CM696" s="408"/>
      <c r="CN696" s="408"/>
    </row>
    <row r="697">
      <c r="A697" s="408"/>
      <c r="B697" s="408"/>
      <c r="C697" s="408"/>
      <c r="D697" s="408"/>
      <c r="E697" s="408"/>
      <c r="F697" s="408"/>
      <c r="G697" s="408"/>
      <c r="H697" s="408"/>
      <c r="I697" s="408"/>
      <c r="J697" s="408"/>
      <c r="K697" s="408"/>
      <c r="L697" s="408"/>
      <c r="M697" s="408"/>
      <c r="N697" s="408"/>
      <c r="O697" s="408"/>
      <c r="P697" s="408"/>
      <c r="Q697" s="408"/>
      <c r="R697" s="408"/>
      <c r="S697" s="408"/>
      <c r="T697" s="408"/>
      <c r="U697" s="408"/>
      <c r="V697" s="408"/>
      <c r="W697" s="408"/>
      <c r="X697" s="408"/>
      <c r="Y697" s="408"/>
      <c r="Z697" s="408"/>
      <c r="AA697" s="408"/>
      <c r="AB697" s="408"/>
      <c r="AC697" s="408"/>
      <c r="AD697" s="408"/>
      <c r="AE697" s="408"/>
      <c r="AF697" s="408"/>
      <c r="AG697" s="408"/>
      <c r="AH697" s="408"/>
      <c r="AI697" s="408"/>
      <c r="AJ697" s="408"/>
      <c r="AK697" s="408"/>
      <c r="AL697" s="408"/>
      <c r="AM697" s="408"/>
      <c r="AN697" s="408"/>
      <c r="AO697" s="408"/>
      <c r="AP697" s="408"/>
      <c r="AQ697" s="408"/>
      <c r="AR697" s="408"/>
      <c r="AS697" s="408"/>
      <c r="AT697" s="408"/>
      <c r="AU697" s="408"/>
      <c r="AV697" s="408"/>
      <c r="AW697" s="408"/>
      <c r="AX697" s="408"/>
      <c r="AY697" s="408"/>
      <c r="AZ697" s="408"/>
      <c r="BA697" s="408"/>
      <c r="BB697" s="408"/>
      <c r="BC697" s="408"/>
      <c r="BD697" s="408"/>
      <c r="BE697" s="408"/>
      <c r="BF697" s="408"/>
      <c r="BG697" s="408"/>
      <c r="BH697" s="408"/>
      <c r="BI697" s="408"/>
      <c r="BJ697" s="408"/>
      <c r="BK697" s="408"/>
      <c r="BL697" s="408"/>
      <c r="BM697" s="408"/>
      <c r="BN697" s="408"/>
      <c r="BO697" s="408"/>
      <c r="BP697" s="408"/>
      <c r="BQ697" s="408"/>
      <c r="BR697" s="408"/>
      <c r="BS697" s="408"/>
      <c r="BT697" s="408"/>
      <c r="BU697" s="408"/>
      <c r="BV697" s="408"/>
      <c r="BW697" s="408"/>
      <c r="BX697" s="408"/>
      <c r="BY697" s="408"/>
      <c r="BZ697" s="408"/>
      <c r="CA697" s="408"/>
      <c r="CB697" s="408"/>
      <c r="CC697" s="408"/>
      <c r="CD697" s="408"/>
      <c r="CE697" s="408"/>
      <c r="CF697" s="408"/>
      <c r="CG697" s="408"/>
      <c r="CH697" s="408"/>
      <c r="CI697" s="408"/>
      <c r="CJ697" s="408"/>
      <c r="CK697" s="408"/>
      <c r="CL697" s="408"/>
      <c r="CM697" s="408"/>
      <c r="CN697" s="408"/>
    </row>
    <row r="698">
      <c r="A698" s="408"/>
      <c r="B698" s="408"/>
      <c r="C698" s="408"/>
      <c r="D698" s="408"/>
      <c r="E698" s="408"/>
      <c r="F698" s="408"/>
      <c r="G698" s="408"/>
      <c r="H698" s="408"/>
      <c r="I698" s="408"/>
      <c r="J698" s="408"/>
      <c r="K698" s="408"/>
      <c r="L698" s="408"/>
      <c r="M698" s="408"/>
      <c r="N698" s="408"/>
      <c r="O698" s="408"/>
      <c r="P698" s="408"/>
      <c r="Q698" s="408"/>
      <c r="R698" s="408"/>
      <c r="S698" s="408"/>
      <c r="T698" s="408"/>
      <c r="U698" s="408"/>
      <c r="V698" s="408"/>
      <c r="W698" s="408"/>
      <c r="X698" s="408"/>
      <c r="Y698" s="408"/>
      <c r="Z698" s="408"/>
      <c r="AA698" s="408"/>
      <c r="AB698" s="408"/>
      <c r="AC698" s="408"/>
      <c r="AD698" s="408"/>
      <c r="AE698" s="408"/>
      <c r="AF698" s="408"/>
      <c r="AG698" s="408"/>
      <c r="AH698" s="408"/>
      <c r="AI698" s="408"/>
      <c r="AJ698" s="408"/>
      <c r="AK698" s="408"/>
      <c r="AL698" s="408"/>
      <c r="AM698" s="408"/>
      <c r="AN698" s="408"/>
      <c r="AO698" s="408"/>
      <c r="AP698" s="408"/>
      <c r="AQ698" s="408"/>
      <c r="AR698" s="408"/>
      <c r="AS698" s="408"/>
      <c r="AT698" s="408"/>
      <c r="AU698" s="408"/>
      <c r="AV698" s="408"/>
      <c r="AW698" s="408"/>
      <c r="AX698" s="408"/>
      <c r="AY698" s="408"/>
      <c r="AZ698" s="408"/>
      <c r="BA698" s="408"/>
      <c r="BB698" s="408"/>
      <c r="BC698" s="408"/>
      <c r="BD698" s="408"/>
      <c r="BE698" s="408"/>
      <c r="BF698" s="408"/>
      <c r="BG698" s="408"/>
      <c r="BH698" s="408"/>
      <c r="BI698" s="408"/>
      <c r="BJ698" s="408"/>
      <c r="BK698" s="408"/>
      <c r="BL698" s="408"/>
      <c r="BM698" s="408"/>
      <c r="BN698" s="408"/>
      <c r="BO698" s="408"/>
      <c r="BP698" s="408"/>
      <c r="BQ698" s="408"/>
      <c r="BR698" s="408"/>
      <c r="BS698" s="408"/>
      <c r="BT698" s="408"/>
      <c r="BU698" s="408"/>
      <c r="BV698" s="408"/>
      <c r="BW698" s="408"/>
      <c r="BX698" s="408"/>
      <c r="BY698" s="408"/>
      <c r="BZ698" s="408"/>
      <c r="CA698" s="408"/>
      <c r="CB698" s="408"/>
      <c r="CC698" s="408"/>
      <c r="CD698" s="408"/>
      <c r="CE698" s="408"/>
      <c r="CF698" s="408"/>
      <c r="CG698" s="408"/>
      <c r="CH698" s="408"/>
      <c r="CI698" s="408"/>
      <c r="CJ698" s="408"/>
      <c r="CK698" s="408"/>
      <c r="CL698" s="408"/>
      <c r="CM698" s="408"/>
      <c r="CN698" s="408"/>
    </row>
    <row r="699">
      <c r="A699" s="408"/>
      <c r="B699" s="408"/>
      <c r="C699" s="408"/>
      <c r="D699" s="408"/>
      <c r="E699" s="408"/>
      <c r="F699" s="408"/>
      <c r="G699" s="408"/>
      <c r="H699" s="408"/>
      <c r="I699" s="408"/>
      <c r="J699" s="408"/>
      <c r="K699" s="408"/>
      <c r="L699" s="408"/>
      <c r="M699" s="408"/>
      <c r="N699" s="408"/>
      <c r="O699" s="408"/>
      <c r="P699" s="408"/>
      <c r="Q699" s="408"/>
      <c r="R699" s="408"/>
      <c r="S699" s="408"/>
      <c r="T699" s="408"/>
      <c r="U699" s="408"/>
      <c r="V699" s="408"/>
      <c r="W699" s="408"/>
      <c r="X699" s="408"/>
      <c r="Y699" s="408"/>
      <c r="Z699" s="408"/>
      <c r="AA699" s="408"/>
      <c r="AB699" s="408"/>
      <c r="AC699" s="408"/>
      <c r="AD699" s="408"/>
      <c r="AE699" s="408"/>
      <c r="AF699" s="408"/>
      <c r="AG699" s="408"/>
      <c r="AH699" s="408"/>
      <c r="AI699" s="408"/>
      <c r="AJ699" s="408"/>
      <c r="AK699" s="408"/>
      <c r="AL699" s="408"/>
      <c r="AM699" s="408"/>
      <c r="AN699" s="408"/>
      <c r="AO699" s="408"/>
      <c r="AP699" s="408"/>
      <c r="AQ699" s="408"/>
      <c r="AR699" s="408"/>
      <c r="AS699" s="408"/>
      <c r="AT699" s="408"/>
      <c r="AU699" s="408"/>
      <c r="AV699" s="408"/>
      <c r="AW699" s="408"/>
      <c r="AX699" s="408"/>
      <c r="AY699" s="408"/>
      <c r="AZ699" s="408"/>
      <c r="BA699" s="408"/>
      <c r="BB699" s="408"/>
      <c r="BC699" s="408"/>
      <c r="BD699" s="408"/>
      <c r="BE699" s="408"/>
      <c r="BF699" s="408"/>
      <c r="BG699" s="408"/>
      <c r="BH699" s="408"/>
      <c r="BI699" s="408"/>
      <c r="BJ699" s="408"/>
      <c r="BK699" s="408"/>
      <c r="BL699" s="408"/>
      <c r="BM699" s="408"/>
      <c r="BN699" s="408"/>
      <c r="BO699" s="408"/>
      <c r="BP699" s="408"/>
      <c r="BQ699" s="408"/>
      <c r="BR699" s="408"/>
      <c r="BS699" s="408"/>
      <c r="BT699" s="408"/>
      <c r="BU699" s="408"/>
      <c r="BV699" s="408"/>
      <c r="BW699" s="408"/>
      <c r="BX699" s="408"/>
      <c r="BY699" s="408"/>
      <c r="BZ699" s="408"/>
      <c r="CA699" s="408"/>
      <c r="CB699" s="408"/>
      <c r="CC699" s="408"/>
      <c r="CD699" s="408"/>
      <c r="CE699" s="408"/>
      <c r="CF699" s="408"/>
      <c r="CG699" s="408"/>
      <c r="CH699" s="408"/>
      <c r="CI699" s="408"/>
      <c r="CJ699" s="408"/>
      <c r="CK699" s="408"/>
      <c r="CL699" s="408"/>
      <c r="CM699" s="408"/>
      <c r="CN699" s="408"/>
    </row>
    <row r="700">
      <c r="A700" s="408"/>
      <c r="B700" s="408"/>
      <c r="C700" s="408"/>
      <c r="D700" s="408"/>
      <c r="E700" s="408"/>
      <c r="F700" s="408"/>
      <c r="G700" s="408"/>
      <c r="H700" s="408"/>
      <c r="I700" s="408"/>
      <c r="J700" s="408"/>
      <c r="K700" s="408"/>
      <c r="L700" s="408"/>
      <c r="M700" s="408"/>
      <c r="N700" s="408"/>
      <c r="O700" s="408"/>
      <c r="P700" s="408"/>
      <c r="Q700" s="408"/>
      <c r="R700" s="408"/>
      <c r="S700" s="408"/>
      <c r="T700" s="408"/>
      <c r="U700" s="408"/>
      <c r="V700" s="408"/>
      <c r="W700" s="408"/>
      <c r="X700" s="408"/>
      <c r="Y700" s="408"/>
      <c r="Z700" s="408"/>
      <c r="AA700" s="408"/>
      <c r="AB700" s="408"/>
      <c r="AC700" s="408"/>
      <c r="AD700" s="408"/>
      <c r="AE700" s="408"/>
      <c r="AF700" s="408"/>
      <c r="AG700" s="408"/>
      <c r="AH700" s="408"/>
      <c r="AI700" s="408"/>
      <c r="AJ700" s="408"/>
      <c r="AK700" s="408"/>
      <c r="AL700" s="408"/>
      <c r="AM700" s="408"/>
      <c r="AN700" s="408"/>
      <c r="AO700" s="408"/>
      <c r="AP700" s="408"/>
      <c r="AQ700" s="408"/>
      <c r="AR700" s="408"/>
      <c r="AS700" s="408"/>
      <c r="AT700" s="408"/>
      <c r="AU700" s="408"/>
      <c r="AV700" s="408"/>
      <c r="AW700" s="408"/>
      <c r="AX700" s="408"/>
      <c r="AY700" s="408"/>
      <c r="AZ700" s="408"/>
      <c r="BA700" s="408"/>
      <c r="BB700" s="408"/>
      <c r="BC700" s="408"/>
      <c r="BD700" s="408"/>
      <c r="BE700" s="408"/>
      <c r="BF700" s="408"/>
      <c r="BG700" s="408"/>
      <c r="BH700" s="408"/>
      <c r="BI700" s="408"/>
      <c r="BJ700" s="408"/>
      <c r="BK700" s="408"/>
      <c r="BL700" s="408"/>
      <c r="BM700" s="408"/>
      <c r="BN700" s="408"/>
      <c r="BO700" s="408"/>
      <c r="BP700" s="408"/>
      <c r="BQ700" s="408"/>
      <c r="BR700" s="408"/>
      <c r="BS700" s="408"/>
      <c r="BT700" s="408"/>
      <c r="BU700" s="408"/>
      <c r="BV700" s="408"/>
      <c r="BW700" s="408"/>
      <c r="BX700" s="408"/>
      <c r="BY700" s="408"/>
      <c r="BZ700" s="408"/>
      <c r="CA700" s="408"/>
      <c r="CB700" s="408"/>
      <c r="CC700" s="408"/>
      <c r="CD700" s="408"/>
      <c r="CE700" s="408"/>
      <c r="CF700" s="408"/>
      <c r="CG700" s="408"/>
      <c r="CH700" s="408"/>
      <c r="CI700" s="408"/>
      <c r="CJ700" s="408"/>
      <c r="CK700" s="408"/>
      <c r="CL700" s="408"/>
      <c r="CM700" s="408"/>
      <c r="CN700" s="408"/>
    </row>
    <row r="701">
      <c r="A701" s="408"/>
      <c r="B701" s="408"/>
      <c r="C701" s="408"/>
      <c r="D701" s="408"/>
      <c r="E701" s="408"/>
      <c r="F701" s="408"/>
      <c r="G701" s="408"/>
      <c r="H701" s="408"/>
      <c r="I701" s="408"/>
      <c r="J701" s="408"/>
      <c r="K701" s="408"/>
      <c r="L701" s="408"/>
      <c r="M701" s="408"/>
      <c r="N701" s="408"/>
      <c r="O701" s="408"/>
      <c r="P701" s="408"/>
      <c r="Q701" s="408"/>
      <c r="R701" s="408"/>
      <c r="S701" s="408"/>
      <c r="T701" s="408"/>
      <c r="U701" s="408"/>
      <c r="V701" s="408"/>
      <c r="W701" s="408"/>
      <c r="X701" s="408"/>
      <c r="Y701" s="408"/>
      <c r="Z701" s="408"/>
      <c r="AA701" s="408"/>
      <c r="AB701" s="408"/>
      <c r="AC701" s="408"/>
      <c r="AD701" s="408"/>
      <c r="AE701" s="408"/>
      <c r="AF701" s="408"/>
      <c r="AG701" s="408"/>
      <c r="AH701" s="408"/>
      <c r="AI701" s="408"/>
      <c r="AJ701" s="408"/>
      <c r="AK701" s="408"/>
      <c r="AL701" s="408"/>
      <c r="AM701" s="408"/>
      <c r="AN701" s="408"/>
      <c r="AO701" s="408"/>
      <c r="AP701" s="408"/>
      <c r="AQ701" s="408"/>
      <c r="AR701" s="408"/>
      <c r="AS701" s="408"/>
      <c r="AT701" s="408"/>
      <c r="AU701" s="408"/>
      <c r="AV701" s="408"/>
      <c r="AW701" s="408"/>
      <c r="AX701" s="408"/>
      <c r="AY701" s="408"/>
      <c r="AZ701" s="408"/>
      <c r="BA701" s="408"/>
      <c r="BB701" s="408"/>
      <c r="BC701" s="408"/>
      <c r="BD701" s="408"/>
      <c r="BE701" s="408"/>
      <c r="BF701" s="408"/>
      <c r="BG701" s="408"/>
      <c r="BH701" s="408"/>
      <c r="BI701" s="408"/>
      <c r="BJ701" s="408"/>
      <c r="BK701" s="408"/>
      <c r="BL701" s="408"/>
      <c r="BM701" s="408"/>
      <c r="BN701" s="408"/>
      <c r="BO701" s="408"/>
      <c r="BP701" s="408"/>
      <c r="BQ701" s="408"/>
      <c r="BR701" s="408"/>
      <c r="BS701" s="408"/>
      <c r="BT701" s="408"/>
      <c r="BU701" s="408"/>
      <c r="BV701" s="408"/>
      <c r="BW701" s="408"/>
      <c r="BX701" s="408"/>
      <c r="BY701" s="408"/>
      <c r="BZ701" s="408"/>
      <c r="CA701" s="408"/>
      <c r="CB701" s="408"/>
      <c r="CC701" s="408"/>
      <c r="CD701" s="408"/>
      <c r="CE701" s="408"/>
      <c r="CF701" s="408"/>
      <c r="CG701" s="408"/>
      <c r="CH701" s="408"/>
      <c r="CI701" s="408"/>
      <c r="CJ701" s="408"/>
      <c r="CK701" s="408"/>
      <c r="CL701" s="408"/>
      <c r="CM701" s="408"/>
      <c r="CN701" s="408"/>
    </row>
    <row r="702">
      <c r="A702" s="408"/>
      <c r="B702" s="408"/>
      <c r="C702" s="408"/>
      <c r="D702" s="408"/>
      <c r="E702" s="408"/>
      <c r="F702" s="408"/>
      <c r="G702" s="408"/>
      <c r="H702" s="408"/>
      <c r="I702" s="408"/>
      <c r="J702" s="408"/>
      <c r="K702" s="408"/>
      <c r="L702" s="408"/>
      <c r="M702" s="408"/>
      <c r="N702" s="408"/>
      <c r="O702" s="408"/>
      <c r="P702" s="408"/>
      <c r="Q702" s="408"/>
      <c r="R702" s="408"/>
      <c r="S702" s="408"/>
      <c r="T702" s="408"/>
      <c r="U702" s="408"/>
      <c r="V702" s="408"/>
      <c r="W702" s="408"/>
      <c r="X702" s="408"/>
      <c r="Y702" s="408"/>
      <c r="Z702" s="408"/>
      <c r="AA702" s="408"/>
      <c r="AB702" s="408"/>
      <c r="AC702" s="408"/>
      <c r="AD702" s="408"/>
      <c r="AE702" s="408"/>
      <c r="AF702" s="408"/>
      <c r="AG702" s="408"/>
      <c r="AH702" s="408"/>
      <c r="AI702" s="408"/>
      <c r="AJ702" s="408"/>
      <c r="AK702" s="408"/>
      <c r="AL702" s="408"/>
      <c r="AM702" s="408"/>
      <c r="AN702" s="408"/>
      <c r="AO702" s="408"/>
      <c r="AP702" s="408"/>
      <c r="AQ702" s="408"/>
      <c r="AR702" s="408"/>
      <c r="AS702" s="408"/>
      <c r="AT702" s="408"/>
      <c r="AU702" s="408"/>
      <c r="AV702" s="408"/>
      <c r="AW702" s="408"/>
      <c r="AX702" s="408"/>
      <c r="AY702" s="408"/>
      <c r="AZ702" s="408"/>
      <c r="BA702" s="408"/>
      <c r="BB702" s="408"/>
      <c r="BC702" s="408"/>
      <c r="BD702" s="408"/>
      <c r="BE702" s="408"/>
      <c r="BF702" s="408"/>
      <c r="BG702" s="408"/>
      <c r="BH702" s="408"/>
      <c r="BI702" s="408"/>
      <c r="BJ702" s="408"/>
      <c r="BK702" s="408"/>
      <c r="BL702" s="408"/>
      <c r="BM702" s="408"/>
      <c r="BN702" s="408"/>
      <c r="BO702" s="408"/>
      <c r="BP702" s="408"/>
      <c r="BQ702" s="408"/>
      <c r="BR702" s="408"/>
      <c r="BS702" s="408"/>
      <c r="BT702" s="408"/>
      <c r="BU702" s="408"/>
      <c r="BV702" s="408"/>
      <c r="BW702" s="408"/>
      <c r="BX702" s="408"/>
      <c r="BY702" s="408"/>
      <c r="BZ702" s="408"/>
      <c r="CA702" s="408"/>
      <c r="CB702" s="408"/>
      <c r="CC702" s="408"/>
      <c r="CD702" s="408"/>
      <c r="CE702" s="408"/>
      <c r="CF702" s="408"/>
      <c r="CG702" s="408"/>
      <c r="CH702" s="408"/>
      <c r="CI702" s="408"/>
      <c r="CJ702" s="408"/>
      <c r="CK702" s="408"/>
      <c r="CL702" s="408"/>
      <c r="CM702" s="408"/>
      <c r="CN702" s="408"/>
    </row>
    <row r="703">
      <c r="A703" s="408"/>
      <c r="B703" s="408"/>
      <c r="C703" s="408"/>
      <c r="D703" s="408"/>
      <c r="E703" s="408"/>
      <c r="F703" s="408"/>
      <c r="G703" s="408"/>
      <c r="H703" s="408"/>
      <c r="I703" s="408"/>
      <c r="J703" s="408"/>
      <c r="K703" s="408"/>
      <c r="L703" s="408"/>
      <c r="M703" s="408"/>
      <c r="N703" s="408"/>
      <c r="O703" s="408"/>
      <c r="P703" s="408"/>
      <c r="Q703" s="408"/>
      <c r="R703" s="408"/>
      <c r="S703" s="408"/>
      <c r="T703" s="408"/>
      <c r="U703" s="408"/>
      <c r="V703" s="408"/>
      <c r="W703" s="408"/>
      <c r="X703" s="408"/>
      <c r="Y703" s="408"/>
      <c r="Z703" s="408"/>
      <c r="AA703" s="408"/>
      <c r="AB703" s="408"/>
      <c r="AC703" s="408"/>
      <c r="AD703" s="408"/>
      <c r="AE703" s="408"/>
      <c r="AF703" s="408"/>
      <c r="AG703" s="408"/>
      <c r="AH703" s="408"/>
      <c r="AI703" s="408"/>
      <c r="AJ703" s="408"/>
      <c r="AK703" s="408"/>
      <c r="AL703" s="408"/>
      <c r="AM703" s="408"/>
      <c r="AN703" s="408"/>
      <c r="AO703" s="408"/>
      <c r="AP703" s="408"/>
      <c r="AQ703" s="408"/>
      <c r="AR703" s="408"/>
      <c r="AS703" s="408"/>
      <c r="AT703" s="408"/>
      <c r="AU703" s="408"/>
      <c r="AV703" s="408"/>
      <c r="AW703" s="408"/>
      <c r="AX703" s="408"/>
      <c r="AY703" s="408"/>
      <c r="AZ703" s="408"/>
      <c r="BA703" s="408"/>
      <c r="BB703" s="408"/>
      <c r="BC703" s="408"/>
      <c r="BD703" s="408"/>
      <c r="BE703" s="408"/>
      <c r="BF703" s="408"/>
      <c r="BG703" s="408"/>
      <c r="BH703" s="408"/>
      <c r="BI703" s="408"/>
      <c r="BJ703" s="408"/>
      <c r="BK703" s="408"/>
      <c r="BL703" s="408"/>
      <c r="BM703" s="408"/>
      <c r="BN703" s="408"/>
      <c r="BO703" s="408"/>
      <c r="BP703" s="408"/>
      <c r="BQ703" s="408"/>
      <c r="BR703" s="408"/>
      <c r="BS703" s="408"/>
      <c r="BT703" s="408"/>
      <c r="BU703" s="408"/>
      <c r="BV703" s="408"/>
      <c r="BW703" s="408"/>
      <c r="BX703" s="408"/>
      <c r="BY703" s="408"/>
      <c r="BZ703" s="408"/>
      <c r="CA703" s="408"/>
      <c r="CB703" s="408"/>
      <c r="CC703" s="408"/>
      <c r="CD703" s="408"/>
      <c r="CE703" s="408"/>
      <c r="CF703" s="408"/>
      <c r="CG703" s="408"/>
      <c r="CH703" s="408"/>
      <c r="CI703" s="408"/>
      <c r="CJ703" s="408"/>
      <c r="CK703" s="408"/>
      <c r="CL703" s="408"/>
      <c r="CM703" s="408"/>
      <c r="CN703" s="408"/>
    </row>
    <row r="704">
      <c r="A704" s="408"/>
      <c r="B704" s="408"/>
      <c r="C704" s="408"/>
      <c r="D704" s="408"/>
      <c r="E704" s="408"/>
      <c r="F704" s="408"/>
      <c r="G704" s="408"/>
      <c r="H704" s="408"/>
      <c r="I704" s="408"/>
      <c r="J704" s="408"/>
      <c r="K704" s="408"/>
      <c r="L704" s="408"/>
      <c r="M704" s="408"/>
      <c r="N704" s="408"/>
      <c r="O704" s="408"/>
      <c r="P704" s="408"/>
      <c r="Q704" s="408"/>
      <c r="R704" s="408"/>
      <c r="S704" s="408"/>
      <c r="T704" s="408"/>
      <c r="U704" s="408"/>
      <c r="V704" s="408"/>
      <c r="W704" s="408"/>
      <c r="X704" s="408"/>
      <c r="Y704" s="408"/>
      <c r="Z704" s="408"/>
      <c r="AA704" s="408"/>
      <c r="AB704" s="408"/>
      <c r="AC704" s="408"/>
      <c r="AD704" s="408"/>
      <c r="AE704" s="408"/>
      <c r="AF704" s="408"/>
      <c r="AG704" s="408"/>
      <c r="AH704" s="408"/>
      <c r="AI704" s="408"/>
      <c r="AJ704" s="408"/>
      <c r="AK704" s="408"/>
      <c r="AL704" s="408"/>
      <c r="AM704" s="408"/>
      <c r="AN704" s="408"/>
      <c r="AO704" s="408"/>
      <c r="AP704" s="408"/>
      <c r="AQ704" s="408"/>
      <c r="AR704" s="408"/>
      <c r="AS704" s="408"/>
      <c r="AT704" s="408"/>
      <c r="AU704" s="408"/>
      <c r="AV704" s="408"/>
      <c r="AW704" s="408"/>
      <c r="AX704" s="408"/>
      <c r="AY704" s="408"/>
      <c r="AZ704" s="408"/>
      <c r="BA704" s="408"/>
      <c r="BB704" s="408"/>
      <c r="BC704" s="408"/>
      <c r="BD704" s="408"/>
      <c r="BE704" s="408"/>
      <c r="BF704" s="408"/>
      <c r="BG704" s="408"/>
      <c r="BH704" s="408"/>
      <c r="BI704" s="408"/>
      <c r="BJ704" s="408"/>
      <c r="BK704" s="408"/>
      <c r="BL704" s="408"/>
      <c r="BM704" s="408"/>
      <c r="BN704" s="408"/>
      <c r="BO704" s="408"/>
      <c r="BP704" s="408"/>
      <c r="BQ704" s="408"/>
      <c r="BR704" s="408"/>
      <c r="BS704" s="408"/>
      <c r="BT704" s="408"/>
      <c r="BU704" s="408"/>
      <c r="BV704" s="408"/>
      <c r="BW704" s="408"/>
      <c r="BX704" s="408"/>
      <c r="BY704" s="408"/>
      <c r="BZ704" s="408"/>
      <c r="CA704" s="408"/>
      <c r="CB704" s="408"/>
      <c r="CC704" s="408"/>
      <c r="CD704" s="408"/>
      <c r="CE704" s="408"/>
      <c r="CF704" s="408"/>
      <c r="CG704" s="408"/>
      <c r="CH704" s="408"/>
      <c r="CI704" s="408"/>
      <c r="CJ704" s="408"/>
      <c r="CK704" s="408"/>
      <c r="CL704" s="408"/>
      <c r="CM704" s="408"/>
      <c r="CN704" s="408"/>
    </row>
    <row r="705">
      <c r="A705" s="408"/>
      <c r="B705" s="408"/>
      <c r="C705" s="408"/>
      <c r="D705" s="408"/>
      <c r="E705" s="408"/>
      <c r="F705" s="408"/>
      <c r="G705" s="408"/>
      <c r="H705" s="408"/>
      <c r="I705" s="408"/>
      <c r="J705" s="408"/>
      <c r="K705" s="408"/>
      <c r="L705" s="408"/>
      <c r="M705" s="408"/>
      <c r="N705" s="408"/>
      <c r="O705" s="408"/>
      <c r="P705" s="408"/>
      <c r="Q705" s="408"/>
      <c r="R705" s="408"/>
      <c r="S705" s="408"/>
      <c r="T705" s="408"/>
      <c r="U705" s="408"/>
      <c r="V705" s="408"/>
      <c r="W705" s="408"/>
      <c r="X705" s="408"/>
      <c r="Y705" s="408"/>
      <c r="Z705" s="408"/>
      <c r="AA705" s="408"/>
      <c r="AB705" s="408"/>
      <c r="AC705" s="408"/>
      <c r="AD705" s="408"/>
      <c r="AE705" s="408"/>
      <c r="AF705" s="408"/>
      <c r="AG705" s="408"/>
      <c r="AH705" s="408"/>
      <c r="AI705" s="408"/>
      <c r="AJ705" s="408"/>
      <c r="AK705" s="408"/>
      <c r="AL705" s="408"/>
      <c r="AM705" s="408"/>
      <c r="AN705" s="408"/>
      <c r="AO705" s="408"/>
      <c r="AP705" s="408"/>
      <c r="AQ705" s="408"/>
      <c r="AR705" s="408"/>
      <c r="AS705" s="408"/>
      <c r="AT705" s="408"/>
      <c r="AU705" s="408"/>
      <c r="AV705" s="408"/>
      <c r="AW705" s="408"/>
      <c r="AX705" s="408"/>
      <c r="AY705" s="408"/>
      <c r="AZ705" s="408"/>
      <c r="BA705" s="408"/>
      <c r="BB705" s="408"/>
      <c r="BC705" s="408"/>
      <c r="BD705" s="408"/>
      <c r="BE705" s="408"/>
      <c r="BF705" s="408"/>
      <c r="BG705" s="408"/>
      <c r="BH705" s="408"/>
      <c r="BI705" s="408"/>
      <c r="BJ705" s="408"/>
      <c r="BK705" s="408"/>
      <c r="BL705" s="408"/>
      <c r="BM705" s="408"/>
      <c r="BN705" s="408"/>
      <c r="BO705" s="408"/>
      <c r="BP705" s="408"/>
      <c r="BQ705" s="408"/>
      <c r="BR705" s="408"/>
      <c r="BS705" s="408"/>
      <c r="BT705" s="408"/>
      <c r="BU705" s="408"/>
      <c r="BV705" s="408"/>
      <c r="BW705" s="408"/>
      <c r="BX705" s="408"/>
      <c r="BY705" s="408"/>
      <c r="BZ705" s="408"/>
      <c r="CA705" s="408"/>
      <c r="CB705" s="408"/>
      <c r="CC705" s="408"/>
      <c r="CD705" s="408"/>
      <c r="CE705" s="408"/>
      <c r="CF705" s="408"/>
      <c r="CG705" s="408"/>
      <c r="CH705" s="408"/>
      <c r="CI705" s="408"/>
      <c r="CJ705" s="408"/>
      <c r="CK705" s="408"/>
      <c r="CL705" s="408"/>
      <c r="CM705" s="408"/>
      <c r="CN705" s="408"/>
    </row>
    <row r="706">
      <c r="A706" s="408"/>
      <c r="B706" s="408"/>
      <c r="C706" s="408"/>
      <c r="D706" s="408"/>
      <c r="E706" s="408"/>
      <c r="F706" s="408"/>
      <c r="G706" s="408"/>
      <c r="H706" s="408"/>
      <c r="I706" s="408"/>
      <c r="J706" s="408"/>
      <c r="K706" s="408"/>
      <c r="L706" s="408"/>
      <c r="M706" s="408"/>
      <c r="N706" s="408"/>
      <c r="O706" s="408"/>
      <c r="P706" s="408"/>
      <c r="Q706" s="408"/>
      <c r="R706" s="408"/>
      <c r="S706" s="408"/>
      <c r="T706" s="408"/>
      <c r="U706" s="408"/>
      <c r="V706" s="408"/>
      <c r="W706" s="408"/>
      <c r="X706" s="408"/>
      <c r="Y706" s="408"/>
      <c r="Z706" s="408"/>
      <c r="AA706" s="408"/>
      <c r="AB706" s="408"/>
      <c r="AC706" s="408"/>
      <c r="AD706" s="408"/>
      <c r="AE706" s="408"/>
      <c r="AF706" s="408"/>
      <c r="AG706" s="408"/>
      <c r="AH706" s="408"/>
      <c r="AI706" s="408"/>
      <c r="AJ706" s="408"/>
      <c r="AK706" s="408"/>
      <c r="AL706" s="408"/>
      <c r="AM706" s="408"/>
      <c r="AN706" s="408"/>
      <c r="AO706" s="408"/>
      <c r="AP706" s="408"/>
      <c r="AQ706" s="408"/>
      <c r="AR706" s="408"/>
      <c r="AS706" s="408"/>
      <c r="AT706" s="408"/>
      <c r="AU706" s="408"/>
      <c r="AV706" s="408"/>
      <c r="AW706" s="408"/>
      <c r="AX706" s="408"/>
      <c r="AY706" s="408"/>
      <c r="AZ706" s="408"/>
      <c r="BA706" s="408"/>
      <c r="BB706" s="408"/>
      <c r="BC706" s="408"/>
      <c r="BD706" s="408"/>
      <c r="BE706" s="408"/>
      <c r="BF706" s="408"/>
      <c r="BG706" s="408"/>
      <c r="BH706" s="408"/>
      <c r="BI706" s="408"/>
      <c r="BJ706" s="408"/>
      <c r="BK706" s="408"/>
      <c r="BL706" s="408"/>
      <c r="BM706" s="408"/>
      <c r="BN706" s="408"/>
      <c r="BO706" s="408"/>
      <c r="BP706" s="408"/>
      <c r="BQ706" s="408"/>
      <c r="BR706" s="408"/>
      <c r="BS706" s="408"/>
      <c r="BT706" s="408"/>
      <c r="BU706" s="408"/>
      <c r="BV706" s="408"/>
      <c r="BW706" s="408"/>
      <c r="BX706" s="408"/>
      <c r="BY706" s="408"/>
      <c r="BZ706" s="408"/>
      <c r="CA706" s="408"/>
      <c r="CB706" s="408"/>
      <c r="CC706" s="408"/>
      <c r="CD706" s="408"/>
      <c r="CE706" s="408"/>
      <c r="CF706" s="408"/>
      <c r="CG706" s="408"/>
      <c r="CH706" s="408"/>
      <c r="CI706" s="408"/>
      <c r="CJ706" s="408"/>
      <c r="CK706" s="408"/>
      <c r="CL706" s="408"/>
      <c r="CM706" s="408"/>
      <c r="CN706" s="408"/>
    </row>
    <row r="707">
      <c r="A707" s="408"/>
      <c r="B707" s="408"/>
      <c r="C707" s="408"/>
      <c r="D707" s="408"/>
      <c r="E707" s="408"/>
      <c r="F707" s="408"/>
      <c r="G707" s="408"/>
      <c r="H707" s="408"/>
      <c r="I707" s="408"/>
      <c r="J707" s="408"/>
      <c r="K707" s="408"/>
      <c r="L707" s="408"/>
      <c r="M707" s="408"/>
      <c r="N707" s="408"/>
      <c r="O707" s="408"/>
      <c r="P707" s="408"/>
      <c r="Q707" s="408"/>
      <c r="R707" s="408"/>
      <c r="S707" s="408"/>
      <c r="T707" s="408"/>
      <c r="U707" s="408"/>
      <c r="V707" s="408"/>
      <c r="W707" s="408"/>
      <c r="X707" s="408"/>
      <c r="Y707" s="408"/>
      <c r="Z707" s="408"/>
      <c r="AA707" s="408"/>
      <c r="AB707" s="408"/>
      <c r="AC707" s="408"/>
      <c r="AD707" s="408"/>
      <c r="AE707" s="408"/>
      <c r="AF707" s="408"/>
      <c r="AG707" s="408"/>
      <c r="AH707" s="408"/>
      <c r="AI707" s="408"/>
      <c r="AJ707" s="408"/>
      <c r="AK707" s="408"/>
      <c r="AL707" s="408"/>
      <c r="AM707" s="408"/>
      <c r="AN707" s="408"/>
      <c r="AO707" s="408"/>
      <c r="AP707" s="408"/>
      <c r="AQ707" s="408"/>
      <c r="AR707" s="408"/>
      <c r="AS707" s="408"/>
      <c r="AT707" s="408"/>
      <c r="AU707" s="408"/>
      <c r="AV707" s="408"/>
      <c r="AW707" s="408"/>
      <c r="AX707" s="408"/>
      <c r="AY707" s="408"/>
      <c r="AZ707" s="408"/>
      <c r="BA707" s="408"/>
      <c r="BB707" s="408"/>
      <c r="BC707" s="408"/>
      <c r="BD707" s="408"/>
      <c r="BE707" s="408"/>
      <c r="BF707" s="408"/>
      <c r="BG707" s="408"/>
      <c r="BH707" s="408"/>
      <c r="BI707" s="408"/>
      <c r="BJ707" s="408"/>
      <c r="BK707" s="408"/>
      <c r="BL707" s="408"/>
      <c r="BM707" s="408"/>
      <c r="BN707" s="408"/>
      <c r="BO707" s="408"/>
      <c r="BP707" s="408"/>
      <c r="BQ707" s="408"/>
      <c r="BR707" s="408"/>
      <c r="BS707" s="408"/>
      <c r="BT707" s="408"/>
      <c r="BU707" s="408"/>
      <c r="BV707" s="408"/>
      <c r="BW707" s="408"/>
      <c r="BX707" s="408"/>
      <c r="BY707" s="408"/>
      <c r="BZ707" s="408"/>
      <c r="CA707" s="408"/>
      <c r="CB707" s="408"/>
      <c r="CC707" s="408"/>
      <c r="CD707" s="408"/>
      <c r="CE707" s="408"/>
      <c r="CF707" s="408"/>
      <c r="CG707" s="408"/>
      <c r="CH707" s="408"/>
      <c r="CI707" s="408"/>
      <c r="CJ707" s="408"/>
      <c r="CK707" s="408"/>
      <c r="CL707" s="408"/>
      <c r="CM707" s="408"/>
      <c r="CN707" s="408"/>
    </row>
    <row r="708">
      <c r="A708" s="408"/>
      <c r="B708" s="408"/>
      <c r="C708" s="408"/>
      <c r="D708" s="408"/>
      <c r="E708" s="408"/>
      <c r="F708" s="408"/>
      <c r="G708" s="408"/>
      <c r="H708" s="408"/>
      <c r="I708" s="408"/>
      <c r="J708" s="408"/>
      <c r="K708" s="408"/>
      <c r="L708" s="408"/>
      <c r="M708" s="408"/>
      <c r="N708" s="408"/>
      <c r="O708" s="408"/>
      <c r="P708" s="408"/>
      <c r="Q708" s="408"/>
      <c r="R708" s="408"/>
      <c r="S708" s="408"/>
      <c r="T708" s="408"/>
      <c r="U708" s="408"/>
      <c r="V708" s="408"/>
      <c r="W708" s="408"/>
      <c r="X708" s="408"/>
      <c r="Y708" s="408"/>
      <c r="Z708" s="408"/>
      <c r="AA708" s="408"/>
      <c r="AB708" s="408"/>
      <c r="AC708" s="408"/>
      <c r="AD708" s="408"/>
      <c r="AE708" s="408"/>
      <c r="AF708" s="408"/>
      <c r="AG708" s="408"/>
      <c r="AH708" s="408"/>
      <c r="AI708" s="408"/>
      <c r="AJ708" s="408"/>
      <c r="AK708" s="408"/>
      <c r="AL708" s="408"/>
      <c r="AM708" s="408"/>
      <c r="AN708" s="408"/>
      <c r="AO708" s="408"/>
      <c r="AP708" s="408"/>
      <c r="AQ708" s="408"/>
      <c r="AR708" s="408"/>
      <c r="AS708" s="408"/>
      <c r="AT708" s="408"/>
      <c r="AU708" s="408"/>
      <c r="AV708" s="408"/>
      <c r="AW708" s="408"/>
      <c r="AX708" s="408"/>
      <c r="AY708" s="408"/>
      <c r="AZ708" s="408"/>
      <c r="BA708" s="408"/>
      <c r="BB708" s="408"/>
      <c r="BC708" s="408"/>
      <c r="BD708" s="408"/>
      <c r="BE708" s="408"/>
      <c r="BF708" s="408"/>
      <c r="BG708" s="408"/>
      <c r="BH708" s="408"/>
      <c r="BI708" s="408"/>
      <c r="BJ708" s="408"/>
      <c r="BK708" s="408"/>
      <c r="BL708" s="408"/>
      <c r="BM708" s="408"/>
      <c r="BN708" s="408"/>
      <c r="BO708" s="408"/>
      <c r="BP708" s="408"/>
      <c r="BQ708" s="408"/>
      <c r="BR708" s="408"/>
      <c r="BS708" s="408"/>
      <c r="BT708" s="408"/>
      <c r="BU708" s="408"/>
      <c r="BV708" s="408"/>
      <c r="BW708" s="408"/>
      <c r="BX708" s="408"/>
      <c r="BY708" s="408"/>
      <c r="BZ708" s="408"/>
      <c r="CA708" s="408"/>
      <c r="CB708" s="408"/>
      <c r="CC708" s="408"/>
      <c r="CD708" s="408"/>
      <c r="CE708" s="408"/>
      <c r="CF708" s="408"/>
      <c r="CG708" s="408"/>
      <c r="CH708" s="408"/>
      <c r="CI708" s="408"/>
      <c r="CJ708" s="408"/>
      <c r="CK708" s="408"/>
      <c r="CL708" s="408"/>
      <c r="CM708" s="408"/>
      <c r="CN708" s="408"/>
    </row>
    <row r="709">
      <c r="A709" s="408"/>
      <c r="B709" s="408"/>
      <c r="C709" s="408"/>
      <c r="D709" s="408"/>
      <c r="E709" s="408"/>
      <c r="F709" s="408"/>
      <c r="G709" s="408"/>
      <c r="H709" s="408"/>
      <c r="I709" s="408"/>
      <c r="J709" s="408"/>
      <c r="K709" s="408"/>
      <c r="L709" s="408"/>
      <c r="M709" s="408"/>
      <c r="N709" s="408"/>
      <c r="O709" s="408"/>
      <c r="P709" s="408"/>
      <c r="Q709" s="408"/>
      <c r="R709" s="408"/>
      <c r="S709" s="408"/>
      <c r="T709" s="408"/>
      <c r="U709" s="408"/>
      <c r="V709" s="408"/>
      <c r="W709" s="408"/>
      <c r="X709" s="408"/>
      <c r="Y709" s="408"/>
      <c r="Z709" s="408"/>
      <c r="AA709" s="408"/>
      <c r="AB709" s="408"/>
      <c r="AC709" s="408"/>
      <c r="AD709" s="408"/>
      <c r="AE709" s="408"/>
      <c r="AF709" s="408"/>
      <c r="AG709" s="408"/>
      <c r="AH709" s="408"/>
      <c r="AI709" s="408"/>
      <c r="AJ709" s="408"/>
      <c r="AK709" s="408"/>
      <c r="AL709" s="408"/>
      <c r="AM709" s="408"/>
      <c r="AN709" s="408"/>
      <c r="AO709" s="408"/>
      <c r="AP709" s="408"/>
      <c r="AQ709" s="408"/>
      <c r="AR709" s="408"/>
      <c r="AS709" s="408"/>
      <c r="AT709" s="408"/>
      <c r="AU709" s="408"/>
      <c r="AV709" s="408"/>
      <c r="AW709" s="408"/>
      <c r="AX709" s="408"/>
      <c r="AY709" s="408"/>
      <c r="AZ709" s="408"/>
      <c r="BA709" s="408"/>
      <c r="BB709" s="408"/>
      <c r="BC709" s="408"/>
      <c r="BD709" s="408"/>
      <c r="BE709" s="408"/>
      <c r="BF709" s="408"/>
      <c r="BG709" s="408"/>
      <c r="BH709" s="408"/>
      <c r="BI709" s="408"/>
      <c r="BJ709" s="408"/>
      <c r="BK709" s="408"/>
      <c r="BL709" s="408"/>
      <c r="BM709" s="408"/>
      <c r="BN709" s="408"/>
      <c r="BO709" s="408"/>
      <c r="BP709" s="408"/>
      <c r="BQ709" s="408"/>
      <c r="BR709" s="408"/>
      <c r="BS709" s="408"/>
      <c r="BT709" s="408"/>
      <c r="BU709" s="408"/>
      <c r="BV709" s="408"/>
      <c r="BW709" s="408"/>
      <c r="BX709" s="408"/>
      <c r="BY709" s="408"/>
      <c r="BZ709" s="408"/>
      <c r="CA709" s="408"/>
      <c r="CB709" s="408"/>
      <c r="CC709" s="408"/>
      <c r="CD709" s="408"/>
      <c r="CE709" s="408"/>
      <c r="CF709" s="408"/>
      <c r="CG709" s="408"/>
      <c r="CH709" s="408"/>
      <c r="CI709" s="408"/>
      <c r="CJ709" s="408"/>
      <c r="CK709" s="408"/>
      <c r="CL709" s="408"/>
      <c r="CM709" s="408"/>
      <c r="CN709" s="408"/>
    </row>
    <row r="710">
      <c r="A710" s="408"/>
      <c r="B710" s="408"/>
      <c r="C710" s="408"/>
      <c r="D710" s="408"/>
      <c r="E710" s="408"/>
      <c r="F710" s="408"/>
      <c r="G710" s="408"/>
      <c r="H710" s="408"/>
      <c r="I710" s="408"/>
      <c r="J710" s="408"/>
      <c r="K710" s="408"/>
      <c r="L710" s="408"/>
      <c r="M710" s="408"/>
      <c r="N710" s="408"/>
      <c r="O710" s="408"/>
      <c r="P710" s="408"/>
      <c r="Q710" s="408"/>
      <c r="R710" s="408"/>
      <c r="S710" s="408"/>
      <c r="T710" s="408"/>
      <c r="U710" s="408"/>
      <c r="V710" s="408"/>
      <c r="W710" s="408"/>
      <c r="X710" s="408"/>
      <c r="Y710" s="408"/>
      <c r="Z710" s="408"/>
      <c r="AA710" s="408"/>
      <c r="AB710" s="408"/>
      <c r="AC710" s="408"/>
      <c r="AD710" s="408"/>
      <c r="AE710" s="408"/>
      <c r="AF710" s="408"/>
      <c r="AG710" s="408"/>
      <c r="AH710" s="408"/>
      <c r="AI710" s="408"/>
      <c r="AJ710" s="408"/>
      <c r="AK710" s="408"/>
      <c r="AL710" s="408"/>
      <c r="AM710" s="408"/>
      <c r="AN710" s="408"/>
      <c r="AO710" s="408"/>
      <c r="AP710" s="408"/>
      <c r="AQ710" s="408"/>
      <c r="AR710" s="408"/>
      <c r="AS710" s="408"/>
      <c r="AT710" s="408"/>
      <c r="AU710" s="408"/>
      <c r="AV710" s="408"/>
      <c r="AW710" s="408"/>
      <c r="AX710" s="408"/>
      <c r="AY710" s="408"/>
      <c r="AZ710" s="408"/>
      <c r="BA710" s="408"/>
      <c r="BB710" s="408"/>
      <c r="BC710" s="408"/>
      <c r="BD710" s="408"/>
      <c r="BE710" s="408"/>
      <c r="BF710" s="408"/>
      <c r="BG710" s="408"/>
      <c r="BH710" s="408"/>
      <c r="BI710" s="408"/>
      <c r="BJ710" s="408"/>
      <c r="BK710" s="408"/>
      <c r="BL710" s="408"/>
      <c r="BM710" s="408"/>
      <c r="BN710" s="408"/>
      <c r="BO710" s="408"/>
      <c r="BP710" s="408"/>
      <c r="BQ710" s="408"/>
      <c r="BR710" s="408"/>
      <c r="BS710" s="408"/>
      <c r="BT710" s="408"/>
      <c r="BU710" s="408"/>
      <c r="BV710" s="408"/>
      <c r="BW710" s="408"/>
      <c r="BX710" s="408"/>
      <c r="BY710" s="408"/>
      <c r="BZ710" s="408"/>
      <c r="CA710" s="408"/>
      <c r="CB710" s="408"/>
      <c r="CC710" s="408"/>
      <c r="CD710" s="408"/>
      <c r="CE710" s="408"/>
      <c r="CF710" s="408"/>
      <c r="CG710" s="408"/>
      <c r="CH710" s="408"/>
      <c r="CI710" s="408"/>
      <c r="CJ710" s="408"/>
      <c r="CK710" s="408"/>
      <c r="CL710" s="408"/>
      <c r="CM710" s="408"/>
      <c r="CN710" s="408"/>
    </row>
    <row r="711">
      <c r="A711" s="408"/>
      <c r="B711" s="408"/>
      <c r="C711" s="408"/>
      <c r="D711" s="408"/>
      <c r="E711" s="408"/>
      <c r="F711" s="408"/>
      <c r="G711" s="408"/>
      <c r="H711" s="408"/>
      <c r="I711" s="408"/>
      <c r="J711" s="408"/>
      <c r="K711" s="408"/>
      <c r="L711" s="408"/>
      <c r="M711" s="408"/>
      <c r="N711" s="408"/>
      <c r="O711" s="408"/>
      <c r="P711" s="408"/>
      <c r="Q711" s="408"/>
      <c r="R711" s="408"/>
      <c r="S711" s="408"/>
      <c r="T711" s="408"/>
      <c r="U711" s="408"/>
      <c r="V711" s="408"/>
      <c r="W711" s="408"/>
      <c r="X711" s="408"/>
      <c r="Y711" s="408"/>
      <c r="Z711" s="408"/>
      <c r="AA711" s="408"/>
      <c r="AB711" s="408"/>
      <c r="AC711" s="408"/>
      <c r="AD711" s="408"/>
      <c r="AE711" s="408"/>
      <c r="AF711" s="408"/>
      <c r="AG711" s="408"/>
      <c r="AH711" s="408"/>
      <c r="AI711" s="408"/>
      <c r="AJ711" s="408"/>
      <c r="AK711" s="408"/>
      <c r="AL711" s="408"/>
      <c r="AM711" s="408"/>
      <c r="AN711" s="408"/>
      <c r="AO711" s="408"/>
      <c r="AP711" s="408"/>
      <c r="AQ711" s="408"/>
      <c r="AR711" s="408"/>
      <c r="AS711" s="408"/>
      <c r="AT711" s="408"/>
      <c r="AU711" s="408"/>
      <c r="AV711" s="408"/>
      <c r="AW711" s="408"/>
      <c r="AX711" s="408"/>
      <c r="AY711" s="408"/>
      <c r="AZ711" s="408"/>
      <c r="BA711" s="408"/>
      <c r="BB711" s="408"/>
      <c r="BC711" s="408"/>
      <c r="BD711" s="408"/>
      <c r="BE711" s="408"/>
      <c r="BF711" s="408"/>
      <c r="BG711" s="408"/>
      <c r="BH711" s="408"/>
      <c r="BI711" s="408"/>
      <c r="BJ711" s="408"/>
      <c r="BK711" s="408"/>
      <c r="BL711" s="408"/>
      <c r="BM711" s="408"/>
      <c r="BN711" s="408"/>
      <c r="BO711" s="408"/>
      <c r="BP711" s="408"/>
      <c r="BQ711" s="408"/>
      <c r="BR711" s="408"/>
      <c r="BS711" s="408"/>
      <c r="BT711" s="408"/>
      <c r="BU711" s="408"/>
      <c r="BV711" s="408"/>
      <c r="BW711" s="408"/>
      <c r="BX711" s="408"/>
      <c r="BY711" s="408"/>
      <c r="BZ711" s="408"/>
      <c r="CA711" s="408"/>
      <c r="CB711" s="408"/>
      <c r="CC711" s="408"/>
      <c r="CD711" s="408"/>
      <c r="CE711" s="408"/>
      <c r="CF711" s="408"/>
      <c r="CG711" s="408"/>
      <c r="CH711" s="408"/>
      <c r="CI711" s="408"/>
      <c r="CJ711" s="408"/>
      <c r="CK711" s="408"/>
      <c r="CL711" s="408"/>
      <c r="CM711" s="408"/>
      <c r="CN711" s="408"/>
    </row>
    <row r="712">
      <c r="A712" s="408"/>
      <c r="B712" s="408"/>
      <c r="C712" s="408"/>
      <c r="D712" s="408"/>
      <c r="E712" s="408"/>
      <c r="F712" s="408"/>
      <c r="G712" s="408"/>
      <c r="H712" s="408"/>
      <c r="I712" s="408"/>
      <c r="J712" s="408"/>
      <c r="K712" s="408"/>
      <c r="L712" s="408"/>
      <c r="M712" s="408"/>
      <c r="N712" s="408"/>
      <c r="O712" s="408"/>
      <c r="P712" s="408"/>
      <c r="Q712" s="408"/>
      <c r="R712" s="408"/>
      <c r="S712" s="408"/>
      <c r="T712" s="408"/>
      <c r="U712" s="408"/>
      <c r="V712" s="408"/>
      <c r="W712" s="408"/>
      <c r="X712" s="408"/>
      <c r="Y712" s="408"/>
      <c r="Z712" s="408"/>
      <c r="AA712" s="408"/>
      <c r="AB712" s="408"/>
      <c r="AC712" s="408"/>
      <c r="AD712" s="408"/>
      <c r="AE712" s="408"/>
      <c r="AF712" s="408"/>
      <c r="AG712" s="408"/>
      <c r="AH712" s="408"/>
      <c r="AI712" s="408"/>
      <c r="AJ712" s="408"/>
      <c r="AK712" s="408"/>
      <c r="AL712" s="408"/>
      <c r="AM712" s="408"/>
      <c r="AN712" s="408"/>
      <c r="AO712" s="408"/>
      <c r="AP712" s="408"/>
      <c r="AQ712" s="408"/>
      <c r="AR712" s="408"/>
      <c r="AS712" s="408"/>
      <c r="AT712" s="408"/>
      <c r="AU712" s="408"/>
      <c r="AV712" s="408"/>
      <c r="AW712" s="408"/>
      <c r="AX712" s="408"/>
      <c r="AY712" s="408"/>
      <c r="AZ712" s="408"/>
      <c r="BA712" s="408"/>
      <c r="BB712" s="408"/>
      <c r="BC712" s="408"/>
      <c r="BD712" s="408"/>
      <c r="BE712" s="408"/>
      <c r="BF712" s="408"/>
      <c r="BG712" s="408"/>
      <c r="BH712" s="408"/>
      <c r="BI712" s="408"/>
      <c r="BJ712" s="408"/>
      <c r="BK712" s="408"/>
      <c r="BL712" s="408"/>
      <c r="BM712" s="408"/>
      <c r="BN712" s="408"/>
      <c r="BO712" s="408"/>
      <c r="BP712" s="408"/>
      <c r="BQ712" s="408"/>
      <c r="BR712" s="408"/>
      <c r="BS712" s="408"/>
      <c r="BT712" s="408"/>
      <c r="BU712" s="408"/>
      <c r="BV712" s="408"/>
      <c r="BW712" s="408"/>
      <c r="BX712" s="408"/>
      <c r="BY712" s="408"/>
      <c r="BZ712" s="408"/>
      <c r="CA712" s="408"/>
      <c r="CB712" s="408"/>
      <c r="CC712" s="408"/>
      <c r="CD712" s="408"/>
      <c r="CE712" s="408"/>
      <c r="CF712" s="408"/>
      <c r="CG712" s="408"/>
      <c r="CH712" s="408"/>
      <c r="CI712" s="408"/>
      <c r="CJ712" s="408"/>
      <c r="CK712" s="408"/>
      <c r="CL712" s="408"/>
      <c r="CM712" s="408"/>
      <c r="CN712" s="408"/>
    </row>
    <row r="713">
      <c r="A713" s="408"/>
      <c r="B713" s="408"/>
      <c r="C713" s="408"/>
      <c r="D713" s="408"/>
      <c r="E713" s="408"/>
      <c r="F713" s="408"/>
      <c r="G713" s="408"/>
      <c r="H713" s="408"/>
      <c r="I713" s="408"/>
      <c r="J713" s="408"/>
      <c r="K713" s="408"/>
      <c r="L713" s="408"/>
      <c r="M713" s="408"/>
      <c r="N713" s="408"/>
      <c r="O713" s="408"/>
      <c r="P713" s="408"/>
      <c r="Q713" s="408"/>
      <c r="R713" s="408"/>
      <c r="S713" s="408"/>
      <c r="T713" s="408"/>
      <c r="U713" s="408"/>
      <c r="V713" s="408"/>
      <c r="W713" s="408"/>
      <c r="X713" s="408"/>
      <c r="Y713" s="408"/>
      <c r="Z713" s="408"/>
      <c r="AA713" s="408"/>
      <c r="AB713" s="408"/>
      <c r="AC713" s="408"/>
      <c r="AD713" s="408"/>
      <c r="AE713" s="408"/>
      <c r="AF713" s="408"/>
      <c r="AG713" s="408"/>
      <c r="AH713" s="408"/>
      <c r="AI713" s="408"/>
      <c r="AJ713" s="408"/>
      <c r="AK713" s="408"/>
      <c r="AL713" s="408"/>
      <c r="AM713" s="408"/>
      <c r="AN713" s="408"/>
      <c r="AO713" s="408"/>
      <c r="AP713" s="408"/>
      <c r="AQ713" s="408"/>
      <c r="AR713" s="408"/>
      <c r="AS713" s="408"/>
      <c r="AT713" s="408"/>
      <c r="AU713" s="408"/>
      <c r="AV713" s="408"/>
      <c r="AW713" s="408"/>
      <c r="AX713" s="408"/>
      <c r="AY713" s="408"/>
      <c r="AZ713" s="408"/>
      <c r="BA713" s="408"/>
      <c r="BB713" s="408"/>
      <c r="BC713" s="408"/>
      <c r="BD713" s="408"/>
      <c r="BE713" s="408"/>
      <c r="BF713" s="408"/>
      <c r="BG713" s="408"/>
      <c r="BH713" s="408"/>
      <c r="BI713" s="408"/>
      <c r="BJ713" s="408"/>
      <c r="BK713" s="408"/>
      <c r="BL713" s="408"/>
      <c r="BM713" s="408"/>
      <c r="BN713" s="408"/>
      <c r="BO713" s="408"/>
      <c r="BP713" s="408"/>
      <c r="BQ713" s="408"/>
      <c r="BR713" s="408"/>
      <c r="BS713" s="408"/>
      <c r="BT713" s="408"/>
      <c r="BU713" s="408"/>
      <c r="BV713" s="408"/>
      <c r="BW713" s="408"/>
      <c r="BX713" s="408"/>
      <c r="BY713" s="408"/>
      <c r="BZ713" s="408"/>
      <c r="CA713" s="408"/>
      <c r="CB713" s="408"/>
      <c r="CC713" s="408"/>
      <c r="CD713" s="408"/>
      <c r="CE713" s="408"/>
      <c r="CF713" s="408"/>
      <c r="CG713" s="408"/>
      <c r="CH713" s="408"/>
      <c r="CI713" s="408"/>
      <c r="CJ713" s="408"/>
      <c r="CK713" s="408"/>
      <c r="CL713" s="408"/>
      <c r="CM713" s="408"/>
      <c r="CN713" s="408"/>
    </row>
    <row r="714">
      <c r="A714" s="408"/>
      <c r="B714" s="408"/>
      <c r="C714" s="408"/>
      <c r="D714" s="408"/>
      <c r="E714" s="408"/>
      <c r="F714" s="408"/>
      <c r="G714" s="408"/>
      <c r="H714" s="408"/>
      <c r="I714" s="408"/>
      <c r="J714" s="408"/>
      <c r="K714" s="408"/>
      <c r="L714" s="408"/>
      <c r="M714" s="408"/>
      <c r="N714" s="408"/>
      <c r="O714" s="408"/>
      <c r="P714" s="408"/>
      <c r="Q714" s="408"/>
      <c r="R714" s="408"/>
      <c r="S714" s="408"/>
      <c r="T714" s="408"/>
      <c r="U714" s="408"/>
      <c r="V714" s="408"/>
      <c r="W714" s="408"/>
      <c r="X714" s="408"/>
      <c r="Y714" s="408"/>
      <c r="Z714" s="408"/>
      <c r="AA714" s="408"/>
      <c r="AB714" s="408"/>
      <c r="AC714" s="408"/>
      <c r="AD714" s="408"/>
      <c r="AE714" s="408"/>
      <c r="AF714" s="408"/>
      <c r="AG714" s="408"/>
      <c r="AH714" s="408"/>
      <c r="AI714" s="408"/>
      <c r="AJ714" s="408"/>
      <c r="AK714" s="408"/>
      <c r="AL714" s="408"/>
      <c r="AM714" s="408"/>
      <c r="AN714" s="408"/>
      <c r="AO714" s="408"/>
      <c r="AP714" s="408"/>
      <c r="AQ714" s="408"/>
      <c r="AR714" s="408"/>
      <c r="AS714" s="408"/>
      <c r="AT714" s="408"/>
      <c r="AU714" s="408"/>
      <c r="AV714" s="408"/>
      <c r="AW714" s="408"/>
      <c r="AX714" s="408"/>
      <c r="AY714" s="408"/>
      <c r="AZ714" s="408"/>
      <c r="BA714" s="408"/>
      <c r="BB714" s="408"/>
      <c r="BC714" s="408"/>
      <c r="BD714" s="408"/>
      <c r="BE714" s="408"/>
      <c r="BF714" s="408"/>
      <c r="BG714" s="408"/>
      <c r="BH714" s="408"/>
      <c r="BI714" s="408"/>
      <c r="BJ714" s="408"/>
      <c r="BK714" s="408"/>
      <c r="BL714" s="408"/>
      <c r="BM714" s="408"/>
      <c r="BN714" s="408"/>
      <c r="BO714" s="408"/>
      <c r="BP714" s="408"/>
      <c r="BQ714" s="408"/>
      <c r="BR714" s="408"/>
      <c r="BS714" s="408"/>
      <c r="BT714" s="408"/>
      <c r="BU714" s="408"/>
      <c r="BV714" s="408"/>
      <c r="BW714" s="408"/>
      <c r="BX714" s="408"/>
      <c r="BY714" s="408"/>
      <c r="BZ714" s="408"/>
      <c r="CA714" s="408"/>
      <c r="CB714" s="408"/>
      <c r="CC714" s="408"/>
      <c r="CD714" s="408"/>
      <c r="CE714" s="408"/>
      <c r="CF714" s="408"/>
      <c r="CG714" s="408"/>
      <c r="CH714" s="408"/>
      <c r="CI714" s="408"/>
      <c r="CJ714" s="408"/>
      <c r="CK714" s="408"/>
      <c r="CL714" s="408"/>
      <c r="CM714" s="408"/>
      <c r="CN714" s="408"/>
    </row>
    <row r="715">
      <c r="A715" s="408"/>
      <c r="B715" s="408"/>
      <c r="C715" s="408"/>
      <c r="D715" s="408"/>
      <c r="E715" s="408"/>
      <c r="F715" s="408"/>
      <c r="G715" s="408"/>
      <c r="H715" s="408"/>
      <c r="I715" s="408"/>
      <c r="J715" s="408"/>
      <c r="K715" s="408"/>
      <c r="L715" s="408"/>
      <c r="M715" s="408"/>
      <c r="N715" s="408"/>
      <c r="O715" s="408"/>
      <c r="P715" s="408"/>
      <c r="Q715" s="408"/>
      <c r="R715" s="408"/>
      <c r="S715" s="408"/>
      <c r="T715" s="408"/>
      <c r="U715" s="408"/>
      <c r="V715" s="408"/>
      <c r="W715" s="408"/>
      <c r="X715" s="408"/>
      <c r="Y715" s="408"/>
      <c r="Z715" s="408"/>
      <c r="AA715" s="408"/>
      <c r="AB715" s="408"/>
      <c r="AC715" s="408"/>
      <c r="AD715" s="408"/>
      <c r="AE715" s="408"/>
      <c r="AF715" s="408"/>
      <c r="AG715" s="408"/>
      <c r="AH715" s="408"/>
      <c r="AI715" s="408"/>
      <c r="AJ715" s="408"/>
      <c r="AK715" s="408"/>
      <c r="AL715" s="408"/>
      <c r="AM715" s="408"/>
      <c r="AN715" s="408"/>
      <c r="AO715" s="408"/>
      <c r="AP715" s="408"/>
      <c r="AQ715" s="408"/>
      <c r="AR715" s="408"/>
      <c r="AS715" s="408"/>
      <c r="AT715" s="408"/>
      <c r="AU715" s="408"/>
      <c r="AV715" s="408"/>
      <c r="AW715" s="408"/>
      <c r="AX715" s="408"/>
      <c r="AY715" s="408"/>
      <c r="AZ715" s="408"/>
      <c r="BA715" s="408"/>
      <c r="BB715" s="408"/>
      <c r="BC715" s="408"/>
      <c r="BD715" s="408"/>
      <c r="BE715" s="408"/>
      <c r="BF715" s="408"/>
      <c r="BG715" s="408"/>
      <c r="BH715" s="408"/>
      <c r="BI715" s="408"/>
      <c r="BJ715" s="408"/>
      <c r="BK715" s="408"/>
      <c r="BL715" s="408"/>
      <c r="BM715" s="408"/>
      <c r="BN715" s="408"/>
      <c r="BO715" s="408"/>
      <c r="BP715" s="408"/>
      <c r="BQ715" s="408"/>
      <c r="BR715" s="408"/>
      <c r="BS715" s="408"/>
      <c r="BT715" s="408"/>
      <c r="BU715" s="408"/>
      <c r="BV715" s="408"/>
      <c r="BW715" s="408"/>
      <c r="BX715" s="408"/>
      <c r="BY715" s="408"/>
      <c r="BZ715" s="408"/>
      <c r="CA715" s="408"/>
      <c r="CB715" s="408"/>
      <c r="CC715" s="408"/>
      <c r="CD715" s="408"/>
      <c r="CE715" s="408"/>
      <c r="CF715" s="408"/>
      <c r="CG715" s="408"/>
      <c r="CH715" s="408"/>
      <c r="CI715" s="408"/>
      <c r="CJ715" s="408"/>
      <c r="CK715" s="408"/>
      <c r="CL715" s="408"/>
      <c r="CM715" s="408"/>
      <c r="CN715" s="408"/>
    </row>
    <row r="716">
      <c r="A716" s="408"/>
      <c r="B716" s="408"/>
      <c r="C716" s="408"/>
      <c r="D716" s="408"/>
      <c r="E716" s="408"/>
      <c r="F716" s="408"/>
      <c r="G716" s="408"/>
      <c r="H716" s="408"/>
      <c r="I716" s="408"/>
      <c r="J716" s="408"/>
      <c r="K716" s="408"/>
      <c r="L716" s="408"/>
      <c r="M716" s="408"/>
      <c r="N716" s="408"/>
      <c r="O716" s="408"/>
      <c r="P716" s="408"/>
      <c r="Q716" s="408"/>
      <c r="R716" s="408"/>
      <c r="S716" s="408"/>
      <c r="T716" s="408"/>
      <c r="U716" s="408"/>
      <c r="V716" s="408"/>
      <c r="W716" s="408"/>
      <c r="X716" s="408"/>
      <c r="Y716" s="408"/>
      <c r="Z716" s="408"/>
      <c r="AA716" s="408"/>
      <c r="AB716" s="408"/>
      <c r="AC716" s="408"/>
      <c r="AD716" s="408"/>
      <c r="AE716" s="408"/>
      <c r="AF716" s="408"/>
      <c r="AG716" s="408"/>
      <c r="AH716" s="408"/>
      <c r="AI716" s="408"/>
      <c r="AJ716" s="408"/>
      <c r="AK716" s="408"/>
      <c r="AL716" s="408"/>
      <c r="AM716" s="408"/>
      <c r="AN716" s="408"/>
      <c r="AO716" s="408"/>
      <c r="AP716" s="408"/>
      <c r="AQ716" s="408"/>
      <c r="AR716" s="408"/>
      <c r="AS716" s="408"/>
      <c r="AT716" s="408"/>
      <c r="AU716" s="408"/>
      <c r="AV716" s="408"/>
      <c r="AW716" s="408"/>
      <c r="AX716" s="408"/>
      <c r="AY716" s="408"/>
      <c r="AZ716" s="408"/>
      <c r="BA716" s="408"/>
      <c r="BB716" s="408"/>
      <c r="BC716" s="408"/>
      <c r="BD716" s="408"/>
      <c r="BE716" s="408"/>
      <c r="BF716" s="408"/>
      <c r="BG716" s="408"/>
      <c r="BH716" s="408"/>
      <c r="BI716" s="408"/>
      <c r="BJ716" s="408"/>
      <c r="BK716" s="408"/>
      <c r="BL716" s="408"/>
      <c r="BM716" s="408"/>
      <c r="BN716" s="408"/>
      <c r="BO716" s="408"/>
      <c r="BP716" s="408"/>
      <c r="BQ716" s="408"/>
      <c r="BR716" s="408"/>
      <c r="BS716" s="408"/>
      <c r="BT716" s="408"/>
      <c r="BU716" s="408"/>
      <c r="BV716" s="408"/>
      <c r="BW716" s="408"/>
      <c r="BX716" s="408"/>
      <c r="BY716" s="408"/>
      <c r="BZ716" s="408"/>
      <c r="CA716" s="408"/>
      <c r="CB716" s="408"/>
      <c r="CC716" s="408"/>
      <c r="CD716" s="408"/>
      <c r="CE716" s="408"/>
      <c r="CF716" s="408"/>
      <c r="CG716" s="408"/>
      <c r="CH716" s="408"/>
      <c r="CI716" s="408"/>
      <c r="CJ716" s="408"/>
      <c r="CK716" s="408"/>
      <c r="CL716" s="408"/>
      <c r="CM716" s="408"/>
      <c r="CN716" s="408"/>
    </row>
    <row r="717">
      <c r="A717" s="408"/>
      <c r="B717" s="408"/>
      <c r="C717" s="408"/>
      <c r="D717" s="408"/>
      <c r="E717" s="408"/>
      <c r="F717" s="408"/>
      <c r="G717" s="408"/>
      <c r="H717" s="408"/>
      <c r="I717" s="408"/>
      <c r="J717" s="408"/>
      <c r="K717" s="408"/>
      <c r="L717" s="408"/>
      <c r="M717" s="408"/>
      <c r="N717" s="408"/>
      <c r="O717" s="408"/>
      <c r="P717" s="408"/>
      <c r="Q717" s="408"/>
      <c r="R717" s="408"/>
      <c r="S717" s="408"/>
      <c r="T717" s="408"/>
      <c r="U717" s="408"/>
      <c r="V717" s="408"/>
      <c r="W717" s="408"/>
      <c r="X717" s="408"/>
      <c r="Y717" s="408"/>
      <c r="Z717" s="408"/>
      <c r="AA717" s="408"/>
      <c r="AB717" s="408"/>
      <c r="AC717" s="408"/>
      <c r="AD717" s="408"/>
      <c r="AE717" s="408"/>
      <c r="AF717" s="408"/>
      <c r="AG717" s="408"/>
      <c r="AH717" s="408"/>
      <c r="AI717" s="408"/>
      <c r="AJ717" s="408"/>
      <c r="AK717" s="408"/>
      <c r="AL717" s="408"/>
      <c r="AM717" s="408"/>
      <c r="AN717" s="408"/>
      <c r="AO717" s="408"/>
      <c r="AP717" s="408"/>
      <c r="AQ717" s="408"/>
      <c r="AR717" s="408"/>
      <c r="AS717" s="408"/>
      <c r="AT717" s="408"/>
      <c r="AU717" s="408"/>
      <c r="AV717" s="408"/>
      <c r="AW717" s="408"/>
      <c r="AX717" s="408"/>
      <c r="AY717" s="408"/>
      <c r="AZ717" s="408"/>
      <c r="BA717" s="408"/>
      <c r="BB717" s="408"/>
      <c r="BC717" s="408"/>
      <c r="BD717" s="408"/>
      <c r="BE717" s="408"/>
      <c r="BF717" s="408"/>
      <c r="BG717" s="408"/>
      <c r="BH717" s="408"/>
      <c r="BI717" s="408"/>
      <c r="BJ717" s="408"/>
      <c r="BK717" s="408"/>
      <c r="BL717" s="408"/>
      <c r="BM717" s="408"/>
      <c r="BN717" s="408"/>
      <c r="BO717" s="408"/>
      <c r="BP717" s="408"/>
      <c r="BQ717" s="408"/>
      <c r="BR717" s="408"/>
      <c r="BS717" s="408"/>
      <c r="BT717" s="408"/>
      <c r="BU717" s="408"/>
      <c r="BV717" s="408"/>
      <c r="BW717" s="408"/>
      <c r="BX717" s="408"/>
      <c r="BY717" s="408"/>
      <c r="BZ717" s="408"/>
      <c r="CA717" s="408"/>
      <c r="CB717" s="408"/>
      <c r="CC717" s="408"/>
      <c r="CD717" s="408"/>
      <c r="CE717" s="408"/>
      <c r="CF717" s="408"/>
      <c r="CG717" s="408"/>
      <c r="CH717" s="408"/>
      <c r="CI717" s="408"/>
      <c r="CJ717" s="408"/>
      <c r="CK717" s="408"/>
      <c r="CL717" s="408"/>
      <c r="CM717" s="408"/>
      <c r="CN717" s="408"/>
    </row>
    <row r="718">
      <c r="A718" s="408"/>
      <c r="B718" s="408"/>
      <c r="C718" s="408"/>
      <c r="D718" s="408"/>
      <c r="E718" s="408"/>
      <c r="F718" s="408"/>
      <c r="G718" s="408"/>
      <c r="H718" s="408"/>
      <c r="I718" s="408"/>
      <c r="J718" s="408"/>
      <c r="K718" s="408"/>
      <c r="L718" s="408"/>
      <c r="M718" s="408"/>
      <c r="N718" s="408"/>
      <c r="O718" s="408"/>
      <c r="P718" s="408"/>
      <c r="Q718" s="408"/>
      <c r="R718" s="408"/>
      <c r="S718" s="408"/>
      <c r="T718" s="408"/>
      <c r="U718" s="408"/>
      <c r="V718" s="408"/>
      <c r="W718" s="408"/>
      <c r="X718" s="408"/>
      <c r="Y718" s="408"/>
      <c r="Z718" s="408"/>
      <c r="AA718" s="408"/>
      <c r="AB718" s="408"/>
      <c r="AC718" s="408"/>
      <c r="AD718" s="408"/>
      <c r="AE718" s="408"/>
      <c r="AF718" s="408"/>
      <c r="AG718" s="408"/>
      <c r="AH718" s="408"/>
      <c r="AI718" s="408"/>
      <c r="AJ718" s="408"/>
      <c r="AK718" s="408"/>
      <c r="AL718" s="408"/>
      <c r="AM718" s="408"/>
      <c r="AN718" s="408"/>
      <c r="AO718" s="408"/>
      <c r="AP718" s="408"/>
      <c r="AQ718" s="408"/>
      <c r="AR718" s="408"/>
      <c r="AS718" s="408"/>
      <c r="AT718" s="408"/>
      <c r="AU718" s="408"/>
      <c r="AV718" s="408"/>
      <c r="AW718" s="408"/>
      <c r="AX718" s="408"/>
      <c r="AY718" s="408"/>
      <c r="AZ718" s="408"/>
      <c r="BA718" s="408"/>
      <c r="BB718" s="408"/>
      <c r="BC718" s="408"/>
      <c r="BD718" s="408"/>
      <c r="BE718" s="408"/>
      <c r="BF718" s="408"/>
      <c r="BG718" s="408"/>
      <c r="BH718" s="408"/>
      <c r="BI718" s="408"/>
      <c r="BJ718" s="408"/>
      <c r="BK718" s="408"/>
      <c r="BL718" s="408"/>
      <c r="BM718" s="408"/>
      <c r="BN718" s="408"/>
      <c r="BO718" s="408"/>
      <c r="BP718" s="408"/>
      <c r="BQ718" s="408"/>
      <c r="BR718" s="408"/>
      <c r="BS718" s="408"/>
      <c r="BT718" s="408"/>
      <c r="BU718" s="408"/>
      <c r="BV718" s="408"/>
      <c r="BW718" s="408"/>
      <c r="BX718" s="408"/>
      <c r="BY718" s="408"/>
      <c r="BZ718" s="408"/>
      <c r="CA718" s="408"/>
      <c r="CB718" s="408"/>
      <c r="CC718" s="408"/>
      <c r="CD718" s="408"/>
      <c r="CE718" s="408"/>
      <c r="CF718" s="408"/>
      <c r="CG718" s="408"/>
      <c r="CH718" s="408"/>
      <c r="CI718" s="408"/>
      <c r="CJ718" s="408"/>
      <c r="CK718" s="408"/>
      <c r="CL718" s="408"/>
      <c r="CM718" s="408"/>
      <c r="CN718" s="408"/>
    </row>
    <row r="719">
      <c r="A719" s="408"/>
      <c r="B719" s="408"/>
      <c r="C719" s="408"/>
      <c r="D719" s="408"/>
      <c r="E719" s="408"/>
      <c r="F719" s="408"/>
      <c r="G719" s="408"/>
      <c r="H719" s="408"/>
      <c r="I719" s="408"/>
      <c r="J719" s="408"/>
      <c r="K719" s="408"/>
      <c r="L719" s="408"/>
      <c r="M719" s="408"/>
      <c r="N719" s="408"/>
      <c r="O719" s="408"/>
      <c r="P719" s="408"/>
      <c r="Q719" s="408"/>
      <c r="R719" s="408"/>
      <c r="S719" s="408"/>
      <c r="T719" s="408"/>
      <c r="U719" s="408"/>
      <c r="V719" s="408"/>
      <c r="W719" s="408"/>
      <c r="X719" s="408"/>
      <c r="Y719" s="408"/>
      <c r="Z719" s="408"/>
      <c r="AA719" s="408"/>
      <c r="AB719" s="408"/>
      <c r="AC719" s="408"/>
      <c r="AD719" s="408"/>
      <c r="AE719" s="408"/>
      <c r="AF719" s="408"/>
      <c r="AG719" s="408"/>
      <c r="AH719" s="408"/>
      <c r="AI719" s="408"/>
      <c r="AJ719" s="408"/>
      <c r="AK719" s="408"/>
      <c r="AL719" s="408"/>
      <c r="AM719" s="408"/>
      <c r="AN719" s="408"/>
      <c r="AO719" s="408"/>
      <c r="AP719" s="408"/>
      <c r="AQ719" s="408"/>
      <c r="AR719" s="408"/>
      <c r="AS719" s="408"/>
      <c r="AT719" s="408"/>
      <c r="AU719" s="408"/>
      <c r="AV719" s="408"/>
      <c r="AW719" s="408"/>
      <c r="AX719" s="408"/>
      <c r="AY719" s="408"/>
      <c r="AZ719" s="408"/>
      <c r="BA719" s="408"/>
      <c r="BB719" s="408"/>
      <c r="BC719" s="408"/>
      <c r="BD719" s="408"/>
      <c r="BE719" s="408"/>
      <c r="BF719" s="408"/>
      <c r="BG719" s="408"/>
      <c r="BH719" s="408"/>
      <c r="BI719" s="408"/>
      <c r="BJ719" s="408"/>
      <c r="BK719" s="408"/>
      <c r="BL719" s="408"/>
      <c r="BM719" s="408"/>
      <c r="BN719" s="408"/>
      <c r="BO719" s="408"/>
      <c r="BP719" s="408"/>
      <c r="BQ719" s="408"/>
      <c r="BR719" s="408"/>
      <c r="BS719" s="408"/>
      <c r="BT719" s="408"/>
      <c r="BU719" s="408"/>
      <c r="BV719" s="408"/>
      <c r="BW719" s="408"/>
      <c r="BX719" s="408"/>
      <c r="BY719" s="408"/>
      <c r="BZ719" s="408"/>
      <c r="CA719" s="408"/>
      <c r="CB719" s="408"/>
      <c r="CC719" s="408"/>
      <c r="CD719" s="408"/>
      <c r="CE719" s="408"/>
      <c r="CF719" s="408"/>
      <c r="CG719" s="408"/>
      <c r="CH719" s="408"/>
      <c r="CI719" s="408"/>
      <c r="CJ719" s="408"/>
      <c r="CK719" s="408"/>
      <c r="CL719" s="408"/>
      <c r="CM719" s="408"/>
      <c r="CN719" s="408"/>
    </row>
    <row r="720">
      <c r="A720" s="408"/>
      <c r="B720" s="408"/>
      <c r="C720" s="408"/>
      <c r="D720" s="408"/>
      <c r="E720" s="408"/>
      <c r="F720" s="408"/>
      <c r="G720" s="408"/>
      <c r="H720" s="408"/>
      <c r="I720" s="408"/>
      <c r="J720" s="408"/>
      <c r="K720" s="408"/>
      <c r="L720" s="408"/>
      <c r="M720" s="408"/>
      <c r="N720" s="408"/>
      <c r="O720" s="408"/>
      <c r="P720" s="408"/>
      <c r="Q720" s="408"/>
      <c r="R720" s="408"/>
      <c r="S720" s="408"/>
      <c r="T720" s="408"/>
      <c r="U720" s="408"/>
      <c r="V720" s="408"/>
      <c r="W720" s="408"/>
      <c r="X720" s="408"/>
      <c r="Y720" s="408"/>
      <c r="Z720" s="408"/>
      <c r="AA720" s="408"/>
      <c r="AB720" s="408"/>
      <c r="AC720" s="408"/>
      <c r="AD720" s="408"/>
      <c r="AE720" s="408"/>
      <c r="AF720" s="408"/>
      <c r="AG720" s="408"/>
      <c r="AH720" s="408"/>
      <c r="AI720" s="408"/>
      <c r="AJ720" s="408"/>
      <c r="AK720" s="408"/>
      <c r="AL720" s="408"/>
      <c r="AM720" s="408"/>
      <c r="AN720" s="408"/>
      <c r="AO720" s="408"/>
      <c r="AP720" s="408"/>
      <c r="AQ720" s="408"/>
      <c r="AR720" s="408"/>
      <c r="AS720" s="408"/>
      <c r="AT720" s="408"/>
      <c r="AU720" s="408"/>
      <c r="AV720" s="408"/>
      <c r="AW720" s="408"/>
      <c r="AX720" s="408"/>
      <c r="AY720" s="408"/>
      <c r="AZ720" s="408"/>
      <c r="BA720" s="408"/>
      <c r="BB720" s="408"/>
      <c r="BC720" s="408"/>
      <c r="BD720" s="408"/>
      <c r="BE720" s="408"/>
      <c r="BF720" s="408"/>
      <c r="BG720" s="408"/>
      <c r="BH720" s="408"/>
      <c r="BI720" s="408"/>
      <c r="BJ720" s="408"/>
      <c r="BK720" s="408"/>
      <c r="BL720" s="408"/>
      <c r="BM720" s="408"/>
      <c r="BN720" s="408"/>
      <c r="BO720" s="408"/>
      <c r="BP720" s="408"/>
      <c r="BQ720" s="408"/>
      <c r="BR720" s="408"/>
      <c r="BS720" s="408"/>
      <c r="BT720" s="408"/>
      <c r="BU720" s="408"/>
      <c r="BV720" s="408"/>
      <c r="BW720" s="408"/>
      <c r="BX720" s="408"/>
      <c r="BY720" s="408"/>
      <c r="BZ720" s="408"/>
      <c r="CA720" s="408"/>
      <c r="CB720" s="408"/>
      <c r="CC720" s="408"/>
      <c r="CD720" s="408"/>
      <c r="CE720" s="408"/>
      <c r="CF720" s="408"/>
      <c r="CG720" s="408"/>
      <c r="CH720" s="408"/>
      <c r="CI720" s="408"/>
      <c r="CJ720" s="408"/>
      <c r="CK720" s="408"/>
      <c r="CL720" s="408"/>
      <c r="CM720" s="408"/>
      <c r="CN720" s="408"/>
    </row>
    <row r="721">
      <c r="A721" s="408"/>
      <c r="B721" s="408"/>
      <c r="C721" s="408"/>
      <c r="D721" s="408"/>
      <c r="E721" s="408"/>
      <c r="F721" s="408"/>
      <c r="G721" s="408"/>
      <c r="H721" s="408"/>
      <c r="I721" s="408"/>
      <c r="J721" s="408"/>
      <c r="K721" s="408"/>
      <c r="L721" s="408"/>
      <c r="M721" s="408"/>
      <c r="N721" s="408"/>
      <c r="O721" s="408"/>
      <c r="P721" s="408"/>
      <c r="Q721" s="408"/>
      <c r="R721" s="408"/>
      <c r="S721" s="408"/>
      <c r="T721" s="408"/>
      <c r="U721" s="408"/>
      <c r="V721" s="408"/>
      <c r="W721" s="408"/>
      <c r="X721" s="408"/>
      <c r="Y721" s="408"/>
      <c r="Z721" s="408"/>
      <c r="AA721" s="408"/>
      <c r="AB721" s="408"/>
      <c r="AC721" s="408"/>
      <c r="AD721" s="408"/>
      <c r="AE721" s="408"/>
      <c r="AF721" s="408"/>
      <c r="AG721" s="408"/>
      <c r="AH721" s="408"/>
      <c r="AI721" s="408"/>
      <c r="AJ721" s="408"/>
      <c r="AK721" s="408"/>
      <c r="AL721" s="408"/>
      <c r="AM721" s="408"/>
      <c r="AN721" s="408"/>
      <c r="AO721" s="408"/>
      <c r="AP721" s="408"/>
      <c r="AQ721" s="408"/>
      <c r="AR721" s="408"/>
      <c r="AS721" s="408"/>
      <c r="AT721" s="408"/>
      <c r="AU721" s="408"/>
      <c r="AV721" s="408"/>
      <c r="AW721" s="408"/>
      <c r="AX721" s="408"/>
      <c r="AY721" s="408"/>
      <c r="AZ721" s="408"/>
      <c r="BA721" s="408"/>
      <c r="BB721" s="408"/>
      <c r="BC721" s="408"/>
      <c r="BD721" s="408"/>
      <c r="BE721" s="408"/>
      <c r="BF721" s="408"/>
      <c r="BG721" s="408"/>
      <c r="BH721" s="408"/>
      <c r="BI721" s="408"/>
      <c r="BJ721" s="408"/>
      <c r="BK721" s="408"/>
      <c r="BL721" s="408"/>
      <c r="BM721" s="408"/>
      <c r="BN721" s="408"/>
      <c r="BO721" s="408"/>
      <c r="BP721" s="408"/>
      <c r="BQ721" s="408"/>
      <c r="BR721" s="408"/>
      <c r="BS721" s="408"/>
      <c r="BT721" s="408"/>
      <c r="BU721" s="408"/>
      <c r="BV721" s="408"/>
      <c r="BW721" s="408"/>
      <c r="BX721" s="408"/>
      <c r="BY721" s="408"/>
      <c r="BZ721" s="408"/>
      <c r="CA721" s="408"/>
      <c r="CB721" s="408"/>
      <c r="CC721" s="408"/>
      <c r="CD721" s="408"/>
      <c r="CE721" s="408"/>
      <c r="CF721" s="408"/>
      <c r="CG721" s="408"/>
      <c r="CH721" s="408"/>
      <c r="CI721" s="408"/>
      <c r="CJ721" s="408"/>
      <c r="CK721" s="408"/>
      <c r="CL721" s="408"/>
      <c r="CM721" s="408"/>
      <c r="CN721" s="408"/>
    </row>
    <row r="722">
      <c r="A722" s="408"/>
      <c r="B722" s="408"/>
      <c r="C722" s="408"/>
      <c r="D722" s="408"/>
      <c r="E722" s="408"/>
      <c r="F722" s="408"/>
      <c r="G722" s="408"/>
      <c r="H722" s="408"/>
      <c r="I722" s="408"/>
      <c r="J722" s="408"/>
      <c r="K722" s="408"/>
      <c r="L722" s="408"/>
      <c r="M722" s="408"/>
      <c r="N722" s="408"/>
      <c r="O722" s="408"/>
      <c r="P722" s="408"/>
      <c r="Q722" s="408"/>
      <c r="R722" s="408"/>
      <c r="S722" s="408"/>
      <c r="T722" s="408"/>
      <c r="U722" s="408"/>
      <c r="V722" s="408"/>
      <c r="W722" s="408"/>
      <c r="X722" s="408"/>
      <c r="Y722" s="408"/>
      <c r="Z722" s="408"/>
      <c r="AA722" s="408"/>
      <c r="AB722" s="408"/>
      <c r="AC722" s="408"/>
      <c r="AD722" s="408"/>
      <c r="AE722" s="408"/>
      <c r="AF722" s="408"/>
      <c r="AG722" s="408"/>
      <c r="AH722" s="408"/>
      <c r="AI722" s="408"/>
      <c r="AJ722" s="408"/>
      <c r="AK722" s="408"/>
      <c r="AL722" s="408"/>
      <c r="AM722" s="408"/>
      <c r="AN722" s="408"/>
      <c r="AO722" s="408"/>
      <c r="AP722" s="408"/>
      <c r="AQ722" s="408"/>
      <c r="AR722" s="408"/>
      <c r="AS722" s="408"/>
      <c r="AT722" s="408"/>
      <c r="AU722" s="408"/>
      <c r="AV722" s="408"/>
      <c r="AW722" s="408"/>
      <c r="AX722" s="408"/>
      <c r="AY722" s="408"/>
      <c r="AZ722" s="408"/>
      <c r="BA722" s="408"/>
      <c r="BB722" s="408"/>
      <c r="BC722" s="408"/>
      <c r="BD722" s="408"/>
      <c r="BE722" s="408"/>
      <c r="BF722" s="408"/>
      <c r="BG722" s="408"/>
      <c r="BH722" s="408"/>
      <c r="BI722" s="408"/>
      <c r="BJ722" s="408"/>
      <c r="BK722" s="408"/>
      <c r="BL722" s="408"/>
      <c r="BM722" s="408"/>
      <c r="BN722" s="408"/>
      <c r="BO722" s="408"/>
      <c r="BP722" s="408"/>
      <c r="BQ722" s="408"/>
      <c r="BR722" s="408"/>
      <c r="BS722" s="408"/>
      <c r="BT722" s="408"/>
      <c r="BU722" s="408"/>
      <c r="BV722" s="408"/>
      <c r="BW722" s="408"/>
      <c r="BX722" s="408"/>
      <c r="BY722" s="408"/>
      <c r="BZ722" s="408"/>
      <c r="CA722" s="408"/>
      <c r="CB722" s="408"/>
      <c r="CC722" s="408"/>
      <c r="CD722" s="408"/>
      <c r="CE722" s="408"/>
      <c r="CF722" s="408"/>
      <c r="CG722" s="408"/>
      <c r="CH722" s="408"/>
      <c r="CI722" s="408"/>
      <c r="CJ722" s="408"/>
      <c r="CK722" s="408"/>
      <c r="CL722" s="408"/>
      <c r="CM722" s="408"/>
      <c r="CN722" s="408"/>
    </row>
    <row r="723">
      <c r="A723" s="408"/>
      <c r="B723" s="408"/>
      <c r="C723" s="408"/>
      <c r="D723" s="408"/>
      <c r="E723" s="408"/>
      <c r="F723" s="408"/>
      <c r="G723" s="408"/>
      <c r="H723" s="408"/>
      <c r="I723" s="408"/>
      <c r="J723" s="408"/>
      <c r="K723" s="408"/>
      <c r="L723" s="408"/>
      <c r="M723" s="408"/>
      <c r="N723" s="408"/>
      <c r="O723" s="408"/>
      <c r="P723" s="408"/>
      <c r="Q723" s="408"/>
      <c r="R723" s="408"/>
      <c r="S723" s="408"/>
      <c r="T723" s="408"/>
      <c r="U723" s="408"/>
      <c r="V723" s="408"/>
      <c r="W723" s="408"/>
      <c r="X723" s="408"/>
      <c r="Y723" s="408"/>
      <c r="Z723" s="408"/>
      <c r="AA723" s="408"/>
      <c r="AB723" s="408"/>
      <c r="AC723" s="408"/>
      <c r="AD723" s="408"/>
      <c r="AE723" s="408"/>
      <c r="AF723" s="408"/>
      <c r="AG723" s="408"/>
      <c r="AH723" s="408"/>
      <c r="AI723" s="408"/>
      <c r="AJ723" s="408"/>
      <c r="AK723" s="408"/>
      <c r="AL723" s="408"/>
      <c r="AM723" s="408"/>
      <c r="AN723" s="408"/>
      <c r="AO723" s="408"/>
      <c r="AP723" s="408"/>
      <c r="AQ723" s="408"/>
      <c r="AR723" s="408"/>
      <c r="AS723" s="408"/>
      <c r="AT723" s="408"/>
      <c r="AU723" s="408"/>
      <c r="AV723" s="408"/>
      <c r="AW723" s="408"/>
      <c r="AX723" s="408"/>
      <c r="AY723" s="408"/>
      <c r="AZ723" s="408"/>
      <c r="BA723" s="408"/>
      <c r="BB723" s="408"/>
      <c r="BC723" s="408"/>
      <c r="BD723" s="408"/>
      <c r="BE723" s="408"/>
      <c r="BF723" s="408"/>
      <c r="BG723" s="408"/>
      <c r="BH723" s="408"/>
      <c r="BI723" s="408"/>
      <c r="BJ723" s="408"/>
      <c r="BK723" s="408"/>
      <c r="BL723" s="408"/>
      <c r="BM723" s="408"/>
      <c r="BN723" s="408"/>
      <c r="BO723" s="408"/>
      <c r="BP723" s="408"/>
      <c r="BQ723" s="408"/>
      <c r="BR723" s="408"/>
      <c r="BS723" s="408"/>
      <c r="BT723" s="408"/>
      <c r="BU723" s="408"/>
      <c r="BV723" s="408"/>
      <c r="BW723" s="408"/>
      <c r="BX723" s="408"/>
      <c r="BY723" s="408"/>
      <c r="BZ723" s="408"/>
      <c r="CA723" s="408"/>
      <c r="CB723" s="408"/>
      <c r="CC723" s="408"/>
      <c r="CD723" s="408"/>
      <c r="CE723" s="408"/>
      <c r="CF723" s="408"/>
      <c r="CG723" s="408"/>
      <c r="CH723" s="408"/>
      <c r="CI723" s="408"/>
      <c r="CJ723" s="408"/>
      <c r="CK723" s="408"/>
      <c r="CL723" s="408"/>
      <c r="CM723" s="408"/>
      <c r="CN723" s="408"/>
    </row>
    <row r="724">
      <c r="A724" s="408"/>
      <c r="B724" s="408"/>
      <c r="C724" s="408"/>
      <c r="D724" s="408"/>
      <c r="E724" s="408"/>
      <c r="F724" s="408"/>
      <c r="G724" s="408"/>
      <c r="H724" s="408"/>
      <c r="I724" s="408"/>
      <c r="J724" s="408"/>
      <c r="K724" s="408"/>
      <c r="L724" s="408"/>
      <c r="M724" s="408"/>
      <c r="N724" s="408"/>
      <c r="O724" s="408"/>
      <c r="P724" s="408"/>
      <c r="Q724" s="408"/>
      <c r="R724" s="408"/>
      <c r="S724" s="408"/>
      <c r="T724" s="408"/>
      <c r="U724" s="408"/>
      <c r="V724" s="408"/>
      <c r="W724" s="408"/>
      <c r="X724" s="408"/>
      <c r="Y724" s="408"/>
      <c r="Z724" s="408"/>
      <c r="AA724" s="408"/>
      <c r="AB724" s="408"/>
      <c r="AC724" s="408"/>
      <c r="AD724" s="408"/>
      <c r="AE724" s="408"/>
      <c r="AF724" s="408"/>
      <c r="AG724" s="408"/>
      <c r="AH724" s="408"/>
      <c r="AI724" s="408"/>
      <c r="AJ724" s="408"/>
      <c r="AK724" s="408"/>
      <c r="AL724" s="408"/>
      <c r="AM724" s="408"/>
      <c r="AN724" s="408"/>
      <c r="AO724" s="408"/>
      <c r="AP724" s="408"/>
      <c r="AQ724" s="408"/>
      <c r="AR724" s="408"/>
      <c r="AS724" s="408"/>
      <c r="AT724" s="408"/>
      <c r="AU724" s="408"/>
      <c r="AV724" s="408"/>
      <c r="AW724" s="408"/>
      <c r="AX724" s="408"/>
      <c r="AY724" s="408"/>
      <c r="AZ724" s="408"/>
      <c r="BA724" s="408"/>
      <c r="BB724" s="408"/>
      <c r="BC724" s="408"/>
      <c r="BD724" s="408"/>
      <c r="BE724" s="408"/>
      <c r="BF724" s="408"/>
      <c r="BG724" s="408"/>
      <c r="BH724" s="408"/>
      <c r="BI724" s="408"/>
      <c r="BJ724" s="408"/>
      <c r="BK724" s="408"/>
      <c r="BL724" s="408"/>
      <c r="BM724" s="408"/>
      <c r="BN724" s="408"/>
      <c r="BO724" s="408"/>
      <c r="BP724" s="408"/>
      <c r="BQ724" s="408"/>
      <c r="BR724" s="408"/>
      <c r="BS724" s="408"/>
      <c r="BT724" s="408"/>
      <c r="BU724" s="408"/>
      <c r="BV724" s="408"/>
      <c r="BW724" s="408"/>
      <c r="BX724" s="408"/>
      <c r="BY724" s="408"/>
      <c r="BZ724" s="408"/>
      <c r="CA724" s="408"/>
      <c r="CB724" s="408"/>
      <c r="CC724" s="408"/>
      <c r="CD724" s="408"/>
      <c r="CE724" s="408"/>
      <c r="CF724" s="408"/>
      <c r="CG724" s="408"/>
      <c r="CH724" s="408"/>
      <c r="CI724" s="408"/>
      <c r="CJ724" s="408"/>
      <c r="CK724" s="408"/>
      <c r="CL724" s="408"/>
      <c r="CM724" s="408"/>
      <c r="CN724" s="408"/>
    </row>
    <row r="725">
      <c r="A725" s="408"/>
      <c r="B725" s="408"/>
      <c r="C725" s="408"/>
      <c r="D725" s="408"/>
      <c r="E725" s="408"/>
      <c r="F725" s="408"/>
      <c r="G725" s="408"/>
      <c r="H725" s="408"/>
      <c r="I725" s="408"/>
      <c r="J725" s="408"/>
      <c r="K725" s="408"/>
      <c r="L725" s="408"/>
      <c r="M725" s="408"/>
      <c r="N725" s="408"/>
      <c r="O725" s="408"/>
      <c r="P725" s="408"/>
      <c r="Q725" s="408"/>
      <c r="R725" s="408"/>
      <c r="S725" s="408"/>
      <c r="T725" s="408"/>
      <c r="U725" s="408"/>
      <c r="V725" s="408"/>
      <c r="W725" s="408"/>
      <c r="X725" s="408"/>
      <c r="Y725" s="408"/>
      <c r="Z725" s="408"/>
      <c r="AA725" s="408"/>
      <c r="AB725" s="408"/>
      <c r="AC725" s="408"/>
      <c r="AD725" s="408"/>
      <c r="AE725" s="408"/>
      <c r="AF725" s="408"/>
      <c r="AG725" s="408"/>
      <c r="AH725" s="408"/>
      <c r="AI725" s="408"/>
      <c r="AJ725" s="408"/>
      <c r="AK725" s="408"/>
      <c r="AL725" s="408"/>
      <c r="AM725" s="408"/>
      <c r="AN725" s="408"/>
      <c r="AO725" s="408"/>
      <c r="AP725" s="408"/>
      <c r="AQ725" s="408"/>
      <c r="AR725" s="408"/>
      <c r="AS725" s="408"/>
      <c r="AT725" s="408"/>
      <c r="AU725" s="408"/>
      <c r="AV725" s="408"/>
      <c r="AW725" s="408"/>
      <c r="AX725" s="408"/>
      <c r="AY725" s="408"/>
      <c r="AZ725" s="408"/>
      <c r="BA725" s="408"/>
      <c r="BB725" s="408"/>
      <c r="BC725" s="408"/>
      <c r="BD725" s="408"/>
      <c r="BE725" s="408"/>
      <c r="BF725" s="408"/>
      <c r="BG725" s="408"/>
      <c r="BH725" s="408"/>
      <c r="BI725" s="408"/>
      <c r="BJ725" s="408"/>
      <c r="BK725" s="408"/>
      <c r="BL725" s="408"/>
      <c r="BM725" s="408"/>
      <c r="BN725" s="408"/>
      <c r="BO725" s="408"/>
      <c r="BP725" s="408"/>
      <c r="BQ725" s="408"/>
      <c r="BR725" s="408"/>
      <c r="BS725" s="408"/>
      <c r="BT725" s="408"/>
      <c r="BU725" s="408"/>
      <c r="BV725" s="408"/>
      <c r="BW725" s="408"/>
      <c r="BX725" s="408"/>
      <c r="BY725" s="408"/>
      <c r="BZ725" s="408"/>
      <c r="CA725" s="408"/>
      <c r="CB725" s="408"/>
      <c r="CC725" s="408"/>
      <c r="CD725" s="408"/>
      <c r="CE725" s="408"/>
      <c r="CF725" s="408"/>
      <c r="CG725" s="408"/>
      <c r="CH725" s="408"/>
      <c r="CI725" s="408"/>
      <c r="CJ725" s="408"/>
      <c r="CK725" s="408"/>
      <c r="CL725" s="408"/>
      <c r="CM725" s="408"/>
      <c r="CN725" s="408"/>
    </row>
    <row r="726">
      <c r="A726" s="408"/>
      <c r="B726" s="408"/>
      <c r="C726" s="408"/>
      <c r="D726" s="408"/>
      <c r="E726" s="408"/>
      <c r="F726" s="408"/>
      <c r="G726" s="408"/>
      <c r="H726" s="408"/>
      <c r="I726" s="408"/>
      <c r="J726" s="408"/>
      <c r="K726" s="408"/>
      <c r="L726" s="408"/>
      <c r="M726" s="408"/>
      <c r="N726" s="408"/>
      <c r="O726" s="408"/>
      <c r="P726" s="408"/>
      <c r="Q726" s="408"/>
      <c r="R726" s="408"/>
      <c r="S726" s="408"/>
      <c r="T726" s="408"/>
      <c r="U726" s="408"/>
      <c r="V726" s="408"/>
      <c r="W726" s="408"/>
      <c r="X726" s="408"/>
      <c r="Y726" s="408"/>
      <c r="Z726" s="408"/>
      <c r="AA726" s="408"/>
      <c r="AB726" s="408"/>
      <c r="AC726" s="408"/>
      <c r="AD726" s="408"/>
      <c r="AE726" s="408"/>
      <c r="AF726" s="408"/>
      <c r="AG726" s="408"/>
      <c r="AH726" s="408"/>
      <c r="AI726" s="408"/>
      <c r="AJ726" s="408"/>
      <c r="AK726" s="408"/>
      <c r="AL726" s="408"/>
      <c r="AM726" s="408"/>
      <c r="AN726" s="408"/>
      <c r="AO726" s="408"/>
      <c r="AP726" s="408"/>
      <c r="AQ726" s="408"/>
      <c r="AR726" s="408"/>
      <c r="AS726" s="408"/>
      <c r="AT726" s="408"/>
      <c r="AU726" s="408"/>
      <c r="AV726" s="408"/>
      <c r="AW726" s="408"/>
      <c r="AX726" s="408"/>
      <c r="AY726" s="408"/>
      <c r="AZ726" s="408"/>
      <c r="BA726" s="408"/>
      <c r="BB726" s="408"/>
      <c r="BC726" s="408"/>
      <c r="BD726" s="408"/>
      <c r="BE726" s="408"/>
      <c r="BF726" s="408"/>
      <c r="BG726" s="408"/>
      <c r="BH726" s="408"/>
      <c r="BI726" s="408"/>
      <c r="BJ726" s="408"/>
      <c r="BK726" s="408"/>
      <c r="BL726" s="408"/>
      <c r="BM726" s="408"/>
      <c r="BN726" s="408"/>
      <c r="BO726" s="408"/>
      <c r="BP726" s="408"/>
      <c r="BQ726" s="408"/>
      <c r="BR726" s="408"/>
      <c r="BS726" s="408"/>
      <c r="BT726" s="408"/>
      <c r="BU726" s="408"/>
      <c r="BV726" s="408"/>
      <c r="BW726" s="408"/>
      <c r="BX726" s="408"/>
      <c r="BY726" s="408"/>
      <c r="BZ726" s="408"/>
      <c r="CA726" s="408"/>
      <c r="CB726" s="408"/>
      <c r="CC726" s="408"/>
      <c r="CD726" s="408"/>
      <c r="CE726" s="408"/>
      <c r="CF726" s="408"/>
      <c r="CG726" s="408"/>
      <c r="CH726" s="408"/>
      <c r="CI726" s="408"/>
      <c r="CJ726" s="408"/>
      <c r="CK726" s="408"/>
      <c r="CL726" s="408"/>
      <c r="CM726" s="408"/>
      <c r="CN726" s="408"/>
    </row>
    <row r="727">
      <c r="A727" s="408"/>
      <c r="B727" s="408"/>
      <c r="C727" s="408"/>
      <c r="D727" s="408"/>
      <c r="E727" s="408"/>
      <c r="F727" s="408"/>
      <c r="G727" s="408"/>
      <c r="H727" s="408"/>
      <c r="I727" s="408"/>
      <c r="J727" s="408"/>
      <c r="K727" s="408"/>
      <c r="L727" s="408"/>
      <c r="M727" s="408"/>
      <c r="N727" s="408"/>
      <c r="O727" s="408"/>
      <c r="P727" s="408"/>
      <c r="Q727" s="408"/>
      <c r="R727" s="408"/>
      <c r="S727" s="408"/>
      <c r="T727" s="408"/>
      <c r="U727" s="408"/>
      <c r="V727" s="408"/>
      <c r="W727" s="408"/>
      <c r="X727" s="408"/>
      <c r="Y727" s="408"/>
      <c r="Z727" s="408"/>
      <c r="AA727" s="408"/>
      <c r="AB727" s="408"/>
      <c r="AC727" s="408"/>
      <c r="AD727" s="408"/>
      <c r="AE727" s="408"/>
      <c r="AF727" s="408"/>
      <c r="AG727" s="408"/>
      <c r="AH727" s="408"/>
      <c r="AI727" s="408"/>
      <c r="AJ727" s="408"/>
      <c r="AK727" s="408"/>
      <c r="AL727" s="408"/>
      <c r="AM727" s="408"/>
      <c r="AN727" s="408"/>
      <c r="AO727" s="408"/>
      <c r="AP727" s="408"/>
      <c r="AQ727" s="408"/>
      <c r="AR727" s="408"/>
      <c r="AS727" s="408"/>
      <c r="AT727" s="408"/>
      <c r="AU727" s="408"/>
      <c r="AV727" s="408"/>
      <c r="AW727" s="408"/>
      <c r="AX727" s="408"/>
      <c r="AY727" s="408"/>
      <c r="AZ727" s="408"/>
      <c r="BA727" s="408"/>
      <c r="BB727" s="408"/>
      <c r="BC727" s="408"/>
      <c r="BD727" s="408"/>
      <c r="BE727" s="408"/>
      <c r="BF727" s="408"/>
      <c r="BG727" s="408"/>
      <c r="BH727" s="408"/>
      <c r="BI727" s="408"/>
      <c r="BJ727" s="408"/>
      <c r="BK727" s="408"/>
      <c r="BL727" s="408"/>
      <c r="BM727" s="408"/>
      <c r="BN727" s="408"/>
      <c r="BO727" s="408"/>
      <c r="BP727" s="408"/>
      <c r="BQ727" s="408"/>
      <c r="BR727" s="408"/>
      <c r="BS727" s="408"/>
      <c r="BT727" s="408"/>
      <c r="BU727" s="408"/>
      <c r="BV727" s="408"/>
      <c r="BW727" s="408"/>
      <c r="BX727" s="408"/>
      <c r="BY727" s="408"/>
      <c r="BZ727" s="408"/>
      <c r="CA727" s="408"/>
      <c r="CB727" s="408"/>
      <c r="CC727" s="408"/>
      <c r="CD727" s="408"/>
      <c r="CE727" s="408"/>
      <c r="CF727" s="408"/>
      <c r="CG727" s="408"/>
      <c r="CH727" s="408"/>
      <c r="CI727" s="408"/>
      <c r="CJ727" s="408"/>
      <c r="CK727" s="408"/>
      <c r="CL727" s="408"/>
      <c r="CM727" s="408"/>
      <c r="CN727" s="408"/>
    </row>
    <row r="728">
      <c r="A728" s="408"/>
      <c r="B728" s="408"/>
      <c r="C728" s="408"/>
      <c r="D728" s="408"/>
      <c r="E728" s="408"/>
      <c r="F728" s="408"/>
      <c r="G728" s="408"/>
      <c r="H728" s="408"/>
      <c r="I728" s="408"/>
      <c r="J728" s="408"/>
      <c r="K728" s="408"/>
      <c r="L728" s="408"/>
      <c r="M728" s="408"/>
      <c r="N728" s="408"/>
      <c r="O728" s="408"/>
      <c r="P728" s="408"/>
      <c r="Q728" s="408"/>
      <c r="R728" s="408"/>
      <c r="S728" s="408"/>
      <c r="T728" s="408"/>
      <c r="U728" s="408"/>
      <c r="V728" s="408"/>
      <c r="W728" s="408"/>
      <c r="X728" s="408"/>
      <c r="Y728" s="408"/>
      <c r="Z728" s="408"/>
      <c r="AA728" s="408"/>
      <c r="AB728" s="408"/>
      <c r="AC728" s="408"/>
      <c r="AD728" s="408"/>
      <c r="AE728" s="408"/>
      <c r="AF728" s="408"/>
      <c r="AG728" s="408"/>
      <c r="AH728" s="408"/>
      <c r="AI728" s="408"/>
      <c r="AJ728" s="408"/>
      <c r="AK728" s="408"/>
      <c r="AL728" s="408"/>
      <c r="AM728" s="408"/>
      <c r="AN728" s="408"/>
      <c r="AO728" s="408"/>
      <c r="AP728" s="408"/>
      <c r="AQ728" s="408"/>
      <c r="AR728" s="408"/>
      <c r="AS728" s="408"/>
      <c r="AT728" s="408"/>
      <c r="AU728" s="408"/>
      <c r="AV728" s="408"/>
      <c r="AW728" s="408"/>
      <c r="AX728" s="408"/>
      <c r="AY728" s="408"/>
      <c r="AZ728" s="408"/>
      <c r="BA728" s="408"/>
      <c r="BB728" s="408"/>
      <c r="BC728" s="408"/>
      <c r="BD728" s="408"/>
      <c r="BE728" s="408"/>
      <c r="BF728" s="408"/>
      <c r="BG728" s="408"/>
      <c r="BH728" s="408"/>
      <c r="BI728" s="408"/>
      <c r="BJ728" s="408"/>
      <c r="BK728" s="408"/>
      <c r="BL728" s="408"/>
      <c r="BM728" s="408"/>
      <c r="BN728" s="408"/>
      <c r="BO728" s="408"/>
      <c r="BP728" s="408"/>
      <c r="BQ728" s="408"/>
      <c r="BR728" s="408"/>
      <c r="BS728" s="408"/>
      <c r="BT728" s="408"/>
      <c r="BU728" s="408"/>
      <c r="BV728" s="408"/>
      <c r="BW728" s="408"/>
      <c r="BX728" s="408"/>
      <c r="BY728" s="408"/>
      <c r="BZ728" s="408"/>
      <c r="CA728" s="408"/>
      <c r="CB728" s="408"/>
      <c r="CC728" s="408"/>
      <c r="CD728" s="408"/>
      <c r="CE728" s="408"/>
      <c r="CF728" s="408"/>
      <c r="CG728" s="408"/>
      <c r="CH728" s="408"/>
      <c r="CI728" s="408"/>
      <c r="CJ728" s="408"/>
      <c r="CK728" s="408"/>
      <c r="CL728" s="408"/>
      <c r="CM728" s="408"/>
      <c r="CN728" s="408"/>
    </row>
    <row r="729">
      <c r="A729" s="408"/>
      <c r="B729" s="408"/>
      <c r="C729" s="408"/>
      <c r="D729" s="408"/>
      <c r="E729" s="408"/>
      <c r="F729" s="408"/>
      <c r="G729" s="408"/>
      <c r="H729" s="408"/>
      <c r="I729" s="408"/>
      <c r="J729" s="408"/>
      <c r="K729" s="408"/>
      <c r="L729" s="408"/>
      <c r="M729" s="408"/>
      <c r="N729" s="408"/>
      <c r="O729" s="408"/>
      <c r="P729" s="408"/>
      <c r="Q729" s="408"/>
      <c r="R729" s="408"/>
      <c r="S729" s="408"/>
      <c r="T729" s="408"/>
      <c r="U729" s="408"/>
      <c r="V729" s="408"/>
      <c r="W729" s="408"/>
      <c r="X729" s="408"/>
      <c r="Y729" s="408"/>
      <c r="Z729" s="408"/>
      <c r="AA729" s="408"/>
      <c r="AB729" s="408"/>
      <c r="AC729" s="408"/>
      <c r="AD729" s="408"/>
      <c r="AE729" s="408"/>
      <c r="AF729" s="408"/>
      <c r="AG729" s="408"/>
      <c r="AH729" s="408"/>
      <c r="AI729" s="408"/>
      <c r="AJ729" s="408"/>
      <c r="AK729" s="408"/>
      <c r="AL729" s="408"/>
      <c r="AM729" s="408"/>
      <c r="AN729" s="408"/>
      <c r="AO729" s="408"/>
      <c r="AP729" s="408"/>
      <c r="AQ729" s="408"/>
      <c r="AR729" s="408"/>
      <c r="AS729" s="408"/>
      <c r="AT729" s="408"/>
      <c r="AU729" s="408"/>
      <c r="AV729" s="408"/>
      <c r="AW729" s="408"/>
      <c r="AX729" s="408"/>
      <c r="AY729" s="408"/>
      <c r="AZ729" s="408"/>
      <c r="BA729" s="408"/>
      <c r="BB729" s="408"/>
      <c r="BC729" s="408"/>
      <c r="BD729" s="408"/>
      <c r="BE729" s="408"/>
      <c r="BF729" s="408"/>
      <c r="BG729" s="408"/>
      <c r="BH729" s="408"/>
      <c r="BI729" s="408"/>
      <c r="BJ729" s="408"/>
      <c r="BK729" s="408"/>
      <c r="BL729" s="408"/>
      <c r="BM729" s="408"/>
      <c r="BN729" s="408"/>
      <c r="BO729" s="408"/>
      <c r="BP729" s="408"/>
      <c r="BQ729" s="408"/>
      <c r="BR729" s="408"/>
      <c r="BS729" s="408"/>
      <c r="BT729" s="408"/>
      <c r="BU729" s="408"/>
      <c r="BV729" s="408"/>
      <c r="BW729" s="408"/>
      <c r="BX729" s="408"/>
      <c r="BY729" s="408"/>
      <c r="BZ729" s="408"/>
      <c r="CA729" s="408"/>
      <c r="CB729" s="408"/>
      <c r="CC729" s="408"/>
      <c r="CD729" s="408"/>
      <c r="CE729" s="408"/>
      <c r="CF729" s="408"/>
      <c r="CG729" s="408"/>
      <c r="CH729" s="408"/>
      <c r="CI729" s="408"/>
      <c r="CJ729" s="408"/>
      <c r="CK729" s="408"/>
      <c r="CL729" s="408"/>
      <c r="CM729" s="408"/>
      <c r="CN729" s="408"/>
    </row>
    <row r="730">
      <c r="A730" s="408"/>
      <c r="B730" s="408"/>
      <c r="C730" s="408"/>
      <c r="D730" s="408"/>
      <c r="E730" s="408"/>
      <c r="F730" s="408"/>
      <c r="G730" s="408"/>
      <c r="H730" s="408"/>
      <c r="I730" s="408"/>
      <c r="J730" s="408"/>
      <c r="K730" s="408"/>
      <c r="L730" s="408"/>
      <c r="M730" s="408"/>
      <c r="N730" s="408"/>
      <c r="O730" s="408"/>
      <c r="P730" s="408"/>
      <c r="Q730" s="408"/>
      <c r="R730" s="408"/>
      <c r="S730" s="408"/>
      <c r="T730" s="408"/>
      <c r="U730" s="408"/>
      <c r="V730" s="408"/>
      <c r="W730" s="408"/>
      <c r="X730" s="408"/>
      <c r="Y730" s="408"/>
      <c r="Z730" s="408"/>
      <c r="AA730" s="408"/>
      <c r="AB730" s="408"/>
      <c r="AC730" s="408"/>
      <c r="AD730" s="408"/>
      <c r="AE730" s="408"/>
      <c r="AF730" s="408"/>
      <c r="AG730" s="408"/>
      <c r="AH730" s="408"/>
      <c r="AI730" s="408"/>
      <c r="AJ730" s="408"/>
      <c r="AK730" s="408"/>
      <c r="AL730" s="408"/>
      <c r="AM730" s="408"/>
      <c r="AN730" s="408"/>
      <c r="AO730" s="408"/>
      <c r="AP730" s="408"/>
      <c r="AQ730" s="408"/>
      <c r="AR730" s="408"/>
      <c r="AS730" s="408"/>
      <c r="AT730" s="408"/>
      <c r="AU730" s="408"/>
      <c r="AV730" s="408"/>
      <c r="AW730" s="408"/>
      <c r="AX730" s="408"/>
      <c r="AY730" s="408"/>
      <c r="AZ730" s="408"/>
      <c r="BA730" s="408"/>
      <c r="BB730" s="408"/>
      <c r="BC730" s="408"/>
      <c r="BD730" s="408"/>
      <c r="BE730" s="408"/>
      <c r="BF730" s="408"/>
      <c r="BG730" s="408"/>
      <c r="BH730" s="408"/>
      <c r="BI730" s="408"/>
      <c r="BJ730" s="408"/>
      <c r="BK730" s="408"/>
      <c r="BL730" s="408"/>
      <c r="BM730" s="408"/>
      <c r="BN730" s="408"/>
      <c r="BO730" s="408"/>
      <c r="BP730" s="408"/>
      <c r="BQ730" s="408"/>
      <c r="BR730" s="408"/>
      <c r="BS730" s="408"/>
      <c r="BT730" s="408"/>
      <c r="BU730" s="408"/>
      <c r="BV730" s="408"/>
      <c r="BW730" s="408"/>
      <c r="BX730" s="408"/>
      <c r="BY730" s="408"/>
      <c r="BZ730" s="408"/>
      <c r="CA730" s="408"/>
      <c r="CB730" s="408"/>
      <c r="CC730" s="408"/>
      <c r="CD730" s="408"/>
      <c r="CE730" s="408"/>
      <c r="CF730" s="408"/>
      <c r="CG730" s="408"/>
      <c r="CH730" s="408"/>
      <c r="CI730" s="408"/>
      <c r="CJ730" s="408"/>
      <c r="CK730" s="408"/>
      <c r="CL730" s="408"/>
      <c r="CM730" s="408"/>
      <c r="CN730" s="408"/>
    </row>
    <row r="731">
      <c r="A731" s="408"/>
      <c r="B731" s="408"/>
      <c r="C731" s="408"/>
      <c r="D731" s="408"/>
      <c r="E731" s="408"/>
      <c r="F731" s="408"/>
      <c r="G731" s="408"/>
      <c r="H731" s="408"/>
      <c r="I731" s="408"/>
      <c r="J731" s="408"/>
      <c r="K731" s="408"/>
      <c r="L731" s="408"/>
      <c r="M731" s="408"/>
      <c r="N731" s="408"/>
      <c r="O731" s="408"/>
      <c r="P731" s="408"/>
      <c r="Q731" s="408"/>
      <c r="R731" s="408"/>
      <c r="S731" s="408"/>
      <c r="T731" s="408"/>
      <c r="U731" s="408"/>
      <c r="V731" s="408"/>
      <c r="W731" s="408"/>
      <c r="X731" s="408"/>
      <c r="Y731" s="408"/>
      <c r="Z731" s="408"/>
      <c r="AA731" s="408"/>
      <c r="AB731" s="408"/>
      <c r="AC731" s="408"/>
      <c r="AD731" s="408"/>
      <c r="AE731" s="408"/>
      <c r="AF731" s="408"/>
      <c r="AG731" s="408"/>
      <c r="AH731" s="408"/>
      <c r="AI731" s="408"/>
      <c r="AJ731" s="408"/>
      <c r="AK731" s="408"/>
      <c r="AL731" s="408"/>
      <c r="AM731" s="408"/>
      <c r="AN731" s="408"/>
      <c r="AO731" s="408"/>
      <c r="AP731" s="408"/>
      <c r="AQ731" s="408"/>
      <c r="AR731" s="408"/>
      <c r="AS731" s="408"/>
      <c r="AT731" s="408"/>
      <c r="AU731" s="408"/>
      <c r="AV731" s="408"/>
      <c r="AW731" s="408"/>
      <c r="AX731" s="408"/>
      <c r="AY731" s="408"/>
      <c r="AZ731" s="408"/>
      <c r="BA731" s="408"/>
      <c r="BB731" s="408"/>
      <c r="BC731" s="408"/>
      <c r="BD731" s="408"/>
      <c r="BE731" s="408"/>
      <c r="BF731" s="408"/>
      <c r="BG731" s="408"/>
      <c r="BH731" s="408"/>
      <c r="BI731" s="408"/>
      <c r="BJ731" s="408"/>
      <c r="BK731" s="408"/>
      <c r="BL731" s="408"/>
      <c r="BM731" s="408"/>
      <c r="BN731" s="408"/>
      <c r="BO731" s="408"/>
      <c r="BP731" s="408"/>
      <c r="BQ731" s="408"/>
      <c r="BR731" s="408"/>
      <c r="BS731" s="408"/>
      <c r="BT731" s="408"/>
      <c r="BU731" s="408"/>
      <c r="BV731" s="408"/>
      <c r="BW731" s="408"/>
      <c r="BX731" s="408"/>
      <c r="BY731" s="408"/>
      <c r="BZ731" s="408"/>
      <c r="CA731" s="408"/>
      <c r="CB731" s="408"/>
      <c r="CC731" s="408"/>
      <c r="CD731" s="408"/>
      <c r="CE731" s="408"/>
      <c r="CF731" s="408"/>
      <c r="CG731" s="408"/>
      <c r="CH731" s="408"/>
      <c r="CI731" s="408"/>
      <c r="CJ731" s="408"/>
      <c r="CK731" s="408"/>
      <c r="CL731" s="408"/>
      <c r="CM731" s="408"/>
      <c r="CN731" s="408"/>
    </row>
    <row r="732">
      <c r="A732" s="408"/>
      <c r="B732" s="408"/>
      <c r="C732" s="408"/>
      <c r="D732" s="408"/>
      <c r="E732" s="408"/>
      <c r="F732" s="408"/>
      <c r="G732" s="408"/>
      <c r="H732" s="408"/>
      <c r="I732" s="408"/>
      <c r="J732" s="408"/>
      <c r="K732" s="408"/>
      <c r="L732" s="408"/>
      <c r="M732" s="408"/>
      <c r="N732" s="408"/>
      <c r="O732" s="408"/>
      <c r="P732" s="408"/>
      <c r="Q732" s="408"/>
      <c r="R732" s="408"/>
      <c r="S732" s="408"/>
      <c r="T732" s="408"/>
      <c r="U732" s="408"/>
      <c r="V732" s="408"/>
      <c r="W732" s="408"/>
      <c r="X732" s="408"/>
      <c r="Y732" s="408"/>
      <c r="Z732" s="408"/>
      <c r="AA732" s="408"/>
      <c r="AB732" s="408"/>
      <c r="AC732" s="408"/>
      <c r="AD732" s="408"/>
      <c r="AE732" s="408"/>
      <c r="AF732" s="408"/>
      <c r="AG732" s="408"/>
      <c r="AH732" s="408"/>
      <c r="AI732" s="408"/>
      <c r="AJ732" s="408"/>
      <c r="AK732" s="408"/>
      <c r="AL732" s="408"/>
      <c r="AM732" s="408"/>
      <c r="AN732" s="408"/>
      <c r="AO732" s="408"/>
      <c r="AP732" s="408"/>
      <c r="AQ732" s="408"/>
      <c r="AR732" s="408"/>
      <c r="AS732" s="408"/>
      <c r="AT732" s="408"/>
      <c r="AU732" s="408"/>
      <c r="AV732" s="408"/>
      <c r="AW732" s="408"/>
      <c r="AX732" s="408"/>
      <c r="AY732" s="408"/>
      <c r="AZ732" s="408"/>
      <c r="BA732" s="408"/>
      <c r="BB732" s="408"/>
      <c r="BC732" s="408"/>
      <c r="BD732" s="408"/>
      <c r="BE732" s="408"/>
      <c r="BF732" s="408"/>
      <c r="BG732" s="408"/>
      <c r="BH732" s="408"/>
      <c r="BI732" s="408"/>
      <c r="BJ732" s="408"/>
      <c r="BK732" s="408"/>
      <c r="BL732" s="408"/>
      <c r="BM732" s="408"/>
      <c r="BN732" s="408"/>
      <c r="BO732" s="408"/>
      <c r="BP732" s="408"/>
      <c r="BQ732" s="408"/>
      <c r="BR732" s="408"/>
      <c r="BS732" s="408"/>
      <c r="BT732" s="408"/>
      <c r="BU732" s="408"/>
      <c r="BV732" s="408"/>
      <c r="BW732" s="408"/>
      <c r="BX732" s="408"/>
      <c r="BY732" s="408"/>
      <c r="BZ732" s="408"/>
      <c r="CA732" s="408"/>
      <c r="CB732" s="408"/>
      <c r="CC732" s="408"/>
      <c r="CD732" s="408"/>
      <c r="CE732" s="408"/>
      <c r="CF732" s="408"/>
      <c r="CG732" s="408"/>
      <c r="CH732" s="408"/>
      <c r="CI732" s="408"/>
      <c r="CJ732" s="408"/>
      <c r="CK732" s="408"/>
      <c r="CL732" s="408"/>
      <c r="CM732" s="408"/>
      <c r="CN732" s="408"/>
    </row>
    <row r="733">
      <c r="A733" s="408"/>
      <c r="B733" s="408"/>
      <c r="C733" s="408"/>
      <c r="D733" s="408"/>
      <c r="E733" s="408"/>
      <c r="F733" s="408"/>
      <c r="G733" s="408"/>
      <c r="H733" s="408"/>
      <c r="I733" s="408"/>
      <c r="J733" s="408"/>
      <c r="K733" s="408"/>
      <c r="L733" s="408"/>
      <c r="M733" s="408"/>
      <c r="N733" s="408"/>
      <c r="O733" s="408"/>
      <c r="P733" s="408"/>
      <c r="Q733" s="408"/>
      <c r="R733" s="408"/>
      <c r="S733" s="408"/>
      <c r="T733" s="408"/>
      <c r="U733" s="408"/>
      <c r="V733" s="408"/>
      <c r="W733" s="408"/>
      <c r="X733" s="408"/>
      <c r="Y733" s="408"/>
      <c r="Z733" s="408"/>
      <c r="AA733" s="408"/>
      <c r="AB733" s="408"/>
      <c r="AC733" s="408"/>
      <c r="AD733" s="408"/>
      <c r="AE733" s="408"/>
      <c r="AF733" s="408"/>
      <c r="AG733" s="408"/>
      <c r="AH733" s="408"/>
      <c r="AI733" s="408"/>
      <c r="AJ733" s="408"/>
      <c r="AK733" s="408"/>
      <c r="AL733" s="408"/>
      <c r="AM733" s="408"/>
      <c r="AN733" s="408"/>
      <c r="AO733" s="408"/>
      <c r="AP733" s="408"/>
      <c r="AQ733" s="408"/>
      <c r="AR733" s="408"/>
      <c r="AS733" s="408"/>
      <c r="AT733" s="408"/>
      <c r="AU733" s="408"/>
      <c r="AV733" s="408"/>
      <c r="AW733" s="408"/>
      <c r="AX733" s="408"/>
      <c r="AY733" s="408"/>
      <c r="AZ733" s="408"/>
      <c r="BA733" s="408"/>
      <c r="BB733" s="408"/>
      <c r="BC733" s="408"/>
      <c r="BD733" s="408"/>
      <c r="BE733" s="408"/>
      <c r="BF733" s="408"/>
      <c r="BG733" s="408"/>
      <c r="BH733" s="408"/>
      <c r="BI733" s="408"/>
      <c r="BJ733" s="408"/>
      <c r="BK733" s="408"/>
      <c r="BL733" s="408"/>
      <c r="BM733" s="408"/>
      <c r="BN733" s="408"/>
      <c r="BO733" s="408"/>
      <c r="BP733" s="408"/>
      <c r="BQ733" s="408"/>
      <c r="BR733" s="408"/>
      <c r="BS733" s="408"/>
      <c r="BT733" s="408"/>
      <c r="BU733" s="408"/>
      <c r="BV733" s="408"/>
      <c r="BW733" s="408"/>
      <c r="BX733" s="408"/>
      <c r="BY733" s="408"/>
      <c r="BZ733" s="408"/>
      <c r="CA733" s="408"/>
      <c r="CB733" s="408"/>
      <c r="CC733" s="408"/>
      <c r="CD733" s="408"/>
      <c r="CE733" s="408"/>
      <c r="CF733" s="408"/>
      <c r="CG733" s="408"/>
      <c r="CH733" s="408"/>
      <c r="CI733" s="408"/>
      <c r="CJ733" s="408"/>
      <c r="CK733" s="408"/>
      <c r="CL733" s="408"/>
      <c r="CM733" s="408"/>
      <c r="CN733" s="408"/>
    </row>
    <row r="734">
      <c r="A734" s="408"/>
      <c r="B734" s="408"/>
      <c r="C734" s="408"/>
      <c r="D734" s="408"/>
      <c r="E734" s="408"/>
      <c r="F734" s="408"/>
      <c r="G734" s="408"/>
      <c r="H734" s="408"/>
      <c r="I734" s="408"/>
      <c r="J734" s="408"/>
      <c r="K734" s="408"/>
      <c r="L734" s="408"/>
      <c r="M734" s="408"/>
      <c r="N734" s="408"/>
      <c r="O734" s="408"/>
      <c r="P734" s="408"/>
      <c r="Q734" s="408"/>
      <c r="R734" s="408"/>
      <c r="S734" s="408"/>
      <c r="T734" s="408"/>
      <c r="U734" s="408"/>
      <c r="V734" s="408"/>
      <c r="W734" s="408"/>
      <c r="X734" s="408"/>
      <c r="Y734" s="408"/>
      <c r="Z734" s="408"/>
      <c r="AA734" s="408"/>
      <c r="AB734" s="408"/>
      <c r="AC734" s="408"/>
      <c r="AD734" s="408"/>
      <c r="AE734" s="408"/>
      <c r="AF734" s="408"/>
      <c r="AG734" s="408"/>
      <c r="AH734" s="408"/>
      <c r="AI734" s="408"/>
      <c r="AJ734" s="408"/>
      <c r="AK734" s="408"/>
      <c r="AL734" s="408"/>
      <c r="AM734" s="408"/>
      <c r="AN734" s="408"/>
      <c r="AO734" s="408"/>
      <c r="AP734" s="408"/>
      <c r="AQ734" s="408"/>
      <c r="AR734" s="408"/>
      <c r="AS734" s="408"/>
      <c r="AT734" s="408"/>
      <c r="AU734" s="408"/>
      <c r="AV734" s="408"/>
      <c r="AW734" s="408"/>
      <c r="AX734" s="408"/>
      <c r="AY734" s="408"/>
      <c r="AZ734" s="408"/>
      <c r="BA734" s="408"/>
      <c r="BB734" s="408"/>
      <c r="BC734" s="408"/>
      <c r="BD734" s="408"/>
      <c r="BE734" s="408"/>
      <c r="BF734" s="408"/>
      <c r="BG734" s="408"/>
      <c r="BH734" s="408"/>
      <c r="BI734" s="408"/>
      <c r="BJ734" s="408"/>
      <c r="BK734" s="408"/>
      <c r="BL734" s="408"/>
      <c r="BM734" s="408"/>
      <c r="BN734" s="408"/>
      <c r="BO734" s="408"/>
      <c r="BP734" s="408"/>
      <c r="BQ734" s="408"/>
      <c r="BR734" s="408"/>
      <c r="BS734" s="408"/>
      <c r="BT734" s="408"/>
      <c r="BU734" s="408"/>
      <c r="BV734" s="408"/>
      <c r="BW734" s="408"/>
      <c r="BX734" s="408"/>
      <c r="BY734" s="408"/>
      <c r="BZ734" s="408"/>
      <c r="CA734" s="408"/>
      <c r="CB734" s="408"/>
      <c r="CC734" s="408"/>
      <c r="CD734" s="408"/>
      <c r="CE734" s="408"/>
      <c r="CF734" s="408"/>
      <c r="CG734" s="408"/>
      <c r="CH734" s="408"/>
      <c r="CI734" s="408"/>
      <c r="CJ734" s="408"/>
      <c r="CK734" s="408"/>
      <c r="CL734" s="408"/>
      <c r="CM734" s="408"/>
      <c r="CN734" s="408"/>
    </row>
    <row r="735">
      <c r="A735" s="408"/>
      <c r="B735" s="408"/>
      <c r="C735" s="408"/>
      <c r="D735" s="408"/>
      <c r="E735" s="408"/>
      <c r="F735" s="408"/>
      <c r="G735" s="408"/>
      <c r="H735" s="408"/>
      <c r="I735" s="408"/>
      <c r="J735" s="408"/>
      <c r="K735" s="408"/>
      <c r="L735" s="408"/>
      <c r="M735" s="408"/>
      <c r="N735" s="408"/>
      <c r="O735" s="408"/>
      <c r="P735" s="408"/>
      <c r="Q735" s="408"/>
      <c r="R735" s="408"/>
      <c r="S735" s="408"/>
      <c r="T735" s="408"/>
      <c r="U735" s="408"/>
      <c r="V735" s="408"/>
      <c r="W735" s="408"/>
      <c r="X735" s="408"/>
      <c r="Y735" s="408"/>
      <c r="Z735" s="408"/>
      <c r="AA735" s="408"/>
      <c r="AB735" s="408"/>
      <c r="AC735" s="408"/>
      <c r="AD735" s="408"/>
      <c r="AE735" s="408"/>
      <c r="AF735" s="408"/>
      <c r="AG735" s="408"/>
      <c r="AH735" s="408"/>
      <c r="AI735" s="408"/>
      <c r="AJ735" s="408"/>
      <c r="AK735" s="408"/>
      <c r="AL735" s="408"/>
      <c r="AM735" s="408"/>
      <c r="AN735" s="408"/>
      <c r="AO735" s="408"/>
      <c r="AP735" s="408"/>
      <c r="AQ735" s="408"/>
      <c r="AR735" s="408"/>
      <c r="AS735" s="408"/>
      <c r="AT735" s="408"/>
      <c r="AU735" s="408"/>
      <c r="AV735" s="408"/>
      <c r="AW735" s="408"/>
      <c r="AX735" s="408"/>
      <c r="AY735" s="408"/>
      <c r="AZ735" s="408"/>
      <c r="BA735" s="408"/>
      <c r="BB735" s="408"/>
      <c r="BC735" s="408"/>
      <c r="BD735" s="408"/>
      <c r="BE735" s="408"/>
      <c r="BF735" s="408"/>
      <c r="BG735" s="408"/>
      <c r="BH735" s="408"/>
      <c r="BI735" s="408"/>
      <c r="BJ735" s="408"/>
      <c r="BK735" s="408"/>
      <c r="BL735" s="408"/>
      <c r="BM735" s="408"/>
      <c r="BN735" s="408"/>
      <c r="BO735" s="408"/>
      <c r="BP735" s="408"/>
      <c r="BQ735" s="408"/>
      <c r="BR735" s="408"/>
      <c r="BS735" s="408"/>
      <c r="BT735" s="408"/>
      <c r="BU735" s="408"/>
      <c r="BV735" s="408"/>
      <c r="BW735" s="408"/>
      <c r="BX735" s="408"/>
      <c r="BY735" s="408"/>
      <c r="BZ735" s="408"/>
      <c r="CA735" s="408"/>
      <c r="CB735" s="408"/>
      <c r="CC735" s="408"/>
      <c r="CD735" s="408"/>
      <c r="CE735" s="408"/>
      <c r="CF735" s="408"/>
      <c r="CG735" s="408"/>
      <c r="CH735" s="408"/>
      <c r="CI735" s="408"/>
      <c r="CJ735" s="408"/>
      <c r="CK735" s="408"/>
      <c r="CL735" s="408"/>
      <c r="CM735" s="408"/>
      <c r="CN735" s="408"/>
    </row>
    <row r="736">
      <c r="A736" s="408"/>
      <c r="B736" s="408"/>
      <c r="C736" s="408"/>
      <c r="D736" s="408"/>
      <c r="E736" s="408"/>
      <c r="F736" s="408"/>
      <c r="G736" s="408"/>
      <c r="H736" s="408"/>
      <c r="I736" s="408"/>
      <c r="J736" s="408"/>
      <c r="K736" s="408"/>
      <c r="L736" s="408"/>
      <c r="M736" s="408"/>
      <c r="N736" s="408"/>
      <c r="O736" s="408"/>
      <c r="P736" s="408"/>
      <c r="Q736" s="408"/>
      <c r="R736" s="408"/>
      <c r="S736" s="408"/>
      <c r="T736" s="408"/>
      <c r="U736" s="408"/>
      <c r="V736" s="408"/>
      <c r="W736" s="408"/>
      <c r="X736" s="408"/>
      <c r="Y736" s="408"/>
      <c r="Z736" s="408"/>
      <c r="AA736" s="408"/>
      <c r="AB736" s="408"/>
      <c r="AC736" s="408"/>
      <c r="AD736" s="408"/>
      <c r="AE736" s="408"/>
      <c r="AF736" s="408"/>
      <c r="AG736" s="408"/>
      <c r="AH736" s="408"/>
      <c r="AI736" s="408"/>
      <c r="AJ736" s="408"/>
      <c r="AK736" s="408"/>
      <c r="AL736" s="408"/>
      <c r="AM736" s="408"/>
      <c r="AN736" s="408"/>
      <c r="AO736" s="408"/>
      <c r="AP736" s="408"/>
      <c r="AQ736" s="408"/>
      <c r="AR736" s="408"/>
      <c r="AS736" s="408"/>
      <c r="AT736" s="408"/>
      <c r="AU736" s="408"/>
      <c r="AV736" s="408"/>
      <c r="AW736" s="408"/>
      <c r="AX736" s="408"/>
      <c r="AY736" s="408"/>
      <c r="AZ736" s="408"/>
      <c r="BA736" s="408"/>
      <c r="BB736" s="408"/>
      <c r="BC736" s="408"/>
      <c r="BD736" s="408"/>
      <c r="BE736" s="408"/>
      <c r="BF736" s="408"/>
      <c r="BG736" s="408"/>
      <c r="BH736" s="408"/>
      <c r="BI736" s="408"/>
      <c r="BJ736" s="408"/>
      <c r="BK736" s="408"/>
      <c r="BL736" s="408"/>
      <c r="BM736" s="408"/>
      <c r="BN736" s="408"/>
      <c r="BO736" s="408"/>
      <c r="BP736" s="408"/>
      <c r="BQ736" s="408"/>
      <c r="BR736" s="408"/>
      <c r="BS736" s="408"/>
      <c r="BT736" s="408"/>
      <c r="BU736" s="408"/>
      <c r="BV736" s="408"/>
      <c r="BW736" s="408"/>
      <c r="BX736" s="408"/>
      <c r="BY736" s="408"/>
      <c r="BZ736" s="408"/>
      <c r="CA736" s="408"/>
      <c r="CB736" s="408"/>
      <c r="CC736" s="408"/>
      <c r="CD736" s="408"/>
      <c r="CE736" s="408"/>
      <c r="CF736" s="408"/>
      <c r="CG736" s="408"/>
      <c r="CH736" s="408"/>
      <c r="CI736" s="408"/>
      <c r="CJ736" s="408"/>
      <c r="CK736" s="408"/>
      <c r="CL736" s="408"/>
      <c r="CM736" s="408"/>
      <c r="CN736" s="408"/>
    </row>
    <row r="737">
      <c r="A737" s="408"/>
      <c r="B737" s="408"/>
      <c r="C737" s="408"/>
      <c r="D737" s="408"/>
      <c r="E737" s="408"/>
      <c r="F737" s="408"/>
      <c r="G737" s="408"/>
      <c r="H737" s="408"/>
      <c r="I737" s="408"/>
      <c r="J737" s="408"/>
      <c r="K737" s="408"/>
      <c r="L737" s="408"/>
      <c r="M737" s="408"/>
      <c r="N737" s="408"/>
      <c r="O737" s="408"/>
      <c r="P737" s="408"/>
      <c r="Q737" s="408"/>
      <c r="R737" s="408"/>
      <c r="S737" s="408"/>
      <c r="T737" s="408"/>
      <c r="U737" s="408"/>
      <c r="V737" s="408"/>
      <c r="W737" s="408"/>
      <c r="X737" s="408"/>
      <c r="Y737" s="408"/>
      <c r="Z737" s="408"/>
      <c r="AA737" s="408"/>
      <c r="AB737" s="408"/>
      <c r="AC737" s="408"/>
      <c r="AD737" s="408"/>
      <c r="AE737" s="408"/>
      <c r="AF737" s="408"/>
      <c r="AG737" s="408"/>
      <c r="AH737" s="408"/>
      <c r="AI737" s="408"/>
      <c r="AJ737" s="408"/>
      <c r="AK737" s="408"/>
      <c r="AL737" s="408"/>
      <c r="AM737" s="408"/>
      <c r="AN737" s="408"/>
      <c r="AO737" s="408"/>
      <c r="AP737" s="408"/>
      <c r="AQ737" s="408"/>
      <c r="AR737" s="408"/>
      <c r="AS737" s="408"/>
      <c r="AT737" s="408"/>
      <c r="AU737" s="408"/>
      <c r="AV737" s="408"/>
      <c r="AW737" s="408"/>
      <c r="AX737" s="408"/>
      <c r="AY737" s="408"/>
      <c r="AZ737" s="408"/>
      <c r="BA737" s="408"/>
      <c r="BB737" s="408"/>
      <c r="BC737" s="408"/>
      <c r="BD737" s="408"/>
      <c r="BE737" s="408"/>
      <c r="BF737" s="408"/>
      <c r="BG737" s="408"/>
      <c r="BH737" s="408"/>
      <c r="BI737" s="408"/>
      <c r="BJ737" s="408"/>
      <c r="BK737" s="408"/>
      <c r="BL737" s="408"/>
      <c r="BM737" s="408"/>
      <c r="BN737" s="408"/>
      <c r="BO737" s="408"/>
      <c r="BP737" s="408"/>
      <c r="BQ737" s="408"/>
      <c r="BR737" s="408"/>
      <c r="BS737" s="408"/>
      <c r="BT737" s="408"/>
      <c r="BU737" s="408"/>
      <c r="BV737" s="408"/>
      <c r="BW737" s="408"/>
      <c r="BX737" s="408"/>
      <c r="BY737" s="408"/>
      <c r="BZ737" s="408"/>
      <c r="CA737" s="408"/>
      <c r="CB737" s="408"/>
      <c r="CC737" s="408"/>
      <c r="CD737" s="408"/>
      <c r="CE737" s="408"/>
      <c r="CF737" s="408"/>
      <c r="CG737" s="408"/>
      <c r="CH737" s="408"/>
      <c r="CI737" s="408"/>
      <c r="CJ737" s="408"/>
      <c r="CK737" s="408"/>
      <c r="CL737" s="408"/>
      <c r="CM737" s="408"/>
      <c r="CN737" s="408"/>
    </row>
    <row r="738">
      <c r="A738" s="408"/>
      <c r="B738" s="408"/>
      <c r="C738" s="408"/>
      <c r="D738" s="408"/>
      <c r="E738" s="408"/>
      <c r="F738" s="408"/>
      <c r="G738" s="408"/>
      <c r="H738" s="408"/>
      <c r="I738" s="408"/>
      <c r="J738" s="408"/>
      <c r="K738" s="408"/>
      <c r="L738" s="408"/>
      <c r="M738" s="408"/>
      <c r="N738" s="408"/>
      <c r="O738" s="408"/>
      <c r="P738" s="408"/>
      <c r="Q738" s="408"/>
      <c r="R738" s="408"/>
      <c r="S738" s="408"/>
      <c r="T738" s="408"/>
      <c r="U738" s="408"/>
      <c r="V738" s="408"/>
      <c r="W738" s="408"/>
      <c r="X738" s="408"/>
      <c r="Y738" s="408"/>
      <c r="Z738" s="408"/>
      <c r="AA738" s="408"/>
      <c r="AB738" s="408"/>
      <c r="AC738" s="408"/>
      <c r="AD738" s="408"/>
      <c r="AE738" s="408"/>
      <c r="AF738" s="408"/>
      <c r="AG738" s="408"/>
      <c r="AH738" s="408"/>
      <c r="AI738" s="408"/>
      <c r="AJ738" s="408"/>
      <c r="AK738" s="408"/>
      <c r="AL738" s="408"/>
      <c r="AM738" s="408"/>
      <c r="AN738" s="408"/>
      <c r="AO738" s="408"/>
      <c r="AP738" s="408"/>
      <c r="AQ738" s="408"/>
      <c r="AR738" s="408"/>
      <c r="AS738" s="408"/>
      <c r="AT738" s="408"/>
      <c r="AU738" s="408"/>
      <c r="AV738" s="408"/>
      <c r="AW738" s="408"/>
      <c r="AX738" s="408"/>
      <c r="AY738" s="408"/>
      <c r="AZ738" s="408"/>
      <c r="BA738" s="408"/>
      <c r="BB738" s="408"/>
      <c r="BC738" s="408"/>
      <c r="BD738" s="408"/>
      <c r="BE738" s="408"/>
      <c r="BF738" s="408"/>
      <c r="BG738" s="408"/>
      <c r="BH738" s="408"/>
      <c r="BI738" s="408"/>
      <c r="BJ738" s="408"/>
      <c r="BK738" s="408"/>
      <c r="BL738" s="408"/>
      <c r="BM738" s="408"/>
      <c r="BN738" s="408"/>
      <c r="BO738" s="408"/>
      <c r="BP738" s="408"/>
      <c r="BQ738" s="408"/>
      <c r="BR738" s="408"/>
      <c r="BS738" s="408"/>
      <c r="BT738" s="408"/>
      <c r="BU738" s="408"/>
      <c r="BV738" s="408"/>
      <c r="BW738" s="408"/>
      <c r="BX738" s="408"/>
      <c r="BY738" s="408"/>
      <c r="BZ738" s="408"/>
      <c r="CA738" s="408"/>
      <c r="CB738" s="408"/>
      <c r="CC738" s="408"/>
      <c r="CD738" s="408"/>
      <c r="CE738" s="408"/>
      <c r="CF738" s="408"/>
      <c r="CG738" s="408"/>
      <c r="CH738" s="408"/>
      <c r="CI738" s="408"/>
      <c r="CJ738" s="408"/>
      <c r="CK738" s="408"/>
      <c r="CL738" s="408"/>
      <c r="CM738" s="408"/>
      <c r="CN738" s="408"/>
    </row>
    <row r="739">
      <c r="A739" s="408"/>
      <c r="B739" s="408"/>
      <c r="C739" s="408"/>
      <c r="D739" s="408"/>
      <c r="E739" s="408"/>
      <c r="F739" s="408"/>
      <c r="G739" s="408"/>
      <c r="H739" s="408"/>
      <c r="I739" s="408"/>
      <c r="J739" s="408"/>
      <c r="K739" s="408"/>
      <c r="L739" s="408"/>
      <c r="M739" s="408"/>
      <c r="N739" s="408"/>
      <c r="O739" s="408"/>
      <c r="P739" s="408"/>
      <c r="Q739" s="408"/>
      <c r="R739" s="408"/>
      <c r="S739" s="408"/>
      <c r="T739" s="408"/>
      <c r="U739" s="408"/>
      <c r="V739" s="408"/>
      <c r="W739" s="408"/>
      <c r="X739" s="408"/>
      <c r="Y739" s="408"/>
      <c r="Z739" s="408"/>
      <c r="AA739" s="408"/>
      <c r="AB739" s="408"/>
      <c r="AC739" s="408"/>
      <c r="AD739" s="408"/>
      <c r="AE739" s="408"/>
      <c r="AF739" s="408"/>
      <c r="AG739" s="408"/>
      <c r="AH739" s="408"/>
      <c r="AI739" s="408"/>
      <c r="AJ739" s="408"/>
      <c r="AK739" s="408"/>
      <c r="AL739" s="408"/>
      <c r="AM739" s="408"/>
      <c r="AN739" s="408"/>
      <c r="AO739" s="408"/>
      <c r="AP739" s="408"/>
      <c r="AQ739" s="408"/>
      <c r="AR739" s="408"/>
      <c r="AS739" s="408"/>
      <c r="AT739" s="408"/>
      <c r="AU739" s="408"/>
      <c r="AV739" s="408"/>
      <c r="AW739" s="408"/>
      <c r="AX739" s="408"/>
      <c r="AY739" s="408"/>
      <c r="AZ739" s="408"/>
      <c r="BA739" s="408"/>
      <c r="BB739" s="408"/>
      <c r="BC739" s="408"/>
      <c r="BD739" s="408"/>
      <c r="BE739" s="408"/>
      <c r="BF739" s="408"/>
      <c r="BG739" s="408"/>
      <c r="BH739" s="408"/>
      <c r="BI739" s="408"/>
      <c r="BJ739" s="408"/>
      <c r="BK739" s="408"/>
      <c r="BL739" s="408"/>
      <c r="BM739" s="408"/>
      <c r="BN739" s="408"/>
      <c r="BO739" s="408"/>
      <c r="BP739" s="408"/>
      <c r="BQ739" s="408"/>
      <c r="BR739" s="408"/>
      <c r="BS739" s="408"/>
      <c r="BT739" s="408"/>
      <c r="BU739" s="408"/>
      <c r="BV739" s="408"/>
      <c r="BW739" s="408"/>
      <c r="BX739" s="408"/>
      <c r="BY739" s="408"/>
      <c r="BZ739" s="408"/>
      <c r="CA739" s="408"/>
      <c r="CB739" s="408"/>
      <c r="CC739" s="408"/>
      <c r="CD739" s="408"/>
      <c r="CE739" s="408"/>
      <c r="CF739" s="408"/>
      <c r="CG739" s="408"/>
      <c r="CH739" s="408"/>
      <c r="CI739" s="408"/>
      <c r="CJ739" s="408"/>
      <c r="CK739" s="408"/>
      <c r="CL739" s="408"/>
      <c r="CM739" s="408"/>
      <c r="CN739" s="408"/>
    </row>
    <row r="740">
      <c r="A740" s="408"/>
      <c r="B740" s="408"/>
      <c r="C740" s="408"/>
      <c r="D740" s="408"/>
      <c r="E740" s="408"/>
      <c r="F740" s="408"/>
      <c r="G740" s="408"/>
      <c r="H740" s="408"/>
      <c r="I740" s="408"/>
      <c r="J740" s="408"/>
      <c r="K740" s="408"/>
      <c r="L740" s="408"/>
      <c r="M740" s="408"/>
      <c r="N740" s="408"/>
      <c r="O740" s="408"/>
      <c r="P740" s="408"/>
      <c r="Q740" s="408"/>
      <c r="R740" s="408"/>
      <c r="S740" s="408"/>
      <c r="T740" s="408"/>
      <c r="U740" s="408"/>
      <c r="V740" s="408"/>
      <c r="W740" s="408"/>
      <c r="X740" s="408"/>
      <c r="Y740" s="408"/>
      <c r="Z740" s="408"/>
      <c r="AA740" s="408"/>
      <c r="AB740" s="408"/>
      <c r="AC740" s="408"/>
      <c r="AD740" s="408"/>
      <c r="AE740" s="408"/>
      <c r="AF740" s="408"/>
      <c r="AG740" s="408"/>
      <c r="AH740" s="408"/>
      <c r="AI740" s="408"/>
      <c r="AJ740" s="408"/>
      <c r="AK740" s="408"/>
      <c r="AL740" s="408"/>
      <c r="AM740" s="408"/>
      <c r="AN740" s="408"/>
      <c r="AO740" s="408"/>
      <c r="AP740" s="408"/>
      <c r="AQ740" s="408"/>
      <c r="AR740" s="408"/>
      <c r="AS740" s="408"/>
      <c r="AT740" s="408"/>
      <c r="AU740" s="408"/>
      <c r="AV740" s="408"/>
      <c r="AW740" s="408"/>
      <c r="AX740" s="408"/>
      <c r="AY740" s="408"/>
      <c r="AZ740" s="408"/>
      <c r="BA740" s="408"/>
      <c r="BB740" s="408"/>
      <c r="BC740" s="408"/>
      <c r="BD740" s="408"/>
      <c r="BE740" s="408"/>
      <c r="BF740" s="408"/>
      <c r="BG740" s="408"/>
      <c r="BH740" s="408"/>
      <c r="BI740" s="408"/>
      <c r="BJ740" s="408"/>
      <c r="BK740" s="408"/>
      <c r="BL740" s="408"/>
      <c r="BM740" s="408"/>
      <c r="BN740" s="408"/>
      <c r="BO740" s="408"/>
      <c r="BP740" s="408"/>
      <c r="BQ740" s="408"/>
      <c r="BR740" s="408"/>
      <c r="BS740" s="408"/>
      <c r="BT740" s="408"/>
      <c r="BU740" s="408"/>
      <c r="BV740" s="408"/>
      <c r="BW740" s="408"/>
      <c r="BX740" s="408"/>
      <c r="BY740" s="408"/>
      <c r="BZ740" s="408"/>
      <c r="CA740" s="408"/>
      <c r="CB740" s="408"/>
      <c r="CC740" s="408"/>
      <c r="CD740" s="408"/>
      <c r="CE740" s="408"/>
      <c r="CF740" s="408"/>
      <c r="CG740" s="408"/>
      <c r="CH740" s="408"/>
      <c r="CI740" s="408"/>
      <c r="CJ740" s="408"/>
      <c r="CK740" s="408"/>
      <c r="CL740" s="408"/>
      <c r="CM740" s="408"/>
      <c r="CN740" s="408"/>
    </row>
    <row r="741">
      <c r="A741" s="408"/>
      <c r="B741" s="408"/>
      <c r="C741" s="408"/>
      <c r="D741" s="408"/>
      <c r="E741" s="408"/>
      <c r="F741" s="408"/>
      <c r="G741" s="408"/>
      <c r="H741" s="408"/>
      <c r="I741" s="408"/>
      <c r="J741" s="408"/>
      <c r="K741" s="408"/>
      <c r="L741" s="408"/>
      <c r="M741" s="408"/>
      <c r="N741" s="408"/>
      <c r="O741" s="408"/>
      <c r="P741" s="408"/>
      <c r="Q741" s="408"/>
      <c r="R741" s="408"/>
      <c r="S741" s="408"/>
      <c r="T741" s="408"/>
      <c r="U741" s="408"/>
      <c r="V741" s="408"/>
      <c r="W741" s="408"/>
      <c r="X741" s="408"/>
      <c r="Y741" s="408"/>
      <c r="Z741" s="408"/>
      <c r="AA741" s="408"/>
      <c r="AB741" s="408"/>
      <c r="AC741" s="408"/>
      <c r="AD741" s="408"/>
      <c r="AE741" s="408"/>
      <c r="AF741" s="408"/>
      <c r="AG741" s="408"/>
      <c r="AH741" s="408"/>
      <c r="AI741" s="408"/>
      <c r="AJ741" s="408"/>
      <c r="AK741" s="408"/>
      <c r="AL741" s="408"/>
      <c r="AM741" s="408"/>
      <c r="AN741" s="408"/>
      <c r="AO741" s="408"/>
      <c r="AP741" s="408"/>
      <c r="AQ741" s="408"/>
      <c r="AR741" s="408"/>
      <c r="AS741" s="408"/>
      <c r="AT741" s="408"/>
      <c r="AU741" s="408"/>
      <c r="AV741" s="408"/>
      <c r="AW741" s="408"/>
      <c r="AX741" s="408"/>
      <c r="AY741" s="408"/>
      <c r="AZ741" s="408"/>
      <c r="BA741" s="408"/>
      <c r="BB741" s="408"/>
      <c r="BC741" s="408"/>
      <c r="BD741" s="408"/>
      <c r="BE741" s="408"/>
      <c r="BF741" s="408"/>
      <c r="BG741" s="408"/>
      <c r="BH741" s="408"/>
      <c r="BI741" s="408"/>
      <c r="BJ741" s="408"/>
      <c r="BK741" s="408"/>
      <c r="BL741" s="408"/>
      <c r="BM741" s="408"/>
      <c r="BN741" s="408"/>
      <c r="BO741" s="408"/>
      <c r="BP741" s="408"/>
      <c r="BQ741" s="408"/>
      <c r="BR741" s="408"/>
      <c r="BS741" s="408"/>
      <c r="BT741" s="408"/>
      <c r="BU741" s="408"/>
      <c r="BV741" s="408"/>
      <c r="BW741" s="408"/>
      <c r="BX741" s="408"/>
      <c r="BY741" s="408"/>
      <c r="BZ741" s="408"/>
      <c r="CA741" s="408"/>
      <c r="CB741" s="408"/>
      <c r="CC741" s="408"/>
      <c r="CD741" s="408"/>
      <c r="CE741" s="408"/>
      <c r="CF741" s="408"/>
      <c r="CG741" s="408"/>
      <c r="CH741" s="408"/>
      <c r="CI741" s="408"/>
      <c r="CJ741" s="408"/>
      <c r="CK741" s="408"/>
      <c r="CL741" s="408"/>
      <c r="CM741" s="408"/>
      <c r="CN741" s="408"/>
    </row>
    <row r="742">
      <c r="A742" s="408"/>
      <c r="B742" s="408"/>
      <c r="C742" s="408"/>
      <c r="D742" s="408"/>
      <c r="E742" s="408"/>
      <c r="F742" s="408"/>
      <c r="G742" s="408"/>
      <c r="H742" s="408"/>
      <c r="I742" s="408"/>
      <c r="J742" s="408"/>
      <c r="K742" s="408"/>
      <c r="L742" s="408"/>
      <c r="M742" s="408"/>
      <c r="N742" s="408"/>
      <c r="O742" s="408"/>
      <c r="P742" s="408"/>
      <c r="Q742" s="408"/>
      <c r="R742" s="408"/>
      <c r="S742" s="408"/>
      <c r="T742" s="408"/>
      <c r="U742" s="408"/>
      <c r="V742" s="408"/>
      <c r="W742" s="408"/>
      <c r="X742" s="408"/>
      <c r="Y742" s="408"/>
      <c r="Z742" s="408"/>
      <c r="AA742" s="408"/>
      <c r="AB742" s="408"/>
      <c r="AC742" s="408"/>
      <c r="AD742" s="408"/>
      <c r="AE742" s="408"/>
      <c r="AF742" s="408"/>
      <c r="AG742" s="408"/>
      <c r="AH742" s="408"/>
      <c r="AI742" s="408"/>
      <c r="AJ742" s="408"/>
      <c r="AK742" s="408"/>
      <c r="AL742" s="408"/>
      <c r="AM742" s="408"/>
      <c r="AN742" s="408"/>
      <c r="AO742" s="408"/>
      <c r="AP742" s="408"/>
      <c r="AQ742" s="408"/>
      <c r="AR742" s="408"/>
      <c r="AS742" s="408"/>
      <c r="AT742" s="408"/>
      <c r="AU742" s="408"/>
      <c r="AV742" s="408"/>
      <c r="AW742" s="408"/>
      <c r="AX742" s="408"/>
      <c r="AY742" s="408"/>
      <c r="AZ742" s="408"/>
      <c r="BA742" s="408"/>
      <c r="BB742" s="408"/>
      <c r="BC742" s="408"/>
      <c r="BD742" s="408"/>
      <c r="BE742" s="408"/>
      <c r="BF742" s="408"/>
      <c r="BG742" s="408"/>
      <c r="BH742" s="408"/>
      <c r="BI742" s="408"/>
      <c r="BJ742" s="408"/>
      <c r="BK742" s="408"/>
      <c r="BL742" s="408"/>
      <c r="BM742" s="408"/>
      <c r="BN742" s="408"/>
      <c r="BO742" s="408"/>
      <c r="BP742" s="408"/>
      <c r="BQ742" s="408"/>
      <c r="BR742" s="408"/>
      <c r="BS742" s="408"/>
      <c r="BT742" s="408"/>
      <c r="BU742" s="408"/>
      <c r="BV742" s="408"/>
      <c r="BW742" s="408"/>
      <c r="BX742" s="408"/>
      <c r="BY742" s="408"/>
      <c r="BZ742" s="408"/>
      <c r="CA742" s="408"/>
      <c r="CB742" s="408"/>
      <c r="CC742" s="408"/>
      <c r="CD742" s="408"/>
      <c r="CE742" s="408"/>
      <c r="CF742" s="408"/>
      <c r="CG742" s="408"/>
      <c r="CH742" s="408"/>
      <c r="CI742" s="408"/>
      <c r="CJ742" s="408"/>
      <c r="CK742" s="408"/>
      <c r="CL742" s="408"/>
      <c r="CM742" s="408"/>
      <c r="CN742" s="408"/>
    </row>
    <row r="743">
      <c r="A743" s="408"/>
      <c r="B743" s="408"/>
      <c r="C743" s="408"/>
      <c r="D743" s="408"/>
      <c r="E743" s="408"/>
      <c r="F743" s="408"/>
      <c r="G743" s="408"/>
      <c r="H743" s="408"/>
      <c r="I743" s="408"/>
      <c r="J743" s="408"/>
      <c r="K743" s="408"/>
      <c r="L743" s="408"/>
      <c r="M743" s="408"/>
      <c r="N743" s="408"/>
      <c r="O743" s="408"/>
      <c r="P743" s="408"/>
      <c r="Q743" s="408"/>
      <c r="R743" s="408"/>
      <c r="S743" s="408"/>
      <c r="T743" s="408"/>
      <c r="U743" s="408"/>
      <c r="V743" s="408"/>
      <c r="W743" s="408"/>
      <c r="X743" s="408"/>
      <c r="Y743" s="408"/>
      <c r="Z743" s="408"/>
      <c r="AA743" s="408"/>
      <c r="AB743" s="408"/>
      <c r="AC743" s="408"/>
      <c r="AD743" s="408"/>
      <c r="AE743" s="408"/>
      <c r="AF743" s="408"/>
      <c r="AG743" s="408"/>
      <c r="AH743" s="408"/>
      <c r="AI743" s="408"/>
      <c r="AJ743" s="408"/>
      <c r="AK743" s="408"/>
      <c r="AL743" s="408"/>
      <c r="AM743" s="408"/>
      <c r="AN743" s="408"/>
      <c r="AO743" s="408"/>
      <c r="AP743" s="408"/>
      <c r="AQ743" s="408"/>
      <c r="AR743" s="408"/>
      <c r="AS743" s="408"/>
      <c r="AT743" s="408"/>
      <c r="AU743" s="408"/>
      <c r="AV743" s="408"/>
      <c r="AW743" s="408"/>
      <c r="AX743" s="408"/>
      <c r="AY743" s="408"/>
      <c r="AZ743" s="408"/>
      <c r="BA743" s="408"/>
      <c r="BB743" s="408"/>
      <c r="BC743" s="408"/>
      <c r="BD743" s="408"/>
      <c r="BE743" s="408"/>
      <c r="BF743" s="408"/>
      <c r="BG743" s="408"/>
      <c r="BH743" s="408"/>
      <c r="BI743" s="408"/>
      <c r="BJ743" s="408"/>
      <c r="BK743" s="408"/>
      <c r="BL743" s="408"/>
      <c r="BM743" s="408"/>
      <c r="BN743" s="408"/>
      <c r="BO743" s="408"/>
      <c r="BP743" s="408"/>
      <c r="BQ743" s="408"/>
      <c r="BR743" s="408"/>
      <c r="BS743" s="408"/>
      <c r="BT743" s="408"/>
      <c r="BU743" s="408"/>
      <c r="BV743" s="408"/>
      <c r="BW743" s="408"/>
      <c r="BX743" s="408"/>
      <c r="BY743" s="408"/>
      <c r="BZ743" s="408"/>
      <c r="CA743" s="408"/>
      <c r="CB743" s="408"/>
      <c r="CC743" s="408"/>
      <c r="CD743" s="408"/>
      <c r="CE743" s="408"/>
      <c r="CF743" s="408"/>
      <c r="CG743" s="408"/>
      <c r="CH743" s="408"/>
      <c r="CI743" s="408"/>
      <c r="CJ743" s="408"/>
      <c r="CK743" s="408"/>
      <c r="CL743" s="408"/>
      <c r="CM743" s="408"/>
      <c r="CN743" s="408"/>
    </row>
    <row r="744">
      <c r="A744" s="408"/>
      <c r="B744" s="408"/>
      <c r="C744" s="408"/>
      <c r="D744" s="408"/>
      <c r="E744" s="408"/>
      <c r="F744" s="408"/>
      <c r="G744" s="408"/>
      <c r="H744" s="408"/>
      <c r="I744" s="408"/>
      <c r="J744" s="408"/>
      <c r="K744" s="408"/>
      <c r="L744" s="408"/>
      <c r="M744" s="408"/>
      <c r="N744" s="408"/>
      <c r="O744" s="408"/>
      <c r="P744" s="408"/>
      <c r="Q744" s="408"/>
      <c r="R744" s="408"/>
      <c r="S744" s="408"/>
      <c r="T744" s="408"/>
      <c r="U744" s="408"/>
      <c r="V744" s="408"/>
      <c r="W744" s="408"/>
      <c r="X744" s="408"/>
      <c r="Y744" s="408"/>
      <c r="Z744" s="408"/>
      <c r="AA744" s="408"/>
      <c r="AB744" s="408"/>
      <c r="AC744" s="408"/>
      <c r="AD744" s="408"/>
      <c r="AE744" s="408"/>
      <c r="AF744" s="408"/>
      <c r="AG744" s="408"/>
      <c r="AH744" s="408"/>
      <c r="AI744" s="408"/>
      <c r="AJ744" s="408"/>
      <c r="AK744" s="408"/>
      <c r="AL744" s="408"/>
      <c r="AM744" s="408"/>
      <c r="AN744" s="408"/>
      <c r="AO744" s="408"/>
      <c r="AP744" s="408"/>
      <c r="AQ744" s="408"/>
      <c r="AR744" s="408"/>
      <c r="AS744" s="408"/>
      <c r="AT744" s="408"/>
      <c r="AU744" s="408"/>
      <c r="AV744" s="408"/>
      <c r="AW744" s="408"/>
      <c r="AX744" s="408"/>
      <c r="AY744" s="408"/>
      <c r="AZ744" s="408"/>
      <c r="BA744" s="408"/>
      <c r="BB744" s="408"/>
      <c r="BC744" s="408"/>
      <c r="BD744" s="408"/>
      <c r="BE744" s="408"/>
      <c r="BF744" s="408"/>
      <c r="BG744" s="408"/>
      <c r="BH744" s="408"/>
      <c r="BI744" s="408"/>
      <c r="BJ744" s="408"/>
      <c r="BK744" s="408"/>
      <c r="BL744" s="408"/>
      <c r="BM744" s="408"/>
      <c r="BN744" s="408"/>
      <c r="BO744" s="408"/>
      <c r="BP744" s="408"/>
      <c r="BQ744" s="408"/>
      <c r="BR744" s="408"/>
      <c r="BS744" s="408"/>
      <c r="BT744" s="408"/>
      <c r="BU744" s="408"/>
      <c r="BV744" s="408"/>
      <c r="BW744" s="408"/>
      <c r="BX744" s="408"/>
      <c r="BY744" s="408"/>
      <c r="BZ744" s="408"/>
      <c r="CA744" s="408"/>
      <c r="CB744" s="408"/>
      <c r="CC744" s="408"/>
      <c r="CD744" s="408"/>
      <c r="CE744" s="408"/>
      <c r="CF744" s="408"/>
      <c r="CG744" s="408"/>
      <c r="CH744" s="408"/>
      <c r="CI744" s="408"/>
      <c r="CJ744" s="408"/>
      <c r="CK744" s="408"/>
      <c r="CL744" s="408"/>
      <c r="CM744" s="408"/>
      <c r="CN744" s="408"/>
    </row>
    <row r="745">
      <c r="A745" s="408"/>
      <c r="B745" s="408"/>
      <c r="C745" s="408"/>
      <c r="D745" s="408"/>
      <c r="E745" s="408"/>
      <c r="F745" s="408"/>
      <c r="G745" s="408"/>
      <c r="H745" s="408"/>
      <c r="I745" s="408"/>
      <c r="J745" s="408"/>
      <c r="K745" s="408"/>
      <c r="L745" s="408"/>
      <c r="M745" s="408"/>
      <c r="N745" s="408"/>
      <c r="O745" s="408"/>
      <c r="P745" s="408"/>
      <c r="Q745" s="408"/>
      <c r="R745" s="408"/>
      <c r="S745" s="408"/>
      <c r="T745" s="408"/>
      <c r="U745" s="408"/>
      <c r="V745" s="408"/>
      <c r="W745" s="408"/>
      <c r="X745" s="408"/>
      <c r="Y745" s="408"/>
      <c r="Z745" s="408"/>
      <c r="AA745" s="408"/>
      <c r="AB745" s="408"/>
      <c r="AC745" s="408"/>
      <c r="AD745" s="408"/>
      <c r="AE745" s="408"/>
      <c r="AF745" s="408"/>
      <c r="AG745" s="408"/>
      <c r="AH745" s="408"/>
      <c r="AI745" s="408"/>
      <c r="AJ745" s="408"/>
      <c r="AK745" s="408"/>
      <c r="AL745" s="408"/>
      <c r="AM745" s="408"/>
      <c r="AN745" s="408"/>
      <c r="AO745" s="408"/>
      <c r="AP745" s="408"/>
      <c r="AQ745" s="408"/>
      <c r="AR745" s="408"/>
      <c r="AS745" s="408"/>
      <c r="AT745" s="408"/>
      <c r="AU745" s="408"/>
      <c r="AV745" s="408"/>
      <c r="AW745" s="408"/>
      <c r="AX745" s="408"/>
      <c r="AY745" s="408"/>
      <c r="AZ745" s="408"/>
      <c r="BA745" s="408"/>
      <c r="BB745" s="408"/>
      <c r="BC745" s="408"/>
      <c r="BD745" s="408"/>
      <c r="BE745" s="408"/>
      <c r="BF745" s="408"/>
      <c r="BG745" s="408"/>
      <c r="BH745" s="408"/>
      <c r="BI745" s="408"/>
      <c r="BJ745" s="408"/>
      <c r="BK745" s="408"/>
      <c r="BL745" s="408"/>
      <c r="BM745" s="408"/>
      <c r="BN745" s="408"/>
      <c r="BO745" s="408"/>
      <c r="BP745" s="408"/>
      <c r="BQ745" s="408"/>
      <c r="BR745" s="408"/>
      <c r="BS745" s="408"/>
      <c r="BT745" s="408"/>
      <c r="BU745" s="408"/>
      <c r="BV745" s="408"/>
      <c r="BW745" s="408"/>
      <c r="BX745" s="408"/>
      <c r="BY745" s="408"/>
      <c r="BZ745" s="408"/>
      <c r="CA745" s="408"/>
      <c r="CB745" s="408"/>
      <c r="CC745" s="408"/>
      <c r="CD745" s="408"/>
      <c r="CE745" s="408"/>
      <c r="CF745" s="408"/>
      <c r="CG745" s="408"/>
      <c r="CH745" s="408"/>
      <c r="CI745" s="408"/>
      <c r="CJ745" s="408"/>
      <c r="CK745" s="408"/>
      <c r="CL745" s="408"/>
      <c r="CM745" s="408"/>
      <c r="CN745" s="408"/>
    </row>
    <row r="746">
      <c r="A746" s="408"/>
      <c r="B746" s="408"/>
      <c r="C746" s="408"/>
      <c r="D746" s="408"/>
      <c r="E746" s="408"/>
      <c r="F746" s="408"/>
      <c r="G746" s="408"/>
      <c r="H746" s="408"/>
      <c r="I746" s="408"/>
      <c r="J746" s="408"/>
      <c r="K746" s="408"/>
      <c r="L746" s="408"/>
      <c r="M746" s="408"/>
      <c r="N746" s="408"/>
      <c r="O746" s="408"/>
      <c r="P746" s="408"/>
      <c r="Q746" s="408"/>
      <c r="R746" s="408"/>
      <c r="S746" s="408"/>
      <c r="T746" s="408"/>
      <c r="U746" s="408"/>
      <c r="V746" s="408"/>
      <c r="W746" s="408"/>
      <c r="X746" s="408"/>
      <c r="Y746" s="408"/>
      <c r="Z746" s="408"/>
      <c r="AA746" s="408"/>
      <c r="AB746" s="408"/>
      <c r="AC746" s="408"/>
      <c r="AD746" s="408"/>
      <c r="AE746" s="408"/>
      <c r="AF746" s="408"/>
      <c r="AG746" s="408"/>
      <c r="AH746" s="408"/>
      <c r="AI746" s="408"/>
      <c r="AJ746" s="408"/>
      <c r="AK746" s="408"/>
      <c r="AL746" s="408"/>
      <c r="AM746" s="408"/>
      <c r="AN746" s="408"/>
      <c r="AO746" s="408"/>
      <c r="AP746" s="408"/>
      <c r="AQ746" s="408"/>
      <c r="AR746" s="408"/>
      <c r="AS746" s="408"/>
      <c r="AT746" s="408"/>
      <c r="AU746" s="408"/>
      <c r="AV746" s="408"/>
      <c r="AW746" s="408"/>
      <c r="AX746" s="408"/>
      <c r="AY746" s="408"/>
      <c r="AZ746" s="408"/>
      <c r="BA746" s="408"/>
      <c r="BB746" s="408"/>
      <c r="BC746" s="408"/>
      <c r="BD746" s="408"/>
      <c r="BE746" s="408"/>
      <c r="BF746" s="408"/>
      <c r="BG746" s="408"/>
      <c r="BH746" s="408"/>
      <c r="BI746" s="408"/>
      <c r="BJ746" s="408"/>
      <c r="BK746" s="408"/>
      <c r="BL746" s="408"/>
      <c r="BM746" s="408"/>
      <c r="BN746" s="408"/>
      <c r="BO746" s="408"/>
      <c r="BP746" s="408"/>
      <c r="BQ746" s="408"/>
      <c r="BR746" s="408"/>
      <c r="BS746" s="408"/>
      <c r="BT746" s="408"/>
      <c r="BU746" s="408"/>
      <c r="BV746" s="408"/>
      <c r="BW746" s="408"/>
      <c r="BX746" s="408"/>
      <c r="BY746" s="408"/>
      <c r="BZ746" s="408"/>
      <c r="CA746" s="408"/>
      <c r="CB746" s="408"/>
      <c r="CC746" s="408"/>
      <c r="CD746" s="408"/>
      <c r="CE746" s="408"/>
      <c r="CF746" s="408"/>
      <c r="CG746" s="408"/>
      <c r="CH746" s="408"/>
      <c r="CI746" s="408"/>
      <c r="CJ746" s="408"/>
      <c r="CK746" s="408"/>
      <c r="CL746" s="408"/>
      <c r="CM746" s="408"/>
      <c r="CN746" s="408"/>
    </row>
    <row r="747">
      <c r="A747" s="408"/>
      <c r="B747" s="408"/>
      <c r="C747" s="408"/>
      <c r="D747" s="408"/>
      <c r="E747" s="408"/>
      <c r="F747" s="408"/>
      <c r="G747" s="408"/>
      <c r="H747" s="408"/>
      <c r="I747" s="408"/>
      <c r="J747" s="408"/>
      <c r="K747" s="408"/>
      <c r="L747" s="408"/>
      <c r="M747" s="408"/>
      <c r="N747" s="408"/>
      <c r="O747" s="408"/>
      <c r="P747" s="408"/>
      <c r="Q747" s="408"/>
      <c r="R747" s="408"/>
      <c r="S747" s="408"/>
      <c r="T747" s="408"/>
      <c r="U747" s="408"/>
      <c r="V747" s="408"/>
      <c r="W747" s="408"/>
      <c r="X747" s="408"/>
      <c r="Y747" s="408"/>
      <c r="Z747" s="408"/>
      <c r="AA747" s="408"/>
      <c r="AB747" s="408"/>
      <c r="AC747" s="408"/>
      <c r="AD747" s="408"/>
      <c r="AE747" s="408"/>
      <c r="AF747" s="408"/>
      <c r="AG747" s="408"/>
      <c r="AH747" s="408"/>
      <c r="AI747" s="408"/>
      <c r="AJ747" s="408"/>
      <c r="AK747" s="408"/>
      <c r="AL747" s="408"/>
      <c r="AM747" s="408"/>
      <c r="AN747" s="408"/>
      <c r="AO747" s="408"/>
      <c r="AP747" s="408"/>
      <c r="AQ747" s="408"/>
      <c r="AR747" s="408"/>
      <c r="AS747" s="408"/>
      <c r="AT747" s="408"/>
      <c r="AU747" s="408"/>
      <c r="AV747" s="408"/>
      <c r="AW747" s="408"/>
      <c r="AX747" s="408"/>
      <c r="AY747" s="408"/>
      <c r="AZ747" s="408"/>
      <c r="BA747" s="408"/>
      <c r="BB747" s="408"/>
      <c r="BC747" s="408"/>
      <c r="BD747" s="408"/>
      <c r="BE747" s="408"/>
      <c r="BF747" s="408"/>
      <c r="BG747" s="408"/>
      <c r="BH747" s="408"/>
      <c r="BI747" s="408"/>
      <c r="BJ747" s="408"/>
      <c r="BK747" s="408"/>
      <c r="BL747" s="408"/>
      <c r="BM747" s="408"/>
      <c r="BN747" s="408"/>
      <c r="BO747" s="408"/>
      <c r="BP747" s="408"/>
      <c r="BQ747" s="408"/>
      <c r="BR747" s="408"/>
      <c r="BS747" s="408"/>
      <c r="BT747" s="408"/>
      <c r="BU747" s="408"/>
      <c r="BV747" s="408"/>
      <c r="BW747" s="408"/>
      <c r="BX747" s="408"/>
      <c r="BY747" s="408"/>
      <c r="BZ747" s="408"/>
      <c r="CA747" s="408"/>
      <c r="CB747" s="408"/>
      <c r="CC747" s="408"/>
      <c r="CD747" s="408"/>
      <c r="CE747" s="408"/>
      <c r="CF747" s="408"/>
      <c r="CG747" s="408"/>
      <c r="CH747" s="408"/>
      <c r="CI747" s="408"/>
      <c r="CJ747" s="408"/>
      <c r="CK747" s="408"/>
      <c r="CL747" s="408"/>
      <c r="CM747" s="408"/>
      <c r="CN747" s="408"/>
    </row>
    <row r="748">
      <c r="A748" s="408"/>
      <c r="B748" s="408"/>
      <c r="C748" s="408"/>
      <c r="D748" s="408"/>
      <c r="E748" s="408"/>
      <c r="F748" s="408"/>
      <c r="G748" s="408"/>
      <c r="H748" s="408"/>
      <c r="I748" s="408"/>
      <c r="J748" s="408"/>
      <c r="K748" s="408"/>
      <c r="L748" s="408"/>
      <c r="M748" s="408"/>
      <c r="N748" s="408"/>
      <c r="O748" s="408"/>
      <c r="P748" s="408"/>
      <c r="Q748" s="408"/>
      <c r="R748" s="408"/>
      <c r="S748" s="408"/>
      <c r="T748" s="408"/>
      <c r="U748" s="408"/>
      <c r="V748" s="408"/>
      <c r="W748" s="408"/>
      <c r="X748" s="408"/>
      <c r="Y748" s="408"/>
      <c r="Z748" s="408"/>
      <c r="AA748" s="408"/>
      <c r="AB748" s="408"/>
      <c r="AC748" s="408"/>
      <c r="AD748" s="408"/>
      <c r="AE748" s="408"/>
      <c r="AF748" s="408"/>
      <c r="AG748" s="408"/>
      <c r="AH748" s="408"/>
      <c r="AI748" s="408"/>
      <c r="AJ748" s="408"/>
      <c r="AK748" s="408"/>
      <c r="AL748" s="408"/>
      <c r="AM748" s="408"/>
      <c r="AN748" s="408"/>
      <c r="AO748" s="408"/>
      <c r="AP748" s="408"/>
      <c r="AQ748" s="408"/>
      <c r="AR748" s="408"/>
      <c r="AS748" s="408"/>
      <c r="AT748" s="408"/>
      <c r="AU748" s="408"/>
      <c r="AV748" s="408"/>
      <c r="AW748" s="408"/>
      <c r="AX748" s="408"/>
      <c r="AY748" s="408"/>
      <c r="AZ748" s="408"/>
      <c r="BA748" s="408"/>
      <c r="BB748" s="408"/>
      <c r="BC748" s="408"/>
      <c r="BD748" s="408"/>
      <c r="BE748" s="408"/>
      <c r="BF748" s="408"/>
      <c r="BG748" s="408"/>
      <c r="BH748" s="408"/>
      <c r="BI748" s="408"/>
      <c r="BJ748" s="408"/>
      <c r="BK748" s="408"/>
      <c r="BL748" s="408"/>
      <c r="BM748" s="408"/>
      <c r="BN748" s="408"/>
      <c r="BO748" s="408"/>
      <c r="BP748" s="408"/>
      <c r="BQ748" s="408"/>
      <c r="BR748" s="408"/>
      <c r="BS748" s="408"/>
      <c r="BT748" s="408"/>
      <c r="BU748" s="408"/>
      <c r="BV748" s="408"/>
      <c r="BW748" s="408"/>
      <c r="BX748" s="408"/>
      <c r="BY748" s="408"/>
      <c r="BZ748" s="408"/>
      <c r="CA748" s="408"/>
      <c r="CB748" s="408"/>
      <c r="CC748" s="408"/>
      <c r="CD748" s="408"/>
      <c r="CE748" s="408"/>
      <c r="CF748" s="408"/>
      <c r="CG748" s="408"/>
      <c r="CH748" s="408"/>
      <c r="CI748" s="408"/>
      <c r="CJ748" s="408"/>
      <c r="CK748" s="408"/>
      <c r="CL748" s="408"/>
      <c r="CM748" s="408"/>
      <c r="CN748" s="408"/>
    </row>
    <row r="749">
      <c r="A749" s="408"/>
      <c r="B749" s="408"/>
      <c r="C749" s="408"/>
      <c r="D749" s="408"/>
      <c r="E749" s="408"/>
      <c r="F749" s="408"/>
      <c r="G749" s="408"/>
      <c r="H749" s="408"/>
      <c r="I749" s="408"/>
      <c r="J749" s="408"/>
      <c r="K749" s="408"/>
      <c r="L749" s="408"/>
      <c r="M749" s="408"/>
      <c r="N749" s="408"/>
      <c r="O749" s="408"/>
      <c r="P749" s="408"/>
      <c r="Q749" s="408"/>
      <c r="R749" s="408"/>
      <c r="S749" s="408"/>
      <c r="T749" s="408"/>
      <c r="U749" s="408"/>
      <c r="V749" s="408"/>
      <c r="W749" s="408"/>
      <c r="X749" s="408"/>
      <c r="Y749" s="408"/>
      <c r="Z749" s="408"/>
      <c r="AA749" s="408"/>
      <c r="AB749" s="408"/>
      <c r="AC749" s="408"/>
      <c r="AD749" s="408"/>
      <c r="AE749" s="408"/>
      <c r="AF749" s="408"/>
      <c r="AG749" s="408"/>
      <c r="AH749" s="408"/>
      <c r="AI749" s="408"/>
      <c r="AJ749" s="408"/>
      <c r="AK749" s="408"/>
      <c r="AL749" s="408"/>
      <c r="AM749" s="408"/>
      <c r="AN749" s="408"/>
      <c r="AO749" s="408"/>
      <c r="AP749" s="408"/>
      <c r="AQ749" s="408"/>
      <c r="AR749" s="408"/>
      <c r="AS749" s="408"/>
      <c r="AT749" s="408"/>
      <c r="AU749" s="408"/>
      <c r="AV749" s="408"/>
      <c r="AW749" s="408"/>
      <c r="AX749" s="408"/>
      <c r="AY749" s="408"/>
      <c r="AZ749" s="408"/>
      <c r="BA749" s="408"/>
      <c r="BB749" s="408"/>
      <c r="BC749" s="408"/>
      <c r="BD749" s="408"/>
      <c r="BE749" s="408"/>
      <c r="BF749" s="408"/>
      <c r="BG749" s="408"/>
      <c r="BH749" s="408"/>
      <c r="BI749" s="408"/>
      <c r="BJ749" s="408"/>
      <c r="BK749" s="408"/>
      <c r="BL749" s="408"/>
      <c r="BM749" s="408"/>
      <c r="BN749" s="408"/>
      <c r="BO749" s="408"/>
      <c r="BP749" s="408"/>
      <c r="BQ749" s="408"/>
      <c r="BR749" s="408"/>
      <c r="BS749" s="408"/>
      <c r="BT749" s="408"/>
      <c r="BU749" s="408"/>
      <c r="BV749" s="408"/>
      <c r="BW749" s="408"/>
      <c r="BX749" s="408"/>
      <c r="BY749" s="408"/>
      <c r="BZ749" s="408"/>
      <c r="CA749" s="408"/>
      <c r="CB749" s="408"/>
      <c r="CC749" s="408"/>
      <c r="CD749" s="408"/>
      <c r="CE749" s="408"/>
      <c r="CF749" s="408"/>
      <c r="CG749" s="408"/>
      <c r="CH749" s="408"/>
      <c r="CI749" s="408"/>
      <c r="CJ749" s="408"/>
      <c r="CK749" s="408"/>
      <c r="CL749" s="408"/>
      <c r="CM749" s="408"/>
      <c r="CN749" s="408"/>
    </row>
    <row r="750">
      <c r="A750" s="408"/>
      <c r="B750" s="408"/>
      <c r="C750" s="408"/>
      <c r="D750" s="408"/>
      <c r="E750" s="408"/>
      <c r="F750" s="408"/>
      <c r="G750" s="408"/>
      <c r="H750" s="408"/>
      <c r="I750" s="408"/>
      <c r="J750" s="408"/>
      <c r="K750" s="408"/>
      <c r="L750" s="408"/>
      <c r="M750" s="408"/>
      <c r="N750" s="408"/>
      <c r="O750" s="408"/>
      <c r="P750" s="408"/>
      <c r="Q750" s="408"/>
      <c r="R750" s="408"/>
      <c r="S750" s="408"/>
      <c r="T750" s="408"/>
      <c r="U750" s="408"/>
      <c r="V750" s="408"/>
      <c r="W750" s="408"/>
      <c r="X750" s="408"/>
      <c r="Y750" s="408"/>
      <c r="Z750" s="408"/>
      <c r="AA750" s="408"/>
      <c r="AB750" s="408"/>
      <c r="AC750" s="408"/>
      <c r="AD750" s="408"/>
      <c r="AE750" s="408"/>
      <c r="AF750" s="408"/>
      <c r="AG750" s="408"/>
      <c r="AH750" s="408"/>
      <c r="AI750" s="408"/>
      <c r="AJ750" s="408"/>
      <c r="AK750" s="408"/>
      <c r="AL750" s="408"/>
      <c r="AM750" s="408"/>
      <c r="AN750" s="408"/>
      <c r="AO750" s="408"/>
      <c r="AP750" s="408"/>
      <c r="AQ750" s="408"/>
      <c r="AR750" s="408"/>
      <c r="AS750" s="408"/>
      <c r="AT750" s="408"/>
      <c r="AU750" s="408"/>
      <c r="AV750" s="408"/>
      <c r="AW750" s="408"/>
      <c r="AX750" s="408"/>
      <c r="AY750" s="408"/>
      <c r="AZ750" s="408"/>
      <c r="BA750" s="408"/>
      <c r="BB750" s="408"/>
      <c r="BC750" s="408"/>
      <c r="BD750" s="408"/>
      <c r="BE750" s="408"/>
      <c r="BF750" s="408"/>
      <c r="BG750" s="408"/>
      <c r="BH750" s="408"/>
      <c r="BI750" s="408"/>
      <c r="BJ750" s="408"/>
      <c r="BK750" s="408"/>
      <c r="BL750" s="408"/>
      <c r="BM750" s="408"/>
      <c r="BN750" s="408"/>
      <c r="BO750" s="408"/>
      <c r="BP750" s="408"/>
      <c r="BQ750" s="408"/>
      <c r="BR750" s="408"/>
      <c r="BS750" s="408"/>
      <c r="BT750" s="408"/>
      <c r="BU750" s="408"/>
      <c r="BV750" s="408"/>
      <c r="BW750" s="408"/>
      <c r="BX750" s="408"/>
      <c r="BY750" s="408"/>
      <c r="BZ750" s="408"/>
      <c r="CA750" s="408"/>
      <c r="CB750" s="408"/>
      <c r="CC750" s="408"/>
      <c r="CD750" s="408"/>
      <c r="CE750" s="408"/>
      <c r="CF750" s="408"/>
      <c r="CG750" s="408"/>
      <c r="CH750" s="408"/>
      <c r="CI750" s="408"/>
      <c r="CJ750" s="408"/>
      <c r="CK750" s="408"/>
      <c r="CL750" s="408"/>
      <c r="CM750" s="408"/>
      <c r="CN750" s="408"/>
    </row>
    <row r="751">
      <c r="A751" s="408"/>
      <c r="B751" s="408"/>
      <c r="C751" s="408"/>
      <c r="D751" s="408"/>
      <c r="E751" s="408"/>
      <c r="F751" s="408"/>
      <c r="G751" s="408"/>
      <c r="H751" s="408"/>
      <c r="I751" s="408"/>
      <c r="J751" s="408"/>
      <c r="K751" s="408"/>
      <c r="L751" s="408"/>
      <c r="M751" s="408"/>
      <c r="N751" s="408"/>
      <c r="O751" s="408"/>
      <c r="P751" s="408"/>
      <c r="Q751" s="408"/>
      <c r="R751" s="408"/>
      <c r="S751" s="408"/>
      <c r="T751" s="408"/>
      <c r="U751" s="408"/>
      <c r="V751" s="408"/>
      <c r="W751" s="408"/>
      <c r="X751" s="408"/>
      <c r="Y751" s="408"/>
      <c r="Z751" s="408"/>
      <c r="AA751" s="408"/>
      <c r="AB751" s="408"/>
      <c r="AC751" s="408"/>
      <c r="AD751" s="408"/>
      <c r="AE751" s="408"/>
      <c r="AF751" s="408"/>
      <c r="AG751" s="408"/>
      <c r="AH751" s="408"/>
      <c r="AI751" s="408"/>
      <c r="AJ751" s="408"/>
      <c r="AK751" s="408"/>
      <c r="AL751" s="408"/>
      <c r="AM751" s="408"/>
      <c r="AN751" s="408"/>
      <c r="AO751" s="408"/>
      <c r="AP751" s="408"/>
      <c r="AQ751" s="408"/>
      <c r="AR751" s="408"/>
      <c r="AS751" s="408"/>
      <c r="AT751" s="408"/>
      <c r="AU751" s="408"/>
      <c r="AV751" s="408"/>
      <c r="AW751" s="408"/>
      <c r="AX751" s="408"/>
      <c r="AY751" s="408"/>
      <c r="AZ751" s="408"/>
      <c r="BA751" s="408"/>
      <c r="BB751" s="408"/>
      <c r="BC751" s="408"/>
      <c r="BD751" s="408"/>
      <c r="BE751" s="408"/>
      <c r="BF751" s="408"/>
      <c r="BG751" s="408"/>
      <c r="BH751" s="408"/>
      <c r="BI751" s="408"/>
      <c r="BJ751" s="408"/>
      <c r="BK751" s="408"/>
      <c r="BL751" s="408"/>
      <c r="BM751" s="408"/>
      <c r="BN751" s="408"/>
      <c r="BO751" s="408"/>
      <c r="BP751" s="408"/>
      <c r="BQ751" s="408"/>
      <c r="BR751" s="408"/>
      <c r="BS751" s="408"/>
      <c r="BT751" s="408"/>
      <c r="BU751" s="408"/>
      <c r="BV751" s="408"/>
      <c r="BW751" s="408"/>
      <c r="BX751" s="408"/>
      <c r="BY751" s="408"/>
      <c r="BZ751" s="408"/>
      <c r="CA751" s="408"/>
      <c r="CB751" s="408"/>
      <c r="CC751" s="408"/>
      <c r="CD751" s="408"/>
      <c r="CE751" s="408"/>
      <c r="CF751" s="408"/>
      <c r="CG751" s="408"/>
      <c r="CH751" s="408"/>
      <c r="CI751" s="408"/>
      <c r="CJ751" s="408"/>
      <c r="CK751" s="408"/>
      <c r="CL751" s="408"/>
      <c r="CM751" s="408"/>
      <c r="CN751" s="408"/>
    </row>
    <row r="752">
      <c r="A752" s="408"/>
      <c r="B752" s="408"/>
      <c r="C752" s="408"/>
      <c r="D752" s="408"/>
      <c r="E752" s="408"/>
      <c r="F752" s="408"/>
      <c r="G752" s="408"/>
      <c r="H752" s="408"/>
      <c r="I752" s="408"/>
      <c r="J752" s="408"/>
      <c r="K752" s="408"/>
      <c r="L752" s="408"/>
      <c r="M752" s="408"/>
      <c r="N752" s="408"/>
      <c r="O752" s="408"/>
      <c r="P752" s="408"/>
      <c r="Q752" s="408"/>
      <c r="R752" s="408"/>
      <c r="S752" s="408"/>
      <c r="T752" s="408"/>
      <c r="U752" s="408"/>
      <c r="V752" s="408"/>
      <c r="W752" s="408"/>
      <c r="X752" s="408"/>
      <c r="Y752" s="408"/>
      <c r="Z752" s="408"/>
      <c r="AA752" s="408"/>
      <c r="AB752" s="408"/>
      <c r="AC752" s="408"/>
      <c r="AD752" s="408"/>
      <c r="AE752" s="408"/>
      <c r="AF752" s="408"/>
      <c r="AG752" s="408"/>
      <c r="AH752" s="408"/>
      <c r="AI752" s="408"/>
      <c r="AJ752" s="408"/>
      <c r="AK752" s="408"/>
      <c r="AL752" s="408"/>
      <c r="AM752" s="408"/>
      <c r="AN752" s="408"/>
      <c r="AO752" s="408"/>
      <c r="AP752" s="408"/>
      <c r="AQ752" s="408"/>
      <c r="AR752" s="408"/>
      <c r="AS752" s="408"/>
      <c r="AT752" s="408"/>
      <c r="AU752" s="408"/>
      <c r="AV752" s="408"/>
      <c r="AW752" s="408"/>
      <c r="AX752" s="408"/>
      <c r="AY752" s="408"/>
      <c r="AZ752" s="408"/>
      <c r="BA752" s="408"/>
      <c r="BB752" s="408"/>
      <c r="BC752" s="408"/>
      <c r="BD752" s="408"/>
      <c r="BE752" s="408"/>
      <c r="BF752" s="408"/>
      <c r="BG752" s="408"/>
      <c r="BH752" s="408"/>
      <c r="BI752" s="408"/>
      <c r="BJ752" s="408"/>
      <c r="BK752" s="408"/>
      <c r="BL752" s="408"/>
      <c r="BM752" s="408"/>
      <c r="BN752" s="408"/>
      <c r="BO752" s="408"/>
      <c r="BP752" s="408"/>
      <c r="BQ752" s="408"/>
      <c r="BR752" s="408"/>
      <c r="BS752" s="408"/>
      <c r="BT752" s="408"/>
      <c r="BU752" s="408"/>
      <c r="BV752" s="408"/>
      <c r="BW752" s="408"/>
      <c r="BX752" s="408"/>
      <c r="BY752" s="408"/>
      <c r="BZ752" s="408"/>
      <c r="CA752" s="408"/>
      <c r="CB752" s="408"/>
      <c r="CC752" s="408"/>
      <c r="CD752" s="408"/>
      <c r="CE752" s="408"/>
      <c r="CF752" s="408"/>
      <c r="CG752" s="408"/>
      <c r="CH752" s="408"/>
      <c r="CI752" s="408"/>
      <c r="CJ752" s="408"/>
      <c r="CK752" s="408"/>
      <c r="CL752" s="408"/>
      <c r="CM752" s="408"/>
      <c r="CN752" s="408"/>
    </row>
    <row r="753">
      <c r="A753" s="408"/>
      <c r="B753" s="408"/>
      <c r="C753" s="408"/>
      <c r="D753" s="408"/>
      <c r="E753" s="408"/>
      <c r="F753" s="408"/>
      <c r="G753" s="408"/>
      <c r="H753" s="408"/>
      <c r="I753" s="408"/>
      <c r="J753" s="408"/>
      <c r="K753" s="408"/>
      <c r="L753" s="408"/>
      <c r="M753" s="408"/>
      <c r="N753" s="408"/>
      <c r="O753" s="408"/>
      <c r="P753" s="408"/>
      <c r="Q753" s="408"/>
      <c r="R753" s="408"/>
      <c r="S753" s="408"/>
      <c r="T753" s="408"/>
      <c r="U753" s="408"/>
      <c r="V753" s="408"/>
      <c r="W753" s="408"/>
      <c r="X753" s="408"/>
      <c r="Y753" s="408"/>
      <c r="Z753" s="408"/>
      <c r="AA753" s="408"/>
      <c r="AB753" s="408"/>
      <c r="AC753" s="408"/>
      <c r="AD753" s="408"/>
      <c r="AE753" s="408"/>
      <c r="AF753" s="408"/>
      <c r="AG753" s="408"/>
      <c r="AH753" s="408"/>
      <c r="AI753" s="408"/>
      <c r="AJ753" s="408"/>
      <c r="AK753" s="408"/>
      <c r="AL753" s="408"/>
      <c r="AM753" s="408"/>
      <c r="AN753" s="408"/>
      <c r="AO753" s="408"/>
      <c r="AP753" s="408"/>
      <c r="AQ753" s="408"/>
      <c r="AR753" s="408"/>
      <c r="AS753" s="408"/>
      <c r="AT753" s="408"/>
      <c r="AU753" s="408"/>
      <c r="AV753" s="408"/>
      <c r="AW753" s="408"/>
      <c r="AX753" s="408"/>
      <c r="AY753" s="408"/>
      <c r="AZ753" s="408"/>
      <c r="BA753" s="408"/>
      <c r="BB753" s="408"/>
      <c r="BC753" s="408"/>
      <c r="BD753" s="408"/>
      <c r="BE753" s="408"/>
      <c r="BF753" s="408"/>
      <c r="BG753" s="408"/>
      <c r="BH753" s="408"/>
      <c r="BI753" s="408"/>
      <c r="BJ753" s="408"/>
      <c r="BK753" s="408"/>
      <c r="BL753" s="408"/>
      <c r="BM753" s="408"/>
      <c r="BN753" s="408"/>
      <c r="BO753" s="408"/>
      <c r="BP753" s="408"/>
      <c r="BQ753" s="408"/>
      <c r="BR753" s="408"/>
      <c r="BS753" s="408"/>
      <c r="BT753" s="408"/>
      <c r="BU753" s="408"/>
      <c r="BV753" s="408"/>
      <c r="BW753" s="408"/>
      <c r="BX753" s="408"/>
      <c r="BY753" s="408"/>
      <c r="BZ753" s="408"/>
      <c r="CA753" s="408"/>
      <c r="CB753" s="408"/>
      <c r="CC753" s="408"/>
      <c r="CD753" s="408"/>
      <c r="CE753" s="408"/>
      <c r="CF753" s="408"/>
      <c r="CG753" s="408"/>
      <c r="CH753" s="408"/>
      <c r="CI753" s="408"/>
      <c r="CJ753" s="408"/>
      <c r="CK753" s="408"/>
      <c r="CL753" s="408"/>
      <c r="CM753" s="408"/>
      <c r="CN753" s="408"/>
    </row>
    <row r="754">
      <c r="A754" s="408"/>
      <c r="B754" s="408"/>
      <c r="C754" s="408"/>
      <c r="D754" s="408"/>
      <c r="E754" s="408"/>
      <c r="F754" s="408"/>
      <c r="G754" s="408"/>
      <c r="H754" s="408"/>
      <c r="I754" s="408"/>
      <c r="J754" s="408"/>
      <c r="K754" s="408"/>
      <c r="L754" s="408"/>
      <c r="M754" s="408"/>
      <c r="N754" s="408"/>
      <c r="O754" s="408"/>
      <c r="P754" s="408"/>
      <c r="Q754" s="408"/>
      <c r="R754" s="408"/>
      <c r="S754" s="408"/>
      <c r="T754" s="408"/>
      <c r="U754" s="408"/>
      <c r="V754" s="408"/>
      <c r="W754" s="408"/>
      <c r="X754" s="408"/>
      <c r="Y754" s="408"/>
      <c r="Z754" s="408"/>
      <c r="AA754" s="408"/>
      <c r="AB754" s="408"/>
      <c r="AC754" s="408"/>
      <c r="AD754" s="408"/>
      <c r="AE754" s="408"/>
      <c r="AF754" s="408"/>
      <c r="AG754" s="408"/>
      <c r="AH754" s="408"/>
      <c r="AI754" s="408"/>
      <c r="AJ754" s="408"/>
      <c r="AK754" s="408"/>
      <c r="AL754" s="408"/>
      <c r="AM754" s="408"/>
      <c r="AN754" s="408"/>
      <c r="AO754" s="408"/>
      <c r="AP754" s="408"/>
      <c r="AQ754" s="408"/>
      <c r="AR754" s="408"/>
      <c r="AS754" s="408"/>
      <c r="AT754" s="408"/>
      <c r="AU754" s="408"/>
      <c r="AV754" s="408"/>
      <c r="AW754" s="408"/>
      <c r="AX754" s="408"/>
      <c r="AY754" s="408"/>
      <c r="AZ754" s="408"/>
      <c r="BA754" s="408"/>
      <c r="BB754" s="408"/>
      <c r="BC754" s="408"/>
      <c r="BD754" s="408"/>
      <c r="BE754" s="408"/>
      <c r="BF754" s="408"/>
      <c r="BG754" s="408"/>
      <c r="BH754" s="408"/>
      <c r="BI754" s="408"/>
      <c r="BJ754" s="408"/>
      <c r="BK754" s="408"/>
      <c r="BL754" s="408"/>
      <c r="BM754" s="408"/>
      <c r="BN754" s="408"/>
      <c r="BO754" s="408"/>
      <c r="BP754" s="408"/>
      <c r="BQ754" s="408"/>
      <c r="BR754" s="408"/>
      <c r="BS754" s="408"/>
      <c r="BT754" s="408"/>
      <c r="BU754" s="408"/>
      <c r="BV754" s="408"/>
      <c r="BW754" s="408"/>
      <c r="BX754" s="408"/>
      <c r="BY754" s="408"/>
      <c r="BZ754" s="408"/>
      <c r="CA754" s="408"/>
      <c r="CB754" s="408"/>
      <c r="CC754" s="408"/>
      <c r="CD754" s="408"/>
      <c r="CE754" s="408"/>
      <c r="CF754" s="408"/>
      <c r="CG754" s="408"/>
      <c r="CH754" s="408"/>
      <c r="CI754" s="408"/>
      <c r="CJ754" s="408"/>
      <c r="CK754" s="408"/>
      <c r="CL754" s="408"/>
      <c r="CM754" s="408"/>
      <c r="CN754" s="408"/>
    </row>
    <row r="755">
      <c r="A755" s="408"/>
      <c r="B755" s="408"/>
      <c r="C755" s="408"/>
      <c r="D755" s="408"/>
      <c r="E755" s="408"/>
      <c r="F755" s="408"/>
      <c r="G755" s="408"/>
      <c r="H755" s="408"/>
      <c r="I755" s="408"/>
      <c r="J755" s="408"/>
      <c r="K755" s="408"/>
      <c r="L755" s="408"/>
      <c r="M755" s="408"/>
      <c r="N755" s="408"/>
      <c r="O755" s="408"/>
      <c r="P755" s="408"/>
      <c r="Q755" s="408"/>
      <c r="R755" s="408"/>
      <c r="S755" s="408"/>
      <c r="T755" s="408"/>
      <c r="U755" s="408"/>
      <c r="V755" s="408"/>
      <c r="W755" s="408"/>
      <c r="X755" s="408"/>
      <c r="Y755" s="408"/>
      <c r="Z755" s="408"/>
      <c r="AA755" s="408"/>
      <c r="AB755" s="408"/>
      <c r="AC755" s="408"/>
      <c r="AD755" s="408"/>
      <c r="AE755" s="408"/>
      <c r="AF755" s="408"/>
      <c r="AG755" s="408"/>
      <c r="AH755" s="408"/>
      <c r="AI755" s="408"/>
      <c r="AJ755" s="408"/>
      <c r="AK755" s="408"/>
      <c r="AL755" s="408"/>
      <c r="AM755" s="408"/>
      <c r="AN755" s="408"/>
      <c r="AO755" s="408"/>
      <c r="AP755" s="408"/>
      <c r="AQ755" s="408"/>
      <c r="AR755" s="408"/>
      <c r="AS755" s="408"/>
      <c r="AT755" s="408"/>
      <c r="AU755" s="408"/>
      <c r="AV755" s="408"/>
      <c r="AW755" s="408"/>
      <c r="AX755" s="408"/>
      <c r="AY755" s="408"/>
      <c r="AZ755" s="408"/>
      <c r="BA755" s="408"/>
      <c r="BB755" s="408"/>
      <c r="BC755" s="408"/>
      <c r="BD755" s="408"/>
      <c r="BE755" s="408"/>
      <c r="BF755" s="408"/>
      <c r="BG755" s="408"/>
      <c r="BH755" s="408"/>
      <c r="BI755" s="408"/>
      <c r="BJ755" s="408"/>
      <c r="BK755" s="408"/>
      <c r="BL755" s="408"/>
      <c r="BM755" s="408"/>
      <c r="BN755" s="408"/>
      <c r="BO755" s="408"/>
      <c r="BP755" s="408"/>
      <c r="BQ755" s="408"/>
      <c r="BR755" s="408"/>
      <c r="BS755" s="408"/>
      <c r="BT755" s="408"/>
      <c r="BU755" s="408"/>
      <c r="BV755" s="408"/>
      <c r="BW755" s="408"/>
      <c r="BX755" s="408"/>
      <c r="BY755" s="408"/>
      <c r="BZ755" s="408"/>
      <c r="CA755" s="408"/>
      <c r="CB755" s="408"/>
      <c r="CC755" s="408"/>
      <c r="CD755" s="408"/>
      <c r="CE755" s="408"/>
      <c r="CF755" s="408"/>
      <c r="CG755" s="408"/>
      <c r="CH755" s="408"/>
      <c r="CI755" s="408"/>
      <c r="CJ755" s="408"/>
      <c r="CK755" s="408"/>
      <c r="CL755" s="408"/>
      <c r="CM755" s="408"/>
      <c r="CN755" s="408"/>
    </row>
    <row r="756">
      <c r="A756" s="408"/>
      <c r="B756" s="408"/>
      <c r="C756" s="408"/>
      <c r="D756" s="408"/>
      <c r="E756" s="408"/>
      <c r="F756" s="408"/>
      <c r="G756" s="408"/>
      <c r="H756" s="408"/>
      <c r="I756" s="408"/>
      <c r="J756" s="408"/>
      <c r="K756" s="408"/>
      <c r="L756" s="408"/>
      <c r="M756" s="408"/>
      <c r="N756" s="408"/>
      <c r="O756" s="408"/>
      <c r="P756" s="408"/>
      <c r="Q756" s="408"/>
      <c r="R756" s="408"/>
      <c r="S756" s="408"/>
      <c r="T756" s="408"/>
      <c r="U756" s="408"/>
      <c r="V756" s="408"/>
      <c r="W756" s="408"/>
      <c r="X756" s="408"/>
      <c r="Y756" s="408"/>
      <c r="Z756" s="408"/>
      <c r="AA756" s="408"/>
      <c r="AB756" s="408"/>
      <c r="AC756" s="408"/>
      <c r="AD756" s="408"/>
      <c r="AE756" s="408"/>
      <c r="AF756" s="408"/>
      <c r="AG756" s="408"/>
      <c r="AH756" s="408"/>
      <c r="AI756" s="408"/>
      <c r="AJ756" s="408"/>
      <c r="AK756" s="408"/>
      <c r="AL756" s="408"/>
      <c r="AM756" s="408"/>
      <c r="AN756" s="408"/>
      <c r="AO756" s="408"/>
      <c r="AP756" s="408"/>
      <c r="AQ756" s="408"/>
      <c r="AR756" s="408"/>
      <c r="AS756" s="408"/>
      <c r="AT756" s="408"/>
      <c r="AU756" s="408"/>
      <c r="AV756" s="408"/>
      <c r="AW756" s="408"/>
      <c r="AX756" s="408"/>
      <c r="AY756" s="408"/>
      <c r="AZ756" s="408"/>
      <c r="BA756" s="408"/>
      <c r="BB756" s="408"/>
      <c r="BC756" s="408"/>
      <c r="BD756" s="408"/>
      <c r="BE756" s="408"/>
      <c r="BF756" s="408"/>
      <c r="BG756" s="408"/>
      <c r="BH756" s="408"/>
      <c r="BI756" s="408"/>
      <c r="BJ756" s="408"/>
      <c r="BK756" s="408"/>
      <c r="BL756" s="408"/>
      <c r="BM756" s="408"/>
      <c r="BN756" s="408"/>
      <c r="BO756" s="408"/>
      <c r="BP756" s="408"/>
      <c r="BQ756" s="408"/>
      <c r="BR756" s="408"/>
      <c r="BS756" s="408"/>
      <c r="BT756" s="408"/>
      <c r="BU756" s="408"/>
      <c r="BV756" s="408"/>
      <c r="BW756" s="408"/>
      <c r="BX756" s="408"/>
      <c r="BY756" s="408"/>
      <c r="BZ756" s="408"/>
      <c r="CA756" s="408"/>
      <c r="CB756" s="408"/>
      <c r="CC756" s="408"/>
      <c r="CD756" s="408"/>
      <c r="CE756" s="408"/>
      <c r="CF756" s="408"/>
      <c r="CG756" s="408"/>
      <c r="CH756" s="408"/>
      <c r="CI756" s="408"/>
      <c r="CJ756" s="408"/>
      <c r="CK756" s="408"/>
      <c r="CL756" s="408"/>
      <c r="CM756" s="408"/>
      <c r="CN756" s="408"/>
    </row>
    <row r="757">
      <c r="A757" s="408"/>
      <c r="B757" s="408"/>
      <c r="C757" s="408"/>
      <c r="D757" s="408"/>
      <c r="E757" s="408"/>
      <c r="F757" s="408"/>
      <c r="G757" s="408"/>
      <c r="H757" s="408"/>
      <c r="I757" s="408"/>
      <c r="J757" s="408"/>
      <c r="K757" s="408"/>
      <c r="L757" s="408"/>
      <c r="M757" s="408"/>
      <c r="N757" s="408"/>
      <c r="O757" s="408"/>
      <c r="P757" s="408"/>
      <c r="Q757" s="408"/>
      <c r="R757" s="408"/>
      <c r="S757" s="408"/>
      <c r="T757" s="408"/>
      <c r="U757" s="408"/>
      <c r="V757" s="408"/>
      <c r="W757" s="408"/>
      <c r="X757" s="408"/>
      <c r="Y757" s="408"/>
      <c r="Z757" s="408"/>
      <c r="AA757" s="408"/>
      <c r="AB757" s="408"/>
      <c r="AC757" s="408"/>
      <c r="AD757" s="408"/>
      <c r="AE757" s="408"/>
      <c r="AF757" s="408"/>
      <c r="AG757" s="408"/>
      <c r="AH757" s="408"/>
      <c r="AI757" s="408"/>
      <c r="AJ757" s="408"/>
      <c r="AK757" s="408"/>
      <c r="AL757" s="408"/>
      <c r="AM757" s="408"/>
      <c r="AN757" s="408"/>
      <c r="AO757" s="408"/>
      <c r="AP757" s="408"/>
      <c r="AQ757" s="408"/>
      <c r="AR757" s="408"/>
      <c r="AS757" s="408"/>
      <c r="AT757" s="408"/>
      <c r="AU757" s="408"/>
      <c r="AV757" s="408"/>
      <c r="AW757" s="408"/>
      <c r="AX757" s="408"/>
      <c r="AY757" s="408"/>
      <c r="AZ757" s="408"/>
      <c r="BA757" s="408"/>
      <c r="BB757" s="408"/>
      <c r="BC757" s="408"/>
      <c r="BD757" s="408"/>
      <c r="BE757" s="408"/>
      <c r="BF757" s="408"/>
      <c r="BG757" s="408"/>
      <c r="BH757" s="408"/>
      <c r="BI757" s="408"/>
      <c r="BJ757" s="408"/>
      <c r="BK757" s="408"/>
      <c r="BL757" s="408"/>
      <c r="BM757" s="408"/>
      <c r="BN757" s="408"/>
      <c r="BO757" s="408"/>
      <c r="BP757" s="408"/>
      <c r="BQ757" s="408"/>
      <c r="BR757" s="408"/>
      <c r="BS757" s="408"/>
      <c r="BT757" s="408"/>
      <c r="BU757" s="408"/>
      <c r="BV757" s="408"/>
      <c r="BW757" s="408"/>
      <c r="BX757" s="408"/>
      <c r="BY757" s="408"/>
      <c r="BZ757" s="408"/>
      <c r="CA757" s="408"/>
      <c r="CB757" s="408"/>
      <c r="CC757" s="408"/>
      <c r="CD757" s="408"/>
      <c r="CE757" s="408"/>
      <c r="CF757" s="408"/>
      <c r="CG757" s="408"/>
      <c r="CH757" s="408"/>
      <c r="CI757" s="408"/>
      <c r="CJ757" s="408"/>
      <c r="CK757" s="408"/>
      <c r="CL757" s="408"/>
      <c r="CM757" s="408"/>
      <c r="CN757" s="408"/>
    </row>
    <row r="758">
      <c r="A758" s="408"/>
      <c r="B758" s="408"/>
      <c r="C758" s="408"/>
      <c r="D758" s="408"/>
      <c r="E758" s="408"/>
      <c r="F758" s="408"/>
      <c r="G758" s="408"/>
      <c r="H758" s="408"/>
      <c r="I758" s="408"/>
      <c r="J758" s="408"/>
      <c r="K758" s="408"/>
      <c r="L758" s="408"/>
      <c r="M758" s="408"/>
      <c r="N758" s="408"/>
      <c r="O758" s="408"/>
      <c r="P758" s="408"/>
      <c r="Q758" s="408"/>
      <c r="R758" s="408"/>
      <c r="S758" s="408"/>
      <c r="T758" s="408"/>
      <c r="U758" s="408"/>
      <c r="V758" s="408"/>
      <c r="W758" s="408"/>
      <c r="X758" s="408"/>
      <c r="Y758" s="408"/>
      <c r="Z758" s="408"/>
      <c r="AA758" s="408"/>
      <c r="AB758" s="408"/>
      <c r="AC758" s="408"/>
      <c r="AD758" s="408"/>
      <c r="AE758" s="408"/>
      <c r="AF758" s="408"/>
      <c r="AG758" s="408"/>
      <c r="AH758" s="408"/>
      <c r="AI758" s="408"/>
      <c r="AJ758" s="408"/>
      <c r="AK758" s="408"/>
      <c r="AL758" s="408"/>
      <c r="AM758" s="408"/>
      <c r="AN758" s="408"/>
      <c r="AO758" s="408"/>
      <c r="AP758" s="408"/>
      <c r="AQ758" s="408"/>
      <c r="AR758" s="408"/>
      <c r="AS758" s="408"/>
      <c r="AT758" s="408"/>
      <c r="AU758" s="408"/>
      <c r="AV758" s="408"/>
      <c r="AW758" s="408"/>
      <c r="AX758" s="408"/>
      <c r="AY758" s="408"/>
      <c r="AZ758" s="408"/>
      <c r="BA758" s="408"/>
      <c r="BB758" s="408"/>
      <c r="BC758" s="408"/>
      <c r="BD758" s="408"/>
      <c r="BE758" s="408"/>
      <c r="BF758" s="408"/>
      <c r="BG758" s="408"/>
      <c r="BH758" s="408"/>
      <c r="BI758" s="408"/>
      <c r="BJ758" s="408"/>
      <c r="BK758" s="408"/>
      <c r="BL758" s="408"/>
      <c r="BM758" s="408"/>
      <c r="BN758" s="408"/>
      <c r="BO758" s="408"/>
      <c r="BP758" s="408"/>
      <c r="BQ758" s="408"/>
      <c r="BR758" s="408"/>
      <c r="BS758" s="408"/>
      <c r="BT758" s="408"/>
      <c r="BU758" s="408"/>
      <c r="BV758" s="408"/>
      <c r="BW758" s="408"/>
      <c r="BX758" s="408"/>
      <c r="BY758" s="408"/>
      <c r="BZ758" s="408"/>
      <c r="CA758" s="408"/>
      <c r="CB758" s="408"/>
      <c r="CC758" s="408"/>
      <c r="CD758" s="408"/>
      <c r="CE758" s="408"/>
      <c r="CF758" s="408"/>
      <c r="CG758" s="408"/>
      <c r="CH758" s="408"/>
      <c r="CI758" s="408"/>
      <c r="CJ758" s="408"/>
      <c r="CK758" s="408"/>
      <c r="CL758" s="408"/>
      <c r="CM758" s="408"/>
      <c r="CN758" s="408"/>
    </row>
    <row r="759">
      <c r="A759" s="408"/>
      <c r="B759" s="408"/>
      <c r="C759" s="408"/>
      <c r="D759" s="408"/>
      <c r="E759" s="408"/>
      <c r="F759" s="408"/>
      <c r="G759" s="408"/>
      <c r="H759" s="408"/>
      <c r="I759" s="408"/>
      <c r="J759" s="408"/>
      <c r="K759" s="408"/>
      <c r="L759" s="408"/>
      <c r="M759" s="408"/>
      <c r="N759" s="408"/>
      <c r="O759" s="408"/>
      <c r="P759" s="408"/>
      <c r="Q759" s="408"/>
      <c r="R759" s="408"/>
      <c r="S759" s="408"/>
      <c r="T759" s="408"/>
      <c r="U759" s="408"/>
      <c r="V759" s="408"/>
      <c r="W759" s="408"/>
      <c r="X759" s="408"/>
      <c r="Y759" s="408"/>
      <c r="Z759" s="408"/>
      <c r="AA759" s="408"/>
      <c r="AB759" s="408"/>
      <c r="AC759" s="408"/>
      <c r="AD759" s="408"/>
      <c r="AE759" s="408"/>
      <c r="AF759" s="408"/>
      <c r="AG759" s="408"/>
      <c r="AH759" s="408"/>
      <c r="AI759" s="408"/>
      <c r="AJ759" s="408"/>
      <c r="AK759" s="408"/>
      <c r="AL759" s="408"/>
      <c r="AM759" s="408"/>
      <c r="AN759" s="408"/>
      <c r="AO759" s="408"/>
      <c r="AP759" s="408"/>
      <c r="AQ759" s="408"/>
      <c r="AR759" s="408"/>
      <c r="AS759" s="408"/>
      <c r="AT759" s="408"/>
      <c r="AU759" s="408"/>
      <c r="AV759" s="408"/>
      <c r="AW759" s="408"/>
      <c r="AX759" s="408"/>
      <c r="AY759" s="408"/>
      <c r="AZ759" s="408"/>
      <c r="BA759" s="408"/>
      <c r="BB759" s="408"/>
      <c r="BC759" s="408"/>
      <c r="BD759" s="408"/>
      <c r="BE759" s="408"/>
      <c r="BF759" s="408"/>
      <c r="BG759" s="408"/>
      <c r="BH759" s="408"/>
      <c r="BI759" s="408"/>
      <c r="BJ759" s="408"/>
      <c r="BK759" s="408"/>
      <c r="BL759" s="408"/>
      <c r="BM759" s="408"/>
      <c r="BN759" s="408"/>
      <c r="BO759" s="408"/>
      <c r="BP759" s="408"/>
      <c r="BQ759" s="408"/>
      <c r="BR759" s="408"/>
      <c r="BS759" s="408"/>
      <c r="BT759" s="408"/>
      <c r="BU759" s="408"/>
      <c r="BV759" s="408"/>
      <c r="BW759" s="408"/>
      <c r="BX759" s="408"/>
      <c r="BY759" s="408"/>
      <c r="BZ759" s="408"/>
      <c r="CA759" s="408"/>
      <c r="CB759" s="408"/>
      <c r="CC759" s="408"/>
      <c r="CD759" s="408"/>
      <c r="CE759" s="408"/>
      <c r="CF759" s="408"/>
      <c r="CG759" s="408"/>
      <c r="CH759" s="408"/>
      <c r="CI759" s="408"/>
      <c r="CJ759" s="408"/>
      <c r="CK759" s="408"/>
      <c r="CL759" s="408"/>
      <c r="CM759" s="408"/>
      <c r="CN759" s="408"/>
    </row>
    <row r="760">
      <c r="A760" s="408"/>
      <c r="B760" s="408"/>
      <c r="C760" s="408"/>
      <c r="D760" s="408"/>
      <c r="E760" s="408"/>
      <c r="F760" s="408"/>
      <c r="G760" s="408"/>
      <c r="H760" s="408"/>
      <c r="I760" s="408"/>
      <c r="J760" s="408"/>
      <c r="K760" s="408"/>
      <c r="L760" s="408"/>
      <c r="M760" s="408"/>
      <c r="N760" s="408"/>
      <c r="O760" s="408"/>
      <c r="P760" s="408"/>
      <c r="Q760" s="408"/>
      <c r="R760" s="408"/>
      <c r="S760" s="408"/>
      <c r="T760" s="408"/>
      <c r="U760" s="408"/>
      <c r="V760" s="408"/>
      <c r="W760" s="408"/>
      <c r="X760" s="408"/>
      <c r="Y760" s="408"/>
      <c r="Z760" s="408"/>
      <c r="AA760" s="408"/>
      <c r="AB760" s="408"/>
      <c r="AC760" s="408"/>
      <c r="AD760" s="408"/>
      <c r="AE760" s="408"/>
      <c r="AF760" s="408"/>
      <c r="AG760" s="408"/>
      <c r="AH760" s="408"/>
      <c r="AI760" s="408"/>
      <c r="AJ760" s="408"/>
      <c r="AK760" s="408"/>
      <c r="AL760" s="408"/>
      <c r="AM760" s="408"/>
      <c r="AN760" s="408"/>
      <c r="AO760" s="408"/>
      <c r="AP760" s="408"/>
      <c r="AQ760" s="408"/>
      <c r="AR760" s="408"/>
      <c r="AS760" s="408"/>
      <c r="AT760" s="408"/>
      <c r="AU760" s="408"/>
      <c r="AV760" s="408"/>
      <c r="AW760" s="408"/>
      <c r="AX760" s="408"/>
      <c r="AY760" s="408"/>
      <c r="AZ760" s="408"/>
      <c r="BA760" s="408"/>
      <c r="BB760" s="408"/>
      <c r="BC760" s="408"/>
      <c r="BD760" s="408"/>
      <c r="BE760" s="408"/>
      <c r="BF760" s="408"/>
      <c r="BG760" s="408"/>
      <c r="BH760" s="408"/>
      <c r="BI760" s="408"/>
      <c r="BJ760" s="408"/>
      <c r="BK760" s="408"/>
      <c r="BL760" s="408"/>
      <c r="BM760" s="408"/>
      <c r="BN760" s="408"/>
      <c r="BO760" s="408"/>
      <c r="BP760" s="408"/>
      <c r="BQ760" s="408"/>
      <c r="BR760" s="408"/>
      <c r="BS760" s="408"/>
      <c r="BT760" s="408"/>
      <c r="BU760" s="408"/>
      <c r="BV760" s="408"/>
      <c r="BW760" s="408"/>
      <c r="BX760" s="408"/>
      <c r="BY760" s="408"/>
      <c r="BZ760" s="408"/>
      <c r="CA760" s="408"/>
      <c r="CB760" s="408"/>
      <c r="CC760" s="408"/>
      <c r="CD760" s="408"/>
      <c r="CE760" s="408"/>
      <c r="CF760" s="408"/>
      <c r="CG760" s="408"/>
      <c r="CH760" s="408"/>
      <c r="CI760" s="408"/>
      <c r="CJ760" s="408"/>
      <c r="CK760" s="408"/>
      <c r="CL760" s="408"/>
      <c r="CM760" s="408"/>
      <c r="CN760" s="408"/>
    </row>
    <row r="761">
      <c r="A761" s="408"/>
      <c r="B761" s="408"/>
      <c r="C761" s="408"/>
      <c r="D761" s="408"/>
      <c r="E761" s="408"/>
      <c r="F761" s="408"/>
      <c r="G761" s="408"/>
      <c r="H761" s="408"/>
      <c r="I761" s="408"/>
      <c r="J761" s="408"/>
      <c r="K761" s="408"/>
      <c r="L761" s="408"/>
      <c r="M761" s="408"/>
      <c r="N761" s="408"/>
      <c r="O761" s="408"/>
      <c r="P761" s="408"/>
      <c r="Q761" s="408"/>
      <c r="R761" s="408"/>
      <c r="S761" s="408"/>
      <c r="T761" s="408"/>
      <c r="U761" s="408"/>
      <c r="V761" s="408"/>
      <c r="W761" s="408"/>
      <c r="X761" s="408"/>
      <c r="Y761" s="408"/>
      <c r="Z761" s="408"/>
      <c r="AA761" s="408"/>
      <c r="AB761" s="408"/>
      <c r="AC761" s="408"/>
      <c r="AD761" s="408"/>
      <c r="AE761" s="408"/>
      <c r="AF761" s="408"/>
      <c r="AG761" s="408"/>
      <c r="AH761" s="408"/>
      <c r="AI761" s="408"/>
      <c r="AJ761" s="408"/>
      <c r="AK761" s="408"/>
      <c r="AL761" s="408"/>
      <c r="AM761" s="408"/>
      <c r="AN761" s="408"/>
      <c r="AO761" s="408"/>
      <c r="AP761" s="408"/>
      <c r="AQ761" s="408"/>
      <c r="AR761" s="408"/>
      <c r="AS761" s="408"/>
      <c r="AT761" s="408"/>
      <c r="AU761" s="408"/>
      <c r="AV761" s="408"/>
      <c r="AW761" s="408"/>
      <c r="AX761" s="408"/>
      <c r="AY761" s="408"/>
      <c r="AZ761" s="408"/>
      <c r="BA761" s="408"/>
      <c r="BB761" s="408"/>
      <c r="BC761" s="408"/>
      <c r="BD761" s="408"/>
      <c r="BE761" s="408"/>
      <c r="BF761" s="408"/>
      <c r="BG761" s="408"/>
      <c r="BH761" s="408"/>
      <c r="BI761" s="408"/>
      <c r="BJ761" s="408"/>
      <c r="BK761" s="408"/>
      <c r="BL761" s="408"/>
      <c r="BM761" s="408"/>
      <c r="BN761" s="408"/>
      <c r="BO761" s="408"/>
      <c r="BP761" s="408"/>
      <c r="BQ761" s="408"/>
      <c r="BR761" s="408"/>
      <c r="BS761" s="408"/>
      <c r="BT761" s="408"/>
      <c r="BU761" s="408"/>
      <c r="BV761" s="408"/>
      <c r="BW761" s="408"/>
      <c r="BX761" s="408"/>
      <c r="BY761" s="408"/>
      <c r="BZ761" s="408"/>
      <c r="CA761" s="408"/>
      <c r="CB761" s="408"/>
      <c r="CC761" s="408"/>
      <c r="CD761" s="408"/>
      <c r="CE761" s="408"/>
      <c r="CF761" s="408"/>
      <c r="CG761" s="408"/>
      <c r="CH761" s="408"/>
      <c r="CI761" s="408"/>
      <c r="CJ761" s="408"/>
      <c r="CK761" s="408"/>
      <c r="CL761" s="408"/>
      <c r="CM761" s="408"/>
      <c r="CN761" s="408"/>
    </row>
    <row r="762">
      <c r="A762" s="408"/>
      <c r="B762" s="408"/>
      <c r="C762" s="408"/>
      <c r="D762" s="408"/>
      <c r="E762" s="408"/>
      <c r="F762" s="408"/>
      <c r="G762" s="408"/>
      <c r="H762" s="408"/>
      <c r="I762" s="408"/>
      <c r="J762" s="408"/>
      <c r="K762" s="408"/>
      <c r="L762" s="408"/>
      <c r="M762" s="408"/>
      <c r="N762" s="408"/>
      <c r="O762" s="408"/>
      <c r="P762" s="408"/>
      <c r="Q762" s="408"/>
      <c r="R762" s="408"/>
      <c r="S762" s="408"/>
      <c r="T762" s="408"/>
      <c r="U762" s="408"/>
      <c r="V762" s="408"/>
      <c r="W762" s="408"/>
      <c r="X762" s="408"/>
      <c r="Y762" s="408"/>
      <c r="Z762" s="408"/>
      <c r="AA762" s="408"/>
      <c r="AB762" s="408"/>
      <c r="AC762" s="408"/>
      <c r="AD762" s="408"/>
      <c r="AE762" s="408"/>
      <c r="AF762" s="408"/>
      <c r="AG762" s="408"/>
      <c r="AH762" s="408"/>
      <c r="AI762" s="408"/>
      <c r="AJ762" s="408"/>
      <c r="AK762" s="408"/>
      <c r="AL762" s="408"/>
      <c r="AM762" s="408"/>
      <c r="AN762" s="408"/>
      <c r="AO762" s="408"/>
      <c r="AP762" s="408"/>
      <c r="AQ762" s="408"/>
      <c r="AR762" s="408"/>
      <c r="AS762" s="408"/>
      <c r="AT762" s="408"/>
      <c r="AU762" s="408"/>
      <c r="AV762" s="408"/>
      <c r="AW762" s="408"/>
      <c r="AX762" s="408"/>
      <c r="AY762" s="408"/>
      <c r="AZ762" s="408"/>
      <c r="BA762" s="408"/>
      <c r="BB762" s="408"/>
      <c r="BC762" s="408"/>
      <c r="BD762" s="408"/>
      <c r="BE762" s="408"/>
      <c r="BF762" s="408"/>
      <c r="BG762" s="408"/>
      <c r="BH762" s="408"/>
      <c r="BI762" s="408"/>
      <c r="BJ762" s="408"/>
      <c r="BK762" s="408"/>
      <c r="BL762" s="408"/>
      <c r="BM762" s="408"/>
      <c r="BN762" s="408"/>
      <c r="BO762" s="408"/>
      <c r="BP762" s="408"/>
      <c r="BQ762" s="408"/>
      <c r="BR762" s="408"/>
      <c r="BS762" s="408"/>
      <c r="BT762" s="408"/>
      <c r="BU762" s="408"/>
      <c r="BV762" s="408"/>
      <c r="BW762" s="408"/>
      <c r="BX762" s="408"/>
      <c r="BY762" s="408"/>
      <c r="BZ762" s="408"/>
      <c r="CA762" s="408"/>
      <c r="CB762" s="408"/>
      <c r="CC762" s="408"/>
      <c r="CD762" s="408"/>
      <c r="CE762" s="408"/>
      <c r="CF762" s="408"/>
      <c r="CG762" s="408"/>
      <c r="CH762" s="408"/>
      <c r="CI762" s="408"/>
      <c r="CJ762" s="408"/>
      <c r="CK762" s="408"/>
      <c r="CL762" s="408"/>
      <c r="CM762" s="408"/>
      <c r="CN762" s="408"/>
    </row>
    <row r="763">
      <c r="A763" s="408"/>
      <c r="B763" s="408"/>
      <c r="C763" s="408"/>
      <c r="D763" s="408"/>
      <c r="E763" s="408"/>
      <c r="F763" s="408"/>
      <c r="G763" s="408"/>
      <c r="H763" s="408"/>
      <c r="I763" s="408"/>
      <c r="J763" s="408"/>
      <c r="K763" s="408"/>
      <c r="L763" s="408"/>
      <c r="M763" s="408"/>
      <c r="N763" s="408"/>
      <c r="O763" s="408"/>
      <c r="P763" s="408"/>
      <c r="Q763" s="408"/>
      <c r="R763" s="408"/>
      <c r="S763" s="408"/>
      <c r="T763" s="408"/>
      <c r="U763" s="408"/>
      <c r="V763" s="408"/>
      <c r="W763" s="408"/>
      <c r="X763" s="408"/>
      <c r="Y763" s="408"/>
      <c r="Z763" s="408"/>
      <c r="AA763" s="408"/>
      <c r="AB763" s="408"/>
      <c r="AC763" s="408"/>
      <c r="AD763" s="408"/>
      <c r="AE763" s="408"/>
      <c r="AF763" s="408"/>
      <c r="AG763" s="408"/>
      <c r="AH763" s="408"/>
      <c r="AI763" s="408"/>
      <c r="AJ763" s="408"/>
      <c r="AK763" s="408"/>
      <c r="AL763" s="408"/>
      <c r="AM763" s="408"/>
      <c r="AN763" s="408"/>
      <c r="AO763" s="408"/>
      <c r="AP763" s="408"/>
      <c r="AQ763" s="408"/>
      <c r="AR763" s="408"/>
      <c r="AS763" s="408"/>
      <c r="AT763" s="408"/>
      <c r="AU763" s="408"/>
      <c r="AV763" s="408"/>
      <c r="AW763" s="408"/>
      <c r="AX763" s="408"/>
      <c r="AY763" s="408"/>
      <c r="AZ763" s="408"/>
      <c r="BA763" s="408"/>
      <c r="BB763" s="408"/>
      <c r="BC763" s="408"/>
      <c r="BD763" s="408"/>
      <c r="BE763" s="408"/>
      <c r="BF763" s="408"/>
      <c r="BG763" s="408"/>
      <c r="BH763" s="408"/>
      <c r="BI763" s="408"/>
      <c r="BJ763" s="408"/>
      <c r="BK763" s="408"/>
      <c r="BL763" s="408"/>
      <c r="BM763" s="408"/>
      <c r="BN763" s="408"/>
      <c r="BO763" s="408"/>
      <c r="BP763" s="408"/>
      <c r="BQ763" s="408"/>
      <c r="BR763" s="408"/>
      <c r="BS763" s="408"/>
      <c r="BT763" s="408"/>
      <c r="BU763" s="408"/>
      <c r="BV763" s="408"/>
      <c r="BW763" s="408"/>
      <c r="BX763" s="408"/>
      <c r="BY763" s="408"/>
      <c r="BZ763" s="408"/>
      <c r="CA763" s="408"/>
      <c r="CB763" s="408"/>
      <c r="CC763" s="408"/>
      <c r="CD763" s="408"/>
      <c r="CE763" s="408"/>
      <c r="CF763" s="408"/>
      <c r="CG763" s="408"/>
      <c r="CH763" s="408"/>
      <c r="CI763" s="408"/>
      <c r="CJ763" s="408"/>
      <c r="CK763" s="408"/>
      <c r="CL763" s="408"/>
      <c r="CM763" s="408"/>
      <c r="CN763" s="408"/>
    </row>
    <row r="764">
      <c r="A764" s="408"/>
      <c r="B764" s="408"/>
      <c r="C764" s="408"/>
      <c r="D764" s="408"/>
      <c r="E764" s="408"/>
      <c r="F764" s="408"/>
      <c r="G764" s="408"/>
      <c r="H764" s="408"/>
      <c r="I764" s="408"/>
      <c r="J764" s="408"/>
      <c r="K764" s="408"/>
      <c r="L764" s="408"/>
      <c r="M764" s="408"/>
      <c r="N764" s="408"/>
      <c r="O764" s="408"/>
      <c r="P764" s="408"/>
      <c r="Q764" s="408"/>
      <c r="R764" s="408"/>
      <c r="S764" s="408"/>
      <c r="T764" s="408"/>
      <c r="U764" s="408"/>
      <c r="V764" s="408"/>
      <c r="W764" s="408"/>
      <c r="X764" s="408"/>
      <c r="Y764" s="408"/>
      <c r="Z764" s="408"/>
      <c r="AA764" s="408"/>
      <c r="AB764" s="408"/>
      <c r="AC764" s="408"/>
      <c r="AD764" s="408"/>
      <c r="AE764" s="408"/>
      <c r="AF764" s="408"/>
      <c r="AG764" s="408"/>
      <c r="AH764" s="408"/>
      <c r="AI764" s="408"/>
      <c r="AJ764" s="408"/>
      <c r="AK764" s="408"/>
      <c r="AL764" s="408"/>
      <c r="AM764" s="408"/>
      <c r="AN764" s="408"/>
      <c r="AO764" s="408"/>
      <c r="AP764" s="408"/>
      <c r="AQ764" s="408"/>
      <c r="AR764" s="408"/>
      <c r="AS764" s="408"/>
      <c r="AT764" s="408"/>
      <c r="AU764" s="408"/>
      <c r="AV764" s="408"/>
      <c r="AW764" s="408"/>
      <c r="AX764" s="408"/>
      <c r="AY764" s="408"/>
      <c r="AZ764" s="408"/>
      <c r="BA764" s="408"/>
      <c r="BB764" s="408"/>
      <c r="BC764" s="408"/>
      <c r="BD764" s="408"/>
      <c r="BE764" s="408"/>
      <c r="BF764" s="408"/>
      <c r="BG764" s="408"/>
      <c r="BH764" s="408"/>
      <c r="BI764" s="408"/>
      <c r="BJ764" s="408"/>
      <c r="BK764" s="408"/>
      <c r="BL764" s="408"/>
      <c r="BM764" s="408"/>
      <c r="BN764" s="408"/>
      <c r="BO764" s="408"/>
      <c r="BP764" s="408"/>
      <c r="BQ764" s="408"/>
      <c r="BR764" s="408"/>
      <c r="BS764" s="408"/>
      <c r="BT764" s="408"/>
      <c r="BU764" s="408"/>
      <c r="BV764" s="408"/>
      <c r="BW764" s="408"/>
      <c r="BX764" s="408"/>
      <c r="BY764" s="408"/>
      <c r="BZ764" s="408"/>
      <c r="CA764" s="408"/>
      <c r="CB764" s="408"/>
      <c r="CC764" s="408"/>
      <c r="CD764" s="408"/>
      <c r="CE764" s="408"/>
      <c r="CF764" s="408"/>
      <c r="CG764" s="408"/>
      <c r="CH764" s="408"/>
      <c r="CI764" s="408"/>
      <c r="CJ764" s="408"/>
      <c r="CK764" s="408"/>
      <c r="CL764" s="408"/>
      <c r="CM764" s="408"/>
      <c r="CN764" s="408"/>
    </row>
    <row r="765">
      <c r="A765" s="408"/>
      <c r="B765" s="408"/>
      <c r="C765" s="408"/>
      <c r="D765" s="408"/>
      <c r="E765" s="408"/>
      <c r="F765" s="408"/>
      <c r="G765" s="408"/>
      <c r="H765" s="408"/>
      <c r="I765" s="408"/>
      <c r="J765" s="408"/>
      <c r="K765" s="408"/>
      <c r="L765" s="408"/>
      <c r="M765" s="408"/>
      <c r="N765" s="408"/>
      <c r="O765" s="408"/>
      <c r="P765" s="408"/>
      <c r="Q765" s="408"/>
      <c r="R765" s="408"/>
      <c r="S765" s="408"/>
      <c r="T765" s="408"/>
      <c r="U765" s="408"/>
      <c r="V765" s="408"/>
      <c r="W765" s="408"/>
      <c r="X765" s="408"/>
      <c r="Y765" s="408"/>
      <c r="Z765" s="408"/>
      <c r="AA765" s="408"/>
      <c r="AB765" s="408"/>
      <c r="AC765" s="408"/>
      <c r="AD765" s="408"/>
      <c r="AE765" s="408"/>
      <c r="AF765" s="408"/>
      <c r="AG765" s="408"/>
      <c r="AH765" s="408"/>
      <c r="AI765" s="408"/>
      <c r="AJ765" s="408"/>
      <c r="AK765" s="408"/>
      <c r="AL765" s="408"/>
      <c r="AM765" s="408"/>
      <c r="AN765" s="408"/>
      <c r="AO765" s="408"/>
      <c r="AP765" s="408"/>
      <c r="AQ765" s="408"/>
      <c r="AR765" s="408"/>
      <c r="AS765" s="408"/>
      <c r="AT765" s="408"/>
      <c r="AU765" s="408"/>
      <c r="AV765" s="408"/>
      <c r="AW765" s="408"/>
      <c r="AX765" s="408"/>
      <c r="AY765" s="408"/>
      <c r="AZ765" s="408"/>
      <c r="BA765" s="408"/>
      <c r="BB765" s="408"/>
      <c r="BC765" s="408"/>
      <c r="BD765" s="408"/>
      <c r="BE765" s="408"/>
      <c r="BF765" s="408"/>
      <c r="BG765" s="408"/>
      <c r="BH765" s="408"/>
      <c r="BI765" s="408"/>
      <c r="BJ765" s="408"/>
      <c r="BK765" s="408"/>
      <c r="BL765" s="408"/>
      <c r="BM765" s="408"/>
      <c r="BN765" s="408"/>
      <c r="BO765" s="408"/>
      <c r="BP765" s="408"/>
      <c r="BQ765" s="408"/>
      <c r="BR765" s="408"/>
      <c r="BS765" s="408"/>
      <c r="BT765" s="408"/>
      <c r="BU765" s="408"/>
      <c r="BV765" s="408"/>
      <c r="BW765" s="408"/>
      <c r="BX765" s="408"/>
      <c r="BY765" s="408"/>
      <c r="BZ765" s="408"/>
      <c r="CA765" s="408"/>
      <c r="CB765" s="408"/>
      <c r="CC765" s="408"/>
      <c r="CD765" s="408"/>
      <c r="CE765" s="408"/>
      <c r="CF765" s="408"/>
      <c r="CG765" s="408"/>
      <c r="CH765" s="408"/>
      <c r="CI765" s="408"/>
      <c r="CJ765" s="408"/>
      <c r="CK765" s="408"/>
      <c r="CL765" s="408"/>
      <c r="CM765" s="408"/>
      <c r="CN765" s="408"/>
    </row>
    <row r="766">
      <c r="A766" s="408"/>
      <c r="B766" s="408"/>
      <c r="C766" s="408"/>
      <c r="D766" s="408"/>
      <c r="E766" s="408"/>
      <c r="F766" s="408"/>
      <c r="G766" s="408"/>
      <c r="H766" s="408"/>
      <c r="I766" s="408"/>
      <c r="J766" s="408"/>
      <c r="K766" s="408"/>
      <c r="L766" s="408"/>
      <c r="M766" s="408"/>
      <c r="N766" s="408"/>
      <c r="O766" s="408"/>
      <c r="P766" s="408"/>
      <c r="Q766" s="408"/>
      <c r="R766" s="408"/>
      <c r="S766" s="408"/>
      <c r="T766" s="408"/>
      <c r="U766" s="408"/>
      <c r="V766" s="408"/>
      <c r="W766" s="408"/>
      <c r="X766" s="408"/>
      <c r="Y766" s="408"/>
      <c r="Z766" s="408"/>
      <c r="AA766" s="408"/>
      <c r="AB766" s="408"/>
      <c r="AC766" s="408"/>
      <c r="AD766" s="408"/>
      <c r="AE766" s="408"/>
      <c r="AF766" s="408"/>
      <c r="AG766" s="408"/>
      <c r="AH766" s="408"/>
      <c r="AI766" s="408"/>
      <c r="AJ766" s="408"/>
      <c r="AK766" s="408"/>
      <c r="AL766" s="408"/>
      <c r="AM766" s="408"/>
      <c r="AN766" s="408"/>
      <c r="AO766" s="408"/>
      <c r="AP766" s="408"/>
      <c r="AQ766" s="408"/>
      <c r="AR766" s="408"/>
      <c r="AS766" s="408"/>
      <c r="AT766" s="408"/>
      <c r="AU766" s="408"/>
      <c r="AV766" s="408"/>
      <c r="AW766" s="408"/>
      <c r="AX766" s="408"/>
      <c r="AY766" s="408"/>
      <c r="AZ766" s="408"/>
      <c r="BA766" s="408"/>
      <c r="BB766" s="408"/>
      <c r="BC766" s="408"/>
      <c r="BD766" s="408"/>
      <c r="BE766" s="408"/>
      <c r="BF766" s="408"/>
      <c r="BG766" s="408"/>
      <c r="BH766" s="408"/>
      <c r="BI766" s="408"/>
      <c r="BJ766" s="408"/>
      <c r="BK766" s="408"/>
      <c r="BL766" s="408"/>
      <c r="BM766" s="408"/>
      <c r="BN766" s="408"/>
      <c r="BO766" s="408"/>
      <c r="BP766" s="408"/>
      <c r="BQ766" s="408"/>
      <c r="BR766" s="408"/>
      <c r="BS766" s="408"/>
      <c r="BT766" s="408"/>
      <c r="BU766" s="408"/>
      <c r="BV766" s="408"/>
      <c r="BW766" s="408"/>
      <c r="BX766" s="408"/>
      <c r="BY766" s="408"/>
      <c r="BZ766" s="408"/>
      <c r="CA766" s="408"/>
      <c r="CB766" s="408"/>
      <c r="CC766" s="408"/>
      <c r="CD766" s="408"/>
      <c r="CE766" s="408"/>
      <c r="CF766" s="408"/>
      <c r="CG766" s="408"/>
      <c r="CH766" s="408"/>
      <c r="CI766" s="408"/>
      <c r="CJ766" s="408"/>
      <c r="CK766" s="408"/>
      <c r="CL766" s="408"/>
      <c r="CM766" s="408"/>
      <c r="CN766" s="408"/>
    </row>
    <row r="767">
      <c r="A767" s="408"/>
      <c r="B767" s="408"/>
      <c r="C767" s="408"/>
      <c r="D767" s="408"/>
      <c r="E767" s="408"/>
      <c r="F767" s="408"/>
      <c r="G767" s="408"/>
      <c r="H767" s="408"/>
      <c r="I767" s="408"/>
      <c r="J767" s="408"/>
      <c r="K767" s="408"/>
      <c r="L767" s="408"/>
      <c r="M767" s="408"/>
      <c r="N767" s="408"/>
      <c r="O767" s="408"/>
      <c r="P767" s="408"/>
      <c r="Q767" s="408"/>
      <c r="R767" s="408"/>
      <c r="S767" s="408"/>
      <c r="T767" s="408"/>
      <c r="U767" s="408"/>
      <c r="V767" s="408"/>
      <c r="W767" s="408"/>
      <c r="X767" s="408"/>
      <c r="Y767" s="408"/>
      <c r="Z767" s="408"/>
      <c r="AA767" s="408"/>
      <c r="AB767" s="408"/>
      <c r="AC767" s="408"/>
      <c r="AD767" s="408"/>
      <c r="AE767" s="408"/>
      <c r="AF767" s="408"/>
      <c r="AG767" s="408"/>
      <c r="AH767" s="408"/>
      <c r="AI767" s="408"/>
      <c r="AJ767" s="408"/>
      <c r="AK767" s="408"/>
      <c r="AL767" s="408"/>
      <c r="AM767" s="408"/>
      <c r="AN767" s="408"/>
      <c r="AO767" s="408"/>
      <c r="AP767" s="408"/>
      <c r="AQ767" s="408"/>
      <c r="AR767" s="408"/>
      <c r="AS767" s="408"/>
      <c r="AT767" s="408"/>
      <c r="AU767" s="408"/>
      <c r="AV767" s="408"/>
      <c r="AW767" s="408"/>
      <c r="AX767" s="408"/>
      <c r="AY767" s="408"/>
      <c r="AZ767" s="408"/>
      <c r="BA767" s="408"/>
      <c r="BB767" s="408"/>
      <c r="BC767" s="408"/>
      <c r="BD767" s="408"/>
      <c r="BE767" s="408"/>
      <c r="BF767" s="408"/>
      <c r="BG767" s="408"/>
      <c r="BH767" s="408"/>
      <c r="BI767" s="408"/>
      <c r="BJ767" s="408"/>
      <c r="BK767" s="408"/>
      <c r="BL767" s="408"/>
      <c r="BM767" s="408"/>
      <c r="BN767" s="408"/>
      <c r="BO767" s="408"/>
      <c r="BP767" s="408"/>
      <c r="BQ767" s="408"/>
      <c r="BR767" s="408"/>
      <c r="BS767" s="408"/>
      <c r="BT767" s="408"/>
      <c r="BU767" s="408"/>
      <c r="BV767" s="408"/>
      <c r="BW767" s="408"/>
      <c r="BX767" s="408"/>
      <c r="BY767" s="408"/>
      <c r="BZ767" s="408"/>
      <c r="CA767" s="408"/>
      <c r="CB767" s="408"/>
      <c r="CC767" s="408"/>
      <c r="CD767" s="408"/>
      <c r="CE767" s="408"/>
      <c r="CF767" s="408"/>
      <c r="CG767" s="408"/>
      <c r="CH767" s="408"/>
      <c r="CI767" s="408"/>
      <c r="CJ767" s="408"/>
      <c r="CK767" s="408"/>
      <c r="CL767" s="408"/>
      <c r="CM767" s="408"/>
      <c r="CN767" s="408"/>
    </row>
    <row r="768">
      <c r="A768" s="408"/>
      <c r="B768" s="408"/>
      <c r="C768" s="408"/>
      <c r="D768" s="408"/>
      <c r="E768" s="408"/>
      <c r="F768" s="408"/>
      <c r="G768" s="408"/>
      <c r="H768" s="408"/>
      <c r="I768" s="408"/>
      <c r="J768" s="408"/>
      <c r="K768" s="408"/>
      <c r="L768" s="408"/>
      <c r="M768" s="408"/>
      <c r="N768" s="408"/>
      <c r="O768" s="408"/>
      <c r="P768" s="408"/>
      <c r="Q768" s="408"/>
      <c r="R768" s="408"/>
      <c r="S768" s="408"/>
      <c r="T768" s="408"/>
      <c r="U768" s="408"/>
      <c r="V768" s="408"/>
      <c r="W768" s="408"/>
      <c r="X768" s="408"/>
      <c r="Y768" s="408"/>
      <c r="Z768" s="408"/>
      <c r="AA768" s="408"/>
      <c r="AB768" s="408"/>
      <c r="AC768" s="408"/>
      <c r="AD768" s="408"/>
      <c r="AE768" s="408"/>
      <c r="AF768" s="408"/>
      <c r="AG768" s="408"/>
      <c r="AH768" s="408"/>
      <c r="AI768" s="408"/>
      <c r="AJ768" s="408"/>
      <c r="AK768" s="408"/>
      <c r="AL768" s="408"/>
      <c r="AM768" s="408"/>
      <c r="AN768" s="408"/>
      <c r="AO768" s="408"/>
      <c r="AP768" s="408"/>
      <c r="AQ768" s="408"/>
      <c r="AR768" s="408"/>
      <c r="AS768" s="408"/>
      <c r="AT768" s="408"/>
      <c r="AU768" s="408"/>
      <c r="AV768" s="408"/>
      <c r="AW768" s="408"/>
      <c r="AX768" s="408"/>
      <c r="AY768" s="408"/>
      <c r="AZ768" s="408"/>
      <c r="BA768" s="408"/>
      <c r="BB768" s="408"/>
      <c r="BC768" s="408"/>
      <c r="BD768" s="408"/>
      <c r="BE768" s="408"/>
      <c r="BF768" s="408"/>
      <c r="BG768" s="408"/>
      <c r="BH768" s="408"/>
      <c r="BI768" s="408"/>
      <c r="BJ768" s="408"/>
      <c r="BK768" s="408"/>
      <c r="BL768" s="408"/>
      <c r="BM768" s="408"/>
      <c r="BN768" s="408"/>
      <c r="BO768" s="408"/>
      <c r="BP768" s="408"/>
      <c r="BQ768" s="408"/>
      <c r="BR768" s="408"/>
      <c r="BS768" s="408"/>
      <c r="BT768" s="408"/>
      <c r="BU768" s="408"/>
      <c r="BV768" s="408"/>
      <c r="BW768" s="408"/>
      <c r="BX768" s="408"/>
      <c r="BY768" s="408"/>
      <c r="BZ768" s="408"/>
      <c r="CA768" s="408"/>
      <c r="CB768" s="408"/>
      <c r="CC768" s="408"/>
      <c r="CD768" s="408"/>
      <c r="CE768" s="408"/>
      <c r="CF768" s="408"/>
      <c r="CG768" s="408"/>
      <c r="CH768" s="408"/>
      <c r="CI768" s="408"/>
      <c r="CJ768" s="408"/>
      <c r="CK768" s="408"/>
      <c r="CL768" s="408"/>
      <c r="CM768" s="408"/>
      <c r="CN768" s="408"/>
    </row>
    <row r="769">
      <c r="A769" s="408"/>
      <c r="B769" s="408"/>
      <c r="C769" s="408"/>
      <c r="D769" s="408"/>
      <c r="E769" s="408"/>
      <c r="F769" s="408"/>
      <c r="G769" s="408"/>
      <c r="H769" s="408"/>
      <c r="I769" s="408"/>
      <c r="J769" s="408"/>
      <c r="K769" s="408"/>
      <c r="L769" s="408"/>
      <c r="M769" s="408"/>
      <c r="N769" s="408"/>
      <c r="O769" s="408"/>
      <c r="P769" s="408"/>
      <c r="Q769" s="408"/>
      <c r="R769" s="408"/>
      <c r="S769" s="408"/>
      <c r="T769" s="408"/>
      <c r="U769" s="408"/>
      <c r="V769" s="408"/>
      <c r="W769" s="408"/>
      <c r="X769" s="408"/>
      <c r="Y769" s="408"/>
      <c r="Z769" s="408"/>
      <c r="AA769" s="408"/>
      <c r="AB769" s="408"/>
      <c r="AC769" s="408"/>
      <c r="AD769" s="408"/>
      <c r="AE769" s="408"/>
      <c r="AF769" s="408"/>
      <c r="AG769" s="408"/>
      <c r="AH769" s="408"/>
      <c r="AI769" s="408"/>
      <c r="AJ769" s="408"/>
      <c r="AK769" s="408"/>
      <c r="AL769" s="408"/>
      <c r="AM769" s="408"/>
      <c r="AN769" s="408"/>
      <c r="AO769" s="408"/>
      <c r="AP769" s="408"/>
      <c r="AQ769" s="408"/>
      <c r="AR769" s="408"/>
      <c r="AS769" s="408"/>
      <c r="AT769" s="408"/>
      <c r="AU769" s="408"/>
      <c r="AV769" s="408"/>
      <c r="AW769" s="408"/>
      <c r="AX769" s="408"/>
      <c r="AY769" s="408"/>
      <c r="AZ769" s="408"/>
      <c r="BA769" s="408"/>
      <c r="BB769" s="408"/>
      <c r="BC769" s="408"/>
      <c r="BD769" s="408"/>
      <c r="BE769" s="408"/>
      <c r="BF769" s="408"/>
      <c r="BG769" s="408"/>
      <c r="BH769" s="408"/>
      <c r="BI769" s="408"/>
      <c r="BJ769" s="408"/>
      <c r="BK769" s="408"/>
      <c r="BL769" s="408"/>
      <c r="BM769" s="408"/>
      <c r="BN769" s="408"/>
      <c r="BO769" s="408"/>
      <c r="BP769" s="408"/>
      <c r="BQ769" s="408"/>
      <c r="BR769" s="408"/>
      <c r="BS769" s="408"/>
      <c r="BT769" s="408"/>
      <c r="BU769" s="408"/>
      <c r="BV769" s="408"/>
      <c r="BW769" s="408"/>
      <c r="BX769" s="408"/>
      <c r="BY769" s="408"/>
      <c r="BZ769" s="408"/>
      <c r="CA769" s="408"/>
      <c r="CB769" s="408"/>
      <c r="CC769" s="408"/>
      <c r="CD769" s="408"/>
      <c r="CE769" s="408"/>
      <c r="CF769" s="408"/>
      <c r="CG769" s="408"/>
      <c r="CH769" s="408"/>
      <c r="CI769" s="408"/>
      <c r="CJ769" s="408"/>
      <c r="CK769" s="408"/>
      <c r="CL769" s="408"/>
      <c r="CM769" s="408"/>
      <c r="CN769" s="408"/>
    </row>
    <row r="770">
      <c r="A770" s="408"/>
      <c r="B770" s="408"/>
      <c r="C770" s="408"/>
      <c r="D770" s="408"/>
      <c r="E770" s="408"/>
      <c r="F770" s="408"/>
      <c r="G770" s="408"/>
      <c r="H770" s="408"/>
      <c r="I770" s="408"/>
      <c r="J770" s="408"/>
      <c r="K770" s="408"/>
      <c r="L770" s="408"/>
      <c r="M770" s="408"/>
      <c r="N770" s="408"/>
      <c r="O770" s="408"/>
      <c r="P770" s="408"/>
      <c r="Q770" s="408"/>
      <c r="R770" s="408"/>
      <c r="S770" s="408"/>
      <c r="T770" s="408"/>
      <c r="U770" s="408"/>
      <c r="V770" s="408"/>
      <c r="W770" s="408"/>
      <c r="X770" s="408"/>
      <c r="Y770" s="408"/>
      <c r="Z770" s="408"/>
      <c r="AA770" s="408"/>
      <c r="AB770" s="408"/>
      <c r="AC770" s="408"/>
      <c r="AD770" s="408"/>
      <c r="AE770" s="408"/>
      <c r="AF770" s="408"/>
      <c r="AG770" s="408"/>
      <c r="AH770" s="408"/>
      <c r="AI770" s="408"/>
      <c r="AJ770" s="408"/>
      <c r="AK770" s="408"/>
      <c r="AL770" s="408"/>
      <c r="AM770" s="408"/>
      <c r="AN770" s="408"/>
      <c r="AO770" s="408"/>
      <c r="AP770" s="408"/>
      <c r="AQ770" s="408"/>
      <c r="AR770" s="408"/>
      <c r="AS770" s="408"/>
      <c r="AT770" s="408"/>
      <c r="AU770" s="408"/>
      <c r="AV770" s="408"/>
      <c r="AW770" s="408"/>
      <c r="AX770" s="408"/>
      <c r="AY770" s="408"/>
      <c r="AZ770" s="408"/>
      <c r="BA770" s="408"/>
      <c r="BB770" s="408"/>
      <c r="BC770" s="408"/>
      <c r="BD770" s="408"/>
      <c r="BE770" s="408"/>
      <c r="BF770" s="408"/>
      <c r="BG770" s="408"/>
      <c r="BH770" s="408"/>
      <c r="BI770" s="408"/>
      <c r="BJ770" s="408"/>
      <c r="BK770" s="408"/>
      <c r="BL770" s="408"/>
      <c r="BM770" s="408"/>
      <c r="BN770" s="408"/>
      <c r="BO770" s="408"/>
      <c r="BP770" s="408"/>
      <c r="BQ770" s="408"/>
      <c r="BR770" s="408"/>
      <c r="BS770" s="408"/>
      <c r="BT770" s="408"/>
      <c r="BU770" s="408"/>
      <c r="BV770" s="408"/>
      <c r="BW770" s="408"/>
      <c r="BX770" s="408"/>
      <c r="BY770" s="408"/>
      <c r="BZ770" s="408"/>
      <c r="CA770" s="408"/>
      <c r="CB770" s="408"/>
      <c r="CC770" s="408"/>
      <c r="CD770" s="408"/>
      <c r="CE770" s="408"/>
      <c r="CF770" s="408"/>
      <c r="CG770" s="408"/>
      <c r="CH770" s="408"/>
      <c r="CI770" s="408"/>
      <c r="CJ770" s="408"/>
      <c r="CK770" s="408"/>
      <c r="CL770" s="408"/>
      <c r="CM770" s="408"/>
      <c r="CN770" s="408"/>
    </row>
    <row r="771">
      <c r="A771" s="408"/>
      <c r="B771" s="408"/>
      <c r="C771" s="408"/>
      <c r="D771" s="408"/>
      <c r="E771" s="408"/>
      <c r="F771" s="408"/>
      <c r="G771" s="408"/>
      <c r="H771" s="408"/>
      <c r="I771" s="408"/>
      <c r="J771" s="408"/>
      <c r="K771" s="408"/>
      <c r="L771" s="408"/>
      <c r="M771" s="408"/>
      <c r="N771" s="408"/>
      <c r="O771" s="408"/>
      <c r="P771" s="408"/>
      <c r="Q771" s="408"/>
      <c r="R771" s="408"/>
      <c r="S771" s="408"/>
      <c r="T771" s="408"/>
      <c r="U771" s="408"/>
      <c r="V771" s="408"/>
      <c r="W771" s="408"/>
      <c r="X771" s="408"/>
      <c r="Y771" s="408"/>
      <c r="Z771" s="408"/>
      <c r="AA771" s="408"/>
      <c r="AB771" s="408"/>
      <c r="AC771" s="408"/>
      <c r="AD771" s="408"/>
      <c r="AE771" s="408"/>
      <c r="AF771" s="408"/>
      <c r="AG771" s="408"/>
      <c r="AH771" s="408"/>
      <c r="AI771" s="408"/>
      <c r="AJ771" s="408"/>
      <c r="AK771" s="408"/>
      <c r="AL771" s="408"/>
      <c r="AM771" s="408"/>
      <c r="AN771" s="408"/>
      <c r="AO771" s="408"/>
      <c r="AP771" s="408"/>
      <c r="AQ771" s="408"/>
      <c r="AR771" s="408"/>
      <c r="AS771" s="408"/>
      <c r="AT771" s="408"/>
      <c r="AU771" s="408"/>
      <c r="AV771" s="408"/>
      <c r="AW771" s="408"/>
      <c r="AX771" s="408"/>
      <c r="AY771" s="408"/>
      <c r="AZ771" s="408"/>
      <c r="BA771" s="408"/>
      <c r="BB771" s="408"/>
      <c r="BC771" s="408"/>
      <c r="BD771" s="408"/>
      <c r="BE771" s="408"/>
      <c r="BF771" s="408"/>
      <c r="BG771" s="408"/>
      <c r="BH771" s="408"/>
      <c r="BI771" s="408"/>
      <c r="BJ771" s="408"/>
      <c r="BK771" s="408"/>
      <c r="BL771" s="408"/>
      <c r="BM771" s="408"/>
      <c r="BN771" s="408"/>
      <c r="BO771" s="408"/>
      <c r="BP771" s="408"/>
      <c r="BQ771" s="408"/>
      <c r="BR771" s="408"/>
      <c r="BS771" s="408"/>
      <c r="BT771" s="408"/>
      <c r="BU771" s="408"/>
      <c r="BV771" s="408"/>
      <c r="BW771" s="408"/>
      <c r="BX771" s="408"/>
      <c r="BY771" s="408"/>
      <c r="BZ771" s="408"/>
      <c r="CA771" s="408"/>
      <c r="CB771" s="408"/>
      <c r="CC771" s="408"/>
      <c r="CD771" s="408"/>
      <c r="CE771" s="408"/>
      <c r="CF771" s="408"/>
      <c r="CG771" s="408"/>
      <c r="CH771" s="408"/>
      <c r="CI771" s="408"/>
      <c r="CJ771" s="408"/>
      <c r="CK771" s="408"/>
      <c r="CL771" s="408"/>
      <c r="CM771" s="408"/>
      <c r="CN771" s="408"/>
    </row>
    <row r="772">
      <c r="A772" s="408"/>
      <c r="B772" s="408"/>
      <c r="C772" s="408"/>
      <c r="D772" s="408"/>
      <c r="E772" s="408"/>
      <c r="F772" s="408"/>
      <c r="G772" s="408"/>
      <c r="H772" s="408"/>
      <c r="I772" s="408"/>
      <c r="J772" s="408"/>
      <c r="K772" s="408"/>
      <c r="L772" s="408"/>
      <c r="M772" s="408"/>
      <c r="N772" s="408"/>
      <c r="O772" s="408"/>
      <c r="P772" s="408"/>
      <c r="Q772" s="408"/>
      <c r="R772" s="408"/>
      <c r="S772" s="408"/>
      <c r="T772" s="408"/>
      <c r="U772" s="408"/>
      <c r="V772" s="408"/>
      <c r="W772" s="408"/>
      <c r="X772" s="408"/>
      <c r="Y772" s="408"/>
      <c r="Z772" s="408"/>
      <c r="AA772" s="408"/>
      <c r="AB772" s="408"/>
      <c r="AC772" s="408"/>
      <c r="AD772" s="408"/>
      <c r="AE772" s="408"/>
      <c r="AF772" s="408"/>
      <c r="AG772" s="408"/>
      <c r="AH772" s="408"/>
      <c r="AI772" s="408"/>
      <c r="AJ772" s="408"/>
      <c r="AK772" s="408"/>
      <c r="AL772" s="408"/>
      <c r="AM772" s="408"/>
      <c r="AN772" s="408"/>
      <c r="AO772" s="408"/>
      <c r="AP772" s="408"/>
      <c r="AQ772" s="408"/>
      <c r="AR772" s="408"/>
      <c r="AS772" s="408"/>
      <c r="AT772" s="408"/>
      <c r="AU772" s="408"/>
      <c r="AV772" s="408"/>
      <c r="AW772" s="408"/>
      <c r="AX772" s="408"/>
      <c r="AY772" s="408"/>
      <c r="AZ772" s="408"/>
      <c r="BA772" s="408"/>
      <c r="BB772" s="408"/>
      <c r="BC772" s="408"/>
      <c r="BD772" s="408"/>
      <c r="BE772" s="408"/>
      <c r="BF772" s="408"/>
      <c r="BG772" s="408"/>
      <c r="BH772" s="408"/>
      <c r="BI772" s="408"/>
      <c r="BJ772" s="408"/>
      <c r="BK772" s="408"/>
      <c r="BL772" s="408"/>
      <c r="BM772" s="408"/>
      <c r="BN772" s="408"/>
      <c r="BO772" s="408"/>
      <c r="BP772" s="408"/>
      <c r="BQ772" s="408"/>
      <c r="BR772" s="408"/>
      <c r="BS772" s="408"/>
      <c r="BT772" s="408"/>
      <c r="BU772" s="408"/>
      <c r="BV772" s="408"/>
      <c r="BW772" s="408"/>
      <c r="BX772" s="408"/>
      <c r="BY772" s="408"/>
      <c r="BZ772" s="408"/>
      <c r="CA772" s="408"/>
      <c r="CB772" s="408"/>
      <c r="CC772" s="408"/>
      <c r="CD772" s="408"/>
      <c r="CE772" s="408"/>
      <c r="CF772" s="408"/>
      <c r="CG772" s="408"/>
      <c r="CH772" s="408"/>
      <c r="CI772" s="408"/>
      <c r="CJ772" s="408"/>
      <c r="CK772" s="408"/>
      <c r="CL772" s="408"/>
      <c r="CM772" s="408"/>
      <c r="CN772" s="408"/>
    </row>
    <row r="773">
      <c r="A773" s="408"/>
      <c r="B773" s="408"/>
      <c r="C773" s="408"/>
      <c r="D773" s="408"/>
      <c r="E773" s="408"/>
      <c r="F773" s="408"/>
      <c r="G773" s="408"/>
      <c r="H773" s="408"/>
      <c r="I773" s="408"/>
      <c r="J773" s="408"/>
      <c r="K773" s="408"/>
      <c r="L773" s="408"/>
      <c r="M773" s="408"/>
      <c r="N773" s="408"/>
      <c r="O773" s="408"/>
      <c r="P773" s="408"/>
      <c r="Q773" s="408"/>
      <c r="R773" s="408"/>
      <c r="S773" s="408"/>
      <c r="T773" s="408"/>
      <c r="U773" s="408"/>
      <c r="V773" s="408"/>
      <c r="W773" s="408"/>
      <c r="X773" s="408"/>
      <c r="Y773" s="408"/>
      <c r="Z773" s="408"/>
      <c r="AA773" s="408"/>
      <c r="AB773" s="408"/>
      <c r="AC773" s="408"/>
      <c r="AD773" s="408"/>
      <c r="AE773" s="408"/>
      <c r="AF773" s="408"/>
      <c r="AG773" s="408"/>
      <c r="AH773" s="408"/>
      <c r="AI773" s="408"/>
      <c r="AJ773" s="408"/>
      <c r="AK773" s="408"/>
      <c r="AL773" s="408"/>
      <c r="AM773" s="408"/>
      <c r="AN773" s="408"/>
      <c r="AO773" s="408"/>
      <c r="AP773" s="408"/>
      <c r="AQ773" s="408"/>
      <c r="AR773" s="408"/>
      <c r="AS773" s="408"/>
      <c r="AT773" s="408"/>
      <c r="AU773" s="408"/>
      <c r="AV773" s="408"/>
      <c r="AW773" s="408"/>
      <c r="AX773" s="408"/>
      <c r="AY773" s="408"/>
      <c r="AZ773" s="408"/>
      <c r="BA773" s="408"/>
      <c r="BB773" s="408"/>
      <c r="BC773" s="408"/>
      <c r="BD773" s="408"/>
      <c r="BE773" s="408"/>
      <c r="BF773" s="408"/>
      <c r="BG773" s="408"/>
      <c r="BH773" s="408"/>
      <c r="BI773" s="408"/>
      <c r="BJ773" s="408"/>
      <c r="BK773" s="408"/>
      <c r="BL773" s="408"/>
      <c r="BM773" s="408"/>
      <c r="BN773" s="408"/>
      <c r="BO773" s="408"/>
      <c r="BP773" s="408"/>
      <c r="BQ773" s="408"/>
      <c r="BR773" s="408"/>
      <c r="BS773" s="408"/>
      <c r="BT773" s="408"/>
      <c r="BU773" s="408"/>
      <c r="BV773" s="408"/>
      <c r="BW773" s="408"/>
      <c r="BX773" s="408"/>
      <c r="BY773" s="408"/>
      <c r="BZ773" s="408"/>
      <c r="CA773" s="408"/>
      <c r="CB773" s="408"/>
      <c r="CC773" s="408"/>
      <c r="CD773" s="408"/>
      <c r="CE773" s="408"/>
      <c r="CF773" s="408"/>
      <c r="CG773" s="408"/>
      <c r="CH773" s="408"/>
      <c r="CI773" s="408"/>
      <c r="CJ773" s="408"/>
      <c r="CK773" s="408"/>
      <c r="CL773" s="408"/>
      <c r="CM773" s="408"/>
      <c r="CN773" s="408"/>
    </row>
    <row r="774">
      <c r="A774" s="408"/>
      <c r="B774" s="408"/>
      <c r="C774" s="408"/>
      <c r="D774" s="408"/>
      <c r="E774" s="408"/>
      <c r="F774" s="408"/>
      <c r="G774" s="408"/>
      <c r="H774" s="408"/>
      <c r="I774" s="408"/>
      <c r="J774" s="408"/>
      <c r="K774" s="408"/>
      <c r="L774" s="408"/>
      <c r="M774" s="408"/>
      <c r="N774" s="408"/>
      <c r="O774" s="408"/>
      <c r="P774" s="408"/>
      <c r="Q774" s="408"/>
      <c r="R774" s="408"/>
      <c r="S774" s="408"/>
      <c r="T774" s="408"/>
      <c r="U774" s="408"/>
      <c r="V774" s="408"/>
      <c r="W774" s="408"/>
      <c r="X774" s="408"/>
      <c r="Y774" s="408"/>
      <c r="Z774" s="408"/>
      <c r="AA774" s="408"/>
      <c r="AB774" s="408"/>
      <c r="AC774" s="408"/>
      <c r="AD774" s="408"/>
      <c r="AE774" s="408"/>
      <c r="AF774" s="408"/>
      <c r="AG774" s="408"/>
      <c r="AH774" s="408"/>
      <c r="AI774" s="408"/>
      <c r="AJ774" s="408"/>
      <c r="AK774" s="408"/>
      <c r="AL774" s="408"/>
      <c r="AM774" s="408"/>
      <c r="AN774" s="408"/>
      <c r="AO774" s="408"/>
      <c r="AP774" s="408"/>
      <c r="AQ774" s="408"/>
      <c r="AR774" s="408"/>
      <c r="AS774" s="408"/>
      <c r="AT774" s="408"/>
      <c r="AU774" s="408"/>
      <c r="AV774" s="408"/>
      <c r="AW774" s="408"/>
      <c r="AX774" s="408"/>
      <c r="AY774" s="408"/>
      <c r="AZ774" s="408"/>
      <c r="BA774" s="408"/>
      <c r="BB774" s="408"/>
      <c r="BC774" s="408"/>
      <c r="BD774" s="408"/>
      <c r="BE774" s="408"/>
      <c r="BF774" s="408"/>
      <c r="BG774" s="408"/>
      <c r="BH774" s="408"/>
      <c r="BI774" s="408"/>
      <c r="BJ774" s="408"/>
      <c r="BK774" s="408"/>
      <c r="BL774" s="408"/>
      <c r="BM774" s="408"/>
      <c r="BN774" s="408"/>
      <c r="BO774" s="408"/>
      <c r="BP774" s="408"/>
      <c r="BQ774" s="408"/>
      <c r="BR774" s="408"/>
      <c r="BS774" s="408"/>
      <c r="BT774" s="408"/>
      <c r="BU774" s="408"/>
      <c r="BV774" s="408"/>
      <c r="BW774" s="408"/>
      <c r="BX774" s="408"/>
      <c r="BY774" s="408"/>
      <c r="BZ774" s="408"/>
      <c r="CA774" s="408"/>
      <c r="CB774" s="408"/>
      <c r="CC774" s="408"/>
      <c r="CD774" s="408"/>
      <c r="CE774" s="408"/>
      <c r="CF774" s="408"/>
      <c r="CG774" s="408"/>
      <c r="CH774" s="408"/>
      <c r="CI774" s="408"/>
      <c r="CJ774" s="408"/>
      <c r="CK774" s="408"/>
      <c r="CL774" s="408"/>
      <c r="CM774" s="408"/>
      <c r="CN774" s="408"/>
    </row>
    <row r="775">
      <c r="A775" s="408"/>
      <c r="B775" s="408"/>
      <c r="C775" s="408"/>
      <c r="D775" s="408"/>
      <c r="E775" s="408"/>
      <c r="F775" s="408"/>
      <c r="G775" s="408"/>
      <c r="H775" s="408"/>
      <c r="I775" s="408"/>
      <c r="J775" s="408"/>
      <c r="K775" s="408"/>
      <c r="L775" s="408"/>
      <c r="M775" s="408"/>
      <c r="N775" s="408"/>
      <c r="O775" s="408"/>
      <c r="P775" s="408"/>
      <c r="Q775" s="408"/>
      <c r="R775" s="408"/>
      <c r="S775" s="408"/>
      <c r="T775" s="408"/>
      <c r="U775" s="408"/>
      <c r="V775" s="408"/>
      <c r="W775" s="408"/>
      <c r="X775" s="408"/>
      <c r="Y775" s="408"/>
      <c r="Z775" s="408"/>
      <c r="AA775" s="408"/>
      <c r="AB775" s="408"/>
      <c r="AC775" s="408"/>
      <c r="AD775" s="408"/>
      <c r="AE775" s="408"/>
      <c r="AF775" s="408"/>
      <c r="AG775" s="408"/>
      <c r="AH775" s="408"/>
      <c r="AI775" s="408"/>
      <c r="AJ775" s="408"/>
      <c r="AK775" s="408"/>
      <c r="AL775" s="408"/>
      <c r="AM775" s="408"/>
      <c r="AN775" s="408"/>
      <c r="AO775" s="408"/>
      <c r="AP775" s="408"/>
      <c r="AQ775" s="408"/>
      <c r="AR775" s="408"/>
      <c r="AS775" s="408"/>
      <c r="AT775" s="408"/>
      <c r="AU775" s="408"/>
      <c r="AV775" s="408"/>
      <c r="AW775" s="408"/>
      <c r="AX775" s="408"/>
      <c r="AY775" s="408"/>
      <c r="AZ775" s="408"/>
      <c r="BA775" s="408"/>
      <c r="BB775" s="408"/>
      <c r="BC775" s="408"/>
      <c r="BD775" s="408"/>
      <c r="BE775" s="408"/>
      <c r="BF775" s="408"/>
      <c r="BG775" s="408"/>
      <c r="BH775" s="408"/>
      <c r="BI775" s="408"/>
      <c r="BJ775" s="408"/>
      <c r="BK775" s="408"/>
      <c r="BL775" s="408"/>
      <c r="BM775" s="408"/>
      <c r="BN775" s="408"/>
      <c r="BO775" s="408"/>
      <c r="BP775" s="408"/>
      <c r="BQ775" s="408"/>
      <c r="BR775" s="408"/>
      <c r="BS775" s="408"/>
      <c r="BT775" s="408"/>
      <c r="BU775" s="408"/>
      <c r="BV775" s="408"/>
      <c r="BW775" s="408"/>
      <c r="BX775" s="408"/>
      <c r="BY775" s="408"/>
      <c r="BZ775" s="408"/>
      <c r="CA775" s="408"/>
      <c r="CB775" s="408"/>
      <c r="CC775" s="408"/>
      <c r="CD775" s="408"/>
      <c r="CE775" s="408"/>
      <c r="CF775" s="408"/>
      <c r="CG775" s="408"/>
      <c r="CH775" s="408"/>
      <c r="CI775" s="408"/>
      <c r="CJ775" s="408"/>
      <c r="CK775" s="408"/>
      <c r="CL775" s="408"/>
      <c r="CM775" s="408"/>
      <c r="CN775" s="408"/>
    </row>
    <row r="776">
      <c r="A776" s="408"/>
      <c r="B776" s="408"/>
      <c r="C776" s="408"/>
      <c r="D776" s="408"/>
      <c r="E776" s="408"/>
      <c r="F776" s="408"/>
      <c r="G776" s="408"/>
      <c r="H776" s="408"/>
      <c r="I776" s="408"/>
      <c r="J776" s="408"/>
      <c r="K776" s="408"/>
      <c r="L776" s="408"/>
      <c r="M776" s="408"/>
      <c r="N776" s="408"/>
      <c r="O776" s="408"/>
      <c r="P776" s="408"/>
      <c r="Q776" s="408"/>
      <c r="R776" s="408"/>
      <c r="S776" s="408"/>
      <c r="T776" s="408"/>
      <c r="U776" s="408"/>
      <c r="V776" s="408"/>
      <c r="W776" s="408"/>
      <c r="X776" s="408"/>
      <c r="Y776" s="408"/>
      <c r="Z776" s="408"/>
      <c r="AA776" s="408"/>
      <c r="AB776" s="408"/>
      <c r="AC776" s="408"/>
      <c r="AD776" s="408"/>
      <c r="AE776" s="408"/>
      <c r="AF776" s="408"/>
      <c r="AG776" s="408"/>
      <c r="AH776" s="408"/>
      <c r="AI776" s="408"/>
      <c r="AJ776" s="408"/>
      <c r="AK776" s="408"/>
      <c r="AL776" s="408"/>
      <c r="AM776" s="408"/>
      <c r="AN776" s="408"/>
      <c r="AO776" s="408"/>
      <c r="AP776" s="408"/>
      <c r="AQ776" s="408"/>
      <c r="AR776" s="408"/>
      <c r="AS776" s="408"/>
      <c r="AT776" s="408"/>
      <c r="AU776" s="408"/>
      <c r="AV776" s="408"/>
      <c r="AW776" s="408"/>
      <c r="AX776" s="408"/>
      <c r="AY776" s="408"/>
      <c r="AZ776" s="408"/>
      <c r="BA776" s="408"/>
      <c r="BB776" s="408"/>
      <c r="BC776" s="408"/>
      <c r="BD776" s="408"/>
      <c r="BE776" s="408"/>
      <c r="BF776" s="408"/>
      <c r="BG776" s="408"/>
      <c r="BH776" s="408"/>
      <c r="BI776" s="408"/>
      <c r="BJ776" s="408"/>
      <c r="BK776" s="408"/>
      <c r="BL776" s="408"/>
      <c r="BM776" s="408"/>
      <c r="BN776" s="408"/>
      <c r="BO776" s="408"/>
      <c r="BP776" s="408"/>
      <c r="BQ776" s="408"/>
      <c r="BR776" s="408"/>
      <c r="BS776" s="408"/>
      <c r="BT776" s="408"/>
      <c r="BU776" s="408"/>
      <c r="BV776" s="408"/>
      <c r="BW776" s="408"/>
      <c r="BX776" s="408"/>
      <c r="BY776" s="408"/>
      <c r="BZ776" s="408"/>
      <c r="CA776" s="408"/>
      <c r="CB776" s="408"/>
      <c r="CC776" s="408"/>
      <c r="CD776" s="408"/>
      <c r="CE776" s="408"/>
      <c r="CF776" s="408"/>
      <c r="CG776" s="408"/>
      <c r="CH776" s="408"/>
      <c r="CI776" s="408"/>
      <c r="CJ776" s="408"/>
      <c r="CK776" s="408"/>
      <c r="CL776" s="408"/>
      <c r="CM776" s="408"/>
      <c r="CN776" s="408"/>
    </row>
    <row r="777">
      <c r="A777" s="408"/>
      <c r="B777" s="408"/>
      <c r="C777" s="408"/>
      <c r="D777" s="408"/>
      <c r="E777" s="408"/>
      <c r="F777" s="408"/>
      <c r="G777" s="408"/>
      <c r="H777" s="408"/>
      <c r="I777" s="408"/>
      <c r="J777" s="408"/>
      <c r="K777" s="408"/>
      <c r="L777" s="408"/>
      <c r="M777" s="408"/>
      <c r="N777" s="408"/>
      <c r="O777" s="408"/>
      <c r="P777" s="408"/>
      <c r="Q777" s="408"/>
      <c r="R777" s="408"/>
      <c r="S777" s="408"/>
      <c r="T777" s="408"/>
      <c r="U777" s="408"/>
      <c r="V777" s="408"/>
      <c r="W777" s="408"/>
      <c r="X777" s="408"/>
      <c r="Y777" s="408"/>
      <c r="Z777" s="408"/>
      <c r="AA777" s="408"/>
      <c r="AB777" s="408"/>
      <c r="AC777" s="408"/>
      <c r="AD777" s="408"/>
      <c r="AE777" s="408"/>
      <c r="AF777" s="408"/>
      <c r="AG777" s="408"/>
      <c r="AH777" s="408"/>
      <c r="AI777" s="408"/>
      <c r="AJ777" s="408"/>
      <c r="AK777" s="408"/>
      <c r="AL777" s="408"/>
      <c r="AM777" s="408"/>
      <c r="AN777" s="408"/>
      <c r="AO777" s="408"/>
      <c r="AP777" s="408"/>
      <c r="AQ777" s="408"/>
      <c r="AR777" s="408"/>
      <c r="AS777" s="408"/>
      <c r="AT777" s="408"/>
      <c r="AU777" s="408"/>
      <c r="AV777" s="408"/>
      <c r="AW777" s="408"/>
      <c r="AX777" s="408"/>
      <c r="AY777" s="408"/>
      <c r="AZ777" s="408"/>
      <c r="BA777" s="408"/>
      <c r="BB777" s="408"/>
      <c r="BC777" s="408"/>
      <c r="BD777" s="408"/>
      <c r="BE777" s="408"/>
      <c r="BF777" s="408"/>
      <c r="BG777" s="408"/>
      <c r="BH777" s="408"/>
      <c r="BI777" s="408"/>
      <c r="BJ777" s="408"/>
      <c r="BK777" s="408"/>
      <c r="BL777" s="408"/>
      <c r="BM777" s="408"/>
      <c r="BN777" s="408"/>
      <c r="BO777" s="408"/>
      <c r="BP777" s="408"/>
      <c r="BQ777" s="408"/>
      <c r="BR777" s="408"/>
      <c r="BS777" s="408"/>
      <c r="BT777" s="408"/>
      <c r="BU777" s="408"/>
      <c r="BV777" s="408"/>
      <c r="BW777" s="408"/>
      <c r="BX777" s="408"/>
      <c r="BY777" s="408"/>
      <c r="BZ777" s="408"/>
      <c r="CA777" s="408"/>
      <c r="CB777" s="408"/>
      <c r="CC777" s="408"/>
      <c r="CD777" s="408"/>
      <c r="CE777" s="408"/>
      <c r="CF777" s="408"/>
      <c r="CG777" s="408"/>
      <c r="CH777" s="408"/>
      <c r="CI777" s="408"/>
      <c r="CJ777" s="408"/>
      <c r="CK777" s="408"/>
      <c r="CL777" s="408"/>
      <c r="CM777" s="408"/>
      <c r="CN777" s="408"/>
    </row>
    <row r="778">
      <c r="A778" s="408"/>
      <c r="B778" s="408"/>
      <c r="C778" s="408"/>
      <c r="D778" s="408"/>
      <c r="E778" s="408"/>
      <c r="F778" s="408"/>
      <c r="G778" s="408"/>
      <c r="H778" s="408"/>
      <c r="I778" s="408"/>
      <c r="J778" s="408"/>
      <c r="K778" s="408"/>
      <c r="L778" s="408"/>
      <c r="M778" s="408"/>
      <c r="N778" s="408"/>
      <c r="O778" s="408"/>
      <c r="P778" s="408"/>
      <c r="Q778" s="408"/>
      <c r="R778" s="408"/>
      <c r="S778" s="408"/>
      <c r="T778" s="408"/>
      <c r="U778" s="408"/>
      <c r="V778" s="408"/>
      <c r="W778" s="408"/>
      <c r="X778" s="408"/>
      <c r="Y778" s="408"/>
      <c r="Z778" s="408"/>
      <c r="AA778" s="408"/>
      <c r="AB778" s="408"/>
      <c r="AC778" s="408"/>
      <c r="AD778" s="408"/>
      <c r="AE778" s="408"/>
      <c r="AF778" s="408"/>
      <c r="AG778" s="408"/>
      <c r="AH778" s="408"/>
      <c r="AI778" s="408"/>
      <c r="AJ778" s="408"/>
      <c r="AK778" s="408"/>
      <c r="AL778" s="408"/>
      <c r="AM778" s="408"/>
      <c r="AN778" s="408"/>
      <c r="AO778" s="408"/>
      <c r="AP778" s="408"/>
      <c r="AQ778" s="408"/>
      <c r="AR778" s="408"/>
      <c r="AS778" s="408"/>
      <c r="AT778" s="408"/>
      <c r="AU778" s="408"/>
      <c r="AV778" s="408"/>
      <c r="AW778" s="408"/>
      <c r="AX778" s="408"/>
      <c r="AY778" s="408"/>
      <c r="AZ778" s="408"/>
      <c r="BA778" s="408"/>
      <c r="BB778" s="408"/>
      <c r="BC778" s="408"/>
      <c r="BD778" s="408"/>
      <c r="BE778" s="408"/>
      <c r="BF778" s="408"/>
      <c r="BG778" s="408"/>
      <c r="BH778" s="408"/>
      <c r="BI778" s="408"/>
      <c r="BJ778" s="408"/>
      <c r="BK778" s="408"/>
      <c r="BL778" s="408"/>
      <c r="BM778" s="408"/>
      <c r="BN778" s="408"/>
      <c r="BO778" s="408"/>
      <c r="BP778" s="408"/>
      <c r="BQ778" s="408"/>
      <c r="BR778" s="408"/>
      <c r="BS778" s="408"/>
      <c r="BT778" s="408"/>
      <c r="BU778" s="408"/>
      <c r="BV778" s="408"/>
      <c r="BW778" s="408"/>
      <c r="BX778" s="408"/>
      <c r="BY778" s="408"/>
      <c r="BZ778" s="408"/>
      <c r="CA778" s="408"/>
      <c r="CB778" s="408"/>
      <c r="CC778" s="408"/>
      <c r="CD778" s="408"/>
      <c r="CE778" s="408"/>
      <c r="CF778" s="408"/>
      <c r="CG778" s="408"/>
      <c r="CH778" s="408"/>
      <c r="CI778" s="408"/>
      <c r="CJ778" s="408"/>
      <c r="CK778" s="408"/>
      <c r="CL778" s="408"/>
      <c r="CM778" s="408"/>
      <c r="CN778" s="408"/>
    </row>
    <row r="779">
      <c r="A779" s="408"/>
      <c r="B779" s="408"/>
      <c r="C779" s="408"/>
      <c r="D779" s="408"/>
      <c r="E779" s="408"/>
      <c r="F779" s="408"/>
      <c r="G779" s="408"/>
      <c r="H779" s="408"/>
      <c r="I779" s="408"/>
      <c r="J779" s="408"/>
      <c r="K779" s="408"/>
      <c r="L779" s="408"/>
      <c r="M779" s="408"/>
      <c r="N779" s="408"/>
      <c r="O779" s="408"/>
      <c r="P779" s="408"/>
      <c r="Q779" s="408"/>
      <c r="R779" s="408"/>
      <c r="S779" s="408"/>
      <c r="T779" s="408"/>
      <c r="U779" s="408"/>
      <c r="V779" s="408"/>
      <c r="W779" s="408"/>
      <c r="X779" s="408"/>
      <c r="Y779" s="408"/>
      <c r="Z779" s="408"/>
      <c r="AA779" s="408"/>
      <c r="AB779" s="408"/>
      <c r="AC779" s="408"/>
      <c r="AD779" s="408"/>
      <c r="AE779" s="408"/>
      <c r="AF779" s="408"/>
      <c r="AG779" s="408"/>
      <c r="AH779" s="408"/>
      <c r="AI779" s="408"/>
      <c r="AJ779" s="408"/>
      <c r="AK779" s="408"/>
      <c r="AL779" s="408"/>
      <c r="AM779" s="408"/>
      <c r="AN779" s="408"/>
      <c r="AO779" s="408"/>
      <c r="AP779" s="408"/>
      <c r="AQ779" s="408"/>
      <c r="AR779" s="408"/>
      <c r="AS779" s="408"/>
      <c r="AT779" s="408"/>
      <c r="AU779" s="408"/>
      <c r="AV779" s="408"/>
      <c r="AW779" s="408"/>
      <c r="AX779" s="408"/>
      <c r="AY779" s="408"/>
      <c r="AZ779" s="408"/>
      <c r="BA779" s="408"/>
      <c r="BB779" s="408"/>
      <c r="BC779" s="408"/>
      <c r="BD779" s="408"/>
      <c r="BE779" s="408"/>
      <c r="BF779" s="408"/>
      <c r="BG779" s="408"/>
      <c r="BH779" s="408"/>
      <c r="BI779" s="408"/>
      <c r="BJ779" s="408"/>
      <c r="BK779" s="408"/>
      <c r="BL779" s="408"/>
      <c r="BM779" s="408"/>
      <c r="BN779" s="408"/>
      <c r="BO779" s="408"/>
      <c r="BP779" s="408"/>
      <c r="BQ779" s="408"/>
      <c r="BR779" s="408"/>
      <c r="BS779" s="408"/>
      <c r="BT779" s="408"/>
      <c r="BU779" s="408"/>
      <c r="BV779" s="408"/>
      <c r="BW779" s="408"/>
      <c r="BX779" s="408"/>
      <c r="BY779" s="408"/>
      <c r="BZ779" s="408"/>
      <c r="CA779" s="408"/>
      <c r="CB779" s="408"/>
      <c r="CC779" s="408"/>
      <c r="CD779" s="408"/>
      <c r="CE779" s="408"/>
      <c r="CF779" s="408"/>
      <c r="CG779" s="408"/>
      <c r="CH779" s="408"/>
      <c r="CI779" s="408"/>
      <c r="CJ779" s="408"/>
      <c r="CK779" s="408"/>
      <c r="CL779" s="408"/>
      <c r="CM779" s="408"/>
      <c r="CN779" s="408"/>
    </row>
    <row r="780">
      <c r="A780" s="408"/>
      <c r="B780" s="408"/>
      <c r="C780" s="408"/>
      <c r="D780" s="408"/>
      <c r="E780" s="408"/>
      <c r="F780" s="408"/>
      <c r="G780" s="408"/>
      <c r="H780" s="408"/>
      <c r="I780" s="408"/>
      <c r="J780" s="408"/>
      <c r="K780" s="408"/>
      <c r="L780" s="408"/>
      <c r="M780" s="408"/>
      <c r="N780" s="408"/>
      <c r="O780" s="408"/>
      <c r="P780" s="408"/>
      <c r="Q780" s="408"/>
      <c r="R780" s="408"/>
      <c r="S780" s="408"/>
      <c r="T780" s="408"/>
      <c r="U780" s="408"/>
      <c r="V780" s="408"/>
      <c r="W780" s="408"/>
      <c r="X780" s="408"/>
      <c r="Y780" s="408"/>
      <c r="Z780" s="408"/>
      <c r="AA780" s="408"/>
      <c r="AB780" s="408"/>
      <c r="AC780" s="408"/>
      <c r="AD780" s="408"/>
      <c r="AE780" s="408"/>
      <c r="AF780" s="408"/>
      <c r="AG780" s="408"/>
      <c r="AH780" s="408"/>
      <c r="AI780" s="408"/>
      <c r="AJ780" s="408"/>
      <c r="AK780" s="408"/>
      <c r="AL780" s="408"/>
      <c r="AM780" s="408"/>
      <c r="AN780" s="408"/>
      <c r="AO780" s="408"/>
      <c r="AP780" s="408"/>
      <c r="AQ780" s="408"/>
      <c r="AR780" s="408"/>
      <c r="AS780" s="408"/>
      <c r="AT780" s="408"/>
      <c r="AU780" s="408"/>
      <c r="AV780" s="408"/>
      <c r="AW780" s="408"/>
      <c r="AX780" s="408"/>
      <c r="AY780" s="408"/>
      <c r="AZ780" s="408"/>
      <c r="BA780" s="408"/>
      <c r="BB780" s="408"/>
      <c r="BC780" s="408"/>
      <c r="BD780" s="408"/>
      <c r="BE780" s="408"/>
      <c r="BF780" s="408"/>
      <c r="BG780" s="408"/>
      <c r="BH780" s="408"/>
      <c r="BI780" s="408"/>
      <c r="BJ780" s="408"/>
      <c r="BK780" s="408"/>
      <c r="BL780" s="408"/>
      <c r="BM780" s="408"/>
      <c r="BN780" s="408"/>
      <c r="BO780" s="408"/>
      <c r="BP780" s="408"/>
      <c r="BQ780" s="408"/>
      <c r="BR780" s="408"/>
      <c r="BS780" s="408"/>
      <c r="BT780" s="408"/>
      <c r="BU780" s="408"/>
      <c r="BV780" s="408"/>
      <c r="BW780" s="408"/>
      <c r="BX780" s="408"/>
      <c r="BY780" s="408"/>
      <c r="BZ780" s="408"/>
      <c r="CA780" s="408"/>
      <c r="CB780" s="408"/>
      <c r="CC780" s="408"/>
      <c r="CD780" s="408"/>
      <c r="CE780" s="408"/>
      <c r="CF780" s="408"/>
      <c r="CG780" s="408"/>
      <c r="CH780" s="408"/>
      <c r="CI780" s="408"/>
      <c r="CJ780" s="408"/>
      <c r="CK780" s="408"/>
      <c r="CL780" s="408"/>
      <c r="CM780" s="408"/>
      <c r="CN780" s="408"/>
    </row>
    <row r="781">
      <c r="A781" s="408"/>
      <c r="B781" s="408"/>
      <c r="C781" s="408"/>
      <c r="D781" s="408"/>
      <c r="E781" s="408"/>
      <c r="F781" s="408"/>
      <c r="G781" s="408"/>
      <c r="H781" s="408"/>
      <c r="I781" s="408"/>
      <c r="J781" s="408"/>
      <c r="K781" s="408"/>
      <c r="L781" s="408"/>
      <c r="M781" s="408"/>
      <c r="N781" s="408"/>
      <c r="O781" s="408"/>
      <c r="P781" s="408"/>
      <c r="Q781" s="408"/>
      <c r="R781" s="408"/>
      <c r="S781" s="408"/>
      <c r="T781" s="408"/>
      <c r="U781" s="408"/>
      <c r="V781" s="408"/>
      <c r="W781" s="408"/>
      <c r="X781" s="408"/>
      <c r="Y781" s="408"/>
      <c r="Z781" s="408"/>
      <c r="AA781" s="408"/>
      <c r="AB781" s="408"/>
      <c r="AC781" s="408"/>
      <c r="AD781" s="408"/>
      <c r="AE781" s="408"/>
      <c r="AF781" s="408"/>
      <c r="AG781" s="408"/>
      <c r="AH781" s="408"/>
      <c r="AI781" s="408"/>
      <c r="AJ781" s="408"/>
      <c r="AK781" s="408"/>
      <c r="AL781" s="408"/>
      <c r="AM781" s="408"/>
      <c r="AN781" s="408"/>
      <c r="AO781" s="408"/>
      <c r="AP781" s="408"/>
      <c r="AQ781" s="408"/>
      <c r="AR781" s="408"/>
      <c r="AS781" s="408"/>
      <c r="AT781" s="408"/>
      <c r="AU781" s="408"/>
      <c r="AV781" s="408"/>
      <c r="AW781" s="408"/>
      <c r="AX781" s="408"/>
      <c r="AY781" s="408"/>
      <c r="AZ781" s="408"/>
      <c r="BA781" s="408"/>
      <c r="BB781" s="408"/>
      <c r="BC781" s="408"/>
      <c r="BD781" s="408"/>
      <c r="BE781" s="408"/>
      <c r="BF781" s="408"/>
      <c r="BG781" s="408"/>
      <c r="BH781" s="408"/>
      <c r="BI781" s="408"/>
      <c r="BJ781" s="408"/>
      <c r="BK781" s="408"/>
      <c r="BL781" s="408"/>
      <c r="BM781" s="408"/>
      <c r="BN781" s="408"/>
      <c r="BO781" s="408"/>
      <c r="BP781" s="408"/>
      <c r="BQ781" s="408"/>
      <c r="BR781" s="408"/>
      <c r="BS781" s="408"/>
      <c r="BT781" s="408"/>
      <c r="BU781" s="408"/>
      <c r="BV781" s="408"/>
      <c r="BW781" s="408"/>
      <c r="BX781" s="408"/>
      <c r="BY781" s="408"/>
      <c r="BZ781" s="408"/>
      <c r="CA781" s="408"/>
      <c r="CB781" s="408"/>
      <c r="CC781" s="408"/>
      <c r="CD781" s="408"/>
      <c r="CE781" s="408"/>
      <c r="CF781" s="408"/>
      <c r="CG781" s="408"/>
      <c r="CH781" s="408"/>
      <c r="CI781" s="408"/>
      <c r="CJ781" s="408"/>
      <c r="CK781" s="408"/>
      <c r="CL781" s="408"/>
      <c r="CM781" s="408"/>
      <c r="CN781" s="408"/>
    </row>
    <row r="782">
      <c r="A782" s="408"/>
      <c r="B782" s="408"/>
      <c r="C782" s="408"/>
      <c r="D782" s="408"/>
      <c r="E782" s="408"/>
      <c r="F782" s="408"/>
      <c r="G782" s="408"/>
      <c r="H782" s="408"/>
      <c r="I782" s="408"/>
      <c r="J782" s="408"/>
      <c r="K782" s="408"/>
      <c r="L782" s="408"/>
      <c r="M782" s="408"/>
      <c r="N782" s="408"/>
      <c r="O782" s="408"/>
      <c r="P782" s="408"/>
      <c r="Q782" s="408"/>
      <c r="R782" s="408"/>
      <c r="S782" s="408"/>
      <c r="T782" s="408"/>
      <c r="U782" s="408"/>
      <c r="V782" s="408"/>
      <c r="W782" s="408"/>
      <c r="X782" s="408"/>
      <c r="Y782" s="408"/>
      <c r="Z782" s="408"/>
      <c r="AA782" s="408"/>
      <c r="AB782" s="408"/>
      <c r="AC782" s="408"/>
      <c r="AD782" s="408"/>
      <c r="AE782" s="408"/>
      <c r="AF782" s="408"/>
      <c r="AG782" s="408"/>
      <c r="AH782" s="408"/>
      <c r="AI782" s="408"/>
      <c r="AJ782" s="408"/>
      <c r="AK782" s="408"/>
      <c r="AL782" s="408"/>
      <c r="AM782" s="408"/>
      <c r="AN782" s="408"/>
      <c r="AO782" s="408"/>
      <c r="AP782" s="408"/>
      <c r="AQ782" s="408"/>
      <c r="AR782" s="408"/>
      <c r="AS782" s="408"/>
      <c r="AT782" s="408"/>
      <c r="AU782" s="408"/>
      <c r="AV782" s="408"/>
      <c r="AW782" s="408"/>
      <c r="AX782" s="408"/>
      <c r="AY782" s="408"/>
      <c r="AZ782" s="408"/>
      <c r="BA782" s="408"/>
      <c r="BB782" s="408"/>
      <c r="BC782" s="408"/>
      <c r="BD782" s="408"/>
      <c r="BE782" s="408"/>
      <c r="BF782" s="408"/>
      <c r="BG782" s="408"/>
      <c r="BH782" s="408"/>
      <c r="BI782" s="408"/>
      <c r="BJ782" s="408"/>
      <c r="BK782" s="408"/>
      <c r="BL782" s="408"/>
      <c r="BM782" s="408"/>
      <c r="BN782" s="408"/>
      <c r="BO782" s="408"/>
      <c r="BP782" s="408"/>
      <c r="BQ782" s="408"/>
      <c r="BR782" s="408"/>
      <c r="BS782" s="408"/>
      <c r="BT782" s="408"/>
      <c r="BU782" s="408"/>
      <c r="BV782" s="408"/>
      <c r="BW782" s="408"/>
      <c r="BX782" s="408"/>
      <c r="BY782" s="408"/>
      <c r="BZ782" s="408"/>
      <c r="CA782" s="408"/>
      <c r="CB782" s="408"/>
      <c r="CC782" s="408"/>
      <c r="CD782" s="408"/>
      <c r="CE782" s="408"/>
      <c r="CF782" s="408"/>
      <c r="CG782" s="408"/>
      <c r="CH782" s="408"/>
      <c r="CI782" s="408"/>
      <c r="CJ782" s="408"/>
      <c r="CK782" s="408"/>
      <c r="CL782" s="408"/>
      <c r="CM782" s="408"/>
      <c r="CN782" s="408"/>
    </row>
    <row r="783">
      <c r="A783" s="408"/>
      <c r="B783" s="408"/>
      <c r="C783" s="408"/>
      <c r="D783" s="408"/>
      <c r="E783" s="408"/>
      <c r="F783" s="408"/>
      <c r="G783" s="408"/>
      <c r="H783" s="408"/>
      <c r="I783" s="408"/>
      <c r="J783" s="408"/>
      <c r="K783" s="408"/>
      <c r="L783" s="408"/>
      <c r="M783" s="408"/>
      <c r="N783" s="408"/>
      <c r="O783" s="408"/>
      <c r="P783" s="408"/>
      <c r="Q783" s="408"/>
      <c r="R783" s="408"/>
      <c r="S783" s="408"/>
      <c r="T783" s="408"/>
      <c r="U783" s="408"/>
      <c r="V783" s="408"/>
      <c r="W783" s="408"/>
      <c r="X783" s="408"/>
      <c r="Y783" s="408"/>
      <c r="Z783" s="408"/>
      <c r="AA783" s="408"/>
      <c r="AB783" s="408"/>
      <c r="AC783" s="408"/>
      <c r="AD783" s="408"/>
      <c r="AE783" s="408"/>
      <c r="AF783" s="408"/>
      <c r="AG783" s="408"/>
      <c r="AH783" s="408"/>
      <c r="AI783" s="408"/>
      <c r="AJ783" s="408"/>
      <c r="AK783" s="408"/>
      <c r="AL783" s="408"/>
      <c r="AM783" s="408"/>
      <c r="AN783" s="408"/>
      <c r="AO783" s="408"/>
      <c r="AP783" s="408"/>
      <c r="AQ783" s="408"/>
      <c r="AR783" s="408"/>
      <c r="AS783" s="408"/>
      <c r="AT783" s="408"/>
      <c r="AU783" s="408"/>
      <c r="AV783" s="408"/>
      <c r="AW783" s="408"/>
      <c r="AX783" s="408"/>
      <c r="AY783" s="408"/>
      <c r="AZ783" s="408"/>
      <c r="BA783" s="408"/>
      <c r="BB783" s="408"/>
      <c r="BC783" s="408"/>
      <c r="BD783" s="408"/>
      <c r="BE783" s="408"/>
      <c r="BF783" s="408"/>
      <c r="BG783" s="408"/>
      <c r="BH783" s="408"/>
      <c r="BI783" s="408"/>
      <c r="BJ783" s="408"/>
      <c r="BK783" s="408"/>
      <c r="BL783" s="408"/>
      <c r="BM783" s="408"/>
      <c r="BN783" s="408"/>
      <c r="BO783" s="408"/>
      <c r="BP783" s="408"/>
      <c r="BQ783" s="408"/>
      <c r="BR783" s="408"/>
      <c r="BS783" s="408"/>
      <c r="BT783" s="408"/>
      <c r="BU783" s="408"/>
      <c r="BV783" s="408"/>
      <c r="BW783" s="408"/>
      <c r="BX783" s="408"/>
      <c r="BY783" s="408"/>
      <c r="BZ783" s="408"/>
      <c r="CA783" s="408"/>
      <c r="CB783" s="408"/>
      <c r="CC783" s="408"/>
      <c r="CD783" s="408"/>
      <c r="CE783" s="408"/>
      <c r="CF783" s="408"/>
      <c r="CG783" s="408"/>
      <c r="CH783" s="408"/>
      <c r="CI783" s="408"/>
      <c r="CJ783" s="408"/>
      <c r="CK783" s="408"/>
      <c r="CL783" s="408"/>
      <c r="CM783" s="408"/>
      <c r="CN783" s="408"/>
    </row>
    <row r="784">
      <c r="A784" s="408"/>
      <c r="B784" s="408"/>
      <c r="C784" s="408"/>
      <c r="D784" s="408"/>
      <c r="E784" s="408"/>
      <c r="F784" s="408"/>
      <c r="G784" s="408"/>
      <c r="H784" s="408"/>
      <c r="I784" s="408"/>
      <c r="J784" s="408"/>
      <c r="K784" s="408"/>
      <c r="L784" s="408"/>
      <c r="M784" s="408"/>
      <c r="N784" s="408"/>
      <c r="O784" s="408"/>
      <c r="P784" s="408"/>
      <c r="Q784" s="408"/>
      <c r="R784" s="408"/>
      <c r="S784" s="408"/>
      <c r="T784" s="408"/>
      <c r="U784" s="408"/>
      <c r="V784" s="408"/>
      <c r="W784" s="408"/>
      <c r="X784" s="408"/>
      <c r="Y784" s="408"/>
      <c r="Z784" s="408"/>
      <c r="AA784" s="408"/>
      <c r="AB784" s="408"/>
      <c r="AC784" s="408"/>
      <c r="AD784" s="408"/>
      <c r="AE784" s="408"/>
      <c r="AF784" s="408"/>
      <c r="AG784" s="408"/>
      <c r="AH784" s="408"/>
      <c r="AI784" s="408"/>
      <c r="AJ784" s="408"/>
      <c r="AK784" s="408"/>
      <c r="AL784" s="408"/>
      <c r="AM784" s="408"/>
      <c r="AN784" s="408"/>
      <c r="AO784" s="408"/>
      <c r="AP784" s="408"/>
      <c r="AQ784" s="408"/>
      <c r="AR784" s="408"/>
      <c r="AS784" s="408"/>
      <c r="AT784" s="408"/>
      <c r="AU784" s="408"/>
      <c r="AV784" s="408"/>
      <c r="AW784" s="408"/>
      <c r="AX784" s="408"/>
      <c r="AY784" s="408"/>
      <c r="AZ784" s="408"/>
      <c r="BA784" s="408"/>
      <c r="BB784" s="408"/>
      <c r="BC784" s="408"/>
      <c r="BD784" s="408"/>
      <c r="BE784" s="408"/>
      <c r="BF784" s="408"/>
      <c r="BG784" s="408"/>
      <c r="BH784" s="408"/>
      <c r="BI784" s="408"/>
      <c r="BJ784" s="408"/>
      <c r="BK784" s="408"/>
      <c r="BL784" s="408"/>
      <c r="BM784" s="408"/>
      <c r="BN784" s="408"/>
      <c r="BO784" s="408"/>
      <c r="BP784" s="408"/>
      <c r="BQ784" s="408"/>
      <c r="BR784" s="408"/>
      <c r="BS784" s="408"/>
      <c r="BT784" s="408"/>
      <c r="BU784" s="408"/>
      <c r="BV784" s="408"/>
      <c r="BW784" s="408"/>
      <c r="BX784" s="408"/>
      <c r="BY784" s="408"/>
      <c r="BZ784" s="408"/>
      <c r="CA784" s="408"/>
      <c r="CB784" s="408"/>
      <c r="CC784" s="408"/>
      <c r="CD784" s="408"/>
      <c r="CE784" s="408"/>
      <c r="CF784" s="408"/>
      <c r="CG784" s="408"/>
      <c r="CH784" s="408"/>
      <c r="CI784" s="408"/>
      <c r="CJ784" s="408"/>
      <c r="CK784" s="408"/>
      <c r="CL784" s="408"/>
      <c r="CM784" s="408"/>
      <c r="CN784" s="408"/>
    </row>
    <row r="785">
      <c r="A785" s="408"/>
      <c r="B785" s="408"/>
      <c r="C785" s="408"/>
      <c r="D785" s="408"/>
      <c r="E785" s="408"/>
      <c r="F785" s="408"/>
      <c r="G785" s="408"/>
      <c r="H785" s="408"/>
      <c r="I785" s="408"/>
      <c r="J785" s="408"/>
      <c r="K785" s="408"/>
      <c r="L785" s="408"/>
      <c r="M785" s="408"/>
      <c r="N785" s="408"/>
      <c r="O785" s="408"/>
      <c r="P785" s="408"/>
      <c r="Q785" s="408"/>
      <c r="R785" s="408"/>
      <c r="S785" s="408"/>
      <c r="T785" s="408"/>
      <c r="U785" s="408"/>
      <c r="V785" s="408"/>
      <c r="W785" s="408"/>
      <c r="X785" s="408"/>
      <c r="Y785" s="408"/>
      <c r="Z785" s="408"/>
      <c r="AA785" s="408"/>
      <c r="AB785" s="408"/>
      <c r="AC785" s="408"/>
      <c r="AD785" s="408"/>
      <c r="AE785" s="408"/>
      <c r="AF785" s="408"/>
      <c r="AG785" s="408"/>
      <c r="AH785" s="408"/>
      <c r="AI785" s="408"/>
      <c r="AJ785" s="408"/>
      <c r="AK785" s="408"/>
      <c r="AL785" s="408"/>
      <c r="AM785" s="408"/>
      <c r="AN785" s="408"/>
      <c r="AO785" s="408"/>
      <c r="AP785" s="408"/>
      <c r="AQ785" s="408"/>
      <c r="AR785" s="408"/>
      <c r="AS785" s="408"/>
      <c r="AT785" s="408"/>
      <c r="AU785" s="408"/>
      <c r="AV785" s="408"/>
      <c r="AW785" s="408"/>
      <c r="AX785" s="408"/>
      <c r="AY785" s="408"/>
      <c r="AZ785" s="408"/>
      <c r="BA785" s="408"/>
      <c r="BB785" s="408"/>
      <c r="BC785" s="408"/>
      <c r="BD785" s="408"/>
      <c r="BE785" s="408"/>
      <c r="BF785" s="408"/>
      <c r="BG785" s="408"/>
      <c r="BH785" s="408"/>
      <c r="BI785" s="408"/>
      <c r="BJ785" s="408"/>
      <c r="BK785" s="408"/>
      <c r="BL785" s="408"/>
      <c r="BM785" s="408"/>
      <c r="BN785" s="408"/>
      <c r="BO785" s="408"/>
      <c r="BP785" s="408"/>
      <c r="BQ785" s="408"/>
      <c r="BR785" s="408"/>
      <c r="BS785" s="408"/>
      <c r="BT785" s="408"/>
      <c r="BU785" s="408"/>
      <c r="BV785" s="408"/>
      <c r="BW785" s="408"/>
      <c r="BX785" s="408"/>
      <c r="BY785" s="408"/>
      <c r="BZ785" s="408"/>
      <c r="CA785" s="408"/>
      <c r="CB785" s="408"/>
      <c r="CC785" s="408"/>
      <c r="CD785" s="408"/>
      <c r="CE785" s="408"/>
      <c r="CF785" s="408"/>
      <c r="CG785" s="408"/>
      <c r="CH785" s="408"/>
      <c r="CI785" s="408"/>
      <c r="CJ785" s="408"/>
      <c r="CK785" s="408"/>
      <c r="CL785" s="408"/>
      <c r="CM785" s="408"/>
      <c r="CN785" s="408"/>
    </row>
    <row r="786">
      <c r="A786" s="408"/>
      <c r="B786" s="408"/>
      <c r="C786" s="408"/>
      <c r="D786" s="408"/>
      <c r="E786" s="408"/>
      <c r="F786" s="408"/>
      <c r="G786" s="408"/>
      <c r="H786" s="408"/>
      <c r="I786" s="408"/>
      <c r="J786" s="408"/>
      <c r="K786" s="408"/>
      <c r="L786" s="408"/>
      <c r="M786" s="408"/>
      <c r="N786" s="408"/>
      <c r="O786" s="408"/>
      <c r="P786" s="408"/>
      <c r="Q786" s="408"/>
      <c r="R786" s="408"/>
      <c r="S786" s="408"/>
      <c r="T786" s="408"/>
      <c r="U786" s="408"/>
      <c r="V786" s="408"/>
      <c r="W786" s="408"/>
      <c r="X786" s="408"/>
      <c r="Y786" s="408"/>
      <c r="Z786" s="408"/>
      <c r="AA786" s="408"/>
      <c r="AB786" s="408"/>
      <c r="AC786" s="408"/>
      <c r="AD786" s="408"/>
      <c r="AE786" s="408"/>
      <c r="AF786" s="408"/>
      <c r="AG786" s="408"/>
      <c r="AH786" s="408"/>
      <c r="AI786" s="408"/>
      <c r="AJ786" s="408"/>
      <c r="AK786" s="408"/>
      <c r="AL786" s="408"/>
      <c r="AM786" s="408"/>
      <c r="AN786" s="408"/>
      <c r="AO786" s="408"/>
      <c r="AP786" s="408"/>
      <c r="AQ786" s="408"/>
      <c r="AR786" s="408"/>
      <c r="AS786" s="408"/>
      <c r="AT786" s="408"/>
      <c r="AU786" s="408"/>
      <c r="AV786" s="408"/>
      <c r="AW786" s="408"/>
      <c r="AX786" s="408"/>
      <c r="AY786" s="408"/>
      <c r="AZ786" s="408"/>
      <c r="BA786" s="408"/>
      <c r="BB786" s="408"/>
      <c r="BC786" s="408"/>
      <c r="BD786" s="408"/>
      <c r="BE786" s="408"/>
      <c r="BF786" s="408"/>
      <c r="BG786" s="408"/>
      <c r="BH786" s="408"/>
      <c r="BI786" s="408"/>
      <c r="BJ786" s="408"/>
      <c r="BK786" s="408"/>
      <c r="BL786" s="408"/>
      <c r="BM786" s="408"/>
      <c r="BN786" s="408"/>
      <c r="BO786" s="408"/>
      <c r="BP786" s="408"/>
      <c r="BQ786" s="408"/>
      <c r="BR786" s="408"/>
      <c r="BS786" s="408"/>
      <c r="BT786" s="408"/>
      <c r="BU786" s="408"/>
      <c r="BV786" s="408"/>
      <c r="BW786" s="408"/>
      <c r="BX786" s="408"/>
      <c r="BY786" s="408"/>
      <c r="BZ786" s="408"/>
      <c r="CA786" s="408"/>
      <c r="CB786" s="408"/>
      <c r="CC786" s="408"/>
      <c r="CD786" s="408"/>
      <c r="CE786" s="408"/>
      <c r="CF786" s="408"/>
      <c r="CG786" s="408"/>
      <c r="CH786" s="408"/>
      <c r="CI786" s="408"/>
      <c r="CJ786" s="408"/>
      <c r="CK786" s="408"/>
      <c r="CL786" s="408"/>
      <c r="CM786" s="408"/>
      <c r="CN786" s="408"/>
    </row>
    <row r="787">
      <c r="A787" s="408"/>
      <c r="B787" s="408"/>
      <c r="C787" s="408"/>
      <c r="D787" s="408"/>
      <c r="E787" s="408"/>
      <c r="F787" s="408"/>
      <c r="G787" s="408"/>
      <c r="H787" s="408"/>
      <c r="I787" s="408"/>
      <c r="J787" s="408"/>
      <c r="K787" s="408"/>
      <c r="L787" s="408"/>
      <c r="M787" s="408"/>
      <c r="N787" s="408"/>
      <c r="O787" s="408"/>
      <c r="P787" s="408"/>
      <c r="Q787" s="408"/>
      <c r="R787" s="408"/>
      <c r="S787" s="408"/>
      <c r="T787" s="408"/>
      <c r="U787" s="408"/>
      <c r="V787" s="408"/>
      <c r="W787" s="408"/>
      <c r="X787" s="408"/>
      <c r="Y787" s="408"/>
      <c r="Z787" s="408"/>
      <c r="AA787" s="408"/>
      <c r="AB787" s="408"/>
      <c r="AC787" s="408"/>
      <c r="AD787" s="408"/>
      <c r="AE787" s="408"/>
      <c r="AF787" s="408"/>
      <c r="AG787" s="408"/>
      <c r="AH787" s="408"/>
      <c r="AI787" s="408"/>
      <c r="AJ787" s="408"/>
      <c r="AK787" s="408"/>
      <c r="AL787" s="408"/>
      <c r="AM787" s="408"/>
      <c r="AN787" s="408"/>
      <c r="AO787" s="408"/>
      <c r="AP787" s="408"/>
      <c r="AQ787" s="408"/>
      <c r="AR787" s="408"/>
      <c r="AS787" s="408"/>
      <c r="AT787" s="408"/>
      <c r="AU787" s="408"/>
      <c r="AV787" s="408"/>
      <c r="AW787" s="408"/>
      <c r="AX787" s="408"/>
      <c r="AY787" s="408"/>
      <c r="AZ787" s="408"/>
      <c r="BA787" s="408"/>
      <c r="BB787" s="408"/>
      <c r="BC787" s="408"/>
      <c r="BD787" s="408"/>
      <c r="BE787" s="408"/>
      <c r="BF787" s="408"/>
      <c r="BG787" s="408"/>
      <c r="BH787" s="408"/>
      <c r="BI787" s="408"/>
      <c r="BJ787" s="408"/>
      <c r="BK787" s="408"/>
      <c r="BL787" s="408"/>
      <c r="BM787" s="408"/>
      <c r="BN787" s="408"/>
      <c r="BO787" s="408"/>
      <c r="BP787" s="408"/>
      <c r="BQ787" s="408"/>
      <c r="BR787" s="408"/>
      <c r="BS787" s="408"/>
      <c r="BT787" s="408"/>
      <c r="BU787" s="408"/>
      <c r="BV787" s="408"/>
      <c r="BW787" s="408"/>
      <c r="BX787" s="408"/>
      <c r="BY787" s="408"/>
      <c r="BZ787" s="408"/>
      <c r="CA787" s="408"/>
      <c r="CB787" s="408"/>
      <c r="CC787" s="408"/>
      <c r="CD787" s="408"/>
      <c r="CE787" s="408"/>
      <c r="CF787" s="408"/>
      <c r="CG787" s="408"/>
      <c r="CH787" s="408"/>
      <c r="CI787" s="408"/>
      <c r="CJ787" s="408"/>
      <c r="CK787" s="408"/>
      <c r="CL787" s="408"/>
      <c r="CM787" s="408"/>
      <c r="CN787" s="408"/>
    </row>
    <row r="788">
      <c r="A788" s="408"/>
      <c r="B788" s="408"/>
      <c r="C788" s="408"/>
      <c r="D788" s="408"/>
      <c r="E788" s="408"/>
      <c r="F788" s="408"/>
      <c r="G788" s="408"/>
      <c r="H788" s="408"/>
      <c r="I788" s="408"/>
      <c r="J788" s="408"/>
      <c r="K788" s="408"/>
      <c r="L788" s="408"/>
      <c r="M788" s="408"/>
      <c r="N788" s="408"/>
      <c r="O788" s="408"/>
      <c r="P788" s="408"/>
      <c r="Q788" s="408"/>
      <c r="R788" s="408"/>
      <c r="S788" s="408"/>
      <c r="T788" s="408"/>
      <c r="U788" s="408"/>
      <c r="V788" s="408"/>
      <c r="W788" s="408"/>
      <c r="X788" s="408"/>
      <c r="Y788" s="408"/>
      <c r="Z788" s="408"/>
      <c r="AA788" s="408"/>
      <c r="AB788" s="408"/>
      <c r="AC788" s="408"/>
      <c r="AD788" s="408"/>
      <c r="AE788" s="408"/>
      <c r="AF788" s="408"/>
      <c r="AG788" s="408"/>
      <c r="AH788" s="408"/>
      <c r="AI788" s="408"/>
      <c r="AJ788" s="408"/>
      <c r="AK788" s="408"/>
      <c r="AL788" s="408"/>
      <c r="AM788" s="408"/>
      <c r="AN788" s="408"/>
      <c r="AO788" s="408"/>
      <c r="AP788" s="408"/>
      <c r="AQ788" s="408"/>
      <c r="AR788" s="408"/>
      <c r="AS788" s="408"/>
      <c r="AT788" s="408"/>
      <c r="AU788" s="408"/>
      <c r="AV788" s="408"/>
      <c r="AW788" s="408"/>
      <c r="AX788" s="408"/>
      <c r="AY788" s="408"/>
      <c r="AZ788" s="408"/>
      <c r="BA788" s="408"/>
      <c r="BB788" s="408"/>
      <c r="BC788" s="408"/>
      <c r="BD788" s="408"/>
      <c r="BE788" s="408"/>
      <c r="BF788" s="408"/>
      <c r="BG788" s="408"/>
      <c r="BH788" s="408"/>
      <c r="BI788" s="408"/>
      <c r="BJ788" s="408"/>
      <c r="BK788" s="408"/>
      <c r="BL788" s="408"/>
      <c r="BM788" s="408"/>
      <c r="BN788" s="408"/>
      <c r="BO788" s="408"/>
      <c r="BP788" s="408"/>
      <c r="BQ788" s="408"/>
      <c r="BR788" s="408"/>
      <c r="BS788" s="408"/>
      <c r="BT788" s="408"/>
      <c r="BU788" s="408"/>
      <c r="BV788" s="408"/>
      <c r="BW788" s="408"/>
      <c r="BX788" s="408"/>
      <c r="BY788" s="408"/>
      <c r="BZ788" s="408"/>
      <c r="CA788" s="408"/>
      <c r="CB788" s="408"/>
      <c r="CC788" s="408"/>
      <c r="CD788" s="408"/>
      <c r="CE788" s="408"/>
      <c r="CF788" s="408"/>
      <c r="CG788" s="408"/>
      <c r="CH788" s="408"/>
      <c r="CI788" s="408"/>
      <c r="CJ788" s="408"/>
      <c r="CK788" s="408"/>
      <c r="CL788" s="408"/>
      <c r="CM788" s="408"/>
      <c r="CN788" s="408"/>
    </row>
    <row r="789">
      <c r="A789" s="408"/>
      <c r="B789" s="408"/>
      <c r="C789" s="408"/>
      <c r="D789" s="408"/>
      <c r="E789" s="408"/>
      <c r="F789" s="408"/>
      <c r="G789" s="408"/>
      <c r="H789" s="408"/>
      <c r="I789" s="408"/>
      <c r="J789" s="408"/>
      <c r="K789" s="408"/>
      <c r="L789" s="408"/>
      <c r="M789" s="408"/>
      <c r="N789" s="408"/>
      <c r="O789" s="408"/>
      <c r="P789" s="408"/>
      <c r="Q789" s="408"/>
      <c r="R789" s="408"/>
      <c r="S789" s="408"/>
      <c r="T789" s="408"/>
      <c r="U789" s="408"/>
      <c r="V789" s="408"/>
      <c r="W789" s="408"/>
      <c r="X789" s="408"/>
      <c r="Y789" s="408"/>
      <c r="Z789" s="408"/>
      <c r="AA789" s="408"/>
      <c r="AB789" s="408"/>
      <c r="AC789" s="408"/>
      <c r="AD789" s="408"/>
      <c r="AE789" s="408"/>
      <c r="AF789" s="408"/>
      <c r="AG789" s="408"/>
      <c r="AH789" s="408"/>
      <c r="AI789" s="408"/>
      <c r="AJ789" s="408"/>
      <c r="AK789" s="408"/>
      <c r="AL789" s="408"/>
      <c r="AM789" s="408"/>
      <c r="AN789" s="408"/>
      <c r="AO789" s="408"/>
      <c r="AP789" s="408"/>
      <c r="AQ789" s="408"/>
      <c r="AR789" s="408"/>
      <c r="AS789" s="408"/>
      <c r="AT789" s="408"/>
      <c r="AU789" s="408"/>
      <c r="AV789" s="408"/>
      <c r="AW789" s="408"/>
      <c r="AX789" s="408"/>
      <c r="AY789" s="408"/>
      <c r="AZ789" s="408"/>
      <c r="BA789" s="408"/>
      <c r="BB789" s="408"/>
      <c r="BC789" s="408"/>
      <c r="BD789" s="408"/>
      <c r="BE789" s="408"/>
      <c r="BF789" s="408"/>
      <c r="BG789" s="408"/>
      <c r="BH789" s="408"/>
      <c r="BI789" s="408"/>
      <c r="BJ789" s="408"/>
      <c r="BK789" s="408"/>
      <c r="BL789" s="408"/>
      <c r="BM789" s="408"/>
      <c r="BN789" s="408"/>
      <c r="BO789" s="408"/>
      <c r="BP789" s="408"/>
      <c r="BQ789" s="408"/>
      <c r="BR789" s="408"/>
      <c r="BS789" s="408"/>
      <c r="BT789" s="408"/>
      <c r="BU789" s="408"/>
      <c r="BV789" s="408"/>
      <c r="BW789" s="408"/>
      <c r="BX789" s="408"/>
      <c r="BY789" s="408"/>
      <c r="BZ789" s="408"/>
      <c r="CA789" s="408"/>
      <c r="CB789" s="408"/>
      <c r="CC789" s="408"/>
      <c r="CD789" s="408"/>
      <c r="CE789" s="408"/>
      <c r="CF789" s="408"/>
      <c r="CG789" s="408"/>
      <c r="CH789" s="408"/>
      <c r="CI789" s="408"/>
      <c r="CJ789" s="408"/>
      <c r="CK789" s="408"/>
      <c r="CL789" s="408"/>
      <c r="CM789" s="408"/>
      <c r="CN789" s="408"/>
    </row>
    <row r="790">
      <c r="A790" s="408"/>
      <c r="B790" s="408"/>
      <c r="C790" s="408"/>
      <c r="D790" s="408"/>
      <c r="E790" s="408"/>
      <c r="F790" s="408"/>
      <c r="G790" s="408"/>
      <c r="H790" s="408"/>
      <c r="I790" s="408"/>
      <c r="J790" s="408"/>
      <c r="K790" s="408"/>
      <c r="L790" s="408"/>
      <c r="M790" s="408"/>
      <c r="N790" s="408"/>
      <c r="O790" s="408"/>
      <c r="P790" s="408"/>
      <c r="Q790" s="408"/>
      <c r="R790" s="408"/>
      <c r="S790" s="408"/>
      <c r="T790" s="408"/>
      <c r="U790" s="408"/>
      <c r="V790" s="408"/>
      <c r="W790" s="408"/>
      <c r="X790" s="408"/>
      <c r="Y790" s="408"/>
      <c r="Z790" s="408"/>
      <c r="AA790" s="408"/>
      <c r="AB790" s="408"/>
      <c r="AC790" s="408"/>
      <c r="AD790" s="408"/>
      <c r="AE790" s="408"/>
      <c r="AF790" s="408"/>
      <c r="AG790" s="408"/>
      <c r="AH790" s="408"/>
      <c r="AI790" s="408"/>
      <c r="AJ790" s="408"/>
      <c r="AK790" s="408"/>
      <c r="AL790" s="408"/>
      <c r="AM790" s="408"/>
      <c r="AN790" s="408"/>
      <c r="AO790" s="408"/>
      <c r="AP790" s="408"/>
      <c r="AQ790" s="408"/>
      <c r="AR790" s="408"/>
      <c r="AS790" s="408"/>
      <c r="AT790" s="408"/>
      <c r="AU790" s="408"/>
      <c r="AV790" s="408"/>
      <c r="AW790" s="408"/>
      <c r="AX790" s="408"/>
      <c r="AY790" s="408"/>
      <c r="AZ790" s="408"/>
      <c r="BA790" s="408"/>
      <c r="BB790" s="408"/>
      <c r="BC790" s="408"/>
      <c r="BD790" s="408"/>
      <c r="BE790" s="408"/>
      <c r="BF790" s="408"/>
      <c r="BG790" s="408"/>
      <c r="BH790" s="408"/>
      <c r="BI790" s="408"/>
      <c r="BJ790" s="408"/>
      <c r="BK790" s="408"/>
      <c r="BL790" s="408"/>
      <c r="BM790" s="408"/>
      <c r="BN790" s="408"/>
      <c r="BO790" s="408"/>
      <c r="BP790" s="408"/>
      <c r="BQ790" s="408"/>
      <c r="BR790" s="408"/>
      <c r="BS790" s="408"/>
      <c r="BT790" s="408"/>
      <c r="BU790" s="408"/>
      <c r="BV790" s="408"/>
      <c r="BW790" s="408"/>
      <c r="BX790" s="408"/>
      <c r="BY790" s="408"/>
      <c r="BZ790" s="408"/>
      <c r="CA790" s="408"/>
      <c r="CB790" s="408"/>
      <c r="CC790" s="408"/>
      <c r="CD790" s="408"/>
      <c r="CE790" s="408"/>
      <c r="CF790" s="408"/>
      <c r="CG790" s="408"/>
      <c r="CH790" s="408"/>
      <c r="CI790" s="408"/>
      <c r="CJ790" s="408"/>
      <c r="CK790" s="408"/>
      <c r="CL790" s="408"/>
      <c r="CM790" s="408"/>
      <c r="CN790" s="408"/>
    </row>
    <row r="791">
      <c r="A791" s="408"/>
      <c r="B791" s="408"/>
      <c r="C791" s="408"/>
      <c r="D791" s="408"/>
      <c r="E791" s="408"/>
      <c r="F791" s="408"/>
      <c r="G791" s="408"/>
      <c r="H791" s="408"/>
      <c r="I791" s="408"/>
      <c r="J791" s="408"/>
      <c r="K791" s="408"/>
      <c r="L791" s="408"/>
      <c r="M791" s="408"/>
      <c r="N791" s="408"/>
      <c r="O791" s="408"/>
      <c r="P791" s="408"/>
      <c r="Q791" s="408"/>
      <c r="R791" s="408"/>
      <c r="S791" s="408"/>
      <c r="T791" s="408"/>
      <c r="U791" s="408"/>
      <c r="V791" s="408"/>
      <c r="W791" s="408"/>
      <c r="X791" s="408"/>
      <c r="Y791" s="408"/>
      <c r="Z791" s="408"/>
      <c r="AA791" s="408"/>
      <c r="AB791" s="408"/>
      <c r="AC791" s="408"/>
      <c r="AD791" s="408"/>
      <c r="AE791" s="408"/>
      <c r="AF791" s="408"/>
      <c r="AG791" s="408"/>
      <c r="AH791" s="408"/>
      <c r="AI791" s="408"/>
      <c r="AJ791" s="408"/>
      <c r="AK791" s="408"/>
      <c r="AL791" s="408"/>
      <c r="AM791" s="408"/>
      <c r="AN791" s="408"/>
      <c r="AO791" s="408"/>
      <c r="AP791" s="408"/>
      <c r="AQ791" s="408"/>
      <c r="AR791" s="408"/>
      <c r="AS791" s="408"/>
      <c r="AT791" s="408"/>
      <c r="AU791" s="408"/>
      <c r="AV791" s="408"/>
      <c r="AW791" s="408"/>
      <c r="AX791" s="408"/>
      <c r="AY791" s="408"/>
      <c r="AZ791" s="408"/>
      <c r="BA791" s="408"/>
      <c r="BB791" s="408"/>
      <c r="BC791" s="408"/>
      <c r="BD791" s="408"/>
      <c r="BE791" s="408"/>
      <c r="BF791" s="408"/>
      <c r="BG791" s="408"/>
      <c r="BH791" s="408"/>
      <c r="BI791" s="408"/>
      <c r="BJ791" s="408"/>
      <c r="BK791" s="408"/>
      <c r="BL791" s="408"/>
      <c r="BM791" s="408"/>
      <c r="BN791" s="408"/>
      <c r="BO791" s="408"/>
      <c r="BP791" s="408"/>
      <c r="BQ791" s="408"/>
      <c r="BR791" s="408"/>
      <c r="BS791" s="408"/>
      <c r="BT791" s="408"/>
      <c r="BU791" s="408"/>
      <c r="BV791" s="408"/>
      <c r="BW791" s="408"/>
      <c r="BX791" s="408"/>
      <c r="BY791" s="408"/>
      <c r="BZ791" s="408"/>
      <c r="CA791" s="408"/>
      <c r="CB791" s="408"/>
      <c r="CC791" s="408"/>
      <c r="CD791" s="408"/>
      <c r="CE791" s="408"/>
      <c r="CF791" s="408"/>
      <c r="CG791" s="408"/>
      <c r="CH791" s="408"/>
      <c r="CI791" s="408"/>
      <c r="CJ791" s="408"/>
      <c r="CK791" s="408"/>
      <c r="CL791" s="408"/>
      <c r="CM791" s="408"/>
      <c r="CN791" s="408"/>
    </row>
    <row r="792">
      <c r="A792" s="408"/>
      <c r="B792" s="408"/>
      <c r="C792" s="408"/>
      <c r="D792" s="408"/>
      <c r="E792" s="408"/>
      <c r="F792" s="408"/>
      <c r="G792" s="408"/>
      <c r="H792" s="408"/>
      <c r="I792" s="408"/>
      <c r="J792" s="408"/>
      <c r="K792" s="408"/>
      <c r="L792" s="408"/>
      <c r="M792" s="408"/>
      <c r="N792" s="408"/>
      <c r="O792" s="408"/>
      <c r="P792" s="408"/>
      <c r="Q792" s="408"/>
      <c r="R792" s="408"/>
      <c r="S792" s="408"/>
      <c r="T792" s="408"/>
      <c r="U792" s="408"/>
      <c r="V792" s="408"/>
      <c r="W792" s="408"/>
      <c r="X792" s="408"/>
      <c r="Y792" s="408"/>
      <c r="Z792" s="408"/>
      <c r="AA792" s="408"/>
      <c r="AB792" s="408"/>
      <c r="AC792" s="408"/>
      <c r="AD792" s="408"/>
      <c r="AE792" s="408"/>
      <c r="AF792" s="408"/>
      <c r="AG792" s="408"/>
      <c r="AH792" s="408"/>
      <c r="AI792" s="408"/>
      <c r="AJ792" s="408"/>
      <c r="AK792" s="408"/>
      <c r="AL792" s="408"/>
      <c r="AM792" s="408"/>
      <c r="AN792" s="408"/>
      <c r="AO792" s="408"/>
      <c r="AP792" s="408"/>
      <c r="AQ792" s="408"/>
      <c r="AR792" s="408"/>
      <c r="AS792" s="408"/>
      <c r="AT792" s="408"/>
      <c r="AU792" s="408"/>
      <c r="AV792" s="408"/>
      <c r="AW792" s="408"/>
      <c r="AX792" s="408"/>
      <c r="AY792" s="408"/>
      <c r="AZ792" s="408"/>
      <c r="BA792" s="408"/>
      <c r="BB792" s="408"/>
      <c r="BC792" s="408"/>
      <c r="BD792" s="408"/>
      <c r="BE792" s="408"/>
      <c r="BF792" s="408"/>
      <c r="BG792" s="408"/>
      <c r="BH792" s="408"/>
      <c r="BI792" s="408"/>
      <c r="BJ792" s="408"/>
      <c r="BK792" s="408"/>
      <c r="BL792" s="408"/>
      <c r="BM792" s="408"/>
      <c r="BN792" s="408"/>
      <c r="BO792" s="408"/>
      <c r="BP792" s="408"/>
      <c r="BQ792" s="408"/>
      <c r="BR792" s="408"/>
      <c r="BS792" s="408"/>
      <c r="BT792" s="408"/>
      <c r="BU792" s="408"/>
      <c r="BV792" s="408"/>
      <c r="BW792" s="408"/>
      <c r="BX792" s="408"/>
      <c r="BY792" s="408"/>
      <c r="BZ792" s="408"/>
      <c r="CA792" s="408"/>
      <c r="CB792" s="408"/>
      <c r="CC792" s="408"/>
      <c r="CD792" s="408"/>
      <c r="CE792" s="408"/>
      <c r="CF792" s="408"/>
      <c r="CG792" s="408"/>
      <c r="CH792" s="408"/>
      <c r="CI792" s="408"/>
      <c r="CJ792" s="408"/>
      <c r="CK792" s="408"/>
      <c r="CL792" s="408"/>
      <c r="CM792" s="408"/>
      <c r="CN792" s="408"/>
    </row>
    <row r="793">
      <c r="A793" s="408"/>
      <c r="B793" s="408"/>
      <c r="C793" s="408"/>
      <c r="D793" s="408"/>
      <c r="E793" s="408"/>
      <c r="F793" s="408"/>
      <c r="G793" s="408"/>
      <c r="H793" s="408"/>
      <c r="I793" s="408"/>
      <c r="J793" s="408"/>
      <c r="K793" s="408"/>
      <c r="L793" s="408"/>
      <c r="M793" s="408"/>
      <c r="N793" s="408"/>
      <c r="O793" s="408"/>
      <c r="P793" s="408"/>
      <c r="Q793" s="408"/>
      <c r="R793" s="408"/>
      <c r="S793" s="408"/>
      <c r="T793" s="408"/>
      <c r="U793" s="408"/>
      <c r="V793" s="408"/>
      <c r="W793" s="408"/>
      <c r="X793" s="408"/>
      <c r="Y793" s="408"/>
      <c r="Z793" s="408"/>
      <c r="AA793" s="408"/>
      <c r="AB793" s="408"/>
      <c r="AC793" s="408"/>
      <c r="AD793" s="408"/>
      <c r="AE793" s="408"/>
      <c r="AF793" s="408"/>
      <c r="AG793" s="408"/>
      <c r="AH793" s="408"/>
      <c r="AI793" s="408"/>
      <c r="AJ793" s="408"/>
      <c r="AK793" s="408"/>
      <c r="AL793" s="408"/>
      <c r="AM793" s="408"/>
      <c r="AN793" s="408"/>
      <c r="AO793" s="408"/>
      <c r="AP793" s="408"/>
      <c r="AQ793" s="408"/>
      <c r="AR793" s="408"/>
      <c r="AS793" s="408"/>
      <c r="AT793" s="408"/>
      <c r="AU793" s="408"/>
      <c r="AV793" s="408"/>
      <c r="AW793" s="408"/>
      <c r="AX793" s="408"/>
      <c r="AY793" s="408"/>
      <c r="AZ793" s="408"/>
      <c r="BA793" s="408"/>
      <c r="BB793" s="408"/>
      <c r="BC793" s="408"/>
      <c r="BD793" s="408"/>
      <c r="BE793" s="408"/>
      <c r="BF793" s="408"/>
      <c r="BG793" s="408"/>
      <c r="BH793" s="408"/>
      <c r="BI793" s="408"/>
      <c r="BJ793" s="408"/>
      <c r="BK793" s="408"/>
      <c r="BL793" s="408"/>
      <c r="BM793" s="408"/>
      <c r="BN793" s="408"/>
      <c r="BO793" s="408"/>
      <c r="BP793" s="408"/>
      <c r="BQ793" s="408"/>
      <c r="BR793" s="408"/>
      <c r="BS793" s="408"/>
      <c r="BT793" s="408"/>
      <c r="BU793" s="408"/>
      <c r="BV793" s="408"/>
      <c r="BW793" s="408"/>
      <c r="BX793" s="408"/>
      <c r="BY793" s="408"/>
      <c r="BZ793" s="408"/>
      <c r="CA793" s="408"/>
      <c r="CB793" s="408"/>
      <c r="CC793" s="408"/>
      <c r="CD793" s="408"/>
      <c r="CE793" s="408"/>
      <c r="CF793" s="408"/>
      <c r="CG793" s="408"/>
      <c r="CH793" s="408"/>
      <c r="CI793" s="408"/>
      <c r="CJ793" s="408"/>
      <c r="CK793" s="408"/>
      <c r="CL793" s="408"/>
      <c r="CM793" s="408"/>
      <c r="CN793" s="408"/>
    </row>
    <row r="794">
      <c r="A794" s="408"/>
      <c r="B794" s="408"/>
      <c r="C794" s="408"/>
      <c r="D794" s="408"/>
      <c r="E794" s="408"/>
      <c r="F794" s="408"/>
      <c r="G794" s="408"/>
      <c r="H794" s="408"/>
      <c r="I794" s="408"/>
      <c r="J794" s="408"/>
      <c r="K794" s="408"/>
      <c r="L794" s="408"/>
      <c r="M794" s="408"/>
      <c r="N794" s="408"/>
      <c r="O794" s="408"/>
      <c r="P794" s="408"/>
      <c r="Q794" s="408"/>
      <c r="R794" s="408"/>
      <c r="S794" s="408"/>
      <c r="T794" s="408"/>
      <c r="U794" s="408"/>
      <c r="V794" s="408"/>
      <c r="W794" s="408"/>
      <c r="X794" s="408"/>
      <c r="Y794" s="408"/>
      <c r="Z794" s="408"/>
      <c r="AA794" s="408"/>
      <c r="AB794" s="408"/>
      <c r="AC794" s="408"/>
      <c r="AD794" s="408"/>
      <c r="AE794" s="408"/>
      <c r="AF794" s="408"/>
      <c r="AG794" s="408"/>
      <c r="AH794" s="408"/>
      <c r="AI794" s="408"/>
      <c r="AJ794" s="408"/>
      <c r="AK794" s="408"/>
      <c r="AL794" s="408"/>
      <c r="AM794" s="408"/>
      <c r="AN794" s="408"/>
      <c r="AO794" s="408"/>
      <c r="AP794" s="408"/>
      <c r="AQ794" s="408"/>
      <c r="AR794" s="408"/>
      <c r="AS794" s="408"/>
      <c r="AT794" s="408"/>
      <c r="AU794" s="408"/>
      <c r="AV794" s="408"/>
      <c r="AW794" s="408"/>
      <c r="AX794" s="408"/>
      <c r="AY794" s="408"/>
      <c r="AZ794" s="408"/>
      <c r="BA794" s="408"/>
      <c r="BB794" s="408"/>
      <c r="BC794" s="408"/>
      <c r="BD794" s="408"/>
      <c r="BE794" s="408"/>
      <c r="BF794" s="408"/>
      <c r="BG794" s="408"/>
      <c r="BH794" s="408"/>
      <c r="BI794" s="408"/>
      <c r="BJ794" s="408"/>
      <c r="BK794" s="408"/>
      <c r="BL794" s="408"/>
      <c r="BM794" s="408"/>
      <c r="BN794" s="408"/>
      <c r="BO794" s="408"/>
      <c r="BP794" s="408"/>
      <c r="BQ794" s="408"/>
      <c r="BR794" s="408"/>
      <c r="BS794" s="408"/>
      <c r="BT794" s="408"/>
      <c r="BU794" s="408"/>
      <c r="BV794" s="408"/>
      <c r="BW794" s="408"/>
      <c r="BX794" s="408"/>
      <c r="BY794" s="408"/>
      <c r="BZ794" s="408"/>
      <c r="CA794" s="408"/>
      <c r="CB794" s="408"/>
      <c r="CC794" s="408"/>
      <c r="CD794" s="408"/>
      <c r="CE794" s="408"/>
      <c r="CF794" s="408"/>
      <c r="CG794" s="408"/>
      <c r="CH794" s="408"/>
      <c r="CI794" s="408"/>
      <c r="CJ794" s="408"/>
      <c r="CK794" s="408"/>
      <c r="CL794" s="408"/>
      <c r="CM794" s="408"/>
      <c r="CN794" s="408"/>
    </row>
    <row r="795">
      <c r="A795" s="408"/>
      <c r="B795" s="408"/>
      <c r="C795" s="408"/>
      <c r="D795" s="408"/>
      <c r="E795" s="408"/>
      <c r="F795" s="408"/>
      <c r="G795" s="408"/>
      <c r="H795" s="408"/>
      <c r="I795" s="408"/>
      <c r="J795" s="408"/>
      <c r="K795" s="408"/>
      <c r="L795" s="408"/>
      <c r="M795" s="408"/>
      <c r="N795" s="408"/>
      <c r="O795" s="408"/>
      <c r="P795" s="408"/>
      <c r="Q795" s="408"/>
      <c r="R795" s="408"/>
      <c r="S795" s="408"/>
      <c r="T795" s="408"/>
      <c r="U795" s="408"/>
      <c r="V795" s="408"/>
      <c r="W795" s="408"/>
      <c r="X795" s="408"/>
      <c r="Y795" s="408"/>
      <c r="Z795" s="408"/>
      <c r="AA795" s="408"/>
      <c r="AB795" s="408"/>
      <c r="AC795" s="408"/>
      <c r="AD795" s="408"/>
      <c r="AE795" s="408"/>
      <c r="AF795" s="408"/>
      <c r="AG795" s="408"/>
      <c r="AH795" s="408"/>
      <c r="AI795" s="408"/>
      <c r="AJ795" s="408"/>
      <c r="AK795" s="408"/>
      <c r="AL795" s="408"/>
      <c r="AM795" s="408"/>
      <c r="AN795" s="408"/>
      <c r="AO795" s="408"/>
      <c r="AP795" s="408"/>
      <c r="AQ795" s="408"/>
      <c r="AR795" s="408"/>
      <c r="AS795" s="408"/>
      <c r="AT795" s="408"/>
      <c r="AU795" s="408"/>
      <c r="AV795" s="408"/>
      <c r="AW795" s="408"/>
      <c r="AX795" s="408"/>
      <c r="AY795" s="408"/>
      <c r="AZ795" s="408"/>
      <c r="BA795" s="408"/>
      <c r="BB795" s="408"/>
      <c r="BC795" s="408"/>
      <c r="BD795" s="408"/>
      <c r="BE795" s="408"/>
      <c r="BF795" s="408"/>
      <c r="BG795" s="408"/>
      <c r="BH795" s="408"/>
      <c r="BI795" s="408"/>
      <c r="BJ795" s="408"/>
      <c r="BK795" s="408"/>
      <c r="BL795" s="408"/>
      <c r="BM795" s="408"/>
      <c r="BN795" s="408"/>
      <c r="BO795" s="408"/>
      <c r="BP795" s="408"/>
      <c r="BQ795" s="408"/>
      <c r="BR795" s="408"/>
      <c r="BS795" s="408"/>
      <c r="BT795" s="408"/>
      <c r="BU795" s="408"/>
      <c r="BV795" s="408"/>
      <c r="BW795" s="408"/>
      <c r="BX795" s="408"/>
      <c r="BY795" s="408"/>
      <c r="BZ795" s="408"/>
      <c r="CA795" s="408"/>
      <c r="CB795" s="408"/>
      <c r="CC795" s="408"/>
      <c r="CD795" s="408"/>
      <c r="CE795" s="408"/>
      <c r="CF795" s="408"/>
      <c r="CG795" s="408"/>
      <c r="CH795" s="408"/>
      <c r="CI795" s="408"/>
      <c r="CJ795" s="408"/>
      <c r="CK795" s="408"/>
      <c r="CL795" s="408"/>
      <c r="CM795" s="408"/>
      <c r="CN795" s="408"/>
    </row>
    <row r="796">
      <c r="A796" s="408"/>
      <c r="B796" s="408"/>
      <c r="C796" s="408"/>
      <c r="D796" s="408"/>
      <c r="E796" s="408"/>
      <c r="F796" s="408"/>
      <c r="G796" s="408"/>
      <c r="H796" s="408"/>
      <c r="I796" s="408"/>
      <c r="J796" s="408"/>
      <c r="K796" s="408"/>
      <c r="L796" s="408"/>
      <c r="M796" s="408"/>
      <c r="N796" s="408"/>
      <c r="O796" s="408"/>
      <c r="P796" s="408"/>
      <c r="Q796" s="408"/>
      <c r="R796" s="408"/>
      <c r="S796" s="408"/>
      <c r="T796" s="408"/>
      <c r="U796" s="408"/>
      <c r="V796" s="408"/>
      <c r="W796" s="408"/>
      <c r="X796" s="408"/>
      <c r="Y796" s="408"/>
      <c r="Z796" s="408"/>
      <c r="AA796" s="408"/>
      <c r="AB796" s="408"/>
      <c r="AC796" s="408"/>
      <c r="AD796" s="408"/>
      <c r="AE796" s="408"/>
      <c r="AF796" s="408"/>
      <c r="AG796" s="408"/>
      <c r="AH796" s="408"/>
      <c r="AI796" s="408"/>
      <c r="AJ796" s="408"/>
      <c r="AK796" s="408"/>
      <c r="AL796" s="408"/>
      <c r="AM796" s="408"/>
      <c r="AN796" s="408"/>
      <c r="AO796" s="408"/>
      <c r="AP796" s="408"/>
      <c r="AQ796" s="408"/>
      <c r="AR796" s="408"/>
      <c r="AS796" s="408"/>
      <c r="AT796" s="408"/>
      <c r="AU796" s="408"/>
      <c r="AV796" s="408"/>
      <c r="AW796" s="408"/>
      <c r="AX796" s="408"/>
      <c r="AY796" s="408"/>
      <c r="AZ796" s="408"/>
      <c r="BA796" s="408"/>
      <c r="BB796" s="408"/>
      <c r="BC796" s="408"/>
      <c r="BD796" s="408"/>
      <c r="BE796" s="408"/>
      <c r="BF796" s="408"/>
      <c r="BG796" s="408"/>
      <c r="BH796" s="408"/>
      <c r="BI796" s="408"/>
      <c r="BJ796" s="408"/>
      <c r="BK796" s="408"/>
      <c r="BL796" s="408"/>
      <c r="BM796" s="408"/>
      <c r="BN796" s="408"/>
      <c r="BO796" s="408"/>
      <c r="BP796" s="408"/>
      <c r="BQ796" s="408"/>
      <c r="BR796" s="408"/>
      <c r="BS796" s="408"/>
      <c r="BT796" s="408"/>
      <c r="BU796" s="408"/>
      <c r="BV796" s="408"/>
      <c r="BW796" s="408"/>
      <c r="BX796" s="408"/>
      <c r="BY796" s="408"/>
      <c r="BZ796" s="408"/>
      <c r="CA796" s="408"/>
      <c r="CB796" s="408"/>
      <c r="CC796" s="408"/>
      <c r="CD796" s="408"/>
      <c r="CE796" s="408"/>
      <c r="CF796" s="408"/>
      <c r="CG796" s="408"/>
      <c r="CH796" s="408"/>
      <c r="CI796" s="408"/>
      <c r="CJ796" s="408"/>
      <c r="CK796" s="408"/>
      <c r="CL796" s="408"/>
      <c r="CM796" s="408"/>
      <c r="CN796" s="408"/>
    </row>
    <row r="797">
      <c r="A797" s="408"/>
      <c r="B797" s="408"/>
      <c r="C797" s="408"/>
      <c r="D797" s="408"/>
      <c r="E797" s="408"/>
      <c r="F797" s="408"/>
      <c r="G797" s="408"/>
      <c r="H797" s="408"/>
      <c r="I797" s="408"/>
      <c r="J797" s="408"/>
      <c r="K797" s="408"/>
      <c r="L797" s="408"/>
      <c r="M797" s="408"/>
      <c r="N797" s="408"/>
      <c r="O797" s="408"/>
      <c r="P797" s="408"/>
      <c r="Q797" s="408"/>
      <c r="R797" s="408"/>
      <c r="S797" s="408"/>
      <c r="T797" s="408"/>
      <c r="U797" s="408"/>
      <c r="V797" s="408"/>
      <c r="W797" s="408"/>
      <c r="X797" s="408"/>
      <c r="Y797" s="408"/>
      <c r="Z797" s="408"/>
      <c r="AA797" s="408"/>
      <c r="AB797" s="408"/>
      <c r="AC797" s="408"/>
      <c r="AD797" s="408"/>
      <c r="AE797" s="408"/>
      <c r="AF797" s="408"/>
      <c r="AG797" s="408"/>
      <c r="AH797" s="408"/>
      <c r="AI797" s="408"/>
      <c r="AJ797" s="408"/>
      <c r="AK797" s="408"/>
      <c r="AL797" s="408"/>
      <c r="AM797" s="408"/>
      <c r="AN797" s="408"/>
      <c r="AO797" s="408"/>
      <c r="AP797" s="408"/>
      <c r="AQ797" s="408"/>
      <c r="AR797" s="408"/>
      <c r="AS797" s="408"/>
      <c r="AT797" s="408"/>
      <c r="AU797" s="408"/>
      <c r="AV797" s="408"/>
      <c r="AW797" s="408"/>
      <c r="AX797" s="408"/>
      <c r="AY797" s="408"/>
      <c r="AZ797" s="408"/>
      <c r="BA797" s="408"/>
      <c r="BB797" s="408"/>
      <c r="BC797" s="408"/>
      <c r="BD797" s="408"/>
      <c r="BE797" s="408"/>
      <c r="BF797" s="408"/>
      <c r="BG797" s="408"/>
      <c r="BH797" s="408"/>
      <c r="BI797" s="408"/>
      <c r="BJ797" s="408"/>
      <c r="BK797" s="408"/>
      <c r="BL797" s="408"/>
      <c r="BM797" s="408"/>
      <c r="BN797" s="408"/>
      <c r="BO797" s="408"/>
      <c r="BP797" s="408"/>
      <c r="BQ797" s="408"/>
      <c r="BR797" s="408"/>
      <c r="BS797" s="408"/>
      <c r="BT797" s="408"/>
      <c r="BU797" s="408"/>
      <c r="BV797" s="408"/>
      <c r="BW797" s="408"/>
      <c r="BX797" s="408"/>
      <c r="BY797" s="408"/>
      <c r="BZ797" s="408"/>
      <c r="CA797" s="408"/>
      <c r="CB797" s="408"/>
      <c r="CC797" s="408"/>
      <c r="CD797" s="408"/>
      <c r="CE797" s="408"/>
      <c r="CF797" s="408"/>
      <c r="CG797" s="408"/>
      <c r="CH797" s="408"/>
      <c r="CI797" s="408"/>
      <c r="CJ797" s="408"/>
      <c r="CK797" s="408"/>
      <c r="CL797" s="408"/>
      <c r="CM797" s="408"/>
      <c r="CN797" s="408"/>
    </row>
    <row r="798">
      <c r="A798" s="408"/>
      <c r="B798" s="408"/>
      <c r="C798" s="408"/>
      <c r="D798" s="408"/>
      <c r="E798" s="408"/>
      <c r="F798" s="408"/>
      <c r="G798" s="408"/>
      <c r="H798" s="408"/>
      <c r="I798" s="408"/>
      <c r="J798" s="408"/>
      <c r="K798" s="408"/>
      <c r="L798" s="408"/>
      <c r="M798" s="408"/>
      <c r="N798" s="408"/>
      <c r="O798" s="408"/>
      <c r="P798" s="408"/>
      <c r="Q798" s="408"/>
      <c r="R798" s="408"/>
      <c r="S798" s="408"/>
      <c r="T798" s="408"/>
      <c r="U798" s="408"/>
      <c r="V798" s="408"/>
      <c r="W798" s="408"/>
      <c r="X798" s="408"/>
      <c r="Y798" s="408"/>
      <c r="Z798" s="408"/>
      <c r="AA798" s="408"/>
      <c r="AB798" s="408"/>
      <c r="AC798" s="408"/>
      <c r="AD798" s="408"/>
      <c r="AE798" s="408"/>
      <c r="AF798" s="408"/>
      <c r="AG798" s="408"/>
      <c r="AH798" s="408"/>
      <c r="AI798" s="408"/>
      <c r="AJ798" s="408"/>
      <c r="AK798" s="408"/>
      <c r="AL798" s="408"/>
      <c r="AM798" s="408"/>
      <c r="AN798" s="408"/>
      <c r="AO798" s="408"/>
      <c r="AP798" s="408"/>
      <c r="AQ798" s="408"/>
      <c r="AR798" s="408"/>
      <c r="AS798" s="408"/>
      <c r="AT798" s="408"/>
      <c r="AU798" s="408"/>
      <c r="AV798" s="408"/>
      <c r="AW798" s="408"/>
      <c r="AX798" s="408"/>
      <c r="AY798" s="408"/>
      <c r="AZ798" s="408"/>
      <c r="BA798" s="408"/>
      <c r="BB798" s="408"/>
      <c r="BC798" s="408"/>
      <c r="BD798" s="408"/>
      <c r="BE798" s="408"/>
      <c r="BF798" s="408"/>
      <c r="BG798" s="408"/>
      <c r="BH798" s="408"/>
      <c r="BI798" s="408"/>
      <c r="BJ798" s="408"/>
      <c r="BK798" s="408"/>
      <c r="BL798" s="408"/>
      <c r="BM798" s="408"/>
      <c r="BN798" s="408"/>
      <c r="BO798" s="408"/>
      <c r="BP798" s="408"/>
      <c r="BQ798" s="408"/>
      <c r="BR798" s="408"/>
      <c r="BS798" s="408"/>
      <c r="BT798" s="408"/>
      <c r="BU798" s="408"/>
      <c r="BV798" s="408"/>
      <c r="BW798" s="408"/>
      <c r="BX798" s="408"/>
      <c r="BY798" s="408"/>
      <c r="BZ798" s="408"/>
      <c r="CA798" s="408"/>
      <c r="CB798" s="408"/>
      <c r="CC798" s="408"/>
      <c r="CD798" s="408"/>
      <c r="CE798" s="408"/>
      <c r="CF798" s="408"/>
      <c r="CG798" s="408"/>
      <c r="CH798" s="408"/>
      <c r="CI798" s="408"/>
      <c r="CJ798" s="408"/>
      <c r="CK798" s="408"/>
      <c r="CL798" s="408"/>
      <c r="CM798" s="408"/>
      <c r="CN798" s="408"/>
    </row>
    <row r="799">
      <c r="A799" s="408"/>
      <c r="B799" s="408"/>
      <c r="C799" s="408"/>
      <c r="D799" s="408"/>
      <c r="E799" s="408"/>
      <c r="F799" s="408"/>
      <c r="G799" s="408"/>
      <c r="H799" s="408"/>
      <c r="I799" s="408"/>
      <c r="J799" s="408"/>
      <c r="K799" s="408"/>
      <c r="L799" s="408"/>
      <c r="M799" s="408"/>
      <c r="N799" s="408"/>
      <c r="O799" s="408"/>
      <c r="P799" s="408"/>
      <c r="Q799" s="408"/>
      <c r="R799" s="408"/>
      <c r="S799" s="408"/>
      <c r="T799" s="408"/>
      <c r="U799" s="408"/>
      <c r="V799" s="408"/>
      <c r="W799" s="408"/>
      <c r="X799" s="408"/>
      <c r="Y799" s="408"/>
      <c r="Z799" s="408"/>
      <c r="AA799" s="408"/>
      <c r="AB799" s="408"/>
      <c r="AC799" s="408"/>
      <c r="AD799" s="408"/>
      <c r="AE799" s="408"/>
      <c r="AF799" s="408"/>
      <c r="AG799" s="408"/>
      <c r="AH799" s="408"/>
      <c r="AI799" s="408"/>
      <c r="AJ799" s="408"/>
      <c r="AK799" s="408"/>
      <c r="AL799" s="408"/>
      <c r="AM799" s="408"/>
      <c r="AN799" s="408"/>
      <c r="AO799" s="408"/>
      <c r="AP799" s="408"/>
      <c r="AQ799" s="408"/>
      <c r="AR799" s="408"/>
      <c r="AS799" s="408"/>
      <c r="AT799" s="408"/>
      <c r="AU799" s="408"/>
      <c r="AV799" s="408"/>
      <c r="AW799" s="408"/>
      <c r="AX799" s="408"/>
      <c r="AY799" s="408"/>
      <c r="AZ799" s="408"/>
      <c r="BA799" s="408"/>
      <c r="BB799" s="408"/>
      <c r="BC799" s="408"/>
      <c r="BD799" s="408"/>
      <c r="BE799" s="408"/>
      <c r="BF799" s="408"/>
      <c r="BG799" s="408"/>
      <c r="BH799" s="408"/>
      <c r="BI799" s="408"/>
      <c r="BJ799" s="408"/>
      <c r="BK799" s="408"/>
      <c r="BL799" s="408"/>
      <c r="BM799" s="408"/>
      <c r="BN799" s="408"/>
      <c r="BO799" s="408"/>
      <c r="BP799" s="408"/>
      <c r="BQ799" s="408"/>
      <c r="BR799" s="408"/>
      <c r="BS799" s="408"/>
      <c r="BT799" s="408"/>
      <c r="BU799" s="408"/>
      <c r="BV799" s="408"/>
      <c r="BW799" s="408"/>
      <c r="BX799" s="408"/>
      <c r="BY799" s="408"/>
      <c r="BZ799" s="408"/>
      <c r="CA799" s="408"/>
      <c r="CB799" s="408"/>
      <c r="CC799" s="408"/>
      <c r="CD799" s="408"/>
      <c r="CE799" s="408"/>
      <c r="CF799" s="408"/>
      <c r="CG799" s="408"/>
      <c r="CH799" s="408"/>
      <c r="CI799" s="408"/>
      <c r="CJ799" s="408"/>
      <c r="CK799" s="408"/>
      <c r="CL799" s="408"/>
      <c r="CM799" s="408"/>
      <c r="CN799" s="408"/>
    </row>
    <row r="800">
      <c r="A800" s="408"/>
      <c r="B800" s="408"/>
      <c r="C800" s="408"/>
      <c r="D800" s="408"/>
      <c r="E800" s="408"/>
      <c r="F800" s="408"/>
      <c r="G800" s="408"/>
      <c r="H800" s="408"/>
      <c r="I800" s="408"/>
      <c r="J800" s="408"/>
      <c r="K800" s="408"/>
      <c r="L800" s="408"/>
      <c r="M800" s="408"/>
      <c r="N800" s="408"/>
      <c r="O800" s="408"/>
      <c r="P800" s="408"/>
      <c r="Q800" s="408"/>
      <c r="R800" s="408"/>
      <c r="S800" s="408"/>
      <c r="T800" s="408"/>
      <c r="U800" s="408"/>
      <c r="V800" s="408"/>
      <c r="W800" s="408"/>
      <c r="X800" s="408"/>
      <c r="Y800" s="408"/>
      <c r="Z800" s="408"/>
      <c r="AA800" s="408"/>
      <c r="AB800" s="408"/>
      <c r="AC800" s="408"/>
      <c r="AD800" s="408"/>
      <c r="AE800" s="408"/>
      <c r="AF800" s="408"/>
      <c r="AG800" s="408"/>
      <c r="AH800" s="408"/>
      <c r="AI800" s="408"/>
      <c r="AJ800" s="408"/>
      <c r="AK800" s="408"/>
      <c r="AL800" s="408"/>
      <c r="AM800" s="408"/>
      <c r="AN800" s="408"/>
      <c r="AO800" s="408"/>
      <c r="AP800" s="408"/>
      <c r="AQ800" s="408"/>
      <c r="AR800" s="408"/>
      <c r="AS800" s="408"/>
      <c r="AT800" s="408"/>
      <c r="AU800" s="408"/>
      <c r="AV800" s="408"/>
      <c r="AW800" s="408"/>
      <c r="AX800" s="408"/>
      <c r="AY800" s="408"/>
      <c r="AZ800" s="408"/>
      <c r="BA800" s="408"/>
      <c r="BB800" s="408"/>
      <c r="BC800" s="408"/>
      <c r="BD800" s="408"/>
      <c r="BE800" s="408"/>
      <c r="BF800" s="408"/>
      <c r="BG800" s="408"/>
      <c r="BH800" s="408"/>
      <c r="BI800" s="408"/>
      <c r="BJ800" s="408"/>
      <c r="BK800" s="408"/>
      <c r="BL800" s="408"/>
      <c r="BM800" s="408"/>
      <c r="BN800" s="408"/>
      <c r="BO800" s="408"/>
      <c r="BP800" s="408"/>
      <c r="BQ800" s="408"/>
      <c r="BR800" s="408"/>
      <c r="BS800" s="408"/>
      <c r="BT800" s="408"/>
      <c r="BU800" s="408"/>
      <c r="BV800" s="408"/>
      <c r="BW800" s="408"/>
      <c r="BX800" s="408"/>
      <c r="BY800" s="408"/>
      <c r="BZ800" s="408"/>
      <c r="CA800" s="408"/>
      <c r="CB800" s="408"/>
      <c r="CC800" s="408"/>
      <c r="CD800" s="408"/>
      <c r="CE800" s="408"/>
      <c r="CF800" s="408"/>
      <c r="CG800" s="408"/>
      <c r="CH800" s="408"/>
      <c r="CI800" s="408"/>
      <c r="CJ800" s="408"/>
      <c r="CK800" s="408"/>
      <c r="CL800" s="408"/>
      <c r="CM800" s="408"/>
      <c r="CN800" s="408"/>
    </row>
    <row r="801">
      <c r="A801" s="408"/>
      <c r="B801" s="408"/>
      <c r="C801" s="408"/>
      <c r="D801" s="408"/>
      <c r="E801" s="408"/>
      <c r="F801" s="408"/>
      <c r="G801" s="408"/>
      <c r="H801" s="408"/>
      <c r="I801" s="408"/>
      <c r="J801" s="408"/>
      <c r="K801" s="408"/>
      <c r="L801" s="408"/>
      <c r="M801" s="408"/>
      <c r="N801" s="408"/>
      <c r="O801" s="408"/>
      <c r="P801" s="408"/>
      <c r="Q801" s="408"/>
      <c r="R801" s="408"/>
      <c r="S801" s="408"/>
      <c r="T801" s="408"/>
      <c r="U801" s="408"/>
      <c r="V801" s="408"/>
      <c r="W801" s="408"/>
      <c r="X801" s="408"/>
      <c r="Y801" s="408"/>
      <c r="Z801" s="408"/>
      <c r="AA801" s="408"/>
      <c r="AB801" s="408"/>
      <c r="AC801" s="408"/>
      <c r="AD801" s="408"/>
      <c r="AE801" s="408"/>
      <c r="AF801" s="408"/>
      <c r="AG801" s="408"/>
      <c r="AH801" s="408"/>
      <c r="AI801" s="408"/>
      <c r="AJ801" s="408"/>
      <c r="AK801" s="408"/>
      <c r="AL801" s="408"/>
      <c r="AM801" s="408"/>
      <c r="AN801" s="408"/>
      <c r="AO801" s="408"/>
      <c r="AP801" s="408"/>
      <c r="AQ801" s="408"/>
      <c r="AR801" s="408"/>
      <c r="AS801" s="408"/>
      <c r="AT801" s="408"/>
      <c r="AU801" s="408"/>
      <c r="AV801" s="408"/>
      <c r="AW801" s="408"/>
      <c r="AX801" s="408"/>
      <c r="AY801" s="408"/>
      <c r="AZ801" s="408"/>
      <c r="BA801" s="408"/>
      <c r="BB801" s="408"/>
      <c r="BC801" s="408"/>
      <c r="BD801" s="408"/>
      <c r="BE801" s="408"/>
      <c r="BF801" s="408"/>
      <c r="BG801" s="408"/>
      <c r="BH801" s="408"/>
      <c r="BI801" s="408"/>
      <c r="BJ801" s="408"/>
      <c r="BK801" s="408"/>
      <c r="BL801" s="408"/>
      <c r="BM801" s="408"/>
      <c r="BN801" s="408"/>
      <c r="BO801" s="408"/>
      <c r="BP801" s="408"/>
      <c r="BQ801" s="408"/>
      <c r="BR801" s="408"/>
      <c r="BS801" s="408"/>
      <c r="BT801" s="408"/>
      <c r="BU801" s="408"/>
      <c r="BV801" s="408"/>
      <c r="BW801" s="408"/>
      <c r="BX801" s="408"/>
      <c r="BY801" s="408"/>
      <c r="BZ801" s="408"/>
      <c r="CA801" s="408"/>
      <c r="CB801" s="408"/>
      <c r="CC801" s="408"/>
      <c r="CD801" s="408"/>
      <c r="CE801" s="408"/>
      <c r="CF801" s="408"/>
      <c r="CG801" s="408"/>
      <c r="CH801" s="408"/>
      <c r="CI801" s="408"/>
      <c r="CJ801" s="408"/>
      <c r="CK801" s="408"/>
      <c r="CL801" s="408"/>
      <c r="CM801" s="408"/>
      <c r="CN801" s="408"/>
    </row>
    <row r="802">
      <c r="A802" s="408"/>
      <c r="B802" s="408"/>
      <c r="C802" s="408"/>
      <c r="D802" s="408"/>
      <c r="E802" s="408"/>
      <c r="F802" s="408"/>
      <c r="G802" s="408"/>
      <c r="H802" s="408"/>
      <c r="I802" s="408"/>
      <c r="J802" s="408"/>
      <c r="K802" s="408"/>
      <c r="L802" s="408"/>
      <c r="M802" s="408"/>
      <c r="N802" s="408"/>
      <c r="O802" s="408"/>
      <c r="P802" s="408"/>
      <c r="Q802" s="408"/>
      <c r="R802" s="408"/>
      <c r="S802" s="408"/>
      <c r="T802" s="408"/>
      <c r="U802" s="408"/>
      <c r="V802" s="408"/>
      <c r="W802" s="408"/>
      <c r="X802" s="408"/>
      <c r="Y802" s="408"/>
      <c r="Z802" s="408"/>
      <c r="AA802" s="408"/>
      <c r="AB802" s="408"/>
      <c r="AC802" s="408"/>
      <c r="AD802" s="408"/>
      <c r="AE802" s="408"/>
      <c r="AF802" s="408"/>
      <c r="AG802" s="408"/>
      <c r="AH802" s="408"/>
      <c r="AI802" s="408"/>
      <c r="AJ802" s="408"/>
      <c r="AK802" s="408"/>
      <c r="AL802" s="408"/>
      <c r="AM802" s="408"/>
      <c r="AN802" s="408"/>
      <c r="AO802" s="408"/>
      <c r="AP802" s="408"/>
      <c r="AQ802" s="408"/>
      <c r="AR802" s="408"/>
      <c r="AS802" s="408"/>
      <c r="AT802" s="408"/>
      <c r="AU802" s="408"/>
      <c r="AV802" s="408"/>
      <c r="AW802" s="408"/>
      <c r="AX802" s="408"/>
      <c r="AY802" s="408"/>
      <c r="AZ802" s="408"/>
      <c r="BA802" s="408"/>
      <c r="BB802" s="408"/>
      <c r="BC802" s="408"/>
      <c r="BD802" s="408"/>
      <c r="BE802" s="408"/>
      <c r="BF802" s="408"/>
      <c r="BG802" s="408"/>
      <c r="BH802" s="408"/>
      <c r="BI802" s="408"/>
      <c r="BJ802" s="408"/>
      <c r="BK802" s="408"/>
      <c r="BL802" s="408"/>
      <c r="BM802" s="408"/>
      <c r="BN802" s="408"/>
      <c r="BO802" s="408"/>
      <c r="BP802" s="408"/>
      <c r="BQ802" s="408"/>
      <c r="BR802" s="408"/>
      <c r="BS802" s="408"/>
      <c r="BT802" s="408"/>
      <c r="BU802" s="408"/>
      <c r="BV802" s="408"/>
      <c r="BW802" s="408"/>
      <c r="BX802" s="408"/>
      <c r="BY802" s="408"/>
      <c r="BZ802" s="408"/>
      <c r="CA802" s="408"/>
      <c r="CB802" s="408"/>
      <c r="CC802" s="408"/>
      <c r="CD802" s="408"/>
      <c r="CE802" s="408"/>
      <c r="CF802" s="408"/>
      <c r="CG802" s="408"/>
      <c r="CH802" s="408"/>
      <c r="CI802" s="408"/>
      <c r="CJ802" s="408"/>
      <c r="CK802" s="408"/>
      <c r="CL802" s="408"/>
      <c r="CM802" s="408"/>
      <c r="CN802" s="408"/>
    </row>
    <row r="803">
      <c r="A803" s="408"/>
      <c r="B803" s="408"/>
      <c r="C803" s="408"/>
      <c r="D803" s="408"/>
      <c r="E803" s="408"/>
      <c r="F803" s="408"/>
      <c r="G803" s="408"/>
      <c r="H803" s="408"/>
      <c r="I803" s="408"/>
      <c r="J803" s="408"/>
      <c r="K803" s="408"/>
      <c r="L803" s="408"/>
      <c r="M803" s="408"/>
      <c r="N803" s="408"/>
      <c r="O803" s="408"/>
      <c r="P803" s="408"/>
      <c r="Q803" s="408"/>
      <c r="R803" s="408"/>
      <c r="S803" s="408"/>
      <c r="T803" s="408"/>
      <c r="U803" s="408"/>
      <c r="V803" s="408"/>
      <c r="W803" s="408"/>
      <c r="X803" s="408"/>
      <c r="Y803" s="408"/>
      <c r="Z803" s="408"/>
      <c r="AA803" s="408"/>
      <c r="AB803" s="408"/>
      <c r="AC803" s="408"/>
      <c r="AD803" s="408"/>
      <c r="AE803" s="408"/>
      <c r="AF803" s="408"/>
      <c r="AG803" s="408"/>
      <c r="AH803" s="408"/>
      <c r="AI803" s="408"/>
      <c r="AJ803" s="408"/>
      <c r="AK803" s="408"/>
      <c r="AL803" s="408"/>
      <c r="AM803" s="408"/>
      <c r="AN803" s="408"/>
      <c r="AO803" s="408"/>
      <c r="AP803" s="408"/>
      <c r="AQ803" s="408"/>
      <c r="AR803" s="408"/>
      <c r="AS803" s="408"/>
      <c r="AT803" s="408"/>
      <c r="AU803" s="408"/>
      <c r="AV803" s="408"/>
      <c r="AW803" s="408"/>
      <c r="AX803" s="408"/>
      <c r="AY803" s="408"/>
      <c r="AZ803" s="408"/>
      <c r="BA803" s="408"/>
      <c r="BB803" s="408"/>
      <c r="BC803" s="408"/>
      <c r="BD803" s="408"/>
      <c r="BE803" s="408"/>
      <c r="BF803" s="408"/>
      <c r="BG803" s="408"/>
      <c r="BH803" s="408"/>
      <c r="BI803" s="408"/>
      <c r="BJ803" s="408"/>
      <c r="BK803" s="408"/>
      <c r="BL803" s="408"/>
      <c r="BM803" s="408"/>
      <c r="BN803" s="408"/>
      <c r="BO803" s="408"/>
      <c r="BP803" s="408"/>
      <c r="BQ803" s="408"/>
      <c r="BR803" s="408"/>
      <c r="BS803" s="408"/>
      <c r="BT803" s="408"/>
      <c r="BU803" s="408"/>
      <c r="BV803" s="408"/>
      <c r="BW803" s="408"/>
      <c r="BX803" s="408"/>
      <c r="BY803" s="408"/>
      <c r="BZ803" s="408"/>
      <c r="CA803" s="408"/>
      <c r="CB803" s="408"/>
      <c r="CC803" s="408"/>
      <c r="CD803" s="408"/>
      <c r="CE803" s="408"/>
      <c r="CF803" s="408"/>
      <c r="CG803" s="408"/>
      <c r="CH803" s="408"/>
      <c r="CI803" s="408"/>
      <c r="CJ803" s="408"/>
      <c r="CK803" s="408"/>
      <c r="CL803" s="408"/>
      <c r="CM803" s="408"/>
      <c r="CN803" s="408"/>
    </row>
    <row r="804">
      <c r="A804" s="408"/>
      <c r="B804" s="408"/>
      <c r="C804" s="408"/>
      <c r="D804" s="408"/>
      <c r="E804" s="408"/>
      <c r="F804" s="408"/>
      <c r="G804" s="408"/>
      <c r="H804" s="408"/>
      <c r="I804" s="408"/>
      <c r="J804" s="408"/>
      <c r="K804" s="408"/>
      <c r="L804" s="408"/>
      <c r="M804" s="408"/>
      <c r="N804" s="408"/>
      <c r="O804" s="408"/>
      <c r="P804" s="408"/>
      <c r="Q804" s="408"/>
      <c r="R804" s="408"/>
      <c r="S804" s="408"/>
      <c r="T804" s="408"/>
      <c r="U804" s="408"/>
      <c r="V804" s="408"/>
      <c r="W804" s="408"/>
      <c r="X804" s="408"/>
      <c r="Y804" s="408"/>
      <c r="Z804" s="408"/>
      <c r="AA804" s="408"/>
      <c r="AB804" s="408"/>
      <c r="AC804" s="408"/>
      <c r="AD804" s="408"/>
      <c r="AE804" s="408"/>
      <c r="AF804" s="408"/>
      <c r="AG804" s="408"/>
      <c r="AH804" s="408"/>
      <c r="AI804" s="408"/>
      <c r="AJ804" s="408"/>
      <c r="AK804" s="408"/>
      <c r="AL804" s="408"/>
      <c r="AM804" s="408"/>
      <c r="AN804" s="408"/>
      <c r="AO804" s="408"/>
      <c r="AP804" s="408"/>
      <c r="AQ804" s="408"/>
      <c r="AR804" s="408"/>
      <c r="AS804" s="408"/>
      <c r="AT804" s="408"/>
      <c r="AU804" s="408"/>
      <c r="AV804" s="408"/>
      <c r="AW804" s="408"/>
      <c r="AX804" s="408"/>
      <c r="AY804" s="408"/>
      <c r="AZ804" s="408"/>
      <c r="BA804" s="408"/>
      <c r="BB804" s="408"/>
      <c r="BC804" s="408"/>
      <c r="BD804" s="408"/>
      <c r="BE804" s="408"/>
      <c r="BF804" s="408"/>
      <c r="BG804" s="408"/>
      <c r="BH804" s="408"/>
      <c r="BI804" s="408"/>
      <c r="BJ804" s="408"/>
      <c r="BK804" s="408"/>
      <c r="BL804" s="408"/>
      <c r="BM804" s="408"/>
      <c r="BN804" s="408"/>
      <c r="BO804" s="408"/>
      <c r="BP804" s="408"/>
      <c r="BQ804" s="408"/>
      <c r="BR804" s="408"/>
      <c r="BS804" s="408"/>
      <c r="BT804" s="408"/>
      <c r="BU804" s="408"/>
      <c r="BV804" s="408"/>
      <c r="BW804" s="408"/>
      <c r="BX804" s="408"/>
      <c r="BY804" s="408"/>
      <c r="BZ804" s="408"/>
      <c r="CA804" s="408"/>
      <c r="CB804" s="408"/>
      <c r="CC804" s="408"/>
      <c r="CD804" s="408"/>
      <c r="CE804" s="408"/>
      <c r="CF804" s="408"/>
      <c r="CG804" s="408"/>
      <c r="CH804" s="408"/>
      <c r="CI804" s="408"/>
      <c r="CJ804" s="408"/>
      <c r="CK804" s="408"/>
      <c r="CL804" s="408"/>
      <c r="CM804" s="408"/>
      <c r="CN804" s="408"/>
    </row>
    <row r="805">
      <c r="A805" s="408"/>
      <c r="B805" s="408"/>
      <c r="C805" s="408"/>
      <c r="D805" s="408"/>
      <c r="E805" s="408"/>
      <c r="F805" s="408"/>
      <c r="G805" s="408"/>
      <c r="H805" s="408"/>
      <c r="I805" s="408"/>
      <c r="J805" s="408"/>
      <c r="K805" s="408"/>
      <c r="L805" s="408"/>
      <c r="M805" s="408"/>
      <c r="N805" s="408"/>
      <c r="O805" s="408"/>
      <c r="P805" s="408"/>
      <c r="Q805" s="408"/>
      <c r="R805" s="408"/>
      <c r="S805" s="408"/>
      <c r="T805" s="408"/>
      <c r="U805" s="408"/>
      <c r="V805" s="408"/>
      <c r="W805" s="408"/>
      <c r="X805" s="408"/>
      <c r="Y805" s="408"/>
      <c r="Z805" s="408"/>
      <c r="AA805" s="408"/>
      <c r="AB805" s="408"/>
      <c r="AC805" s="408"/>
      <c r="AD805" s="408"/>
      <c r="AE805" s="408"/>
      <c r="AF805" s="408"/>
      <c r="AG805" s="408"/>
      <c r="AH805" s="408"/>
      <c r="AI805" s="408"/>
      <c r="AJ805" s="408"/>
      <c r="AK805" s="408"/>
      <c r="AL805" s="408"/>
      <c r="AM805" s="408"/>
      <c r="AN805" s="408"/>
      <c r="AO805" s="408"/>
      <c r="AP805" s="408"/>
      <c r="AQ805" s="408"/>
      <c r="AR805" s="408"/>
      <c r="AS805" s="408"/>
      <c r="AT805" s="408"/>
      <c r="AU805" s="408"/>
      <c r="AV805" s="408"/>
      <c r="AW805" s="408"/>
      <c r="AX805" s="408"/>
      <c r="AY805" s="408"/>
      <c r="AZ805" s="408"/>
      <c r="BA805" s="408"/>
      <c r="BB805" s="408"/>
      <c r="BC805" s="408"/>
      <c r="BD805" s="408"/>
      <c r="BE805" s="408"/>
      <c r="BF805" s="408"/>
      <c r="BG805" s="408"/>
      <c r="BH805" s="408"/>
      <c r="BI805" s="408"/>
      <c r="BJ805" s="408"/>
      <c r="BK805" s="408"/>
      <c r="BL805" s="408"/>
      <c r="BM805" s="408"/>
      <c r="BN805" s="408"/>
      <c r="BO805" s="408"/>
      <c r="BP805" s="408"/>
      <c r="BQ805" s="408"/>
      <c r="BR805" s="408"/>
      <c r="BS805" s="408"/>
      <c r="BT805" s="408"/>
      <c r="BU805" s="408"/>
      <c r="BV805" s="408"/>
      <c r="BW805" s="408"/>
      <c r="BX805" s="408"/>
      <c r="BY805" s="408"/>
      <c r="BZ805" s="408"/>
      <c r="CA805" s="408"/>
      <c r="CB805" s="408"/>
      <c r="CC805" s="408"/>
      <c r="CD805" s="408"/>
      <c r="CE805" s="408"/>
      <c r="CF805" s="408"/>
      <c r="CG805" s="408"/>
      <c r="CH805" s="408"/>
      <c r="CI805" s="408"/>
      <c r="CJ805" s="408"/>
      <c r="CK805" s="408"/>
      <c r="CL805" s="408"/>
      <c r="CM805" s="408"/>
      <c r="CN805" s="408"/>
    </row>
    <row r="806">
      <c r="A806" s="408"/>
      <c r="B806" s="408"/>
      <c r="C806" s="408"/>
      <c r="D806" s="408"/>
      <c r="E806" s="408"/>
      <c r="F806" s="408"/>
      <c r="G806" s="408"/>
      <c r="H806" s="408"/>
      <c r="I806" s="408"/>
      <c r="J806" s="408"/>
      <c r="K806" s="408"/>
      <c r="L806" s="408"/>
      <c r="M806" s="408"/>
      <c r="N806" s="408"/>
      <c r="O806" s="408"/>
      <c r="P806" s="408"/>
      <c r="Q806" s="408"/>
      <c r="R806" s="408"/>
      <c r="S806" s="408"/>
      <c r="T806" s="408"/>
      <c r="U806" s="408"/>
      <c r="V806" s="408"/>
      <c r="W806" s="408"/>
      <c r="X806" s="408"/>
      <c r="Y806" s="408"/>
      <c r="Z806" s="408"/>
      <c r="AA806" s="408"/>
      <c r="AB806" s="408"/>
      <c r="AC806" s="408"/>
      <c r="AD806" s="408"/>
      <c r="AE806" s="408"/>
      <c r="AF806" s="408"/>
      <c r="AG806" s="408"/>
      <c r="AH806" s="408"/>
      <c r="AI806" s="408"/>
      <c r="AJ806" s="408"/>
      <c r="AK806" s="408"/>
      <c r="AL806" s="408"/>
      <c r="AM806" s="408"/>
      <c r="AN806" s="408"/>
      <c r="AO806" s="408"/>
      <c r="AP806" s="408"/>
      <c r="AQ806" s="408"/>
      <c r="AR806" s="408"/>
      <c r="AS806" s="408"/>
      <c r="AT806" s="408"/>
      <c r="AU806" s="408"/>
      <c r="AV806" s="408"/>
      <c r="AW806" s="408"/>
      <c r="AX806" s="408"/>
      <c r="AY806" s="408"/>
      <c r="AZ806" s="408"/>
      <c r="BA806" s="408"/>
      <c r="BB806" s="408"/>
      <c r="BC806" s="408"/>
      <c r="BD806" s="408"/>
      <c r="BE806" s="408"/>
      <c r="BF806" s="408"/>
      <c r="BG806" s="408"/>
      <c r="BH806" s="408"/>
      <c r="BI806" s="408"/>
      <c r="BJ806" s="408"/>
      <c r="BK806" s="408"/>
      <c r="BL806" s="408"/>
      <c r="BM806" s="408"/>
      <c r="BN806" s="408"/>
      <c r="BO806" s="408"/>
      <c r="BP806" s="408"/>
      <c r="BQ806" s="408"/>
      <c r="BR806" s="408"/>
      <c r="BS806" s="408"/>
      <c r="BT806" s="408"/>
      <c r="BU806" s="408"/>
      <c r="BV806" s="408"/>
      <c r="BW806" s="408"/>
      <c r="BX806" s="408"/>
      <c r="BY806" s="408"/>
      <c r="BZ806" s="408"/>
      <c r="CA806" s="408"/>
      <c r="CB806" s="408"/>
      <c r="CC806" s="408"/>
      <c r="CD806" s="408"/>
      <c r="CE806" s="408"/>
      <c r="CF806" s="408"/>
      <c r="CG806" s="408"/>
      <c r="CH806" s="408"/>
      <c r="CI806" s="408"/>
      <c r="CJ806" s="408"/>
      <c r="CK806" s="408"/>
      <c r="CL806" s="408"/>
      <c r="CM806" s="408"/>
      <c r="CN806" s="408"/>
    </row>
    <row r="807">
      <c r="A807" s="408"/>
      <c r="B807" s="408"/>
      <c r="C807" s="408"/>
      <c r="D807" s="408"/>
      <c r="E807" s="408"/>
      <c r="F807" s="408"/>
      <c r="G807" s="408"/>
      <c r="H807" s="408"/>
      <c r="I807" s="408"/>
      <c r="J807" s="408"/>
      <c r="K807" s="408"/>
      <c r="L807" s="408"/>
      <c r="M807" s="408"/>
      <c r="N807" s="408"/>
      <c r="O807" s="408"/>
      <c r="P807" s="408"/>
      <c r="Q807" s="408"/>
      <c r="R807" s="408"/>
      <c r="S807" s="408"/>
      <c r="T807" s="408"/>
      <c r="U807" s="408"/>
      <c r="V807" s="408"/>
      <c r="W807" s="408"/>
      <c r="X807" s="408"/>
      <c r="Y807" s="408"/>
      <c r="Z807" s="408"/>
      <c r="AA807" s="408"/>
      <c r="AB807" s="408"/>
      <c r="AC807" s="408"/>
      <c r="AD807" s="408"/>
      <c r="AE807" s="408"/>
      <c r="AF807" s="408"/>
      <c r="AG807" s="408"/>
      <c r="AH807" s="408"/>
      <c r="AI807" s="408"/>
      <c r="AJ807" s="408"/>
      <c r="AK807" s="408"/>
      <c r="AL807" s="408"/>
      <c r="AM807" s="408"/>
      <c r="AN807" s="408"/>
      <c r="AO807" s="408"/>
      <c r="AP807" s="408"/>
      <c r="AQ807" s="408"/>
      <c r="AR807" s="408"/>
      <c r="AS807" s="408"/>
      <c r="AT807" s="408"/>
      <c r="AU807" s="408"/>
      <c r="AV807" s="408"/>
      <c r="AW807" s="408"/>
      <c r="AX807" s="408"/>
      <c r="AY807" s="408"/>
      <c r="AZ807" s="408"/>
      <c r="BA807" s="408"/>
      <c r="BB807" s="408"/>
      <c r="BC807" s="408"/>
      <c r="BD807" s="408"/>
      <c r="BE807" s="408"/>
      <c r="BF807" s="408"/>
      <c r="BG807" s="408"/>
      <c r="BH807" s="408"/>
      <c r="BI807" s="408"/>
      <c r="BJ807" s="408"/>
      <c r="BK807" s="408"/>
      <c r="BL807" s="408"/>
      <c r="BM807" s="408"/>
      <c r="BN807" s="408"/>
      <c r="BO807" s="408"/>
      <c r="BP807" s="408"/>
      <c r="BQ807" s="408"/>
      <c r="BR807" s="408"/>
      <c r="BS807" s="408"/>
      <c r="BT807" s="408"/>
      <c r="BU807" s="408"/>
      <c r="BV807" s="408"/>
      <c r="BW807" s="408"/>
      <c r="BX807" s="408"/>
      <c r="BY807" s="408"/>
      <c r="BZ807" s="408"/>
      <c r="CA807" s="408"/>
      <c r="CB807" s="408"/>
      <c r="CC807" s="408"/>
      <c r="CD807" s="408"/>
      <c r="CE807" s="408"/>
      <c r="CF807" s="408"/>
      <c r="CG807" s="408"/>
      <c r="CH807" s="408"/>
      <c r="CI807" s="408"/>
      <c r="CJ807" s="408"/>
      <c r="CK807" s="408"/>
      <c r="CL807" s="408"/>
      <c r="CM807" s="408"/>
      <c r="CN807" s="408"/>
    </row>
    <row r="808">
      <c r="A808" s="408"/>
      <c r="B808" s="408"/>
      <c r="C808" s="408"/>
      <c r="D808" s="408"/>
      <c r="E808" s="408"/>
      <c r="F808" s="408"/>
      <c r="G808" s="408"/>
      <c r="H808" s="408"/>
      <c r="I808" s="408"/>
      <c r="J808" s="408"/>
      <c r="K808" s="408"/>
      <c r="L808" s="408"/>
      <c r="M808" s="408"/>
      <c r="N808" s="408"/>
      <c r="O808" s="408"/>
      <c r="P808" s="408"/>
      <c r="Q808" s="408"/>
      <c r="R808" s="408"/>
      <c r="S808" s="408"/>
      <c r="T808" s="408"/>
      <c r="U808" s="408"/>
      <c r="V808" s="408"/>
      <c r="W808" s="408"/>
      <c r="X808" s="408"/>
      <c r="Y808" s="408"/>
      <c r="Z808" s="408"/>
      <c r="AA808" s="408"/>
      <c r="AB808" s="408"/>
      <c r="AC808" s="408"/>
      <c r="AD808" s="408"/>
      <c r="AE808" s="408"/>
      <c r="AF808" s="408"/>
      <c r="AG808" s="408"/>
      <c r="AH808" s="408"/>
      <c r="AI808" s="408"/>
      <c r="AJ808" s="408"/>
      <c r="AK808" s="408"/>
      <c r="AL808" s="408"/>
      <c r="AM808" s="408"/>
      <c r="AN808" s="408"/>
      <c r="AO808" s="408"/>
      <c r="AP808" s="408"/>
      <c r="AQ808" s="408"/>
      <c r="AR808" s="408"/>
      <c r="AS808" s="408"/>
      <c r="AT808" s="408"/>
      <c r="AU808" s="408"/>
      <c r="AV808" s="408"/>
      <c r="AW808" s="408"/>
      <c r="AX808" s="408"/>
      <c r="AY808" s="408"/>
      <c r="AZ808" s="408"/>
      <c r="BA808" s="408"/>
      <c r="BB808" s="408"/>
      <c r="BC808" s="408"/>
      <c r="BD808" s="408"/>
      <c r="BE808" s="408"/>
      <c r="BF808" s="408"/>
      <c r="BG808" s="408"/>
      <c r="BH808" s="408"/>
      <c r="BI808" s="408"/>
      <c r="BJ808" s="408"/>
      <c r="BK808" s="408"/>
      <c r="BL808" s="408"/>
      <c r="BM808" s="408"/>
      <c r="BN808" s="408"/>
      <c r="BO808" s="408"/>
      <c r="BP808" s="408"/>
      <c r="BQ808" s="408"/>
      <c r="BR808" s="408"/>
      <c r="BS808" s="408"/>
      <c r="BT808" s="408"/>
      <c r="BU808" s="408"/>
      <c r="BV808" s="408"/>
      <c r="BW808" s="408"/>
      <c r="BX808" s="408"/>
      <c r="BY808" s="408"/>
      <c r="BZ808" s="408"/>
      <c r="CA808" s="408"/>
      <c r="CB808" s="408"/>
      <c r="CC808" s="408"/>
      <c r="CD808" s="408"/>
      <c r="CE808" s="408"/>
      <c r="CF808" s="408"/>
      <c r="CG808" s="408"/>
      <c r="CH808" s="408"/>
      <c r="CI808" s="408"/>
      <c r="CJ808" s="408"/>
      <c r="CK808" s="408"/>
      <c r="CL808" s="408"/>
      <c r="CM808" s="408"/>
      <c r="CN808" s="408"/>
    </row>
    <row r="809">
      <c r="A809" s="408"/>
      <c r="B809" s="408"/>
      <c r="C809" s="408"/>
      <c r="D809" s="408"/>
      <c r="E809" s="408"/>
      <c r="F809" s="408"/>
      <c r="G809" s="408"/>
      <c r="H809" s="408"/>
      <c r="I809" s="408"/>
      <c r="J809" s="408"/>
      <c r="K809" s="408"/>
      <c r="L809" s="408"/>
      <c r="M809" s="408"/>
      <c r="N809" s="408"/>
      <c r="O809" s="408"/>
      <c r="P809" s="408"/>
      <c r="Q809" s="408"/>
      <c r="R809" s="408"/>
      <c r="S809" s="408"/>
      <c r="T809" s="408"/>
      <c r="U809" s="408"/>
      <c r="V809" s="408"/>
      <c r="W809" s="408"/>
      <c r="X809" s="408"/>
      <c r="Y809" s="408"/>
      <c r="Z809" s="408"/>
      <c r="AA809" s="408"/>
      <c r="AB809" s="408"/>
      <c r="AC809" s="408"/>
      <c r="AD809" s="408"/>
      <c r="AE809" s="408"/>
      <c r="AF809" s="408"/>
      <c r="AG809" s="408"/>
      <c r="AH809" s="408"/>
      <c r="AI809" s="408"/>
      <c r="AJ809" s="408"/>
      <c r="AK809" s="408"/>
      <c r="AL809" s="408"/>
      <c r="AM809" s="408"/>
      <c r="AN809" s="408"/>
      <c r="AO809" s="408"/>
      <c r="AP809" s="408"/>
      <c r="AQ809" s="408"/>
      <c r="AR809" s="408"/>
      <c r="AS809" s="408"/>
      <c r="AT809" s="408"/>
      <c r="AU809" s="408"/>
      <c r="AV809" s="408"/>
      <c r="AW809" s="408"/>
      <c r="AX809" s="408"/>
      <c r="AY809" s="408"/>
      <c r="AZ809" s="408"/>
      <c r="BA809" s="408"/>
      <c r="BB809" s="408"/>
      <c r="BC809" s="408"/>
      <c r="BD809" s="408"/>
      <c r="BE809" s="408"/>
      <c r="BF809" s="408"/>
      <c r="BG809" s="408"/>
      <c r="BH809" s="408"/>
      <c r="BI809" s="408"/>
      <c r="BJ809" s="408"/>
      <c r="BK809" s="408"/>
      <c r="BL809" s="408"/>
      <c r="BM809" s="408"/>
      <c r="BN809" s="408"/>
      <c r="BO809" s="408"/>
      <c r="BP809" s="408"/>
      <c r="BQ809" s="408"/>
      <c r="BR809" s="408"/>
      <c r="BS809" s="408"/>
      <c r="BT809" s="408"/>
      <c r="BU809" s="408"/>
      <c r="BV809" s="408"/>
      <c r="BW809" s="408"/>
      <c r="BX809" s="408"/>
      <c r="BY809" s="408"/>
      <c r="BZ809" s="408"/>
      <c r="CA809" s="408"/>
      <c r="CB809" s="408"/>
      <c r="CC809" s="408"/>
      <c r="CD809" s="408"/>
      <c r="CE809" s="408"/>
      <c r="CF809" s="408"/>
      <c r="CG809" s="408"/>
      <c r="CH809" s="408"/>
      <c r="CI809" s="408"/>
      <c r="CJ809" s="408"/>
      <c r="CK809" s="408"/>
      <c r="CL809" s="408"/>
      <c r="CM809" s="408"/>
      <c r="CN809" s="408"/>
    </row>
    <row r="810">
      <c r="A810" s="408"/>
      <c r="B810" s="408"/>
      <c r="C810" s="408"/>
      <c r="D810" s="408"/>
      <c r="E810" s="408"/>
      <c r="F810" s="408"/>
      <c r="G810" s="408"/>
      <c r="H810" s="408"/>
      <c r="I810" s="408"/>
      <c r="J810" s="408"/>
      <c r="K810" s="408"/>
      <c r="L810" s="408"/>
      <c r="M810" s="408"/>
      <c r="N810" s="408"/>
      <c r="O810" s="408"/>
      <c r="P810" s="408"/>
      <c r="Q810" s="408"/>
      <c r="R810" s="408"/>
      <c r="S810" s="408"/>
      <c r="T810" s="408"/>
      <c r="U810" s="408"/>
      <c r="V810" s="408"/>
      <c r="W810" s="408"/>
      <c r="X810" s="408"/>
      <c r="Y810" s="408"/>
      <c r="Z810" s="408"/>
      <c r="AA810" s="408"/>
      <c r="AB810" s="408"/>
      <c r="AC810" s="408"/>
      <c r="AD810" s="408"/>
      <c r="AE810" s="408"/>
      <c r="AF810" s="408"/>
      <c r="AG810" s="408"/>
      <c r="AH810" s="408"/>
      <c r="AI810" s="408"/>
      <c r="AJ810" s="408"/>
      <c r="AK810" s="408"/>
      <c r="AL810" s="408"/>
      <c r="AM810" s="408"/>
      <c r="AN810" s="408"/>
      <c r="AO810" s="408"/>
      <c r="AP810" s="408"/>
      <c r="AQ810" s="408"/>
      <c r="AR810" s="408"/>
      <c r="AS810" s="408"/>
      <c r="AT810" s="408"/>
      <c r="AU810" s="408"/>
      <c r="AV810" s="408"/>
      <c r="AW810" s="408"/>
      <c r="AX810" s="408"/>
      <c r="AY810" s="408"/>
      <c r="AZ810" s="408"/>
      <c r="BA810" s="408"/>
      <c r="BB810" s="408"/>
      <c r="BC810" s="408"/>
      <c r="BD810" s="408"/>
      <c r="BE810" s="408"/>
      <c r="BF810" s="408"/>
      <c r="BG810" s="408"/>
      <c r="BH810" s="408"/>
      <c r="BI810" s="408"/>
      <c r="BJ810" s="408"/>
      <c r="BK810" s="408"/>
      <c r="BL810" s="408"/>
      <c r="BM810" s="408"/>
      <c r="BN810" s="408"/>
      <c r="BO810" s="408"/>
      <c r="BP810" s="408"/>
      <c r="BQ810" s="408"/>
      <c r="BR810" s="408"/>
      <c r="BS810" s="408"/>
      <c r="BT810" s="408"/>
      <c r="BU810" s="408"/>
      <c r="BV810" s="408"/>
      <c r="BW810" s="408"/>
      <c r="BX810" s="408"/>
      <c r="BY810" s="408"/>
      <c r="BZ810" s="408"/>
      <c r="CA810" s="408"/>
      <c r="CB810" s="408"/>
      <c r="CC810" s="408"/>
      <c r="CD810" s="408"/>
      <c r="CE810" s="408"/>
      <c r="CF810" s="408"/>
      <c r="CG810" s="408"/>
      <c r="CH810" s="408"/>
      <c r="CI810" s="408"/>
      <c r="CJ810" s="408"/>
      <c r="CK810" s="408"/>
      <c r="CL810" s="408"/>
      <c r="CM810" s="408"/>
      <c r="CN810" s="408"/>
    </row>
    <row r="811">
      <c r="A811" s="408"/>
      <c r="B811" s="408"/>
      <c r="C811" s="408"/>
      <c r="D811" s="408"/>
      <c r="E811" s="408"/>
      <c r="F811" s="408"/>
      <c r="G811" s="408"/>
      <c r="H811" s="408"/>
      <c r="I811" s="408"/>
      <c r="J811" s="408"/>
      <c r="K811" s="408"/>
      <c r="L811" s="408"/>
      <c r="M811" s="408"/>
      <c r="N811" s="408"/>
      <c r="O811" s="408"/>
      <c r="P811" s="408"/>
      <c r="Q811" s="408"/>
      <c r="R811" s="408"/>
      <c r="S811" s="408"/>
      <c r="T811" s="408"/>
      <c r="U811" s="408"/>
      <c r="V811" s="408"/>
      <c r="W811" s="408"/>
      <c r="X811" s="408"/>
      <c r="Y811" s="408"/>
      <c r="Z811" s="408"/>
      <c r="AA811" s="408"/>
      <c r="AB811" s="408"/>
      <c r="AC811" s="408"/>
      <c r="AD811" s="408"/>
      <c r="AE811" s="408"/>
      <c r="AF811" s="408"/>
      <c r="AG811" s="408"/>
      <c r="AH811" s="408"/>
      <c r="AI811" s="408"/>
      <c r="AJ811" s="408"/>
      <c r="AK811" s="408"/>
      <c r="AL811" s="408"/>
      <c r="AM811" s="408"/>
      <c r="AN811" s="408"/>
      <c r="AO811" s="408"/>
      <c r="AP811" s="408"/>
      <c r="AQ811" s="408"/>
      <c r="AR811" s="408"/>
      <c r="AS811" s="408"/>
      <c r="AT811" s="408"/>
      <c r="AU811" s="408"/>
      <c r="AV811" s="408"/>
      <c r="AW811" s="408"/>
      <c r="AX811" s="408"/>
      <c r="AY811" s="408"/>
      <c r="AZ811" s="408"/>
      <c r="BA811" s="408"/>
      <c r="BB811" s="408"/>
      <c r="BC811" s="408"/>
      <c r="BD811" s="408"/>
      <c r="BE811" s="408"/>
      <c r="BF811" s="408"/>
      <c r="BG811" s="408"/>
      <c r="BH811" s="408"/>
      <c r="BI811" s="408"/>
      <c r="BJ811" s="408"/>
      <c r="BK811" s="408"/>
      <c r="BL811" s="408"/>
      <c r="BM811" s="408"/>
      <c r="BN811" s="408"/>
      <c r="BO811" s="408"/>
      <c r="BP811" s="408"/>
      <c r="BQ811" s="408"/>
      <c r="BR811" s="408"/>
      <c r="BS811" s="408"/>
      <c r="BT811" s="408"/>
      <c r="BU811" s="408"/>
      <c r="BV811" s="408"/>
      <c r="BW811" s="408"/>
      <c r="BX811" s="408"/>
      <c r="BY811" s="408"/>
      <c r="BZ811" s="408"/>
      <c r="CA811" s="408"/>
      <c r="CB811" s="408"/>
      <c r="CC811" s="408"/>
      <c r="CD811" s="408"/>
      <c r="CE811" s="408"/>
      <c r="CF811" s="408"/>
      <c r="CG811" s="408"/>
      <c r="CH811" s="408"/>
      <c r="CI811" s="408"/>
      <c r="CJ811" s="408"/>
      <c r="CK811" s="408"/>
      <c r="CL811" s="408"/>
      <c r="CM811" s="408"/>
      <c r="CN811" s="408"/>
    </row>
    <row r="812">
      <c r="A812" s="408"/>
      <c r="B812" s="408"/>
      <c r="C812" s="408"/>
      <c r="D812" s="408"/>
      <c r="E812" s="408"/>
      <c r="F812" s="408"/>
      <c r="G812" s="408"/>
      <c r="H812" s="408"/>
      <c r="I812" s="408"/>
      <c r="J812" s="408"/>
      <c r="K812" s="408"/>
      <c r="L812" s="408"/>
      <c r="M812" s="408"/>
      <c r="N812" s="408"/>
      <c r="O812" s="408"/>
      <c r="P812" s="408"/>
      <c r="Q812" s="408"/>
      <c r="R812" s="408"/>
      <c r="S812" s="408"/>
      <c r="T812" s="408"/>
      <c r="U812" s="408"/>
      <c r="V812" s="408"/>
      <c r="W812" s="408"/>
      <c r="X812" s="408"/>
      <c r="Y812" s="408"/>
      <c r="Z812" s="408"/>
      <c r="AA812" s="408"/>
      <c r="AB812" s="408"/>
      <c r="AC812" s="408"/>
      <c r="AD812" s="408"/>
      <c r="AE812" s="408"/>
      <c r="AF812" s="408"/>
      <c r="AG812" s="408"/>
      <c r="AH812" s="408"/>
      <c r="AI812" s="408"/>
      <c r="AJ812" s="408"/>
      <c r="AK812" s="408"/>
      <c r="AL812" s="408"/>
      <c r="AM812" s="408"/>
      <c r="AN812" s="408"/>
      <c r="AO812" s="408"/>
      <c r="AP812" s="408"/>
      <c r="AQ812" s="408"/>
      <c r="AR812" s="408"/>
      <c r="AS812" s="408"/>
      <c r="AT812" s="408"/>
      <c r="AU812" s="408"/>
      <c r="AV812" s="408"/>
      <c r="AW812" s="408"/>
      <c r="AX812" s="408"/>
      <c r="AY812" s="408"/>
      <c r="AZ812" s="408"/>
      <c r="BA812" s="408"/>
      <c r="BB812" s="408"/>
      <c r="BC812" s="408"/>
      <c r="BD812" s="408"/>
      <c r="BE812" s="408"/>
      <c r="BF812" s="408"/>
      <c r="BG812" s="408"/>
      <c r="BH812" s="408"/>
      <c r="BI812" s="408"/>
      <c r="BJ812" s="408"/>
      <c r="BK812" s="408"/>
      <c r="BL812" s="408"/>
      <c r="BM812" s="408"/>
      <c r="BN812" s="408"/>
      <c r="BO812" s="408"/>
      <c r="BP812" s="408"/>
      <c r="BQ812" s="408"/>
      <c r="BR812" s="408"/>
      <c r="BS812" s="408"/>
      <c r="BT812" s="408"/>
      <c r="BU812" s="408"/>
      <c r="BV812" s="408"/>
      <c r="BW812" s="408"/>
      <c r="BX812" s="408"/>
      <c r="BY812" s="408"/>
      <c r="BZ812" s="408"/>
      <c r="CA812" s="408"/>
      <c r="CB812" s="408"/>
      <c r="CC812" s="408"/>
      <c r="CD812" s="408"/>
      <c r="CE812" s="408"/>
      <c r="CF812" s="408"/>
      <c r="CG812" s="408"/>
      <c r="CH812" s="408"/>
      <c r="CI812" s="408"/>
      <c r="CJ812" s="408"/>
      <c r="CK812" s="408"/>
      <c r="CL812" s="408"/>
      <c r="CM812" s="408"/>
      <c r="CN812" s="408"/>
    </row>
    <row r="813">
      <c r="A813" s="408"/>
      <c r="B813" s="408"/>
      <c r="C813" s="408"/>
      <c r="D813" s="408"/>
      <c r="E813" s="408"/>
      <c r="F813" s="408"/>
      <c r="G813" s="408"/>
      <c r="H813" s="408"/>
      <c r="I813" s="408"/>
      <c r="J813" s="408"/>
      <c r="K813" s="408"/>
      <c r="L813" s="408"/>
      <c r="M813" s="408"/>
      <c r="N813" s="408"/>
      <c r="O813" s="408"/>
      <c r="P813" s="408"/>
      <c r="Q813" s="408"/>
      <c r="R813" s="408"/>
      <c r="S813" s="408"/>
      <c r="T813" s="408"/>
      <c r="U813" s="408"/>
      <c r="V813" s="408"/>
      <c r="W813" s="408"/>
      <c r="X813" s="408"/>
      <c r="Y813" s="408"/>
      <c r="Z813" s="408"/>
      <c r="AA813" s="408"/>
      <c r="AB813" s="408"/>
      <c r="AC813" s="408"/>
      <c r="AD813" s="408"/>
      <c r="AE813" s="408"/>
      <c r="AF813" s="408"/>
      <c r="AG813" s="408"/>
      <c r="AH813" s="408"/>
      <c r="AI813" s="408"/>
      <c r="AJ813" s="408"/>
      <c r="AK813" s="408"/>
      <c r="AL813" s="408"/>
      <c r="AM813" s="408"/>
      <c r="AN813" s="408"/>
      <c r="AO813" s="408"/>
      <c r="AP813" s="408"/>
      <c r="AQ813" s="408"/>
      <c r="AR813" s="408"/>
      <c r="AS813" s="408"/>
      <c r="AT813" s="408"/>
      <c r="AU813" s="408"/>
      <c r="AV813" s="408"/>
      <c r="AW813" s="408"/>
      <c r="AX813" s="408"/>
      <c r="AY813" s="408"/>
      <c r="AZ813" s="408"/>
      <c r="BA813" s="408"/>
      <c r="BB813" s="408"/>
      <c r="BC813" s="408"/>
      <c r="BD813" s="408"/>
      <c r="BE813" s="408"/>
      <c r="BF813" s="408"/>
      <c r="BG813" s="408"/>
      <c r="BH813" s="408"/>
      <c r="BI813" s="408"/>
      <c r="BJ813" s="408"/>
      <c r="BK813" s="408"/>
      <c r="BL813" s="408"/>
      <c r="BM813" s="408"/>
      <c r="BN813" s="408"/>
      <c r="BO813" s="408"/>
      <c r="BP813" s="408"/>
      <c r="BQ813" s="408"/>
      <c r="BR813" s="408"/>
      <c r="BS813" s="408"/>
      <c r="BT813" s="408"/>
      <c r="BU813" s="408"/>
      <c r="BV813" s="408"/>
      <c r="BW813" s="408"/>
      <c r="BX813" s="408"/>
      <c r="BY813" s="408"/>
      <c r="BZ813" s="408"/>
      <c r="CA813" s="408"/>
      <c r="CB813" s="408"/>
      <c r="CC813" s="408"/>
      <c r="CD813" s="408"/>
      <c r="CE813" s="408"/>
      <c r="CF813" s="408"/>
      <c r="CG813" s="408"/>
      <c r="CH813" s="408"/>
      <c r="CI813" s="408"/>
      <c r="CJ813" s="408"/>
      <c r="CK813" s="408"/>
      <c r="CL813" s="408"/>
      <c r="CM813" s="408"/>
      <c r="CN813" s="408"/>
    </row>
    <row r="814">
      <c r="A814" s="408"/>
      <c r="B814" s="408"/>
      <c r="C814" s="408"/>
      <c r="D814" s="408"/>
      <c r="E814" s="408"/>
      <c r="F814" s="408"/>
      <c r="G814" s="408"/>
      <c r="H814" s="408"/>
      <c r="I814" s="408"/>
      <c r="J814" s="408"/>
      <c r="K814" s="408"/>
      <c r="L814" s="408"/>
      <c r="M814" s="408"/>
      <c r="N814" s="408"/>
      <c r="O814" s="408"/>
      <c r="P814" s="408"/>
      <c r="Q814" s="408"/>
      <c r="R814" s="408"/>
      <c r="S814" s="408"/>
      <c r="T814" s="408"/>
      <c r="U814" s="408"/>
      <c r="V814" s="408"/>
      <c r="W814" s="408"/>
      <c r="X814" s="408"/>
      <c r="Y814" s="408"/>
      <c r="Z814" s="408"/>
      <c r="AA814" s="408"/>
      <c r="AB814" s="408"/>
      <c r="AC814" s="408"/>
      <c r="AD814" s="408"/>
      <c r="AE814" s="408"/>
      <c r="AF814" s="408"/>
      <c r="AG814" s="408"/>
      <c r="AH814" s="408"/>
      <c r="AI814" s="408"/>
      <c r="AJ814" s="408"/>
      <c r="AK814" s="408"/>
      <c r="AL814" s="408"/>
      <c r="AM814" s="408"/>
      <c r="AN814" s="408"/>
      <c r="AO814" s="408"/>
      <c r="AP814" s="408"/>
      <c r="AQ814" s="408"/>
      <c r="AR814" s="408"/>
      <c r="AS814" s="408"/>
      <c r="AT814" s="408"/>
      <c r="AU814" s="408"/>
      <c r="AV814" s="408"/>
      <c r="AW814" s="408"/>
      <c r="AX814" s="408"/>
      <c r="AY814" s="408"/>
      <c r="AZ814" s="408"/>
      <c r="BA814" s="408"/>
      <c r="BB814" s="408"/>
      <c r="BC814" s="408"/>
      <c r="BD814" s="408"/>
      <c r="BE814" s="408"/>
      <c r="BF814" s="408"/>
      <c r="BG814" s="408"/>
      <c r="BH814" s="408"/>
      <c r="BI814" s="408"/>
      <c r="BJ814" s="408"/>
      <c r="BK814" s="408"/>
      <c r="BL814" s="408"/>
      <c r="BM814" s="408"/>
      <c r="BN814" s="408"/>
      <c r="BO814" s="408"/>
      <c r="BP814" s="408"/>
      <c r="BQ814" s="408"/>
      <c r="BR814" s="408"/>
      <c r="BS814" s="408"/>
      <c r="BT814" s="408"/>
      <c r="BU814" s="408"/>
      <c r="BV814" s="408"/>
      <c r="BW814" s="408"/>
      <c r="BX814" s="408"/>
      <c r="BY814" s="408"/>
      <c r="BZ814" s="408"/>
      <c r="CA814" s="408"/>
      <c r="CB814" s="408"/>
      <c r="CC814" s="408"/>
      <c r="CD814" s="408"/>
      <c r="CE814" s="408"/>
      <c r="CF814" s="408"/>
      <c r="CG814" s="408"/>
      <c r="CH814" s="408"/>
      <c r="CI814" s="408"/>
      <c r="CJ814" s="408"/>
      <c r="CK814" s="408"/>
      <c r="CL814" s="408"/>
      <c r="CM814" s="408"/>
      <c r="CN814" s="408"/>
    </row>
    <row r="815">
      <c r="A815" s="408"/>
      <c r="B815" s="408"/>
      <c r="C815" s="408"/>
      <c r="D815" s="408"/>
      <c r="E815" s="408"/>
      <c r="F815" s="408"/>
      <c r="G815" s="408"/>
      <c r="H815" s="408"/>
      <c r="I815" s="408"/>
      <c r="J815" s="408"/>
      <c r="K815" s="408"/>
      <c r="L815" s="408"/>
      <c r="M815" s="408"/>
      <c r="N815" s="408"/>
      <c r="O815" s="408"/>
      <c r="P815" s="408"/>
      <c r="Q815" s="408"/>
      <c r="R815" s="408"/>
      <c r="S815" s="408"/>
      <c r="T815" s="408"/>
      <c r="U815" s="408"/>
      <c r="V815" s="408"/>
      <c r="W815" s="408"/>
      <c r="X815" s="408"/>
      <c r="Y815" s="408"/>
      <c r="Z815" s="408"/>
      <c r="AA815" s="408"/>
      <c r="AB815" s="408"/>
      <c r="AC815" s="408"/>
      <c r="AD815" s="408"/>
      <c r="AE815" s="408"/>
      <c r="AF815" s="408"/>
      <c r="AG815" s="408"/>
      <c r="AH815" s="408"/>
      <c r="AI815" s="408"/>
      <c r="AJ815" s="408"/>
      <c r="AK815" s="408"/>
      <c r="AL815" s="408"/>
      <c r="AM815" s="408"/>
      <c r="AN815" s="408"/>
      <c r="AO815" s="408"/>
      <c r="AP815" s="408"/>
      <c r="AQ815" s="408"/>
      <c r="AR815" s="408"/>
      <c r="AS815" s="408"/>
      <c r="AT815" s="408"/>
      <c r="AU815" s="408"/>
      <c r="AV815" s="408"/>
      <c r="AW815" s="408"/>
      <c r="AX815" s="408"/>
      <c r="AY815" s="408"/>
      <c r="AZ815" s="408"/>
      <c r="BA815" s="408"/>
      <c r="BB815" s="408"/>
      <c r="BC815" s="408"/>
      <c r="BD815" s="408"/>
      <c r="BE815" s="408"/>
      <c r="BF815" s="408"/>
      <c r="BG815" s="408"/>
      <c r="BH815" s="408"/>
      <c r="BI815" s="408"/>
      <c r="BJ815" s="408"/>
      <c r="BK815" s="408"/>
      <c r="BL815" s="408"/>
      <c r="BM815" s="408"/>
      <c r="BN815" s="408"/>
      <c r="BO815" s="408"/>
      <c r="BP815" s="408"/>
      <c r="BQ815" s="408"/>
      <c r="BR815" s="408"/>
      <c r="BS815" s="408"/>
      <c r="BT815" s="408"/>
      <c r="BU815" s="408"/>
      <c r="BV815" s="408"/>
      <c r="BW815" s="408"/>
      <c r="BX815" s="408"/>
      <c r="BY815" s="408"/>
      <c r="BZ815" s="408"/>
      <c r="CA815" s="408"/>
      <c r="CB815" s="408"/>
      <c r="CC815" s="408"/>
      <c r="CD815" s="408"/>
      <c r="CE815" s="408"/>
      <c r="CF815" s="408"/>
      <c r="CG815" s="408"/>
      <c r="CH815" s="408"/>
      <c r="CI815" s="408"/>
      <c r="CJ815" s="408"/>
      <c r="CK815" s="408"/>
      <c r="CL815" s="408"/>
      <c r="CM815" s="408"/>
      <c r="CN815" s="408"/>
    </row>
    <row r="816">
      <c r="A816" s="408"/>
      <c r="B816" s="408"/>
      <c r="C816" s="408"/>
      <c r="D816" s="408"/>
      <c r="E816" s="408"/>
      <c r="F816" s="408"/>
      <c r="G816" s="408"/>
      <c r="H816" s="408"/>
      <c r="I816" s="408"/>
      <c r="J816" s="408"/>
      <c r="K816" s="408"/>
      <c r="L816" s="408"/>
      <c r="M816" s="408"/>
      <c r="N816" s="408"/>
      <c r="O816" s="408"/>
      <c r="P816" s="408"/>
      <c r="Q816" s="408"/>
      <c r="R816" s="408"/>
      <c r="S816" s="408"/>
      <c r="T816" s="408"/>
      <c r="U816" s="408"/>
      <c r="V816" s="408"/>
      <c r="W816" s="408"/>
      <c r="X816" s="408"/>
      <c r="Y816" s="408"/>
      <c r="Z816" s="408"/>
      <c r="AA816" s="408"/>
      <c r="AB816" s="408"/>
      <c r="AC816" s="408"/>
      <c r="AD816" s="408"/>
      <c r="AE816" s="408"/>
      <c r="AF816" s="408"/>
      <c r="AG816" s="408"/>
      <c r="AH816" s="408"/>
      <c r="AI816" s="408"/>
      <c r="AJ816" s="408"/>
      <c r="AK816" s="408"/>
      <c r="AL816" s="408"/>
      <c r="AM816" s="408"/>
      <c r="AN816" s="408"/>
      <c r="AO816" s="408"/>
      <c r="AP816" s="408"/>
      <c r="AQ816" s="408"/>
      <c r="AR816" s="408"/>
      <c r="AS816" s="408"/>
      <c r="AT816" s="408"/>
      <c r="AU816" s="408"/>
      <c r="AV816" s="408"/>
      <c r="AW816" s="408"/>
      <c r="AX816" s="408"/>
      <c r="AY816" s="408"/>
      <c r="AZ816" s="408"/>
      <c r="BA816" s="408"/>
      <c r="BB816" s="408"/>
      <c r="BC816" s="408"/>
      <c r="BD816" s="408"/>
      <c r="BE816" s="408"/>
      <c r="BF816" s="408"/>
      <c r="BG816" s="408"/>
      <c r="BH816" s="408"/>
      <c r="BI816" s="408"/>
      <c r="BJ816" s="408"/>
      <c r="BK816" s="408"/>
      <c r="BL816" s="408"/>
      <c r="BM816" s="408"/>
      <c r="BN816" s="408"/>
      <c r="BO816" s="408"/>
      <c r="BP816" s="408"/>
      <c r="BQ816" s="408"/>
      <c r="BR816" s="408"/>
      <c r="BS816" s="408"/>
      <c r="BT816" s="408"/>
      <c r="BU816" s="408"/>
      <c r="BV816" s="408"/>
      <c r="BW816" s="408"/>
      <c r="BX816" s="408"/>
      <c r="BY816" s="408"/>
      <c r="BZ816" s="408"/>
      <c r="CA816" s="408"/>
      <c r="CB816" s="408"/>
      <c r="CC816" s="408"/>
      <c r="CD816" s="408"/>
      <c r="CE816" s="408"/>
      <c r="CF816" s="408"/>
      <c r="CG816" s="408"/>
      <c r="CH816" s="408"/>
      <c r="CI816" s="408"/>
      <c r="CJ816" s="408"/>
      <c r="CK816" s="408"/>
      <c r="CL816" s="408"/>
      <c r="CM816" s="408"/>
      <c r="CN816" s="408"/>
    </row>
    <row r="817">
      <c r="A817" s="408"/>
      <c r="B817" s="408"/>
      <c r="C817" s="408"/>
      <c r="D817" s="408"/>
      <c r="E817" s="408"/>
      <c r="F817" s="408"/>
      <c r="G817" s="408"/>
      <c r="H817" s="408"/>
      <c r="I817" s="408"/>
      <c r="J817" s="408"/>
      <c r="K817" s="408"/>
      <c r="L817" s="408"/>
      <c r="M817" s="408"/>
      <c r="N817" s="408"/>
      <c r="O817" s="408"/>
      <c r="P817" s="408"/>
      <c r="Q817" s="408"/>
      <c r="R817" s="408"/>
      <c r="S817" s="408"/>
      <c r="T817" s="408"/>
      <c r="U817" s="408"/>
      <c r="V817" s="408"/>
      <c r="W817" s="408"/>
      <c r="X817" s="408"/>
      <c r="Y817" s="408"/>
      <c r="Z817" s="408"/>
      <c r="AA817" s="408"/>
      <c r="AB817" s="408"/>
      <c r="AC817" s="408"/>
      <c r="AD817" s="408"/>
      <c r="AE817" s="408"/>
      <c r="AF817" s="408"/>
      <c r="AG817" s="408"/>
      <c r="AH817" s="408"/>
      <c r="AI817" s="408"/>
      <c r="AJ817" s="408"/>
      <c r="AK817" s="408"/>
      <c r="AL817" s="408"/>
      <c r="AM817" s="408"/>
      <c r="AN817" s="408"/>
      <c r="AO817" s="408"/>
      <c r="AP817" s="408"/>
      <c r="AQ817" s="408"/>
      <c r="AR817" s="408"/>
      <c r="AS817" s="408"/>
      <c r="AT817" s="408"/>
      <c r="AU817" s="408"/>
      <c r="AV817" s="408"/>
      <c r="AW817" s="408"/>
      <c r="AX817" s="408"/>
      <c r="AY817" s="408"/>
      <c r="AZ817" s="408"/>
      <c r="BA817" s="408"/>
      <c r="BB817" s="408"/>
      <c r="BC817" s="408"/>
      <c r="BD817" s="408"/>
      <c r="BE817" s="408"/>
      <c r="BF817" s="408"/>
      <c r="BG817" s="408"/>
      <c r="BH817" s="408"/>
      <c r="BI817" s="408"/>
      <c r="BJ817" s="408"/>
      <c r="BK817" s="408"/>
      <c r="BL817" s="408"/>
      <c r="BM817" s="408"/>
      <c r="BN817" s="408"/>
      <c r="BO817" s="408"/>
      <c r="BP817" s="408"/>
      <c r="BQ817" s="408"/>
      <c r="BR817" s="408"/>
      <c r="BS817" s="408"/>
      <c r="BT817" s="408"/>
      <c r="BU817" s="408"/>
      <c r="BV817" s="408"/>
      <c r="BW817" s="408"/>
      <c r="BX817" s="408"/>
      <c r="BY817" s="408"/>
      <c r="BZ817" s="408"/>
      <c r="CA817" s="408"/>
      <c r="CB817" s="408"/>
      <c r="CC817" s="408"/>
      <c r="CD817" s="408"/>
      <c r="CE817" s="408"/>
      <c r="CF817" s="408"/>
      <c r="CG817" s="408"/>
      <c r="CH817" s="408"/>
      <c r="CI817" s="408"/>
      <c r="CJ817" s="408"/>
      <c r="CK817" s="408"/>
      <c r="CL817" s="408"/>
      <c r="CM817" s="408"/>
      <c r="CN817" s="408"/>
    </row>
    <row r="818">
      <c r="A818" s="408"/>
      <c r="B818" s="408"/>
      <c r="C818" s="408"/>
      <c r="D818" s="408"/>
      <c r="E818" s="408"/>
      <c r="F818" s="408"/>
      <c r="G818" s="408"/>
      <c r="H818" s="408"/>
      <c r="I818" s="408"/>
      <c r="J818" s="408"/>
      <c r="K818" s="408"/>
      <c r="L818" s="408"/>
      <c r="M818" s="408"/>
      <c r="N818" s="408"/>
      <c r="O818" s="408"/>
      <c r="P818" s="408"/>
      <c r="Q818" s="408"/>
      <c r="R818" s="408"/>
      <c r="S818" s="408"/>
      <c r="T818" s="408"/>
      <c r="U818" s="408"/>
      <c r="V818" s="408"/>
      <c r="W818" s="408"/>
      <c r="X818" s="408"/>
      <c r="Y818" s="408"/>
      <c r="Z818" s="408"/>
      <c r="AA818" s="408"/>
      <c r="AB818" s="408"/>
      <c r="AC818" s="408"/>
      <c r="AD818" s="408"/>
      <c r="AE818" s="408"/>
      <c r="AF818" s="408"/>
      <c r="AG818" s="408"/>
      <c r="AH818" s="408"/>
      <c r="AI818" s="408"/>
      <c r="AJ818" s="408"/>
      <c r="AK818" s="408"/>
      <c r="AL818" s="408"/>
      <c r="AM818" s="408"/>
      <c r="AN818" s="408"/>
      <c r="AO818" s="408"/>
      <c r="AP818" s="408"/>
      <c r="AQ818" s="408"/>
      <c r="AR818" s="408"/>
      <c r="AS818" s="408"/>
      <c r="AT818" s="408"/>
      <c r="AU818" s="408"/>
      <c r="AV818" s="408"/>
      <c r="AW818" s="408"/>
      <c r="AX818" s="408"/>
      <c r="AY818" s="408"/>
      <c r="AZ818" s="408"/>
      <c r="BA818" s="408"/>
      <c r="BB818" s="408"/>
      <c r="BC818" s="408"/>
      <c r="BD818" s="408"/>
      <c r="BE818" s="408"/>
      <c r="BF818" s="408"/>
      <c r="BG818" s="408"/>
      <c r="BH818" s="408"/>
      <c r="BI818" s="408"/>
      <c r="BJ818" s="408"/>
      <c r="BK818" s="408"/>
      <c r="BL818" s="408"/>
      <c r="BM818" s="408"/>
      <c r="BN818" s="408"/>
      <c r="BO818" s="408"/>
      <c r="BP818" s="408"/>
      <c r="BQ818" s="408"/>
      <c r="BR818" s="408"/>
      <c r="BS818" s="408"/>
      <c r="BT818" s="408"/>
      <c r="BU818" s="408"/>
      <c r="BV818" s="408"/>
      <c r="BW818" s="408"/>
      <c r="BX818" s="408"/>
      <c r="BY818" s="408"/>
      <c r="BZ818" s="408"/>
      <c r="CA818" s="408"/>
      <c r="CB818" s="408"/>
      <c r="CC818" s="408"/>
      <c r="CD818" s="408"/>
      <c r="CE818" s="408"/>
      <c r="CF818" s="408"/>
      <c r="CG818" s="408"/>
      <c r="CH818" s="408"/>
      <c r="CI818" s="408"/>
      <c r="CJ818" s="408"/>
      <c r="CK818" s="408"/>
      <c r="CL818" s="408"/>
      <c r="CM818" s="408"/>
      <c r="CN818" s="408"/>
    </row>
    <row r="819">
      <c r="A819" s="408"/>
      <c r="B819" s="408"/>
      <c r="C819" s="408"/>
      <c r="D819" s="408"/>
      <c r="E819" s="408"/>
      <c r="F819" s="408"/>
      <c r="G819" s="408"/>
      <c r="H819" s="408"/>
      <c r="I819" s="408"/>
      <c r="J819" s="408"/>
      <c r="K819" s="408"/>
      <c r="L819" s="408"/>
      <c r="M819" s="408"/>
      <c r="N819" s="408"/>
      <c r="O819" s="408"/>
      <c r="P819" s="408"/>
      <c r="Q819" s="408"/>
      <c r="R819" s="408"/>
      <c r="S819" s="408"/>
      <c r="T819" s="408"/>
      <c r="U819" s="408"/>
      <c r="V819" s="408"/>
      <c r="W819" s="408"/>
      <c r="X819" s="408"/>
      <c r="Y819" s="408"/>
      <c r="Z819" s="408"/>
      <c r="AA819" s="408"/>
      <c r="AB819" s="408"/>
      <c r="AC819" s="408"/>
      <c r="AD819" s="408"/>
      <c r="AE819" s="408"/>
      <c r="AF819" s="408"/>
      <c r="AG819" s="408"/>
      <c r="AH819" s="408"/>
      <c r="AI819" s="408"/>
      <c r="AJ819" s="408"/>
      <c r="AK819" s="408"/>
      <c r="AL819" s="408"/>
      <c r="AM819" s="408"/>
      <c r="AN819" s="408"/>
      <c r="AO819" s="408"/>
      <c r="AP819" s="408"/>
      <c r="AQ819" s="408"/>
      <c r="AR819" s="408"/>
      <c r="AS819" s="408"/>
      <c r="AT819" s="408"/>
      <c r="AU819" s="408"/>
      <c r="AV819" s="408"/>
      <c r="AW819" s="408"/>
      <c r="AX819" s="408"/>
      <c r="AY819" s="408"/>
      <c r="AZ819" s="408"/>
      <c r="BA819" s="408"/>
      <c r="BB819" s="408"/>
      <c r="BC819" s="408"/>
      <c r="BD819" s="408"/>
      <c r="BE819" s="408"/>
      <c r="BF819" s="408"/>
      <c r="BG819" s="408"/>
      <c r="BH819" s="408"/>
      <c r="BI819" s="408"/>
      <c r="BJ819" s="408"/>
      <c r="BK819" s="408"/>
      <c r="BL819" s="408"/>
      <c r="BM819" s="408"/>
      <c r="BN819" s="408"/>
      <c r="BO819" s="408"/>
      <c r="BP819" s="408"/>
      <c r="BQ819" s="408"/>
      <c r="BR819" s="408"/>
      <c r="BS819" s="408"/>
      <c r="BT819" s="408"/>
      <c r="BU819" s="408"/>
      <c r="BV819" s="408"/>
      <c r="BW819" s="408"/>
      <c r="BX819" s="408"/>
      <c r="BY819" s="408"/>
      <c r="BZ819" s="408"/>
      <c r="CA819" s="408"/>
      <c r="CB819" s="408"/>
      <c r="CC819" s="408"/>
      <c r="CD819" s="408"/>
      <c r="CE819" s="408"/>
      <c r="CF819" s="408"/>
      <c r="CG819" s="408"/>
      <c r="CH819" s="408"/>
      <c r="CI819" s="408"/>
      <c r="CJ819" s="408"/>
      <c r="CK819" s="408"/>
      <c r="CL819" s="408"/>
      <c r="CM819" s="408"/>
      <c r="CN819" s="408"/>
    </row>
    <row r="820">
      <c r="A820" s="408"/>
      <c r="B820" s="408"/>
      <c r="C820" s="408"/>
      <c r="D820" s="408"/>
      <c r="E820" s="408"/>
      <c r="F820" s="408"/>
      <c r="G820" s="408"/>
      <c r="H820" s="408"/>
      <c r="I820" s="408"/>
      <c r="J820" s="408"/>
      <c r="K820" s="408"/>
      <c r="L820" s="408"/>
      <c r="M820" s="408"/>
      <c r="N820" s="408"/>
      <c r="O820" s="408"/>
      <c r="P820" s="408"/>
      <c r="Q820" s="408"/>
      <c r="R820" s="408"/>
      <c r="S820" s="408"/>
      <c r="T820" s="408"/>
      <c r="U820" s="408"/>
      <c r="V820" s="408"/>
      <c r="W820" s="408"/>
      <c r="X820" s="408"/>
      <c r="Y820" s="408"/>
      <c r="Z820" s="408"/>
      <c r="AA820" s="408"/>
      <c r="AB820" s="408"/>
      <c r="AC820" s="408"/>
      <c r="AD820" s="408"/>
      <c r="AE820" s="408"/>
      <c r="AF820" s="408"/>
      <c r="AG820" s="408"/>
      <c r="AH820" s="408"/>
      <c r="AI820" s="408"/>
      <c r="AJ820" s="408"/>
      <c r="AK820" s="408"/>
      <c r="AL820" s="408"/>
      <c r="AM820" s="408"/>
      <c r="AN820" s="408"/>
      <c r="AO820" s="408"/>
      <c r="AP820" s="408"/>
      <c r="AQ820" s="408"/>
      <c r="AR820" s="408"/>
      <c r="AS820" s="408"/>
      <c r="AT820" s="408"/>
      <c r="AU820" s="408"/>
      <c r="AV820" s="408"/>
      <c r="AW820" s="408"/>
      <c r="AX820" s="408"/>
      <c r="AY820" s="408"/>
      <c r="AZ820" s="408"/>
      <c r="BA820" s="408"/>
      <c r="BB820" s="408"/>
      <c r="BC820" s="408"/>
      <c r="BD820" s="408"/>
      <c r="BE820" s="408"/>
      <c r="BF820" s="408"/>
      <c r="BG820" s="408"/>
      <c r="BH820" s="408"/>
      <c r="BI820" s="408"/>
      <c r="BJ820" s="408"/>
      <c r="BK820" s="408"/>
      <c r="BL820" s="408"/>
      <c r="BM820" s="408"/>
      <c r="BN820" s="408"/>
      <c r="BO820" s="408"/>
      <c r="BP820" s="408"/>
      <c r="BQ820" s="408"/>
      <c r="BR820" s="408"/>
      <c r="BS820" s="408"/>
      <c r="BT820" s="408"/>
      <c r="BU820" s="408"/>
      <c r="BV820" s="408"/>
      <c r="BW820" s="408"/>
      <c r="BX820" s="408"/>
      <c r="BY820" s="408"/>
      <c r="BZ820" s="408"/>
      <c r="CA820" s="408"/>
      <c r="CB820" s="408"/>
      <c r="CC820" s="408"/>
      <c r="CD820" s="408"/>
      <c r="CE820" s="408"/>
      <c r="CF820" s="408"/>
      <c r="CG820" s="408"/>
      <c r="CH820" s="408"/>
      <c r="CI820" s="408"/>
      <c r="CJ820" s="408"/>
      <c r="CK820" s="408"/>
      <c r="CL820" s="408"/>
      <c r="CM820" s="408"/>
      <c r="CN820" s="408"/>
    </row>
    <row r="821">
      <c r="A821" s="408"/>
      <c r="B821" s="408"/>
      <c r="C821" s="408"/>
      <c r="D821" s="408"/>
      <c r="E821" s="408"/>
      <c r="F821" s="408"/>
      <c r="G821" s="408"/>
      <c r="H821" s="408"/>
      <c r="I821" s="408"/>
      <c r="J821" s="408"/>
      <c r="K821" s="408"/>
      <c r="L821" s="408"/>
      <c r="M821" s="408"/>
      <c r="N821" s="408"/>
      <c r="O821" s="408"/>
      <c r="P821" s="408"/>
      <c r="Q821" s="408"/>
      <c r="R821" s="408"/>
      <c r="S821" s="408"/>
      <c r="T821" s="408"/>
      <c r="U821" s="408"/>
      <c r="V821" s="408"/>
      <c r="W821" s="408"/>
      <c r="X821" s="408"/>
      <c r="Y821" s="408"/>
      <c r="Z821" s="408"/>
      <c r="AA821" s="408"/>
      <c r="AB821" s="408"/>
      <c r="AC821" s="408"/>
      <c r="AD821" s="408"/>
      <c r="AE821" s="408"/>
      <c r="AF821" s="408"/>
      <c r="AG821" s="408"/>
      <c r="AH821" s="408"/>
      <c r="AI821" s="408"/>
      <c r="AJ821" s="408"/>
      <c r="AK821" s="408"/>
      <c r="AL821" s="408"/>
      <c r="AM821" s="408"/>
      <c r="AN821" s="408"/>
      <c r="AO821" s="408"/>
      <c r="AP821" s="408"/>
      <c r="AQ821" s="408"/>
      <c r="AR821" s="408"/>
      <c r="AS821" s="408"/>
      <c r="AT821" s="408"/>
      <c r="AU821" s="408"/>
      <c r="AV821" s="408"/>
      <c r="AW821" s="408"/>
      <c r="AX821" s="408"/>
      <c r="AY821" s="408"/>
      <c r="AZ821" s="408"/>
      <c r="BA821" s="408"/>
      <c r="BB821" s="408"/>
      <c r="BC821" s="408"/>
      <c r="BD821" s="408"/>
      <c r="BE821" s="408"/>
      <c r="BF821" s="408"/>
      <c r="BG821" s="408"/>
      <c r="BH821" s="408"/>
      <c r="BI821" s="408"/>
      <c r="BJ821" s="408"/>
      <c r="BK821" s="408"/>
      <c r="BL821" s="408"/>
      <c r="BM821" s="408"/>
      <c r="BN821" s="408"/>
      <c r="BO821" s="408"/>
      <c r="BP821" s="408"/>
      <c r="BQ821" s="408"/>
      <c r="BR821" s="408"/>
      <c r="BS821" s="408"/>
      <c r="BT821" s="408"/>
      <c r="BU821" s="408"/>
      <c r="BV821" s="408"/>
      <c r="BW821" s="408"/>
      <c r="BX821" s="408"/>
      <c r="BY821" s="408"/>
      <c r="BZ821" s="408"/>
      <c r="CA821" s="408"/>
      <c r="CB821" s="408"/>
      <c r="CC821" s="408"/>
      <c r="CD821" s="408"/>
      <c r="CE821" s="408"/>
      <c r="CF821" s="408"/>
      <c r="CG821" s="408"/>
      <c r="CH821" s="408"/>
      <c r="CI821" s="408"/>
      <c r="CJ821" s="408"/>
      <c r="CK821" s="408"/>
      <c r="CL821" s="408"/>
      <c r="CM821" s="408"/>
      <c r="CN821" s="408"/>
    </row>
    <row r="822">
      <c r="A822" s="408"/>
      <c r="B822" s="408"/>
      <c r="C822" s="408"/>
      <c r="D822" s="408"/>
      <c r="E822" s="408"/>
      <c r="F822" s="408"/>
      <c r="G822" s="408"/>
      <c r="H822" s="408"/>
      <c r="I822" s="408"/>
      <c r="J822" s="408"/>
      <c r="K822" s="408"/>
      <c r="L822" s="408"/>
      <c r="M822" s="408"/>
      <c r="N822" s="408"/>
      <c r="O822" s="408"/>
      <c r="P822" s="408"/>
      <c r="Q822" s="408"/>
      <c r="R822" s="408"/>
      <c r="S822" s="408"/>
      <c r="T822" s="408"/>
      <c r="U822" s="408"/>
      <c r="V822" s="408"/>
      <c r="W822" s="408"/>
      <c r="X822" s="408"/>
      <c r="Y822" s="408"/>
      <c r="Z822" s="408"/>
      <c r="AA822" s="408"/>
      <c r="AB822" s="408"/>
      <c r="AC822" s="408"/>
      <c r="AD822" s="408"/>
      <c r="AE822" s="408"/>
      <c r="AF822" s="408"/>
      <c r="AG822" s="408"/>
      <c r="AH822" s="408"/>
      <c r="AI822" s="408"/>
      <c r="AJ822" s="408"/>
      <c r="AK822" s="408"/>
      <c r="AL822" s="408"/>
      <c r="AM822" s="408"/>
      <c r="AN822" s="408"/>
      <c r="AO822" s="408"/>
      <c r="AP822" s="408"/>
      <c r="AQ822" s="408"/>
      <c r="AR822" s="408"/>
      <c r="AS822" s="408"/>
      <c r="AT822" s="408"/>
      <c r="AU822" s="408"/>
      <c r="AV822" s="408"/>
      <c r="AW822" s="408"/>
      <c r="AX822" s="408"/>
      <c r="AY822" s="408"/>
      <c r="AZ822" s="408"/>
      <c r="BA822" s="408"/>
      <c r="BB822" s="408"/>
      <c r="BC822" s="408"/>
      <c r="BD822" s="408"/>
      <c r="BE822" s="408"/>
      <c r="BF822" s="408"/>
      <c r="BG822" s="408"/>
      <c r="BH822" s="408"/>
      <c r="BI822" s="408"/>
      <c r="BJ822" s="408"/>
      <c r="BK822" s="408"/>
      <c r="BL822" s="408"/>
      <c r="BM822" s="408"/>
      <c r="BN822" s="408"/>
      <c r="BO822" s="408"/>
      <c r="BP822" s="408"/>
      <c r="BQ822" s="408"/>
      <c r="BR822" s="408"/>
      <c r="BS822" s="408"/>
      <c r="BT822" s="408"/>
      <c r="BU822" s="408"/>
      <c r="BV822" s="408"/>
      <c r="BW822" s="408"/>
      <c r="BX822" s="408"/>
      <c r="BY822" s="408"/>
      <c r="BZ822" s="408"/>
      <c r="CA822" s="408"/>
      <c r="CB822" s="408"/>
      <c r="CC822" s="408"/>
      <c r="CD822" s="408"/>
      <c r="CE822" s="408"/>
      <c r="CF822" s="408"/>
      <c r="CG822" s="408"/>
      <c r="CH822" s="408"/>
      <c r="CI822" s="408"/>
      <c r="CJ822" s="408"/>
      <c r="CK822" s="408"/>
      <c r="CL822" s="408"/>
      <c r="CM822" s="408"/>
      <c r="CN822" s="408"/>
    </row>
    <row r="823">
      <c r="A823" s="408"/>
      <c r="B823" s="408"/>
      <c r="C823" s="408"/>
      <c r="D823" s="408"/>
      <c r="E823" s="408"/>
      <c r="F823" s="408"/>
      <c r="G823" s="408"/>
      <c r="H823" s="408"/>
      <c r="I823" s="408"/>
      <c r="J823" s="408"/>
      <c r="K823" s="408"/>
      <c r="L823" s="408"/>
      <c r="M823" s="408"/>
      <c r="N823" s="408"/>
      <c r="O823" s="408"/>
      <c r="P823" s="408"/>
      <c r="Q823" s="408"/>
      <c r="R823" s="408"/>
      <c r="S823" s="408"/>
      <c r="T823" s="408"/>
      <c r="U823" s="408"/>
      <c r="V823" s="408"/>
      <c r="W823" s="408"/>
      <c r="X823" s="408"/>
      <c r="Y823" s="408"/>
      <c r="Z823" s="408"/>
      <c r="AA823" s="408"/>
      <c r="AB823" s="408"/>
      <c r="AC823" s="408"/>
      <c r="AD823" s="408"/>
      <c r="AE823" s="408"/>
      <c r="AF823" s="408"/>
      <c r="AG823" s="408"/>
      <c r="AH823" s="408"/>
      <c r="AI823" s="408"/>
      <c r="AJ823" s="408"/>
      <c r="AK823" s="408"/>
      <c r="AL823" s="408"/>
      <c r="AM823" s="408"/>
      <c r="AN823" s="408"/>
      <c r="AO823" s="408"/>
      <c r="AP823" s="408"/>
      <c r="AQ823" s="408"/>
      <c r="AR823" s="408"/>
      <c r="AS823" s="408"/>
      <c r="AT823" s="408"/>
      <c r="AU823" s="408"/>
      <c r="AV823" s="408"/>
      <c r="AW823" s="408"/>
      <c r="AX823" s="408"/>
      <c r="AY823" s="408"/>
      <c r="AZ823" s="408"/>
      <c r="BA823" s="408"/>
      <c r="BB823" s="408"/>
      <c r="BC823" s="408"/>
      <c r="BD823" s="408"/>
      <c r="BE823" s="408"/>
      <c r="BF823" s="408"/>
      <c r="BG823" s="408"/>
      <c r="BH823" s="408"/>
      <c r="BI823" s="408"/>
      <c r="BJ823" s="408"/>
      <c r="BK823" s="408"/>
      <c r="BL823" s="408"/>
      <c r="BM823" s="408"/>
      <c r="BN823" s="408"/>
      <c r="BO823" s="408"/>
      <c r="BP823" s="408"/>
      <c r="BQ823" s="408"/>
      <c r="BR823" s="408"/>
      <c r="BS823" s="408"/>
      <c r="BT823" s="408"/>
      <c r="BU823" s="408"/>
      <c r="BV823" s="408"/>
      <c r="BW823" s="408"/>
      <c r="BX823" s="408"/>
      <c r="BY823" s="408"/>
      <c r="BZ823" s="408"/>
      <c r="CA823" s="408"/>
      <c r="CB823" s="408"/>
      <c r="CC823" s="408"/>
      <c r="CD823" s="408"/>
      <c r="CE823" s="408"/>
      <c r="CF823" s="408"/>
      <c r="CG823" s="408"/>
      <c r="CH823" s="408"/>
      <c r="CI823" s="408"/>
      <c r="CJ823" s="408"/>
      <c r="CK823" s="408"/>
      <c r="CL823" s="408"/>
      <c r="CM823" s="408"/>
      <c r="CN823" s="408"/>
    </row>
    <row r="824">
      <c r="A824" s="408"/>
      <c r="B824" s="408"/>
      <c r="C824" s="408"/>
      <c r="D824" s="408"/>
      <c r="E824" s="408"/>
      <c r="F824" s="408"/>
      <c r="G824" s="408"/>
      <c r="H824" s="408"/>
      <c r="I824" s="408"/>
      <c r="J824" s="408"/>
      <c r="K824" s="408"/>
      <c r="L824" s="408"/>
      <c r="M824" s="408"/>
      <c r="N824" s="408"/>
      <c r="O824" s="408"/>
      <c r="P824" s="408"/>
      <c r="Q824" s="408"/>
      <c r="R824" s="408"/>
      <c r="S824" s="408"/>
      <c r="T824" s="408"/>
      <c r="U824" s="408"/>
      <c r="V824" s="408"/>
      <c r="W824" s="408"/>
      <c r="X824" s="408"/>
      <c r="Y824" s="408"/>
      <c r="Z824" s="408"/>
      <c r="AA824" s="408"/>
      <c r="AB824" s="408"/>
      <c r="AC824" s="408"/>
      <c r="AD824" s="408"/>
      <c r="AE824" s="408"/>
      <c r="AF824" s="408"/>
      <c r="AG824" s="408"/>
      <c r="AH824" s="408"/>
      <c r="AI824" s="408"/>
      <c r="AJ824" s="408"/>
      <c r="AK824" s="408"/>
      <c r="AL824" s="408"/>
      <c r="AM824" s="408"/>
      <c r="AN824" s="408"/>
      <c r="AO824" s="408"/>
      <c r="AP824" s="408"/>
      <c r="AQ824" s="408"/>
      <c r="AR824" s="408"/>
      <c r="AS824" s="408"/>
      <c r="AT824" s="408"/>
      <c r="AU824" s="408"/>
      <c r="AV824" s="408"/>
      <c r="AW824" s="408"/>
      <c r="AX824" s="408"/>
      <c r="AY824" s="408"/>
      <c r="AZ824" s="408"/>
      <c r="BA824" s="408"/>
      <c r="BB824" s="408"/>
      <c r="BC824" s="408"/>
      <c r="BD824" s="408"/>
      <c r="BE824" s="408"/>
      <c r="BF824" s="408"/>
      <c r="BG824" s="408"/>
      <c r="BH824" s="408"/>
      <c r="BI824" s="408"/>
      <c r="BJ824" s="408"/>
      <c r="BK824" s="408"/>
      <c r="BL824" s="408"/>
      <c r="BM824" s="408"/>
      <c r="BN824" s="408"/>
      <c r="BO824" s="408"/>
      <c r="BP824" s="408"/>
      <c r="BQ824" s="408"/>
      <c r="BR824" s="408"/>
      <c r="BS824" s="408"/>
      <c r="BT824" s="408"/>
      <c r="BU824" s="408"/>
      <c r="BV824" s="408"/>
      <c r="BW824" s="408"/>
      <c r="BX824" s="408"/>
      <c r="BY824" s="408"/>
      <c r="BZ824" s="408"/>
      <c r="CA824" s="408"/>
      <c r="CB824" s="408"/>
      <c r="CC824" s="408"/>
      <c r="CD824" s="408"/>
      <c r="CE824" s="408"/>
      <c r="CF824" s="408"/>
      <c r="CG824" s="408"/>
      <c r="CH824" s="408"/>
      <c r="CI824" s="408"/>
      <c r="CJ824" s="408"/>
      <c r="CK824" s="408"/>
      <c r="CL824" s="408"/>
      <c r="CM824" s="408"/>
      <c r="CN824" s="408"/>
    </row>
    <row r="825">
      <c r="A825" s="408"/>
      <c r="B825" s="408"/>
      <c r="C825" s="408"/>
      <c r="D825" s="408"/>
      <c r="E825" s="408"/>
      <c r="F825" s="408"/>
      <c r="G825" s="408"/>
      <c r="H825" s="408"/>
      <c r="I825" s="408"/>
      <c r="J825" s="408"/>
      <c r="K825" s="408"/>
      <c r="L825" s="408"/>
      <c r="M825" s="408"/>
      <c r="N825" s="408"/>
      <c r="O825" s="408"/>
      <c r="P825" s="408"/>
      <c r="Q825" s="408"/>
      <c r="R825" s="408"/>
      <c r="S825" s="408"/>
      <c r="T825" s="408"/>
      <c r="U825" s="408"/>
      <c r="V825" s="408"/>
      <c r="W825" s="408"/>
      <c r="X825" s="408"/>
      <c r="Y825" s="408"/>
      <c r="Z825" s="408"/>
      <c r="AA825" s="408"/>
      <c r="AB825" s="408"/>
      <c r="AC825" s="408"/>
      <c r="AD825" s="408"/>
      <c r="AE825" s="408"/>
      <c r="AF825" s="408"/>
      <c r="AG825" s="408"/>
      <c r="AH825" s="408"/>
      <c r="AI825" s="408"/>
      <c r="AJ825" s="408"/>
      <c r="AK825" s="408"/>
      <c r="AL825" s="408"/>
      <c r="AM825" s="408"/>
      <c r="AN825" s="408"/>
      <c r="AO825" s="408"/>
      <c r="AP825" s="408"/>
      <c r="AQ825" s="408"/>
      <c r="AR825" s="408"/>
      <c r="AS825" s="408"/>
      <c r="AT825" s="408"/>
      <c r="AU825" s="408"/>
      <c r="AV825" s="408"/>
      <c r="AW825" s="408"/>
      <c r="AX825" s="408"/>
      <c r="AY825" s="408"/>
      <c r="AZ825" s="408"/>
      <c r="BA825" s="408"/>
      <c r="BB825" s="408"/>
      <c r="BC825" s="408"/>
      <c r="BD825" s="408"/>
      <c r="BE825" s="408"/>
      <c r="BF825" s="408"/>
      <c r="BG825" s="408"/>
      <c r="BH825" s="408"/>
      <c r="BI825" s="408"/>
      <c r="BJ825" s="408"/>
      <c r="BK825" s="408"/>
      <c r="BL825" s="408"/>
      <c r="BM825" s="408"/>
      <c r="BN825" s="408"/>
      <c r="BO825" s="408"/>
      <c r="BP825" s="408"/>
      <c r="BQ825" s="408"/>
      <c r="BR825" s="408"/>
      <c r="BS825" s="408"/>
      <c r="BT825" s="408"/>
      <c r="BU825" s="408"/>
      <c r="BV825" s="408"/>
      <c r="BW825" s="408"/>
      <c r="BX825" s="408"/>
      <c r="BY825" s="408"/>
      <c r="BZ825" s="408"/>
      <c r="CA825" s="408"/>
      <c r="CB825" s="408"/>
      <c r="CC825" s="408"/>
      <c r="CD825" s="408"/>
      <c r="CE825" s="408"/>
      <c r="CF825" s="408"/>
      <c r="CG825" s="408"/>
      <c r="CH825" s="408"/>
      <c r="CI825" s="408"/>
      <c r="CJ825" s="408"/>
      <c r="CK825" s="408"/>
      <c r="CL825" s="408"/>
      <c r="CM825" s="408"/>
      <c r="CN825" s="408"/>
    </row>
    <row r="826">
      <c r="A826" s="408"/>
      <c r="B826" s="408"/>
      <c r="C826" s="408"/>
      <c r="D826" s="408"/>
      <c r="E826" s="408"/>
      <c r="F826" s="408"/>
      <c r="G826" s="408"/>
      <c r="H826" s="408"/>
      <c r="I826" s="408"/>
      <c r="J826" s="408"/>
      <c r="K826" s="408"/>
      <c r="L826" s="408"/>
      <c r="M826" s="408"/>
      <c r="N826" s="408"/>
      <c r="O826" s="408"/>
      <c r="P826" s="408"/>
      <c r="Q826" s="408"/>
      <c r="R826" s="408"/>
      <c r="S826" s="408"/>
      <c r="T826" s="408"/>
      <c r="U826" s="408"/>
      <c r="V826" s="408"/>
      <c r="W826" s="408"/>
      <c r="X826" s="408"/>
      <c r="Y826" s="408"/>
      <c r="Z826" s="408"/>
      <c r="AA826" s="408"/>
      <c r="AB826" s="408"/>
      <c r="AC826" s="408"/>
      <c r="AD826" s="408"/>
      <c r="AE826" s="408"/>
      <c r="AF826" s="408"/>
      <c r="AG826" s="408"/>
      <c r="AH826" s="408"/>
      <c r="AI826" s="408"/>
      <c r="AJ826" s="408"/>
      <c r="AK826" s="408"/>
      <c r="AL826" s="408"/>
      <c r="AM826" s="408"/>
      <c r="AN826" s="408"/>
      <c r="AO826" s="408"/>
      <c r="AP826" s="408"/>
      <c r="AQ826" s="408"/>
      <c r="AR826" s="408"/>
      <c r="AS826" s="408"/>
      <c r="AT826" s="408"/>
      <c r="AU826" s="408"/>
      <c r="AV826" s="408"/>
      <c r="AW826" s="408"/>
      <c r="AX826" s="408"/>
      <c r="AY826" s="408"/>
      <c r="AZ826" s="408"/>
      <c r="BA826" s="408"/>
      <c r="BB826" s="408"/>
      <c r="BC826" s="408"/>
      <c r="BD826" s="408"/>
      <c r="BE826" s="408"/>
      <c r="BF826" s="408"/>
      <c r="BG826" s="408"/>
      <c r="BH826" s="408"/>
      <c r="BI826" s="408"/>
      <c r="BJ826" s="408"/>
      <c r="BK826" s="408"/>
      <c r="BL826" s="408"/>
      <c r="BM826" s="408"/>
      <c r="BN826" s="408"/>
      <c r="BO826" s="408"/>
      <c r="BP826" s="408"/>
      <c r="BQ826" s="408"/>
      <c r="BR826" s="408"/>
      <c r="BS826" s="408"/>
      <c r="BT826" s="408"/>
      <c r="BU826" s="408"/>
      <c r="BV826" s="408"/>
      <c r="BW826" s="408"/>
      <c r="BX826" s="408"/>
      <c r="BY826" s="408"/>
      <c r="BZ826" s="408"/>
      <c r="CA826" s="408"/>
      <c r="CB826" s="408"/>
      <c r="CC826" s="408"/>
      <c r="CD826" s="408"/>
      <c r="CE826" s="408"/>
      <c r="CF826" s="408"/>
      <c r="CG826" s="408"/>
      <c r="CH826" s="408"/>
      <c r="CI826" s="408"/>
      <c r="CJ826" s="408"/>
      <c r="CK826" s="408"/>
      <c r="CL826" s="408"/>
      <c r="CM826" s="408"/>
      <c r="CN826" s="408"/>
    </row>
    <row r="827">
      <c r="A827" s="408"/>
      <c r="B827" s="408"/>
      <c r="C827" s="408"/>
      <c r="D827" s="408"/>
      <c r="E827" s="408"/>
      <c r="F827" s="408"/>
      <c r="G827" s="408"/>
      <c r="H827" s="408"/>
      <c r="I827" s="408"/>
      <c r="J827" s="408"/>
      <c r="K827" s="408"/>
      <c r="L827" s="408"/>
      <c r="M827" s="408"/>
      <c r="N827" s="408"/>
      <c r="O827" s="408"/>
      <c r="P827" s="408"/>
      <c r="Q827" s="408"/>
      <c r="R827" s="408"/>
      <c r="S827" s="408"/>
      <c r="T827" s="408"/>
      <c r="U827" s="408"/>
      <c r="V827" s="408"/>
      <c r="W827" s="408"/>
      <c r="X827" s="408"/>
      <c r="Y827" s="408"/>
      <c r="Z827" s="408"/>
      <c r="AA827" s="408"/>
      <c r="AB827" s="408"/>
      <c r="AC827" s="408"/>
      <c r="AD827" s="408"/>
      <c r="AE827" s="408"/>
      <c r="AF827" s="408"/>
      <c r="AG827" s="408"/>
      <c r="AH827" s="408"/>
      <c r="AI827" s="408"/>
      <c r="AJ827" s="408"/>
      <c r="AK827" s="408"/>
      <c r="AL827" s="408"/>
      <c r="AM827" s="408"/>
      <c r="AN827" s="408"/>
      <c r="AO827" s="408"/>
      <c r="AP827" s="408"/>
      <c r="AQ827" s="408"/>
      <c r="AR827" s="408"/>
      <c r="AS827" s="408"/>
      <c r="AT827" s="408"/>
      <c r="AU827" s="408"/>
      <c r="AV827" s="408"/>
      <c r="AW827" s="408"/>
      <c r="AX827" s="408"/>
      <c r="AY827" s="408"/>
      <c r="AZ827" s="408"/>
      <c r="BA827" s="408"/>
      <c r="BB827" s="408"/>
      <c r="BC827" s="408"/>
      <c r="BD827" s="408"/>
      <c r="BE827" s="408"/>
      <c r="BF827" s="408"/>
      <c r="BG827" s="408"/>
      <c r="BH827" s="408"/>
      <c r="BI827" s="408"/>
      <c r="BJ827" s="408"/>
      <c r="BK827" s="408"/>
      <c r="BL827" s="408"/>
      <c r="BM827" s="408"/>
      <c r="BN827" s="408"/>
      <c r="BO827" s="408"/>
      <c r="BP827" s="408"/>
      <c r="BQ827" s="408"/>
      <c r="BR827" s="408"/>
      <c r="BS827" s="408"/>
      <c r="BT827" s="408"/>
      <c r="BU827" s="408"/>
      <c r="BV827" s="408"/>
      <c r="BW827" s="408"/>
      <c r="BX827" s="408"/>
      <c r="BY827" s="408"/>
      <c r="BZ827" s="408"/>
      <c r="CA827" s="408"/>
      <c r="CB827" s="408"/>
      <c r="CC827" s="408"/>
      <c r="CD827" s="408"/>
      <c r="CE827" s="408"/>
      <c r="CF827" s="408"/>
      <c r="CG827" s="408"/>
      <c r="CH827" s="408"/>
      <c r="CI827" s="408"/>
      <c r="CJ827" s="408"/>
      <c r="CK827" s="408"/>
      <c r="CL827" s="408"/>
      <c r="CM827" s="408"/>
      <c r="CN827" s="408"/>
    </row>
    <row r="828">
      <c r="A828" s="408"/>
      <c r="B828" s="408"/>
      <c r="C828" s="408"/>
      <c r="D828" s="408"/>
      <c r="E828" s="408"/>
      <c r="F828" s="408"/>
      <c r="G828" s="408"/>
      <c r="H828" s="408"/>
      <c r="I828" s="408"/>
      <c r="J828" s="408"/>
      <c r="K828" s="408"/>
      <c r="L828" s="408"/>
      <c r="M828" s="408"/>
      <c r="N828" s="408"/>
      <c r="O828" s="408"/>
      <c r="P828" s="408"/>
      <c r="Q828" s="408"/>
      <c r="R828" s="408"/>
      <c r="S828" s="408"/>
      <c r="T828" s="408"/>
      <c r="U828" s="408"/>
      <c r="V828" s="408"/>
      <c r="W828" s="408"/>
      <c r="X828" s="408"/>
      <c r="Y828" s="408"/>
      <c r="Z828" s="408"/>
      <c r="AA828" s="408"/>
      <c r="AB828" s="408"/>
      <c r="AC828" s="408"/>
      <c r="AD828" s="408"/>
      <c r="AE828" s="408"/>
      <c r="AF828" s="408"/>
      <c r="AG828" s="408"/>
      <c r="AH828" s="408"/>
      <c r="AI828" s="408"/>
      <c r="AJ828" s="408"/>
      <c r="AK828" s="408"/>
      <c r="AL828" s="408"/>
      <c r="AM828" s="408"/>
      <c r="AN828" s="408"/>
      <c r="AO828" s="408"/>
      <c r="AP828" s="408"/>
      <c r="AQ828" s="408"/>
      <c r="AR828" s="408"/>
      <c r="AS828" s="408"/>
      <c r="AT828" s="408"/>
      <c r="AU828" s="408"/>
      <c r="AV828" s="408"/>
      <c r="AW828" s="408"/>
      <c r="AX828" s="408"/>
      <c r="AY828" s="408"/>
      <c r="AZ828" s="408"/>
      <c r="BA828" s="408"/>
      <c r="BB828" s="408"/>
      <c r="BC828" s="408"/>
      <c r="BD828" s="408"/>
      <c r="BE828" s="408"/>
      <c r="BF828" s="408"/>
      <c r="BG828" s="408"/>
      <c r="BH828" s="408"/>
      <c r="BI828" s="408"/>
      <c r="BJ828" s="408"/>
      <c r="BK828" s="408"/>
      <c r="BL828" s="408"/>
      <c r="BM828" s="408"/>
      <c r="BN828" s="408"/>
      <c r="BO828" s="408"/>
      <c r="BP828" s="408"/>
      <c r="BQ828" s="408"/>
      <c r="BR828" s="408"/>
      <c r="BS828" s="408"/>
      <c r="BT828" s="408"/>
      <c r="BU828" s="408"/>
      <c r="BV828" s="408"/>
      <c r="BW828" s="408"/>
      <c r="BX828" s="408"/>
      <c r="BY828" s="408"/>
      <c r="BZ828" s="408"/>
      <c r="CA828" s="408"/>
      <c r="CB828" s="408"/>
      <c r="CC828" s="408"/>
      <c r="CD828" s="408"/>
      <c r="CE828" s="408"/>
      <c r="CF828" s="408"/>
      <c r="CG828" s="408"/>
      <c r="CH828" s="408"/>
      <c r="CI828" s="408"/>
      <c r="CJ828" s="408"/>
      <c r="CK828" s="408"/>
      <c r="CL828" s="408"/>
      <c r="CM828" s="408"/>
      <c r="CN828" s="408"/>
    </row>
    <row r="829">
      <c r="A829" s="408"/>
      <c r="B829" s="408"/>
      <c r="C829" s="408"/>
      <c r="D829" s="408"/>
      <c r="E829" s="408"/>
      <c r="F829" s="408"/>
      <c r="G829" s="408"/>
      <c r="H829" s="408"/>
      <c r="I829" s="408"/>
      <c r="J829" s="408"/>
      <c r="K829" s="408"/>
      <c r="L829" s="408"/>
      <c r="M829" s="408"/>
      <c r="N829" s="408"/>
      <c r="O829" s="408"/>
      <c r="P829" s="408"/>
      <c r="Q829" s="408"/>
      <c r="R829" s="408"/>
      <c r="S829" s="408"/>
      <c r="T829" s="408"/>
      <c r="U829" s="408"/>
      <c r="V829" s="408"/>
      <c r="W829" s="408"/>
      <c r="X829" s="408"/>
      <c r="Y829" s="408"/>
      <c r="Z829" s="408"/>
      <c r="AA829" s="408"/>
      <c r="AB829" s="408"/>
      <c r="AC829" s="408"/>
      <c r="AD829" s="408"/>
      <c r="AE829" s="408"/>
      <c r="AF829" s="408"/>
      <c r="AG829" s="408"/>
      <c r="AH829" s="408"/>
      <c r="AI829" s="408"/>
      <c r="AJ829" s="408"/>
      <c r="AK829" s="408"/>
      <c r="AL829" s="408"/>
      <c r="AM829" s="408"/>
      <c r="AN829" s="408"/>
      <c r="AO829" s="408"/>
      <c r="AP829" s="408"/>
      <c r="AQ829" s="408"/>
      <c r="AR829" s="408"/>
      <c r="AS829" s="408"/>
      <c r="AT829" s="408"/>
      <c r="AU829" s="408"/>
      <c r="AV829" s="408"/>
      <c r="AW829" s="408"/>
      <c r="AX829" s="408"/>
      <c r="AY829" s="408"/>
      <c r="AZ829" s="408"/>
      <c r="BA829" s="408"/>
      <c r="BB829" s="408"/>
      <c r="BC829" s="408"/>
      <c r="BD829" s="408"/>
      <c r="BE829" s="408"/>
      <c r="BF829" s="408"/>
      <c r="BG829" s="408"/>
      <c r="BH829" s="408"/>
      <c r="BI829" s="408"/>
      <c r="BJ829" s="408"/>
      <c r="BK829" s="408"/>
      <c r="BL829" s="408"/>
      <c r="BM829" s="408"/>
      <c r="BN829" s="408"/>
      <c r="BO829" s="408"/>
      <c r="BP829" s="408"/>
      <c r="BQ829" s="408"/>
      <c r="BR829" s="408"/>
      <c r="BS829" s="408"/>
      <c r="BT829" s="408"/>
      <c r="BU829" s="408"/>
      <c r="BV829" s="408"/>
      <c r="BW829" s="408"/>
      <c r="BX829" s="408"/>
      <c r="BY829" s="408"/>
      <c r="BZ829" s="408"/>
      <c r="CA829" s="408"/>
      <c r="CB829" s="408"/>
      <c r="CC829" s="408"/>
      <c r="CD829" s="408"/>
      <c r="CE829" s="408"/>
      <c r="CF829" s="408"/>
      <c r="CG829" s="408"/>
      <c r="CH829" s="408"/>
      <c r="CI829" s="408"/>
      <c r="CJ829" s="408"/>
      <c r="CK829" s="408"/>
      <c r="CL829" s="408"/>
      <c r="CM829" s="408"/>
      <c r="CN829" s="408"/>
    </row>
    <row r="830">
      <c r="A830" s="408"/>
      <c r="B830" s="408"/>
      <c r="C830" s="408"/>
      <c r="D830" s="408"/>
      <c r="E830" s="408"/>
      <c r="F830" s="408"/>
      <c r="G830" s="408"/>
      <c r="H830" s="408"/>
      <c r="I830" s="408"/>
      <c r="J830" s="408"/>
      <c r="K830" s="408"/>
      <c r="L830" s="408"/>
      <c r="M830" s="408"/>
      <c r="N830" s="408"/>
      <c r="O830" s="408"/>
      <c r="P830" s="408"/>
      <c r="Q830" s="408"/>
      <c r="R830" s="408"/>
      <c r="S830" s="408"/>
      <c r="T830" s="408"/>
      <c r="U830" s="408"/>
      <c r="V830" s="408"/>
      <c r="W830" s="408"/>
      <c r="X830" s="408"/>
      <c r="Y830" s="408"/>
      <c r="Z830" s="408"/>
      <c r="AA830" s="408"/>
      <c r="AB830" s="408"/>
      <c r="AC830" s="408"/>
      <c r="AD830" s="408"/>
      <c r="AE830" s="408"/>
      <c r="AF830" s="408"/>
      <c r="AG830" s="408"/>
      <c r="AH830" s="408"/>
      <c r="AI830" s="408"/>
      <c r="AJ830" s="408"/>
      <c r="AK830" s="408"/>
      <c r="AL830" s="408"/>
      <c r="AM830" s="408"/>
      <c r="AN830" s="408"/>
      <c r="AO830" s="408"/>
      <c r="AP830" s="408"/>
      <c r="AQ830" s="408"/>
      <c r="AR830" s="408"/>
      <c r="AS830" s="408"/>
      <c r="AT830" s="408"/>
      <c r="AU830" s="408"/>
      <c r="AV830" s="408"/>
      <c r="AW830" s="408"/>
      <c r="AX830" s="408"/>
      <c r="AY830" s="408"/>
      <c r="AZ830" s="408"/>
      <c r="BA830" s="408"/>
      <c r="BB830" s="408"/>
      <c r="BC830" s="408"/>
      <c r="BD830" s="408"/>
      <c r="BE830" s="408"/>
      <c r="BF830" s="408"/>
      <c r="BG830" s="408"/>
      <c r="BH830" s="408"/>
      <c r="BI830" s="408"/>
      <c r="BJ830" s="408"/>
      <c r="BK830" s="408"/>
      <c r="BL830" s="408"/>
      <c r="BM830" s="408"/>
      <c r="BN830" s="408"/>
      <c r="BO830" s="408"/>
      <c r="BP830" s="408"/>
      <c r="BQ830" s="408"/>
      <c r="BR830" s="408"/>
      <c r="BS830" s="408"/>
      <c r="BT830" s="408"/>
      <c r="BU830" s="408"/>
      <c r="BV830" s="408"/>
      <c r="BW830" s="408"/>
      <c r="BX830" s="408"/>
      <c r="BY830" s="408"/>
      <c r="BZ830" s="408"/>
      <c r="CA830" s="408"/>
      <c r="CB830" s="408"/>
      <c r="CC830" s="408"/>
      <c r="CD830" s="408"/>
      <c r="CE830" s="408"/>
      <c r="CF830" s="408"/>
      <c r="CG830" s="408"/>
      <c r="CH830" s="408"/>
      <c r="CI830" s="408"/>
      <c r="CJ830" s="408"/>
      <c r="CK830" s="408"/>
      <c r="CL830" s="408"/>
      <c r="CM830" s="408"/>
      <c r="CN830" s="408"/>
    </row>
    <row r="831">
      <c r="A831" s="408"/>
      <c r="B831" s="408"/>
      <c r="C831" s="408"/>
      <c r="D831" s="408"/>
      <c r="E831" s="408"/>
      <c r="F831" s="408"/>
      <c r="G831" s="408"/>
      <c r="H831" s="408"/>
      <c r="I831" s="408"/>
      <c r="J831" s="408"/>
      <c r="K831" s="408"/>
      <c r="L831" s="408"/>
      <c r="M831" s="408"/>
      <c r="N831" s="408"/>
      <c r="O831" s="408"/>
      <c r="P831" s="408"/>
      <c r="Q831" s="408"/>
      <c r="R831" s="408"/>
      <c r="S831" s="408"/>
      <c r="T831" s="408"/>
      <c r="U831" s="408"/>
      <c r="V831" s="408"/>
      <c r="W831" s="408"/>
      <c r="X831" s="408"/>
      <c r="Y831" s="408"/>
      <c r="Z831" s="408"/>
      <c r="AA831" s="408"/>
      <c r="AB831" s="408"/>
      <c r="AC831" s="408"/>
      <c r="AD831" s="408"/>
      <c r="AE831" s="408"/>
      <c r="AF831" s="408"/>
      <c r="AG831" s="408"/>
      <c r="AH831" s="408"/>
      <c r="AI831" s="408"/>
      <c r="AJ831" s="408"/>
      <c r="AK831" s="408"/>
      <c r="AL831" s="408"/>
      <c r="AM831" s="408"/>
      <c r="AN831" s="408"/>
      <c r="AO831" s="408"/>
      <c r="AP831" s="408"/>
      <c r="AQ831" s="408"/>
      <c r="AR831" s="408"/>
      <c r="AS831" s="408"/>
      <c r="AT831" s="408"/>
      <c r="AU831" s="408"/>
      <c r="AV831" s="408"/>
      <c r="AW831" s="408"/>
      <c r="AX831" s="408"/>
      <c r="AY831" s="408"/>
      <c r="AZ831" s="408"/>
      <c r="BA831" s="408"/>
      <c r="BB831" s="408"/>
      <c r="BC831" s="408"/>
      <c r="BD831" s="408"/>
      <c r="BE831" s="408"/>
      <c r="BF831" s="408"/>
      <c r="BG831" s="408"/>
      <c r="BH831" s="408"/>
      <c r="BI831" s="408"/>
      <c r="BJ831" s="408"/>
      <c r="BK831" s="408"/>
      <c r="BL831" s="408"/>
      <c r="BM831" s="408"/>
      <c r="BN831" s="408"/>
      <c r="BO831" s="408"/>
      <c r="BP831" s="408"/>
      <c r="BQ831" s="408"/>
      <c r="BR831" s="408"/>
      <c r="BS831" s="408"/>
      <c r="BT831" s="408"/>
      <c r="BU831" s="408"/>
      <c r="BV831" s="408"/>
      <c r="BW831" s="408"/>
      <c r="BX831" s="408"/>
      <c r="BY831" s="408"/>
      <c r="BZ831" s="408"/>
      <c r="CA831" s="408"/>
      <c r="CB831" s="408"/>
      <c r="CC831" s="408"/>
      <c r="CD831" s="408"/>
      <c r="CE831" s="408"/>
      <c r="CF831" s="408"/>
      <c r="CG831" s="408"/>
      <c r="CH831" s="408"/>
      <c r="CI831" s="408"/>
      <c r="CJ831" s="408"/>
      <c r="CK831" s="408"/>
      <c r="CL831" s="408"/>
      <c r="CM831" s="408"/>
      <c r="CN831" s="408"/>
    </row>
    <row r="832">
      <c r="A832" s="408"/>
      <c r="B832" s="408"/>
      <c r="C832" s="408"/>
      <c r="D832" s="408"/>
      <c r="E832" s="408"/>
      <c r="F832" s="408"/>
      <c r="G832" s="408"/>
      <c r="H832" s="408"/>
      <c r="I832" s="408"/>
      <c r="J832" s="408"/>
      <c r="K832" s="408"/>
      <c r="L832" s="408"/>
      <c r="M832" s="408"/>
      <c r="N832" s="408"/>
      <c r="O832" s="408"/>
      <c r="P832" s="408"/>
      <c r="Q832" s="408"/>
      <c r="R832" s="408"/>
      <c r="S832" s="408"/>
      <c r="T832" s="408"/>
      <c r="U832" s="408"/>
      <c r="V832" s="408"/>
      <c r="W832" s="408"/>
      <c r="X832" s="408"/>
      <c r="Y832" s="408"/>
      <c r="Z832" s="408"/>
      <c r="AA832" s="408"/>
      <c r="AB832" s="408"/>
      <c r="AC832" s="408"/>
      <c r="AD832" s="408"/>
      <c r="AE832" s="408"/>
      <c r="AF832" s="408"/>
      <c r="AG832" s="408"/>
      <c r="AH832" s="408"/>
      <c r="AI832" s="408"/>
      <c r="AJ832" s="408"/>
      <c r="AK832" s="408"/>
      <c r="AL832" s="408"/>
      <c r="AM832" s="408"/>
      <c r="AN832" s="408"/>
      <c r="AO832" s="408"/>
      <c r="AP832" s="408"/>
      <c r="AQ832" s="408"/>
      <c r="AR832" s="408"/>
      <c r="AS832" s="408"/>
      <c r="AT832" s="408"/>
      <c r="AU832" s="408"/>
      <c r="AV832" s="408"/>
      <c r="AW832" s="408"/>
      <c r="AX832" s="408"/>
      <c r="AY832" s="408"/>
      <c r="AZ832" s="408"/>
      <c r="BA832" s="408"/>
      <c r="BB832" s="408"/>
      <c r="BC832" s="408"/>
      <c r="BD832" s="408"/>
      <c r="BE832" s="408"/>
      <c r="BF832" s="408"/>
      <c r="BG832" s="408"/>
      <c r="BH832" s="408"/>
      <c r="BI832" s="408"/>
      <c r="BJ832" s="408"/>
      <c r="BK832" s="408"/>
      <c r="BL832" s="408"/>
      <c r="BM832" s="408"/>
      <c r="BN832" s="408"/>
      <c r="BO832" s="408"/>
      <c r="BP832" s="408"/>
      <c r="BQ832" s="408"/>
      <c r="BR832" s="408"/>
      <c r="BS832" s="408"/>
      <c r="BT832" s="408"/>
      <c r="BU832" s="408"/>
      <c r="BV832" s="408"/>
      <c r="BW832" s="408"/>
      <c r="BX832" s="408"/>
      <c r="BY832" s="408"/>
      <c r="BZ832" s="408"/>
      <c r="CA832" s="408"/>
      <c r="CB832" s="408"/>
      <c r="CC832" s="408"/>
      <c r="CD832" s="408"/>
      <c r="CE832" s="408"/>
      <c r="CF832" s="408"/>
      <c r="CG832" s="408"/>
      <c r="CH832" s="408"/>
      <c r="CI832" s="408"/>
      <c r="CJ832" s="408"/>
      <c r="CK832" s="408"/>
      <c r="CL832" s="408"/>
      <c r="CM832" s="408"/>
      <c r="CN832" s="408"/>
    </row>
    <row r="833">
      <c r="A833" s="408"/>
      <c r="B833" s="408"/>
      <c r="C833" s="408"/>
      <c r="D833" s="408"/>
      <c r="E833" s="408"/>
      <c r="F833" s="408"/>
      <c r="G833" s="408"/>
      <c r="H833" s="408"/>
      <c r="I833" s="408"/>
      <c r="J833" s="408"/>
      <c r="K833" s="408"/>
      <c r="L833" s="408"/>
      <c r="M833" s="408"/>
      <c r="N833" s="408"/>
      <c r="O833" s="408"/>
      <c r="P833" s="408"/>
      <c r="Q833" s="408"/>
      <c r="R833" s="408"/>
      <c r="S833" s="408"/>
      <c r="T833" s="408"/>
      <c r="U833" s="408"/>
      <c r="V833" s="408"/>
      <c r="W833" s="408"/>
      <c r="X833" s="408"/>
      <c r="Y833" s="408"/>
      <c r="Z833" s="408"/>
      <c r="AA833" s="408"/>
      <c r="AB833" s="408"/>
      <c r="AC833" s="408"/>
      <c r="AD833" s="408"/>
      <c r="AE833" s="408"/>
      <c r="AF833" s="408"/>
      <c r="AG833" s="408"/>
      <c r="AH833" s="408"/>
      <c r="AI833" s="408"/>
      <c r="AJ833" s="408"/>
      <c r="AK833" s="408"/>
      <c r="AL833" s="408"/>
      <c r="AM833" s="408"/>
      <c r="AN833" s="408"/>
      <c r="AO833" s="408"/>
      <c r="AP833" s="408"/>
      <c r="AQ833" s="408"/>
      <c r="AR833" s="408"/>
      <c r="AS833" s="408"/>
      <c r="AT833" s="408"/>
      <c r="AU833" s="408"/>
      <c r="AV833" s="408"/>
      <c r="AW833" s="408"/>
      <c r="AX833" s="408"/>
      <c r="AY833" s="408"/>
      <c r="AZ833" s="408"/>
      <c r="BA833" s="408"/>
      <c r="BB833" s="408"/>
      <c r="BC833" s="408"/>
      <c r="BD833" s="408"/>
      <c r="BE833" s="408"/>
      <c r="BF833" s="408"/>
      <c r="BG833" s="408"/>
      <c r="BH833" s="408"/>
      <c r="BI833" s="408"/>
      <c r="BJ833" s="408"/>
      <c r="BK833" s="408"/>
      <c r="BL833" s="408"/>
      <c r="BM833" s="408"/>
      <c r="BN833" s="408"/>
      <c r="BO833" s="408"/>
      <c r="BP833" s="408"/>
      <c r="BQ833" s="408"/>
      <c r="BR833" s="408"/>
      <c r="BS833" s="408"/>
      <c r="BT833" s="408"/>
      <c r="BU833" s="408"/>
      <c r="BV833" s="408"/>
      <c r="BW833" s="408"/>
      <c r="BX833" s="408"/>
      <c r="BY833" s="408"/>
      <c r="BZ833" s="408"/>
      <c r="CA833" s="408"/>
      <c r="CB833" s="408"/>
      <c r="CC833" s="408"/>
      <c r="CD833" s="408"/>
      <c r="CE833" s="408"/>
      <c r="CF833" s="408"/>
      <c r="CG833" s="408"/>
      <c r="CH833" s="408"/>
      <c r="CI833" s="408"/>
      <c r="CJ833" s="408"/>
      <c r="CK833" s="408"/>
      <c r="CL833" s="408"/>
      <c r="CM833" s="408"/>
      <c r="CN833" s="408"/>
    </row>
    <row r="834">
      <c r="A834" s="408"/>
      <c r="B834" s="408"/>
      <c r="C834" s="408"/>
      <c r="D834" s="408"/>
      <c r="E834" s="408"/>
      <c r="F834" s="408"/>
      <c r="G834" s="408"/>
      <c r="H834" s="408"/>
      <c r="I834" s="408"/>
      <c r="J834" s="408"/>
      <c r="K834" s="408"/>
      <c r="L834" s="408"/>
      <c r="M834" s="408"/>
      <c r="N834" s="408"/>
      <c r="O834" s="408"/>
      <c r="P834" s="408"/>
      <c r="Q834" s="408"/>
      <c r="R834" s="408"/>
      <c r="S834" s="408"/>
      <c r="T834" s="408"/>
      <c r="U834" s="408"/>
      <c r="V834" s="408"/>
      <c r="W834" s="408"/>
      <c r="X834" s="408"/>
      <c r="Y834" s="408"/>
      <c r="Z834" s="408"/>
      <c r="AA834" s="408"/>
      <c r="AB834" s="408"/>
      <c r="AC834" s="408"/>
      <c r="AD834" s="408"/>
      <c r="AE834" s="408"/>
      <c r="AF834" s="408"/>
      <c r="AG834" s="408"/>
      <c r="AH834" s="408"/>
      <c r="AI834" s="408"/>
      <c r="AJ834" s="408"/>
      <c r="AK834" s="408"/>
      <c r="AL834" s="408"/>
      <c r="AM834" s="408"/>
      <c r="AN834" s="408"/>
      <c r="AO834" s="408"/>
      <c r="AP834" s="408"/>
      <c r="AQ834" s="408"/>
      <c r="AR834" s="408"/>
      <c r="AS834" s="408"/>
      <c r="AT834" s="408"/>
      <c r="AU834" s="408"/>
      <c r="AV834" s="408"/>
      <c r="AW834" s="408"/>
      <c r="AX834" s="408"/>
      <c r="AY834" s="408"/>
      <c r="AZ834" s="408"/>
      <c r="BA834" s="408"/>
      <c r="BB834" s="408"/>
      <c r="BC834" s="408"/>
      <c r="BD834" s="408"/>
      <c r="BE834" s="408"/>
      <c r="BF834" s="408"/>
      <c r="BG834" s="408"/>
      <c r="BH834" s="408"/>
      <c r="BI834" s="408"/>
      <c r="BJ834" s="408"/>
      <c r="BK834" s="408"/>
      <c r="BL834" s="408"/>
      <c r="BM834" s="408"/>
      <c r="BN834" s="408"/>
      <c r="BO834" s="408"/>
      <c r="BP834" s="408"/>
      <c r="BQ834" s="408"/>
      <c r="BR834" s="408"/>
      <c r="BS834" s="408"/>
      <c r="BT834" s="408"/>
      <c r="BU834" s="408"/>
      <c r="BV834" s="408"/>
      <c r="BW834" s="408"/>
      <c r="BX834" s="408"/>
      <c r="BY834" s="408"/>
      <c r="BZ834" s="408"/>
      <c r="CA834" s="408"/>
      <c r="CB834" s="408"/>
      <c r="CC834" s="408"/>
      <c r="CD834" s="408"/>
      <c r="CE834" s="408"/>
      <c r="CF834" s="408"/>
      <c r="CG834" s="408"/>
      <c r="CH834" s="408"/>
      <c r="CI834" s="408"/>
      <c r="CJ834" s="408"/>
      <c r="CK834" s="408"/>
      <c r="CL834" s="408"/>
      <c r="CM834" s="408"/>
      <c r="CN834" s="408"/>
    </row>
    <row r="835">
      <c r="A835" s="408"/>
      <c r="B835" s="408"/>
      <c r="C835" s="408"/>
      <c r="D835" s="408"/>
      <c r="E835" s="408"/>
      <c r="F835" s="408"/>
      <c r="G835" s="408"/>
      <c r="H835" s="408"/>
      <c r="I835" s="408"/>
      <c r="J835" s="408"/>
      <c r="K835" s="408"/>
      <c r="L835" s="408"/>
      <c r="M835" s="408"/>
      <c r="N835" s="408"/>
      <c r="O835" s="408"/>
      <c r="P835" s="408"/>
      <c r="Q835" s="408"/>
      <c r="R835" s="408"/>
      <c r="S835" s="408"/>
      <c r="T835" s="408"/>
      <c r="U835" s="408"/>
      <c r="V835" s="408"/>
      <c r="W835" s="408"/>
      <c r="X835" s="408"/>
      <c r="Y835" s="408"/>
      <c r="Z835" s="408"/>
      <c r="AA835" s="408"/>
      <c r="AB835" s="408"/>
      <c r="AC835" s="408"/>
      <c r="AD835" s="408"/>
      <c r="AE835" s="408"/>
      <c r="AF835" s="408"/>
      <c r="AG835" s="408"/>
      <c r="AH835" s="408"/>
      <c r="AI835" s="408"/>
      <c r="AJ835" s="408"/>
      <c r="AK835" s="408"/>
      <c r="AL835" s="408"/>
      <c r="AM835" s="408"/>
      <c r="AN835" s="408"/>
      <c r="AO835" s="408"/>
      <c r="AP835" s="408"/>
      <c r="AQ835" s="408"/>
      <c r="AR835" s="408"/>
      <c r="AS835" s="408"/>
      <c r="AT835" s="408"/>
      <c r="AU835" s="408"/>
      <c r="AV835" s="408"/>
      <c r="AW835" s="408"/>
      <c r="AX835" s="408"/>
      <c r="AY835" s="408"/>
      <c r="AZ835" s="408"/>
      <c r="BA835" s="408"/>
      <c r="BB835" s="408"/>
      <c r="BC835" s="408"/>
      <c r="BD835" s="408"/>
      <c r="BE835" s="408"/>
      <c r="BF835" s="408"/>
      <c r="BG835" s="408"/>
      <c r="BH835" s="408"/>
      <c r="BI835" s="408"/>
      <c r="BJ835" s="408"/>
      <c r="BK835" s="408"/>
      <c r="BL835" s="408"/>
      <c r="BM835" s="408"/>
      <c r="BN835" s="408"/>
      <c r="BO835" s="408"/>
      <c r="BP835" s="408"/>
      <c r="BQ835" s="408"/>
      <c r="BR835" s="408"/>
      <c r="BS835" s="408"/>
      <c r="BT835" s="408"/>
      <c r="BU835" s="408"/>
      <c r="BV835" s="408"/>
      <c r="BW835" s="408"/>
      <c r="BX835" s="408"/>
      <c r="BY835" s="408"/>
      <c r="BZ835" s="408"/>
      <c r="CA835" s="408"/>
      <c r="CB835" s="408"/>
      <c r="CC835" s="408"/>
      <c r="CD835" s="408"/>
      <c r="CE835" s="408"/>
      <c r="CF835" s="408"/>
      <c r="CG835" s="408"/>
      <c r="CH835" s="408"/>
      <c r="CI835" s="408"/>
      <c r="CJ835" s="408"/>
      <c r="CK835" s="408"/>
      <c r="CL835" s="408"/>
      <c r="CM835" s="408"/>
      <c r="CN835" s="408"/>
    </row>
    <row r="836">
      <c r="A836" s="408"/>
      <c r="B836" s="408"/>
      <c r="C836" s="408"/>
      <c r="D836" s="408"/>
      <c r="E836" s="408"/>
      <c r="F836" s="408"/>
      <c r="G836" s="408"/>
      <c r="H836" s="408"/>
      <c r="I836" s="408"/>
      <c r="J836" s="408"/>
      <c r="K836" s="408"/>
      <c r="L836" s="408"/>
      <c r="M836" s="408"/>
      <c r="N836" s="408"/>
      <c r="O836" s="408"/>
      <c r="P836" s="408"/>
      <c r="Q836" s="408"/>
      <c r="R836" s="408"/>
      <c r="S836" s="408"/>
      <c r="T836" s="408"/>
      <c r="U836" s="408"/>
      <c r="V836" s="408"/>
      <c r="W836" s="408"/>
      <c r="X836" s="408"/>
      <c r="Y836" s="408"/>
      <c r="Z836" s="408"/>
      <c r="AA836" s="408"/>
      <c r="AB836" s="408"/>
      <c r="AC836" s="408"/>
      <c r="AD836" s="408"/>
      <c r="AE836" s="408"/>
      <c r="AF836" s="408"/>
      <c r="AG836" s="408"/>
      <c r="AH836" s="408"/>
      <c r="AI836" s="408"/>
      <c r="AJ836" s="408"/>
      <c r="AK836" s="408"/>
      <c r="AL836" s="408"/>
      <c r="AM836" s="408"/>
      <c r="AN836" s="408"/>
      <c r="AO836" s="408"/>
      <c r="AP836" s="408"/>
      <c r="AQ836" s="408"/>
      <c r="AR836" s="408"/>
      <c r="AS836" s="408"/>
      <c r="AT836" s="408"/>
      <c r="AU836" s="408"/>
      <c r="AV836" s="408"/>
      <c r="AW836" s="408"/>
      <c r="AX836" s="408"/>
      <c r="AY836" s="408"/>
      <c r="AZ836" s="408"/>
      <c r="BA836" s="408"/>
      <c r="BB836" s="408"/>
      <c r="BC836" s="408"/>
      <c r="BD836" s="408"/>
      <c r="BE836" s="408"/>
      <c r="BF836" s="408"/>
      <c r="BG836" s="408"/>
      <c r="BH836" s="408"/>
      <c r="BI836" s="408"/>
      <c r="BJ836" s="408"/>
      <c r="BK836" s="408"/>
      <c r="BL836" s="408"/>
      <c r="BM836" s="408"/>
      <c r="BN836" s="408"/>
      <c r="BO836" s="408"/>
      <c r="BP836" s="408"/>
      <c r="BQ836" s="408"/>
      <c r="BR836" s="408"/>
      <c r="BS836" s="408"/>
      <c r="BT836" s="408"/>
      <c r="BU836" s="408"/>
      <c r="BV836" s="408"/>
      <c r="BW836" s="408"/>
      <c r="BX836" s="408"/>
      <c r="BY836" s="408"/>
      <c r="BZ836" s="408"/>
      <c r="CA836" s="408"/>
      <c r="CB836" s="408"/>
      <c r="CC836" s="408"/>
      <c r="CD836" s="408"/>
      <c r="CE836" s="408"/>
      <c r="CF836" s="408"/>
      <c r="CG836" s="408"/>
      <c r="CH836" s="408"/>
      <c r="CI836" s="408"/>
      <c r="CJ836" s="408"/>
      <c r="CK836" s="408"/>
      <c r="CL836" s="408"/>
      <c r="CM836" s="408"/>
      <c r="CN836" s="408"/>
    </row>
    <row r="837">
      <c r="A837" s="408"/>
      <c r="B837" s="408"/>
      <c r="C837" s="408"/>
      <c r="D837" s="408"/>
      <c r="E837" s="408"/>
      <c r="F837" s="408"/>
      <c r="G837" s="408"/>
      <c r="H837" s="408"/>
      <c r="I837" s="408"/>
      <c r="J837" s="408"/>
      <c r="K837" s="408"/>
      <c r="L837" s="408"/>
      <c r="M837" s="408"/>
      <c r="N837" s="408"/>
      <c r="O837" s="408"/>
      <c r="P837" s="408"/>
      <c r="Q837" s="408"/>
      <c r="R837" s="408"/>
      <c r="S837" s="408"/>
      <c r="T837" s="408"/>
      <c r="U837" s="408"/>
      <c r="V837" s="408"/>
      <c r="W837" s="408"/>
      <c r="X837" s="408"/>
      <c r="Y837" s="408"/>
      <c r="Z837" s="408"/>
      <c r="AA837" s="408"/>
      <c r="AB837" s="408"/>
      <c r="AC837" s="408"/>
      <c r="AD837" s="408"/>
      <c r="AE837" s="408"/>
      <c r="AF837" s="408"/>
      <c r="AG837" s="408"/>
      <c r="AH837" s="408"/>
      <c r="AI837" s="408"/>
      <c r="AJ837" s="408"/>
      <c r="AK837" s="408"/>
      <c r="AL837" s="408"/>
      <c r="AM837" s="408"/>
      <c r="AN837" s="408"/>
      <c r="AO837" s="408"/>
      <c r="AP837" s="408"/>
      <c r="AQ837" s="408"/>
      <c r="AR837" s="408"/>
      <c r="AS837" s="408"/>
      <c r="AT837" s="408"/>
      <c r="AU837" s="408"/>
      <c r="AV837" s="408"/>
      <c r="AW837" s="408"/>
      <c r="AX837" s="408"/>
      <c r="AY837" s="408"/>
      <c r="AZ837" s="408"/>
      <c r="BA837" s="408"/>
      <c r="BB837" s="408"/>
      <c r="BC837" s="408"/>
      <c r="BD837" s="408"/>
      <c r="BE837" s="408"/>
      <c r="BF837" s="408"/>
      <c r="BG837" s="408"/>
      <c r="BH837" s="408"/>
      <c r="BI837" s="408"/>
      <c r="BJ837" s="408"/>
      <c r="BK837" s="408"/>
      <c r="BL837" s="408"/>
      <c r="BM837" s="408"/>
      <c r="BN837" s="408"/>
      <c r="BO837" s="408"/>
      <c r="BP837" s="408"/>
      <c r="BQ837" s="408"/>
      <c r="BR837" s="408"/>
      <c r="BS837" s="408"/>
      <c r="BT837" s="408"/>
      <c r="BU837" s="408"/>
      <c r="BV837" s="408"/>
      <c r="BW837" s="408"/>
      <c r="BX837" s="408"/>
      <c r="BY837" s="408"/>
      <c r="BZ837" s="408"/>
      <c r="CA837" s="408"/>
      <c r="CB837" s="408"/>
      <c r="CC837" s="408"/>
      <c r="CD837" s="408"/>
      <c r="CE837" s="408"/>
      <c r="CF837" s="408"/>
      <c r="CG837" s="408"/>
      <c r="CH837" s="408"/>
      <c r="CI837" s="408"/>
      <c r="CJ837" s="408"/>
      <c r="CK837" s="408"/>
      <c r="CL837" s="408"/>
      <c r="CM837" s="408"/>
      <c r="CN837" s="408"/>
    </row>
    <row r="838">
      <c r="A838" s="408"/>
      <c r="B838" s="408"/>
      <c r="C838" s="408"/>
      <c r="D838" s="408"/>
      <c r="E838" s="408"/>
      <c r="F838" s="408"/>
      <c r="G838" s="408"/>
      <c r="H838" s="408"/>
      <c r="I838" s="408"/>
      <c r="J838" s="408"/>
      <c r="K838" s="408"/>
      <c r="L838" s="408"/>
      <c r="M838" s="408"/>
      <c r="N838" s="408"/>
      <c r="O838" s="408"/>
      <c r="P838" s="408"/>
      <c r="Q838" s="408"/>
      <c r="R838" s="408"/>
      <c r="S838" s="408"/>
      <c r="T838" s="408"/>
      <c r="U838" s="408"/>
      <c r="V838" s="408"/>
      <c r="W838" s="408"/>
      <c r="X838" s="408"/>
      <c r="Y838" s="408"/>
      <c r="Z838" s="408"/>
      <c r="AA838" s="408"/>
      <c r="AB838" s="408"/>
      <c r="AC838" s="408"/>
      <c r="AD838" s="408"/>
      <c r="AE838" s="408"/>
      <c r="AF838" s="408"/>
      <c r="AG838" s="408"/>
      <c r="AH838" s="408"/>
      <c r="AI838" s="408"/>
      <c r="AJ838" s="408"/>
      <c r="AK838" s="408"/>
      <c r="AL838" s="408"/>
      <c r="AM838" s="408"/>
      <c r="AN838" s="408"/>
      <c r="AO838" s="408"/>
      <c r="AP838" s="408"/>
      <c r="AQ838" s="408"/>
      <c r="AR838" s="408"/>
      <c r="AS838" s="408"/>
      <c r="AT838" s="408"/>
      <c r="AU838" s="408"/>
      <c r="AV838" s="408"/>
      <c r="AW838" s="408"/>
      <c r="AX838" s="408"/>
      <c r="AY838" s="408"/>
      <c r="AZ838" s="408"/>
      <c r="BA838" s="408"/>
      <c r="BB838" s="408"/>
      <c r="BC838" s="408"/>
      <c r="BD838" s="408"/>
      <c r="BE838" s="408"/>
      <c r="BF838" s="408"/>
      <c r="BG838" s="408"/>
      <c r="BH838" s="408"/>
      <c r="BI838" s="408"/>
      <c r="BJ838" s="408"/>
      <c r="BK838" s="408"/>
      <c r="BL838" s="408"/>
      <c r="BM838" s="408"/>
      <c r="BN838" s="408"/>
      <c r="BO838" s="408"/>
      <c r="BP838" s="408"/>
      <c r="BQ838" s="408"/>
      <c r="BR838" s="408"/>
      <c r="BS838" s="408"/>
      <c r="BT838" s="408"/>
      <c r="BU838" s="408"/>
      <c r="BV838" s="408"/>
      <c r="BW838" s="408"/>
      <c r="BX838" s="408"/>
      <c r="BY838" s="408"/>
      <c r="BZ838" s="408"/>
      <c r="CA838" s="408"/>
      <c r="CB838" s="408"/>
      <c r="CC838" s="408"/>
      <c r="CD838" s="408"/>
      <c r="CE838" s="408"/>
      <c r="CF838" s="408"/>
      <c r="CG838" s="408"/>
      <c r="CH838" s="408"/>
      <c r="CI838" s="408"/>
      <c r="CJ838" s="408"/>
      <c r="CK838" s="408"/>
      <c r="CL838" s="408"/>
      <c r="CM838" s="408"/>
      <c r="CN838" s="408"/>
    </row>
    <row r="839">
      <c r="A839" s="408"/>
      <c r="B839" s="408"/>
      <c r="C839" s="408"/>
      <c r="D839" s="408"/>
      <c r="E839" s="408"/>
      <c r="F839" s="408"/>
      <c r="G839" s="408"/>
      <c r="H839" s="408"/>
      <c r="I839" s="408"/>
      <c r="J839" s="408"/>
      <c r="K839" s="408"/>
      <c r="L839" s="408"/>
      <c r="M839" s="408"/>
      <c r="N839" s="408"/>
      <c r="O839" s="408"/>
      <c r="P839" s="408"/>
      <c r="Q839" s="408"/>
      <c r="R839" s="408"/>
      <c r="S839" s="408"/>
      <c r="T839" s="408"/>
      <c r="U839" s="408"/>
      <c r="V839" s="408"/>
      <c r="W839" s="408"/>
      <c r="X839" s="408"/>
      <c r="Y839" s="408"/>
      <c r="Z839" s="408"/>
      <c r="AA839" s="408"/>
      <c r="AB839" s="408"/>
      <c r="AC839" s="408"/>
      <c r="AD839" s="408"/>
      <c r="AE839" s="408"/>
      <c r="AF839" s="408"/>
      <c r="AG839" s="408"/>
      <c r="AH839" s="408"/>
      <c r="AI839" s="408"/>
      <c r="AJ839" s="408"/>
      <c r="AK839" s="408"/>
      <c r="AL839" s="408"/>
      <c r="AM839" s="408"/>
      <c r="AN839" s="408"/>
      <c r="AO839" s="408"/>
      <c r="AP839" s="408"/>
      <c r="AQ839" s="408"/>
      <c r="AR839" s="408"/>
      <c r="AS839" s="408"/>
      <c r="AT839" s="408"/>
      <c r="AU839" s="408"/>
      <c r="AV839" s="408"/>
      <c r="AW839" s="408"/>
      <c r="AX839" s="408"/>
      <c r="AY839" s="408"/>
      <c r="AZ839" s="408"/>
      <c r="BA839" s="408"/>
      <c r="BB839" s="408"/>
      <c r="BC839" s="408"/>
      <c r="BD839" s="408"/>
      <c r="BE839" s="408"/>
      <c r="BF839" s="408"/>
      <c r="BG839" s="408"/>
      <c r="BH839" s="408"/>
      <c r="BI839" s="408"/>
      <c r="BJ839" s="408"/>
      <c r="BK839" s="408"/>
      <c r="BL839" s="408"/>
      <c r="BM839" s="408"/>
      <c r="BN839" s="408"/>
      <c r="BO839" s="408"/>
      <c r="BP839" s="408"/>
      <c r="BQ839" s="408"/>
      <c r="BR839" s="408"/>
      <c r="BS839" s="408"/>
      <c r="BT839" s="408"/>
      <c r="BU839" s="408"/>
      <c r="BV839" s="408"/>
      <c r="BW839" s="408"/>
      <c r="BX839" s="408"/>
      <c r="BY839" s="408"/>
      <c r="BZ839" s="408"/>
      <c r="CA839" s="408"/>
      <c r="CB839" s="408"/>
      <c r="CC839" s="408"/>
      <c r="CD839" s="408"/>
      <c r="CE839" s="408"/>
      <c r="CF839" s="408"/>
      <c r="CG839" s="408"/>
      <c r="CH839" s="408"/>
      <c r="CI839" s="408"/>
      <c r="CJ839" s="408"/>
      <c r="CK839" s="408"/>
      <c r="CL839" s="408"/>
      <c r="CM839" s="408"/>
      <c r="CN839" s="408"/>
    </row>
    <row r="840">
      <c r="A840" s="408"/>
      <c r="B840" s="408"/>
      <c r="C840" s="408"/>
      <c r="D840" s="408"/>
      <c r="E840" s="408"/>
      <c r="F840" s="408"/>
      <c r="G840" s="408"/>
      <c r="H840" s="408"/>
      <c r="I840" s="408"/>
      <c r="J840" s="408"/>
      <c r="K840" s="408"/>
      <c r="L840" s="408"/>
      <c r="M840" s="408"/>
      <c r="N840" s="408"/>
      <c r="O840" s="408"/>
      <c r="P840" s="408"/>
      <c r="Q840" s="408"/>
      <c r="R840" s="408"/>
      <c r="S840" s="408"/>
      <c r="T840" s="408"/>
      <c r="U840" s="408"/>
      <c r="V840" s="408"/>
      <c r="W840" s="408"/>
      <c r="X840" s="408"/>
      <c r="Y840" s="408"/>
      <c r="Z840" s="408"/>
      <c r="AA840" s="408"/>
      <c r="AB840" s="408"/>
      <c r="AC840" s="408"/>
      <c r="AD840" s="408"/>
      <c r="AE840" s="408"/>
      <c r="AF840" s="408"/>
      <c r="AG840" s="408"/>
      <c r="AH840" s="408"/>
      <c r="AI840" s="408"/>
      <c r="AJ840" s="408"/>
      <c r="AK840" s="408"/>
      <c r="AL840" s="408"/>
      <c r="AM840" s="408"/>
      <c r="AN840" s="408"/>
      <c r="AO840" s="408"/>
      <c r="AP840" s="408"/>
      <c r="AQ840" s="408"/>
      <c r="AR840" s="408"/>
      <c r="AS840" s="408"/>
      <c r="AT840" s="408"/>
      <c r="AU840" s="408"/>
      <c r="AV840" s="408"/>
      <c r="AW840" s="408"/>
      <c r="AX840" s="408"/>
      <c r="AY840" s="408"/>
      <c r="AZ840" s="408"/>
      <c r="BA840" s="408"/>
      <c r="BB840" s="408"/>
      <c r="BC840" s="408"/>
      <c r="BD840" s="408"/>
      <c r="BE840" s="408"/>
      <c r="BF840" s="408"/>
      <c r="BG840" s="408"/>
      <c r="BH840" s="408"/>
      <c r="BI840" s="408"/>
      <c r="BJ840" s="408"/>
      <c r="BK840" s="408"/>
      <c r="BL840" s="408"/>
      <c r="BM840" s="408"/>
      <c r="BN840" s="408"/>
      <c r="BO840" s="408"/>
      <c r="BP840" s="408"/>
      <c r="BQ840" s="408"/>
      <c r="BR840" s="408"/>
      <c r="BS840" s="408"/>
      <c r="BT840" s="408"/>
      <c r="BU840" s="408"/>
      <c r="BV840" s="408"/>
      <c r="BW840" s="408"/>
      <c r="BX840" s="408"/>
      <c r="BY840" s="408"/>
      <c r="BZ840" s="408"/>
      <c r="CA840" s="408"/>
      <c r="CB840" s="408"/>
      <c r="CC840" s="408"/>
      <c r="CD840" s="408"/>
      <c r="CE840" s="408"/>
      <c r="CF840" s="408"/>
      <c r="CG840" s="408"/>
      <c r="CH840" s="408"/>
      <c r="CI840" s="408"/>
      <c r="CJ840" s="408"/>
      <c r="CK840" s="408"/>
      <c r="CL840" s="408"/>
      <c r="CM840" s="408"/>
      <c r="CN840" s="408"/>
    </row>
    <row r="841">
      <c r="A841" s="408"/>
      <c r="B841" s="408"/>
      <c r="C841" s="408"/>
      <c r="D841" s="408"/>
      <c r="E841" s="408"/>
      <c r="F841" s="408"/>
      <c r="G841" s="408"/>
      <c r="H841" s="408"/>
      <c r="I841" s="408"/>
      <c r="J841" s="408"/>
      <c r="K841" s="408"/>
      <c r="L841" s="408"/>
      <c r="M841" s="408"/>
      <c r="N841" s="408"/>
      <c r="O841" s="408"/>
      <c r="P841" s="408"/>
      <c r="Q841" s="408"/>
      <c r="R841" s="408"/>
      <c r="S841" s="408"/>
      <c r="T841" s="408"/>
      <c r="U841" s="408"/>
      <c r="V841" s="408"/>
      <c r="W841" s="408"/>
      <c r="X841" s="408"/>
      <c r="Y841" s="408"/>
      <c r="Z841" s="408"/>
      <c r="AA841" s="408"/>
      <c r="AB841" s="408"/>
      <c r="AC841" s="408"/>
      <c r="AD841" s="408"/>
      <c r="AE841" s="408"/>
      <c r="AF841" s="408"/>
      <c r="AG841" s="408"/>
      <c r="AH841" s="408"/>
      <c r="AI841" s="408"/>
      <c r="AJ841" s="408"/>
      <c r="AK841" s="408"/>
      <c r="AL841" s="408"/>
      <c r="AM841" s="408"/>
      <c r="AN841" s="408"/>
      <c r="AO841" s="408"/>
      <c r="AP841" s="408"/>
      <c r="AQ841" s="408"/>
      <c r="AR841" s="408"/>
      <c r="AS841" s="408"/>
      <c r="AT841" s="408"/>
      <c r="AU841" s="408"/>
      <c r="AV841" s="408"/>
      <c r="AW841" s="408"/>
      <c r="AX841" s="408"/>
      <c r="AY841" s="408"/>
      <c r="AZ841" s="408"/>
      <c r="BA841" s="408"/>
      <c r="BB841" s="408"/>
      <c r="BC841" s="408"/>
      <c r="BD841" s="408"/>
      <c r="BE841" s="408"/>
      <c r="BF841" s="408"/>
      <c r="BG841" s="408"/>
      <c r="BH841" s="408"/>
      <c r="BI841" s="408"/>
      <c r="BJ841" s="408"/>
      <c r="BK841" s="408"/>
      <c r="BL841" s="408"/>
      <c r="BM841" s="408"/>
      <c r="BN841" s="408"/>
      <c r="BO841" s="408"/>
      <c r="BP841" s="408"/>
      <c r="BQ841" s="408"/>
      <c r="BR841" s="408"/>
      <c r="BS841" s="408"/>
      <c r="BT841" s="408"/>
      <c r="BU841" s="408"/>
      <c r="BV841" s="408"/>
      <c r="BW841" s="408"/>
      <c r="BX841" s="408"/>
      <c r="BY841" s="408"/>
      <c r="BZ841" s="408"/>
      <c r="CA841" s="408"/>
      <c r="CB841" s="408"/>
      <c r="CC841" s="408"/>
      <c r="CD841" s="408"/>
      <c r="CE841" s="408"/>
      <c r="CF841" s="408"/>
      <c r="CG841" s="408"/>
      <c r="CH841" s="408"/>
      <c r="CI841" s="408"/>
      <c r="CJ841" s="408"/>
      <c r="CK841" s="408"/>
      <c r="CL841" s="408"/>
      <c r="CM841" s="408"/>
      <c r="CN841" s="408"/>
    </row>
    <row r="842">
      <c r="A842" s="408"/>
      <c r="B842" s="408"/>
      <c r="C842" s="408"/>
      <c r="D842" s="408"/>
      <c r="E842" s="408"/>
      <c r="F842" s="408"/>
      <c r="G842" s="408"/>
      <c r="H842" s="408"/>
      <c r="I842" s="408"/>
      <c r="J842" s="408"/>
      <c r="K842" s="408"/>
      <c r="L842" s="408"/>
      <c r="M842" s="408"/>
      <c r="N842" s="408"/>
      <c r="O842" s="408"/>
      <c r="P842" s="408"/>
      <c r="Q842" s="408"/>
      <c r="R842" s="408"/>
      <c r="S842" s="408"/>
      <c r="T842" s="408"/>
      <c r="U842" s="408"/>
      <c r="V842" s="408"/>
      <c r="W842" s="408"/>
      <c r="X842" s="408"/>
      <c r="Y842" s="408"/>
      <c r="Z842" s="408"/>
      <c r="AA842" s="408"/>
      <c r="AB842" s="408"/>
      <c r="AC842" s="408"/>
      <c r="AD842" s="408"/>
      <c r="AE842" s="408"/>
      <c r="AF842" s="408"/>
      <c r="AG842" s="408"/>
      <c r="AH842" s="408"/>
      <c r="AI842" s="408"/>
      <c r="AJ842" s="408"/>
      <c r="AK842" s="408"/>
      <c r="AL842" s="408"/>
      <c r="AM842" s="408"/>
      <c r="AN842" s="408"/>
      <c r="AO842" s="408"/>
      <c r="AP842" s="408"/>
      <c r="AQ842" s="408"/>
      <c r="AR842" s="408"/>
      <c r="AS842" s="408"/>
      <c r="AT842" s="408"/>
      <c r="AU842" s="408"/>
      <c r="AV842" s="408"/>
      <c r="AW842" s="408"/>
      <c r="AX842" s="408"/>
      <c r="AY842" s="408"/>
      <c r="AZ842" s="408"/>
      <c r="BA842" s="408"/>
      <c r="BB842" s="408"/>
      <c r="BC842" s="408"/>
      <c r="BD842" s="408"/>
      <c r="BE842" s="408"/>
      <c r="BF842" s="408"/>
      <c r="BG842" s="408"/>
      <c r="BH842" s="408"/>
      <c r="BI842" s="408"/>
      <c r="BJ842" s="408"/>
      <c r="BK842" s="408"/>
      <c r="BL842" s="408"/>
      <c r="BM842" s="408"/>
      <c r="BN842" s="408"/>
      <c r="BO842" s="408"/>
      <c r="BP842" s="408"/>
      <c r="BQ842" s="408"/>
      <c r="BR842" s="408"/>
      <c r="BS842" s="408"/>
      <c r="BT842" s="408"/>
      <c r="BU842" s="408"/>
      <c r="BV842" s="408"/>
      <c r="BW842" s="408"/>
      <c r="BX842" s="408"/>
      <c r="BY842" s="408"/>
      <c r="BZ842" s="408"/>
      <c r="CA842" s="408"/>
      <c r="CB842" s="408"/>
      <c r="CC842" s="408"/>
      <c r="CD842" s="408"/>
      <c r="CE842" s="408"/>
      <c r="CF842" s="408"/>
      <c r="CG842" s="408"/>
      <c r="CH842" s="408"/>
      <c r="CI842" s="408"/>
      <c r="CJ842" s="408"/>
      <c r="CK842" s="408"/>
      <c r="CL842" s="408"/>
      <c r="CM842" s="408"/>
      <c r="CN842" s="408"/>
    </row>
    <row r="843">
      <c r="A843" s="408"/>
      <c r="B843" s="408"/>
      <c r="C843" s="408"/>
      <c r="D843" s="408"/>
      <c r="E843" s="408"/>
      <c r="F843" s="408"/>
      <c r="G843" s="408"/>
      <c r="H843" s="408"/>
      <c r="I843" s="408"/>
      <c r="J843" s="408"/>
      <c r="K843" s="408"/>
      <c r="L843" s="408"/>
      <c r="M843" s="408"/>
      <c r="N843" s="408"/>
      <c r="O843" s="408"/>
      <c r="P843" s="408"/>
      <c r="Q843" s="408"/>
      <c r="R843" s="408"/>
      <c r="S843" s="408"/>
      <c r="T843" s="408"/>
      <c r="U843" s="408"/>
      <c r="V843" s="408"/>
      <c r="W843" s="408"/>
      <c r="X843" s="408"/>
      <c r="Y843" s="408"/>
      <c r="Z843" s="408"/>
      <c r="AA843" s="408"/>
      <c r="AB843" s="408"/>
      <c r="AC843" s="408"/>
      <c r="AD843" s="408"/>
      <c r="AE843" s="408"/>
      <c r="AF843" s="408"/>
      <c r="AG843" s="408"/>
      <c r="AH843" s="408"/>
      <c r="AI843" s="408"/>
      <c r="AJ843" s="408"/>
      <c r="AK843" s="408"/>
      <c r="AL843" s="408"/>
      <c r="AM843" s="408"/>
      <c r="AN843" s="408"/>
      <c r="AO843" s="408"/>
      <c r="AP843" s="408"/>
      <c r="AQ843" s="408"/>
      <c r="AR843" s="408"/>
      <c r="AS843" s="408"/>
      <c r="AT843" s="408"/>
      <c r="AU843" s="408"/>
      <c r="AV843" s="408"/>
      <c r="AW843" s="408"/>
      <c r="AX843" s="408"/>
      <c r="AY843" s="408"/>
      <c r="AZ843" s="408"/>
      <c r="BA843" s="408"/>
      <c r="BB843" s="408"/>
      <c r="BC843" s="408"/>
      <c r="BD843" s="408"/>
      <c r="BE843" s="408"/>
      <c r="BF843" s="408"/>
      <c r="BG843" s="408"/>
      <c r="BH843" s="408"/>
      <c r="BI843" s="408"/>
      <c r="BJ843" s="408"/>
      <c r="BK843" s="408"/>
      <c r="BL843" s="408"/>
      <c r="BM843" s="408"/>
      <c r="BN843" s="408"/>
      <c r="BO843" s="408"/>
      <c r="BP843" s="408"/>
      <c r="BQ843" s="408"/>
      <c r="BR843" s="408"/>
      <c r="BS843" s="408"/>
      <c r="BT843" s="408"/>
      <c r="BU843" s="408"/>
      <c r="BV843" s="408"/>
      <c r="BW843" s="408"/>
      <c r="BX843" s="408"/>
      <c r="BY843" s="408"/>
      <c r="BZ843" s="408"/>
      <c r="CA843" s="408"/>
      <c r="CB843" s="408"/>
      <c r="CC843" s="408"/>
      <c r="CD843" s="408"/>
      <c r="CE843" s="408"/>
      <c r="CF843" s="408"/>
      <c r="CG843" s="408"/>
      <c r="CH843" s="408"/>
      <c r="CI843" s="408"/>
      <c r="CJ843" s="408"/>
      <c r="CK843" s="408"/>
      <c r="CL843" s="408"/>
      <c r="CM843" s="408"/>
      <c r="CN843" s="408"/>
    </row>
    <row r="844">
      <c r="A844" s="408"/>
      <c r="B844" s="408"/>
      <c r="C844" s="408"/>
      <c r="D844" s="408"/>
      <c r="E844" s="408"/>
      <c r="F844" s="408"/>
      <c r="G844" s="408"/>
      <c r="H844" s="408"/>
      <c r="I844" s="408"/>
      <c r="J844" s="408"/>
      <c r="K844" s="408"/>
      <c r="L844" s="408"/>
      <c r="M844" s="408"/>
      <c r="N844" s="408"/>
      <c r="O844" s="408"/>
      <c r="P844" s="408"/>
      <c r="Q844" s="408"/>
      <c r="R844" s="408"/>
      <c r="S844" s="408"/>
      <c r="T844" s="408"/>
      <c r="U844" s="408"/>
      <c r="V844" s="408"/>
      <c r="W844" s="408"/>
      <c r="X844" s="408"/>
      <c r="Y844" s="408"/>
      <c r="Z844" s="408"/>
      <c r="AA844" s="408"/>
      <c r="AB844" s="408"/>
      <c r="AC844" s="408"/>
      <c r="AD844" s="408"/>
      <c r="AE844" s="408"/>
      <c r="AF844" s="408"/>
      <c r="AG844" s="408"/>
      <c r="AH844" s="408"/>
      <c r="AI844" s="408"/>
      <c r="AJ844" s="408"/>
      <c r="AK844" s="408"/>
      <c r="AL844" s="408"/>
      <c r="AM844" s="408"/>
      <c r="AN844" s="408"/>
      <c r="AO844" s="408"/>
      <c r="AP844" s="408"/>
      <c r="AQ844" s="408"/>
      <c r="AR844" s="408"/>
      <c r="AS844" s="408"/>
      <c r="AT844" s="408"/>
      <c r="AU844" s="408"/>
      <c r="AV844" s="408"/>
      <c r="AW844" s="408"/>
      <c r="AX844" s="408"/>
      <c r="AY844" s="408"/>
      <c r="AZ844" s="408"/>
      <c r="BA844" s="408"/>
      <c r="BB844" s="408"/>
      <c r="BC844" s="408"/>
      <c r="BD844" s="408"/>
      <c r="BE844" s="408"/>
      <c r="BF844" s="408"/>
      <c r="BG844" s="408"/>
      <c r="BH844" s="408"/>
      <c r="BI844" s="408"/>
      <c r="BJ844" s="408"/>
      <c r="BK844" s="408"/>
      <c r="BL844" s="408"/>
      <c r="BM844" s="408"/>
      <c r="BN844" s="408"/>
      <c r="BO844" s="408"/>
      <c r="BP844" s="408"/>
      <c r="BQ844" s="408"/>
      <c r="BR844" s="408"/>
      <c r="BS844" s="408"/>
      <c r="BT844" s="408"/>
      <c r="BU844" s="408"/>
      <c r="BV844" s="408"/>
      <c r="BW844" s="408"/>
      <c r="BX844" s="408"/>
      <c r="BY844" s="408"/>
      <c r="BZ844" s="408"/>
      <c r="CA844" s="408"/>
      <c r="CB844" s="408"/>
      <c r="CC844" s="408"/>
      <c r="CD844" s="408"/>
      <c r="CE844" s="408"/>
      <c r="CF844" s="408"/>
      <c r="CG844" s="408"/>
      <c r="CH844" s="408"/>
      <c r="CI844" s="408"/>
      <c r="CJ844" s="408"/>
      <c r="CK844" s="408"/>
      <c r="CL844" s="408"/>
      <c r="CM844" s="408"/>
      <c r="CN844" s="408"/>
    </row>
    <row r="845">
      <c r="A845" s="408"/>
      <c r="B845" s="408"/>
      <c r="C845" s="408"/>
      <c r="D845" s="408"/>
      <c r="E845" s="408"/>
      <c r="F845" s="408"/>
      <c r="G845" s="408"/>
      <c r="H845" s="408"/>
      <c r="I845" s="408"/>
      <c r="J845" s="408"/>
      <c r="K845" s="408"/>
      <c r="L845" s="408"/>
      <c r="M845" s="408"/>
      <c r="N845" s="408"/>
      <c r="O845" s="408"/>
      <c r="P845" s="408"/>
      <c r="Q845" s="408"/>
      <c r="R845" s="408"/>
      <c r="S845" s="408"/>
      <c r="T845" s="408"/>
      <c r="U845" s="408"/>
      <c r="V845" s="408"/>
      <c r="W845" s="408"/>
      <c r="X845" s="408"/>
      <c r="Y845" s="408"/>
      <c r="Z845" s="408"/>
      <c r="AA845" s="408"/>
      <c r="AB845" s="408"/>
      <c r="AC845" s="408"/>
      <c r="AD845" s="408"/>
      <c r="AE845" s="408"/>
      <c r="AF845" s="408"/>
      <c r="AG845" s="408"/>
      <c r="AH845" s="408"/>
      <c r="AI845" s="408"/>
      <c r="AJ845" s="408"/>
      <c r="AK845" s="408"/>
      <c r="AL845" s="408"/>
      <c r="AM845" s="408"/>
      <c r="AN845" s="408"/>
      <c r="AO845" s="408"/>
      <c r="AP845" s="408"/>
      <c r="AQ845" s="408"/>
      <c r="AR845" s="408"/>
      <c r="AS845" s="408"/>
      <c r="AT845" s="408"/>
      <c r="AU845" s="408"/>
      <c r="AV845" s="408"/>
      <c r="AW845" s="408"/>
      <c r="AX845" s="408"/>
      <c r="AY845" s="408"/>
      <c r="AZ845" s="408"/>
      <c r="BA845" s="408"/>
      <c r="BB845" s="408"/>
      <c r="BC845" s="408"/>
      <c r="BD845" s="408"/>
      <c r="BE845" s="408"/>
      <c r="BF845" s="408"/>
      <c r="BG845" s="408"/>
      <c r="BH845" s="408"/>
      <c r="BI845" s="408"/>
      <c r="BJ845" s="408"/>
      <c r="BK845" s="408"/>
      <c r="BL845" s="408"/>
      <c r="BM845" s="408"/>
      <c r="BN845" s="408"/>
      <c r="BO845" s="408"/>
      <c r="BP845" s="408"/>
      <c r="BQ845" s="408"/>
      <c r="BR845" s="408"/>
      <c r="BS845" s="408"/>
      <c r="BT845" s="408"/>
      <c r="BU845" s="408"/>
      <c r="BV845" s="408"/>
      <c r="BW845" s="408"/>
      <c r="BX845" s="408"/>
      <c r="BY845" s="408"/>
      <c r="BZ845" s="408"/>
      <c r="CA845" s="408"/>
      <c r="CB845" s="408"/>
      <c r="CC845" s="408"/>
      <c r="CD845" s="408"/>
      <c r="CE845" s="408"/>
      <c r="CF845" s="408"/>
      <c r="CG845" s="408"/>
      <c r="CH845" s="408"/>
      <c r="CI845" s="408"/>
      <c r="CJ845" s="408"/>
      <c r="CK845" s="408"/>
      <c r="CL845" s="408"/>
      <c r="CM845" s="408"/>
      <c r="CN845" s="408"/>
    </row>
    <row r="846">
      <c r="A846" s="408"/>
      <c r="B846" s="408"/>
      <c r="C846" s="408"/>
      <c r="D846" s="408"/>
      <c r="E846" s="408"/>
      <c r="F846" s="408"/>
      <c r="G846" s="408"/>
      <c r="H846" s="408"/>
      <c r="I846" s="408"/>
      <c r="J846" s="408"/>
      <c r="K846" s="408"/>
      <c r="L846" s="408"/>
      <c r="M846" s="408"/>
      <c r="N846" s="408"/>
      <c r="O846" s="408"/>
      <c r="P846" s="408"/>
      <c r="Q846" s="408"/>
      <c r="R846" s="408"/>
      <c r="S846" s="408"/>
      <c r="T846" s="408"/>
      <c r="U846" s="408"/>
      <c r="V846" s="408"/>
      <c r="W846" s="408"/>
      <c r="X846" s="408"/>
      <c r="Y846" s="408"/>
      <c r="Z846" s="408"/>
      <c r="AA846" s="408"/>
      <c r="AB846" s="408"/>
      <c r="AC846" s="408"/>
      <c r="AD846" s="408"/>
      <c r="AE846" s="408"/>
      <c r="AF846" s="408"/>
      <c r="AG846" s="408"/>
      <c r="AH846" s="408"/>
      <c r="AI846" s="408"/>
      <c r="AJ846" s="408"/>
      <c r="AK846" s="408"/>
      <c r="AL846" s="408"/>
      <c r="AM846" s="408"/>
      <c r="AN846" s="408"/>
      <c r="AO846" s="408"/>
      <c r="AP846" s="408"/>
      <c r="AQ846" s="408"/>
      <c r="AR846" s="408"/>
      <c r="AS846" s="408"/>
      <c r="AT846" s="408"/>
      <c r="AU846" s="408"/>
      <c r="AV846" s="408"/>
      <c r="AW846" s="408"/>
      <c r="AX846" s="408"/>
      <c r="AY846" s="408"/>
      <c r="AZ846" s="408"/>
      <c r="BA846" s="408"/>
      <c r="BB846" s="408"/>
      <c r="BC846" s="408"/>
      <c r="BD846" s="408"/>
      <c r="BE846" s="408"/>
      <c r="BF846" s="408"/>
      <c r="BG846" s="408"/>
      <c r="BH846" s="408"/>
      <c r="BI846" s="408"/>
      <c r="BJ846" s="408"/>
      <c r="BK846" s="408"/>
      <c r="BL846" s="408"/>
      <c r="BM846" s="408"/>
      <c r="BN846" s="408"/>
      <c r="BO846" s="408"/>
      <c r="BP846" s="408"/>
      <c r="BQ846" s="408"/>
      <c r="BR846" s="408"/>
      <c r="BS846" s="408"/>
      <c r="BT846" s="408"/>
      <c r="BU846" s="408"/>
      <c r="BV846" s="408"/>
      <c r="BW846" s="408"/>
      <c r="BX846" s="408"/>
      <c r="BY846" s="408"/>
      <c r="BZ846" s="408"/>
      <c r="CA846" s="408"/>
      <c r="CB846" s="408"/>
      <c r="CC846" s="408"/>
      <c r="CD846" s="408"/>
      <c r="CE846" s="408"/>
      <c r="CF846" s="408"/>
      <c r="CG846" s="408"/>
      <c r="CH846" s="408"/>
      <c r="CI846" s="408"/>
      <c r="CJ846" s="408"/>
      <c r="CK846" s="408"/>
      <c r="CL846" s="408"/>
      <c r="CM846" s="408"/>
      <c r="CN846" s="408"/>
    </row>
    <row r="847">
      <c r="A847" s="408"/>
      <c r="B847" s="408"/>
      <c r="C847" s="408"/>
      <c r="D847" s="408"/>
      <c r="E847" s="408"/>
      <c r="F847" s="408"/>
      <c r="G847" s="408"/>
      <c r="H847" s="408"/>
      <c r="I847" s="408"/>
      <c r="J847" s="408"/>
      <c r="K847" s="408"/>
      <c r="L847" s="408"/>
      <c r="M847" s="408"/>
      <c r="N847" s="408"/>
      <c r="O847" s="408"/>
      <c r="P847" s="408"/>
      <c r="Q847" s="408"/>
      <c r="R847" s="408"/>
      <c r="S847" s="408"/>
      <c r="T847" s="408"/>
      <c r="U847" s="408"/>
      <c r="V847" s="408"/>
      <c r="W847" s="408"/>
      <c r="X847" s="408"/>
      <c r="Y847" s="408"/>
      <c r="Z847" s="408"/>
      <c r="AA847" s="408"/>
      <c r="AB847" s="408"/>
      <c r="AC847" s="408"/>
      <c r="AD847" s="408"/>
      <c r="AE847" s="408"/>
      <c r="AF847" s="408"/>
      <c r="AG847" s="408"/>
      <c r="AH847" s="408"/>
      <c r="AI847" s="408"/>
      <c r="AJ847" s="408"/>
      <c r="AK847" s="408"/>
      <c r="AL847" s="408"/>
      <c r="AM847" s="408"/>
      <c r="AN847" s="408"/>
      <c r="AO847" s="408"/>
      <c r="AP847" s="408"/>
      <c r="AQ847" s="408"/>
      <c r="AR847" s="408"/>
      <c r="AS847" s="408"/>
      <c r="AT847" s="408"/>
      <c r="AU847" s="408"/>
      <c r="AV847" s="408"/>
      <c r="AW847" s="408"/>
      <c r="AX847" s="408"/>
      <c r="AY847" s="408"/>
      <c r="AZ847" s="408"/>
      <c r="BA847" s="408"/>
      <c r="BB847" s="408"/>
      <c r="BC847" s="408"/>
      <c r="BD847" s="408"/>
      <c r="BE847" s="408"/>
      <c r="BF847" s="408"/>
      <c r="BG847" s="408"/>
      <c r="BH847" s="408"/>
      <c r="BI847" s="408"/>
      <c r="BJ847" s="408"/>
      <c r="BK847" s="408"/>
      <c r="BL847" s="408"/>
      <c r="BM847" s="408"/>
      <c r="BN847" s="408"/>
      <c r="BO847" s="408"/>
      <c r="BP847" s="408"/>
      <c r="BQ847" s="408"/>
      <c r="BR847" s="408"/>
      <c r="BS847" s="408"/>
      <c r="BT847" s="408"/>
      <c r="BU847" s="408"/>
      <c r="BV847" s="408"/>
      <c r="BW847" s="408"/>
      <c r="BX847" s="408"/>
      <c r="BY847" s="408"/>
      <c r="BZ847" s="408"/>
      <c r="CA847" s="408"/>
      <c r="CB847" s="408"/>
      <c r="CC847" s="408"/>
      <c r="CD847" s="408"/>
      <c r="CE847" s="408"/>
      <c r="CF847" s="408"/>
      <c r="CG847" s="408"/>
      <c r="CH847" s="408"/>
      <c r="CI847" s="408"/>
      <c r="CJ847" s="408"/>
      <c r="CK847" s="408"/>
      <c r="CL847" s="408"/>
      <c r="CM847" s="408"/>
      <c r="CN847" s="408"/>
    </row>
    <row r="848">
      <c r="A848" s="408"/>
      <c r="B848" s="408"/>
      <c r="C848" s="408"/>
      <c r="D848" s="408"/>
      <c r="E848" s="408"/>
      <c r="F848" s="408"/>
      <c r="G848" s="408"/>
      <c r="H848" s="408"/>
      <c r="I848" s="408"/>
      <c r="J848" s="408"/>
      <c r="K848" s="408"/>
      <c r="L848" s="408"/>
      <c r="M848" s="408"/>
      <c r="N848" s="408"/>
      <c r="O848" s="408"/>
      <c r="P848" s="408"/>
      <c r="Q848" s="408"/>
      <c r="R848" s="408"/>
      <c r="S848" s="408"/>
      <c r="T848" s="408"/>
      <c r="U848" s="408"/>
      <c r="V848" s="408"/>
      <c r="W848" s="408"/>
      <c r="X848" s="408"/>
      <c r="Y848" s="408"/>
      <c r="Z848" s="408"/>
      <c r="AA848" s="408"/>
      <c r="AB848" s="408"/>
      <c r="AC848" s="408"/>
      <c r="AD848" s="408"/>
      <c r="AE848" s="408"/>
      <c r="AF848" s="408"/>
      <c r="AG848" s="408"/>
      <c r="AH848" s="408"/>
      <c r="AI848" s="408"/>
      <c r="AJ848" s="408"/>
      <c r="AK848" s="408"/>
      <c r="AL848" s="408"/>
      <c r="AM848" s="408"/>
      <c r="AN848" s="408"/>
      <c r="AO848" s="408"/>
      <c r="AP848" s="408"/>
      <c r="AQ848" s="408"/>
      <c r="AR848" s="408"/>
      <c r="AS848" s="408"/>
      <c r="AT848" s="408"/>
      <c r="AU848" s="408"/>
      <c r="AV848" s="408"/>
      <c r="AW848" s="408"/>
      <c r="AX848" s="408"/>
      <c r="AY848" s="408"/>
      <c r="AZ848" s="408"/>
      <c r="BA848" s="408"/>
      <c r="BB848" s="408"/>
      <c r="BC848" s="408"/>
      <c r="BD848" s="408"/>
      <c r="BE848" s="408"/>
      <c r="BF848" s="408"/>
      <c r="BG848" s="408"/>
      <c r="BH848" s="408"/>
      <c r="BI848" s="408"/>
      <c r="BJ848" s="408"/>
      <c r="BK848" s="408"/>
      <c r="BL848" s="408"/>
      <c r="BM848" s="408"/>
      <c r="BN848" s="408"/>
      <c r="BO848" s="408"/>
      <c r="BP848" s="408"/>
      <c r="BQ848" s="408"/>
      <c r="BR848" s="408"/>
      <c r="BS848" s="408"/>
      <c r="BT848" s="408"/>
      <c r="BU848" s="408"/>
      <c r="BV848" s="408"/>
      <c r="BW848" s="408"/>
      <c r="BX848" s="408"/>
      <c r="BY848" s="408"/>
      <c r="BZ848" s="408"/>
      <c r="CA848" s="408"/>
      <c r="CB848" s="408"/>
      <c r="CC848" s="408"/>
      <c r="CD848" s="408"/>
      <c r="CE848" s="408"/>
      <c r="CF848" s="408"/>
      <c r="CG848" s="408"/>
      <c r="CH848" s="408"/>
      <c r="CI848" s="408"/>
      <c r="CJ848" s="408"/>
      <c r="CK848" s="408"/>
      <c r="CL848" s="408"/>
      <c r="CM848" s="408"/>
      <c r="CN848" s="408"/>
    </row>
    <row r="849">
      <c r="A849" s="408"/>
      <c r="B849" s="408"/>
      <c r="C849" s="408"/>
      <c r="D849" s="408"/>
      <c r="E849" s="408"/>
      <c r="F849" s="408"/>
      <c r="G849" s="408"/>
      <c r="H849" s="408"/>
      <c r="I849" s="408"/>
      <c r="J849" s="408"/>
      <c r="K849" s="408"/>
      <c r="L849" s="408"/>
      <c r="M849" s="408"/>
      <c r="N849" s="408"/>
      <c r="O849" s="408"/>
      <c r="P849" s="408"/>
      <c r="Q849" s="408"/>
      <c r="R849" s="408"/>
      <c r="S849" s="408"/>
      <c r="T849" s="408"/>
      <c r="U849" s="408"/>
      <c r="V849" s="408"/>
      <c r="W849" s="408"/>
      <c r="X849" s="408"/>
      <c r="Y849" s="408"/>
      <c r="Z849" s="408"/>
      <c r="AA849" s="408"/>
      <c r="AB849" s="408"/>
      <c r="AC849" s="408"/>
      <c r="AD849" s="408"/>
      <c r="AE849" s="408"/>
      <c r="AF849" s="408"/>
      <c r="AG849" s="408"/>
      <c r="AH849" s="408"/>
      <c r="AI849" s="408"/>
      <c r="AJ849" s="408"/>
      <c r="AK849" s="408"/>
      <c r="AL849" s="408"/>
      <c r="AM849" s="408"/>
      <c r="AN849" s="408"/>
      <c r="AO849" s="408"/>
      <c r="AP849" s="408"/>
      <c r="AQ849" s="408"/>
      <c r="AR849" s="408"/>
      <c r="AS849" s="408"/>
      <c r="AT849" s="408"/>
      <c r="AU849" s="408"/>
      <c r="AV849" s="408"/>
      <c r="AW849" s="408"/>
      <c r="AX849" s="408"/>
      <c r="AY849" s="408"/>
      <c r="AZ849" s="408"/>
      <c r="BA849" s="408"/>
      <c r="BB849" s="408"/>
      <c r="BC849" s="408"/>
      <c r="BD849" s="408"/>
      <c r="BE849" s="408"/>
      <c r="BF849" s="408"/>
      <c r="BG849" s="408"/>
      <c r="BH849" s="408"/>
      <c r="BI849" s="408"/>
      <c r="BJ849" s="408"/>
      <c r="BK849" s="408"/>
      <c r="BL849" s="408"/>
      <c r="BM849" s="408"/>
      <c r="BN849" s="408"/>
      <c r="BO849" s="408"/>
      <c r="BP849" s="408"/>
      <c r="BQ849" s="408"/>
      <c r="BR849" s="408"/>
      <c r="BS849" s="408"/>
      <c r="BT849" s="408"/>
      <c r="BU849" s="408"/>
      <c r="BV849" s="408"/>
      <c r="BW849" s="408"/>
      <c r="BX849" s="408"/>
      <c r="BY849" s="408"/>
      <c r="BZ849" s="408"/>
      <c r="CA849" s="408"/>
      <c r="CB849" s="408"/>
      <c r="CC849" s="408"/>
      <c r="CD849" s="408"/>
      <c r="CE849" s="408"/>
      <c r="CF849" s="408"/>
      <c r="CG849" s="408"/>
      <c r="CH849" s="408"/>
      <c r="CI849" s="408"/>
      <c r="CJ849" s="408"/>
      <c r="CK849" s="408"/>
      <c r="CL849" s="408"/>
      <c r="CM849" s="408"/>
      <c r="CN849" s="408"/>
    </row>
    <row r="850">
      <c r="A850" s="408"/>
      <c r="B850" s="408"/>
      <c r="C850" s="408"/>
      <c r="D850" s="408"/>
      <c r="E850" s="408"/>
      <c r="F850" s="408"/>
      <c r="G850" s="408"/>
      <c r="H850" s="408"/>
      <c r="I850" s="408"/>
      <c r="J850" s="408"/>
      <c r="K850" s="408"/>
      <c r="L850" s="408"/>
      <c r="M850" s="408"/>
      <c r="N850" s="408"/>
      <c r="O850" s="408"/>
      <c r="P850" s="408"/>
      <c r="Q850" s="408"/>
      <c r="R850" s="408"/>
      <c r="S850" s="408"/>
      <c r="T850" s="408"/>
      <c r="U850" s="408"/>
      <c r="V850" s="408"/>
      <c r="W850" s="408"/>
      <c r="X850" s="408"/>
      <c r="Y850" s="408"/>
      <c r="Z850" s="408"/>
      <c r="AA850" s="408"/>
      <c r="AB850" s="408"/>
      <c r="AC850" s="408"/>
      <c r="AD850" s="408"/>
      <c r="AE850" s="408"/>
      <c r="AF850" s="408"/>
      <c r="AG850" s="408"/>
      <c r="AH850" s="408"/>
      <c r="AI850" s="408"/>
      <c r="AJ850" s="408"/>
      <c r="AK850" s="408"/>
      <c r="AL850" s="408"/>
      <c r="AM850" s="408"/>
      <c r="AN850" s="408"/>
      <c r="AO850" s="408"/>
      <c r="AP850" s="408"/>
      <c r="AQ850" s="408"/>
      <c r="AR850" s="408"/>
      <c r="AS850" s="408"/>
      <c r="AT850" s="408"/>
      <c r="AU850" s="408"/>
      <c r="AV850" s="408"/>
      <c r="AW850" s="408"/>
      <c r="AX850" s="408"/>
      <c r="AY850" s="408"/>
      <c r="AZ850" s="408"/>
      <c r="BA850" s="408"/>
      <c r="BB850" s="408"/>
      <c r="BC850" s="408"/>
      <c r="BD850" s="408"/>
      <c r="BE850" s="408"/>
      <c r="BF850" s="408"/>
      <c r="BG850" s="408"/>
      <c r="BH850" s="408"/>
      <c r="BI850" s="408"/>
      <c r="BJ850" s="408"/>
      <c r="BK850" s="408"/>
      <c r="BL850" s="408"/>
      <c r="BM850" s="408"/>
      <c r="BN850" s="408"/>
      <c r="BO850" s="408"/>
      <c r="BP850" s="408"/>
      <c r="BQ850" s="408"/>
      <c r="BR850" s="408"/>
      <c r="BS850" s="408"/>
      <c r="BT850" s="408"/>
      <c r="BU850" s="408"/>
      <c r="BV850" s="408"/>
      <c r="BW850" s="408"/>
      <c r="BX850" s="408"/>
      <c r="BY850" s="408"/>
      <c r="BZ850" s="408"/>
      <c r="CA850" s="408"/>
      <c r="CB850" s="408"/>
      <c r="CC850" s="408"/>
      <c r="CD850" s="408"/>
      <c r="CE850" s="408"/>
      <c r="CF850" s="408"/>
      <c r="CG850" s="408"/>
      <c r="CH850" s="408"/>
      <c r="CI850" s="408"/>
      <c r="CJ850" s="408"/>
      <c r="CK850" s="408"/>
      <c r="CL850" s="408"/>
      <c r="CM850" s="408"/>
      <c r="CN850" s="408"/>
    </row>
    <row r="851">
      <c r="A851" s="408"/>
      <c r="B851" s="408"/>
      <c r="C851" s="408"/>
      <c r="D851" s="408"/>
      <c r="E851" s="408"/>
      <c r="F851" s="408"/>
      <c r="G851" s="408"/>
      <c r="H851" s="408"/>
      <c r="I851" s="408"/>
      <c r="J851" s="408"/>
      <c r="K851" s="408"/>
      <c r="L851" s="408"/>
      <c r="M851" s="408"/>
      <c r="N851" s="408"/>
      <c r="O851" s="408"/>
      <c r="P851" s="408"/>
      <c r="Q851" s="408"/>
      <c r="R851" s="408"/>
      <c r="S851" s="408"/>
      <c r="T851" s="408"/>
      <c r="U851" s="408"/>
      <c r="V851" s="408"/>
      <c r="W851" s="408"/>
      <c r="X851" s="408"/>
      <c r="Y851" s="408"/>
      <c r="Z851" s="408"/>
      <c r="AA851" s="408"/>
      <c r="AB851" s="408"/>
      <c r="AC851" s="408"/>
      <c r="AD851" s="408"/>
      <c r="AE851" s="408"/>
      <c r="AF851" s="408"/>
      <c r="AG851" s="408"/>
      <c r="AH851" s="408"/>
      <c r="AI851" s="408"/>
      <c r="AJ851" s="408"/>
      <c r="AK851" s="408"/>
      <c r="AL851" s="408"/>
      <c r="AM851" s="408"/>
      <c r="AN851" s="408"/>
      <c r="AO851" s="408"/>
      <c r="AP851" s="408"/>
      <c r="AQ851" s="408"/>
      <c r="AR851" s="408"/>
      <c r="AS851" s="408"/>
      <c r="AT851" s="408"/>
      <c r="AU851" s="408"/>
      <c r="AV851" s="408"/>
      <c r="AW851" s="408"/>
      <c r="AX851" s="408"/>
      <c r="AY851" s="408"/>
      <c r="AZ851" s="408"/>
      <c r="BA851" s="408"/>
      <c r="BB851" s="408"/>
      <c r="BC851" s="408"/>
      <c r="BD851" s="408"/>
      <c r="BE851" s="408"/>
      <c r="BF851" s="408"/>
      <c r="BG851" s="408"/>
      <c r="BH851" s="408"/>
      <c r="BI851" s="408"/>
      <c r="BJ851" s="408"/>
      <c r="BK851" s="408"/>
      <c r="BL851" s="408"/>
      <c r="BM851" s="408"/>
      <c r="BN851" s="408"/>
      <c r="BO851" s="408"/>
      <c r="BP851" s="408"/>
      <c r="BQ851" s="408"/>
      <c r="BR851" s="408"/>
      <c r="BS851" s="408"/>
      <c r="BT851" s="408"/>
      <c r="BU851" s="408"/>
      <c r="BV851" s="408"/>
      <c r="BW851" s="408"/>
      <c r="BX851" s="408"/>
      <c r="BY851" s="408"/>
      <c r="BZ851" s="408"/>
      <c r="CA851" s="408"/>
      <c r="CB851" s="408"/>
      <c r="CC851" s="408"/>
      <c r="CD851" s="408"/>
      <c r="CE851" s="408"/>
      <c r="CF851" s="408"/>
      <c r="CG851" s="408"/>
      <c r="CH851" s="408"/>
      <c r="CI851" s="408"/>
      <c r="CJ851" s="408"/>
      <c r="CK851" s="408"/>
      <c r="CL851" s="408"/>
      <c r="CM851" s="408"/>
      <c r="CN851" s="408"/>
    </row>
    <row r="852">
      <c r="A852" s="408"/>
      <c r="B852" s="408"/>
      <c r="C852" s="408"/>
      <c r="D852" s="408"/>
      <c r="E852" s="408"/>
      <c r="F852" s="408"/>
      <c r="G852" s="408"/>
      <c r="H852" s="408"/>
      <c r="I852" s="408"/>
      <c r="J852" s="408"/>
      <c r="K852" s="408"/>
      <c r="L852" s="408"/>
      <c r="M852" s="408"/>
      <c r="N852" s="408"/>
      <c r="O852" s="408"/>
      <c r="P852" s="408"/>
      <c r="Q852" s="408"/>
      <c r="R852" s="408"/>
      <c r="S852" s="408"/>
      <c r="T852" s="408"/>
      <c r="U852" s="408"/>
      <c r="V852" s="408"/>
      <c r="W852" s="408"/>
      <c r="X852" s="408"/>
      <c r="Y852" s="408"/>
      <c r="Z852" s="408"/>
      <c r="AA852" s="408"/>
      <c r="AB852" s="408"/>
      <c r="AC852" s="408"/>
      <c r="AD852" s="408"/>
      <c r="AE852" s="408"/>
      <c r="AF852" s="408"/>
      <c r="AG852" s="408"/>
      <c r="AH852" s="408"/>
      <c r="AI852" s="408"/>
      <c r="AJ852" s="408"/>
      <c r="AK852" s="408"/>
      <c r="AL852" s="408"/>
      <c r="AM852" s="408"/>
      <c r="AN852" s="408"/>
      <c r="AO852" s="408"/>
      <c r="AP852" s="408"/>
      <c r="AQ852" s="408"/>
      <c r="AR852" s="408"/>
      <c r="AS852" s="408"/>
      <c r="AT852" s="408"/>
      <c r="AU852" s="408"/>
      <c r="AV852" s="408"/>
      <c r="AW852" s="408"/>
      <c r="AX852" s="408"/>
      <c r="AY852" s="408"/>
      <c r="AZ852" s="408"/>
      <c r="BA852" s="408"/>
      <c r="BB852" s="408"/>
      <c r="BC852" s="408"/>
      <c r="BD852" s="408"/>
      <c r="BE852" s="408"/>
      <c r="BF852" s="408"/>
      <c r="BG852" s="408"/>
      <c r="BH852" s="408"/>
      <c r="BI852" s="408"/>
      <c r="BJ852" s="408"/>
      <c r="BK852" s="408"/>
      <c r="BL852" s="408"/>
      <c r="BM852" s="408"/>
      <c r="BN852" s="408"/>
      <c r="BO852" s="408"/>
      <c r="BP852" s="408"/>
      <c r="BQ852" s="408"/>
      <c r="BR852" s="408"/>
      <c r="BS852" s="408"/>
      <c r="BT852" s="408"/>
      <c r="BU852" s="408"/>
      <c r="BV852" s="408"/>
      <c r="BW852" s="408"/>
      <c r="BX852" s="408"/>
      <c r="BY852" s="408"/>
      <c r="BZ852" s="408"/>
      <c r="CA852" s="408"/>
      <c r="CB852" s="408"/>
      <c r="CC852" s="408"/>
      <c r="CD852" s="408"/>
      <c r="CE852" s="408"/>
      <c r="CF852" s="408"/>
      <c r="CG852" s="408"/>
      <c r="CH852" s="408"/>
      <c r="CI852" s="408"/>
      <c r="CJ852" s="408"/>
      <c r="CK852" s="408"/>
      <c r="CL852" s="408"/>
      <c r="CM852" s="408"/>
      <c r="CN852" s="408"/>
    </row>
    <row r="853">
      <c r="A853" s="408"/>
      <c r="B853" s="408"/>
      <c r="C853" s="408"/>
      <c r="D853" s="408"/>
      <c r="E853" s="408"/>
      <c r="F853" s="408"/>
      <c r="G853" s="408"/>
      <c r="H853" s="408"/>
      <c r="I853" s="408"/>
      <c r="J853" s="408"/>
      <c r="K853" s="408"/>
      <c r="L853" s="408"/>
      <c r="M853" s="408"/>
      <c r="N853" s="408"/>
      <c r="O853" s="408"/>
      <c r="P853" s="408"/>
      <c r="Q853" s="408"/>
      <c r="R853" s="408"/>
      <c r="S853" s="408"/>
      <c r="T853" s="408"/>
      <c r="U853" s="408"/>
      <c r="V853" s="408"/>
      <c r="W853" s="408"/>
      <c r="X853" s="408"/>
      <c r="Y853" s="408"/>
      <c r="Z853" s="408"/>
      <c r="AA853" s="408"/>
      <c r="AB853" s="408"/>
      <c r="AC853" s="408"/>
      <c r="AD853" s="408"/>
      <c r="AE853" s="408"/>
      <c r="AF853" s="408"/>
      <c r="AG853" s="408"/>
      <c r="AH853" s="408"/>
      <c r="AI853" s="408"/>
      <c r="AJ853" s="408"/>
      <c r="AK853" s="408"/>
      <c r="AL853" s="408"/>
      <c r="AM853" s="408"/>
      <c r="AN853" s="408"/>
      <c r="AO853" s="408"/>
      <c r="AP853" s="408"/>
      <c r="AQ853" s="408"/>
      <c r="AR853" s="408"/>
      <c r="AS853" s="408"/>
      <c r="AT853" s="408"/>
      <c r="AU853" s="408"/>
      <c r="AV853" s="408"/>
      <c r="AW853" s="408"/>
      <c r="AX853" s="408"/>
      <c r="AY853" s="408"/>
      <c r="AZ853" s="408"/>
      <c r="BA853" s="408"/>
      <c r="BB853" s="408"/>
      <c r="BC853" s="408"/>
      <c r="BD853" s="408"/>
      <c r="BE853" s="408"/>
      <c r="BF853" s="408"/>
      <c r="BG853" s="408"/>
      <c r="BH853" s="408"/>
      <c r="BI853" s="408"/>
      <c r="BJ853" s="408"/>
      <c r="BK853" s="408"/>
      <c r="BL853" s="408"/>
      <c r="BM853" s="408"/>
      <c r="BN853" s="408"/>
      <c r="BO853" s="408"/>
      <c r="BP853" s="408"/>
      <c r="BQ853" s="408"/>
      <c r="BR853" s="408"/>
      <c r="BS853" s="408"/>
      <c r="BT853" s="408"/>
      <c r="BU853" s="408"/>
      <c r="BV853" s="408"/>
      <c r="BW853" s="408"/>
      <c r="BX853" s="408"/>
      <c r="BY853" s="408"/>
      <c r="BZ853" s="408"/>
      <c r="CA853" s="408"/>
      <c r="CB853" s="408"/>
      <c r="CC853" s="408"/>
      <c r="CD853" s="408"/>
      <c r="CE853" s="408"/>
      <c r="CF853" s="408"/>
      <c r="CG853" s="408"/>
      <c r="CH853" s="408"/>
      <c r="CI853" s="408"/>
      <c r="CJ853" s="408"/>
      <c r="CK853" s="408"/>
      <c r="CL853" s="408"/>
      <c r="CM853" s="408"/>
      <c r="CN853" s="408"/>
    </row>
    <row r="854">
      <c r="A854" s="408"/>
      <c r="B854" s="408"/>
      <c r="C854" s="408"/>
      <c r="D854" s="408"/>
      <c r="E854" s="408"/>
      <c r="F854" s="408"/>
      <c r="G854" s="408"/>
      <c r="H854" s="408"/>
      <c r="I854" s="408"/>
      <c r="J854" s="408"/>
      <c r="K854" s="408"/>
      <c r="L854" s="408"/>
      <c r="M854" s="408"/>
      <c r="N854" s="408"/>
      <c r="O854" s="408"/>
      <c r="P854" s="408"/>
      <c r="Q854" s="408"/>
      <c r="R854" s="408"/>
      <c r="S854" s="408"/>
      <c r="T854" s="408"/>
      <c r="U854" s="408"/>
      <c r="V854" s="408"/>
      <c r="W854" s="408"/>
      <c r="X854" s="408"/>
      <c r="Y854" s="408"/>
      <c r="Z854" s="408"/>
      <c r="AA854" s="408"/>
      <c r="AB854" s="408"/>
      <c r="AC854" s="408"/>
      <c r="AD854" s="408"/>
      <c r="AE854" s="408"/>
      <c r="AF854" s="408"/>
      <c r="AG854" s="408"/>
      <c r="AH854" s="408"/>
      <c r="AI854" s="408"/>
      <c r="AJ854" s="408"/>
      <c r="AK854" s="408"/>
      <c r="AL854" s="408"/>
      <c r="AM854" s="408"/>
      <c r="AN854" s="408"/>
      <c r="AO854" s="408"/>
      <c r="AP854" s="408"/>
      <c r="AQ854" s="408"/>
      <c r="AR854" s="408"/>
      <c r="AS854" s="408"/>
      <c r="AT854" s="408"/>
      <c r="AU854" s="408"/>
      <c r="AV854" s="408"/>
      <c r="AW854" s="408"/>
      <c r="AX854" s="408"/>
      <c r="AY854" s="408"/>
      <c r="AZ854" s="408"/>
      <c r="BA854" s="408"/>
      <c r="BB854" s="408"/>
      <c r="BC854" s="408"/>
      <c r="BD854" s="408"/>
      <c r="BE854" s="408"/>
      <c r="BF854" s="408"/>
      <c r="BG854" s="408"/>
      <c r="BH854" s="408"/>
      <c r="BI854" s="408"/>
      <c r="BJ854" s="408"/>
      <c r="BK854" s="408"/>
      <c r="BL854" s="408"/>
      <c r="BM854" s="408"/>
      <c r="BN854" s="408"/>
      <c r="BO854" s="408"/>
      <c r="BP854" s="408"/>
      <c r="BQ854" s="408"/>
      <c r="BR854" s="408"/>
      <c r="BS854" s="408"/>
      <c r="BT854" s="408"/>
      <c r="BU854" s="408"/>
      <c r="BV854" s="408"/>
      <c r="BW854" s="408"/>
      <c r="BX854" s="408"/>
      <c r="BY854" s="408"/>
      <c r="BZ854" s="408"/>
      <c r="CA854" s="408"/>
      <c r="CB854" s="408"/>
      <c r="CC854" s="408"/>
      <c r="CD854" s="408"/>
      <c r="CE854" s="408"/>
      <c r="CF854" s="408"/>
      <c r="CG854" s="408"/>
      <c r="CH854" s="408"/>
      <c r="CI854" s="408"/>
      <c r="CJ854" s="408"/>
      <c r="CK854" s="408"/>
      <c r="CL854" s="408"/>
      <c r="CM854" s="408"/>
      <c r="CN854" s="408"/>
    </row>
    <row r="855">
      <c r="A855" s="408"/>
      <c r="B855" s="408"/>
      <c r="C855" s="408"/>
      <c r="D855" s="408"/>
      <c r="E855" s="408"/>
      <c r="F855" s="408"/>
      <c r="G855" s="408"/>
      <c r="H855" s="408"/>
      <c r="I855" s="408"/>
      <c r="J855" s="408"/>
      <c r="K855" s="408"/>
      <c r="L855" s="408"/>
      <c r="M855" s="408"/>
      <c r="N855" s="408"/>
      <c r="O855" s="408"/>
      <c r="P855" s="408"/>
      <c r="Q855" s="408"/>
      <c r="R855" s="408"/>
      <c r="S855" s="408"/>
      <c r="T855" s="408"/>
      <c r="U855" s="408"/>
      <c r="V855" s="408"/>
      <c r="W855" s="408"/>
      <c r="X855" s="408"/>
      <c r="Y855" s="408"/>
      <c r="Z855" s="408"/>
      <c r="AA855" s="408"/>
      <c r="AB855" s="408"/>
      <c r="AC855" s="408"/>
      <c r="AD855" s="408"/>
      <c r="AE855" s="408"/>
      <c r="AF855" s="408"/>
      <c r="AG855" s="408"/>
      <c r="AH855" s="408"/>
      <c r="AI855" s="408"/>
      <c r="AJ855" s="408"/>
      <c r="AK855" s="408"/>
      <c r="AL855" s="408"/>
      <c r="AM855" s="408"/>
      <c r="AN855" s="408"/>
      <c r="AO855" s="408"/>
      <c r="AP855" s="408"/>
      <c r="AQ855" s="408"/>
      <c r="AR855" s="408"/>
      <c r="AS855" s="408"/>
      <c r="AT855" s="408"/>
      <c r="AU855" s="408"/>
      <c r="AV855" s="408"/>
      <c r="AW855" s="408"/>
      <c r="AX855" s="408"/>
      <c r="AY855" s="408"/>
      <c r="AZ855" s="408"/>
      <c r="BA855" s="408"/>
      <c r="BB855" s="408"/>
      <c r="BC855" s="408"/>
      <c r="BD855" s="408"/>
      <c r="BE855" s="408"/>
      <c r="BF855" s="408"/>
      <c r="BG855" s="408"/>
      <c r="BH855" s="408"/>
      <c r="BI855" s="408"/>
      <c r="BJ855" s="408"/>
      <c r="BK855" s="408"/>
      <c r="BL855" s="408"/>
      <c r="BM855" s="408"/>
      <c r="BN855" s="408"/>
      <c r="BO855" s="408"/>
      <c r="BP855" s="408"/>
      <c r="BQ855" s="408"/>
      <c r="BR855" s="408"/>
      <c r="BS855" s="408"/>
      <c r="BT855" s="408"/>
      <c r="BU855" s="408"/>
      <c r="BV855" s="408"/>
      <c r="BW855" s="408"/>
      <c r="BX855" s="408"/>
      <c r="BY855" s="408"/>
      <c r="BZ855" s="408"/>
      <c r="CA855" s="408"/>
      <c r="CB855" s="408"/>
      <c r="CC855" s="408"/>
      <c r="CD855" s="408"/>
      <c r="CE855" s="408"/>
      <c r="CF855" s="408"/>
      <c r="CG855" s="408"/>
      <c r="CH855" s="408"/>
      <c r="CI855" s="408"/>
      <c r="CJ855" s="408"/>
      <c r="CK855" s="408"/>
      <c r="CL855" s="408"/>
      <c r="CM855" s="408"/>
      <c r="CN855" s="408"/>
    </row>
    <row r="856">
      <c r="A856" s="408"/>
      <c r="B856" s="408"/>
      <c r="C856" s="408"/>
      <c r="D856" s="408"/>
      <c r="E856" s="408"/>
      <c r="F856" s="408"/>
      <c r="G856" s="408"/>
      <c r="H856" s="408"/>
      <c r="I856" s="408"/>
      <c r="J856" s="408"/>
      <c r="K856" s="408"/>
      <c r="L856" s="408"/>
      <c r="M856" s="408"/>
      <c r="N856" s="408"/>
      <c r="O856" s="408"/>
      <c r="P856" s="408"/>
      <c r="Q856" s="408"/>
      <c r="R856" s="408"/>
      <c r="S856" s="408"/>
      <c r="T856" s="408"/>
      <c r="U856" s="408"/>
      <c r="V856" s="408"/>
      <c r="W856" s="408"/>
      <c r="X856" s="408"/>
      <c r="Y856" s="408"/>
      <c r="Z856" s="408"/>
      <c r="AA856" s="408"/>
      <c r="AB856" s="408"/>
      <c r="AC856" s="408"/>
      <c r="AD856" s="408"/>
      <c r="AE856" s="408"/>
      <c r="AF856" s="408"/>
      <c r="AG856" s="408"/>
      <c r="AH856" s="408"/>
      <c r="AI856" s="408"/>
      <c r="AJ856" s="408"/>
      <c r="AK856" s="408"/>
      <c r="AL856" s="408"/>
      <c r="AM856" s="408"/>
      <c r="AN856" s="408"/>
      <c r="AO856" s="408"/>
      <c r="AP856" s="408"/>
      <c r="AQ856" s="408"/>
      <c r="AR856" s="408"/>
      <c r="AS856" s="408"/>
      <c r="AT856" s="408"/>
      <c r="AU856" s="408"/>
      <c r="AV856" s="408"/>
      <c r="AW856" s="408"/>
      <c r="AX856" s="408"/>
      <c r="AY856" s="408"/>
      <c r="AZ856" s="408"/>
      <c r="BA856" s="408"/>
      <c r="BB856" s="408"/>
      <c r="BC856" s="408"/>
      <c r="BD856" s="408"/>
      <c r="BE856" s="408"/>
      <c r="BF856" s="408"/>
      <c r="BG856" s="408"/>
      <c r="BH856" s="408"/>
      <c r="BI856" s="408"/>
      <c r="BJ856" s="408"/>
      <c r="BK856" s="408"/>
      <c r="BL856" s="408"/>
      <c r="BM856" s="408"/>
      <c r="BN856" s="408"/>
      <c r="BO856" s="408"/>
      <c r="BP856" s="408"/>
      <c r="BQ856" s="408"/>
      <c r="BR856" s="408"/>
      <c r="BS856" s="408"/>
      <c r="BT856" s="408"/>
      <c r="BU856" s="408"/>
      <c r="BV856" s="408"/>
      <c r="BW856" s="408"/>
      <c r="BX856" s="408"/>
      <c r="BY856" s="408"/>
      <c r="BZ856" s="408"/>
      <c r="CA856" s="408"/>
      <c r="CB856" s="408"/>
      <c r="CC856" s="408"/>
      <c r="CD856" s="408"/>
      <c r="CE856" s="408"/>
      <c r="CF856" s="408"/>
      <c r="CG856" s="408"/>
      <c r="CH856" s="408"/>
      <c r="CI856" s="408"/>
      <c r="CJ856" s="408"/>
      <c r="CK856" s="408"/>
      <c r="CL856" s="408"/>
      <c r="CM856" s="408"/>
      <c r="CN856" s="408"/>
    </row>
    <row r="857">
      <c r="A857" s="408"/>
      <c r="B857" s="408"/>
      <c r="C857" s="408"/>
      <c r="D857" s="408"/>
      <c r="E857" s="408"/>
      <c r="F857" s="408"/>
      <c r="G857" s="408"/>
      <c r="H857" s="408"/>
      <c r="I857" s="408"/>
      <c r="J857" s="408"/>
      <c r="K857" s="408"/>
      <c r="L857" s="408"/>
      <c r="M857" s="408"/>
      <c r="N857" s="408"/>
      <c r="O857" s="408"/>
      <c r="P857" s="408"/>
      <c r="Q857" s="408"/>
      <c r="R857" s="408"/>
      <c r="S857" s="408"/>
      <c r="T857" s="408"/>
      <c r="U857" s="408"/>
      <c r="V857" s="408"/>
      <c r="W857" s="408"/>
      <c r="X857" s="408"/>
      <c r="Y857" s="408"/>
      <c r="Z857" s="408"/>
      <c r="AA857" s="408"/>
      <c r="AB857" s="408"/>
      <c r="AC857" s="408"/>
      <c r="AD857" s="408"/>
      <c r="AE857" s="408"/>
      <c r="AF857" s="408"/>
      <c r="AG857" s="408"/>
      <c r="AH857" s="408"/>
      <c r="AI857" s="408"/>
      <c r="AJ857" s="408"/>
      <c r="AK857" s="408"/>
      <c r="AL857" s="408"/>
      <c r="AM857" s="408"/>
      <c r="AN857" s="408"/>
      <c r="AO857" s="408"/>
      <c r="AP857" s="408"/>
      <c r="AQ857" s="408"/>
      <c r="AR857" s="408"/>
      <c r="AS857" s="408"/>
      <c r="AT857" s="408"/>
      <c r="AU857" s="408"/>
      <c r="AV857" s="408"/>
      <c r="AW857" s="408"/>
      <c r="AX857" s="408"/>
      <c r="AY857" s="408"/>
      <c r="AZ857" s="408"/>
      <c r="BA857" s="408"/>
      <c r="BB857" s="408"/>
      <c r="BC857" s="408"/>
      <c r="BD857" s="408"/>
      <c r="BE857" s="408"/>
      <c r="BF857" s="408"/>
      <c r="BG857" s="408"/>
      <c r="BH857" s="408"/>
      <c r="BI857" s="408"/>
      <c r="BJ857" s="408"/>
      <c r="BK857" s="408"/>
      <c r="BL857" s="408"/>
      <c r="BM857" s="408"/>
      <c r="BN857" s="408"/>
      <c r="BO857" s="408"/>
      <c r="BP857" s="408"/>
      <c r="BQ857" s="408"/>
      <c r="BR857" s="408"/>
      <c r="BS857" s="408"/>
      <c r="BT857" s="408"/>
      <c r="BU857" s="408"/>
      <c r="BV857" s="408"/>
      <c r="BW857" s="408"/>
      <c r="BX857" s="408"/>
      <c r="BY857" s="408"/>
      <c r="BZ857" s="408"/>
      <c r="CA857" s="408"/>
      <c r="CB857" s="408"/>
      <c r="CC857" s="408"/>
      <c r="CD857" s="408"/>
      <c r="CE857" s="408"/>
      <c r="CF857" s="408"/>
      <c r="CG857" s="408"/>
      <c r="CH857" s="408"/>
      <c r="CI857" s="408"/>
      <c r="CJ857" s="408"/>
      <c r="CK857" s="408"/>
      <c r="CL857" s="408"/>
      <c r="CM857" s="408"/>
      <c r="CN857" s="408"/>
    </row>
    <row r="858">
      <c r="A858" s="408"/>
      <c r="B858" s="408"/>
      <c r="C858" s="408"/>
      <c r="D858" s="408"/>
      <c r="E858" s="408"/>
      <c r="F858" s="408"/>
      <c r="G858" s="408"/>
      <c r="H858" s="408"/>
      <c r="I858" s="408"/>
      <c r="J858" s="408"/>
      <c r="K858" s="408"/>
      <c r="L858" s="408"/>
      <c r="M858" s="408"/>
      <c r="N858" s="408"/>
      <c r="O858" s="408"/>
      <c r="P858" s="408"/>
      <c r="Q858" s="408"/>
      <c r="R858" s="408"/>
      <c r="S858" s="408"/>
      <c r="T858" s="408"/>
      <c r="U858" s="408"/>
      <c r="V858" s="408"/>
      <c r="W858" s="408"/>
      <c r="X858" s="408"/>
      <c r="Y858" s="408"/>
      <c r="Z858" s="408"/>
      <c r="AA858" s="408"/>
      <c r="AB858" s="408"/>
      <c r="AC858" s="408"/>
      <c r="AD858" s="408"/>
      <c r="AE858" s="408"/>
      <c r="AF858" s="408"/>
      <c r="AG858" s="408"/>
      <c r="AH858" s="408"/>
      <c r="AI858" s="408"/>
      <c r="AJ858" s="408"/>
      <c r="AK858" s="408"/>
      <c r="AL858" s="408"/>
      <c r="AM858" s="408"/>
      <c r="AN858" s="408"/>
      <c r="AO858" s="408"/>
      <c r="AP858" s="408"/>
      <c r="AQ858" s="408"/>
      <c r="AR858" s="408"/>
      <c r="AS858" s="408"/>
      <c r="AT858" s="408"/>
      <c r="AU858" s="408"/>
      <c r="AV858" s="408"/>
      <c r="AW858" s="408"/>
      <c r="AX858" s="408"/>
      <c r="AY858" s="408"/>
      <c r="AZ858" s="408"/>
      <c r="BA858" s="408"/>
      <c r="BB858" s="408"/>
      <c r="BC858" s="408"/>
      <c r="BD858" s="408"/>
      <c r="BE858" s="408"/>
      <c r="BF858" s="408"/>
      <c r="BG858" s="408"/>
      <c r="BH858" s="408"/>
      <c r="BI858" s="408"/>
      <c r="BJ858" s="408"/>
      <c r="BK858" s="408"/>
      <c r="BL858" s="408"/>
      <c r="BM858" s="408"/>
      <c r="BN858" s="408"/>
      <c r="BO858" s="408"/>
      <c r="BP858" s="408"/>
      <c r="BQ858" s="408"/>
      <c r="BR858" s="408"/>
      <c r="BS858" s="408"/>
      <c r="BT858" s="408"/>
      <c r="BU858" s="408"/>
      <c r="BV858" s="408"/>
      <c r="BW858" s="408"/>
      <c r="BX858" s="408"/>
      <c r="BY858" s="408"/>
      <c r="BZ858" s="408"/>
      <c r="CA858" s="408"/>
      <c r="CB858" s="408"/>
      <c r="CC858" s="408"/>
      <c r="CD858" s="408"/>
      <c r="CE858" s="408"/>
      <c r="CF858" s="408"/>
      <c r="CG858" s="408"/>
      <c r="CH858" s="408"/>
      <c r="CI858" s="408"/>
      <c r="CJ858" s="408"/>
      <c r="CK858" s="408"/>
      <c r="CL858" s="408"/>
      <c r="CM858" s="408"/>
      <c r="CN858" s="408"/>
    </row>
    <row r="859">
      <c r="A859" s="408"/>
      <c r="B859" s="408"/>
      <c r="C859" s="408"/>
      <c r="D859" s="408"/>
      <c r="E859" s="408"/>
      <c r="F859" s="408"/>
      <c r="G859" s="408"/>
      <c r="H859" s="408"/>
      <c r="I859" s="408"/>
      <c r="J859" s="408"/>
      <c r="K859" s="408"/>
      <c r="L859" s="408"/>
      <c r="M859" s="408"/>
      <c r="N859" s="408"/>
      <c r="O859" s="408"/>
      <c r="P859" s="408"/>
      <c r="Q859" s="408"/>
      <c r="R859" s="408"/>
      <c r="S859" s="408"/>
      <c r="T859" s="408"/>
      <c r="U859" s="408"/>
      <c r="V859" s="408"/>
      <c r="W859" s="408"/>
      <c r="X859" s="408"/>
      <c r="Y859" s="408"/>
      <c r="Z859" s="408"/>
      <c r="AA859" s="408"/>
      <c r="AB859" s="408"/>
      <c r="AC859" s="408"/>
      <c r="AD859" s="408"/>
      <c r="AE859" s="408"/>
      <c r="AF859" s="408"/>
      <c r="AG859" s="408"/>
      <c r="AH859" s="408"/>
      <c r="AI859" s="408"/>
      <c r="AJ859" s="408"/>
      <c r="AK859" s="408"/>
      <c r="AL859" s="408"/>
      <c r="AM859" s="408"/>
      <c r="AN859" s="408"/>
      <c r="AO859" s="408"/>
      <c r="AP859" s="408"/>
      <c r="AQ859" s="408"/>
      <c r="AR859" s="408"/>
      <c r="AS859" s="408"/>
      <c r="AT859" s="408"/>
      <c r="AU859" s="408"/>
      <c r="AV859" s="408"/>
      <c r="AW859" s="408"/>
      <c r="AX859" s="408"/>
      <c r="AY859" s="408"/>
      <c r="AZ859" s="408"/>
      <c r="BA859" s="408"/>
      <c r="BB859" s="408"/>
      <c r="BC859" s="408"/>
      <c r="BD859" s="408"/>
      <c r="BE859" s="408"/>
      <c r="BF859" s="408"/>
      <c r="BG859" s="408"/>
      <c r="BH859" s="408"/>
      <c r="BI859" s="408"/>
      <c r="BJ859" s="408"/>
      <c r="BK859" s="408"/>
      <c r="BL859" s="408"/>
      <c r="BM859" s="408"/>
      <c r="BN859" s="408"/>
      <c r="BO859" s="408"/>
      <c r="BP859" s="408"/>
      <c r="BQ859" s="408"/>
      <c r="BR859" s="408"/>
      <c r="BS859" s="408"/>
      <c r="BT859" s="408"/>
      <c r="BU859" s="408"/>
      <c r="BV859" s="408"/>
      <c r="BW859" s="408"/>
      <c r="BX859" s="408"/>
      <c r="BY859" s="408"/>
      <c r="BZ859" s="408"/>
      <c r="CA859" s="408"/>
      <c r="CB859" s="408"/>
      <c r="CC859" s="408"/>
      <c r="CD859" s="408"/>
      <c r="CE859" s="408"/>
      <c r="CF859" s="408"/>
      <c r="CG859" s="408"/>
      <c r="CH859" s="408"/>
      <c r="CI859" s="408"/>
      <c r="CJ859" s="408"/>
      <c r="CK859" s="408"/>
      <c r="CL859" s="408"/>
      <c r="CM859" s="408"/>
      <c r="CN859" s="408"/>
    </row>
    <row r="860">
      <c r="A860" s="408"/>
      <c r="B860" s="408"/>
      <c r="C860" s="408"/>
      <c r="D860" s="408"/>
      <c r="E860" s="408"/>
      <c r="F860" s="408"/>
      <c r="G860" s="408"/>
      <c r="H860" s="408"/>
      <c r="I860" s="408"/>
      <c r="J860" s="408"/>
      <c r="K860" s="408"/>
      <c r="L860" s="408"/>
      <c r="M860" s="408"/>
      <c r="N860" s="408"/>
      <c r="O860" s="408"/>
      <c r="P860" s="408"/>
      <c r="Q860" s="408"/>
      <c r="R860" s="408"/>
      <c r="S860" s="408"/>
      <c r="T860" s="408"/>
      <c r="U860" s="408"/>
      <c r="V860" s="408"/>
      <c r="W860" s="408"/>
      <c r="X860" s="408"/>
      <c r="Y860" s="408"/>
      <c r="Z860" s="408"/>
      <c r="AA860" s="408"/>
      <c r="AB860" s="408"/>
      <c r="AC860" s="408"/>
      <c r="AD860" s="408"/>
      <c r="AE860" s="408"/>
      <c r="AF860" s="408"/>
      <c r="AG860" s="408"/>
      <c r="AH860" s="408"/>
      <c r="AI860" s="408"/>
      <c r="AJ860" s="408"/>
      <c r="AK860" s="408"/>
      <c r="AL860" s="408"/>
      <c r="AM860" s="408"/>
      <c r="AN860" s="408"/>
      <c r="AO860" s="408"/>
      <c r="AP860" s="408"/>
      <c r="AQ860" s="408"/>
      <c r="AR860" s="408"/>
      <c r="AS860" s="408"/>
      <c r="AT860" s="408"/>
      <c r="AU860" s="408"/>
      <c r="AV860" s="408"/>
      <c r="AW860" s="408"/>
      <c r="AX860" s="408"/>
      <c r="AY860" s="408"/>
      <c r="AZ860" s="408"/>
      <c r="BA860" s="408"/>
      <c r="BB860" s="408"/>
      <c r="BC860" s="408"/>
      <c r="BD860" s="408"/>
      <c r="BE860" s="408"/>
      <c r="BF860" s="408"/>
      <c r="BG860" s="408"/>
      <c r="BH860" s="408"/>
      <c r="BI860" s="408"/>
      <c r="BJ860" s="408"/>
      <c r="BK860" s="408"/>
      <c r="BL860" s="408"/>
      <c r="BM860" s="408"/>
      <c r="BN860" s="408"/>
      <c r="BO860" s="408"/>
      <c r="BP860" s="408"/>
      <c r="BQ860" s="408"/>
      <c r="BR860" s="408"/>
      <c r="BS860" s="408"/>
      <c r="BT860" s="408"/>
      <c r="BU860" s="408"/>
      <c r="BV860" s="408"/>
      <c r="BW860" s="408"/>
      <c r="BX860" s="408"/>
      <c r="BY860" s="408"/>
      <c r="BZ860" s="408"/>
      <c r="CA860" s="408"/>
      <c r="CB860" s="408"/>
      <c r="CC860" s="408"/>
      <c r="CD860" s="408"/>
      <c r="CE860" s="408"/>
      <c r="CF860" s="408"/>
      <c r="CG860" s="408"/>
      <c r="CH860" s="408"/>
      <c r="CI860" s="408"/>
      <c r="CJ860" s="408"/>
      <c r="CK860" s="408"/>
      <c r="CL860" s="408"/>
      <c r="CM860" s="408"/>
      <c r="CN860" s="408"/>
    </row>
    <row r="861">
      <c r="A861" s="408"/>
      <c r="B861" s="408"/>
      <c r="C861" s="408"/>
      <c r="D861" s="408"/>
      <c r="E861" s="408"/>
      <c r="F861" s="408"/>
      <c r="G861" s="408"/>
      <c r="H861" s="408"/>
      <c r="I861" s="408"/>
      <c r="J861" s="408"/>
      <c r="K861" s="408"/>
      <c r="L861" s="408"/>
      <c r="M861" s="408"/>
      <c r="N861" s="408"/>
      <c r="O861" s="408"/>
      <c r="P861" s="408"/>
      <c r="Q861" s="408"/>
      <c r="R861" s="408"/>
      <c r="S861" s="408"/>
      <c r="T861" s="408"/>
      <c r="U861" s="408"/>
      <c r="V861" s="408"/>
      <c r="W861" s="408"/>
      <c r="X861" s="408"/>
      <c r="Y861" s="408"/>
      <c r="Z861" s="408"/>
      <c r="AA861" s="408"/>
      <c r="AB861" s="408"/>
      <c r="AC861" s="408"/>
      <c r="AD861" s="408"/>
      <c r="AE861" s="408"/>
      <c r="AF861" s="408"/>
      <c r="AG861" s="408"/>
      <c r="AH861" s="408"/>
      <c r="AI861" s="408"/>
      <c r="AJ861" s="408"/>
      <c r="AK861" s="408"/>
      <c r="AL861" s="408"/>
      <c r="AM861" s="408"/>
      <c r="AN861" s="408"/>
      <c r="AO861" s="408"/>
      <c r="AP861" s="408"/>
      <c r="AQ861" s="408"/>
      <c r="AR861" s="408"/>
      <c r="AS861" s="408"/>
      <c r="AT861" s="408"/>
      <c r="AU861" s="408"/>
      <c r="AV861" s="408"/>
      <c r="AW861" s="408"/>
      <c r="AX861" s="408"/>
      <c r="AY861" s="408"/>
      <c r="AZ861" s="408"/>
      <c r="BA861" s="408"/>
      <c r="BB861" s="408"/>
      <c r="BC861" s="408"/>
      <c r="BD861" s="408"/>
      <c r="BE861" s="408"/>
      <c r="BF861" s="408"/>
      <c r="BG861" s="408"/>
      <c r="BH861" s="408"/>
      <c r="BI861" s="408"/>
      <c r="BJ861" s="408"/>
      <c r="BK861" s="408"/>
      <c r="BL861" s="408"/>
      <c r="BM861" s="408"/>
      <c r="BN861" s="408"/>
      <c r="BO861" s="408"/>
      <c r="BP861" s="408"/>
      <c r="BQ861" s="408"/>
      <c r="BR861" s="408"/>
      <c r="BS861" s="408"/>
      <c r="BT861" s="408"/>
      <c r="BU861" s="408"/>
      <c r="BV861" s="408"/>
      <c r="BW861" s="408"/>
      <c r="BX861" s="408"/>
      <c r="BY861" s="408"/>
      <c r="BZ861" s="408"/>
      <c r="CA861" s="408"/>
      <c r="CB861" s="408"/>
      <c r="CC861" s="408"/>
      <c r="CD861" s="408"/>
      <c r="CE861" s="408"/>
      <c r="CF861" s="408"/>
      <c r="CG861" s="408"/>
      <c r="CH861" s="408"/>
      <c r="CI861" s="408"/>
      <c r="CJ861" s="408"/>
      <c r="CK861" s="408"/>
      <c r="CL861" s="408"/>
      <c r="CM861" s="408"/>
      <c r="CN861" s="408"/>
    </row>
    <row r="862">
      <c r="A862" s="408"/>
      <c r="B862" s="408"/>
      <c r="C862" s="408"/>
      <c r="D862" s="408"/>
      <c r="E862" s="408"/>
      <c r="F862" s="408"/>
      <c r="G862" s="408"/>
      <c r="H862" s="408"/>
      <c r="I862" s="408"/>
      <c r="J862" s="408"/>
      <c r="K862" s="408"/>
      <c r="L862" s="408"/>
      <c r="M862" s="408"/>
      <c r="N862" s="408"/>
      <c r="O862" s="408"/>
      <c r="P862" s="408"/>
      <c r="Q862" s="408"/>
      <c r="R862" s="408"/>
      <c r="S862" s="408"/>
      <c r="T862" s="408"/>
      <c r="U862" s="408"/>
      <c r="V862" s="408"/>
      <c r="W862" s="408"/>
      <c r="X862" s="408"/>
      <c r="Y862" s="408"/>
      <c r="Z862" s="408"/>
      <c r="AA862" s="408"/>
      <c r="AB862" s="408"/>
      <c r="AC862" s="408"/>
      <c r="AD862" s="408"/>
      <c r="AE862" s="408"/>
      <c r="AF862" s="408"/>
      <c r="AG862" s="408"/>
      <c r="AH862" s="408"/>
      <c r="AI862" s="408"/>
      <c r="AJ862" s="408"/>
      <c r="AK862" s="408"/>
      <c r="AL862" s="408"/>
      <c r="AM862" s="408"/>
      <c r="AN862" s="408"/>
      <c r="AO862" s="408"/>
      <c r="AP862" s="408"/>
      <c r="AQ862" s="408"/>
      <c r="AR862" s="408"/>
      <c r="AS862" s="408"/>
      <c r="AT862" s="408"/>
      <c r="AU862" s="408"/>
      <c r="AV862" s="408"/>
      <c r="AW862" s="408"/>
      <c r="AX862" s="408"/>
      <c r="AY862" s="408"/>
      <c r="AZ862" s="408"/>
      <c r="BA862" s="408"/>
      <c r="BB862" s="408"/>
      <c r="BC862" s="408"/>
      <c r="BD862" s="408"/>
      <c r="BE862" s="408"/>
      <c r="BF862" s="408"/>
      <c r="BG862" s="408"/>
      <c r="BH862" s="408"/>
      <c r="BI862" s="408"/>
      <c r="BJ862" s="408"/>
      <c r="BK862" s="408"/>
      <c r="BL862" s="408"/>
      <c r="BM862" s="408"/>
      <c r="BN862" s="408"/>
      <c r="BO862" s="408"/>
      <c r="BP862" s="408"/>
      <c r="BQ862" s="408"/>
      <c r="BR862" s="408"/>
      <c r="BS862" s="408"/>
      <c r="BT862" s="408"/>
      <c r="BU862" s="408"/>
      <c r="BV862" s="408"/>
      <c r="BW862" s="408"/>
      <c r="BX862" s="408"/>
      <c r="BY862" s="408"/>
      <c r="BZ862" s="408"/>
      <c r="CA862" s="408"/>
      <c r="CB862" s="408"/>
      <c r="CC862" s="408"/>
      <c r="CD862" s="408"/>
      <c r="CE862" s="408"/>
      <c r="CF862" s="408"/>
      <c r="CG862" s="408"/>
      <c r="CH862" s="408"/>
      <c r="CI862" s="408"/>
      <c r="CJ862" s="408"/>
      <c r="CK862" s="408"/>
      <c r="CL862" s="408"/>
      <c r="CM862" s="408"/>
      <c r="CN862" s="408"/>
    </row>
    <row r="863">
      <c r="A863" s="408"/>
      <c r="B863" s="408"/>
      <c r="C863" s="408"/>
      <c r="D863" s="408"/>
      <c r="E863" s="408"/>
      <c r="F863" s="408"/>
      <c r="G863" s="408"/>
      <c r="H863" s="408"/>
      <c r="I863" s="408"/>
      <c r="J863" s="408"/>
      <c r="K863" s="408"/>
      <c r="L863" s="408"/>
      <c r="M863" s="408"/>
      <c r="N863" s="408"/>
      <c r="O863" s="408"/>
      <c r="P863" s="408"/>
      <c r="Q863" s="408"/>
      <c r="R863" s="408"/>
      <c r="S863" s="408"/>
      <c r="T863" s="408"/>
      <c r="U863" s="408"/>
      <c r="V863" s="408"/>
      <c r="W863" s="408"/>
      <c r="X863" s="408"/>
      <c r="Y863" s="408"/>
      <c r="Z863" s="408"/>
      <c r="AA863" s="408"/>
      <c r="AB863" s="408"/>
      <c r="AC863" s="408"/>
      <c r="AD863" s="408"/>
      <c r="AE863" s="408"/>
      <c r="AF863" s="408"/>
      <c r="AG863" s="408"/>
      <c r="AH863" s="408"/>
      <c r="AI863" s="408"/>
      <c r="AJ863" s="408"/>
      <c r="AK863" s="408"/>
      <c r="AL863" s="408"/>
      <c r="AM863" s="408"/>
      <c r="AN863" s="408"/>
      <c r="AO863" s="408"/>
      <c r="AP863" s="408"/>
      <c r="AQ863" s="408"/>
      <c r="AR863" s="408"/>
      <c r="AS863" s="408"/>
      <c r="AT863" s="408"/>
      <c r="AU863" s="408"/>
      <c r="AV863" s="408"/>
      <c r="AW863" s="408"/>
      <c r="AX863" s="408"/>
      <c r="AY863" s="408"/>
      <c r="AZ863" s="408"/>
      <c r="BA863" s="408"/>
      <c r="BB863" s="408"/>
      <c r="BC863" s="408"/>
      <c r="BD863" s="408"/>
      <c r="BE863" s="408"/>
      <c r="BF863" s="408"/>
      <c r="BG863" s="408"/>
      <c r="BH863" s="408"/>
      <c r="BI863" s="408"/>
      <c r="BJ863" s="408"/>
      <c r="BK863" s="408"/>
      <c r="BL863" s="408"/>
      <c r="BM863" s="408"/>
      <c r="BN863" s="408"/>
      <c r="BO863" s="408"/>
      <c r="BP863" s="408"/>
      <c r="BQ863" s="408"/>
      <c r="BR863" s="408"/>
      <c r="BS863" s="408"/>
      <c r="BT863" s="408"/>
      <c r="BU863" s="408"/>
      <c r="BV863" s="408"/>
      <c r="BW863" s="408"/>
      <c r="BX863" s="408"/>
      <c r="BY863" s="408"/>
      <c r="BZ863" s="408"/>
      <c r="CA863" s="408"/>
      <c r="CB863" s="408"/>
      <c r="CC863" s="408"/>
      <c r="CD863" s="408"/>
      <c r="CE863" s="408"/>
      <c r="CF863" s="408"/>
      <c r="CG863" s="408"/>
      <c r="CH863" s="408"/>
      <c r="CI863" s="408"/>
      <c r="CJ863" s="408"/>
      <c r="CK863" s="408"/>
      <c r="CL863" s="408"/>
      <c r="CM863" s="408"/>
      <c r="CN863" s="408"/>
    </row>
    <row r="864">
      <c r="A864" s="408"/>
      <c r="B864" s="408"/>
      <c r="C864" s="408"/>
      <c r="D864" s="408"/>
      <c r="E864" s="408"/>
      <c r="F864" s="408"/>
      <c r="G864" s="408"/>
      <c r="H864" s="408"/>
      <c r="I864" s="408"/>
      <c r="J864" s="408"/>
      <c r="K864" s="408"/>
      <c r="L864" s="408"/>
      <c r="M864" s="408"/>
      <c r="N864" s="408"/>
      <c r="O864" s="408"/>
      <c r="P864" s="408"/>
      <c r="Q864" s="408"/>
      <c r="R864" s="408"/>
      <c r="S864" s="408"/>
      <c r="T864" s="408"/>
      <c r="U864" s="408"/>
      <c r="V864" s="408"/>
      <c r="W864" s="408"/>
      <c r="X864" s="408"/>
      <c r="Y864" s="408"/>
      <c r="Z864" s="408"/>
      <c r="AA864" s="408"/>
      <c r="AB864" s="408"/>
      <c r="AC864" s="408"/>
      <c r="AD864" s="408"/>
      <c r="AE864" s="408"/>
      <c r="AF864" s="408"/>
      <c r="AG864" s="408"/>
      <c r="AH864" s="408"/>
      <c r="AI864" s="408"/>
      <c r="AJ864" s="408"/>
      <c r="AK864" s="408"/>
      <c r="AL864" s="408"/>
      <c r="AM864" s="408"/>
      <c r="AN864" s="408"/>
      <c r="AO864" s="408"/>
      <c r="AP864" s="408"/>
      <c r="AQ864" s="408"/>
      <c r="AR864" s="408"/>
      <c r="AS864" s="408"/>
      <c r="AT864" s="408"/>
      <c r="AU864" s="408"/>
      <c r="AV864" s="408"/>
      <c r="AW864" s="408"/>
      <c r="AX864" s="408"/>
      <c r="AY864" s="408"/>
      <c r="AZ864" s="408"/>
      <c r="BA864" s="408"/>
      <c r="BB864" s="408"/>
      <c r="BC864" s="408"/>
      <c r="BD864" s="408"/>
      <c r="BE864" s="408"/>
      <c r="BF864" s="408"/>
      <c r="BG864" s="408"/>
      <c r="BH864" s="408"/>
      <c r="BI864" s="408"/>
      <c r="BJ864" s="408"/>
      <c r="BK864" s="408"/>
      <c r="BL864" s="408"/>
      <c r="BM864" s="408"/>
      <c r="BN864" s="408"/>
      <c r="BO864" s="408"/>
      <c r="BP864" s="408"/>
      <c r="BQ864" s="408"/>
      <c r="BR864" s="408"/>
      <c r="BS864" s="408"/>
      <c r="BT864" s="408"/>
      <c r="BU864" s="408"/>
      <c r="BV864" s="408"/>
      <c r="BW864" s="408"/>
      <c r="BX864" s="408"/>
      <c r="BY864" s="408"/>
      <c r="BZ864" s="408"/>
      <c r="CA864" s="408"/>
      <c r="CB864" s="408"/>
      <c r="CC864" s="408"/>
      <c r="CD864" s="408"/>
      <c r="CE864" s="408"/>
      <c r="CF864" s="408"/>
      <c r="CG864" s="408"/>
      <c r="CH864" s="408"/>
      <c r="CI864" s="408"/>
      <c r="CJ864" s="408"/>
      <c r="CK864" s="408"/>
      <c r="CL864" s="408"/>
      <c r="CM864" s="408"/>
      <c r="CN864" s="408"/>
    </row>
    <row r="865">
      <c r="A865" s="408"/>
      <c r="B865" s="408"/>
      <c r="C865" s="408"/>
      <c r="D865" s="408"/>
      <c r="E865" s="408"/>
      <c r="F865" s="408"/>
      <c r="G865" s="408"/>
      <c r="H865" s="408"/>
      <c r="I865" s="408"/>
      <c r="J865" s="408"/>
      <c r="K865" s="408"/>
      <c r="L865" s="408"/>
      <c r="M865" s="408"/>
      <c r="N865" s="408"/>
      <c r="O865" s="408"/>
      <c r="P865" s="408"/>
      <c r="Q865" s="408"/>
      <c r="R865" s="408"/>
      <c r="S865" s="408"/>
      <c r="T865" s="408"/>
      <c r="U865" s="408"/>
      <c r="V865" s="408"/>
      <c r="W865" s="408"/>
      <c r="X865" s="408"/>
      <c r="Y865" s="408"/>
      <c r="Z865" s="408"/>
      <c r="AA865" s="408"/>
      <c r="AB865" s="408"/>
      <c r="AC865" s="408"/>
      <c r="AD865" s="408"/>
      <c r="AE865" s="408"/>
      <c r="AF865" s="408"/>
      <c r="AG865" s="408"/>
      <c r="AH865" s="408"/>
      <c r="AI865" s="408"/>
      <c r="AJ865" s="408"/>
      <c r="AK865" s="408"/>
      <c r="AL865" s="408"/>
      <c r="AM865" s="408"/>
      <c r="AN865" s="408"/>
      <c r="AO865" s="408"/>
      <c r="AP865" s="408"/>
      <c r="AQ865" s="408"/>
      <c r="AR865" s="408"/>
      <c r="AS865" s="408"/>
      <c r="AT865" s="408"/>
      <c r="AU865" s="408"/>
      <c r="AV865" s="408"/>
      <c r="AW865" s="408"/>
      <c r="AX865" s="408"/>
      <c r="AY865" s="408"/>
      <c r="AZ865" s="408"/>
      <c r="BA865" s="408"/>
      <c r="BB865" s="408"/>
      <c r="BC865" s="408"/>
      <c r="BD865" s="408"/>
      <c r="BE865" s="408"/>
      <c r="BF865" s="408"/>
      <c r="BG865" s="408"/>
      <c r="BH865" s="408"/>
      <c r="BI865" s="408"/>
      <c r="BJ865" s="408"/>
      <c r="BK865" s="408"/>
      <c r="BL865" s="408"/>
      <c r="BM865" s="408"/>
      <c r="BN865" s="408"/>
      <c r="BO865" s="408"/>
      <c r="BP865" s="408"/>
      <c r="BQ865" s="408"/>
      <c r="BR865" s="408"/>
      <c r="BS865" s="408"/>
      <c r="BT865" s="408"/>
      <c r="BU865" s="408"/>
      <c r="BV865" s="408"/>
      <c r="BW865" s="408"/>
      <c r="BX865" s="408"/>
      <c r="BY865" s="408"/>
      <c r="BZ865" s="408"/>
      <c r="CA865" s="408"/>
      <c r="CB865" s="408"/>
      <c r="CC865" s="408"/>
      <c r="CD865" s="408"/>
      <c r="CE865" s="408"/>
      <c r="CF865" s="408"/>
      <c r="CG865" s="408"/>
      <c r="CH865" s="408"/>
      <c r="CI865" s="408"/>
      <c r="CJ865" s="408"/>
      <c r="CK865" s="408"/>
      <c r="CL865" s="408"/>
      <c r="CM865" s="408"/>
      <c r="CN865" s="408"/>
    </row>
    <row r="866">
      <c r="A866" s="408"/>
      <c r="B866" s="408"/>
      <c r="C866" s="408"/>
      <c r="D866" s="408"/>
      <c r="E866" s="408"/>
      <c r="F866" s="408"/>
      <c r="G866" s="408"/>
      <c r="H866" s="408"/>
      <c r="I866" s="408"/>
      <c r="J866" s="408"/>
      <c r="K866" s="408"/>
      <c r="L866" s="408"/>
      <c r="M866" s="408"/>
      <c r="N866" s="408"/>
      <c r="O866" s="408"/>
      <c r="P866" s="408"/>
      <c r="Q866" s="408"/>
      <c r="R866" s="408"/>
      <c r="S866" s="408"/>
      <c r="T866" s="408"/>
      <c r="U866" s="408"/>
      <c r="V866" s="408"/>
      <c r="W866" s="408"/>
      <c r="X866" s="408"/>
      <c r="Y866" s="408"/>
      <c r="Z866" s="408"/>
      <c r="AA866" s="408"/>
      <c r="AB866" s="408"/>
      <c r="AC866" s="408"/>
      <c r="AD866" s="408"/>
      <c r="AE866" s="408"/>
      <c r="AF866" s="408"/>
      <c r="AG866" s="408"/>
      <c r="AH866" s="408"/>
      <c r="AI866" s="408"/>
      <c r="AJ866" s="408"/>
      <c r="AK866" s="408"/>
      <c r="AL866" s="408"/>
      <c r="AM866" s="408"/>
      <c r="AN866" s="408"/>
      <c r="AO866" s="408"/>
      <c r="AP866" s="408"/>
      <c r="AQ866" s="408"/>
      <c r="AR866" s="408"/>
      <c r="AS866" s="408"/>
      <c r="AT866" s="408"/>
      <c r="AU866" s="408"/>
      <c r="AV866" s="408"/>
      <c r="AW866" s="408"/>
      <c r="AX866" s="408"/>
      <c r="AY866" s="408"/>
      <c r="AZ866" s="408"/>
      <c r="BA866" s="408"/>
      <c r="BB866" s="408"/>
      <c r="BC866" s="408"/>
      <c r="BD866" s="408"/>
      <c r="BE866" s="408"/>
      <c r="BF866" s="408"/>
      <c r="BG866" s="408"/>
      <c r="BH866" s="408"/>
      <c r="BI866" s="408"/>
      <c r="BJ866" s="408"/>
      <c r="BK866" s="408"/>
      <c r="BL866" s="408"/>
      <c r="BM866" s="408"/>
      <c r="BN866" s="408"/>
      <c r="BO866" s="408"/>
      <c r="BP866" s="408"/>
      <c r="BQ866" s="408"/>
      <c r="BR866" s="408"/>
      <c r="BS866" s="408"/>
      <c r="BT866" s="408"/>
      <c r="BU866" s="408"/>
      <c r="BV866" s="408"/>
      <c r="BW866" s="408"/>
      <c r="BX866" s="408"/>
      <c r="BY866" s="408"/>
      <c r="BZ866" s="408"/>
      <c r="CA866" s="408"/>
      <c r="CB866" s="408"/>
      <c r="CC866" s="408"/>
      <c r="CD866" s="408"/>
      <c r="CE866" s="408"/>
      <c r="CF866" s="408"/>
      <c r="CG866" s="408"/>
      <c r="CH866" s="408"/>
      <c r="CI866" s="408"/>
      <c r="CJ866" s="408"/>
      <c r="CK866" s="408"/>
      <c r="CL866" s="408"/>
      <c r="CM866" s="408"/>
      <c r="CN866" s="408"/>
    </row>
    <row r="867">
      <c r="A867" s="408"/>
      <c r="B867" s="408"/>
      <c r="C867" s="408"/>
      <c r="D867" s="408"/>
      <c r="E867" s="408"/>
      <c r="F867" s="408"/>
      <c r="G867" s="408"/>
      <c r="H867" s="408"/>
      <c r="I867" s="408"/>
      <c r="J867" s="408"/>
      <c r="K867" s="408"/>
      <c r="L867" s="408"/>
      <c r="M867" s="408"/>
      <c r="N867" s="408"/>
      <c r="O867" s="408"/>
      <c r="P867" s="408"/>
      <c r="Q867" s="408"/>
      <c r="R867" s="408"/>
      <c r="S867" s="408"/>
      <c r="T867" s="408"/>
      <c r="U867" s="408"/>
      <c r="V867" s="408"/>
      <c r="W867" s="408"/>
      <c r="X867" s="408"/>
      <c r="Y867" s="408"/>
      <c r="Z867" s="408"/>
      <c r="AA867" s="408"/>
      <c r="AB867" s="408"/>
      <c r="AC867" s="408"/>
      <c r="AD867" s="408"/>
      <c r="AE867" s="408"/>
      <c r="AF867" s="408"/>
      <c r="AG867" s="408"/>
      <c r="AH867" s="408"/>
      <c r="AI867" s="408"/>
      <c r="AJ867" s="408"/>
      <c r="AK867" s="408"/>
      <c r="AL867" s="408"/>
      <c r="AM867" s="408"/>
      <c r="AN867" s="408"/>
      <c r="AO867" s="408"/>
      <c r="AP867" s="408"/>
      <c r="AQ867" s="408"/>
      <c r="AR867" s="408"/>
      <c r="AS867" s="408"/>
      <c r="AT867" s="408"/>
      <c r="AU867" s="408"/>
      <c r="AV867" s="408"/>
      <c r="AW867" s="408"/>
      <c r="AX867" s="408"/>
      <c r="AY867" s="408"/>
      <c r="AZ867" s="408"/>
      <c r="BA867" s="408"/>
      <c r="BB867" s="408"/>
      <c r="BC867" s="408"/>
      <c r="BD867" s="408"/>
      <c r="BE867" s="408"/>
      <c r="BF867" s="408"/>
      <c r="BG867" s="408"/>
      <c r="BH867" s="408"/>
      <c r="BI867" s="408"/>
      <c r="BJ867" s="408"/>
      <c r="BK867" s="408"/>
      <c r="BL867" s="408"/>
      <c r="BM867" s="408"/>
      <c r="BN867" s="408"/>
      <c r="BO867" s="408"/>
      <c r="BP867" s="408"/>
      <c r="BQ867" s="408"/>
      <c r="BR867" s="408"/>
      <c r="BS867" s="408"/>
      <c r="BT867" s="408"/>
      <c r="BU867" s="408"/>
      <c r="BV867" s="408"/>
      <c r="BW867" s="408"/>
      <c r="BX867" s="408"/>
      <c r="BY867" s="408"/>
      <c r="BZ867" s="408"/>
      <c r="CA867" s="408"/>
      <c r="CB867" s="408"/>
      <c r="CC867" s="408"/>
      <c r="CD867" s="408"/>
      <c r="CE867" s="408"/>
      <c r="CF867" s="408"/>
      <c r="CG867" s="408"/>
      <c r="CH867" s="408"/>
      <c r="CI867" s="408"/>
      <c r="CJ867" s="408"/>
      <c r="CK867" s="408"/>
      <c r="CL867" s="408"/>
      <c r="CM867" s="408"/>
      <c r="CN867" s="408"/>
    </row>
    <row r="868">
      <c r="A868" s="408"/>
      <c r="B868" s="408"/>
      <c r="C868" s="408"/>
      <c r="D868" s="408"/>
      <c r="E868" s="408"/>
      <c r="F868" s="408"/>
      <c r="G868" s="408"/>
      <c r="H868" s="408"/>
      <c r="I868" s="408"/>
      <c r="J868" s="408"/>
      <c r="K868" s="408"/>
      <c r="L868" s="408"/>
      <c r="M868" s="408"/>
      <c r="N868" s="408"/>
      <c r="O868" s="408"/>
      <c r="P868" s="408"/>
      <c r="Q868" s="408"/>
      <c r="R868" s="408"/>
      <c r="S868" s="408"/>
      <c r="T868" s="408"/>
      <c r="U868" s="408"/>
      <c r="V868" s="408"/>
      <c r="W868" s="408"/>
      <c r="X868" s="408"/>
      <c r="Y868" s="408"/>
      <c r="Z868" s="408"/>
      <c r="AA868" s="408"/>
      <c r="AB868" s="408"/>
      <c r="AC868" s="408"/>
      <c r="AD868" s="408"/>
      <c r="AE868" s="408"/>
      <c r="AF868" s="408"/>
      <c r="AG868" s="408"/>
      <c r="AH868" s="408"/>
      <c r="AI868" s="408"/>
      <c r="AJ868" s="408"/>
      <c r="AK868" s="408"/>
      <c r="AL868" s="408"/>
      <c r="AM868" s="408"/>
      <c r="AN868" s="408"/>
      <c r="AO868" s="408"/>
      <c r="AP868" s="408"/>
      <c r="AQ868" s="408"/>
      <c r="AR868" s="408"/>
      <c r="AS868" s="408"/>
      <c r="AT868" s="408"/>
      <c r="AU868" s="408"/>
      <c r="AV868" s="408"/>
      <c r="AW868" s="408"/>
      <c r="AX868" s="408"/>
      <c r="AY868" s="408"/>
      <c r="AZ868" s="408"/>
      <c r="BA868" s="408"/>
      <c r="BB868" s="408"/>
      <c r="BC868" s="408"/>
      <c r="BD868" s="408"/>
      <c r="BE868" s="408"/>
      <c r="BF868" s="408"/>
      <c r="BG868" s="408"/>
      <c r="BH868" s="408"/>
      <c r="BI868" s="408"/>
      <c r="BJ868" s="408"/>
      <c r="BK868" s="408"/>
      <c r="BL868" s="408"/>
      <c r="BM868" s="408"/>
      <c r="BN868" s="408"/>
      <c r="BO868" s="408"/>
      <c r="BP868" s="408"/>
      <c r="BQ868" s="408"/>
      <c r="BR868" s="408"/>
      <c r="BS868" s="408"/>
      <c r="BT868" s="408"/>
      <c r="BU868" s="408"/>
      <c r="BV868" s="408"/>
      <c r="BW868" s="408"/>
      <c r="BX868" s="408"/>
      <c r="BY868" s="408"/>
      <c r="BZ868" s="408"/>
      <c r="CA868" s="408"/>
      <c r="CB868" s="408"/>
      <c r="CC868" s="408"/>
      <c r="CD868" s="408"/>
      <c r="CE868" s="408"/>
      <c r="CF868" s="408"/>
      <c r="CG868" s="408"/>
      <c r="CH868" s="408"/>
      <c r="CI868" s="408"/>
      <c r="CJ868" s="408"/>
      <c r="CK868" s="408"/>
      <c r="CL868" s="408"/>
      <c r="CM868" s="408"/>
      <c r="CN868" s="408"/>
    </row>
    <row r="869">
      <c r="A869" s="408"/>
      <c r="B869" s="408"/>
      <c r="C869" s="408"/>
      <c r="D869" s="408"/>
      <c r="E869" s="408"/>
      <c r="F869" s="408"/>
      <c r="G869" s="408"/>
      <c r="H869" s="408"/>
      <c r="I869" s="408"/>
      <c r="J869" s="408"/>
      <c r="K869" s="408"/>
      <c r="L869" s="408"/>
      <c r="M869" s="408"/>
      <c r="N869" s="408"/>
      <c r="O869" s="408"/>
      <c r="P869" s="408"/>
      <c r="Q869" s="408"/>
      <c r="R869" s="408"/>
      <c r="S869" s="408"/>
      <c r="T869" s="408"/>
      <c r="U869" s="408"/>
      <c r="V869" s="408"/>
      <c r="W869" s="408"/>
      <c r="X869" s="408"/>
      <c r="Y869" s="408"/>
      <c r="Z869" s="408"/>
      <c r="AA869" s="408"/>
      <c r="AB869" s="408"/>
      <c r="AC869" s="408"/>
      <c r="AD869" s="408"/>
      <c r="AE869" s="408"/>
      <c r="AF869" s="408"/>
      <c r="AG869" s="408"/>
      <c r="AH869" s="408"/>
      <c r="AI869" s="408"/>
      <c r="AJ869" s="408"/>
      <c r="AK869" s="408"/>
      <c r="AL869" s="408"/>
      <c r="AM869" s="408"/>
      <c r="AN869" s="408"/>
      <c r="AO869" s="408"/>
      <c r="AP869" s="408"/>
      <c r="AQ869" s="408"/>
      <c r="AR869" s="408"/>
      <c r="AS869" s="408"/>
      <c r="AT869" s="408"/>
      <c r="AU869" s="408"/>
      <c r="AV869" s="408"/>
      <c r="AW869" s="408"/>
      <c r="AX869" s="408"/>
      <c r="AY869" s="408"/>
      <c r="AZ869" s="408"/>
      <c r="BA869" s="408"/>
      <c r="BB869" s="408"/>
      <c r="BC869" s="408"/>
      <c r="BD869" s="408"/>
      <c r="BE869" s="408"/>
      <c r="BF869" s="408"/>
      <c r="BG869" s="408"/>
      <c r="BH869" s="408"/>
      <c r="BI869" s="408"/>
      <c r="BJ869" s="408"/>
      <c r="BK869" s="408"/>
      <c r="BL869" s="408"/>
      <c r="BM869" s="408"/>
      <c r="BN869" s="408"/>
      <c r="BO869" s="408"/>
      <c r="BP869" s="408"/>
      <c r="BQ869" s="408"/>
      <c r="BR869" s="408"/>
      <c r="BS869" s="408"/>
      <c r="BT869" s="408"/>
      <c r="BU869" s="408"/>
      <c r="BV869" s="408"/>
      <c r="BW869" s="408"/>
      <c r="BX869" s="408"/>
      <c r="BY869" s="408"/>
      <c r="BZ869" s="408"/>
      <c r="CA869" s="408"/>
      <c r="CB869" s="408"/>
      <c r="CC869" s="408"/>
      <c r="CD869" s="408"/>
      <c r="CE869" s="408"/>
      <c r="CF869" s="408"/>
      <c r="CG869" s="408"/>
      <c r="CH869" s="408"/>
      <c r="CI869" s="408"/>
      <c r="CJ869" s="408"/>
      <c r="CK869" s="408"/>
      <c r="CL869" s="408"/>
      <c r="CM869" s="408"/>
      <c r="CN869" s="408"/>
    </row>
    <row r="870">
      <c r="A870" s="408"/>
      <c r="B870" s="408"/>
      <c r="C870" s="408"/>
      <c r="D870" s="408"/>
      <c r="E870" s="408"/>
      <c r="F870" s="408"/>
      <c r="G870" s="408"/>
      <c r="H870" s="408"/>
      <c r="I870" s="408"/>
      <c r="J870" s="408"/>
      <c r="K870" s="408"/>
      <c r="L870" s="408"/>
      <c r="M870" s="408"/>
      <c r="N870" s="408"/>
      <c r="O870" s="408"/>
      <c r="P870" s="408"/>
      <c r="Q870" s="408"/>
      <c r="R870" s="408"/>
      <c r="S870" s="408"/>
      <c r="T870" s="408"/>
      <c r="U870" s="408"/>
      <c r="V870" s="408"/>
      <c r="W870" s="408"/>
      <c r="X870" s="408"/>
      <c r="Y870" s="408"/>
      <c r="Z870" s="408"/>
      <c r="AA870" s="408"/>
      <c r="AB870" s="408"/>
      <c r="AC870" s="408"/>
      <c r="AD870" s="408"/>
      <c r="AE870" s="408"/>
      <c r="AF870" s="408"/>
      <c r="AG870" s="408"/>
      <c r="AH870" s="408"/>
      <c r="AI870" s="408"/>
      <c r="AJ870" s="408"/>
      <c r="AK870" s="408"/>
      <c r="AL870" s="408"/>
      <c r="AM870" s="408"/>
      <c r="AN870" s="408"/>
      <c r="AO870" s="408"/>
      <c r="AP870" s="408"/>
      <c r="AQ870" s="408"/>
      <c r="AR870" s="408"/>
      <c r="AS870" s="408"/>
      <c r="AT870" s="408"/>
      <c r="AU870" s="408"/>
      <c r="AV870" s="408"/>
      <c r="AW870" s="408"/>
      <c r="AX870" s="408"/>
      <c r="AY870" s="408"/>
      <c r="AZ870" s="408"/>
      <c r="BA870" s="408"/>
      <c r="BB870" s="408"/>
      <c r="BC870" s="408"/>
      <c r="BD870" s="408"/>
      <c r="BE870" s="408"/>
      <c r="BF870" s="408"/>
      <c r="BG870" s="408"/>
      <c r="BH870" s="408"/>
      <c r="BI870" s="408"/>
      <c r="BJ870" s="408"/>
      <c r="BK870" s="408"/>
      <c r="BL870" s="408"/>
      <c r="BM870" s="408"/>
      <c r="BN870" s="408"/>
      <c r="BO870" s="408"/>
      <c r="BP870" s="408"/>
      <c r="BQ870" s="408"/>
      <c r="BR870" s="408"/>
      <c r="BS870" s="408"/>
      <c r="BT870" s="408"/>
      <c r="BU870" s="408"/>
      <c r="BV870" s="408"/>
      <c r="BW870" s="408"/>
      <c r="BX870" s="408"/>
      <c r="BY870" s="408"/>
      <c r="BZ870" s="408"/>
      <c r="CA870" s="408"/>
      <c r="CB870" s="408"/>
      <c r="CC870" s="408"/>
      <c r="CD870" s="408"/>
      <c r="CE870" s="408"/>
      <c r="CF870" s="408"/>
      <c r="CG870" s="408"/>
      <c r="CH870" s="408"/>
      <c r="CI870" s="408"/>
      <c r="CJ870" s="408"/>
      <c r="CK870" s="408"/>
      <c r="CL870" s="408"/>
      <c r="CM870" s="408"/>
      <c r="CN870" s="408"/>
    </row>
    <row r="871">
      <c r="A871" s="408"/>
      <c r="B871" s="408"/>
      <c r="C871" s="408"/>
      <c r="D871" s="408"/>
      <c r="E871" s="408"/>
      <c r="F871" s="408"/>
      <c r="G871" s="408"/>
      <c r="H871" s="408"/>
      <c r="I871" s="408"/>
      <c r="J871" s="408"/>
      <c r="K871" s="408"/>
      <c r="L871" s="408"/>
      <c r="M871" s="408"/>
      <c r="N871" s="408"/>
      <c r="O871" s="408"/>
      <c r="P871" s="408"/>
      <c r="Q871" s="408"/>
      <c r="R871" s="408"/>
      <c r="S871" s="408"/>
      <c r="T871" s="408"/>
      <c r="U871" s="408"/>
      <c r="V871" s="408"/>
      <c r="W871" s="408"/>
      <c r="X871" s="408"/>
      <c r="Y871" s="408"/>
      <c r="Z871" s="408"/>
      <c r="AA871" s="408"/>
      <c r="AB871" s="408"/>
      <c r="AC871" s="408"/>
      <c r="AD871" s="408"/>
      <c r="AE871" s="408"/>
      <c r="AF871" s="408"/>
      <c r="AG871" s="408"/>
      <c r="AH871" s="408"/>
      <c r="AI871" s="408"/>
      <c r="AJ871" s="408"/>
      <c r="AK871" s="408"/>
      <c r="AL871" s="408"/>
      <c r="AM871" s="408"/>
      <c r="AN871" s="408"/>
      <c r="AO871" s="408"/>
      <c r="AP871" s="408"/>
      <c r="AQ871" s="408"/>
      <c r="AR871" s="408"/>
      <c r="AS871" s="408"/>
      <c r="AT871" s="408"/>
      <c r="AU871" s="408"/>
      <c r="AV871" s="408"/>
      <c r="AW871" s="408"/>
      <c r="AX871" s="408"/>
      <c r="AY871" s="408"/>
      <c r="AZ871" s="408"/>
      <c r="BA871" s="408"/>
      <c r="BB871" s="408"/>
      <c r="BC871" s="408"/>
      <c r="BD871" s="408"/>
      <c r="BE871" s="408"/>
      <c r="BF871" s="408"/>
      <c r="BG871" s="408"/>
      <c r="BH871" s="408"/>
      <c r="BI871" s="408"/>
      <c r="BJ871" s="408"/>
      <c r="BK871" s="408"/>
      <c r="BL871" s="408"/>
      <c r="BM871" s="408"/>
      <c r="BN871" s="408"/>
      <c r="BO871" s="408"/>
      <c r="BP871" s="408"/>
      <c r="BQ871" s="408"/>
      <c r="BR871" s="408"/>
      <c r="BS871" s="408"/>
      <c r="BT871" s="408"/>
      <c r="BU871" s="408"/>
      <c r="BV871" s="408"/>
      <c r="BW871" s="408"/>
      <c r="BX871" s="408"/>
      <c r="BY871" s="408"/>
      <c r="BZ871" s="408"/>
      <c r="CA871" s="408"/>
      <c r="CB871" s="408"/>
      <c r="CC871" s="408"/>
      <c r="CD871" s="408"/>
      <c r="CE871" s="408"/>
      <c r="CF871" s="408"/>
      <c r="CG871" s="408"/>
      <c r="CH871" s="408"/>
      <c r="CI871" s="408"/>
      <c r="CJ871" s="408"/>
      <c r="CK871" s="408"/>
      <c r="CL871" s="408"/>
      <c r="CM871" s="408"/>
      <c r="CN871" s="408"/>
    </row>
    <row r="872">
      <c r="A872" s="408"/>
      <c r="B872" s="408"/>
      <c r="C872" s="408"/>
      <c r="D872" s="408"/>
      <c r="E872" s="408"/>
      <c r="F872" s="408"/>
      <c r="G872" s="408"/>
      <c r="H872" s="408"/>
      <c r="I872" s="408"/>
      <c r="J872" s="408"/>
      <c r="K872" s="408"/>
      <c r="L872" s="408"/>
      <c r="M872" s="408"/>
      <c r="N872" s="408"/>
      <c r="O872" s="408"/>
      <c r="P872" s="408"/>
      <c r="Q872" s="408"/>
      <c r="R872" s="408"/>
      <c r="S872" s="408"/>
      <c r="T872" s="408"/>
      <c r="U872" s="408"/>
      <c r="V872" s="408"/>
      <c r="W872" s="408"/>
      <c r="X872" s="408"/>
      <c r="Y872" s="408"/>
      <c r="Z872" s="408"/>
      <c r="AA872" s="408"/>
      <c r="AB872" s="408"/>
      <c r="AC872" s="408"/>
      <c r="AD872" s="408"/>
      <c r="AE872" s="408"/>
      <c r="AF872" s="408"/>
      <c r="AG872" s="408"/>
      <c r="AH872" s="408"/>
      <c r="AI872" s="408"/>
      <c r="AJ872" s="408"/>
      <c r="AK872" s="408"/>
      <c r="AL872" s="408"/>
      <c r="AM872" s="408"/>
      <c r="AN872" s="408"/>
      <c r="AO872" s="408"/>
      <c r="AP872" s="408"/>
      <c r="AQ872" s="408"/>
      <c r="AR872" s="408"/>
      <c r="AS872" s="408"/>
      <c r="AT872" s="408"/>
      <c r="AU872" s="408"/>
      <c r="AV872" s="408"/>
      <c r="AW872" s="408"/>
      <c r="AX872" s="408"/>
      <c r="AY872" s="408"/>
      <c r="AZ872" s="408"/>
      <c r="BA872" s="408"/>
      <c r="BB872" s="408"/>
      <c r="BC872" s="408"/>
      <c r="BD872" s="408"/>
      <c r="BE872" s="408"/>
      <c r="BF872" s="408"/>
      <c r="BG872" s="408"/>
      <c r="BH872" s="408"/>
      <c r="BI872" s="408"/>
      <c r="BJ872" s="408"/>
      <c r="BK872" s="408"/>
      <c r="BL872" s="408"/>
      <c r="BM872" s="408"/>
      <c r="BN872" s="408"/>
      <c r="BO872" s="408"/>
      <c r="BP872" s="408"/>
      <c r="BQ872" s="408"/>
      <c r="BR872" s="408"/>
      <c r="BS872" s="408"/>
      <c r="BT872" s="408"/>
      <c r="BU872" s="408"/>
      <c r="BV872" s="408"/>
      <c r="BW872" s="408"/>
      <c r="BX872" s="408"/>
      <c r="BY872" s="408"/>
      <c r="BZ872" s="408"/>
      <c r="CA872" s="408"/>
      <c r="CB872" s="408"/>
      <c r="CC872" s="408"/>
      <c r="CD872" s="408"/>
      <c r="CE872" s="408"/>
      <c r="CF872" s="408"/>
      <c r="CG872" s="408"/>
      <c r="CH872" s="408"/>
      <c r="CI872" s="408"/>
      <c r="CJ872" s="408"/>
      <c r="CK872" s="408"/>
      <c r="CL872" s="408"/>
      <c r="CM872" s="408"/>
      <c r="CN872" s="408"/>
    </row>
    <row r="873">
      <c r="A873" s="408"/>
      <c r="B873" s="408"/>
      <c r="C873" s="408"/>
      <c r="D873" s="408"/>
      <c r="E873" s="408"/>
      <c r="F873" s="408"/>
      <c r="G873" s="408"/>
      <c r="H873" s="408"/>
      <c r="I873" s="408"/>
      <c r="J873" s="408"/>
      <c r="K873" s="408"/>
      <c r="L873" s="408"/>
      <c r="M873" s="408"/>
      <c r="N873" s="408"/>
      <c r="O873" s="408"/>
      <c r="P873" s="408"/>
      <c r="Q873" s="408"/>
      <c r="R873" s="408"/>
      <c r="S873" s="408"/>
      <c r="T873" s="408"/>
      <c r="U873" s="408"/>
      <c r="V873" s="408"/>
      <c r="W873" s="408"/>
      <c r="X873" s="408"/>
      <c r="Y873" s="408"/>
      <c r="Z873" s="408"/>
      <c r="AA873" s="408"/>
      <c r="AB873" s="408"/>
      <c r="AC873" s="408"/>
      <c r="AD873" s="408"/>
      <c r="AE873" s="408"/>
      <c r="AF873" s="408"/>
      <c r="AG873" s="408"/>
      <c r="AH873" s="408"/>
      <c r="AI873" s="408"/>
      <c r="AJ873" s="408"/>
      <c r="AK873" s="408"/>
      <c r="AL873" s="408"/>
      <c r="AM873" s="408"/>
      <c r="AN873" s="408"/>
      <c r="AO873" s="408"/>
      <c r="AP873" s="408"/>
      <c r="AQ873" s="408"/>
      <c r="AR873" s="408"/>
      <c r="AS873" s="408"/>
      <c r="AT873" s="408"/>
      <c r="AU873" s="408"/>
      <c r="AV873" s="408"/>
      <c r="AW873" s="408"/>
      <c r="AX873" s="408"/>
      <c r="AY873" s="408"/>
      <c r="AZ873" s="408"/>
      <c r="BA873" s="408"/>
      <c r="BB873" s="408"/>
      <c r="BC873" s="408"/>
      <c r="BD873" s="408"/>
      <c r="BE873" s="408"/>
      <c r="BF873" s="408"/>
      <c r="BG873" s="408"/>
      <c r="BH873" s="408"/>
      <c r="BI873" s="408"/>
      <c r="BJ873" s="408"/>
      <c r="BK873" s="408"/>
      <c r="BL873" s="408"/>
      <c r="BM873" s="408"/>
      <c r="BN873" s="408"/>
      <c r="BO873" s="408"/>
      <c r="BP873" s="408"/>
      <c r="BQ873" s="408"/>
      <c r="BR873" s="408"/>
      <c r="BS873" s="408"/>
      <c r="BT873" s="408"/>
      <c r="BU873" s="408"/>
      <c r="BV873" s="408"/>
      <c r="BW873" s="408"/>
      <c r="BX873" s="408"/>
      <c r="BY873" s="408"/>
      <c r="BZ873" s="408"/>
      <c r="CA873" s="408"/>
      <c r="CB873" s="408"/>
      <c r="CC873" s="408"/>
      <c r="CD873" s="408"/>
      <c r="CE873" s="408"/>
      <c r="CF873" s="408"/>
      <c r="CG873" s="408"/>
      <c r="CH873" s="408"/>
      <c r="CI873" s="408"/>
      <c r="CJ873" s="408"/>
      <c r="CK873" s="408"/>
      <c r="CL873" s="408"/>
      <c r="CM873" s="408"/>
      <c r="CN873" s="408"/>
    </row>
    <row r="874">
      <c r="A874" s="408"/>
      <c r="B874" s="408"/>
      <c r="C874" s="408"/>
      <c r="D874" s="408"/>
      <c r="E874" s="408"/>
      <c r="F874" s="408"/>
      <c r="G874" s="408"/>
      <c r="H874" s="408"/>
      <c r="I874" s="408"/>
      <c r="J874" s="408"/>
      <c r="K874" s="408"/>
      <c r="L874" s="408"/>
      <c r="M874" s="408"/>
      <c r="N874" s="408"/>
      <c r="O874" s="408"/>
      <c r="P874" s="408"/>
      <c r="Q874" s="408"/>
      <c r="R874" s="408"/>
      <c r="S874" s="408"/>
      <c r="T874" s="408"/>
      <c r="U874" s="408"/>
      <c r="V874" s="408"/>
      <c r="W874" s="408"/>
      <c r="X874" s="408"/>
      <c r="Y874" s="408"/>
      <c r="Z874" s="408"/>
      <c r="AA874" s="408"/>
      <c r="AB874" s="408"/>
      <c r="AC874" s="408"/>
      <c r="AD874" s="408"/>
      <c r="AE874" s="408"/>
      <c r="AF874" s="408"/>
      <c r="AG874" s="408"/>
      <c r="AH874" s="408"/>
      <c r="AI874" s="408"/>
      <c r="AJ874" s="408"/>
      <c r="AK874" s="408"/>
      <c r="AL874" s="408"/>
      <c r="AM874" s="408"/>
      <c r="AN874" s="408"/>
      <c r="AO874" s="408"/>
      <c r="AP874" s="408"/>
      <c r="AQ874" s="408"/>
      <c r="AR874" s="408"/>
      <c r="AS874" s="408"/>
      <c r="AT874" s="408"/>
      <c r="AU874" s="408"/>
      <c r="AV874" s="408"/>
      <c r="AW874" s="408"/>
      <c r="AX874" s="408"/>
      <c r="AY874" s="408"/>
      <c r="AZ874" s="408"/>
      <c r="BA874" s="408"/>
      <c r="BB874" s="408"/>
      <c r="BC874" s="408"/>
      <c r="BD874" s="408"/>
      <c r="BE874" s="408"/>
      <c r="BF874" s="408"/>
      <c r="BG874" s="408"/>
      <c r="BH874" s="408"/>
      <c r="BI874" s="408"/>
      <c r="BJ874" s="408"/>
      <c r="BK874" s="408"/>
      <c r="BL874" s="408"/>
      <c r="BM874" s="408"/>
      <c r="BN874" s="408"/>
      <c r="BO874" s="408"/>
      <c r="BP874" s="408"/>
      <c r="BQ874" s="408"/>
      <c r="BR874" s="408"/>
      <c r="BS874" s="408"/>
      <c r="BT874" s="408"/>
      <c r="BU874" s="408"/>
      <c r="BV874" s="408"/>
      <c r="BW874" s="408"/>
      <c r="BX874" s="408"/>
      <c r="BY874" s="408"/>
      <c r="BZ874" s="408"/>
      <c r="CA874" s="408"/>
      <c r="CB874" s="408"/>
      <c r="CC874" s="408"/>
      <c r="CD874" s="408"/>
      <c r="CE874" s="408"/>
      <c r="CF874" s="408"/>
      <c r="CG874" s="408"/>
      <c r="CH874" s="408"/>
      <c r="CI874" s="408"/>
      <c r="CJ874" s="408"/>
      <c r="CK874" s="408"/>
      <c r="CL874" s="408"/>
      <c r="CM874" s="408"/>
      <c r="CN874" s="408"/>
    </row>
    <row r="875">
      <c r="A875" s="408"/>
      <c r="B875" s="408"/>
      <c r="C875" s="408"/>
      <c r="D875" s="408"/>
      <c r="E875" s="408"/>
      <c r="F875" s="408"/>
      <c r="G875" s="408"/>
      <c r="H875" s="408"/>
      <c r="I875" s="408"/>
      <c r="J875" s="408"/>
      <c r="K875" s="408"/>
      <c r="L875" s="408"/>
      <c r="M875" s="408"/>
      <c r="N875" s="408"/>
      <c r="O875" s="408"/>
      <c r="P875" s="408"/>
      <c r="Q875" s="408"/>
      <c r="R875" s="408"/>
      <c r="S875" s="408"/>
      <c r="T875" s="408"/>
      <c r="U875" s="408"/>
      <c r="V875" s="408"/>
      <c r="W875" s="408"/>
      <c r="X875" s="408"/>
      <c r="Y875" s="408"/>
      <c r="Z875" s="408"/>
      <c r="AA875" s="408"/>
      <c r="AB875" s="408"/>
      <c r="AC875" s="408"/>
      <c r="AD875" s="408"/>
      <c r="AE875" s="408"/>
      <c r="AF875" s="408"/>
      <c r="AG875" s="408"/>
      <c r="AH875" s="408"/>
      <c r="AI875" s="408"/>
      <c r="AJ875" s="408"/>
      <c r="AK875" s="408"/>
      <c r="AL875" s="408"/>
      <c r="AM875" s="408"/>
      <c r="AN875" s="408"/>
      <c r="AO875" s="408"/>
      <c r="AP875" s="408"/>
      <c r="AQ875" s="408"/>
      <c r="AR875" s="408"/>
      <c r="AS875" s="408"/>
      <c r="AT875" s="408"/>
      <c r="AU875" s="408"/>
      <c r="AV875" s="408"/>
      <c r="AW875" s="408"/>
      <c r="AX875" s="408"/>
      <c r="AY875" s="408"/>
      <c r="AZ875" s="408"/>
      <c r="BA875" s="408"/>
      <c r="BB875" s="408"/>
      <c r="BC875" s="408"/>
      <c r="BD875" s="408"/>
      <c r="BE875" s="408"/>
      <c r="BF875" s="408"/>
      <c r="BG875" s="408"/>
      <c r="BH875" s="408"/>
      <c r="BI875" s="408"/>
      <c r="BJ875" s="408"/>
      <c r="BK875" s="408"/>
      <c r="BL875" s="408"/>
      <c r="BM875" s="408"/>
      <c r="BN875" s="408"/>
      <c r="BO875" s="408"/>
      <c r="BP875" s="408"/>
      <c r="BQ875" s="408"/>
      <c r="BR875" s="408"/>
      <c r="BS875" s="408"/>
      <c r="BT875" s="408"/>
      <c r="BU875" s="408"/>
      <c r="BV875" s="408"/>
      <c r="BW875" s="408"/>
      <c r="BX875" s="408"/>
      <c r="BY875" s="408"/>
      <c r="BZ875" s="408"/>
      <c r="CA875" s="408"/>
      <c r="CB875" s="408"/>
      <c r="CC875" s="408"/>
      <c r="CD875" s="408"/>
      <c r="CE875" s="408"/>
      <c r="CF875" s="408"/>
      <c r="CG875" s="408"/>
      <c r="CH875" s="408"/>
      <c r="CI875" s="408"/>
      <c r="CJ875" s="408"/>
      <c r="CK875" s="408"/>
      <c r="CL875" s="408"/>
      <c r="CM875" s="408"/>
      <c r="CN875" s="408"/>
    </row>
    <row r="876">
      <c r="A876" s="408"/>
      <c r="B876" s="408"/>
      <c r="C876" s="408"/>
      <c r="D876" s="408"/>
      <c r="E876" s="408"/>
      <c r="F876" s="408"/>
      <c r="G876" s="408"/>
      <c r="H876" s="408"/>
      <c r="I876" s="408"/>
      <c r="J876" s="408"/>
      <c r="K876" s="408"/>
      <c r="L876" s="408"/>
      <c r="M876" s="408"/>
      <c r="N876" s="408"/>
      <c r="O876" s="408"/>
      <c r="P876" s="408"/>
      <c r="Q876" s="408"/>
      <c r="R876" s="408"/>
      <c r="S876" s="408"/>
      <c r="T876" s="408"/>
      <c r="U876" s="408"/>
      <c r="V876" s="408"/>
      <c r="W876" s="408"/>
      <c r="X876" s="408"/>
      <c r="Y876" s="408"/>
      <c r="Z876" s="408"/>
      <c r="AA876" s="408"/>
      <c r="AB876" s="408"/>
      <c r="AC876" s="408"/>
      <c r="AD876" s="408"/>
      <c r="AE876" s="408"/>
      <c r="AF876" s="408"/>
      <c r="AG876" s="408"/>
      <c r="AH876" s="408"/>
      <c r="AI876" s="408"/>
      <c r="AJ876" s="408"/>
      <c r="AK876" s="408"/>
      <c r="AL876" s="408"/>
      <c r="AM876" s="408"/>
      <c r="AN876" s="408"/>
      <c r="AO876" s="408"/>
      <c r="AP876" s="408"/>
      <c r="AQ876" s="408"/>
      <c r="AR876" s="408"/>
      <c r="AS876" s="408"/>
      <c r="AT876" s="408"/>
      <c r="AU876" s="408"/>
      <c r="AV876" s="408"/>
      <c r="AW876" s="408"/>
      <c r="AX876" s="408"/>
      <c r="AY876" s="408"/>
      <c r="AZ876" s="408"/>
      <c r="BA876" s="408"/>
      <c r="BB876" s="408"/>
      <c r="BC876" s="408"/>
      <c r="BD876" s="408"/>
      <c r="BE876" s="408"/>
      <c r="BF876" s="408"/>
      <c r="BG876" s="408"/>
      <c r="BH876" s="408"/>
      <c r="BI876" s="408"/>
      <c r="BJ876" s="408"/>
      <c r="BK876" s="408"/>
      <c r="BL876" s="408"/>
      <c r="BM876" s="408"/>
      <c r="BN876" s="408"/>
      <c r="BO876" s="408"/>
      <c r="BP876" s="408"/>
      <c r="BQ876" s="408"/>
      <c r="BR876" s="408"/>
      <c r="BS876" s="408"/>
      <c r="BT876" s="408"/>
      <c r="BU876" s="408"/>
      <c r="BV876" s="408"/>
      <c r="BW876" s="408"/>
      <c r="BX876" s="408"/>
      <c r="BY876" s="408"/>
      <c r="BZ876" s="408"/>
      <c r="CA876" s="408"/>
      <c r="CB876" s="408"/>
      <c r="CC876" s="408"/>
      <c r="CD876" s="408"/>
      <c r="CE876" s="408"/>
      <c r="CF876" s="408"/>
      <c r="CG876" s="408"/>
      <c r="CH876" s="408"/>
      <c r="CI876" s="408"/>
      <c r="CJ876" s="408"/>
      <c r="CK876" s="408"/>
      <c r="CL876" s="408"/>
      <c r="CM876" s="408"/>
      <c r="CN876" s="408"/>
    </row>
    <row r="877">
      <c r="A877" s="408"/>
      <c r="B877" s="408"/>
      <c r="C877" s="408"/>
      <c r="D877" s="408"/>
      <c r="E877" s="408"/>
      <c r="F877" s="408"/>
      <c r="G877" s="408"/>
      <c r="H877" s="408"/>
      <c r="I877" s="408"/>
      <c r="J877" s="408"/>
      <c r="K877" s="408"/>
      <c r="L877" s="408"/>
      <c r="M877" s="408"/>
      <c r="N877" s="408"/>
      <c r="O877" s="408"/>
      <c r="P877" s="408"/>
      <c r="Q877" s="408"/>
      <c r="R877" s="408"/>
      <c r="S877" s="408"/>
      <c r="T877" s="408"/>
      <c r="U877" s="408"/>
      <c r="V877" s="408"/>
      <c r="W877" s="408"/>
      <c r="X877" s="408"/>
      <c r="Y877" s="408"/>
      <c r="Z877" s="408"/>
      <c r="AA877" s="408"/>
      <c r="AB877" s="408"/>
      <c r="AC877" s="408"/>
      <c r="AD877" s="408"/>
      <c r="AE877" s="408"/>
      <c r="AF877" s="408"/>
      <c r="AG877" s="408"/>
      <c r="AH877" s="408"/>
      <c r="AI877" s="408"/>
      <c r="AJ877" s="408"/>
      <c r="AK877" s="408"/>
      <c r="AL877" s="408"/>
      <c r="AM877" s="408"/>
      <c r="AN877" s="408"/>
      <c r="AO877" s="408"/>
      <c r="AP877" s="408"/>
      <c r="AQ877" s="408"/>
      <c r="AR877" s="408"/>
      <c r="AS877" s="408"/>
      <c r="AT877" s="408"/>
      <c r="AU877" s="408"/>
      <c r="AV877" s="408"/>
      <c r="AW877" s="408"/>
      <c r="AX877" s="408"/>
      <c r="AY877" s="408"/>
      <c r="AZ877" s="408"/>
      <c r="BA877" s="408"/>
      <c r="BB877" s="408"/>
      <c r="BC877" s="408"/>
      <c r="BD877" s="408"/>
      <c r="BE877" s="408"/>
      <c r="BF877" s="408"/>
      <c r="BG877" s="408"/>
      <c r="BH877" s="408"/>
      <c r="BI877" s="408"/>
      <c r="BJ877" s="408"/>
      <c r="BK877" s="408"/>
      <c r="BL877" s="408"/>
      <c r="BM877" s="408"/>
      <c r="BN877" s="408"/>
      <c r="BO877" s="408"/>
      <c r="BP877" s="408"/>
      <c r="BQ877" s="408"/>
      <c r="BR877" s="408"/>
      <c r="BS877" s="408"/>
      <c r="BT877" s="408"/>
      <c r="BU877" s="408"/>
      <c r="BV877" s="408"/>
      <c r="BW877" s="408"/>
      <c r="BX877" s="408"/>
      <c r="BY877" s="408"/>
      <c r="BZ877" s="408"/>
      <c r="CA877" s="408"/>
      <c r="CB877" s="408"/>
      <c r="CC877" s="408"/>
      <c r="CD877" s="408"/>
      <c r="CE877" s="408"/>
      <c r="CF877" s="408"/>
      <c r="CG877" s="408"/>
      <c r="CH877" s="408"/>
      <c r="CI877" s="408"/>
      <c r="CJ877" s="408"/>
      <c r="CK877" s="408"/>
      <c r="CL877" s="408"/>
      <c r="CM877" s="408"/>
      <c r="CN877" s="408"/>
    </row>
    <row r="878">
      <c r="A878" s="408"/>
      <c r="B878" s="408"/>
      <c r="C878" s="408"/>
      <c r="D878" s="408"/>
      <c r="E878" s="408"/>
      <c r="F878" s="408"/>
      <c r="G878" s="408"/>
      <c r="H878" s="408"/>
      <c r="I878" s="408"/>
      <c r="J878" s="408"/>
      <c r="K878" s="408"/>
      <c r="L878" s="408"/>
      <c r="M878" s="408"/>
      <c r="N878" s="408"/>
      <c r="O878" s="408"/>
      <c r="P878" s="408"/>
      <c r="Q878" s="408"/>
      <c r="R878" s="408"/>
      <c r="S878" s="408"/>
      <c r="T878" s="408"/>
      <c r="U878" s="408"/>
      <c r="V878" s="408"/>
      <c r="W878" s="408"/>
      <c r="X878" s="408"/>
      <c r="Y878" s="408"/>
      <c r="Z878" s="408"/>
      <c r="AA878" s="408"/>
      <c r="AB878" s="408"/>
      <c r="AC878" s="408"/>
      <c r="AD878" s="408"/>
      <c r="AE878" s="408"/>
      <c r="AF878" s="408"/>
      <c r="AG878" s="408"/>
      <c r="AH878" s="408"/>
      <c r="AI878" s="408"/>
      <c r="AJ878" s="408"/>
      <c r="AK878" s="408"/>
      <c r="AL878" s="408"/>
      <c r="AM878" s="408"/>
      <c r="AN878" s="408"/>
      <c r="AO878" s="408"/>
      <c r="AP878" s="408"/>
      <c r="AQ878" s="408"/>
      <c r="AR878" s="408"/>
      <c r="AS878" s="408"/>
      <c r="AT878" s="408"/>
      <c r="AU878" s="408"/>
      <c r="AV878" s="408"/>
      <c r="AW878" s="408"/>
      <c r="AX878" s="408"/>
      <c r="AY878" s="408"/>
      <c r="AZ878" s="408"/>
      <c r="BA878" s="408"/>
      <c r="BB878" s="408"/>
      <c r="BC878" s="408"/>
      <c r="BD878" s="408"/>
      <c r="BE878" s="408"/>
      <c r="BF878" s="408"/>
      <c r="BG878" s="408"/>
      <c r="BH878" s="408"/>
      <c r="BI878" s="408"/>
      <c r="BJ878" s="408"/>
      <c r="BK878" s="408"/>
      <c r="BL878" s="408"/>
      <c r="BM878" s="408"/>
      <c r="BN878" s="408"/>
      <c r="BO878" s="408"/>
      <c r="BP878" s="408"/>
      <c r="BQ878" s="408"/>
      <c r="BR878" s="408"/>
      <c r="BS878" s="408"/>
      <c r="BT878" s="408"/>
      <c r="BU878" s="408"/>
      <c r="BV878" s="408"/>
      <c r="BW878" s="408"/>
      <c r="BX878" s="408"/>
      <c r="BY878" s="408"/>
      <c r="BZ878" s="408"/>
      <c r="CA878" s="408"/>
      <c r="CB878" s="408"/>
      <c r="CC878" s="408"/>
      <c r="CD878" s="408"/>
      <c r="CE878" s="408"/>
      <c r="CF878" s="408"/>
      <c r="CG878" s="408"/>
      <c r="CH878" s="408"/>
      <c r="CI878" s="408"/>
      <c r="CJ878" s="408"/>
      <c r="CK878" s="408"/>
      <c r="CL878" s="408"/>
      <c r="CM878" s="408"/>
      <c r="CN878" s="408"/>
    </row>
    <row r="879">
      <c r="A879" s="408"/>
      <c r="B879" s="408"/>
      <c r="C879" s="408"/>
      <c r="D879" s="408"/>
      <c r="E879" s="408"/>
      <c r="F879" s="408"/>
      <c r="G879" s="408"/>
      <c r="H879" s="408"/>
      <c r="I879" s="408"/>
      <c r="J879" s="408"/>
      <c r="K879" s="408"/>
      <c r="L879" s="408"/>
      <c r="M879" s="408"/>
      <c r="N879" s="408"/>
      <c r="O879" s="408"/>
      <c r="P879" s="408"/>
      <c r="Q879" s="408"/>
      <c r="R879" s="408"/>
      <c r="S879" s="408"/>
      <c r="T879" s="408"/>
      <c r="U879" s="408"/>
      <c r="V879" s="408"/>
      <c r="W879" s="408"/>
      <c r="X879" s="408"/>
      <c r="Y879" s="408"/>
      <c r="Z879" s="408"/>
      <c r="AA879" s="408"/>
      <c r="AB879" s="408"/>
      <c r="AC879" s="408"/>
      <c r="AD879" s="408"/>
      <c r="AE879" s="408"/>
      <c r="AF879" s="408"/>
      <c r="AG879" s="408"/>
      <c r="AH879" s="408"/>
      <c r="AI879" s="408"/>
      <c r="AJ879" s="408"/>
      <c r="AK879" s="408"/>
      <c r="AL879" s="408"/>
      <c r="AM879" s="408"/>
      <c r="AN879" s="408"/>
      <c r="AO879" s="408"/>
      <c r="AP879" s="408"/>
      <c r="AQ879" s="408"/>
      <c r="AR879" s="408"/>
      <c r="AS879" s="408"/>
      <c r="AT879" s="408"/>
      <c r="AU879" s="408"/>
      <c r="AV879" s="408"/>
      <c r="AW879" s="408"/>
      <c r="AX879" s="408"/>
      <c r="AY879" s="408"/>
      <c r="AZ879" s="408"/>
      <c r="BA879" s="408"/>
      <c r="BB879" s="408"/>
      <c r="BC879" s="408"/>
      <c r="BD879" s="408"/>
      <c r="BE879" s="408"/>
      <c r="BF879" s="408"/>
      <c r="BG879" s="408"/>
      <c r="BH879" s="408"/>
      <c r="BI879" s="408"/>
      <c r="BJ879" s="408"/>
      <c r="BK879" s="408"/>
      <c r="BL879" s="408"/>
      <c r="BM879" s="408"/>
      <c r="BN879" s="408"/>
      <c r="BO879" s="408"/>
      <c r="BP879" s="408"/>
      <c r="BQ879" s="408"/>
      <c r="BR879" s="408"/>
      <c r="BS879" s="408"/>
      <c r="BT879" s="408"/>
      <c r="BU879" s="408"/>
      <c r="BV879" s="408"/>
      <c r="BW879" s="408"/>
      <c r="BX879" s="408"/>
      <c r="BY879" s="408"/>
      <c r="BZ879" s="408"/>
      <c r="CA879" s="408"/>
      <c r="CB879" s="408"/>
      <c r="CC879" s="408"/>
      <c r="CD879" s="408"/>
      <c r="CE879" s="408"/>
      <c r="CF879" s="408"/>
      <c r="CG879" s="408"/>
      <c r="CH879" s="408"/>
      <c r="CI879" s="408"/>
      <c r="CJ879" s="408"/>
      <c r="CK879" s="408"/>
      <c r="CL879" s="408"/>
      <c r="CM879" s="408"/>
      <c r="CN879" s="408"/>
    </row>
    <row r="880">
      <c r="A880" s="408"/>
      <c r="B880" s="408"/>
      <c r="C880" s="408"/>
      <c r="D880" s="408"/>
      <c r="E880" s="408"/>
      <c r="F880" s="408"/>
      <c r="G880" s="408"/>
      <c r="H880" s="408"/>
      <c r="I880" s="408"/>
      <c r="J880" s="408"/>
      <c r="K880" s="408"/>
      <c r="L880" s="408"/>
      <c r="M880" s="408"/>
      <c r="N880" s="408"/>
      <c r="O880" s="408"/>
      <c r="P880" s="408"/>
      <c r="Q880" s="408"/>
      <c r="R880" s="408"/>
      <c r="S880" s="408"/>
      <c r="T880" s="408"/>
      <c r="U880" s="408"/>
      <c r="V880" s="408"/>
      <c r="W880" s="408"/>
      <c r="X880" s="408"/>
      <c r="Y880" s="408"/>
      <c r="Z880" s="408"/>
      <c r="AA880" s="408"/>
      <c r="AB880" s="408"/>
      <c r="AC880" s="408"/>
      <c r="AD880" s="408"/>
      <c r="AE880" s="408"/>
      <c r="AF880" s="408"/>
      <c r="AG880" s="408"/>
      <c r="AH880" s="408"/>
      <c r="AI880" s="408"/>
      <c r="AJ880" s="408"/>
      <c r="AK880" s="408"/>
      <c r="AL880" s="408"/>
      <c r="AM880" s="408"/>
      <c r="AN880" s="408"/>
      <c r="AO880" s="408"/>
      <c r="AP880" s="408"/>
      <c r="AQ880" s="408"/>
      <c r="AR880" s="408"/>
      <c r="AS880" s="408"/>
      <c r="AT880" s="408"/>
      <c r="AU880" s="408"/>
      <c r="AV880" s="408"/>
      <c r="AW880" s="408"/>
      <c r="AX880" s="408"/>
      <c r="AY880" s="408"/>
      <c r="AZ880" s="408"/>
      <c r="BA880" s="408"/>
      <c r="BB880" s="408"/>
      <c r="BC880" s="408"/>
      <c r="BD880" s="408"/>
      <c r="BE880" s="408"/>
      <c r="BF880" s="408"/>
      <c r="BG880" s="408"/>
      <c r="BH880" s="408"/>
      <c r="BI880" s="408"/>
      <c r="BJ880" s="408"/>
      <c r="BK880" s="408"/>
      <c r="BL880" s="408"/>
      <c r="BM880" s="408"/>
      <c r="BN880" s="408"/>
      <c r="BO880" s="408"/>
      <c r="BP880" s="408"/>
      <c r="BQ880" s="408"/>
      <c r="BR880" s="408"/>
      <c r="BS880" s="408"/>
      <c r="BT880" s="408"/>
      <c r="BU880" s="408"/>
      <c r="BV880" s="408"/>
      <c r="BW880" s="408"/>
      <c r="BX880" s="408"/>
      <c r="BY880" s="408"/>
      <c r="BZ880" s="408"/>
      <c r="CA880" s="408"/>
      <c r="CB880" s="408"/>
      <c r="CC880" s="408"/>
      <c r="CD880" s="408"/>
      <c r="CE880" s="408"/>
      <c r="CF880" s="408"/>
      <c r="CG880" s="408"/>
      <c r="CH880" s="408"/>
      <c r="CI880" s="408"/>
      <c r="CJ880" s="408"/>
      <c r="CK880" s="408"/>
      <c r="CL880" s="408"/>
      <c r="CM880" s="408"/>
      <c r="CN880" s="408"/>
    </row>
    <row r="881">
      <c r="A881" s="408"/>
      <c r="B881" s="408"/>
      <c r="C881" s="408"/>
      <c r="D881" s="408"/>
      <c r="E881" s="408"/>
      <c r="F881" s="408"/>
      <c r="G881" s="408"/>
      <c r="H881" s="408"/>
      <c r="I881" s="408"/>
      <c r="J881" s="408"/>
      <c r="K881" s="408"/>
      <c r="L881" s="408"/>
      <c r="M881" s="408"/>
      <c r="N881" s="408"/>
      <c r="O881" s="408"/>
      <c r="P881" s="408"/>
      <c r="Q881" s="408"/>
      <c r="R881" s="408"/>
      <c r="S881" s="408"/>
      <c r="T881" s="408"/>
      <c r="U881" s="408"/>
      <c r="V881" s="408"/>
      <c r="W881" s="408"/>
      <c r="X881" s="408"/>
      <c r="Y881" s="408"/>
      <c r="Z881" s="408"/>
      <c r="AA881" s="408"/>
      <c r="AB881" s="408"/>
      <c r="AC881" s="408"/>
      <c r="AD881" s="408"/>
      <c r="AE881" s="408"/>
      <c r="AF881" s="408"/>
      <c r="AG881" s="408"/>
      <c r="AH881" s="408"/>
      <c r="AI881" s="408"/>
      <c r="AJ881" s="408"/>
      <c r="AK881" s="408"/>
      <c r="AL881" s="408"/>
      <c r="AM881" s="408"/>
      <c r="AN881" s="408"/>
      <c r="AO881" s="408"/>
      <c r="AP881" s="408"/>
      <c r="AQ881" s="408"/>
      <c r="AR881" s="408"/>
      <c r="AS881" s="408"/>
      <c r="AT881" s="408"/>
      <c r="AU881" s="408"/>
      <c r="AV881" s="408"/>
      <c r="AW881" s="408"/>
      <c r="AX881" s="408"/>
      <c r="AY881" s="408"/>
      <c r="AZ881" s="408"/>
      <c r="BA881" s="408"/>
      <c r="BB881" s="408"/>
      <c r="BC881" s="408"/>
      <c r="BD881" s="408"/>
      <c r="BE881" s="408"/>
      <c r="BF881" s="408"/>
      <c r="BG881" s="408"/>
      <c r="BH881" s="408"/>
      <c r="BI881" s="408"/>
      <c r="BJ881" s="408"/>
      <c r="BK881" s="408"/>
      <c r="BL881" s="408"/>
      <c r="BM881" s="408"/>
      <c r="BN881" s="408"/>
      <c r="BO881" s="408"/>
      <c r="BP881" s="408"/>
      <c r="BQ881" s="408"/>
      <c r="BR881" s="408"/>
      <c r="BS881" s="408"/>
      <c r="BT881" s="408"/>
      <c r="BU881" s="408"/>
      <c r="BV881" s="408"/>
      <c r="BW881" s="408"/>
      <c r="BX881" s="408"/>
      <c r="BY881" s="408"/>
      <c r="BZ881" s="408"/>
      <c r="CA881" s="408"/>
      <c r="CB881" s="408"/>
      <c r="CC881" s="408"/>
      <c r="CD881" s="408"/>
      <c r="CE881" s="408"/>
      <c r="CF881" s="408"/>
      <c r="CG881" s="408"/>
      <c r="CH881" s="408"/>
      <c r="CI881" s="408"/>
      <c r="CJ881" s="408"/>
      <c r="CK881" s="408"/>
      <c r="CL881" s="408"/>
      <c r="CM881" s="408"/>
      <c r="CN881" s="408"/>
    </row>
    <row r="882">
      <c r="A882" s="408"/>
      <c r="B882" s="408"/>
      <c r="C882" s="408"/>
      <c r="D882" s="408"/>
      <c r="E882" s="408"/>
      <c r="F882" s="408"/>
      <c r="G882" s="408"/>
      <c r="H882" s="408"/>
      <c r="I882" s="408"/>
      <c r="J882" s="408"/>
      <c r="K882" s="408"/>
      <c r="L882" s="408"/>
      <c r="M882" s="408"/>
      <c r="N882" s="408"/>
      <c r="O882" s="408"/>
      <c r="P882" s="408"/>
      <c r="Q882" s="408"/>
      <c r="R882" s="408"/>
      <c r="S882" s="408"/>
      <c r="T882" s="408"/>
      <c r="U882" s="408"/>
      <c r="V882" s="408"/>
      <c r="W882" s="408"/>
      <c r="X882" s="408"/>
      <c r="Y882" s="408"/>
      <c r="Z882" s="408"/>
      <c r="AA882" s="408"/>
      <c r="AB882" s="408"/>
      <c r="AC882" s="408"/>
      <c r="AD882" s="408"/>
      <c r="AE882" s="408"/>
      <c r="AF882" s="408"/>
      <c r="AG882" s="408"/>
      <c r="AH882" s="408"/>
      <c r="AI882" s="408"/>
      <c r="AJ882" s="408"/>
      <c r="AK882" s="408"/>
      <c r="AL882" s="408"/>
      <c r="AM882" s="408"/>
      <c r="AN882" s="408"/>
      <c r="AO882" s="408"/>
      <c r="AP882" s="408"/>
      <c r="AQ882" s="408"/>
      <c r="AR882" s="408"/>
      <c r="AS882" s="408"/>
      <c r="AT882" s="408"/>
      <c r="AU882" s="408"/>
      <c r="AV882" s="408"/>
      <c r="AW882" s="408"/>
      <c r="AX882" s="408"/>
      <c r="AY882" s="408"/>
      <c r="AZ882" s="408"/>
      <c r="BA882" s="408"/>
      <c r="BB882" s="408"/>
      <c r="BC882" s="408"/>
      <c r="BD882" s="408"/>
      <c r="BE882" s="408"/>
      <c r="BF882" s="408"/>
      <c r="BG882" s="408"/>
      <c r="BH882" s="408"/>
      <c r="BI882" s="408"/>
      <c r="BJ882" s="408"/>
      <c r="BK882" s="408"/>
      <c r="BL882" s="408"/>
      <c r="BM882" s="408"/>
      <c r="BN882" s="408"/>
      <c r="BO882" s="408"/>
      <c r="BP882" s="408"/>
      <c r="BQ882" s="408"/>
      <c r="BR882" s="408"/>
      <c r="BS882" s="408"/>
      <c r="BT882" s="408"/>
      <c r="BU882" s="408"/>
      <c r="BV882" s="408"/>
      <c r="BW882" s="408"/>
      <c r="BX882" s="408"/>
      <c r="BY882" s="408"/>
      <c r="BZ882" s="408"/>
      <c r="CA882" s="408"/>
      <c r="CB882" s="408"/>
      <c r="CC882" s="408"/>
      <c r="CD882" s="408"/>
      <c r="CE882" s="408"/>
      <c r="CF882" s="408"/>
      <c r="CG882" s="408"/>
      <c r="CH882" s="408"/>
      <c r="CI882" s="408"/>
      <c r="CJ882" s="408"/>
      <c r="CK882" s="408"/>
      <c r="CL882" s="408"/>
      <c r="CM882" s="408"/>
      <c r="CN882" s="408"/>
    </row>
    <row r="883">
      <c r="A883" s="408"/>
      <c r="B883" s="408"/>
      <c r="C883" s="408"/>
      <c r="D883" s="408"/>
      <c r="E883" s="408"/>
      <c r="F883" s="408"/>
      <c r="G883" s="408"/>
      <c r="H883" s="408"/>
      <c r="I883" s="408"/>
      <c r="J883" s="408"/>
      <c r="K883" s="408"/>
      <c r="L883" s="408"/>
      <c r="M883" s="408"/>
      <c r="N883" s="408"/>
      <c r="O883" s="408"/>
      <c r="P883" s="408"/>
      <c r="Q883" s="408"/>
      <c r="R883" s="408"/>
      <c r="S883" s="408"/>
      <c r="T883" s="408"/>
      <c r="U883" s="408"/>
      <c r="V883" s="408"/>
      <c r="W883" s="408"/>
      <c r="X883" s="408"/>
      <c r="Y883" s="408"/>
      <c r="Z883" s="408"/>
      <c r="AA883" s="408"/>
      <c r="AB883" s="408"/>
      <c r="AC883" s="408"/>
      <c r="AD883" s="408"/>
      <c r="AE883" s="408"/>
      <c r="AF883" s="408"/>
      <c r="AG883" s="408"/>
      <c r="AH883" s="408"/>
      <c r="AI883" s="408"/>
      <c r="AJ883" s="408"/>
      <c r="AK883" s="408"/>
      <c r="AL883" s="408"/>
      <c r="AM883" s="408"/>
      <c r="AN883" s="408"/>
      <c r="AO883" s="408"/>
      <c r="AP883" s="408"/>
      <c r="AQ883" s="408"/>
      <c r="AR883" s="408"/>
      <c r="AS883" s="408"/>
      <c r="AT883" s="408"/>
      <c r="AU883" s="408"/>
      <c r="AV883" s="408"/>
      <c r="AW883" s="408"/>
      <c r="AX883" s="408"/>
      <c r="AY883" s="408"/>
      <c r="AZ883" s="408"/>
      <c r="BA883" s="408"/>
      <c r="BB883" s="408"/>
      <c r="BC883" s="408"/>
      <c r="BD883" s="408"/>
      <c r="BE883" s="408"/>
      <c r="BF883" s="408"/>
      <c r="BG883" s="408"/>
      <c r="BH883" s="408"/>
      <c r="BI883" s="408"/>
      <c r="BJ883" s="408"/>
      <c r="BK883" s="408"/>
      <c r="BL883" s="408"/>
      <c r="BM883" s="408"/>
      <c r="BN883" s="408"/>
      <c r="BO883" s="408"/>
      <c r="BP883" s="408"/>
      <c r="BQ883" s="408"/>
      <c r="BR883" s="408"/>
      <c r="BS883" s="408"/>
      <c r="BT883" s="408"/>
      <c r="BU883" s="408"/>
      <c r="BV883" s="408"/>
      <c r="BW883" s="408"/>
      <c r="BX883" s="408"/>
      <c r="BY883" s="408"/>
      <c r="BZ883" s="408"/>
      <c r="CA883" s="408"/>
      <c r="CB883" s="408"/>
      <c r="CC883" s="408"/>
      <c r="CD883" s="408"/>
      <c r="CE883" s="408"/>
      <c r="CF883" s="408"/>
      <c r="CG883" s="408"/>
      <c r="CH883" s="408"/>
      <c r="CI883" s="408"/>
      <c r="CJ883" s="408"/>
      <c r="CK883" s="408"/>
      <c r="CL883" s="408"/>
      <c r="CM883" s="408"/>
      <c r="CN883" s="408"/>
    </row>
    <row r="884">
      <c r="A884" s="408"/>
      <c r="B884" s="408"/>
      <c r="C884" s="408"/>
      <c r="D884" s="408"/>
      <c r="E884" s="408"/>
      <c r="F884" s="408"/>
      <c r="G884" s="408"/>
      <c r="H884" s="408"/>
      <c r="I884" s="408"/>
      <c r="J884" s="408"/>
      <c r="K884" s="408"/>
      <c r="L884" s="408"/>
      <c r="M884" s="408"/>
      <c r="N884" s="408"/>
      <c r="O884" s="408"/>
      <c r="P884" s="408"/>
      <c r="Q884" s="408"/>
      <c r="R884" s="408"/>
      <c r="S884" s="408"/>
      <c r="T884" s="408"/>
      <c r="U884" s="408"/>
      <c r="V884" s="408"/>
      <c r="W884" s="408"/>
      <c r="X884" s="408"/>
      <c r="Y884" s="408"/>
      <c r="Z884" s="408"/>
      <c r="AA884" s="408"/>
      <c r="AB884" s="408"/>
      <c r="AC884" s="408"/>
      <c r="AD884" s="408"/>
      <c r="AE884" s="408"/>
      <c r="AF884" s="408"/>
      <c r="AG884" s="408"/>
      <c r="AH884" s="408"/>
      <c r="AI884" s="408"/>
      <c r="AJ884" s="408"/>
      <c r="AK884" s="408"/>
      <c r="AL884" s="408"/>
      <c r="AM884" s="408"/>
      <c r="AN884" s="408"/>
      <c r="AO884" s="408"/>
      <c r="AP884" s="408"/>
      <c r="AQ884" s="408"/>
      <c r="AR884" s="408"/>
      <c r="AS884" s="408"/>
      <c r="AT884" s="408"/>
      <c r="AU884" s="408"/>
      <c r="AV884" s="408"/>
      <c r="AW884" s="408"/>
      <c r="AX884" s="408"/>
      <c r="AY884" s="408"/>
      <c r="AZ884" s="408"/>
      <c r="BA884" s="408"/>
      <c r="BB884" s="408"/>
      <c r="BC884" s="408"/>
      <c r="BD884" s="408"/>
      <c r="BE884" s="408"/>
      <c r="BF884" s="408"/>
      <c r="BG884" s="408"/>
      <c r="BH884" s="408"/>
      <c r="BI884" s="408"/>
      <c r="BJ884" s="408"/>
      <c r="BK884" s="408"/>
      <c r="BL884" s="408"/>
      <c r="BM884" s="408"/>
      <c r="BN884" s="408"/>
      <c r="BO884" s="408"/>
      <c r="BP884" s="408"/>
      <c r="BQ884" s="408"/>
      <c r="BR884" s="408"/>
      <c r="BS884" s="408"/>
      <c r="BT884" s="408"/>
      <c r="BU884" s="408"/>
      <c r="BV884" s="408"/>
      <c r="BW884" s="408"/>
      <c r="BX884" s="408"/>
      <c r="BY884" s="408"/>
      <c r="BZ884" s="408"/>
      <c r="CA884" s="408"/>
      <c r="CB884" s="408"/>
      <c r="CC884" s="408"/>
      <c r="CD884" s="408"/>
      <c r="CE884" s="408"/>
      <c r="CF884" s="408"/>
      <c r="CG884" s="408"/>
      <c r="CH884" s="408"/>
      <c r="CI884" s="408"/>
      <c r="CJ884" s="408"/>
      <c r="CK884" s="408"/>
      <c r="CL884" s="408"/>
      <c r="CM884" s="408"/>
      <c r="CN884" s="408"/>
    </row>
    <row r="885">
      <c r="A885" s="408"/>
      <c r="B885" s="408"/>
      <c r="C885" s="408"/>
      <c r="D885" s="408"/>
      <c r="E885" s="408"/>
      <c r="F885" s="408"/>
      <c r="G885" s="408"/>
      <c r="H885" s="408"/>
      <c r="I885" s="408"/>
      <c r="J885" s="408"/>
      <c r="K885" s="408"/>
      <c r="L885" s="408"/>
      <c r="M885" s="408"/>
      <c r="N885" s="408"/>
      <c r="O885" s="408"/>
      <c r="P885" s="408"/>
      <c r="Q885" s="408"/>
      <c r="R885" s="408"/>
      <c r="S885" s="408"/>
      <c r="T885" s="408"/>
      <c r="U885" s="408"/>
      <c r="V885" s="408"/>
      <c r="W885" s="408"/>
      <c r="X885" s="408"/>
      <c r="Y885" s="408"/>
      <c r="Z885" s="408"/>
      <c r="AA885" s="408"/>
      <c r="AB885" s="408"/>
      <c r="AC885" s="408"/>
      <c r="AD885" s="408"/>
      <c r="AE885" s="408"/>
      <c r="AF885" s="408"/>
      <c r="AG885" s="408"/>
      <c r="AH885" s="408"/>
      <c r="AI885" s="408"/>
      <c r="AJ885" s="408"/>
      <c r="AK885" s="408"/>
      <c r="AL885" s="408"/>
      <c r="AM885" s="408"/>
      <c r="AN885" s="408"/>
      <c r="AO885" s="408"/>
      <c r="AP885" s="408"/>
      <c r="AQ885" s="408"/>
      <c r="AR885" s="408"/>
      <c r="AS885" s="408"/>
      <c r="AT885" s="408"/>
      <c r="AU885" s="408"/>
      <c r="AV885" s="408"/>
      <c r="AW885" s="408"/>
      <c r="AX885" s="408"/>
      <c r="AY885" s="408"/>
      <c r="AZ885" s="408"/>
      <c r="BA885" s="408"/>
      <c r="BB885" s="408"/>
      <c r="BC885" s="408"/>
      <c r="BD885" s="408"/>
      <c r="BE885" s="408"/>
      <c r="BF885" s="408"/>
      <c r="BG885" s="408"/>
      <c r="BH885" s="408"/>
      <c r="BI885" s="408"/>
      <c r="BJ885" s="408"/>
      <c r="BK885" s="408"/>
      <c r="BL885" s="408"/>
      <c r="BM885" s="408"/>
      <c r="BN885" s="408"/>
      <c r="BO885" s="408"/>
      <c r="BP885" s="408"/>
      <c r="BQ885" s="408"/>
      <c r="BR885" s="408"/>
      <c r="BS885" s="408"/>
      <c r="BT885" s="408"/>
      <c r="BU885" s="408"/>
      <c r="BV885" s="408"/>
      <c r="BW885" s="408"/>
      <c r="BX885" s="408"/>
      <c r="BY885" s="408"/>
      <c r="BZ885" s="408"/>
      <c r="CA885" s="408"/>
      <c r="CB885" s="408"/>
      <c r="CC885" s="408"/>
      <c r="CD885" s="408"/>
      <c r="CE885" s="408"/>
      <c r="CF885" s="408"/>
      <c r="CG885" s="408"/>
      <c r="CH885" s="408"/>
      <c r="CI885" s="408"/>
      <c r="CJ885" s="408"/>
      <c r="CK885" s="408"/>
      <c r="CL885" s="408"/>
      <c r="CM885" s="408"/>
      <c r="CN885" s="408"/>
    </row>
    <row r="886">
      <c r="A886" s="408"/>
      <c r="B886" s="408"/>
      <c r="C886" s="408"/>
      <c r="D886" s="408"/>
      <c r="E886" s="408"/>
      <c r="F886" s="408"/>
      <c r="G886" s="408"/>
      <c r="H886" s="408"/>
      <c r="I886" s="408"/>
      <c r="J886" s="408"/>
      <c r="K886" s="408"/>
      <c r="L886" s="408"/>
      <c r="M886" s="408"/>
      <c r="N886" s="408"/>
      <c r="O886" s="408"/>
      <c r="P886" s="408"/>
      <c r="Q886" s="408"/>
      <c r="R886" s="408"/>
      <c r="S886" s="408"/>
      <c r="T886" s="408"/>
      <c r="U886" s="408"/>
      <c r="V886" s="408"/>
      <c r="W886" s="408"/>
      <c r="X886" s="408"/>
      <c r="Y886" s="408"/>
      <c r="Z886" s="408"/>
      <c r="AA886" s="408"/>
      <c r="AB886" s="408"/>
      <c r="AC886" s="408"/>
      <c r="AD886" s="408"/>
      <c r="AE886" s="408"/>
      <c r="AF886" s="408"/>
      <c r="AG886" s="408"/>
      <c r="AH886" s="408"/>
      <c r="AI886" s="408"/>
      <c r="AJ886" s="408"/>
      <c r="AK886" s="408"/>
      <c r="AL886" s="408"/>
      <c r="AM886" s="408"/>
      <c r="AN886" s="408"/>
      <c r="AO886" s="408"/>
      <c r="AP886" s="408"/>
      <c r="AQ886" s="408"/>
      <c r="AR886" s="408"/>
      <c r="AS886" s="408"/>
      <c r="AT886" s="408"/>
      <c r="AU886" s="408"/>
      <c r="AV886" s="408"/>
      <c r="AW886" s="408"/>
      <c r="AX886" s="408"/>
      <c r="AY886" s="408"/>
      <c r="AZ886" s="408"/>
      <c r="BA886" s="408"/>
      <c r="BB886" s="408"/>
      <c r="BC886" s="408"/>
      <c r="BD886" s="408"/>
      <c r="BE886" s="408"/>
      <c r="BF886" s="408"/>
      <c r="BG886" s="408"/>
      <c r="BH886" s="408"/>
      <c r="BI886" s="408"/>
      <c r="BJ886" s="408"/>
      <c r="BK886" s="408"/>
      <c r="BL886" s="408"/>
      <c r="BM886" s="408"/>
      <c r="BN886" s="408"/>
      <c r="BO886" s="408"/>
      <c r="BP886" s="408"/>
      <c r="BQ886" s="408"/>
      <c r="BR886" s="408"/>
      <c r="BS886" s="408"/>
      <c r="BT886" s="408"/>
      <c r="BU886" s="408"/>
      <c r="BV886" s="408"/>
      <c r="BW886" s="408"/>
      <c r="BX886" s="408"/>
      <c r="BY886" s="408"/>
      <c r="BZ886" s="408"/>
      <c r="CA886" s="408"/>
      <c r="CB886" s="408"/>
      <c r="CC886" s="408"/>
      <c r="CD886" s="408"/>
      <c r="CE886" s="408"/>
      <c r="CF886" s="408"/>
      <c r="CG886" s="408"/>
      <c r="CH886" s="408"/>
      <c r="CI886" s="408"/>
      <c r="CJ886" s="408"/>
      <c r="CK886" s="408"/>
      <c r="CL886" s="408"/>
      <c r="CM886" s="408"/>
      <c r="CN886" s="408"/>
    </row>
    <row r="887">
      <c r="A887" s="408"/>
      <c r="B887" s="408"/>
      <c r="C887" s="408"/>
      <c r="D887" s="408"/>
      <c r="E887" s="408"/>
      <c r="F887" s="408"/>
      <c r="G887" s="408"/>
      <c r="H887" s="408"/>
      <c r="I887" s="408"/>
      <c r="J887" s="408"/>
      <c r="K887" s="408"/>
      <c r="L887" s="408"/>
      <c r="M887" s="408"/>
      <c r="N887" s="408"/>
      <c r="O887" s="408"/>
      <c r="P887" s="408"/>
      <c r="Q887" s="408"/>
      <c r="R887" s="408"/>
      <c r="S887" s="408"/>
      <c r="T887" s="408"/>
      <c r="U887" s="408"/>
      <c r="V887" s="408"/>
      <c r="W887" s="408"/>
      <c r="X887" s="408"/>
      <c r="Y887" s="408"/>
      <c r="Z887" s="408"/>
      <c r="AA887" s="408"/>
      <c r="AB887" s="408"/>
      <c r="AC887" s="408"/>
      <c r="AD887" s="408"/>
      <c r="AE887" s="408"/>
      <c r="AF887" s="408"/>
      <c r="AG887" s="408"/>
      <c r="AH887" s="408"/>
      <c r="AI887" s="408"/>
      <c r="AJ887" s="408"/>
      <c r="AK887" s="408"/>
      <c r="AL887" s="408"/>
      <c r="AM887" s="408"/>
      <c r="AN887" s="408"/>
      <c r="AO887" s="408"/>
      <c r="AP887" s="408"/>
      <c r="AQ887" s="408"/>
      <c r="AR887" s="408"/>
      <c r="AS887" s="408"/>
      <c r="AT887" s="408"/>
      <c r="AU887" s="408"/>
      <c r="AV887" s="408"/>
      <c r="AW887" s="408"/>
      <c r="AX887" s="408"/>
      <c r="AY887" s="408"/>
      <c r="AZ887" s="408"/>
      <c r="BA887" s="408"/>
      <c r="BB887" s="408"/>
      <c r="BC887" s="408"/>
      <c r="BD887" s="408"/>
      <c r="BE887" s="408"/>
      <c r="BF887" s="408"/>
      <c r="BG887" s="408"/>
      <c r="BH887" s="408"/>
      <c r="BI887" s="408"/>
      <c r="BJ887" s="408"/>
      <c r="BK887" s="408"/>
      <c r="BL887" s="408"/>
      <c r="BM887" s="408"/>
      <c r="BN887" s="408"/>
      <c r="BO887" s="408"/>
      <c r="BP887" s="408"/>
      <c r="BQ887" s="408"/>
      <c r="BR887" s="408"/>
      <c r="BS887" s="408"/>
      <c r="BT887" s="408"/>
      <c r="BU887" s="408"/>
      <c r="BV887" s="408"/>
      <c r="BW887" s="408"/>
      <c r="BX887" s="408"/>
      <c r="BY887" s="408"/>
      <c r="BZ887" s="408"/>
      <c r="CA887" s="408"/>
      <c r="CB887" s="408"/>
      <c r="CC887" s="408"/>
      <c r="CD887" s="408"/>
      <c r="CE887" s="408"/>
      <c r="CF887" s="408"/>
      <c r="CG887" s="408"/>
      <c r="CH887" s="408"/>
      <c r="CI887" s="408"/>
      <c r="CJ887" s="408"/>
      <c r="CK887" s="408"/>
      <c r="CL887" s="408"/>
      <c r="CM887" s="408"/>
      <c r="CN887" s="408"/>
    </row>
    <row r="888">
      <c r="A888" s="408"/>
      <c r="B888" s="408"/>
      <c r="C888" s="408"/>
      <c r="D888" s="408"/>
      <c r="E888" s="408"/>
      <c r="F888" s="408"/>
      <c r="G888" s="408"/>
      <c r="H888" s="408"/>
      <c r="I888" s="408"/>
      <c r="J888" s="408"/>
      <c r="K888" s="408"/>
      <c r="L888" s="408"/>
      <c r="M888" s="408"/>
      <c r="N888" s="408"/>
      <c r="O888" s="408"/>
      <c r="P888" s="408"/>
      <c r="Q888" s="408"/>
      <c r="R888" s="408"/>
      <c r="S888" s="408"/>
      <c r="T888" s="408"/>
      <c r="U888" s="408"/>
      <c r="V888" s="408"/>
      <c r="W888" s="408"/>
      <c r="X888" s="408"/>
      <c r="Y888" s="408"/>
      <c r="Z888" s="408"/>
      <c r="AA888" s="408"/>
      <c r="AB888" s="408"/>
      <c r="AC888" s="408"/>
      <c r="AD888" s="408"/>
      <c r="AE888" s="408"/>
      <c r="AF888" s="408"/>
      <c r="AG888" s="408"/>
      <c r="AH888" s="408"/>
      <c r="AI888" s="408"/>
      <c r="AJ888" s="408"/>
      <c r="AK888" s="408"/>
      <c r="AL888" s="408"/>
      <c r="AM888" s="408"/>
      <c r="AN888" s="408"/>
      <c r="AO888" s="408"/>
      <c r="AP888" s="408"/>
      <c r="AQ888" s="408"/>
      <c r="AR888" s="408"/>
      <c r="AS888" s="408"/>
      <c r="AT888" s="408"/>
      <c r="AU888" s="408"/>
      <c r="AV888" s="408"/>
      <c r="AW888" s="408"/>
      <c r="AX888" s="408"/>
      <c r="AY888" s="408"/>
      <c r="AZ888" s="408"/>
      <c r="BA888" s="408"/>
      <c r="BB888" s="408"/>
      <c r="BC888" s="408"/>
      <c r="BD888" s="408"/>
      <c r="BE888" s="408"/>
      <c r="BF888" s="408"/>
      <c r="BG888" s="408"/>
      <c r="BH888" s="408"/>
      <c r="BI888" s="408"/>
      <c r="BJ888" s="408"/>
      <c r="BK888" s="408"/>
      <c r="BL888" s="408"/>
      <c r="BM888" s="408"/>
      <c r="BN888" s="408"/>
      <c r="BO888" s="408"/>
      <c r="BP888" s="408"/>
      <c r="BQ888" s="408"/>
      <c r="BR888" s="408"/>
      <c r="BS888" s="408"/>
      <c r="BT888" s="408"/>
      <c r="BU888" s="408"/>
      <c r="BV888" s="408"/>
      <c r="BW888" s="408"/>
      <c r="BX888" s="408"/>
      <c r="BY888" s="408"/>
      <c r="BZ888" s="408"/>
      <c r="CA888" s="408"/>
      <c r="CB888" s="408"/>
      <c r="CC888" s="408"/>
      <c r="CD888" s="408"/>
      <c r="CE888" s="408"/>
      <c r="CF888" s="408"/>
      <c r="CG888" s="408"/>
      <c r="CH888" s="408"/>
      <c r="CI888" s="408"/>
      <c r="CJ888" s="408"/>
      <c r="CK888" s="408"/>
      <c r="CL888" s="408"/>
      <c r="CM888" s="408"/>
      <c r="CN888" s="408"/>
    </row>
    <row r="889">
      <c r="A889" s="408"/>
      <c r="B889" s="408"/>
      <c r="C889" s="408"/>
      <c r="D889" s="408"/>
      <c r="E889" s="408"/>
      <c r="F889" s="408"/>
      <c r="G889" s="408"/>
      <c r="H889" s="408"/>
      <c r="I889" s="408"/>
      <c r="J889" s="408"/>
      <c r="K889" s="408"/>
      <c r="L889" s="408"/>
      <c r="M889" s="408"/>
      <c r="N889" s="408"/>
      <c r="O889" s="408"/>
      <c r="P889" s="408"/>
      <c r="Q889" s="408"/>
      <c r="R889" s="408"/>
      <c r="S889" s="408"/>
      <c r="T889" s="408"/>
      <c r="U889" s="408"/>
      <c r="V889" s="408"/>
      <c r="W889" s="408"/>
      <c r="X889" s="408"/>
      <c r="Y889" s="408"/>
      <c r="Z889" s="408"/>
      <c r="AA889" s="408"/>
      <c r="AB889" s="408"/>
      <c r="AC889" s="408"/>
      <c r="AD889" s="408"/>
      <c r="AE889" s="408"/>
      <c r="AF889" s="408"/>
      <c r="AG889" s="408"/>
      <c r="AH889" s="408"/>
      <c r="AI889" s="408"/>
      <c r="AJ889" s="408"/>
      <c r="AK889" s="408"/>
      <c r="AL889" s="408"/>
      <c r="AM889" s="408"/>
      <c r="AN889" s="408"/>
      <c r="AO889" s="408"/>
      <c r="AP889" s="408"/>
      <c r="AQ889" s="408"/>
      <c r="AR889" s="408"/>
      <c r="AS889" s="408"/>
      <c r="AT889" s="408"/>
      <c r="AU889" s="408"/>
      <c r="AV889" s="408"/>
      <c r="AW889" s="408"/>
      <c r="AX889" s="408"/>
      <c r="AY889" s="408"/>
      <c r="AZ889" s="408"/>
      <c r="BA889" s="408"/>
      <c r="BB889" s="408"/>
      <c r="BC889" s="408"/>
      <c r="BD889" s="408"/>
      <c r="BE889" s="408"/>
      <c r="BF889" s="408"/>
      <c r="BG889" s="408"/>
      <c r="BH889" s="408"/>
      <c r="BI889" s="408"/>
      <c r="BJ889" s="408"/>
      <c r="BK889" s="408"/>
      <c r="BL889" s="408"/>
      <c r="BM889" s="408"/>
      <c r="BN889" s="408"/>
      <c r="BO889" s="408"/>
      <c r="BP889" s="408"/>
      <c r="BQ889" s="408"/>
      <c r="BR889" s="408"/>
      <c r="BS889" s="408"/>
      <c r="BT889" s="408"/>
      <c r="BU889" s="408"/>
      <c r="BV889" s="408"/>
      <c r="BW889" s="408"/>
      <c r="BX889" s="408"/>
      <c r="BY889" s="408"/>
      <c r="BZ889" s="408"/>
      <c r="CA889" s="408"/>
      <c r="CB889" s="408"/>
      <c r="CC889" s="408"/>
      <c r="CD889" s="408"/>
      <c r="CE889" s="408"/>
      <c r="CF889" s="408"/>
      <c r="CG889" s="408"/>
      <c r="CH889" s="408"/>
      <c r="CI889" s="408"/>
      <c r="CJ889" s="408"/>
      <c r="CK889" s="408"/>
      <c r="CL889" s="408"/>
      <c r="CM889" s="408"/>
      <c r="CN889" s="408"/>
    </row>
    <row r="890">
      <c r="A890" s="408"/>
      <c r="B890" s="408"/>
      <c r="C890" s="408"/>
      <c r="D890" s="408"/>
      <c r="E890" s="408"/>
      <c r="F890" s="408"/>
      <c r="G890" s="408"/>
      <c r="H890" s="408"/>
      <c r="I890" s="408"/>
      <c r="J890" s="408"/>
      <c r="K890" s="408"/>
      <c r="L890" s="408"/>
      <c r="M890" s="408"/>
      <c r="N890" s="408"/>
      <c r="O890" s="408"/>
      <c r="P890" s="408"/>
      <c r="Q890" s="408"/>
      <c r="R890" s="408"/>
      <c r="S890" s="408"/>
      <c r="T890" s="408"/>
      <c r="U890" s="408"/>
      <c r="V890" s="408"/>
      <c r="W890" s="408"/>
      <c r="X890" s="408"/>
      <c r="Y890" s="408"/>
      <c r="Z890" s="408"/>
      <c r="AA890" s="408"/>
      <c r="AB890" s="408"/>
      <c r="AC890" s="408"/>
      <c r="AD890" s="408"/>
      <c r="AE890" s="408"/>
      <c r="AF890" s="408"/>
      <c r="AG890" s="408"/>
      <c r="AH890" s="408"/>
      <c r="AI890" s="408"/>
      <c r="AJ890" s="408"/>
      <c r="AK890" s="408"/>
      <c r="AL890" s="408"/>
      <c r="AM890" s="408"/>
      <c r="AN890" s="408"/>
      <c r="AO890" s="408"/>
      <c r="AP890" s="408"/>
      <c r="AQ890" s="408"/>
      <c r="AR890" s="408"/>
      <c r="AS890" s="408"/>
      <c r="AT890" s="408"/>
      <c r="AU890" s="408"/>
      <c r="AV890" s="408"/>
      <c r="AW890" s="408"/>
      <c r="AX890" s="408"/>
      <c r="AY890" s="408"/>
      <c r="AZ890" s="408"/>
      <c r="BA890" s="408"/>
      <c r="BB890" s="408"/>
      <c r="BC890" s="408"/>
      <c r="BD890" s="408"/>
      <c r="BE890" s="408"/>
      <c r="BF890" s="408"/>
      <c r="BG890" s="408"/>
      <c r="BH890" s="408"/>
      <c r="BI890" s="408"/>
      <c r="BJ890" s="408"/>
      <c r="BK890" s="408"/>
      <c r="BL890" s="408"/>
      <c r="BM890" s="408"/>
      <c r="BN890" s="408"/>
      <c r="BO890" s="408"/>
      <c r="BP890" s="408"/>
      <c r="BQ890" s="408"/>
      <c r="BR890" s="408"/>
      <c r="BS890" s="408"/>
      <c r="BT890" s="408"/>
      <c r="BU890" s="408"/>
      <c r="BV890" s="408"/>
      <c r="BW890" s="408"/>
      <c r="BX890" s="408"/>
      <c r="BY890" s="408"/>
      <c r="BZ890" s="408"/>
      <c r="CA890" s="408"/>
      <c r="CB890" s="408"/>
      <c r="CC890" s="408"/>
      <c r="CD890" s="408"/>
      <c r="CE890" s="408"/>
      <c r="CF890" s="408"/>
      <c r="CG890" s="408"/>
      <c r="CH890" s="408"/>
      <c r="CI890" s="408"/>
      <c r="CJ890" s="408"/>
      <c r="CK890" s="408"/>
      <c r="CL890" s="408"/>
      <c r="CM890" s="408"/>
      <c r="CN890" s="408"/>
    </row>
    <row r="891">
      <c r="A891" s="408"/>
      <c r="B891" s="408"/>
      <c r="C891" s="408"/>
      <c r="D891" s="408"/>
      <c r="E891" s="408"/>
      <c r="F891" s="408"/>
      <c r="G891" s="408"/>
      <c r="H891" s="408"/>
      <c r="I891" s="408"/>
      <c r="J891" s="408"/>
      <c r="K891" s="408"/>
      <c r="L891" s="408"/>
      <c r="M891" s="408"/>
      <c r="N891" s="408"/>
      <c r="O891" s="408"/>
      <c r="P891" s="408"/>
      <c r="Q891" s="408"/>
      <c r="R891" s="408"/>
      <c r="S891" s="408"/>
      <c r="T891" s="408"/>
      <c r="U891" s="408"/>
      <c r="V891" s="408"/>
      <c r="W891" s="408"/>
      <c r="X891" s="408"/>
      <c r="Y891" s="408"/>
      <c r="Z891" s="408"/>
      <c r="AA891" s="408"/>
      <c r="AB891" s="408"/>
      <c r="AC891" s="408"/>
      <c r="AD891" s="408"/>
      <c r="AE891" s="408"/>
      <c r="AF891" s="408"/>
      <c r="AG891" s="408"/>
      <c r="AH891" s="408"/>
      <c r="AI891" s="408"/>
      <c r="AJ891" s="408"/>
      <c r="AK891" s="408"/>
      <c r="AL891" s="408"/>
      <c r="AM891" s="408"/>
      <c r="AN891" s="408"/>
      <c r="AO891" s="408"/>
      <c r="AP891" s="408"/>
      <c r="AQ891" s="408"/>
      <c r="AR891" s="408"/>
      <c r="AS891" s="408"/>
      <c r="AT891" s="408"/>
      <c r="AU891" s="408"/>
      <c r="AV891" s="408"/>
      <c r="AW891" s="408"/>
      <c r="AX891" s="408"/>
      <c r="AY891" s="408"/>
      <c r="AZ891" s="408"/>
      <c r="BA891" s="408"/>
      <c r="BB891" s="408"/>
      <c r="BC891" s="408"/>
      <c r="BD891" s="408"/>
      <c r="BE891" s="408"/>
      <c r="BF891" s="408"/>
      <c r="BG891" s="408"/>
      <c r="BH891" s="408"/>
      <c r="BI891" s="408"/>
      <c r="BJ891" s="408"/>
      <c r="BK891" s="408"/>
      <c r="BL891" s="408"/>
      <c r="BM891" s="408"/>
      <c r="BN891" s="408"/>
      <c r="BO891" s="408"/>
      <c r="BP891" s="408"/>
      <c r="BQ891" s="408"/>
      <c r="BR891" s="408"/>
      <c r="BS891" s="408"/>
      <c r="BT891" s="408"/>
      <c r="BU891" s="408"/>
      <c r="BV891" s="408"/>
      <c r="BW891" s="408"/>
      <c r="BX891" s="408"/>
      <c r="BY891" s="408"/>
      <c r="BZ891" s="408"/>
      <c r="CA891" s="408"/>
      <c r="CB891" s="408"/>
      <c r="CC891" s="408"/>
      <c r="CD891" s="408"/>
      <c r="CE891" s="408"/>
      <c r="CF891" s="408"/>
      <c r="CG891" s="408"/>
      <c r="CH891" s="408"/>
      <c r="CI891" s="408"/>
      <c r="CJ891" s="408"/>
      <c r="CK891" s="408"/>
      <c r="CL891" s="408"/>
      <c r="CM891" s="408"/>
      <c r="CN891" s="408"/>
    </row>
    <row r="892">
      <c r="A892" s="408"/>
      <c r="B892" s="408"/>
      <c r="C892" s="408"/>
      <c r="D892" s="408"/>
      <c r="E892" s="408"/>
      <c r="F892" s="408"/>
      <c r="G892" s="408"/>
      <c r="H892" s="408"/>
      <c r="I892" s="408"/>
      <c r="J892" s="408"/>
      <c r="K892" s="408"/>
      <c r="L892" s="408"/>
      <c r="M892" s="408"/>
      <c r="N892" s="408"/>
      <c r="O892" s="408"/>
      <c r="P892" s="408"/>
      <c r="Q892" s="408"/>
      <c r="R892" s="408"/>
      <c r="S892" s="408"/>
      <c r="T892" s="408"/>
      <c r="U892" s="408"/>
      <c r="V892" s="408"/>
      <c r="W892" s="408"/>
      <c r="X892" s="408"/>
      <c r="Y892" s="408"/>
      <c r="Z892" s="408"/>
      <c r="AA892" s="408"/>
      <c r="AB892" s="408"/>
      <c r="AC892" s="408"/>
      <c r="AD892" s="408"/>
      <c r="AE892" s="408"/>
      <c r="AF892" s="408"/>
      <c r="AG892" s="408"/>
      <c r="AH892" s="408"/>
      <c r="AI892" s="408"/>
      <c r="AJ892" s="408"/>
      <c r="AK892" s="408"/>
      <c r="AL892" s="408"/>
      <c r="AM892" s="408"/>
      <c r="AN892" s="408"/>
      <c r="AO892" s="408"/>
      <c r="AP892" s="408"/>
      <c r="AQ892" s="408"/>
      <c r="AR892" s="408"/>
      <c r="AS892" s="408"/>
      <c r="AT892" s="408"/>
      <c r="AU892" s="408"/>
      <c r="AV892" s="408"/>
      <c r="AW892" s="408"/>
      <c r="AX892" s="408"/>
      <c r="AY892" s="408"/>
      <c r="AZ892" s="408"/>
      <c r="BA892" s="408"/>
      <c r="BB892" s="408"/>
      <c r="BC892" s="408"/>
      <c r="BD892" s="408"/>
      <c r="BE892" s="408"/>
      <c r="BF892" s="408"/>
      <c r="BG892" s="408"/>
      <c r="BH892" s="408"/>
      <c r="BI892" s="408"/>
      <c r="BJ892" s="408"/>
      <c r="BK892" s="408"/>
      <c r="BL892" s="408"/>
      <c r="BM892" s="408"/>
      <c r="BN892" s="408"/>
      <c r="BO892" s="408"/>
      <c r="BP892" s="408"/>
      <c r="BQ892" s="408"/>
      <c r="BR892" s="408"/>
      <c r="BS892" s="408"/>
      <c r="BT892" s="408"/>
      <c r="BU892" s="408"/>
      <c r="BV892" s="408"/>
      <c r="BW892" s="408"/>
      <c r="BX892" s="408"/>
      <c r="BY892" s="408"/>
      <c r="BZ892" s="408"/>
      <c r="CA892" s="408"/>
      <c r="CB892" s="408"/>
      <c r="CC892" s="408"/>
      <c r="CD892" s="408"/>
      <c r="CE892" s="408"/>
      <c r="CF892" s="408"/>
      <c r="CG892" s="408"/>
      <c r="CH892" s="408"/>
      <c r="CI892" s="408"/>
      <c r="CJ892" s="408"/>
      <c r="CK892" s="408"/>
      <c r="CL892" s="408"/>
      <c r="CM892" s="408"/>
      <c r="CN892" s="408"/>
    </row>
    <row r="893">
      <c r="A893" s="408"/>
      <c r="B893" s="408"/>
      <c r="C893" s="408"/>
      <c r="D893" s="408"/>
      <c r="E893" s="408"/>
      <c r="F893" s="408"/>
      <c r="G893" s="408"/>
      <c r="H893" s="408"/>
      <c r="I893" s="408"/>
      <c r="J893" s="408"/>
      <c r="K893" s="408"/>
      <c r="L893" s="408"/>
      <c r="M893" s="408"/>
      <c r="N893" s="408"/>
      <c r="O893" s="408"/>
      <c r="P893" s="408"/>
      <c r="Q893" s="408"/>
      <c r="R893" s="408"/>
      <c r="S893" s="408"/>
      <c r="T893" s="408"/>
      <c r="U893" s="408"/>
      <c r="V893" s="408"/>
      <c r="W893" s="408"/>
      <c r="X893" s="408"/>
      <c r="Y893" s="408"/>
      <c r="Z893" s="408"/>
      <c r="AA893" s="408"/>
      <c r="AB893" s="408"/>
      <c r="AC893" s="408"/>
      <c r="AD893" s="408"/>
      <c r="AE893" s="408"/>
      <c r="AF893" s="408"/>
      <c r="AG893" s="408"/>
      <c r="AH893" s="408"/>
      <c r="AI893" s="408"/>
      <c r="AJ893" s="408"/>
      <c r="AK893" s="408"/>
      <c r="AL893" s="408"/>
      <c r="AM893" s="408"/>
      <c r="AN893" s="408"/>
      <c r="AO893" s="408"/>
      <c r="AP893" s="408"/>
      <c r="AQ893" s="408"/>
      <c r="AR893" s="408"/>
      <c r="AS893" s="408"/>
      <c r="AT893" s="408"/>
      <c r="AU893" s="408"/>
      <c r="AV893" s="408"/>
      <c r="AW893" s="408"/>
      <c r="AX893" s="408"/>
      <c r="AY893" s="408"/>
      <c r="AZ893" s="408"/>
      <c r="BA893" s="408"/>
      <c r="BB893" s="408"/>
      <c r="BC893" s="408"/>
      <c r="BD893" s="408"/>
      <c r="BE893" s="408"/>
      <c r="BF893" s="408"/>
      <c r="BG893" s="408"/>
      <c r="BH893" s="408"/>
      <c r="BI893" s="408"/>
      <c r="BJ893" s="408"/>
      <c r="BK893" s="408"/>
      <c r="BL893" s="408"/>
      <c r="BM893" s="408"/>
      <c r="BN893" s="408"/>
      <c r="BO893" s="408"/>
      <c r="BP893" s="408"/>
      <c r="BQ893" s="408"/>
      <c r="BR893" s="408"/>
      <c r="BS893" s="408"/>
      <c r="BT893" s="408"/>
      <c r="BU893" s="408"/>
      <c r="BV893" s="408"/>
      <c r="BW893" s="408"/>
      <c r="BX893" s="408"/>
      <c r="BY893" s="408"/>
      <c r="BZ893" s="408"/>
      <c r="CA893" s="408"/>
      <c r="CB893" s="408"/>
      <c r="CC893" s="408"/>
      <c r="CD893" s="408"/>
      <c r="CE893" s="408"/>
      <c r="CF893" s="408"/>
      <c r="CG893" s="408"/>
      <c r="CH893" s="408"/>
      <c r="CI893" s="408"/>
      <c r="CJ893" s="408"/>
      <c r="CK893" s="408"/>
      <c r="CL893" s="408"/>
      <c r="CM893" s="408"/>
      <c r="CN893" s="408"/>
    </row>
    <row r="894">
      <c r="A894" s="408"/>
      <c r="B894" s="408"/>
      <c r="C894" s="408"/>
      <c r="D894" s="408"/>
      <c r="E894" s="408"/>
      <c r="F894" s="408"/>
      <c r="G894" s="408"/>
      <c r="H894" s="408"/>
      <c r="I894" s="408"/>
      <c r="J894" s="408"/>
      <c r="K894" s="408"/>
      <c r="L894" s="408"/>
      <c r="M894" s="408"/>
      <c r="N894" s="408"/>
      <c r="O894" s="408"/>
      <c r="P894" s="408"/>
      <c r="Q894" s="408"/>
      <c r="R894" s="408"/>
      <c r="S894" s="408"/>
      <c r="T894" s="408"/>
      <c r="U894" s="408"/>
      <c r="V894" s="408"/>
      <c r="W894" s="408"/>
      <c r="X894" s="408"/>
      <c r="Y894" s="408"/>
      <c r="Z894" s="408"/>
      <c r="AA894" s="408"/>
      <c r="AB894" s="408"/>
      <c r="AC894" s="408"/>
      <c r="AD894" s="408"/>
      <c r="AE894" s="408"/>
      <c r="AF894" s="408"/>
      <c r="AG894" s="408"/>
      <c r="AH894" s="408"/>
      <c r="AI894" s="408"/>
      <c r="AJ894" s="408"/>
      <c r="AK894" s="408"/>
      <c r="AL894" s="408"/>
      <c r="AM894" s="408"/>
      <c r="AN894" s="408"/>
      <c r="AO894" s="408"/>
      <c r="AP894" s="408"/>
      <c r="AQ894" s="408"/>
      <c r="AR894" s="408"/>
      <c r="AS894" s="408"/>
      <c r="AT894" s="408"/>
      <c r="AU894" s="408"/>
      <c r="AV894" s="408"/>
      <c r="AW894" s="408"/>
      <c r="AX894" s="408"/>
      <c r="AY894" s="408"/>
      <c r="AZ894" s="408"/>
      <c r="BA894" s="408"/>
      <c r="BB894" s="408"/>
      <c r="BC894" s="408"/>
      <c r="BD894" s="408"/>
      <c r="BE894" s="408"/>
      <c r="BF894" s="408"/>
      <c r="BG894" s="408"/>
      <c r="BH894" s="408"/>
      <c r="BI894" s="408"/>
      <c r="BJ894" s="408"/>
      <c r="BK894" s="408"/>
      <c r="BL894" s="408"/>
      <c r="BM894" s="408"/>
      <c r="BN894" s="408"/>
      <c r="BO894" s="408"/>
      <c r="BP894" s="408"/>
      <c r="BQ894" s="408"/>
      <c r="BR894" s="408"/>
      <c r="BS894" s="408"/>
      <c r="BT894" s="408"/>
      <c r="BU894" s="408"/>
      <c r="BV894" s="408"/>
      <c r="BW894" s="408"/>
      <c r="BX894" s="408"/>
      <c r="BY894" s="408"/>
      <c r="BZ894" s="408"/>
      <c r="CA894" s="408"/>
      <c r="CB894" s="408"/>
      <c r="CC894" s="408"/>
      <c r="CD894" s="408"/>
      <c r="CE894" s="408"/>
      <c r="CF894" s="408"/>
      <c r="CG894" s="408"/>
      <c r="CH894" s="408"/>
      <c r="CI894" s="408"/>
      <c r="CJ894" s="408"/>
      <c r="CK894" s="408"/>
      <c r="CL894" s="408"/>
      <c r="CM894" s="408"/>
      <c r="CN894" s="408"/>
    </row>
    <row r="895">
      <c r="A895" s="408"/>
      <c r="B895" s="408"/>
      <c r="C895" s="408"/>
      <c r="D895" s="408"/>
      <c r="E895" s="408"/>
      <c r="F895" s="408"/>
      <c r="G895" s="408"/>
      <c r="H895" s="408"/>
      <c r="I895" s="408"/>
      <c r="J895" s="408"/>
      <c r="K895" s="408"/>
      <c r="L895" s="408"/>
      <c r="M895" s="408"/>
      <c r="N895" s="408"/>
      <c r="O895" s="408"/>
      <c r="P895" s="408"/>
      <c r="Q895" s="408"/>
      <c r="R895" s="408"/>
      <c r="S895" s="408"/>
      <c r="T895" s="408"/>
      <c r="U895" s="408"/>
      <c r="V895" s="408"/>
      <c r="W895" s="408"/>
      <c r="X895" s="408"/>
      <c r="Y895" s="408"/>
      <c r="Z895" s="408"/>
      <c r="AA895" s="408"/>
      <c r="AB895" s="408"/>
      <c r="AC895" s="408"/>
      <c r="AD895" s="408"/>
      <c r="AE895" s="408"/>
      <c r="AF895" s="408"/>
      <c r="AG895" s="408"/>
      <c r="AH895" s="408"/>
      <c r="AI895" s="408"/>
      <c r="AJ895" s="408"/>
      <c r="AK895" s="408"/>
      <c r="AL895" s="408"/>
      <c r="AM895" s="408"/>
      <c r="AN895" s="408"/>
      <c r="AO895" s="408"/>
      <c r="AP895" s="408"/>
      <c r="AQ895" s="408"/>
      <c r="AR895" s="408"/>
      <c r="AS895" s="408"/>
      <c r="AT895" s="408"/>
      <c r="AU895" s="408"/>
      <c r="AV895" s="408"/>
      <c r="AW895" s="408"/>
      <c r="AX895" s="408"/>
      <c r="AY895" s="408"/>
      <c r="AZ895" s="408"/>
      <c r="BA895" s="408"/>
      <c r="BB895" s="408"/>
      <c r="BC895" s="408"/>
      <c r="BD895" s="408"/>
      <c r="BE895" s="408"/>
      <c r="BF895" s="408"/>
      <c r="BG895" s="408"/>
      <c r="BH895" s="408"/>
      <c r="BI895" s="408"/>
      <c r="BJ895" s="408"/>
      <c r="BK895" s="408"/>
      <c r="BL895" s="408"/>
      <c r="BM895" s="408"/>
      <c r="BN895" s="408"/>
      <c r="BO895" s="408"/>
      <c r="BP895" s="408"/>
      <c r="BQ895" s="408"/>
      <c r="BR895" s="408"/>
      <c r="BS895" s="408"/>
      <c r="BT895" s="408"/>
      <c r="BU895" s="408"/>
      <c r="BV895" s="408"/>
      <c r="BW895" s="408"/>
      <c r="BX895" s="408"/>
      <c r="BY895" s="408"/>
      <c r="BZ895" s="408"/>
      <c r="CA895" s="408"/>
      <c r="CB895" s="408"/>
      <c r="CC895" s="408"/>
      <c r="CD895" s="408"/>
      <c r="CE895" s="408"/>
      <c r="CF895" s="408"/>
      <c r="CG895" s="408"/>
      <c r="CH895" s="408"/>
      <c r="CI895" s="408"/>
      <c r="CJ895" s="408"/>
      <c r="CK895" s="408"/>
      <c r="CL895" s="408"/>
      <c r="CM895" s="408"/>
      <c r="CN895" s="408"/>
    </row>
    <row r="896">
      <c r="A896" s="408"/>
      <c r="B896" s="408"/>
      <c r="C896" s="408"/>
      <c r="D896" s="408"/>
      <c r="E896" s="408"/>
      <c r="F896" s="408"/>
      <c r="G896" s="408"/>
      <c r="H896" s="408"/>
      <c r="I896" s="408"/>
      <c r="J896" s="408"/>
      <c r="K896" s="408"/>
      <c r="L896" s="408"/>
      <c r="M896" s="408"/>
      <c r="N896" s="408"/>
      <c r="O896" s="408"/>
      <c r="P896" s="408"/>
      <c r="Q896" s="408"/>
      <c r="R896" s="408"/>
      <c r="S896" s="408"/>
      <c r="T896" s="408"/>
      <c r="U896" s="408"/>
      <c r="V896" s="408"/>
      <c r="W896" s="408"/>
      <c r="X896" s="408"/>
      <c r="Y896" s="408"/>
      <c r="Z896" s="408"/>
      <c r="AA896" s="408"/>
      <c r="AB896" s="408"/>
      <c r="AC896" s="408"/>
      <c r="AD896" s="408"/>
      <c r="AE896" s="408"/>
      <c r="AF896" s="408"/>
      <c r="AG896" s="408"/>
      <c r="AH896" s="408"/>
      <c r="AI896" s="408"/>
      <c r="AJ896" s="408"/>
      <c r="AK896" s="408"/>
      <c r="AL896" s="408"/>
      <c r="AM896" s="408"/>
      <c r="AN896" s="408"/>
      <c r="AO896" s="408"/>
      <c r="AP896" s="408"/>
      <c r="AQ896" s="408"/>
      <c r="AR896" s="408"/>
      <c r="AS896" s="408"/>
      <c r="AT896" s="408"/>
      <c r="AU896" s="408"/>
      <c r="AV896" s="408"/>
      <c r="AW896" s="408"/>
      <c r="AX896" s="408"/>
      <c r="AY896" s="408"/>
      <c r="AZ896" s="408"/>
      <c r="BA896" s="408"/>
      <c r="BB896" s="408"/>
      <c r="BC896" s="408"/>
      <c r="BD896" s="408"/>
      <c r="BE896" s="408"/>
      <c r="BF896" s="408"/>
      <c r="BG896" s="408"/>
      <c r="BH896" s="408"/>
      <c r="BI896" s="408"/>
      <c r="BJ896" s="408"/>
      <c r="BK896" s="408"/>
      <c r="BL896" s="408"/>
      <c r="BM896" s="408"/>
      <c r="BN896" s="408"/>
      <c r="BO896" s="408"/>
      <c r="BP896" s="408"/>
      <c r="BQ896" s="408"/>
      <c r="BR896" s="408"/>
      <c r="BS896" s="408"/>
      <c r="BT896" s="408"/>
      <c r="BU896" s="408"/>
      <c r="BV896" s="408"/>
      <c r="BW896" s="408"/>
      <c r="BX896" s="408"/>
      <c r="BY896" s="408"/>
      <c r="BZ896" s="408"/>
      <c r="CA896" s="408"/>
      <c r="CB896" s="408"/>
      <c r="CC896" s="408"/>
      <c r="CD896" s="408"/>
      <c r="CE896" s="408"/>
      <c r="CF896" s="408"/>
      <c r="CG896" s="408"/>
      <c r="CH896" s="408"/>
      <c r="CI896" s="408"/>
      <c r="CJ896" s="408"/>
      <c r="CK896" s="408"/>
      <c r="CL896" s="408"/>
      <c r="CM896" s="408"/>
      <c r="CN896" s="408"/>
    </row>
    <row r="897">
      <c r="A897" s="408"/>
      <c r="B897" s="408"/>
      <c r="C897" s="408"/>
      <c r="D897" s="408"/>
      <c r="E897" s="408"/>
      <c r="F897" s="408"/>
      <c r="G897" s="408"/>
      <c r="H897" s="408"/>
      <c r="I897" s="408"/>
      <c r="J897" s="408"/>
      <c r="K897" s="408"/>
      <c r="L897" s="408"/>
      <c r="M897" s="408"/>
      <c r="N897" s="408"/>
      <c r="O897" s="408"/>
      <c r="P897" s="408"/>
      <c r="Q897" s="408"/>
      <c r="R897" s="408"/>
      <c r="S897" s="408"/>
      <c r="T897" s="408"/>
      <c r="U897" s="408"/>
      <c r="V897" s="408"/>
      <c r="W897" s="408"/>
      <c r="X897" s="408"/>
      <c r="Y897" s="408"/>
      <c r="Z897" s="408"/>
      <c r="AA897" s="408"/>
      <c r="AB897" s="408"/>
      <c r="AC897" s="408"/>
      <c r="AD897" s="408"/>
      <c r="AE897" s="408"/>
      <c r="AF897" s="408"/>
      <c r="AG897" s="408"/>
      <c r="AH897" s="408"/>
      <c r="AI897" s="408"/>
      <c r="AJ897" s="408"/>
      <c r="AK897" s="408"/>
      <c r="AL897" s="408"/>
      <c r="AM897" s="408"/>
      <c r="AN897" s="408"/>
      <c r="AO897" s="408"/>
      <c r="AP897" s="408"/>
      <c r="AQ897" s="408"/>
      <c r="AR897" s="408"/>
      <c r="AS897" s="408"/>
      <c r="AT897" s="408"/>
      <c r="AU897" s="408"/>
      <c r="AV897" s="408"/>
      <c r="AW897" s="408"/>
      <c r="AX897" s="408"/>
      <c r="AY897" s="408"/>
      <c r="AZ897" s="408"/>
      <c r="BA897" s="408"/>
      <c r="BB897" s="408"/>
      <c r="BC897" s="408"/>
      <c r="BD897" s="408"/>
      <c r="BE897" s="408"/>
      <c r="BF897" s="408"/>
      <c r="BG897" s="408"/>
      <c r="BH897" s="408"/>
      <c r="BI897" s="408"/>
      <c r="BJ897" s="408"/>
      <c r="BK897" s="408"/>
      <c r="BL897" s="408"/>
      <c r="BM897" s="408"/>
      <c r="BN897" s="408"/>
      <c r="BO897" s="408"/>
      <c r="BP897" s="408"/>
      <c r="BQ897" s="408"/>
      <c r="BR897" s="408"/>
      <c r="BS897" s="408"/>
      <c r="BT897" s="408"/>
      <c r="BU897" s="408"/>
      <c r="BV897" s="408"/>
      <c r="BW897" s="408"/>
      <c r="BX897" s="408"/>
      <c r="BY897" s="408"/>
      <c r="BZ897" s="408"/>
      <c r="CA897" s="408"/>
      <c r="CB897" s="408"/>
      <c r="CC897" s="408"/>
      <c r="CD897" s="408"/>
      <c r="CE897" s="408"/>
      <c r="CF897" s="408"/>
      <c r="CG897" s="408"/>
      <c r="CH897" s="408"/>
      <c r="CI897" s="408"/>
      <c r="CJ897" s="408"/>
      <c r="CK897" s="408"/>
      <c r="CL897" s="408"/>
      <c r="CM897" s="408"/>
      <c r="CN897" s="408"/>
    </row>
    <row r="898">
      <c r="A898" s="408"/>
      <c r="B898" s="408"/>
      <c r="C898" s="408"/>
      <c r="D898" s="408"/>
      <c r="E898" s="408"/>
      <c r="F898" s="408"/>
      <c r="G898" s="408"/>
      <c r="H898" s="408"/>
      <c r="I898" s="408"/>
      <c r="J898" s="408"/>
      <c r="K898" s="408"/>
      <c r="L898" s="408"/>
      <c r="M898" s="408"/>
      <c r="N898" s="408"/>
      <c r="O898" s="408"/>
      <c r="P898" s="408"/>
      <c r="Q898" s="408"/>
      <c r="R898" s="408"/>
      <c r="S898" s="408"/>
      <c r="T898" s="408"/>
      <c r="U898" s="408"/>
      <c r="V898" s="408"/>
      <c r="W898" s="408"/>
      <c r="X898" s="408"/>
      <c r="Y898" s="408"/>
      <c r="Z898" s="408"/>
      <c r="AA898" s="408"/>
      <c r="AB898" s="408"/>
      <c r="AC898" s="408"/>
      <c r="AD898" s="408"/>
      <c r="AE898" s="408"/>
      <c r="AF898" s="408"/>
      <c r="AG898" s="408"/>
      <c r="AH898" s="408"/>
      <c r="AI898" s="408"/>
      <c r="AJ898" s="408"/>
      <c r="AK898" s="408"/>
      <c r="AL898" s="408"/>
      <c r="AM898" s="408"/>
      <c r="AN898" s="408"/>
      <c r="AO898" s="408"/>
      <c r="AP898" s="408"/>
      <c r="AQ898" s="408"/>
      <c r="AR898" s="408"/>
      <c r="AS898" s="408"/>
      <c r="AT898" s="408"/>
      <c r="AU898" s="408"/>
      <c r="AV898" s="408"/>
      <c r="AW898" s="408"/>
      <c r="AX898" s="408"/>
      <c r="AY898" s="408"/>
      <c r="AZ898" s="408"/>
      <c r="BA898" s="408"/>
      <c r="BB898" s="408"/>
      <c r="BC898" s="408"/>
      <c r="BD898" s="408"/>
      <c r="BE898" s="408"/>
      <c r="BF898" s="408"/>
      <c r="BG898" s="408"/>
      <c r="BH898" s="408"/>
      <c r="BI898" s="408"/>
      <c r="BJ898" s="408"/>
      <c r="BK898" s="408"/>
      <c r="BL898" s="408"/>
      <c r="BM898" s="408"/>
      <c r="BN898" s="408"/>
      <c r="BO898" s="408"/>
      <c r="BP898" s="408"/>
      <c r="BQ898" s="408"/>
      <c r="BR898" s="408"/>
      <c r="BS898" s="408"/>
      <c r="BT898" s="408"/>
      <c r="BU898" s="408"/>
      <c r="BV898" s="408"/>
      <c r="BW898" s="408"/>
      <c r="BX898" s="408"/>
      <c r="BY898" s="408"/>
      <c r="BZ898" s="408"/>
      <c r="CA898" s="408"/>
      <c r="CB898" s="408"/>
      <c r="CC898" s="408"/>
      <c r="CD898" s="408"/>
      <c r="CE898" s="408"/>
      <c r="CF898" s="408"/>
      <c r="CG898" s="408"/>
      <c r="CH898" s="408"/>
      <c r="CI898" s="408"/>
      <c r="CJ898" s="408"/>
      <c r="CK898" s="408"/>
      <c r="CL898" s="408"/>
      <c r="CM898" s="408"/>
      <c r="CN898" s="408"/>
    </row>
    <row r="899">
      <c r="A899" s="408"/>
      <c r="B899" s="408"/>
      <c r="C899" s="408"/>
      <c r="D899" s="408"/>
      <c r="E899" s="408"/>
      <c r="F899" s="408"/>
      <c r="G899" s="408"/>
      <c r="H899" s="408"/>
      <c r="I899" s="408"/>
      <c r="J899" s="408"/>
      <c r="K899" s="408"/>
      <c r="L899" s="408"/>
      <c r="M899" s="408"/>
      <c r="N899" s="408"/>
      <c r="O899" s="408"/>
      <c r="P899" s="408"/>
      <c r="Q899" s="408"/>
      <c r="R899" s="408"/>
      <c r="S899" s="408"/>
      <c r="T899" s="408"/>
      <c r="U899" s="408"/>
      <c r="V899" s="408"/>
      <c r="W899" s="408"/>
      <c r="X899" s="408"/>
      <c r="Y899" s="408"/>
      <c r="Z899" s="408"/>
      <c r="AA899" s="408"/>
      <c r="AB899" s="408"/>
      <c r="AC899" s="408"/>
      <c r="AD899" s="408"/>
      <c r="AE899" s="408"/>
      <c r="AF899" s="408"/>
      <c r="AG899" s="408"/>
      <c r="AH899" s="408"/>
      <c r="AI899" s="408"/>
      <c r="AJ899" s="408"/>
      <c r="AK899" s="408"/>
      <c r="AL899" s="408"/>
      <c r="AM899" s="408"/>
      <c r="AN899" s="408"/>
      <c r="AO899" s="408"/>
      <c r="AP899" s="408"/>
      <c r="AQ899" s="408"/>
      <c r="AR899" s="408"/>
      <c r="AS899" s="408"/>
      <c r="AT899" s="408"/>
      <c r="AU899" s="408"/>
      <c r="AV899" s="408"/>
      <c r="AW899" s="408"/>
      <c r="AX899" s="408"/>
      <c r="AY899" s="408"/>
      <c r="AZ899" s="408"/>
      <c r="BA899" s="408"/>
      <c r="BB899" s="408"/>
      <c r="BC899" s="408"/>
      <c r="BD899" s="408"/>
      <c r="BE899" s="408"/>
      <c r="BF899" s="408"/>
      <c r="BG899" s="408"/>
      <c r="BH899" s="408"/>
      <c r="BI899" s="408"/>
      <c r="BJ899" s="408"/>
      <c r="BK899" s="408"/>
      <c r="BL899" s="408"/>
      <c r="BM899" s="408"/>
      <c r="BN899" s="408"/>
      <c r="BO899" s="408"/>
      <c r="BP899" s="408"/>
      <c r="BQ899" s="408"/>
      <c r="BR899" s="408"/>
      <c r="BS899" s="408"/>
      <c r="BT899" s="408"/>
      <c r="BU899" s="408"/>
      <c r="BV899" s="408"/>
      <c r="BW899" s="408"/>
      <c r="BX899" s="408"/>
      <c r="BY899" s="408"/>
      <c r="BZ899" s="408"/>
      <c r="CA899" s="408"/>
      <c r="CB899" s="408"/>
      <c r="CC899" s="408"/>
      <c r="CD899" s="408"/>
      <c r="CE899" s="408"/>
      <c r="CF899" s="408"/>
      <c r="CG899" s="408"/>
      <c r="CH899" s="408"/>
      <c r="CI899" s="408"/>
      <c r="CJ899" s="408"/>
      <c r="CK899" s="408"/>
      <c r="CL899" s="408"/>
      <c r="CM899" s="408"/>
      <c r="CN899" s="408"/>
    </row>
    <row r="900">
      <c r="A900" s="408"/>
      <c r="B900" s="408"/>
      <c r="C900" s="408"/>
      <c r="D900" s="408"/>
      <c r="E900" s="408"/>
      <c r="F900" s="408"/>
      <c r="G900" s="408"/>
      <c r="H900" s="408"/>
      <c r="I900" s="408"/>
      <c r="J900" s="408"/>
      <c r="K900" s="408"/>
      <c r="L900" s="408"/>
      <c r="M900" s="408"/>
      <c r="N900" s="408"/>
      <c r="O900" s="408"/>
      <c r="P900" s="408"/>
      <c r="Q900" s="408"/>
      <c r="R900" s="408"/>
      <c r="S900" s="408"/>
      <c r="T900" s="408"/>
      <c r="U900" s="408"/>
      <c r="V900" s="408"/>
      <c r="W900" s="408"/>
      <c r="X900" s="408"/>
      <c r="Y900" s="408"/>
      <c r="Z900" s="408"/>
      <c r="AA900" s="408"/>
      <c r="AB900" s="408"/>
      <c r="AC900" s="408"/>
      <c r="AD900" s="408"/>
      <c r="AE900" s="408"/>
      <c r="AF900" s="408"/>
      <c r="AG900" s="408"/>
      <c r="AH900" s="408"/>
      <c r="AI900" s="408"/>
      <c r="AJ900" s="408"/>
      <c r="AK900" s="408"/>
      <c r="AL900" s="408"/>
      <c r="AM900" s="408"/>
      <c r="AN900" s="408"/>
      <c r="AO900" s="408"/>
      <c r="AP900" s="408"/>
      <c r="AQ900" s="408"/>
      <c r="AR900" s="408"/>
      <c r="AS900" s="408"/>
      <c r="AT900" s="408"/>
      <c r="AU900" s="408"/>
      <c r="AV900" s="408"/>
      <c r="AW900" s="408"/>
      <c r="AX900" s="408"/>
      <c r="AY900" s="408"/>
      <c r="AZ900" s="408"/>
      <c r="BA900" s="408"/>
      <c r="BB900" s="408"/>
      <c r="BC900" s="408"/>
      <c r="BD900" s="408"/>
      <c r="BE900" s="408"/>
      <c r="BF900" s="408"/>
      <c r="BG900" s="408"/>
      <c r="BH900" s="408"/>
      <c r="BI900" s="408"/>
      <c r="BJ900" s="408"/>
      <c r="BK900" s="408"/>
      <c r="BL900" s="408"/>
      <c r="BM900" s="408"/>
      <c r="BN900" s="408"/>
      <c r="BO900" s="408"/>
      <c r="BP900" s="408"/>
      <c r="BQ900" s="408"/>
      <c r="BR900" s="408"/>
      <c r="BS900" s="408"/>
      <c r="BT900" s="408"/>
      <c r="BU900" s="408"/>
      <c r="BV900" s="408"/>
      <c r="BW900" s="408"/>
      <c r="BX900" s="408"/>
      <c r="BY900" s="408"/>
      <c r="BZ900" s="408"/>
      <c r="CA900" s="408"/>
      <c r="CB900" s="408"/>
      <c r="CC900" s="408"/>
      <c r="CD900" s="408"/>
      <c r="CE900" s="408"/>
      <c r="CF900" s="408"/>
      <c r="CG900" s="408"/>
      <c r="CH900" s="408"/>
      <c r="CI900" s="408"/>
      <c r="CJ900" s="408"/>
      <c r="CK900" s="408"/>
      <c r="CL900" s="408"/>
      <c r="CM900" s="408"/>
      <c r="CN900" s="408"/>
    </row>
    <row r="901">
      <c r="A901" s="408"/>
      <c r="B901" s="408"/>
      <c r="C901" s="408"/>
      <c r="D901" s="408"/>
      <c r="E901" s="408"/>
      <c r="F901" s="408"/>
      <c r="G901" s="408"/>
      <c r="H901" s="408"/>
      <c r="I901" s="408"/>
      <c r="J901" s="408"/>
      <c r="K901" s="408"/>
      <c r="L901" s="408"/>
      <c r="M901" s="408"/>
      <c r="N901" s="408"/>
      <c r="O901" s="408"/>
      <c r="P901" s="408"/>
      <c r="Q901" s="408"/>
      <c r="R901" s="408"/>
      <c r="S901" s="408"/>
      <c r="T901" s="408"/>
      <c r="U901" s="408"/>
      <c r="V901" s="408"/>
      <c r="W901" s="408"/>
      <c r="X901" s="408"/>
      <c r="Y901" s="408"/>
      <c r="Z901" s="408"/>
      <c r="AA901" s="408"/>
      <c r="AB901" s="408"/>
      <c r="AC901" s="408"/>
      <c r="AD901" s="408"/>
      <c r="AE901" s="408"/>
      <c r="AF901" s="408"/>
      <c r="AG901" s="408"/>
      <c r="AH901" s="408"/>
      <c r="AI901" s="408"/>
      <c r="AJ901" s="408"/>
      <c r="AK901" s="408"/>
      <c r="AL901" s="408"/>
      <c r="AM901" s="408"/>
      <c r="AN901" s="408"/>
      <c r="AO901" s="408"/>
      <c r="AP901" s="408"/>
      <c r="AQ901" s="408"/>
      <c r="AR901" s="408"/>
      <c r="AS901" s="408"/>
      <c r="AT901" s="408"/>
      <c r="AU901" s="408"/>
      <c r="AV901" s="408"/>
      <c r="AW901" s="408"/>
      <c r="AX901" s="408"/>
      <c r="AY901" s="408"/>
      <c r="AZ901" s="408"/>
      <c r="BA901" s="408"/>
      <c r="BB901" s="408"/>
      <c r="BC901" s="408"/>
      <c r="BD901" s="408"/>
      <c r="BE901" s="408"/>
      <c r="BF901" s="408"/>
      <c r="BG901" s="408"/>
      <c r="BH901" s="408"/>
      <c r="BI901" s="408"/>
      <c r="BJ901" s="408"/>
      <c r="BK901" s="408"/>
      <c r="BL901" s="408"/>
      <c r="BM901" s="408"/>
      <c r="BN901" s="408"/>
      <c r="BO901" s="408"/>
      <c r="BP901" s="408"/>
      <c r="BQ901" s="408"/>
      <c r="BR901" s="408"/>
      <c r="BS901" s="408"/>
      <c r="BT901" s="408"/>
      <c r="BU901" s="408"/>
      <c r="BV901" s="408"/>
      <c r="BW901" s="408"/>
      <c r="BX901" s="408"/>
      <c r="BY901" s="408"/>
      <c r="BZ901" s="408"/>
      <c r="CA901" s="408"/>
      <c r="CB901" s="408"/>
      <c r="CC901" s="408"/>
      <c r="CD901" s="408"/>
      <c r="CE901" s="408"/>
      <c r="CF901" s="408"/>
      <c r="CG901" s="408"/>
      <c r="CH901" s="408"/>
      <c r="CI901" s="408"/>
      <c r="CJ901" s="408"/>
      <c r="CK901" s="408"/>
      <c r="CL901" s="408"/>
      <c r="CM901" s="408"/>
      <c r="CN901" s="408"/>
    </row>
    <row r="902">
      <c r="A902" s="408"/>
      <c r="B902" s="408"/>
      <c r="C902" s="408"/>
      <c r="D902" s="408"/>
      <c r="E902" s="408"/>
      <c r="F902" s="408"/>
      <c r="G902" s="408"/>
      <c r="H902" s="408"/>
      <c r="I902" s="408"/>
      <c r="J902" s="408"/>
      <c r="K902" s="408"/>
      <c r="L902" s="408"/>
      <c r="M902" s="408"/>
      <c r="N902" s="408"/>
      <c r="O902" s="408"/>
      <c r="P902" s="408"/>
      <c r="Q902" s="408"/>
      <c r="R902" s="408"/>
      <c r="S902" s="408"/>
      <c r="T902" s="408"/>
      <c r="U902" s="408"/>
      <c r="V902" s="408"/>
      <c r="W902" s="408"/>
      <c r="X902" s="408"/>
      <c r="Y902" s="408"/>
      <c r="Z902" s="408"/>
      <c r="AA902" s="408"/>
      <c r="AB902" s="408"/>
      <c r="AC902" s="408"/>
      <c r="AD902" s="408"/>
      <c r="AE902" s="408"/>
      <c r="AF902" s="408"/>
      <c r="AG902" s="408"/>
      <c r="AH902" s="408"/>
      <c r="AI902" s="408"/>
      <c r="AJ902" s="408"/>
      <c r="AK902" s="408"/>
      <c r="AL902" s="408"/>
      <c r="AM902" s="408"/>
      <c r="AN902" s="408"/>
      <c r="AO902" s="408"/>
      <c r="AP902" s="408"/>
      <c r="AQ902" s="408"/>
      <c r="AR902" s="408"/>
      <c r="AS902" s="408"/>
      <c r="AT902" s="408"/>
      <c r="AU902" s="408"/>
      <c r="AV902" s="408"/>
      <c r="AW902" s="408"/>
      <c r="AX902" s="408"/>
      <c r="AY902" s="408"/>
      <c r="AZ902" s="408"/>
      <c r="BA902" s="408"/>
      <c r="BB902" s="408"/>
      <c r="BC902" s="408"/>
      <c r="BD902" s="408"/>
      <c r="BE902" s="408"/>
      <c r="BF902" s="408"/>
      <c r="BG902" s="408"/>
      <c r="BH902" s="408"/>
      <c r="BI902" s="408"/>
      <c r="BJ902" s="408"/>
      <c r="BK902" s="408"/>
      <c r="BL902" s="408"/>
      <c r="BM902" s="408"/>
      <c r="BN902" s="408"/>
      <c r="BO902" s="408"/>
      <c r="BP902" s="408"/>
      <c r="BQ902" s="408"/>
      <c r="BR902" s="408"/>
      <c r="BS902" s="408"/>
      <c r="BT902" s="408"/>
      <c r="BU902" s="408"/>
      <c r="BV902" s="408"/>
      <c r="BW902" s="408"/>
      <c r="BX902" s="408"/>
      <c r="BY902" s="408"/>
      <c r="BZ902" s="408"/>
      <c r="CA902" s="408"/>
      <c r="CB902" s="408"/>
      <c r="CC902" s="408"/>
      <c r="CD902" s="408"/>
      <c r="CE902" s="408"/>
      <c r="CF902" s="408"/>
      <c r="CG902" s="408"/>
      <c r="CH902" s="408"/>
      <c r="CI902" s="408"/>
      <c r="CJ902" s="408"/>
      <c r="CK902" s="408"/>
      <c r="CL902" s="408"/>
      <c r="CM902" s="408"/>
      <c r="CN902" s="408"/>
    </row>
    <row r="903">
      <c r="A903" s="408"/>
      <c r="B903" s="408"/>
      <c r="C903" s="408"/>
      <c r="D903" s="408"/>
      <c r="E903" s="408"/>
      <c r="F903" s="408"/>
      <c r="G903" s="408"/>
      <c r="H903" s="408"/>
      <c r="I903" s="408"/>
      <c r="J903" s="408"/>
      <c r="K903" s="408"/>
      <c r="L903" s="408"/>
      <c r="M903" s="408"/>
      <c r="N903" s="408"/>
      <c r="O903" s="408"/>
      <c r="P903" s="408"/>
      <c r="Q903" s="408"/>
      <c r="R903" s="408"/>
      <c r="S903" s="408"/>
      <c r="T903" s="408"/>
      <c r="U903" s="408"/>
      <c r="V903" s="408"/>
      <c r="W903" s="408"/>
      <c r="X903" s="408"/>
      <c r="Y903" s="408"/>
      <c r="Z903" s="408"/>
      <c r="AA903" s="408"/>
      <c r="AB903" s="408"/>
      <c r="AC903" s="408"/>
      <c r="AD903" s="408"/>
      <c r="AE903" s="408"/>
      <c r="AF903" s="408"/>
      <c r="AG903" s="408"/>
      <c r="AH903" s="408"/>
      <c r="AI903" s="408"/>
      <c r="AJ903" s="408"/>
      <c r="AK903" s="408"/>
      <c r="AL903" s="408"/>
      <c r="AM903" s="408"/>
      <c r="AN903" s="408"/>
      <c r="AO903" s="408"/>
      <c r="AP903" s="408"/>
      <c r="AQ903" s="408"/>
      <c r="AR903" s="408"/>
      <c r="AS903" s="408"/>
      <c r="AT903" s="408"/>
      <c r="AU903" s="408"/>
      <c r="AV903" s="408"/>
      <c r="AW903" s="408"/>
      <c r="AX903" s="408"/>
      <c r="AY903" s="408"/>
      <c r="AZ903" s="408"/>
      <c r="BA903" s="408"/>
      <c r="BB903" s="408"/>
      <c r="BC903" s="408"/>
      <c r="BD903" s="408"/>
      <c r="BE903" s="408"/>
      <c r="BF903" s="408"/>
      <c r="BG903" s="408"/>
      <c r="BH903" s="408"/>
      <c r="BI903" s="408"/>
      <c r="BJ903" s="408"/>
      <c r="BK903" s="408"/>
      <c r="BL903" s="408"/>
      <c r="BM903" s="408"/>
      <c r="BN903" s="408"/>
      <c r="BO903" s="408"/>
      <c r="BP903" s="408"/>
      <c r="BQ903" s="408"/>
      <c r="BR903" s="408"/>
      <c r="BS903" s="408"/>
      <c r="BT903" s="408"/>
      <c r="BU903" s="408"/>
      <c r="BV903" s="408"/>
      <c r="BW903" s="408"/>
      <c r="BX903" s="408"/>
      <c r="BY903" s="408"/>
      <c r="BZ903" s="408"/>
      <c r="CA903" s="408"/>
      <c r="CB903" s="408"/>
      <c r="CC903" s="408"/>
      <c r="CD903" s="408"/>
      <c r="CE903" s="408"/>
      <c r="CF903" s="408"/>
      <c r="CG903" s="408"/>
      <c r="CH903" s="408"/>
      <c r="CI903" s="408"/>
      <c r="CJ903" s="408"/>
      <c r="CK903" s="408"/>
      <c r="CL903" s="408"/>
      <c r="CM903" s="408"/>
      <c r="CN903" s="408"/>
    </row>
    <row r="904">
      <c r="A904" s="408"/>
      <c r="B904" s="408"/>
      <c r="C904" s="408"/>
      <c r="D904" s="408"/>
      <c r="E904" s="408"/>
      <c r="F904" s="408"/>
      <c r="G904" s="408"/>
      <c r="H904" s="408"/>
      <c r="I904" s="408"/>
      <c r="J904" s="408"/>
      <c r="K904" s="408"/>
      <c r="L904" s="408"/>
      <c r="M904" s="408"/>
      <c r="N904" s="408"/>
      <c r="O904" s="408"/>
      <c r="P904" s="408"/>
      <c r="Q904" s="408"/>
      <c r="R904" s="408"/>
      <c r="S904" s="408"/>
      <c r="T904" s="408"/>
      <c r="U904" s="408"/>
      <c r="V904" s="408"/>
      <c r="W904" s="408"/>
      <c r="X904" s="408"/>
      <c r="Y904" s="408"/>
      <c r="Z904" s="408"/>
      <c r="AA904" s="408"/>
      <c r="AB904" s="408"/>
      <c r="AC904" s="408"/>
      <c r="AD904" s="408"/>
      <c r="AE904" s="408"/>
      <c r="AF904" s="408"/>
      <c r="AG904" s="408"/>
      <c r="AH904" s="408"/>
      <c r="AI904" s="408"/>
      <c r="AJ904" s="408"/>
      <c r="AK904" s="408"/>
      <c r="AL904" s="408"/>
      <c r="AM904" s="408"/>
      <c r="AN904" s="408"/>
      <c r="AO904" s="408"/>
      <c r="AP904" s="408"/>
      <c r="AQ904" s="408"/>
      <c r="AR904" s="408"/>
      <c r="AS904" s="408"/>
      <c r="AT904" s="408"/>
      <c r="AU904" s="408"/>
      <c r="AV904" s="408"/>
      <c r="AW904" s="408"/>
      <c r="AX904" s="408"/>
      <c r="AY904" s="408"/>
      <c r="AZ904" s="408"/>
      <c r="BA904" s="408"/>
      <c r="BB904" s="408"/>
      <c r="BC904" s="408"/>
      <c r="BD904" s="408"/>
      <c r="BE904" s="408"/>
      <c r="BF904" s="408"/>
      <c r="BG904" s="408"/>
      <c r="BH904" s="408"/>
      <c r="BI904" s="408"/>
      <c r="BJ904" s="408"/>
      <c r="BK904" s="408"/>
      <c r="BL904" s="408"/>
      <c r="BM904" s="408"/>
      <c r="BN904" s="408"/>
      <c r="BO904" s="408"/>
      <c r="BP904" s="408"/>
      <c r="BQ904" s="408"/>
      <c r="BR904" s="408"/>
      <c r="BS904" s="408"/>
      <c r="BT904" s="408"/>
      <c r="BU904" s="408"/>
      <c r="BV904" s="408"/>
      <c r="BW904" s="408"/>
      <c r="BX904" s="408"/>
      <c r="BY904" s="408"/>
      <c r="BZ904" s="408"/>
      <c r="CA904" s="408"/>
      <c r="CB904" s="408"/>
      <c r="CC904" s="408"/>
      <c r="CD904" s="408"/>
      <c r="CE904" s="408"/>
      <c r="CF904" s="408"/>
      <c r="CG904" s="408"/>
      <c r="CH904" s="408"/>
      <c r="CI904" s="408"/>
      <c r="CJ904" s="408"/>
      <c r="CK904" s="408"/>
      <c r="CL904" s="408"/>
      <c r="CM904" s="408"/>
      <c r="CN904" s="408"/>
    </row>
    <row r="905">
      <c r="A905" s="408"/>
      <c r="B905" s="408"/>
      <c r="C905" s="408"/>
      <c r="D905" s="408"/>
      <c r="E905" s="408"/>
      <c r="F905" s="408"/>
      <c r="G905" s="408"/>
      <c r="H905" s="408"/>
      <c r="I905" s="408"/>
      <c r="J905" s="408"/>
      <c r="K905" s="408"/>
      <c r="L905" s="408"/>
      <c r="M905" s="408"/>
      <c r="N905" s="408"/>
      <c r="O905" s="408"/>
      <c r="P905" s="408"/>
      <c r="Q905" s="408"/>
      <c r="R905" s="408"/>
      <c r="S905" s="408"/>
      <c r="T905" s="408"/>
      <c r="U905" s="408"/>
      <c r="V905" s="408"/>
      <c r="W905" s="408"/>
      <c r="X905" s="408"/>
      <c r="Y905" s="408"/>
      <c r="Z905" s="408"/>
      <c r="AA905" s="408"/>
      <c r="AB905" s="408"/>
      <c r="AC905" s="408"/>
      <c r="AD905" s="408"/>
      <c r="AE905" s="408"/>
      <c r="AF905" s="408"/>
      <c r="AG905" s="408"/>
      <c r="AH905" s="408"/>
      <c r="AI905" s="408"/>
      <c r="AJ905" s="408"/>
      <c r="AK905" s="408"/>
      <c r="AL905" s="408"/>
      <c r="AM905" s="408"/>
      <c r="AN905" s="408"/>
      <c r="AO905" s="408"/>
      <c r="AP905" s="408"/>
      <c r="AQ905" s="408"/>
      <c r="AR905" s="408"/>
      <c r="AS905" s="408"/>
      <c r="AT905" s="408"/>
      <c r="AU905" s="408"/>
      <c r="AV905" s="408"/>
      <c r="AW905" s="408"/>
      <c r="AX905" s="408"/>
      <c r="AY905" s="408"/>
      <c r="AZ905" s="408"/>
      <c r="BA905" s="408"/>
      <c r="BB905" s="408"/>
      <c r="BC905" s="408"/>
      <c r="BD905" s="408"/>
      <c r="BE905" s="408"/>
      <c r="BF905" s="408"/>
      <c r="BG905" s="408"/>
      <c r="BH905" s="408"/>
      <c r="BI905" s="408"/>
      <c r="BJ905" s="408"/>
      <c r="BK905" s="408"/>
      <c r="BL905" s="408"/>
      <c r="BM905" s="408"/>
      <c r="BN905" s="408"/>
      <c r="BO905" s="408"/>
      <c r="BP905" s="408"/>
      <c r="BQ905" s="408"/>
      <c r="BR905" s="408"/>
      <c r="BS905" s="408"/>
      <c r="BT905" s="408"/>
      <c r="BU905" s="408"/>
      <c r="BV905" s="408"/>
      <c r="BW905" s="408"/>
      <c r="BX905" s="408"/>
      <c r="BY905" s="408"/>
      <c r="BZ905" s="408"/>
      <c r="CA905" s="408"/>
      <c r="CB905" s="408"/>
      <c r="CC905" s="408"/>
      <c r="CD905" s="408"/>
      <c r="CE905" s="408"/>
      <c r="CF905" s="408"/>
      <c r="CG905" s="408"/>
      <c r="CH905" s="408"/>
      <c r="CI905" s="408"/>
      <c r="CJ905" s="408"/>
      <c r="CK905" s="408"/>
      <c r="CL905" s="408"/>
      <c r="CM905" s="408"/>
      <c r="CN905" s="408"/>
    </row>
    <row r="906">
      <c r="A906" s="408"/>
      <c r="B906" s="408"/>
      <c r="C906" s="408"/>
      <c r="D906" s="408"/>
      <c r="E906" s="408"/>
      <c r="F906" s="408"/>
      <c r="G906" s="408"/>
      <c r="H906" s="408"/>
      <c r="I906" s="408"/>
      <c r="J906" s="408"/>
      <c r="K906" s="408"/>
      <c r="L906" s="408"/>
      <c r="M906" s="408"/>
      <c r="N906" s="408"/>
      <c r="O906" s="408"/>
      <c r="P906" s="408"/>
      <c r="Q906" s="408"/>
      <c r="R906" s="408"/>
      <c r="S906" s="408"/>
      <c r="T906" s="408"/>
      <c r="U906" s="408"/>
      <c r="V906" s="408"/>
      <c r="W906" s="408"/>
      <c r="X906" s="408"/>
      <c r="Y906" s="408"/>
      <c r="Z906" s="408"/>
      <c r="AA906" s="408"/>
      <c r="AB906" s="408"/>
      <c r="AC906" s="408"/>
      <c r="AD906" s="408"/>
      <c r="AE906" s="408"/>
      <c r="AF906" s="408"/>
      <c r="AG906" s="408"/>
      <c r="AH906" s="408"/>
      <c r="AI906" s="408"/>
      <c r="AJ906" s="408"/>
      <c r="AK906" s="408"/>
      <c r="AL906" s="408"/>
      <c r="AM906" s="408"/>
      <c r="AN906" s="408"/>
      <c r="AO906" s="408"/>
      <c r="AP906" s="408"/>
      <c r="AQ906" s="408"/>
      <c r="AR906" s="408"/>
      <c r="AS906" s="408"/>
      <c r="AT906" s="408"/>
      <c r="AU906" s="408"/>
      <c r="AV906" s="408"/>
      <c r="AW906" s="408"/>
      <c r="AX906" s="408"/>
      <c r="AY906" s="408"/>
      <c r="AZ906" s="408"/>
      <c r="BA906" s="408"/>
      <c r="BB906" s="408"/>
      <c r="BC906" s="408"/>
      <c r="BD906" s="408"/>
      <c r="BE906" s="408"/>
      <c r="BF906" s="408"/>
      <c r="BG906" s="408"/>
      <c r="BH906" s="408"/>
      <c r="BI906" s="408"/>
      <c r="BJ906" s="408"/>
      <c r="BK906" s="408"/>
      <c r="BL906" s="408"/>
      <c r="BM906" s="408"/>
      <c r="BN906" s="408"/>
      <c r="BO906" s="408"/>
      <c r="BP906" s="408"/>
      <c r="BQ906" s="408"/>
      <c r="BR906" s="408"/>
      <c r="BS906" s="408"/>
      <c r="BT906" s="408"/>
      <c r="BU906" s="408"/>
      <c r="BV906" s="408"/>
      <c r="BW906" s="408"/>
      <c r="BX906" s="408"/>
      <c r="BY906" s="408"/>
      <c r="BZ906" s="408"/>
      <c r="CA906" s="408"/>
      <c r="CB906" s="408"/>
      <c r="CC906" s="408"/>
      <c r="CD906" s="408"/>
      <c r="CE906" s="408"/>
      <c r="CF906" s="408"/>
      <c r="CG906" s="408"/>
      <c r="CH906" s="408"/>
      <c r="CI906" s="408"/>
      <c r="CJ906" s="408"/>
      <c r="CK906" s="408"/>
      <c r="CL906" s="408"/>
      <c r="CM906" s="408"/>
      <c r="CN906" s="408"/>
    </row>
    <row r="907">
      <c r="A907" s="408"/>
      <c r="B907" s="408"/>
      <c r="C907" s="408"/>
      <c r="D907" s="408"/>
      <c r="E907" s="408"/>
      <c r="F907" s="408"/>
      <c r="G907" s="408"/>
      <c r="H907" s="408"/>
      <c r="I907" s="408"/>
      <c r="J907" s="408"/>
      <c r="K907" s="408"/>
      <c r="L907" s="408"/>
      <c r="M907" s="408"/>
      <c r="N907" s="408"/>
      <c r="O907" s="408"/>
      <c r="P907" s="408"/>
      <c r="Q907" s="408"/>
      <c r="R907" s="408"/>
      <c r="S907" s="408"/>
      <c r="T907" s="408"/>
      <c r="U907" s="408"/>
      <c r="V907" s="408"/>
      <c r="W907" s="408"/>
      <c r="X907" s="408"/>
      <c r="Y907" s="408"/>
      <c r="Z907" s="408"/>
      <c r="AA907" s="408"/>
      <c r="AB907" s="408"/>
      <c r="AC907" s="408"/>
      <c r="AD907" s="408"/>
      <c r="AE907" s="408"/>
      <c r="AF907" s="408"/>
      <c r="AG907" s="408"/>
      <c r="AH907" s="408"/>
      <c r="AI907" s="408"/>
      <c r="AJ907" s="408"/>
      <c r="AK907" s="408"/>
      <c r="AL907" s="408"/>
      <c r="AM907" s="408"/>
      <c r="AN907" s="408"/>
      <c r="AO907" s="408"/>
      <c r="AP907" s="408"/>
      <c r="AQ907" s="408"/>
      <c r="AR907" s="408"/>
      <c r="AS907" s="408"/>
      <c r="AT907" s="408"/>
      <c r="AU907" s="408"/>
      <c r="AV907" s="408"/>
      <c r="AW907" s="408"/>
      <c r="AX907" s="408"/>
      <c r="AY907" s="408"/>
      <c r="AZ907" s="408"/>
      <c r="BA907" s="408"/>
      <c r="BB907" s="408"/>
      <c r="BC907" s="408"/>
      <c r="BD907" s="408"/>
      <c r="BE907" s="408"/>
      <c r="BF907" s="408"/>
      <c r="BG907" s="408"/>
      <c r="BH907" s="408"/>
      <c r="BI907" s="408"/>
      <c r="BJ907" s="408"/>
      <c r="BK907" s="408"/>
      <c r="BL907" s="408"/>
      <c r="BM907" s="408"/>
      <c r="BN907" s="408"/>
      <c r="BO907" s="408"/>
      <c r="BP907" s="408"/>
      <c r="BQ907" s="408"/>
      <c r="BR907" s="408"/>
      <c r="BS907" s="408"/>
      <c r="BT907" s="408"/>
      <c r="BU907" s="408"/>
      <c r="BV907" s="408"/>
      <c r="BW907" s="408"/>
      <c r="BX907" s="408"/>
      <c r="BY907" s="408"/>
      <c r="BZ907" s="408"/>
      <c r="CA907" s="408"/>
      <c r="CB907" s="408"/>
      <c r="CC907" s="408"/>
      <c r="CD907" s="408"/>
      <c r="CE907" s="408"/>
      <c r="CF907" s="408"/>
      <c r="CG907" s="408"/>
      <c r="CH907" s="408"/>
      <c r="CI907" s="408"/>
      <c r="CJ907" s="408"/>
      <c r="CK907" s="408"/>
      <c r="CL907" s="408"/>
      <c r="CM907" s="408"/>
      <c r="CN907" s="408"/>
    </row>
    <row r="908">
      <c r="A908" s="408"/>
      <c r="B908" s="408"/>
      <c r="C908" s="408"/>
      <c r="D908" s="408"/>
      <c r="E908" s="408"/>
      <c r="F908" s="408"/>
      <c r="G908" s="408"/>
      <c r="H908" s="408"/>
      <c r="I908" s="408"/>
      <c r="J908" s="408"/>
      <c r="K908" s="408"/>
      <c r="L908" s="408"/>
      <c r="M908" s="408"/>
      <c r="N908" s="408"/>
      <c r="O908" s="408"/>
      <c r="P908" s="408"/>
      <c r="Q908" s="408"/>
      <c r="R908" s="408"/>
      <c r="S908" s="408"/>
      <c r="T908" s="408"/>
      <c r="U908" s="408"/>
      <c r="V908" s="408"/>
      <c r="W908" s="408"/>
      <c r="X908" s="408"/>
      <c r="Y908" s="408"/>
      <c r="Z908" s="408"/>
      <c r="AA908" s="408"/>
      <c r="AB908" s="408"/>
      <c r="AC908" s="408"/>
      <c r="AD908" s="408"/>
      <c r="AE908" s="408"/>
      <c r="AF908" s="408"/>
      <c r="AG908" s="408"/>
      <c r="AH908" s="408"/>
      <c r="AI908" s="408"/>
      <c r="AJ908" s="408"/>
      <c r="AK908" s="408"/>
      <c r="AL908" s="408"/>
      <c r="AM908" s="408"/>
      <c r="AN908" s="408"/>
      <c r="AO908" s="408"/>
      <c r="AP908" s="408"/>
      <c r="AQ908" s="408"/>
      <c r="AR908" s="408"/>
      <c r="AS908" s="408"/>
      <c r="AT908" s="408"/>
      <c r="AU908" s="408"/>
      <c r="AV908" s="408"/>
      <c r="AW908" s="408"/>
      <c r="AX908" s="408"/>
      <c r="AY908" s="408"/>
      <c r="AZ908" s="408"/>
      <c r="BA908" s="408"/>
      <c r="BB908" s="408"/>
      <c r="BC908" s="408"/>
      <c r="BD908" s="408"/>
      <c r="BE908" s="408"/>
      <c r="BF908" s="408"/>
      <c r="BG908" s="408"/>
      <c r="BH908" s="408"/>
      <c r="BI908" s="408"/>
      <c r="BJ908" s="408"/>
      <c r="BK908" s="408"/>
      <c r="BL908" s="408"/>
      <c r="BM908" s="408"/>
      <c r="BN908" s="408"/>
      <c r="BO908" s="408"/>
      <c r="BP908" s="408"/>
      <c r="BQ908" s="408"/>
      <c r="BR908" s="408"/>
      <c r="BS908" s="408"/>
      <c r="BT908" s="408"/>
      <c r="BU908" s="408"/>
      <c r="BV908" s="408"/>
      <c r="BW908" s="408"/>
      <c r="BX908" s="408"/>
      <c r="BY908" s="408"/>
      <c r="BZ908" s="408"/>
      <c r="CA908" s="408"/>
      <c r="CB908" s="408"/>
      <c r="CC908" s="408"/>
      <c r="CD908" s="408"/>
      <c r="CE908" s="408"/>
      <c r="CF908" s="408"/>
      <c r="CG908" s="408"/>
      <c r="CH908" s="408"/>
      <c r="CI908" s="408"/>
      <c r="CJ908" s="408"/>
      <c r="CK908" s="408"/>
      <c r="CL908" s="408"/>
      <c r="CM908" s="408"/>
      <c r="CN908" s="408"/>
    </row>
    <row r="909">
      <c r="A909" s="408"/>
      <c r="B909" s="408"/>
      <c r="C909" s="408"/>
      <c r="D909" s="408"/>
      <c r="E909" s="408"/>
      <c r="F909" s="408"/>
      <c r="G909" s="408"/>
      <c r="H909" s="408"/>
      <c r="I909" s="408"/>
      <c r="J909" s="408"/>
      <c r="K909" s="408"/>
      <c r="L909" s="408"/>
      <c r="M909" s="408"/>
      <c r="N909" s="408"/>
      <c r="O909" s="408"/>
      <c r="P909" s="408"/>
      <c r="Q909" s="408"/>
      <c r="R909" s="408"/>
      <c r="S909" s="408"/>
      <c r="T909" s="408"/>
      <c r="U909" s="408"/>
      <c r="V909" s="408"/>
      <c r="W909" s="408"/>
      <c r="X909" s="408"/>
      <c r="Y909" s="408"/>
      <c r="Z909" s="408"/>
      <c r="AA909" s="408"/>
      <c r="AB909" s="408"/>
      <c r="AC909" s="408"/>
      <c r="AD909" s="408"/>
      <c r="AE909" s="408"/>
      <c r="AF909" s="408"/>
      <c r="AG909" s="408"/>
      <c r="AH909" s="408"/>
      <c r="AI909" s="408"/>
      <c r="AJ909" s="408"/>
      <c r="AK909" s="408"/>
      <c r="AL909" s="408"/>
      <c r="AM909" s="408"/>
      <c r="AN909" s="408"/>
      <c r="AO909" s="408"/>
      <c r="AP909" s="408"/>
      <c r="AQ909" s="408"/>
      <c r="AR909" s="408"/>
      <c r="AS909" s="408"/>
      <c r="AT909" s="408"/>
      <c r="AU909" s="408"/>
      <c r="AV909" s="408"/>
      <c r="AW909" s="408"/>
      <c r="AX909" s="408"/>
      <c r="AY909" s="408"/>
      <c r="AZ909" s="408"/>
      <c r="BA909" s="408"/>
      <c r="BB909" s="408"/>
      <c r="BC909" s="408"/>
      <c r="BD909" s="408"/>
      <c r="BE909" s="408"/>
      <c r="BF909" s="408"/>
      <c r="BG909" s="408"/>
      <c r="BH909" s="408"/>
      <c r="BI909" s="408"/>
      <c r="BJ909" s="408"/>
      <c r="BK909" s="408"/>
      <c r="BL909" s="408"/>
      <c r="BM909" s="408"/>
      <c r="BN909" s="408"/>
      <c r="BO909" s="408"/>
      <c r="BP909" s="408"/>
      <c r="BQ909" s="408"/>
      <c r="BR909" s="408"/>
      <c r="BS909" s="408"/>
      <c r="BT909" s="408"/>
      <c r="BU909" s="408"/>
      <c r="BV909" s="408"/>
      <c r="BW909" s="408"/>
      <c r="BX909" s="408"/>
      <c r="BY909" s="408"/>
      <c r="BZ909" s="408"/>
      <c r="CA909" s="408"/>
      <c r="CB909" s="408"/>
      <c r="CC909" s="408"/>
      <c r="CD909" s="408"/>
      <c r="CE909" s="408"/>
      <c r="CF909" s="408"/>
      <c r="CG909" s="408"/>
      <c r="CH909" s="408"/>
      <c r="CI909" s="408"/>
      <c r="CJ909" s="408"/>
      <c r="CK909" s="408"/>
      <c r="CL909" s="408"/>
      <c r="CM909" s="408"/>
      <c r="CN909" s="408"/>
    </row>
    <row r="910">
      <c r="A910" s="408"/>
      <c r="B910" s="408"/>
      <c r="C910" s="408"/>
      <c r="D910" s="408"/>
      <c r="E910" s="408"/>
      <c r="F910" s="408"/>
      <c r="G910" s="408"/>
      <c r="H910" s="408"/>
      <c r="I910" s="408"/>
      <c r="J910" s="408"/>
      <c r="K910" s="408"/>
      <c r="L910" s="408"/>
      <c r="M910" s="408"/>
      <c r="N910" s="408"/>
      <c r="O910" s="408"/>
      <c r="P910" s="408"/>
      <c r="Q910" s="408"/>
      <c r="R910" s="408"/>
      <c r="S910" s="408"/>
      <c r="T910" s="408"/>
      <c r="U910" s="408"/>
      <c r="V910" s="408"/>
      <c r="W910" s="408"/>
      <c r="X910" s="408"/>
      <c r="Y910" s="408"/>
      <c r="Z910" s="408"/>
      <c r="AA910" s="408"/>
      <c r="AB910" s="408"/>
      <c r="AC910" s="408"/>
      <c r="AD910" s="408"/>
      <c r="AE910" s="408"/>
      <c r="AF910" s="408"/>
      <c r="AG910" s="408"/>
      <c r="AH910" s="408"/>
      <c r="AI910" s="408"/>
      <c r="AJ910" s="408"/>
      <c r="AK910" s="408"/>
      <c r="AL910" s="408"/>
      <c r="AM910" s="408"/>
      <c r="AN910" s="408"/>
      <c r="AO910" s="408"/>
      <c r="AP910" s="408"/>
      <c r="AQ910" s="408"/>
      <c r="AR910" s="408"/>
      <c r="AS910" s="408"/>
      <c r="AT910" s="408"/>
      <c r="AU910" s="408"/>
      <c r="AV910" s="408"/>
      <c r="AW910" s="408"/>
      <c r="AX910" s="408"/>
      <c r="AY910" s="408"/>
      <c r="AZ910" s="408"/>
      <c r="BA910" s="408"/>
      <c r="BB910" s="408"/>
      <c r="BC910" s="408"/>
      <c r="BD910" s="408"/>
      <c r="BE910" s="408"/>
      <c r="BF910" s="408"/>
      <c r="BG910" s="408"/>
      <c r="BH910" s="408"/>
      <c r="BI910" s="408"/>
      <c r="BJ910" s="408"/>
      <c r="BK910" s="408"/>
      <c r="BL910" s="408"/>
      <c r="BM910" s="408"/>
      <c r="BN910" s="408"/>
      <c r="BO910" s="408"/>
      <c r="BP910" s="408"/>
      <c r="BQ910" s="408"/>
      <c r="BR910" s="408"/>
      <c r="BS910" s="408"/>
      <c r="BT910" s="408"/>
      <c r="BU910" s="408"/>
      <c r="BV910" s="408"/>
      <c r="BW910" s="408"/>
      <c r="BX910" s="408"/>
      <c r="BY910" s="408"/>
      <c r="BZ910" s="408"/>
      <c r="CA910" s="408"/>
      <c r="CB910" s="408"/>
      <c r="CC910" s="408"/>
      <c r="CD910" s="408"/>
      <c r="CE910" s="408"/>
      <c r="CF910" s="408"/>
      <c r="CG910" s="408"/>
      <c r="CH910" s="408"/>
      <c r="CI910" s="408"/>
      <c r="CJ910" s="408"/>
      <c r="CK910" s="408"/>
      <c r="CL910" s="408"/>
      <c r="CM910" s="408"/>
      <c r="CN910" s="408"/>
    </row>
    <row r="911">
      <c r="A911" s="408"/>
      <c r="B911" s="408"/>
      <c r="C911" s="408"/>
      <c r="D911" s="408"/>
      <c r="E911" s="408"/>
      <c r="F911" s="408"/>
      <c r="G911" s="408"/>
      <c r="H911" s="408"/>
      <c r="I911" s="408"/>
      <c r="J911" s="408"/>
      <c r="K911" s="408"/>
      <c r="L911" s="408"/>
      <c r="M911" s="408"/>
      <c r="N911" s="408"/>
      <c r="O911" s="408"/>
      <c r="P911" s="408"/>
      <c r="Q911" s="408"/>
      <c r="R911" s="408"/>
      <c r="S911" s="408"/>
      <c r="T911" s="408"/>
      <c r="U911" s="408"/>
      <c r="V911" s="408"/>
      <c r="W911" s="408"/>
      <c r="X911" s="408"/>
      <c r="Y911" s="408"/>
      <c r="Z911" s="408"/>
      <c r="AA911" s="408"/>
      <c r="AB911" s="408"/>
      <c r="AC911" s="408"/>
      <c r="AD911" s="408"/>
      <c r="AE911" s="408"/>
      <c r="AF911" s="408"/>
      <c r="AG911" s="408"/>
      <c r="AH911" s="408"/>
      <c r="AI911" s="408"/>
      <c r="AJ911" s="408"/>
      <c r="AK911" s="408"/>
      <c r="AL911" s="408"/>
      <c r="AM911" s="408"/>
      <c r="AN911" s="408"/>
      <c r="AO911" s="408"/>
      <c r="AP911" s="408"/>
      <c r="AQ911" s="408"/>
      <c r="AR911" s="408"/>
      <c r="AS911" s="408"/>
      <c r="AT911" s="408"/>
      <c r="AU911" s="408"/>
      <c r="AV911" s="408"/>
      <c r="AW911" s="408"/>
      <c r="AX911" s="408"/>
      <c r="AY911" s="408"/>
      <c r="AZ911" s="408"/>
      <c r="BA911" s="408"/>
      <c r="BB911" s="408"/>
      <c r="BC911" s="408"/>
      <c r="BD911" s="408"/>
      <c r="BE911" s="408"/>
      <c r="BF911" s="408"/>
      <c r="BG911" s="408"/>
      <c r="BH911" s="408"/>
      <c r="BI911" s="408"/>
      <c r="BJ911" s="408"/>
      <c r="BK911" s="408"/>
      <c r="BL911" s="408"/>
      <c r="BM911" s="408"/>
      <c r="BN911" s="408"/>
      <c r="BO911" s="408"/>
      <c r="BP911" s="408"/>
      <c r="BQ911" s="408"/>
      <c r="BR911" s="408"/>
      <c r="BS911" s="408"/>
      <c r="BT911" s="408"/>
      <c r="BU911" s="408"/>
      <c r="BV911" s="408"/>
      <c r="BW911" s="408"/>
      <c r="BX911" s="408"/>
      <c r="BY911" s="408"/>
      <c r="BZ911" s="408"/>
      <c r="CA911" s="408"/>
      <c r="CB911" s="408"/>
      <c r="CC911" s="408"/>
      <c r="CD911" s="408"/>
      <c r="CE911" s="408"/>
      <c r="CF911" s="408"/>
      <c r="CG911" s="408"/>
      <c r="CH911" s="408"/>
      <c r="CI911" s="408"/>
      <c r="CJ911" s="408"/>
      <c r="CK911" s="408"/>
      <c r="CL911" s="408"/>
      <c r="CM911" s="408"/>
      <c r="CN911" s="408"/>
    </row>
    <row r="912">
      <c r="A912" s="408"/>
      <c r="B912" s="408"/>
      <c r="C912" s="408"/>
      <c r="D912" s="408"/>
      <c r="E912" s="408"/>
      <c r="F912" s="408"/>
      <c r="G912" s="408"/>
      <c r="H912" s="408"/>
      <c r="I912" s="408"/>
      <c r="J912" s="408"/>
      <c r="K912" s="408"/>
      <c r="L912" s="408"/>
      <c r="M912" s="408"/>
      <c r="N912" s="408"/>
      <c r="O912" s="408"/>
      <c r="P912" s="408"/>
      <c r="Q912" s="408"/>
      <c r="R912" s="408"/>
      <c r="S912" s="408"/>
      <c r="T912" s="408"/>
      <c r="U912" s="408"/>
      <c r="V912" s="408"/>
      <c r="W912" s="408"/>
      <c r="X912" s="408"/>
      <c r="Y912" s="408"/>
      <c r="Z912" s="408"/>
      <c r="AA912" s="408"/>
      <c r="AB912" s="408"/>
      <c r="AC912" s="408"/>
      <c r="AD912" s="408"/>
      <c r="AE912" s="408"/>
      <c r="AF912" s="408"/>
      <c r="AG912" s="408"/>
      <c r="AH912" s="408"/>
      <c r="AI912" s="408"/>
      <c r="AJ912" s="408"/>
      <c r="AK912" s="408"/>
      <c r="AL912" s="408"/>
      <c r="AM912" s="408"/>
      <c r="AN912" s="408"/>
      <c r="AO912" s="408"/>
      <c r="AP912" s="408"/>
      <c r="AQ912" s="408"/>
      <c r="AR912" s="408"/>
      <c r="AS912" s="408"/>
      <c r="AT912" s="408"/>
      <c r="AU912" s="408"/>
      <c r="AV912" s="408"/>
      <c r="AW912" s="408"/>
      <c r="AX912" s="408"/>
      <c r="AY912" s="408"/>
      <c r="AZ912" s="408"/>
      <c r="BA912" s="408"/>
      <c r="BB912" s="408"/>
      <c r="BC912" s="408"/>
      <c r="BD912" s="408"/>
      <c r="BE912" s="408"/>
      <c r="BF912" s="408"/>
      <c r="BG912" s="408"/>
      <c r="BH912" s="408"/>
      <c r="BI912" s="408"/>
      <c r="BJ912" s="408"/>
      <c r="BK912" s="408"/>
      <c r="BL912" s="408"/>
      <c r="BM912" s="408"/>
      <c r="BN912" s="408"/>
      <c r="BO912" s="408"/>
      <c r="BP912" s="408"/>
      <c r="BQ912" s="408"/>
      <c r="BR912" s="408"/>
      <c r="BS912" s="408"/>
      <c r="BT912" s="408"/>
      <c r="BU912" s="408"/>
      <c r="BV912" s="408"/>
      <c r="BW912" s="408"/>
      <c r="BX912" s="408"/>
      <c r="BY912" s="408"/>
      <c r="BZ912" s="408"/>
      <c r="CA912" s="408"/>
      <c r="CB912" s="408"/>
      <c r="CC912" s="408"/>
      <c r="CD912" s="408"/>
      <c r="CE912" s="408"/>
      <c r="CF912" s="408"/>
      <c r="CG912" s="408"/>
      <c r="CH912" s="408"/>
      <c r="CI912" s="408"/>
      <c r="CJ912" s="408"/>
      <c r="CK912" s="408"/>
      <c r="CL912" s="408"/>
      <c r="CM912" s="408"/>
      <c r="CN912" s="408"/>
    </row>
    <row r="913">
      <c r="A913" s="408"/>
      <c r="B913" s="408"/>
      <c r="C913" s="408"/>
      <c r="D913" s="408"/>
      <c r="E913" s="408"/>
      <c r="F913" s="408"/>
      <c r="G913" s="408"/>
      <c r="H913" s="408"/>
      <c r="I913" s="408"/>
      <c r="J913" s="408"/>
      <c r="K913" s="408"/>
      <c r="L913" s="408"/>
      <c r="M913" s="408"/>
      <c r="N913" s="408"/>
      <c r="O913" s="408"/>
      <c r="P913" s="408"/>
      <c r="Q913" s="408"/>
      <c r="R913" s="408"/>
      <c r="S913" s="408"/>
      <c r="T913" s="408"/>
      <c r="U913" s="408"/>
      <c r="V913" s="408"/>
      <c r="W913" s="408"/>
      <c r="X913" s="408"/>
      <c r="Y913" s="408"/>
      <c r="Z913" s="408"/>
      <c r="AA913" s="408"/>
      <c r="AB913" s="408"/>
      <c r="AC913" s="408"/>
      <c r="AD913" s="408"/>
      <c r="AE913" s="408"/>
      <c r="AF913" s="408"/>
      <c r="AG913" s="408"/>
      <c r="AH913" s="408"/>
      <c r="AI913" s="408"/>
      <c r="AJ913" s="408"/>
      <c r="AK913" s="408"/>
      <c r="AL913" s="408"/>
      <c r="AM913" s="408"/>
      <c r="AN913" s="408"/>
      <c r="AO913" s="408"/>
      <c r="AP913" s="408"/>
      <c r="AQ913" s="408"/>
      <c r="AR913" s="408"/>
      <c r="AS913" s="408"/>
      <c r="AT913" s="408"/>
      <c r="AU913" s="408"/>
      <c r="AV913" s="408"/>
      <c r="AW913" s="408"/>
      <c r="AX913" s="408"/>
      <c r="AY913" s="408"/>
      <c r="AZ913" s="408"/>
      <c r="BA913" s="408"/>
      <c r="BB913" s="408"/>
      <c r="BC913" s="408"/>
      <c r="BD913" s="408"/>
      <c r="BE913" s="408"/>
      <c r="BF913" s="408"/>
      <c r="BG913" s="408"/>
      <c r="BH913" s="408"/>
      <c r="BI913" s="408"/>
      <c r="BJ913" s="408"/>
      <c r="BK913" s="408"/>
      <c r="BL913" s="408"/>
      <c r="BM913" s="408"/>
      <c r="BN913" s="408"/>
      <c r="BO913" s="408"/>
      <c r="BP913" s="408"/>
      <c r="BQ913" s="408"/>
      <c r="BR913" s="408"/>
      <c r="BS913" s="408"/>
      <c r="BT913" s="408"/>
      <c r="BU913" s="408"/>
      <c r="BV913" s="408"/>
      <c r="BW913" s="408"/>
      <c r="BX913" s="408"/>
      <c r="BY913" s="408"/>
      <c r="BZ913" s="408"/>
      <c r="CA913" s="408"/>
      <c r="CB913" s="408"/>
      <c r="CC913" s="408"/>
      <c r="CD913" s="408"/>
      <c r="CE913" s="408"/>
      <c r="CF913" s="408"/>
      <c r="CG913" s="408"/>
      <c r="CH913" s="408"/>
      <c r="CI913" s="408"/>
      <c r="CJ913" s="408"/>
      <c r="CK913" s="408"/>
      <c r="CL913" s="408"/>
      <c r="CM913" s="408"/>
      <c r="CN913" s="408"/>
    </row>
    <row r="914">
      <c r="A914" s="408"/>
      <c r="B914" s="408"/>
      <c r="C914" s="408"/>
      <c r="D914" s="408"/>
      <c r="E914" s="408"/>
      <c r="F914" s="408"/>
      <c r="G914" s="408"/>
      <c r="H914" s="408"/>
      <c r="I914" s="408"/>
      <c r="J914" s="408"/>
      <c r="K914" s="408"/>
      <c r="L914" s="408"/>
      <c r="M914" s="408"/>
      <c r="N914" s="408"/>
      <c r="O914" s="408"/>
      <c r="P914" s="408"/>
      <c r="Q914" s="408"/>
      <c r="R914" s="408"/>
      <c r="S914" s="408"/>
      <c r="T914" s="408"/>
      <c r="U914" s="408"/>
      <c r="V914" s="408"/>
      <c r="W914" s="408"/>
      <c r="X914" s="408"/>
      <c r="Y914" s="408"/>
      <c r="Z914" s="408"/>
      <c r="AA914" s="408"/>
      <c r="AB914" s="408"/>
      <c r="AC914" s="408"/>
      <c r="AD914" s="408"/>
      <c r="AE914" s="408"/>
      <c r="AF914" s="408"/>
      <c r="AG914" s="408"/>
      <c r="AH914" s="408"/>
      <c r="AI914" s="408"/>
      <c r="AJ914" s="408"/>
      <c r="AK914" s="408"/>
      <c r="AL914" s="408"/>
      <c r="AM914" s="408"/>
      <c r="AN914" s="408"/>
      <c r="AO914" s="408"/>
      <c r="AP914" s="408"/>
      <c r="AQ914" s="408"/>
      <c r="AR914" s="408"/>
      <c r="AS914" s="408"/>
      <c r="AT914" s="408"/>
      <c r="AU914" s="408"/>
      <c r="AV914" s="408"/>
      <c r="AW914" s="408"/>
      <c r="AX914" s="408"/>
      <c r="AY914" s="408"/>
      <c r="AZ914" s="408"/>
      <c r="BA914" s="408"/>
      <c r="BB914" s="408"/>
      <c r="BC914" s="408"/>
      <c r="BD914" s="408"/>
      <c r="BE914" s="408"/>
      <c r="BF914" s="408"/>
      <c r="BG914" s="408"/>
      <c r="BH914" s="408"/>
      <c r="BI914" s="408"/>
      <c r="BJ914" s="408"/>
      <c r="BK914" s="408"/>
      <c r="BL914" s="408"/>
      <c r="BM914" s="408"/>
      <c r="BN914" s="408"/>
      <c r="BO914" s="408"/>
      <c r="BP914" s="408"/>
      <c r="BQ914" s="408"/>
      <c r="BR914" s="408"/>
      <c r="BS914" s="408"/>
      <c r="BT914" s="408"/>
      <c r="BU914" s="408"/>
      <c r="BV914" s="408"/>
      <c r="BW914" s="408"/>
      <c r="BX914" s="408"/>
      <c r="BY914" s="408"/>
      <c r="BZ914" s="408"/>
      <c r="CA914" s="408"/>
      <c r="CB914" s="408"/>
      <c r="CC914" s="408"/>
      <c r="CD914" s="408"/>
      <c r="CE914" s="408"/>
      <c r="CF914" s="408"/>
      <c r="CG914" s="408"/>
      <c r="CH914" s="408"/>
      <c r="CI914" s="408"/>
      <c r="CJ914" s="408"/>
      <c r="CK914" s="408"/>
      <c r="CL914" s="408"/>
      <c r="CM914" s="408"/>
      <c r="CN914" s="408"/>
    </row>
    <row r="915">
      <c r="A915" s="408"/>
      <c r="B915" s="408"/>
      <c r="C915" s="408"/>
      <c r="D915" s="408"/>
      <c r="E915" s="408"/>
      <c r="F915" s="408"/>
      <c r="G915" s="408"/>
      <c r="H915" s="408"/>
      <c r="I915" s="408"/>
      <c r="J915" s="408"/>
      <c r="K915" s="408"/>
      <c r="L915" s="408"/>
      <c r="M915" s="408"/>
      <c r="N915" s="408"/>
      <c r="O915" s="408"/>
      <c r="P915" s="408"/>
      <c r="Q915" s="408"/>
      <c r="R915" s="408"/>
      <c r="S915" s="408"/>
      <c r="T915" s="408"/>
      <c r="U915" s="408"/>
      <c r="V915" s="408"/>
      <c r="W915" s="408"/>
      <c r="X915" s="408"/>
      <c r="Y915" s="408"/>
      <c r="Z915" s="408"/>
      <c r="AA915" s="408"/>
      <c r="AB915" s="408"/>
      <c r="AC915" s="408"/>
      <c r="AD915" s="408"/>
      <c r="AE915" s="408"/>
      <c r="AF915" s="408"/>
      <c r="AG915" s="408"/>
      <c r="AH915" s="408"/>
      <c r="AI915" s="408"/>
      <c r="AJ915" s="408"/>
      <c r="AK915" s="408"/>
      <c r="AL915" s="408"/>
      <c r="AM915" s="408"/>
      <c r="AN915" s="408"/>
      <c r="AO915" s="408"/>
      <c r="AP915" s="408"/>
      <c r="AQ915" s="408"/>
      <c r="AR915" s="408"/>
      <c r="AS915" s="408"/>
      <c r="AT915" s="408"/>
      <c r="AU915" s="408"/>
      <c r="AV915" s="408"/>
      <c r="AW915" s="408"/>
      <c r="AX915" s="408"/>
      <c r="AY915" s="408"/>
      <c r="AZ915" s="408"/>
      <c r="BA915" s="408"/>
      <c r="BB915" s="408"/>
      <c r="BC915" s="408"/>
      <c r="BD915" s="408"/>
      <c r="BE915" s="408"/>
      <c r="BF915" s="408"/>
      <c r="BG915" s="408"/>
      <c r="BH915" s="408"/>
      <c r="BI915" s="408"/>
      <c r="BJ915" s="408"/>
      <c r="BK915" s="408"/>
      <c r="BL915" s="408"/>
      <c r="BM915" s="408"/>
      <c r="BN915" s="408"/>
      <c r="BO915" s="408"/>
      <c r="BP915" s="408"/>
      <c r="BQ915" s="408"/>
      <c r="BR915" s="408"/>
      <c r="BS915" s="408"/>
      <c r="BT915" s="408"/>
      <c r="BU915" s="408"/>
      <c r="BV915" s="408"/>
      <c r="BW915" s="408"/>
      <c r="BX915" s="408"/>
      <c r="BY915" s="408"/>
      <c r="BZ915" s="408"/>
      <c r="CA915" s="408"/>
      <c r="CB915" s="408"/>
      <c r="CC915" s="408"/>
      <c r="CD915" s="408"/>
      <c r="CE915" s="408"/>
      <c r="CF915" s="408"/>
      <c r="CG915" s="408"/>
      <c r="CH915" s="408"/>
      <c r="CI915" s="408"/>
      <c r="CJ915" s="408"/>
      <c r="CK915" s="408"/>
      <c r="CL915" s="408"/>
      <c r="CM915" s="408"/>
      <c r="CN915" s="408"/>
    </row>
    <row r="916">
      <c r="A916" s="408"/>
      <c r="B916" s="408"/>
      <c r="C916" s="408"/>
      <c r="D916" s="408"/>
      <c r="E916" s="408"/>
      <c r="F916" s="408"/>
      <c r="G916" s="408"/>
      <c r="H916" s="408"/>
      <c r="I916" s="408"/>
      <c r="J916" s="408"/>
      <c r="K916" s="408"/>
      <c r="L916" s="408"/>
      <c r="M916" s="408"/>
      <c r="N916" s="408"/>
      <c r="O916" s="408"/>
      <c r="P916" s="408"/>
      <c r="Q916" s="408"/>
      <c r="R916" s="408"/>
      <c r="S916" s="408"/>
      <c r="T916" s="408"/>
      <c r="U916" s="408"/>
      <c r="V916" s="408"/>
      <c r="W916" s="408"/>
      <c r="X916" s="408"/>
      <c r="Y916" s="408"/>
      <c r="Z916" s="408"/>
      <c r="AA916" s="408"/>
      <c r="AB916" s="408"/>
      <c r="AC916" s="408"/>
      <c r="AD916" s="408"/>
      <c r="AE916" s="408"/>
      <c r="AF916" s="408"/>
      <c r="AG916" s="408"/>
      <c r="AH916" s="408"/>
      <c r="AI916" s="408"/>
      <c r="AJ916" s="408"/>
      <c r="AK916" s="408"/>
      <c r="AL916" s="408"/>
      <c r="AM916" s="408"/>
      <c r="AN916" s="408"/>
      <c r="AO916" s="408"/>
      <c r="AP916" s="408"/>
      <c r="AQ916" s="408"/>
      <c r="AR916" s="408"/>
      <c r="AS916" s="408"/>
      <c r="AT916" s="408"/>
      <c r="AU916" s="408"/>
      <c r="AV916" s="408"/>
      <c r="AW916" s="408"/>
      <c r="AX916" s="408"/>
      <c r="AY916" s="408"/>
      <c r="AZ916" s="408"/>
      <c r="BA916" s="408"/>
      <c r="BB916" s="408"/>
      <c r="BC916" s="408"/>
      <c r="BD916" s="408"/>
      <c r="BE916" s="408"/>
      <c r="BF916" s="408"/>
      <c r="BG916" s="408"/>
      <c r="BH916" s="408"/>
      <c r="BI916" s="408"/>
      <c r="BJ916" s="408"/>
      <c r="BK916" s="408"/>
      <c r="BL916" s="408"/>
      <c r="BM916" s="408"/>
      <c r="BN916" s="408"/>
      <c r="BO916" s="408"/>
      <c r="BP916" s="408"/>
      <c r="BQ916" s="408"/>
      <c r="BR916" s="408"/>
      <c r="BS916" s="408"/>
      <c r="BT916" s="408"/>
      <c r="BU916" s="408"/>
      <c r="BV916" s="408"/>
      <c r="BW916" s="408"/>
      <c r="BX916" s="408"/>
      <c r="BY916" s="408"/>
      <c r="BZ916" s="408"/>
      <c r="CA916" s="408"/>
      <c r="CB916" s="408"/>
      <c r="CC916" s="408"/>
      <c r="CD916" s="408"/>
      <c r="CE916" s="408"/>
      <c r="CF916" s="408"/>
      <c r="CG916" s="408"/>
      <c r="CH916" s="408"/>
      <c r="CI916" s="408"/>
      <c r="CJ916" s="408"/>
      <c r="CK916" s="408"/>
      <c r="CL916" s="408"/>
      <c r="CM916" s="408"/>
      <c r="CN916" s="408"/>
    </row>
    <row r="917">
      <c r="A917" s="408"/>
      <c r="B917" s="408"/>
      <c r="C917" s="408"/>
      <c r="D917" s="408"/>
      <c r="E917" s="408"/>
      <c r="F917" s="408"/>
      <c r="G917" s="408"/>
      <c r="H917" s="408"/>
      <c r="I917" s="408"/>
      <c r="J917" s="408"/>
      <c r="K917" s="408"/>
      <c r="L917" s="408"/>
      <c r="M917" s="408"/>
      <c r="N917" s="408"/>
      <c r="O917" s="408"/>
      <c r="P917" s="408"/>
      <c r="Q917" s="408"/>
      <c r="R917" s="408"/>
      <c r="S917" s="408"/>
      <c r="T917" s="408"/>
      <c r="U917" s="408"/>
      <c r="V917" s="408"/>
      <c r="W917" s="408"/>
      <c r="X917" s="408"/>
      <c r="Y917" s="408"/>
      <c r="Z917" s="408"/>
      <c r="AA917" s="408"/>
      <c r="AB917" s="408"/>
      <c r="AC917" s="408"/>
      <c r="AD917" s="408"/>
      <c r="AE917" s="408"/>
      <c r="AF917" s="408"/>
      <c r="AG917" s="408"/>
      <c r="AH917" s="408"/>
      <c r="AI917" s="408"/>
      <c r="AJ917" s="408"/>
      <c r="AK917" s="408"/>
      <c r="AL917" s="408"/>
      <c r="AM917" s="408"/>
      <c r="AN917" s="408"/>
      <c r="AO917" s="408"/>
      <c r="AP917" s="408"/>
      <c r="AQ917" s="408"/>
      <c r="AR917" s="408"/>
      <c r="AS917" s="408"/>
      <c r="AT917" s="408"/>
      <c r="AU917" s="408"/>
      <c r="AV917" s="408"/>
      <c r="AW917" s="408"/>
      <c r="AX917" s="408"/>
      <c r="AY917" s="408"/>
      <c r="AZ917" s="408"/>
      <c r="BA917" s="408"/>
      <c r="BB917" s="408"/>
      <c r="BC917" s="408"/>
      <c r="BD917" s="408"/>
      <c r="BE917" s="408"/>
      <c r="BF917" s="408"/>
      <c r="BG917" s="408"/>
      <c r="BH917" s="408"/>
      <c r="BI917" s="408"/>
      <c r="BJ917" s="408"/>
      <c r="BK917" s="408"/>
      <c r="BL917" s="408"/>
      <c r="BM917" s="408"/>
      <c r="BN917" s="408"/>
      <c r="BO917" s="408"/>
      <c r="BP917" s="408"/>
      <c r="BQ917" s="408"/>
      <c r="BR917" s="408"/>
      <c r="BS917" s="408"/>
      <c r="BT917" s="408"/>
      <c r="BU917" s="408"/>
      <c r="BV917" s="408"/>
      <c r="BW917" s="408"/>
      <c r="BX917" s="408"/>
      <c r="BY917" s="408"/>
      <c r="BZ917" s="408"/>
      <c r="CA917" s="408"/>
      <c r="CB917" s="408"/>
      <c r="CC917" s="408"/>
      <c r="CD917" s="408"/>
      <c r="CE917" s="408"/>
      <c r="CF917" s="408"/>
      <c r="CG917" s="408"/>
      <c r="CH917" s="408"/>
      <c r="CI917" s="408"/>
      <c r="CJ917" s="408"/>
      <c r="CK917" s="408"/>
      <c r="CL917" s="408"/>
      <c r="CM917" s="408"/>
      <c r="CN917" s="408"/>
    </row>
    <row r="918">
      <c r="A918" s="408"/>
      <c r="B918" s="408"/>
      <c r="C918" s="408"/>
      <c r="D918" s="408"/>
      <c r="E918" s="408"/>
      <c r="F918" s="408"/>
      <c r="G918" s="408"/>
      <c r="H918" s="408"/>
      <c r="I918" s="408"/>
      <c r="J918" s="408"/>
      <c r="K918" s="408"/>
      <c r="L918" s="408"/>
      <c r="M918" s="408"/>
      <c r="N918" s="408"/>
      <c r="O918" s="408"/>
      <c r="P918" s="408"/>
      <c r="Q918" s="408"/>
      <c r="R918" s="408"/>
      <c r="S918" s="408"/>
      <c r="T918" s="408"/>
      <c r="U918" s="408"/>
      <c r="V918" s="408"/>
      <c r="W918" s="408"/>
      <c r="X918" s="408"/>
      <c r="Y918" s="408"/>
      <c r="Z918" s="408"/>
      <c r="AA918" s="408"/>
      <c r="AB918" s="408"/>
      <c r="AC918" s="408"/>
      <c r="AD918" s="408"/>
      <c r="AE918" s="408"/>
      <c r="AF918" s="408"/>
      <c r="AG918" s="408"/>
      <c r="AH918" s="408"/>
      <c r="AI918" s="408"/>
      <c r="AJ918" s="408"/>
      <c r="AK918" s="408"/>
      <c r="AL918" s="408"/>
      <c r="AM918" s="408"/>
      <c r="AN918" s="408"/>
      <c r="AO918" s="408"/>
      <c r="AP918" s="408"/>
      <c r="AQ918" s="408"/>
      <c r="AR918" s="408"/>
      <c r="AS918" s="408"/>
      <c r="AT918" s="408"/>
      <c r="AU918" s="408"/>
      <c r="AV918" s="408"/>
      <c r="AW918" s="408"/>
      <c r="AX918" s="408"/>
      <c r="AY918" s="408"/>
      <c r="AZ918" s="408"/>
      <c r="BA918" s="408"/>
      <c r="BB918" s="408"/>
      <c r="BC918" s="408"/>
      <c r="BD918" s="408"/>
      <c r="BE918" s="408"/>
      <c r="BF918" s="408"/>
      <c r="BG918" s="408"/>
      <c r="BH918" s="408"/>
      <c r="BI918" s="408"/>
      <c r="BJ918" s="408"/>
      <c r="BK918" s="408"/>
      <c r="BL918" s="408"/>
      <c r="BM918" s="408"/>
      <c r="BN918" s="408"/>
      <c r="BO918" s="408"/>
      <c r="BP918" s="408"/>
      <c r="BQ918" s="408"/>
      <c r="BR918" s="408"/>
      <c r="BS918" s="408"/>
      <c r="BT918" s="408"/>
      <c r="BU918" s="408"/>
      <c r="BV918" s="408"/>
      <c r="BW918" s="408"/>
      <c r="BX918" s="408"/>
      <c r="BY918" s="408"/>
      <c r="BZ918" s="408"/>
      <c r="CA918" s="408"/>
      <c r="CB918" s="408"/>
      <c r="CC918" s="408"/>
      <c r="CD918" s="408"/>
      <c r="CE918" s="408"/>
      <c r="CF918" s="408"/>
      <c r="CG918" s="408"/>
      <c r="CH918" s="408"/>
      <c r="CI918" s="408"/>
      <c r="CJ918" s="408"/>
      <c r="CK918" s="408"/>
      <c r="CL918" s="408"/>
      <c r="CM918" s="408"/>
      <c r="CN918" s="408"/>
    </row>
    <row r="919">
      <c r="A919" s="408"/>
      <c r="B919" s="408"/>
      <c r="C919" s="408"/>
      <c r="D919" s="408"/>
      <c r="E919" s="408"/>
      <c r="F919" s="408"/>
      <c r="G919" s="408"/>
      <c r="H919" s="408"/>
      <c r="I919" s="408"/>
      <c r="J919" s="408"/>
      <c r="K919" s="408"/>
      <c r="L919" s="408"/>
      <c r="M919" s="408"/>
      <c r="N919" s="408"/>
      <c r="O919" s="408"/>
      <c r="P919" s="408"/>
      <c r="Q919" s="408"/>
      <c r="R919" s="408"/>
      <c r="S919" s="408"/>
      <c r="T919" s="408"/>
      <c r="U919" s="408"/>
      <c r="V919" s="408"/>
      <c r="W919" s="408"/>
      <c r="X919" s="408"/>
      <c r="Y919" s="408"/>
      <c r="Z919" s="408"/>
      <c r="AA919" s="408"/>
      <c r="AB919" s="408"/>
      <c r="AC919" s="408"/>
      <c r="AD919" s="408"/>
      <c r="AE919" s="408"/>
      <c r="AF919" s="408"/>
      <c r="AG919" s="408"/>
      <c r="AH919" s="408"/>
      <c r="AI919" s="408"/>
      <c r="AJ919" s="408"/>
      <c r="AK919" s="408"/>
      <c r="AL919" s="408"/>
      <c r="AM919" s="408"/>
      <c r="AN919" s="408"/>
      <c r="AO919" s="408"/>
      <c r="AP919" s="408"/>
      <c r="AQ919" s="408"/>
      <c r="AR919" s="408"/>
      <c r="AS919" s="408"/>
      <c r="AT919" s="408"/>
      <c r="AU919" s="408"/>
      <c r="AV919" s="408"/>
      <c r="AW919" s="408"/>
      <c r="AX919" s="408"/>
      <c r="AY919" s="408"/>
      <c r="AZ919" s="408"/>
      <c r="BA919" s="408"/>
      <c r="BB919" s="408"/>
      <c r="BC919" s="408"/>
      <c r="BD919" s="408"/>
      <c r="BE919" s="408"/>
      <c r="BF919" s="408"/>
      <c r="BG919" s="408"/>
      <c r="BH919" s="408"/>
      <c r="BI919" s="408"/>
      <c r="BJ919" s="408"/>
      <c r="BK919" s="408"/>
      <c r="BL919" s="408"/>
      <c r="BM919" s="408"/>
      <c r="BN919" s="408"/>
      <c r="BO919" s="408"/>
      <c r="BP919" s="408"/>
      <c r="BQ919" s="408"/>
      <c r="BR919" s="408"/>
      <c r="BS919" s="408"/>
      <c r="BT919" s="408"/>
      <c r="BU919" s="408"/>
      <c r="BV919" s="408"/>
      <c r="BW919" s="408"/>
      <c r="BX919" s="408"/>
      <c r="BY919" s="408"/>
      <c r="BZ919" s="408"/>
      <c r="CA919" s="408"/>
      <c r="CB919" s="408"/>
      <c r="CC919" s="408"/>
      <c r="CD919" s="408"/>
      <c r="CE919" s="408"/>
      <c r="CF919" s="408"/>
      <c r="CG919" s="408"/>
      <c r="CH919" s="408"/>
      <c r="CI919" s="408"/>
      <c r="CJ919" s="408"/>
      <c r="CK919" s="408"/>
      <c r="CL919" s="408"/>
      <c r="CM919" s="408"/>
      <c r="CN919" s="408"/>
    </row>
    <row r="920">
      <c r="A920" s="408"/>
      <c r="B920" s="408"/>
      <c r="C920" s="408"/>
      <c r="D920" s="408"/>
      <c r="E920" s="408"/>
      <c r="F920" s="408"/>
      <c r="G920" s="408"/>
      <c r="H920" s="408"/>
      <c r="I920" s="408"/>
      <c r="J920" s="408"/>
      <c r="K920" s="408"/>
      <c r="L920" s="408"/>
      <c r="M920" s="408"/>
      <c r="N920" s="408"/>
      <c r="O920" s="408"/>
      <c r="P920" s="408"/>
      <c r="Q920" s="408"/>
      <c r="R920" s="408"/>
      <c r="S920" s="408"/>
      <c r="T920" s="408"/>
      <c r="U920" s="408"/>
      <c r="V920" s="408"/>
      <c r="W920" s="408"/>
      <c r="X920" s="408"/>
      <c r="Y920" s="408"/>
      <c r="Z920" s="408"/>
      <c r="AA920" s="408"/>
      <c r="AB920" s="408"/>
      <c r="AC920" s="408"/>
      <c r="AD920" s="408"/>
      <c r="AE920" s="408"/>
      <c r="AF920" s="408"/>
      <c r="AG920" s="408"/>
      <c r="AH920" s="408"/>
      <c r="AI920" s="408"/>
      <c r="AJ920" s="408"/>
      <c r="AK920" s="408"/>
      <c r="AL920" s="408"/>
      <c r="AM920" s="408"/>
      <c r="AN920" s="408"/>
      <c r="AO920" s="408"/>
      <c r="AP920" s="408"/>
      <c r="AQ920" s="408"/>
      <c r="AR920" s="408"/>
      <c r="AS920" s="408"/>
      <c r="AT920" s="408"/>
      <c r="AU920" s="408"/>
      <c r="AV920" s="408"/>
      <c r="AW920" s="408"/>
      <c r="AX920" s="408"/>
      <c r="AY920" s="408"/>
      <c r="AZ920" s="408"/>
      <c r="BA920" s="408"/>
      <c r="BB920" s="408"/>
      <c r="BC920" s="408"/>
      <c r="BD920" s="408"/>
      <c r="BE920" s="408"/>
      <c r="BF920" s="408"/>
      <c r="BG920" s="408"/>
      <c r="BH920" s="408"/>
      <c r="BI920" s="408"/>
      <c r="BJ920" s="408"/>
      <c r="BK920" s="408"/>
      <c r="BL920" s="408"/>
      <c r="BM920" s="408"/>
      <c r="BN920" s="408"/>
      <c r="BO920" s="408"/>
      <c r="BP920" s="408"/>
      <c r="BQ920" s="408"/>
      <c r="BR920" s="408"/>
      <c r="BS920" s="408"/>
      <c r="BT920" s="408"/>
      <c r="BU920" s="408"/>
      <c r="BV920" s="408"/>
      <c r="BW920" s="408"/>
      <c r="BX920" s="408"/>
      <c r="BY920" s="408"/>
      <c r="BZ920" s="408"/>
      <c r="CA920" s="408"/>
      <c r="CB920" s="408"/>
      <c r="CC920" s="408"/>
      <c r="CD920" s="408"/>
      <c r="CE920" s="408"/>
      <c r="CF920" s="408"/>
      <c r="CG920" s="408"/>
      <c r="CH920" s="408"/>
      <c r="CI920" s="408"/>
      <c r="CJ920" s="408"/>
      <c r="CK920" s="408"/>
      <c r="CL920" s="408"/>
      <c r="CM920" s="408"/>
      <c r="CN920" s="408"/>
    </row>
    <row r="921">
      <c r="A921" s="408"/>
      <c r="B921" s="408"/>
      <c r="C921" s="408"/>
      <c r="D921" s="408"/>
      <c r="E921" s="408"/>
      <c r="F921" s="408"/>
      <c r="G921" s="408"/>
      <c r="H921" s="408"/>
      <c r="I921" s="408"/>
      <c r="J921" s="408"/>
      <c r="K921" s="408"/>
      <c r="L921" s="408"/>
      <c r="M921" s="408"/>
      <c r="N921" s="408"/>
      <c r="O921" s="408"/>
      <c r="P921" s="408"/>
      <c r="Q921" s="408"/>
      <c r="R921" s="408"/>
      <c r="S921" s="408"/>
      <c r="T921" s="408"/>
      <c r="U921" s="408"/>
      <c r="V921" s="408"/>
      <c r="W921" s="408"/>
      <c r="X921" s="408"/>
      <c r="Y921" s="408"/>
      <c r="Z921" s="408"/>
      <c r="AA921" s="408"/>
      <c r="AB921" s="408"/>
      <c r="AC921" s="408"/>
      <c r="AD921" s="408"/>
      <c r="AE921" s="408"/>
      <c r="AF921" s="408"/>
      <c r="AG921" s="408"/>
      <c r="AH921" s="408"/>
      <c r="AI921" s="408"/>
      <c r="AJ921" s="408"/>
      <c r="AK921" s="408"/>
      <c r="AL921" s="408"/>
      <c r="AM921" s="408"/>
      <c r="AN921" s="408"/>
      <c r="AO921" s="408"/>
      <c r="AP921" s="408"/>
      <c r="AQ921" s="408"/>
      <c r="AR921" s="408"/>
      <c r="AS921" s="408"/>
      <c r="AT921" s="408"/>
      <c r="AU921" s="408"/>
      <c r="AV921" s="408"/>
      <c r="AW921" s="408"/>
      <c r="AX921" s="408"/>
      <c r="AY921" s="408"/>
      <c r="AZ921" s="408"/>
      <c r="BA921" s="408"/>
      <c r="BB921" s="408"/>
      <c r="BC921" s="408"/>
      <c r="BD921" s="408"/>
      <c r="BE921" s="408"/>
      <c r="BF921" s="408"/>
      <c r="BG921" s="408"/>
      <c r="BH921" s="408"/>
      <c r="BI921" s="408"/>
      <c r="BJ921" s="408"/>
      <c r="BK921" s="408"/>
      <c r="BL921" s="408"/>
      <c r="BM921" s="408"/>
      <c r="BN921" s="408"/>
      <c r="BO921" s="408"/>
      <c r="BP921" s="408"/>
      <c r="BQ921" s="408"/>
      <c r="BR921" s="408"/>
      <c r="BS921" s="408"/>
      <c r="BT921" s="408"/>
      <c r="BU921" s="408"/>
      <c r="BV921" s="408"/>
      <c r="BW921" s="408"/>
      <c r="BX921" s="408"/>
      <c r="BY921" s="408"/>
      <c r="BZ921" s="408"/>
      <c r="CA921" s="408"/>
      <c r="CB921" s="408"/>
      <c r="CC921" s="408"/>
      <c r="CD921" s="408"/>
      <c r="CE921" s="408"/>
      <c r="CF921" s="408"/>
      <c r="CG921" s="408"/>
      <c r="CH921" s="408"/>
      <c r="CI921" s="408"/>
      <c r="CJ921" s="408"/>
      <c r="CK921" s="408"/>
      <c r="CL921" s="408"/>
      <c r="CM921" s="408"/>
      <c r="CN921" s="408"/>
    </row>
    <row r="922">
      <c r="A922" s="408"/>
      <c r="B922" s="408"/>
      <c r="C922" s="408"/>
      <c r="D922" s="408"/>
      <c r="E922" s="408"/>
      <c r="F922" s="408"/>
      <c r="G922" s="408"/>
      <c r="H922" s="408"/>
      <c r="I922" s="408"/>
      <c r="J922" s="408"/>
      <c r="K922" s="408"/>
      <c r="L922" s="408"/>
      <c r="M922" s="408"/>
      <c r="N922" s="408"/>
      <c r="O922" s="408"/>
      <c r="P922" s="408"/>
      <c r="Q922" s="408"/>
      <c r="R922" s="408"/>
      <c r="S922" s="408"/>
      <c r="T922" s="408"/>
      <c r="U922" s="408"/>
      <c r="V922" s="408"/>
      <c r="W922" s="408"/>
      <c r="X922" s="408"/>
      <c r="Y922" s="408"/>
      <c r="Z922" s="408"/>
      <c r="AA922" s="408"/>
      <c r="AB922" s="408"/>
      <c r="AC922" s="408"/>
      <c r="AD922" s="408"/>
      <c r="AE922" s="408"/>
      <c r="AF922" s="408"/>
      <c r="AG922" s="408"/>
      <c r="AH922" s="408"/>
      <c r="AI922" s="408"/>
      <c r="AJ922" s="408"/>
      <c r="AK922" s="408"/>
      <c r="AL922" s="408"/>
      <c r="AM922" s="408"/>
      <c r="AN922" s="408"/>
      <c r="AO922" s="408"/>
      <c r="AP922" s="408"/>
      <c r="AQ922" s="408"/>
      <c r="AR922" s="408"/>
      <c r="AS922" s="408"/>
      <c r="AT922" s="408"/>
      <c r="AU922" s="408"/>
      <c r="AV922" s="408"/>
      <c r="AW922" s="408"/>
      <c r="AX922" s="408"/>
      <c r="AY922" s="408"/>
      <c r="AZ922" s="408"/>
      <c r="BA922" s="408"/>
      <c r="BB922" s="408"/>
      <c r="BC922" s="408"/>
      <c r="BD922" s="408"/>
      <c r="BE922" s="408"/>
      <c r="BF922" s="408"/>
      <c r="BG922" s="408"/>
      <c r="BH922" s="408"/>
      <c r="BI922" s="408"/>
      <c r="BJ922" s="408"/>
      <c r="BK922" s="408"/>
      <c r="BL922" s="408"/>
      <c r="BM922" s="408"/>
      <c r="BN922" s="408"/>
      <c r="BO922" s="408"/>
      <c r="BP922" s="408"/>
      <c r="BQ922" s="408"/>
      <c r="BR922" s="408"/>
      <c r="BS922" s="408"/>
      <c r="BT922" s="408"/>
      <c r="BU922" s="408"/>
      <c r="BV922" s="408"/>
      <c r="BW922" s="408"/>
      <c r="BX922" s="408"/>
      <c r="BY922" s="408"/>
      <c r="BZ922" s="408"/>
      <c r="CA922" s="408"/>
      <c r="CB922" s="408"/>
      <c r="CC922" s="408"/>
      <c r="CD922" s="408"/>
      <c r="CE922" s="408"/>
      <c r="CF922" s="408"/>
      <c r="CG922" s="408"/>
      <c r="CH922" s="408"/>
      <c r="CI922" s="408"/>
      <c r="CJ922" s="408"/>
      <c r="CK922" s="408"/>
      <c r="CL922" s="408"/>
      <c r="CM922" s="408"/>
      <c r="CN922" s="408"/>
    </row>
    <row r="923">
      <c r="A923" s="408"/>
      <c r="B923" s="408"/>
      <c r="C923" s="408"/>
      <c r="D923" s="408"/>
      <c r="E923" s="408"/>
      <c r="F923" s="408"/>
      <c r="G923" s="408"/>
      <c r="H923" s="408"/>
      <c r="I923" s="408"/>
      <c r="J923" s="408"/>
      <c r="K923" s="408"/>
      <c r="L923" s="408"/>
      <c r="M923" s="408"/>
      <c r="N923" s="408"/>
      <c r="O923" s="408"/>
      <c r="P923" s="408"/>
      <c r="Q923" s="408"/>
      <c r="R923" s="408"/>
      <c r="S923" s="408"/>
      <c r="T923" s="408"/>
      <c r="U923" s="408"/>
      <c r="V923" s="408"/>
      <c r="W923" s="408"/>
      <c r="X923" s="408"/>
      <c r="Y923" s="408"/>
      <c r="Z923" s="408"/>
      <c r="AA923" s="408"/>
      <c r="AB923" s="408"/>
      <c r="AC923" s="408"/>
      <c r="AD923" s="408"/>
      <c r="AE923" s="408"/>
      <c r="AF923" s="408"/>
      <c r="AG923" s="408"/>
      <c r="AH923" s="408"/>
      <c r="AI923" s="408"/>
      <c r="AJ923" s="408"/>
      <c r="AK923" s="408"/>
      <c r="AL923" s="408"/>
      <c r="AM923" s="408"/>
      <c r="AN923" s="408"/>
      <c r="AO923" s="408"/>
      <c r="AP923" s="408"/>
      <c r="AQ923" s="408"/>
      <c r="AR923" s="408"/>
      <c r="AS923" s="408"/>
      <c r="AT923" s="408"/>
      <c r="AU923" s="408"/>
      <c r="AV923" s="408"/>
      <c r="AW923" s="408"/>
      <c r="AX923" s="408"/>
      <c r="AY923" s="408"/>
      <c r="AZ923" s="408"/>
      <c r="BA923" s="408"/>
      <c r="BB923" s="408"/>
      <c r="BC923" s="408"/>
      <c r="BD923" s="408"/>
      <c r="BE923" s="408"/>
      <c r="BF923" s="408"/>
      <c r="BG923" s="408"/>
      <c r="BH923" s="408"/>
      <c r="BI923" s="408"/>
      <c r="BJ923" s="408"/>
      <c r="BK923" s="408"/>
      <c r="BL923" s="408"/>
      <c r="BM923" s="408"/>
      <c r="BN923" s="408"/>
      <c r="BO923" s="408"/>
      <c r="BP923" s="408"/>
      <c r="BQ923" s="408"/>
      <c r="BR923" s="408"/>
      <c r="BS923" s="408"/>
      <c r="BT923" s="408"/>
      <c r="BU923" s="408"/>
      <c r="BV923" s="408"/>
      <c r="BW923" s="408"/>
      <c r="BX923" s="408"/>
      <c r="BY923" s="408"/>
      <c r="BZ923" s="408"/>
      <c r="CA923" s="408"/>
      <c r="CB923" s="408"/>
      <c r="CC923" s="408"/>
      <c r="CD923" s="408"/>
      <c r="CE923" s="408"/>
      <c r="CF923" s="408"/>
      <c r="CG923" s="408"/>
      <c r="CH923" s="408"/>
      <c r="CI923" s="408"/>
      <c r="CJ923" s="408"/>
      <c r="CK923" s="408"/>
      <c r="CL923" s="408"/>
      <c r="CM923" s="408"/>
      <c r="CN923" s="408"/>
    </row>
    <row r="924">
      <c r="A924" s="408"/>
      <c r="B924" s="408"/>
      <c r="C924" s="408"/>
      <c r="D924" s="408"/>
      <c r="E924" s="408"/>
      <c r="F924" s="408"/>
      <c r="G924" s="408"/>
      <c r="H924" s="408"/>
      <c r="I924" s="408"/>
      <c r="J924" s="408"/>
      <c r="K924" s="408"/>
      <c r="L924" s="408"/>
      <c r="M924" s="408"/>
      <c r="N924" s="408"/>
      <c r="O924" s="408"/>
      <c r="P924" s="408"/>
      <c r="Q924" s="408"/>
      <c r="R924" s="408"/>
      <c r="S924" s="408"/>
      <c r="T924" s="408"/>
      <c r="U924" s="408"/>
      <c r="V924" s="408"/>
      <c r="W924" s="408"/>
      <c r="X924" s="408"/>
      <c r="Y924" s="408"/>
      <c r="Z924" s="408"/>
      <c r="AA924" s="408"/>
      <c r="AB924" s="408"/>
      <c r="AC924" s="408"/>
      <c r="AD924" s="408"/>
      <c r="AE924" s="408"/>
      <c r="AF924" s="408"/>
      <c r="AG924" s="408"/>
      <c r="AH924" s="408"/>
      <c r="AI924" s="408"/>
      <c r="AJ924" s="408"/>
      <c r="AK924" s="408"/>
      <c r="AL924" s="408"/>
      <c r="AM924" s="408"/>
      <c r="AN924" s="408"/>
      <c r="AO924" s="408"/>
      <c r="AP924" s="408"/>
      <c r="AQ924" s="408"/>
      <c r="AR924" s="408"/>
      <c r="AS924" s="408"/>
      <c r="AT924" s="408"/>
      <c r="AU924" s="408"/>
      <c r="AV924" s="408"/>
      <c r="AW924" s="408"/>
      <c r="AX924" s="408"/>
      <c r="AY924" s="408"/>
      <c r="AZ924" s="408"/>
      <c r="BA924" s="408"/>
      <c r="BB924" s="408"/>
      <c r="BC924" s="408"/>
      <c r="BD924" s="408"/>
      <c r="BE924" s="408"/>
      <c r="BF924" s="408"/>
      <c r="BG924" s="408"/>
      <c r="BH924" s="408"/>
      <c r="BI924" s="408"/>
      <c r="BJ924" s="408"/>
      <c r="BK924" s="408"/>
      <c r="BL924" s="408"/>
      <c r="BM924" s="408"/>
      <c r="BN924" s="408"/>
      <c r="BO924" s="408"/>
      <c r="BP924" s="408"/>
      <c r="BQ924" s="408"/>
      <c r="BR924" s="408"/>
      <c r="BS924" s="408"/>
      <c r="BT924" s="408"/>
      <c r="BU924" s="408"/>
      <c r="BV924" s="408"/>
      <c r="BW924" s="408"/>
      <c r="BX924" s="408"/>
      <c r="BY924" s="408"/>
      <c r="BZ924" s="408"/>
      <c r="CA924" s="408"/>
      <c r="CB924" s="408"/>
      <c r="CC924" s="408"/>
      <c r="CD924" s="408"/>
      <c r="CE924" s="408"/>
      <c r="CF924" s="408"/>
      <c r="CG924" s="408"/>
      <c r="CH924" s="408"/>
      <c r="CI924" s="408"/>
      <c r="CJ924" s="408"/>
      <c r="CK924" s="408"/>
      <c r="CL924" s="408"/>
      <c r="CM924" s="408"/>
      <c r="CN924" s="408"/>
    </row>
    <row r="925">
      <c r="A925" s="408"/>
      <c r="B925" s="408"/>
      <c r="C925" s="408"/>
      <c r="D925" s="408"/>
      <c r="E925" s="408"/>
      <c r="F925" s="408"/>
      <c r="G925" s="408"/>
      <c r="H925" s="408"/>
      <c r="I925" s="408"/>
      <c r="J925" s="408"/>
      <c r="K925" s="408"/>
      <c r="L925" s="408"/>
      <c r="M925" s="408"/>
      <c r="N925" s="408"/>
      <c r="O925" s="408"/>
      <c r="P925" s="408"/>
      <c r="Q925" s="408"/>
      <c r="R925" s="408"/>
      <c r="S925" s="408"/>
      <c r="T925" s="408"/>
      <c r="U925" s="408"/>
      <c r="V925" s="408"/>
      <c r="W925" s="408"/>
      <c r="X925" s="408"/>
      <c r="Y925" s="408"/>
      <c r="Z925" s="408"/>
      <c r="AA925" s="408"/>
      <c r="AB925" s="408"/>
      <c r="AC925" s="408"/>
      <c r="AD925" s="408"/>
      <c r="AE925" s="408"/>
      <c r="AF925" s="408"/>
      <c r="AG925" s="408"/>
      <c r="AH925" s="408"/>
      <c r="AI925" s="408"/>
      <c r="AJ925" s="408"/>
      <c r="AK925" s="408"/>
      <c r="AL925" s="408"/>
      <c r="AM925" s="408"/>
      <c r="AN925" s="408"/>
      <c r="AO925" s="408"/>
      <c r="AP925" s="408"/>
      <c r="AQ925" s="408"/>
      <c r="AR925" s="408"/>
      <c r="AS925" s="408"/>
      <c r="AT925" s="408"/>
      <c r="AU925" s="408"/>
      <c r="AV925" s="408"/>
      <c r="AW925" s="408"/>
      <c r="AX925" s="408"/>
      <c r="AY925" s="408"/>
      <c r="AZ925" s="408"/>
      <c r="BA925" s="408"/>
      <c r="BB925" s="408"/>
      <c r="BC925" s="408"/>
      <c r="BD925" s="408"/>
      <c r="BE925" s="408"/>
      <c r="BF925" s="408"/>
      <c r="BG925" s="408"/>
      <c r="BH925" s="408"/>
      <c r="BI925" s="408"/>
      <c r="BJ925" s="408"/>
      <c r="BK925" s="408"/>
      <c r="BL925" s="408"/>
      <c r="BM925" s="408"/>
      <c r="BN925" s="408"/>
      <c r="BO925" s="408"/>
      <c r="BP925" s="408"/>
      <c r="BQ925" s="408"/>
      <c r="BR925" s="408"/>
      <c r="BS925" s="408"/>
      <c r="BT925" s="408"/>
      <c r="BU925" s="408"/>
      <c r="BV925" s="408"/>
      <c r="BW925" s="408"/>
      <c r="BX925" s="408"/>
      <c r="BY925" s="408"/>
      <c r="BZ925" s="408"/>
      <c r="CA925" s="408"/>
      <c r="CB925" s="408"/>
      <c r="CC925" s="408"/>
      <c r="CD925" s="408"/>
      <c r="CE925" s="408"/>
      <c r="CF925" s="408"/>
      <c r="CG925" s="408"/>
      <c r="CH925" s="408"/>
      <c r="CI925" s="408"/>
      <c r="CJ925" s="408"/>
      <c r="CK925" s="408"/>
      <c r="CL925" s="408"/>
      <c r="CM925" s="408"/>
      <c r="CN925" s="408"/>
    </row>
    <row r="926">
      <c r="A926" s="408"/>
      <c r="B926" s="408"/>
      <c r="C926" s="408"/>
      <c r="D926" s="408"/>
      <c r="E926" s="408"/>
      <c r="F926" s="408"/>
      <c r="G926" s="408"/>
      <c r="H926" s="408"/>
      <c r="I926" s="408"/>
      <c r="J926" s="408"/>
      <c r="K926" s="408"/>
      <c r="L926" s="408"/>
      <c r="M926" s="408"/>
      <c r="N926" s="408"/>
      <c r="O926" s="408"/>
      <c r="P926" s="408"/>
      <c r="Q926" s="408"/>
      <c r="R926" s="408"/>
      <c r="S926" s="408"/>
      <c r="T926" s="408"/>
      <c r="U926" s="408"/>
      <c r="V926" s="408"/>
      <c r="W926" s="408"/>
      <c r="X926" s="408"/>
      <c r="Y926" s="408"/>
      <c r="Z926" s="408"/>
      <c r="AA926" s="408"/>
      <c r="AB926" s="408"/>
      <c r="AC926" s="408"/>
      <c r="AD926" s="408"/>
      <c r="AE926" s="408"/>
      <c r="AF926" s="408"/>
      <c r="AG926" s="408"/>
      <c r="AH926" s="408"/>
      <c r="AI926" s="408"/>
      <c r="AJ926" s="408"/>
      <c r="AK926" s="408"/>
      <c r="AL926" s="408"/>
      <c r="AM926" s="408"/>
      <c r="AN926" s="408"/>
      <c r="AO926" s="408"/>
      <c r="AP926" s="408"/>
      <c r="AQ926" s="408"/>
      <c r="AR926" s="408"/>
      <c r="AS926" s="408"/>
      <c r="AT926" s="408"/>
      <c r="AU926" s="408"/>
      <c r="AV926" s="408"/>
      <c r="AW926" s="408"/>
      <c r="AX926" s="408"/>
      <c r="AY926" s="408"/>
      <c r="AZ926" s="408"/>
      <c r="BA926" s="408"/>
      <c r="BB926" s="408"/>
      <c r="BC926" s="408"/>
      <c r="BD926" s="408"/>
      <c r="BE926" s="408"/>
      <c r="BF926" s="408"/>
      <c r="BG926" s="408"/>
      <c r="BH926" s="408"/>
      <c r="BI926" s="408"/>
      <c r="BJ926" s="408"/>
      <c r="BK926" s="408"/>
      <c r="BL926" s="408"/>
      <c r="BM926" s="408"/>
      <c r="BN926" s="408"/>
      <c r="BO926" s="408"/>
      <c r="BP926" s="408"/>
      <c r="BQ926" s="408"/>
      <c r="BR926" s="408"/>
      <c r="BS926" s="408"/>
      <c r="BT926" s="408"/>
      <c r="BU926" s="408"/>
      <c r="BV926" s="408"/>
      <c r="BW926" s="408"/>
      <c r="BX926" s="408"/>
      <c r="BY926" s="408"/>
      <c r="BZ926" s="408"/>
      <c r="CA926" s="408"/>
      <c r="CB926" s="408"/>
      <c r="CC926" s="408"/>
      <c r="CD926" s="408"/>
      <c r="CE926" s="408"/>
      <c r="CF926" s="408"/>
      <c r="CG926" s="408"/>
      <c r="CH926" s="408"/>
      <c r="CI926" s="408"/>
      <c r="CJ926" s="408"/>
      <c r="CK926" s="408"/>
      <c r="CL926" s="408"/>
      <c r="CM926" s="408"/>
      <c r="CN926" s="408"/>
    </row>
    <row r="927">
      <c r="A927" s="408"/>
      <c r="B927" s="408"/>
      <c r="C927" s="408"/>
      <c r="D927" s="408"/>
      <c r="E927" s="408"/>
      <c r="F927" s="408"/>
      <c r="G927" s="408"/>
      <c r="H927" s="408"/>
      <c r="I927" s="408"/>
      <c r="J927" s="408"/>
      <c r="K927" s="408"/>
      <c r="L927" s="408"/>
      <c r="M927" s="408"/>
      <c r="N927" s="408"/>
      <c r="O927" s="408"/>
      <c r="P927" s="408"/>
      <c r="Q927" s="408"/>
      <c r="R927" s="408"/>
      <c r="S927" s="408"/>
      <c r="T927" s="408"/>
      <c r="U927" s="408"/>
      <c r="V927" s="408"/>
      <c r="W927" s="408"/>
      <c r="X927" s="408"/>
      <c r="Y927" s="408"/>
      <c r="Z927" s="408"/>
      <c r="AA927" s="408"/>
      <c r="AB927" s="408"/>
      <c r="AC927" s="408"/>
      <c r="AD927" s="408"/>
      <c r="AE927" s="408"/>
      <c r="AF927" s="408"/>
      <c r="AG927" s="408"/>
      <c r="AH927" s="408"/>
      <c r="AI927" s="408"/>
      <c r="AJ927" s="408"/>
      <c r="AK927" s="408"/>
      <c r="AL927" s="408"/>
      <c r="AM927" s="408"/>
      <c r="AN927" s="408"/>
      <c r="AO927" s="408"/>
      <c r="AP927" s="408"/>
      <c r="AQ927" s="408"/>
      <c r="AR927" s="408"/>
      <c r="AS927" s="408"/>
      <c r="AT927" s="408"/>
      <c r="AU927" s="408"/>
      <c r="AV927" s="408"/>
      <c r="AW927" s="408"/>
      <c r="AX927" s="408"/>
      <c r="AY927" s="408"/>
      <c r="AZ927" s="408"/>
      <c r="BA927" s="408"/>
      <c r="BB927" s="408"/>
      <c r="BC927" s="408"/>
      <c r="BD927" s="408"/>
      <c r="BE927" s="408"/>
      <c r="BF927" s="408"/>
      <c r="BG927" s="408"/>
      <c r="BH927" s="408"/>
      <c r="BI927" s="408"/>
      <c r="BJ927" s="408"/>
      <c r="BK927" s="408"/>
      <c r="BL927" s="408"/>
      <c r="BM927" s="408"/>
      <c r="BN927" s="408"/>
      <c r="BO927" s="408"/>
      <c r="BP927" s="408"/>
      <c r="BQ927" s="408"/>
      <c r="BR927" s="408"/>
      <c r="BS927" s="408"/>
      <c r="BT927" s="408"/>
      <c r="BU927" s="408"/>
      <c r="BV927" s="408"/>
      <c r="BW927" s="408"/>
      <c r="BX927" s="408"/>
      <c r="BY927" s="408"/>
      <c r="BZ927" s="408"/>
      <c r="CA927" s="408"/>
      <c r="CB927" s="408"/>
      <c r="CC927" s="408"/>
      <c r="CD927" s="408"/>
      <c r="CE927" s="408"/>
      <c r="CF927" s="408"/>
      <c r="CG927" s="408"/>
      <c r="CH927" s="408"/>
      <c r="CI927" s="408"/>
      <c r="CJ927" s="408"/>
      <c r="CK927" s="408"/>
      <c r="CL927" s="408"/>
      <c r="CM927" s="408"/>
      <c r="CN927" s="408"/>
    </row>
    <row r="928">
      <c r="A928" s="408"/>
      <c r="B928" s="408"/>
      <c r="C928" s="408"/>
      <c r="D928" s="408"/>
      <c r="E928" s="408"/>
      <c r="F928" s="408"/>
      <c r="G928" s="408"/>
      <c r="H928" s="408"/>
      <c r="I928" s="408"/>
      <c r="J928" s="408"/>
      <c r="K928" s="408"/>
      <c r="L928" s="408"/>
      <c r="M928" s="408"/>
      <c r="N928" s="408"/>
      <c r="O928" s="408"/>
      <c r="P928" s="408"/>
      <c r="Q928" s="408"/>
      <c r="R928" s="408"/>
      <c r="S928" s="408"/>
      <c r="T928" s="408"/>
      <c r="U928" s="408"/>
      <c r="V928" s="408"/>
      <c r="W928" s="408"/>
      <c r="X928" s="408"/>
      <c r="Y928" s="408"/>
      <c r="Z928" s="408"/>
      <c r="AA928" s="408"/>
      <c r="AB928" s="408"/>
      <c r="AC928" s="408"/>
      <c r="AD928" s="408"/>
      <c r="AE928" s="408"/>
      <c r="AF928" s="408"/>
      <c r="AG928" s="408"/>
      <c r="AH928" s="408"/>
      <c r="AI928" s="408"/>
      <c r="AJ928" s="408"/>
      <c r="AK928" s="408"/>
      <c r="AL928" s="408"/>
      <c r="AM928" s="408"/>
      <c r="AN928" s="408"/>
      <c r="AO928" s="408"/>
      <c r="AP928" s="408"/>
      <c r="AQ928" s="408"/>
      <c r="AR928" s="408"/>
      <c r="AS928" s="408"/>
      <c r="AT928" s="408"/>
      <c r="AU928" s="408"/>
      <c r="AV928" s="408"/>
      <c r="AW928" s="408"/>
      <c r="AX928" s="408"/>
      <c r="AY928" s="408"/>
      <c r="AZ928" s="408"/>
      <c r="BA928" s="408"/>
      <c r="BB928" s="408"/>
      <c r="BC928" s="408"/>
      <c r="BD928" s="408"/>
      <c r="BE928" s="408"/>
      <c r="BF928" s="408"/>
      <c r="BG928" s="408"/>
      <c r="BH928" s="408"/>
      <c r="BI928" s="408"/>
      <c r="BJ928" s="408"/>
      <c r="BK928" s="408"/>
      <c r="BL928" s="408"/>
      <c r="BM928" s="408"/>
      <c r="BN928" s="408"/>
      <c r="BO928" s="408"/>
      <c r="BP928" s="408"/>
      <c r="BQ928" s="408"/>
      <c r="BR928" s="408"/>
      <c r="BS928" s="408"/>
      <c r="BT928" s="408"/>
      <c r="BU928" s="408"/>
      <c r="BV928" s="408"/>
      <c r="BW928" s="408"/>
      <c r="BX928" s="408"/>
      <c r="BY928" s="408"/>
      <c r="BZ928" s="408"/>
      <c r="CA928" s="408"/>
      <c r="CB928" s="408"/>
      <c r="CC928" s="408"/>
      <c r="CD928" s="408"/>
      <c r="CE928" s="408"/>
      <c r="CF928" s="408"/>
      <c r="CG928" s="408"/>
      <c r="CH928" s="408"/>
      <c r="CI928" s="408"/>
      <c r="CJ928" s="408"/>
      <c r="CK928" s="408"/>
      <c r="CL928" s="408"/>
      <c r="CM928" s="408"/>
      <c r="CN928" s="408"/>
    </row>
    <row r="929">
      <c r="A929" s="408"/>
      <c r="B929" s="408"/>
      <c r="C929" s="408"/>
      <c r="D929" s="408"/>
      <c r="E929" s="408"/>
      <c r="F929" s="408"/>
      <c r="G929" s="408"/>
      <c r="H929" s="408"/>
      <c r="I929" s="408"/>
      <c r="J929" s="408"/>
      <c r="K929" s="408"/>
      <c r="L929" s="408"/>
      <c r="M929" s="408"/>
      <c r="N929" s="408"/>
      <c r="O929" s="408"/>
      <c r="P929" s="408"/>
      <c r="Q929" s="408"/>
      <c r="R929" s="408"/>
      <c r="S929" s="408"/>
      <c r="T929" s="408"/>
      <c r="U929" s="408"/>
      <c r="V929" s="408"/>
      <c r="W929" s="408"/>
      <c r="X929" s="408"/>
      <c r="Y929" s="408"/>
      <c r="Z929" s="408"/>
      <c r="AA929" s="408"/>
      <c r="AB929" s="408"/>
      <c r="AC929" s="408"/>
      <c r="AD929" s="408"/>
      <c r="AE929" s="408"/>
      <c r="AF929" s="408"/>
      <c r="AG929" s="408"/>
      <c r="AH929" s="408"/>
      <c r="AI929" s="408"/>
      <c r="AJ929" s="408"/>
      <c r="AK929" s="408"/>
      <c r="AL929" s="408"/>
      <c r="AM929" s="408"/>
      <c r="AN929" s="408"/>
      <c r="AO929" s="408"/>
      <c r="AP929" s="408"/>
      <c r="AQ929" s="408"/>
      <c r="AR929" s="408"/>
      <c r="AS929" s="408"/>
      <c r="AT929" s="408"/>
      <c r="AU929" s="408"/>
      <c r="AV929" s="408"/>
      <c r="AW929" s="408"/>
      <c r="AX929" s="408"/>
      <c r="AY929" s="408"/>
      <c r="AZ929" s="408"/>
      <c r="BA929" s="408"/>
      <c r="BB929" s="408"/>
      <c r="BC929" s="408"/>
      <c r="BD929" s="408"/>
      <c r="BE929" s="408"/>
      <c r="BF929" s="408"/>
      <c r="BG929" s="408"/>
      <c r="BH929" s="408"/>
      <c r="BI929" s="408"/>
      <c r="BJ929" s="408"/>
      <c r="BK929" s="408"/>
      <c r="BL929" s="408"/>
      <c r="BM929" s="408"/>
      <c r="BN929" s="408"/>
      <c r="BO929" s="408"/>
      <c r="BP929" s="408"/>
      <c r="BQ929" s="408"/>
      <c r="BR929" s="408"/>
      <c r="BS929" s="408"/>
      <c r="BT929" s="408"/>
      <c r="BU929" s="408"/>
      <c r="BV929" s="408"/>
      <c r="BW929" s="408"/>
      <c r="BX929" s="408"/>
      <c r="BY929" s="408"/>
      <c r="BZ929" s="408"/>
      <c r="CA929" s="408"/>
      <c r="CB929" s="408"/>
      <c r="CC929" s="408"/>
      <c r="CD929" s="408"/>
      <c r="CE929" s="408"/>
      <c r="CF929" s="408"/>
      <c r="CG929" s="408"/>
      <c r="CH929" s="408"/>
      <c r="CI929" s="408"/>
      <c r="CJ929" s="408"/>
      <c r="CK929" s="408"/>
      <c r="CL929" s="408"/>
      <c r="CM929" s="408"/>
      <c r="CN929" s="408"/>
    </row>
    <row r="930">
      <c r="A930" s="408"/>
      <c r="B930" s="408"/>
      <c r="C930" s="408"/>
      <c r="D930" s="408"/>
      <c r="E930" s="408"/>
      <c r="F930" s="408"/>
      <c r="G930" s="408"/>
      <c r="H930" s="408"/>
      <c r="I930" s="408"/>
      <c r="J930" s="408"/>
      <c r="K930" s="408"/>
      <c r="L930" s="408"/>
      <c r="M930" s="408"/>
      <c r="N930" s="408"/>
      <c r="O930" s="408"/>
      <c r="P930" s="408"/>
      <c r="Q930" s="408"/>
      <c r="R930" s="408"/>
      <c r="S930" s="408"/>
      <c r="T930" s="408"/>
      <c r="U930" s="408"/>
      <c r="V930" s="408"/>
      <c r="W930" s="408"/>
      <c r="X930" s="408"/>
      <c r="Y930" s="408"/>
      <c r="Z930" s="408"/>
      <c r="AA930" s="408"/>
      <c r="AB930" s="408"/>
      <c r="AC930" s="408"/>
      <c r="AD930" s="408"/>
      <c r="AE930" s="408"/>
      <c r="AF930" s="408"/>
      <c r="AG930" s="408"/>
      <c r="AH930" s="408"/>
      <c r="AI930" s="408"/>
      <c r="AJ930" s="408"/>
      <c r="AK930" s="408"/>
      <c r="AL930" s="408"/>
      <c r="AM930" s="408"/>
      <c r="AN930" s="408"/>
      <c r="AO930" s="408"/>
      <c r="AP930" s="408"/>
      <c r="AQ930" s="408"/>
      <c r="AR930" s="408"/>
      <c r="AS930" s="408"/>
      <c r="AT930" s="408"/>
      <c r="AU930" s="408"/>
      <c r="AV930" s="408"/>
      <c r="AW930" s="408"/>
      <c r="AX930" s="408"/>
      <c r="AY930" s="408"/>
      <c r="AZ930" s="408"/>
      <c r="BA930" s="408"/>
      <c r="BB930" s="408"/>
      <c r="BC930" s="408"/>
      <c r="BD930" s="408"/>
      <c r="BE930" s="408"/>
      <c r="BF930" s="408"/>
      <c r="BG930" s="408"/>
      <c r="BH930" s="408"/>
      <c r="BI930" s="408"/>
      <c r="BJ930" s="408"/>
      <c r="BK930" s="408"/>
      <c r="BL930" s="408"/>
      <c r="BM930" s="408"/>
      <c r="BN930" s="408"/>
      <c r="BO930" s="408"/>
      <c r="BP930" s="408"/>
      <c r="BQ930" s="408"/>
      <c r="BR930" s="408"/>
      <c r="BS930" s="408"/>
      <c r="BT930" s="408"/>
      <c r="BU930" s="408"/>
      <c r="BV930" s="408"/>
      <c r="BW930" s="408"/>
      <c r="BX930" s="408"/>
      <c r="BY930" s="408"/>
      <c r="BZ930" s="408"/>
      <c r="CA930" s="408"/>
      <c r="CB930" s="408"/>
      <c r="CC930" s="408"/>
      <c r="CD930" s="408"/>
      <c r="CE930" s="408"/>
      <c r="CF930" s="408"/>
      <c r="CG930" s="408"/>
      <c r="CH930" s="408"/>
      <c r="CI930" s="408"/>
      <c r="CJ930" s="408"/>
      <c r="CK930" s="408"/>
      <c r="CL930" s="408"/>
      <c r="CM930" s="408"/>
      <c r="CN930" s="408"/>
    </row>
    <row r="931">
      <c r="A931" s="408"/>
      <c r="B931" s="408"/>
      <c r="C931" s="408"/>
      <c r="D931" s="408"/>
      <c r="E931" s="408"/>
      <c r="F931" s="408"/>
      <c r="G931" s="408"/>
      <c r="H931" s="408"/>
      <c r="I931" s="408"/>
      <c r="J931" s="408"/>
      <c r="K931" s="408"/>
      <c r="L931" s="408"/>
      <c r="M931" s="408"/>
      <c r="N931" s="408"/>
      <c r="O931" s="408"/>
      <c r="P931" s="408"/>
      <c r="Q931" s="408"/>
      <c r="R931" s="408"/>
      <c r="S931" s="408"/>
      <c r="T931" s="408"/>
      <c r="U931" s="408"/>
      <c r="V931" s="408"/>
      <c r="W931" s="408"/>
      <c r="X931" s="408"/>
      <c r="Y931" s="408"/>
      <c r="Z931" s="408"/>
      <c r="AA931" s="408"/>
      <c r="AB931" s="408"/>
      <c r="AC931" s="408"/>
      <c r="AD931" s="408"/>
      <c r="AE931" s="408"/>
      <c r="AF931" s="408"/>
      <c r="AG931" s="408"/>
      <c r="AH931" s="408"/>
      <c r="AI931" s="408"/>
      <c r="AJ931" s="408"/>
      <c r="AK931" s="408"/>
      <c r="AL931" s="408"/>
      <c r="AM931" s="408"/>
      <c r="AN931" s="408"/>
      <c r="AO931" s="408"/>
      <c r="AP931" s="408"/>
      <c r="AQ931" s="408"/>
      <c r="AR931" s="408"/>
      <c r="AS931" s="408"/>
      <c r="AT931" s="408"/>
      <c r="AU931" s="408"/>
      <c r="AV931" s="408"/>
      <c r="AW931" s="408"/>
      <c r="AX931" s="408"/>
      <c r="AY931" s="408"/>
      <c r="AZ931" s="408"/>
      <c r="BA931" s="408"/>
      <c r="BB931" s="408"/>
      <c r="BC931" s="408"/>
      <c r="BD931" s="408"/>
      <c r="BE931" s="408"/>
      <c r="BF931" s="408"/>
      <c r="BG931" s="408"/>
      <c r="BH931" s="408"/>
      <c r="BI931" s="408"/>
      <c r="BJ931" s="408"/>
      <c r="BK931" s="408"/>
      <c r="BL931" s="408"/>
      <c r="BM931" s="408"/>
      <c r="BN931" s="408"/>
      <c r="BO931" s="408"/>
      <c r="BP931" s="408"/>
      <c r="BQ931" s="408"/>
      <c r="BR931" s="408"/>
      <c r="BS931" s="408"/>
      <c r="BT931" s="408"/>
      <c r="BU931" s="408"/>
      <c r="BV931" s="408"/>
      <c r="BW931" s="408"/>
      <c r="BX931" s="408"/>
      <c r="BY931" s="408"/>
      <c r="BZ931" s="408"/>
      <c r="CA931" s="408"/>
      <c r="CB931" s="408"/>
      <c r="CC931" s="408"/>
      <c r="CD931" s="408"/>
      <c r="CE931" s="408"/>
      <c r="CF931" s="408"/>
      <c r="CG931" s="408"/>
      <c r="CH931" s="408"/>
      <c r="CI931" s="408"/>
      <c r="CJ931" s="408"/>
      <c r="CK931" s="408"/>
      <c r="CL931" s="408"/>
      <c r="CM931" s="408"/>
      <c r="CN931" s="408"/>
    </row>
    <row r="932">
      <c r="A932" s="408"/>
      <c r="B932" s="408"/>
      <c r="C932" s="408"/>
      <c r="D932" s="408"/>
      <c r="E932" s="408"/>
      <c r="F932" s="408"/>
      <c r="G932" s="408"/>
      <c r="H932" s="408"/>
      <c r="I932" s="408"/>
      <c r="J932" s="408"/>
      <c r="K932" s="408"/>
      <c r="L932" s="408"/>
      <c r="M932" s="408"/>
      <c r="N932" s="408"/>
      <c r="O932" s="408"/>
      <c r="P932" s="408"/>
      <c r="Q932" s="408"/>
      <c r="R932" s="408"/>
      <c r="S932" s="408"/>
      <c r="T932" s="408"/>
      <c r="U932" s="408"/>
      <c r="V932" s="408"/>
      <c r="W932" s="408"/>
      <c r="X932" s="408"/>
      <c r="Y932" s="408"/>
      <c r="Z932" s="408"/>
      <c r="AA932" s="408"/>
      <c r="AB932" s="408"/>
      <c r="AC932" s="408"/>
      <c r="AD932" s="408"/>
      <c r="AE932" s="408"/>
      <c r="AF932" s="408"/>
      <c r="AG932" s="408"/>
      <c r="AH932" s="408"/>
      <c r="AI932" s="408"/>
      <c r="AJ932" s="408"/>
      <c r="AK932" s="408"/>
      <c r="AL932" s="408"/>
      <c r="AM932" s="408"/>
      <c r="AN932" s="408"/>
      <c r="AO932" s="408"/>
      <c r="AP932" s="408"/>
      <c r="AQ932" s="408"/>
      <c r="AR932" s="408"/>
      <c r="AS932" s="408"/>
      <c r="AT932" s="408"/>
      <c r="AU932" s="408"/>
      <c r="AV932" s="408"/>
      <c r="AW932" s="408"/>
      <c r="AX932" s="408"/>
      <c r="AY932" s="408"/>
      <c r="AZ932" s="408"/>
      <c r="BA932" s="408"/>
      <c r="BB932" s="408"/>
      <c r="BC932" s="408"/>
      <c r="BD932" s="408"/>
      <c r="BE932" s="408"/>
      <c r="BF932" s="408"/>
      <c r="BG932" s="408"/>
      <c r="BH932" s="408"/>
      <c r="BI932" s="408"/>
      <c r="BJ932" s="408"/>
      <c r="BK932" s="408"/>
      <c r="BL932" s="408"/>
      <c r="BM932" s="408"/>
      <c r="BN932" s="408"/>
      <c r="BO932" s="408"/>
      <c r="BP932" s="408"/>
      <c r="BQ932" s="408"/>
      <c r="BR932" s="408"/>
      <c r="BS932" s="408"/>
      <c r="BT932" s="408"/>
      <c r="BU932" s="408"/>
      <c r="BV932" s="408"/>
      <c r="BW932" s="408"/>
      <c r="BX932" s="408"/>
      <c r="BY932" s="408"/>
      <c r="BZ932" s="408"/>
      <c r="CA932" s="408"/>
      <c r="CB932" s="408"/>
      <c r="CC932" s="408"/>
      <c r="CD932" s="408"/>
      <c r="CE932" s="408"/>
      <c r="CF932" s="408"/>
      <c r="CG932" s="408"/>
      <c r="CH932" s="408"/>
      <c r="CI932" s="408"/>
      <c r="CJ932" s="408"/>
      <c r="CK932" s="408"/>
      <c r="CL932" s="408"/>
      <c r="CM932" s="408"/>
      <c r="CN932" s="408"/>
    </row>
    <row r="933">
      <c r="A933" s="408"/>
      <c r="B933" s="408"/>
      <c r="C933" s="408"/>
      <c r="D933" s="408"/>
      <c r="E933" s="408"/>
      <c r="F933" s="408"/>
      <c r="G933" s="408"/>
      <c r="H933" s="408"/>
      <c r="I933" s="408"/>
      <c r="J933" s="408"/>
      <c r="K933" s="408"/>
      <c r="L933" s="408"/>
      <c r="M933" s="408"/>
      <c r="N933" s="408"/>
      <c r="O933" s="408"/>
      <c r="P933" s="408"/>
      <c r="Q933" s="408"/>
      <c r="R933" s="408"/>
      <c r="S933" s="408"/>
      <c r="T933" s="408"/>
      <c r="U933" s="408"/>
      <c r="V933" s="408"/>
      <c r="W933" s="408"/>
      <c r="X933" s="408"/>
      <c r="Y933" s="408"/>
      <c r="Z933" s="408"/>
      <c r="AA933" s="408"/>
      <c r="AB933" s="408"/>
      <c r="AC933" s="408"/>
      <c r="AD933" s="408"/>
      <c r="AE933" s="408"/>
      <c r="AF933" s="408"/>
      <c r="AG933" s="408"/>
      <c r="AH933" s="408"/>
      <c r="AI933" s="408"/>
      <c r="AJ933" s="408"/>
      <c r="AK933" s="408"/>
      <c r="AL933" s="408"/>
      <c r="AM933" s="408"/>
      <c r="AN933" s="408"/>
      <c r="AO933" s="408"/>
      <c r="AP933" s="408"/>
      <c r="AQ933" s="408"/>
      <c r="AR933" s="408"/>
      <c r="AS933" s="408"/>
      <c r="AT933" s="408"/>
      <c r="AU933" s="408"/>
      <c r="AV933" s="408"/>
      <c r="AW933" s="408"/>
      <c r="AX933" s="408"/>
      <c r="AY933" s="408"/>
      <c r="AZ933" s="408"/>
      <c r="BA933" s="408"/>
      <c r="BB933" s="408"/>
      <c r="BC933" s="408"/>
      <c r="BD933" s="408"/>
      <c r="BE933" s="408"/>
      <c r="BF933" s="408"/>
      <c r="BG933" s="408"/>
      <c r="BH933" s="408"/>
      <c r="BI933" s="408"/>
      <c r="BJ933" s="408"/>
      <c r="BK933" s="408"/>
      <c r="BL933" s="408"/>
      <c r="BM933" s="408"/>
      <c r="BN933" s="408"/>
      <c r="BO933" s="408"/>
      <c r="BP933" s="408"/>
      <c r="BQ933" s="408"/>
      <c r="BR933" s="408"/>
      <c r="BS933" s="408"/>
      <c r="BT933" s="408"/>
      <c r="BU933" s="408"/>
      <c r="BV933" s="408"/>
      <c r="BW933" s="408"/>
      <c r="BX933" s="408"/>
      <c r="BY933" s="408"/>
      <c r="BZ933" s="408"/>
      <c r="CA933" s="408"/>
      <c r="CB933" s="408"/>
      <c r="CC933" s="408"/>
      <c r="CD933" s="408"/>
      <c r="CE933" s="408"/>
      <c r="CF933" s="408"/>
      <c r="CG933" s="408"/>
      <c r="CH933" s="408"/>
      <c r="CI933" s="408"/>
      <c r="CJ933" s="408"/>
      <c r="CK933" s="408"/>
      <c r="CL933" s="408"/>
      <c r="CM933" s="408"/>
      <c r="CN933" s="408"/>
    </row>
    <row r="934">
      <c r="A934" s="408"/>
      <c r="B934" s="408"/>
      <c r="C934" s="408"/>
      <c r="D934" s="408"/>
      <c r="E934" s="408"/>
      <c r="F934" s="408"/>
      <c r="G934" s="408"/>
      <c r="H934" s="408"/>
      <c r="I934" s="408"/>
      <c r="J934" s="408"/>
      <c r="K934" s="408"/>
      <c r="L934" s="408"/>
      <c r="M934" s="408"/>
      <c r="N934" s="408"/>
      <c r="O934" s="408"/>
      <c r="P934" s="408"/>
      <c r="Q934" s="408"/>
      <c r="R934" s="408"/>
      <c r="S934" s="408"/>
      <c r="T934" s="408"/>
      <c r="U934" s="408"/>
      <c r="V934" s="408"/>
      <c r="W934" s="408"/>
      <c r="X934" s="408"/>
      <c r="Y934" s="408"/>
      <c r="Z934" s="408"/>
      <c r="AA934" s="408"/>
      <c r="AB934" s="408"/>
      <c r="AC934" s="408"/>
      <c r="AD934" s="408"/>
      <c r="AE934" s="408"/>
      <c r="AF934" s="408"/>
      <c r="AG934" s="408"/>
      <c r="AH934" s="408"/>
      <c r="AI934" s="408"/>
      <c r="AJ934" s="408"/>
      <c r="AK934" s="408"/>
      <c r="AL934" s="408"/>
      <c r="AM934" s="408"/>
      <c r="AN934" s="408"/>
      <c r="AO934" s="408"/>
      <c r="AP934" s="408"/>
      <c r="AQ934" s="408"/>
      <c r="AR934" s="408"/>
      <c r="AS934" s="408"/>
      <c r="AT934" s="408"/>
      <c r="AU934" s="408"/>
      <c r="AV934" s="408"/>
      <c r="AW934" s="408"/>
      <c r="AX934" s="408"/>
      <c r="AY934" s="408"/>
      <c r="AZ934" s="408"/>
      <c r="BA934" s="408"/>
      <c r="BB934" s="408"/>
      <c r="BC934" s="408"/>
      <c r="BD934" s="408"/>
      <c r="BE934" s="408"/>
      <c r="BF934" s="408"/>
      <c r="BG934" s="408"/>
      <c r="BH934" s="408"/>
      <c r="BI934" s="408"/>
      <c r="BJ934" s="408"/>
      <c r="BK934" s="408"/>
      <c r="BL934" s="408"/>
      <c r="BM934" s="408"/>
      <c r="BN934" s="408"/>
      <c r="BO934" s="408"/>
      <c r="BP934" s="408"/>
      <c r="BQ934" s="408"/>
      <c r="BR934" s="408"/>
      <c r="BS934" s="408"/>
      <c r="BT934" s="408"/>
      <c r="BU934" s="408"/>
      <c r="BV934" s="408"/>
      <c r="BW934" s="408"/>
      <c r="BX934" s="408"/>
      <c r="BY934" s="408"/>
      <c r="BZ934" s="408"/>
      <c r="CA934" s="408"/>
      <c r="CB934" s="408"/>
      <c r="CC934" s="408"/>
      <c r="CD934" s="408"/>
      <c r="CE934" s="408"/>
      <c r="CF934" s="408"/>
      <c r="CG934" s="408"/>
      <c r="CH934" s="408"/>
      <c r="CI934" s="408"/>
      <c r="CJ934" s="408"/>
      <c r="CK934" s="408"/>
      <c r="CL934" s="408"/>
      <c r="CM934" s="408"/>
      <c r="CN934" s="408"/>
    </row>
    <row r="935">
      <c r="A935" s="408"/>
      <c r="B935" s="408"/>
      <c r="C935" s="408"/>
      <c r="D935" s="408"/>
      <c r="E935" s="408"/>
      <c r="F935" s="408"/>
      <c r="G935" s="408"/>
      <c r="H935" s="408"/>
      <c r="I935" s="408"/>
      <c r="J935" s="408"/>
      <c r="K935" s="408"/>
      <c r="L935" s="408"/>
      <c r="M935" s="408"/>
      <c r="N935" s="408"/>
      <c r="O935" s="408"/>
      <c r="P935" s="408"/>
      <c r="Q935" s="408"/>
      <c r="R935" s="408"/>
      <c r="S935" s="408"/>
      <c r="T935" s="408"/>
      <c r="U935" s="408"/>
      <c r="V935" s="408"/>
      <c r="W935" s="408"/>
      <c r="X935" s="408"/>
      <c r="Y935" s="408"/>
      <c r="Z935" s="408"/>
      <c r="AA935" s="408"/>
      <c r="AB935" s="408"/>
      <c r="AC935" s="408"/>
      <c r="AD935" s="408"/>
      <c r="AE935" s="408"/>
      <c r="AF935" s="408"/>
      <c r="AG935" s="408"/>
      <c r="AH935" s="408"/>
      <c r="AI935" s="408"/>
      <c r="AJ935" s="408"/>
      <c r="AK935" s="408"/>
      <c r="AL935" s="408"/>
      <c r="AM935" s="408"/>
      <c r="AN935" s="408"/>
      <c r="AO935" s="408"/>
      <c r="AP935" s="408"/>
      <c r="AQ935" s="408"/>
      <c r="AR935" s="408"/>
      <c r="AS935" s="408"/>
      <c r="AT935" s="408"/>
      <c r="AU935" s="408"/>
      <c r="AV935" s="408"/>
      <c r="AW935" s="408"/>
      <c r="AX935" s="408"/>
      <c r="AY935" s="408"/>
      <c r="AZ935" s="408"/>
      <c r="BA935" s="408"/>
      <c r="BB935" s="408"/>
      <c r="BC935" s="408"/>
      <c r="BD935" s="408"/>
      <c r="BE935" s="408"/>
      <c r="BF935" s="408"/>
      <c r="BG935" s="408"/>
      <c r="BH935" s="408"/>
      <c r="BI935" s="408"/>
      <c r="BJ935" s="408"/>
      <c r="BK935" s="408"/>
      <c r="BL935" s="408"/>
      <c r="BM935" s="408"/>
      <c r="BN935" s="408"/>
      <c r="BO935" s="408"/>
      <c r="BP935" s="408"/>
      <c r="BQ935" s="408"/>
      <c r="BR935" s="408"/>
      <c r="BS935" s="408"/>
      <c r="BT935" s="408"/>
      <c r="BU935" s="408"/>
      <c r="BV935" s="408"/>
      <c r="BW935" s="408"/>
      <c r="BX935" s="408"/>
      <c r="BY935" s="408"/>
      <c r="BZ935" s="408"/>
      <c r="CA935" s="408"/>
      <c r="CB935" s="408"/>
      <c r="CC935" s="408"/>
      <c r="CD935" s="408"/>
      <c r="CE935" s="408"/>
      <c r="CF935" s="408"/>
      <c r="CG935" s="408"/>
      <c r="CH935" s="408"/>
      <c r="CI935" s="408"/>
      <c r="CJ935" s="408"/>
      <c r="CK935" s="408"/>
      <c r="CL935" s="408"/>
      <c r="CM935" s="408"/>
      <c r="CN935" s="408"/>
    </row>
    <row r="936">
      <c r="A936" s="408"/>
      <c r="B936" s="408"/>
      <c r="C936" s="408"/>
      <c r="D936" s="408"/>
      <c r="E936" s="408"/>
      <c r="F936" s="408"/>
      <c r="G936" s="408"/>
      <c r="H936" s="408"/>
      <c r="I936" s="408"/>
      <c r="J936" s="408"/>
      <c r="K936" s="408"/>
      <c r="L936" s="408"/>
      <c r="M936" s="408"/>
      <c r="N936" s="408"/>
      <c r="O936" s="408"/>
      <c r="P936" s="408"/>
      <c r="Q936" s="408"/>
      <c r="R936" s="408"/>
      <c r="S936" s="408"/>
      <c r="T936" s="408"/>
      <c r="U936" s="408"/>
      <c r="V936" s="408"/>
      <c r="W936" s="408"/>
      <c r="X936" s="408"/>
      <c r="Y936" s="408"/>
      <c r="Z936" s="408"/>
      <c r="AA936" s="408"/>
      <c r="AB936" s="408"/>
      <c r="AC936" s="408"/>
      <c r="AD936" s="408"/>
      <c r="AE936" s="408"/>
      <c r="AF936" s="408"/>
      <c r="AG936" s="408"/>
      <c r="AH936" s="408"/>
      <c r="AI936" s="408"/>
      <c r="AJ936" s="408"/>
      <c r="AK936" s="408"/>
      <c r="AL936" s="408"/>
      <c r="AM936" s="408"/>
      <c r="AN936" s="408"/>
      <c r="AO936" s="408"/>
      <c r="AP936" s="408"/>
      <c r="AQ936" s="408"/>
      <c r="AR936" s="408"/>
      <c r="AS936" s="408"/>
      <c r="AT936" s="408"/>
      <c r="AU936" s="408"/>
      <c r="AV936" s="408"/>
      <c r="AW936" s="408"/>
      <c r="AX936" s="408"/>
      <c r="AY936" s="408"/>
      <c r="AZ936" s="408"/>
      <c r="BA936" s="408"/>
      <c r="BB936" s="408"/>
      <c r="BC936" s="408"/>
      <c r="BD936" s="408"/>
      <c r="BE936" s="408"/>
      <c r="BF936" s="408"/>
      <c r="BG936" s="408"/>
      <c r="BH936" s="408"/>
      <c r="BI936" s="408"/>
      <c r="BJ936" s="408"/>
      <c r="BK936" s="408"/>
      <c r="BL936" s="408"/>
      <c r="BM936" s="408"/>
      <c r="BN936" s="408"/>
      <c r="BO936" s="408"/>
      <c r="BP936" s="408"/>
      <c r="BQ936" s="408"/>
      <c r="BR936" s="408"/>
      <c r="BS936" s="408"/>
      <c r="BT936" s="408"/>
      <c r="BU936" s="408"/>
      <c r="BV936" s="408"/>
      <c r="BW936" s="408"/>
      <c r="BX936" s="408"/>
      <c r="BY936" s="408"/>
      <c r="BZ936" s="408"/>
      <c r="CA936" s="408"/>
      <c r="CB936" s="408"/>
      <c r="CC936" s="408"/>
      <c r="CD936" s="408"/>
      <c r="CE936" s="408"/>
      <c r="CF936" s="408"/>
      <c r="CG936" s="408"/>
      <c r="CH936" s="408"/>
      <c r="CI936" s="408"/>
      <c r="CJ936" s="408"/>
      <c r="CK936" s="408"/>
      <c r="CL936" s="408"/>
      <c r="CM936" s="408"/>
      <c r="CN936" s="408"/>
    </row>
    <row r="937">
      <c r="A937" s="408"/>
      <c r="B937" s="408"/>
      <c r="C937" s="408"/>
      <c r="D937" s="408"/>
      <c r="E937" s="408"/>
      <c r="F937" s="408"/>
      <c r="G937" s="408"/>
      <c r="H937" s="408"/>
      <c r="I937" s="408"/>
      <c r="J937" s="408"/>
      <c r="K937" s="408"/>
      <c r="L937" s="408"/>
      <c r="M937" s="408"/>
      <c r="N937" s="408"/>
      <c r="O937" s="408"/>
      <c r="P937" s="408"/>
      <c r="Q937" s="408"/>
      <c r="R937" s="408"/>
      <c r="S937" s="408"/>
      <c r="T937" s="408"/>
      <c r="U937" s="408"/>
      <c r="V937" s="408"/>
      <c r="W937" s="408"/>
      <c r="X937" s="408"/>
      <c r="Y937" s="408"/>
      <c r="Z937" s="408"/>
      <c r="AA937" s="408"/>
      <c r="AB937" s="408"/>
      <c r="AC937" s="408"/>
      <c r="AD937" s="408"/>
      <c r="AE937" s="408"/>
      <c r="AF937" s="408"/>
      <c r="AG937" s="408"/>
      <c r="AH937" s="408"/>
      <c r="AI937" s="408"/>
      <c r="AJ937" s="408"/>
      <c r="AK937" s="408"/>
      <c r="AL937" s="408"/>
      <c r="AM937" s="408"/>
      <c r="AN937" s="408"/>
      <c r="AO937" s="408"/>
      <c r="AP937" s="408"/>
      <c r="AQ937" s="408"/>
      <c r="AR937" s="408"/>
      <c r="AS937" s="408"/>
      <c r="AT937" s="408"/>
      <c r="AU937" s="408"/>
      <c r="AV937" s="408"/>
      <c r="AW937" s="408"/>
      <c r="AX937" s="408"/>
      <c r="AY937" s="408"/>
      <c r="AZ937" s="408"/>
      <c r="BA937" s="408"/>
      <c r="BB937" s="408"/>
      <c r="BC937" s="408"/>
      <c r="BD937" s="408"/>
      <c r="BE937" s="408"/>
      <c r="BF937" s="408"/>
      <c r="BG937" s="408"/>
      <c r="BH937" s="408"/>
      <c r="BI937" s="408"/>
      <c r="BJ937" s="408"/>
      <c r="BK937" s="408"/>
      <c r="BL937" s="408"/>
      <c r="BM937" s="408"/>
      <c r="BN937" s="408"/>
      <c r="BO937" s="408"/>
      <c r="BP937" s="408"/>
      <c r="BQ937" s="408"/>
      <c r="BR937" s="408"/>
      <c r="BS937" s="408"/>
      <c r="BT937" s="408"/>
      <c r="BU937" s="408"/>
      <c r="BV937" s="408"/>
      <c r="BW937" s="408"/>
      <c r="BX937" s="408"/>
      <c r="BY937" s="408"/>
      <c r="BZ937" s="408"/>
      <c r="CA937" s="408"/>
      <c r="CB937" s="408"/>
      <c r="CC937" s="408"/>
      <c r="CD937" s="408"/>
      <c r="CE937" s="408"/>
      <c r="CF937" s="408"/>
      <c r="CG937" s="408"/>
      <c r="CH937" s="408"/>
      <c r="CI937" s="408"/>
      <c r="CJ937" s="408"/>
      <c r="CK937" s="408"/>
      <c r="CL937" s="408"/>
      <c r="CM937" s="408"/>
      <c r="CN937" s="408"/>
    </row>
    <row r="938">
      <c r="A938" s="408"/>
      <c r="B938" s="408"/>
      <c r="C938" s="408"/>
      <c r="D938" s="408"/>
      <c r="E938" s="408"/>
      <c r="F938" s="408"/>
      <c r="G938" s="408"/>
      <c r="H938" s="408"/>
      <c r="I938" s="408"/>
      <c r="J938" s="408"/>
      <c r="K938" s="408"/>
      <c r="L938" s="408"/>
      <c r="M938" s="408"/>
      <c r="N938" s="408"/>
      <c r="O938" s="408"/>
      <c r="P938" s="408"/>
      <c r="Q938" s="408"/>
      <c r="R938" s="408"/>
      <c r="S938" s="408"/>
      <c r="T938" s="408"/>
      <c r="U938" s="408"/>
      <c r="V938" s="408"/>
      <c r="W938" s="408"/>
      <c r="X938" s="408"/>
      <c r="Y938" s="408"/>
      <c r="Z938" s="408"/>
      <c r="AA938" s="408"/>
      <c r="AB938" s="408"/>
      <c r="AC938" s="408"/>
      <c r="AD938" s="408"/>
      <c r="AE938" s="408"/>
      <c r="AF938" s="408"/>
      <c r="AG938" s="408"/>
      <c r="AH938" s="408"/>
      <c r="AI938" s="408"/>
      <c r="AJ938" s="408"/>
      <c r="AK938" s="408"/>
      <c r="AL938" s="408"/>
      <c r="AM938" s="408"/>
      <c r="AN938" s="408"/>
      <c r="AO938" s="408"/>
      <c r="AP938" s="408"/>
      <c r="AQ938" s="408"/>
      <c r="AR938" s="408"/>
      <c r="AS938" s="408"/>
      <c r="AT938" s="408"/>
      <c r="AU938" s="408"/>
      <c r="AV938" s="408"/>
      <c r="AW938" s="408"/>
      <c r="AX938" s="408"/>
      <c r="AY938" s="408"/>
      <c r="AZ938" s="408"/>
      <c r="BA938" s="408"/>
      <c r="BB938" s="408"/>
      <c r="BC938" s="408"/>
      <c r="BD938" s="408"/>
      <c r="BE938" s="408"/>
      <c r="BF938" s="408"/>
      <c r="BG938" s="408"/>
      <c r="BH938" s="408"/>
      <c r="BI938" s="408"/>
      <c r="BJ938" s="408"/>
      <c r="BK938" s="408"/>
      <c r="BL938" s="408"/>
      <c r="BM938" s="408"/>
      <c r="BN938" s="408"/>
      <c r="BO938" s="408"/>
      <c r="BP938" s="408"/>
      <c r="BQ938" s="408"/>
      <c r="BR938" s="408"/>
      <c r="BS938" s="408"/>
      <c r="BT938" s="408"/>
      <c r="BU938" s="408"/>
      <c r="BV938" s="408"/>
      <c r="BW938" s="408"/>
      <c r="BX938" s="408"/>
      <c r="BY938" s="408"/>
      <c r="BZ938" s="408"/>
      <c r="CA938" s="408"/>
      <c r="CB938" s="408"/>
      <c r="CC938" s="408"/>
      <c r="CD938" s="408"/>
      <c r="CE938" s="408"/>
      <c r="CF938" s="408"/>
      <c r="CG938" s="408"/>
      <c r="CH938" s="408"/>
      <c r="CI938" s="408"/>
      <c r="CJ938" s="408"/>
      <c r="CK938" s="408"/>
      <c r="CL938" s="408"/>
      <c r="CM938" s="408"/>
      <c r="CN938" s="408"/>
    </row>
    <row r="939">
      <c r="A939" s="408"/>
      <c r="B939" s="408"/>
      <c r="C939" s="408"/>
      <c r="D939" s="408"/>
      <c r="E939" s="408"/>
      <c r="F939" s="408"/>
      <c r="G939" s="408"/>
      <c r="H939" s="408"/>
      <c r="I939" s="408"/>
      <c r="J939" s="408"/>
      <c r="K939" s="408"/>
      <c r="L939" s="408"/>
      <c r="M939" s="408"/>
      <c r="N939" s="408"/>
      <c r="O939" s="408"/>
      <c r="P939" s="408"/>
      <c r="Q939" s="408"/>
      <c r="R939" s="408"/>
      <c r="S939" s="408"/>
      <c r="T939" s="408"/>
      <c r="U939" s="408"/>
      <c r="V939" s="408"/>
      <c r="W939" s="408"/>
      <c r="X939" s="408"/>
      <c r="Y939" s="408"/>
      <c r="Z939" s="408"/>
      <c r="AA939" s="408"/>
      <c r="AB939" s="408"/>
      <c r="AC939" s="408"/>
      <c r="AD939" s="408"/>
      <c r="AE939" s="408"/>
      <c r="AF939" s="408"/>
      <c r="AG939" s="408"/>
      <c r="AH939" s="408"/>
      <c r="AI939" s="408"/>
      <c r="AJ939" s="408"/>
      <c r="AK939" s="408"/>
      <c r="AL939" s="408"/>
      <c r="AM939" s="408"/>
      <c r="AN939" s="408"/>
      <c r="AO939" s="408"/>
      <c r="AP939" s="408"/>
      <c r="AQ939" s="408"/>
      <c r="AR939" s="408"/>
      <c r="AS939" s="408"/>
      <c r="AT939" s="408"/>
      <c r="AU939" s="408"/>
      <c r="AV939" s="408"/>
      <c r="AW939" s="408"/>
      <c r="AX939" s="408"/>
      <c r="AY939" s="408"/>
      <c r="AZ939" s="408"/>
      <c r="BA939" s="408"/>
      <c r="BB939" s="408"/>
      <c r="BC939" s="408"/>
      <c r="BD939" s="408"/>
      <c r="BE939" s="408"/>
      <c r="BF939" s="408"/>
      <c r="BG939" s="408"/>
      <c r="BH939" s="408"/>
      <c r="BI939" s="408"/>
      <c r="BJ939" s="408"/>
      <c r="BK939" s="408"/>
      <c r="BL939" s="408"/>
      <c r="BM939" s="408"/>
      <c r="BN939" s="408"/>
      <c r="BO939" s="408"/>
      <c r="BP939" s="408"/>
      <c r="BQ939" s="408"/>
      <c r="BR939" s="408"/>
      <c r="BS939" s="408"/>
      <c r="BT939" s="408"/>
      <c r="BU939" s="408"/>
      <c r="BV939" s="408"/>
      <c r="BW939" s="408"/>
      <c r="BX939" s="408"/>
      <c r="BY939" s="408"/>
      <c r="BZ939" s="408"/>
      <c r="CA939" s="408"/>
      <c r="CB939" s="408"/>
      <c r="CC939" s="408"/>
      <c r="CD939" s="408"/>
      <c r="CE939" s="408"/>
      <c r="CF939" s="408"/>
      <c r="CG939" s="408"/>
      <c r="CH939" s="408"/>
      <c r="CI939" s="408"/>
      <c r="CJ939" s="408"/>
      <c r="CK939" s="408"/>
      <c r="CL939" s="408"/>
      <c r="CM939" s="408"/>
      <c r="CN939" s="408"/>
    </row>
    <row r="940">
      <c r="A940" s="408"/>
      <c r="B940" s="408"/>
      <c r="C940" s="408"/>
      <c r="D940" s="408"/>
      <c r="E940" s="408"/>
      <c r="F940" s="408"/>
      <c r="G940" s="408"/>
      <c r="H940" s="408"/>
      <c r="I940" s="408"/>
      <c r="J940" s="408"/>
      <c r="K940" s="408"/>
      <c r="L940" s="408"/>
      <c r="M940" s="408"/>
      <c r="N940" s="408"/>
      <c r="O940" s="408"/>
      <c r="P940" s="408"/>
      <c r="Q940" s="408"/>
      <c r="R940" s="408"/>
      <c r="S940" s="408"/>
      <c r="T940" s="408"/>
      <c r="U940" s="408"/>
      <c r="V940" s="408"/>
      <c r="W940" s="408"/>
      <c r="X940" s="408"/>
      <c r="Y940" s="408"/>
      <c r="Z940" s="408"/>
      <c r="AA940" s="408"/>
      <c r="AB940" s="408"/>
      <c r="AC940" s="408"/>
      <c r="AD940" s="408"/>
      <c r="AE940" s="408"/>
      <c r="AF940" s="408"/>
      <c r="AG940" s="408"/>
      <c r="AH940" s="408"/>
      <c r="AI940" s="408"/>
      <c r="AJ940" s="408"/>
      <c r="AK940" s="408"/>
      <c r="AL940" s="408"/>
      <c r="AM940" s="408"/>
      <c r="AN940" s="408"/>
      <c r="AO940" s="408"/>
      <c r="AP940" s="408"/>
      <c r="AQ940" s="408"/>
      <c r="AR940" s="408"/>
      <c r="AS940" s="408"/>
      <c r="AT940" s="408"/>
      <c r="AU940" s="408"/>
      <c r="AV940" s="408"/>
      <c r="AW940" s="408"/>
      <c r="AX940" s="408"/>
      <c r="AY940" s="408"/>
      <c r="AZ940" s="408"/>
      <c r="BA940" s="408"/>
      <c r="BB940" s="408"/>
      <c r="BC940" s="408"/>
      <c r="BD940" s="408"/>
      <c r="BE940" s="408"/>
      <c r="BF940" s="408"/>
      <c r="BG940" s="408"/>
      <c r="BH940" s="408"/>
      <c r="BI940" s="408"/>
      <c r="BJ940" s="408"/>
      <c r="BK940" s="408"/>
      <c r="BL940" s="408"/>
      <c r="BM940" s="408"/>
      <c r="BN940" s="408"/>
      <c r="BO940" s="408"/>
      <c r="BP940" s="408"/>
      <c r="BQ940" s="408"/>
      <c r="BR940" s="408"/>
      <c r="BS940" s="408"/>
      <c r="BT940" s="408"/>
      <c r="BU940" s="408"/>
      <c r="BV940" s="408"/>
      <c r="BW940" s="408"/>
      <c r="BX940" s="408"/>
      <c r="BY940" s="408"/>
      <c r="BZ940" s="408"/>
      <c r="CA940" s="408"/>
      <c r="CB940" s="408"/>
      <c r="CC940" s="408"/>
      <c r="CD940" s="408"/>
      <c r="CE940" s="408"/>
      <c r="CF940" s="408"/>
      <c r="CG940" s="408"/>
      <c r="CH940" s="408"/>
      <c r="CI940" s="408"/>
      <c r="CJ940" s="408"/>
      <c r="CK940" s="408"/>
      <c r="CL940" s="408"/>
      <c r="CM940" s="408"/>
      <c r="CN940" s="408"/>
    </row>
    <row r="941">
      <c r="A941" s="408"/>
      <c r="B941" s="408"/>
      <c r="C941" s="408"/>
      <c r="D941" s="408"/>
      <c r="E941" s="408"/>
      <c r="F941" s="408"/>
      <c r="G941" s="408"/>
      <c r="H941" s="408"/>
      <c r="I941" s="408"/>
      <c r="J941" s="408"/>
      <c r="K941" s="408"/>
      <c r="L941" s="408"/>
      <c r="M941" s="408"/>
      <c r="N941" s="408"/>
      <c r="O941" s="408"/>
      <c r="P941" s="408"/>
      <c r="Q941" s="408"/>
      <c r="R941" s="408"/>
      <c r="S941" s="408"/>
      <c r="T941" s="408"/>
      <c r="U941" s="408"/>
      <c r="V941" s="408"/>
      <c r="W941" s="408"/>
      <c r="X941" s="408"/>
      <c r="Y941" s="408"/>
      <c r="Z941" s="408"/>
      <c r="AA941" s="408"/>
      <c r="AB941" s="408"/>
      <c r="AC941" s="408"/>
      <c r="AD941" s="408"/>
      <c r="AE941" s="408"/>
      <c r="AF941" s="408"/>
      <c r="AG941" s="408"/>
      <c r="AH941" s="408"/>
      <c r="AI941" s="408"/>
      <c r="AJ941" s="408"/>
      <c r="AK941" s="408"/>
      <c r="AL941" s="408"/>
      <c r="AM941" s="408"/>
      <c r="AN941" s="408"/>
      <c r="AO941" s="408"/>
      <c r="AP941" s="408"/>
      <c r="AQ941" s="408"/>
      <c r="AR941" s="408"/>
      <c r="AS941" s="408"/>
      <c r="AT941" s="408"/>
      <c r="AU941" s="408"/>
      <c r="AV941" s="408"/>
      <c r="AW941" s="408"/>
      <c r="AX941" s="408"/>
      <c r="AY941" s="408"/>
      <c r="AZ941" s="408"/>
      <c r="BA941" s="408"/>
      <c r="BB941" s="408"/>
      <c r="BC941" s="408"/>
      <c r="BD941" s="408"/>
      <c r="BE941" s="408"/>
      <c r="BF941" s="408"/>
      <c r="BG941" s="408"/>
      <c r="BH941" s="408"/>
      <c r="BI941" s="408"/>
      <c r="BJ941" s="408"/>
      <c r="BK941" s="408"/>
      <c r="BL941" s="408"/>
      <c r="BM941" s="408"/>
      <c r="BN941" s="408"/>
      <c r="BO941" s="408"/>
      <c r="BP941" s="408"/>
      <c r="BQ941" s="408"/>
      <c r="BR941" s="408"/>
      <c r="BS941" s="408"/>
      <c r="BT941" s="408"/>
      <c r="BU941" s="408"/>
      <c r="BV941" s="408"/>
      <c r="BW941" s="408"/>
      <c r="BX941" s="408"/>
      <c r="BY941" s="408"/>
      <c r="BZ941" s="408"/>
      <c r="CA941" s="408"/>
      <c r="CB941" s="408"/>
      <c r="CC941" s="408"/>
      <c r="CD941" s="408"/>
      <c r="CE941" s="408"/>
      <c r="CF941" s="408"/>
      <c r="CG941" s="408"/>
      <c r="CH941" s="408"/>
      <c r="CI941" s="408"/>
      <c r="CJ941" s="408"/>
      <c r="CK941" s="408"/>
      <c r="CL941" s="408"/>
      <c r="CM941" s="408"/>
      <c r="CN941" s="408"/>
    </row>
    <row r="942">
      <c r="A942" s="408"/>
      <c r="B942" s="408"/>
      <c r="C942" s="408"/>
      <c r="D942" s="408"/>
      <c r="E942" s="408"/>
      <c r="F942" s="408"/>
      <c r="G942" s="408"/>
      <c r="H942" s="408"/>
      <c r="I942" s="408"/>
      <c r="J942" s="408"/>
      <c r="K942" s="408"/>
      <c r="L942" s="408"/>
      <c r="M942" s="408"/>
      <c r="N942" s="408"/>
      <c r="O942" s="408"/>
      <c r="P942" s="408"/>
      <c r="Q942" s="408"/>
      <c r="R942" s="408"/>
      <c r="S942" s="408"/>
      <c r="T942" s="408"/>
      <c r="U942" s="408"/>
      <c r="V942" s="408"/>
      <c r="W942" s="408"/>
      <c r="X942" s="408"/>
      <c r="Y942" s="408"/>
      <c r="Z942" s="408"/>
      <c r="AA942" s="408"/>
      <c r="AB942" s="408"/>
      <c r="AC942" s="408"/>
      <c r="AD942" s="408"/>
      <c r="AE942" s="408"/>
      <c r="AF942" s="408"/>
      <c r="AG942" s="408"/>
      <c r="AH942" s="408"/>
      <c r="AI942" s="408"/>
      <c r="AJ942" s="408"/>
      <c r="AK942" s="408"/>
      <c r="AL942" s="408"/>
      <c r="AM942" s="408"/>
      <c r="AN942" s="408"/>
      <c r="AO942" s="408"/>
      <c r="AP942" s="408"/>
      <c r="AQ942" s="408"/>
      <c r="AR942" s="408"/>
      <c r="AS942" s="408"/>
      <c r="AT942" s="408"/>
      <c r="AU942" s="408"/>
      <c r="AV942" s="408"/>
      <c r="AW942" s="408"/>
      <c r="AX942" s="408"/>
      <c r="AY942" s="408"/>
      <c r="AZ942" s="408"/>
      <c r="BA942" s="408"/>
      <c r="BB942" s="408"/>
      <c r="BC942" s="408"/>
      <c r="BD942" s="408"/>
      <c r="BE942" s="408"/>
      <c r="BF942" s="408"/>
      <c r="BG942" s="408"/>
      <c r="BH942" s="408"/>
      <c r="BI942" s="408"/>
      <c r="BJ942" s="408"/>
      <c r="BK942" s="408"/>
      <c r="BL942" s="408"/>
      <c r="BM942" s="408"/>
      <c r="BN942" s="408"/>
      <c r="BO942" s="408"/>
      <c r="BP942" s="408"/>
      <c r="BQ942" s="408"/>
      <c r="BR942" s="408"/>
      <c r="BS942" s="408"/>
      <c r="BT942" s="408"/>
      <c r="BU942" s="408"/>
      <c r="BV942" s="408"/>
      <c r="BW942" s="408"/>
      <c r="BX942" s="408"/>
      <c r="BY942" s="408"/>
      <c r="BZ942" s="408"/>
      <c r="CA942" s="408"/>
      <c r="CB942" s="408"/>
      <c r="CC942" s="408"/>
      <c r="CD942" s="408"/>
      <c r="CE942" s="408"/>
      <c r="CF942" s="408"/>
      <c r="CG942" s="408"/>
      <c r="CH942" s="408"/>
      <c r="CI942" s="408"/>
      <c r="CJ942" s="408"/>
      <c r="CK942" s="408"/>
      <c r="CL942" s="408"/>
      <c r="CM942" s="408"/>
      <c r="CN942" s="408"/>
    </row>
    <row r="943">
      <c r="A943" s="408"/>
      <c r="B943" s="408"/>
      <c r="C943" s="408"/>
      <c r="D943" s="408"/>
      <c r="E943" s="408"/>
      <c r="F943" s="408"/>
      <c r="G943" s="408"/>
      <c r="H943" s="408"/>
      <c r="I943" s="408"/>
      <c r="J943" s="408"/>
      <c r="K943" s="408"/>
      <c r="L943" s="408"/>
      <c r="M943" s="408"/>
      <c r="N943" s="408"/>
      <c r="O943" s="408"/>
      <c r="P943" s="408"/>
      <c r="Q943" s="408"/>
      <c r="R943" s="408"/>
      <c r="S943" s="408"/>
      <c r="T943" s="408"/>
      <c r="U943" s="408"/>
      <c r="V943" s="408"/>
      <c r="W943" s="408"/>
      <c r="X943" s="408"/>
      <c r="Y943" s="408"/>
      <c r="Z943" s="408"/>
      <c r="AA943" s="408"/>
      <c r="AB943" s="408"/>
      <c r="AC943" s="408"/>
      <c r="AD943" s="408"/>
      <c r="AE943" s="408"/>
      <c r="AF943" s="408"/>
      <c r="AG943" s="408"/>
      <c r="AH943" s="408"/>
      <c r="AI943" s="408"/>
      <c r="AJ943" s="408"/>
      <c r="AK943" s="408"/>
      <c r="AL943" s="408"/>
      <c r="AM943" s="408"/>
      <c r="AN943" s="408"/>
      <c r="AO943" s="408"/>
      <c r="AP943" s="408"/>
      <c r="AQ943" s="408"/>
      <c r="AR943" s="408"/>
      <c r="AS943" s="408"/>
      <c r="AT943" s="408"/>
      <c r="AU943" s="408"/>
      <c r="AV943" s="408"/>
      <c r="AW943" s="408"/>
      <c r="AX943" s="408"/>
      <c r="AY943" s="408"/>
      <c r="AZ943" s="408"/>
      <c r="BA943" s="408"/>
      <c r="BB943" s="408"/>
      <c r="BC943" s="408"/>
      <c r="BD943" s="408"/>
      <c r="BE943" s="408"/>
      <c r="BF943" s="408"/>
      <c r="BG943" s="408"/>
      <c r="BH943" s="408"/>
      <c r="BI943" s="408"/>
      <c r="BJ943" s="408"/>
      <c r="BK943" s="408"/>
      <c r="BL943" s="408"/>
      <c r="BM943" s="408"/>
      <c r="BN943" s="408"/>
      <c r="BO943" s="408"/>
      <c r="BP943" s="408"/>
      <c r="BQ943" s="408"/>
      <c r="BR943" s="408"/>
      <c r="BS943" s="408"/>
      <c r="BT943" s="408"/>
      <c r="BU943" s="408"/>
      <c r="BV943" s="408"/>
      <c r="BW943" s="408"/>
      <c r="BX943" s="408"/>
      <c r="BY943" s="408"/>
      <c r="BZ943" s="408"/>
      <c r="CA943" s="408"/>
      <c r="CB943" s="408"/>
      <c r="CC943" s="408"/>
      <c r="CD943" s="408"/>
      <c r="CE943" s="408"/>
      <c r="CF943" s="408"/>
      <c r="CG943" s="408"/>
      <c r="CH943" s="408"/>
      <c r="CI943" s="408"/>
      <c r="CJ943" s="408"/>
      <c r="CK943" s="408"/>
      <c r="CL943" s="408"/>
      <c r="CM943" s="408"/>
      <c r="CN943" s="408"/>
    </row>
    <row r="944">
      <c r="A944" s="408"/>
      <c r="B944" s="408"/>
      <c r="C944" s="408"/>
      <c r="D944" s="408"/>
      <c r="E944" s="408"/>
      <c r="F944" s="408"/>
      <c r="G944" s="408"/>
      <c r="H944" s="408"/>
      <c r="I944" s="408"/>
      <c r="J944" s="408"/>
      <c r="K944" s="408"/>
      <c r="L944" s="408"/>
      <c r="M944" s="408"/>
      <c r="N944" s="408"/>
      <c r="O944" s="408"/>
      <c r="P944" s="408"/>
      <c r="Q944" s="408"/>
      <c r="R944" s="408"/>
      <c r="S944" s="408"/>
      <c r="T944" s="408"/>
      <c r="U944" s="408"/>
      <c r="V944" s="408"/>
      <c r="W944" s="408"/>
      <c r="X944" s="408"/>
      <c r="Y944" s="408"/>
      <c r="Z944" s="408"/>
      <c r="AA944" s="408"/>
      <c r="AB944" s="408"/>
      <c r="AC944" s="408"/>
      <c r="AD944" s="408"/>
      <c r="AE944" s="408"/>
      <c r="AF944" s="408"/>
      <c r="AG944" s="408"/>
      <c r="AH944" s="408"/>
      <c r="AI944" s="408"/>
      <c r="AJ944" s="408"/>
      <c r="AK944" s="408"/>
      <c r="AL944" s="408"/>
      <c r="AM944" s="408"/>
      <c r="AN944" s="408"/>
      <c r="AO944" s="408"/>
      <c r="AP944" s="408"/>
      <c r="AQ944" s="408"/>
      <c r="AR944" s="408"/>
      <c r="AS944" s="408"/>
      <c r="AT944" s="408"/>
      <c r="AU944" s="408"/>
      <c r="AV944" s="408"/>
      <c r="AW944" s="408"/>
      <c r="AX944" s="408"/>
      <c r="AY944" s="408"/>
      <c r="AZ944" s="408"/>
      <c r="BA944" s="408"/>
      <c r="BB944" s="408"/>
      <c r="BC944" s="408"/>
      <c r="BD944" s="408"/>
      <c r="BE944" s="408"/>
      <c r="BF944" s="408"/>
      <c r="BG944" s="408"/>
      <c r="BH944" s="408"/>
      <c r="BI944" s="408"/>
      <c r="BJ944" s="408"/>
      <c r="BK944" s="408"/>
      <c r="BL944" s="408"/>
      <c r="BM944" s="408"/>
      <c r="BN944" s="408"/>
      <c r="BO944" s="408"/>
      <c r="BP944" s="408"/>
      <c r="BQ944" s="408"/>
      <c r="BR944" s="408"/>
      <c r="BS944" s="408"/>
      <c r="BT944" s="408"/>
      <c r="BU944" s="408"/>
      <c r="BV944" s="408"/>
      <c r="BW944" s="408"/>
      <c r="BX944" s="408"/>
      <c r="BY944" s="408"/>
      <c r="BZ944" s="408"/>
      <c r="CA944" s="408"/>
      <c r="CB944" s="408"/>
      <c r="CC944" s="408"/>
      <c r="CD944" s="408"/>
      <c r="CE944" s="408"/>
      <c r="CF944" s="408"/>
      <c r="CG944" s="408"/>
      <c r="CH944" s="408"/>
      <c r="CI944" s="408"/>
      <c r="CJ944" s="408"/>
      <c r="CK944" s="408"/>
      <c r="CL944" s="408"/>
      <c r="CM944" s="408"/>
      <c r="CN944" s="408"/>
    </row>
    <row r="945">
      <c r="A945" s="408"/>
      <c r="B945" s="408"/>
      <c r="C945" s="408"/>
      <c r="D945" s="408"/>
      <c r="E945" s="408"/>
      <c r="F945" s="408"/>
      <c r="G945" s="408"/>
      <c r="H945" s="408"/>
      <c r="I945" s="408"/>
      <c r="J945" s="408"/>
      <c r="K945" s="408"/>
      <c r="L945" s="408"/>
      <c r="M945" s="408"/>
      <c r="N945" s="408"/>
      <c r="O945" s="408"/>
      <c r="P945" s="408"/>
      <c r="Q945" s="408"/>
      <c r="R945" s="408"/>
      <c r="S945" s="408"/>
      <c r="T945" s="408"/>
      <c r="U945" s="408"/>
      <c r="V945" s="408"/>
      <c r="W945" s="408"/>
      <c r="X945" s="408"/>
      <c r="Y945" s="408"/>
      <c r="Z945" s="408"/>
      <c r="AA945" s="408"/>
      <c r="AB945" s="408"/>
      <c r="AC945" s="408"/>
      <c r="AD945" s="408"/>
      <c r="AE945" s="408"/>
      <c r="AF945" s="408"/>
      <c r="AG945" s="408"/>
      <c r="AH945" s="408"/>
      <c r="AI945" s="408"/>
      <c r="AJ945" s="408"/>
      <c r="AK945" s="408"/>
      <c r="AL945" s="408"/>
      <c r="AM945" s="408"/>
      <c r="AN945" s="408"/>
      <c r="AO945" s="408"/>
      <c r="AP945" s="408"/>
      <c r="AQ945" s="408"/>
      <c r="AR945" s="408"/>
      <c r="AS945" s="408"/>
      <c r="AT945" s="408"/>
      <c r="AU945" s="408"/>
      <c r="AV945" s="408"/>
      <c r="AW945" s="408"/>
      <c r="AX945" s="408"/>
      <c r="AY945" s="408"/>
      <c r="AZ945" s="408"/>
      <c r="BA945" s="408"/>
      <c r="BB945" s="408"/>
      <c r="BC945" s="408"/>
      <c r="BD945" s="408"/>
      <c r="BE945" s="408"/>
      <c r="BF945" s="408"/>
      <c r="BG945" s="408"/>
      <c r="BH945" s="408"/>
      <c r="BI945" s="408"/>
      <c r="BJ945" s="408"/>
      <c r="BK945" s="408"/>
      <c r="BL945" s="408"/>
      <c r="BM945" s="408"/>
      <c r="BN945" s="408"/>
      <c r="BO945" s="408"/>
      <c r="BP945" s="408"/>
      <c r="BQ945" s="408"/>
      <c r="BR945" s="408"/>
      <c r="BS945" s="408"/>
      <c r="BT945" s="408"/>
      <c r="BU945" s="408"/>
      <c r="BV945" s="408"/>
      <c r="BW945" s="408"/>
      <c r="BX945" s="408"/>
      <c r="BY945" s="408"/>
      <c r="BZ945" s="408"/>
      <c r="CA945" s="408"/>
      <c r="CB945" s="408"/>
      <c r="CC945" s="408"/>
      <c r="CD945" s="408"/>
      <c r="CE945" s="408"/>
      <c r="CF945" s="408"/>
      <c r="CG945" s="408"/>
      <c r="CH945" s="408"/>
      <c r="CI945" s="408"/>
      <c r="CJ945" s="408"/>
      <c r="CK945" s="408"/>
      <c r="CL945" s="408"/>
      <c r="CM945" s="408"/>
      <c r="CN945" s="408"/>
    </row>
    <row r="946">
      <c r="A946" s="408"/>
      <c r="B946" s="408"/>
      <c r="C946" s="408"/>
      <c r="D946" s="408"/>
      <c r="E946" s="408"/>
      <c r="F946" s="408"/>
      <c r="G946" s="408"/>
      <c r="H946" s="408"/>
      <c r="I946" s="408"/>
      <c r="J946" s="408"/>
      <c r="K946" s="408"/>
      <c r="L946" s="408"/>
      <c r="M946" s="408"/>
      <c r="N946" s="408"/>
      <c r="O946" s="408"/>
      <c r="P946" s="408"/>
      <c r="Q946" s="408"/>
      <c r="R946" s="408"/>
      <c r="S946" s="408"/>
      <c r="T946" s="408"/>
      <c r="U946" s="408"/>
      <c r="V946" s="408"/>
      <c r="W946" s="408"/>
      <c r="X946" s="408"/>
      <c r="Y946" s="408"/>
      <c r="Z946" s="408"/>
      <c r="AA946" s="408"/>
      <c r="AB946" s="408"/>
      <c r="AC946" s="408"/>
      <c r="AD946" s="408"/>
      <c r="AE946" s="408"/>
      <c r="AF946" s="408"/>
      <c r="AG946" s="408"/>
      <c r="AH946" s="408"/>
      <c r="AI946" s="408"/>
      <c r="AJ946" s="408"/>
      <c r="AK946" s="408"/>
      <c r="AL946" s="408"/>
      <c r="AM946" s="408"/>
      <c r="AN946" s="408"/>
      <c r="AO946" s="408"/>
      <c r="AP946" s="408"/>
      <c r="AQ946" s="408"/>
      <c r="AR946" s="408"/>
      <c r="AS946" s="408"/>
      <c r="AT946" s="408"/>
      <c r="AU946" s="408"/>
      <c r="AV946" s="408"/>
      <c r="AW946" s="408"/>
      <c r="AX946" s="408"/>
      <c r="AY946" s="408"/>
      <c r="AZ946" s="408"/>
      <c r="BA946" s="408"/>
      <c r="BB946" s="408"/>
      <c r="BC946" s="408"/>
      <c r="BD946" s="408"/>
      <c r="BE946" s="408"/>
      <c r="BF946" s="408"/>
      <c r="BG946" s="408"/>
      <c r="BH946" s="408"/>
      <c r="BI946" s="408"/>
      <c r="BJ946" s="408"/>
      <c r="BK946" s="408"/>
      <c r="BL946" s="408"/>
      <c r="BM946" s="408"/>
      <c r="BN946" s="408"/>
      <c r="BO946" s="408"/>
      <c r="BP946" s="408"/>
      <c r="BQ946" s="408"/>
      <c r="BR946" s="408"/>
      <c r="BS946" s="408"/>
      <c r="BT946" s="408"/>
      <c r="BU946" s="408"/>
      <c r="BV946" s="408"/>
      <c r="BW946" s="408"/>
      <c r="BX946" s="408"/>
      <c r="BY946" s="408"/>
      <c r="BZ946" s="408"/>
      <c r="CA946" s="408"/>
      <c r="CB946" s="408"/>
      <c r="CC946" s="408"/>
      <c r="CD946" s="408"/>
      <c r="CE946" s="408"/>
      <c r="CF946" s="408"/>
      <c r="CG946" s="408"/>
      <c r="CH946" s="408"/>
      <c r="CI946" s="408"/>
      <c r="CJ946" s="408"/>
      <c r="CK946" s="408"/>
      <c r="CL946" s="408"/>
      <c r="CM946" s="408"/>
      <c r="CN946" s="408"/>
    </row>
    <row r="947">
      <c r="A947" s="408"/>
      <c r="B947" s="408"/>
      <c r="C947" s="408"/>
      <c r="D947" s="408"/>
      <c r="E947" s="408"/>
      <c r="F947" s="408"/>
      <c r="G947" s="408"/>
      <c r="H947" s="408"/>
      <c r="I947" s="408"/>
      <c r="J947" s="408"/>
      <c r="K947" s="408"/>
      <c r="L947" s="408"/>
      <c r="M947" s="408"/>
      <c r="N947" s="408"/>
      <c r="O947" s="408"/>
      <c r="P947" s="408"/>
      <c r="Q947" s="408"/>
      <c r="R947" s="408"/>
      <c r="S947" s="408"/>
      <c r="T947" s="408"/>
      <c r="U947" s="408"/>
      <c r="V947" s="408"/>
      <c r="W947" s="408"/>
      <c r="X947" s="408"/>
      <c r="Y947" s="408"/>
      <c r="Z947" s="408"/>
      <c r="AA947" s="408"/>
      <c r="AB947" s="408"/>
      <c r="AC947" s="408"/>
      <c r="AD947" s="408"/>
      <c r="AE947" s="408"/>
      <c r="AF947" s="408"/>
      <c r="AG947" s="408"/>
      <c r="AH947" s="408"/>
      <c r="AI947" s="408"/>
      <c r="AJ947" s="408"/>
      <c r="AK947" s="408"/>
      <c r="AL947" s="408"/>
      <c r="AM947" s="408"/>
      <c r="AN947" s="408"/>
      <c r="AO947" s="408"/>
      <c r="AP947" s="408"/>
      <c r="AQ947" s="408"/>
      <c r="AR947" s="408"/>
      <c r="AS947" s="408"/>
      <c r="AT947" s="408"/>
      <c r="AU947" s="408"/>
      <c r="AV947" s="408"/>
      <c r="AW947" s="408"/>
      <c r="AX947" s="408"/>
      <c r="AY947" s="408"/>
      <c r="AZ947" s="408"/>
      <c r="BA947" s="408"/>
      <c r="BB947" s="408"/>
      <c r="BC947" s="408"/>
      <c r="BD947" s="408"/>
      <c r="BE947" s="408"/>
      <c r="BF947" s="408"/>
      <c r="BG947" s="408"/>
      <c r="BH947" s="408"/>
      <c r="BI947" s="408"/>
      <c r="BJ947" s="408"/>
      <c r="BK947" s="408"/>
      <c r="BL947" s="408"/>
      <c r="BM947" s="408"/>
      <c r="BN947" s="408"/>
      <c r="BO947" s="408"/>
      <c r="BP947" s="408"/>
      <c r="BQ947" s="408"/>
      <c r="BR947" s="408"/>
      <c r="BS947" s="408"/>
      <c r="BT947" s="408"/>
      <c r="BU947" s="408"/>
      <c r="BV947" s="408"/>
      <c r="BW947" s="408"/>
      <c r="BX947" s="408"/>
      <c r="BY947" s="408"/>
      <c r="BZ947" s="408"/>
      <c r="CA947" s="408"/>
      <c r="CB947" s="408"/>
      <c r="CC947" s="408"/>
      <c r="CD947" s="408"/>
      <c r="CE947" s="408"/>
      <c r="CF947" s="408"/>
      <c r="CG947" s="408"/>
      <c r="CH947" s="408"/>
      <c r="CI947" s="408"/>
      <c r="CJ947" s="408"/>
      <c r="CK947" s="408"/>
      <c r="CL947" s="408"/>
      <c r="CM947" s="408"/>
      <c r="CN947" s="408"/>
    </row>
    <row r="948">
      <c r="A948" s="408"/>
      <c r="B948" s="408"/>
      <c r="C948" s="408"/>
      <c r="D948" s="408"/>
      <c r="E948" s="408"/>
      <c r="F948" s="408"/>
      <c r="G948" s="408"/>
      <c r="H948" s="408"/>
      <c r="I948" s="408"/>
      <c r="J948" s="408"/>
      <c r="K948" s="408"/>
      <c r="L948" s="408"/>
      <c r="M948" s="408"/>
      <c r="N948" s="408"/>
      <c r="O948" s="408"/>
      <c r="P948" s="408"/>
      <c r="Q948" s="408"/>
      <c r="R948" s="408"/>
      <c r="S948" s="408"/>
      <c r="T948" s="408"/>
      <c r="U948" s="408"/>
      <c r="V948" s="408"/>
      <c r="W948" s="408"/>
      <c r="X948" s="408"/>
      <c r="Y948" s="408"/>
      <c r="Z948" s="408"/>
      <c r="AA948" s="408"/>
      <c r="AB948" s="408"/>
      <c r="AC948" s="408"/>
      <c r="AD948" s="408"/>
      <c r="AE948" s="408"/>
      <c r="AF948" s="408"/>
      <c r="AG948" s="408"/>
      <c r="AH948" s="408"/>
      <c r="AI948" s="408"/>
      <c r="AJ948" s="408"/>
      <c r="AK948" s="408"/>
      <c r="AL948" s="408"/>
      <c r="AM948" s="408"/>
      <c r="AN948" s="408"/>
      <c r="AO948" s="408"/>
      <c r="AP948" s="408"/>
      <c r="AQ948" s="408"/>
      <c r="AR948" s="408"/>
      <c r="AS948" s="408"/>
      <c r="AT948" s="408"/>
      <c r="AU948" s="408"/>
      <c r="AV948" s="408"/>
      <c r="AW948" s="408"/>
      <c r="AX948" s="408"/>
      <c r="AY948" s="408"/>
      <c r="AZ948" s="408"/>
      <c r="BA948" s="408"/>
      <c r="BB948" s="408"/>
      <c r="BC948" s="408"/>
      <c r="BD948" s="408"/>
      <c r="BE948" s="408"/>
      <c r="BF948" s="408"/>
      <c r="BG948" s="408"/>
      <c r="BH948" s="408"/>
      <c r="BI948" s="408"/>
      <c r="BJ948" s="408"/>
      <c r="BK948" s="408"/>
      <c r="BL948" s="408"/>
      <c r="BM948" s="408"/>
      <c r="BN948" s="408"/>
      <c r="BO948" s="408"/>
      <c r="BP948" s="408"/>
      <c r="BQ948" s="408"/>
      <c r="BR948" s="408"/>
      <c r="BS948" s="408"/>
      <c r="BT948" s="408"/>
      <c r="BU948" s="408"/>
      <c r="BV948" s="408"/>
      <c r="BW948" s="408"/>
      <c r="BX948" s="408"/>
      <c r="BY948" s="408"/>
      <c r="BZ948" s="408"/>
      <c r="CA948" s="408"/>
      <c r="CB948" s="408"/>
      <c r="CC948" s="408"/>
      <c r="CD948" s="408"/>
      <c r="CE948" s="408"/>
      <c r="CF948" s="408"/>
      <c r="CG948" s="408"/>
      <c r="CH948" s="408"/>
      <c r="CI948" s="408"/>
      <c r="CJ948" s="408"/>
      <c r="CK948" s="408"/>
      <c r="CL948" s="408"/>
      <c r="CM948" s="408"/>
      <c r="CN948" s="408"/>
    </row>
    <row r="949">
      <c r="A949" s="408"/>
      <c r="B949" s="408"/>
      <c r="C949" s="408"/>
      <c r="D949" s="408"/>
      <c r="E949" s="408"/>
      <c r="F949" s="408"/>
      <c r="G949" s="408"/>
      <c r="H949" s="408"/>
      <c r="I949" s="408"/>
      <c r="J949" s="408"/>
      <c r="K949" s="408"/>
      <c r="L949" s="408"/>
      <c r="M949" s="408"/>
      <c r="N949" s="408"/>
      <c r="O949" s="408"/>
      <c r="P949" s="408"/>
      <c r="Q949" s="408"/>
      <c r="R949" s="408"/>
      <c r="S949" s="408"/>
      <c r="T949" s="408"/>
      <c r="U949" s="408"/>
      <c r="V949" s="408"/>
      <c r="W949" s="408"/>
      <c r="X949" s="408"/>
      <c r="Y949" s="408"/>
      <c r="Z949" s="408"/>
      <c r="AA949" s="408"/>
      <c r="AB949" s="408"/>
      <c r="AC949" s="408"/>
      <c r="AD949" s="408"/>
      <c r="AE949" s="408"/>
      <c r="AF949" s="408"/>
      <c r="AG949" s="408"/>
      <c r="AH949" s="408"/>
      <c r="AI949" s="408"/>
      <c r="AJ949" s="408"/>
      <c r="AK949" s="408"/>
      <c r="AL949" s="408"/>
      <c r="AM949" s="408"/>
      <c r="AN949" s="408"/>
      <c r="AO949" s="408"/>
      <c r="AP949" s="408"/>
      <c r="AQ949" s="408"/>
      <c r="AR949" s="408"/>
      <c r="AS949" s="408"/>
      <c r="AT949" s="408"/>
      <c r="AU949" s="408"/>
      <c r="AV949" s="408"/>
      <c r="AW949" s="408"/>
      <c r="AX949" s="408"/>
      <c r="AY949" s="408"/>
      <c r="AZ949" s="408"/>
      <c r="BA949" s="408"/>
      <c r="BB949" s="408"/>
      <c r="BC949" s="408"/>
      <c r="BD949" s="408"/>
      <c r="BE949" s="408"/>
      <c r="BF949" s="408"/>
      <c r="BG949" s="408"/>
      <c r="BH949" s="408"/>
      <c r="BI949" s="408"/>
      <c r="BJ949" s="408"/>
      <c r="BK949" s="408"/>
      <c r="BL949" s="408"/>
      <c r="BM949" s="408"/>
      <c r="BN949" s="408"/>
      <c r="BO949" s="408"/>
      <c r="BP949" s="408"/>
      <c r="BQ949" s="408"/>
      <c r="BR949" s="408"/>
      <c r="BS949" s="408"/>
      <c r="BT949" s="408"/>
      <c r="BU949" s="408"/>
      <c r="BV949" s="408"/>
      <c r="BW949" s="408"/>
      <c r="BX949" s="408"/>
      <c r="BY949" s="408"/>
      <c r="BZ949" s="408"/>
      <c r="CA949" s="408"/>
      <c r="CB949" s="408"/>
      <c r="CC949" s="408"/>
      <c r="CD949" s="408"/>
      <c r="CE949" s="408"/>
      <c r="CF949" s="408"/>
      <c r="CG949" s="408"/>
      <c r="CH949" s="408"/>
      <c r="CI949" s="408"/>
      <c r="CJ949" s="408"/>
      <c r="CK949" s="408"/>
      <c r="CL949" s="408"/>
      <c r="CM949" s="408"/>
      <c r="CN949" s="408"/>
    </row>
    <row r="950">
      <c r="A950" s="408"/>
      <c r="B950" s="408"/>
      <c r="C950" s="408"/>
      <c r="D950" s="408"/>
      <c r="E950" s="408"/>
      <c r="F950" s="408"/>
      <c r="G950" s="408"/>
      <c r="H950" s="408"/>
      <c r="I950" s="408"/>
      <c r="J950" s="408"/>
      <c r="K950" s="408"/>
      <c r="L950" s="408"/>
      <c r="M950" s="408"/>
      <c r="N950" s="408"/>
      <c r="O950" s="408"/>
      <c r="P950" s="408"/>
      <c r="Q950" s="408"/>
      <c r="R950" s="408"/>
      <c r="S950" s="408"/>
      <c r="T950" s="408"/>
      <c r="U950" s="408"/>
      <c r="V950" s="408"/>
      <c r="W950" s="408"/>
      <c r="X950" s="408"/>
      <c r="Y950" s="408"/>
      <c r="Z950" s="408"/>
      <c r="AA950" s="408"/>
      <c r="AB950" s="408"/>
      <c r="AC950" s="408"/>
      <c r="AD950" s="408"/>
      <c r="AE950" s="408"/>
      <c r="AF950" s="408"/>
      <c r="AG950" s="408"/>
      <c r="AH950" s="408"/>
      <c r="AI950" s="408"/>
      <c r="AJ950" s="408"/>
      <c r="AK950" s="408"/>
      <c r="AL950" s="408"/>
      <c r="AM950" s="408"/>
      <c r="AN950" s="408"/>
      <c r="AO950" s="408"/>
      <c r="AP950" s="408"/>
      <c r="AQ950" s="408"/>
      <c r="AR950" s="408"/>
      <c r="AS950" s="408"/>
      <c r="AT950" s="408"/>
      <c r="AU950" s="408"/>
      <c r="AV950" s="408"/>
      <c r="AW950" s="408"/>
      <c r="AX950" s="408"/>
      <c r="AY950" s="408"/>
      <c r="AZ950" s="408"/>
      <c r="BA950" s="408"/>
      <c r="BB950" s="408"/>
      <c r="BC950" s="408"/>
      <c r="BD950" s="408"/>
      <c r="BE950" s="408"/>
      <c r="BF950" s="408"/>
      <c r="BG950" s="408"/>
      <c r="BH950" s="408"/>
      <c r="BI950" s="408"/>
      <c r="BJ950" s="408"/>
      <c r="BK950" s="408"/>
      <c r="BL950" s="408"/>
      <c r="BM950" s="408"/>
      <c r="BN950" s="408"/>
      <c r="BO950" s="408"/>
      <c r="BP950" s="408"/>
      <c r="BQ950" s="408"/>
      <c r="BR950" s="408"/>
      <c r="BS950" s="408"/>
      <c r="BT950" s="408"/>
      <c r="BU950" s="408"/>
      <c r="BV950" s="408"/>
      <c r="BW950" s="408"/>
      <c r="BX950" s="408"/>
      <c r="BY950" s="408"/>
      <c r="BZ950" s="408"/>
      <c r="CA950" s="408"/>
      <c r="CB950" s="408"/>
      <c r="CC950" s="408"/>
      <c r="CD950" s="408"/>
      <c r="CE950" s="408"/>
      <c r="CF950" s="408"/>
      <c r="CG950" s="408"/>
      <c r="CH950" s="408"/>
      <c r="CI950" s="408"/>
      <c r="CJ950" s="408"/>
      <c r="CK950" s="408"/>
      <c r="CL950" s="408"/>
      <c r="CM950" s="408"/>
      <c r="CN950" s="408"/>
    </row>
    <row r="951">
      <c r="A951" s="408"/>
      <c r="B951" s="408"/>
      <c r="C951" s="408"/>
      <c r="D951" s="408"/>
      <c r="E951" s="408"/>
      <c r="F951" s="408"/>
      <c r="G951" s="408"/>
      <c r="H951" s="408"/>
      <c r="I951" s="408"/>
      <c r="J951" s="408"/>
      <c r="K951" s="408"/>
      <c r="L951" s="408"/>
      <c r="M951" s="408"/>
      <c r="N951" s="408"/>
      <c r="O951" s="408"/>
      <c r="P951" s="408"/>
      <c r="Q951" s="408"/>
      <c r="R951" s="408"/>
      <c r="S951" s="408"/>
      <c r="T951" s="408"/>
      <c r="U951" s="408"/>
      <c r="V951" s="408"/>
      <c r="W951" s="408"/>
      <c r="X951" s="408"/>
      <c r="Y951" s="408"/>
      <c r="Z951" s="408"/>
      <c r="AA951" s="408"/>
      <c r="AB951" s="408"/>
      <c r="AC951" s="408"/>
      <c r="AD951" s="408"/>
      <c r="AE951" s="408"/>
      <c r="AF951" s="408"/>
      <c r="AG951" s="408"/>
      <c r="AH951" s="408"/>
      <c r="AI951" s="408"/>
      <c r="AJ951" s="408"/>
      <c r="AK951" s="408"/>
      <c r="AL951" s="408"/>
      <c r="AM951" s="408"/>
      <c r="AN951" s="408"/>
      <c r="AO951" s="408"/>
      <c r="AP951" s="408"/>
      <c r="AQ951" s="408"/>
      <c r="AR951" s="408"/>
      <c r="AS951" s="408"/>
      <c r="AT951" s="408"/>
      <c r="AU951" s="408"/>
      <c r="AV951" s="408"/>
      <c r="AW951" s="408"/>
      <c r="AX951" s="408"/>
      <c r="AY951" s="408"/>
      <c r="AZ951" s="408"/>
      <c r="BA951" s="408"/>
      <c r="BB951" s="408"/>
      <c r="BC951" s="408"/>
      <c r="BD951" s="408"/>
      <c r="BE951" s="408"/>
      <c r="BF951" s="408"/>
      <c r="BG951" s="408"/>
      <c r="BH951" s="408"/>
      <c r="BI951" s="408"/>
      <c r="BJ951" s="408"/>
      <c r="BK951" s="408"/>
      <c r="BL951" s="408"/>
      <c r="BM951" s="408"/>
      <c r="BN951" s="408"/>
      <c r="BO951" s="408"/>
      <c r="BP951" s="408"/>
      <c r="BQ951" s="408"/>
      <c r="BR951" s="408"/>
      <c r="BS951" s="408"/>
      <c r="BT951" s="408"/>
      <c r="BU951" s="408"/>
      <c r="BV951" s="408"/>
      <c r="BW951" s="408"/>
      <c r="BX951" s="408"/>
      <c r="BY951" s="408"/>
      <c r="BZ951" s="408"/>
      <c r="CA951" s="408"/>
      <c r="CB951" s="408"/>
      <c r="CC951" s="408"/>
      <c r="CD951" s="408"/>
      <c r="CE951" s="408"/>
      <c r="CF951" s="408"/>
      <c r="CG951" s="408"/>
      <c r="CH951" s="408"/>
      <c r="CI951" s="408"/>
      <c r="CJ951" s="408"/>
      <c r="CK951" s="408"/>
      <c r="CL951" s="408"/>
      <c r="CM951" s="408"/>
      <c r="CN951" s="408"/>
    </row>
    <row r="952">
      <c r="A952" s="408"/>
      <c r="B952" s="408"/>
      <c r="C952" s="408"/>
      <c r="D952" s="408"/>
      <c r="E952" s="408"/>
      <c r="F952" s="408"/>
      <c r="G952" s="408"/>
      <c r="H952" s="408"/>
      <c r="I952" s="408"/>
      <c r="J952" s="408"/>
      <c r="K952" s="408"/>
      <c r="L952" s="408"/>
      <c r="M952" s="408"/>
      <c r="N952" s="408"/>
      <c r="O952" s="408"/>
      <c r="P952" s="408"/>
      <c r="Q952" s="408"/>
      <c r="R952" s="408"/>
      <c r="S952" s="408"/>
      <c r="T952" s="408"/>
      <c r="U952" s="408"/>
      <c r="V952" s="408"/>
      <c r="W952" s="408"/>
      <c r="X952" s="408"/>
      <c r="Y952" s="408"/>
      <c r="Z952" s="408"/>
      <c r="AA952" s="408"/>
      <c r="AB952" s="408"/>
      <c r="AC952" s="408"/>
      <c r="AD952" s="408"/>
      <c r="AE952" s="408"/>
      <c r="AF952" s="408"/>
      <c r="AG952" s="408"/>
      <c r="AH952" s="408"/>
      <c r="AI952" s="408"/>
      <c r="AJ952" s="408"/>
      <c r="AK952" s="408"/>
      <c r="AL952" s="408"/>
      <c r="AM952" s="408"/>
      <c r="AN952" s="408"/>
      <c r="AO952" s="408"/>
      <c r="AP952" s="408"/>
      <c r="AQ952" s="408"/>
      <c r="AR952" s="408"/>
      <c r="AS952" s="408"/>
      <c r="AT952" s="408"/>
      <c r="AU952" s="408"/>
      <c r="AV952" s="408"/>
      <c r="AW952" s="408"/>
      <c r="AX952" s="408"/>
      <c r="AY952" s="408"/>
      <c r="AZ952" s="408"/>
      <c r="BA952" s="408"/>
      <c r="BB952" s="408"/>
      <c r="BC952" s="408"/>
      <c r="BD952" s="408"/>
      <c r="BE952" s="408"/>
      <c r="BF952" s="408"/>
      <c r="BG952" s="408"/>
      <c r="BH952" s="408"/>
      <c r="BI952" s="408"/>
      <c r="BJ952" s="408"/>
      <c r="BK952" s="408"/>
      <c r="BL952" s="408"/>
      <c r="BM952" s="408"/>
      <c r="BN952" s="408"/>
      <c r="BO952" s="408"/>
      <c r="BP952" s="408"/>
      <c r="BQ952" s="408"/>
      <c r="BR952" s="408"/>
      <c r="BS952" s="408"/>
      <c r="BT952" s="408"/>
      <c r="BU952" s="408"/>
      <c r="BV952" s="408"/>
      <c r="BW952" s="408"/>
      <c r="BX952" s="408"/>
      <c r="BY952" s="408"/>
      <c r="BZ952" s="408"/>
      <c r="CA952" s="408"/>
      <c r="CB952" s="408"/>
      <c r="CC952" s="408"/>
      <c r="CD952" s="408"/>
      <c r="CE952" s="408"/>
      <c r="CF952" s="408"/>
      <c r="CG952" s="408"/>
      <c r="CH952" s="408"/>
      <c r="CI952" s="408"/>
      <c r="CJ952" s="408"/>
      <c r="CK952" s="408"/>
      <c r="CL952" s="408"/>
      <c r="CM952" s="408"/>
      <c r="CN952" s="408"/>
    </row>
    <row r="953">
      <c r="A953" s="408"/>
      <c r="B953" s="408"/>
      <c r="C953" s="408"/>
      <c r="D953" s="408"/>
      <c r="E953" s="408"/>
      <c r="F953" s="408"/>
      <c r="G953" s="408"/>
      <c r="H953" s="408"/>
      <c r="I953" s="408"/>
      <c r="J953" s="408"/>
      <c r="K953" s="408"/>
      <c r="L953" s="408"/>
      <c r="M953" s="408"/>
      <c r="N953" s="408"/>
      <c r="O953" s="408"/>
      <c r="P953" s="408"/>
      <c r="Q953" s="408"/>
      <c r="R953" s="408"/>
      <c r="S953" s="408"/>
      <c r="T953" s="408"/>
      <c r="U953" s="408"/>
      <c r="V953" s="408"/>
      <c r="W953" s="408"/>
      <c r="X953" s="408"/>
      <c r="Y953" s="408"/>
      <c r="Z953" s="408"/>
      <c r="AA953" s="408"/>
      <c r="AB953" s="408"/>
      <c r="AC953" s="408"/>
      <c r="AD953" s="408"/>
      <c r="AE953" s="408"/>
      <c r="AF953" s="408"/>
      <c r="AG953" s="408"/>
      <c r="AH953" s="408"/>
      <c r="AI953" s="408"/>
      <c r="AJ953" s="408"/>
      <c r="AK953" s="408"/>
      <c r="AL953" s="408"/>
      <c r="AM953" s="408"/>
      <c r="AN953" s="408"/>
      <c r="AO953" s="408"/>
      <c r="AP953" s="408"/>
      <c r="AQ953" s="408"/>
      <c r="AR953" s="408"/>
      <c r="AS953" s="408"/>
      <c r="AT953" s="408"/>
      <c r="AU953" s="408"/>
      <c r="AV953" s="408"/>
      <c r="AW953" s="408"/>
      <c r="AX953" s="408"/>
      <c r="AY953" s="408"/>
      <c r="AZ953" s="408"/>
      <c r="BA953" s="408"/>
      <c r="BB953" s="408"/>
      <c r="BC953" s="408"/>
      <c r="BD953" s="408"/>
      <c r="BE953" s="408"/>
      <c r="BF953" s="408"/>
      <c r="BG953" s="408"/>
      <c r="BH953" s="408"/>
      <c r="BI953" s="408"/>
      <c r="BJ953" s="408"/>
      <c r="BK953" s="408"/>
      <c r="BL953" s="408"/>
      <c r="BM953" s="408"/>
      <c r="BN953" s="408"/>
      <c r="BO953" s="408"/>
      <c r="BP953" s="408"/>
      <c r="BQ953" s="408"/>
      <c r="BR953" s="408"/>
      <c r="BS953" s="408"/>
      <c r="BT953" s="408"/>
      <c r="BU953" s="408"/>
      <c r="BV953" s="408"/>
      <c r="BW953" s="408"/>
      <c r="BX953" s="408"/>
      <c r="BY953" s="408"/>
      <c r="BZ953" s="408"/>
      <c r="CA953" s="408"/>
      <c r="CB953" s="408"/>
      <c r="CC953" s="408"/>
      <c r="CD953" s="408"/>
      <c r="CE953" s="408"/>
      <c r="CF953" s="408"/>
      <c r="CG953" s="408"/>
      <c r="CH953" s="408"/>
      <c r="CI953" s="408"/>
      <c r="CJ953" s="408"/>
      <c r="CK953" s="408"/>
      <c r="CL953" s="408"/>
      <c r="CM953" s="408"/>
      <c r="CN953" s="408"/>
    </row>
    <row r="954">
      <c r="A954" s="408"/>
      <c r="B954" s="408"/>
      <c r="C954" s="408"/>
      <c r="D954" s="408"/>
      <c r="E954" s="408"/>
      <c r="F954" s="408"/>
      <c r="G954" s="408"/>
      <c r="H954" s="408"/>
      <c r="I954" s="408"/>
      <c r="J954" s="408"/>
      <c r="K954" s="408"/>
      <c r="L954" s="408"/>
      <c r="M954" s="408"/>
      <c r="N954" s="408"/>
      <c r="O954" s="408"/>
      <c r="P954" s="408"/>
      <c r="Q954" s="408"/>
      <c r="R954" s="408"/>
      <c r="S954" s="408"/>
      <c r="T954" s="408"/>
      <c r="U954" s="408"/>
      <c r="V954" s="408"/>
      <c r="W954" s="408"/>
      <c r="X954" s="408"/>
      <c r="Y954" s="408"/>
      <c r="Z954" s="408"/>
      <c r="AA954" s="408"/>
      <c r="AB954" s="408"/>
      <c r="AC954" s="408"/>
      <c r="AD954" s="408"/>
      <c r="AE954" s="408"/>
      <c r="AF954" s="408"/>
      <c r="AG954" s="408"/>
      <c r="AH954" s="408"/>
      <c r="AI954" s="408"/>
      <c r="AJ954" s="408"/>
      <c r="AK954" s="408"/>
      <c r="AL954" s="408"/>
      <c r="AM954" s="408"/>
      <c r="AN954" s="408"/>
      <c r="AO954" s="408"/>
      <c r="AP954" s="408"/>
      <c r="AQ954" s="408"/>
      <c r="AR954" s="408"/>
      <c r="AS954" s="408"/>
      <c r="AT954" s="408"/>
      <c r="AU954" s="408"/>
      <c r="AV954" s="408"/>
      <c r="AW954" s="408"/>
      <c r="AX954" s="408"/>
      <c r="AY954" s="408"/>
      <c r="AZ954" s="408"/>
      <c r="BA954" s="408"/>
      <c r="BB954" s="408"/>
      <c r="BC954" s="408"/>
      <c r="BD954" s="408"/>
      <c r="BE954" s="408"/>
      <c r="BF954" s="408"/>
      <c r="BG954" s="408"/>
      <c r="BH954" s="408"/>
      <c r="BI954" s="408"/>
      <c r="BJ954" s="408"/>
      <c r="BK954" s="408"/>
      <c r="BL954" s="408"/>
      <c r="BM954" s="408"/>
      <c r="BN954" s="408"/>
      <c r="BO954" s="408"/>
      <c r="BP954" s="408"/>
      <c r="BQ954" s="408"/>
      <c r="BR954" s="408"/>
      <c r="BS954" s="408"/>
      <c r="BT954" s="408"/>
      <c r="BU954" s="408"/>
      <c r="BV954" s="408"/>
      <c r="BW954" s="408"/>
      <c r="BX954" s="408"/>
      <c r="BY954" s="408"/>
      <c r="BZ954" s="408"/>
      <c r="CA954" s="408"/>
      <c r="CB954" s="408"/>
      <c r="CC954" s="408"/>
      <c r="CD954" s="408"/>
      <c r="CE954" s="408"/>
      <c r="CF954" s="408"/>
      <c r="CG954" s="408"/>
      <c r="CH954" s="408"/>
      <c r="CI954" s="408"/>
      <c r="CJ954" s="408"/>
      <c r="CK954" s="408"/>
      <c r="CL954" s="408"/>
      <c r="CM954" s="408"/>
      <c r="CN954" s="408"/>
    </row>
    <row r="955">
      <c r="A955" s="408"/>
      <c r="B955" s="408"/>
      <c r="C955" s="408"/>
      <c r="D955" s="408"/>
      <c r="E955" s="408"/>
      <c r="F955" s="408"/>
      <c r="G955" s="408"/>
      <c r="H955" s="408"/>
      <c r="I955" s="408"/>
      <c r="J955" s="408"/>
      <c r="K955" s="408"/>
      <c r="L955" s="408"/>
      <c r="M955" s="408"/>
      <c r="N955" s="408"/>
      <c r="O955" s="408"/>
      <c r="P955" s="408"/>
      <c r="Q955" s="408"/>
      <c r="R955" s="408"/>
      <c r="S955" s="408"/>
      <c r="T955" s="408"/>
      <c r="U955" s="408"/>
      <c r="V955" s="408"/>
      <c r="W955" s="408"/>
      <c r="X955" s="408"/>
      <c r="Y955" s="408"/>
      <c r="Z955" s="408"/>
      <c r="AA955" s="408"/>
      <c r="AB955" s="408"/>
      <c r="AC955" s="408"/>
      <c r="AD955" s="408"/>
      <c r="AE955" s="408"/>
      <c r="AF955" s="408"/>
      <c r="AG955" s="408"/>
      <c r="AH955" s="408"/>
      <c r="AI955" s="408"/>
      <c r="AJ955" s="408"/>
      <c r="AK955" s="408"/>
      <c r="AL955" s="408"/>
      <c r="AM955" s="408"/>
      <c r="AN955" s="408"/>
      <c r="AO955" s="408"/>
      <c r="AP955" s="408"/>
      <c r="AQ955" s="408"/>
      <c r="AR955" s="408"/>
      <c r="AS955" s="408"/>
      <c r="AT955" s="408"/>
      <c r="AU955" s="408"/>
      <c r="AV955" s="408"/>
      <c r="AW955" s="408"/>
      <c r="AX955" s="408"/>
      <c r="AY955" s="408"/>
      <c r="AZ955" s="408"/>
      <c r="BA955" s="408"/>
      <c r="BB955" s="408"/>
      <c r="BC955" s="408"/>
      <c r="BD955" s="408"/>
      <c r="BE955" s="408"/>
      <c r="BF955" s="408"/>
      <c r="BG955" s="408"/>
      <c r="BH955" s="408"/>
      <c r="BI955" s="408"/>
      <c r="BJ955" s="408"/>
      <c r="BK955" s="408"/>
      <c r="BL955" s="408"/>
      <c r="BM955" s="408"/>
      <c r="BN955" s="408"/>
      <c r="BO955" s="408"/>
      <c r="BP955" s="408"/>
      <c r="BQ955" s="408"/>
      <c r="BR955" s="408"/>
      <c r="BS955" s="408"/>
      <c r="BT955" s="408"/>
      <c r="BU955" s="408"/>
      <c r="BV955" s="408"/>
      <c r="BW955" s="408"/>
      <c r="BX955" s="408"/>
      <c r="BY955" s="408"/>
      <c r="BZ955" s="408"/>
      <c r="CA955" s="408"/>
      <c r="CB955" s="408"/>
      <c r="CC955" s="408"/>
      <c r="CD955" s="408"/>
      <c r="CE955" s="408"/>
      <c r="CF955" s="408"/>
      <c r="CG955" s="408"/>
      <c r="CH955" s="408"/>
      <c r="CI955" s="408"/>
      <c r="CJ955" s="408"/>
      <c r="CK955" s="408"/>
      <c r="CL955" s="408"/>
      <c r="CM955" s="408"/>
      <c r="CN955" s="408"/>
    </row>
    <row r="956">
      <c r="A956" s="408"/>
      <c r="B956" s="408"/>
      <c r="C956" s="408"/>
      <c r="D956" s="408"/>
      <c r="E956" s="408"/>
      <c r="F956" s="408"/>
      <c r="G956" s="408"/>
      <c r="H956" s="408"/>
      <c r="I956" s="408"/>
      <c r="J956" s="408"/>
      <c r="K956" s="408"/>
      <c r="L956" s="408"/>
      <c r="M956" s="408"/>
      <c r="N956" s="408"/>
      <c r="O956" s="408"/>
      <c r="P956" s="408"/>
      <c r="Q956" s="408"/>
      <c r="R956" s="408"/>
      <c r="S956" s="408"/>
      <c r="T956" s="408"/>
      <c r="U956" s="408"/>
      <c r="V956" s="408"/>
      <c r="W956" s="408"/>
      <c r="X956" s="408"/>
      <c r="Y956" s="408"/>
      <c r="Z956" s="408"/>
      <c r="AA956" s="408"/>
      <c r="AB956" s="408"/>
      <c r="AC956" s="408"/>
      <c r="AD956" s="408"/>
      <c r="AE956" s="408"/>
      <c r="AF956" s="408"/>
      <c r="AG956" s="408"/>
      <c r="AH956" s="408"/>
      <c r="AI956" s="408"/>
      <c r="AJ956" s="408"/>
      <c r="AK956" s="408"/>
      <c r="AL956" s="408"/>
      <c r="AM956" s="408"/>
      <c r="AN956" s="408"/>
      <c r="AO956" s="408"/>
      <c r="AP956" s="408"/>
      <c r="AQ956" s="408"/>
      <c r="AR956" s="408"/>
      <c r="AS956" s="408"/>
      <c r="AT956" s="408"/>
      <c r="AU956" s="408"/>
      <c r="AV956" s="408"/>
      <c r="AW956" s="408"/>
      <c r="AX956" s="408"/>
      <c r="AY956" s="408"/>
      <c r="AZ956" s="408"/>
      <c r="BA956" s="408"/>
      <c r="BB956" s="408"/>
      <c r="BC956" s="408"/>
      <c r="BD956" s="408"/>
      <c r="BE956" s="408"/>
      <c r="BF956" s="408"/>
      <c r="BG956" s="408"/>
      <c r="BH956" s="408"/>
      <c r="BI956" s="408"/>
      <c r="BJ956" s="408"/>
      <c r="BK956" s="408"/>
      <c r="BL956" s="408"/>
      <c r="BM956" s="408"/>
      <c r="BN956" s="408"/>
      <c r="BO956" s="408"/>
      <c r="BP956" s="408"/>
      <c r="BQ956" s="408"/>
      <c r="BR956" s="408"/>
      <c r="BS956" s="408"/>
      <c r="BT956" s="408"/>
      <c r="BU956" s="408"/>
      <c r="BV956" s="408"/>
      <c r="BW956" s="408"/>
      <c r="BX956" s="408"/>
      <c r="BY956" s="408"/>
      <c r="BZ956" s="408"/>
      <c r="CA956" s="408"/>
      <c r="CB956" s="408"/>
      <c r="CC956" s="408"/>
      <c r="CD956" s="408"/>
      <c r="CE956" s="408"/>
      <c r="CF956" s="408"/>
      <c r="CG956" s="408"/>
      <c r="CH956" s="408"/>
      <c r="CI956" s="408"/>
      <c r="CJ956" s="408"/>
      <c r="CK956" s="408"/>
      <c r="CL956" s="408"/>
      <c r="CM956" s="408"/>
      <c r="CN956" s="408"/>
    </row>
    <row r="957">
      <c r="A957" s="408"/>
      <c r="B957" s="408"/>
      <c r="C957" s="408"/>
      <c r="D957" s="408"/>
      <c r="E957" s="408"/>
      <c r="F957" s="408"/>
      <c r="G957" s="408"/>
      <c r="H957" s="408"/>
      <c r="I957" s="408"/>
      <c r="J957" s="408"/>
      <c r="K957" s="408"/>
      <c r="L957" s="408"/>
      <c r="M957" s="408"/>
      <c r="N957" s="408"/>
      <c r="O957" s="408"/>
      <c r="P957" s="408"/>
      <c r="Q957" s="408"/>
      <c r="R957" s="408"/>
      <c r="S957" s="408"/>
      <c r="T957" s="408"/>
      <c r="U957" s="408"/>
      <c r="V957" s="408"/>
      <c r="W957" s="408"/>
      <c r="X957" s="408"/>
      <c r="Y957" s="408"/>
      <c r="Z957" s="408"/>
      <c r="AA957" s="408"/>
      <c r="AB957" s="408"/>
      <c r="AC957" s="408"/>
      <c r="AD957" s="408"/>
      <c r="AE957" s="408"/>
      <c r="AF957" s="408"/>
      <c r="AG957" s="408"/>
      <c r="AH957" s="408"/>
      <c r="AI957" s="408"/>
      <c r="AJ957" s="408"/>
      <c r="AK957" s="408"/>
      <c r="AL957" s="408"/>
      <c r="AM957" s="408"/>
      <c r="AN957" s="408"/>
      <c r="AO957" s="408"/>
      <c r="AP957" s="408"/>
      <c r="AQ957" s="408"/>
      <c r="AR957" s="408"/>
      <c r="AS957" s="408"/>
      <c r="AT957" s="408"/>
      <c r="AU957" s="408"/>
      <c r="AV957" s="408"/>
      <c r="AW957" s="408"/>
      <c r="AX957" s="408"/>
      <c r="AY957" s="408"/>
      <c r="AZ957" s="408"/>
      <c r="BA957" s="408"/>
      <c r="BB957" s="408"/>
      <c r="BC957" s="408"/>
      <c r="BD957" s="408"/>
      <c r="BE957" s="408"/>
      <c r="BF957" s="408"/>
      <c r="BG957" s="408"/>
      <c r="BH957" s="408"/>
      <c r="BI957" s="408"/>
      <c r="BJ957" s="408"/>
      <c r="BK957" s="408"/>
      <c r="BL957" s="408"/>
      <c r="BM957" s="408"/>
      <c r="BN957" s="408"/>
      <c r="BO957" s="408"/>
      <c r="BP957" s="408"/>
      <c r="BQ957" s="408"/>
      <c r="BR957" s="408"/>
      <c r="BS957" s="408"/>
      <c r="BT957" s="408"/>
      <c r="BU957" s="408"/>
      <c r="BV957" s="408"/>
      <c r="BW957" s="408"/>
      <c r="BX957" s="408"/>
      <c r="BY957" s="408"/>
      <c r="BZ957" s="408"/>
      <c r="CA957" s="408"/>
      <c r="CB957" s="408"/>
      <c r="CC957" s="408"/>
      <c r="CD957" s="408"/>
      <c r="CE957" s="408"/>
      <c r="CF957" s="408"/>
      <c r="CG957" s="408"/>
      <c r="CH957" s="408"/>
      <c r="CI957" s="408"/>
      <c r="CJ957" s="408"/>
      <c r="CK957" s="408"/>
      <c r="CL957" s="408"/>
      <c r="CM957" s="408"/>
      <c r="CN957" s="408"/>
    </row>
    <row r="958">
      <c r="A958" s="408"/>
      <c r="B958" s="408"/>
      <c r="C958" s="408"/>
      <c r="D958" s="408"/>
      <c r="E958" s="408"/>
      <c r="F958" s="408"/>
      <c r="G958" s="408"/>
      <c r="H958" s="408"/>
      <c r="I958" s="408"/>
      <c r="J958" s="408"/>
      <c r="K958" s="408"/>
      <c r="L958" s="408"/>
      <c r="M958" s="408"/>
      <c r="N958" s="408"/>
      <c r="O958" s="408"/>
      <c r="P958" s="408"/>
      <c r="Q958" s="408"/>
      <c r="R958" s="408"/>
      <c r="S958" s="408"/>
      <c r="T958" s="408"/>
      <c r="U958" s="408"/>
      <c r="V958" s="408"/>
      <c r="W958" s="408"/>
      <c r="X958" s="408"/>
      <c r="Y958" s="408"/>
      <c r="Z958" s="408"/>
      <c r="AA958" s="408"/>
      <c r="AB958" s="408"/>
      <c r="AC958" s="408"/>
      <c r="AD958" s="408"/>
      <c r="AE958" s="408"/>
      <c r="AF958" s="408"/>
      <c r="AG958" s="408"/>
      <c r="AH958" s="408"/>
      <c r="AI958" s="408"/>
      <c r="AJ958" s="408"/>
      <c r="AK958" s="408"/>
      <c r="AL958" s="408"/>
      <c r="AM958" s="408"/>
      <c r="AN958" s="408"/>
      <c r="AO958" s="408"/>
      <c r="AP958" s="408"/>
      <c r="AQ958" s="408"/>
      <c r="AR958" s="408"/>
      <c r="AS958" s="408"/>
      <c r="AT958" s="408"/>
      <c r="AU958" s="408"/>
      <c r="AV958" s="408"/>
      <c r="AW958" s="408"/>
      <c r="AX958" s="408"/>
      <c r="AY958" s="408"/>
      <c r="AZ958" s="408"/>
      <c r="BA958" s="408"/>
      <c r="BB958" s="408"/>
      <c r="BC958" s="408"/>
      <c r="BD958" s="408"/>
      <c r="BE958" s="408"/>
      <c r="BF958" s="408"/>
      <c r="BG958" s="408"/>
      <c r="BH958" s="408"/>
      <c r="BI958" s="408"/>
      <c r="BJ958" s="408"/>
      <c r="BK958" s="408"/>
      <c r="BL958" s="408"/>
      <c r="BM958" s="408"/>
      <c r="BN958" s="408"/>
      <c r="BO958" s="408"/>
      <c r="BP958" s="408"/>
      <c r="BQ958" s="408"/>
      <c r="BR958" s="408"/>
      <c r="BS958" s="408"/>
      <c r="BT958" s="408"/>
      <c r="BU958" s="408"/>
      <c r="BV958" s="408"/>
      <c r="BW958" s="408"/>
      <c r="BX958" s="408"/>
      <c r="BY958" s="408"/>
      <c r="BZ958" s="408"/>
      <c r="CA958" s="408"/>
      <c r="CB958" s="408"/>
      <c r="CC958" s="408"/>
      <c r="CD958" s="408"/>
      <c r="CE958" s="408"/>
      <c r="CF958" s="408"/>
      <c r="CG958" s="408"/>
      <c r="CH958" s="408"/>
      <c r="CI958" s="408"/>
      <c r="CJ958" s="408"/>
      <c r="CK958" s="408"/>
      <c r="CL958" s="408"/>
      <c r="CM958" s="408"/>
      <c r="CN958" s="408"/>
    </row>
    <row r="959">
      <c r="A959" s="408"/>
      <c r="B959" s="408"/>
      <c r="C959" s="408"/>
      <c r="D959" s="408"/>
      <c r="E959" s="408"/>
      <c r="F959" s="408"/>
      <c r="G959" s="408"/>
      <c r="H959" s="408"/>
      <c r="I959" s="408"/>
      <c r="J959" s="408"/>
      <c r="K959" s="408"/>
      <c r="L959" s="408"/>
      <c r="M959" s="408"/>
      <c r="N959" s="408"/>
      <c r="O959" s="408"/>
      <c r="P959" s="408"/>
      <c r="Q959" s="408"/>
      <c r="R959" s="408"/>
      <c r="S959" s="408"/>
      <c r="T959" s="408"/>
      <c r="U959" s="408"/>
      <c r="V959" s="408"/>
      <c r="W959" s="408"/>
      <c r="X959" s="408"/>
      <c r="Y959" s="408"/>
      <c r="Z959" s="408"/>
      <c r="AA959" s="408"/>
      <c r="AB959" s="408"/>
      <c r="AC959" s="408"/>
      <c r="AD959" s="408"/>
      <c r="AE959" s="408"/>
      <c r="AF959" s="408"/>
      <c r="AG959" s="408"/>
      <c r="AH959" s="408"/>
      <c r="AI959" s="408"/>
      <c r="AJ959" s="408"/>
      <c r="AK959" s="408"/>
      <c r="AL959" s="408"/>
      <c r="AM959" s="408"/>
      <c r="AN959" s="408"/>
      <c r="AO959" s="408"/>
      <c r="AP959" s="408"/>
      <c r="AQ959" s="408"/>
      <c r="AR959" s="408"/>
      <c r="AS959" s="408"/>
      <c r="AT959" s="408"/>
      <c r="AU959" s="408"/>
      <c r="AV959" s="408"/>
      <c r="AW959" s="408"/>
      <c r="AX959" s="408"/>
      <c r="AY959" s="408"/>
      <c r="AZ959" s="408"/>
      <c r="BA959" s="408"/>
      <c r="BB959" s="408"/>
      <c r="BC959" s="408"/>
      <c r="BD959" s="408"/>
      <c r="BE959" s="408"/>
      <c r="BF959" s="408"/>
      <c r="BG959" s="408"/>
      <c r="BH959" s="408"/>
      <c r="BI959" s="408"/>
      <c r="BJ959" s="408"/>
      <c r="BK959" s="408"/>
      <c r="BL959" s="408"/>
      <c r="BM959" s="408"/>
      <c r="BN959" s="408"/>
      <c r="BO959" s="408"/>
      <c r="BP959" s="408"/>
      <c r="BQ959" s="408"/>
      <c r="BR959" s="408"/>
      <c r="BS959" s="408"/>
      <c r="BT959" s="408"/>
      <c r="BU959" s="408"/>
      <c r="BV959" s="408"/>
      <c r="BW959" s="408"/>
      <c r="BX959" s="408"/>
      <c r="BY959" s="408"/>
      <c r="BZ959" s="408"/>
      <c r="CA959" s="408"/>
      <c r="CB959" s="408"/>
      <c r="CC959" s="408"/>
      <c r="CD959" s="408"/>
      <c r="CE959" s="408"/>
      <c r="CF959" s="408"/>
      <c r="CG959" s="408"/>
      <c r="CH959" s="408"/>
      <c r="CI959" s="408"/>
      <c r="CJ959" s="408"/>
      <c r="CK959" s="408"/>
      <c r="CL959" s="408"/>
      <c r="CM959" s="408"/>
      <c r="CN959" s="408"/>
    </row>
    <row r="960">
      <c r="A960" s="408"/>
      <c r="B960" s="408"/>
      <c r="C960" s="408"/>
      <c r="D960" s="408"/>
      <c r="E960" s="408"/>
      <c r="F960" s="408"/>
      <c r="G960" s="408"/>
      <c r="H960" s="408"/>
      <c r="I960" s="408"/>
      <c r="J960" s="408"/>
      <c r="K960" s="408"/>
      <c r="L960" s="408"/>
      <c r="M960" s="408"/>
      <c r="N960" s="408"/>
      <c r="O960" s="408"/>
      <c r="P960" s="408"/>
      <c r="Q960" s="408"/>
      <c r="R960" s="408"/>
      <c r="S960" s="408"/>
      <c r="T960" s="408"/>
      <c r="U960" s="408"/>
      <c r="V960" s="408"/>
      <c r="W960" s="408"/>
      <c r="X960" s="408"/>
      <c r="Y960" s="408"/>
      <c r="Z960" s="408"/>
      <c r="AA960" s="408"/>
      <c r="AB960" s="408"/>
      <c r="AC960" s="408"/>
      <c r="AD960" s="408"/>
      <c r="AE960" s="408"/>
      <c r="AF960" s="408"/>
      <c r="AG960" s="408"/>
      <c r="AH960" s="408"/>
      <c r="AI960" s="408"/>
      <c r="AJ960" s="408"/>
      <c r="AK960" s="408"/>
      <c r="AL960" s="408"/>
      <c r="AM960" s="408"/>
      <c r="AN960" s="408"/>
      <c r="AO960" s="408"/>
      <c r="AP960" s="408"/>
      <c r="AQ960" s="408"/>
      <c r="AR960" s="408"/>
      <c r="AS960" s="408"/>
      <c r="AT960" s="408"/>
      <c r="AU960" s="408"/>
      <c r="AV960" s="408"/>
      <c r="AW960" s="408"/>
      <c r="AX960" s="408"/>
      <c r="AY960" s="408"/>
      <c r="AZ960" s="408"/>
      <c r="BA960" s="408"/>
      <c r="BB960" s="408"/>
      <c r="BC960" s="408"/>
      <c r="BD960" s="408"/>
      <c r="BE960" s="408"/>
      <c r="BF960" s="408"/>
      <c r="BG960" s="408"/>
      <c r="BH960" s="408"/>
      <c r="BI960" s="408"/>
      <c r="BJ960" s="408"/>
      <c r="BK960" s="408"/>
      <c r="BL960" s="408"/>
      <c r="BM960" s="408"/>
      <c r="BN960" s="408"/>
      <c r="BO960" s="408"/>
      <c r="BP960" s="408"/>
      <c r="BQ960" s="408"/>
      <c r="BR960" s="408"/>
      <c r="BS960" s="408"/>
      <c r="BT960" s="408"/>
      <c r="BU960" s="408"/>
      <c r="BV960" s="408"/>
      <c r="BW960" s="408"/>
      <c r="BX960" s="408"/>
      <c r="BY960" s="408"/>
      <c r="BZ960" s="408"/>
      <c r="CA960" s="408"/>
      <c r="CB960" s="408"/>
      <c r="CC960" s="408"/>
      <c r="CD960" s="408"/>
      <c r="CE960" s="408"/>
      <c r="CF960" s="408"/>
      <c r="CG960" s="408"/>
      <c r="CH960" s="408"/>
      <c r="CI960" s="408"/>
      <c r="CJ960" s="408"/>
      <c r="CK960" s="408"/>
      <c r="CL960" s="408"/>
      <c r="CM960" s="408"/>
      <c r="CN960" s="408"/>
    </row>
    <row r="961">
      <c r="A961" s="408"/>
      <c r="B961" s="408"/>
      <c r="C961" s="408"/>
      <c r="D961" s="408"/>
      <c r="E961" s="408"/>
      <c r="F961" s="408"/>
      <c r="G961" s="408"/>
      <c r="H961" s="408"/>
      <c r="I961" s="408"/>
      <c r="J961" s="408"/>
      <c r="K961" s="408"/>
      <c r="L961" s="408"/>
      <c r="M961" s="408"/>
      <c r="N961" s="408"/>
      <c r="O961" s="408"/>
      <c r="P961" s="408"/>
      <c r="Q961" s="408"/>
      <c r="R961" s="408"/>
      <c r="S961" s="408"/>
      <c r="T961" s="408"/>
      <c r="U961" s="408"/>
      <c r="V961" s="408"/>
      <c r="W961" s="408"/>
      <c r="X961" s="408"/>
      <c r="Y961" s="408"/>
      <c r="Z961" s="408"/>
      <c r="AA961" s="408"/>
      <c r="AB961" s="408"/>
      <c r="AC961" s="408"/>
      <c r="AD961" s="408"/>
      <c r="AE961" s="408"/>
      <c r="AF961" s="408"/>
      <c r="AG961" s="408"/>
      <c r="AH961" s="408"/>
      <c r="AI961" s="408"/>
      <c r="AJ961" s="408"/>
      <c r="AK961" s="408"/>
      <c r="AL961" s="408"/>
      <c r="AM961" s="408"/>
      <c r="AN961" s="408"/>
      <c r="AO961" s="408"/>
      <c r="AP961" s="408"/>
      <c r="AQ961" s="408"/>
      <c r="AR961" s="408"/>
      <c r="AS961" s="408"/>
      <c r="AT961" s="408"/>
      <c r="AU961" s="408"/>
      <c r="AV961" s="408"/>
      <c r="AW961" s="408"/>
      <c r="AX961" s="408"/>
      <c r="AY961" s="408"/>
      <c r="AZ961" s="408"/>
      <c r="BA961" s="408"/>
      <c r="BB961" s="408"/>
      <c r="BC961" s="408"/>
      <c r="BD961" s="408"/>
      <c r="BE961" s="408"/>
      <c r="BF961" s="408"/>
      <c r="BG961" s="408"/>
      <c r="BH961" s="408"/>
      <c r="BI961" s="408"/>
      <c r="BJ961" s="408"/>
      <c r="BK961" s="408"/>
      <c r="BL961" s="408"/>
      <c r="BM961" s="408"/>
      <c r="BN961" s="408"/>
      <c r="BO961" s="408"/>
      <c r="BP961" s="408"/>
      <c r="BQ961" s="408"/>
      <c r="BR961" s="408"/>
      <c r="BS961" s="408"/>
      <c r="BT961" s="408"/>
      <c r="BU961" s="408"/>
      <c r="BV961" s="408"/>
      <c r="BW961" s="408"/>
      <c r="BX961" s="408"/>
      <c r="BY961" s="408"/>
      <c r="BZ961" s="408"/>
      <c r="CA961" s="408"/>
      <c r="CB961" s="408"/>
      <c r="CC961" s="408"/>
      <c r="CD961" s="408"/>
      <c r="CE961" s="408"/>
      <c r="CF961" s="408"/>
      <c r="CG961" s="408"/>
      <c r="CH961" s="408"/>
      <c r="CI961" s="408"/>
      <c r="CJ961" s="408"/>
      <c r="CK961" s="408"/>
      <c r="CL961" s="408"/>
      <c r="CM961" s="408"/>
      <c r="CN961" s="408"/>
    </row>
    <row r="962">
      <c r="A962" s="408"/>
      <c r="B962" s="408"/>
      <c r="C962" s="408"/>
      <c r="D962" s="408"/>
      <c r="E962" s="408"/>
      <c r="F962" s="408"/>
      <c r="G962" s="408"/>
      <c r="H962" s="408"/>
      <c r="I962" s="408"/>
      <c r="J962" s="408"/>
      <c r="K962" s="408"/>
      <c r="L962" s="408"/>
      <c r="M962" s="408"/>
      <c r="N962" s="408"/>
      <c r="O962" s="408"/>
      <c r="P962" s="408"/>
      <c r="Q962" s="408"/>
      <c r="R962" s="408"/>
      <c r="S962" s="408"/>
      <c r="T962" s="408"/>
      <c r="U962" s="408"/>
      <c r="V962" s="408"/>
      <c r="W962" s="408"/>
      <c r="X962" s="408"/>
      <c r="Y962" s="408"/>
      <c r="Z962" s="408"/>
      <c r="AA962" s="408"/>
      <c r="AB962" s="408"/>
      <c r="AC962" s="408"/>
      <c r="AD962" s="408"/>
      <c r="AE962" s="408"/>
      <c r="AF962" s="408"/>
      <c r="AG962" s="408"/>
      <c r="AH962" s="408"/>
      <c r="AI962" s="408"/>
      <c r="AJ962" s="408"/>
      <c r="AK962" s="408"/>
      <c r="AL962" s="408"/>
      <c r="AM962" s="408"/>
      <c r="AN962" s="408"/>
      <c r="AO962" s="408"/>
      <c r="AP962" s="408"/>
      <c r="AQ962" s="408"/>
      <c r="AR962" s="408"/>
      <c r="AS962" s="408"/>
      <c r="AT962" s="408"/>
      <c r="AU962" s="408"/>
      <c r="AV962" s="408"/>
      <c r="AW962" s="408"/>
      <c r="AX962" s="408"/>
      <c r="AY962" s="408"/>
      <c r="AZ962" s="408"/>
      <c r="BA962" s="408"/>
      <c r="BB962" s="408"/>
      <c r="BC962" s="408"/>
      <c r="BD962" s="408"/>
      <c r="BE962" s="408"/>
      <c r="BF962" s="408"/>
      <c r="BG962" s="408"/>
      <c r="BH962" s="408"/>
      <c r="BI962" s="408"/>
      <c r="BJ962" s="408"/>
      <c r="BK962" s="408"/>
      <c r="BL962" s="408"/>
      <c r="BM962" s="408"/>
      <c r="BN962" s="408"/>
      <c r="BO962" s="408"/>
      <c r="BP962" s="408"/>
      <c r="BQ962" s="408"/>
      <c r="BR962" s="408"/>
      <c r="BS962" s="408"/>
      <c r="BT962" s="408"/>
      <c r="BU962" s="408"/>
      <c r="BV962" s="408"/>
      <c r="BW962" s="408"/>
      <c r="BX962" s="408"/>
      <c r="BY962" s="408"/>
      <c r="BZ962" s="408"/>
      <c r="CA962" s="408"/>
      <c r="CB962" s="408"/>
      <c r="CC962" s="408"/>
      <c r="CD962" s="408"/>
      <c r="CE962" s="408"/>
      <c r="CF962" s="408"/>
      <c r="CG962" s="408"/>
      <c r="CH962" s="408"/>
      <c r="CI962" s="408"/>
      <c r="CJ962" s="408"/>
      <c r="CK962" s="408"/>
      <c r="CL962" s="408"/>
      <c r="CM962" s="408"/>
      <c r="CN962" s="408"/>
    </row>
    <row r="963">
      <c r="A963" s="408"/>
      <c r="B963" s="408"/>
      <c r="C963" s="408"/>
      <c r="D963" s="408"/>
      <c r="E963" s="408"/>
      <c r="F963" s="408"/>
      <c r="G963" s="408"/>
      <c r="H963" s="408"/>
      <c r="I963" s="408"/>
      <c r="J963" s="408"/>
      <c r="K963" s="408"/>
      <c r="L963" s="408"/>
      <c r="M963" s="408"/>
      <c r="N963" s="408"/>
      <c r="O963" s="408"/>
      <c r="P963" s="408"/>
      <c r="Q963" s="408"/>
      <c r="R963" s="408"/>
      <c r="S963" s="408"/>
      <c r="T963" s="408"/>
      <c r="U963" s="408"/>
      <c r="V963" s="408"/>
      <c r="W963" s="408"/>
      <c r="X963" s="408"/>
      <c r="Y963" s="408"/>
      <c r="Z963" s="408"/>
      <c r="AA963" s="408"/>
      <c r="AB963" s="408"/>
      <c r="AC963" s="408"/>
      <c r="AD963" s="408"/>
      <c r="AE963" s="408"/>
      <c r="AF963" s="408"/>
      <c r="AG963" s="408"/>
      <c r="AH963" s="408"/>
      <c r="AI963" s="408"/>
      <c r="AJ963" s="408"/>
      <c r="AK963" s="408"/>
      <c r="AL963" s="408"/>
      <c r="AM963" s="408"/>
      <c r="AN963" s="408"/>
      <c r="AO963" s="408"/>
      <c r="AP963" s="408"/>
      <c r="AQ963" s="408"/>
      <c r="AR963" s="408"/>
      <c r="AS963" s="408"/>
      <c r="AT963" s="408"/>
      <c r="AU963" s="408"/>
      <c r="AV963" s="408"/>
      <c r="AW963" s="408"/>
      <c r="AX963" s="408"/>
      <c r="AY963" s="408"/>
      <c r="AZ963" s="408"/>
      <c r="BA963" s="408"/>
      <c r="BB963" s="408"/>
      <c r="BC963" s="408"/>
      <c r="BD963" s="408"/>
      <c r="BE963" s="408"/>
      <c r="BF963" s="408"/>
      <c r="BG963" s="408"/>
      <c r="BH963" s="408"/>
      <c r="BI963" s="408"/>
      <c r="BJ963" s="408"/>
      <c r="BK963" s="408"/>
      <c r="BL963" s="408"/>
      <c r="BM963" s="408"/>
      <c r="BN963" s="408"/>
      <c r="BO963" s="408"/>
      <c r="BP963" s="408"/>
      <c r="BQ963" s="408"/>
      <c r="BR963" s="408"/>
      <c r="BS963" s="408"/>
      <c r="BT963" s="408"/>
      <c r="BU963" s="408"/>
      <c r="BV963" s="408"/>
      <c r="BW963" s="408"/>
      <c r="BX963" s="408"/>
      <c r="BY963" s="408"/>
      <c r="BZ963" s="408"/>
      <c r="CA963" s="408"/>
      <c r="CB963" s="408"/>
      <c r="CC963" s="408"/>
      <c r="CD963" s="408"/>
      <c r="CE963" s="408"/>
      <c r="CF963" s="408"/>
      <c r="CG963" s="408"/>
      <c r="CH963" s="408"/>
      <c r="CI963" s="408"/>
      <c r="CJ963" s="408"/>
      <c r="CK963" s="408"/>
      <c r="CL963" s="408"/>
      <c r="CM963" s="408"/>
      <c r="CN963" s="408"/>
    </row>
    <row r="964">
      <c r="A964" s="408"/>
      <c r="B964" s="408"/>
      <c r="C964" s="408"/>
      <c r="D964" s="408"/>
      <c r="E964" s="408"/>
      <c r="F964" s="408"/>
      <c r="G964" s="408"/>
      <c r="H964" s="408"/>
      <c r="I964" s="408"/>
      <c r="J964" s="408"/>
      <c r="K964" s="408"/>
      <c r="L964" s="408"/>
      <c r="M964" s="408"/>
      <c r="N964" s="408"/>
      <c r="O964" s="408"/>
      <c r="P964" s="408"/>
      <c r="Q964" s="408"/>
      <c r="R964" s="408"/>
      <c r="S964" s="408"/>
      <c r="T964" s="408"/>
      <c r="U964" s="408"/>
      <c r="V964" s="408"/>
      <c r="W964" s="408"/>
      <c r="X964" s="408"/>
      <c r="Y964" s="408"/>
      <c r="Z964" s="408"/>
      <c r="AA964" s="408"/>
      <c r="AB964" s="408"/>
      <c r="AC964" s="408"/>
      <c r="AD964" s="408"/>
      <c r="AE964" s="408"/>
      <c r="AF964" s="408"/>
      <c r="AG964" s="408"/>
      <c r="AH964" s="408"/>
      <c r="AI964" s="408"/>
      <c r="AJ964" s="408"/>
      <c r="AK964" s="408"/>
      <c r="AL964" s="408"/>
      <c r="AM964" s="408"/>
      <c r="AN964" s="408"/>
      <c r="AO964" s="408"/>
      <c r="AP964" s="408"/>
      <c r="AQ964" s="408"/>
      <c r="AR964" s="408"/>
      <c r="AS964" s="408"/>
      <c r="AT964" s="408"/>
      <c r="AU964" s="408"/>
      <c r="AV964" s="408"/>
      <c r="AW964" s="408"/>
      <c r="AX964" s="408"/>
      <c r="AY964" s="408"/>
      <c r="AZ964" s="408"/>
      <c r="BA964" s="408"/>
      <c r="BB964" s="408"/>
      <c r="BC964" s="408"/>
      <c r="BD964" s="408"/>
      <c r="BE964" s="408"/>
      <c r="BF964" s="408"/>
      <c r="BG964" s="408"/>
      <c r="BH964" s="408"/>
      <c r="BI964" s="408"/>
      <c r="BJ964" s="408"/>
      <c r="BK964" s="408"/>
      <c r="BL964" s="408"/>
      <c r="BM964" s="408"/>
      <c r="BN964" s="408"/>
      <c r="BO964" s="408"/>
      <c r="BP964" s="408"/>
      <c r="BQ964" s="408"/>
      <c r="BR964" s="408"/>
      <c r="BS964" s="408"/>
      <c r="BT964" s="408"/>
      <c r="BU964" s="408"/>
      <c r="BV964" s="408"/>
      <c r="BW964" s="408"/>
      <c r="BX964" s="408"/>
      <c r="BY964" s="408"/>
      <c r="BZ964" s="408"/>
      <c r="CA964" s="408"/>
      <c r="CB964" s="408"/>
      <c r="CC964" s="408"/>
      <c r="CD964" s="408"/>
      <c r="CE964" s="408"/>
      <c r="CF964" s="408"/>
      <c r="CG964" s="408"/>
      <c r="CH964" s="408"/>
      <c r="CI964" s="408"/>
      <c r="CJ964" s="408"/>
      <c r="CK964" s="408"/>
      <c r="CL964" s="408"/>
      <c r="CM964" s="408"/>
      <c r="CN964" s="408"/>
    </row>
    <row r="965">
      <c r="A965" s="408"/>
      <c r="B965" s="408"/>
      <c r="C965" s="408"/>
      <c r="D965" s="408"/>
      <c r="E965" s="408"/>
      <c r="F965" s="408"/>
      <c r="G965" s="408"/>
      <c r="H965" s="408"/>
      <c r="I965" s="408"/>
      <c r="J965" s="408"/>
      <c r="K965" s="408"/>
      <c r="L965" s="408"/>
      <c r="M965" s="408"/>
      <c r="N965" s="408"/>
      <c r="O965" s="408"/>
      <c r="P965" s="408"/>
      <c r="Q965" s="408"/>
      <c r="R965" s="408"/>
      <c r="S965" s="408"/>
      <c r="T965" s="408"/>
      <c r="U965" s="408"/>
      <c r="V965" s="408"/>
      <c r="W965" s="408"/>
      <c r="X965" s="408"/>
      <c r="Y965" s="408"/>
      <c r="Z965" s="408"/>
      <c r="AA965" s="408"/>
      <c r="AB965" s="408"/>
      <c r="AC965" s="408"/>
      <c r="AD965" s="408"/>
      <c r="AE965" s="408"/>
      <c r="AF965" s="408"/>
      <c r="AG965" s="408"/>
      <c r="AH965" s="408"/>
      <c r="AI965" s="408"/>
      <c r="AJ965" s="408"/>
      <c r="AK965" s="408"/>
      <c r="AL965" s="408"/>
      <c r="AM965" s="408"/>
      <c r="AN965" s="408"/>
      <c r="AO965" s="408"/>
      <c r="AP965" s="408"/>
      <c r="AQ965" s="408"/>
      <c r="AR965" s="408"/>
      <c r="AS965" s="408"/>
      <c r="AT965" s="408"/>
      <c r="AU965" s="408"/>
      <c r="AV965" s="408"/>
      <c r="AW965" s="408"/>
      <c r="AX965" s="408"/>
      <c r="AY965" s="408"/>
      <c r="AZ965" s="408"/>
      <c r="BA965" s="408"/>
      <c r="BB965" s="408"/>
      <c r="BC965" s="408"/>
      <c r="BD965" s="408"/>
      <c r="BE965" s="408"/>
      <c r="BF965" s="408"/>
      <c r="BG965" s="408"/>
      <c r="BH965" s="408"/>
      <c r="BI965" s="408"/>
      <c r="BJ965" s="408"/>
      <c r="BK965" s="408"/>
      <c r="BL965" s="408"/>
      <c r="BM965" s="408"/>
      <c r="BN965" s="408"/>
      <c r="BO965" s="408"/>
      <c r="BP965" s="408"/>
      <c r="BQ965" s="408"/>
      <c r="BR965" s="408"/>
      <c r="BS965" s="408"/>
      <c r="BT965" s="408"/>
      <c r="BU965" s="408"/>
      <c r="BV965" s="408"/>
      <c r="BW965" s="408"/>
      <c r="BX965" s="408"/>
      <c r="BY965" s="408"/>
      <c r="BZ965" s="408"/>
      <c r="CA965" s="408"/>
      <c r="CB965" s="408"/>
      <c r="CC965" s="408"/>
      <c r="CD965" s="408"/>
      <c r="CE965" s="408"/>
      <c r="CF965" s="408"/>
      <c r="CG965" s="408"/>
      <c r="CH965" s="408"/>
      <c r="CI965" s="408"/>
      <c r="CJ965" s="408"/>
      <c r="CK965" s="408"/>
      <c r="CL965" s="408"/>
      <c r="CM965" s="408"/>
      <c r="CN965" s="408"/>
    </row>
    <row r="966">
      <c r="A966" s="408"/>
      <c r="B966" s="408"/>
      <c r="C966" s="408"/>
      <c r="D966" s="408"/>
      <c r="E966" s="408"/>
      <c r="F966" s="408"/>
      <c r="G966" s="408"/>
      <c r="H966" s="408"/>
      <c r="I966" s="408"/>
      <c r="J966" s="408"/>
      <c r="K966" s="408"/>
      <c r="L966" s="408"/>
      <c r="M966" s="408"/>
      <c r="N966" s="408"/>
      <c r="O966" s="408"/>
      <c r="P966" s="408"/>
      <c r="Q966" s="408"/>
      <c r="R966" s="408"/>
      <c r="S966" s="408"/>
      <c r="T966" s="408"/>
      <c r="U966" s="408"/>
      <c r="V966" s="408"/>
      <c r="W966" s="408"/>
      <c r="X966" s="408"/>
      <c r="Y966" s="408"/>
      <c r="Z966" s="408"/>
      <c r="AA966" s="408"/>
      <c r="AB966" s="408"/>
      <c r="AC966" s="408"/>
      <c r="AD966" s="408"/>
      <c r="AE966" s="408"/>
      <c r="AF966" s="408"/>
      <c r="AG966" s="408"/>
      <c r="AH966" s="408"/>
      <c r="AI966" s="408"/>
      <c r="AJ966" s="408"/>
      <c r="AK966" s="408"/>
      <c r="AL966" s="408"/>
      <c r="AM966" s="408"/>
      <c r="AN966" s="408"/>
      <c r="AO966" s="408"/>
      <c r="AP966" s="408"/>
      <c r="AQ966" s="408"/>
      <c r="AR966" s="408"/>
      <c r="AS966" s="408"/>
      <c r="AT966" s="408"/>
      <c r="AU966" s="408"/>
      <c r="AV966" s="408"/>
      <c r="AW966" s="408"/>
      <c r="AX966" s="408"/>
      <c r="AY966" s="408"/>
      <c r="AZ966" s="408"/>
      <c r="BA966" s="408"/>
      <c r="BB966" s="408"/>
      <c r="BC966" s="408"/>
      <c r="BD966" s="408"/>
      <c r="BE966" s="408"/>
      <c r="BF966" s="408"/>
      <c r="BG966" s="408"/>
      <c r="BH966" s="408"/>
      <c r="BI966" s="408"/>
      <c r="BJ966" s="408"/>
      <c r="BK966" s="408"/>
      <c r="BL966" s="408"/>
      <c r="BM966" s="408"/>
      <c r="BN966" s="408"/>
      <c r="BO966" s="408"/>
      <c r="BP966" s="408"/>
      <c r="BQ966" s="408"/>
      <c r="BR966" s="408"/>
      <c r="BS966" s="408"/>
      <c r="BT966" s="408"/>
      <c r="BU966" s="408"/>
      <c r="BV966" s="408"/>
      <c r="BW966" s="408"/>
      <c r="BX966" s="408"/>
      <c r="BY966" s="408"/>
      <c r="BZ966" s="408"/>
      <c r="CA966" s="408"/>
      <c r="CB966" s="408"/>
      <c r="CC966" s="408"/>
      <c r="CD966" s="408"/>
      <c r="CE966" s="408"/>
      <c r="CF966" s="408"/>
      <c r="CG966" s="408"/>
      <c r="CH966" s="408"/>
      <c r="CI966" s="408"/>
      <c r="CJ966" s="408"/>
      <c r="CK966" s="408"/>
      <c r="CL966" s="408"/>
      <c r="CM966" s="408"/>
      <c r="CN966" s="408"/>
    </row>
    <row r="967">
      <c r="A967" s="408"/>
      <c r="B967" s="408"/>
      <c r="C967" s="408"/>
      <c r="D967" s="408"/>
      <c r="E967" s="408"/>
      <c r="F967" s="408"/>
      <c r="G967" s="408"/>
      <c r="H967" s="408"/>
      <c r="I967" s="408"/>
      <c r="J967" s="408"/>
      <c r="K967" s="408"/>
      <c r="L967" s="408"/>
      <c r="M967" s="408"/>
      <c r="N967" s="408"/>
      <c r="O967" s="408"/>
      <c r="P967" s="408"/>
      <c r="Q967" s="408"/>
      <c r="R967" s="408"/>
      <c r="S967" s="408"/>
      <c r="T967" s="408"/>
      <c r="U967" s="408"/>
      <c r="V967" s="408"/>
      <c r="W967" s="408"/>
      <c r="X967" s="408"/>
      <c r="Y967" s="408"/>
      <c r="Z967" s="408"/>
      <c r="AA967" s="408"/>
      <c r="AB967" s="408"/>
      <c r="AC967" s="408"/>
      <c r="AD967" s="408"/>
      <c r="AE967" s="408"/>
      <c r="AF967" s="408"/>
      <c r="AG967" s="408"/>
      <c r="AH967" s="408"/>
      <c r="AI967" s="408"/>
      <c r="AJ967" s="408"/>
      <c r="AK967" s="408"/>
      <c r="AL967" s="408"/>
      <c r="AM967" s="408"/>
      <c r="AN967" s="408"/>
      <c r="AO967" s="408"/>
      <c r="AP967" s="408"/>
      <c r="AQ967" s="408"/>
      <c r="AR967" s="408"/>
      <c r="AS967" s="408"/>
      <c r="AT967" s="408"/>
      <c r="AU967" s="408"/>
      <c r="AV967" s="408"/>
      <c r="AW967" s="408"/>
      <c r="AX967" s="408"/>
      <c r="AY967" s="408"/>
      <c r="AZ967" s="408"/>
      <c r="BA967" s="408"/>
      <c r="BB967" s="408"/>
      <c r="BC967" s="408"/>
      <c r="BD967" s="408"/>
      <c r="BE967" s="408"/>
      <c r="BF967" s="408"/>
      <c r="BG967" s="408"/>
      <c r="BH967" s="408"/>
      <c r="BI967" s="408"/>
      <c r="BJ967" s="408"/>
      <c r="BK967" s="408"/>
      <c r="BL967" s="408"/>
      <c r="BM967" s="408"/>
      <c r="BN967" s="408"/>
      <c r="BO967" s="408"/>
      <c r="BP967" s="408"/>
      <c r="BQ967" s="408"/>
      <c r="BR967" s="408"/>
      <c r="BS967" s="408"/>
      <c r="BT967" s="408"/>
      <c r="BU967" s="408"/>
      <c r="BV967" s="408"/>
      <c r="BW967" s="408"/>
      <c r="BX967" s="408"/>
      <c r="BY967" s="408"/>
      <c r="BZ967" s="408"/>
      <c r="CA967" s="408"/>
      <c r="CB967" s="408"/>
      <c r="CC967" s="408"/>
      <c r="CD967" s="408"/>
      <c r="CE967" s="408"/>
      <c r="CF967" s="408"/>
      <c r="CG967" s="408"/>
      <c r="CH967" s="408"/>
      <c r="CI967" s="408"/>
      <c r="CJ967" s="408"/>
      <c r="CK967" s="408"/>
      <c r="CL967" s="408"/>
      <c r="CM967" s="408"/>
      <c r="CN967" s="408"/>
    </row>
    <row r="968">
      <c r="A968" s="408"/>
      <c r="B968" s="408"/>
      <c r="C968" s="408"/>
      <c r="D968" s="408"/>
      <c r="E968" s="408"/>
      <c r="F968" s="408"/>
      <c r="G968" s="408"/>
      <c r="H968" s="408"/>
      <c r="I968" s="408"/>
      <c r="J968" s="408"/>
      <c r="K968" s="408"/>
      <c r="L968" s="408"/>
      <c r="M968" s="408"/>
      <c r="N968" s="408"/>
      <c r="O968" s="408"/>
      <c r="P968" s="408"/>
      <c r="Q968" s="408"/>
      <c r="R968" s="408"/>
      <c r="S968" s="408"/>
      <c r="T968" s="408"/>
      <c r="U968" s="408"/>
      <c r="V968" s="408"/>
      <c r="W968" s="408"/>
      <c r="X968" s="408"/>
      <c r="Y968" s="408"/>
      <c r="Z968" s="408"/>
      <c r="AA968" s="408"/>
      <c r="AB968" s="408"/>
      <c r="AC968" s="408"/>
      <c r="AD968" s="408"/>
      <c r="AE968" s="408"/>
      <c r="AF968" s="408"/>
      <c r="AG968" s="408"/>
      <c r="AH968" s="408"/>
      <c r="AI968" s="408"/>
      <c r="AJ968" s="408"/>
      <c r="AK968" s="408"/>
      <c r="AL968" s="408"/>
      <c r="AM968" s="408"/>
      <c r="AN968" s="408"/>
      <c r="AO968" s="408"/>
      <c r="AP968" s="408"/>
      <c r="AQ968" s="408"/>
      <c r="AR968" s="408"/>
      <c r="AS968" s="408"/>
      <c r="AT968" s="408"/>
      <c r="AU968" s="408"/>
      <c r="AV968" s="408"/>
      <c r="AW968" s="408"/>
      <c r="AX968" s="408"/>
      <c r="AY968" s="408"/>
      <c r="AZ968" s="408"/>
      <c r="BA968" s="408"/>
      <c r="BB968" s="408"/>
      <c r="BC968" s="408"/>
      <c r="BD968" s="408"/>
      <c r="BE968" s="408"/>
      <c r="BF968" s="408"/>
      <c r="BG968" s="408"/>
      <c r="BH968" s="408"/>
      <c r="BI968" s="408"/>
      <c r="BJ968" s="408"/>
      <c r="BK968" s="408"/>
      <c r="BL968" s="408"/>
      <c r="BM968" s="408"/>
      <c r="BN968" s="408"/>
      <c r="BO968" s="408"/>
      <c r="BP968" s="408"/>
      <c r="BQ968" s="408"/>
      <c r="BR968" s="408"/>
      <c r="BS968" s="408"/>
      <c r="BT968" s="408"/>
      <c r="BU968" s="408"/>
      <c r="BV968" s="408"/>
      <c r="BW968" s="408"/>
      <c r="BX968" s="408"/>
      <c r="BY968" s="408"/>
      <c r="BZ968" s="408"/>
      <c r="CA968" s="408"/>
      <c r="CB968" s="408"/>
      <c r="CC968" s="408"/>
      <c r="CD968" s="408"/>
      <c r="CE968" s="408"/>
      <c r="CF968" s="408"/>
      <c r="CG968" s="408"/>
      <c r="CH968" s="408"/>
      <c r="CI968" s="408"/>
      <c r="CJ968" s="408"/>
      <c r="CK968" s="408"/>
      <c r="CL968" s="408"/>
      <c r="CM968" s="408"/>
      <c r="CN968" s="408"/>
    </row>
    <row r="969">
      <c r="A969" s="408"/>
      <c r="B969" s="408"/>
      <c r="C969" s="408"/>
      <c r="D969" s="408"/>
      <c r="E969" s="408"/>
      <c r="F969" s="408"/>
      <c r="G969" s="408"/>
      <c r="H969" s="408"/>
      <c r="I969" s="408"/>
      <c r="J969" s="408"/>
      <c r="K969" s="408"/>
      <c r="L969" s="408"/>
      <c r="M969" s="408"/>
      <c r="N969" s="408"/>
      <c r="O969" s="408"/>
      <c r="P969" s="408"/>
      <c r="Q969" s="408"/>
      <c r="R969" s="408"/>
      <c r="S969" s="408"/>
      <c r="T969" s="408"/>
      <c r="U969" s="408"/>
      <c r="V969" s="408"/>
      <c r="W969" s="408"/>
      <c r="X969" s="408"/>
      <c r="Y969" s="408"/>
      <c r="Z969" s="408"/>
      <c r="AA969" s="408"/>
      <c r="AB969" s="408"/>
      <c r="AC969" s="408"/>
      <c r="AD969" s="408"/>
      <c r="AE969" s="408"/>
      <c r="AF969" s="408"/>
      <c r="AG969" s="408"/>
      <c r="AH969" s="408"/>
      <c r="AI969" s="408"/>
      <c r="AJ969" s="408"/>
      <c r="AK969" s="408"/>
      <c r="AL969" s="408"/>
      <c r="AM969" s="408"/>
      <c r="AN969" s="408"/>
      <c r="AO969" s="408"/>
      <c r="AP969" s="408"/>
      <c r="AQ969" s="408"/>
      <c r="AR969" s="408"/>
      <c r="AS969" s="408"/>
      <c r="AT969" s="408"/>
      <c r="AU969" s="408"/>
      <c r="AV969" s="408"/>
      <c r="AW969" s="408"/>
      <c r="AX969" s="408"/>
      <c r="AY969" s="408"/>
      <c r="AZ969" s="408"/>
      <c r="BA969" s="408"/>
      <c r="BB969" s="408"/>
      <c r="BC969" s="408"/>
      <c r="BD969" s="408"/>
      <c r="BE969" s="408"/>
      <c r="BF969" s="408"/>
      <c r="BG969" s="408"/>
      <c r="BH969" s="408"/>
      <c r="BI969" s="408"/>
      <c r="BJ969" s="408"/>
      <c r="BK969" s="408"/>
      <c r="BL969" s="408"/>
      <c r="BM969" s="408"/>
      <c r="BN969" s="408"/>
      <c r="BO969" s="408"/>
      <c r="BP969" s="408"/>
      <c r="BQ969" s="408"/>
      <c r="BR969" s="408"/>
      <c r="BS969" s="408"/>
      <c r="BT969" s="408"/>
      <c r="BU969" s="408"/>
      <c r="BV969" s="408"/>
      <c r="BW969" s="408"/>
      <c r="BX969" s="408"/>
      <c r="BY969" s="408"/>
      <c r="BZ969" s="408"/>
      <c r="CA969" s="408"/>
      <c r="CB969" s="408"/>
      <c r="CC969" s="408"/>
      <c r="CD969" s="408"/>
      <c r="CE969" s="408"/>
      <c r="CF969" s="408"/>
      <c r="CG969" s="408"/>
      <c r="CH969" s="408"/>
      <c r="CI969" s="408"/>
      <c r="CJ969" s="408"/>
      <c r="CK969" s="408"/>
      <c r="CL969" s="408"/>
      <c r="CM969" s="408"/>
      <c r="CN969" s="408"/>
    </row>
    <row r="970">
      <c r="A970" s="408"/>
      <c r="B970" s="408"/>
      <c r="C970" s="408"/>
      <c r="D970" s="408"/>
      <c r="E970" s="408"/>
      <c r="F970" s="408"/>
      <c r="G970" s="408"/>
      <c r="H970" s="408"/>
      <c r="I970" s="408"/>
      <c r="J970" s="408"/>
      <c r="K970" s="408"/>
      <c r="L970" s="408"/>
      <c r="M970" s="408"/>
      <c r="N970" s="408"/>
      <c r="O970" s="408"/>
      <c r="P970" s="408"/>
      <c r="Q970" s="408"/>
      <c r="R970" s="408"/>
      <c r="S970" s="408"/>
      <c r="T970" s="408"/>
      <c r="U970" s="408"/>
      <c r="V970" s="408"/>
      <c r="W970" s="408"/>
      <c r="X970" s="408"/>
      <c r="Y970" s="408"/>
      <c r="Z970" s="408"/>
      <c r="AA970" s="408"/>
      <c r="AB970" s="408"/>
      <c r="AC970" s="408"/>
      <c r="AD970" s="408"/>
      <c r="AE970" s="408"/>
      <c r="AF970" s="408"/>
      <c r="AG970" s="408"/>
      <c r="AH970" s="408"/>
      <c r="AI970" s="408"/>
      <c r="AJ970" s="408"/>
      <c r="AK970" s="408"/>
      <c r="AL970" s="408"/>
      <c r="AM970" s="408"/>
      <c r="AN970" s="408"/>
      <c r="AO970" s="408"/>
      <c r="AP970" s="408"/>
      <c r="AQ970" s="408"/>
      <c r="AR970" s="408"/>
      <c r="AS970" s="408"/>
      <c r="AT970" s="408"/>
      <c r="AU970" s="408"/>
      <c r="AV970" s="408"/>
      <c r="AW970" s="408"/>
      <c r="AX970" s="408"/>
      <c r="AY970" s="408"/>
      <c r="AZ970" s="408"/>
      <c r="BA970" s="408"/>
      <c r="BB970" s="408"/>
      <c r="BC970" s="408"/>
      <c r="BD970" s="408"/>
      <c r="BE970" s="408"/>
      <c r="BF970" s="408"/>
      <c r="BG970" s="408"/>
      <c r="BH970" s="408"/>
      <c r="BI970" s="408"/>
      <c r="BJ970" s="408"/>
      <c r="BK970" s="408"/>
      <c r="BL970" s="408"/>
      <c r="BM970" s="408"/>
      <c r="BN970" s="408"/>
      <c r="BO970" s="408"/>
      <c r="BP970" s="408"/>
      <c r="BQ970" s="408"/>
      <c r="BR970" s="408"/>
      <c r="BS970" s="408"/>
      <c r="BT970" s="408"/>
      <c r="BU970" s="408"/>
      <c r="BV970" s="408"/>
      <c r="BW970" s="408"/>
      <c r="BX970" s="408"/>
      <c r="BY970" s="408"/>
      <c r="BZ970" s="408"/>
      <c r="CA970" s="408"/>
      <c r="CB970" s="408"/>
      <c r="CC970" s="408"/>
      <c r="CD970" s="408"/>
      <c r="CE970" s="408"/>
      <c r="CF970" s="408"/>
      <c r="CG970" s="408"/>
      <c r="CH970" s="408"/>
      <c r="CI970" s="408"/>
      <c r="CJ970" s="408"/>
      <c r="CK970" s="408"/>
      <c r="CL970" s="408"/>
      <c r="CM970" s="408"/>
      <c r="CN970" s="408"/>
    </row>
    <row r="971">
      <c r="A971" s="408"/>
      <c r="B971" s="408"/>
      <c r="C971" s="408"/>
      <c r="D971" s="408"/>
      <c r="E971" s="408"/>
      <c r="F971" s="408"/>
      <c r="G971" s="408"/>
      <c r="H971" s="408"/>
      <c r="I971" s="408"/>
      <c r="J971" s="408"/>
      <c r="K971" s="408"/>
      <c r="L971" s="408"/>
      <c r="M971" s="408"/>
      <c r="N971" s="408"/>
      <c r="O971" s="408"/>
      <c r="P971" s="408"/>
      <c r="Q971" s="408"/>
      <c r="R971" s="408"/>
      <c r="S971" s="408"/>
      <c r="T971" s="408"/>
      <c r="U971" s="408"/>
      <c r="V971" s="408"/>
      <c r="W971" s="408"/>
      <c r="X971" s="408"/>
      <c r="Y971" s="408"/>
      <c r="Z971" s="408"/>
      <c r="AA971" s="408"/>
      <c r="AB971" s="408"/>
      <c r="AC971" s="408"/>
      <c r="AD971" s="408"/>
      <c r="AE971" s="408"/>
      <c r="AF971" s="408"/>
      <c r="AG971" s="408"/>
      <c r="AH971" s="408"/>
      <c r="AI971" s="408"/>
      <c r="AJ971" s="408"/>
      <c r="AK971" s="408"/>
      <c r="AL971" s="408"/>
      <c r="AM971" s="408"/>
      <c r="AN971" s="408"/>
      <c r="AO971" s="408"/>
      <c r="AP971" s="408"/>
      <c r="AQ971" s="408"/>
      <c r="AR971" s="408"/>
      <c r="AS971" s="408"/>
      <c r="AT971" s="408"/>
      <c r="AU971" s="408"/>
      <c r="AV971" s="408"/>
      <c r="AW971" s="408"/>
      <c r="AX971" s="408"/>
      <c r="AY971" s="408"/>
      <c r="AZ971" s="408"/>
      <c r="BA971" s="408"/>
      <c r="BB971" s="408"/>
      <c r="BC971" s="408"/>
      <c r="BD971" s="408"/>
      <c r="BE971" s="408"/>
      <c r="BF971" s="408"/>
      <c r="BG971" s="408"/>
      <c r="BH971" s="408"/>
      <c r="BI971" s="408"/>
      <c r="BJ971" s="408"/>
      <c r="BK971" s="408"/>
      <c r="BL971" s="408"/>
      <c r="BM971" s="408"/>
      <c r="BN971" s="408"/>
      <c r="BO971" s="408"/>
      <c r="BP971" s="408"/>
      <c r="BQ971" s="408"/>
      <c r="BR971" s="408"/>
      <c r="BS971" s="408"/>
      <c r="BT971" s="408"/>
      <c r="BU971" s="408"/>
      <c r="BV971" s="408"/>
      <c r="BW971" s="408"/>
      <c r="BX971" s="408"/>
      <c r="BY971" s="408"/>
      <c r="BZ971" s="408"/>
      <c r="CA971" s="408"/>
      <c r="CB971" s="408"/>
      <c r="CC971" s="408"/>
      <c r="CD971" s="408"/>
      <c r="CE971" s="408"/>
      <c r="CF971" s="408"/>
      <c r="CG971" s="408"/>
      <c r="CH971" s="408"/>
      <c r="CI971" s="408"/>
      <c r="CJ971" s="408"/>
      <c r="CK971" s="408"/>
      <c r="CL971" s="408"/>
      <c r="CM971" s="408"/>
      <c r="CN971" s="408"/>
    </row>
    <row r="972">
      <c r="A972" s="408"/>
      <c r="B972" s="408"/>
      <c r="C972" s="408"/>
      <c r="D972" s="408"/>
      <c r="E972" s="408"/>
      <c r="F972" s="408"/>
      <c r="G972" s="408"/>
      <c r="H972" s="408"/>
      <c r="I972" s="408"/>
      <c r="J972" s="408"/>
      <c r="K972" s="408"/>
      <c r="L972" s="408"/>
      <c r="M972" s="408"/>
      <c r="N972" s="408"/>
      <c r="O972" s="408"/>
      <c r="P972" s="408"/>
      <c r="Q972" s="408"/>
      <c r="R972" s="408"/>
      <c r="S972" s="408"/>
      <c r="T972" s="408"/>
      <c r="U972" s="408"/>
      <c r="V972" s="408"/>
      <c r="W972" s="408"/>
      <c r="X972" s="408"/>
      <c r="Y972" s="408"/>
      <c r="Z972" s="408"/>
      <c r="AA972" s="408"/>
      <c r="AB972" s="408"/>
      <c r="AC972" s="408"/>
      <c r="AD972" s="408"/>
      <c r="AE972" s="408"/>
      <c r="AF972" s="408"/>
      <c r="AG972" s="408"/>
      <c r="AH972" s="408"/>
      <c r="AI972" s="408"/>
      <c r="AJ972" s="408"/>
      <c r="AK972" s="408"/>
      <c r="AL972" s="408"/>
      <c r="AM972" s="408"/>
      <c r="AN972" s="408"/>
      <c r="AO972" s="408"/>
      <c r="AP972" s="408"/>
      <c r="AQ972" s="408"/>
      <c r="AR972" s="408"/>
      <c r="AS972" s="408"/>
      <c r="AT972" s="408"/>
      <c r="AU972" s="408"/>
      <c r="AV972" s="408"/>
      <c r="AW972" s="408"/>
      <c r="AX972" s="408"/>
      <c r="AY972" s="408"/>
      <c r="AZ972" s="408"/>
      <c r="BA972" s="408"/>
      <c r="BB972" s="408"/>
      <c r="BC972" s="408"/>
      <c r="BD972" s="408"/>
      <c r="BE972" s="408"/>
      <c r="BF972" s="408"/>
      <c r="BG972" s="408"/>
      <c r="BH972" s="408"/>
      <c r="BI972" s="408"/>
      <c r="BJ972" s="408"/>
      <c r="BK972" s="408"/>
      <c r="BL972" s="408"/>
      <c r="BM972" s="408"/>
      <c r="BN972" s="408"/>
      <c r="BO972" s="408"/>
      <c r="BP972" s="408"/>
      <c r="BQ972" s="408"/>
      <c r="BR972" s="408"/>
      <c r="BS972" s="408"/>
      <c r="BT972" s="408"/>
      <c r="BU972" s="408"/>
      <c r="BV972" s="408"/>
      <c r="BW972" s="408"/>
      <c r="BX972" s="408"/>
      <c r="BY972" s="408"/>
      <c r="BZ972" s="408"/>
      <c r="CA972" s="408"/>
      <c r="CB972" s="408"/>
      <c r="CC972" s="408"/>
      <c r="CD972" s="408"/>
      <c r="CE972" s="408"/>
      <c r="CF972" s="408"/>
      <c r="CG972" s="408"/>
      <c r="CH972" s="408"/>
      <c r="CI972" s="408"/>
      <c r="CJ972" s="408"/>
      <c r="CK972" s="408"/>
      <c r="CL972" s="408"/>
      <c r="CM972" s="408"/>
      <c r="CN972" s="408"/>
    </row>
    <row r="973">
      <c r="A973" s="408"/>
      <c r="B973" s="408"/>
      <c r="C973" s="408"/>
      <c r="D973" s="408"/>
      <c r="E973" s="408"/>
      <c r="F973" s="408"/>
      <c r="G973" s="408"/>
      <c r="H973" s="408"/>
      <c r="I973" s="408"/>
      <c r="J973" s="408"/>
      <c r="K973" s="408"/>
      <c r="L973" s="408"/>
      <c r="M973" s="408"/>
      <c r="N973" s="408"/>
      <c r="O973" s="408"/>
      <c r="P973" s="408"/>
      <c r="Q973" s="408"/>
      <c r="R973" s="408"/>
      <c r="S973" s="408"/>
      <c r="T973" s="408"/>
      <c r="U973" s="408"/>
      <c r="V973" s="408"/>
      <c r="W973" s="408"/>
      <c r="X973" s="408"/>
      <c r="Y973" s="408"/>
      <c r="Z973" s="408"/>
      <c r="AA973" s="408"/>
      <c r="AB973" s="408"/>
      <c r="AC973" s="408"/>
      <c r="AD973" s="408"/>
      <c r="AE973" s="408"/>
      <c r="AF973" s="408"/>
      <c r="AG973" s="408"/>
      <c r="AH973" s="408"/>
      <c r="AI973" s="408"/>
      <c r="AJ973" s="408"/>
      <c r="AK973" s="408"/>
      <c r="AL973" s="408"/>
      <c r="AM973" s="408"/>
      <c r="AN973" s="408"/>
      <c r="AO973" s="408"/>
      <c r="AP973" s="408"/>
      <c r="AQ973" s="408"/>
      <c r="AR973" s="408"/>
      <c r="AS973" s="408"/>
      <c r="AT973" s="408"/>
      <c r="AU973" s="408"/>
      <c r="AV973" s="408"/>
      <c r="AW973" s="408"/>
      <c r="AX973" s="408"/>
      <c r="AY973" s="408"/>
      <c r="AZ973" s="408"/>
      <c r="BA973" s="408"/>
      <c r="BB973" s="408"/>
      <c r="BC973" s="408"/>
      <c r="BD973" s="408"/>
      <c r="BE973" s="408"/>
      <c r="BF973" s="408"/>
      <c r="BG973" s="408"/>
      <c r="BH973" s="408"/>
      <c r="BI973" s="408"/>
      <c r="BJ973" s="408"/>
      <c r="BK973" s="408"/>
      <c r="BL973" s="408"/>
      <c r="BM973" s="408"/>
      <c r="BN973" s="408"/>
      <c r="BO973" s="408"/>
      <c r="BP973" s="408"/>
      <c r="BQ973" s="408"/>
      <c r="BR973" s="408"/>
      <c r="BS973" s="408"/>
      <c r="BT973" s="408"/>
      <c r="BU973" s="408"/>
      <c r="BV973" s="408"/>
      <c r="BW973" s="408"/>
      <c r="BX973" s="408"/>
      <c r="BY973" s="408"/>
      <c r="BZ973" s="408"/>
      <c r="CA973" s="408"/>
      <c r="CB973" s="408"/>
      <c r="CC973" s="408"/>
      <c r="CD973" s="408"/>
      <c r="CE973" s="408"/>
      <c r="CF973" s="408"/>
      <c r="CG973" s="408"/>
      <c r="CH973" s="408"/>
      <c r="CI973" s="408"/>
      <c r="CJ973" s="408"/>
      <c r="CK973" s="408"/>
      <c r="CL973" s="408"/>
      <c r="CM973" s="408"/>
      <c r="CN973" s="408"/>
    </row>
    <row r="974">
      <c r="A974" s="408"/>
      <c r="B974" s="408"/>
      <c r="C974" s="408"/>
      <c r="D974" s="408"/>
      <c r="E974" s="408"/>
      <c r="F974" s="408"/>
      <c r="G974" s="408"/>
      <c r="H974" s="408"/>
      <c r="I974" s="408"/>
      <c r="J974" s="408"/>
      <c r="K974" s="408"/>
      <c r="L974" s="408"/>
      <c r="M974" s="408"/>
      <c r="N974" s="408"/>
      <c r="O974" s="408"/>
      <c r="P974" s="408"/>
      <c r="Q974" s="408"/>
      <c r="R974" s="408"/>
      <c r="S974" s="408"/>
      <c r="T974" s="408"/>
      <c r="U974" s="408"/>
      <c r="V974" s="408"/>
      <c r="W974" s="408"/>
      <c r="X974" s="408"/>
      <c r="Y974" s="408"/>
      <c r="Z974" s="408"/>
      <c r="AA974" s="408"/>
      <c r="AB974" s="408"/>
      <c r="AC974" s="408"/>
      <c r="AD974" s="408"/>
      <c r="AE974" s="408"/>
      <c r="AF974" s="408"/>
      <c r="AG974" s="408"/>
      <c r="AH974" s="408"/>
      <c r="AI974" s="408"/>
      <c r="AJ974" s="408"/>
      <c r="AK974" s="408"/>
      <c r="AL974" s="408"/>
      <c r="AM974" s="408"/>
      <c r="AN974" s="408"/>
      <c r="AO974" s="408"/>
      <c r="AP974" s="408"/>
      <c r="AQ974" s="408"/>
      <c r="AR974" s="408"/>
      <c r="AS974" s="408"/>
      <c r="AT974" s="408"/>
      <c r="AU974" s="408"/>
      <c r="AV974" s="408"/>
      <c r="AW974" s="408"/>
      <c r="AX974" s="408"/>
      <c r="AY974" s="408"/>
      <c r="AZ974" s="408"/>
      <c r="BA974" s="408"/>
      <c r="BB974" s="408"/>
      <c r="BC974" s="408"/>
      <c r="BD974" s="408"/>
      <c r="BE974" s="408"/>
      <c r="BF974" s="408"/>
      <c r="BG974" s="408"/>
      <c r="BH974" s="408"/>
      <c r="BI974" s="408"/>
      <c r="BJ974" s="408"/>
      <c r="BK974" s="408"/>
      <c r="BL974" s="408"/>
      <c r="BM974" s="408"/>
      <c r="BN974" s="408"/>
      <c r="BO974" s="408"/>
      <c r="BP974" s="408"/>
      <c r="BQ974" s="408"/>
      <c r="BR974" s="408"/>
      <c r="BS974" s="408"/>
      <c r="BT974" s="408"/>
      <c r="BU974" s="408"/>
      <c r="BV974" s="408"/>
      <c r="BW974" s="408"/>
      <c r="BX974" s="408"/>
      <c r="BY974" s="408"/>
      <c r="BZ974" s="408"/>
      <c r="CA974" s="408"/>
      <c r="CB974" s="408"/>
      <c r="CC974" s="408"/>
      <c r="CD974" s="408"/>
      <c r="CE974" s="408"/>
      <c r="CF974" s="408"/>
      <c r="CG974" s="408"/>
      <c r="CH974" s="408"/>
      <c r="CI974" s="408"/>
      <c r="CJ974" s="408"/>
      <c r="CK974" s="408"/>
      <c r="CL974" s="408"/>
      <c r="CM974" s="408"/>
      <c r="CN974" s="408"/>
    </row>
    <row r="975">
      <c r="A975" s="408"/>
      <c r="B975" s="408"/>
      <c r="C975" s="408"/>
      <c r="D975" s="408"/>
      <c r="E975" s="408"/>
      <c r="F975" s="408"/>
      <c r="G975" s="408"/>
      <c r="H975" s="408"/>
      <c r="I975" s="408"/>
      <c r="J975" s="408"/>
      <c r="K975" s="408"/>
      <c r="L975" s="408"/>
      <c r="M975" s="408"/>
      <c r="N975" s="408"/>
      <c r="O975" s="408"/>
      <c r="P975" s="408"/>
      <c r="Q975" s="408"/>
      <c r="R975" s="408"/>
      <c r="S975" s="408"/>
      <c r="T975" s="408"/>
      <c r="U975" s="408"/>
      <c r="V975" s="408"/>
      <c r="W975" s="408"/>
      <c r="X975" s="408"/>
      <c r="Y975" s="408"/>
      <c r="Z975" s="408"/>
      <c r="AA975" s="408"/>
      <c r="AB975" s="408"/>
      <c r="AC975" s="408"/>
      <c r="AD975" s="408"/>
      <c r="AE975" s="408"/>
      <c r="AF975" s="408"/>
      <c r="AG975" s="408"/>
      <c r="AH975" s="408"/>
      <c r="AI975" s="408"/>
      <c r="AJ975" s="408"/>
      <c r="AK975" s="408"/>
      <c r="AL975" s="408"/>
      <c r="AM975" s="408"/>
      <c r="AN975" s="408"/>
      <c r="AO975" s="408"/>
      <c r="AP975" s="408"/>
      <c r="AQ975" s="408"/>
      <c r="AR975" s="408"/>
      <c r="AS975" s="408"/>
      <c r="AT975" s="408"/>
      <c r="AU975" s="408"/>
      <c r="AV975" s="408"/>
      <c r="AW975" s="408"/>
      <c r="AX975" s="408"/>
      <c r="AY975" s="408"/>
      <c r="AZ975" s="408"/>
      <c r="BA975" s="408"/>
      <c r="BB975" s="408"/>
      <c r="BC975" s="408"/>
      <c r="BD975" s="408"/>
      <c r="BE975" s="408"/>
      <c r="BF975" s="408"/>
      <c r="BG975" s="408"/>
      <c r="BH975" s="408"/>
      <c r="BI975" s="408"/>
      <c r="BJ975" s="408"/>
      <c r="BK975" s="408"/>
      <c r="BL975" s="408"/>
      <c r="BM975" s="408"/>
      <c r="BN975" s="408"/>
      <c r="BO975" s="408"/>
      <c r="BP975" s="408"/>
      <c r="BQ975" s="408"/>
      <c r="BR975" s="408"/>
      <c r="BS975" s="408"/>
      <c r="BT975" s="408"/>
      <c r="BU975" s="408"/>
      <c r="BV975" s="408"/>
      <c r="BW975" s="408"/>
      <c r="BX975" s="408"/>
      <c r="BY975" s="408"/>
      <c r="BZ975" s="408"/>
      <c r="CA975" s="408"/>
      <c r="CB975" s="408"/>
      <c r="CC975" s="408"/>
      <c r="CD975" s="408"/>
      <c r="CE975" s="408"/>
      <c r="CF975" s="408"/>
      <c r="CG975" s="408"/>
      <c r="CH975" s="408"/>
      <c r="CI975" s="408"/>
      <c r="CJ975" s="408"/>
      <c r="CK975" s="408"/>
      <c r="CL975" s="408"/>
      <c r="CM975" s="408"/>
      <c r="CN975" s="408"/>
    </row>
    <row r="976">
      <c r="A976" s="408"/>
      <c r="B976" s="408"/>
      <c r="C976" s="408"/>
      <c r="D976" s="408"/>
      <c r="E976" s="408"/>
      <c r="F976" s="408"/>
      <c r="G976" s="408"/>
      <c r="H976" s="408"/>
      <c r="I976" s="408"/>
      <c r="J976" s="408"/>
      <c r="K976" s="408"/>
      <c r="L976" s="408"/>
      <c r="M976" s="408"/>
      <c r="N976" s="408"/>
      <c r="O976" s="408"/>
      <c r="P976" s="408"/>
      <c r="Q976" s="408"/>
      <c r="R976" s="408"/>
      <c r="S976" s="408"/>
      <c r="T976" s="408"/>
      <c r="U976" s="408"/>
      <c r="V976" s="408"/>
      <c r="W976" s="408"/>
      <c r="X976" s="408"/>
      <c r="Y976" s="408"/>
      <c r="Z976" s="408"/>
      <c r="AA976" s="408"/>
      <c r="AB976" s="408"/>
      <c r="AC976" s="408"/>
      <c r="AD976" s="408"/>
      <c r="AE976" s="408"/>
      <c r="AF976" s="408"/>
      <c r="AG976" s="408"/>
      <c r="AH976" s="408"/>
      <c r="AI976" s="408"/>
      <c r="AJ976" s="408"/>
      <c r="AK976" s="408"/>
      <c r="AL976" s="408"/>
      <c r="AM976" s="408"/>
      <c r="AN976" s="408"/>
      <c r="AO976" s="408"/>
      <c r="AP976" s="408"/>
      <c r="AQ976" s="408"/>
      <c r="AR976" s="408"/>
      <c r="AS976" s="408"/>
      <c r="AT976" s="408"/>
      <c r="AU976" s="408"/>
      <c r="AV976" s="408"/>
      <c r="AW976" s="408"/>
      <c r="AX976" s="408"/>
      <c r="AY976" s="408"/>
      <c r="AZ976" s="408"/>
      <c r="BA976" s="408"/>
      <c r="BB976" s="408"/>
      <c r="BC976" s="408"/>
      <c r="BD976" s="408"/>
      <c r="BE976" s="408"/>
      <c r="BF976" s="408"/>
      <c r="BG976" s="408"/>
      <c r="BH976" s="408"/>
      <c r="BI976" s="408"/>
      <c r="BJ976" s="408"/>
      <c r="BK976" s="408"/>
      <c r="BL976" s="408"/>
      <c r="BM976" s="408"/>
      <c r="BN976" s="408"/>
      <c r="BO976" s="408"/>
      <c r="BP976" s="408"/>
      <c r="BQ976" s="408"/>
      <c r="BR976" s="408"/>
      <c r="BS976" s="408"/>
      <c r="BT976" s="408"/>
      <c r="BU976" s="408"/>
      <c r="BV976" s="408"/>
      <c r="BW976" s="408"/>
      <c r="BX976" s="408"/>
      <c r="BY976" s="408"/>
      <c r="BZ976" s="408"/>
      <c r="CA976" s="408"/>
      <c r="CB976" s="408"/>
      <c r="CC976" s="408"/>
      <c r="CD976" s="408"/>
      <c r="CE976" s="408"/>
      <c r="CF976" s="408"/>
      <c r="CG976" s="408"/>
      <c r="CH976" s="408"/>
      <c r="CI976" s="408"/>
      <c r="CJ976" s="408"/>
      <c r="CK976" s="408"/>
      <c r="CL976" s="408"/>
      <c r="CM976" s="408"/>
      <c r="CN976" s="408"/>
    </row>
    <row r="977">
      <c r="A977" s="408"/>
      <c r="B977" s="408"/>
      <c r="C977" s="408"/>
      <c r="D977" s="408"/>
      <c r="E977" s="408"/>
      <c r="F977" s="408"/>
      <c r="G977" s="408"/>
      <c r="H977" s="408"/>
      <c r="I977" s="408"/>
      <c r="J977" s="408"/>
      <c r="K977" s="408"/>
      <c r="L977" s="408"/>
      <c r="M977" s="408"/>
      <c r="N977" s="408"/>
      <c r="O977" s="408"/>
      <c r="P977" s="408"/>
      <c r="Q977" s="408"/>
      <c r="R977" s="408"/>
      <c r="S977" s="408"/>
      <c r="T977" s="408"/>
      <c r="U977" s="408"/>
      <c r="V977" s="408"/>
      <c r="W977" s="408"/>
      <c r="X977" s="408"/>
      <c r="Y977" s="408"/>
      <c r="Z977" s="408"/>
      <c r="AA977" s="408"/>
      <c r="AB977" s="408"/>
      <c r="AC977" s="408"/>
      <c r="AD977" s="408"/>
      <c r="AE977" s="408"/>
      <c r="AF977" s="408"/>
      <c r="AG977" s="408"/>
      <c r="AH977" s="408"/>
      <c r="AI977" s="408"/>
      <c r="AJ977" s="408"/>
      <c r="AK977" s="408"/>
      <c r="AL977" s="408"/>
      <c r="AM977" s="408"/>
      <c r="AN977" s="408"/>
      <c r="AO977" s="408"/>
      <c r="AP977" s="408"/>
      <c r="AQ977" s="408"/>
      <c r="AR977" s="408"/>
      <c r="AS977" s="408"/>
      <c r="AT977" s="408"/>
      <c r="AU977" s="408"/>
      <c r="AV977" s="408"/>
      <c r="AW977" s="408"/>
      <c r="AX977" s="408"/>
      <c r="AY977" s="408"/>
      <c r="AZ977" s="408"/>
      <c r="BA977" s="408"/>
      <c r="BB977" s="408"/>
      <c r="BC977" s="408"/>
      <c r="BD977" s="408"/>
      <c r="BE977" s="408"/>
      <c r="BF977" s="408"/>
      <c r="BG977" s="408"/>
      <c r="BH977" s="408"/>
      <c r="BI977" s="408"/>
      <c r="BJ977" s="408"/>
      <c r="BK977" s="408"/>
      <c r="BL977" s="408"/>
      <c r="BM977" s="408"/>
      <c r="BN977" s="408"/>
      <c r="BO977" s="408"/>
      <c r="BP977" s="408"/>
      <c r="BQ977" s="408"/>
      <c r="BR977" s="408"/>
      <c r="BS977" s="408"/>
      <c r="BT977" s="408"/>
      <c r="BU977" s="408"/>
      <c r="BV977" s="408"/>
      <c r="BW977" s="408"/>
      <c r="BX977" s="408"/>
      <c r="BY977" s="408"/>
      <c r="BZ977" s="408"/>
      <c r="CA977" s="408"/>
      <c r="CB977" s="408"/>
      <c r="CC977" s="408"/>
      <c r="CD977" s="408"/>
      <c r="CE977" s="408"/>
      <c r="CF977" s="408"/>
      <c r="CG977" s="408"/>
      <c r="CH977" s="408"/>
      <c r="CI977" s="408"/>
      <c r="CJ977" s="408"/>
      <c r="CK977" s="408"/>
      <c r="CL977" s="408"/>
      <c r="CM977" s="408"/>
      <c r="CN977" s="408"/>
    </row>
    <row r="978">
      <c r="A978" s="408"/>
      <c r="B978" s="408"/>
      <c r="C978" s="408"/>
      <c r="D978" s="408"/>
      <c r="E978" s="408"/>
      <c r="F978" s="408"/>
      <c r="G978" s="408"/>
      <c r="H978" s="408"/>
      <c r="I978" s="408"/>
      <c r="J978" s="408"/>
      <c r="K978" s="408"/>
      <c r="L978" s="408"/>
      <c r="M978" s="408"/>
      <c r="N978" s="408"/>
      <c r="O978" s="408"/>
      <c r="P978" s="408"/>
      <c r="Q978" s="408"/>
      <c r="R978" s="408"/>
      <c r="S978" s="408"/>
      <c r="T978" s="408"/>
      <c r="U978" s="408"/>
      <c r="V978" s="408"/>
      <c r="W978" s="408"/>
      <c r="X978" s="408"/>
      <c r="Y978" s="408"/>
      <c r="Z978" s="408"/>
      <c r="AA978" s="408"/>
      <c r="AB978" s="408"/>
      <c r="AC978" s="408"/>
      <c r="AD978" s="408"/>
      <c r="AE978" s="408"/>
      <c r="AF978" s="408"/>
      <c r="AG978" s="408"/>
      <c r="AH978" s="408"/>
      <c r="AI978" s="408"/>
      <c r="AJ978" s="408"/>
      <c r="AK978" s="408"/>
      <c r="AL978" s="408"/>
      <c r="AM978" s="408"/>
      <c r="AN978" s="408"/>
      <c r="AO978" s="408"/>
      <c r="AP978" s="408"/>
      <c r="AQ978" s="408"/>
      <c r="AR978" s="408"/>
      <c r="AS978" s="408"/>
      <c r="AT978" s="408"/>
      <c r="AU978" s="408"/>
      <c r="AV978" s="408"/>
      <c r="AW978" s="408"/>
      <c r="AX978" s="408"/>
      <c r="AY978" s="408"/>
      <c r="AZ978" s="408"/>
      <c r="BA978" s="408"/>
      <c r="BB978" s="408"/>
      <c r="BC978" s="408"/>
      <c r="BD978" s="408"/>
      <c r="BE978" s="408"/>
      <c r="BF978" s="408"/>
      <c r="BG978" s="408"/>
      <c r="BH978" s="408"/>
      <c r="BI978" s="408"/>
      <c r="BJ978" s="408"/>
      <c r="BK978" s="408"/>
      <c r="BL978" s="408"/>
      <c r="BM978" s="408"/>
      <c r="BN978" s="408"/>
      <c r="BO978" s="408"/>
      <c r="BP978" s="408"/>
      <c r="BQ978" s="408"/>
      <c r="BR978" s="408"/>
      <c r="BS978" s="408"/>
      <c r="BT978" s="408"/>
      <c r="BU978" s="408"/>
      <c r="BV978" s="408"/>
      <c r="BW978" s="408"/>
      <c r="BX978" s="408"/>
      <c r="BY978" s="408"/>
      <c r="BZ978" s="408"/>
      <c r="CA978" s="408"/>
      <c r="CB978" s="408"/>
      <c r="CC978" s="408"/>
      <c r="CD978" s="408"/>
      <c r="CE978" s="408"/>
      <c r="CF978" s="408"/>
      <c r="CG978" s="408"/>
      <c r="CH978" s="408"/>
      <c r="CI978" s="408"/>
      <c r="CJ978" s="408"/>
      <c r="CK978" s="408"/>
      <c r="CL978" s="408"/>
      <c r="CM978" s="408"/>
      <c r="CN978" s="408"/>
    </row>
    <row r="979">
      <c r="A979" s="408"/>
      <c r="B979" s="408"/>
      <c r="C979" s="408"/>
      <c r="D979" s="408"/>
      <c r="E979" s="408"/>
      <c r="F979" s="408"/>
      <c r="G979" s="408"/>
      <c r="H979" s="408"/>
      <c r="I979" s="408"/>
      <c r="J979" s="408"/>
      <c r="K979" s="408"/>
      <c r="L979" s="408"/>
      <c r="M979" s="408"/>
      <c r="N979" s="408"/>
      <c r="O979" s="408"/>
      <c r="P979" s="408"/>
      <c r="Q979" s="408"/>
      <c r="R979" s="408"/>
      <c r="S979" s="408"/>
      <c r="T979" s="408"/>
      <c r="U979" s="408"/>
      <c r="V979" s="408"/>
      <c r="W979" s="408"/>
      <c r="X979" s="408"/>
      <c r="Y979" s="408"/>
      <c r="Z979" s="408"/>
      <c r="AA979" s="408"/>
      <c r="AB979" s="408"/>
      <c r="AC979" s="408"/>
      <c r="AD979" s="408"/>
      <c r="AE979" s="408"/>
      <c r="AF979" s="408"/>
      <c r="AG979" s="408"/>
      <c r="AH979" s="408"/>
      <c r="AI979" s="408"/>
      <c r="AJ979" s="408"/>
      <c r="AK979" s="408"/>
      <c r="AL979" s="408"/>
      <c r="AM979" s="408"/>
      <c r="AN979" s="408"/>
      <c r="AO979" s="408"/>
      <c r="AP979" s="408"/>
      <c r="AQ979" s="408"/>
      <c r="AR979" s="408"/>
      <c r="AS979" s="408"/>
      <c r="AT979" s="408"/>
      <c r="AU979" s="408"/>
      <c r="AV979" s="408"/>
      <c r="AW979" s="408"/>
      <c r="AX979" s="408"/>
      <c r="AY979" s="408"/>
      <c r="AZ979" s="408"/>
      <c r="BA979" s="408"/>
      <c r="BB979" s="408"/>
      <c r="BC979" s="408"/>
      <c r="BD979" s="408"/>
      <c r="BE979" s="408"/>
      <c r="BF979" s="408"/>
      <c r="BG979" s="408"/>
      <c r="BH979" s="408"/>
      <c r="BI979" s="408"/>
      <c r="BJ979" s="408"/>
      <c r="BK979" s="408"/>
      <c r="BL979" s="408"/>
      <c r="BM979" s="408"/>
      <c r="BN979" s="408"/>
      <c r="BO979" s="408"/>
      <c r="BP979" s="408"/>
      <c r="BQ979" s="408"/>
      <c r="BR979" s="408"/>
      <c r="BS979" s="408"/>
      <c r="BT979" s="408"/>
      <c r="BU979" s="408"/>
      <c r="BV979" s="408"/>
      <c r="BW979" s="408"/>
      <c r="BX979" s="408"/>
      <c r="BY979" s="408"/>
      <c r="BZ979" s="408"/>
      <c r="CA979" s="408"/>
      <c r="CB979" s="408"/>
      <c r="CC979" s="408"/>
      <c r="CD979" s="408"/>
      <c r="CE979" s="408"/>
      <c r="CF979" s="408"/>
      <c r="CG979" s="408"/>
      <c r="CH979" s="408"/>
      <c r="CI979" s="408"/>
      <c r="CJ979" s="408"/>
      <c r="CK979" s="408"/>
      <c r="CL979" s="408"/>
      <c r="CM979" s="408"/>
      <c r="CN979" s="408"/>
    </row>
    <row r="980">
      <c r="A980" s="408"/>
      <c r="B980" s="408"/>
      <c r="C980" s="408"/>
      <c r="D980" s="408"/>
      <c r="E980" s="408"/>
      <c r="F980" s="408"/>
      <c r="G980" s="408"/>
      <c r="H980" s="408"/>
      <c r="I980" s="408"/>
      <c r="J980" s="408"/>
      <c r="K980" s="408"/>
      <c r="L980" s="408"/>
      <c r="M980" s="408"/>
      <c r="N980" s="408"/>
      <c r="O980" s="408"/>
      <c r="P980" s="408"/>
      <c r="Q980" s="408"/>
      <c r="R980" s="408"/>
      <c r="S980" s="408"/>
      <c r="T980" s="408"/>
      <c r="U980" s="408"/>
      <c r="V980" s="408"/>
      <c r="W980" s="408"/>
      <c r="X980" s="408"/>
      <c r="Y980" s="408"/>
      <c r="Z980" s="408"/>
      <c r="AA980" s="408"/>
      <c r="AB980" s="408"/>
      <c r="AC980" s="408"/>
      <c r="AD980" s="408"/>
      <c r="AE980" s="408"/>
      <c r="AF980" s="408"/>
      <c r="AG980" s="408"/>
      <c r="AH980" s="408"/>
      <c r="AI980" s="408"/>
      <c r="AJ980" s="408"/>
      <c r="AK980" s="408"/>
      <c r="AL980" s="408"/>
      <c r="AM980" s="408"/>
      <c r="AN980" s="408"/>
      <c r="AO980" s="408"/>
      <c r="AP980" s="408"/>
      <c r="AQ980" s="408"/>
      <c r="AR980" s="408"/>
      <c r="AS980" s="408"/>
      <c r="AT980" s="408"/>
      <c r="AU980" s="408"/>
      <c r="AV980" s="408"/>
      <c r="AW980" s="408"/>
      <c r="AX980" s="408"/>
      <c r="AY980" s="408"/>
      <c r="AZ980" s="408"/>
      <c r="BA980" s="408"/>
      <c r="BB980" s="408"/>
      <c r="BC980" s="408"/>
      <c r="BD980" s="408"/>
      <c r="BE980" s="408"/>
      <c r="BF980" s="408"/>
      <c r="BG980" s="408"/>
      <c r="BH980" s="408"/>
      <c r="BI980" s="408"/>
      <c r="BJ980" s="408"/>
      <c r="BK980" s="408"/>
      <c r="BL980" s="408"/>
      <c r="BM980" s="408"/>
      <c r="BN980" s="408"/>
      <c r="BO980" s="408"/>
      <c r="BP980" s="408"/>
      <c r="BQ980" s="408"/>
      <c r="BR980" s="408"/>
      <c r="BS980" s="408"/>
      <c r="BT980" s="408"/>
      <c r="BU980" s="408"/>
      <c r="BV980" s="408"/>
      <c r="BW980" s="408"/>
      <c r="BX980" s="408"/>
      <c r="BY980" s="408"/>
      <c r="BZ980" s="408"/>
      <c r="CA980" s="408"/>
      <c r="CB980" s="408"/>
      <c r="CC980" s="408"/>
      <c r="CD980" s="408"/>
      <c r="CE980" s="408"/>
      <c r="CF980" s="408"/>
      <c r="CG980" s="408"/>
      <c r="CH980" s="408"/>
      <c r="CI980" s="408"/>
      <c r="CJ980" s="408"/>
      <c r="CK980" s="408"/>
      <c r="CL980" s="408"/>
      <c r="CM980" s="408"/>
      <c r="CN980" s="408"/>
    </row>
    <row r="981">
      <c r="A981" s="408"/>
      <c r="B981" s="408"/>
      <c r="C981" s="408"/>
      <c r="D981" s="408"/>
      <c r="E981" s="408"/>
      <c r="F981" s="408"/>
      <c r="G981" s="408"/>
      <c r="H981" s="408"/>
      <c r="I981" s="408"/>
      <c r="J981" s="408"/>
      <c r="K981" s="408"/>
      <c r="L981" s="408"/>
      <c r="M981" s="408"/>
      <c r="N981" s="408"/>
      <c r="O981" s="408"/>
      <c r="P981" s="408"/>
      <c r="Q981" s="408"/>
      <c r="R981" s="408"/>
      <c r="S981" s="408"/>
      <c r="T981" s="408"/>
      <c r="U981" s="408"/>
      <c r="V981" s="408"/>
      <c r="W981" s="408"/>
      <c r="X981" s="408"/>
      <c r="Y981" s="408"/>
      <c r="Z981" s="408"/>
      <c r="AA981" s="408"/>
      <c r="AB981" s="408"/>
      <c r="AC981" s="408"/>
      <c r="AD981" s="408"/>
      <c r="AE981" s="408"/>
      <c r="AF981" s="408"/>
      <c r="AG981" s="408"/>
      <c r="AH981" s="408"/>
      <c r="AI981" s="408"/>
      <c r="AJ981" s="408"/>
      <c r="AK981" s="408"/>
      <c r="AL981" s="408"/>
      <c r="AM981" s="408"/>
      <c r="AN981" s="408"/>
      <c r="AO981" s="408"/>
      <c r="AP981" s="408"/>
      <c r="AQ981" s="408"/>
      <c r="AR981" s="408"/>
      <c r="AS981" s="408"/>
      <c r="AT981" s="408"/>
      <c r="AU981" s="408"/>
      <c r="AV981" s="408"/>
      <c r="AW981" s="408"/>
      <c r="AX981" s="408"/>
      <c r="AY981" s="408"/>
      <c r="AZ981" s="408"/>
      <c r="BA981" s="408"/>
      <c r="BB981" s="408"/>
      <c r="BC981" s="408"/>
      <c r="BD981" s="408"/>
      <c r="BE981" s="408"/>
      <c r="BF981" s="408"/>
      <c r="BG981" s="408"/>
      <c r="BH981" s="408"/>
      <c r="BI981" s="408"/>
      <c r="BJ981" s="408"/>
      <c r="BK981" s="408"/>
      <c r="BL981" s="408"/>
      <c r="BM981" s="408"/>
      <c r="BN981" s="408"/>
      <c r="BO981" s="408"/>
      <c r="BP981" s="408"/>
      <c r="BQ981" s="408"/>
      <c r="BR981" s="408"/>
      <c r="BS981" s="408"/>
      <c r="BT981" s="408"/>
      <c r="BU981" s="408"/>
      <c r="BV981" s="408"/>
      <c r="BW981" s="408"/>
      <c r="BX981" s="408"/>
      <c r="BY981" s="408"/>
      <c r="BZ981" s="408"/>
      <c r="CA981" s="408"/>
      <c r="CB981" s="408"/>
      <c r="CC981" s="408"/>
      <c r="CD981" s="408"/>
      <c r="CE981" s="408"/>
      <c r="CF981" s="408"/>
      <c r="CG981" s="408"/>
      <c r="CH981" s="408"/>
      <c r="CI981" s="408"/>
      <c r="CJ981" s="408"/>
      <c r="CK981" s="408"/>
      <c r="CL981" s="408"/>
      <c r="CM981" s="408"/>
      <c r="CN981" s="408"/>
    </row>
    <row r="982">
      <c r="A982" s="408"/>
      <c r="B982" s="408"/>
      <c r="C982" s="408"/>
      <c r="D982" s="408"/>
      <c r="E982" s="408"/>
      <c r="F982" s="408"/>
      <c r="G982" s="408"/>
      <c r="H982" s="408"/>
      <c r="I982" s="408"/>
      <c r="J982" s="408"/>
      <c r="K982" s="408"/>
      <c r="L982" s="408"/>
      <c r="M982" s="408"/>
      <c r="N982" s="408"/>
      <c r="O982" s="408"/>
      <c r="P982" s="408"/>
      <c r="Q982" s="408"/>
      <c r="R982" s="408"/>
      <c r="S982" s="408"/>
      <c r="T982" s="408"/>
      <c r="U982" s="408"/>
      <c r="V982" s="408"/>
      <c r="W982" s="408"/>
      <c r="X982" s="408"/>
      <c r="Y982" s="408"/>
      <c r="Z982" s="408"/>
      <c r="AA982" s="408"/>
      <c r="AB982" s="408"/>
      <c r="AC982" s="408"/>
      <c r="AD982" s="408"/>
      <c r="AE982" s="408"/>
      <c r="AF982" s="408"/>
      <c r="AG982" s="408"/>
      <c r="AH982" s="408"/>
      <c r="AI982" s="408"/>
      <c r="AJ982" s="408"/>
      <c r="AK982" s="408"/>
      <c r="AL982" s="408"/>
      <c r="AM982" s="408"/>
      <c r="AN982" s="408"/>
      <c r="AO982" s="408"/>
      <c r="AP982" s="408"/>
      <c r="AQ982" s="408"/>
      <c r="AR982" s="408"/>
      <c r="AS982" s="408"/>
      <c r="AT982" s="408"/>
      <c r="AU982" s="408"/>
      <c r="AV982" s="408"/>
      <c r="AW982" s="408"/>
      <c r="AX982" s="408"/>
      <c r="AY982" s="408"/>
      <c r="AZ982" s="408"/>
      <c r="BA982" s="408"/>
      <c r="BB982" s="408"/>
      <c r="BC982" s="408"/>
      <c r="BD982" s="408"/>
      <c r="BE982" s="408"/>
      <c r="BF982" s="408"/>
      <c r="BG982" s="408"/>
      <c r="BH982" s="408"/>
      <c r="BI982" s="408"/>
      <c r="BJ982" s="408"/>
      <c r="BK982" s="408"/>
      <c r="BL982" s="408"/>
      <c r="BM982" s="408"/>
      <c r="BN982" s="408"/>
      <c r="BO982" s="408"/>
      <c r="BP982" s="408"/>
      <c r="BQ982" s="408"/>
      <c r="BR982" s="408"/>
      <c r="BS982" s="408"/>
      <c r="BT982" s="408"/>
      <c r="BU982" s="408"/>
      <c r="BV982" s="408"/>
      <c r="BW982" s="408"/>
      <c r="BX982" s="408"/>
      <c r="BY982" s="408"/>
      <c r="BZ982" s="408"/>
      <c r="CA982" s="408"/>
      <c r="CB982" s="408"/>
      <c r="CC982" s="408"/>
      <c r="CD982" s="408"/>
      <c r="CE982" s="408"/>
      <c r="CF982" s="408"/>
      <c r="CG982" s="408"/>
      <c r="CH982" s="408"/>
      <c r="CI982" s="408"/>
      <c r="CJ982" s="408"/>
      <c r="CK982" s="408"/>
      <c r="CL982" s="408"/>
      <c r="CM982" s="408"/>
      <c r="CN982" s="408"/>
    </row>
    <row r="983">
      <c r="A983" s="408"/>
      <c r="B983" s="408"/>
      <c r="C983" s="408"/>
      <c r="D983" s="408"/>
      <c r="E983" s="408"/>
      <c r="F983" s="408"/>
      <c r="G983" s="408"/>
      <c r="H983" s="408"/>
      <c r="I983" s="408"/>
      <c r="J983" s="408"/>
      <c r="K983" s="408"/>
      <c r="L983" s="408"/>
      <c r="M983" s="408"/>
      <c r="N983" s="408"/>
      <c r="O983" s="408"/>
      <c r="P983" s="408"/>
      <c r="Q983" s="408"/>
      <c r="R983" s="408"/>
      <c r="S983" s="408"/>
      <c r="T983" s="408"/>
      <c r="U983" s="408"/>
      <c r="V983" s="408"/>
      <c r="W983" s="408"/>
      <c r="X983" s="408"/>
      <c r="Y983" s="408"/>
      <c r="Z983" s="408"/>
      <c r="AA983" s="408"/>
      <c r="AB983" s="408"/>
      <c r="AC983" s="408"/>
      <c r="AD983" s="408"/>
      <c r="AE983" s="408"/>
      <c r="AF983" s="408"/>
      <c r="AG983" s="408"/>
      <c r="AH983" s="408"/>
      <c r="AI983" s="408"/>
      <c r="AJ983" s="408"/>
      <c r="AK983" s="408"/>
      <c r="AL983" s="408"/>
      <c r="AM983" s="408"/>
      <c r="AN983" s="408"/>
      <c r="AO983" s="408"/>
      <c r="AP983" s="408"/>
      <c r="AQ983" s="408"/>
      <c r="AR983" s="408"/>
      <c r="AS983" s="408"/>
      <c r="AT983" s="408"/>
      <c r="AU983" s="408"/>
      <c r="AV983" s="408"/>
      <c r="AW983" s="408"/>
      <c r="AX983" s="408"/>
      <c r="AY983" s="408"/>
      <c r="AZ983" s="408"/>
      <c r="BA983" s="408"/>
      <c r="BB983" s="408"/>
      <c r="BC983" s="408"/>
      <c r="BD983" s="408"/>
      <c r="BE983" s="408"/>
      <c r="BF983" s="408"/>
      <c r="BG983" s="408"/>
      <c r="BH983" s="408"/>
      <c r="BI983" s="408"/>
      <c r="BJ983" s="408"/>
      <c r="BK983" s="408"/>
      <c r="BL983" s="408"/>
      <c r="BM983" s="408"/>
      <c r="BN983" s="408"/>
      <c r="BO983" s="408"/>
      <c r="BP983" s="408"/>
      <c r="BQ983" s="408"/>
      <c r="BR983" s="408"/>
      <c r="BS983" s="408"/>
      <c r="BT983" s="408"/>
      <c r="BU983" s="408"/>
      <c r="BV983" s="408"/>
      <c r="BW983" s="408"/>
      <c r="BX983" s="408"/>
      <c r="BY983" s="408"/>
      <c r="BZ983" s="408"/>
      <c r="CA983" s="408"/>
      <c r="CB983" s="408"/>
      <c r="CC983" s="408"/>
      <c r="CD983" s="408"/>
      <c r="CE983" s="408"/>
      <c r="CF983" s="408"/>
      <c r="CG983" s="408"/>
      <c r="CH983" s="408"/>
      <c r="CI983" s="408"/>
      <c r="CJ983" s="408"/>
      <c r="CK983" s="408"/>
      <c r="CL983" s="408"/>
      <c r="CM983" s="408"/>
      <c r="CN983" s="408"/>
    </row>
    <row r="984">
      <c r="A984" s="408"/>
      <c r="B984" s="408"/>
      <c r="C984" s="408"/>
      <c r="D984" s="408"/>
      <c r="E984" s="408"/>
      <c r="F984" s="408"/>
      <c r="G984" s="408"/>
      <c r="H984" s="408"/>
      <c r="I984" s="408"/>
      <c r="J984" s="408"/>
      <c r="K984" s="408"/>
      <c r="L984" s="408"/>
      <c r="M984" s="408"/>
      <c r="N984" s="408"/>
      <c r="O984" s="408"/>
      <c r="P984" s="408"/>
      <c r="Q984" s="408"/>
      <c r="R984" s="408"/>
      <c r="S984" s="408"/>
      <c r="T984" s="408"/>
      <c r="U984" s="408"/>
      <c r="V984" s="408"/>
      <c r="W984" s="408"/>
      <c r="X984" s="408"/>
      <c r="Y984" s="408"/>
      <c r="Z984" s="408"/>
      <c r="AA984" s="408"/>
      <c r="AB984" s="408"/>
      <c r="AC984" s="408"/>
      <c r="AD984" s="408"/>
      <c r="AE984" s="408"/>
      <c r="AF984" s="408"/>
      <c r="AG984" s="408"/>
      <c r="AH984" s="408"/>
      <c r="AI984" s="408"/>
      <c r="AJ984" s="408"/>
      <c r="AK984" s="408"/>
      <c r="AL984" s="408"/>
      <c r="AM984" s="408"/>
      <c r="AN984" s="408"/>
      <c r="AO984" s="408"/>
      <c r="AP984" s="408"/>
      <c r="AQ984" s="408"/>
      <c r="AR984" s="408"/>
      <c r="AS984" s="408"/>
      <c r="AT984" s="408"/>
      <c r="AU984" s="408"/>
      <c r="AV984" s="408"/>
      <c r="AW984" s="408"/>
      <c r="AX984" s="408"/>
      <c r="AY984" s="408"/>
      <c r="AZ984" s="408"/>
      <c r="BA984" s="408"/>
      <c r="BB984" s="408"/>
      <c r="BC984" s="408"/>
      <c r="BD984" s="408"/>
      <c r="BE984" s="408"/>
      <c r="BF984" s="408"/>
      <c r="BG984" s="408"/>
      <c r="BH984" s="408"/>
      <c r="BI984" s="408"/>
      <c r="BJ984" s="408"/>
      <c r="BK984" s="408"/>
      <c r="BL984" s="408"/>
      <c r="BM984" s="408"/>
      <c r="BN984" s="408"/>
      <c r="BO984" s="408"/>
      <c r="BP984" s="408"/>
      <c r="BQ984" s="408"/>
      <c r="BR984" s="408"/>
      <c r="BS984" s="408"/>
      <c r="BT984" s="408"/>
      <c r="BU984" s="408"/>
      <c r="BV984" s="408"/>
      <c r="BW984" s="408"/>
      <c r="BX984" s="408"/>
      <c r="BY984" s="408"/>
      <c r="BZ984" s="408"/>
      <c r="CA984" s="408"/>
      <c r="CB984" s="408"/>
      <c r="CC984" s="408"/>
      <c r="CD984" s="408"/>
      <c r="CE984" s="408"/>
      <c r="CF984" s="408"/>
      <c r="CG984" s="408"/>
      <c r="CH984" s="408"/>
      <c r="CI984" s="408"/>
      <c r="CJ984" s="408"/>
      <c r="CK984" s="408"/>
      <c r="CL984" s="408"/>
      <c r="CM984" s="408"/>
      <c r="CN984" s="408"/>
    </row>
    <row r="985">
      <c r="A985" s="408"/>
      <c r="B985" s="408"/>
      <c r="C985" s="408"/>
      <c r="D985" s="408"/>
      <c r="E985" s="408"/>
      <c r="F985" s="408"/>
      <c r="G985" s="408"/>
      <c r="H985" s="408"/>
      <c r="I985" s="408"/>
      <c r="J985" s="408"/>
      <c r="K985" s="408"/>
      <c r="L985" s="408"/>
      <c r="M985" s="408"/>
      <c r="N985" s="408"/>
      <c r="O985" s="408"/>
      <c r="P985" s="408"/>
      <c r="Q985" s="408"/>
      <c r="R985" s="408"/>
      <c r="S985" s="408"/>
      <c r="T985" s="408"/>
      <c r="U985" s="408"/>
      <c r="V985" s="408"/>
      <c r="W985" s="408"/>
      <c r="X985" s="408"/>
      <c r="Y985" s="408"/>
      <c r="Z985" s="408"/>
      <c r="AA985" s="408"/>
      <c r="AB985" s="408"/>
      <c r="AC985" s="408"/>
      <c r="AD985" s="408"/>
      <c r="AE985" s="408"/>
      <c r="AF985" s="408"/>
      <c r="AG985" s="408"/>
      <c r="AH985" s="408"/>
      <c r="AI985" s="408"/>
      <c r="AJ985" s="408"/>
      <c r="AK985" s="408"/>
      <c r="AL985" s="408"/>
      <c r="AM985" s="408"/>
      <c r="AN985" s="408"/>
      <c r="AO985" s="408"/>
      <c r="AP985" s="408"/>
      <c r="AQ985" s="408"/>
      <c r="AR985" s="408"/>
      <c r="AS985" s="408"/>
      <c r="AT985" s="408"/>
      <c r="AU985" s="408"/>
      <c r="AV985" s="408"/>
      <c r="AW985" s="408"/>
      <c r="AX985" s="408"/>
      <c r="AY985" s="408"/>
      <c r="AZ985" s="408"/>
      <c r="BA985" s="408"/>
      <c r="BB985" s="408"/>
      <c r="BC985" s="408"/>
      <c r="BD985" s="408"/>
      <c r="BE985" s="408"/>
      <c r="BF985" s="408"/>
      <c r="BG985" s="408"/>
      <c r="BH985" s="408"/>
      <c r="BI985" s="408"/>
      <c r="BJ985" s="408"/>
      <c r="BK985" s="408"/>
      <c r="BL985" s="408"/>
      <c r="BM985" s="408"/>
      <c r="BN985" s="408"/>
      <c r="BO985" s="408"/>
      <c r="BP985" s="408"/>
      <c r="BQ985" s="408"/>
      <c r="BR985" s="408"/>
      <c r="BS985" s="408"/>
      <c r="BT985" s="408"/>
      <c r="BU985" s="408"/>
      <c r="BV985" s="408"/>
      <c r="BW985" s="408"/>
      <c r="BX985" s="408"/>
      <c r="BY985" s="408"/>
      <c r="BZ985" s="408"/>
      <c r="CA985" s="408"/>
      <c r="CB985" s="408"/>
      <c r="CC985" s="408"/>
      <c r="CD985" s="408"/>
      <c r="CE985" s="408"/>
      <c r="CF985" s="408"/>
      <c r="CG985" s="408"/>
      <c r="CH985" s="408"/>
      <c r="CI985" s="408"/>
      <c r="CJ985" s="408"/>
      <c r="CK985" s="408"/>
      <c r="CL985" s="408"/>
      <c r="CM985" s="408"/>
      <c r="CN985" s="408"/>
    </row>
    <row r="986">
      <c r="A986" s="408"/>
      <c r="B986" s="408"/>
      <c r="C986" s="408"/>
      <c r="D986" s="408"/>
      <c r="E986" s="408"/>
      <c r="F986" s="408"/>
      <c r="G986" s="408"/>
      <c r="H986" s="408"/>
      <c r="I986" s="408"/>
      <c r="J986" s="408"/>
      <c r="K986" s="408"/>
      <c r="L986" s="408"/>
      <c r="M986" s="408"/>
      <c r="N986" s="408"/>
      <c r="O986" s="408"/>
      <c r="P986" s="408"/>
      <c r="Q986" s="408"/>
      <c r="R986" s="408"/>
      <c r="S986" s="408"/>
      <c r="T986" s="408"/>
      <c r="U986" s="408"/>
      <c r="V986" s="408"/>
      <c r="W986" s="408"/>
      <c r="X986" s="408"/>
      <c r="Y986" s="408"/>
      <c r="Z986" s="408"/>
      <c r="AA986" s="408"/>
      <c r="AB986" s="408"/>
      <c r="AC986" s="408"/>
      <c r="AD986" s="408"/>
      <c r="AE986" s="408"/>
      <c r="AF986" s="408"/>
      <c r="AG986" s="408"/>
      <c r="AH986" s="408"/>
      <c r="AI986" s="408"/>
      <c r="AJ986" s="408"/>
      <c r="AK986" s="408"/>
      <c r="AL986" s="408"/>
      <c r="AM986" s="408"/>
      <c r="AN986" s="408"/>
      <c r="AO986" s="408"/>
      <c r="AP986" s="408"/>
      <c r="AQ986" s="408"/>
      <c r="AR986" s="408"/>
      <c r="AS986" s="408"/>
      <c r="AT986" s="408"/>
      <c r="AU986" s="408"/>
      <c r="AV986" s="408"/>
      <c r="AW986" s="408"/>
      <c r="AX986" s="408"/>
      <c r="AY986" s="408"/>
      <c r="AZ986" s="408"/>
      <c r="BA986" s="408"/>
      <c r="BB986" s="408"/>
      <c r="BC986" s="408"/>
      <c r="BD986" s="408"/>
      <c r="BE986" s="408"/>
      <c r="BF986" s="408"/>
      <c r="BG986" s="408"/>
      <c r="BH986" s="408"/>
      <c r="BI986" s="408"/>
      <c r="BJ986" s="408"/>
      <c r="BK986" s="408"/>
      <c r="BL986" s="408"/>
      <c r="BM986" s="408"/>
      <c r="BN986" s="408"/>
      <c r="BO986" s="408"/>
      <c r="BP986" s="408"/>
      <c r="BQ986" s="408"/>
      <c r="BR986" s="408"/>
      <c r="BS986" s="408"/>
      <c r="BT986" s="408"/>
      <c r="BU986" s="408"/>
      <c r="BV986" s="408"/>
      <c r="BW986" s="408"/>
      <c r="BX986" s="408"/>
      <c r="BY986" s="408"/>
      <c r="BZ986" s="408"/>
      <c r="CA986" s="408"/>
      <c r="CB986" s="408"/>
      <c r="CC986" s="408"/>
      <c r="CD986" s="408"/>
      <c r="CE986" s="408"/>
      <c r="CF986" s="408"/>
      <c r="CG986" s="408"/>
      <c r="CH986" s="408"/>
      <c r="CI986" s="408"/>
      <c r="CJ986" s="408"/>
      <c r="CK986" s="408"/>
      <c r="CL986" s="408"/>
      <c r="CM986" s="408"/>
      <c r="CN986" s="408"/>
    </row>
    <row r="987">
      <c r="A987" s="408"/>
      <c r="B987" s="408"/>
      <c r="C987" s="408"/>
      <c r="D987" s="408"/>
      <c r="E987" s="408"/>
      <c r="F987" s="408"/>
      <c r="G987" s="408"/>
      <c r="H987" s="408"/>
      <c r="I987" s="408"/>
      <c r="J987" s="408"/>
      <c r="K987" s="408"/>
      <c r="L987" s="408"/>
      <c r="M987" s="408"/>
      <c r="N987" s="408"/>
      <c r="O987" s="408"/>
      <c r="P987" s="408"/>
      <c r="Q987" s="408"/>
      <c r="R987" s="408"/>
      <c r="S987" s="408"/>
      <c r="T987" s="408"/>
      <c r="U987" s="408"/>
      <c r="V987" s="408"/>
      <c r="W987" s="408"/>
      <c r="X987" s="408"/>
      <c r="Y987" s="408"/>
      <c r="Z987" s="408"/>
      <c r="AA987" s="408"/>
      <c r="AB987" s="408"/>
      <c r="AC987" s="408"/>
      <c r="AD987" s="408"/>
      <c r="AE987" s="408"/>
      <c r="AF987" s="408"/>
      <c r="AG987" s="408"/>
      <c r="AH987" s="408"/>
      <c r="AI987" s="408"/>
      <c r="AJ987" s="408"/>
      <c r="AK987" s="408"/>
      <c r="AL987" s="408"/>
      <c r="AM987" s="408"/>
      <c r="AN987" s="408"/>
      <c r="AO987" s="408"/>
      <c r="AP987" s="408"/>
      <c r="AQ987" s="408"/>
      <c r="AR987" s="408"/>
      <c r="AS987" s="408"/>
      <c r="AT987" s="408"/>
      <c r="AU987" s="408"/>
      <c r="AV987" s="408"/>
      <c r="AW987" s="408"/>
      <c r="AX987" s="408"/>
      <c r="AY987" s="408"/>
      <c r="AZ987" s="408"/>
      <c r="BA987" s="408"/>
      <c r="BB987" s="408"/>
      <c r="BC987" s="408"/>
      <c r="BD987" s="408"/>
      <c r="BE987" s="408"/>
      <c r="BF987" s="408"/>
      <c r="BG987" s="408"/>
      <c r="BH987" s="408"/>
      <c r="BI987" s="408"/>
      <c r="BJ987" s="408"/>
      <c r="BK987" s="408"/>
      <c r="BL987" s="408"/>
      <c r="BM987" s="408"/>
      <c r="BN987" s="408"/>
      <c r="BO987" s="408"/>
      <c r="BP987" s="408"/>
      <c r="BQ987" s="408"/>
      <c r="BR987" s="408"/>
      <c r="BS987" s="408"/>
      <c r="BT987" s="408"/>
      <c r="BU987" s="408"/>
      <c r="BV987" s="408"/>
      <c r="BW987" s="408"/>
      <c r="BX987" s="408"/>
      <c r="BY987" s="408"/>
      <c r="BZ987" s="408"/>
      <c r="CA987" s="408"/>
      <c r="CB987" s="408"/>
      <c r="CC987" s="408"/>
      <c r="CD987" s="408"/>
      <c r="CE987" s="408"/>
      <c r="CF987" s="408"/>
      <c r="CG987" s="408"/>
      <c r="CH987" s="408"/>
      <c r="CI987" s="408"/>
      <c r="CJ987" s="408"/>
      <c r="CK987" s="408"/>
      <c r="CL987" s="408"/>
      <c r="CM987" s="408"/>
      <c r="CN987" s="408"/>
    </row>
    <row r="988">
      <c r="A988" s="408"/>
      <c r="B988" s="408"/>
      <c r="C988" s="408"/>
      <c r="D988" s="408"/>
      <c r="E988" s="408"/>
      <c r="F988" s="408"/>
      <c r="G988" s="408"/>
      <c r="H988" s="408"/>
      <c r="I988" s="408"/>
      <c r="J988" s="408"/>
      <c r="K988" s="408"/>
      <c r="L988" s="408"/>
      <c r="M988" s="408"/>
      <c r="N988" s="408"/>
      <c r="O988" s="408"/>
      <c r="P988" s="408"/>
      <c r="Q988" s="408"/>
      <c r="R988" s="408"/>
      <c r="S988" s="408"/>
      <c r="T988" s="408"/>
      <c r="U988" s="408"/>
      <c r="V988" s="408"/>
      <c r="W988" s="408"/>
      <c r="X988" s="408"/>
      <c r="Y988" s="408"/>
      <c r="Z988" s="408"/>
      <c r="AA988" s="408"/>
      <c r="AB988" s="408"/>
      <c r="AC988" s="408"/>
      <c r="AD988" s="408"/>
      <c r="AE988" s="408"/>
      <c r="AF988" s="408"/>
      <c r="AG988" s="408"/>
      <c r="AH988" s="408"/>
      <c r="AI988" s="408"/>
      <c r="AJ988" s="408"/>
      <c r="AK988" s="408"/>
      <c r="AL988" s="408"/>
      <c r="AM988" s="408"/>
      <c r="AN988" s="408"/>
      <c r="AO988" s="408"/>
      <c r="AP988" s="408"/>
      <c r="AQ988" s="408"/>
      <c r="AR988" s="408"/>
      <c r="AS988" s="408"/>
      <c r="AT988" s="408"/>
      <c r="AU988" s="408"/>
      <c r="AV988" s="408"/>
      <c r="AW988" s="408"/>
      <c r="AX988" s="408"/>
      <c r="AY988" s="408"/>
      <c r="AZ988" s="408"/>
      <c r="BA988" s="408"/>
      <c r="BB988" s="408"/>
      <c r="BC988" s="408"/>
      <c r="BD988" s="408"/>
      <c r="BE988" s="408"/>
      <c r="BF988" s="408"/>
      <c r="BG988" s="408"/>
      <c r="BH988" s="408"/>
      <c r="BI988" s="408"/>
      <c r="BJ988" s="408"/>
      <c r="BK988" s="408"/>
      <c r="BL988" s="408"/>
      <c r="BM988" s="408"/>
      <c r="BN988" s="408"/>
      <c r="BO988" s="408"/>
      <c r="BP988" s="408"/>
      <c r="BQ988" s="408"/>
      <c r="BR988" s="408"/>
      <c r="BS988" s="408"/>
      <c r="BT988" s="408"/>
      <c r="BU988" s="408"/>
      <c r="BV988" s="408"/>
      <c r="BW988" s="408"/>
      <c r="BX988" s="408"/>
      <c r="BY988" s="408"/>
      <c r="BZ988" s="408"/>
      <c r="CA988" s="408"/>
      <c r="CB988" s="408"/>
      <c r="CC988" s="408"/>
      <c r="CD988" s="408"/>
      <c r="CE988" s="408"/>
      <c r="CF988" s="408"/>
      <c r="CG988" s="408"/>
      <c r="CH988" s="408"/>
      <c r="CI988" s="408"/>
      <c r="CJ988" s="408"/>
      <c r="CK988" s="408"/>
      <c r="CL988" s="408"/>
      <c r="CM988" s="408"/>
      <c r="CN988" s="408"/>
    </row>
    <row r="989">
      <c r="A989" s="408"/>
      <c r="B989" s="408"/>
      <c r="C989" s="408"/>
      <c r="D989" s="408"/>
      <c r="E989" s="408"/>
      <c r="F989" s="408"/>
      <c r="G989" s="408"/>
      <c r="H989" s="408"/>
      <c r="I989" s="408"/>
      <c r="J989" s="408"/>
      <c r="K989" s="408"/>
      <c r="L989" s="408"/>
      <c r="M989" s="408"/>
      <c r="N989" s="408"/>
      <c r="O989" s="408"/>
      <c r="P989" s="408"/>
      <c r="Q989" s="408"/>
      <c r="R989" s="408"/>
      <c r="S989" s="408"/>
      <c r="T989" s="408"/>
      <c r="U989" s="408"/>
      <c r="V989" s="408"/>
      <c r="W989" s="408"/>
      <c r="X989" s="408"/>
      <c r="Y989" s="408"/>
      <c r="Z989" s="408"/>
      <c r="AA989" s="408"/>
      <c r="AB989" s="408"/>
      <c r="AC989" s="408"/>
      <c r="AD989" s="408"/>
      <c r="AE989" s="408"/>
      <c r="AF989" s="408"/>
      <c r="AG989" s="408"/>
      <c r="AH989" s="408"/>
      <c r="AI989" s="408"/>
      <c r="AJ989" s="408"/>
      <c r="AK989" s="408"/>
      <c r="AL989" s="408"/>
      <c r="AM989" s="408"/>
      <c r="AN989" s="408"/>
      <c r="AO989" s="408"/>
      <c r="AP989" s="408"/>
      <c r="AQ989" s="408"/>
      <c r="AR989" s="408"/>
      <c r="AS989" s="408"/>
      <c r="AT989" s="408"/>
      <c r="AU989" s="408"/>
      <c r="AV989" s="408"/>
      <c r="AW989" s="408"/>
      <c r="AX989" s="408"/>
      <c r="AY989" s="408"/>
      <c r="AZ989" s="408"/>
      <c r="BA989" s="408"/>
      <c r="BB989" s="408"/>
      <c r="BC989" s="408"/>
      <c r="BD989" s="408"/>
      <c r="BE989" s="408"/>
      <c r="BF989" s="408"/>
      <c r="BG989" s="408"/>
      <c r="BH989" s="408"/>
      <c r="BI989" s="408"/>
      <c r="BJ989" s="408"/>
      <c r="BK989" s="408"/>
      <c r="BL989" s="408"/>
      <c r="BM989" s="408"/>
      <c r="BN989" s="408"/>
      <c r="BO989" s="408"/>
      <c r="BP989" s="408"/>
      <c r="BQ989" s="408"/>
      <c r="BR989" s="408"/>
      <c r="BS989" s="408"/>
      <c r="BT989" s="408"/>
      <c r="BU989" s="408"/>
      <c r="BV989" s="408"/>
      <c r="BW989" s="408"/>
      <c r="BX989" s="408"/>
      <c r="BY989" s="408"/>
      <c r="BZ989" s="408"/>
      <c r="CA989" s="408"/>
      <c r="CB989" s="408"/>
      <c r="CC989" s="408"/>
      <c r="CD989" s="408"/>
      <c r="CE989" s="408"/>
      <c r="CF989" s="408"/>
      <c r="CG989" s="408"/>
      <c r="CH989" s="408"/>
      <c r="CI989" s="408"/>
      <c r="CJ989" s="408"/>
      <c r="CK989" s="408"/>
      <c r="CL989" s="408"/>
      <c r="CM989" s="408"/>
      <c r="CN989" s="408"/>
    </row>
    <row r="990">
      <c r="A990" s="408"/>
      <c r="B990" s="408"/>
      <c r="C990" s="408"/>
      <c r="D990" s="408"/>
      <c r="E990" s="408"/>
      <c r="F990" s="408"/>
      <c r="G990" s="408"/>
      <c r="H990" s="408"/>
      <c r="I990" s="408"/>
      <c r="J990" s="408"/>
      <c r="K990" s="408"/>
      <c r="L990" s="408"/>
      <c r="M990" s="408"/>
      <c r="N990" s="408"/>
      <c r="O990" s="408"/>
      <c r="P990" s="408"/>
      <c r="Q990" s="408"/>
      <c r="R990" s="408"/>
      <c r="S990" s="408"/>
      <c r="T990" s="408"/>
      <c r="U990" s="408"/>
      <c r="V990" s="408"/>
      <c r="W990" s="408"/>
      <c r="X990" s="408"/>
      <c r="Y990" s="408"/>
      <c r="Z990" s="408"/>
      <c r="AA990" s="408"/>
      <c r="AB990" s="408"/>
      <c r="AC990" s="408"/>
      <c r="AD990" s="408"/>
      <c r="AE990" s="408"/>
      <c r="AF990" s="408"/>
      <c r="AG990" s="408"/>
      <c r="AH990" s="408"/>
      <c r="AI990" s="408"/>
      <c r="AJ990" s="408"/>
      <c r="AK990" s="408"/>
      <c r="AL990" s="408"/>
      <c r="AM990" s="408"/>
      <c r="AN990" s="408"/>
      <c r="AO990" s="408"/>
      <c r="AP990" s="408"/>
      <c r="AQ990" s="408"/>
      <c r="AR990" s="408"/>
      <c r="AS990" s="408"/>
      <c r="AT990" s="408"/>
      <c r="AU990" s="408"/>
      <c r="AV990" s="408"/>
      <c r="AW990" s="408"/>
      <c r="AX990" s="408"/>
      <c r="AY990" s="408"/>
      <c r="AZ990" s="408"/>
      <c r="BA990" s="408"/>
      <c r="BB990" s="408"/>
      <c r="BC990" s="408"/>
      <c r="BD990" s="408"/>
      <c r="BE990" s="408"/>
      <c r="BF990" s="408"/>
      <c r="BG990" s="408"/>
      <c r="BH990" s="408"/>
      <c r="BI990" s="408"/>
      <c r="BJ990" s="408"/>
      <c r="BK990" s="408"/>
      <c r="BL990" s="408"/>
      <c r="BM990" s="408"/>
      <c r="BN990" s="408"/>
      <c r="BO990" s="408"/>
      <c r="BP990" s="408"/>
      <c r="BQ990" s="408"/>
      <c r="BR990" s="408"/>
      <c r="BS990" s="408"/>
      <c r="BT990" s="408"/>
      <c r="BU990" s="408"/>
      <c r="BV990" s="408"/>
      <c r="BW990" s="408"/>
      <c r="BX990" s="408"/>
      <c r="BY990" s="408"/>
      <c r="BZ990" s="408"/>
      <c r="CA990" s="408"/>
      <c r="CB990" s="408"/>
      <c r="CC990" s="408"/>
      <c r="CD990" s="408"/>
      <c r="CE990" s="408"/>
      <c r="CF990" s="408"/>
      <c r="CG990" s="408"/>
      <c r="CH990" s="408"/>
      <c r="CI990" s="408"/>
      <c r="CJ990" s="408"/>
      <c r="CK990" s="408"/>
      <c r="CL990" s="408"/>
      <c r="CM990" s="408"/>
      <c r="CN990" s="408"/>
    </row>
    <row r="991">
      <c r="A991" s="408"/>
      <c r="B991" s="408"/>
      <c r="C991" s="408"/>
      <c r="D991" s="408"/>
      <c r="E991" s="408"/>
      <c r="F991" s="408"/>
      <c r="G991" s="408"/>
      <c r="H991" s="408"/>
      <c r="I991" s="408"/>
      <c r="J991" s="408"/>
      <c r="K991" s="408"/>
      <c r="L991" s="408"/>
      <c r="M991" s="408"/>
      <c r="N991" s="408"/>
      <c r="O991" s="408"/>
      <c r="P991" s="408"/>
      <c r="Q991" s="408"/>
      <c r="R991" s="408"/>
      <c r="S991" s="408"/>
      <c r="T991" s="408"/>
      <c r="U991" s="408"/>
      <c r="V991" s="408"/>
      <c r="W991" s="408"/>
      <c r="X991" s="408"/>
      <c r="Y991" s="408"/>
      <c r="Z991" s="408"/>
      <c r="AA991" s="408"/>
      <c r="AB991" s="408"/>
      <c r="AC991" s="408"/>
      <c r="AD991" s="408"/>
      <c r="AE991" s="408"/>
      <c r="AF991" s="408"/>
      <c r="AG991" s="408"/>
      <c r="AH991" s="408"/>
      <c r="AI991" s="408"/>
      <c r="AJ991" s="408"/>
      <c r="AK991" s="408"/>
      <c r="AL991" s="408"/>
      <c r="AM991" s="408"/>
      <c r="AN991" s="408"/>
      <c r="AO991" s="408"/>
      <c r="AP991" s="408"/>
      <c r="AQ991" s="408"/>
      <c r="AR991" s="408"/>
      <c r="AS991" s="408"/>
      <c r="AT991" s="408"/>
      <c r="AU991" s="408"/>
      <c r="AV991" s="408"/>
      <c r="AW991" s="408"/>
      <c r="AX991" s="408"/>
      <c r="AY991" s="408"/>
      <c r="AZ991" s="408"/>
      <c r="BA991" s="408"/>
      <c r="BB991" s="408"/>
      <c r="BC991" s="408"/>
      <c r="BD991" s="408"/>
      <c r="BE991" s="408"/>
      <c r="BF991" s="408"/>
      <c r="BG991" s="408"/>
      <c r="BH991" s="408"/>
      <c r="BI991" s="408"/>
      <c r="BJ991" s="408"/>
      <c r="BK991" s="408"/>
      <c r="BL991" s="408"/>
      <c r="BM991" s="408"/>
      <c r="BN991" s="408"/>
      <c r="BO991" s="408"/>
      <c r="BP991" s="408"/>
      <c r="BQ991" s="408"/>
      <c r="BR991" s="408"/>
      <c r="BS991" s="408"/>
      <c r="BT991" s="408"/>
      <c r="BU991" s="408"/>
      <c r="BV991" s="408"/>
      <c r="BW991" s="408"/>
      <c r="BX991" s="408"/>
      <c r="BY991" s="408"/>
      <c r="BZ991" s="408"/>
      <c r="CA991" s="408"/>
      <c r="CB991" s="408"/>
      <c r="CC991" s="408"/>
      <c r="CD991" s="408"/>
      <c r="CE991" s="408"/>
      <c r="CF991" s="408"/>
      <c r="CG991" s="408"/>
      <c r="CH991" s="408"/>
      <c r="CI991" s="408"/>
      <c r="CJ991" s="408"/>
      <c r="CK991" s="408"/>
      <c r="CL991" s="408"/>
      <c r="CM991" s="408"/>
      <c r="CN991" s="408"/>
    </row>
    <row r="992">
      <c r="A992" s="408"/>
      <c r="B992" s="408"/>
      <c r="C992" s="408"/>
      <c r="D992" s="408"/>
      <c r="E992" s="408"/>
      <c r="F992" s="408"/>
      <c r="G992" s="408"/>
      <c r="H992" s="408"/>
      <c r="I992" s="408"/>
      <c r="J992" s="408"/>
      <c r="K992" s="408"/>
      <c r="L992" s="408"/>
      <c r="M992" s="408"/>
      <c r="N992" s="408"/>
      <c r="O992" s="408"/>
      <c r="P992" s="408"/>
      <c r="Q992" s="408"/>
      <c r="R992" s="408"/>
      <c r="S992" s="408"/>
      <c r="T992" s="408"/>
      <c r="U992" s="408"/>
      <c r="V992" s="408"/>
      <c r="W992" s="408"/>
      <c r="X992" s="408"/>
      <c r="Y992" s="408"/>
      <c r="Z992" s="408"/>
      <c r="AA992" s="408"/>
      <c r="AB992" s="408"/>
      <c r="AC992" s="408"/>
      <c r="AD992" s="408"/>
      <c r="AE992" s="408"/>
      <c r="AF992" s="408"/>
      <c r="AG992" s="408"/>
      <c r="AH992" s="408"/>
      <c r="AI992" s="408"/>
      <c r="AJ992" s="408"/>
      <c r="AK992" s="408"/>
      <c r="AL992" s="408"/>
      <c r="AM992" s="408"/>
      <c r="AN992" s="408"/>
      <c r="AO992" s="408"/>
      <c r="AP992" s="408"/>
      <c r="AQ992" s="408"/>
      <c r="AR992" s="408"/>
      <c r="AS992" s="408"/>
      <c r="AT992" s="408"/>
      <c r="AU992" s="408"/>
      <c r="AV992" s="408"/>
      <c r="AW992" s="408"/>
      <c r="AX992" s="408"/>
      <c r="AY992" s="408"/>
      <c r="AZ992" s="408"/>
      <c r="BA992" s="408"/>
      <c r="BB992" s="408"/>
      <c r="BC992" s="408"/>
      <c r="BD992" s="408"/>
      <c r="BE992" s="408"/>
      <c r="BF992" s="408"/>
      <c r="BG992" s="408"/>
      <c r="BH992" s="408"/>
      <c r="BI992" s="408"/>
      <c r="BJ992" s="408"/>
      <c r="BK992" s="408"/>
      <c r="BL992" s="408"/>
      <c r="BM992" s="408"/>
      <c r="BN992" s="408"/>
      <c r="BO992" s="408"/>
      <c r="BP992" s="408"/>
      <c r="BQ992" s="408"/>
      <c r="BR992" s="408"/>
      <c r="BS992" s="408"/>
      <c r="BT992" s="408"/>
      <c r="BU992" s="408"/>
      <c r="BV992" s="408"/>
      <c r="BW992" s="408"/>
      <c r="BX992" s="408"/>
      <c r="BY992" s="408"/>
      <c r="BZ992" s="408"/>
      <c r="CA992" s="408"/>
      <c r="CB992" s="408"/>
      <c r="CC992" s="408"/>
      <c r="CD992" s="408"/>
      <c r="CE992" s="408"/>
      <c r="CF992" s="408"/>
      <c r="CG992" s="408"/>
      <c r="CH992" s="408"/>
      <c r="CI992" s="408"/>
      <c r="CJ992" s="408"/>
      <c r="CK992" s="408"/>
      <c r="CL992" s="408"/>
      <c r="CM992" s="408"/>
      <c r="CN992" s="408"/>
    </row>
    <row r="993">
      <c r="A993" s="408"/>
      <c r="B993" s="408"/>
      <c r="C993" s="408"/>
      <c r="D993" s="408"/>
      <c r="E993" s="408"/>
      <c r="F993" s="408"/>
      <c r="G993" s="408"/>
      <c r="H993" s="408"/>
      <c r="I993" s="408"/>
      <c r="J993" s="408"/>
      <c r="K993" s="408"/>
      <c r="L993" s="408"/>
      <c r="M993" s="408"/>
      <c r="N993" s="408"/>
      <c r="O993" s="408"/>
      <c r="P993" s="408"/>
      <c r="Q993" s="408"/>
      <c r="R993" s="408"/>
      <c r="S993" s="408"/>
      <c r="T993" s="408"/>
      <c r="U993" s="408"/>
      <c r="V993" s="408"/>
      <c r="W993" s="408"/>
      <c r="X993" s="408"/>
      <c r="Y993" s="408"/>
      <c r="Z993" s="408"/>
      <c r="AA993" s="408"/>
      <c r="AB993" s="408"/>
      <c r="AC993" s="408"/>
      <c r="AD993" s="408"/>
      <c r="AE993" s="408"/>
      <c r="AF993" s="408"/>
      <c r="AG993" s="408"/>
      <c r="AH993" s="408"/>
      <c r="AI993" s="408"/>
      <c r="AJ993" s="408"/>
      <c r="AK993" s="408"/>
      <c r="AL993" s="408"/>
      <c r="AM993" s="408"/>
      <c r="AN993" s="408"/>
      <c r="AO993" s="408"/>
      <c r="AP993" s="408"/>
      <c r="AQ993" s="408"/>
      <c r="AR993" s="408"/>
      <c r="AS993" s="408"/>
      <c r="AT993" s="408"/>
      <c r="AU993" s="408"/>
      <c r="AV993" s="408"/>
      <c r="AW993" s="408"/>
      <c r="AX993" s="408"/>
      <c r="AY993" s="408"/>
      <c r="AZ993" s="408"/>
      <c r="BA993" s="408"/>
      <c r="BB993" s="408"/>
      <c r="BC993" s="408"/>
      <c r="BD993" s="408"/>
      <c r="BE993" s="408"/>
      <c r="BF993" s="408"/>
      <c r="BG993" s="408"/>
      <c r="BH993" s="408"/>
      <c r="BI993" s="408"/>
      <c r="BJ993" s="408"/>
      <c r="BK993" s="408"/>
      <c r="BL993" s="408"/>
      <c r="BM993" s="408"/>
      <c r="BN993" s="408"/>
      <c r="BO993" s="408"/>
      <c r="BP993" s="408"/>
      <c r="BQ993" s="408"/>
      <c r="BR993" s="408"/>
      <c r="BS993" s="408"/>
      <c r="BT993" s="408"/>
      <c r="BU993" s="408"/>
      <c r="BV993" s="408"/>
      <c r="BW993" s="408"/>
      <c r="BX993" s="408"/>
      <c r="BY993" s="408"/>
      <c r="BZ993" s="408"/>
      <c r="CA993" s="408"/>
      <c r="CB993" s="408"/>
      <c r="CC993" s="408"/>
      <c r="CD993" s="408"/>
      <c r="CE993" s="408"/>
      <c r="CF993" s="408"/>
      <c r="CG993" s="408"/>
      <c r="CH993" s="408"/>
      <c r="CI993" s="408"/>
      <c r="CJ993" s="408"/>
      <c r="CK993" s="408"/>
      <c r="CL993" s="408"/>
      <c r="CM993" s="408"/>
      <c r="CN993" s="408"/>
    </row>
    <row r="994">
      <c r="A994" s="408"/>
      <c r="B994" s="408"/>
      <c r="C994" s="408"/>
      <c r="D994" s="408"/>
      <c r="E994" s="408"/>
      <c r="F994" s="408"/>
      <c r="G994" s="408"/>
      <c r="H994" s="408"/>
      <c r="I994" s="408"/>
      <c r="J994" s="408"/>
      <c r="K994" s="408"/>
      <c r="L994" s="408"/>
      <c r="M994" s="408"/>
      <c r="N994" s="408"/>
      <c r="O994" s="408"/>
      <c r="P994" s="408"/>
      <c r="Q994" s="408"/>
      <c r="R994" s="408"/>
      <c r="S994" s="408"/>
      <c r="T994" s="408"/>
      <c r="U994" s="408"/>
      <c r="V994" s="408"/>
      <c r="W994" s="408"/>
      <c r="X994" s="408"/>
      <c r="Y994" s="408"/>
      <c r="Z994" s="408"/>
      <c r="AA994" s="408"/>
      <c r="AB994" s="408"/>
      <c r="AC994" s="408"/>
      <c r="AD994" s="408"/>
      <c r="AE994" s="408"/>
      <c r="AF994" s="408"/>
      <c r="AG994" s="408"/>
      <c r="AH994" s="408"/>
      <c r="AI994" s="408"/>
      <c r="AJ994" s="408"/>
      <c r="AK994" s="408"/>
      <c r="AL994" s="408"/>
      <c r="AM994" s="408"/>
      <c r="AN994" s="408"/>
      <c r="AO994" s="408"/>
      <c r="AP994" s="408"/>
      <c r="AQ994" s="408"/>
      <c r="AR994" s="408"/>
      <c r="AS994" s="408"/>
      <c r="AT994" s="408"/>
      <c r="AU994" s="408"/>
      <c r="AV994" s="408"/>
      <c r="AW994" s="408"/>
      <c r="AX994" s="408"/>
      <c r="AY994" s="408"/>
      <c r="AZ994" s="408"/>
      <c r="BA994" s="408"/>
      <c r="BB994" s="408"/>
      <c r="BC994" s="408"/>
      <c r="BD994" s="408"/>
      <c r="BE994" s="408"/>
      <c r="BF994" s="408"/>
      <c r="BG994" s="408"/>
      <c r="BH994" s="408"/>
      <c r="BI994" s="408"/>
      <c r="BJ994" s="408"/>
      <c r="BK994" s="408"/>
      <c r="BL994" s="408"/>
      <c r="BM994" s="408"/>
      <c r="BN994" s="408"/>
      <c r="BO994" s="408"/>
      <c r="BP994" s="408"/>
      <c r="BQ994" s="408"/>
      <c r="BR994" s="408"/>
      <c r="BS994" s="408"/>
      <c r="BT994" s="408"/>
      <c r="BU994" s="408"/>
      <c r="BV994" s="408"/>
      <c r="BW994" s="408"/>
      <c r="BX994" s="408"/>
      <c r="BY994" s="408"/>
      <c r="BZ994" s="408"/>
      <c r="CA994" s="408"/>
      <c r="CB994" s="408"/>
      <c r="CC994" s="408"/>
      <c r="CD994" s="408"/>
      <c r="CE994" s="408"/>
      <c r="CF994" s="408"/>
      <c r="CG994" s="408"/>
      <c r="CH994" s="408"/>
      <c r="CI994" s="408"/>
      <c r="CJ994" s="408"/>
      <c r="CK994" s="408"/>
      <c r="CL994" s="408"/>
      <c r="CM994" s="408"/>
      <c r="CN994" s="408"/>
    </row>
    <row r="995">
      <c r="A995" s="408"/>
      <c r="B995" s="408"/>
      <c r="C995" s="408"/>
      <c r="D995" s="408"/>
      <c r="E995" s="408"/>
      <c r="F995" s="408"/>
      <c r="G995" s="408"/>
      <c r="H995" s="408"/>
      <c r="I995" s="408"/>
      <c r="J995" s="408"/>
      <c r="K995" s="408"/>
      <c r="L995" s="408"/>
      <c r="M995" s="408"/>
      <c r="N995" s="408"/>
      <c r="O995" s="408"/>
      <c r="P995" s="408"/>
      <c r="Q995" s="408"/>
      <c r="R995" s="408"/>
      <c r="S995" s="408"/>
      <c r="T995" s="408"/>
      <c r="U995" s="408"/>
      <c r="V995" s="408"/>
      <c r="W995" s="408"/>
      <c r="X995" s="408"/>
      <c r="Y995" s="408"/>
      <c r="Z995" s="408"/>
      <c r="AA995" s="408"/>
      <c r="AB995" s="408"/>
      <c r="AC995" s="408"/>
      <c r="AD995" s="408"/>
      <c r="AE995" s="408"/>
      <c r="AF995" s="408"/>
      <c r="AG995" s="408"/>
      <c r="AH995" s="408"/>
      <c r="AI995" s="408"/>
      <c r="AJ995" s="408"/>
      <c r="AK995" s="408"/>
      <c r="AL995" s="408"/>
      <c r="AM995" s="408"/>
      <c r="AN995" s="408"/>
      <c r="AO995" s="408"/>
      <c r="AP995" s="408"/>
      <c r="AQ995" s="408"/>
      <c r="AR995" s="408"/>
      <c r="AS995" s="408"/>
      <c r="AT995" s="408"/>
      <c r="AU995" s="408"/>
      <c r="AV995" s="408"/>
      <c r="AW995" s="408"/>
      <c r="AX995" s="408"/>
      <c r="AY995" s="408"/>
      <c r="AZ995" s="408"/>
      <c r="BA995" s="408"/>
      <c r="BB995" s="408"/>
      <c r="BC995" s="408"/>
      <c r="BD995" s="408"/>
      <c r="BE995" s="408"/>
      <c r="BF995" s="408"/>
      <c r="BG995" s="408"/>
      <c r="BH995" s="408"/>
      <c r="BI995" s="408"/>
      <c r="BJ995" s="408"/>
      <c r="BK995" s="408"/>
      <c r="BL995" s="408"/>
      <c r="BM995" s="408"/>
      <c r="BN995" s="408"/>
      <c r="BO995" s="408"/>
      <c r="BP995" s="408"/>
      <c r="BQ995" s="408"/>
      <c r="BR995" s="408"/>
      <c r="BS995" s="408"/>
      <c r="BT995" s="408"/>
      <c r="BU995" s="408"/>
      <c r="BV995" s="408"/>
      <c r="BW995" s="408"/>
      <c r="BX995" s="408"/>
      <c r="BY995" s="408"/>
      <c r="BZ995" s="408"/>
      <c r="CA995" s="408"/>
      <c r="CB995" s="408"/>
      <c r="CC995" s="408"/>
      <c r="CD995" s="408"/>
      <c r="CE995" s="408"/>
      <c r="CF995" s="408"/>
      <c r="CG995" s="408"/>
      <c r="CH995" s="408"/>
      <c r="CI995" s="408"/>
      <c r="CJ995" s="408"/>
      <c r="CK995" s="408"/>
      <c r="CL995" s="408"/>
      <c r="CM995" s="408"/>
      <c r="CN995" s="408"/>
    </row>
    <row r="996">
      <c r="A996" s="408"/>
      <c r="B996" s="408"/>
      <c r="C996" s="408"/>
      <c r="D996" s="408"/>
      <c r="E996" s="408"/>
      <c r="F996" s="408"/>
      <c r="G996" s="408"/>
      <c r="H996" s="408"/>
      <c r="I996" s="408"/>
      <c r="J996" s="408"/>
      <c r="K996" s="408"/>
      <c r="L996" s="408"/>
      <c r="M996" s="408"/>
      <c r="N996" s="408"/>
      <c r="O996" s="408"/>
      <c r="P996" s="408"/>
      <c r="Q996" s="408"/>
      <c r="R996" s="408"/>
      <c r="S996" s="408"/>
      <c r="T996" s="408"/>
      <c r="U996" s="408"/>
      <c r="V996" s="408"/>
      <c r="W996" s="408"/>
      <c r="X996" s="408"/>
      <c r="Y996" s="408"/>
      <c r="Z996" s="408"/>
      <c r="AA996" s="408"/>
      <c r="AB996" s="408"/>
      <c r="AC996" s="408"/>
      <c r="AD996" s="408"/>
      <c r="AE996" s="408"/>
      <c r="AF996" s="408"/>
      <c r="AG996" s="408"/>
      <c r="AH996" s="408"/>
      <c r="AI996" s="408"/>
      <c r="AJ996" s="408"/>
      <c r="AK996" s="408"/>
      <c r="AL996" s="408"/>
      <c r="AM996" s="408"/>
      <c r="AN996" s="408"/>
      <c r="AO996" s="408"/>
      <c r="AP996" s="408"/>
      <c r="AQ996" s="408"/>
      <c r="AR996" s="408"/>
      <c r="AS996" s="408"/>
      <c r="AT996" s="408"/>
      <c r="AU996" s="408"/>
      <c r="AV996" s="408"/>
      <c r="AW996" s="408"/>
      <c r="AX996" s="408"/>
      <c r="AY996" s="408"/>
      <c r="AZ996" s="408"/>
      <c r="BA996" s="408"/>
      <c r="BB996" s="408"/>
      <c r="BC996" s="408"/>
      <c r="BD996" s="408"/>
      <c r="BE996" s="408"/>
      <c r="BF996" s="408"/>
      <c r="BG996" s="408"/>
      <c r="BH996" s="408"/>
      <c r="BI996" s="408"/>
      <c r="BJ996" s="408"/>
      <c r="BK996" s="408"/>
      <c r="BL996" s="408"/>
      <c r="BM996" s="408"/>
      <c r="BN996" s="408"/>
      <c r="BO996" s="408"/>
      <c r="BP996" s="408"/>
      <c r="BQ996" s="408"/>
      <c r="BR996" s="408"/>
      <c r="BS996" s="408"/>
      <c r="BT996" s="408"/>
      <c r="BU996" s="408"/>
      <c r="BV996" s="408"/>
      <c r="BW996" s="408"/>
      <c r="BX996" s="408"/>
      <c r="BY996" s="408"/>
      <c r="BZ996" s="408"/>
      <c r="CA996" s="408"/>
      <c r="CB996" s="408"/>
      <c r="CC996" s="408"/>
      <c r="CD996" s="408"/>
      <c r="CE996" s="408"/>
      <c r="CF996" s="408"/>
      <c r="CG996" s="408"/>
      <c r="CH996" s="408"/>
      <c r="CI996" s="408"/>
      <c r="CJ996" s="408"/>
      <c r="CK996" s="408"/>
      <c r="CL996" s="408"/>
      <c r="CM996" s="408"/>
      <c r="CN996" s="408"/>
    </row>
    <row r="997">
      <c r="A997" s="408"/>
      <c r="B997" s="408"/>
      <c r="C997" s="408"/>
      <c r="D997" s="408"/>
      <c r="E997" s="408"/>
      <c r="F997" s="408"/>
      <c r="G997" s="408"/>
      <c r="H997" s="408"/>
      <c r="I997" s="408"/>
      <c r="J997" s="408"/>
      <c r="K997" s="408"/>
      <c r="L997" s="408"/>
      <c r="M997" s="408"/>
      <c r="N997" s="408"/>
      <c r="O997" s="408"/>
      <c r="P997" s="408"/>
      <c r="Q997" s="408"/>
      <c r="R997" s="408"/>
      <c r="S997" s="408"/>
      <c r="T997" s="408"/>
      <c r="U997" s="408"/>
      <c r="V997" s="408"/>
      <c r="W997" s="408"/>
      <c r="X997" s="408"/>
      <c r="Y997" s="408"/>
      <c r="Z997" s="408"/>
      <c r="AA997" s="408"/>
      <c r="AB997" s="408"/>
      <c r="AC997" s="408"/>
      <c r="AD997" s="408"/>
      <c r="AE997" s="408"/>
      <c r="AF997" s="408"/>
      <c r="AG997" s="408"/>
      <c r="AH997" s="408"/>
      <c r="AI997" s="408"/>
      <c r="AJ997" s="408"/>
      <c r="AK997" s="408"/>
      <c r="AL997" s="408"/>
      <c r="AM997" s="408"/>
      <c r="AN997" s="408"/>
      <c r="AO997" s="408"/>
      <c r="AP997" s="408"/>
      <c r="AQ997" s="408"/>
      <c r="AR997" s="408"/>
      <c r="AS997" s="408"/>
      <c r="AT997" s="408"/>
      <c r="AU997" s="408"/>
      <c r="AV997" s="408"/>
      <c r="AW997" s="408"/>
      <c r="AX997" s="408"/>
      <c r="AY997" s="408"/>
      <c r="AZ997" s="408"/>
      <c r="BA997" s="408"/>
      <c r="BB997" s="408"/>
      <c r="BC997" s="408"/>
      <c r="BD997" s="408"/>
      <c r="BE997" s="408"/>
      <c r="BF997" s="408"/>
      <c r="BG997" s="408"/>
      <c r="BH997" s="408"/>
      <c r="BI997" s="408"/>
      <c r="BJ997" s="408"/>
      <c r="BK997" s="408"/>
      <c r="BL997" s="408"/>
      <c r="BM997" s="408"/>
      <c r="BN997" s="408"/>
      <c r="BO997" s="408"/>
      <c r="BP997" s="408"/>
      <c r="BQ997" s="408"/>
      <c r="BR997" s="408"/>
      <c r="BS997" s="408"/>
      <c r="BT997" s="408"/>
      <c r="BU997" s="408"/>
      <c r="BV997" s="408"/>
      <c r="BW997" s="408"/>
      <c r="BX997" s="408"/>
      <c r="BY997" s="408"/>
      <c r="BZ997" s="408"/>
      <c r="CA997" s="408"/>
      <c r="CB997" s="408"/>
      <c r="CC997" s="408"/>
      <c r="CD997" s="408"/>
      <c r="CE997" s="408"/>
      <c r="CF997" s="408"/>
      <c r="CG997" s="408"/>
      <c r="CH997" s="408"/>
      <c r="CI997" s="408"/>
      <c r="CJ997" s="408"/>
      <c r="CK997" s="408"/>
      <c r="CL997" s="408"/>
      <c r="CM997" s="408"/>
      <c r="CN997" s="408"/>
    </row>
    <row r="998">
      <c r="A998" s="408"/>
      <c r="B998" s="408"/>
      <c r="C998" s="408"/>
      <c r="D998" s="408"/>
      <c r="E998" s="408"/>
      <c r="F998" s="408"/>
      <c r="G998" s="408"/>
      <c r="H998" s="408"/>
      <c r="I998" s="408"/>
      <c r="J998" s="408"/>
      <c r="K998" s="408"/>
      <c r="L998" s="408"/>
      <c r="M998" s="408"/>
      <c r="N998" s="408"/>
      <c r="O998" s="408"/>
      <c r="P998" s="408"/>
      <c r="Q998" s="408"/>
      <c r="R998" s="408"/>
      <c r="S998" s="408"/>
      <c r="T998" s="408"/>
      <c r="U998" s="408"/>
      <c r="V998" s="408"/>
      <c r="W998" s="408"/>
      <c r="X998" s="408"/>
      <c r="Y998" s="408"/>
      <c r="Z998" s="408"/>
      <c r="AA998" s="408"/>
      <c r="AB998" s="408"/>
      <c r="AC998" s="408"/>
      <c r="AD998" s="408"/>
      <c r="AE998" s="408"/>
      <c r="AF998" s="408"/>
      <c r="AG998" s="408"/>
      <c r="AH998" s="408"/>
      <c r="AI998" s="408"/>
      <c r="AJ998" s="408"/>
      <c r="AK998" s="408"/>
      <c r="AL998" s="408"/>
      <c r="AM998" s="408"/>
      <c r="AN998" s="408"/>
      <c r="AO998" s="408"/>
      <c r="AP998" s="408"/>
      <c r="AQ998" s="408"/>
      <c r="AR998" s="408"/>
      <c r="AS998" s="408"/>
      <c r="AT998" s="408"/>
      <c r="AU998" s="408"/>
      <c r="AV998" s="408"/>
      <c r="AW998" s="408"/>
      <c r="AX998" s="408"/>
      <c r="AY998" s="408"/>
      <c r="AZ998" s="408"/>
      <c r="BA998" s="408"/>
      <c r="BB998" s="408"/>
      <c r="BC998" s="408"/>
      <c r="BD998" s="408"/>
      <c r="BE998" s="408"/>
      <c r="BF998" s="408"/>
      <c r="BG998" s="408"/>
      <c r="BH998" s="408"/>
      <c r="BI998" s="408"/>
      <c r="BJ998" s="408"/>
      <c r="BK998" s="408"/>
      <c r="BL998" s="408"/>
      <c r="BM998" s="408"/>
      <c r="BN998" s="408"/>
      <c r="BO998" s="408"/>
      <c r="BP998" s="408"/>
      <c r="BQ998" s="408"/>
      <c r="BR998" s="408"/>
      <c r="BS998" s="408"/>
      <c r="BT998" s="408"/>
      <c r="BU998" s="408"/>
      <c r="BV998" s="408"/>
      <c r="BW998" s="408"/>
      <c r="BX998" s="408"/>
      <c r="BY998" s="408"/>
      <c r="BZ998" s="408"/>
      <c r="CA998" s="408"/>
      <c r="CB998" s="408"/>
      <c r="CC998" s="408"/>
      <c r="CD998" s="408"/>
      <c r="CE998" s="408"/>
      <c r="CF998" s="408"/>
      <c r="CG998" s="408"/>
      <c r="CH998" s="408"/>
      <c r="CI998" s="408"/>
      <c r="CJ998" s="408"/>
      <c r="CK998" s="408"/>
      <c r="CL998" s="408"/>
      <c r="CM998" s="408"/>
      <c r="CN998" s="408"/>
    </row>
    <row r="999">
      <c r="A999" s="408"/>
      <c r="B999" s="408"/>
      <c r="C999" s="408"/>
      <c r="D999" s="408"/>
      <c r="E999" s="408"/>
      <c r="F999" s="408"/>
      <c r="G999" s="408"/>
      <c r="H999" s="408"/>
      <c r="I999" s="408"/>
      <c r="J999" s="408"/>
      <c r="K999" s="408"/>
      <c r="L999" s="408"/>
      <c r="M999" s="408"/>
      <c r="N999" s="408"/>
      <c r="O999" s="408"/>
      <c r="P999" s="408"/>
      <c r="Q999" s="408"/>
      <c r="R999" s="408"/>
      <c r="S999" s="408"/>
      <c r="T999" s="408"/>
      <c r="U999" s="408"/>
      <c r="V999" s="408"/>
      <c r="W999" s="408"/>
      <c r="X999" s="408"/>
      <c r="Y999" s="408"/>
      <c r="Z999" s="408"/>
      <c r="AA999" s="408"/>
      <c r="AB999" s="408"/>
      <c r="AC999" s="408"/>
      <c r="AD999" s="408"/>
      <c r="AE999" s="408"/>
      <c r="AF999" s="408"/>
      <c r="AG999" s="408"/>
      <c r="AH999" s="408"/>
      <c r="AI999" s="408"/>
      <c r="AJ999" s="408"/>
      <c r="AK999" s="408"/>
      <c r="AL999" s="408"/>
      <c r="AM999" s="408"/>
      <c r="AN999" s="408"/>
      <c r="AO999" s="408"/>
      <c r="AP999" s="408"/>
      <c r="AQ999" s="408"/>
      <c r="AR999" s="408"/>
      <c r="AS999" s="408"/>
      <c r="AT999" s="408"/>
      <c r="AU999" s="408"/>
      <c r="AV999" s="408"/>
      <c r="AW999" s="408"/>
      <c r="AX999" s="408"/>
      <c r="AY999" s="408"/>
      <c r="AZ999" s="408"/>
      <c r="BA999" s="408"/>
      <c r="BB999" s="408"/>
      <c r="BC999" s="408"/>
      <c r="BD999" s="408"/>
      <c r="BE999" s="408"/>
      <c r="BF999" s="408"/>
      <c r="BG999" s="408"/>
      <c r="BH999" s="408"/>
      <c r="BI999" s="408"/>
      <c r="BJ999" s="408"/>
      <c r="BK999" s="408"/>
      <c r="BL999" s="408"/>
      <c r="BM999" s="408"/>
      <c r="BN999" s="408"/>
      <c r="BO999" s="408"/>
      <c r="BP999" s="408"/>
      <c r="BQ999" s="408"/>
      <c r="BR999" s="408"/>
      <c r="BS999" s="408"/>
      <c r="BT999" s="408"/>
      <c r="BU999" s="408"/>
      <c r="BV999" s="408"/>
      <c r="BW999" s="408"/>
      <c r="BX999" s="408"/>
      <c r="BY999" s="408"/>
      <c r="BZ999" s="408"/>
      <c r="CA999" s="408"/>
      <c r="CB999" s="408"/>
      <c r="CC999" s="408"/>
      <c r="CD999" s="408"/>
      <c r="CE999" s="408"/>
      <c r="CF999" s="408"/>
      <c r="CG999" s="408"/>
      <c r="CH999" s="408"/>
      <c r="CI999" s="408"/>
      <c r="CJ999" s="408"/>
      <c r="CK999" s="408"/>
      <c r="CL999" s="408"/>
      <c r="CM999" s="408"/>
      <c r="CN999" s="408"/>
    </row>
    <row r="1000">
      <c r="A1000" s="408"/>
      <c r="B1000" s="408"/>
      <c r="C1000" s="408"/>
      <c r="D1000" s="408"/>
      <c r="E1000" s="408"/>
      <c r="F1000" s="408"/>
      <c r="G1000" s="408"/>
      <c r="H1000" s="408"/>
      <c r="I1000" s="408"/>
      <c r="J1000" s="408"/>
      <c r="K1000" s="408"/>
      <c r="L1000" s="408"/>
      <c r="M1000" s="408"/>
      <c r="N1000" s="408"/>
      <c r="O1000" s="408"/>
      <c r="P1000" s="408"/>
      <c r="Q1000" s="408"/>
      <c r="R1000" s="408"/>
      <c r="S1000" s="408"/>
      <c r="T1000" s="408"/>
      <c r="U1000" s="408"/>
      <c r="V1000" s="408"/>
      <c r="W1000" s="408"/>
      <c r="X1000" s="408"/>
      <c r="Y1000" s="408"/>
      <c r="Z1000" s="408"/>
      <c r="AA1000" s="408"/>
      <c r="AB1000" s="408"/>
      <c r="AC1000" s="408"/>
      <c r="AD1000" s="408"/>
      <c r="AE1000" s="408"/>
      <c r="AF1000" s="408"/>
      <c r="AG1000" s="408"/>
      <c r="AH1000" s="408"/>
      <c r="AI1000" s="408"/>
      <c r="AJ1000" s="408"/>
      <c r="AK1000" s="408"/>
      <c r="AL1000" s="408"/>
      <c r="AM1000" s="408"/>
      <c r="AN1000" s="408"/>
      <c r="AO1000" s="408"/>
      <c r="AP1000" s="408"/>
      <c r="AQ1000" s="408"/>
      <c r="AR1000" s="408"/>
      <c r="AS1000" s="408"/>
      <c r="AT1000" s="408"/>
      <c r="AU1000" s="408"/>
      <c r="AV1000" s="408"/>
      <c r="AW1000" s="408"/>
      <c r="AX1000" s="408"/>
      <c r="AY1000" s="408"/>
      <c r="AZ1000" s="408"/>
      <c r="BA1000" s="408"/>
      <c r="BB1000" s="408"/>
      <c r="BC1000" s="408"/>
      <c r="BD1000" s="408"/>
      <c r="BE1000" s="408"/>
      <c r="BF1000" s="408"/>
      <c r="BG1000" s="408"/>
      <c r="BH1000" s="408"/>
      <c r="BI1000" s="408"/>
      <c r="BJ1000" s="408"/>
      <c r="BK1000" s="408"/>
      <c r="BL1000" s="408"/>
      <c r="BM1000" s="408"/>
      <c r="BN1000" s="408"/>
      <c r="BO1000" s="408"/>
      <c r="BP1000" s="408"/>
      <c r="BQ1000" s="408"/>
      <c r="BR1000" s="408"/>
      <c r="BS1000" s="408"/>
      <c r="BT1000" s="408"/>
      <c r="BU1000" s="408"/>
      <c r="BV1000" s="408"/>
      <c r="BW1000" s="408"/>
      <c r="BX1000" s="408"/>
      <c r="BY1000" s="408"/>
      <c r="BZ1000" s="408"/>
      <c r="CA1000" s="408"/>
      <c r="CB1000" s="408"/>
      <c r="CC1000" s="408"/>
      <c r="CD1000" s="408"/>
      <c r="CE1000" s="408"/>
      <c r="CF1000" s="408"/>
      <c r="CG1000" s="408"/>
      <c r="CH1000" s="408"/>
      <c r="CI1000" s="408"/>
      <c r="CJ1000" s="408"/>
      <c r="CK1000" s="408"/>
      <c r="CL1000" s="408"/>
      <c r="CM1000" s="408"/>
      <c r="CN1000" s="408"/>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5"/>
    <col customWidth="1" min="5" max="5" width="37.63"/>
    <col customWidth="1" min="6" max="6" width="14.38"/>
    <col customWidth="1" min="7" max="7" width="11.63"/>
    <col customWidth="1" min="8" max="8" width="17.88"/>
    <col customWidth="1" min="9" max="9" width="15.25"/>
    <col customWidth="1" min="10" max="11" width="10.25"/>
  </cols>
  <sheetData>
    <row r="1">
      <c r="A1" s="412"/>
      <c r="B1" s="413"/>
      <c r="C1" s="412"/>
      <c r="D1" s="412"/>
      <c r="E1" s="412"/>
      <c r="F1" s="412"/>
      <c r="J1" s="414"/>
      <c r="K1" s="414"/>
    </row>
    <row r="2" ht="22.5" customHeight="1">
      <c r="A2" s="412"/>
      <c r="B2" s="415" t="s">
        <v>2406</v>
      </c>
      <c r="C2" s="415" t="s">
        <v>2407</v>
      </c>
      <c r="D2" s="416" t="s">
        <v>2408</v>
      </c>
      <c r="E2" s="416" t="s">
        <v>2409</v>
      </c>
      <c r="F2" s="416" t="s">
        <v>2410</v>
      </c>
      <c r="G2" s="416" t="s">
        <v>2411</v>
      </c>
      <c r="H2" s="416" t="s">
        <v>2412</v>
      </c>
      <c r="I2" s="416" t="s">
        <v>2413</v>
      </c>
      <c r="J2" s="416" t="s">
        <v>2414</v>
      </c>
      <c r="K2" s="416" t="s">
        <v>2415</v>
      </c>
    </row>
    <row r="3" ht="22.5" customHeight="1">
      <c r="A3" s="417"/>
      <c r="B3" s="418">
        <v>46023.0</v>
      </c>
      <c r="C3" s="419" t="s">
        <v>610</v>
      </c>
      <c r="D3" s="419" t="s">
        <v>2416</v>
      </c>
      <c r="E3" s="420" t="s">
        <v>2417</v>
      </c>
      <c r="F3" s="420" t="s">
        <v>2418</v>
      </c>
      <c r="G3" s="421">
        <v>25000.0</v>
      </c>
      <c r="H3" s="422"/>
      <c r="I3" s="423"/>
      <c r="J3" s="424">
        <f t="shared" ref="J3:J78" si="1">MONTH(B3)</f>
        <v>1</v>
      </c>
      <c r="K3" s="425"/>
    </row>
    <row r="4" ht="22.5" customHeight="1">
      <c r="A4" s="417"/>
      <c r="B4" s="426">
        <v>46023.0</v>
      </c>
      <c r="C4" s="427" t="s">
        <v>610</v>
      </c>
      <c r="D4" s="427" t="s">
        <v>2419</v>
      </c>
      <c r="E4" s="428" t="s">
        <v>2420</v>
      </c>
      <c r="F4" s="428" t="s">
        <v>1593</v>
      </c>
      <c r="G4" s="429">
        <v>6930.0</v>
      </c>
      <c r="H4" s="430"/>
      <c r="I4" s="431"/>
      <c r="J4" s="432">
        <f t="shared" si="1"/>
        <v>1</v>
      </c>
      <c r="K4" s="433"/>
    </row>
    <row r="5" ht="22.5" customHeight="1">
      <c r="A5" s="417"/>
      <c r="B5" s="418">
        <v>46023.0</v>
      </c>
      <c r="C5" s="419" t="s">
        <v>154</v>
      </c>
      <c r="D5" s="419" t="s">
        <v>2419</v>
      </c>
      <c r="E5" s="420" t="s">
        <v>2421</v>
      </c>
      <c r="F5" s="420" t="s">
        <v>192</v>
      </c>
      <c r="G5" s="421">
        <v>11900.0</v>
      </c>
      <c r="H5" s="422"/>
      <c r="I5" s="423"/>
      <c r="J5" s="424">
        <f t="shared" si="1"/>
        <v>1</v>
      </c>
      <c r="K5" s="425"/>
    </row>
    <row r="6" ht="22.5" customHeight="1">
      <c r="A6" s="417"/>
      <c r="B6" s="426">
        <v>46023.0</v>
      </c>
      <c r="C6" s="427" t="s">
        <v>986</v>
      </c>
      <c r="D6" s="427" t="s">
        <v>2422</v>
      </c>
      <c r="E6" s="428" t="s">
        <v>2423</v>
      </c>
      <c r="F6" s="428" t="s">
        <v>996</v>
      </c>
      <c r="G6" s="429">
        <v>7400.0</v>
      </c>
      <c r="H6" s="430"/>
      <c r="I6" s="431"/>
      <c r="J6" s="432">
        <f t="shared" si="1"/>
        <v>1</v>
      </c>
      <c r="K6" s="433"/>
    </row>
    <row r="7" ht="22.5" customHeight="1">
      <c r="A7" s="417"/>
      <c r="B7" s="418">
        <v>46023.0</v>
      </c>
      <c r="C7" s="419" t="s">
        <v>1122</v>
      </c>
      <c r="D7" s="419" t="s">
        <v>2419</v>
      </c>
      <c r="E7" s="420" t="s">
        <v>2424</v>
      </c>
      <c r="F7" s="434"/>
      <c r="G7" s="421">
        <v>53570.0</v>
      </c>
      <c r="H7" s="422"/>
      <c r="I7" s="423"/>
      <c r="J7" s="424">
        <f t="shared" si="1"/>
        <v>1</v>
      </c>
      <c r="K7" s="425"/>
    </row>
    <row r="8" ht="22.5" customHeight="1">
      <c r="A8" s="417"/>
      <c r="B8" s="426">
        <v>46025.0</v>
      </c>
      <c r="C8" s="427" t="s">
        <v>1650</v>
      </c>
      <c r="D8" s="427" t="s">
        <v>2422</v>
      </c>
      <c r="E8" s="428" t="s">
        <v>2425</v>
      </c>
      <c r="F8" s="435"/>
      <c r="G8" s="429">
        <v>24590.0</v>
      </c>
      <c r="H8" s="430"/>
      <c r="I8" s="431"/>
      <c r="J8" s="432">
        <f t="shared" si="1"/>
        <v>1</v>
      </c>
      <c r="K8" s="433"/>
    </row>
    <row r="9" ht="22.5" customHeight="1">
      <c r="A9" s="417"/>
      <c r="B9" s="418">
        <v>46026.0</v>
      </c>
      <c r="C9" s="419" t="s">
        <v>730</v>
      </c>
      <c r="D9" s="419" t="s">
        <v>2419</v>
      </c>
      <c r="E9" s="420" t="s">
        <v>2426</v>
      </c>
      <c r="F9" s="420" t="s">
        <v>2248</v>
      </c>
      <c r="G9" s="421">
        <v>10730.0</v>
      </c>
      <c r="H9" s="422"/>
      <c r="I9" s="423"/>
      <c r="J9" s="424">
        <f t="shared" si="1"/>
        <v>1</v>
      </c>
      <c r="K9" s="425"/>
    </row>
    <row r="10" ht="22.5" customHeight="1">
      <c r="A10" s="417"/>
      <c r="B10" s="426">
        <v>46026.0</v>
      </c>
      <c r="C10" s="427" t="s">
        <v>682</v>
      </c>
      <c r="D10" s="427" t="s">
        <v>2419</v>
      </c>
      <c r="E10" s="428" t="s">
        <v>2427</v>
      </c>
      <c r="F10" s="428" t="s">
        <v>2428</v>
      </c>
      <c r="G10" s="429">
        <v>22250.0</v>
      </c>
      <c r="H10" s="430"/>
      <c r="I10" s="431"/>
      <c r="J10" s="432">
        <f t="shared" si="1"/>
        <v>1</v>
      </c>
      <c r="K10" s="433"/>
    </row>
    <row r="11" ht="22.5" customHeight="1">
      <c r="A11" s="417"/>
      <c r="B11" s="418">
        <v>46026.0</v>
      </c>
      <c r="C11" s="419" t="s">
        <v>305</v>
      </c>
      <c r="D11" s="419" t="s">
        <v>2419</v>
      </c>
      <c r="E11" s="420" t="s">
        <v>2429</v>
      </c>
      <c r="F11" s="420" t="s">
        <v>2430</v>
      </c>
      <c r="G11" s="421">
        <v>6930.0</v>
      </c>
      <c r="H11" s="422"/>
      <c r="I11" s="423"/>
      <c r="J11" s="424">
        <f t="shared" si="1"/>
        <v>1</v>
      </c>
      <c r="K11" s="425"/>
    </row>
    <row r="12" ht="22.5" customHeight="1">
      <c r="A12" s="417"/>
      <c r="B12" s="436">
        <v>46027.0</v>
      </c>
      <c r="C12" s="437" t="s">
        <v>58</v>
      </c>
      <c r="D12" s="419" t="s">
        <v>2419</v>
      </c>
      <c r="E12" s="438" t="s">
        <v>2431</v>
      </c>
      <c r="F12" s="435"/>
      <c r="G12" s="438">
        <v>37340.0</v>
      </c>
      <c r="H12" s="430"/>
      <c r="I12" s="431"/>
      <c r="J12" s="432">
        <f t="shared" si="1"/>
        <v>1</v>
      </c>
      <c r="K12" s="433"/>
    </row>
    <row r="13" ht="22.5" customHeight="1">
      <c r="A13" s="417"/>
      <c r="B13" s="436">
        <v>46028.0</v>
      </c>
      <c r="C13" s="439" t="s">
        <v>154</v>
      </c>
      <c r="D13" s="419" t="s">
        <v>2419</v>
      </c>
      <c r="E13" s="440" t="s">
        <v>2427</v>
      </c>
      <c r="F13" s="441" t="s">
        <v>192</v>
      </c>
      <c r="G13" s="442">
        <v>22020.0</v>
      </c>
      <c r="I13" s="423"/>
      <c r="J13" s="424">
        <f t="shared" si="1"/>
        <v>1</v>
      </c>
      <c r="K13" s="425"/>
    </row>
    <row r="14" ht="22.5" customHeight="1">
      <c r="A14" s="443"/>
      <c r="B14" s="436">
        <v>46023.0</v>
      </c>
      <c r="C14" s="444" t="s">
        <v>210</v>
      </c>
      <c r="D14" s="419" t="s">
        <v>2422</v>
      </c>
      <c r="E14" s="420" t="s">
        <v>2432</v>
      </c>
      <c r="F14" s="445"/>
      <c r="G14" s="446">
        <v>7270.0</v>
      </c>
      <c r="I14" s="447"/>
      <c r="J14" s="448">
        <f t="shared" si="1"/>
        <v>1</v>
      </c>
      <c r="K14" s="448"/>
    </row>
    <row r="15" ht="22.5" customHeight="1">
      <c r="A15" s="417"/>
      <c r="B15" s="436">
        <v>46023.0</v>
      </c>
      <c r="C15" s="449" t="s">
        <v>778</v>
      </c>
      <c r="D15" s="450" t="s">
        <v>2422</v>
      </c>
      <c r="E15" s="420" t="s">
        <v>2432</v>
      </c>
      <c r="F15" s="428"/>
      <c r="G15" s="446">
        <v>7600.0</v>
      </c>
      <c r="H15" s="430"/>
      <c r="I15" s="431"/>
      <c r="J15" s="432">
        <f t="shared" si="1"/>
        <v>1</v>
      </c>
      <c r="K15" s="433"/>
    </row>
    <row r="16" ht="22.5" customHeight="1">
      <c r="A16" s="443"/>
      <c r="B16" s="436">
        <v>46026.0</v>
      </c>
      <c r="C16" s="451" t="s">
        <v>598</v>
      </c>
      <c r="D16" s="450" t="s">
        <v>2422</v>
      </c>
      <c r="E16" s="420" t="s">
        <v>2432</v>
      </c>
      <c r="F16" s="442"/>
      <c r="G16" s="442">
        <v>4880.0</v>
      </c>
      <c r="H16" s="448"/>
      <c r="I16" s="447"/>
      <c r="J16" s="448">
        <f t="shared" si="1"/>
        <v>1</v>
      </c>
      <c r="K16" s="448"/>
    </row>
    <row r="17" ht="22.5" customHeight="1">
      <c r="A17" s="443"/>
      <c r="B17" s="436">
        <v>46026.0</v>
      </c>
      <c r="C17" s="451" t="s">
        <v>822</v>
      </c>
      <c r="D17" s="450" t="s">
        <v>2422</v>
      </c>
      <c r="E17" s="420" t="s">
        <v>2432</v>
      </c>
      <c r="F17" s="445"/>
      <c r="G17" s="442">
        <v>3760.0</v>
      </c>
      <c r="H17" s="448"/>
      <c r="I17" s="447"/>
      <c r="J17" s="448">
        <f t="shared" si="1"/>
        <v>1</v>
      </c>
      <c r="K17" s="448"/>
    </row>
    <row r="18" ht="22.5" customHeight="1">
      <c r="A18" s="443"/>
      <c r="B18" s="436">
        <v>46027.0</v>
      </c>
      <c r="C18" s="451" t="s">
        <v>1055</v>
      </c>
      <c r="D18" s="450" t="s">
        <v>2422</v>
      </c>
      <c r="E18" s="420" t="s">
        <v>2432</v>
      </c>
      <c r="F18" s="445"/>
      <c r="G18" s="442">
        <v>11040.0</v>
      </c>
      <c r="H18" s="448"/>
      <c r="I18" s="447"/>
      <c r="J18" s="448">
        <f t="shared" si="1"/>
        <v>1</v>
      </c>
      <c r="K18" s="448"/>
    </row>
    <row r="19" ht="22.5" customHeight="1">
      <c r="A19" s="443"/>
      <c r="B19" s="436">
        <v>46027.0</v>
      </c>
      <c r="C19" s="451" t="s">
        <v>275</v>
      </c>
      <c r="D19" s="450" t="s">
        <v>2422</v>
      </c>
      <c r="E19" s="420" t="s">
        <v>2432</v>
      </c>
      <c r="F19" s="445"/>
      <c r="G19" s="442">
        <v>5160.0</v>
      </c>
      <c r="H19" s="448"/>
      <c r="I19" s="447"/>
      <c r="J19" s="448">
        <f t="shared" si="1"/>
        <v>1</v>
      </c>
      <c r="K19" s="448"/>
    </row>
    <row r="20" ht="22.5" customHeight="1">
      <c r="A20" s="443"/>
      <c r="B20" s="436">
        <v>46027.0</v>
      </c>
      <c r="C20" s="451" t="s">
        <v>1006</v>
      </c>
      <c r="D20" s="450" t="s">
        <v>2422</v>
      </c>
      <c r="E20" s="420" t="s">
        <v>2432</v>
      </c>
      <c r="F20" s="445"/>
      <c r="G20" s="442">
        <v>6980.0</v>
      </c>
      <c r="H20" s="448"/>
      <c r="I20" s="447"/>
      <c r="J20" s="448">
        <f t="shared" si="1"/>
        <v>1</v>
      </c>
      <c r="K20" s="448"/>
    </row>
    <row r="21" ht="22.5" customHeight="1">
      <c r="A21" s="443"/>
      <c r="B21" s="436">
        <v>46027.0</v>
      </c>
      <c r="C21" s="451" t="s">
        <v>97</v>
      </c>
      <c r="D21" s="450" t="s">
        <v>2422</v>
      </c>
      <c r="E21" s="420" t="s">
        <v>2432</v>
      </c>
      <c r="F21" s="445"/>
      <c r="G21" s="442">
        <v>12720.0</v>
      </c>
      <c r="H21" s="448"/>
      <c r="I21" s="447"/>
      <c r="J21" s="448">
        <f t="shared" si="1"/>
        <v>1</v>
      </c>
      <c r="K21" s="448"/>
    </row>
    <row r="22" ht="22.5" customHeight="1">
      <c r="A22" s="443"/>
      <c r="B22" s="436">
        <v>46028.0</v>
      </c>
      <c r="C22" s="451" t="s">
        <v>1055</v>
      </c>
      <c r="D22" s="450" t="s">
        <v>2422</v>
      </c>
      <c r="E22" s="420" t="s">
        <v>2432</v>
      </c>
      <c r="F22" s="445"/>
      <c r="G22" s="442">
        <v>10760.0</v>
      </c>
      <c r="H22" s="448"/>
      <c r="I22" s="447"/>
      <c r="J22" s="448">
        <f t="shared" si="1"/>
        <v>1</v>
      </c>
      <c r="K22" s="448"/>
    </row>
    <row r="23" ht="22.5" customHeight="1">
      <c r="A23" s="443"/>
      <c r="B23" s="436">
        <v>46028.0</v>
      </c>
      <c r="C23" s="451" t="s">
        <v>918</v>
      </c>
      <c r="D23" s="450" t="s">
        <v>2422</v>
      </c>
      <c r="E23" s="420" t="s">
        <v>2432</v>
      </c>
      <c r="F23" s="445"/>
      <c r="G23" s="442">
        <v>6420.0</v>
      </c>
      <c r="H23" s="448"/>
      <c r="I23" s="447"/>
      <c r="J23" s="448">
        <f t="shared" si="1"/>
        <v>1</v>
      </c>
      <c r="K23" s="448"/>
    </row>
    <row r="24" ht="22.5" customHeight="1">
      <c r="A24" s="443"/>
      <c r="B24" s="436">
        <v>46028.0</v>
      </c>
      <c r="C24" s="451" t="s">
        <v>58</v>
      </c>
      <c r="D24" s="450" t="s">
        <v>2422</v>
      </c>
      <c r="E24" s="420" t="s">
        <v>2432</v>
      </c>
      <c r="F24" s="445"/>
      <c r="G24" s="442">
        <v>4880.0</v>
      </c>
      <c r="H24" s="448"/>
      <c r="I24" s="447"/>
      <c r="J24" s="448">
        <f t="shared" si="1"/>
        <v>1</v>
      </c>
      <c r="K24" s="448"/>
    </row>
    <row r="25" ht="22.5" customHeight="1">
      <c r="A25" s="417"/>
      <c r="B25" s="436">
        <v>46028.0</v>
      </c>
      <c r="C25" s="452" t="s">
        <v>1180</v>
      </c>
      <c r="D25" s="419" t="s">
        <v>2419</v>
      </c>
      <c r="E25" s="453" t="s">
        <v>2433</v>
      </c>
      <c r="F25" s="438" t="s">
        <v>39</v>
      </c>
      <c r="G25" s="442">
        <v>21720.0</v>
      </c>
      <c r="I25" s="431"/>
      <c r="J25" s="432">
        <f t="shared" si="1"/>
        <v>1</v>
      </c>
      <c r="K25" s="433"/>
    </row>
    <row r="26" ht="22.5" customHeight="1">
      <c r="A26" s="443"/>
      <c r="B26" s="436">
        <v>46030.0</v>
      </c>
      <c r="C26" s="451" t="s">
        <v>1650</v>
      </c>
      <c r="D26" s="451" t="s">
        <v>2422</v>
      </c>
      <c r="E26" s="454" t="s">
        <v>2434</v>
      </c>
      <c r="F26" s="445" t="s">
        <v>2435</v>
      </c>
      <c r="G26" s="442">
        <v>3800.0</v>
      </c>
      <c r="H26" s="448"/>
      <c r="I26" s="447"/>
      <c r="J26" s="448">
        <f t="shared" si="1"/>
        <v>1</v>
      </c>
      <c r="K26" s="448"/>
    </row>
    <row r="27" ht="22.5" customHeight="1">
      <c r="A27" s="443"/>
      <c r="B27" s="436">
        <v>46030.0</v>
      </c>
      <c r="C27" s="451" t="s">
        <v>629</v>
      </c>
      <c r="D27" s="451" t="s">
        <v>2419</v>
      </c>
      <c r="E27" s="442" t="s">
        <v>2436</v>
      </c>
      <c r="F27" s="445" t="s">
        <v>2437</v>
      </c>
      <c r="G27" s="442">
        <v>2340.0</v>
      </c>
      <c r="H27" s="448"/>
      <c r="I27" s="447"/>
      <c r="J27" s="448">
        <f t="shared" si="1"/>
        <v>1</v>
      </c>
      <c r="K27" s="448"/>
    </row>
    <row r="28" ht="22.5" customHeight="1">
      <c r="A28" s="443"/>
      <c r="B28" s="436">
        <v>46030.0</v>
      </c>
      <c r="C28" s="451" t="s">
        <v>1006</v>
      </c>
      <c r="D28" s="451" t="s">
        <v>2422</v>
      </c>
      <c r="E28" s="454" t="s">
        <v>2438</v>
      </c>
      <c r="G28" s="442">
        <v>0.0</v>
      </c>
      <c r="H28" s="448" t="s">
        <v>2439</v>
      </c>
      <c r="I28" s="447"/>
      <c r="J28" s="448">
        <f t="shared" si="1"/>
        <v>1</v>
      </c>
      <c r="K28" s="448"/>
    </row>
    <row r="29" ht="22.5" customHeight="1">
      <c r="A29" s="443"/>
      <c r="B29" s="436">
        <v>46031.0</v>
      </c>
      <c r="C29" s="451" t="s">
        <v>1041</v>
      </c>
      <c r="D29" s="451" t="s">
        <v>2419</v>
      </c>
      <c r="E29" s="454" t="s">
        <v>2440</v>
      </c>
      <c r="G29" s="442">
        <v>13600.0</v>
      </c>
      <c r="H29" s="448"/>
      <c r="I29" s="447"/>
      <c r="J29" s="448">
        <f t="shared" si="1"/>
        <v>1</v>
      </c>
      <c r="K29" s="448"/>
    </row>
    <row r="30" ht="22.5" customHeight="1">
      <c r="A30" s="443"/>
      <c r="B30" s="436">
        <v>46032.0</v>
      </c>
      <c r="C30" s="451" t="s">
        <v>730</v>
      </c>
      <c r="D30" s="451" t="s">
        <v>2419</v>
      </c>
      <c r="E30" s="445" t="s">
        <v>2431</v>
      </c>
      <c r="F30" s="445" t="s">
        <v>2251</v>
      </c>
      <c r="G30" s="442">
        <v>22020.0</v>
      </c>
      <c r="H30" s="448"/>
      <c r="I30" s="447"/>
      <c r="J30" s="448">
        <f t="shared" si="1"/>
        <v>1</v>
      </c>
      <c r="K30" s="448"/>
    </row>
    <row r="31" ht="22.5" customHeight="1">
      <c r="A31" s="443"/>
      <c r="B31" s="436">
        <v>46032.0</v>
      </c>
      <c r="C31" s="451" t="s">
        <v>643</v>
      </c>
      <c r="D31" s="451" t="s">
        <v>2419</v>
      </c>
      <c r="E31" s="445" t="s">
        <v>2441</v>
      </c>
      <c r="F31" s="445"/>
      <c r="G31" s="442">
        <v>15900.0</v>
      </c>
      <c r="H31" s="448"/>
      <c r="I31" s="447"/>
      <c r="J31" s="448">
        <f t="shared" si="1"/>
        <v>1</v>
      </c>
      <c r="K31" s="448"/>
    </row>
    <row r="32" ht="22.5" customHeight="1">
      <c r="A32" s="443"/>
      <c r="B32" s="436">
        <v>46032.0</v>
      </c>
      <c r="C32" s="451" t="s">
        <v>1122</v>
      </c>
      <c r="D32" s="451" t="s">
        <v>2419</v>
      </c>
      <c r="E32" s="445" t="s">
        <v>2441</v>
      </c>
      <c r="F32" s="445"/>
      <c r="G32" s="442">
        <v>15900.0</v>
      </c>
      <c r="H32" s="448"/>
      <c r="I32" s="447"/>
      <c r="J32" s="448">
        <f t="shared" si="1"/>
        <v>1</v>
      </c>
      <c r="K32" s="448"/>
    </row>
    <row r="33" ht="22.5" customHeight="1">
      <c r="A33" s="443"/>
      <c r="B33" s="436">
        <v>46033.0</v>
      </c>
      <c r="C33" s="451" t="s">
        <v>1041</v>
      </c>
      <c r="D33" s="451" t="s">
        <v>2419</v>
      </c>
      <c r="E33" s="455" t="s">
        <v>2442</v>
      </c>
      <c r="F33" s="442" t="s">
        <v>2443</v>
      </c>
      <c r="G33" s="442">
        <v>36260.0</v>
      </c>
      <c r="H33" s="448"/>
      <c r="J33" s="448">
        <f t="shared" si="1"/>
        <v>1</v>
      </c>
      <c r="K33" s="448"/>
    </row>
    <row r="34" ht="22.5" customHeight="1">
      <c r="A34" s="443"/>
      <c r="B34" s="436">
        <v>46033.0</v>
      </c>
      <c r="C34" s="451" t="s">
        <v>848</v>
      </c>
      <c r="D34" s="451" t="s">
        <v>2419</v>
      </c>
      <c r="E34" s="455" t="s">
        <v>2444</v>
      </c>
      <c r="F34" s="442" t="s">
        <v>2445</v>
      </c>
      <c r="G34" s="442">
        <v>18660.0</v>
      </c>
      <c r="H34" s="448"/>
      <c r="J34" s="448">
        <f t="shared" si="1"/>
        <v>1</v>
      </c>
      <c r="K34" s="448"/>
    </row>
    <row r="35" ht="22.5" customHeight="1">
      <c r="A35" s="443"/>
      <c r="B35" s="436">
        <v>46033.0</v>
      </c>
      <c r="C35" s="451" t="s">
        <v>266</v>
      </c>
      <c r="D35" s="451" t="s">
        <v>2422</v>
      </c>
      <c r="E35" s="455" t="s">
        <v>2423</v>
      </c>
      <c r="F35" s="442" t="s">
        <v>1046</v>
      </c>
      <c r="G35" s="442">
        <v>2500.0</v>
      </c>
      <c r="H35" s="448"/>
      <c r="J35" s="448">
        <f t="shared" si="1"/>
        <v>1</v>
      </c>
      <c r="K35" s="448"/>
    </row>
    <row r="36" ht="22.5" customHeight="1">
      <c r="A36" s="443"/>
      <c r="B36" s="456">
        <v>46034.0</v>
      </c>
      <c r="C36" s="451" t="s">
        <v>154</v>
      </c>
      <c r="D36" s="451" t="s">
        <v>2446</v>
      </c>
      <c r="E36" s="445" t="s">
        <v>2447</v>
      </c>
      <c r="F36" s="445"/>
      <c r="G36" s="442">
        <v>30000.0</v>
      </c>
      <c r="H36" s="448"/>
      <c r="I36" s="447"/>
      <c r="J36" s="448">
        <f t="shared" si="1"/>
        <v>1</v>
      </c>
      <c r="K36" s="448"/>
    </row>
    <row r="37" ht="22.5" customHeight="1">
      <c r="A37" s="443"/>
      <c r="B37" s="456">
        <v>46035.0</v>
      </c>
      <c r="C37" s="451" t="s">
        <v>730</v>
      </c>
      <c r="D37" s="451" t="s">
        <v>2422</v>
      </c>
      <c r="E37" s="445" t="s">
        <v>2448</v>
      </c>
      <c r="F37" s="445" t="s">
        <v>2449</v>
      </c>
      <c r="G37" s="442">
        <v>16000.0</v>
      </c>
      <c r="H37" s="448"/>
      <c r="I37" s="447"/>
      <c r="J37" s="448">
        <f t="shared" si="1"/>
        <v>1</v>
      </c>
      <c r="K37" s="448"/>
    </row>
    <row r="38" ht="22.5" customHeight="1">
      <c r="A38" s="443"/>
      <c r="B38" s="456">
        <v>46035.0</v>
      </c>
      <c r="C38" s="444" t="s">
        <v>266</v>
      </c>
      <c r="D38" s="451" t="s">
        <v>2419</v>
      </c>
      <c r="E38" s="448" t="s">
        <v>2450</v>
      </c>
      <c r="F38" s="455" t="s">
        <v>1369</v>
      </c>
      <c r="G38" s="442">
        <f>52580-11490</f>
        <v>41090</v>
      </c>
      <c r="H38" s="454" t="s">
        <v>2451</v>
      </c>
      <c r="J38" s="448">
        <f t="shared" si="1"/>
        <v>1</v>
      </c>
      <c r="K38" s="448"/>
    </row>
    <row r="39" ht="22.5" customHeight="1">
      <c r="A39" s="443"/>
      <c r="B39" s="456">
        <v>46035.0</v>
      </c>
      <c r="C39" s="444" t="s">
        <v>610</v>
      </c>
      <c r="D39" s="451" t="s">
        <v>2419</v>
      </c>
      <c r="E39" s="448" t="s">
        <v>2452</v>
      </c>
      <c r="F39" s="455" t="s">
        <v>1598</v>
      </c>
      <c r="G39" s="442">
        <v>33920.0</v>
      </c>
      <c r="J39" s="448">
        <f t="shared" si="1"/>
        <v>1</v>
      </c>
      <c r="K39" s="448"/>
    </row>
    <row r="40" ht="22.5" customHeight="1">
      <c r="A40" s="443"/>
      <c r="B40" s="456">
        <v>46035.0</v>
      </c>
      <c r="C40" s="444" t="s">
        <v>967</v>
      </c>
      <c r="D40" s="451" t="s">
        <v>2419</v>
      </c>
      <c r="E40" s="448" t="s">
        <v>2453</v>
      </c>
      <c r="F40" s="455" t="s">
        <v>2320</v>
      </c>
      <c r="G40" s="442">
        <v>23700.0</v>
      </c>
      <c r="J40" s="448">
        <f t="shared" si="1"/>
        <v>1</v>
      </c>
      <c r="K40" s="448"/>
    </row>
    <row r="41" ht="22.5" customHeight="1">
      <c r="A41" s="443"/>
      <c r="B41" s="456">
        <v>46035.0</v>
      </c>
      <c r="C41" s="444" t="s">
        <v>97</v>
      </c>
      <c r="D41" s="451" t="s">
        <v>2419</v>
      </c>
      <c r="E41" s="448" t="s">
        <v>2421</v>
      </c>
      <c r="F41" s="455" t="s">
        <v>105</v>
      </c>
      <c r="G41" s="442">
        <v>11900.0</v>
      </c>
      <c r="J41" s="448">
        <f t="shared" si="1"/>
        <v>1</v>
      </c>
      <c r="K41" s="448"/>
    </row>
    <row r="42" ht="22.5" customHeight="1">
      <c r="A42" s="443"/>
      <c r="B42" s="456">
        <v>46035.0</v>
      </c>
      <c r="C42" s="444" t="s">
        <v>1021</v>
      </c>
      <c r="D42" s="451" t="s">
        <v>2419</v>
      </c>
      <c r="E42" s="448" t="s">
        <v>2423</v>
      </c>
      <c r="F42" s="455" t="s">
        <v>2454</v>
      </c>
      <c r="G42" s="442">
        <v>4900.0</v>
      </c>
      <c r="J42" s="448">
        <f t="shared" si="1"/>
        <v>1</v>
      </c>
      <c r="K42" s="448"/>
    </row>
    <row r="43" ht="22.5" customHeight="1">
      <c r="A43" s="443"/>
      <c r="B43" s="456">
        <v>46035.0</v>
      </c>
      <c r="C43" s="451" t="s">
        <v>822</v>
      </c>
      <c r="D43" s="451" t="s">
        <v>2419</v>
      </c>
      <c r="E43" s="445" t="s">
        <v>2455</v>
      </c>
      <c r="F43" s="445"/>
      <c r="G43" s="442">
        <v>14500.0</v>
      </c>
      <c r="H43" s="448"/>
      <c r="I43" s="447"/>
      <c r="J43" s="448">
        <f t="shared" si="1"/>
        <v>1</v>
      </c>
      <c r="K43" s="448"/>
    </row>
    <row r="44" ht="22.5" customHeight="1">
      <c r="A44" s="443"/>
      <c r="B44" s="456">
        <v>46035.0</v>
      </c>
      <c r="C44" s="444" t="s">
        <v>266</v>
      </c>
      <c r="D44" s="451" t="s">
        <v>2419</v>
      </c>
      <c r="E44" s="448" t="s">
        <v>2456</v>
      </c>
      <c r="F44" s="455" t="s">
        <v>1369</v>
      </c>
      <c r="G44" s="442">
        <v>5000.0</v>
      </c>
      <c r="J44" s="448">
        <f t="shared" si="1"/>
        <v>1</v>
      </c>
      <c r="K44" s="448"/>
    </row>
    <row r="45" ht="22.5" customHeight="1">
      <c r="A45" s="443"/>
      <c r="B45" s="456">
        <v>46036.0</v>
      </c>
      <c r="C45" s="451" t="s">
        <v>1165</v>
      </c>
      <c r="D45" s="451" t="s">
        <v>2419</v>
      </c>
      <c r="E45" s="448" t="s">
        <v>2436</v>
      </c>
      <c r="F45" s="445" t="s">
        <v>1176</v>
      </c>
      <c r="G45" s="442">
        <v>2340.0</v>
      </c>
      <c r="H45" s="448"/>
      <c r="I45" s="447"/>
      <c r="J45" s="448">
        <f t="shared" si="1"/>
        <v>1</v>
      </c>
      <c r="K45" s="448"/>
    </row>
    <row r="46" ht="22.5" customHeight="1">
      <c r="A46" s="443"/>
      <c r="B46" s="456">
        <v>46036.0</v>
      </c>
      <c r="C46" s="451" t="s">
        <v>1122</v>
      </c>
      <c r="D46" s="451" t="s">
        <v>2419</v>
      </c>
      <c r="E46" s="445" t="s">
        <v>2457</v>
      </c>
      <c r="F46" s="445" t="s">
        <v>2458</v>
      </c>
      <c r="G46" s="442">
        <v>22630.0</v>
      </c>
      <c r="I46" s="447"/>
      <c r="J46" s="448">
        <f t="shared" si="1"/>
        <v>1</v>
      </c>
      <c r="K46" s="448"/>
    </row>
    <row r="47" ht="22.5" customHeight="1">
      <c r="A47" s="443"/>
      <c r="B47" s="456">
        <v>46036.0</v>
      </c>
      <c r="C47" s="451" t="s">
        <v>1122</v>
      </c>
      <c r="D47" s="451" t="s">
        <v>2422</v>
      </c>
      <c r="E47" s="448" t="s">
        <v>2459</v>
      </c>
      <c r="F47" s="445" t="s">
        <v>2458</v>
      </c>
      <c r="G47" s="442">
        <v>2000.0</v>
      </c>
      <c r="I47" s="447"/>
      <c r="J47" s="448">
        <f t="shared" si="1"/>
        <v>1</v>
      </c>
      <c r="K47" s="448"/>
    </row>
    <row r="48" ht="22.5" customHeight="1">
      <c r="A48" s="443"/>
      <c r="B48" s="456">
        <v>46036.0</v>
      </c>
      <c r="C48" s="451" t="s">
        <v>1165</v>
      </c>
      <c r="D48" s="451" t="s">
        <v>2422</v>
      </c>
      <c r="E48" s="448" t="s">
        <v>2459</v>
      </c>
      <c r="F48" s="445" t="s">
        <v>2460</v>
      </c>
      <c r="G48" s="442">
        <v>2000.0</v>
      </c>
      <c r="H48" s="448"/>
      <c r="I48" s="447"/>
      <c r="J48" s="448">
        <f t="shared" si="1"/>
        <v>1</v>
      </c>
      <c r="K48" s="448"/>
    </row>
    <row r="49" ht="22.5" customHeight="1">
      <c r="A49" s="443"/>
      <c r="B49" s="456">
        <v>46037.0</v>
      </c>
      <c r="C49" s="451" t="s">
        <v>266</v>
      </c>
      <c r="D49" s="451" t="s">
        <v>2419</v>
      </c>
      <c r="E49" s="445" t="s">
        <v>2461</v>
      </c>
      <c r="F49" s="445"/>
      <c r="G49" s="442">
        <v>11720.0</v>
      </c>
      <c r="H49" s="448"/>
      <c r="I49" s="447"/>
      <c r="J49" s="448">
        <f t="shared" si="1"/>
        <v>1</v>
      </c>
      <c r="K49" s="448"/>
    </row>
    <row r="50" ht="22.5" customHeight="1">
      <c r="A50" s="443"/>
      <c r="B50" s="456">
        <v>46037.0</v>
      </c>
      <c r="C50" s="451" t="s">
        <v>1055</v>
      </c>
      <c r="D50" s="451" t="s">
        <v>2419</v>
      </c>
      <c r="E50" s="445" t="s">
        <v>2462</v>
      </c>
      <c r="F50" s="445" t="s">
        <v>1947</v>
      </c>
      <c r="G50" s="442">
        <v>8810.0</v>
      </c>
      <c r="H50" s="448"/>
      <c r="I50" s="447"/>
      <c r="J50" s="448">
        <f t="shared" si="1"/>
        <v>1</v>
      </c>
      <c r="K50" s="448"/>
    </row>
    <row r="51" ht="22.5" customHeight="1">
      <c r="A51" s="443"/>
      <c r="B51" s="456">
        <v>46037.0</v>
      </c>
      <c r="C51" s="451" t="s">
        <v>848</v>
      </c>
      <c r="D51" s="451" t="s">
        <v>2419</v>
      </c>
      <c r="E51" s="445" t="s">
        <v>2463</v>
      </c>
      <c r="F51" s="445"/>
      <c r="G51" s="442">
        <v>9490.0</v>
      </c>
      <c r="H51" s="448"/>
      <c r="I51" s="447"/>
      <c r="J51" s="448">
        <f t="shared" si="1"/>
        <v>1</v>
      </c>
      <c r="K51" s="448"/>
    </row>
    <row r="52" ht="22.5" customHeight="1">
      <c r="A52" s="443"/>
      <c r="B52" s="456">
        <v>46039.0</v>
      </c>
      <c r="C52" s="451" t="s">
        <v>897</v>
      </c>
      <c r="D52" s="451" t="s">
        <v>2419</v>
      </c>
      <c r="E52" s="445" t="s">
        <v>2464</v>
      </c>
      <c r="F52" s="445" t="s">
        <v>899</v>
      </c>
      <c r="G52" s="442">
        <v>26210.0</v>
      </c>
      <c r="H52" s="448"/>
      <c r="I52" s="447"/>
      <c r="J52" s="448">
        <f t="shared" si="1"/>
        <v>1</v>
      </c>
      <c r="K52" s="448"/>
    </row>
    <row r="53" ht="22.5" customHeight="1">
      <c r="A53" s="443"/>
      <c r="B53" s="456">
        <v>46039.0</v>
      </c>
      <c r="C53" s="451" t="s">
        <v>328</v>
      </c>
      <c r="D53" s="451" t="s">
        <v>2419</v>
      </c>
      <c r="E53" s="445" t="s">
        <v>2465</v>
      </c>
      <c r="F53" s="445" t="s">
        <v>2008</v>
      </c>
      <c r="G53" s="442">
        <v>6530.0</v>
      </c>
      <c r="H53" s="448"/>
      <c r="I53" s="447"/>
      <c r="J53" s="448">
        <f t="shared" si="1"/>
        <v>1</v>
      </c>
      <c r="K53" s="448"/>
    </row>
    <row r="54" ht="22.5" customHeight="1">
      <c r="A54" s="443"/>
      <c r="B54" s="456">
        <v>46039.0</v>
      </c>
      <c r="C54" s="451" t="s">
        <v>730</v>
      </c>
      <c r="D54" s="451" t="s">
        <v>2422</v>
      </c>
      <c r="E54" s="445" t="s">
        <v>2438</v>
      </c>
      <c r="F54" s="445" t="s">
        <v>2449</v>
      </c>
      <c r="G54" s="442">
        <v>4000.0</v>
      </c>
      <c r="H54" s="448"/>
      <c r="I54" s="447"/>
      <c r="J54" s="448">
        <f t="shared" si="1"/>
        <v>1</v>
      </c>
      <c r="K54" s="448"/>
    </row>
    <row r="55" ht="22.5" customHeight="1">
      <c r="A55" s="443"/>
      <c r="B55" s="456">
        <v>46039.0</v>
      </c>
      <c r="C55" s="451" t="s">
        <v>778</v>
      </c>
      <c r="D55" s="451" t="s">
        <v>2422</v>
      </c>
      <c r="E55" s="445" t="s">
        <v>2434</v>
      </c>
      <c r="F55" s="445" t="s">
        <v>790</v>
      </c>
      <c r="G55" s="442">
        <v>4900.0</v>
      </c>
      <c r="H55" s="448"/>
      <c r="I55" s="447"/>
      <c r="J55" s="448">
        <f t="shared" si="1"/>
        <v>1</v>
      </c>
      <c r="K55" s="448"/>
    </row>
    <row r="56" ht="22.5" customHeight="1">
      <c r="A56" s="443"/>
      <c r="B56" s="456">
        <v>46040.0</v>
      </c>
      <c r="C56" s="451" t="s">
        <v>610</v>
      </c>
      <c r="D56" s="451" t="s">
        <v>2422</v>
      </c>
      <c r="E56" s="445" t="s">
        <v>2434</v>
      </c>
      <c r="F56" s="445" t="s">
        <v>1593</v>
      </c>
      <c r="G56" s="442">
        <v>9800.0</v>
      </c>
      <c r="H56" s="448"/>
      <c r="I56" s="447"/>
      <c r="J56" s="448">
        <f t="shared" si="1"/>
        <v>1</v>
      </c>
      <c r="K56" s="448"/>
    </row>
    <row r="57" ht="22.5" customHeight="1">
      <c r="A57" s="443"/>
      <c r="B57" s="456">
        <v>46040.0</v>
      </c>
      <c r="C57" s="451" t="s">
        <v>610</v>
      </c>
      <c r="D57" s="451" t="s">
        <v>2419</v>
      </c>
      <c r="E57" s="445" t="s">
        <v>2466</v>
      </c>
      <c r="F57" s="445" t="s">
        <v>1593</v>
      </c>
      <c r="G57" s="442">
        <v>5900.0</v>
      </c>
      <c r="H57" s="448"/>
      <c r="I57" s="447"/>
      <c r="J57" s="448">
        <f t="shared" si="1"/>
        <v>1</v>
      </c>
      <c r="K57" s="448"/>
    </row>
    <row r="58" ht="22.5" customHeight="1">
      <c r="A58" s="443"/>
      <c r="B58" s="456">
        <v>46041.0</v>
      </c>
      <c r="C58" s="451" t="s">
        <v>1122</v>
      </c>
      <c r="D58" s="451" t="s">
        <v>2422</v>
      </c>
      <c r="E58" s="445" t="s">
        <v>2434</v>
      </c>
      <c r="F58" s="442" t="s">
        <v>1125</v>
      </c>
      <c r="G58" s="442">
        <v>9800.0</v>
      </c>
      <c r="H58" s="448"/>
      <c r="I58" s="447"/>
      <c r="J58" s="448">
        <f t="shared" si="1"/>
        <v>1</v>
      </c>
      <c r="K58" s="448"/>
    </row>
    <row r="59" ht="22.5" customHeight="1">
      <c r="A59" s="443"/>
      <c r="B59" s="456">
        <v>46041.0</v>
      </c>
      <c r="C59" s="444" t="s">
        <v>415</v>
      </c>
      <c r="D59" s="451" t="s">
        <v>2419</v>
      </c>
      <c r="E59" s="448" t="s">
        <v>2467</v>
      </c>
      <c r="F59" s="445" t="s">
        <v>1044</v>
      </c>
      <c r="G59" s="442">
        <v>19070.0</v>
      </c>
      <c r="I59" s="447"/>
      <c r="J59" s="448">
        <f t="shared" si="1"/>
        <v>1</v>
      </c>
      <c r="K59" s="448"/>
    </row>
    <row r="60" ht="22.5" customHeight="1">
      <c r="A60" s="443"/>
      <c r="B60" s="456">
        <v>46041.0</v>
      </c>
      <c r="C60" s="444" t="s">
        <v>1813</v>
      </c>
      <c r="D60" s="451" t="s">
        <v>2419</v>
      </c>
      <c r="E60" s="448" t="s">
        <v>2468</v>
      </c>
      <c r="F60" s="445" t="s">
        <v>1815</v>
      </c>
      <c r="G60" s="442">
        <v>5000.0</v>
      </c>
      <c r="I60" s="447"/>
      <c r="J60" s="448">
        <f t="shared" si="1"/>
        <v>1</v>
      </c>
      <c r="K60" s="448"/>
    </row>
    <row r="61" ht="22.5" customHeight="1">
      <c r="A61" s="443"/>
      <c r="B61" s="456">
        <v>46041.0</v>
      </c>
      <c r="C61" s="444" t="s">
        <v>58</v>
      </c>
      <c r="D61" s="451" t="s">
        <v>2419</v>
      </c>
      <c r="E61" s="448" t="s">
        <v>2436</v>
      </c>
      <c r="F61" s="445" t="s">
        <v>2469</v>
      </c>
      <c r="G61" s="442">
        <v>2340.0</v>
      </c>
      <c r="I61" s="447"/>
      <c r="J61" s="448">
        <f t="shared" si="1"/>
        <v>1</v>
      </c>
      <c r="K61" s="448"/>
    </row>
    <row r="62" ht="22.5" customHeight="1">
      <c r="B62" s="456">
        <v>46043.0</v>
      </c>
      <c r="C62" s="457" t="s">
        <v>804</v>
      </c>
      <c r="D62" s="451" t="s">
        <v>2419</v>
      </c>
      <c r="E62" s="454" t="s">
        <v>2470</v>
      </c>
      <c r="F62" s="454" t="s">
        <v>1757</v>
      </c>
      <c r="G62" s="442">
        <v>14240.0</v>
      </c>
      <c r="J62" s="448">
        <f t="shared" si="1"/>
        <v>1</v>
      </c>
    </row>
    <row r="63" ht="22.5" customHeight="1">
      <c r="A63" s="443"/>
      <c r="B63" s="456">
        <v>46043.0</v>
      </c>
      <c r="C63" s="457" t="s">
        <v>505</v>
      </c>
      <c r="D63" s="451" t="s">
        <v>2422</v>
      </c>
      <c r="E63" s="454" t="s">
        <v>2423</v>
      </c>
      <c r="F63" s="454" t="s">
        <v>2151</v>
      </c>
      <c r="G63" s="442">
        <v>4900.0</v>
      </c>
      <c r="I63" s="447"/>
      <c r="J63" s="448">
        <f t="shared" si="1"/>
        <v>1</v>
      </c>
      <c r="K63" s="448"/>
    </row>
    <row r="64" ht="22.5" customHeight="1">
      <c r="A64" s="443"/>
      <c r="B64" s="456">
        <v>46043.0</v>
      </c>
      <c r="C64" s="451" t="s">
        <v>1165</v>
      </c>
      <c r="D64" s="451" t="s">
        <v>2419</v>
      </c>
      <c r="E64" s="445" t="s">
        <v>2471</v>
      </c>
      <c r="F64" s="445"/>
      <c r="G64" s="442">
        <v>0.0</v>
      </c>
      <c r="H64" s="442">
        <v>362630.0</v>
      </c>
      <c r="I64" s="447"/>
      <c r="J64" s="448">
        <f t="shared" si="1"/>
        <v>1</v>
      </c>
      <c r="K64" s="448"/>
    </row>
    <row r="65" ht="22.5" customHeight="1">
      <c r="A65" s="443"/>
      <c r="B65" s="456">
        <v>46043.0</v>
      </c>
      <c r="C65" s="457" t="s">
        <v>58</v>
      </c>
      <c r="D65" s="451" t="s">
        <v>2422</v>
      </c>
      <c r="E65" s="454" t="s">
        <v>2423</v>
      </c>
      <c r="F65" s="445" t="s">
        <v>2469</v>
      </c>
      <c r="G65" s="442">
        <v>9800.0</v>
      </c>
      <c r="H65" s="448"/>
      <c r="I65" s="447"/>
      <c r="J65" s="448">
        <f t="shared" si="1"/>
        <v>1</v>
      </c>
      <c r="K65" s="448"/>
    </row>
    <row r="66" ht="22.5" customHeight="1">
      <c r="A66" s="443"/>
      <c r="B66" s="456">
        <v>46044.0</v>
      </c>
      <c r="C66" s="451" t="s">
        <v>1165</v>
      </c>
      <c r="D66" s="451" t="s">
        <v>2422</v>
      </c>
      <c r="E66" s="445" t="s">
        <v>2434</v>
      </c>
      <c r="F66" s="445" t="s">
        <v>1174</v>
      </c>
      <c r="G66" s="442">
        <v>2500.0</v>
      </c>
      <c r="H66" s="448"/>
      <c r="I66" s="447"/>
      <c r="J66" s="448">
        <f t="shared" si="1"/>
        <v>1</v>
      </c>
      <c r="K66" s="448"/>
    </row>
    <row r="67" ht="22.5" customHeight="1">
      <c r="A67" s="443"/>
      <c r="B67" s="456">
        <v>46044.0</v>
      </c>
      <c r="C67" s="451" t="s">
        <v>1165</v>
      </c>
      <c r="D67" s="451" t="s">
        <v>2419</v>
      </c>
      <c r="E67" s="445" t="s">
        <v>2472</v>
      </c>
      <c r="F67" s="445"/>
      <c r="G67" s="442">
        <v>6790.0</v>
      </c>
      <c r="H67" s="448"/>
      <c r="I67" s="447"/>
      <c r="J67" s="448">
        <f t="shared" si="1"/>
        <v>1</v>
      </c>
      <c r="K67" s="448"/>
    </row>
    <row r="68" ht="22.5" customHeight="1">
      <c r="A68" s="443"/>
      <c r="B68" s="456">
        <v>46044.0</v>
      </c>
      <c r="C68" s="451" t="s">
        <v>1813</v>
      </c>
      <c r="D68" s="451" t="s">
        <v>2419</v>
      </c>
      <c r="E68" s="445" t="s">
        <v>2472</v>
      </c>
      <c r="F68" s="445"/>
      <c r="G68" s="442">
        <v>6790.0</v>
      </c>
      <c r="H68" s="448"/>
      <c r="I68" s="447"/>
      <c r="J68" s="448">
        <f t="shared" si="1"/>
        <v>1</v>
      </c>
      <c r="K68" s="448"/>
    </row>
    <row r="69" ht="22.5" customHeight="1">
      <c r="A69" s="443"/>
      <c r="B69" s="456">
        <v>46044.0</v>
      </c>
      <c r="C69" s="451" t="s">
        <v>730</v>
      </c>
      <c r="D69" s="451" t="s">
        <v>2422</v>
      </c>
      <c r="E69" s="445" t="s">
        <v>2434</v>
      </c>
      <c r="F69" s="445" t="s">
        <v>2248</v>
      </c>
      <c r="G69" s="442">
        <v>2500.0</v>
      </c>
      <c r="H69" s="448"/>
      <c r="I69" s="447"/>
      <c r="J69" s="448">
        <f t="shared" si="1"/>
        <v>1</v>
      </c>
      <c r="K69" s="448"/>
    </row>
    <row r="70" ht="22.5" customHeight="1">
      <c r="A70" s="443"/>
      <c r="B70" s="456">
        <v>46046.0</v>
      </c>
      <c r="C70" s="451" t="s">
        <v>629</v>
      </c>
      <c r="D70" s="451" t="s">
        <v>2422</v>
      </c>
      <c r="E70" s="445" t="s">
        <v>2473</v>
      </c>
      <c r="F70" s="445" t="s">
        <v>2474</v>
      </c>
      <c r="G70" s="442">
        <v>6000.0</v>
      </c>
      <c r="H70" s="448"/>
      <c r="I70" s="447"/>
      <c r="J70" s="448">
        <f t="shared" si="1"/>
        <v>1</v>
      </c>
      <c r="K70" s="448"/>
    </row>
    <row r="71" ht="22.5" customHeight="1">
      <c r="A71" s="443"/>
      <c r="B71" s="456">
        <v>46047.0</v>
      </c>
      <c r="C71" s="458" t="s">
        <v>448</v>
      </c>
      <c r="D71" s="451" t="s">
        <v>2422</v>
      </c>
      <c r="E71" s="442" t="s">
        <v>2423</v>
      </c>
      <c r="F71" s="454" t="s">
        <v>1474</v>
      </c>
      <c r="G71" s="442">
        <v>1000.0</v>
      </c>
      <c r="I71" s="447"/>
      <c r="J71" s="448">
        <f t="shared" si="1"/>
        <v>1</v>
      </c>
      <c r="K71" s="448"/>
    </row>
    <row r="72" ht="22.5" customHeight="1">
      <c r="A72" s="443"/>
      <c r="B72" s="456">
        <v>46047.0</v>
      </c>
      <c r="C72" s="458" t="s">
        <v>448</v>
      </c>
      <c r="D72" s="451" t="s">
        <v>2419</v>
      </c>
      <c r="E72" s="448" t="s">
        <v>2475</v>
      </c>
      <c r="F72" s="454" t="s">
        <v>1474</v>
      </c>
      <c r="G72" s="442">
        <v>8290.0</v>
      </c>
      <c r="H72" s="448"/>
      <c r="I72" s="447"/>
      <c r="J72" s="448">
        <f t="shared" si="1"/>
        <v>1</v>
      </c>
      <c r="K72" s="448"/>
    </row>
    <row r="73" ht="22.5" customHeight="1">
      <c r="A73" s="443"/>
      <c r="B73" s="456">
        <v>46047.0</v>
      </c>
      <c r="C73" s="458" t="s">
        <v>328</v>
      </c>
      <c r="D73" s="451" t="s">
        <v>2419</v>
      </c>
      <c r="E73" s="442" t="s">
        <v>2453</v>
      </c>
      <c r="F73" s="454" t="s">
        <v>2008</v>
      </c>
      <c r="G73" s="442">
        <v>16190.0</v>
      </c>
      <c r="H73" s="448"/>
      <c r="I73" s="447"/>
      <c r="J73" s="448">
        <f t="shared" si="1"/>
        <v>1</v>
      </c>
      <c r="K73" s="448"/>
    </row>
    <row r="74" ht="22.5" customHeight="1">
      <c r="A74" s="443"/>
      <c r="B74" s="456">
        <v>46047.0</v>
      </c>
      <c r="C74" s="458" t="s">
        <v>1006</v>
      </c>
      <c r="D74" s="451" t="s">
        <v>2419</v>
      </c>
      <c r="E74" s="442" t="s">
        <v>2476</v>
      </c>
      <c r="F74" s="454" t="s">
        <v>1910</v>
      </c>
      <c r="G74" s="442">
        <v>24360.0</v>
      </c>
      <c r="H74" s="448"/>
      <c r="I74" s="447"/>
      <c r="J74" s="448">
        <f t="shared" si="1"/>
        <v>1</v>
      </c>
      <c r="K74" s="448"/>
    </row>
    <row r="75" ht="22.5" customHeight="1">
      <c r="A75" s="443"/>
      <c r="B75" s="456">
        <v>46047.0</v>
      </c>
      <c r="C75" s="458" t="s">
        <v>1093</v>
      </c>
      <c r="D75" s="451" t="s">
        <v>2419</v>
      </c>
      <c r="E75" s="442" t="s">
        <v>2477</v>
      </c>
      <c r="F75" s="454" t="s">
        <v>2478</v>
      </c>
      <c r="G75" s="442">
        <v>40550.0</v>
      </c>
      <c r="H75" s="448"/>
      <c r="I75" s="447"/>
      <c r="J75" s="448">
        <f t="shared" si="1"/>
        <v>1</v>
      </c>
      <c r="K75" s="448"/>
    </row>
    <row r="76" ht="22.5" customHeight="1">
      <c r="A76" s="443"/>
      <c r="B76" s="456">
        <v>46047.0</v>
      </c>
      <c r="C76" s="458" t="s">
        <v>305</v>
      </c>
      <c r="D76" s="451" t="s">
        <v>2422</v>
      </c>
      <c r="E76" s="442" t="s">
        <v>2423</v>
      </c>
      <c r="F76" s="454" t="s">
        <v>317</v>
      </c>
      <c r="G76" s="442">
        <v>3800.0</v>
      </c>
      <c r="H76" s="448"/>
      <c r="I76" s="447"/>
      <c r="J76" s="448">
        <f t="shared" si="1"/>
        <v>1</v>
      </c>
      <c r="K76" s="448"/>
    </row>
    <row r="77" ht="22.5" customHeight="1">
      <c r="A77" s="443"/>
      <c r="B77" s="456">
        <v>46047.0</v>
      </c>
      <c r="C77" s="458" t="s">
        <v>328</v>
      </c>
      <c r="D77" s="451" t="s">
        <v>2422</v>
      </c>
      <c r="E77" s="442" t="s">
        <v>2423</v>
      </c>
      <c r="F77" s="445" t="s">
        <v>2008</v>
      </c>
      <c r="G77" s="442">
        <v>3800.0</v>
      </c>
      <c r="H77" s="448"/>
      <c r="I77" s="447"/>
      <c r="J77" s="448">
        <f t="shared" si="1"/>
        <v>1</v>
      </c>
      <c r="K77" s="448"/>
    </row>
    <row r="78" ht="22.5" customHeight="1">
      <c r="A78" s="443"/>
      <c r="B78" s="456">
        <v>46049.0</v>
      </c>
      <c r="C78" s="451" t="s">
        <v>97</v>
      </c>
      <c r="D78" s="451" t="s">
        <v>2419</v>
      </c>
      <c r="E78" s="445" t="s">
        <v>2479</v>
      </c>
      <c r="F78" s="445"/>
      <c r="G78" s="442">
        <v>8940.0</v>
      </c>
      <c r="H78" s="448"/>
      <c r="I78" s="447"/>
      <c r="J78" s="448">
        <f t="shared" si="1"/>
        <v>1</v>
      </c>
      <c r="K78" s="448"/>
    </row>
    <row r="79" ht="22.5" customHeight="1">
      <c r="A79" s="443"/>
      <c r="B79" s="456">
        <v>46049.0</v>
      </c>
      <c r="C79" s="451" t="s">
        <v>1180</v>
      </c>
      <c r="D79" s="451" t="s">
        <v>2419</v>
      </c>
      <c r="E79" s="445" t="s">
        <v>2455</v>
      </c>
      <c r="F79" s="445"/>
      <c r="G79" s="442">
        <v>14190.0</v>
      </c>
      <c r="H79" s="448"/>
      <c r="I79" s="447"/>
      <c r="J79" s="448">
        <f>MONTH(B78)</f>
        <v>1</v>
      </c>
      <c r="K79" s="448"/>
    </row>
    <row r="80" ht="22.5" customHeight="1">
      <c r="A80" s="443"/>
      <c r="B80" s="456">
        <v>46049.0</v>
      </c>
      <c r="C80" s="451" t="s">
        <v>266</v>
      </c>
      <c r="D80" s="451" t="s">
        <v>2422</v>
      </c>
      <c r="E80" s="445" t="s">
        <v>2434</v>
      </c>
      <c r="F80" s="445" t="s">
        <v>1384</v>
      </c>
      <c r="G80" s="442">
        <v>2000.0</v>
      </c>
      <c r="H80" s="448"/>
      <c r="I80" s="447"/>
      <c r="J80" s="448">
        <f t="shared" ref="J80:J334" si="2">MONTH(B80)</f>
        <v>1</v>
      </c>
      <c r="K80" s="448"/>
    </row>
    <row r="81" ht="22.5" customHeight="1">
      <c r="A81" s="443"/>
      <c r="B81" s="456">
        <v>46050.0</v>
      </c>
      <c r="C81" s="451" t="s">
        <v>1093</v>
      </c>
      <c r="D81" s="451" t="s">
        <v>2422</v>
      </c>
      <c r="E81" s="445" t="s">
        <v>2434</v>
      </c>
      <c r="F81" s="445" t="s">
        <v>2480</v>
      </c>
      <c r="G81" s="442">
        <v>2500.0</v>
      </c>
      <c r="H81" s="448"/>
      <c r="I81" s="447"/>
      <c r="J81" s="448">
        <f t="shared" si="2"/>
        <v>1</v>
      </c>
      <c r="K81" s="448"/>
    </row>
    <row r="82" ht="22.5" customHeight="1">
      <c r="A82" s="443"/>
      <c r="B82" s="456">
        <v>46050.0</v>
      </c>
      <c r="C82" s="451" t="s">
        <v>1093</v>
      </c>
      <c r="D82" s="451" t="s">
        <v>2422</v>
      </c>
      <c r="E82" s="445" t="s">
        <v>2481</v>
      </c>
      <c r="F82" s="445" t="s">
        <v>2482</v>
      </c>
      <c r="G82" s="442">
        <v>2000.0</v>
      </c>
      <c r="H82" s="448"/>
      <c r="I82" s="447"/>
      <c r="J82" s="448">
        <f t="shared" si="2"/>
        <v>1</v>
      </c>
      <c r="K82" s="448"/>
    </row>
    <row r="83" ht="22.5" customHeight="1">
      <c r="A83" s="443"/>
      <c r="B83" s="456">
        <v>46050.0</v>
      </c>
      <c r="C83" s="451" t="s">
        <v>945</v>
      </c>
      <c r="D83" s="451" t="s">
        <v>2419</v>
      </c>
      <c r="E83" s="445" t="s">
        <v>2431</v>
      </c>
      <c r="F83" s="445" t="s">
        <v>952</v>
      </c>
      <c r="G83" s="442">
        <v>22020.0</v>
      </c>
      <c r="H83" s="448"/>
      <c r="I83" s="447"/>
      <c r="J83" s="448">
        <f t="shared" si="2"/>
        <v>1</v>
      </c>
      <c r="K83" s="448"/>
    </row>
    <row r="84" ht="22.5" customHeight="1">
      <c r="A84" s="443"/>
      <c r="B84" s="456">
        <v>46050.0</v>
      </c>
      <c r="C84" s="451" t="s">
        <v>474</v>
      </c>
      <c r="D84" s="451" t="s">
        <v>2419</v>
      </c>
      <c r="E84" s="445" t="s">
        <v>2483</v>
      </c>
      <c r="F84" s="445"/>
      <c r="G84" s="442">
        <v>19990.0</v>
      </c>
      <c r="H84" s="448"/>
      <c r="I84" s="447"/>
      <c r="J84" s="448">
        <f t="shared" si="2"/>
        <v>1</v>
      </c>
      <c r="K84" s="448"/>
    </row>
    <row r="85" ht="22.5" customHeight="1">
      <c r="A85" s="443"/>
      <c r="B85" s="456">
        <v>46029.0</v>
      </c>
      <c r="C85" s="449" t="s">
        <v>154</v>
      </c>
      <c r="D85" s="450" t="s">
        <v>2422</v>
      </c>
      <c r="E85" s="420" t="s">
        <v>2432</v>
      </c>
      <c r="F85" s="445" t="s">
        <v>2484</v>
      </c>
      <c r="G85" s="442">
        <v>18670.0</v>
      </c>
      <c r="H85" s="448"/>
      <c r="I85" s="447"/>
      <c r="J85" s="448">
        <f t="shared" si="2"/>
        <v>1</v>
      </c>
      <c r="K85" s="448"/>
    </row>
    <row r="86" ht="22.5" customHeight="1">
      <c r="A86" s="443"/>
      <c r="B86" s="456">
        <v>46030.0</v>
      </c>
      <c r="C86" s="451" t="s">
        <v>154</v>
      </c>
      <c r="D86" s="450" t="s">
        <v>2422</v>
      </c>
      <c r="E86" s="420" t="s">
        <v>2432</v>
      </c>
      <c r="F86" s="445" t="s">
        <v>2484</v>
      </c>
      <c r="G86" s="442">
        <v>9500.0</v>
      </c>
      <c r="H86" s="448"/>
      <c r="I86" s="447"/>
      <c r="J86" s="448">
        <f t="shared" si="2"/>
        <v>1</v>
      </c>
      <c r="K86" s="448"/>
    </row>
    <row r="87" ht="22.5" customHeight="1">
      <c r="A87" s="443"/>
      <c r="B87" s="456">
        <v>46030.0</v>
      </c>
      <c r="C87" s="451" t="s">
        <v>27</v>
      </c>
      <c r="D87" s="450" t="s">
        <v>2422</v>
      </c>
      <c r="E87" s="420" t="s">
        <v>2432</v>
      </c>
      <c r="F87" s="445" t="s">
        <v>2484</v>
      </c>
      <c r="G87" s="442">
        <v>7540.0</v>
      </c>
      <c r="H87" s="448"/>
      <c r="I87" s="447"/>
      <c r="J87" s="448">
        <f t="shared" si="2"/>
        <v>1</v>
      </c>
      <c r="K87" s="448"/>
    </row>
    <row r="88" ht="22.5" customHeight="1">
      <c r="A88" s="443"/>
      <c r="B88" s="456">
        <v>46030.0</v>
      </c>
      <c r="C88" s="451" t="s">
        <v>97</v>
      </c>
      <c r="D88" s="450" t="s">
        <v>2422</v>
      </c>
      <c r="E88" s="420" t="s">
        <v>2432</v>
      </c>
      <c r="F88" s="445" t="s">
        <v>2484</v>
      </c>
      <c r="G88" s="442">
        <v>6480.0</v>
      </c>
      <c r="H88" s="448"/>
      <c r="I88" s="447"/>
      <c r="J88" s="448">
        <f t="shared" si="2"/>
        <v>1</v>
      </c>
      <c r="K88" s="448"/>
    </row>
    <row r="89" ht="22.5" customHeight="1">
      <c r="A89" s="443"/>
      <c r="B89" s="456">
        <v>46030.0</v>
      </c>
      <c r="C89" s="451" t="s">
        <v>986</v>
      </c>
      <c r="D89" s="450" t="s">
        <v>2422</v>
      </c>
      <c r="E89" s="420" t="s">
        <v>2432</v>
      </c>
      <c r="F89" s="445" t="s">
        <v>2484</v>
      </c>
      <c r="G89" s="442">
        <v>6820.0</v>
      </c>
      <c r="H89" s="448"/>
      <c r="I89" s="447"/>
      <c r="J89" s="448">
        <f t="shared" si="2"/>
        <v>1</v>
      </c>
      <c r="K89" s="448"/>
    </row>
    <row r="90" ht="22.5" customHeight="1">
      <c r="A90" s="443"/>
      <c r="B90" s="456">
        <v>46032.0</v>
      </c>
      <c r="C90" s="451" t="s">
        <v>822</v>
      </c>
      <c r="D90" s="450" t="s">
        <v>2422</v>
      </c>
      <c r="E90" s="420" t="s">
        <v>2432</v>
      </c>
      <c r="F90" s="445" t="s">
        <v>2484</v>
      </c>
      <c r="G90" s="442">
        <v>19790.0</v>
      </c>
      <c r="H90" s="448"/>
      <c r="I90" s="447"/>
      <c r="J90" s="448">
        <f t="shared" si="2"/>
        <v>1</v>
      </c>
      <c r="K90" s="448"/>
    </row>
    <row r="91" ht="22.5" customHeight="1">
      <c r="A91" s="443"/>
      <c r="B91" s="456">
        <v>46033.0</v>
      </c>
      <c r="C91" s="451" t="s">
        <v>210</v>
      </c>
      <c r="D91" s="450" t="s">
        <v>2422</v>
      </c>
      <c r="E91" s="420" t="s">
        <v>2432</v>
      </c>
      <c r="F91" s="445" t="s">
        <v>2484</v>
      </c>
      <c r="G91" s="442">
        <v>10340.0</v>
      </c>
      <c r="H91" s="448"/>
      <c r="I91" s="447"/>
      <c r="J91" s="448">
        <f t="shared" si="2"/>
        <v>1</v>
      </c>
      <c r="K91" s="448"/>
    </row>
    <row r="92" ht="22.5" customHeight="1">
      <c r="A92" s="443"/>
      <c r="B92" s="456">
        <v>46033.0</v>
      </c>
      <c r="C92" s="451" t="s">
        <v>1180</v>
      </c>
      <c r="D92" s="450" t="s">
        <v>2422</v>
      </c>
      <c r="E92" s="420" t="s">
        <v>2432</v>
      </c>
      <c r="F92" s="445" t="s">
        <v>2484</v>
      </c>
      <c r="G92" s="442">
        <v>5300.0</v>
      </c>
      <c r="H92" s="448"/>
      <c r="I92" s="447"/>
      <c r="J92" s="448">
        <f t="shared" si="2"/>
        <v>1</v>
      </c>
      <c r="K92" s="448"/>
    </row>
    <row r="93" ht="22.5" customHeight="1">
      <c r="A93" s="443"/>
      <c r="B93" s="456">
        <v>46034.0</v>
      </c>
      <c r="C93" s="451" t="s">
        <v>275</v>
      </c>
      <c r="D93" s="450" t="s">
        <v>2422</v>
      </c>
      <c r="E93" s="420" t="s">
        <v>2432</v>
      </c>
      <c r="F93" s="445" t="s">
        <v>2484</v>
      </c>
      <c r="G93" s="442">
        <v>3620.0</v>
      </c>
      <c r="H93" s="448"/>
      <c r="I93" s="447"/>
      <c r="J93" s="448">
        <f t="shared" si="2"/>
        <v>1</v>
      </c>
      <c r="K93" s="448"/>
    </row>
    <row r="94" ht="22.5" customHeight="1">
      <c r="A94" s="443"/>
      <c r="B94" s="456">
        <v>46034.0</v>
      </c>
      <c r="C94" s="451" t="s">
        <v>598</v>
      </c>
      <c r="D94" s="450" t="s">
        <v>2422</v>
      </c>
      <c r="E94" s="420" t="s">
        <v>2432</v>
      </c>
      <c r="F94" s="445" t="s">
        <v>2484</v>
      </c>
      <c r="G94" s="442">
        <v>6560.0</v>
      </c>
      <c r="H94" s="448"/>
      <c r="I94" s="447"/>
      <c r="J94" s="448">
        <f t="shared" si="2"/>
        <v>1</v>
      </c>
      <c r="K94" s="448"/>
    </row>
    <row r="95" ht="22.5" customHeight="1">
      <c r="A95" s="443"/>
      <c r="B95" s="456">
        <v>46035.0</v>
      </c>
      <c r="C95" s="451" t="s">
        <v>1006</v>
      </c>
      <c r="D95" s="450" t="s">
        <v>2422</v>
      </c>
      <c r="E95" s="420" t="s">
        <v>2432</v>
      </c>
      <c r="F95" s="445" t="s">
        <v>2484</v>
      </c>
      <c r="G95" s="442">
        <v>6420.0</v>
      </c>
      <c r="H95" s="448"/>
      <c r="I95" s="447"/>
      <c r="J95" s="448">
        <f t="shared" si="2"/>
        <v>1</v>
      </c>
      <c r="K95" s="448"/>
    </row>
    <row r="96" ht="22.5" customHeight="1">
      <c r="A96" s="443"/>
      <c r="B96" s="456">
        <v>46035.0</v>
      </c>
      <c r="C96" s="451" t="s">
        <v>822</v>
      </c>
      <c r="D96" s="450" t="s">
        <v>2422</v>
      </c>
      <c r="E96" s="420" t="s">
        <v>2432</v>
      </c>
      <c r="F96" s="445" t="s">
        <v>2484</v>
      </c>
      <c r="G96" s="442">
        <v>4180.0</v>
      </c>
      <c r="H96" s="448"/>
      <c r="I96" s="447"/>
      <c r="J96" s="448">
        <f t="shared" si="2"/>
        <v>1</v>
      </c>
      <c r="K96" s="448"/>
    </row>
    <row r="97" ht="22.5" customHeight="1">
      <c r="A97" s="443"/>
      <c r="B97" s="456">
        <v>46036.0</v>
      </c>
      <c r="C97" s="451" t="s">
        <v>415</v>
      </c>
      <c r="D97" s="450" t="s">
        <v>2422</v>
      </c>
      <c r="E97" s="420" t="s">
        <v>2432</v>
      </c>
      <c r="F97" s="445" t="s">
        <v>2484</v>
      </c>
      <c r="G97" s="442">
        <v>10200.0</v>
      </c>
      <c r="H97" s="448"/>
      <c r="I97" s="447"/>
      <c r="J97" s="448">
        <f t="shared" si="2"/>
        <v>1</v>
      </c>
      <c r="K97" s="448"/>
    </row>
    <row r="98" ht="22.5" customHeight="1">
      <c r="A98" s="443"/>
      <c r="B98" s="456">
        <v>46036.0</v>
      </c>
      <c r="C98" s="451" t="s">
        <v>154</v>
      </c>
      <c r="D98" s="450" t="s">
        <v>2422</v>
      </c>
      <c r="E98" s="420" t="s">
        <v>2432</v>
      </c>
      <c r="F98" s="445" t="s">
        <v>2484</v>
      </c>
      <c r="G98" s="442">
        <v>13620.0</v>
      </c>
      <c r="H98" s="448"/>
      <c r="I98" s="447"/>
      <c r="J98" s="448">
        <f t="shared" si="2"/>
        <v>1</v>
      </c>
      <c r="K98" s="448"/>
    </row>
    <row r="99" ht="22.5" customHeight="1">
      <c r="A99" s="443"/>
      <c r="B99" s="456">
        <v>46037.0</v>
      </c>
      <c r="C99" s="451" t="s">
        <v>97</v>
      </c>
      <c r="D99" s="450" t="s">
        <v>2422</v>
      </c>
      <c r="E99" s="420" t="s">
        <v>2432</v>
      </c>
      <c r="F99" s="445" t="s">
        <v>2484</v>
      </c>
      <c r="G99" s="442">
        <v>10900.0</v>
      </c>
      <c r="H99" s="448"/>
      <c r="I99" s="447"/>
      <c r="J99" s="448">
        <f t="shared" si="2"/>
        <v>1</v>
      </c>
      <c r="K99" s="448"/>
    </row>
    <row r="100" ht="22.5" customHeight="1">
      <c r="A100" s="443"/>
      <c r="B100" s="456">
        <v>46039.0</v>
      </c>
      <c r="C100" s="451" t="s">
        <v>154</v>
      </c>
      <c r="D100" s="450" t="s">
        <v>2422</v>
      </c>
      <c r="E100" s="420" t="s">
        <v>2432</v>
      </c>
      <c r="F100" s="445" t="s">
        <v>2484</v>
      </c>
      <c r="G100" s="442">
        <v>9510.0</v>
      </c>
      <c r="H100" s="448"/>
      <c r="I100" s="447"/>
      <c r="J100" s="448">
        <f t="shared" si="2"/>
        <v>1</v>
      </c>
      <c r="K100" s="448"/>
    </row>
    <row r="101" ht="22.5" customHeight="1">
      <c r="A101" s="443"/>
      <c r="B101" s="456">
        <v>46040.0</v>
      </c>
      <c r="C101" s="451" t="s">
        <v>1180</v>
      </c>
      <c r="D101" s="450" t="s">
        <v>2422</v>
      </c>
      <c r="E101" s="420" t="s">
        <v>2432</v>
      </c>
      <c r="F101" s="445" t="s">
        <v>2484</v>
      </c>
      <c r="G101" s="442">
        <v>5720.0</v>
      </c>
      <c r="H101" s="448"/>
      <c r="I101" s="447"/>
      <c r="J101" s="448">
        <f t="shared" si="2"/>
        <v>1</v>
      </c>
      <c r="K101" s="448"/>
    </row>
    <row r="102" ht="22.5" customHeight="1">
      <c r="A102" s="443"/>
      <c r="B102" s="456">
        <v>46041.0</v>
      </c>
      <c r="C102" s="451" t="s">
        <v>918</v>
      </c>
      <c r="D102" s="450" t="s">
        <v>2422</v>
      </c>
      <c r="E102" s="420" t="s">
        <v>2432</v>
      </c>
      <c r="F102" s="445" t="s">
        <v>2484</v>
      </c>
      <c r="G102" s="442">
        <v>12580.0</v>
      </c>
      <c r="H102" s="448"/>
      <c r="I102" s="447"/>
      <c r="J102" s="448">
        <f t="shared" si="2"/>
        <v>1</v>
      </c>
      <c r="K102" s="448"/>
    </row>
    <row r="103" ht="22.5" customHeight="1">
      <c r="A103" s="443"/>
      <c r="B103" s="456">
        <v>46041.0</v>
      </c>
      <c r="C103" s="451" t="s">
        <v>275</v>
      </c>
      <c r="D103" s="450" t="s">
        <v>2422</v>
      </c>
      <c r="E103" s="420" t="s">
        <v>2432</v>
      </c>
      <c r="F103" s="445" t="s">
        <v>2484</v>
      </c>
      <c r="G103" s="442">
        <v>4180.0</v>
      </c>
      <c r="H103" s="448"/>
      <c r="I103" s="447"/>
      <c r="J103" s="448">
        <f t="shared" si="2"/>
        <v>1</v>
      </c>
      <c r="K103" s="448"/>
    </row>
    <row r="104" ht="22.5" customHeight="1">
      <c r="A104" s="443"/>
      <c r="B104" s="456">
        <v>46041.0</v>
      </c>
      <c r="C104" s="451" t="s">
        <v>1006</v>
      </c>
      <c r="D104" s="450" t="s">
        <v>2422</v>
      </c>
      <c r="E104" s="420" t="s">
        <v>2432</v>
      </c>
      <c r="F104" s="445" t="s">
        <v>2484</v>
      </c>
      <c r="G104" s="442">
        <v>4740.0</v>
      </c>
      <c r="H104" s="448"/>
      <c r="I104" s="447"/>
      <c r="J104" s="448">
        <f t="shared" si="2"/>
        <v>1</v>
      </c>
      <c r="K104" s="448"/>
    </row>
    <row r="105" ht="22.5" customHeight="1">
      <c r="A105" s="443"/>
      <c r="B105" s="456">
        <v>46041.0</v>
      </c>
      <c r="C105" s="451" t="s">
        <v>210</v>
      </c>
      <c r="D105" s="450" t="s">
        <v>2422</v>
      </c>
      <c r="E105" s="420" t="s">
        <v>2432</v>
      </c>
      <c r="F105" s="445" t="s">
        <v>2484</v>
      </c>
      <c r="G105" s="442">
        <v>8660.0</v>
      </c>
      <c r="H105" s="448"/>
      <c r="I105" s="447"/>
      <c r="J105" s="448">
        <f t="shared" si="2"/>
        <v>1</v>
      </c>
      <c r="K105" s="448"/>
    </row>
    <row r="106" ht="22.5" customHeight="1">
      <c r="A106" s="443"/>
      <c r="B106" s="456">
        <v>46041.0</v>
      </c>
      <c r="C106" s="451" t="s">
        <v>822</v>
      </c>
      <c r="D106" s="450" t="s">
        <v>2422</v>
      </c>
      <c r="E106" s="420" t="s">
        <v>2432</v>
      </c>
      <c r="F106" s="445" t="s">
        <v>2484</v>
      </c>
      <c r="G106" s="442">
        <v>10340.0</v>
      </c>
      <c r="H106" s="448"/>
      <c r="I106" s="447"/>
      <c r="J106" s="448">
        <f t="shared" si="2"/>
        <v>1</v>
      </c>
      <c r="K106" s="448"/>
    </row>
    <row r="107" ht="22.5" customHeight="1">
      <c r="A107" s="443"/>
      <c r="B107" s="456">
        <v>46041.0</v>
      </c>
      <c r="C107" s="451" t="s">
        <v>1055</v>
      </c>
      <c r="D107" s="450" t="s">
        <v>2422</v>
      </c>
      <c r="E107" s="420" t="s">
        <v>2432</v>
      </c>
      <c r="F107" s="445" t="s">
        <v>2484</v>
      </c>
      <c r="G107" s="442">
        <v>7820.0</v>
      </c>
      <c r="H107" s="448"/>
      <c r="I107" s="447"/>
      <c r="J107" s="448">
        <f t="shared" si="2"/>
        <v>1</v>
      </c>
      <c r="K107" s="448"/>
    </row>
    <row r="108" ht="22.5" customHeight="1">
      <c r="A108" s="443"/>
      <c r="B108" s="456">
        <v>46041.0</v>
      </c>
      <c r="C108" s="451" t="s">
        <v>97</v>
      </c>
      <c r="D108" s="450" t="s">
        <v>2422</v>
      </c>
      <c r="E108" s="420" t="s">
        <v>2432</v>
      </c>
      <c r="F108" s="445" t="s">
        <v>2484</v>
      </c>
      <c r="G108" s="442">
        <v>7400.0</v>
      </c>
      <c r="H108" s="448"/>
      <c r="I108" s="447"/>
      <c r="J108" s="448">
        <f t="shared" si="2"/>
        <v>1</v>
      </c>
      <c r="K108" s="448"/>
    </row>
    <row r="109" ht="22.5" customHeight="1">
      <c r="A109" s="443"/>
      <c r="B109" s="456">
        <v>46041.0</v>
      </c>
      <c r="C109" s="451" t="s">
        <v>986</v>
      </c>
      <c r="D109" s="450" t="s">
        <v>2422</v>
      </c>
      <c r="E109" s="420" t="s">
        <v>2432</v>
      </c>
      <c r="F109" s="445" t="s">
        <v>2484</v>
      </c>
      <c r="G109" s="442">
        <v>13620.0</v>
      </c>
      <c r="H109" s="448"/>
      <c r="I109" s="447"/>
      <c r="J109" s="448">
        <f t="shared" si="2"/>
        <v>1</v>
      </c>
      <c r="K109" s="448"/>
    </row>
    <row r="110" ht="22.5" customHeight="1">
      <c r="A110" s="443"/>
      <c r="B110" s="456">
        <v>46042.0</v>
      </c>
      <c r="C110" s="451" t="s">
        <v>154</v>
      </c>
      <c r="D110" s="450" t="s">
        <v>2422</v>
      </c>
      <c r="E110" s="420" t="s">
        <v>2432</v>
      </c>
      <c r="F110" s="445" t="s">
        <v>2484</v>
      </c>
      <c r="G110" s="442">
        <v>12580.0</v>
      </c>
      <c r="H110" s="448"/>
      <c r="I110" s="447"/>
      <c r="J110" s="448">
        <f t="shared" si="2"/>
        <v>1</v>
      </c>
      <c r="K110" s="448"/>
    </row>
    <row r="111" ht="22.5" customHeight="1">
      <c r="A111" s="443"/>
      <c r="B111" s="456">
        <v>46045.0</v>
      </c>
      <c r="C111" s="451" t="s">
        <v>415</v>
      </c>
      <c r="D111" s="450" t="s">
        <v>2422</v>
      </c>
      <c r="E111" s="420" t="s">
        <v>2432</v>
      </c>
      <c r="F111" s="445" t="s">
        <v>2484</v>
      </c>
      <c r="G111" s="442">
        <v>6000.0</v>
      </c>
      <c r="H111" s="448"/>
      <c r="I111" s="447"/>
      <c r="J111" s="448">
        <f t="shared" si="2"/>
        <v>1</v>
      </c>
      <c r="K111" s="448"/>
    </row>
    <row r="112" ht="22.5" customHeight="1">
      <c r="A112" s="443"/>
      <c r="B112" s="456">
        <v>46047.0</v>
      </c>
      <c r="C112" s="451" t="s">
        <v>822</v>
      </c>
      <c r="D112" s="450" t="s">
        <v>2422</v>
      </c>
      <c r="E112" s="420" t="s">
        <v>2432</v>
      </c>
      <c r="F112" s="445" t="s">
        <v>2484</v>
      </c>
      <c r="G112" s="442">
        <v>5440.0</v>
      </c>
      <c r="H112" s="448"/>
      <c r="I112" s="447"/>
      <c r="J112" s="448">
        <f t="shared" si="2"/>
        <v>1</v>
      </c>
      <c r="K112" s="448"/>
    </row>
    <row r="113" ht="22.5" customHeight="1">
      <c r="A113" s="443"/>
      <c r="B113" s="456">
        <v>46047.0</v>
      </c>
      <c r="C113" s="451" t="s">
        <v>210</v>
      </c>
      <c r="D113" s="450" t="s">
        <v>2422</v>
      </c>
      <c r="E113" s="420" t="s">
        <v>2432</v>
      </c>
      <c r="F113" s="445" t="s">
        <v>2484</v>
      </c>
      <c r="G113" s="442">
        <v>24120.0</v>
      </c>
      <c r="H113" s="448"/>
      <c r="I113" s="447"/>
      <c r="J113" s="448">
        <f t="shared" si="2"/>
        <v>1</v>
      </c>
      <c r="K113" s="448"/>
    </row>
    <row r="114" ht="22.5" customHeight="1">
      <c r="A114" s="443"/>
      <c r="B114" s="456">
        <v>46047.0</v>
      </c>
      <c r="C114" s="451" t="s">
        <v>986</v>
      </c>
      <c r="D114" s="450" t="s">
        <v>2422</v>
      </c>
      <c r="E114" s="420" t="s">
        <v>2432</v>
      </c>
      <c r="F114" s="445" t="s">
        <v>2484</v>
      </c>
      <c r="G114" s="442">
        <v>9920.0</v>
      </c>
      <c r="H114" s="448"/>
      <c r="I114" s="447"/>
      <c r="J114" s="448">
        <f t="shared" si="2"/>
        <v>1</v>
      </c>
      <c r="K114" s="448"/>
    </row>
    <row r="115" ht="22.5" customHeight="1">
      <c r="A115" s="443"/>
      <c r="B115" s="456">
        <v>46048.0</v>
      </c>
      <c r="C115" s="451" t="s">
        <v>760</v>
      </c>
      <c r="D115" s="450" t="s">
        <v>2422</v>
      </c>
      <c r="E115" s="420" t="s">
        <v>2432</v>
      </c>
      <c r="F115" s="445" t="s">
        <v>2484</v>
      </c>
      <c r="G115" s="442">
        <v>8800.0</v>
      </c>
      <c r="H115" s="448"/>
      <c r="I115" s="447"/>
      <c r="J115" s="448">
        <f t="shared" si="2"/>
        <v>1</v>
      </c>
      <c r="K115" s="448"/>
    </row>
    <row r="116" ht="22.5" customHeight="1">
      <c r="A116" s="443"/>
      <c r="B116" s="456">
        <v>46048.0</v>
      </c>
      <c r="C116" s="451" t="s">
        <v>1055</v>
      </c>
      <c r="D116" s="450" t="s">
        <v>2422</v>
      </c>
      <c r="E116" s="420" t="s">
        <v>2432</v>
      </c>
      <c r="F116" s="445" t="s">
        <v>2484</v>
      </c>
      <c r="G116" s="442">
        <v>12160.0</v>
      </c>
      <c r="H116" s="448"/>
      <c r="I116" s="447"/>
      <c r="J116" s="448">
        <f t="shared" si="2"/>
        <v>1</v>
      </c>
      <c r="K116" s="448"/>
    </row>
    <row r="117" ht="22.5" customHeight="1">
      <c r="A117" s="443"/>
      <c r="B117" s="456">
        <v>46048.0</v>
      </c>
      <c r="C117" s="451" t="s">
        <v>598</v>
      </c>
      <c r="D117" s="450" t="s">
        <v>2422</v>
      </c>
      <c r="E117" s="420" t="s">
        <v>2432</v>
      </c>
      <c r="F117" s="445" t="s">
        <v>2484</v>
      </c>
      <c r="G117" s="442">
        <v>6480.0</v>
      </c>
      <c r="H117" s="448"/>
      <c r="I117" s="447"/>
      <c r="J117" s="448">
        <f t="shared" si="2"/>
        <v>1</v>
      </c>
      <c r="K117" s="448"/>
    </row>
    <row r="118" ht="22.5" customHeight="1">
      <c r="A118" s="443"/>
      <c r="B118" s="456">
        <v>46049.0</v>
      </c>
      <c r="C118" s="451" t="s">
        <v>27</v>
      </c>
      <c r="D118" s="450" t="s">
        <v>2422</v>
      </c>
      <c r="E118" s="420" t="s">
        <v>2432</v>
      </c>
      <c r="F118" s="445" t="s">
        <v>2484</v>
      </c>
      <c r="G118" s="442">
        <v>10760.0</v>
      </c>
      <c r="H118" s="448"/>
      <c r="I118" s="447"/>
      <c r="J118" s="448">
        <f t="shared" si="2"/>
        <v>1</v>
      </c>
      <c r="K118" s="448"/>
    </row>
    <row r="119" ht="22.5" customHeight="1">
      <c r="A119" s="443"/>
      <c r="B119" s="456">
        <v>46050.0</v>
      </c>
      <c r="C119" s="451" t="s">
        <v>97</v>
      </c>
      <c r="D119" s="450" t="s">
        <v>2422</v>
      </c>
      <c r="E119" s="420" t="s">
        <v>2432</v>
      </c>
      <c r="F119" s="445" t="s">
        <v>2484</v>
      </c>
      <c r="G119" s="442">
        <v>16570.0</v>
      </c>
      <c r="H119" s="448"/>
      <c r="I119" s="447"/>
      <c r="J119" s="448">
        <f t="shared" si="2"/>
        <v>1</v>
      </c>
      <c r="K119" s="448"/>
    </row>
    <row r="120" ht="22.5" customHeight="1">
      <c r="A120" s="443"/>
      <c r="B120" s="456">
        <v>46050.0</v>
      </c>
      <c r="C120" s="451" t="s">
        <v>154</v>
      </c>
      <c r="D120" s="450" t="s">
        <v>2422</v>
      </c>
      <c r="E120" s="420" t="s">
        <v>2432</v>
      </c>
      <c r="F120" s="445" t="s">
        <v>2484</v>
      </c>
      <c r="G120" s="442">
        <v>11320.0</v>
      </c>
      <c r="H120" s="448"/>
      <c r="I120" s="447"/>
      <c r="J120" s="448">
        <f t="shared" si="2"/>
        <v>1</v>
      </c>
      <c r="K120" s="448"/>
    </row>
    <row r="121" ht="22.5" customHeight="1">
      <c r="A121" s="443"/>
      <c r="B121" s="456">
        <v>46051.0</v>
      </c>
      <c r="C121" s="451" t="s">
        <v>27</v>
      </c>
      <c r="D121" s="450" t="s">
        <v>2422</v>
      </c>
      <c r="E121" s="420" t="s">
        <v>2432</v>
      </c>
      <c r="F121" s="445" t="s">
        <v>2484</v>
      </c>
      <c r="G121" s="442">
        <v>5250.0</v>
      </c>
      <c r="H121" s="448"/>
      <c r="I121" s="447"/>
      <c r="J121" s="448">
        <f t="shared" si="2"/>
        <v>1</v>
      </c>
      <c r="K121" s="448"/>
    </row>
    <row r="122" ht="22.5" customHeight="1">
      <c r="A122" s="443"/>
      <c r="B122" s="456">
        <v>46051.0</v>
      </c>
      <c r="C122" s="451" t="s">
        <v>210</v>
      </c>
      <c r="D122" s="450" t="s">
        <v>2422</v>
      </c>
      <c r="E122" s="420" t="s">
        <v>2432</v>
      </c>
      <c r="F122" s="445" t="s">
        <v>2484</v>
      </c>
      <c r="G122" s="442">
        <v>10740.0</v>
      </c>
      <c r="H122" s="448"/>
      <c r="I122" s="447"/>
      <c r="J122" s="448">
        <f t="shared" si="2"/>
        <v>1</v>
      </c>
      <c r="K122" s="448"/>
    </row>
    <row r="123" ht="22.5" customHeight="1">
      <c r="A123" s="443"/>
      <c r="B123" s="456">
        <v>46052.0</v>
      </c>
      <c r="C123" s="451" t="s">
        <v>154</v>
      </c>
      <c r="D123" s="450" t="s">
        <v>2422</v>
      </c>
      <c r="E123" s="420" t="s">
        <v>2432</v>
      </c>
      <c r="F123" s="445" t="s">
        <v>2484</v>
      </c>
      <c r="G123" s="442">
        <v>10900.0</v>
      </c>
      <c r="H123" s="448"/>
      <c r="I123" s="447"/>
      <c r="J123" s="448">
        <f t="shared" si="2"/>
        <v>1</v>
      </c>
      <c r="K123" s="448"/>
    </row>
    <row r="124" ht="22.5" customHeight="1">
      <c r="A124" s="443"/>
      <c r="B124" s="456">
        <v>46052.0</v>
      </c>
      <c r="C124" s="451" t="s">
        <v>275</v>
      </c>
      <c r="D124" s="450" t="s">
        <v>2422</v>
      </c>
      <c r="E124" s="420" t="s">
        <v>2432</v>
      </c>
      <c r="F124" s="445" t="s">
        <v>2484</v>
      </c>
      <c r="G124" s="442">
        <v>4040.0</v>
      </c>
      <c r="H124" s="448"/>
      <c r="I124" s="447"/>
      <c r="J124" s="448">
        <f t="shared" si="2"/>
        <v>1</v>
      </c>
      <c r="K124" s="448"/>
    </row>
    <row r="125" ht="22.5" customHeight="1">
      <c r="A125" s="443"/>
      <c r="B125" s="456">
        <v>46051.0</v>
      </c>
      <c r="C125" s="451" t="s">
        <v>643</v>
      </c>
      <c r="D125" s="459" t="s">
        <v>2416</v>
      </c>
      <c r="E125" s="460" t="s">
        <v>2485</v>
      </c>
      <c r="F125" s="445" t="s">
        <v>2486</v>
      </c>
      <c r="G125" s="442">
        <v>50000.0</v>
      </c>
      <c r="H125" s="448"/>
      <c r="I125" s="447"/>
      <c r="J125" s="448">
        <f t="shared" si="2"/>
        <v>1</v>
      </c>
      <c r="K125" s="448"/>
    </row>
    <row r="126" ht="22.5" customHeight="1">
      <c r="A126" s="443"/>
      <c r="B126" s="456">
        <v>46051.0</v>
      </c>
      <c r="C126" s="451" t="s">
        <v>643</v>
      </c>
      <c r="D126" s="459" t="s">
        <v>2416</v>
      </c>
      <c r="E126" s="460" t="s">
        <v>2487</v>
      </c>
      <c r="F126" s="445" t="s">
        <v>2488</v>
      </c>
      <c r="G126" s="442">
        <v>40000.0</v>
      </c>
      <c r="H126" s="448"/>
      <c r="I126" s="447"/>
      <c r="J126" s="448">
        <f t="shared" si="2"/>
        <v>1</v>
      </c>
      <c r="K126" s="448"/>
    </row>
    <row r="127" ht="22.5" customHeight="1">
      <c r="A127" s="443"/>
      <c r="B127" s="456">
        <v>46033.0</v>
      </c>
      <c r="C127" s="451" t="s">
        <v>643</v>
      </c>
      <c r="D127" s="459" t="s">
        <v>2416</v>
      </c>
      <c r="E127" s="460" t="s">
        <v>2489</v>
      </c>
      <c r="F127" s="445" t="s">
        <v>2486</v>
      </c>
      <c r="G127" s="442">
        <v>150000.0</v>
      </c>
      <c r="H127" s="448"/>
      <c r="I127" s="447"/>
      <c r="J127" s="448">
        <f t="shared" si="2"/>
        <v>1</v>
      </c>
      <c r="K127" s="448"/>
    </row>
    <row r="128" ht="22.5" customHeight="1">
      <c r="A128" s="443"/>
      <c r="B128" s="456">
        <v>46033.0</v>
      </c>
      <c r="C128" s="451" t="s">
        <v>643</v>
      </c>
      <c r="D128" s="459" t="s">
        <v>2416</v>
      </c>
      <c r="E128" s="460" t="s">
        <v>2490</v>
      </c>
      <c r="F128" s="445" t="s">
        <v>2488</v>
      </c>
      <c r="G128" s="442">
        <v>30000.0</v>
      </c>
      <c r="H128" s="448"/>
      <c r="I128" s="447"/>
      <c r="J128" s="448">
        <f t="shared" si="2"/>
        <v>1</v>
      </c>
      <c r="K128" s="448"/>
    </row>
    <row r="129" ht="22.5" customHeight="1">
      <c r="A129" s="443"/>
      <c r="B129" s="456">
        <v>46028.0</v>
      </c>
      <c r="C129" s="451" t="s">
        <v>58</v>
      </c>
      <c r="D129" s="459" t="s">
        <v>2416</v>
      </c>
      <c r="E129" s="460" t="s">
        <v>2491</v>
      </c>
      <c r="F129" s="445" t="s">
        <v>2486</v>
      </c>
      <c r="G129" s="442">
        <v>70000.0</v>
      </c>
      <c r="H129" s="448"/>
      <c r="I129" s="447"/>
      <c r="J129" s="448">
        <f t="shared" si="2"/>
        <v>1</v>
      </c>
      <c r="K129" s="448"/>
    </row>
    <row r="130" ht="22.5" customHeight="1">
      <c r="A130" s="443"/>
      <c r="B130" s="456">
        <v>46029.0</v>
      </c>
      <c r="C130" s="451" t="s">
        <v>1006</v>
      </c>
      <c r="D130" s="459" t="s">
        <v>2492</v>
      </c>
      <c r="E130" s="460" t="s">
        <v>2493</v>
      </c>
      <c r="F130" s="445" t="s">
        <v>2494</v>
      </c>
      <c r="G130" s="442">
        <v>0.0</v>
      </c>
      <c r="H130" s="442">
        <v>145000.0</v>
      </c>
      <c r="I130" s="447"/>
      <c r="J130" s="448">
        <f t="shared" si="2"/>
        <v>1</v>
      </c>
      <c r="K130" s="448"/>
    </row>
    <row r="131" ht="22.5" customHeight="1">
      <c r="A131" s="443"/>
      <c r="B131" s="456">
        <v>46030.0</v>
      </c>
      <c r="C131" s="451" t="s">
        <v>804</v>
      </c>
      <c r="D131" s="459" t="s">
        <v>2416</v>
      </c>
      <c r="E131" s="460" t="s">
        <v>2495</v>
      </c>
      <c r="F131" s="445"/>
      <c r="G131" s="442">
        <v>40000.0</v>
      </c>
      <c r="H131" s="448"/>
      <c r="I131" s="447"/>
      <c r="J131" s="448">
        <f t="shared" si="2"/>
        <v>1</v>
      </c>
      <c r="K131" s="448"/>
    </row>
    <row r="132" ht="22.5" customHeight="1">
      <c r="A132" s="443"/>
      <c r="B132" s="456">
        <v>46034.0</v>
      </c>
      <c r="C132" s="451" t="s">
        <v>1093</v>
      </c>
      <c r="D132" s="459" t="s">
        <v>2416</v>
      </c>
      <c r="E132" s="460" t="s">
        <v>2496</v>
      </c>
      <c r="F132" s="445"/>
      <c r="G132" s="442">
        <v>30000.0</v>
      </c>
      <c r="H132" s="448"/>
      <c r="I132" s="447"/>
      <c r="J132" s="448">
        <f t="shared" si="2"/>
        <v>1</v>
      </c>
      <c r="K132" s="448"/>
    </row>
    <row r="133" ht="22.5" customHeight="1">
      <c r="A133" s="443"/>
      <c r="B133" s="456">
        <v>46034.0</v>
      </c>
      <c r="C133" s="451" t="s">
        <v>1122</v>
      </c>
      <c r="D133" s="459" t="s">
        <v>2416</v>
      </c>
      <c r="E133" s="460" t="s">
        <v>2496</v>
      </c>
      <c r="F133" s="445"/>
      <c r="G133" s="442">
        <v>30000.0</v>
      </c>
      <c r="H133" s="448"/>
      <c r="I133" s="447"/>
      <c r="J133" s="448">
        <f t="shared" si="2"/>
        <v>1</v>
      </c>
      <c r="K133" s="448"/>
    </row>
    <row r="134" ht="22.5" customHeight="1">
      <c r="A134" s="443"/>
      <c r="B134" s="456">
        <v>46034.0</v>
      </c>
      <c r="C134" s="451" t="s">
        <v>1138</v>
      </c>
      <c r="D134" s="459" t="s">
        <v>2416</v>
      </c>
      <c r="E134" s="460" t="s">
        <v>2496</v>
      </c>
      <c r="F134" s="445"/>
      <c r="G134" s="442">
        <v>30000.0</v>
      </c>
      <c r="H134" s="448"/>
      <c r="I134" s="447"/>
      <c r="J134" s="448">
        <f t="shared" si="2"/>
        <v>1</v>
      </c>
      <c r="K134" s="448"/>
    </row>
    <row r="135" ht="22.5" customHeight="1">
      <c r="A135" s="443"/>
      <c r="B135" s="456">
        <v>46034.0</v>
      </c>
      <c r="C135" s="451" t="s">
        <v>1165</v>
      </c>
      <c r="D135" s="459" t="s">
        <v>2416</v>
      </c>
      <c r="E135" s="460" t="s">
        <v>2496</v>
      </c>
      <c r="F135" s="445"/>
      <c r="G135" s="442">
        <v>30000.0</v>
      </c>
      <c r="H135" s="448"/>
      <c r="I135" s="447"/>
      <c r="J135" s="448">
        <f t="shared" si="2"/>
        <v>1</v>
      </c>
      <c r="K135" s="448"/>
    </row>
    <row r="136" ht="22.5" customHeight="1">
      <c r="A136" s="443"/>
      <c r="B136" s="456">
        <v>46037.0</v>
      </c>
      <c r="C136" s="451" t="s">
        <v>97</v>
      </c>
      <c r="D136" s="459" t="s">
        <v>2416</v>
      </c>
      <c r="E136" s="460" t="s">
        <v>2497</v>
      </c>
      <c r="F136" s="445"/>
      <c r="G136" s="442">
        <v>30000.0</v>
      </c>
      <c r="H136" s="448"/>
      <c r="I136" s="447"/>
      <c r="J136" s="448">
        <f t="shared" si="2"/>
        <v>1</v>
      </c>
      <c r="K136" s="448"/>
    </row>
    <row r="137" ht="22.5" customHeight="1">
      <c r="A137" s="443"/>
      <c r="B137" s="456">
        <v>46024.0</v>
      </c>
      <c r="C137" s="451" t="s">
        <v>210</v>
      </c>
      <c r="D137" s="459" t="s">
        <v>2422</v>
      </c>
      <c r="E137" s="460" t="s">
        <v>2498</v>
      </c>
      <c r="G137" s="454">
        <v>50000.0</v>
      </c>
      <c r="H137" s="448"/>
      <c r="I137" s="447"/>
      <c r="J137" s="448">
        <f t="shared" si="2"/>
        <v>1</v>
      </c>
      <c r="K137" s="448"/>
    </row>
    <row r="138" ht="22.5" customHeight="1">
      <c r="A138" s="443"/>
      <c r="B138" s="456">
        <v>46024.0</v>
      </c>
      <c r="C138" s="451" t="s">
        <v>154</v>
      </c>
      <c r="D138" s="459" t="s">
        <v>2422</v>
      </c>
      <c r="E138" s="460" t="s">
        <v>2499</v>
      </c>
      <c r="F138" s="445"/>
      <c r="G138" s="442">
        <v>60000.0</v>
      </c>
      <c r="H138" s="448"/>
      <c r="I138" s="447"/>
      <c r="J138" s="448">
        <f t="shared" si="2"/>
        <v>1</v>
      </c>
      <c r="K138" s="448"/>
    </row>
    <row r="139" ht="22.5" customHeight="1">
      <c r="A139" s="443"/>
      <c r="B139" s="456">
        <v>46024.0</v>
      </c>
      <c r="C139" s="451" t="s">
        <v>643</v>
      </c>
      <c r="D139" s="459" t="s">
        <v>2422</v>
      </c>
      <c r="E139" s="460" t="s">
        <v>2500</v>
      </c>
      <c r="F139" s="445"/>
      <c r="G139" s="442">
        <v>60000.0</v>
      </c>
      <c r="H139" s="448"/>
      <c r="I139" s="447"/>
      <c r="J139" s="448">
        <f t="shared" si="2"/>
        <v>1</v>
      </c>
      <c r="K139" s="448"/>
    </row>
    <row r="140" ht="22.5" customHeight="1">
      <c r="A140" s="443"/>
      <c r="B140" s="456">
        <v>46029.0</v>
      </c>
      <c r="C140" s="451" t="s">
        <v>97</v>
      </c>
      <c r="D140" s="459" t="s">
        <v>2422</v>
      </c>
      <c r="E140" s="460" t="s">
        <v>2501</v>
      </c>
      <c r="F140" s="445"/>
      <c r="G140" s="442">
        <v>60000.0</v>
      </c>
      <c r="H140" s="448"/>
      <c r="I140" s="447"/>
      <c r="J140" s="448">
        <f t="shared" si="2"/>
        <v>1</v>
      </c>
      <c r="K140" s="448"/>
    </row>
    <row r="141" ht="22.5" customHeight="1">
      <c r="A141" s="443"/>
      <c r="B141" s="456">
        <v>46029.0</v>
      </c>
      <c r="C141" s="451" t="s">
        <v>986</v>
      </c>
      <c r="D141" s="459" t="s">
        <v>2422</v>
      </c>
      <c r="E141" s="460" t="s">
        <v>2502</v>
      </c>
      <c r="F141" s="445"/>
      <c r="G141" s="442">
        <v>40000.0</v>
      </c>
      <c r="H141" s="448"/>
      <c r="I141" s="447"/>
      <c r="J141" s="448">
        <f t="shared" si="2"/>
        <v>1</v>
      </c>
      <c r="K141" s="448"/>
    </row>
    <row r="142" ht="22.5" customHeight="1">
      <c r="A142" s="443"/>
      <c r="B142" s="456">
        <v>46029.0</v>
      </c>
      <c r="C142" s="451" t="s">
        <v>1006</v>
      </c>
      <c r="D142" s="459" t="s">
        <v>2422</v>
      </c>
      <c r="E142" s="460" t="s">
        <v>2503</v>
      </c>
      <c r="F142" s="445"/>
      <c r="G142" s="442">
        <v>40000.0</v>
      </c>
      <c r="H142" s="448"/>
      <c r="I142" s="447"/>
      <c r="J142" s="448">
        <f t="shared" si="2"/>
        <v>1</v>
      </c>
      <c r="K142" s="448"/>
    </row>
    <row r="143" ht="22.5" customHeight="1">
      <c r="A143" s="443"/>
      <c r="B143" s="456">
        <v>46030.0</v>
      </c>
      <c r="C143" s="451" t="s">
        <v>682</v>
      </c>
      <c r="D143" s="459" t="s">
        <v>2422</v>
      </c>
      <c r="E143" s="460" t="s">
        <v>2504</v>
      </c>
      <c r="F143" s="445"/>
      <c r="G143" s="442">
        <v>40000.0</v>
      </c>
      <c r="H143" s="448"/>
      <c r="I143" s="447"/>
      <c r="J143" s="448">
        <f t="shared" si="2"/>
        <v>1</v>
      </c>
      <c r="K143" s="448"/>
    </row>
    <row r="144" ht="22.5" customHeight="1">
      <c r="A144" s="443"/>
      <c r="B144" s="456">
        <v>46030.0</v>
      </c>
      <c r="C144" s="451" t="s">
        <v>804</v>
      </c>
      <c r="D144" s="459" t="s">
        <v>2422</v>
      </c>
      <c r="E144" s="460" t="s">
        <v>2505</v>
      </c>
      <c r="F144" s="445"/>
      <c r="G144" s="442">
        <v>40000.0</v>
      </c>
      <c r="H144" s="448"/>
      <c r="I144" s="447"/>
      <c r="J144" s="448">
        <f t="shared" si="2"/>
        <v>1</v>
      </c>
      <c r="K144" s="448"/>
    </row>
    <row r="145" ht="22.5" customHeight="1">
      <c r="A145" s="443"/>
      <c r="B145" s="456">
        <v>46030.0</v>
      </c>
      <c r="C145" s="451" t="s">
        <v>822</v>
      </c>
      <c r="D145" s="459" t="s">
        <v>2422</v>
      </c>
      <c r="E145" s="460" t="s">
        <v>2506</v>
      </c>
      <c r="F145" s="445"/>
      <c r="G145" s="442">
        <v>40000.0</v>
      </c>
      <c r="H145" s="448"/>
      <c r="I145" s="447"/>
      <c r="J145" s="448">
        <f t="shared" si="2"/>
        <v>1</v>
      </c>
      <c r="K145" s="448"/>
    </row>
    <row r="146" ht="22.5" customHeight="1">
      <c r="A146" s="443"/>
      <c r="B146" s="456">
        <v>46030.0</v>
      </c>
      <c r="C146" s="451" t="s">
        <v>897</v>
      </c>
      <c r="D146" s="459" t="s">
        <v>2422</v>
      </c>
      <c r="E146" s="460" t="s">
        <v>2507</v>
      </c>
      <c r="F146" s="445"/>
      <c r="G146" s="442">
        <v>40000.0</v>
      </c>
      <c r="H146" s="448"/>
      <c r="I146" s="447"/>
      <c r="J146" s="448">
        <f t="shared" si="2"/>
        <v>1</v>
      </c>
      <c r="K146" s="448"/>
    </row>
    <row r="147" ht="22.5" customHeight="1">
      <c r="A147" s="443"/>
      <c r="B147" s="456">
        <v>46030.0</v>
      </c>
      <c r="C147" s="451" t="s">
        <v>1021</v>
      </c>
      <c r="D147" s="459" t="s">
        <v>2422</v>
      </c>
      <c r="E147" s="460" t="s">
        <v>2508</v>
      </c>
      <c r="F147" s="445"/>
      <c r="G147" s="442">
        <v>40000.0</v>
      </c>
      <c r="H147" s="448"/>
      <c r="I147" s="447"/>
      <c r="J147" s="448">
        <f t="shared" si="2"/>
        <v>1</v>
      </c>
      <c r="K147" s="448"/>
    </row>
    <row r="148" ht="22.5" customHeight="1">
      <c r="A148" s="443"/>
      <c r="B148" s="456">
        <v>46030.0</v>
      </c>
      <c r="C148" s="451" t="s">
        <v>1650</v>
      </c>
      <c r="D148" s="459" t="s">
        <v>2422</v>
      </c>
      <c r="E148" s="460" t="s">
        <v>2509</v>
      </c>
      <c r="F148" s="445"/>
      <c r="G148" s="442">
        <v>40000.0</v>
      </c>
      <c r="H148" s="448"/>
      <c r="I148" s="447"/>
      <c r="J148" s="448">
        <f t="shared" si="2"/>
        <v>1</v>
      </c>
      <c r="K148" s="448"/>
    </row>
    <row r="149" ht="22.5" customHeight="1">
      <c r="A149" s="443"/>
      <c r="B149" s="456">
        <v>46031.0</v>
      </c>
      <c r="C149" s="451" t="s">
        <v>275</v>
      </c>
      <c r="D149" s="459" t="s">
        <v>2422</v>
      </c>
      <c r="E149" s="460" t="s">
        <v>2510</v>
      </c>
      <c r="F149" s="445"/>
      <c r="G149" s="442">
        <v>40000.0</v>
      </c>
      <c r="H149" s="448"/>
      <c r="I149" s="447"/>
      <c r="J149" s="448">
        <f t="shared" si="2"/>
        <v>1</v>
      </c>
      <c r="K149" s="448"/>
    </row>
    <row r="150" ht="22.5" customHeight="1">
      <c r="A150" s="443"/>
      <c r="B150" s="456">
        <v>46036.0</v>
      </c>
      <c r="C150" s="451" t="s">
        <v>505</v>
      </c>
      <c r="D150" s="459" t="s">
        <v>2422</v>
      </c>
      <c r="E150" s="460" t="s">
        <v>2511</v>
      </c>
      <c r="F150" s="445"/>
      <c r="G150" s="442">
        <v>50000.0</v>
      </c>
      <c r="H150" s="448"/>
      <c r="I150" s="447"/>
      <c r="J150" s="448">
        <f t="shared" si="2"/>
        <v>1</v>
      </c>
      <c r="K150" s="448"/>
    </row>
    <row r="151" ht="22.5" customHeight="1">
      <c r="A151" s="443"/>
      <c r="B151" s="456">
        <v>46037.0</v>
      </c>
      <c r="C151" s="451" t="s">
        <v>1122</v>
      </c>
      <c r="D151" s="459" t="s">
        <v>2422</v>
      </c>
      <c r="E151" s="460" t="s">
        <v>2512</v>
      </c>
      <c r="F151" s="445"/>
      <c r="G151" s="442">
        <v>40000.0</v>
      </c>
      <c r="H151" s="448"/>
      <c r="I151" s="447"/>
      <c r="J151" s="448">
        <f t="shared" si="2"/>
        <v>1</v>
      </c>
      <c r="K151" s="448"/>
    </row>
    <row r="152" ht="22.5" customHeight="1">
      <c r="A152" s="443"/>
      <c r="B152" s="456">
        <v>46037.0</v>
      </c>
      <c r="C152" s="451" t="s">
        <v>1093</v>
      </c>
      <c r="D152" s="459" t="s">
        <v>2422</v>
      </c>
      <c r="E152" s="460" t="s">
        <v>2513</v>
      </c>
      <c r="F152" s="445"/>
      <c r="G152" s="442">
        <v>40000.0</v>
      </c>
      <c r="H152" s="448"/>
      <c r="I152" s="447"/>
      <c r="J152" s="448">
        <f t="shared" si="2"/>
        <v>1</v>
      </c>
      <c r="K152" s="448"/>
    </row>
    <row r="153" ht="22.5" customHeight="1">
      <c r="A153" s="443"/>
      <c r="B153" s="456">
        <v>46037.0</v>
      </c>
      <c r="C153" s="451" t="s">
        <v>1138</v>
      </c>
      <c r="D153" s="459" t="s">
        <v>2422</v>
      </c>
      <c r="E153" s="460" t="s">
        <v>2514</v>
      </c>
      <c r="F153" s="445"/>
      <c r="G153" s="442">
        <v>40000.0</v>
      </c>
      <c r="H153" s="448"/>
      <c r="I153" s="447"/>
      <c r="J153" s="448">
        <f t="shared" si="2"/>
        <v>1</v>
      </c>
      <c r="K153" s="448"/>
    </row>
    <row r="154" ht="22.5" customHeight="1">
      <c r="A154" s="443"/>
      <c r="B154" s="456">
        <v>46037.0</v>
      </c>
      <c r="C154" s="451" t="s">
        <v>918</v>
      </c>
      <c r="D154" s="459" t="s">
        <v>2422</v>
      </c>
      <c r="E154" s="460" t="s">
        <v>2515</v>
      </c>
      <c r="F154" s="445"/>
      <c r="G154" s="442">
        <v>40000.0</v>
      </c>
      <c r="H154" s="448"/>
      <c r="I154" s="447"/>
      <c r="J154" s="448">
        <f t="shared" si="2"/>
        <v>1</v>
      </c>
      <c r="K154" s="448"/>
    </row>
    <row r="155" ht="22.5" customHeight="1">
      <c r="A155" s="443"/>
      <c r="B155" s="456">
        <v>46037.0</v>
      </c>
      <c r="C155" s="451" t="s">
        <v>945</v>
      </c>
      <c r="D155" s="459" t="s">
        <v>2422</v>
      </c>
      <c r="E155" s="460" t="s">
        <v>2516</v>
      </c>
      <c r="F155" s="445"/>
      <c r="G155" s="442">
        <v>40000.0</v>
      </c>
      <c r="H155" s="448"/>
      <c r="I155" s="447"/>
      <c r="J155" s="448">
        <f t="shared" si="2"/>
        <v>1</v>
      </c>
      <c r="K155" s="448"/>
    </row>
    <row r="156" ht="22.5" customHeight="1">
      <c r="A156" s="443"/>
      <c r="B156" s="456">
        <v>46037.0</v>
      </c>
      <c r="C156" s="451" t="s">
        <v>967</v>
      </c>
      <c r="D156" s="459" t="s">
        <v>2422</v>
      </c>
      <c r="E156" s="460" t="s">
        <v>2517</v>
      </c>
      <c r="F156" s="445"/>
      <c r="G156" s="442">
        <v>40000.0</v>
      </c>
      <c r="H156" s="448"/>
      <c r="I156" s="447"/>
      <c r="J156" s="448">
        <f t="shared" si="2"/>
        <v>1</v>
      </c>
      <c r="K156" s="448"/>
    </row>
    <row r="157" ht="22.5" customHeight="1">
      <c r="A157" s="443"/>
      <c r="B157" s="456">
        <v>46038.0</v>
      </c>
      <c r="C157" s="451" t="s">
        <v>1180</v>
      </c>
      <c r="D157" s="459" t="s">
        <v>2422</v>
      </c>
      <c r="E157" s="460" t="s">
        <v>2518</v>
      </c>
      <c r="F157" s="445"/>
      <c r="G157" s="442">
        <v>40000.0</v>
      </c>
      <c r="H157" s="448"/>
      <c r="I157" s="447"/>
      <c r="J157" s="448">
        <f t="shared" si="2"/>
        <v>1</v>
      </c>
      <c r="K157" s="448"/>
    </row>
    <row r="158" ht="22.5" customHeight="1">
      <c r="A158" s="443"/>
      <c r="B158" s="456">
        <v>46038.0</v>
      </c>
      <c r="C158" s="451" t="s">
        <v>1165</v>
      </c>
      <c r="D158" s="459" t="s">
        <v>2422</v>
      </c>
      <c r="E158" s="460" t="s">
        <v>2519</v>
      </c>
      <c r="F158" s="445"/>
      <c r="G158" s="442">
        <v>40000.0</v>
      </c>
      <c r="H158" s="448"/>
      <c r="I158" s="447"/>
      <c r="J158" s="448">
        <f t="shared" si="2"/>
        <v>1</v>
      </c>
      <c r="K158" s="448"/>
    </row>
    <row r="159" ht="22.5" customHeight="1">
      <c r="A159" s="443"/>
      <c r="B159" s="456">
        <v>46038.0</v>
      </c>
      <c r="C159" s="451" t="s">
        <v>629</v>
      </c>
      <c r="D159" s="459" t="s">
        <v>2422</v>
      </c>
      <c r="E159" s="460" t="s">
        <v>2520</v>
      </c>
      <c r="F159" s="445"/>
      <c r="G159" s="442">
        <v>50000.0</v>
      </c>
      <c r="H159" s="448"/>
      <c r="I159" s="447"/>
      <c r="J159" s="448">
        <f t="shared" si="2"/>
        <v>1</v>
      </c>
      <c r="K159" s="448"/>
    </row>
    <row r="160" ht="22.5" customHeight="1">
      <c r="A160" s="443"/>
      <c r="B160" s="456">
        <v>46038.0</v>
      </c>
      <c r="C160" s="451" t="s">
        <v>266</v>
      </c>
      <c r="D160" s="459" t="s">
        <v>2422</v>
      </c>
      <c r="E160" s="460" t="s">
        <v>2521</v>
      </c>
      <c r="F160" s="445"/>
      <c r="G160" s="442">
        <v>40000.0</v>
      </c>
      <c r="H160" s="448"/>
      <c r="I160" s="447"/>
      <c r="J160" s="448">
        <f t="shared" si="2"/>
        <v>1</v>
      </c>
      <c r="K160" s="448"/>
    </row>
    <row r="161" ht="22.5" customHeight="1">
      <c r="A161" s="443"/>
      <c r="B161" s="456">
        <v>46042.0</v>
      </c>
      <c r="C161" s="451" t="s">
        <v>1055</v>
      </c>
      <c r="D161" s="459" t="s">
        <v>2422</v>
      </c>
      <c r="E161" s="460" t="s">
        <v>2522</v>
      </c>
      <c r="F161" s="445"/>
      <c r="G161" s="442">
        <v>40000.0</v>
      </c>
      <c r="H161" s="448"/>
      <c r="I161" s="447"/>
      <c r="J161" s="448">
        <f t="shared" si="2"/>
        <v>1</v>
      </c>
      <c r="K161" s="448"/>
    </row>
    <row r="162" ht="22.5" customHeight="1">
      <c r="A162" s="443"/>
      <c r="B162" s="456">
        <v>46043.0</v>
      </c>
      <c r="C162" s="451" t="s">
        <v>1813</v>
      </c>
      <c r="D162" s="459" t="s">
        <v>2422</v>
      </c>
      <c r="E162" s="460" t="s">
        <v>2523</v>
      </c>
      <c r="F162" s="445"/>
      <c r="G162" s="442">
        <v>50000.0</v>
      </c>
      <c r="H162" s="448"/>
      <c r="I162" s="447"/>
      <c r="J162" s="448">
        <f t="shared" si="2"/>
        <v>1</v>
      </c>
      <c r="K162" s="448"/>
    </row>
    <row r="163" ht="22.5" customHeight="1">
      <c r="A163" s="443"/>
      <c r="B163" s="456">
        <v>46043.0</v>
      </c>
      <c r="C163" s="451" t="s">
        <v>328</v>
      </c>
      <c r="D163" s="459" t="s">
        <v>2422</v>
      </c>
      <c r="E163" s="460" t="s">
        <v>2524</v>
      </c>
      <c r="F163" s="445"/>
      <c r="G163" s="442">
        <v>40000.0</v>
      </c>
      <c r="H163" s="448"/>
      <c r="I163" s="447"/>
      <c r="J163" s="448">
        <f t="shared" si="2"/>
        <v>1</v>
      </c>
      <c r="K163" s="448"/>
    </row>
    <row r="164" ht="22.5" customHeight="1">
      <c r="A164" s="443"/>
      <c r="B164" s="456">
        <v>46043.0</v>
      </c>
      <c r="C164" s="451" t="s">
        <v>305</v>
      </c>
      <c r="D164" s="459" t="s">
        <v>2422</v>
      </c>
      <c r="E164" s="460" t="s">
        <v>2525</v>
      </c>
      <c r="F164" s="445"/>
      <c r="G164" s="442">
        <v>40000.0</v>
      </c>
      <c r="H164" s="448"/>
      <c r="I164" s="447"/>
      <c r="J164" s="448">
        <f t="shared" si="2"/>
        <v>1</v>
      </c>
      <c r="K164" s="448"/>
    </row>
    <row r="165" ht="22.5" customHeight="1">
      <c r="A165" s="443"/>
      <c r="B165" s="456">
        <v>46044.0</v>
      </c>
      <c r="C165" s="451" t="s">
        <v>760</v>
      </c>
      <c r="D165" s="459" t="s">
        <v>2422</v>
      </c>
      <c r="E165" s="460" t="s">
        <v>2526</v>
      </c>
      <c r="F165" s="445"/>
      <c r="G165" s="442">
        <v>40000.0</v>
      </c>
      <c r="H165" s="448"/>
      <c r="I165" s="447"/>
      <c r="J165" s="448">
        <f t="shared" si="2"/>
        <v>1</v>
      </c>
      <c r="K165" s="448"/>
    </row>
    <row r="166" ht="22.5" customHeight="1">
      <c r="A166" s="443"/>
      <c r="B166" s="456">
        <v>46044.0</v>
      </c>
      <c r="C166" s="451" t="s">
        <v>1041</v>
      </c>
      <c r="D166" s="459" t="s">
        <v>2422</v>
      </c>
      <c r="E166" s="460" t="s">
        <v>2527</v>
      </c>
      <c r="F166" s="445"/>
      <c r="G166" s="442">
        <v>40000.0</v>
      </c>
      <c r="H166" s="448"/>
      <c r="I166" s="447"/>
      <c r="J166" s="448">
        <f t="shared" si="2"/>
        <v>1</v>
      </c>
      <c r="K166" s="448"/>
    </row>
    <row r="167" ht="22.5" customHeight="1">
      <c r="A167" s="443"/>
      <c r="B167" s="456">
        <v>46044.0</v>
      </c>
      <c r="C167" s="451" t="s">
        <v>415</v>
      </c>
      <c r="D167" s="459" t="s">
        <v>2422</v>
      </c>
      <c r="E167" s="460" t="s">
        <v>2528</v>
      </c>
      <c r="F167" s="445"/>
      <c r="G167" s="442">
        <v>50000.0</v>
      </c>
      <c r="H167" s="448"/>
      <c r="I167" s="447"/>
      <c r="J167" s="448">
        <f t="shared" si="2"/>
        <v>1</v>
      </c>
      <c r="K167" s="448"/>
    </row>
    <row r="168" ht="22.5" customHeight="1">
      <c r="A168" s="443"/>
      <c r="B168" s="456">
        <v>46045.0</v>
      </c>
      <c r="C168" s="451" t="s">
        <v>730</v>
      </c>
      <c r="D168" s="459" t="s">
        <v>2422</v>
      </c>
      <c r="E168" s="460" t="s">
        <v>2529</v>
      </c>
      <c r="F168" s="445"/>
      <c r="G168" s="442">
        <v>40000.0</v>
      </c>
      <c r="H168" s="448"/>
      <c r="I168" s="447"/>
      <c r="J168" s="448">
        <f t="shared" si="2"/>
        <v>1</v>
      </c>
      <c r="K168" s="448"/>
    </row>
    <row r="169" ht="22.5" customHeight="1">
      <c r="A169" s="443"/>
      <c r="B169" s="456">
        <v>46045.0</v>
      </c>
      <c r="C169" s="451" t="s">
        <v>610</v>
      </c>
      <c r="D169" s="459" t="s">
        <v>2422</v>
      </c>
      <c r="E169" s="460" t="s">
        <v>2530</v>
      </c>
      <c r="F169" s="445"/>
      <c r="G169" s="442">
        <v>50000.0</v>
      </c>
      <c r="H169" s="448"/>
      <c r="I169" s="447"/>
      <c r="J169" s="448">
        <f t="shared" si="2"/>
        <v>1</v>
      </c>
      <c r="K169" s="448"/>
    </row>
    <row r="170" ht="22.5" customHeight="1">
      <c r="A170" s="443"/>
      <c r="B170" s="456">
        <v>46049.0</v>
      </c>
      <c r="C170" s="451" t="s">
        <v>97</v>
      </c>
      <c r="D170" s="459" t="s">
        <v>2422</v>
      </c>
      <c r="E170" s="460" t="s">
        <v>2531</v>
      </c>
      <c r="F170" s="445"/>
      <c r="G170" s="442">
        <v>60000.0</v>
      </c>
      <c r="H170" s="448"/>
      <c r="I170" s="447"/>
      <c r="J170" s="448">
        <f t="shared" si="2"/>
        <v>1</v>
      </c>
      <c r="K170" s="448"/>
    </row>
    <row r="171" ht="22.5" customHeight="1">
      <c r="A171" s="443"/>
      <c r="B171" s="456">
        <v>46049.0</v>
      </c>
      <c r="C171" s="451" t="s">
        <v>58</v>
      </c>
      <c r="D171" s="459" t="s">
        <v>2422</v>
      </c>
      <c r="E171" s="460" t="s">
        <v>2532</v>
      </c>
      <c r="F171" s="445"/>
      <c r="G171" s="442">
        <v>50000.0</v>
      </c>
      <c r="H171" s="448"/>
      <c r="I171" s="447"/>
      <c r="J171" s="448">
        <f t="shared" si="2"/>
        <v>1</v>
      </c>
      <c r="K171" s="448"/>
    </row>
    <row r="172" ht="22.5" customHeight="1">
      <c r="A172" s="443"/>
      <c r="B172" s="456">
        <v>46050.0</v>
      </c>
      <c r="C172" s="451" t="s">
        <v>848</v>
      </c>
      <c r="D172" s="459" t="s">
        <v>2422</v>
      </c>
      <c r="E172" s="460" t="s">
        <v>2533</v>
      </c>
      <c r="F172" s="445"/>
      <c r="G172" s="442">
        <v>50000.0</v>
      </c>
      <c r="H172" s="448"/>
      <c r="I172" s="447"/>
      <c r="J172" s="448">
        <f t="shared" si="2"/>
        <v>1</v>
      </c>
      <c r="K172" s="448"/>
    </row>
    <row r="173" ht="22.5" customHeight="1">
      <c r="A173" s="443"/>
      <c r="B173" s="456">
        <v>46050.0</v>
      </c>
      <c r="C173" s="451" t="s">
        <v>210</v>
      </c>
      <c r="D173" s="459" t="s">
        <v>2422</v>
      </c>
      <c r="E173" s="460" t="s">
        <v>2534</v>
      </c>
      <c r="F173" s="445"/>
      <c r="G173" s="442">
        <v>50000.0</v>
      </c>
      <c r="H173" s="448"/>
      <c r="I173" s="447"/>
      <c r="J173" s="448">
        <f t="shared" si="2"/>
        <v>1</v>
      </c>
      <c r="K173" s="448"/>
    </row>
    <row r="174" ht="22.5" customHeight="1">
      <c r="A174" s="443"/>
      <c r="B174" s="456">
        <v>46050.0</v>
      </c>
      <c r="C174" s="451" t="s">
        <v>27</v>
      </c>
      <c r="D174" s="459" t="s">
        <v>2422</v>
      </c>
      <c r="E174" s="460" t="s">
        <v>2535</v>
      </c>
      <c r="F174" s="445"/>
      <c r="G174" s="442">
        <v>40000.0</v>
      </c>
      <c r="H174" s="448"/>
      <c r="I174" s="447"/>
      <c r="J174" s="448">
        <f t="shared" si="2"/>
        <v>1</v>
      </c>
      <c r="K174" s="448"/>
    </row>
    <row r="175" ht="22.5" customHeight="1">
      <c r="A175" s="443"/>
      <c r="B175" s="456">
        <v>46051.0</v>
      </c>
      <c r="C175" s="451" t="s">
        <v>553</v>
      </c>
      <c r="D175" s="459" t="s">
        <v>2422</v>
      </c>
      <c r="E175" s="460" t="s">
        <v>2536</v>
      </c>
      <c r="F175" s="445"/>
      <c r="G175" s="442">
        <v>40000.0</v>
      </c>
      <c r="H175" s="448"/>
      <c r="I175" s="447"/>
      <c r="J175" s="448">
        <f t="shared" si="2"/>
        <v>1</v>
      </c>
      <c r="K175" s="448"/>
    </row>
    <row r="176" ht="22.5" customHeight="1">
      <c r="A176" s="443"/>
      <c r="B176" s="456">
        <v>46051.0</v>
      </c>
      <c r="C176" s="451" t="s">
        <v>474</v>
      </c>
      <c r="D176" s="459" t="s">
        <v>2422</v>
      </c>
      <c r="E176" s="460" t="s">
        <v>2537</v>
      </c>
      <c r="F176" s="445"/>
      <c r="G176" s="442">
        <v>40000.0</v>
      </c>
      <c r="H176" s="448"/>
      <c r="I176" s="447"/>
      <c r="J176" s="448">
        <f t="shared" si="2"/>
        <v>1</v>
      </c>
      <c r="K176" s="448"/>
    </row>
    <row r="177" ht="22.5" customHeight="1">
      <c r="A177" s="443"/>
      <c r="B177" s="456">
        <v>46051.0</v>
      </c>
      <c r="C177" s="451" t="s">
        <v>598</v>
      </c>
      <c r="D177" s="459" t="s">
        <v>2422</v>
      </c>
      <c r="E177" s="460" t="s">
        <v>2538</v>
      </c>
      <c r="F177" s="445"/>
      <c r="G177" s="442">
        <v>40000.0</v>
      </c>
      <c r="H177" s="448"/>
      <c r="I177" s="447"/>
      <c r="J177" s="448">
        <f t="shared" si="2"/>
        <v>1</v>
      </c>
      <c r="K177" s="448"/>
    </row>
    <row r="178" ht="22.5" customHeight="1">
      <c r="A178" s="443"/>
      <c r="B178" s="456">
        <v>46051.0</v>
      </c>
      <c r="C178" s="451" t="s">
        <v>897</v>
      </c>
      <c r="D178" s="459" t="s">
        <v>2422</v>
      </c>
      <c r="E178" s="460" t="s">
        <v>2539</v>
      </c>
      <c r="F178" s="445"/>
      <c r="G178" s="442">
        <v>0.0</v>
      </c>
      <c r="H178" s="442">
        <v>40000.0</v>
      </c>
      <c r="I178" s="447"/>
      <c r="J178" s="448">
        <f t="shared" si="2"/>
        <v>1</v>
      </c>
      <c r="K178" s="448"/>
    </row>
    <row r="179" ht="22.5" customHeight="1">
      <c r="A179" s="443"/>
      <c r="B179" s="456">
        <v>46051.0</v>
      </c>
      <c r="C179" s="451" t="s">
        <v>448</v>
      </c>
      <c r="D179" s="459" t="s">
        <v>2422</v>
      </c>
      <c r="E179" s="460" t="s">
        <v>2540</v>
      </c>
      <c r="F179" s="445"/>
      <c r="G179" s="442">
        <v>60000.0</v>
      </c>
      <c r="H179" s="448"/>
      <c r="I179" s="447"/>
      <c r="J179" s="448">
        <f t="shared" si="2"/>
        <v>1</v>
      </c>
      <c r="K179" s="448"/>
    </row>
    <row r="180" ht="22.5" customHeight="1">
      <c r="A180" s="443"/>
      <c r="B180" s="456">
        <v>46052.0</v>
      </c>
      <c r="C180" s="451" t="s">
        <v>154</v>
      </c>
      <c r="D180" s="459" t="s">
        <v>2422</v>
      </c>
      <c r="E180" s="460" t="s">
        <v>2541</v>
      </c>
      <c r="F180" s="445"/>
      <c r="G180" s="442">
        <v>60000.0</v>
      </c>
      <c r="H180" s="448"/>
      <c r="I180" s="447"/>
      <c r="J180" s="448">
        <f t="shared" si="2"/>
        <v>1</v>
      </c>
      <c r="K180" s="448"/>
    </row>
    <row r="181" ht="22.5" customHeight="1">
      <c r="A181" s="443"/>
      <c r="B181" s="461">
        <v>46052.0</v>
      </c>
      <c r="C181" s="462" t="s">
        <v>374</v>
      </c>
      <c r="D181" s="463" t="s">
        <v>2422</v>
      </c>
      <c r="E181" s="464" t="s">
        <v>2542</v>
      </c>
      <c r="F181" s="465"/>
      <c r="G181" s="466">
        <v>60000.0</v>
      </c>
      <c r="H181" s="467"/>
      <c r="I181" s="468"/>
      <c r="J181" s="467">
        <f t="shared" si="2"/>
        <v>1</v>
      </c>
      <c r="K181" s="467"/>
    </row>
    <row r="182" ht="22.5" customHeight="1">
      <c r="A182" s="443"/>
      <c r="B182" s="456">
        <v>46054.0</v>
      </c>
      <c r="C182" s="451" t="s">
        <v>986</v>
      </c>
      <c r="D182" s="469" t="s">
        <v>2422</v>
      </c>
      <c r="E182" s="470" t="s">
        <v>2432</v>
      </c>
      <c r="F182" s="445" t="s">
        <v>2484</v>
      </c>
      <c r="G182" s="442">
        <f t="shared" ref="G182:G183" si="3">9360/2</f>
        <v>4680</v>
      </c>
      <c r="H182" s="448"/>
      <c r="I182" s="447"/>
      <c r="J182" s="448">
        <f t="shared" si="2"/>
        <v>2</v>
      </c>
      <c r="K182" s="448"/>
    </row>
    <row r="183" ht="22.5" customHeight="1">
      <c r="A183" s="443"/>
      <c r="B183" s="456">
        <v>46054.0</v>
      </c>
      <c r="C183" s="451" t="s">
        <v>1006</v>
      </c>
      <c r="D183" s="450" t="s">
        <v>2422</v>
      </c>
      <c r="E183" s="420" t="s">
        <v>2432</v>
      </c>
      <c r="F183" s="445" t="s">
        <v>2484</v>
      </c>
      <c r="G183" s="442">
        <f t="shared" si="3"/>
        <v>4680</v>
      </c>
      <c r="H183" s="448"/>
      <c r="I183" s="447"/>
      <c r="J183" s="448">
        <f t="shared" si="2"/>
        <v>2</v>
      </c>
      <c r="K183" s="448"/>
    </row>
    <row r="184" ht="22.5" customHeight="1">
      <c r="A184" s="443"/>
      <c r="B184" s="456">
        <v>46054.0</v>
      </c>
      <c r="C184" s="471"/>
      <c r="D184" s="451" t="s">
        <v>2422</v>
      </c>
      <c r="E184" s="445" t="s">
        <v>2543</v>
      </c>
      <c r="F184" s="445" t="s">
        <v>2544</v>
      </c>
      <c r="G184" s="442">
        <v>5990.0</v>
      </c>
      <c r="H184" s="448"/>
      <c r="I184" s="447"/>
      <c r="J184" s="448">
        <f t="shared" si="2"/>
        <v>2</v>
      </c>
      <c r="K184" s="448"/>
    </row>
    <row r="185" ht="22.5" customHeight="1">
      <c r="A185" s="443"/>
      <c r="B185" s="456">
        <v>46054.0</v>
      </c>
      <c r="C185" s="444" t="s">
        <v>154</v>
      </c>
      <c r="D185" s="451" t="s">
        <v>2419</v>
      </c>
      <c r="E185" s="448" t="s">
        <v>2436</v>
      </c>
      <c r="F185" s="445" t="s">
        <v>206</v>
      </c>
      <c r="G185" s="442">
        <v>4530.0</v>
      </c>
      <c r="H185" s="448"/>
      <c r="I185" s="447"/>
      <c r="J185" s="448">
        <f t="shared" si="2"/>
        <v>2</v>
      </c>
      <c r="K185" s="448"/>
    </row>
    <row r="186" ht="22.5" customHeight="1">
      <c r="A186" s="443"/>
      <c r="B186" s="456">
        <v>46054.0</v>
      </c>
      <c r="C186" s="444" t="s">
        <v>505</v>
      </c>
      <c r="D186" s="451" t="s">
        <v>2419</v>
      </c>
      <c r="E186" s="448" t="s">
        <v>2421</v>
      </c>
      <c r="F186" s="445" t="s">
        <v>2151</v>
      </c>
      <c r="G186" s="442">
        <v>11350.0</v>
      </c>
      <c r="I186" s="455"/>
      <c r="J186" s="448">
        <f t="shared" si="2"/>
        <v>2</v>
      </c>
      <c r="K186" s="448"/>
    </row>
    <row r="187" ht="22.5" customHeight="1">
      <c r="A187" s="443"/>
      <c r="B187" s="456">
        <v>46054.0</v>
      </c>
      <c r="C187" s="444" t="s">
        <v>986</v>
      </c>
      <c r="D187" s="451" t="s">
        <v>2419</v>
      </c>
      <c r="E187" s="448" t="s">
        <v>2545</v>
      </c>
      <c r="F187" s="445" t="s">
        <v>988</v>
      </c>
      <c r="G187" s="442">
        <v>20280.0</v>
      </c>
      <c r="I187" s="447"/>
      <c r="J187" s="448">
        <f t="shared" si="2"/>
        <v>2</v>
      </c>
      <c r="K187" s="448"/>
    </row>
    <row r="188" ht="22.5" customHeight="1">
      <c r="A188" s="443"/>
      <c r="B188" s="456">
        <v>46054.0</v>
      </c>
      <c r="C188" s="444" t="s">
        <v>210</v>
      </c>
      <c r="D188" s="451" t="s">
        <v>2419</v>
      </c>
      <c r="E188" s="448" t="s">
        <v>2546</v>
      </c>
      <c r="F188" s="445" t="s">
        <v>2547</v>
      </c>
      <c r="G188" s="442">
        <v>33920.0</v>
      </c>
      <c r="I188" s="455"/>
      <c r="J188" s="448">
        <f t="shared" si="2"/>
        <v>2</v>
      </c>
      <c r="K188" s="448"/>
    </row>
    <row r="189" ht="22.5" customHeight="1">
      <c r="A189" s="443"/>
      <c r="B189" s="456">
        <v>46054.0</v>
      </c>
      <c r="C189" s="444" t="s">
        <v>986</v>
      </c>
      <c r="D189" s="451" t="s">
        <v>2419</v>
      </c>
      <c r="E189" s="445" t="s">
        <v>2434</v>
      </c>
      <c r="F189" s="445" t="s">
        <v>996</v>
      </c>
      <c r="G189" s="442">
        <v>1000.0</v>
      </c>
      <c r="I189" s="447"/>
      <c r="J189" s="448">
        <f t="shared" si="2"/>
        <v>2</v>
      </c>
      <c r="K189" s="448"/>
    </row>
    <row r="190" ht="22.5" customHeight="1">
      <c r="A190" s="443"/>
      <c r="B190" s="456">
        <v>46056.0</v>
      </c>
      <c r="C190" s="451" t="s">
        <v>305</v>
      </c>
      <c r="D190" s="451" t="s">
        <v>2419</v>
      </c>
      <c r="E190" s="445" t="s">
        <v>2548</v>
      </c>
      <c r="G190" s="442">
        <v>9900.0</v>
      </c>
      <c r="H190" s="448"/>
      <c r="I190" s="447"/>
      <c r="J190" s="448">
        <f t="shared" si="2"/>
        <v>2</v>
      </c>
      <c r="K190" s="448"/>
    </row>
    <row r="191" ht="22.5" customHeight="1">
      <c r="A191" s="443"/>
      <c r="B191" s="456">
        <v>46056.0</v>
      </c>
      <c r="C191" s="451" t="s">
        <v>643</v>
      </c>
      <c r="D191" s="451" t="s">
        <v>2419</v>
      </c>
      <c r="E191" s="445" t="s">
        <v>2549</v>
      </c>
      <c r="F191" s="445" t="s">
        <v>2550</v>
      </c>
      <c r="G191" s="442">
        <v>15300.0</v>
      </c>
      <c r="H191" s="448"/>
      <c r="I191" s="447"/>
      <c r="J191" s="448">
        <f t="shared" si="2"/>
        <v>2</v>
      </c>
      <c r="K191" s="448"/>
    </row>
    <row r="192" ht="22.5" customHeight="1">
      <c r="A192" s="443"/>
      <c r="B192" s="456">
        <v>46056.0</v>
      </c>
      <c r="C192" s="451" t="s">
        <v>154</v>
      </c>
      <c r="D192" s="451" t="s">
        <v>2419</v>
      </c>
      <c r="E192" s="445" t="s">
        <v>2549</v>
      </c>
      <c r="F192" s="445" t="s">
        <v>206</v>
      </c>
      <c r="G192" s="442">
        <v>0.0</v>
      </c>
      <c r="H192" s="448" t="s">
        <v>2551</v>
      </c>
      <c r="I192" s="447"/>
      <c r="J192" s="448">
        <f t="shared" si="2"/>
        <v>2</v>
      </c>
      <c r="K192" s="448"/>
    </row>
    <row r="193" ht="22.5" customHeight="1">
      <c r="A193" s="443"/>
      <c r="B193" s="456">
        <v>46058.0</v>
      </c>
      <c r="C193" s="451" t="s">
        <v>730</v>
      </c>
      <c r="D193" s="451" t="s">
        <v>2419</v>
      </c>
      <c r="E193" s="445" t="s">
        <v>2552</v>
      </c>
      <c r="F193" s="445"/>
      <c r="G193" s="442">
        <v>11190.0</v>
      </c>
      <c r="H193" s="448"/>
      <c r="I193" s="447"/>
      <c r="J193" s="448">
        <f t="shared" si="2"/>
        <v>2</v>
      </c>
      <c r="K193" s="448"/>
    </row>
    <row r="194" ht="22.5" customHeight="1">
      <c r="A194" s="443"/>
      <c r="B194" s="456">
        <v>46064.0</v>
      </c>
      <c r="C194" s="451" t="s">
        <v>822</v>
      </c>
      <c r="D194" s="451" t="s">
        <v>2422</v>
      </c>
      <c r="E194" s="445" t="s">
        <v>2553</v>
      </c>
      <c r="F194" s="445" t="s">
        <v>2449</v>
      </c>
      <c r="G194" s="442">
        <v>0.0</v>
      </c>
      <c r="H194" s="442">
        <v>72000.0</v>
      </c>
      <c r="I194" s="447"/>
      <c r="J194" s="448">
        <f t="shared" si="2"/>
        <v>2</v>
      </c>
      <c r="K194" s="448"/>
    </row>
    <row r="195" ht="22.5" customHeight="1">
      <c r="A195" s="417"/>
      <c r="B195" s="456">
        <v>46064.0</v>
      </c>
      <c r="C195" s="451" t="s">
        <v>848</v>
      </c>
      <c r="D195" s="451" t="s">
        <v>2422</v>
      </c>
      <c r="E195" s="445" t="s">
        <v>2554</v>
      </c>
      <c r="F195" s="445" t="s">
        <v>2449</v>
      </c>
      <c r="G195" s="442">
        <v>0.0</v>
      </c>
      <c r="H195" s="442">
        <v>95000.0</v>
      </c>
      <c r="I195" s="447"/>
      <c r="J195" s="448">
        <f t="shared" si="2"/>
        <v>2</v>
      </c>
      <c r="K195" s="448"/>
    </row>
    <row r="196" ht="22.5" customHeight="1">
      <c r="A196" s="417"/>
      <c r="B196" s="456">
        <v>46064.0</v>
      </c>
      <c r="C196" s="449" t="s">
        <v>374</v>
      </c>
      <c r="D196" s="451" t="s">
        <v>2422</v>
      </c>
      <c r="E196" s="472" t="s">
        <v>2434</v>
      </c>
      <c r="F196" s="472" t="s">
        <v>2555</v>
      </c>
      <c r="G196" s="446">
        <v>3800.0</v>
      </c>
      <c r="H196" s="453"/>
      <c r="I196" s="431"/>
      <c r="J196" s="432">
        <f t="shared" si="2"/>
        <v>2</v>
      </c>
      <c r="K196" s="433"/>
    </row>
    <row r="197" ht="22.5" customHeight="1">
      <c r="A197" s="443"/>
      <c r="B197" s="456">
        <v>46064.0</v>
      </c>
      <c r="C197" s="449" t="s">
        <v>374</v>
      </c>
      <c r="D197" s="451" t="s">
        <v>2422</v>
      </c>
      <c r="E197" s="472" t="s">
        <v>2434</v>
      </c>
      <c r="F197" s="472" t="s">
        <v>2555</v>
      </c>
      <c r="G197" s="446">
        <v>3800.0</v>
      </c>
      <c r="H197" s="453"/>
      <c r="I197" s="431"/>
      <c r="J197" s="432">
        <f t="shared" si="2"/>
        <v>2</v>
      </c>
      <c r="K197" s="433"/>
    </row>
    <row r="198" ht="22.5" customHeight="1">
      <c r="A198" s="443"/>
      <c r="B198" s="456">
        <v>46064.0</v>
      </c>
      <c r="C198" s="449" t="s">
        <v>266</v>
      </c>
      <c r="D198" s="451" t="s">
        <v>2419</v>
      </c>
      <c r="E198" s="445" t="s">
        <v>2556</v>
      </c>
      <c r="F198" s="445"/>
      <c r="G198" s="442">
        <v>4610.0</v>
      </c>
      <c r="H198" s="448"/>
      <c r="I198" s="447"/>
      <c r="J198" s="448">
        <f t="shared" si="2"/>
        <v>2</v>
      </c>
      <c r="K198" s="448"/>
    </row>
    <row r="199" ht="22.5" customHeight="1">
      <c r="A199" s="443"/>
      <c r="B199" s="456">
        <v>46063.0</v>
      </c>
      <c r="C199" s="451" t="s">
        <v>448</v>
      </c>
      <c r="D199" s="451" t="s">
        <v>2419</v>
      </c>
      <c r="E199" s="445" t="s">
        <v>2557</v>
      </c>
      <c r="F199" s="445"/>
      <c r="G199" s="442">
        <v>21780.0</v>
      </c>
      <c r="H199" s="448"/>
      <c r="I199" s="447"/>
      <c r="J199" s="448">
        <f t="shared" si="2"/>
        <v>2</v>
      </c>
      <c r="K199" s="448"/>
    </row>
    <row r="200" ht="22.5" customHeight="1">
      <c r="A200" s="443"/>
      <c r="B200" s="456">
        <v>46063.0</v>
      </c>
      <c r="C200" s="451" t="s">
        <v>682</v>
      </c>
      <c r="D200" s="451" t="s">
        <v>2419</v>
      </c>
      <c r="E200" s="445" t="s">
        <v>2558</v>
      </c>
      <c r="F200" s="445"/>
      <c r="G200" s="442">
        <v>7200.0</v>
      </c>
      <c r="H200" s="448"/>
      <c r="I200" s="447"/>
      <c r="J200" s="448">
        <f t="shared" si="2"/>
        <v>2</v>
      </c>
      <c r="K200" s="448"/>
    </row>
    <row r="201" ht="22.5" customHeight="1">
      <c r="A201" s="443"/>
      <c r="B201" s="456">
        <v>46063.0</v>
      </c>
      <c r="C201" s="451" t="s">
        <v>97</v>
      </c>
      <c r="D201" s="451" t="s">
        <v>2419</v>
      </c>
      <c r="E201" s="445" t="s">
        <v>2559</v>
      </c>
      <c r="F201" s="445"/>
      <c r="G201" s="442">
        <v>38600.0</v>
      </c>
      <c r="H201" s="448"/>
      <c r="I201" s="447"/>
      <c r="J201" s="448">
        <f t="shared" si="2"/>
        <v>2</v>
      </c>
      <c r="K201" s="448"/>
    </row>
    <row r="202" ht="22.5" customHeight="1">
      <c r="A202" s="443"/>
      <c r="B202" s="456">
        <v>46063.0</v>
      </c>
      <c r="C202" s="451" t="s">
        <v>154</v>
      </c>
      <c r="D202" s="451" t="s">
        <v>2419</v>
      </c>
      <c r="E202" s="445" t="s">
        <v>2558</v>
      </c>
      <c r="F202" s="445"/>
      <c r="G202" s="442">
        <v>9030.0</v>
      </c>
      <c r="H202" s="448"/>
      <c r="I202" s="447"/>
      <c r="J202" s="448">
        <f t="shared" si="2"/>
        <v>2</v>
      </c>
      <c r="K202" s="448"/>
    </row>
    <row r="203" ht="22.5" customHeight="1">
      <c r="A203" s="443"/>
      <c r="B203" s="456">
        <v>46061.0</v>
      </c>
      <c r="C203" s="451" t="s">
        <v>1138</v>
      </c>
      <c r="D203" s="451" t="s">
        <v>2419</v>
      </c>
      <c r="E203" s="445" t="s">
        <v>2552</v>
      </c>
      <c r="F203" s="445"/>
      <c r="G203" s="442">
        <v>17900.0</v>
      </c>
      <c r="H203" s="448"/>
      <c r="I203" s="447"/>
      <c r="J203" s="448">
        <f t="shared" si="2"/>
        <v>2</v>
      </c>
      <c r="K203" s="448"/>
    </row>
    <row r="204" ht="22.5" customHeight="1">
      <c r="A204" s="443"/>
      <c r="B204" s="456">
        <v>46064.0</v>
      </c>
      <c r="C204" s="451" t="s">
        <v>374</v>
      </c>
      <c r="D204" s="451" t="s">
        <v>2419</v>
      </c>
      <c r="E204" s="445" t="s">
        <v>2558</v>
      </c>
      <c r="F204" s="445"/>
      <c r="G204" s="442">
        <v>11900.0</v>
      </c>
      <c r="H204" s="448"/>
      <c r="I204" s="447"/>
      <c r="J204" s="448">
        <f t="shared" si="2"/>
        <v>2</v>
      </c>
      <c r="K204" s="448"/>
    </row>
    <row r="205" ht="22.5" customHeight="1">
      <c r="A205" s="443"/>
      <c r="B205" s="456">
        <v>46064.0</v>
      </c>
      <c r="C205" s="451" t="s">
        <v>643</v>
      </c>
      <c r="D205" s="451" t="s">
        <v>2419</v>
      </c>
      <c r="E205" s="445" t="s">
        <v>2431</v>
      </c>
      <c r="F205" s="445"/>
      <c r="G205" s="442">
        <v>21350.0</v>
      </c>
      <c r="H205" s="448"/>
      <c r="I205" s="447"/>
      <c r="J205" s="448">
        <f t="shared" si="2"/>
        <v>2</v>
      </c>
      <c r="K205" s="448"/>
    </row>
    <row r="206" ht="22.5" customHeight="1">
      <c r="A206" s="443"/>
      <c r="B206" s="456">
        <v>46064.0</v>
      </c>
      <c r="C206" s="451" t="s">
        <v>730</v>
      </c>
      <c r="D206" s="451" t="s">
        <v>2422</v>
      </c>
      <c r="E206" s="445" t="s">
        <v>2434</v>
      </c>
      <c r="F206" s="445" t="s">
        <v>2248</v>
      </c>
      <c r="G206" s="442">
        <v>2000.0</v>
      </c>
      <c r="H206" s="448"/>
      <c r="I206" s="447"/>
      <c r="J206" s="448">
        <f t="shared" si="2"/>
        <v>2</v>
      </c>
      <c r="K206" s="448"/>
    </row>
    <row r="207" ht="22.5" customHeight="1">
      <c r="A207" s="443"/>
      <c r="B207" s="456">
        <v>46065.0</v>
      </c>
      <c r="C207" s="451" t="s">
        <v>967</v>
      </c>
      <c r="D207" s="451" t="s">
        <v>2422</v>
      </c>
      <c r="E207" s="445" t="s">
        <v>2434</v>
      </c>
      <c r="F207" s="445" t="s">
        <v>2320</v>
      </c>
      <c r="G207" s="442">
        <v>9300.0</v>
      </c>
      <c r="H207" s="448"/>
      <c r="I207" s="447"/>
      <c r="J207" s="448">
        <f t="shared" si="2"/>
        <v>2</v>
      </c>
      <c r="K207" s="448"/>
    </row>
    <row r="208" ht="22.5" customHeight="1">
      <c r="A208" s="443"/>
      <c r="B208" s="456">
        <v>46065.0</v>
      </c>
      <c r="C208" s="451" t="s">
        <v>967</v>
      </c>
      <c r="D208" s="451" t="s">
        <v>2419</v>
      </c>
      <c r="E208" s="445" t="s">
        <v>2556</v>
      </c>
      <c r="F208" s="445" t="s">
        <v>2320</v>
      </c>
      <c r="G208" s="442">
        <v>4620.0</v>
      </c>
      <c r="H208" s="448"/>
      <c r="I208" s="447"/>
      <c r="J208" s="448">
        <f t="shared" si="2"/>
        <v>2</v>
      </c>
      <c r="K208" s="448"/>
    </row>
    <row r="209" ht="22.5" customHeight="1">
      <c r="A209" s="443"/>
      <c r="B209" s="456">
        <v>46065.0</v>
      </c>
      <c r="C209" s="451" t="s">
        <v>266</v>
      </c>
      <c r="D209" s="451" t="s">
        <v>2422</v>
      </c>
      <c r="E209" s="445" t="s">
        <v>2434</v>
      </c>
      <c r="F209" s="445" t="s">
        <v>1046</v>
      </c>
      <c r="G209" s="442">
        <v>5000.0</v>
      </c>
      <c r="H209" s="448"/>
      <c r="I209" s="447"/>
      <c r="J209" s="448">
        <f t="shared" si="2"/>
        <v>2</v>
      </c>
      <c r="K209" s="448"/>
    </row>
    <row r="210" ht="22.5" customHeight="1">
      <c r="A210" s="443"/>
      <c r="B210" s="456">
        <v>46066.0</v>
      </c>
      <c r="C210" s="451" t="s">
        <v>1165</v>
      </c>
      <c r="D210" s="451" t="s">
        <v>2419</v>
      </c>
      <c r="E210" s="445" t="s">
        <v>2560</v>
      </c>
      <c r="F210" s="445"/>
      <c r="G210" s="442">
        <v>4830.0</v>
      </c>
      <c r="H210" s="448"/>
      <c r="I210" s="447"/>
      <c r="J210" s="448">
        <f t="shared" si="2"/>
        <v>2</v>
      </c>
      <c r="K210" s="448"/>
    </row>
    <row r="211" ht="22.5" customHeight="1">
      <c r="A211" s="443"/>
      <c r="B211" s="456">
        <v>46066.0</v>
      </c>
      <c r="C211" s="451" t="s">
        <v>505</v>
      </c>
      <c r="D211" s="451" t="s">
        <v>2419</v>
      </c>
      <c r="E211" s="445" t="s">
        <v>2561</v>
      </c>
      <c r="F211" s="445"/>
      <c r="G211" s="442">
        <v>2340.0</v>
      </c>
      <c r="H211" s="448"/>
      <c r="I211" s="447"/>
      <c r="J211" s="448">
        <f t="shared" si="2"/>
        <v>2</v>
      </c>
      <c r="K211" s="448"/>
    </row>
    <row r="212" ht="22.5" customHeight="1">
      <c r="A212" s="443"/>
      <c r="B212" s="456">
        <v>46066.0</v>
      </c>
      <c r="C212" s="451" t="s">
        <v>1180</v>
      </c>
      <c r="D212" s="451" t="s">
        <v>2422</v>
      </c>
      <c r="E212" s="445" t="s">
        <v>2434</v>
      </c>
      <c r="F212" s="445" t="s">
        <v>2017</v>
      </c>
      <c r="G212" s="442">
        <v>1000.0</v>
      </c>
      <c r="H212" s="448"/>
      <c r="I212" s="447"/>
      <c r="J212" s="448">
        <f t="shared" si="2"/>
        <v>2</v>
      </c>
      <c r="K212" s="448"/>
    </row>
    <row r="213" ht="22.5" customHeight="1">
      <c r="A213" s="443"/>
      <c r="B213" s="456">
        <v>46067.0</v>
      </c>
      <c r="C213" s="451" t="s">
        <v>27</v>
      </c>
      <c r="D213" s="451" t="s">
        <v>2419</v>
      </c>
      <c r="E213" s="445" t="s">
        <v>2558</v>
      </c>
      <c r="F213" s="445" t="s">
        <v>1272</v>
      </c>
      <c r="G213" s="442">
        <v>11900.0</v>
      </c>
      <c r="H213" s="448"/>
      <c r="I213" s="447"/>
      <c r="J213" s="448">
        <f t="shared" si="2"/>
        <v>2</v>
      </c>
      <c r="K213" s="448"/>
    </row>
    <row r="214" ht="22.5" customHeight="1">
      <c r="A214" s="443"/>
      <c r="B214" s="456">
        <v>46067.0</v>
      </c>
      <c r="C214" s="451" t="s">
        <v>1093</v>
      </c>
      <c r="D214" s="451" t="s">
        <v>2422</v>
      </c>
      <c r="E214" s="445" t="s">
        <v>2434</v>
      </c>
      <c r="F214" s="445" t="s">
        <v>2562</v>
      </c>
      <c r="G214" s="442">
        <v>2000.0</v>
      </c>
      <c r="H214" s="448"/>
      <c r="I214" s="447"/>
      <c r="J214" s="448">
        <f t="shared" si="2"/>
        <v>2</v>
      </c>
      <c r="K214" s="448"/>
    </row>
    <row r="215" ht="22.5" customHeight="1">
      <c r="A215" s="443"/>
      <c r="B215" s="456">
        <v>46072.0</v>
      </c>
      <c r="C215" s="451" t="s">
        <v>760</v>
      </c>
      <c r="D215" s="451" t="s">
        <v>2416</v>
      </c>
      <c r="E215" s="445" t="s">
        <v>2563</v>
      </c>
      <c r="F215" s="445" t="s">
        <v>2564</v>
      </c>
      <c r="G215" s="442">
        <v>10290.0</v>
      </c>
      <c r="H215" s="448"/>
      <c r="I215" s="447"/>
      <c r="J215" s="448">
        <f t="shared" si="2"/>
        <v>2</v>
      </c>
      <c r="K215" s="448"/>
    </row>
    <row r="216" ht="22.5" customHeight="1">
      <c r="A216" s="443"/>
      <c r="B216" s="456">
        <v>46074.0</v>
      </c>
      <c r="C216" s="451" t="s">
        <v>848</v>
      </c>
      <c r="D216" s="451" t="s">
        <v>2422</v>
      </c>
      <c r="E216" s="445" t="s">
        <v>2565</v>
      </c>
      <c r="F216" s="445" t="s">
        <v>2449</v>
      </c>
      <c r="G216" s="442">
        <v>3000.0</v>
      </c>
      <c r="H216" s="448"/>
      <c r="I216" s="447"/>
      <c r="J216" s="448">
        <f t="shared" si="2"/>
        <v>2</v>
      </c>
      <c r="K216" s="448"/>
    </row>
    <row r="217" ht="22.5" customHeight="1">
      <c r="A217" s="443"/>
      <c r="B217" s="456">
        <v>46074.0</v>
      </c>
      <c r="C217" s="444" t="s">
        <v>305</v>
      </c>
      <c r="D217" s="451" t="s">
        <v>2419</v>
      </c>
      <c r="E217" s="448" t="s">
        <v>2427</v>
      </c>
      <c r="F217" s="445" t="s">
        <v>312</v>
      </c>
      <c r="G217" s="442">
        <v>24150.0</v>
      </c>
      <c r="I217" s="447"/>
      <c r="J217" s="448">
        <f t="shared" si="2"/>
        <v>2</v>
      </c>
      <c r="K217" s="448"/>
    </row>
    <row r="218" ht="22.5" customHeight="1">
      <c r="A218" s="443"/>
      <c r="B218" s="456">
        <v>46074.0</v>
      </c>
      <c r="C218" s="444" t="s">
        <v>1122</v>
      </c>
      <c r="D218" s="451" t="s">
        <v>2419</v>
      </c>
      <c r="E218" s="448" t="s">
        <v>2566</v>
      </c>
      <c r="F218" s="445" t="s">
        <v>2458</v>
      </c>
      <c r="G218" s="442">
        <v>41930.0</v>
      </c>
      <c r="I218" s="447"/>
      <c r="J218" s="448">
        <f t="shared" si="2"/>
        <v>2</v>
      </c>
      <c r="K218" s="448"/>
    </row>
    <row r="219" ht="22.5" customHeight="1">
      <c r="A219" s="443"/>
      <c r="B219" s="456">
        <v>46074.0</v>
      </c>
      <c r="C219" s="444" t="s">
        <v>945</v>
      </c>
      <c r="D219" s="451" t="s">
        <v>2419</v>
      </c>
      <c r="E219" s="448" t="s">
        <v>2567</v>
      </c>
      <c r="F219" s="445" t="s">
        <v>952</v>
      </c>
      <c r="G219" s="442">
        <v>11900.0</v>
      </c>
      <c r="I219" s="447"/>
      <c r="J219" s="448">
        <f t="shared" si="2"/>
        <v>2</v>
      </c>
      <c r="K219" s="448"/>
    </row>
    <row r="220" ht="22.5" customHeight="1">
      <c r="A220" s="443"/>
      <c r="B220" s="456">
        <v>46074.0</v>
      </c>
      <c r="C220" s="444" t="s">
        <v>945</v>
      </c>
      <c r="D220" s="451" t="s">
        <v>2419</v>
      </c>
      <c r="E220" s="448" t="s">
        <v>2423</v>
      </c>
      <c r="F220" s="445" t="s">
        <v>1216</v>
      </c>
      <c r="G220" s="442">
        <v>9800.0</v>
      </c>
      <c r="I220" s="447"/>
      <c r="J220" s="448">
        <f t="shared" si="2"/>
        <v>2</v>
      </c>
      <c r="K220" s="448"/>
    </row>
    <row r="221" ht="22.5" customHeight="1">
      <c r="A221" s="443"/>
      <c r="B221" s="456">
        <v>46073.0</v>
      </c>
      <c r="C221" s="451" t="s">
        <v>682</v>
      </c>
      <c r="D221" s="451" t="s">
        <v>2419</v>
      </c>
      <c r="E221" s="448" t="s">
        <v>2423</v>
      </c>
      <c r="F221" s="445" t="s">
        <v>694</v>
      </c>
      <c r="G221" s="442">
        <v>9800.0</v>
      </c>
      <c r="H221" s="473" t="s">
        <v>2568</v>
      </c>
      <c r="I221" s="447"/>
      <c r="J221" s="448">
        <f t="shared" si="2"/>
        <v>2</v>
      </c>
      <c r="K221" s="448"/>
    </row>
    <row r="222" ht="22.5" customHeight="1">
      <c r="A222" s="443"/>
      <c r="B222" s="456">
        <v>46074.0</v>
      </c>
      <c r="C222" s="451" t="s">
        <v>553</v>
      </c>
      <c r="D222" s="451" t="s">
        <v>2419</v>
      </c>
      <c r="E222" s="448" t="s">
        <v>2567</v>
      </c>
      <c r="F222" s="445" t="s">
        <v>2569</v>
      </c>
      <c r="G222" s="442">
        <v>11900.0</v>
      </c>
      <c r="H222" s="448"/>
      <c r="I222" s="447"/>
      <c r="J222" s="448">
        <f t="shared" si="2"/>
        <v>2</v>
      </c>
      <c r="K222" s="448"/>
    </row>
    <row r="223" ht="22.5" customHeight="1">
      <c r="A223" s="443"/>
      <c r="B223" s="456">
        <v>46074.0</v>
      </c>
      <c r="C223" s="451" t="s">
        <v>27</v>
      </c>
      <c r="D223" s="451" t="s">
        <v>2419</v>
      </c>
      <c r="E223" s="445" t="s">
        <v>2463</v>
      </c>
      <c r="F223" s="445"/>
      <c r="G223" s="442">
        <v>9490.0</v>
      </c>
      <c r="H223" s="448"/>
      <c r="I223" s="447"/>
      <c r="J223" s="448">
        <f t="shared" si="2"/>
        <v>2</v>
      </c>
      <c r="K223" s="448"/>
    </row>
    <row r="224" ht="22.5" customHeight="1">
      <c r="A224" s="443"/>
      <c r="B224" s="456">
        <v>46062.0</v>
      </c>
      <c r="C224" s="451" t="s">
        <v>1021</v>
      </c>
      <c r="D224" s="451" t="s">
        <v>2416</v>
      </c>
      <c r="E224" s="445" t="s">
        <v>2570</v>
      </c>
      <c r="F224" s="445" t="s">
        <v>2571</v>
      </c>
      <c r="G224" s="442">
        <v>40950.0</v>
      </c>
      <c r="H224" s="448"/>
      <c r="I224" s="447"/>
      <c r="J224" s="448">
        <f t="shared" si="2"/>
        <v>2</v>
      </c>
      <c r="K224" s="448"/>
    </row>
    <row r="225" ht="22.5" customHeight="1">
      <c r="A225" s="443"/>
      <c r="B225" s="456">
        <v>46057.0</v>
      </c>
      <c r="C225" s="451" t="s">
        <v>305</v>
      </c>
      <c r="D225" s="451" t="s">
        <v>2416</v>
      </c>
      <c r="E225" s="445" t="s">
        <v>2572</v>
      </c>
      <c r="F225" s="445" t="s">
        <v>2573</v>
      </c>
      <c r="G225" s="442">
        <v>0.0</v>
      </c>
      <c r="H225" s="442">
        <v>140000.0</v>
      </c>
      <c r="I225" s="447"/>
      <c r="J225" s="448">
        <f t="shared" si="2"/>
        <v>2</v>
      </c>
      <c r="K225" s="448"/>
    </row>
    <row r="226" ht="22.5" customHeight="1">
      <c r="A226" s="443"/>
      <c r="B226" s="456">
        <v>46075.0</v>
      </c>
      <c r="C226" s="451" t="s">
        <v>1055</v>
      </c>
      <c r="D226" s="451" t="s">
        <v>2419</v>
      </c>
      <c r="E226" s="445" t="s">
        <v>2455</v>
      </c>
      <c r="F226" s="445" t="s">
        <v>1944</v>
      </c>
      <c r="G226" s="442">
        <v>14190.0</v>
      </c>
      <c r="H226" s="448"/>
      <c r="I226" s="447"/>
      <c r="J226" s="448">
        <f t="shared" si="2"/>
        <v>2</v>
      </c>
      <c r="K226" s="448"/>
    </row>
    <row r="227" ht="22.5" customHeight="1">
      <c r="A227" s="443"/>
      <c r="B227" s="456">
        <v>46075.0</v>
      </c>
      <c r="C227" s="451" t="s">
        <v>210</v>
      </c>
      <c r="D227" s="451" t="s">
        <v>2419</v>
      </c>
      <c r="E227" s="448" t="s">
        <v>2574</v>
      </c>
      <c r="F227" s="445" t="s">
        <v>2547</v>
      </c>
      <c r="G227" s="442">
        <v>11790.0</v>
      </c>
      <c r="I227" s="447"/>
      <c r="J227" s="448">
        <f t="shared" si="2"/>
        <v>2</v>
      </c>
      <c r="K227" s="448"/>
    </row>
    <row r="228" ht="22.5" customHeight="1">
      <c r="A228" s="443"/>
      <c r="B228" s="456">
        <v>46075.0</v>
      </c>
      <c r="C228" s="451" t="s">
        <v>1055</v>
      </c>
      <c r="D228" s="451" t="s">
        <v>2422</v>
      </c>
      <c r="E228" s="448" t="s">
        <v>2423</v>
      </c>
      <c r="F228" s="445" t="s">
        <v>1952</v>
      </c>
      <c r="G228" s="442">
        <v>19600.0</v>
      </c>
      <c r="I228" s="447"/>
      <c r="J228" s="448">
        <f t="shared" si="2"/>
        <v>2</v>
      </c>
      <c r="K228" s="448"/>
    </row>
    <row r="229" ht="22.5" customHeight="1">
      <c r="A229" s="443"/>
      <c r="B229" s="456">
        <v>46076.0</v>
      </c>
      <c r="C229" s="451" t="s">
        <v>918</v>
      </c>
      <c r="D229" s="451" t="s">
        <v>2419</v>
      </c>
      <c r="E229" s="445" t="s">
        <v>2575</v>
      </c>
      <c r="F229" s="445" t="s">
        <v>1857</v>
      </c>
      <c r="G229" s="442">
        <v>4830.0</v>
      </c>
      <c r="H229" s="448"/>
      <c r="I229" s="447"/>
      <c r="J229" s="448">
        <f t="shared" si="2"/>
        <v>2</v>
      </c>
      <c r="K229" s="448"/>
    </row>
    <row r="230" ht="22.5" customHeight="1">
      <c r="A230" s="443"/>
      <c r="B230" s="456">
        <v>46076.0</v>
      </c>
      <c r="C230" s="451" t="s">
        <v>610</v>
      </c>
      <c r="D230" s="451" t="s">
        <v>2422</v>
      </c>
      <c r="E230" s="448" t="s">
        <v>2423</v>
      </c>
      <c r="F230" s="445" t="s">
        <v>1598</v>
      </c>
      <c r="G230" s="442">
        <v>11800.0</v>
      </c>
      <c r="H230" s="448"/>
      <c r="I230" s="447"/>
      <c r="J230" s="448">
        <f t="shared" si="2"/>
        <v>2</v>
      </c>
      <c r="K230" s="448"/>
    </row>
    <row r="231" ht="22.5" customHeight="1">
      <c r="A231" s="443"/>
      <c r="B231" s="456">
        <v>46076.0</v>
      </c>
      <c r="C231" s="451" t="s">
        <v>328</v>
      </c>
      <c r="D231" s="451" t="s">
        <v>2419</v>
      </c>
      <c r="E231" s="445" t="s">
        <v>2431</v>
      </c>
      <c r="F231" s="445"/>
      <c r="G231" s="442">
        <v>22990.0</v>
      </c>
      <c r="H231" s="448"/>
      <c r="I231" s="447"/>
      <c r="J231" s="448">
        <f t="shared" si="2"/>
        <v>2</v>
      </c>
      <c r="K231" s="448"/>
    </row>
    <row r="232" ht="22.5" customHeight="1">
      <c r="A232" s="443"/>
      <c r="B232" s="456">
        <v>46077.0</v>
      </c>
      <c r="C232" s="451" t="s">
        <v>210</v>
      </c>
      <c r="D232" s="451" t="s">
        <v>2422</v>
      </c>
      <c r="E232" s="445" t="s">
        <v>2576</v>
      </c>
      <c r="F232" s="445" t="s">
        <v>2577</v>
      </c>
      <c r="G232" s="442">
        <v>3000.0</v>
      </c>
      <c r="H232" s="448"/>
      <c r="I232" s="447"/>
      <c r="J232" s="448">
        <f t="shared" si="2"/>
        <v>2</v>
      </c>
      <c r="K232" s="448"/>
    </row>
    <row r="233" ht="22.5" customHeight="1">
      <c r="A233" s="443"/>
      <c r="B233" s="456">
        <v>46062.0</v>
      </c>
      <c r="C233" s="444" t="s">
        <v>305</v>
      </c>
      <c r="D233" s="451" t="s">
        <v>2422</v>
      </c>
      <c r="E233" s="448" t="s">
        <v>2434</v>
      </c>
      <c r="F233" s="445" t="s">
        <v>2108</v>
      </c>
      <c r="G233" s="442">
        <v>8700.0</v>
      </c>
      <c r="H233" s="454" t="s">
        <v>2578</v>
      </c>
      <c r="I233" s="474"/>
      <c r="J233" s="448">
        <f t="shared" si="2"/>
        <v>2</v>
      </c>
      <c r="K233" s="448"/>
    </row>
    <row r="234" ht="22.5" customHeight="1">
      <c r="A234" s="443"/>
      <c r="B234" s="456">
        <v>46077.0</v>
      </c>
      <c r="C234" s="444" t="s">
        <v>210</v>
      </c>
      <c r="D234" s="451" t="s">
        <v>2419</v>
      </c>
      <c r="E234" s="448" t="s">
        <v>2579</v>
      </c>
      <c r="F234" s="445" t="s">
        <v>1360</v>
      </c>
      <c r="G234" s="442">
        <v>0.0</v>
      </c>
      <c r="H234" s="442">
        <v>45710.0</v>
      </c>
      <c r="I234" s="475" t="s">
        <v>2580</v>
      </c>
      <c r="J234" s="448">
        <f t="shared" si="2"/>
        <v>2</v>
      </c>
      <c r="K234" s="448"/>
    </row>
    <row r="235" ht="22.5" customHeight="1">
      <c r="A235" s="443"/>
      <c r="B235" s="456">
        <v>46077.0</v>
      </c>
      <c r="C235" s="444" t="s">
        <v>58</v>
      </c>
      <c r="D235" s="451" t="s">
        <v>2419</v>
      </c>
      <c r="E235" s="448" t="s">
        <v>2579</v>
      </c>
      <c r="F235" s="445" t="s">
        <v>2581</v>
      </c>
      <c r="G235" s="442">
        <v>0.0</v>
      </c>
      <c r="H235" s="442">
        <v>20920.0</v>
      </c>
      <c r="I235" s="475" t="s">
        <v>2580</v>
      </c>
      <c r="J235" s="448">
        <f t="shared" si="2"/>
        <v>2</v>
      </c>
      <c r="K235" s="448"/>
    </row>
    <row r="236" ht="22.5" customHeight="1">
      <c r="A236" s="443"/>
      <c r="B236" s="456">
        <v>46077.0</v>
      </c>
      <c r="C236" s="444" t="s">
        <v>730</v>
      </c>
      <c r="D236" s="451" t="s">
        <v>2422</v>
      </c>
      <c r="E236" s="476" t="s">
        <v>2423</v>
      </c>
      <c r="F236" s="454" t="s">
        <v>2251</v>
      </c>
      <c r="G236" s="442">
        <v>2500.0</v>
      </c>
      <c r="J236" s="448">
        <f t="shared" si="2"/>
        <v>2</v>
      </c>
      <c r="K236" s="448"/>
    </row>
    <row r="237" ht="22.5" customHeight="1">
      <c r="A237" s="443"/>
      <c r="B237" s="456">
        <v>46077.0</v>
      </c>
      <c r="C237" s="444" t="s">
        <v>1055</v>
      </c>
      <c r="D237" s="451" t="s">
        <v>2422</v>
      </c>
      <c r="E237" s="476" t="s">
        <v>2431</v>
      </c>
      <c r="F237" s="454" t="s">
        <v>1939</v>
      </c>
      <c r="G237" s="442">
        <v>25000.0</v>
      </c>
      <c r="J237" s="448">
        <f t="shared" si="2"/>
        <v>2</v>
      </c>
      <c r="K237" s="448"/>
    </row>
    <row r="238" ht="22.5" customHeight="1">
      <c r="A238" s="443"/>
      <c r="B238" s="456">
        <v>46077.0</v>
      </c>
      <c r="C238" s="444" t="s">
        <v>1055</v>
      </c>
      <c r="D238" s="451" t="s">
        <v>2422</v>
      </c>
      <c r="E238" s="448" t="s">
        <v>2582</v>
      </c>
      <c r="F238" s="445" t="s">
        <v>1952</v>
      </c>
      <c r="G238" s="442">
        <v>3000.0</v>
      </c>
      <c r="I238" s="447"/>
      <c r="J238" s="448">
        <f t="shared" si="2"/>
        <v>2</v>
      </c>
      <c r="K238" s="448"/>
    </row>
    <row r="239" ht="22.5" customHeight="1">
      <c r="A239" s="443"/>
      <c r="B239" s="456">
        <v>46078.0</v>
      </c>
      <c r="C239" s="444" t="s">
        <v>1055</v>
      </c>
      <c r="D239" s="451" t="s">
        <v>2419</v>
      </c>
      <c r="E239" s="445" t="s">
        <v>2455</v>
      </c>
      <c r="F239" s="445" t="s">
        <v>1944</v>
      </c>
      <c r="G239" s="442">
        <v>14190.0</v>
      </c>
      <c r="H239" s="448" t="s">
        <v>2583</v>
      </c>
      <c r="I239" s="447"/>
      <c r="J239" s="448">
        <f t="shared" si="2"/>
        <v>2</v>
      </c>
      <c r="K239" s="448"/>
    </row>
    <row r="240" ht="22.5" customHeight="1">
      <c r="A240" s="443"/>
      <c r="B240" s="456">
        <v>46078.0</v>
      </c>
      <c r="C240" s="451" t="s">
        <v>897</v>
      </c>
      <c r="D240" s="451" t="s">
        <v>2419</v>
      </c>
      <c r="E240" s="445" t="s">
        <v>2584</v>
      </c>
      <c r="F240" s="445"/>
      <c r="G240" s="442">
        <v>15170.0</v>
      </c>
      <c r="H240" s="448"/>
      <c r="I240" s="447"/>
      <c r="J240" s="448">
        <f t="shared" si="2"/>
        <v>2</v>
      </c>
      <c r="K240" s="448"/>
    </row>
    <row r="241" ht="22.5" customHeight="1">
      <c r="A241" s="443"/>
      <c r="B241" s="456">
        <v>46078.0</v>
      </c>
      <c r="C241" s="451" t="s">
        <v>610</v>
      </c>
      <c r="D241" s="451" t="s">
        <v>2419</v>
      </c>
      <c r="E241" s="445" t="s">
        <v>2585</v>
      </c>
      <c r="F241" s="445"/>
      <c r="G241" s="442">
        <v>49900.0</v>
      </c>
      <c r="H241" s="448"/>
      <c r="I241" s="447"/>
      <c r="J241" s="448">
        <f t="shared" si="2"/>
        <v>2</v>
      </c>
      <c r="K241" s="448"/>
    </row>
    <row r="242" ht="22.5" customHeight="1">
      <c r="A242" s="443"/>
      <c r="B242" s="456">
        <v>46078.0</v>
      </c>
      <c r="C242" s="444" t="s">
        <v>1055</v>
      </c>
      <c r="D242" s="451" t="s">
        <v>2419</v>
      </c>
      <c r="E242" s="445" t="s">
        <v>2455</v>
      </c>
      <c r="F242" s="445" t="s">
        <v>1939</v>
      </c>
      <c r="G242" s="442">
        <v>14190.0</v>
      </c>
      <c r="H242" s="448" t="s">
        <v>2583</v>
      </c>
      <c r="I242" s="447"/>
      <c r="J242" s="448">
        <f t="shared" si="2"/>
        <v>2</v>
      </c>
      <c r="K242" s="448"/>
    </row>
    <row r="243" ht="22.5" customHeight="1">
      <c r="A243" s="443"/>
      <c r="B243" s="456">
        <v>46081.0</v>
      </c>
      <c r="C243" s="451" t="s">
        <v>848</v>
      </c>
      <c r="D243" s="451" t="s">
        <v>2422</v>
      </c>
      <c r="E243" s="445" t="s">
        <v>2565</v>
      </c>
      <c r="F243" s="445" t="s">
        <v>2449</v>
      </c>
      <c r="G243" s="445">
        <v>2000.0</v>
      </c>
      <c r="H243" s="448"/>
      <c r="I243" s="447"/>
      <c r="J243" s="448">
        <f t="shared" si="2"/>
        <v>2</v>
      </c>
      <c r="K243" s="448"/>
    </row>
    <row r="244" ht="22.5" customHeight="1">
      <c r="A244" s="443"/>
      <c r="B244" s="456">
        <v>46081.0</v>
      </c>
      <c r="C244" s="444" t="s">
        <v>1650</v>
      </c>
      <c r="D244" s="451" t="s">
        <v>2419</v>
      </c>
      <c r="E244" s="448" t="s">
        <v>2574</v>
      </c>
      <c r="F244" s="445" t="s">
        <v>1661</v>
      </c>
      <c r="G244" s="442">
        <v>5890.0</v>
      </c>
      <c r="I244" s="447"/>
      <c r="J244" s="448">
        <f t="shared" si="2"/>
        <v>2</v>
      </c>
      <c r="K244" s="448"/>
    </row>
    <row r="245" ht="22.5" customHeight="1">
      <c r="A245" s="443"/>
      <c r="B245" s="456">
        <v>46081.0</v>
      </c>
      <c r="C245" s="444" t="s">
        <v>1667</v>
      </c>
      <c r="D245" s="451" t="s">
        <v>2419</v>
      </c>
      <c r="E245" s="448" t="s">
        <v>2427</v>
      </c>
      <c r="F245" s="445" t="s">
        <v>2586</v>
      </c>
      <c r="G245" s="442">
        <v>23900.0</v>
      </c>
      <c r="I245" s="447"/>
      <c r="J245" s="448">
        <f t="shared" si="2"/>
        <v>2</v>
      </c>
      <c r="K245" s="448"/>
    </row>
    <row r="246" ht="22.5" customHeight="1">
      <c r="A246" s="443"/>
      <c r="B246" s="456">
        <v>46081.0</v>
      </c>
      <c r="C246" s="451" t="s">
        <v>682</v>
      </c>
      <c r="D246" s="451" t="s">
        <v>2422</v>
      </c>
      <c r="E246" s="445" t="s">
        <v>2587</v>
      </c>
      <c r="F246" s="445" t="s">
        <v>2588</v>
      </c>
      <c r="G246" s="442">
        <v>25000.0</v>
      </c>
      <c r="H246" s="448"/>
      <c r="I246" s="447"/>
      <c r="J246" s="448">
        <f t="shared" si="2"/>
        <v>2</v>
      </c>
      <c r="K246" s="448"/>
    </row>
    <row r="247" ht="22.5" customHeight="1">
      <c r="A247" s="443"/>
      <c r="B247" s="456">
        <v>46081.0</v>
      </c>
      <c r="C247" s="451" t="s">
        <v>1165</v>
      </c>
      <c r="D247" s="451" t="s">
        <v>2422</v>
      </c>
      <c r="E247" s="445" t="s">
        <v>2589</v>
      </c>
      <c r="F247" s="445" t="s">
        <v>2590</v>
      </c>
      <c r="G247" s="442">
        <v>110000.0</v>
      </c>
      <c r="H247" s="448"/>
      <c r="I247" s="447"/>
      <c r="J247" s="448">
        <f t="shared" si="2"/>
        <v>2</v>
      </c>
      <c r="K247" s="448"/>
    </row>
    <row r="248" ht="22.5" customHeight="1">
      <c r="A248" s="443"/>
      <c r="B248" s="456">
        <v>46081.0</v>
      </c>
      <c r="C248" s="451" t="s">
        <v>918</v>
      </c>
      <c r="D248" s="451" t="s">
        <v>2422</v>
      </c>
      <c r="E248" s="445" t="s">
        <v>2591</v>
      </c>
      <c r="F248" s="445" t="s">
        <v>2592</v>
      </c>
      <c r="G248" s="442">
        <v>5000.0</v>
      </c>
      <c r="H248" s="448"/>
      <c r="I248" s="447"/>
      <c r="J248" s="448">
        <f t="shared" si="2"/>
        <v>2</v>
      </c>
      <c r="K248" s="448"/>
    </row>
    <row r="249" ht="22.5" customHeight="1">
      <c r="A249" s="443"/>
      <c r="B249" s="456">
        <v>46058.0</v>
      </c>
      <c r="C249" s="451" t="s">
        <v>643</v>
      </c>
      <c r="D249" s="451" t="s">
        <v>2416</v>
      </c>
      <c r="E249" s="445" t="s">
        <v>2593</v>
      </c>
      <c r="F249" s="445"/>
      <c r="G249" s="442">
        <v>25000.0</v>
      </c>
      <c r="H249" s="448"/>
      <c r="I249" s="447"/>
      <c r="J249" s="448">
        <f t="shared" si="2"/>
        <v>2</v>
      </c>
      <c r="K249" s="448"/>
    </row>
    <row r="250" ht="22.5" customHeight="1">
      <c r="A250" s="443"/>
      <c r="B250" s="456">
        <v>46064.0</v>
      </c>
      <c r="C250" s="451" t="s">
        <v>760</v>
      </c>
      <c r="D250" s="451" t="s">
        <v>2416</v>
      </c>
      <c r="E250" s="445" t="s">
        <v>2594</v>
      </c>
      <c r="F250" s="445"/>
      <c r="G250" s="442">
        <v>15000.0</v>
      </c>
      <c r="H250" s="448"/>
      <c r="I250" s="447"/>
      <c r="J250" s="448">
        <f t="shared" si="2"/>
        <v>2</v>
      </c>
      <c r="K250" s="448"/>
    </row>
    <row r="251" ht="22.5" customHeight="1">
      <c r="A251" s="443"/>
      <c r="B251" s="456">
        <v>46064.0</v>
      </c>
      <c r="C251" s="451" t="s">
        <v>210</v>
      </c>
      <c r="D251" s="451" t="s">
        <v>2416</v>
      </c>
      <c r="E251" s="445" t="s">
        <v>2595</v>
      </c>
      <c r="F251" s="445"/>
      <c r="G251" s="442">
        <v>30000.0</v>
      </c>
      <c r="H251" s="448"/>
      <c r="I251" s="447"/>
      <c r="J251" s="448">
        <f t="shared" si="2"/>
        <v>2</v>
      </c>
      <c r="K251" s="448"/>
    </row>
    <row r="252" ht="22.5" customHeight="1">
      <c r="A252" s="443"/>
      <c r="B252" s="456">
        <v>46064.0</v>
      </c>
      <c r="C252" s="451" t="s">
        <v>804</v>
      </c>
      <c r="D252" s="451" t="s">
        <v>2416</v>
      </c>
      <c r="E252" s="445" t="s">
        <v>2596</v>
      </c>
      <c r="F252" s="445"/>
      <c r="G252" s="442">
        <v>20000.0</v>
      </c>
      <c r="H252" s="448"/>
      <c r="I252" s="447"/>
      <c r="J252" s="448">
        <f t="shared" si="2"/>
        <v>2</v>
      </c>
      <c r="K252" s="448"/>
    </row>
    <row r="253" ht="22.5" customHeight="1">
      <c r="A253" s="443"/>
      <c r="B253" s="456">
        <v>46064.0</v>
      </c>
      <c r="C253" s="451" t="s">
        <v>730</v>
      </c>
      <c r="D253" s="451" t="s">
        <v>2416</v>
      </c>
      <c r="E253" s="445" t="s">
        <v>2597</v>
      </c>
      <c r="F253" s="445"/>
      <c r="G253" s="442">
        <v>25000.0</v>
      </c>
      <c r="H253" s="448"/>
      <c r="I253" s="447"/>
      <c r="J253" s="448">
        <f t="shared" si="2"/>
        <v>2</v>
      </c>
      <c r="K253" s="448"/>
    </row>
    <row r="254" ht="22.5" customHeight="1">
      <c r="A254" s="443"/>
      <c r="B254" s="456">
        <v>46076.0</v>
      </c>
      <c r="C254" s="451" t="s">
        <v>1650</v>
      </c>
      <c r="D254" s="451" t="s">
        <v>2416</v>
      </c>
      <c r="E254" s="445" t="s">
        <v>2598</v>
      </c>
      <c r="F254" s="445"/>
      <c r="G254" s="442">
        <v>30000.0</v>
      </c>
      <c r="H254" s="448"/>
      <c r="I254" s="447"/>
      <c r="J254" s="448">
        <f t="shared" si="2"/>
        <v>2</v>
      </c>
      <c r="K254" s="448"/>
    </row>
    <row r="255" ht="22.5" customHeight="1">
      <c r="A255" s="443"/>
      <c r="B255" s="456">
        <v>46076.0</v>
      </c>
      <c r="C255" s="451" t="s">
        <v>210</v>
      </c>
      <c r="D255" s="451" t="s">
        <v>2416</v>
      </c>
      <c r="E255" s="445" t="s">
        <v>2599</v>
      </c>
      <c r="F255" s="445"/>
      <c r="G255" s="442">
        <v>30000.0</v>
      </c>
      <c r="H255" s="448"/>
      <c r="I255" s="447"/>
      <c r="J255" s="448">
        <f t="shared" si="2"/>
        <v>2</v>
      </c>
      <c r="K255" s="448"/>
    </row>
    <row r="256" ht="22.5" customHeight="1">
      <c r="A256" s="443"/>
      <c r="B256" s="456">
        <v>46077.0</v>
      </c>
      <c r="C256" s="451" t="s">
        <v>778</v>
      </c>
      <c r="D256" s="451" t="s">
        <v>2416</v>
      </c>
      <c r="E256" s="445" t="s">
        <v>2600</v>
      </c>
      <c r="F256" s="445"/>
      <c r="G256" s="442">
        <v>50000.0</v>
      </c>
      <c r="H256" s="448"/>
      <c r="I256" s="447"/>
      <c r="J256" s="448">
        <f t="shared" si="2"/>
        <v>2</v>
      </c>
      <c r="K256" s="448"/>
    </row>
    <row r="257" ht="22.5" customHeight="1">
      <c r="A257" s="443"/>
      <c r="B257" s="456">
        <v>46078.0</v>
      </c>
      <c r="C257" s="451" t="s">
        <v>897</v>
      </c>
      <c r="D257" s="451" t="s">
        <v>2416</v>
      </c>
      <c r="E257" s="445" t="s">
        <v>2601</v>
      </c>
      <c r="F257" s="445"/>
      <c r="G257" s="442">
        <v>0.0</v>
      </c>
      <c r="H257" s="442">
        <v>130000.0</v>
      </c>
      <c r="I257" s="447"/>
      <c r="J257" s="448">
        <f t="shared" si="2"/>
        <v>2</v>
      </c>
      <c r="K257" s="448"/>
    </row>
    <row r="258" ht="22.5" customHeight="1">
      <c r="A258" s="443"/>
      <c r="B258" s="456">
        <v>46079.0</v>
      </c>
      <c r="C258" s="451" t="s">
        <v>897</v>
      </c>
      <c r="D258" s="451" t="s">
        <v>2416</v>
      </c>
      <c r="E258" s="445" t="s">
        <v>2602</v>
      </c>
      <c r="F258" s="445"/>
      <c r="G258" s="442">
        <v>30000.0</v>
      </c>
      <c r="H258" s="448"/>
      <c r="I258" s="447"/>
      <c r="J258" s="448">
        <f t="shared" si="2"/>
        <v>2</v>
      </c>
      <c r="K258" s="448"/>
    </row>
    <row r="259" ht="22.5" customHeight="1">
      <c r="A259" s="443"/>
      <c r="B259" s="456">
        <v>46079.0</v>
      </c>
      <c r="C259" s="451" t="s">
        <v>760</v>
      </c>
      <c r="D259" s="451" t="s">
        <v>2416</v>
      </c>
      <c r="E259" s="445" t="s">
        <v>2603</v>
      </c>
      <c r="F259" s="445"/>
      <c r="G259" s="442">
        <v>30000.0</v>
      </c>
      <c r="H259" s="448"/>
      <c r="I259" s="447"/>
      <c r="J259" s="448">
        <f t="shared" si="2"/>
        <v>2</v>
      </c>
      <c r="K259" s="448"/>
    </row>
    <row r="260" ht="22.5" customHeight="1">
      <c r="A260" s="443"/>
      <c r="B260" s="456">
        <v>46081.0</v>
      </c>
      <c r="C260" s="451" t="s">
        <v>1122</v>
      </c>
      <c r="D260" s="451" t="s">
        <v>2416</v>
      </c>
      <c r="E260" s="445" t="s">
        <v>2604</v>
      </c>
      <c r="F260" s="445"/>
      <c r="G260" s="442">
        <v>25000.0</v>
      </c>
      <c r="H260" s="448"/>
      <c r="I260" s="447"/>
      <c r="J260" s="448">
        <f t="shared" si="2"/>
        <v>2</v>
      </c>
      <c r="K260" s="448"/>
    </row>
    <row r="261" ht="22.5" customHeight="1">
      <c r="A261" s="443"/>
      <c r="B261" s="456">
        <v>46057.0</v>
      </c>
      <c r="C261" s="451" t="s">
        <v>804</v>
      </c>
      <c r="D261" s="450" t="s">
        <v>2422</v>
      </c>
      <c r="E261" s="445" t="s">
        <v>2505</v>
      </c>
      <c r="F261" s="445"/>
      <c r="G261" s="442">
        <v>40000.0</v>
      </c>
      <c r="H261" s="448"/>
      <c r="I261" s="447"/>
      <c r="J261" s="448">
        <f t="shared" si="2"/>
        <v>2</v>
      </c>
      <c r="K261" s="448"/>
    </row>
    <row r="262" ht="22.5" customHeight="1">
      <c r="A262" s="443"/>
      <c r="B262" s="456">
        <v>46057.0</v>
      </c>
      <c r="C262" s="451" t="s">
        <v>210</v>
      </c>
      <c r="D262" s="450" t="s">
        <v>2422</v>
      </c>
      <c r="E262" s="445" t="s">
        <v>2498</v>
      </c>
      <c r="F262" s="445"/>
      <c r="G262" s="442">
        <v>50000.0</v>
      </c>
      <c r="H262" s="448"/>
      <c r="I262" s="447"/>
      <c r="J262" s="448">
        <f t="shared" si="2"/>
        <v>2</v>
      </c>
      <c r="K262" s="448"/>
    </row>
    <row r="263" ht="22.5" customHeight="1">
      <c r="A263" s="443"/>
      <c r="B263" s="456">
        <v>46057.0</v>
      </c>
      <c r="C263" s="451" t="s">
        <v>643</v>
      </c>
      <c r="D263" s="450" t="s">
        <v>2422</v>
      </c>
      <c r="E263" s="445" t="s">
        <v>2500</v>
      </c>
      <c r="F263" s="445"/>
      <c r="G263" s="442">
        <v>60000.0</v>
      </c>
      <c r="H263" s="448"/>
      <c r="I263" s="447"/>
      <c r="J263" s="448">
        <f t="shared" si="2"/>
        <v>2</v>
      </c>
      <c r="K263" s="448"/>
    </row>
    <row r="264" ht="22.5" customHeight="1">
      <c r="A264" s="443"/>
      <c r="B264" s="456">
        <v>46058.0</v>
      </c>
      <c r="C264" s="451" t="s">
        <v>97</v>
      </c>
      <c r="D264" s="450" t="s">
        <v>2422</v>
      </c>
      <c r="E264" s="445" t="s">
        <v>2501</v>
      </c>
      <c r="F264" s="445"/>
      <c r="G264" s="442">
        <v>60000.0</v>
      </c>
      <c r="H264" s="448"/>
      <c r="I264" s="447"/>
      <c r="J264" s="448">
        <f t="shared" si="2"/>
        <v>2</v>
      </c>
      <c r="K264" s="448"/>
    </row>
    <row r="265" ht="22.5" customHeight="1">
      <c r="A265" s="443"/>
      <c r="B265" s="456">
        <v>46058.0</v>
      </c>
      <c r="C265" s="451" t="s">
        <v>986</v>
      </c>
      <c r="D265" s="450" t="s">
        <v>2422</v>
      </c>
      <c r="E265" s="445" t="s">
        <v>2502</v>
      </c>
      <c r="F265" s="445"/>
      <c r="G265" s="442">
        <v>40000.0</v>
      </c>
      <c r="H265" s="448"/>
      <c r="I265" s="447"/>
      <c r="J265" s="448">
        <f t="shared" si="2"/>
        <v>2</v>
      </c>
      <c r="K265" s="448"/>
    </row>
    <row r="266" ht="22.5" customHeight="1">
      <c r="A266" s="443"/>
      <c r="B266" s="456">
        <v>46058.0</v>
      </c>
      <c r="C266" s="451" t="s">
        <v>1006</v>
      </c>
      <c r="D266" s="450" t="s">
        <v>2422</v>
      </c>
      <c r="E266" s="445" t="s">
        <v>2503</v>
      </c>
      <c r="F266" s="445"/>
      <c r="G266" s="442">
        <v>40000.0</v>
      </c>
      <c r="H266" s="448"/>
      <c r="I266" s="447"/>
      <c r="J266" s="448">
        <f t="shared" si="2"/>
        <v>2</v>
      </c>
      <c r="K266" s="448"/>
    </row>
    <row r="267" ht="22.5" customHeight="1">
      <c r="A267" s="443"/>
      <c r="B267" s="456">
        <v>46059.0</v>
      </c>
      <c r="C267" s="451" t="s">
        <v>154</v>
      </c>
      <c r="D267" s="450" t="s">
        <v>2422</v>
      </c>
      <c r="E267" s="445" t="s">
        <v>2499</v>
      </c>
      <c r="F267" s="445"/>
      <c r="G267" s="442">
        <v>60000.0</v>
      </c>
      <c r="H267" s="448"/>
      <c r="I267" s="447"/>
      <c r="J267" s="448">
        <f t="shared" si="2"/>
        <v>2</v>
      </c>
      <c r="K267" s="448"/>
    </row>
    <row r="268" ht="22.5" customHeight="1">
      <c r="A268" s="443"/>
      <c r="B268" s="456">
        <v>46059.0</v>
      </c>
      <c r="C268" s="451" t="s">
        <v>1650</v>
      </c>
      <c r="D268" s="450" t="s">
        <v>2422</v>
      </c>
      <c r="E268" s="445" t="s">
        <v>2605</v>
      </c>
      <c r="F268" s="445"/>
      <c r="G268" s="442">
        <v>40000.0</v>
      </c>
      <c r="H268" s="448"/>
      <c r="I268" s="447"/>
      <c r="J268" s="448">
        <f t="shared" si="2"/>
        <v>2</v>
      </c>
      <c r="K268" s="448"/>
    </row>
    <row r="269" ht="22.5" customHeight="1">
      <c r="A269" s="443"/>
      <c r="B269" s="456">
        <v>46064.0</v>
      </c>
      <c r="C269" s="451" t="s">
        <v>897</v>
      </c>
      <c r="D269" s="450" t="s">
        <v>2422</v>
      </c>
      <c r="E269" s="445" t="s">
        <v>2507</v>
      </c>
      <c r="F269" s="445"/>
      <c r="G269" s="442">
        <v>40000.0</v>
      </c>
      <c r="H269" s="448"/>
      <c r="I269" s="447"/>
      <c r="J269" s="448">
        <f t="shared" si="2"/>
        <v>2</v>
      </c>
      <c r="K269" s="448"/>
    </row>
    <row r="270" ht="22.5" customHeight="1">
      <c r="A270" s="443"/>
      <c r="B270" s="456">
        <v>46064.0</v>
      </c>
      <c r="C270" s="451" t="s">
        <v>275</v>
      </c>
      <c r="D270" s="450" t="s">
        <v>2422</v>
      </c>
      <c r="E270" s="445" t="s">
        <v>2606</v>
      </c>
      <c r="F270" s="445"/>
      <c r="G270" s="442">
        <v>40000.0</v>
      </c>
      <c r="H270" s="448"/>
      <c r="I270" s="447"/>
      <c r="J270" s="448">
        <f t="shared" si="2"/>
        <v>2</v>
      </c>
      <c r="K270" s="448"/>
    </row>
    <row r="271" ht="22.5" customHeight="1">
      <c r="A271" s="443"/>
      <c r="B271" s="456">
        <v>46064.0</v>
      </c>
      <c r="C271" s="451" t="s">
        <v>305</v>
      </c>
      <c r="D271" s="450" t="s">
        <v>2422</v>
      </c>
      <c r="E271" s="445" t="s">
        <v>2525</v>
      </c>
      <c r="F271" s="445"/>
      <c r="G271" s="442">
        <v>40000.0</v>
      </c>
      <c r="H271" s="448"/>
      <c r="I271" s="447"/>
      <c r="J271" s="448">
        <f t="shared" si="2"/>
        <v>2</v>
      </c>
      <c r="K271" s="448"/>
    </row>
    <row r="272" ht="22.5" customHeight="1">
      <c r="A272" s="443"/>
      <c r="B272" s="456">
        <v>46065.0</v>
      </c>
      <c r="C272" s="451" t="s">
        <v>1122</v>
      </c>
      <c r="D272" s="450" t="s">
        <v>2422</v>
      </c>
      <c r="E272" s="445" t="s">
        <v>2512</v>
      </c>
      <c r="F272" s="445"/>
      <c r="G272" s="442">
        <v>40000.0</v>
      </c>
      <c r="H272" s="448"/>
      <c r="I272" s="447"/>
      <c r="J272" s="448">
        <f t="shared" si="2"/>
        <v>2</v>
      </c>
      <c r="K272" s="448"/>
    </row>
    <row r="273" ht="22.5" customHeight="1">
      <c r="A273" s="443"/>
      <c r="B273" s="456">
        <v>46065.0</v>
      </c>
      <c r="C273" s="451" t="s">
        <v>1093</v>
      </c>
      <c r="D273" s="450" t="s">
        <v>2422</v>
      </c>
      <c r="E273" s="445" t="s">
        <v>2513</v>
      </c>
      <c r="F273" s="445"/>
      <c r="G273" s="442">
        <v>40000.0</v>
      </c>
      <c r="H273" s="448"/>
      <c r="I273" s="447"/>
      <c r="J273" s="448">
        <f t="shared" si="2"/>
        <v>2</v>
      </c>
      <c r="K273" s="448"/>
    </row>
    <row r="274" ht="22.5" customHeight="1">
      <c r="A274" s="443"/>
      <c r="B274" s="456">
        <v>46065.0</v>
      </c>
      <c r="C274" s="451" t="s">
        <v>629</v>
      </c>
      <c r="D274" s="450" t="s">
        <v>2422</v>
      </c>
      <c r="E274" s="445" t="s">
        <v>2520</v>
      </c>
      <c r="F274" s="445"/>
      <c r="G274" s="442">
        <v>50000.0</v>
      </c>
      <c r="H274" s="448"/>
      <c r="I274" s="447"/>
      <c r="J274" s="448">
        <f t="shared" si="2"/>
        <v>2</v>
      </c>
      <c r="K274" s="448"/>
    </row>
    <row r="275" ht="22.5" customHeight="1">
      <c r="A275" s="443"/>
      <c r="B275" s="456">
        <v>46065.0</v>
      </c>
      <c r="C275" s="451" t="s">
        <v>945</v>
      </c>
      <c r="D275" s="450" t="s">
        <v>2422</v>
      </c>
      <c r="E275" s="445" t="s">
        <v>2516</v>
      </c>
      <c r="F275" s="445"/>
      <c r="G275" s="442">
        <v>40000.0</v>
      </c>
      <c r="H275" s="448"/>
      <c r="I275" s="447"/>
      <c r="J275" s="448">
        <f t="shared" si="2"/>
        <v>2</v>
      </c>
      <c r="K275" s="448"/>
    </row>
    <row r="276" ht="22.5" customHeight="1">
      <c r="A276" s="443"/>
      <c r="B276" s="456">
        <v>46065.0</v>
      </c>
      <c r="C276" s="451" t="s">
        <v>967</v>
      </c>
      <c r="D276" s="450" t="s">
        <v>2422</v>
      </c>
      <c r="E276" s="445" t="s">
        <v>2517</v>
      </c>
      <c r="F276" s="445"/>
      <c r="G276" s="442">
        <v>40000.0</v>
      </c>
      <c r="H276" s="448"/>
      <c r="I276" s="447"/>
      <c r="J276" s="448">
        <f t="shared" si="2"/>
        <v>2</v>
      </c>
      <c r="K276" s="448"/>
    </row>
    <row r="277" ht="22.5" customHeight="1">
      <c r="A277" s="443"/>
      <c r="B277" s="456">
        <v>46066.0</v>
      </c>
      <c r="C277" s="451" t="s">
        <v>1138</v>
      </c>
      <c r="D277" s="450" t="s">
        <v>2422</v>
      </c>
      <c r="E277" s="445" t="s">
        <v>2514</v>
      </c>
      <c r="F277" s="445"/>
      <c r="G277" s="442">
        <v>40000.0</v>
      </c>
      <c r="H277" s="448"/>
      <c r="I277" s="447"/>
      <c r="J277" s="448">
        <f t="shared" si="2"/>
        <v>2</v>
      </c>
      <c r="K277" s="448"/>
    </row>
    <row r="278" ht="22.5" customHeight="1">
      <c r="A278" s="443"/>
      <c r="B278" s="456">
        <v>46066.0</v>
      </c>
      <c r="C278" s="451" t="s">
        <v>1165</v>
      </c>
      <c r="D278" s="450" t="s">
        <v>2422</v>
      </c>
      <c r="E278" s="445" t="s">
        <v>2519</v>
      </c>
      <c r="F278" s="445"/>
      <c r="G278" s="442">
        <v>40000.0</v>
      </c>
      <c r="H278" s="448"/>
      <c r="I278" s="447"/>
      <c r="J278" s="448">
        <f t="shared" si="2"/>
        <v>2</v>
      </c>
      <c r="K278" s="448"/>
    </row>
    <row r="279" ht="22.5" customHeight="1">
      <c r="A279" s="443"/>
      <c r="B279" s="456">
        <v>46066.0</v>
      </c>
      <c r="C279" s="451" t="s">
        <v>918</v>
      </c>
      <c r="D279" s="450" t="s">
        <v>2422</v>
      </c>
      <c r="E279" s="445" t="s">
        <v>2515</v>
      </c>
      <c r="F279" s="445"/>
      <c r="G279" s="442">
        <v>40000.0</v>
      </c>
      <c r="H279" s="448"/>
      <c r="I279" s="447"/>
      <c r="J279" s="448">
        <f t="shared" si="2"/>
        <v>2</v>
      </c>
      <c r="K279" s="448"/>
    </row>
    <row r="280" ht="22.5" customHeight="1">
      <c r="A280" s="443"/>
      <c r="B280" s="456">
        <v>46066.0</v>
      </c>
      <c r="C280" s="451" t="s">
        <v>505</v>
      </c>
      <c r="D280" s="450" t="s">
        <v>2422</v>
      </c>
      <c r="E280" s="445" t="s">
        <v>2511</v>
      </c>
      <c r="F280" s="445"/>
      <c r="G280" s="442">
        <v>50000.0</v>
      </c>
      <c r="H280" s="448"/>
      <c r="I280" s="447"/>
      <c r="J280" s="448">
        <f t="shared" si="2"/>
        <v>2</v>
      </c>
      <c r="K280" s="448"/>
    </row>
    <row r="281" ht="22.5" customHeight="1">
      <c r="A281" s="443"/>
      <c r="B281" s="456">
        <v>46070.0</v>
      </c>
      <c r="C281" s="451" t="s">
        <v>598</v>
      </c>
      <c r="D281" s="450" t="s">
        <v>2422</v>
      </c>
      <c r="E281" s="445" t="s">
        <v>2607</v>
      </c>
      <c r="F281" s="445"/>
      <c r="G281" s="442">
        <v>40000.0</v>
      </c>
      <c r="H281" s="448"/>
      <c r="I281" s="447"/>
      <c r="J281" s="448">
        <f t="shared" si="2"/>
        <v>2</v>
      </c>
      <c r="K281" s="448"/>
    </row>
    <row r="282" ht="22.5" customHeight="1">
      <c r="A282" s="443"/>
      <c r="B282" s="456">
        <v>46070.0</v>
      </c>
      <c r="C282" s="451" t="s">
        <v>553</v>
      </c>
      <c r="D282" s="450" t="s">
        <v>2422</v>
      </c>
      <c r="E282" s="445" t="s">
        <v>2608</v>
      </c>
      <c r="F282" s="445"/>
      <c r="G282" s="442">
        <v>40000.0</v>
      </c>
      <c r="H282" s="448"/>
      <c r="I282" s="447"/>
      <c r="J282" s="448">
        <f t="shared" si="2"/>
        <v>2</v>
      </c>
      <c r="K282" s="448"/>
    </row>
    <row r="283" ht="22.5" customHeight="1">
      <c r="A283" s="443"/>
      <c r="B283" s="456">
        <v>46071.0</v>
      </c>
      <c r="C283" s="451" t="s">
        <v>1055</v>
      </c>
      <c r="D283" s="450" t="s">
        <v>2422</v>
      </c>
      <c r="E283" s="445" t="s">
        <v>2522</v>
      </c>
      <c r="F283" s="445"/>
      <c r="G283" s="442">
        <v>40000.0</v>
      </c>
      <c r="H283" s="448"/>
      <c r="I283" s="447"/>
      <c r="J283" s="448">
        <f t="shared" si="2"/>
        <v>2</v>
      </c>
      <c r="K283" s="448"/>
    </row>
    <row r="284" ht="22.5" customHeight="1">
      <c r="A284" s="443"/>
      <c r="B284" s="456">
        <v>46071.0</v>
      </c>
      <c r="C284" s="451" t="s">
        <v>266</v>
      </c>
      <c r="D284" s="450" t="s">
        <v>2422</v>
      </c>
      <c r="E284" s="445" t="s">
        <v>2521</v>
      </c>
      <c r="F284" s="445"/>
      <c r="G284" s="442">
        <v>40000.0</v>
      </c>
      <c r="H284" s="448"/>
      <c r="I284" s="447"/>
      <c r="J284" s="448">
        <f t="shared" si="2"/>
        <v>2</v>
      </c>
      <c r="K284" s="448"/>
    </row>
    <row r="285" ht="22.5" customHeight="1">
      <c r="A285" s="443"/>
      <c r="B285" s="456">
        <v>46072.0</v>
      </c>
      <c r="C285" s="451" t="s">
        <v>1041</v>
      </c>
      <c r="D285" s="450" t="s">
        <v>2422</v>
      </c>
      <c r="E285" s="445" t="s">
        <v>2527</v>
      </c>
      <c r="F285" s="445"/>
      <c r="G285" s="442">
        <v>51000.0</v>
      </c>
      <c r="H285" s="448"/>
      <c r="I285" s="447"/>
      <c r="J285" s="448">
        <f t="shared" si="2"/>
        <v>2</v>
      </c>
      <c r="K285" s="448"/>
    </row>
    <row r="286" ht="22.5" customHeight="1">
      <c r="A286" s="443"/>
      <c r="B286" s="456">
        <v>46072.0</v>
      </c>
      <c r="C286" s="451" t="s">
        <v>328</v>
      </c>
      <c r="D286" s="450" t="s">
        <v>2422</v>
      </c>
      <c r="E286" s="445" t="s">
        <v>2524</v>
      </c>
      <c r="F286" s="445"/>
      <c r="G286" s="442">
        <v>40000.0</v>
      </c>
      <c r="H286" s="448"/>
      <c r="I286" s="447"/>
      <c r="J286" s="448">
        <f t="shared" si="2"/>
        <v>2</v>
      </c>
      <c r="K286" s="448"/>
    </row>
    <row r="287" ht="22.5" customHeight="1">
      <c r="A287" s="443"/>
      <c r="B287" s="456">
        <v>46072.0</v>
      </c>
      <c r="C287" s="451" t="s">
        <v>1813</v>
      </c>
      <c r="D287" s="450" t="s">
        <v>2422</v>
      </c>
      <c r="E287" s="445" t="s">
        <v>2609</v>
      </c>
      <c r="F287" s="445"/>
      <c r="G287" s="442">
        <v>40000.0</v>
      </c>
      <c r="H287" s="448"/>
      <c r="I287" s="447"/>
      <c r="J287" s="448">
        <f t="shared" si="2"/>
        <v>2</v>
      </c>
      <c r="K287" s="448"/>
    </row>
    <row r="288" ht="22.5" customHeight="1">
      <c r="A288" s="443"/>
      <c r="B288" s="456">
        <v>46073.0</v>
      </c>
      <c r="C288" s="451" t="s">
        <v>760</v>
      </c>
      <c r="D288" s="450" t="s">
        <v>2422</v>
      </c>
      <c r="E288" s="445" t="s">
        <v>2526</v>
      </c>
      <c r="F288" s="445"/>
      <c r="G288" s="442">
        <v>40000.0</v>
      </c>
      <c r="H288" s="448"/>
      <c r="I288" s="447"/>
      <c r="J288" s="448">
        <f t="shared" si="2"/>
        <v>2</v>
      </c>
      <c r="K288" s="448"/>
    </row>
    <row r="289" ht="22.5" customHeight="1">
      <c r="A289" s="443"/>
      <c r="B289" s="456">
        <v>46073.0</v>
      </c>
      <c r="C289" s="451" t="s">
        <v>730</v>
      </c>
      <c r="D289" s="450" t="s">
        <v>2422</v>
      </c>
      <c r="E289" s="445" t="s">
        <v>2529</v>
      </c>
      <c r="F289" s="445"/>
      <c r="G289" s="442">
        <v>40000.0</v>
      </c>
      <c r="H289" s="448"/>
      <c r="I289" s="447"/>
      <c r="J289" s="448">
        <f t="shared" si="2"/>
        <v>2</v>
      </c>
      <c r="K289" s="448"/>
    </row>
    <row r="290" ht="22.5" customHeight="1">
      <c r="A290" s="443"/>
      <c r="B290" s="456">
        <v>46073.0</v>
      </c>
      <c r="C290" s="451" t="s">
        <v>610</v>
      </c>
      <c r="D290" s="450" t="s">
        <v>2422</v>
      </c>
      <c r="E290" s="445" t="s">
        <v>2530</v>
      </c>
      <c r="F290" s="445"/>
      <c r="G290" s="442">
        <v>50000.0</v>
      </c>
      <c r="H290" s="448"/>
      <c r="I290" s="447"/>
      <c r="J290" s="448">
        <f t="shared" si="2"/>
        <v>2</v>
      </c>
      <c r="K290" s="448"/>
    </row>
    <row r="291" ht="22.5" customHeight="1">
      <c r="A291" s="443"/>
      <c r="B291" s="456">
        <v>46073.0</v>
      </c>
      <c r="C291" s="451" t="s">
        <v>448</v>
      </c>
      <c r="D291" s="450" t="s">
        <v>2422</v>
      </c>
      <c r="E291" s="445" t="s">
        <v>2540</v>
      </c>
      <c r="F291" s="445"/>
      <c r="G291" s="442">
        <v>60000.0</v>
      </c>
      <c r="H291" s="448"/>
      <c r="I291" s="447"/>
      <c r="J291" s="448">
        <f t="shared" si="2"/>
        <v>2</v>
      </c>
      <c r="K291" s="448"/>
    </row>
    <row r="292" ht="22.5" customHeight="1">
      <c r="A292" s="443"/>
      <c r="B292" s="456">
        <v>46077.0</v>
      </c>
      <c r="C292" s="451" t="s">
        <v>415</v>
      </c>
      <c r="D292" s="450" t="s">
        <v>2422</v>
      </c>
      <c r="E292" s="445" t="s">
        <v>2528</v>
      </c>
      <c r="F292" s="445"/>
      <c r="G292" s="442">
        <v>50000.0</v>
      </c>
      <c r="H292" s="448"/>
      <c r="I292" s="447"/>
      <c r="J292" s="448">
        <f t="shared" si="2"/>
        <v>2</v>
      </c>
      <c r="K292" s="448"/>
    </row>
    <row r="293" ht="22.5" customHeight="1">
      <c r="A293" s="443"/>
      <c r="B293" s="456">
        <v>46077.0</v>
      </c>
      <c r="C293" s="451" t="s">
        <v>897</v>
      </c>
      <c r="D293" s="450" t="s">
        <v>2422</v>
      </c>
      <c r="E293" s="445" t="s">
        <v>2610</v>
      </c>
      <c r="F293" s="445"/>
      <c r="G293" s="442">
        <v>0.0</v>
      </c>
      <c r="H293" s="442">
        <v>40000.0</v>
      </c>
      <c r="I293" s="447"/>
      <c r="J293" s="448">
        <f t="shared" si="2"/>
        <v>2</v>
      </c>
      <c r="K293" s="448"/>
    </row>
    <row r="294" ht="22.5" customHeight="1">
      <c r="A294" s="443"/>
      <c r="B294" s="456">
        <v>46078.0</v>
      </c>
      <c r="C294" s="451" t="s">
        <v>848</v>
      </c>
      <c r="D294" s="450" t="s">
        <v>2422</v>
      </c>
      <c r="E294" s="445" t="s">
        <v>2611</v>
      </c>
      <c r="F294" s="445"/>
      <c r="G294" s="442">
        <v>50000.0</v>
      </c>
      <c r="H294" s="448"/>
      <c r="I294" s="447"/>
      <c r="J294" s="448">
        <f t="shared" si="2"/>
        <v>2</v>
      </c>
      <c r="K294" s="448"/>
    </row>
    <row r="295" ht="22.5" customHeight="1">
      <c r="A295" s="443"/>
      <c r="B295" s="456">
        <v>46078.0</v>
      </c>
      <c r="C295" s="451" t="s">
        <v>210</v>
      </c>
      <c r="D295" s="450" t="s">
        <v>2422</v>
      </c>
      <c r="E295" s="445" t="s">
        <v>2612</v>
      </c>
      <c r="F295" s="445"/>
      <c r="G295" s="442">
        <v>60000.0</v>
      </c>
      <c r="H295" s="448"/>
      <c r="I295" s="447"/>
      <c r="J295" s="448">
        <f t="shared" si="2"/>
        <v>2</v>
      </c>
      <c r="K295" s="448"/>
    </row>
    <row r="296" ht="22.5" customHeight="1">
      <c r="A296" s="443"/>
      <c r="B296" s="456">
        <v>46079.0</v>
      </c>
      <c r="C296" s="451" t="s">
        <v>474</v>
      </c>
      <c r="D296" s="450" t="s">
        <v>2422</v>
      </c>
      <c r="E296" s="445" t="s">
        <v>2613</v>
      </c>
      <c r="F296" s="445"/>
      <c r="G296" s="442">
        <v>40000.0</v>
      </c>
      <c r="H296" s="448"/>
      <c r="I296" s="447"/>
      <c r="J296" s="448">
        <f t="shared" si="2"/>
        <v>2</v>
      </c>
      <c r="K296" s="448"/>
    </row>
    <row r="297" ht="22.5" customHeight="1">
      <c r="A297" s="443"/>
      <c r="B297" s="456">
        <v>46079.0</v>
      </c>
      <c r="C297" s="451" t="s">
        <v>97</v>
      </c>
      <c r="D297" s="450" t="s">
        <v>2422</v>
      </c>
      <c r="E297" s="445" t="s">
        <v>2531</v>
      </c>
      <c r="F297" s="445"/>
      <c r="G297" s="442">
        <v>60000.0</v>
      </c>
      <c r="H297" s="448"/>
      <c r="I297" s="447"/>
      <c r="J297" s="448">
        <f t="shared" si="2"/>
        <v>2</v>
      </c>
      <c r="K297" s="448"/>
    </row>
    <row r="298" ht="22.5" customHeight="1">
      <c r="A298" s="443"/>
      <c r="B298" s="456">
        <v>46079.0</v>
      </c>
      <c r="C298" s="451" t="s">
        <v>58</v>
      </c>
      <c r="D298" s="450" t="s">
        <v>2422</v>
      </c>
      <c r="E298" s="445" t="s">
        <v>2614</v>
      </c>
      <c r="F298" s="445"/>
      <c r="G298" s="442">
        <v>50000.0</v>
      </c>
      <c r="H298" s="448"/>
      <c r="I298" s="447"/>
      <c r="J298" s="448">
        <f t="shared" si="2"/>
        <v>2</v>
      </c>
      <c r="K298" s="448"/>
    </row>
    <row r="299" ht="22.5" customHeight="1">
      <c r="A299" s="443"/>
      <c r="B299" s="456">
        <v>46080.0</v>
      </c>
      <c r="C299" s="451" t="s">
        <v>154</v>
      </c>
      <c r="D299" s="450" t="s">
        <v>2422</v>
      </c>
      <c r="E299" s="445" t="s">
        <v>2541</v>
      </c>
      <c r="F299" s="445"/>
      <c r="G299" s="442">
        <v>60000.0</v>
      </c>
      <c r="H299" s="448"/>
      <c r="I299" s="447"/>
      <c r="J299" s="448">
        <f t="shared" si="2"/>
        <v>2</v>
      </c>
      <c r="K299" s="448"/>
    </row>
    <row r="300" ht="22.5" customHeight="1">
      <c r="A300" s="443"/>
      <c r="B300" s="456">
        <v>46080.0</v>
      </c>
      <c r="C300" s="451" t="s">
        <v>27</v>
      </c>
      <c r="D300" s="450" t="s">
        <v>2422</v>
      </c>
      <c r="E300" s="445" t="s">
        <v>2535</v>
      </c>
      <c r="F300" s="445"/>
      <c r="G300" s="442">
        <v>40000.0</v>
      </c>
      <c r="H300" s="448"/>
      <c r="I300" s="447"/>
      <c r="J300" s="448">
        <f t="shared" si="2"/>
        <v>2</v>
      </c>
      <c r="K300" s="448"/>
    </row>
    <row r="301" ht="22.5" customHeight="1">
      <c r="A301" s="443"/>
      <c r="B301" s="456">
        <v>46054.0</v>
      </c>
      <c r="C301" s="451" t="s">
        <v>1006</v>
      </c>
      <c r="D301" s="450" t="s">
        <v>2422</v>
      </c>
      <c r="E301" s="420" t="s">
        <v>2432</v>
      </c>
      <c r="F301" s="445"/>
      <c r="G301" s="442">
        <v>9360.0</v>
      </c>
      <c r="H301" s="448"/>
      <c r="I301" s="447"/>
      <c r="J301" s="448">
        <f t="shared" si="2"/>
        <v>2</v>
      </c>
      <c r="K301" s="448"/>
    </row>
    <row r="302" ht="22.5" customHeight="1">
      <c r="A302" s="443"/>
      <c r="B302" s="456">
        <v>46055.0</v>
      </c>
      <c r="C302" s="451" t="s">
        <v>1055</v>
      </c>
      <c r="D302" s="450" t="s">
        <v>2422</v>
      </c>
      <c r="E302" s="420" t="s">
        <v>2432</v>
      </c>
      <c r="F302" s="445"/>
      <c r="G302" s="442">
        <v>12580.0</v>
      </c>
      <c r="H302" s="448"/>
      <c r="I302" s="447"/>
      <c r="J302" s="448">
        <f t="shared" si="2"/>
        <v>2</v>
      </c>
      <c r="K302" s="448"/>
    </row>
    <row r="303" ht="22.5" customHeight="1">
      <c r="A303" s="443"/>
      <c r="B303" s="456">
        <v>46055.0</v>
      </c>
      <c r="C303" s="451" t="s">
        <v>97</v>
      </c>
      <c r="D303" s="450" t="s">
        <v>2422</v>
      </c>
      <c r="E303" s="420" t="s">
        <v>2432</v>
      </c>
      <c r="F303" s="445"/>
      <c r="G303" s="442">
        <v>14740.0</v>
      </c>
      <c r="H303" s="448"/>
      <c r="I303" s="447"/>
      <c r="J303" s="448">
        <f t="shared" si="2"/>
        <v>2</v>
      </c>
      <c r="K303" s="448"/>
    </row>
    <row r="304" ht="22.5" customHeight="1">
      <c r="A304" s="443"/>
      <c r="B304" s="456">
        <v>46055.0</v>
      </c>
      <c r="C304" s="451" t="s">
        <v>1180</v>
      </c>
      <c r="D304" s="450" t="s">
        <v>2422</v>
      </c>
      <c r="E304" s="420" t="s">
        <v>2432</v>
      </c>
      <c r="F304" s="445"/>
      <c r="G304" s="442">
        <v>5860.0</v>
      </c>
      <c r="H304" s="448"/>
      <c r="I304" s="447"/>
      <c r="J304" s="448">
        <f t="shared" si="2"/>
        <v>2</v>
      </c>
      <c r="K304" s="448"/>
    </row>
    <row r="305" ht="22.5" customHeight="1">
      <c r="A305" s="443"/>
      <c r="B305" s="456">
        <v>46056.0</v>
      </c>
      <c r="C305" s="451" t="s">
        <v>154</v>
      </c>
      <c r="D305" s="450" t="s">
        <v>2422</v>
      </c>
      <c r="E305" s="420" t="s">
        <v>2432</v>
      </c>
      <c r="F305" s="445"/>
      <c r="G305" s="442">
        <v>16710.0</v>
      </c>
      <c r="H305" s="448"/>
      <c r="I305" s="447"/>
      <c r="J305" s="448">
        <f t="shared" si="2"/>
        <v>2</v>
      </c>
      <c r="K305" s="448"/>
    </row>
    <row r="306" ht="22.5" customHeight="1">
      <c r="A306" s="443"/>
      <c r="B306" s="456">
        <v>46057.0</v>
      </c>
      <c r="C306" s="451" t="s">
        <v>210</v>
      </c>
      <c r="D306" s="450" t="s">
        <v>2422</v>
      </c>
      <c r="E306" s="420" t="s">
        <v>2432</v>
      </c>
      <c r="F306" s="445"/>
      <c r="G306" s="442">
        <v>15300.0</v>
      </c>
      <c r="H306" s="448"/>
      <c r="I306" s="447"/>
      <c r="J306" s="448">
        <f t="shared" si="2"/>
        <v>2</v>
      </c>
      <c r="K306" s="448"/>
    </row>
    <row r="307" ht="22.5" customHeight="1">
      <c r="A307" s="443"/>
      <c r="B307" s="456">
        <v>46058.0</v>
      </c>
      <c r="C307" s="451" t="s">
        <v>97</v>
      </c>
      <c r="D307" s="450" t="s">
        <v>2422</v>
      </c>
      <c r="E307" s="420" t="s">
        <v>2432</v>
      </c>
      <c r="F307" s="445"/>
      <c r="G307" s="442">
        <v>6150.0</v>
      </c>
      <c r="H307" s="448"/>
      <c r="I307" s="447"/>
      <c r="J307" s="448">
        <f t="shared" si="2"/>
        <v>2</v>
      </c>
      <c r="K307" s="448"/>
    </row>
    <row r="308" ht="22.5" customHeight="1">
      <c r="A308" s="443"/>
      <c r="B308" s="456">
        <v>46059.0</v>
      </c>
      <c r="C308" s="451" t="s">
        <v>986</v>
      </c>
      <c r="D308" s="450" t="s">
        <v>2422</v>
      </c>
      <c r="E308" s="420" t="s">
        <v>2432</v>
      </c>
      <c r="F308" s="445"/>
      <c r="G308" s="442">
        <v>6480.0</v>
      </c>
      <c r="H308" s="448"/>
      <c r="I308" s="447"/>
      <c r="J308" s="448">
        <f t="shared" si="2"/>
        <v>2</v>
      </c>
      <c r="K308" s="448"/>
    </row>
    <row r="309" ht="22.5" customHeight="1">
      <c r="A309" s="443"/>
      <c r="B309" s="456">
        <v>46060.0</v>
      </c>
      <c r="C309" s="451" t="s">
        <v>210</v>
      </c>
      <c r="D309" s="450" t="s">
        <v>2422</v>
      </c>
      <c r="E309" s="420" t="s">
        <v>2432</v>
      </c>
      <c r="F309" s="445"/>
      <c r="G309" s="442">
        <v>3900.0</v>
      </c>
      <c r="H309" s="448"/>
      <c r="I309" s="447"/>
      <c r="J309" s="448">
        <f t="shared" si="2"/>
        <v>2</v>
      </c>
      <c r="K309" s="448"/>
    </row>
    <row r="310" ht="22.5" customHeight="1">
      <c r="A310" s="443"/>
      <c r="B310" s="456">
        <v>46067.0</v>
      </c>
      <c r="C310" s="451" t="s">
        <v>598</v>
      </c>
      <c r="D310" s="450" t="s">
        <v>2422</v>
      </c>
      <c r="E310" s="420" t="s">
        <v>2432</v>
      </c>
      <c r="F310" s="445"/>
      <c r="G310" s="442">
        <v>5440.0</v>
      </c>
      <c r="H310" s="448"/>
      <c r="I310" s="447"/>
      <c r="J310" s="448">
        <f t="shared" si="2"/>
        <v>2</v>
      </c>
      <c r="K310" s="448"/>
    </row>
    <row r="311" ht="22.5" customHeight="1">
      <c r="A311" s="443"/>
      <c r="B311" s="456">
        <v>46067.0</v>
      </c>
      <c r="C311" s="451" t="s">
        <v>154</v>
      </c>
      <c r="D311" s="450" t="s">
        <v>2422</v>
      </c>
      <c r="E311" s="420" t="s">
        <v>2432</v>
      </c>
      <c r="F311" s="445"/>
      <c r="G311" s="442">
        <v>11570.0</v>
      </c>
      <c r="H311" s="448"/>
      <c r="I311" s="447"/>
      <c r="J311" s="448">
        <f t="shared" si="2"/>
        <v>2</v>
      </c>
      <c r="K311" s="448"/>
    </row>
    <row r="312" ht="22.5" customHeight="1">
      <c r="A312" s="443"/>
      <c r="B312" s="456">
        <v>46067.0</v>
      </c>
      <c r="C312" s="451" t="s">
        <v>1180</v>
      </c>
      <c r="D312" s="450" t="s">
        <v>2422</v>
      </c>
      <c r="E312" s="420" t="s">
        <v>2432</v>
      </c>
      <c r="F312" s="445"/>
      <c r="G312" s="442">
        <v>3480.0</v>
      </c>
      <c r="H312" s="448"/>
      <c r="I312" s="447"/>
      <c r="J312" s="448">
        <f t="shared" si="2"/>
        <v>2</v>
      </c>
      <c r="K312" s="448"/>
    </row>
    <row r="313" ht="22.5" customHeight="1">
      <c r="A313" s="443"/>
      <c r="B313" s="456">
        <v>46068.0</v>
      </c>
      <c r="C313" s="451" t="s">
        <v>986</v>
      </c>
      <c r="D313" s="450" t="s">
        <v>2422</v>
      </c>
      <c r="E313" s="420" t="s">
        <v>2432</v>
      </c>
      <c r="F313" s="445"/>
      <c r="G313" s="442">
        <v>14320.0</v>
      </c>
      <c r="H313" s="448"/>
      <c r="I313" s="447"/>
      <c r="J313" s="448">
        <f t="shared" si="2"/>
        <v>2</v>
      </c>
      <c r="K313" s="448"/>
    </row>
    <row r="314" ht="22.5" customHeight="1">
      <c r="A314" s="443"/>
      <c r="B314" s="456">
        <v>46068.0</v>
      </c>
      <c r="C314" s="451" t="s">
        <v>97</v>
      </c>
      <c r="D314" s="450" t="s">
        <v>2422</v>
      </c>
      <c r="E314" s="420" t="s">
        <v>2432</v>
      </c>
      <c r="F314" s="445"/>
      <c r="G314" s="442">
        <v>7260.0</v>
      </c>
      <c r="H314" s="448"/>
      <c r="I314" s="447"/>
      <c r="J314" s="448">
        <f t="shared" si="2"/>
        <v>2</v>
      </c>
      <c r="K314" s="448"/>
    </row>
    <row r="315" ht="22.5" customHeight="1">
      <c r="A315" s="443"/>
      <c r="B315" s="456">
        <v>46068.0</v>
      </c>
      <c r="C315" s="451" t="s">
        <v>27</v>
      </c>
      <c r="D315" s="450" t="s">
        <v>2422</v>
      </c>
      <c r="E315" s="420" t="s">
        <v>2432</v>
      </c>
      <c r="F315" s="445"/>
      <c r="G315" s="442">
        <v>10740.0</v>
      </c>
      <c r="H315" s="448"/>
      <c r="I315" s="447"/>
      <c r="J315" s="448">
        <f t="shared" si="2"/>
        <v>2</v>
      </c>
      <c r="K315" s="448"/>
    </row>
    <row r="316" ht="22.5" customHeight="1">
      <c r="A316" s="443"/>
      <c r="B316" s="456">
        <v>46074.0</v>
      </c>
      <c r="C316" s="451" t="s">
        <v>154</v>
      </c>
      <c r="D316" s="450" t="s">
        <v>2422</v>
      </c>
      <c r="E316" s="420" t="s">
        <v>2432</v>
      </c>
      <c r="F316" s="445"/>
      <c r="G316" s="442">
        <v>14720.0</v>
      </c>
      <c r="H316" s="448"/>
      <c r="I316" s="447"/>
      <c r="J316" s="448">
        <f t="shared" si="2"/>
        <v>2</v>
      </c>
      <c r="K316" s="448"/>
    </row>
    <row r="317" ht="22.5" customHeight="1">
      <c r="A317" s="417"/>
      <c r="B317" s="456">
        <v>46074.0</v>
      </c>
      <c r="C317" s="451" t="s">
        <v>822</v>
      </c>
      <c r="D317" s="450" t="s">
        <v>2422</v>
      </c>
      <c r="E317" s="420" t="s">
        <v>2432</v>
      </c>
      <c r="F317" s="445"/>
      <c r="G317" s="442">
        <v>8660.0</v>
      </c>
      <c r="H317" s="448"/>
      <c r="I317" s="447"/>
      <c r="J317" s="448">
        <f t="shared" si="2"/>
        <v>2</v>
      </c>
      <c r="K317" s="448"/>
    </row>
    <row r="318" ht="22.5" customHeight="1">
      <c r="A318" s="443"/>
      <c r="B318" s="456">
        <v>46074.0</v>
      </c>
      <c r="C318" s="449" t="s">
        <v>210</v>
      </c>
      <c r="D318" s="450" t="s">
        <v>2422</v>
      </c>
      <c r="E318" s="420" t="s">
        <v>2432</v>
      </c>
      <c r="F318" s="428"/>
      <c r="G318" s="442">
        <v>11570.0</v>
      </c>
      <c r="H318" s="430"/>
      <c r="I318" s="431"/>
      <c r="J318" s="448">
        <f t="shared" si="2"/>
        <v>2</v>
      </c>
      <c r="K318" s="433"/>
    </row>
    <row r="319" ht="22.5" customHeight="1">
      <c r="A319" s="443"/>
      <c r="B319" s="456">
        <v>46074.0</v>
      </c>
      <c r="C319" s="451" t="s">
        <v>275</v>
      </c>
      <c r="D319" s="450" t="s">
        <v>2422</v>
      </c>
      <c r="E319" s="420" t="s">
        <v>2432</v>
      </c>
      <c r="F319" s="445"/>
      <c r="G319" s="442">
        <v>6980.0</v>
      </c>
      <c r="H319" s="448"/>
      <c r="I319" s="447"/>
      <c r="J319" s="448">
        <f t="shared" si="2"/>
        <v>2</v>
      </c>
      <c r="K319" s="448"/>
    </row>
    <row r="320" ht="22.5" customHeight="1">
      <c r="A320" s="443"/>
      <c r="B320" s="456">
        <v>46075.0</v>
      </c>
      <c r="C320" s="451" t="s">
        <v>1006</v>
      </c>
      <c r="D320" s="450" t="s">
        <v>2422</v>
      </c>
      <c r="E320" s="420" t="s">
        <v>2432</v>
      </c>
      <c r="F320" s="445"/>
      <c r="G320" s="442">
        <v>6700.0</v>
      </c>
      <c r="H320" s="448"/>
      <c r="I320" s="447"/>
      <c r="J320" s="448">
        <f t="shared" si="2"/>
        <v>2</v>
      </c>
      <c r="K320" s="448"/>
    </row>
    <row r="321" ht="22.5" customHeight="1">
      <c r="A321" s="443"/>
      <c r="B321" s="456">
        <v>46076.0</v>
      </c>
      <c r="C321" s="451" t="s">
        <v>918</v>
      </c>
      <c r="D321" s="450" t="s">
        <v>2422</v>
      </c>
      <c r="E321" s="420" t="s">
        <v>2432</v>
      </c>
      <c r="F321" s="445"/>
      <c r="G321" s="442">
        <v>12440.0</v>
      </c>
      <c r="H321" s="448"/>
      <c r="I321" s="447"/>
      <c r="J321" s="448">
        <f t="shared" si="2"/>
        <v>2</v>
      </c>
      <c r="K321" s="448"/>
    </row>
    <row r="322" ht="22.5" customHeight="1">
      <c r="A322" s="417"/>
      <c r="B322" s="456">
        <v>46076.0</v>
      </c>
      <c r="C322" s="451" t="s">
        <v>210</v>
      </c>
      <c r="D322" s="450" t="s">
        <v>2422</v>
      </c>
      <c r="E322" s="420" t="s">
        <v>2432</v>
      </c>
      <c r="F322" s="445"/>
      <c r="G322" s="442">
        <v>5440.0</v>
      </c>
      <c r="H322" s="448"/>
      <c r="I322" s="447"/>
      <c r="J322" s="448">
        <f t="shared" si="2"/>
        <v>2</v>
      </c>
      <c r="K322" s="448"/>
    </row>
    <row r="323" ht="22.5" customHeight="1">
      <c r="A323" s="443"/>
      <c r="B323" s="456">
        <v>46076.0</v>
      </c>
      <c r="C323" s="449" t="s">
        <v>154</v>
      </c>
      <c r="D323" s="450" t="s">
        <v>2422</v>
      </c>
      <c r="E323" s="420" t="s">
        <v>2432</v>
      </c>
      <c r="F323" s="428"/>
      <c r="G323" s="442">
        <v>20770.0</v>
      </c>
      <c r="H323" s="430"/>
      <c r="I323" s="431"/>
      <c r="J323" s="448">
        <f t="shared" si="2"/>
        <v>2</v>
      </c>
      <c r="K323" s="433"/>
    </row>
    <row r="324" ht="22.5" customHeight="1">
      <c r="A324" s="443"/>
      <c r="B324" s="456">
        <v>46076.0</v>
      </c>
      <c r="C324" s="451" t="s">
        <v>598</v>
      </c>
      <c r="D324" s="450" t="s">
        <v>2422</v>
      </c>
      <c r="E324" s="420" t="s">
        <v>2432</v>
      </c>
      <c r="F324" s="445"/>
      <c r="G324" s="442">
        <v>6700.0</v>
      </c>
      <c r="H324" s="448"/>
      <c r="I324" s="447"/>
      <c r="J324" s="448">
        <f t="shared" si="2"/>
        <v>2</v>
      </c>
      <c r="K324" s="448"/>
    </row>
    <row r="325" ht="22.5" customHeight="1">
      <c r="A325" s="443"/>
      <c r="B325" s="456">
        <v>46076.0</v>
      </c>
      <c r="C325" s="451" t="s">
        <v>27</v>
      </c>
      <c r="D325" s="450" t="s">
        <v>2422</v>
      </c>
      <c r="E325" s="420" t="s">
        <v>2432</v>
      </c>
      <c r="F325" s="445"/>
      <c r="G325" s="442">
        <v>13620.0</v>
      </c>
      <c r="H325" s="448"/>
      <c r="I325" s="447"/>
      <c r="J325" s="448">
        <f t="shared" si="2"/>
        <v>2</v>
      </c>
      <c r="K325" s="448"/>
    </row>
    <row r="326" ht="22.5" customHeight="1">
      <c r="A326" s="443"/>
      <c r="B326" s="456">
        <v>46077.0</v>
      </c>
      <c r="C326" s="451" t="s">
        <v>822</v>
      </c>
      <c r="D326" s="450" t="s">
        <v>2422</v>
      </c>
      <c r="E326" s="420" t="s">
        <v>2432</v>
      </c>
      <c r="F326" s="445"/>
      <c r="G326" s="442">
        <v>9360.0</v>
      </c>
      <c r="H326" s="448"/>
      <c r="I326" s="447"/>
      <c r="J326" s="448">
        <f t="shared" si="2"/>
        <v>2</v>
      </c>
      <c r="K326" s="448"/>
    </row>
    <row r="327" ht="22.5" customHeight="1">
      <c r="A327" s="443"/>
      <c r="B327" s="456">
        <v>46078.0</v>
      </c>
      <c r="C327" s="451" t="s">
        <v>275</v>
      </c>
      <c r="D327" s="450" t="s">
        <v>2422</v>
      </c>
      <c r="E327" s="420" t="s">
        <v>2432</v>
      </c>
      <c r="F327" s="445"/>
      <c r="G327" s="442">
        <v>19650.0</v>
      </c>
      <c r="H327" s="448"/>
      <c r="I327" s="447"/>
      <c r="J327" s="448">
        <f t="shared" si="2"/>
        <v>2</v>
      </c>
      <c r="K327" s="448"/>
    </row>
    <row r="328" ht="22.5" customHeight="1">
      <c r="A328" s="443"/>
      <c r="B328" s="456">
        <v>46078.0</v>
      </c>
      <c r="C328" s="451" t="s">
        <v>97</v>
      </c>
      <c r="D328" s="450" t="s">
        <v>2422</v>
      </c>
      <c r="E328" s="420" t="s">
        <v>2432</v>
      </c>
      <c r="F328" s="445"/>
      <c r="G328" s="442">
        <v>10060.0</v>
      </c>
      <c r="H328" s="448"/>
      <c r="I328" s="447"/>
      <c r="J328" s="448">
        <f t="shared" si="2"/>
        <v>2</v>
      </c>
      <c r="K328" s="448"/>
    </row>
    <row r="329" ht="22.5" customHeight="1">
      <c r="A329" s="443"/>
      <c r="B329" s="456">
        <v>46078.0</v>
      </c>
      <c r="C329" s="451" t="s">
        <v>1006</v>
      </c>
      <c r="D329" s="450" t="s">
        <v>2422</v>
      </c>
      <c r="E329" s="420" t="s">
        <v>2432</v>
      </c>
      <c r="F329" s="445"/>
      <c r="G329" s="442">
        <v>5860.0</v>
      </c>
      <c r="H329" s="448"/>
      <c r="I329" s="447"/>
      <c r="J329" s="448">
        <f t="shared" si="2"/>
        <v>2</v>
      </c>
      <c r="K329" s="448"/>
    </row>
    <row r="330" ht="22.5" customHeight="1">
      <c r="A330" s="443"/>
      <c r="B330" s="456">
        <v>46079.0</v>
      </c>
      <c r="C330" s="451" t="s">
        <v>154</v>
      </c>
      <c r="D330" s="450" t="s">
        <v>2422</v>
      </c>
      <c r="E330" s="420" t="s">
        <v>2432</v>
      </c>
      <c r="F330" s="445"/>
      <c r="G330" s="442">
        <v>11180.0</v>
      </c>
      <c r="H330" s="448"/>
      <c r="I330" s="447"/>
      <c r="J330" s="448">
        <f t="shared" si="2"/>
        <v>2</v>
      </c>
      <c r="K330" s="448"/>
    </row>
    <row r="331" ht="22.5" customHeight="1">
      <c r="A331" s="443"/>
      <c r="B331" s="456">
        <v>46080.0</v>
      </c>
      <c r="C331" s="451" t="s">
        <v>97</v>
      </c>
      <c r="D331" s="450" t="s">
        <v>2422</v>
      </c>
      <c r="E331" s="420" t="s">
        <v>2432</v>
      </c>
      <c r="F331" s="445"/>
      <c r="G331" s="442">
        <v>8840.0</v>
      </c>
      <c r="H331" s="448"/>
      <c r="I331" s="447"/>
      <c r="J331" s="448">
        <f t="shared" si="2"/>
        <v>2</v>
      </c>
      <c r="K331" s="448"/>
    </row>
    <row r="332" ht="22.5" customHeight="1">
      <c r="A332" s="443"/>
      <c r="B332" s="456">
        <v>46080.0</v>
      </c>
      <c r="C332" s="451" t="s">
        <v>598</v>
      </c>
      <c r="D332" s="450" t="s">
        <v>2422</v>
      </c>
      <c r="E332" s="420" t="s">
        <v>2432</v>
      </c>
      <c r="F332" s="445"/>
      <c r="G332" s="442">
        <v>11460.0</v>
      </c>
      <c r="H332" s="448"/>
      <c r="I332" s="447"/>
      <c r="J332" s="448">
        <f t="shared" si="2"/>
        <v>2</v>
      </c>
      <c r="K332" s="448"/>
    </row>
    <row r="333" ht="22.5" customHeight="1">
      <c r="A333" s="443"/>
      <c r="B333" s="477">
        <v>46081.0</v>
      </c>
      <c r="C333" s="478" t="s">
        <v>154</v>
      </c>
      <c r="D333" s="479" t="s">
        <v>2422</v>
      </c>
      <c r="E333" s="480" t="s">
        <v>2432</v>
      </c>
      <c r="F333" s="481"/>
      <c r="G333" s="482">
        <v>12580.0</v>
      </c>
      <c r="H333" s="483"/>
      <c r="I333" s="484"/>
      <c r="J333" s="483">
        <f t="shared" si="2"/>
        <v>2</v>
      </c>
      <c r="K333" s="483"/>
    </row>
    <row r="334" ht="22.5" customHeight="1">
      <c r="A334" s="443"/>
      <c r="B334" s="456">
        <v>46082.0</v>
      </c>
      <c r="C334" s="444" t="s">
        <v>505</v>
      </c>
      <c r="D334" s="451" t="s">
        <v>2422</v>
      </c>
      <c r="E334" s="448" t="s">
        <v>2615</v>
      </c>
      <c r="F334" s="445" t="s">
        <v>1504</v>
      </c>
      <c r="G334" s="485">
        <v>4900.0</v>
      </c>
      <c r="I334" s="447"/>
      <c r="J334" s="448">
        <f t="shared" si="2"/>
        <v>3</v>
      </c>
      <c r="K334" s="448"/>
    </row>
    <row r="335" ht="22.5" customHeight="1">
      <c r="A335" s="443"/>
      <c r="B335" s="456">
        <v>46082.0</v>
      </c>
      <c r="C335" s="457" t="s">
        <v>505</v>
      </c>
      <c r="D335" s="457" t="s">
        <v>2419</v>
      </c>
      <c r="E335" s="454" t="s">
        <v>2616</v>
      </c>
      <c r="F335" s="445" t="s">
        <v>1504</v>
      </c>
      <c r="G335" s="442">
        <v>29780.0</v>
      </c>
      <c r="I335" s="447"/>
      <c r="J335" s="448">
        <f t="shared" ref="J335:J337" si="4">MONTH(B336)</f>
        <v>3</v>
      </c>
      <c r="K335" s="448"/>
    </row>
    <row r="336" ht="22.5" customHeight="1">
      <c r="A336" s="443"/>
      <c r="B336" s="456">
        <v>46082.0</v>
      </c>
      <c r="C336" s="444" t="s">
        <v>448</v>
      </c>
      <c r="D336" s="451" t="s">
        <v>2422</v>
      </c>
      <c r="E336" s="448" t="s">
        <v>2615</v>
      </c>
      <c r="F336" s="445" t="s">
        <v>1474</v>
      </c>
      <c r="G336" s="486">
        <v>10800.0</v>
      </c>
      <c r="I336" s="447"/>
      <c r="J336" s="448">
        <f t="shared" si="4"/>
        <v>3</v>
      </c>
      <c r="K336" s="448"/>
    </row>
    <row r="337" ht="22.5" customHeight="1">
      <c r="A337" s="443"/>
      <c r="B337" s="456">
        <v>46082.0</v>
      </c>
      <c r="C337" s="444" t="s">
        <v>848</v>
      </c>
      <c r="D337" s="451" t="s">
        <v>2422</v>
      </c>
      <c r="E337" s="448" t="s">
        <v>2615</v>
      </c>
      <c r="F337" s="445" t="s">
        <v>1792</v>
      </c>
      <c r="G337" s="442">
        <v>10780.0</v>
      </c>
      <c r="H337" s="448"/>
      <c r="I337" s="447"/>
      <c r="J337" s="448">
        <f t="shared" si="4"/>
        <v>3</v>
      </c>
      <c r="K337" s="448"/>
    </row>
    <row r="338" ht="22.5" customHeight="1">
      <c r="A338" s="443"/>
      <c r="B338" s="456">
        <v>46082.0</v>
      </c>
      <c r="C338" s="451" t="s">
        <v>598</v>
      </c>
      <c r="D338" s="451" t="s">
        <v>2419</v>
      </c>
      <c r="E338" s="445" t="s">
        <v>2617</v>
      </c>
      <c r="F338" s="445"/>
      <c r="G338" s="442">
        <v>5800.0</v>
      </c>
      <c r="H338" s="448"/>
      <c r="I338" s="447"/>
      <c r="J338" s="448">
        <f t="shared" ref="J338:J1069" si="5">MONTH(B338)</f>
        <v>3</v>
      </c>
      <c r="K338" s="448"/>
    </row>
    <row r="339" ht="22.5" customHeight="1">
      <c r="A339" s="443"/>
      <c r="B339" s="456">
        <v>46082.0</v>
      </c>
      <c r="C339" s="451" t="s">
        <v>1667</v>
      </c>
      <c r="D339" s="451" t="s">
        <v>2422</v>
      </c>
      <c r="E339" s="445" t="s">
        <v>2618</v>
      </c>
      <c r="F339" s="445" t="s">
        <v>2619</v>
      </c>
      <c r="G339" s="442">
        <v>6000.0</v>
      </c>
      <c r="H339" s="448"/>
      <c r="I339" s="447"/>
      <c r="J339" s="448">
        <f t="shared" si="5"/>
        <v>3</v>
      </c>
      <c r="K339" s="448"/>
    </row>
    <row r="340" ht="22.5" customHeight="1">
      <c r="A340" s="443"/>
      <c r="B340" s="456">
        <v>46083.0</v>
      </c>
      <c r="C340" s="451" t="s">
        <v>760</v>
      </c>
      <c r="D340" s="451" t="s">
        <v>2419</v>
      </c>
      <c r="E340" s="445" t="s">
        <v>2620</v>
      </c>
      <c r="F340" s="445"/>
      <c r="G340" s="442">
        <v>9900.0</v>
      </c>
      <c r="H340" s="448"/>
      <c r="I340" s="447"/>
      <c r="J340" s="448">
        <f t="shared" si="5"/>
        <v>3</v>
      </c>
      <c r="K340" s="448"/>
    </row>
    <row r="341" ht="22.5" customHeight="1">
      <c r="A341" s="443"/>
      <c r="B341" s="456">
        <v>46083.0</v>
      </c>
      <c r="C341" s="451" t="s">
        <v>610</v>
      </c>
      <c r="D341" s="451" t="s">
        <v>2419</v>
      </c>
      <c r="E341" s="445" t="s">
        <v>2621</v>
      </c>
      <c r="F341" s="445"/>
      <c r="G341" s="442">
        <v>34200.0</v>
      </c>
      <c r="H341" s="448"/>
      <c r="I341" s="447"/>
      <c r="J341" s="448">
        <f t="shared" si="5"/>
        <v>3</v>
      </c>
      <c r="K341" s="448"/>
    </row>
    <row r="342" ht="22.5" customHeight="1">
      <c r="A342" s="443"/>
      <c r="B342" s="456">
        <v>46085.0</v>
      </c>
      <c r="C342" s="444" t="s">
        <v>505</v>
      </c>
      <c r="D342" s="451" t="s">
        <v>2419</v>
      </c>
      <c r="E342" s="448" t="s">
        <v>2622</v>
      </c>
      <c r="F342" s="445" t="s">
        <v>1510</v>
      </c>
      <c r="G342" s="442">
        <v>12800.0</v>
      </c>
      <c r="I342" s="447"/>
      <c r="J342" s="448">
        <f t="shared" si="5"/>
        <v>3</v>
      </c>
      <c r="K342" s="448"/>
    </row>
    <row r="343" ht="22.5" customHeight="1">
      <c r="A343" s="443"/>
      <c r="B343" s="456">
        <v>46085.0</v>
      </c>
      <c r="C343" s="444" t="s">
        <v>474</v>
      </c>
      <c r="D343" s="451" t="s">
        <v>2419</v>
      </c>
      <c r="E343" s="448" t="s">
        <v>2623</v>
      </c>
      <c r="F343" s="442" t="s">
        <v>1489</v>
      </c>
      <c r="G343" s="442">
        <v>17780.0</v>
      </c>
      <c r="I343" s="447"/>
      <c r="J343" s="448">
        <f t="shared" si="5"/>
        <v>3</v>
      </c>
      <c r="K343" s="448"/>
    </row>
    <row r="344" ht="22.5" customHeight="1">
      <c r="A344" s="443"/>
      <c r="B344" s="456">
        <v>46085.0</v>
      </c>
      <c r="C344" s="444" t="s">
        <v>474</v>
      </c>
      <c r="D344" s="451" t="s">
        <v>2422</v>
      </c>
      <c r="E344" s="448" t="s">
        <v>2434</v>
      </c>
      <c r="F344" s="442" t="s">
        <v>1489</v>
      </c>
      <c r="G344" s="442">
        <v>5900.0</v>
      </c>
      <c r="I344" s="447"/>
      <c r="J344" s="448">
        <f t="shared" si="5"/>
        <v>3</v>
      </c>
      <c r="K344" s="448"/>
    </row>
    <row r="345" ht="22.5" customHeight="1">
      <c r="A345" s="443"/>
      <c r="B345" s="456">
        <v>46085.0</v>
      </c>
      <c r="C345" s="444" t="s">
        <v>1813</v>
      </c>
      <c r="D345" s="451" t="s">
        <v>2422</v>
      </c>
      <c r="E345" s="448" t="s">
        <v>2423</v>
      </c>
      <c r="F345" s="442" t="s">
        <v>1829</v>
      </c>
      <c r="G345" s="442">
        <v>2600.0</v>
      </c>
      <c r="I345" s="447"/>
      <c r="J345" s="448">
        <f t="shared" si="5"/>
        <v>3</v>
      </c>
      <c r="K345" s="448"/>
    </row>
    <row r="346" ht="22.5" customHeight="1">
      <c r="A346" s="443"/>
      <c r="B346" s="456">
        <v>46085.0</v>
      </c>
      <c r="C346" s="444" t="s">
        <v>1813</v>
      </c>
      <c r="D346" s="451" t="s">
        <v>2422</v>
      </c>
      <c r="E346" s="448" t="s">
        <v>2423</v>
      </c>
      <c r="F346" s="442" t="s">
        <v>1829</v>
      </c>
      <c r="G346" s="442">
        <v>4900.0</v>
      </c>
      <c r="I346" s="447"/>
      <c r="J346" s="448">
        <f t="shared" si="5"/>
        <v>3</v>
      </c>
      <c r="K346" s="448"/>
    </row>
    <row r="347" ht="22.5" customHeight="1">
      <c r="A347" s="443"/>
      <c r="B347" s="456">
        <v>46085.0</v>
      </c>
      <c r="C347" s="444" t="s">
        <v>154</v>
      </c>
      <c r="D347" s="451" t="s">
        <v>2419</v>
      </c>
      <c r="E347" s="448" t="s">
        <v>2427</v>
      </c>
      <c r="F347" s="445" t="s">
        <v>192</v>
      </c>
      <c r="G347" s="442">
        <v>23900.0</v>
      </c>
      <c r="I347" s="447"/>
      <c r="J347" s="448">
        <f t="shared" si="5"/>
        <v>3</v>
      </c>
      <c r="K347" s="448"/>
    </row>
    <row r="348" ht="22.5" customHeight="1">
      <c r="A348" s="443"/>
      <c r="B348" s="456">
        <v>46085.0</v>
      </c>
      <c r="C348" s="444" t="s">
        <v>1055</v>
      </c>
      <c r="D348" s="451" t="s">
        <v>2422</v>
      </c>
      <c r="E348" s="448" t="s">
        <v>2421</v>
      </c>
      <c r="F348" s="445" t="s">
        <v>1944</v>
      </c>
      <c r="G348" s="442">
        <v>8500.0</v>
      </c>
      <c r="I348" s="447"/>
      <c r="J348" s="448">
        <f t="shared" si="5"/>
        <v>3</v>
      </c>
      <c r="K348" s="448"/>
    </row>
    <row r="349" ht="22.5" customHeight="1">
      <c r="A349" s="443"/>
      <c r="B349" s="456">
        <v>46085.0</v>
      </c>
      <c r="C349" s="444" t="s">
        <v>610</v>
      </c>
      <c r="D349" s="451" t="s">
        <v>2419</v>
      </c>
      <c r="E349" s="448" t="s">
        <v>2624</v>
      </c>
      <c r="F349" s="445" t="s">
        <v>1593</v>
      </c>
      <c r="G349" s="442">
        <v>16300.0</v>
      </c>
      <c r="I349" s="447"/>
      <c r="J349" s="448">
        <f t="shared" si="5"/>
        <v>3</v>
      </c>
      <c r="K349" s="448"/>
    </row>
    <row r="350" ht="22.5" customHeight="1">
      <c r="A350" s="443"/>
      <c r="B350" s="456">
        <v>46085.0</v>
      </c>
      <c r="C350" s="444" t="s">
        <v>643</v>
      </c>
      <c r="D350" s="451" t="s">
        <v>2419</v>
      </c>
      <c r="E350" s="448" t="s">
        <v>2625</v>
      </c>
      <c r="F350" s="445" t="s">
        <v>2626</v>
      </c>
      <c r="G350" s="442">
        <v>11470.0</v>
      </c>
      <c r="I350" s="447"/>
      <c r="J350" s="448">
        <f t="shared" si="5"/>
        <v>3</v>
      </c>
      <c r="K350" s="448"/>
    </row>
    <row r="351" ht="22.5" customHeight="1">
      <c r="A351" s="443"/>
      <c r="B351" s="456">
        <v>46085.0</v>
      </c>
      <c r="C351" s="444" t="s">
        <v>643</v>
      </c>
      <c r="D351" s="451" t="s">
        <v>2419</v>
      </c>
      <c r="E351" s="448" t="s">
        <v>2434</v>
      </c>
      <c r="F351" s="445" t="s">
        <v>2626</v>
      </c>
      <c r="G351" s="442">
        <v>19600.0</v>
      </c>
      <c r="I351" s="447"/>
      <c r="J351" s="448">
        <f t="shared" si="5"/>
        <v>3</v>
      </c>
      <c r="K351" s="448"/>
    </row>
    <row r="352" ht="22.5" customHeight="1">
      <c r="A352" s="443"/>
      <c r="B352" s="456">
        <v>46085.0</v>
      </c>
      <c r="C352" s="444" t="s">
        <v>1165</v>
      </c>
      <c r="D352" s="451" t="s">
        <v>2422</v>
      </c>
      <c r="E352" s="448" t="s">
        <v>2423</v>
      </c>
      <c r="F352" s="445" t="s">
        <v>1174</v>
      </c>
      <c r="G352" s="442">
        <v>4900.0</v>
      </c>
      <c r="I352" s="447"/>
      <c r="J352" s="448">
        <f t="shared" si="5"/>
        <v>3</v>
      </c>
      <c r="K352" s="448"/>
    </row>
    <row r="353" ht="22.5" customHeight="1">
      <c r="A353" s="443"/>
      <c r="B353" s="456">
        <v>46085.0</v>
      </c>
      <c r="C353" s="444" t="s">
        <v>1813</v>
      </c>
      <c r="D353" s="451" t="s">
        <v>2419</v>
      </c>
      <c r="E353" s="448" t="s">
        <v>2427</v>
      </c>
      <c r="F353" s="445" t="s">
        <v>1815</v>
      </c>
      <c r="G353" s="442">
        <v>23900.0</v>
      </c>
      <c r="I353" s="447"/>
      <c r="J353" s="448">
        <f t="shared" si="5"/>
        <v>3</v>
      </c>
      <c r="K353" s="448"/>
    </row>
    <row r="354" ht="22.5" customHeight="1">
      <c r="A354" s="443"/>
      <c r="B354" s="456">
        <v>46085.0</v>
      </c>
      <c r="C354" s="444" t="s">
        <v>1093</v>
      </c>
      <c r="D354" s="451" t="s">
        <v>2419</v>
      </c>
      <c r="E354" s="448" t="s">
        <v>2427</v>
      </c>
      <c r="F354" s="445" t="s">
        <v>2480</v>
      </c>
      <c r="G354" s="442">
        <v>23900.0</v>
      </c>
      <c r="I354" s="447"/>
      <c r="J354" s="448">
        <f t="shared" si="5"/>
        <v>3</v>
      </c>
      <c r="K354" s="448"/>
    </row>
    <row r="355" ht="22.5" customHeight="1">
      <c r="A355" s="443"/>
      <c r="B355" s="456">
        <v>46085.0</v>
      </c>
      <c r="C355" s="444" t="s">
        <v>1180</v>
      </c>
      <c r="D355" s="451" t="s">
        <v>2419</v>
      </c>
      <c r="E355" s="448" t="s">
        <v>2427</v>
      </c>
      <c r="F355" s="445" t="s">
        <v>2021</v>
      </c>
      <c r="G355" s="442">
        <v>23900.0</v>
      </c>
      <c r="I355" s="447"/>
      <c r="J355" s="448">
        <f t="shared" si="5"/>
        <v>3</v>
      </c>
      <c r="K355" s="448"/>
    </row>
    <row r="356" ht="22.5" customHeight="1">
      <c r="A356" s="443"/>
      <c r="B356" s="456">
        <v>46085.0</v>
      </c>
      <c r="C356" s="444" t="s">
        <v>1021</v>
      </c>
      <c r="D356" s="451" t="s">
        <v>2419</v>
      </c>
      <c r="E356" s="448" t="s">
        <v>2452</v>
      </c>
      <c r="F356" s="445" t="s">
        <v>1022</v>
      </c>
      <c r="G356" s="442">
        <v>43110.0</v>
      </c>
      <c r="I356" s="447"/>
      <c r="J356" s="448">
        <f t="shared" si="5"/>
        <v>3</v>
      </c>
      <c r="K356" s="448"/>
    </row>
    <row r="357" ht="22.5" customHeight="1">
      <c r="A357" s="443"/>
      <c r="B357" s="456">
        <v>46085.0</v>
      </c>
      <c r="C357" s="451" t="s">
        <v>1667</v>
      </c>
      <c r="D357" s="451" t="s">
        <v>2419</v>
      </c>
      <c r="E357" s="445" t="s">
        <v>2627</v>
      </c>
      <c r="F357" s="445"/>
      <c r="G357" s="442">
        <v>5250.0</v>
      </c>
      <c r="H357" s="448"/>
      <c r="I357" s="447"/>
      <c r="J357" s="448">
        <f t="shared" si="5"/>
        <v>3</v>
      </c>
      <c r="K357" s="448"/>
    </row>
    <row r="358" ht="22.5" customHeight="1">
      <c r="A358" s="443"/>
      <c r="B358" s="456">
        <v>46086.0</v>
      </c>
      <c r="C358" s="444" t="s">
        <v>1571</v>
      </c>
      <c r="D358" s="451" t="s">
        <v>2422</v>
      </c>
      <c r="E358" s="448" t="s">
        <v>2423</v>
      </c>
      <c r="F358" s="445" t="s">
        <v>2628</v>
      </c>
      <c r="G358" s="454">
        <v>2450.0</v>
      </c>
      <c r="I358" s="447"/>
      <c r="J358" s="448">
        <f t="shared" si="5"/>
        <v>3</v>
      </c>
      <c r="K358" s="448"/>
    </row>
    <row r="359" ht="22.5" customHeight="1">
      <c r="A359" s="443"/>
      <c r="B359" s="456">
        <v>46086.0</v>
      </c>
      <c r="C359" s="444" t="s">
        <v>448</v>
      </c>
      <c r="D359" s="451" t="s">
        <v>2419</v>
      </c>
      <c r="E359" s="448" t="s">
        <v>2629</v>
      </c>
      <c r="F359" s="445" t="s">
        <v>2630</v>
      </c>
      <c r="G359" s="442">
        <v>4390.0</v>
      </c>
      <c r="I359" s="447"/>
      <c r="J359" s="448">
        <f t="shared" si="5"/>
        <v>3</v>
      </c>
      <c r="K359" s="448"/>
    </row>
    <row r="360" ht="22.5" customHeight="1">
      <c r="A360" s="443"/>
      <c r="B360" s="456">
        <v>46086.0</v>
      </c>
      <c r="C360" s="444" t="s">
        <v>58</v>
      </c>
      <c r="D360" s="451" t="s">
        <v>2422</v>
      </c>
      <c r="E360" s="448" t="s">
        <v>2423</v>
      </c>
      <c r="F360" s="445" t="s">
        <v>2469</v>
      </c>
      <c r="G360" s="454">
        <v>9800.0</v>
      </c>
      <c r="I360" s="447"/>
      <c r="J360" s="448">
        <f t="shared" si="5"/>
        <v>3</v>
      </c>
      <c r="K360" s="448"/>
    </row>
    <row r="361" ht="22.5" customHeight="1">
      <c r="A361" s="443"/>
      <c r="B361" s="456">
        <v>46088.0</v>
      </c>
      <c r="C361" s="444" t="s">
        <v>1180</v>
      </c>
      <c r="D361" s="451" t="s">
        <v>2419</v>
      </c>
      <c r="E361" s="448" t="s">
        <v>2421</v>
      </c>
      <c r="F361" s="445" t="s">
        <v>2017</v>
      </c>
      <c r="G361" s="442">
        <v>11900.0</v>
      </c>
      <c r="I361" s="447"/>
      <c r="J361" s="448">
        <f t="shared" si="5"/>
        <v>3</v>
      </c>
      <c r="K361" s="448"/>
    </row>
    <row r="362" ht="22.5" customHeight="1">
      <c r="A362" s="443"/>
      <c r="B362" s="456">
        <v>46088.0</v>
      </c>
      <c r="C362" s="444" t="s">
        <v>1041</v>
      </c>
      <c r="D362" s="451" t="s">
        <v>2422</v>
      </c>
      <c r="E362" s="448" t="s">
        <v>2423</v>
      </c>
      <c r="F362" s="445" t="s">
        <v>1924</v>
      </c>
      <c r="G362" s="442">
        <v>1470.0</v>
      </c>
      <c r="I362" s="447"/>
      <c r="J362" s="448">
        <f t="shared" si="5"/>
        <v>3</v>
      </c>
      <c r="K362" s="448"/>
    </row>
    <row r="363" ht="22.5" customHeight="1">
      <c r="A363" s="443"/>
      <c r="B363" s="456">
        <v>46088.0</v>
      </c>
      <c r="C363" s="444" t="s">
        <v>822</v>
      </c>
      <c r="D363" s="451" t="s">
        <v>2419</v>
      </c>
      <c r="E363" s="448" t="s">
        <v>2574</v>
      </c>
      <c r="F363" s="445" t="s">
        <v>1788</v>
      </c>
      <c r="G363" s="442">
        <v>9490.0</v>
      </c>
      <c r="I363" s="447"/>
      <c r="J363" s="448">
        <f t="shared" si="5"/>
        <v>3</v>
      </c>
      <c r="K363" s="448"/>
    </row>
    <row r="364" ht="22.5" customHeight="1">
      <c r="A364" s="443"/>
      <c r="B364" s="456">
        <v>46088.0</v>
      </c>
      <c r="C364" s="444" t="s">
        <v>1667</v>
      </c>
      <c r="D364" s="451" t="s">
        <v>2422</v>
      </c>
      <c r="E364" s="448" t="s">
        <v>2423</v>
      </c>
      <c r="F364" s="445" t="s">
        <v>2586</v>
      </c>
      <c r="G364" s="442">
        <v>1300.0</v>
      </c>
      <c r="I364" s="447"/>
      <c r="J364" s="448">
        <f t="shared" si="5"/>
        <v>3</v>
      </c>
      <c r="K364" s="448"/>
    </row>
    <row r="365" ht="22.5" customHeight="1">
      <c r="A365" s="443"/>
      <c r="B365" s="456">
        <v>46089.0</v>
      </c>
      <c r="C365" s="451" t="s">
        <v>643</v>
      </c>
      <c r="D365" s="451" t="s">
        <v>2419</v>
      </c>
      <c r="E365" s="445" t="s">
        <v>2631</v>
      </c>
      <c r="F365" s="445"/>
      <c r="G365" s="442">
        <v>21900.0</v>
      </c>
      <c r="H365" s="448"/>
      <c r="I365" s="447"/>
      <c r="J365" s="448">
        <f t="shared" si="5"/>
        <v>3</v>
      </c>
      <c r="K365" s="448"/>
    </row>
    <row r="366" ht="22.5" customHeight="1">
      <c r="A366" s="443"/>
      <c r="B366" s="456">
        <v>46090.0</v>
      </c>
      <c r="C366" s="451" t="s">
        <v>643</v>
      </c>
      <c r="D366" s="451" t="s">
        <v>2419</v>
      </c>
      <c r="E366" s="448" t="s">
        <v>2632</v>
      </c>
      <c r="F366" s="445" t="s">
        <v>2626</v>
      </c>
      <c r="G366" s="442">
        <v>15500.0</v>
      </c>
      <c r="I366" s="447"/>
      <c r="J366" s="448">
        <f t="shared" si="5"/>
        <v>3</v>
      </c>
      <c r="K366" s="448"/>
    </row>
    <row r="367" ht="22.5" customHeight="1">
      <c r="A367" s="443"/>
      <c r="B367" s="456">
        <v>46090.0</v>
      </c>
      <c r="C367" s="451" t="s">
        <v>730</v>
      </c>
      <c r="D367" s="451" t="s">
        <v>2419</v>
      </c>
      <c r="E367" s="448" t="s">
        <v>2574</v>
      </c>
      <c r="F367" s="445" t="s">
        <v>1718</v>
      </c>
      <c r="G367" s="442">
        <v>9490.0</v>
      </c>
      <c r="I367" s="447"/>
      <c r="J367" s="448">
        <f t="shared" si="5"/>
        <v>3</v>
      </c>
      <c r="K367" s="448"/>
    </row>
    <row r="368" ht="22.5" customHeight="1">
      <c r="A368" s="443"/>
      <c r="B368" s="456">
        <v>46090.0</v>
      </c>
      <c r="C368" s="451" t="s">
        <v>897</v>
      </c>
      <c r="D368" s="451" t="s">
        <v>2422</v>
      </c>
      <c r="E368" s="448" t="s">
        <v>2423</v>
      </c>
      <c r="F368" s="445" t="s">
        <v>1844</v>
      </c>
      <c r="G368" s="442">
        <v>1000.0</v>
      </c>
      <c r="I368" s="447"/>
      <c r="J368" s="448">
        <f t="shared" si="5"/>
        <v>3</v>
      </c>
      <c r="K368" s="448"/>
    </row>
    <row r="369" ht="22.5" customHeight="1">
      <c r="A369" s="443"/>
      <c r="B369" s="456">
        <v>46090.0</v>
      </c>
      <c r="C369" s="451" t="s">
        <v>778</v>
      </c>
      <c r="D369" s="451" t="s">
        <v>2419</v>
      </c>
      <c r="E369" s="448" t="s">
        <v>2483</v>
      </c>
      <c r="F369" s="445"/>
      <c r="G369" s="442">
        <v>0.0</v>
      </c>
      <c r="H369" s="454" t="s">
        <v>2551</v>
      </c>
      <c r="I369" s="447"/>
      <c r="J369" s="448">
        <f t="shared" si="5"/>
        <v>3</v>
      </c>
      <c r="K369" s="448"/>
    </row>
    <row r="370" ht="22.5" customHeight="1">
      <c r="A370" s="443"/>
      <c r="B370" s="456">
        <v>46092.0</v>
      </c>
      <c r="C370" s="451" t="s">
        <v>97</v>
      </c>
      <c r="D370" s="451" t="s">
        <v>2419</v>
      </c>
      <c r="E370" s="448" t="s">
        <v>2633</v>
      </c>
      <c r="F370" s="445" t="s">
        <v>105</v>
      </c>
      <c r="G370" s="442">
        <v>18330.0</v>
      </c>
      <c r="I370" s="447"/>
      <c r="J370" s="448">
        <f t="shared" si="5"/>
        <v>3</v>
      </c>
      <c r="K370" s="448"/>
    </row>
    <row r="371" ht="22.5" customHeight="1">
      <c r="A371" s="443"/>
      <c r="B371" s="456">
        <v>46092.0</v>
      </c>
      <c r="C371" s="451" t="s">
        <v>154</v>
      </c>
      <c r="D371" s="451" t="s">
        <v>2419</v>
      </c>
      <c r="E371" s="448" t="s">
        <v>2421</v>
      </c>
      <c r="F371" s="445" t="s">
        <v>1333</v>
      </c>
      <c r="G371" s="442">
        <v>11900.0</v>
      </c>
      <c r="I371" s="447"/>
      <c r="J371" s="448">
        <f t="shared" si="5"/>
        <v>3</v>
      </c>
      <c r="K371" s="448"/>
    </row>
    <row r="372" ht="22.5" customHeight="1">
      <c r="A372" s="443"/>
      <c r="B372" s="456">
        <v>46093.0</v>
      </c>
      <c r="C372" s="451" t="s">
        <v>760</v>
      </c>
      <c r="D372" s="451" t="s">
        <v>2419</v>
      </c>
      <c r="E372" s="448" t="s">
        <v>2436</v>
      </c>
      <c r="F372" s="445" t="s">
        <v>1729</v>
      </c>
      <c r="G372" s="442">
        <v>4530.0</v>
      </c>
      <c r="I372" s="447"/>
      <c r="J372" s="448">
        <f t="shared" si="5"/>
        <v>3</v>
      </c>
      <c r="K372" s="448"/>
    </row>
    <row r="373" ht="22.5" customHeight="1">
      <c r="A373" s="443"/>
      <c r="B373" s="456">
        <v>46093.0</v>
      </c>
      <c r="C373" s="451" t="s">
        <v>610</v>
      </c>
      <c r="D373" s="451" t="s">
        <v>2419</v>
      </c>
      <c r="E373" s="448" t="s">
        <v>2427</v>
      </c>
      <c r="F373" s="445" t="s">
        <v>1593</v>
      </c>
      <c r="G373" s="442">
        <v>23900.0</v>
      </c>
      <c r="I373" s="447"/>
      <c r="J373" s="448">
        <f t="shared" si="5"/>
        <v>3</v>
      </c>
      <c r="K373" s="448"/>
    </row>
    <row r="374" ht="22.5" customHeight="1">
      <c r="A374" s="443"/>
      <c r="B374" s="456">
        <v>46092.0</v>
      </c>
      <c r="C374" s="451" t="s">
        <v>1180</v>
      </c>
      <c r="D374" s="451" t="s">
        <v>2419</v>
      </c>
      <c r="E374" s="445" t="s">
        <v>2634</v>
      </c>
      <c r="F374" s="445"/>
      <c r="G374" s="442">
        <v>27030.0</v>
      </c>
      <c r="H374" s="448"/>
      <c r="I374" s="447"/>
      <c r="J374" s="448">
        <f t="shared" si="5"/>
        <v>3</v>
      </c>
      <c r="K374" s="448"/>
    </row>
    <row r="375" ht="22.5" customHeight="1">
      <c r="A375" s="443"/>
      <c r="B375" s="456">
        <v>46092.0</v>
      </c>
      <c r="C375" s="451" t="s">
        <v>1180</v>
      </c>
      <c r="D375" s="451" t="s">
        <v>2419</v>
      </c>
      <c r="E375" s="445" t="s">
        <v>2635</v>
      </c>
      <c r="F375" s="445"/>
      <c r="G375" s="442">
        <v>15700.0</v>
      </c>
      <c r="H375" s="448"/>
      <c r="I375" s="447"/>
      <c r="J375" s="448">
        <f t="shared" si="5"/>
        <v>3</v>
      </c>
      <c r="K375" s="448"/>
    </row>
    <row r="376" ht="22.5" customHeight="1">
      <c r="A376" s="443"/>
      <c r="B376" s="456">
        <v>46092.0</v>
      </c>
      <c r="C376" s="451" t="s">
        <v>210</v>
      </c>
      <c r="D376" s="451" t="s">
        <v>2419</v>
      </c>
      <c r="E376" s="445" t="s">
        <v>2636</v>
      </c>
      <c r="F376" s="445"/>
      <c r="G376" s="442">
        <v>12400.0</v>
      </c>
      <c r="H376" s="448"/>
      <c r="I376" s="447"/>
      <c r="J376" s="448">
        <f t="shared" si="5"/>
        <v>3</v>
      </c>
      <c r="K376" s="448"/>
    </row>
    <row r="377" ht="22.5" customHeight="1">
      <c r="A377" s="443"/>
      <c r="B377" s="456">
        <v>46091.0</v>
      </c>
      <c r="C377" s="451" t="s">
        <v>266</v>
      </c>
      <c r="D377" s="451" t="s">
        <v>2419</v>
      </c>
      <c r="E377" s="445" t="s">
        <v>2556</v>
      </c>
      <c r="F377" s="445"/>
      <c r="G377" s="442">
        <v>4630.0</v>
      </c>
      <c r="H377" s="448"/>
      <c r="I377" s="447"/>
      <c r="J377" s="448">
        <f t="shared" si="5"/>
        <v>3</v>
      </c>
      <c r="K377" s="448"/>
    </row>
    <row r="378" ht="22.5" customHeight="1">
      <c r="A378" s="443"/>
      <c r="B378" s="456">
        <v>46093.0</v>
      </c>
      <c r="C378" s="451" t="s">
        <v>505</v>
      </c>
      <c r="D378" s="451" t="s">
        <v>2419</v>
      </c>
      <c r="E378" s="445" t="s">
        <v>2456</v>
      </c>
      <c r="F378" s="445"/>
      <c r="G378" s="442">
        <v>3810.0</v>
      </c>
      <c r="H378" s="448"/>
      <c r="I378" s="447"/>
      <c r="J378" s="448">
        <f t="shared" si="5"/>
        <v>3</v>
      </c>
      <c r="K378" s="448"/>
    </row>
    <row r="379" ht="22.5" customHeight="1">
      <c r="A379" s="443"/>
      <c r="B379" s="456">
        <v>46093.0</v>
      </c>
      <c r="C379" s="451" t="s">
        <v>778</v>
      </c>
      <c r="D379" s="451" t="s">
        <v>2419</v>
      </c>
      <c r="E379" s="448" t="s">
        <v>2483</v>
      </c>
      <c r="F379" s="445"/>
      <c r="G379" s="442">
        <v>19850.0</v>
      </c>
      <c r="I379" s="447"/>
      <c r="J379" s="448">
        <f t="shared" si="5"/>
        <v>3</v>
      </c>
      <c r="K379" s="448"/>
    </row>
    <row r="380" ht="22.5" customHeight="1">
      <c r="A380" s="443"/>
      <c r="B380" s="456">
        <v>46095.0</v>
      </c>
      <c r="C380" s="451" t="s">
        <v>474</v>
      </c>
      <c r="D380" s="451" t="s">
        <v>2419</v>
      </c>
      <c r="E380" s="445" t="s">
        <v>2631</v>
      </c>
      <c r="F380" s="445"/>
      <c r="G380" s="442">
        <v>3220.0</v>
      </c>
      <c r="H380" s="448"/>
      <c r="I380" s="447"/>
      <c r="J380" s="448">
        <f t="shared" si="5"/>
        <v>3</v>
      </c>
      <c r="K380" s="448"/>
    </row>
    <row r="381" ht="22.5" customHeight="1">
      <c r="A381" s="443"/>
      <c r="B381" s="456">
        <v>46095.0</v>
      </c>
      <c r="C381" s="451" t="s">
        <v>1055</v>
      </c>
      <c r="D381" s="451" t="s">
        <v>2419</v>
      </c>
      <c r="E381" s="445" t="s">
        <v>2637</v>
      </c>
      <c r="F381" s="445"/>
      <c r="G381" s="442">
        <v>7510.0</v>
      </c>
      <c r="H381" s="448"/>
      <c r="I381" s="447"/>
      <c r="J381" s="448">
        <f t="shared" si="5"/>
        <v>3</v>
      </c>
      <c r="K381" s="448"/>
    </row>
    <row r="382" ht="22.5" customHeight="1">
      <c r="A382" s="443"/>
      <c r="B382" s="456">
        <v>46095.0</v>
      </c>
      <c r="C382" s="444" t="s">
        <v>760</v>
      </c>
      <c r="D382" s="451" t="s">
        <v>2419</v>
      </c>
      <c r="E382" s="448" t="s">
        <v>2421</v>
      </c>
      <c r="F382" s="445" t="s">
        <v>1729</v>
      </c>
      <c r="G382" s="442">
        <v>11900.0</v>
      </c>
      <c r="H382" s="448"/>
      <c r="I382" s="447"/>
      <c r="J382" s="448">
        <f t="shared" si="5"/>
        <v>3</v>
      </c>
      <c r="K382" s="448"/>
    </row>
    <row r="383" ht="22.5" customHeight="1">
      <c r="A383" s="443"/>
      <c r="B383" s="456">
        <v>46095.0</v>
      </c>
      <c r="C383" s="444" t="s">
        <v>1021</v>
      </c>
      <c r="D383" s="451" t="s">
        <v>2422</v>
      </c>
      <c r="E383" s="448" t="s">
        <v>2423</v>
      </c>
      <c r="F383" s="445" t="s">
        <v>2638</v>
      </c>
      <c r="G383" s="442">
        <v>12500.0</v>
      </c>
      <c r="H383" s="454" t="s">
        <v>2639</v>
      </c>
      <c r="I383" s="447"/>
      <c r="J383" s="448">
        <f t="shared" si="5"/>
        <v>3</v>
      </c>
      <c r="K383" s="448"/>
    </row>
    <row r="384" ht="22.5" customHeight="1">
      <c r="A384" s="443"/>
      <c r="B384" s="456">
        <v>46095.0</v>
      </c>
      <c r="C384" s="444" t="s">
        <v>629</v>
      </c>
      <c r="D384" s="451" t="s">
        <v>2422</v>
      </c>
      <c r="E384" s="448" t="s">
        <v>2423</v>
      </c>
      <c r="F384" s="445" t="s">
        <v>1618</v>
      </c>
      <c r="G384" s="442">
        <v>9800.0</v>
      </c>
      <c r="I384" s="447"/>
      <c r="J384" s="448">
        <f t="shared" si="5"/>
        <v>3</v>
      </c>
      <c r="K384" s="448"/>
    </row>
    <row r="385" ht="22.5" customHeight="1">
      <c r="A385" s="443"/>
      <c r="B385" s="456">
        <v>46096.0</v>
      </c>
      <c r="C385" s="451" t="s">
        <v>154</v>
      </c>
      <c r="D385" s="451" t="s">
        <v>2419</v>
      </c>
      <c r="E385" s="445" t="s">
        <v>2637</v>
      </c>
      <c r="G385" s="442">
        <v>6700.0</v>
      </c>
      <c r="I385" s="447"/>
      <c r="J385" s="448">
        <f t="shared" si="5"/>
        <v>3</v>
      </c>
      <c r="K385" s="448"/>
    </row>
    <row r="386" ht="22.5" customHeight="1">
      <c r="A386" s="443"/>
      <c r="B386" s="456">
        <v>46096.0</v>
      </c>
      <c r="C386" s="451" t="s">
        <v>154</v>
      </c>
      <c r="D386" s="451" t="s">
        <v>2419</v>
      </c>
      <c r="E386" s="445" t="s">
        <v>2455</v>
      </c>
      <c r="F386" s="445"/>
      <c r="G386" s="442">
        <v>14190.0</v>
      </c>
      <c r="H386" s="448"/>
      <c r="I386" s="447"/>
      <c r="J386" s="448">
        <f t="shared" si="5"/>
        <v>3</v>
      </c>
      <c r="K386" s="448"/>
    </row>
    <row r="387" ht="22.5" customHeight="1">
      <c r="A387" s="443"/>
      <c r="B387" s="456">
        <v>46096.0</v>
      </c>
      <c r="C387" s="444" t="s">
        <v>1041</v>
      </c>
      <c r="D387" s="451" t="s">
        <v>2422</v>
      </c>
      <c r="E387" s="448" t="s">
        <v>2423</v>
      </c>
      <c r="F387" s="445" t="s">
        <v>1924</v>
      </c>
      <c r="G387" s="442">
        <v>2450.0</v>
      </c>
      <c r="H387" s="448"/>
      <c r="I387" s="447"/>
      <c r="J387" s="448">
        <f t="shared" si="5"/>
        <v>3</v>
      </c>
      <c r="K387" s="448"/>
    </row>
    <row r="388" ht="22.5" customHeight="1">
      <c r="A388" s="443"/>
      <c r="B388" s="456">
        <v>46096.0</v>
      </c>
      <c r="C388" s="451" t="s">
        <v>27</v>
      </c>
      <c r="D388" s="451" t="s">
        <v>2422</v>
      </c>
      <c r="E388" s="445" t="s">
        <v>2640</v>
      </c>
      <c r="F388" s="445" t="s">
        <v>2641</v>
      </c>
      <c r="G388" s="442">
        <v>4000.0</v>
      </c>
      <c r="H388" s="448"/>
      <c r="I388" s="447"/>
      <c r="J388" s="448">
        <f t="shared" si="5"/>
        <v>3</v>
      </c>
      <c r="K388" s="448"/>
    </row>
    <row r="389" ht="22.5" customHeight="1">
      <c r="A389" s="443"/>
      <c r="B389" s="487">
        <v>46082.0</v>
      </c>
      <c r="C389" s="451" t="s">
        <v>822</v>
      </c>
      <c r="D389" s="451" t="s">
        <v>2422</v>
      </c>
      <c r="E389" s="445"/>
      <c r="F389" s="445" t="s">
        <v>2484</v>
      </c>
      <c r="G389" s="442">
        <v>6420.0</v>
      </c>
      <c r="H389" s="448"/>
      <c r="I389" s="447"/>
      <c r="J389" s="448">
        <f t="shared" si="5"/>
        <v>3</v>
      </c>
      <c r="K389" s="448"/>
    </row>
    <row r="390" ht="22.5" customHeight="1">
      <c r="A390" s="443"/>
      <c r="B390" s="487">
        <v>46082.0</v>
      </c>
      <c r="C390" s="451" t="s">
        <v>1180</v>
      </c>
      <c r="D390" s="451" t="s">
        <v>2422</v>
      </c>
      <c r="E390" s="445"/>
      <c r="F390" s="445" t="s">
        <v>2484</v>
      </c>
      <c r="G390" s="442">
        <v>4320.0</v>
      </c>
      <c r="H390" s="448"/>
      <c r="I390" s="447"/>
      <c r="J390" s="448">
        <f t="shared" si="5"/>
        <v>3</v>
      </c>
      <c r="K390" s="448"/>
    </row>
    <row r="391" ht="22.5" customHeight="1">
      <c r="A391" s="443"/>
      <c r="B391" s="487">
        <v>46082.0</v>
      </c>
      <c r="C391" s="451" t="s">
        <v>210</v>
      </c>
      <c r="D391" s="451" t="s">
        <v>2422</v>
      </c>
      <c r="E391" s="445"/>
      <c r="F391" s="445" t="s">
        <v>2484</v>
      </c>
      <c r="G391" s="442">
        <v>7680.0</v>
      </c>
      <c r="H391" s="448"/>
      <c r="I391" s="447"/>
      <c r="J391" s="448">
        <f t="shared" si="5"/>
        <v>3</v>
      </c>
      <c r="K391" s="448"/>
    </row>
    <row r="392" ht="22.5" customHeight="1">
      <c r="A392" s="443"/>
      <c r="B392" s="487">
        <v>46082.0</v>
      </c>
      <c r="C392" s="451" t="s">
        <v>97</v>
      </c>
      <c r="D392" s="451" t="s">
        <v>2422</v>
      </c>
      <c r="E392" s="445"/>
      <c r="F392" s="445" t="s">
        <v>2484</v>
      </c>
      <c r="G392" s="442">
        <v>9780.0</v>
      </c>
      <c r="H392" s="448"/>
      <c r="I392" s="447"/>
      <c r="J392" s="448">
        <f t="shared" si="5"/>
        <v>3</v>
      </c>
      <c r="K392" s="448"/>
    </row>
    <row r="393" ht="22.5" customHeight="1">
      <c r="A393" s="443"/>
      <c r="B393" s="487">
        <v>46084.0</v>
      </c>
      <c r="C393" s="451" t="s">
        <v>1006</v>
      </c>
      <c r="D393" s="451" t="s">
        <v>2422</v>
      </c>
      <c r="E393" s="445"/>
      <c r="F393" s="445" t="s">
        <v>2484</v>
      </c>
      <c r="G393" s="442">
        <v>4880.0</v>
      </c>
      <c r="H393" s="448"/>
      <c r="I393" s="447"/>
      <c r="J393" s="448">
        <f t="shared" si="5"/>
        <v>3</v>
      </c>
      <c r="K393" s="448"/>
    </row>
    <row r="394" ht="22.5" customHeight="1">
      <c r="A394" s="443"/>
      <c r="B394" s="487">
        <v>46085.0</v>
      </c>
      <c r="C394" s="451" t="s">
        <v>918</v>
      </c>
      <c r="D394" s="451" t="s">
        <v>2422</v>
      </c>
      <c r="E394" s="445"/>
      <c r="F394" s="445" t="s">
        <v>2484</v>
      </c>
      <c r="G394" s="442">
        <v>7400.0</v>
      </c>
      <c r="H394" s="448"/>
      <c r="I394" s="447"/>
      <c r="J394" s="448">
        <f t="shared" si="5"/>
        <v>3</v>
      </c>
      <c r="K394" s="448"/>
    </row>
    <row r="395" ht="22.5" customHeight="1">
      <c r="A395" s="443"/>
      <c r="B395" s="487">
        <v>46085.0</v>
      </c>
      <c r="C395" s="451" t="s">
        <v>27</v>
      </c>
      <c r="D395" s="451" t="s">
        <v>2422</v>
      </c>
      <c r="E395" s="445"/>
      <c r="F395" s="445" t="s">
        <v>2484</v>
      </c>
      <c r="G395" s="442">
        <v>9640.0</v>
      </c>
      <c r="H395" s="448"/>
      <c r="I395" s="447"/>
      <c r="J395" s="448">
        <f t="shared" si="5"/>
        <v>3</v>
      </c>
      <c r="K395" s="448"/>
    </row>
    <row r="396" ht="22.5" customHeight="1">
      <c r="A396" s="443"/>
      <c r="B396" s="487">
        <v>46087.0</v>
      </c>
      <c r="C396" s="451" t="s">
        <v>154</v>
      </c>
      <c r="D396" s="451" t="s">
        <v>2422</v>
      </c>
      <c r="E396" s="445"/>
      <c r="F396" s="445" t="s">
        <v>2484</v>
      </c>
      <c r="G396" s="442">
        <v>23430.0</v>
      </c>
      <c r="H396" s="448"/>
      <c r="I396" s="447"/>
      <c r="J396" s="448">
        <f t="shared" si="5"/>
        <v>3</v>
      </c>
      <c r="K396" s="448"/>
    </row>
    <row r="397" ht="22.5" customHeight="1">
      <c r="A397" s="443"/>
      <c r="B397" s="487">
        <v>46089.0</v>
      </c>
      <c r="C397" s="451" t="s">
        <v>27</v>
      </c>
      <c r="D397" s="451" t="s">
        <v>2422</v>
      </c>
      <c r="E397" s="445"/>
      <c r="F397" s="445" t="s">
        <v>2484</v>
      </c>
      <c r="G397" s="442">
        <v>5700.0</v>
      </c>
      <c r="H397" s="448"/>
      <c r="I397" s="447"/>
      <c r="J397" s="448">
        <f t="shared" si="5"/>
        <v>3</v>
      </c>
      <c r="K397" s="448"/>
    </row>
    <row r="398" ht="22.5" customHeight="1">
      <c r="A398" s="443"/>
      <c r="B398" s="487">
        <v>46089.0</v>
      </c>
      <c r="C398" s="451" t="s">
        <v>822</v>
      </c>
      <c r="D398" s="451" t="s">
        <v>2422</v>
      </c>
      <c r="E398" s="445"/>
      <c r="F398" s="445" t="s">
        <v>2484</v>
      </c>
      <c r="G398" s="442">
        <v>9220.0</v>
      </c>
      <c r="H398" s="448"/>
      <c r="I398" s="447"/>
      <c r="J398" s="448">
        <f t="shared" si="5"/>
        <v>3</v>
      </c>
      <c r="K398" s="448"/>
    </row>
    <row r="399" ht="22.5" customHeight="1">
      <c r="A399" s="443"/>
      <c r="B399" s="487">
        <v>46090.0</v>
      </c>
      <c r="C399" s="451" t="s">
        <v>918</v>
      </c>
      <c r="D399" s="451" t="s">
        <v>2422</v>
      </c>
      <c r="E399" s="445"/>
      <c r="F399" s="445" t="s">
        <v>2484</v>
      </c>
      <c r="G399" s="442">
        <v>8100.0</v>
      </c>
      <c r="H399" s="448"/>
      <c r="I399" s="447"/>
      <c r="J399" s="448">
        <f t="shared" si="5"/>
        <v>3</v>
      </c>
      <c r="K399" s="448"/>
    </row>
    <row r="400" ht="22.5" customHeight="1">
      <c r="A400" s="443"/>
      <c r="B400" s="487">
        <v>46096.0</v>
      </c>
      <c r="C400" s="451" t="s">
        <v>210</v>
      </c>
      <c r="D400" s="451" t="s">
        <v>2422</v>
      </c>
      <c r="E400" s="445"/>
      <c r="F400" s="445" t="s">
        <v>2484</v>
      </c>
      <c r="G400" s="442">
        <v>10790.0</v>
      </c>
      <c r="H400" s="448"/>
      <c r="I400" s="447"/>
      <c r="J400" s="448">
        <f t="shared" si="5"/>
        <v>3</v>
      </c>
      <c r="K400" s="448"/>
    </row>
    <row r="401" ht="22.5" customHeight="1">
      <c r="A401" s="443"/>
      <c r="B401" s="487">
        <v>46096.0</v>
      </c>
      <c r="C401" s="451" t="s">
        <v>986</v>
      </c>
      <c r="D401" s="451" t="s">
        <v>2422</v>
      </c>
      <c r="E401" s="445"/>
      <c r="F401" s="445" t="s">
        <v>2484</v>
      </c>
      <c r="G401" s="445">
        <v>8660.0</v>
      </c>
      <c r="H401" s="448"/>
      <c r="I401" s="447"/>
      <c r="J401" s="448">
        <f t="shared" si="5"/>
        <v>3</v>
      </c>
      <c r="K401" s="448"/>
    </row>
    <row r="402" ht="22.5" customHeight="1">
      <c r="A402" s="443"/>
      <c r="B402" s="487">
        <v>46096.0</v>
      </c>
      <c r="C402" s="451" t="s">
        <v>154</v>
      </c>
      <c r="D402" s="451" t="s">
        <v>2422</v>
      </c>
      <c r="E402" s="445"/>
      <c r="F402" s="445" t="s">
        <v>2484</v>
      </c>
      <c r="G402" s="445">
        <v>5810.0</v>
      </c>
      <c r="H402" s="448"/>
      <c r="I402" s="447"/>
      <c r="J402" s="448">
        <f t="shared" si="5"/>
        <v>3</v>
      </c>
      <c r="K402" s="448"/>
    </row>
    <row r="403" ht="22.5" customHeight="1">
      <c r="A403" s="443"/>
      <c r="B403" s="487">
        <v>46097.0</v>
      </c>
      <c r="C403" s="451" t="s">
        <v>598</v>
      </c>
      <c r="D403" s="451" t="s">
        <v>2422</v>
      </c>
      <c r="E403" s="445"/>
      <c r="F403" s="445" t="s">
        <v>2484</v>
      </c>
      <c r="G403" s="445">
        <v>6840.0</v>
      </c>
      <c r="H403" s="448"/>
      <c r="I403" s="447"/>
      <c r="J403" s="448">
        <f t="shared" si="5"/>
        <v>3</v>
      </c>
      <c r="K403" s="448"/>
    </row>
    <row r="404" ht="22.5" customHeight="1">
      <c r="A404" s="443"/>
      <c r="B404" s="487">
        <v>46097.0</v>
      </c>
      <c r="C404" s="451" t="s">
        <v>27</v>
      </c>
      <c r="D404" s="451" t="s">
        <v>2422</v>
      </c>
      <c r="E404" s="445"/>
      <c r="F404" s="445" t="s">
        <v>2484</v>
      </c>
      <c r="G404" s="445">
        <v>7680.0</v>
      </c>
      <c r="H404" s="448"/>
      <c r="I404" s="447"/>
      <c r="J404" s="448">
        <f t="shared" si="5"/>
        <v>3</v>
      </c>
      <c r="K404" s="448"/>
    </row>
    <row r="405" ht="22.5" customHeight="1">
      <c r="A405" s="443"/>
      <c r="B405" s="487">
        <v>46097.0</v>
      </c>
      <c r="C405" s="451" t="s">
        <v>1006</v>
      </c>
      <c r="D405" s="451" t="s">
        <v>2422</v>
      </c>
      <c r="E405" s="445"/>
      <c r="F405" s="445" t="s">
        <v>2484</v>
      </c>
      <c r="G405" s="445">
        <v>7680.0</v>
      </c>
      <c r="H405" s="448"/>
      <c r="I405" s="447"/>
      <c r="J405" s="448">
        <f t="shared" si="5"/>
        <v>3</v>
      </c>
      <c r="K405" s="448"/>
    </row>
    <row r="406" ht="22.5" customHeight="1">
      <c r="A406" s="443"/>
      <c r="B406" s="487">
        <v>46097.0</v>
      </c>
      <c r="C406" s="457" t="s">
        <v>97</v>
      </c>
      <c r="D406" s="451" t="s">
        <v>2419</v>
      </c>
      <c r="E406" s="445" t="s">
        <v>2642</v>
      </c>
      <c r="F406" s="445" t="s">
        <v>2643</v>
      </c>
      <c r="G406" s="442">
        <v>7890.0</v>
      </c>
      <c r="H406" s="448"/>
      <c r="I406" s="455"/>
      <c r="J406" s="448">
        <f t="shared" si="5"/>
        <v>3</v>
      </c>
      <c r="K406" s="448"/>
    </row>
    <row r="407" ht="22.5" customHeight="1">
      <c r="A407" s="443"/>
      <c r="B407" s="487">
        <v>46097.0</v>
      </c>
      <c r="C407" s="444" t="s">
        <v>415</v>
      </c>
      <c r="D407" s="451" t="s">
        <v>2419</v>
      </c>
      <c r="E407" s="448" t="s">
        <v>2644</v>
      </c>
      <c r="F407" s="455" t="s">
        <v>1044</v>
      </c>
      <c r="G407" s="442">
        <v>32140.0</v>
      </c>
      <c r="J407" s="448">
        <f t="shared" si="5"/>
        <v>3</v>
      </c>
      <c r="K407" s="448"/>
    </row>
    <row r="408" ht="22.5" customHeight="1">
      <c r="A408" s="443"/>
      <c r="B408" s="487">
        <v>46097.0</v>
      </c>
      <c r="C408" s="444" t="s">
        <v>848</v>
      </c>
      <c r="D408" s="451" t="s">
        <v>2419</v>
      </c>
      <c r="E408" s="448" t="s">
        <v>2645</v>
      </c>
      <c r="F408" s="455" t="s">
        <v>1792</v>
      </c>
      <c r="G408" s="442">
        <v>8240.0</v>
      </c>
      <c r="J408" s="448">
        <f t="shared" si="5"/>
        <v>3</v>
      </c>
      <c r="K408" s="448"/>
    </row>
    <row r="409" ht="22.5" customHeight="1">
      <c r="A409" s="443"/>
      <c r="B409" s="487">
        <v>46097.0</v>
      </c>
      <c r="C409" s="444" t="s">
        <v>1093</v>
      </c>
      <c r="D409" s="451" t="s">
        <v>2422</v>
      </c>
      <c r="E409" s="448" t="s">
        <v>2646</v>
      </c>
      <c r="F409" s="455" t="s">
        <v>1971</v>
      </c>
      <c r="G409" s="442">
        <v>2000.0</v>
      </c>
      <c r="J409" s="448">
        <f t="shared" si="5"/>
        <v>3</v>
      </c>
      <c r="K409" s="448"/>
    </row>
    <row r="410" ht="22.5" customHeight="1">
      <c r="A410" s="443"/>
      <c r="B410" s="487">
        <v>46097.0</v>
      </c>
      <c r="C410" s="451" t="s">
        <v>154</v>
      </c>
      <c r="D410" s="451" t="s">
        <v>2419</v>
      </c>
      <c r="E410" s="445" t="s">
        <v>2647</v>
      </c>
      <c r="F410" s="445"/>
      <c r="G410" s="442">
        <v>4140.0</v>
      </c>
      <c r="H410" s="448"/>
      <c r="I410" s="447"/>
      <c r="J410" s="448">
        <f t="shared" si="5"/>
        <v>3</v>
      </c>
      <c r="K410" s="448"/>
    </row>
    <row r="411" ht="22.5" customHeight="1">
      <c r="A411" s="443"/>
      <c r="B411" s="487">
        <v>46097.0</v>
      </c>
      <c r="C411" s="451" t="s">
        <v>415</v>
      </c>
      <c r="D411" s="451" t="s">
        <v>2419</v>
      </c>
      <c r="E411" s="445" t="s">
        <v>2648</v>
      </c>
      <c r="F411" s="445"/>
      <c r="G411" s="442">
        <v>1840.0</v>
      </c>
      <c r="H411" s="448"/>
      <c r="I411" s="447"/>
      <c r="J411" s="448">
        <f t="shared" si="5"/>
        <v>3</v>
      </c>
      <c r="K411" s="448"/>
    </row>
    <row r="412" ht="22.5" customHeight="1">
      <c r="A412" s="443"/>
      <c r="B412" s="487">
        <v>46098.0</v>
      </c>
      <c r="C412" s="451" t="s">
        <v>154</v>
      </c>
      <c r="D412" s="451" t="s">
        <v>2446</v>
      </c>
      <c r="E412" s="445" t="s">
        <v>2447</v>
      </c>
      <c r="F412" s="445" t="s">
        <v>1333</v>
      </c>
      <c r="G412" s="442">
        <v>30000.0</v>
      </c>
      <c r="H412" s="448"/>
      <c r="I412" s="447"/>
      <c r="J412" s="448">
        <f t="shared" si="5"/>
        <v>3</v>
      </c>
      <c r="K412" s="448"/>
    </row>
    <row r="413" ht="22.5" customHeight="1">
      <c r="A413" s="443"/>
      <c r="B413" s="487">
        <v>46098.0</v>
      </c>
      <c r="C413" s="451" t="s">
        <v>1180</v>
      </c>
      <c r="D413" s="451" t="s">
        <v>2419</v>
      </c>
      <c r="E413" s="445" t="s">
        <v>2649</v>
      </c>
      <c r="F413" s="445" t="s">
        <v>2027</v>
      </c>
      <c r="G413" s="442">
        <v>5640.0</v>
      </c>
      <c r="H413" s="448"/>
      <c r="I413" s="447"/>
      <c r="J413" s="448">
        <f t="shared" si="5"/>
        <v>3</v>
      </c>
      <c r="K413" s="448"/>
    </row>
    <row r="414" ht="22.5" customHeight="1">
      <c r="A414" s="443"/>
      <c r="B414" s="487">
        <v>46098.0</v>
      </c>
      <c r="C414" s="444" t="s">
        <v>897</v>
      </c>
      <c r="D414" s="451" t="s">
        <v>2419</v>
      </c>
      <c r="E414" s="448" t="s">
        <v>2650</v>
      </c>
      <c r="F414" s="445" t="s">
        <v>2651</v>
      </c>
      <c r="G414" s="442">
        <v>35230.0</v>
      </c>
      <c r="I414" s="447"/>
      <c r="J414" s="448">
        <f t="shared" si="5"/>
        <v>3</v>
      </c>
      <c r="K414" s="448"/>
    </row>
    <row r="415" ht="22.5" customHeight="1">
      <c r="A415" s="443"/>
      <c r="B415" s="487">
        <v>46098.0</v>
      </c>
      <c r="C415" s="444" t="s">
        <v>897</v>
      </c>
      <c r="D415" s="451" t="s">
        <v>2422</v>
      </c>
      <c r="E415" s="448" t="s">
        <v>2423</v>
      </c>
      <c r="F415" s="445" t="s">
        <v>2651</v>
      </c>
      <c r="G415" s="442">
        <v>0.0</v>
      </c>
      <c r="H415" s="454" t="s">
        <v>2652</v>
      </c>
      <c r="I415" s="447"/>
      <c r="J415" s="448">
        <f t="shared" si="5"/>
        <v>3</v>
      </c>
      <c r="K415" s="448"/>
    </row>
    <row r="416" ht="22.5" customHeight="1">
      <c r="A416" s="443"/>
      <c r="B416" s="487">
        <v>46098.0</v>
      </c>
      <c r="C416" s="444" t="s">
        <v>553</v>
      </c>
      <c r="D416" s="451" t="s">
        <v>2419</v>
      </c>
      <c r="E416" s="448" t="s">
        <v>2427</v>
      </c>
      <c r="F416" s="445" t="s">
        <v>2569</v>
      </c>
      <c r="G416" s="442">
        <v>23900.0</v>
      </c>
      <c r="I416" s="447"/>
      <c r="J416" s="448">
        <f t="shared" si="5"/>
        <v>3</v>
      </c>
      <c r="K416" s="448"/>
    </row>
    <row r="417" ht="22.5" customHeight="1">
      <c r="A417" s="443"/>
      <c r="B417" s="487">
        <v>46098.0</v>
      </c>
      <c r="C417" s="444" t="s">
        <v>448</v>
      </c>
      <c r="D417" s="451" t="s">
        <v>2422</v>
      </c>
      <c r="E417" s="448" t="s">
        <v>2423</v>
      </c>
      <c r="F417" s="445" t="s">
        <v>1481</v>
      </c>
      <c r="G417" s="442">
        <v>2000.0</v>
      </c>
      <c r="I417" s="447"/>
      <c r="J417" s="448">
        <f t="shared" si="5"/>
        <v>3</v>
      </c>
      <c r="K417" s="448"/>
    </row>
    <row r="418" ht="22.5" customHeight="1">
      <c r="A418" s="443"/>
      <c r="B418" s="487">
        <v>46099.0</v>
      </c>
      <c r="C418" s="451" t="s">
        <v>505</v>
      </c>
      <c r="D418" s="451" t="s">
        <v>2419</v>
      </c>
      <c r="E418" s="445" t="s">
        <v>2653</v>
      </c>
      <c r="F418" s="445"/>
      <c r="G418" s="442">
        <v>17440.0</v>
      </c>
      <c r="H418" s="448"/>
      <c r="I418" s="447"/>
      <c r="J418" s="448">
        <f t="shared" si="5"/>
        <v>3</v>
      </c>
      <c r="K418" s="448"/>
    </row>
    <row r="419" ht="22.5" customHeight="1">
      <c r="A419" s="443"/>
      <c r="B419" s="487">
        <v>46099.0</v>
      </c>
      <c r="C419" s="444" t="s">
        <v>848</v>
      </c>
      <c r="D419" s="451" t="s">
        <v>2419</v>
      </c>
      <c r="E419" s="448" t="s">
        <v>2574</v>
      </c>
      <c r="F419" s="445" t="s">
        <v>1792</v>
      </c>
      <c r="G419" s="442">
        <v>9620.0</v>
      </c>
      <c r="I419" s="447"/>
      <c r="J419" s="448">
        <f t="shared" si="5"/>
        <v>3</v>
      </c>
      <c r="K419" s="448"/>
    </row>
    <row r="420" ht="22.5" customHeight="1">
      <c r="A420" s="443"/>
      <c r="B420" s="487">
        <v>46099.0</v>
      </c>
      <c r="C420" s="444" t="s">
        <v>598</v>
      </c>
      <c r="D420" s="451" t="s">
        <v>2419</v>
      </c>
      <c r="E420" s="448" t="s">
        <v>2654</v>
      </c>
      <c r="F420" s="445" t="s">
        <v>1568</v>
      </c>
      <c r="G420" s="442">
        <v>5900.0</v>
      </c>
      <c r="I420" s="447"/>
      <c r="J420" s="448">
        <f t="shared" si="5"/>
        <v>3</v>
      </c>
      <c r="K420" s="448"/>
    </row>
    <row r="421" ht="22.5" customHeight="1">
      <c r="A421" s="443"/>
      <c r="B421" s="487">
        <v>46101.0</v>
      </c>
      <c r="C421" s="444" t="s">
        <v>328</v>
      </c>
      <c r="D421" s="451" t="s">
        <v>2422</v>
      </c>
      <c r="E421" s="448" t="s">
        <v>2423</v>
      </c>
      <c r="F421" s="445" t="s">
        <v>1428</v>
      </c>
      <c r="G421" s="442">
        <v>8700.0</v>
      </c>
      <c r="I421" s="447"/>
      <c r="J421" s="448">
        <f t="shared" si="5"/>
        <v>3</v>
      </c>
      <c r="K421" s="448"/>
    </row>
    <row r="422" ht="22.5" customHeight="1">
      <c r="A422" s="443"/>
      <c r="B422" s="487">
        <v>46104.0</v>
      </c>
      <c r="C422" s="444" t="s">
        <v>1571</v>
      </c>
      <c r="D422" s="451" t="s">
        <v>2422</v>
      </c>
      <c r="E422" s="448" t="s">
        <v>2423</v>
      </c>
      <c r="F422" s="445" t="s">
        <v>1586</v>
      </c>
      <c r="G422" s="442">
        <v>2390.0</v>
      </c>
      <c r="I422" s="447"/>
      <c r="J422" s="448">
        <f t="shared" si="5"/>
        <v>3</v>
      </c>
      <c r="K422" s="448"/>
    </row>
    <row r="423" ht="22.5" customHeight="1">
      <c r="A423" s="443"/>
      <c r="B423" s="487">
        <v>46104.0</v>
      </c>
      <c r="C423" s="444" t="s">
        <v>1021</v>
      </c>
      <c r="D423" s="451" t="s">
        <v>2422</v>
      </c>
      <c r="E423" s="448" t="s">
        <v>2423</v>
      </c>
      <c r="F423" s="445" t="s">
        <v>1022</v>
      </c>
      <c r="G423" s="442">
        <v>4900.0</v>
      </c>
      <c r="I423" s="447"/>
      <c r="J423" s="448">
        <f t="shared" si="5"/>
        <v>3</v>
      </c>
      <c r="K423" s="448"/>
    </row>
    <row r="424" ht="22.5" customHeight="1">
      <c r="A424" s="443"/>
      <c r="B424" s="487">
        <v>46104.0</v>
      </c>
      <c r="C424" s="444" t="s">
        <v>1093</v>
      </c>
      <c r="D424" s="451" t="s">
        <v>2419</v>
      </c>
      <c r="E424" s="448" t="s">
        <v>2436</v>
      </c>
      <c r="F424" s="445" t="s">
        <v>2480</v>
      </c>
      <c r="G424" s="442">
        <v>2340.0</v>
      </c>
      <c r="I424" s="447"/>
      <c r="J424" s="448">
        <f t="shared" si="5"/>
        <v>3</v>
      </c>
      <c r="K424" s="448"/>
    </row>
    <row r="425" ht="22.5" customHeight="1">
      <c r="A425" s="443"/>
      <c r="B425" s="487">
        <v>46104.0</v>
      </c>
      <c r="C425" s="444" t="s">
        <v>1813</v>
      </c>
      <c r="D425" s="451" t="s">
        <v>2419</v>
      </c>
      <c r="E425" s="448" t="s">
        <v>2655</v>
      </c>
      <c r="F425" s="445" t="s">
        <v>1815</v>
      </c>
      <c r="G425" s="442">
        <v>3800.0</v>
      </c>
      <c r="I425" s="447"/>
      <c r="J425" s="448">
        <f t="shared" si="5"/>
        <v>3</v>
      </c>
      <c r="K425" s="448"/>
    </row>
    <row r="426" ht="22.5" customHeight="1">
      <c r="A426" s="443"/>
      <c r="B426" s="487">
        <v>46104.0</v>
      </c>
      <c r="C426" s="444" t="s">
        <v>266</v>
      </c>
      <c r="D426" s="451" t="s">
        <v>2422</v>
      </c>
      <c r="E426" s="448" t="s">
        <v>2423</v>
      </c>
      <c r="F426" s="445" t="s">
        <v>1046</v>
      </c>
      <c r="G426" s="442">
        <v>5000.0</v>
      </c>
      <c r="I426" s="447"/>
      <c r="J426" s="448">
        <f t="shared" si="5"/>
        <v>3</v>
      </c>
      <c r="K426" s="448"/>
    </row>
    <row r="427" ht="22.5" customHeight="1">
      <c r="A427" s="443"/>
      <c r="B427" s="487">
        <v>46104.0</v>
      </c>
      <c r="C427" s="444" t="s">
        <v>1055</v>
      </c>
      <c r="D427" s="451" t="s">
        <v>2419</v>
      </c>
      <c r="E427" s="448" t="s">
        <v>2654</v>
      </c>
      <c r="F427" s="445" t="s">
        <v>1944</v>
      </c>
      <c r="G427" s="442">
        <v>5900.0</v>
      </c>
      <c r="I427" s="447"/>
      <c r="J427" s="448">
        <f t="shared" si="5"/>
        <v>3</v>
      </c>
      <c r="K427" s="448"/>
    </row>
    <row r="428" ht="22.5" customHeight="1">
      <c r="A428" s="443"/>
      <c r="B428" s="487">
        <v>46104.0</v>
      </c>
      <c r="C428" s="444" t="s">
        <v>986</v>
      </c>
      <c r="D428" s="451" t="s">
        <v>2419</v>
      </c>
      <c r="E428" s="448" t="s">
        <v>2656</v>
      </c>
      <c r="F428" s="445" t="s">
        <v>988</v>
      </c>
      <c r="G428" s="442">
        <v>4830.0</v>
      </c>
      <c r="I428" s="447"/>
      <c r="J428" s="448">
        <f t="shared" si="5"/>
        <v>3</v>
      </c>
      <c r="K428" s="448"/>
    </row>
    <row r="429" ht="22.5" customHeight="1">
      <c r="A429" s="443"/>
      <c r="B429" s="487">
        <v>46104.0</v>
      </c>
      <c r="C429" s="444" t="s">
        <v>610</v>
      </c>
      <c r="D429" s="451" t="s">
        <v>2419</v>
      </c>
      <c r="E429" s="448" t="s">
        <v>2421</v>
      </c>
      <c r="F429" s="442" t="s">
        <v>1593</v>
      </c>
      <c r="G429" s="442">
        <v>12140.0</v>
      </c>
      <c r="I429" s="447"/>
      <c r="J429" s="448">
        <f t="shared" si="5"/>
        <v>3</v>
      </c>
      <c r="K429" s="448"/>
    </row>
    <row r="430" ht="22.5" customHeight="1">
      <c r="A430" s="443"/>
      <c r="B430" s="487">
        <v>46104.0</v>
      </c>
      <c r="C430" s="444" t="s">
        <v>448</v>
      </c>
      <c r="D430" s="451" t="s">
        <v>2419</v>
      </c>
      <c r="E430" s="448" t="s">
        <v>2427</v>
      </c>
      <c r="F430" s="445" t="s">
        <v>1474</v>
      </c>
      <c r="G430" s="442">
        <v>23900.0</v>
      </c>
      <c r="I430" s="447"/>
      <c r="J430" s="448">
        <f t="shared" si="5"/>
        <v>3</v>
      </c>
      <c r="K430" s="448"/>
    </row>
    <row r="431" ht="22.5" customHeight="1">
      <c r="A431" s="443"/>
      <c r="B431" s="487">
        <v>46104.0</v>
      </c>
      <c r="C431" s="444" t="s">
        <v>448</v>
      </c>
      <c r="D431" s="451" t="s">
        <v>2419</v>
      </c>
      <c r="E431" s="448" t="s">
        <v>2657</v>
      </c>
      <c r="F431" s="445" t="s">
        <v>1474</v>
      </c>
      <c r="G431" s="442">
        <v>9000.0</v>
      </c>
      <c r="H431" s="448"/>
      <c r="I431" s="447"/>
      <c r="J431" s="448">
        <f t="shared" si="5"/>
        <v>3</v>
      </c>
      <c r="K431" s="448"/>
    </row>
    <row r="432" ht="22.5" customHeight="1">
      <c r="A432" s="443"/>
      <c r="B432" s="487">
        <v>46101.0</v>
      </c>
      <c r="C432" s="444" t="s">
        <v>328</v>
      </c>
      <c r="D432" s="451" t="s">
        <v>2422</v>
      </c>
      <c r="E432" s="448" t="s">
        <v>2423</v>
      </c>
      <c r="F432" s="445" t="s">
        <v>1428</v>
      </c>
      <c r="G432" s="442">
        <v>8700.0</v>
      </c>
      <c r="I432" s="447"/>
      <c r="J432" s="448">
        <f t="shared" si="5"/>
        <v>3</v>
      </c>
      <c r="K432" s="448"/>
    </row>
    <row r="433" ht="22.5" customHeight="1">
      <c r="A433" s="443"/>
      <c r="B433" s="487">
        <v>46101.0</v>
      </c>
      <c r="C433" s="451" t="s">
        <v>730</v>
      </c>
      <c r="D433" s="451" t="s">
        <v>2419</v>
      </c>
      <c r="E433" s="445" t="s">
        <v>2658</v>
      </c>
      <c r="F433" s="445"/>
      <c r="G433" s="442">
        <v>26240.0</v>
      </c>
      <c r="H433" s="448"/>
      <c r="I433" s="447"/>
      <c r="J433" s="448">
        <f t="shared" si="5"/>
        <v>3</v>
      </c>
      <c r="K433" s="448"/>
    </row>
    <row r="434" ht="22.5" customHeight="1">
      <c r="A434" s="443"/>
      <c r="B434" s="487">
        <v>46101.0</v>
      </c>
      <c r="C434" s="444" t="s">
        <v>848</v>
      </c>
      <c r="D434" s="451" t="s">
        <v>2419</v>
      </c>
      <c r="E434" s="445" t="s">
        <v>2431</v>
      </c>
      <c r="F434" s="445"/>
      <c r="G434" s="442">
        <v>23900.0</v>
      </c>
      <c r="H434" s="448"/>
      <c r="I434" s="447"/>
      <c r="J434" s="448">
        <f t="shared" si="5"/>
        <v>3</v>
      </c>
      <c r="K434" s="448"/>
    </row>
    <row r="435" ht="22.5" customHeight="1">
      <c r="A435" s="443"/>
      <c r="B435" s="487">
        <v>46104.0</v>
      </c>
      <c r="C435" s="451" t="s">
        <v>58</v>
      </c>
      <c r="D435" s="451" t="s">
        <v>2492</v>
      </c>
      <c r="E435" s="445" t="s">
        <v>2659</v>
      </c>
      <c r="F435" s="445"/>
      <c r="G435" s="442">
        <v>99000.0</v>
      </c>
      <c r="H435" s="448"/>
      <c r="I435" s="447"/>
      <c r="J435" s="448">
        <f t="shared" si="5"/>
        <v>3</v>
      </c>
      <c r="K435" s="448"/>
    </row>
    <row r="436" ht="22.5" customHeight="1">
      <c r="A436" s="443"/>
      <c r="B436" s="487">
        <v>46104.0</v>
      </c>
      <c r="C436" s="451" t="s">
        <v>474</v>
      </c>
      <c r="D436" s="451" t="s">
        <v>2419</v>
      </c>
      <c r="E436" s="445" t="s">
        <v>2660</v>
      </c>
      <c r="F436" s="445"/>
      <c r="G436" s="442">
        <v>2580.0</v>
      </c>
      <c r="H436" s="448"/>
      <c r="I436" s="447"/>
      <c r="J436" s="448">
        <f t="shared" si="5"/>
        <v>3</v>
      </c>
      <c r="K436" s="448"/>
    </row>
    <row r="437" ht="22.5" customHeight="1">
      <c r="A437" s="443"/>
      <c r="B437" s="487">
        <v>46105.0</v>
      </c>
      <c r="C437" s="451" t="s">
        <v>505</v>
      </c>
      <c r="D437" s="451" t="s">
        <v>2419</v>
      </c>
      <c r="E437" s="445" t="s">
        <v>2455</v>
      </c>
      <c r="F437" s="445" t="s">
        <v>1510</v>
      </c>
      <c r="G437" s="442">
        <v>14190.0</v>
      </c>
      <c r="H437" s="448"/>
      <c r="I437" s="447"/>
      <c r="J437" s="448">
        <f t="shared" si="5"/>
        <v>3</v>
      </c>
      <c r="K437" s="448"/>
    </row>
    <row r="438" ht="22.5" customHeight="1">
      <c r="A438" s="443"/>
      <c r="B438" s="487">
        <v>46104.0</v>
      </c>
      <c r="C438" s="451" t="s">
        <v>154</v>
      </c>
      <c r="D438" s="451" t="s">
        <v>2492</v>
      </c>
      <c r="E438" s="445" t="s">
        <v>2659</v>
      </c>
      <c r="F438" s="445"/>
      <c r="G438" s="442">
        <v>99000.0</v>
      </c>
      <c r="H438" s="448"/>
      <c r="I438" s="447"/>
      <c r="J438" s="448">
        <f t="shared" si="5"/>
        <v>3</v>
      </c>
      <c r="K438" s="448"/>
    </row>
    <row r="439" ht="22.5" customHeight="1">
      <c r="A439" s="443"/>
      <c r="B439" s="487">
        <v>46104.0</v>
      </c>
      <c r="C439" s="451" t="s">
        <v>97</v>
      </c>
      <c r="D439" s="451" t="s">
        <v>2492</v>
      </c>
      <c r="E439" s="445" t="s">
        <v>2659</v>
      </c>
      <c r="F439" s="445"/>
      <c r="G439" s="442">
        <v>99000.0</v>
      </c>
      <c r="H439" s="448"/>
      <c r="I439" s="447"/>
      <c r="J439" s="448">
        <f t="shared" si="5"/>
        <v>3</v>
      </c>
      <c r="K439" s="448"/>
    </row>
    <row r="440" ht="22.5" customHeight="1">
      <c r="A440" s="443"/>
      <c r="B440" s="487">
        <v>46104.0</v>
      </c>
      <c r="C440" s="451" t="s">
        <v>1021</v>
      </c>
      <c r="D440" s="451" t="s">
        <v>2492</v>
      </c>
      <c r="E440" s="445" t="s">
        <v>2659</v>
      </c>
      <c r="F440" s="445"/>
      <c r="G440" s="442">
        <v>99000.0</v>
      </c>
      <c r="H440" s="448"/>
      <c r="I440" s="447"/>
      <c r="J440" s="448">
        <f t="shared" si="5"/>
        <v>3</v>
      </c>
      <c r="K440" s="448"/>
    </row>
    <row r="441" ht="22.5" customHeight="1">
      <c r="A441" s="443"/>
      <c r="B441" s="487">
        <v>46104.0</v>
      </c>
      <c r="C441" s="451" t="s">
        <v>275</v>
      </c>
      <c r="D441" s="451" t="s">
        <v>2492</v>
      </c>
      <c r="E441" s="445" t="s">
        <v>2659</v>
      </c>
      <c r="F441" s="445"/>
      <c r="G441" s="442">
        <v>99000.0</v>
      </c>
      <c r="H441" s="448"/>
      <c r="I441" s="447"/>
      <c r="J441" s="448">
        <f t="shared" si="5"/>
        <v>3</v>
      </c>
      <c r="K441" s="448"/>
    </row>
    <row r="442" ht="22.5" customHeight="1">
      <c r="A442" s="443"/>
      <c r="B442" s="487">
        <v>46105.0</v>
      </c>
      <c r="C442" s="451" t="s">
        <v>415</v>
      </c>
      <c r="D442" s="451" t="s">
        <v>2416</v>
      </c>
      <c r="E442" s="445" t="s">
        <v>2661</v>
      </c>
      <c r="F442" s="445" t="s">
        <v>2662</v>
      </c>
      <c r="G442" s="442">
        <v>25000.0</v>
      </c>
      <c r="H442" s="448"/>
      <c r="I442" s="447"/>
      <c r="J442" s="448">
        <f t="shared" si="5"/>
        <v>3</v>
      </c>
      <c r="K442" s="448"/>
    </row>
    <row r="443" ht="22.5" customHeight="1">
      <c r="A443" s="443"/>
      <c r="B443" s="456">
        <v>46105.0</v>
      </c>
      <c r="C443" s="451" t="s">
        <v>699</v>
      </c>
      <c r="D443" s="451" t="s">
        <v>2419</v>
      </c>
      <c r="E443" s="445" t="s">
        <v>2663</v>
      </c>
      <c r="F443" s="445" t="s">
        <v>2664</v>
      </c>
      <c r="G443" s="442">
        <v>118800.0</v>
      </c>
      <c r="H443" s="448"/>
      <c r="I443" s="447"/>
      <c r="J443" s="448">
        <f t="shared" si="5"/>
        <v>3</v>
      </c>
      <c r="K443" s="448"/>
    </row>
    <row r="444" ht="22.5" customHeight="1">
      <c r="A444" s="443"/>
      <c r="B444" s="456">
        <v>46105.0</v>
      </c>
      <c r="C444" s="451" t="s">
        <v>699</v>
      </c>
      <c r="D444" s="451" t="s">
        <v>2416</v>
      </c>
      <c r="E444" s="445" t="s">
        <v>2665</v>
      </c>
      <c r="F444" s="445" t="s">
        <v>2664</v>
      </c>
      <c r="G444" s="442">
        <v>150000.0</v>
      </c>
      <c r="H444" s="448"/>
      <c r="I444" s="447"/>
      <c r="J444" s="448">
        <f t="shared" si="5"/>
        <v>3</v>
      </c>
      <c r="K444" s="448"/>
    </row>
    <row r="445" ht="22.5" customHeight="1">
      <c r="A445" s="443"/>
      <c r="B445" s="456">
        <v>46105.0</v>
      </c>
      <c r="C445" s="451" t="s">
        <v>699</v>
      </c>
      <c r="D445" s="451" t="s">
        <v>2416</v>
      </c>
      <c r="E445" s="445" t="s">
        <v>2665</v>
      </c>
      <c r="F445" s="445" t="s">
        <v>2664</v>
      </c>
      <c r="G445" s="442">
        <v>70000.0</v>
      </c>
      <c r="H445" s="448"/>
      <c r="I445" s="447"/>
      <c r="J445" s="448">
        <f t="shared" si="5"/>
        <v>3</v>
      </c>
      <c r="K445" s="448"/>
    </row>
    <row r="446" ht="22.5" customHeight="1">
      <c r="A446" s="443"/>
      <c r="B446" s="456">
        <v>46106.0</v>
      </c>
      <c r="C446" s="451" t="s">
        <v>1667</v>
      </c>
      <c r="D446" s="451" t="s">
        <v>2419</v>
      </c>
      <c r="E446" s="445" t="s">
        <v>2666</v>
      </c>
      <c r="F446" s="445"/>
      <c r="G446" s="442">
        <v>49880.0</v>
      </c>
      <c r="H446" s="448"/>
      <c r="I446" s="447"/>
      <c r="J446" s="448">
        <f t="shared" si="5"/>
        <v>3</v>
      </c>
      <c r="K446" s="448"/>
    </row>
    <row r="447" ht="22.5" customHeight="1">
      <c r="A447" s="443"/>
      <c r="B447" s="456">
        <v>46106.0</v>
      </c>
      <c r="C447" s="451" t="s">
        <v>643</v>
      </c>
      <c r="D447" s="451" t="s">
        <v>2419</v>
      </c>
      <c r="E447" s="445" t="s">
        <v>2667</v>
      </c>
      <c r="F447" s="445"/>
      <c r="G447" s="442">
        <v>5990.0</v>
      </c>
      <c r="H447" s="448"/>
      <c r="I447" s="447"/>
      <c r="J447" s="448">
        <f t="shared" si="5"/>
        <v>3</v>
      </c>
      <c r="K447" s="448"/>
    </row>
    <row r="448" ht="22.5" customHeight="1">
      <c r="A448" s="443"/>
      <c r="B448" s="456">
        <v>46106.0</v>
      </c>
      <c r="C448" s="451" t="s">
        <v>1667</v>
      </c>
      <c r="D448" s="451" t="s">
        <v>2419</v>
      </c>
      <c r="E448" s="445" t="s">
        <v>2463</v>
      </c>
      <c r="F448" s="445"/>
      <c r="G448" s="442">
        <v>6890.0</v>
      </c>
      <c r="H448" s="448"/>
      <c r="I448" s="447"/>
      <c r="J448" s="448">
        <f t="shared" si="5"/>
        <v>3</v>
      </c>
      <c r="K448" s="448"/>
    </row>
    <row r="449" ht="22.5" customHeight="1">
      <c r="A449" s="443"/>
      <c r="B449" s="456">
        <v>46106.0</v>
      </c>
      <c r="C449" s="451" t="s">
        <v>1041</v>
      </c>
      <c r="D449" s="451" t="s">
        <v>2419</v>
      </c>
      <c r="E449" s="445" t="s">
        <v>2668</v>
      </c>
      <c r="F449" s="445"/>
      <c r="G449" s="442">
        <v>10060.0</v>
      </c>
      <c r="H449" s="448" t="s">
        <v>2669</v>
      </c>
      <c r="I449" s="447"/>
      <c r="J449" s="448">
        <f t="shared" si="5"/>
        <v>3</v>
      </c>
      <c r="K449" s="448"/>
    </row>
    <row r="450" ht="22.5" customHeight="1">
      <c r="A450" s="443"/>
      <c r="B450" s="456">
        <v>46107.0</v>
      </c>
      <c r="C450" s="451" t="s">
        <v>822</v>
      </c>
      <c r="D450" s="451" t="s">
        <v>2419</v>
      </c>
      <c r="E450" s="445" t="s">
        <v>2431</v>
      </c>
      <c r="F450" s="445"/>
      <c r="G450" s="442">
        <v>23900.0</v>
      </c>
      <c r="H450" s="448"/>
      <c r="I450" s="447"/>
      <c r="J450" s="448">
        <f t="shared" si="5"/>
        <v>3</v>
      </c>
      <c r="K450" s="448"/>
    </row>
    <row r="451" ht="22.5" customHeight="1">
      <c r="A451" s="443"/>
      <c r="B451" s="456">
        <v>46107.0</v>
      </c>
      <c r="C451" s="451" t="s">
        <v>760</v>
      </c>
      <c r="D451" s="451" t="s">
        <v>2419</v>
      </c>
      <c r="E451" s="445" t="s">
        <v>2670</v>
      </c>
      <c r="F451" s="445"/>
      <c r="G451" s="442">
        <v>5600.0</v>
      </c>
      <c r="H451" s="448"/>
      <c r="I451" s="447"/>
      <c r="J451" s="448">
        <f t="shared" si="5"/>
        <v>3</v>
      </c>
      <c r="K451" s="448"/>
    </row>
    <row r="452" ht="22.5" customHeight="1">
      <c r="A452" s="443"/>
      <c r="B452" s="456">
        <v>46111.0</v>
      </c>
      <c r="C452" s="451" t="s">
        <v>1650</v>
      </c>
      <c r="D452" s="451" t="s">
        <v>2422</v>
      </c>
      <c r="E452" s="445" t="s">
        <v>2434</v>
      </c>
      <c r="F452" s="445" t="s">
        <v>1661</v>
      </c>
      <c r="G452" s="442">
        <v>9800.0</v>
      </c>
      <c r="H452" s="448"/>
      <c r="I452" s="447"/>
      <c r="J452" s="448">
        <f t="shared" si="5"/>
        <v>3</v>
      </c>
      <c r="K452" s="448"/>
    </row>
    <row r="453" ht="22.5" customHeight="1">
      <c r="A453" s="443"/>
      <c r="B453" s="456">
        <v>46111.0</v>
      </c>
      <c r="C453" s="451" t="s">
        <v>778</v>
      </c>
      <c r="D453" s="451" t="s">
        <v>2419</v>
      </c>
      <c r="E453" s="445" t="s">
        <v>2431</v>
      </c>
      <c r="F453" s="445" t="s">
        <v>790</v>
      </c>
      <c r="G453" s="442">
        <v>19900.0</v>
      </c>
      <c r="H453" s="448"/>
      <c r="I453" s="447"/>
      <c r="J453" s="448">
        <f t="shared" si="5"/>
        <v>3</v>
      </c>
      <c r="K453" s="448"/>
    </row>
    <row r="454" ht="22.5" customHeight="1">
      <c r="A454" s="443"/>
      <c r="B454" s="456">
        <v>46110.0</v>
      </c>
      <c r="C454" s="451" t="s">
        <v>58</v>
      </c>
      <c r="D454" s="451" t="s">
        <v>2419</v>
      </c>
      <c r="E454" s="445" t="s">
        <v>2635</v>
      </c>
      <c r="F454" s="445"/>
      <c r="G454" s="442">
        <v>15700.0</v>
      </c>
      <c r="H454" s="448"/>
      <c r="I454" s="447"/>
      <c r="J454" s="448">
        <f t="shared" si="5"/>
        <v>3</v>
      </c>
      <c r="K454" s="448"/>
    </row>
    <row r="455" ht="22.5" customHeight="1">
      <c r="A455" s="443"/>
      <c r="B455" s="456">
        <v>46108.0</v>
      </c>
      <c r="C455" s="451" t="s">
        <v>97</v>
      </c>
      <c r="D455" s="451" t="s">
        <v>2419</v>
      </c>
      <c r="E455" s="445" t="s">
        <v>2556</v>
      </c>
      <c r="F455" s="445"/>
      <c r="G455" s="442">
        <v>4470.0</v>
      </c>
      <c r="H455" s="448"/>
      <c r="I455" s="447"/>
      <c r="J455" s="448">
        <f t="shared" si="5"/>
        <v>3</v>
      </c>
      <c r="K455" s="448"/>
    </row>
    <row r="456" ht="22.5" customHeight="1">
      <c r="A456" s="443"/>
      <c r="B456" s="456">
        <v>46109.0</v>
      </c>
      <c r="C456" s="451" t="s">
        <v>967</v>
      </c>
      <c r="D456" s="451" t="s">
        <v>2422</v>
      </c>
      <c r="E456" s="445" t="s">
        <v>2434</v>
      </c>
      <c r="F456" s="445" t="s">
        <v>1879</v>
      </c>
      <c r="G456" s="442">
        <v>8800.0</v>
      </c>
      <c r="H456" s="448"/>
      <c r="I456" s="447"/>
      <c r="J456" s="448">
        <f t="shared" si="5"/>
        <v>3</v>
      </c>
      <c r="K456" s="448"/>
    </row>
    <row r="457" ht="22.5" customHeight="1">
      <c r="A457" s="443"/>
      <c r="B457" s="456">
        <v>46111.0</v>
      </c>
      <c r="C457" s="451" t="s">
        <v>97</v>
      </c>
      <c r="D457" s="451" t="s">
        <v>2416</v>
      </c>
      <c r="E457" s="445" t="s">
        <v>2671</v>
      </c>
      <c r="F457" s="445" t="s">
        <v>2672</v>
      </c>
      <c r="G457" s="442">
        <v>30000.0</v>
      </c>
      <c r="H457" s="448"/>
      <c r="I457" s="447"/>
      <c r="J457" s="448">
        <f t="shared" si="5"/>
        <v>3</v>
      </c>
      <c r="K457" s="448"/>
    </row>
    <row r="458" ht="22.5" customHeight="1">
      <c r="A458" s="443"/>
      <c r="B458" s="456">
        <v>46112.0</v>
      </c>
      <c r="C458" s="451" t="s">
        <v>1571</v>
      </c>
      <c r="D458" s="451" t="s">
        <v>2419</v>
      </c>
      <c r="E458" s="445" t="s">
        <v>2441</v>
      </c>
      <c r="F458" s="445" t="s">
        <v>1573</v>
      </c>
      <c r="G458" s="442">
        <v>18490.0</v>
      </c>
      <c r="H458" s="448"/>
      <c r="I458" s="447"/>
      <c r="J458" s="448">
        <f t="shared" si="5"/>
        <v>3</v>
      </c>
      <c r="K458" s="448"/>
    </row>
    <row r="459" ht="22.5" customHeight="1">
      <c r="A459" s="443"/>
      <c r="B459" s="456">
        <v>46112.0</v>
      </c>
      <c r="C459" s="451" t="s">
        <v>553</v>
      </c>
      <c r="D459" s="451" t="s">
        <v>2422</v>
      </c>
      <c r="E459" s="445" t="s">
        <v>2434</v>
      </c>
      <c r="F459" s="445" t="s">
        <v>1527</v>
      </c>
      <c r="G459" s="442">
        <v>4900.0</v>
      </c>
      <c r="H459" s="448"/>
      <c r="I459" s="447"/>
      <c r="J459" s="448">
        <f t="shared" si="5"/>
        <v>3</v>
      </c>
      <c r="K459" s="448"/>
    </row>
    <row r="460" ht="22.5" customHeight="1">
      <c r="A460" s="443"/>
      <c r="B460" s="456">
        <v>46112.0</v>
      </c>
      <c r="C460" s="451" t="s">
        <v>1571</v>
      </c>
      <c r="D460" s="451" t="s">
        <v>2422</v>
      </c>
      <c r="E460" s="445" t="s">
        <v>2434</v>
      </c>
      <c r="F460" s="445" t="s">
        <v>2199</v>
      </c>
      <c r="G460" s="442">
        <v>4900.0</v>
      </c>
      <c r="H460" s="448"/>
      <c r="I460" s="447"/>
      <c r="J460" s="448">
        <f t="shared" si="5"/>
        <v>3</v>
      </c>
      <c r="K460" s="448"/>
    </row>
    <row r="461" ht="22.5" customHeight="1">
      <c r="A461" s="443"/>
      <c r="B461" s="456">
        <v>46112.0</v>
      </c>
      <c r="C461" s="451" t="s">
        <v>918</v>
      </c>
      <c r="D461" s="451" t="s">
        <v>2419</v>
      </c>
      <c r="E461" s="445" t="s">
        <v>2558</v>
      </c>
      <c r="F461" s="445" t="s">
        <v>2673</v>
      </c>
      <c r="G461" s="442">
        <v>12130.0</v>
      </c>
      <c r="H461" s="448"/>
      <c r="I461" s="447"/>
      <c r="J461" s="448">
        <f t="shared" si="5"/>
        <v>3</v>
      </c>
      <c r="K461" s="448"/>
    </row>
    <row r="462" ht="22.5" customHeight="1">
      <c r="A462" s="443"/>
      <c r="B462" s="456">
        <v>46098.0</v>
      </c>
      <c r="C462" s="471"/>
      <c r="D462" s="488"/>
      <c r="E462" s="445"/>
      <c r="F462" s="445" t="s">
        <v>2484</v>
      </c>
      <c r="G462" s="445">
        <v>8240.0</v>
      </c>
      <c r="H462" s="448"/>
      <c r="I462" s="447"/>
      <c r="J462" s="448">
        <f t="shared" si="5"/>
        <v>3</v>
      </c>
      <c r="K462" s="448"/>
    </row>
    <row r="463" ht="22.5" customHeight="1">
      <c r="A463" s="443"/>
      <c r="B463" s="456">
        <v>46100.0</v>
      </c>
      <c r="C463" s="471"/>
      <c r="D463" s="488"/>
      <c r="E463" s="445"/>
      <c r="F463" s="445" t="s">
        <v>2484</v>
      </c>
      <c r="G463" s="445">
        <v>5360.0</v>
      </c>
      <c r="H463" s="448"/>
      <c r="I463" s="447"/>
      <c r="J463" s="448">
        <f t="shared" si="5"/>
        <v>3</v>
      </c>
      <c r="K463" s="448"/>
    </row>
    <row r="464" ht="22.5" customHeight="1">
      <c r="A464" s="443"/>
      <c r="B464" s="456">
        <v>46104.0</v>
      </c>
      <c r="C464" s="471"/>
      <c r="D464" s="488"/>
      <c r="E464" s="445"/>
      <c r="F464" s="445" t="s">
        <v>2484</v>
      </c>
      <c r="G464" s="445">
        <v>9400.0</v>
      </c>
      <c r="H464" s="448"/>
      <c r="I464" s="447"/>
      <c r="J464" s="448">
        <f t="shared" si="5"/>
        <v>3</v>
      </c>
      <c r="K464" s="448"/>
    </row>
    <row r="465" ht="22.5" customHeight="1">
      <c r="A465" s="443"/>
      <c r="B465" s="456">
        <v>46104.0</v>
      </c>
      <c r="C465" s="471"/>
      <c r="D465" s="488"/>
      <c r="E465" s="445"/>
      <c r="F465" s="445" t="s">
        <v>2484</v>
      </c>
      <c r="G465" s="445">
        <v>11180.0</v>
      </c>
      <c r="H465" s="448"/>
      <c r="I465" s="447"/>
      <c r="J465" s="448">
        <f t="shared" si="5"/>
        <v>3</v>
      </c>
      <c r="K465" s="448"/>
    </row>
    <row r="466" ht="22.5" customHeight="1">
      <c r="A466" s="443"/>
      <c r="B466" s="456">
        <v>46104.0</v>
      </c>
      <c r="C466" s="471"/>
      <c r="D466" s="488"/>
      <c r="E466" s="445"/>
      <c r="F466" s="445" t="s">
        <v>2484</v>
      </c>
      <c r="G466" s="445">
        <v>6700.0</v>
      </c>
      <c r="H466" s="448"/>
      <c r="I466" s="447"/>
      <c r="J466" s="448">
        <f t="shared" si="5"/>
        <v>3</v>
      </c>
      <c r="K466" s="448"/>
    </row>
    <row r="467" ht="22.5" customHeight="1">
      <c r="A467" s="443"/>
      <c r="B467" s="456">
        <v>46105.0</v>
      </c>
      <c r="C467" s="471"/>
      <c r="D467" s="488"/>
      <c r="E467" s="445"/>
      <c r="F467" s="445" t="s">
        <v>2484</v>
      </c>
      <c r="G467" s="445">
        <v>7680.0</v>
      </c>
      <c r="H467" s="448"/>
      <c r="I467" s="447"/>
      <c r="J467" s="448">
        <f t="shared" si="5"/>
        <v>3</v>
      </c>
      <c r="K467" s="448"/>
    </row>
    <row r="468" ht="22.5" customHeight="1">
      <c r="A468" s="443"/>
      <c r="B468" s="456">
        <v>46106.0</v>
      </c>
      <c r="C468" s="471"/>
      <c r="D468" s="488"/>
      <c r="E468" s="445"/>
      <c r="F468" s="445" t="s">
        <v>2484</v>
      </c>
      <c r="G468" s="445">
        <v>3900.0</v>
      </c>
      <c r="H468" s="448"/>
      <c r="I468" s="447"/>
      <c r="J468" s="448">
        <f t="shared" si="5"/>
        <v>3</v>
      </c>
      <c r="K468" s="448"/>
    </row>
    <row r="469" ht="22.5" customHeight="1">
      <c r="A469" s="443"/>
      <c r="B469" s="456">
        <v>46107.0</v>
      </c>
      <c r="C469" s="471"/>
      <c r="D469" s="488"/>
      <c r="E469" s="445"/>
      <c r="F469" s="445" t="s">
        <v>2484</v>
      </c>
      <c r="G469" s="445">
        <v>12470.0</v>
      </c>
      <c r="H469" s="448"/>
      <c r="I469" s="447"/>
      <c r="J469" s="448">
        <f t="shared" si="5"/>
        <v>3</v>
      </c>
      <c r="K469" s="448"/>
    </row>
    <row r="470" ht="22.5" customHeight="1">
      <c r="A470" s="443"/>
      <c r="B470" s="456">
        <v>46108.0</v>
      </c>
      <c r="C470" s="471"/>
      <c r="D470" s="488"/>
      <c r="E470" s="445"/>
      <c r="F470" s="445" t="s">
        <v>2484</v>
      </c>
      <c r="G470" s="445">
        <v>23150.0</v>
      </c>
      <c r="H470" s="448"/>
      <c r="I470" s="447"/>
      <c r="J470" s="448">
        <f t="shared" si="5"/>
        <v>3</v>
      </c>
      <c r="K470" s="448"/>
    </row>
    <row r="471" ht="22.5" customHeight="1">
      <c r="A471" s="443"/>
      <c r="B471" s="456">
        <v>46108.0</v>
      </c>
      <c r="C471" s="471"/>
      <c r="D471" s="488"/>
      <c r="E471" s="445"/>
      <c r="F471" s="445" t="s">
        <v>2484</v>
      </c>
      <c r="G471" s="445">
        <v>8160.0</v>
      </c>
      <c r="H471" s="448"/>
      <c r="I471" s="447"/>
      <c r="J471" s="448">
        <f t="shared" si="5"/>
        <v>3</v>
      </c>
      <c r="K471" s="448"/>
    </row>
    <row r="472" ht="22.5" customHeight="1">
      <c r="A472" s="443"/>
      <c r="B472" s="456">
        <v>46112.0</v>
      </c>
      <c r="C472" s="451" t="s">
        <v>210</v>
      </c>
      <c r="D472" s="451" t="s">
        <v>2419</v>
      </c>
      <c r="E472" s="445" t="s">
        <v>2558</v>
      </c>
      <c r="F472" s="445" t="s">
        <v>2674</v>
      </c>
      <c r="G472" s="442">
        <v>12130.0</v>
      </c>
      <c r="H472" s="448"/>
      <c r="I472" s="447"/>
      <c r="J472" s="448">
        <f t="shared" si="5"/>
        <v>3</v>
      </c>
      <c r="K472" s="448"/>
    </row>
    <row r="473" ht="22.5" customHeight="1">
      <c r="A473" s="443"/>
      <c r="B473" s="456">
        <v>46113.0</v>
      </c>
      <c r="C473" s="451" t="s">
        <v>822</v>
      </c>
      <c r="D473" s="451" t="s">
        <v>2419</v>
      </c>
      <c r="E473" s="445" t="s">
        <v>2431</v>
      </c>
      <c r="F473" s="445"/>
      <c r="G473" s="442">
        <v>0.0</v>
      </c>
      <c r="H473" s="448" t="s">
        <v>2551</v>
      </c>
      <c r="I473" s="447"/>
      <c r="J473" s="448">
        <f t="shared" si="5"/>
        <v>4</v>
      </c>
      <c r="K473" s="448"/>
    </row>
    <row r="474" ht="22.5" customHeight="1">
      <c r="A474" s="443"/>
      <c r="B474" s="456">
        <v>46113.0</v>
      </c>
      <c r="C474" s="451" t="s">
        <v>97</v>
      </c>
      <c r="D474" s="451" t="s">
        <v>2419</v>
      </c>
      <c r="E474" s="445" t="s">
        <v>2431</v>
      </c>
      <c r="F474" s="445" t="s">
        <v>1299</v>
      </c>
      <c r="G474" s="442">
        <v>24900.0</v>
      </c>
      <c r="H474" s="448"/>
      <c r="I474" s="447"/>
      <c r="J474" s="448">
        <f t="shared" si="5"/>
        <v>4</v>
      </c>
      <c r="K474" s="448"/>
    </row>
    <row r="475" ht="22.5" customHeight="1">
      <c r="A475" s="443"/>
      <c r="B475" s="456"/>
      <c r="C475" s="471"/>
      <c r="D475" s="471"/>
      <c r="E475" s="445"/>
      <c r="F475" s="445"/>
      <c r="G475" s="442"/>
      <c r="H475" s="448"/>
      <c r="I475" s="447"/>
      <c r="J475" s="448">
        <f t="shared" si="5"/>
        <v>12</v>
      </c>
      <c r="K475" s="448"/>
    </row>
    <row r="476" ht="22.5" customHeight="1">
      <c r="A476" s="443"/>
      <c r="B476" s="456"/>
      <c r="C476" s="471"/>
      <c r="D476" s="471"/>
      <c r="E476" s="445"/>
      <c r="F476" s="445"/>
      <c r="G476" s="442"/>
      <c r="H476" s="448"/>
      <c r="I476" s="447"/>
      <c r="J476" s="448">
        <f t="shared" si="5"/>
        <v>12</v>
      </c>
      <c r="K476" s="448"/>
    </row>
    <row r="477" ht="22.5" customHeight="1">
      <c r="A477" s="443"/>
      <c r="B477" s="456"/>
      <c r="C477" s="471"/>
      <c r="D477" s="471"/>
      <c r="E477" s="445"/>
      <c r="F477" s="445"/>
      <c r="G477" s="442"/>
      <c r="H477" s="448"/>
      <c r="I477" s="447"/>
      <c r="J477" s="448">
        <f t="shared" si="5"/>
        <v>12</v>
      </c>
      <c r="K477" s="448"/>
    </row>
    <row r="478" ht="22.5" customHeight="1">
      <c r="A478" s="443"/>
      <c r="B478" s="456"/>
      <c r="C478" s="471"/>
      <c r="D478" s="471"/>
      <c r="E478" s="445"/>
      <c r="F478" s="445"/>
      <c r="G478" s="442"/>
      <c r="H478" s="448"/>
      <c r="I478" s="447"/>
      <c r="J478" s="448">
        <f t="shared" si="5"/>
        <v>12</v>
      </c>
      <c r="K478" s="448"/>
    </row>
    <row r="479" ht="22.5" customHeight="1">
      <c r="A479" s="443"/>
      <c r="B479" s="456"/>
      <c r="C479" s="471"/>
      <c r="D479" s="471"/>
      <c r="E479" s="445"/>
      <c r="F479" s="445"/>
      <c r="G479" s="442"/>
      <c r="H479" s="448"/>
      <c r="I479" s="447"/>
      <c r="J479" s="448">
        <f t="shared" si="5"/>
        <v>12</v>
      </c>
      <c r="K479" s="448"/>
    </row>
    <row r="480" ht="22.5" customHeight="1">
      <c r="A480" s="443"/>
      <c r="B480" s="456"/>
      <c r="C480" s="471"/>
      <c r="D480" s="471"/>
      <c r="E480" s="445"/>
      <c r="F480" s="445"/>
      <c r="G480" s="442"/>
      <c r="H480" s="448"/>
      <c r="I480" s="447"/>
      <c r="J480" s="448">
        <f t="shared" si="5"/>
        <v>12</v>
      </c>
      <c r="K480" s="448"/>
    </row>
    <row r="481" ht="22.5" customHeight="1">
      <c r="A481" s="443"/>
      <c r="B481" s="456"/>
      <c r="C481" s="471"/>
      <c r="D481" s="471"/>
      <c r="E481" s="445"/>
      <c r="F481" s="445"/>
      <c r="G481" s="442"/>
      <c r="H481" s="448"/>
      <c r="I481" s="447"/>
      <c r="J481" s="448">
        <f t="shared" si="5"/>
        <v>12</v>
      </c>
      <c r="K481" s="448"/>
    </row>
    <row r="482" ht="22.5" customHeight="1">
      <c r="A482" s="443"/>
      <c r="B482" s="456"/>
      <c r="C482" s="471"/>
      <c r="D482" s="471"/>
      <c r="E482" s="445"/>
      <c r="F482" s="445"/>
      <c r="G482" s="442"/>
      <c r="H482" s="448"/>
      <c r="I482" s="447"/>
      <c r="J482" s="448">
        <f t="shared" si="5"/>
        <v>12</v>
      </c>
      <c r="K482" s="448"/>
    </row>
    <row r="483" ht="22.5" customHeight="1">
      <c r="A483" s="443"/>
      <c r="B483" s="456"/>
      <c r="C483" s="471"/>
      <c r="D483" s="471"/>
      <c r="E483" s="445"/>
      <c r="F483" s="445"/>
      <c r="G483" s="442"/>
      <c r="H483" s="448"/>
      <c r="I483" s="447"/>
      <c r="J483" s="448">
        <f t="shared" si="5"/>
        <v>12</v>
      </c>
      <c r="K483" s="448"/>
    </row>
    <row r="484" ht="22.5" customHeight="1">
      <c r="A484" s="443"/>
      <c r="B484" s="456"/>
      <c r="C484" s="471"/>
      <c r="D484" s="471"/>
      <c r="E484" s="445"/>
      <c r="F484" s="445"/>
      <c r="G484" s="442"/>
      <c r="H484" s="448"/>
      <c r="I484" s="447"/>
      <c r="J484" s="448">
        <f t="shared" si="5"/>
        <v>12</v>
      </c>
      <c r="K484" s="448"/>
    </row>
    <row r="485" ht="22.5" customHeight="1">
      <c r="A485" s="443"/>
      <c r="B485" s="456"/>
      <c r="C485" s="471"/>
      <c r="D485" s="471"/>
      <c r="E485" s="445"/>
      <c r="F485" s="445"/>
      <c r="G485" s="442"/>
      <c r="H485" s="448"/>
      <c r="I485" s="447"/>
      <c r="J485" s="448">
        <f t="shared" si="5"/>
        <v>12</v>
      </c>
      <c r="K485" s="448"/>
    </row>
    <row r="486" ht="22.5" customHeight="1">
      <c r="A486" s="443"/>
      <c r="B486" s="456"/>
      <c r="C486" s="471"/>
      <c r="D486" s="471"/>
      <c r="E486" s="445"/>
      <c r="F486" s="445"/>
      <c r="G486" s="442"/>
      <c r="H486" s="448"/>
      <c r="I486" s="447"/>
      <c r="J486" s="448">
        <f t="shared" si="5"/>
        <v>12</v>
      </c>
      <c r="K486" s="448"/>
    </row>
    <row r="487" ht="22.5" customHeight="1">
      <c r="A487" s="443"/>
      <c r="B487" s="456"/>
      <c r="C487" s="471"/>
      <c r="D487" s="471"/>
      <c r="E487" s="445"/>
      <c r="F487" s="445"/>
      <c r="G487" s="442"/>
      <c r="H487" s="448"/>
      <c r="I487" s="447"/>
      <c r="J487" s="448">
        <f t="shared" si="5"/>
        <v>12</v>
      </c>
      <c r="K487" s="448"/>
    </row>
    <row r="488" ht="22.5" customHeight="1">
      <c r="A488" s="443"/>
      <c r="B488" s="456"/>
      <c r="C488" s="471"/>
      <c r="D488" s="471"/>
      <c r="E488" s="445"/>
      <c r="F488" s="445"/>
      <c r="G488" s="442"/>
      <c r="H488" s="448"/>
      <c r="I488" s="447"/>
      <c r="J488" s="448">
        <f t="shared" si="5"/>
        <v>12</v>
      </c>
      <c r="K488" s="448"/>
    </row>
    <row r="489" ht="22.5" customHeight="1">
      <c r="A489" s="443"/>
      <c r="B489" s="456"/>
      <c r="C489" s="471"/>
      <c r="D489" s="471"/>
      <c r="E489" s="445"/>
      <c r="F489" s="445"/>
      <c r="G489" s="442"/>
      <c r="H489" s="448"/>
      <c r="I489" s="447"/>
      <c r="J489" s="448">
        <f t="shared" si="5"/>
        <v>12</v>
      </c>
      <c r="K489" s="448"/>
    </row>
    <row r="490" ht="22.5" customHeight="1">
      <c r="A490" s="443"/>
      <c r="B490" s="456"/>
      <c r="C490" s="471"/>
      <c r="D490" s="471"/>
      <c r="E490" s="445"/>
      <c r="F490" s="445"/>
      <c r="G490" s="442"/>
      <c r="H490" s="448"/>
      <c r="I490" s="447"/>
      <c r="J490" s="448">
        <f t="shared" si="5"/>
        <v>12</v>
      </c>
      <c r="K490" s="448"/>
    </row>
    <row r="491" ht="22.5" customHeight="1">
      <c r="A491" s="443"/>
      <c r="B491" s="456"/>
      <c r="C491" s="471"/>
      <c r="D491" s="471"/>
      <c r="E491" s="445"/>
      <c r="F491" s="445"/>
      <c r="G491" s="442"/>
      <c r="H491" s="448"/>
      <c r="I491" s="447"/>
      <c r="J491" s="448">
        <f t="shared" si="5"/>
        <v>12</v>
      </c>
      <c r="K491" s="448"/>
    </row>
    <row r="492" ht="22.5" customHeight="1">
      <c r="A492" s="443"/>
      <c r="B492" s="456"/>
      <c r="C492" s="471"/>
      <c r="D492" s="471"/>
      <c r="E492" s="445"/>
      <c r="F492" s="445"/>
      <c r="G492" s="442"/>
      <c r="H492" s="448"/>
      <c r="I492" s="447"/>
      <c r="J492" s="448">
        <f t="shared" si="5"/>
        <v>12</v>
      </c>
      <c r="K492" s="448"/>
    </row>
    <row r="493" ht="22.5" customHeight="1">
      <c r="A493" s="443"/>
      <c r="B493" s="456"/>
      <c r="C493" s="471"/>
      <c r="D493" s="471"/>
      <c r="E493" s="445"/>
      <c r="F493" s="445"/>
      <c r="G493" s="442"/>
      <c r="H493" s="448"/>
      <c r="I493" s="447"/>
      <c r="J493" s="448">
        <f t="shared" si="5"/>
        <v>12</v>
      </c>
      <c r="K493" s="448"/>
    </row>
    <row r="494" ht="22.5" customHeight="1">
      <c r="A494" s="443"/>
      <c r="B494" s="456"/>
      <c r="C494" s="471"/>
      <c r="D494" s="471"/>
      <c r="E494" s="445"/>
      <c r="F494" s="445"/>
      <c r="G494" s="442"/>
      <c r="H494" s="448"/>
      <c r="I494" s="447"/>
      <c r="J494" s="448">
        <f t="shared" si="5"/>
        <v>12</v>
      </c>
      <c r="K494" s="448"/>
    </row>
    <row r="495" ht="22.5" customHeight="1">
      <c r="A495" s="443"/>
      <c r="B495" s="456"/>
      <c r="C495" s="471"/>
      <c r="D495" s="471"/>
      <c r="E495" s="445"/>
      <c r="F495" s="445"/>
      <c r="G495" s="442"/>
      <c r="H495" s="448"/>
      <c r="I495" s="447"/>
      <c r="J495" s="448">
        <f t="shared" si="5"/>
        <v>12</v>
      </c>
      <c r="K495" s="448"/>
    </row>
    <row r="496" ht="22.5" customHeight="1">
      <c r="A496" s="443"/>
      <c r="B496" s="456"/>
      <c r="C496" s="471"/>
      <c r="D496" s="471"/>
      <c r="E496" s="445"/>
      <c r="F496" s="445"/>
      <c r="G496" s="442"/>
      <c r="H496" s="448"/>
      <c r="I496" s="447"/>
      <c r="J496" s="448">
        <f t="shared" si="5"/>
        <v>12</v>
      </c>
      <c r="K496" s="448"/>
    </row>
    <row r="497" ht="22.5" customHeight="1">
      <c r="A497" s="443"/>
      <c r="B497" s="456"/>
      <c r="C497" s="471"/>
      <c r="D497" s="471"/>
      <c r="E497" s="445"/>
      <c r="F497" s="445"/>
      <c r="G497" s="442"/>
      <c r="H497" s="448"/>
      <c r="I497" s="447"/>
      <c r="J497" s="448">
        <f t="shared" si="5"/>
        <v>12</v>
      </c>
      <c r="K497" s="448"/>
    </row>
    <row r="498" ht="22.5" customHeight="1">
      <c r="A498" s="443"/>
      <c r="B498" s="456"/>
      <c r="C498" s="471"/>
      <c r="D498" s="471"/>
      <c r="E498" s="445"/>
      <c r="F498" s="445"/>
      <c r="G498" s="442"/>
      <c r="H498" s="448"/>
      <c r="I498" s="447"/>
      <c r="J498" s="448">
        <f t="shared" si="5"/>
        <v>12</v>
      </c>
      <c r="K498" s="448"/>
    </row>
    <row r="499" ht="22.5" customHeight="1">
      <c r="A499" s="443"/>
      <c r="B499" s="477"/>
      <c r="C499" s="489"/>
      <c r="D499" s="489"/>
      <c r="E499" s="481"/>
      <c r="F499" s="481"/>
      <c r="G499" s="482"/>
      <c r="H499" s="483"/>
      <c r="I499" s="484"/>
      <c r="J499" s="483">
        <f t="shared" si="5"/>
        <v>12</v>
      </c>
      <c r="K499" s="448"/>
    </row>
    <row r="500" ht="22.5" customHeight="1">
      <c r="A500" s="443"/>
      <c r="B500" s="456"/>
      <c r="C500" s="471"/>
      <c r="D500" s="471"/>
      <c r="E500" s="445"/>
      <c r="F500" s="445"/>
      <c r="G500" s="442"/>
      <c r="H500" s="448"/>
      <c r="I500" s="447"/>
      <c r="J500" s="448">
        <f t="shared" si="5"/>
        <v>12</v>
      </c>
      <c r="K500" s="448"/>
    </row>
    <row r="501" ht="22.5" customHeight="1">
      <c r="A501" s="443"/>
      <c r="B501" s="456"/>
      <c r="C501" s="471"/>
      <c r="D501" s="471"/>
      <c r="E501" s="445"/>
      <c r="F501" s="445"/>
      <c r="G501" s="442"/>
      <c r="H501" s="448"/>
      <c r="I501" s="447"/>
      <c r="J501" s="448">
        <f t="shared" si="5"/>
        <v>12</v>
      </c>
      <c r="K501" s="448"/>
    </row>
    <row r="502" ht="22.5" customHeight="1">
      <c r="A502" s="443"/>
      <c r="B502" s="456"/>
      <c r="C502" s="471"/>
      <c r="D502" s="471"/>
      <c r="E502" s="445"/>
      <c r="F502" s="445"/>
      <c r="G502" s="442"/>
      <c r="H502" s="448"/>
      <c r="I502" s="447"/>
      <c r="J502" s="448">
        <f t="shared" si="5"/>
        <v>12</v>
      </c>
      <c r="K502" s="448"/>
    </row>
    <row r="503" ht="22.5" customHeight="1">
      <c r="A503" s="443"/>
      <c r="B503" s="456"/>
      <c r="C503" s="471"/>
      <c r="D503" s="471"/>
      <c r="E503" s="445"/>
      <c r="F503" s="445"/>
      <c r="G503" s="442"/>
      <c r="H503" s="448"/>
      <c r="I503" s="447"/>
      <c r="J503" s="448">
        <f t="shared" si="5"/>
        <v>12</v>
      </c>
      <c r="K503" s="448"/>
    </row>
    <row r="504" ht="22.5" customHeight="1">
      <c r="A504" s="443"/>
      <c r="B504" s="456"/>
      <c r="C504" s="471"/>
      <c r="D504" s="471"/>
      <c r="E504" s="445"/>
      <c r="F504" s="445"/>
      <c r="G504" s="442"/>
      <c r="H504" s="448"/>
      <c r="I504" s="447"/>
      <c r="J504" s="448">
        <f t="shared" si="5"/>
        <v>12</v>
      </c>
      <c r="K504" s="448"/>
    </row>
    <row r="505" ht="22.5" customHeight="1">
      <c r="A505" s="443"/>
      <c r="B505" s="456"/>
      <c r="C505" s="471"/>
      <c r="D505" s="471"/>
      <c r="E505" s="445"/>
      <c r="F505" s="445"/>
      <c r="G505" s="442"/>
      <c r="H505" s="448"/>
      <c r="I505" s="447"/>
      <c r="J505" s="448">
        <f t="shared" si="5"/>
        <v>12</v>
      </c>
      <c r="K505" s="448"/>
    </row>
    <row r="506" ht="22.5" customHeight="1">
      <c r="A506" s="443"/>
      <c r="B506" s="456"/>
      <c r="C506" s="471"/>
      <c r="D506" s="471"/>
      <c r="E506" s="445"/>
      <c r="F506" s="445"/>
      <c r="G506" s="442"/>
      <c r="H506" s="448"/>
      <c r="I506" s="447"/>
      <c r="J506" s="448">
        <f t="shared" si="5"/>
        <v>12</v>
      </c>
      <c r="K506" s="448"/>
    </row>
    <row r="507" ht="22.5" customHeight="1">
      <c r="A507" s="443"/>
      <c r="B507" s="456"/>
      <c r="C507" s="471"/>
      <c r="D507" s="471"/>
      <c r="E507" s="445"/>
      <c r="F507" s="445"/>
      <c r="G507" s="442"/>
      <c r="H507" s="448"/>
      <c r="I507" s="447"/>
      <c r="J507" s="448">
        <f t="shared" si="5"/>
        <v>12</v>
      </c>
      <c r="K507" s="448"/>
    </row>
    <row r="508" ht="22.5" customHeight="1">
      <c r="A508" s="443"/>
      <c r="B508" s="456"/>
      <c r="C508" s="471"/>
      <c r="D508" s="471"/>
      <c r="E508" s="445"/>
      <c r="F508" s="445"/>
      <c r="G508" s="442"/>
      <c r="H508" s="448"/>
      <c r="I508" s="447"/>
      <c r="J508" s="448">
        <f t="shared" si="5"/>
        <v>12</v>
      </c>
      <c r="K508" s="448"/>
    </row>
    <row r="509" ht="22.5" customHeight="1">
      <c r="A509" s="443"/>
      <c r="B509" s="456"/>
      <c r="C509" s="471"/>
      <c r="D509" s="471"/>
      <c r="E509" s="445"/>
      <c r="F509" s="445"/>
      <c r="G509" s="442"/>
      <c r="H509" s="448"/>
      <c r="I509" s="447"/>
      <c r="J509" s="448">
        <f t="shared" si="5"/>
        <v>12</v>
      </c>
      <c r="K509" s="448"/>
    </row>
    <row r="510" ht="22.5" customHeight="1">
      <c r="A510" s="443"/>
      <c r="B510" s="456"/>
      <c r="C510" s="471"/>
      <c r="D510" s="471"/>
      <c r="E510" s="445"/>
      <c r="F510" s="445"/>
      <c r="G510" s="442"/>
      <c r="H510" s="448"/>
      <c r="I510" s="447"/>
      <c r="J510" s="448">
        <f t="shared" si="5"/>
        <v>12</v>
      </c>
      <c r="K510" s="448"/>
    </row>
    <row r="511" ht="22.5" customHeight="1">
      <c r="A511" s="443"/>
      <c r="B511" s="456"/>
      <c r="C511" s="471"/>
      <c r="D511" s="471"/>
      <c r="E511" s="445"/>
      <c r="F511" s="445"/>
      <c r="G511" s="442"/>
      <c r="H511" s="448"/>
      <c r="I511" s="447"/>
      <c r="J511" s="448">
        <f t="shared" si="5"/>
        <v>12</v>
      </c>
      <c r="K511" s="448"/>
    </row>
    <row r="512" ht="22.5" customHeight="1">
      <c r="A512" s="443"/>
      <c r="B512" s="456"/>
      <c r="C512" s="471"/>
      <c r="D512" s="471"/>
      <c r="E512" s="445"/>
      <c r="F512" s="445"/>
      <c r="G512" s="442"/>
      <c r="H512" s="448"/>
      <c r="I512" s="447"/>
      <c r="J512" s="448">
        <f t="shared" si="5"/>
        <v>12</v>
      </c>
      <c r="K512" s="448"/>
    </row>
    <row r="513" ht="22.5" customHeight="1">
      <c r="A513" s="443"/>
      <c r="B513" s="456"/>
      <c r="C513" s="471"/>
      <c r="D513" s="471"/>
      <c r="E513" s="445"/>
      <c r="F513" s="445"/>
      <c r="G513" s="442"/>
      <c r="H513" s="448"/>
      <c r="I513" s="447"/>
      <c r="J513" s="448">
        <f t="shared" si="5"/>
        <v>12</v>
      </c>
      <c r="K513" s="448"/>
    </row>
    <row r="514" ht="22.5" customHeight="1">
      <c r="A514" s="443"/>
      <c r="B514" s="456"/>
      <c r="C514" s="471"/>
      <c r="D514" s="471"/>
      <c r="E514" s="445"/>
      <c r="F514" s="445"/>
      <c r="G514" s="442"/>
      <c r="H514" s="448"/>
      <c r="I514" s="447"/>
      <c r="J514" s="448">
        <f t="shared" si="5"/>
        <v>12</v>
      </c>
      <c r="K514" s="448"/>
    </row>
    <row r="515" ht="22.5" customHeight="1">
      <c r="A515" s="443"/>
      <c r="B515" s="456"/>
      <c r="C515" s="471"/>
      <c r="D515" s="471"/>
      <c r="E515" s="445"/>
      <c r="F515" s="445"/>
      <c r="G515" s="442"/>
      <c r="H515" s="448"/>
      <c r="I515" s="447"/>
      <c r="J515" s="448">
        <f t="shared" si="5"/>
        <v>12</v>
      </c>
      <c r="K515" s="448"/>
    </row>
    <row r="516" ht="22.5" customHeight="1">
      <c r="A516" s="443"/>
      <c r="B516" s="456"/>
      <c r="C516" s="471"/>
      <c r="D516" s="471"/>
      <c r="E516" s="445"/>
      <c r="F516" s="445"/>
      <c r="G516" s="442"/>
      <c r="H516" s="448"/>
      <c r="I516" s="447"/>
      <c r="J516" s="448">
        <f t="shared" si="5"/>
        <v>12</v>
      </c>
      <c r="K516" s="448"/>
    </row>
    <row r="517" ht="22.5" customHeight="1">
      <c r="A517" s="443"/>
      <c r="B517" s="456"/>
      <c r="C517" s="471"/>
      <c r="D517" s="471"/>
      <c r="E517" s="445"/>
      <c r="F517" s="445"/>
      <c r="G517" s="442"/>
      <c r="H517" s="448"/>
      <c r="I517" s="447"/>
      <c r="J517" s="448">
        <f t="shared" si="5"/>
        <v>12</v>
      </c>
      <c r="K517" s="448"/>
    </row>
    <row r="518" ht="22.5" customHeight="1">
      <c r="A518" s="443"/>
      <c r="B518" s="456"/>
      <c r="C518" s="471"/>
      <c r="D518" s="471"/>
      <c r="E518" s="445"/>
      <c r="F518" s="445"/>
      <c r="G518" s="442"/>
      <c r="H518" s="448"/>
      <c r="I518" s="447"/>
      <c r="J518" s="448">
        <f t="shared" si="5"/>
        <v>12</v>
      </c>
      <c r="K518" s="448"/>
    </row>
    <row r="519" ht="22.5" customHeight="1">
      <c r="A519" s="443"/>
      <c r="B519" s="456"/>
      <c r="C519" s="471"/>
      <c r="D519" s="471"/>
      <c r="E519" s="445"/>
      <c r="F519" s="445"/>
      <c r="G519" s="442"/>
      <c r="H519" s="448"/>
      <c r="I519" s="447"/>
      <c r="J519" s="448">
        <f t="shared" si="5"/>
        <v>12</v>
      </c>
      <c r="K519" s="448"/>
    </row>
    <row r="520" ht="22.5" customHeight="1">
      <c r="A520" s="443"/>
      <c r="B520" s="456"/>
      <c r="C520" s="471"/>
      <c r="D520" s="471"/>
      <c r="E520" s="445"/>
      <c r="F520" s="445"/>
      <c r="G520" s="442"/>
      <c r="H520" s="448"/>
      <c r="I520" s="447"/>
      <c r="J520" s="448">
        <f t="shared" si="5"/>
        <v>12</v>
      </c>
      <c r="K520" s="448"/>
    </row>
    <row r="521" ht="22.5" customHeight="1">
      <c r="A521" s="443"/>
      <c r="B521" s="456"/>
      <c r="C521" s="471"/>
      <c r="D521" s="471"/>
      <c r="E521" s="445"/>
      <c r="F521" s="445"/>
      <c r="G521" s="442"/>
      <c r="H521" s="448"/>
      <c r="I521" s="447"/>
      <c r="J521" s="448">
        <f t="shared" si="5"/>
        <v>12</v>
      </c>
      <c r="K521" s="448"/>
    </row>
    <row r="522" ht="22.5" customHeight="1">
      <c r="A522" s="443"/>
      <c r="B522" s="456"/>
      <c r="C522" s="471"/>
      <c r="D522" s="471"/>
      <c r="E522" s="445"/>
      <c r="F522" s="445"/>
      <c r="G522" s="442"/>
      <c r="H522" s="448"/>
      <c r="I522" s="447"/>
      <c r="J522" s="448">
        <f t="shared" si="5"/>
        <v>12</v>
      </c>
      <c r="K522" s="448"/>
    </row>
    <row r="523" ht="22.5" customHeight="1">
      <c r="A523" s="443"/>
      <c r="B523" s="456"/>
      <c r="C523" s="471"/>
      <c r="D523" s="471"/>
      <c r="E523" s="445"/>
      <c r="F523" s="445"/>
      <c r="G523" s="442"/>
      <c r="H523" s="448"/>
      <c r="I523" s="447"/>
      <c r="J523" s="448">
        <f t="shared" si="5"/>
        <v>12</v>
      </c>
      <c r="K523" s="448"/>
    </row>
    <row r="524" ht="22.5" customHeight="1">
      <c r="A524" s="443"/>
      <c r="B524" s="456"/>
      <c r="C524" s="471"/>
      <c r="D524" s="471"/>
      <c r="E524" s="445"/>
      <c r="F524" s="445"/>
      <c r="G524" s="442"/>
      <c r="H524" s="448"/>
      <c r="I524" s="447"/>
      <c r="J524" s="448">
        <f t="shared" si="5"/>
        <v>12</v>
      </c>
      <c r="K524" s="448"/>
    </row>
    <row r="525" ht="22.5" customHeight="1">
      <c r="A525" s="443"/>
      <c r="B525" s="456"/>
      <c r="C525" s="471"/>
      <c r="D525" s="471"/>
      <c r="E525" s="445"/>
      <c r="F525" s="445"/>
      <c r="G525" s="442"/>
      <c r="H525" s="448"/>
      <c r="I525" s="447"/>
      <c r="J525" s="448">
        <f t="shared" si="5"/>
        <v>12</v>
      </c>
      <c r="K525" s="448"/>
    </row>
    <row r="526" ht="22.5" customHeight="1">
      <c r="A526" s="443"/>
      <c r="B526" s="456"/>
      <c r="C526" s="471"/>
      <c r="D526" s="471"/>
      <c r="E526" s="445"/>
      <c r="F526" s="445"/>
      <c r="G526" s="442"/>
      <c r="H526" s="448"/>
      <c r="I526" s="447"/>
      <c r="J526" s="448">
        <f t="shared" si="5"/>
        <v>12</v>
      </c>
      <c r="K526" s="448"/>
    </row>
    <row r="527" ht="22.5" customHeight="1">
      <c r="A527" s="443"/>
      <c r="B527" s="456"/>
      <c r="C527" s="471"/>
      <c r="D527" s="471"/>
      <c r="E527" s="445"/>
      <c r="G527" s="442"/>
      <c r="H527" s="448"/>
      <c r="I527" s="447"/>
      <c r="J527" s="448">
        <f t="shared" si="5"/>
        <v>12</v>
      </c>
      <c r="K527" s="448"/>
    </row>
    <row r="528" ht="22.5" customHeight="1">
      <c r="A528" s="443"/>
      <c r="B528" s="456"/>
      <c r="C528" s="471"/>
      <c r="D528" s="471"/>
      <c r="E528" s="445"/>
      <c r="G528" s="442"/>
      <c r="H528" s="448"/>
      <c r="I528" s="447"/>
      <c r="J528" s="448">
        <f t="shared" si="5"/>
        <v>12</v>
      </c>
      <c r="K528" s="448"/>
    </row>
    <row r="529" ht="22.5" customHeight="1">
      <c r="A529" s="443"/>
      <c r="B529" s="456"/>
      <c r="C529" s="471"/>
      <c r="D529" s="471"/>
      <c r="E529" s="445"/>
      <c r="G529" s="442"/>
      <c r="H529" s="448"/>
      <c r="I529" s="447"/>
      <c r="J529" s="448">
        <f t="shared" si="5"/>
        <v>12</v>
      </c>
      <c r="K529" s="448"/>
    </row>
    <row r="530" ht="22.5" customHeight="1">
      <c r="A530" s="443"/>
      <c r="B530" s="456"/>
      <c r="C530" s="471"/>
      <c r="D530" s="471"/>
      <c r="E530" s="445"/>
      <c r="F530" s="445"/>
      <c r="G530" s="442"/>
      <c r="H530" s="448"/>
      <c r="I530" s="447"/>
      <c r="J530" s="448">
        <f t="shared" si="5"/>
        <v>12</v>
      </c>
      <c r="K530" s="448"/>
    </row>
    <row r="531" ht="22.5" customHeight="1">
      <c r="A531" s="443"/>
      <c r="B531" s="456"/>
      <c r="C531" s="471"/>
      <c r="D531" s="471"/>
      <c r="E531" s="445"/>
      <c r="G531" s="442"/>
      <c r="H531" s="448"/>
      <c r="I531" s="447"/>
      <c r="J531" s="448">
        <f t="shared" si="5"/>
        <v>12</v>
      </c>
      <c r="K531" s="448"/>
    </row>
    <row r="532" ht="22.5" customHeight="1">
      <c r="A532" s="443"/>
      <c r="B532" s="456"/>
      <c r="C532" s="471"/>
      <c r="D532" s="471"/>
      <c r="E532" s="445"/>
      <c r="F532" s="445"/>
      <c r="G532" s="442"/>
      <c r="H532" s="448"/>
      <c r="I532" s="447"/>
      <c r="J532" s="448">
        <f t="shared" si="5"/>
        <v>12</v>
      </c>
      <c r="K532" s="448"/>
    </row>
    <row r="533" ht="22.5" customHeight="1">
      <c r="A533" s="443"/>
      <c r="B533" s="456"/>
      <c r="C533" s="471"/>
      <c r="D533" s="471"/>
      <c r="E533" s="445"/>
      <c r="F533" s="442"/>
      <c r="G533" s="442"/>
      <c r="H533" s="448"/>
      <c r="I533" s="447"/>
      <c r="J533" s="448">
        <f t="shared" si="5"/>
        <v>12</v>
      </c>
      <c r="K533" s="448"/>
    </row>
    <row r="534" ht="22.5" customHeight="1">
      <c r="A534" s="443"/>
      <c r="B534" s="456"/>
      <c r="C534" s="471"/>
      <c r="D534" s="471"/>
      <c r="E534" s="445"/>
      <c r="F534" s="445"/>
      <c r="G534" s="442"/>
      <c r="H534" s="448"/>
      <c r="I534" s="447"/>
      <c r="J534" s="448">
        <f t="shared" si="5"/>
        <v>12</v>
      </c>
      <c r="K534" s="448"/>
    </row>
    <row r="535" ht="22.5" customHeight="1">
      <c r="A535" s="443"/>
      <c r="B535" s="456"/>
      <c r="C535" s="471"/>
      <c r="D535" s="471"/>
      <c r="E535" s="445"/>
      <c r="F535" s="445"/>
      <c r="G535" s="442"/>
      <c r="H535" s="448"/>
      <c r="I535" s="447"/>
      <c r="J535" s="448">
        <f t="shared" si="5"/>
        <v>12</v>
      </c>
      <c r="K535" s="448"/>
    </row>
    <row r="536" ht="22.5" customHeight="1">
      <c r="A536" s="443"/>
      <c r="B536" s="456"/>
      <c r="C536" s="471"/>
      <c r="D536" s="471"/>
      <c r="E536" s="445"/>
      <c r="F536" s="445"/>
      <c r="G536" s="442"/>
      <c r="H536" s="448"/>
      <c r="I536" s="447"/>
      <c r="J536" s="448">
        <f t="shared" si="5"/>
        <v>12</v>
      </c>
      <c r="K536" s="448"/>
    </row>
    <row r="537" ht="22.5" customHeight="1">
      <c r="A537" s="443"/>
      <c r="B537" s="456"/>
      <c r="C537" s="471"/>
      <c r="D537" s="471"/>
      <c r="E537" s="445"/>
      <c r="F537" s="445"/>
      <c r="G537" s="442"/>
      <c r="H537" s="448"/>
      <c r="I537" s="447"/>
      <c r="J537" s="448">
        <f t="shared" si="5"/>
        <v>12</v>
      </c>
      <c r="K537" s="448"/>
    </row>
    <row r="538" ht="22.5" customHeight="1">
      <c r="A538" s="443"/>
      <c r="B538" s="456"/>
      <c r="C538" s="471"/>
      <c r="D538" s="471"/>
      <c r="E538" s="445"/>
      <c r="F538" s="445"/>
      <c r="G538" s="442"/>
      <c r="H538" s="448"/>
      <c r="I538" s="447"/>
      <c r="J538" s="448">
        <f t="shared" si="5"/>
        <v>12</v>
      </c>
      <c r="K538" s="448"/>
    </row>
    <row r="539" ht="22.5" customHeight="1">
      <c r="A539" s="443"/>
      <c r="B539" s="456"/>
      <c r="C539" s="471"/>
      <c r="D539" s="471"/>
      <c r="E539" s="445"/>
      <c r="F539" s="445"/>
      <c r="G539" s="442"/>
      <c r="H539" s="448"/>
      <c r="I539" s="447"/>
      <c r="J539" s="448">
        <f t="shared" si="5"/>
        <v>12</v>
      </c>
      <c r="K539" s="448"/>
    </row>
    <row r="540" ht="22.5" customHeight="1">
      <c r="A540" s="443"/>
      <c r="B540" s="456"/>
      <c r="C540" s="471"/>
      <c r="D540" s="471"/>
      <c r="E540" s="445"/>
      <c r="F540" s="445"/>
      <c r="G540" s="442"/>
      <c r="H540" s="448"/>
      <c r="I540" s="447"/>
      <c r="J540" s="448">
        <f t="shared" si="5"/>
        <v>12</v>
      </c>
      <c r="K540" s="448"/>
    </row>
    <row r="541" ht="22.5" customHeight="1">
      <c r="A541" s="443"/>
      <c r="B541" s="456"/>
      <c r="C541" s="471"/>
      <c r="D541" s="471"/>
      <c r="E541" s="445"/>
      <c r="F541" s="445"/>
      <c r="G541" s="442"/>
      <c r="H541" s="448"/>
      <c r="I541" s="447"/>
      <c r="J541" s="448">
        <f t="shared" si="5"/>
        <v>12</v>
      </c>
      <c r="K541" s="448"/>
    </row>
    <row r="542" ht="22.5" customHeight="1">
      <c r="A542" s="443"/>
      <c r="B542" s="456"/>
      <c r="C542" s="471"/>
      <c r="D542" s="471"/>
      <c r="E542" s="445"/>
      <c r="F542" s="445"/>
      <c r="G542" s="442"/>
      <c r="H542" s="448"/>
      <c r="I542" s="447"/>
      <c r="J542" s="448">
        <f t="shared" si="5"/>
        <v>12</v>
      </c>
      <c r="K542" s="448"/>
    </row>
    <row r="543" ht="22.5" customHeight="1">
      <c r="A543" s="443"/>
      <c r="B543" s="456"/>
      <c r="C543" s="471"/>
      <c r="D543" s="471"/>
      <c r="E543" s="445"/>
      <c r="F543" s="445"/>
      <c r="G543" s="442"/>
      <c r="H543" s="448"/>
      <c r="I543" s="447"/>
      <c r="J543" s="448">
        <f t="shared" si="5"/>
        <v>12</v>
      </c>
      <c r="K543" s="448"/>
    </row>
    <row r="544" ht="22.5" customHeight="1">
      <c r="A544" s="443"/>
      <c r="B544" s="456"/>
      <c r="C544" s="471"/>
      <c r="D544" s="471"/>
      <c r="E544" s="445"/>
      <c r="F544" s="445"/>
      <c r="G544" s="442"/>
      <c r="H544" s="448"/>
      <c r="I544" s="447"/>
      <c r="J544" s="448">
        <f t="shared" si="5"/>
        <v>12</v>
      </c>
      <c r="K544" s="448"/>
    </row>
    <row r="545" ht="22.5" customHeight="1">
      <c r="A545" s="443"/>
      <c r="B545" s="456"/>
      <c r="C545" s="471"/>
      <c r="D545" s="471"/>
      <c r="E545" s="445"/>
      <c r="F545" s="442"/>
      <c r="G545" s="442"/>
      <c r="H545" s="448" t="s">
        <v>2675</v>
      </c>
      <c r="I545" s="447"/>
      <c r="J545" s="448">
        <f t="shared" si="5"/>
        <v>12</v>
      </c>
      <c r="K545" s="448"/>
    </row>
    <row r="546" ht="22.5" customHeight="1">
      <c r="A546" s="443"/>
      <c r="B546" s="456"/>
      <c r="C546" s="471"/>
      <c r="D546" s="471"/>
      <c r="E546" s="445"/>
      <c r="F546" s="445"/>
      <c r="G546" s="442"/>
      <c r="H546" s="448"/>
      <c r="I546" s="447"/>
      <c r="J546" s="448">
        <f t="shared" si="5"/>
        <v>12</v>
      </c>
      <c r="K546" s="448"/>
    </row>
    <row r="547" ht="22.5" customHeight="1">
      <c r="A547" s="443"/>
      <c r="B547" s="456"/>
      <c r="C547" s="471"/>
      <c r="D547" s="471"/>
      <c r="E547" s="445"/>
      <c r="F547" s="445"/>
      <c r="G547" s="442"/>
      <c r="H547" s="448"/>
      <c r="I547" s="447"/>
      <c r="J547" s="448">
        <f t="shared" si="5"/>
        <v>12</v>
      </c>
      <c r="K547" s="448"/>
    </row>
    <row r="548" ht="22.5" customHeight="1">
      <c r="A548" s="443"/>
      <c r="B548" s="456"/>
      <c r="C548" s="471"/>
      <c r="D548" s="471"/>
      <c r="E548" s="445"/>
      <c r="F548" s="445"/>
      <c r="G548" s="442"/>
      <c r="H548" s="448" t="s">
        <v>2675</v>
      </c>
      <c r="I548" s="447"/>
      <c r="J548" s="448">
        <f t="shared" si="5"/>
        <v>12</v>
      </c>
      <c r="K548" s="448"/>
    </row>
    <row r="549" ht="22.5" customHeight="1">
      <c r="A549" s="443"/>
      <c r="B549" s="456"/>
      <c r="C549" s="471"/>
      <c r="D549" s="471"/>
      <c r="E549" s="445"/>
      <c r="F549" s="445"/>
      <c r="G549" s="442"/>
      <c r="H549" s="448"/>
      <c r="I549" s="447"/>
      <c r="J549" s="448">
        <f t="shared" si="5"/>
        <v>12</v>
      </c>
      <c r="K549" s="448"/>
    </row>
    <row r="550" ht="22.5" customHeight="1">
      <c r="A550" s="443"/>
      <c r="B550" s="456"/>
      <c r="C550" s="471"/>
      <c r="D550" s="471"/>
      <c r="E550" s="445"/>
      <c r="F550" s="445"/>
      <c r="G550" s="442"/>
      <c r="H550" s="448" t="s">
        <v>2675</v>
      </c>
      <c r="I550" s="447"/>
      <c r="J550" s="448">
        <f t="shared" si="5"/>
        <v>12</v>
      </c>
      <c r="K550" s="448"/>
    </row>
    <row r="551" ht="22.5" customHeight="1">
      <c r="A551" s="443"/>
      <c r="B551" s="456"/>
      <c r="C551" s="471"/>
      <c r="D551" s="471"/>
      <c r="E551" s="445"/>
      <c r="F551" s="445"/>
      <c r="G551" s="442"/>
      <c r="H551" s="448" t="s">
        <v>2675</v>
      </c>
      <c r="I551" s="447"/>
      <c r="J551" s="448">
        <f t="shared" si="5"/>
        <v>12</v>
      </c>
      <c r="K551" s="448"/>
    </row>
    <row r="552" ht="22.5" customHeight="1">
      <c r="A552" s="443"/>
      <c r="B552" s="456"/>
      <c r="C552" s="471"/>
      <c r="D552" s="471"/>
      <c r="E552" s="445"/>
      <c r="F552" s="445"/>
      <c r="G552" s="442"/>
      <c r="H552" s="448"/>
      <c r="I552" s="447"/>
      <c r="J552" s="448">
        <f t="shared" si="5"/>
        <v>12</v>
      </c>
      <c r="K552" s="448"/>
    </row>
    <row r="553" ht="22.5" customHeight="1">
      <c r="A553" s="443"/>
      <c r="B553" s="456"/>
      <c r="C553" s="471"/>
      <c r="D553" s="471"/>
      <c r="E553" s="445"/>
      <c r="F553" s="445"/>
      <c r="G553" s="442"/>
      <c r="H553" s="448"/>
      <c r="I553" s="447"/>
      <c r="J553" s="448">
        <f t="shared" si="5"/>
        <v>12</v>
      </c>
      <c r="K553" s="448"/>
    </row>
    <row r="554" ht="22.5" customHeight="1">
      <c r="A554" s="443"/>
      <c r="B554" s="456"/>
      <c r="C554" s="471"/>
      <c r="D554" s="471"/>
      <c r="E554" s="445"/>
      <c r="F554" s="445"/>
      <c r="G554" s="442"/>
      <c r="H554" s="448"/>
      <c r="I554" s="447"/>
      <c r="J554" s="448">
        <f t="shared" si="5"/>
        <v>12</v>
      </c>
      <c r="K554" s="448"/>
    </row>
    <row r="555" ht="22.5" customHeight="1">
      <c r="A555" s="443"/>
      <c r="B555" s="456"/>
      <c r="C555" s="471"/>
      <c r="D555" s="471"/>
      <c r="E555" s="445"/>
      <c r="F555" s="445"/>
      <c r="G555" s="442"/>
      <c r="H555" s="448"/>
      <c r="I555" s="447"/>
      <c r="J555" s="448">
        <f t="shared" si="5"/>
        <v>12</v>
      </c>
      <c r="K555" s="448"/>
    </row>
    <row r="556" ht="22.5" customHeight="1">
      <c r="A556" s="443"/>
      <c r="B556" s="456"/>
      <c r="C556" s="471"/>
      <c r="D556" s="471"/>
      <c r="E556" s="445"/>
      <c r="F556" s="445"/>
      <c r="G556" s="442"/>
      <c r="H556" s="448"/>
      <c r="I556" s="447"/>
      <c r="J556" s="448">
        <f t="shared" si="5"/>
        <v>12</v>
      </c>
      <c r="K556" s="448"/>
    </row>
    <row r="557" ht="22.5" customHeight="1">
      <c r="A557" s="443"/>
      <c r="B557" s="456"/>
      <c r="C557" s="471"/>
      <c r="D557" s="471"/>
      <c r="E557" s="445"/>
      <c r="F557" s="445"/>
      <c r="G557" s="442"/>
      <c r="H557" s="448"/>
      <c r="I557" s="447"/>
      <c r="J557" s="448">
        <f t="shared" si="5"/>
        <v>12</v>
      </c>
      <c r="K557" s="448"/>
    </row>
    <row r="558" ht="22.5" customHeight="1">
      <c r="A558" s="443"/>
      <c r="B558" s="456"/>
      <c r="C558" s="471"/>
      <c r="D558" s="471"/>
      <c r="E558" s="445"/>
      <c r="F558" s="445"/>
      <c r="G558" s="442"/>
      <c r="H558" s="448"/>
      <c r="I558" s="447"/>
      <c r="J558" s="448">
        <f t="shared" si="5"/>
        <v>12</v>
      </c>
      <c r="K558" s="448"/>
    </row>
    <row r="559" ht="22.5" customHeight="1">
      <c r="A559" s="443"/>
      <c r="B559" s="456"/>
      <c r="C559" s="471"/>
      <c r="D559" s="471"/>
      <c r="E559" s="445"/>
      <c r="F559" s="445"/>
      <c r="G559" s="442"/>
      <c r="H559" s="448"/>
      <c r="I559" s="447"/>
      <c r="J559" s="448">
        <f t="shared" si="5"/>
        <v>12</v>
      </c>
      <c r="K559" s="448"/>
    </row>
    <row r="560" ht="22.5" customHeight="1">
      <c r="A560" s="443"/>
      <c r="B560" s="456"/>
      <c r="C560" s="471"/>
      <c r="D560" s="471"/>
      <c r="E560" s="445"/>
      <c r="F560" s="445"/>
      <c r="G560" s="442"/>
      <c r="H560" s="448"/>
      <c r="I560" s="447"/>
      <c r="J560" s="448">
        <f t="shared" si="5"/>
        <v>12</v>
      </c>
      <c r="K560" s="448"/>
    </row>
    <row r="561" ht="22.5" customHeight="1">
      <c r="A561" s="443"/>
      <c r="B561" s="456"/>
      <c r="C561" s="471"/>
      <c r="D561" s="471"/>
      <c r="E561" s="445"/>
      <c r="F561" s="445"/>
      <c r="G561" s="442"/>
      <c r="H561" s="448"/>
      <c r="I561" s="447"/>
      <c r="J561" s="448">
        <f t="shared" si="5"/>
        <v>12</v>
      </c>
      <c r="K561" s="448"/>
    </row>
    <row r="562" ht="22.5" customHeight="1">
      <c r="A562" s="443"/>
      <c r="B562" s="456"/>
      <c r="C562" s="471"/>
      <c r="D562" s="471"/>
      <c r="E562" s="445"/>
      <c r="F562" s="445"/>
      <c r="G562" s="442"/>
      <c r="H562" s="448"/>
      <c r="I562" s="447"/>
      <c r="J562" s="448">
        <f t="shared" si="5"/>
        <v>12</v>
      </c>
      <c r="K562" s="448"/>
    </row>
    <row r="563" ht="22.5" customHeight="1">
      <c r="A563" s="443"/>
      <c r="B563" s="456"/>
      <c r="C563" s="471"/>
      <c r="D563" s="471"/>
      <c r="E563" s="445"/>
      <c r="F563" s="445"/>
      <c r="G563" s="442"/>
      <c r="H563" s="448"/>
      <c r="I563" s="447"/>
      <c r="J563" s="448">
        <f t="shared" si="5"/>
        <v>12</v>
      </c>
      <c r="K563" s="448"/>
    </row>
    <row r="564" ht="22.5" customHeight="1">
      <c r="A564" s="443"/>
      <c r="B564" s="456"/>
      <c r="C564" s="471"/>
      <c r="D564" s="471"/>
      <c r="E564" s="445"/>
      <c r="F564" s="445"/>
      <c r="G564" s="442"/>
      <c r="H564" s="448"/>
      <c r="I564" s="447"/>
      <c r="J564" s="448">
        <f t="shared" si="5"/>
        <v>12</v>
      </c>
      <c r="K564" s="448"/>
    </row>
    <row r="565" ht="22.5" customHeight="1">
      <c r="A565" s="443"/>
      <c r="B565" s="456"/>
      <c r="C565" s="471"/>
      <c r="D565" s="471"/>
      <c r="E565" s="445"/>
      <c r="F565" s="445"/>
      <c r="G565" s="442"/>
      <c r="H565" s="448"/>
      <c r="I565" s="447"/>
      <c r="J565" s="448">
        <f t="shared" si="5"/>
        <v>12</v>
      </c>
      <c r="K565" s="448"/>
    </row>
    <row r="566" ht="22.5" customHeight="1">
      <c r="A566" s="443"/>
      <c r="B566" s="456"/>
      <c r="C566" s="471"/>
      <c r="D566" s="471"/>
      <c r="E566" s="445"/>
      <c r="F566" s="445"/>
      <c r="G566" s="442"/>
      <c r="H566" s="448"/>
      <c r="I566" s="447"/>
      <c r="J566" s="448">
        <f t="shared" si="5"/>
        <v>12</v>
      </c>
      <c r="K566" s="448"/>
    </row>
    <row r="567" ht="22.5" customHeight="1">
      <c r="A567" s="443"/>
      <c r="B567" s="456"/>
      <c r="C567" s="471"/>
      <c r="D567" s="471"/>
      <c r="E567" s="445"/>
      <c r="F567" s="445"/>
      <c r="G567" s="442"/>
      <c r="H567" s="448" t="s">
        <v>2675</v>
      </c>
      <c r="I567" s="447"/>
      <c r="J567" s="448">
        <f t="shared" si="5"/>
        <v>12</v>
      </c>
      <c r="K567" s="448"/>
    </row>
    <row r="568" ht="22.5" customHeight="1">
      <c r="A568" s="443"/>
      <c r="B568" s="456"/>
      <c r="C568" s="471"/>
      <c r="D568" s="471"/>
      <c r="E568" s="445"/>
      <c r="F568" s="442"/>
      <c r="G568" s="442"/>
      <c r="H568" s="448" t="s">
        <v>2675</v>
      </c>
      <c r="I568" s="447"/>
      <c r="J568" s="448">
        <f t="shared" si="5"/>
        <v>12</v>
      </c>
      <c r="K568" s="448"/>
    </row>
    <row r="569" ht="22.5" customHeight="1">
      <c r="A569" s="443"/>
      <c r="B569" s="456"/>
      <c r="C569" s="471"/>
      <c r="D569" s="471"/>
      <c r="E569" s="445"/>
      <c r="F569" s="445"/>
      <c r="G569" s="445"/>
      <c r="H569" s="448"/>
      <c r="I569" s="447"/>
      <c r="J569" s="448">
        <f t="shared" si="5"/>
        <v>12</v>
      </c>
      <c r="K569" s="448"/>
    </row>
    <row r="570" ht="22.5" customHeight="1">
      <c r="A570" s="443"/>
      <c r="B570" s="456"/>
      <c r="C570" s="471"/>
      <c r="D570" s="471"/>
      <c r="E570" s="445"/>
      <c r="F570" s="445"/>
      <c r="G570" s="442"/>
      <c r="H570" s="448"/>
      <c r="I570" s="447"/>
      <c r="J570" s="448">
        <f t="shared" si="5"/>
        <v>12</v>
      </c>
      <c r="K570" s="448"/>
    </row>
    <row r="571" ht="22.5" customHeight="1">
      <c r="A571" s="443"/>
      <c r="B571" s="456"/>
      <c r="C571" s="471"/>
      <c r="D571" s="471"/>
      <c r="E571" s="445"/>
      <c r="F571" s="445"/>
      <c r="G571" s="442"/>
      <c r="H571" s="448"/>
      <c r="I571" s="447"/>
      <c r="J571" s="448">
        <f t="shared" si="5"/>
        <v>12</v>
      </c>
      <c r="K571" s="448"/>
    </row>
    <row r="572" ht="22.5" customHeight="1">
      <c r="A572" s="443"/>
      <c r="B572" s="456"/>
      <c r="C572" s="471"/>
      <c r="D572" s="471"/>
      <c r="E572" s="445"/>
      <c r="F572" s="445"/>
      <c r="G572" s="442"/>
      <c r="H572" s="448"/>
      <c r="I572" s="447"/>
      <c r="J572" s="448">
        <f t="shared" si="5"/>
        <v>12</v>
      </c>
      <c r="K572" s="448"/>
    </row>
    <row r="573" ht="22.5" customHeight="1">
      <c r="A573" s="443"/>
      <c r="B573" s="456"/>
      <c r="C573" s="471"/>
      <c r="D573" s="471"/>
      <c r="E573" s="445"/>
      <c r="F573" s="445"/>
      <c r="G573" s="442"/>
      <c r="H573" s="448"/>
      <c r="I573" s="447"/>
      <c r="J573" s="448">
        <f t="shared" si="5"/>
        <v>12</v>
      </c>
      <c r="K573" s="448"/>
    </row>
    <row r="574" ht="22.5" customHeight="1">
      <c r="A574" s="443"/>
      <c r="B574" s="456"/>
      <c r="C574" s="471"/>
      <c r="D574" s="471"/>
      <c r="E574" s="445"/>
      <c r="F574" s="445"/>
      <c r="G574" s="442"/>
      <c r="H574" s="448"/>
      <c r="I574" s="447"/>
      <c r="J574" s="448">
        <f t="shared" si="5"/>
        <v>12</v>
      </c>
      <c r="K574" s="448"/>
    </row>
    <row r="575" ht="22.5" customHeight="1">
      <c r="A575" s="443"/>
      <c r="B575" s="456"/>
      <c r="C575" s="471"/>
      <c r="D575" s="471"/>
      <c r="E575" s="445"/>
      <c r="F575" s="445"/>
      <c r="G575" s="442"/>
      <c r="H575" s="448" t="s">
        <v>2675</v>
      </c>
      <c r="I575" s="447"/>
      <c r="J575" s="448">
        <f t="shared" si="5"/>
        <v>12</v>
      </c>
      <c r="K575" s="448"/>
    </row>
    <row r="576" ht="22.5" customHeight="1">
      <c r="A576" s="443"/>
      <c r="B576" s="456"/>
      <c r="C576" s="471"/>
      <c r="D576" s="471"/>
      <c r="E576" s="445"/>
      <c r="F576" s="445"/>
      <c r="G576" s="442"/>
      <c r="H576" s="448">
        <v>0.0</v>
      </c>
      <c r="I576" s="447"/>
      <c r="J576" s="448">
        <f t="shared" si="5"/>
        <v>12</v>
      </c>
      <c r="K576" s="448"/>
    </row>
    <row r="577" ht="22.5" customHeight="1">
      <c r="A577" s="443"/>
      <c r="B577" s="456"/>
      <c r="C577" s="471"/>
      <c r="D577" s="471"/>
      <c r="E577" s="445"/>
      <c r="F577" s="445"/>
      <c r="G577" s="442"/>
      <c r="H577" s="448"/>
      <c r="I577" s="447"/>
      <c r="J577" s="448">
        <f t="shared" si="5"/>
        <v>12</v>
      </c>
      <c r="K577" s="448"/>
    </row>
    <row r="578" ht="22.5" customHeight="1">
      <c r="A578" s="443"/>
      <c r="B578" s="456"/>
      <c r="C578" s="471"/>
      <c r="D578" s="471"/>
      <c r="E578" s="445"/>
      <c r="F578" s="445"/>
      <c r="G578" s="442"/>
      <c r="H578" s="448"/>
      <c r="I578" s="447"/>
      <c r="J578" s="448">
        <f t="shared" si="5"/>
        <v>12</v>
      </c>
      <c r="K578" s="448"/>
    </row>
    <row r="579" ht="22.5" customHeight="1">
      <c r="A579" s="443"/>
      <c r="B579" s="456"/>
      <c r="C579" s="471"/>
      <c r="D579" s="471"/>
      <c r="E579" s="445"/>
      <c r="F579" s="445"/>
      <c r="G579" s="442"/>
      <c r="H579" s="448"/>
      <c r="I579" s="447"/>
      <c r="J579" s="448">
        <f t="shared" si="5"/>
        <v>12</v>
      </c>
      <c r="K579" s="448"/>
    </row>
    <row r="580" ht="22.5" customHeight="1">
      <c r="A580" s="443"/>
      <c r="B580" s="456"/>
      <c r="C580" s="471"/>
      <c r="D580" s="471"/>
      <c r="E580" s="445"/>
      <c r="F580" s="445"/>
      <c r="G580" s="442"/>
      <c r="H580" s="448"/>
      <c r="I580" s="447"/>
      <c r="J580" s="448">
        <f t="shared" si="5"/>
        <v>12</v>
      </c>
      <c r="K580" s="448"/>
    </row>
    <row r="581" ht="22.5" customHeight="1">
      <c r="A581" s="443"/>
      <c r="B581" s="456"/>
      <c r="C581" s="471"/>
      <c r="D581" s="471"/>
      <c r="E581" s="445"/>
      <c r="F581" s="445"/>
      <c r="G581" s="442"/>
      <c r="H581" s="448"/>
      <c r="I581" s="447"/>
      <c r="J581" s="448">
        <f t="shared" si="5"/>
        <v>12</v>
      </c>
      <c r="K581" s="448"/>
    </row>
    <row r="582" ht="22.5" customHeight="1">
      <c r="A582" s="443"/>
      <c r="B582" s="456"/>
      <c r="C582" s="471"/>
      <c r="D582" s="471"/>
      <c r="E582" s="445"/>
      <c r="F582" s="442"/>
      <c r="G582" s="442"/>
      <c r="H582" s="448"/>
      <c r="I582" s="447"/>
      <c r="J582" s="448">
        <f t="shared" si="5"/>
        <v>12</v>
      </c>
      <c r="K582" s="448"/>
    </row>
    <row r="583" ht="22.5" customHeight="1">
      <c r="A583" s="443"/>
      <c r="B583" s="456"/>
      <c r="C583" s="471"/>
      <c r="D583" s="471"/>
      <c r="E583" s="445"/>
      <c r="F583" s="442"/>
      <c r="G583" s="442"/>
      <c r="H583" s="448"/>
      <c r="I583" s="447"/>
      <c r="J583" s="448">
        <f t="shared" si="5"/>
        <v>12</v>
      </c>
      <c r="K583" s="448"/>
    </row>
    <row r="584" ht="22.5" customHeight="1">
      <c r="A584" s="443"/>
      <c r="B584" s="456"/>
      <c r="C584" s="471"/>
      <c r="D584" s="471"/>
      <c r="E584" s="445"/>
      <c r="F584" s="442"/>
      <c r="G584" s="442"/>
      <c r="H584" s="448"/>
      <c r="I584" s="447"/>
      <c r="J584" s="448">
        <f t="shared" si="5"/>
        <v>12</v>
      </c>
      <c r="K584" s="448"/>
    </row>
    <row r="585" ht="22.5" customHeight="1">
      <c r="A585" s="443"/>
      <c r="B585" s="456"/>
      <c r="C585" s="471"/>
      <c r="D585" s="471"/>
      <c r="E585" s="445"/>
      <c r="F585" s="442"/>
      <c r="G585" s="442"/>
      <c r="H585" s="448"/>
      <c r="I585" s="447"/>
      <c r="J585" s="448">
        <f t="shared" si="5"/>
        <v>12</v>
      </c>
      <c r="K585" s="448"/>
    </row>
    <row r="586" ht="22.5" customHeight="1">
      <c r="A586" s="443"/>
      <c r="B586" s="456"/>
      <c r="C586" s="471"/>
      <c r="D586" s="471"/>
      <c r="E586" s="445"/>
      <c r="F586" s="442"/>
      <c r="G586" s="442"/>
      <c r="H586" s="448"/>
      <c r="I586" s="447"/>
      <c r="J586" s="448">
        <f t="shared" si="5"/>
        <v>12</v>
      </c>
      <c r="K586" s="448"/>
    </row>
    <row r="587" ht="22.5" customHeight="1">
      <c r="A587" s="443"/>
      <c r="B587" s="456"/>
      <c r="C587" s="471"/>
      <c r="D587" s="471"/>
      <c r="E587" s="445"/>
      <c r="F587" s="442"/>
      <c r="G587" s="442"/>
      <c r="H587" s="448"/>
      <c r="I587" s="447"/>
      <c r="J587" s="448">
        <f t="shared" si="5"/>
        <v>12</v>
      </c>
      <c r="K587" s="448"/>
    </row>
    <row r="588" ht="22.5" customHeight="1">
      <c r="A588" s="443"/>
      <c r="B588" s="456"/>
      <c r="C588" s="471"/>
      <c r="D588" s="471"/>
      <c r="E588" s="445"/>
      <c r="F588" s="442"/>
      <c r="G588" s="442"/>
      <c r="H588" s="448"/>
      <c r="I588" s="447"/>
      <c r="J588" s="448">
        <f t="shared" si="5"/>
        <v>12</v>
      </c>
      <c r="K588" s="448"/>
    </row>
    <row r="589" ht="22.5" customHeight="1">
      <c r="A589" s="443"/>
      <c r="B589" s="456"/>
      <c r="C589" s="471"/>
      <c r="D589" s="471"/>
      <c r="E589" s="445"/>
      <c r="F589" s="442"/>
      <c r="G589" s="442"/>
      <c r="H589" s="448"/>
      <c r="I589" s="447"/>
      <c r="J589" s="448">
        <f t="shared" si="5"/>
        <v>12</v>
      </c>
      <c r="K589" s="448"/>
    </row>
    <row r="590" ht="22.5" customHeight="1">
      <c r="A590" s="443"/>
      <c r="B590" s="456"/>
      <c r="C590" s="471"/>
      <c r="D590" s="471"/>
      <c r="E590" s="445"/>
      <c r="F590" s="442"/>
      <c r="G590" s="442"/>
      <c r="H590" s="448"/>
      <c r="I590" s="447"/>
      <c r="J590" s="448">
        <f t="shared" si="5"/>
        <v>12</v>
      </c>
      <c r="K590" s="448"/>
    </row>
    <row r="591" ht="22.5" customHeight="1">
      <c r="A591" s="443"/>
      <c r="B591" s="456"/>
      <c r="C591" s="471"/>
      <c r="D591" s="471"/>
      <c r="E591" s="445"/>
      <c r="F591" s="442"/>
      <c r="G591" s="442"/>
      <c r="H591" s="448"/>
      <c r="I591" s="447"/>
      <c r="J591" s="448">
        <f t="shared" si="5"/>
        <v>12</v>
      </c>
      <c r="K591" s="448"/>
    </row>
    <row r="592" ht="22.5" customHeight="1">
      <c r="A592" s="443"/>
      <c r="B592" s="456"/>
      <c r="C592" s="471"/>
      <c r="D592" s="471"/>
      <c r="E592" s="445"/>
      <c r="F592" s="442"/>
      <c r="G592" s="442"/>
      <c r="H592" s="448"/>
      <c r="I592" s="447"/>
      <c r="J592" s="448">
        <f t="shared" si="5"/>
        <v>12</v>
      </c>
      <c r="K592" s="448"/>
    </row>
    <row r="593" ht="22.5" customHeight="1">
      <c r="A593" s="443"/>
      <c r="B593" s="456"/>
      <c r="C593" s="471"/>
      <c r="D593" s="471"/>
      <c r="E593" s="445"/>
      <c r="F593" s="442"/>
      <c r="G593" s="442"/>
      <c r="H593" s="448"/>
      <c r="I593" s="447"/>
      <c r="J593" s="448">
        <f t="shared" si="5"/>
        <v>12</v>
      </c>
      <c r="K593" s="448"/>
    </row>
    <row r="594" ht="22.5" customHeight="1">
      <c r="A594" s="443"/>
      <c r="B594" s="456"/>
      <c r="C594" s="471"/>
      <c r="D594" s="471"/>
      <c r="E594" s="445"/>
      <c r="F594" s="442"/>
      <c r="G594" s="442"/>
      <c r="H594" s="448"/>
      <c r="I594" s="447"/>
      <c r="J594" s="448">
        <f t="shared" si="5"/>
        <v>12</v>
      </c>
      <c r="K594" s="448"/>
    </row>
    <row r="595" ht="22.5" customHeight="1">
      <c r="A595" s="443"/>
      <c r="B595" s="456"/>
      <c r="C595" s="471"/>
      <c r="D595" s="471"/>
      <c r="E595" s="445"/>
      <c r="F595" s="442"/>
      <c r="G595" s="442"/>
      <c r="H595" s="448"/>
      <c r="I595" s="447"/>
      <c r="J595" s="448">
        <f t="shared" si="5"/>
        <v>12</v>
      </c>
      <c r="K595" s="448"/>
    </row>
    <row r="596" ht="22.5" customHeight="1">
      <c r="A596" s="443"/>
      <c r="B596" s="456"/>
      <c r="C596" s="471"/>
      <c r="D596" s="471"/>
      <c r="E596" s="445"/>
      <c r="F596" s="442"/>
      <c r="G596" s="442"/>
      <c r="H596" s="448"/>
      <c r="I596" s="447"/>
      <c r="J596" s="448">
        <f t="shared" si="5"/>
        <v>12</v>
      </c>
      <c r="K596" s="448"/>
    </row>
    <row r="597" ht="22.5" customHeight="1">
      <c r="A597" s="443"/>
      <c r="B597" s="456"/>
      <c r="C597" s="471"/>
      <c r="D597" s="471"/>
      <c r="E597" s="445"/>
      <c r="F597" s="442"/>
      <c r="G597" s="442"/>
      <c r="H597" s="448"/>
      <c r="I597" s="447"/>
      <c r="J597" s="448">
        <f t="shared" si="5"/>
        <v>12</v>
      </c>
      <c r="K597" s="448"/>
    </row>
    <row r="598" ht="22.5" customHeight="1">
      <c r="A598" s="443"/>
      <c r="B598" s="456"/>
      <c r="C598" s="471"/>
      <c r="D598" s="471"/>
      <c r="E598" s="445"/>
      <c r="F598" s="442"/>
      <c r="G598" s="442"/>
      <c r="H598" s="448"/>
      <c r="I598" s="447"/>
      <c r="J598" s="448">
        <f t="shared" si="5"/>
        <v>12</v>
      </c>
      <c r="K598" s="448"/>
    </row>
    <row r="599" ht="22.5" customHeight="1">
      <c r="A599" s="443"/>
      <c r="B599" s="456"/>
      <c r="C599" s="471"/>
      <c r="D599" s="471"/>
      <c r="E599" s="445"/>
      <c r="F599" s="442"/>
      <c r="G599" s="442"/>
      <c r="H599" s="448"/>
      <c r="I599" s="447"/>
      <c r="J599" s="448">
        <f t="shared" si="5"/>
        <v>12</v>
      </c>
      <c r="K599" s="448"/>
    </row>
    <row r="600" ht="22.5" customHeight="1">
      <c r="A600" s="443"/>
      <c r="B600" s="456"/>
      <c r="C600" s="471"/>
      <c r="D600" s="471"/>
      <c r="E600" s="445"/>
      <c r="F600" s="442"/>
      <c r="G600" s="442"/>
      <c r="H600" s="448"/>
      <c r="I600" s="447"/>
      <c r="J600" s="448">
        <f t="shared" si="5"/>
        <v>12</v>
      </c>
      <c r="K600" s="448"/>
    </row>
    <row r="601" ht="22.5" customHeight="1">
      <c r="A601" s="443"/>
      <c r="B601" s="456"/>
      <c r="C601" s="471"/>
      <c r="D601" s="471"/>
      <c r="E601" s="445"/>
      <c r="F601" s="442"/>
      <c r="G601" s="442"/>
      <c r="H601" s="448"/>
      <c r="I601" s="447"/>
      <c r="J601" s="448">
        <f t="shared" si="5"/>
        <v>12</v>
      </c>
      <c r="K601" s="448"/>
    </row>
    <row r="602" ht="22.5" customHeight="1">
      <c r="A602" s="443"/>
      <c r="B602" s="456"/>
      <c r="C602" s="471"/>
      <c r="D602" s="471"/>
      <c r="E602" s="445"/>
      <c r="F602" s="442"/>
      <c r="G602" s="442"/>
      <c r="H602" s="448"/>
      <c r="I602" s="447"/>
      <c r="J602" s="448">
        <f t="shared" si="5"/>
        <v>12</v>
      </c>
      <c r="K602" s="448"/>
    </row>
    <row r="603" ht="22.5" customHeight="1">
      <c r="A603" s="443"/>
      <c r="B603" s="456"/>
      <c r="C603" s="471"/>
      <c r="D603" s="471"/>
      <c r="E603" s="445"/>
      <c r="F603" s="442"/>
      <c r="G603" s="442"/>
      <c r="H603" s="448"/>
      <c r="I603" s="447"/>
      <c r="J603" s="448">
        <f t="shared" si="5"/>
        <v>12</v>
      </c>
      <c r="K603" s="448"/>
    </row>
    <row r="604" ht="22.5" customHeight="1">
      <c r="A604" s="443"/>
      <c r="B604" s="456"/>
      <c r="C604" s="471"/>
      <c r="D604" s="471"/>
      <c r="E604" s="445"/>
      <c r="F604" s="442"/>
      <c r="G604" s="442"/>
      <c r="H604" s="448"/>
      <c r="I604" s="447"/>
      <c r="J604" s="448">
        <f t="shared" si="5"/>
        <v>12</v>
      </c>
      <c r="K604" s="448"/>
    </row>
    <row r="605" ht="22.5" customHeight="1">
      <c r="A605" s="443"/>
      <c r="B605" s="456"/>
      <c r="C605" s="471"/>
      <c r="D605" s="471"/>
      <c r="E605" s="445"/>
      <c r="F605" s="442"/>
      <c r="G605" s="442"/>
      <c r="H605" s="448"/>
      <c r="I605" s="447"/>
      <c r="J605" s="448">
        <f t="shared" si="5"/>
        <v>12</v>
      </c>
      <c r="K605" s="448"/>
    </row>
    <row r="606" ht="22.5" customHeight="1">
      <c r="A606" s="443"/>
      <c r="B606" s="456"/>
      <c r="C606" s="471"/>
      <c r="D606" s="471"/>
      <c r="E606" s="445"/>
      <c r="F606" s="442"/>
      <c r="G606" s="442"/>
      <c r="H606" s="448"/>
      <c r="I606" s="447"/>
      <c r="J606" s="448">
        <f t="shared" si="5"/>
        <v>12</v>
      </c>
      <c r="K606" s="448"/>
    </row>
    <row r="607" ht="22.5" customHeight="1">
      <c r="A607" s="443"/>
      <c r="B607" s="456"/>
      <c r="C607" s="471"/>
      <c r="D607" s="471"/>
      <c r="E607" s="445"/>
      <c r="F607" s="442"/>
      <c r="G607" s="442"/>
      <c r="H607" s="448"/>
      <c r="I607" s="447"/>
      <c r="J607" s="448">
        <f t="shared" si="5"/>
        <v>12</v>
      </c>
      <c r="K607" s="448"/>
    </row>
    <row r="608" ht="22.5" customHeight="1">
      <c r="A608" s="443"/>
      <c r="B608" s="456"/>
      <c r="C608" s="471"/>
      <c r="D608" s="471"/>
      <c r="E608" s="445"/>
      <c r="F608" s="442"/>
      <c r="G608" s="442"/>
      <c r="H608" s="448"/>
      <c r="I608" s="447"/>
      <c r="J608" s="448">
        <f t="shared" si="5"/>
        <v>12</v>
      </c>
      <c r="K608" s="448"/>
    </row>
    <row r="609" ht="22.5" customHeight="1">
      <c r="A609" s="443"/>
      <c r="B609" s="456"/>
      <c r="C609" s="471"/>
      <c r="D609" s="471"/>
      <c r="E609" s="445"/>
      <c r="F609" s="442"/>
      <c r="G609" s="442"/>
      <c r="H609" s="448"/>
      <c r="I609" s="447"/>
      <c r="J609" s="448">
        <f t="shared" si="5"/>
        <v>12</v>
      </c>
      <c r="K609" s="448"/>
    </row>
    <row r="610" ht="22.5" customHeight="1">
      <c r="A610" s="443"/>
      <c r="B610" s="456"/>
      <c r="C610" s="471"/>
      <c r="D610" s="471"/>
      <c r="E610" s="445"/>
      <c r="F610" s="442"/>
      <c r="G610" s="442"/>
      <c r="H610" s="448"/>
      <c r="I610" s="447"/>
      <c r="J610" s="448">
        <f t="shared" si="5"/>
        <v>12</v>
      </c>
      <c r="K610" s="448"/>
    </row>
    <row r="611" ht="22.5" customHeight="1">
      <c r="A611" s="443"/>
      <c r="B611" s="456"/>
      <c r="C611" s="471"/>
      <c r="D611" s="471"/>
      <c r="E611" s="445"/>
      <c r="F611" s="442"/>
      <c r="G611" s="442"/>
      <c r="H611" s="448"/>
      <c r="I611" s="447"/>
      <c r="J611" s="448">
        <f t="shared" si="5"/>
        <v>12</v>
      </c>
      <c r="K611" s="448"/>
    </row>
    <row r="612" ht="22.5" customHeight="1">
      <c r="A612" s="443"/>
      <c r="B612" s="456"/>
      <c r="C612" s="471"/>
      <c r="D612" s="471"/>
      <c r="E612" s="445"/>
      <c r="F612" s="442"/>
      <c r="G612" s="442"/>
      <c r="H612" s="448"/>
      <c r="I612" s="447"/>
      <c r="J612" s="448">
        <f t="shared" si="5"/>
        <v>12</v>
      </c>
      <c r="K612" s="448"/>
    </row>
    <row r="613" ht="22.5" customHeight="1">
      <c r="A613" s="443"/>
      <c r="B613" s="456"/>
      <c r="C613" s="471"/>
      <c r="D613" s="471"/>
      <c r="E613" s="445"/>
      <c r="F613" s="442"/>
      <c r="G613" s="442"/>
      <c r="H613" s="448"/>
      <c r="I613" s="447"/>
      <c r="J613" s="448">
        <f t="shared" si="5"/>
        <v>12</v>
      </c>
      <c r="K613" s="448"/>
    </row>
    <row r="614" ht="22.5" customHeight="1">
      <c r="A614" s="443"/>
      <c r="B614" s="456"/>
      <c r="C614" s="471"/>
      <c r="D614" s="471"/>
      <c r="E614" s="445"/>
      <c r="F614" s="442"/>
      <c r="G614" s="442"/>
      <c r="H614" s="448"/>
      <c r="I614" s="447"/>
      <c r="J614" s="448">
        <f t="shared" si="5"/>
        <v>12</v>
      </c>
      <c r="K614" s="448"/>
    </row>
    <row r="615" ht="22.5" customHeight="1">
      <c r="A615" s="443"/>
      <c r="B615" s="456"/>
      <c r="C615" s="471"/>
      <c r="D615" s="471"/>
      <c r="E615" s="445"/>
      <c r="F615" s="442"/>
      <c r="G615" s="442"/>
      <c r="H615" s="448"/>
      <c r="I615" s="447"/>
      <c r="J615" s="448">
        <f t="shared" si="5"/>
        <v>12</v>
      </c>
      <c r="K615" s="448"/>
    </row>
    <row r="616" ht="22.5" customHeight="1">
      <c r="A616" s="443"/>
      <c r="B616" s="456"/>
      <c r="C616" s="471"/>
      <c r="D616" s="471"/>
      <c r="E616" s="445"/>
      <c r="F616" s="442"/>
      <c r="G616" s="442"/>
      <c r="H616" s="448"/>
      <c r="I616" s="447"/>
      <c r="J616" s="448">
        <f t="shared" si="5"/>
        <v>12</v>
      </c>
      <c r="K616" s="448"/>
    </row>
    <row r="617" ht="22.5" customHeight="1">
      <c r="A617" s="443"/>
      <c r="B617" s="456"/>
      <c r="C617" s="471"/>
      <c r="D617" s="471"/>
      <c r="E617" s="445"/>
      <c r="F617" s="442"/>
      <c r="G617" s="442"/>
      <c r="H617" s="448"/>
      <c r="I617" s="447"/>
      <c r="J617" s="448">
        <f t="shared" si="5"/>
        <v>12</v>
      </c>
      <c r="K617" s="448"/>
    </row>
    <row r="618" ht="22.5" customHeight="1">
      <c r="A618" s="443"/>
      <c r="B618" s="456"/>
      <c r="C618" s="471"/>
      <c r="D618" s="471"/>
      <c r="E618" s="445"/>
      <c r="F618" s="442"/>
      <c r="G618" s="442"/>
      <c r="H618" s="448"/>
      <c r="I618" s="447"/>
      <c r="J618" s="448">
        <f t="shared" si="5"/>
        <v>12</v>
      </c>
      <c r="K618" s="448"/>
    </row>
    <row r="619" ht="22.5" customHeight="1">
      <c r="A619" s="443"/>
      <c r="B619" s="456"/>
      <c r="C619" s="471"/>
      <c r="D619" s="471"/>
      <c r="E619" s="445"/>
      <c r="F619" s="442"/>
      <c r="G619" s="442"/>
      <c r="H619" s="448"/>
      <c r="I619" s="447"/>
      <c r="J619" s="448">
        <f t="shared" si="5"/>
        <v>12</v>
      </c>
      <c r="K619" s="448"/>
    </row>
    <row r="620" ht="22.5" customHeight="1">
      <c r="A620" s="443"/>
      <c r="B620" s="456"/>
      <c r="C620" s="471"/>
      <c r="D620" s="471"/>
      <c r="E620" s="445"/>
      <c r="F620" s="442"/>
      <c r="G620" s="442"/>
      <c r="H620" s="448"/>
      <c r="I620" s="447"/>
      <c r="J620" s="448">
        <f t="shared" si="5"/>
        <v>12</v>
      </c>
      <c r="K620" s="448"/>
    </row>
    <row r="621" ht="22.5" customHeight="1">
      <c r="A621" s="443"/>
      <c r="B621" s="456"/>
      <c r="C621" s="471"/>
      <c r="D621" s="471"/>
      <c r="E621" s="445"/>
      <c r="F621" s="442"/>
      <c r="G621" s="442"/>
      <c r="H621" s="448"/>
      <c r="I621" s="447"/>
      <c r="J621" s="448">
        <f t="shared" si="5"/>
        <v>12</v>
      </c>
      <c r="K621" s="448"/>
    </row>
    <row r="622" ht="22.5" customHeight="1">
      <c r="A622" s="443"/>
      <c r="B622" s="456"/>
      <c r="C622" s="471"/>
      <c r="D622" s="471"/>
      <c r="E622" s="445"/>
      <c r="F622" s="442"/>
      <c r="G622" s="442"/>
      <c r="H622" s="448"/>
      <c r="I622" s="447"/>
      <c r="J622" s="448">
        <f t="shared" si="5"/>
        <v>12</v>
      </c>
      <c r="K622" s="448"/>
    </row>
    <row r="623" ht="22.5" customHeight="1">
      <c r="A623" s="443"/>
      <c r="B623" s="456"/>
      <c r="C623" s="471"/>
      <c r="D623" s="471"/>
      <c r="E623" s="445"/>
      <c r="F623" s="442"/>
      <c r="G623" s="442"/>
      <c r="H623" s="448"/>
      <c r="I623" s="447"/>
      <c r="J623" s="448">
        <f t="shared" si="5"/>
        <v>12</v>
      </c>
      <c r="K623" s="448"/>
    </row>
    <row r="624" ht="22.5" customHeight="1">
      <c r="A624" s="443"/>
      <c r="B624" s="456"/>
      <c r="C624" s="471"/>
      <c r="D624" s="471"/>
      <c r="E624" s="445"/>
      <c r="F624" s="442"/>
      <c r="G624" s="442"/>
      <c r="H624" s="448"/>
      <c r="I624" s="447"/>
      <c r="J624" s="448">
        <f t="shared" si="5"/>
        <v>12</v>
      </c>
      <c r="K624" s="448"/>
    </row>
    <row r="625" ht="22.5" customHeight="1">
      <c r="A625" s="443"/>
      <c r="B625" s="456"/>
      <c r="C625" s="471"/>
      <c r="D625" s="471"/>
      <c r="E625" s="445"/>
      <c r="F625" s="442"/>
      <c r="G625" s="442"/>
      <c r="H625" s="448"/>
      <c r="I625" s="447"/>
      <c r="J625" s="448">
        <f t="shared" si="5"/>
        <v>12</v>
      </c>
      <c r="K625" s="448"/>
    </row>
    <row r="626" ht="22.5" customHeight="1">
      <c r="A626" s="443"/>
      <c r="B626" s="456"/>
      <c r="C626" s="471"/>
      <c r="D626" s="471"/>
      <c r="E626" s="445"/>
      <c r="F626" s="442"/>
      <c r="G626" s="442"/>
      <c r="H626" s="448"/>
      <c r="I626" s="447"/>
      <c r="J626" s="448">
        <f t="shared" si="5"/>
        <v>12</v>
      </c>
      <c r="K626" s="448"/>
    </row>
    <row r="627" ht="22.5" customHeight="1">
      <c r="A627" s="443"/>
      <c r="B627" s="456"/>
      <c r="C627" s="471"/>
      <c r="D627" s="471"/>
      <c r="E627" s="445"/>
      <c r="F627" s="442"/>
      <c r="G627" s="442"/>
      <c r="H627" s="448"/>
      <c r="I627" s="447"/>
      <c r="J627" s="448">
        <f t="shared" si="5"/>
        <v>12</v>
      </c>
      <c r="K627" s="448"/>
    </row>
    <row r="628" ht="22.5" customHeight="1">
      <c r="A628" s="443"/>
      <c r="B628" s="456"/>
      <c r="C628" s="471"/>
      <c r="D628" s="471"/>
      <c r="E628" s="445"/>
      <c r="F628" s="442"/>
      <c r="G628" s="442"/>
      <c r="H628" s="448"/>
      <c r="I628" s="447"/>
      <c r="J628" s="448">
        <f t="shared" si="5"/>
        <v>12</v>
      </c>
      <c r="K628" s="448"/>
    </row>
    <row r="629" ht="22.5" customHeight="1">
      <c r="A629" s="443"/>
      <c r="B629" s="456"/>
      <c r="C629" s="471"/>
      <c r="D629" s="471"/>
      <c r="E629" s="445"/>
      <c r="F629" s="442"/>
      <c r="G629" s="442"/>
      <c r="H629" s="448"/>
      <c r="I629" s="447"/>
      <c r="J629" s="448">
        <f t="shared" si="5"/>
        <v>12</v>
      </c>
      <c r="K629" s="448"/>
    </row>
    <row r="630" ht="22.5" customHeight="1">
      <c r="A630" s="443"/>
      <c r="B630" s="456"/>
      <c r="C630" s="471"/>
      <c r="D630" s="471"/>
      <c r="E630" s="445"/>
      <c r="F630" s="442"/>
      <c r="G630" s="442"/>
      <c r="H630" s="448"/>
      <c r="I630" s="447"/>
      <c r="J630" s="448">
        <f t="shared" si="5"/>
        <v>12</v>
      </c>
      <c r="K630" s="448"/>
    </row>
    <row r="631" ht="22.5" customHeight="1">
      <c r="A631" s="443"/>
      <c r="B631" s="456"/>
      <c r="C631" s="471"/>
      <c r="D631" s="471"/>
      <c r="E631" s="445"/>
      <c r="F631" s="442"/>
      <c r="G631" s="442"/>
      <c r="H631" s="448"/>
      <c r="I631" s="447"/>
      <c r="J631" s="448">
        <f t="shared" si="5"/>
        <v>12</v>
      </c>
      <c r="K631" s="448"/>
    </row>
    <row r="632" ht="22.5" customHeight="1">
      <c r="A632" s="443"/>
      <c r="B632" s="456"/>
      <c r="C632" s="471"/>
      <c r="D632" s="471"/>
      <c r="E632" s="445"/>
      <c r="F632" s="442"/>
      <c r="G632" s="442"/>
      <c r="H632" s="448"/>
      <c r="I632" s="447"/>
      <c r="J632" s="448">
        <f t="shared" si="5"/>
        <v>12</v>
      </c>
      <c r="K632" s="448"/>
    </row>
    <row r="633" ht="22.5" customHeight="1">
      <c r="A633" s="443"/>
      <c r="B633" s="456"/>
      <c r="C633" s="471"/>
      <c r="D633" s="471"/>
      <c r="E633" s="445"/>
      <c r="F633" s="442"/>
      <c r="G633" s="442"/>
      <c r="H633" s="448"/>
      <c r="I633" s="447"/>
      <c r="J633" s="448">
        <f t="shared" si="5"/>
        <v>12</v>
      </c>
      <c r="K633" s="448"/>
    </row>
    <row r="634" ht="22.5" customHeight="1">
      <c r="A634" s="443"/>
      <c r="B634" s="456"/>
      <c r="C634" s="471"/>
      <c r="D634" s="471"/>
      <c r="E634" s="445"/>
      <c r="F634" s="442"/>
      <c r="G634" s="442"/>
      <c r="H634" s="448"/>
      <c r="I634" s="447"/>
      <c r="J634" s="448">
        <f t="shared" si="5"/>
        <v>12</v>
      </c>
      <c r="K634" s="448"/>
    </row>
    <row r="635" ht="22.5" customHeight="1">
      <c r="A635" s="443"/>
      <c r="B635" s="456"/>
      <c r="C635" s="471"/>
      <c r="D635" s="471"/>
      <c r="E635" s="445"/>
      <c r="F635" s="442"/>
      <c r="G635" s="442"/>
      <c r="H635" s="448"/>
      <c r="I635" s="447"/>
      <c r="J635" s="448">
        <f t="shared" si="5"/>
        <v>12</v>
      </c>
      <c r="K635" s="448"/>
    </row>
    <row r="636" ht="22.5" customHeight="1">
      <c r="A636" s="443"/>
      <c r="B636" s="456"/>
      <c r="C636" s="471"/>
      <c r="D636" s="471"/>
      <c r="E636" s="445"/>
      <c r="F636" s="442"/>
      <c r="G636" s="442"/>
      <c r="H636" s="448"/>
      <c r="I636" s="447"/>
      <c r="J636" s="448">
        <f t="shared" si="5"/>
        <v>12</v>
      </c>
      <c r="K636" s="448"/>
    </row>
    <row r="637" ht="22.5" customHeight="1">
      <c r="A637" s="443"/>
      <c r="B637" s="456"/>
      <c r="C637" s="471"/>
      <c r="D637" s="471"/>
      <c r="E637" s="445"/>
      <c r="F637" s="442"/>
      <c r="G637" s="442"/>
      <c r="H637" s="448"/>
      <c r="I637" s="447"/>
      <c r="J637" s="448">
        <f t="shared" si="5"/>
        <v>12</v>
      </c>
      <c r="K637" s="448"/>
    </row>
    <row r="638" ht="22.5" customHeight="1">
      <c r="A638" s="443"/>
      <c r="B638" s="477"/>
      <c r="C638" s="489"/>
      <c r="D638" s="489"/>
      <c r="E638" s="481"/>
      <c r="F638" s="482"/>
      <c r="G638" s="482"/>
      <c r="H638" s="483"/>
      <c r="I638" s="484"/>
      <c r="J638" s="483">
        <f t="shared" si="5"/>
        <v>12</v>
      </c>
      <c r="K638" s="448"/>
    </row>
    <row r="639" ht="22.5" customHeight="1">
      <c r="A639" s="443"/>
      <c r="B639" s="456"/>
      <c r="C639" s="471"/>
      <c r="D639" s="471"/>
      <c r="E639" s="445"/>
      <c r="F639" s="442"/>
      <c r="G639" s="442"/>
      <c r="H639" s="448"/>
      <c r="I639" s="447"/>
      <c r="J639" s="448">
        <f t="shared" si="5"/>
        <v>12</v>
      </c>
      <c r="K639" s="448"/>
    </row>
    <row r="640" ht="22.5" customHeight="1">
      <c r="A640" s="443"/>
      <c r="B640" s="456"/>
      <c r="C640" s="471"/>
      <c r="D640" s="471"/>
      <c r="E640" s="445"/>
      <c r="F640" s="445"/>
      <c r="G640" s="442"/>
      <c r="H640" s="448"/>
      <c r="I640" s="447"/>
      <c r="J640" s="448">
        <f t="shared" si="5"/>
        <v>12</v>
      </c>
      <c r="K640" s="448"/>
    </row>
    <row r="641" ht="22.5" customHeight="1">
      <c r="A641" s="443"/>
      <c r="B641" s="456"/>
      <c r="C641" s="471"/>
      <c r="D641" s="471"/>
      <c r="E641" s="445"/>
      <c r="F641" s="445"/>
      <c r="G641" s="442"/>
      <c r="H641" s="448"/>
      <c r="I641" s="447"/>
      <c r="J641" s="448">
        <f t="shared" si="5"/>
        <v>12</v>
      </c>
      <c r="K641" s="448"/>
    </row>
    <row r="642" ht="22.5" customHeight="1">
      <c r="A642" s="443"/>
      <c r="B642" s="456"/>
      <c r="C642" s="471"/>
      <c r="D642" s="471"/>
      <c r="E642" s="445"/>
      <c r="F642" s="445"/>
      <c r="G642" s="442"/>
      <c r="H642" s="448"/>
      <c r="I642" s="447"/>
      <c r="J642" s="448">
        <f t="shared" si="5"/>
        <v>12</v>
      </c>
      <c r="K642" s="448"/>
    </row>
    <row r="643" ht="22.5" customHeight="1">
      <c r="A643" s="443"/>
      <c r="B643" s="456"/>
      <c r="C643" s="471"/>
      <c r="D643" s="471"/>
      <c r="E643" s="445"/>
      <c r="F643" s="445"/>
      <c r="G643" s="442"/>
      <c r="H643" s="448"/>
      <c r="I643" s="447"/>
      <c r="J643" s="448">
        <f t="shared" si="5"/>
        <v>12</v>
      </c>
      <c r="K643" s="448"/>
    </row>
    <row r="644" ht="22.5" customHeight="1">
      <c r="A644" s="443"/>
      <c r="B644" s="456"/>
      <c r="C644" s="471"/>
      <c r="D644" s="471"/>
      <c r="E644" s="445"/>
      <c r="F644" s="445"/>
      <c r="G644" s="442"/>
      <c r="H644" s="448"/>
      <c r="I644" s="447"/>
      <c r="J644" s="448">
        <f t="shared" si="5"/>
        <v>12</v>
      </c>
      <c r="K644" s="448"/>
    </row>
    <row r="645" ht="22.5" customHeight="1">
      <c r="A645" s="443"/>
      <c r="B645" s="456"/>
      <c r="C645" s="471"/>
      <c r="D645" s="471"/>
      <c r="E645" s="445"/>
      <c r="F645" s="445"/>
      <c r="G645" s="442"/>
      <c r="H645" s="448"/>
      <c r="I645" s="447"/>
      <c r="J645" s="448">
        <f t="shared" si="5"/>
        <v>12</v>
      </c>
      <c r="K645" s="448"/>
    </row>
    <row r="646" ht="22.5" customHeight="1">
      <c r="A646" s="443"/>
      <c r="B646" s="456"/>
      <c r="C646" s="471"/>
      <c r="D646" s="471"/>
      <c r="E646" s="445"/>
      <c r="F646" s="445"/>
      <c r="G646" s="442"/>
      <c r="H646" s="448"/>
      <c r="I646" s="447"/>
      <c r="J646" s="448">
        <f t="shared" si="5"/>
        <v>12</v>
      </c>
      <c r="K646" s="448"/>
    </row>
    <row r="647" ht="22.5" customHeight="1">
      <c r="A647" s="443"/>
      <c r="B647" s="456"/>
      <c r="C647" s="471"/>
      <c r="D647" s="471"/>
      <c r="E647" s="445"/>
      <c r="F647" s="445"/>
      <c r="G647" s="442"/>
      <c r="H647" s="448"/>
      <c r="I647" s="447"/>
      <c r="J647" s="448">
        <f t="shared" si="5"/>
        <v>12</v>
      </c>
      <c r="K647" s="448"/>
    </row>
    <row r="648" ht="22.5" customHeight="1">
      <c r="A648" s="443"/>
      <c r="B648" s="456"/>
      <c r="C648" s="471"/>
      <c r="D648" s="471"/>
      <c r="E648" s="445"/>
      <c r="F648" s="445"/>
      <c r="G648" s="442"/>
      <c r="H648" s="448"/>
      <c r="I648" s="447"/>
      <c r="J648" s="448">
        <f t="shared" si="5"/>
        <v>12</v>
      </c>
      <c r="K648" s="448"/>
    </row>
    <row r="649" ht="22.5" customHeight="1">
      <c r="A649" s="443"/>
      <c r="B649" s="456"/>
      <c r="C649" s="471"/>
      <c r="D649" s="471"/>
      <c r="E649" s="445"/>
      <c r="F649" s="445"/>
      <c r="G649" s="442"/>
      <c r="H649" s="448"/>
      <c r="I649" s="447"/>
      <c r="J649" s="448">
        <f t="shared" si="5"/>
        <v>12</v>
      </c>
      <c r="K649" s="448"/>
    </row>
    <row r="650" ht="22.5" customHeight="1">
      <c r="A650" s="443"/>
      <c r="B650" s="456"/>
      <c r="C650" s="471"/>
      <c r="D650" s="471"/>
      <c r="E650" s="445"/>
      <c r="F650" s="445"/>
      <c r="G650" s="442"/>
      <c r="H650" s="448"/>
      <c r="I650" s="447"/>
      <c r="J650" s="448">
        <f t="shared" si="5"/>
        <v>12</v>
      </c>
      <c r="K650" s="448"/>
    </row>
    <row r="651" ht="22.5" customHeight="1">
      <c r="A651" s="443"/>
      <c r="B651" s="456"/>
      <c r="C651" s="471"/>
      <c r="D651" s="471"/>
      <c r="E651" s="445"/>
      <c r="F651" s="445"/>
      <c r="G651" s="442"/>
      <c r="H651" s="448"/>
      <c r="I651" s="447"/>
      <c r="J651" s="448">
        <f t="shared" si="5"/>
        <v>12</v>
      </c>
      <c r="K651" s="448"/>
    </row>
    <row r="652" ht="22.5" customHeight="1">
      <c r="A652" s="443"/>
      <c r="B652" s="456"/>
      <c r="C652" s="471"/>
      <c r="D652" s="471"/>
      <c r="E652" s="445"/>
      <c r="F652" s="445"/>
      <c r="G652" s="442"/>
      <c r="H652" s="448"/>
      <c r="I652" s="447"/>
      <c r="J652" s="448">
        <f t="shared" si="5"/>
        <v>12</v>
      </c>
      <c r="K652" s="448"/>
    </row>
    <row r="653" ht="22.5" customHeight="1">
      <c r="A653" s="443"/>
      <c r="B653" s="456"/>
      <c r="C653" s="471"/>
      <c r="D653" s="471"/>
      <c r="E653" s="445"/>
      <c r="F653" s="445"/>
      <c r="G653" s="442"/>
      <c r="H653" s="448"/>
      <c r="I653" s="447"/>
      <c r="J653" s="448">
        <f t="shared" si="5"/>
        <v>12</v>
      </c>
      <c r="K653" s="448"/>
    </row>
    <row r="654" ht="22.5" customHeight="1">
      <c r="A654" s="443"/>
      <c r="B654" s="456"/>
      <c r="C654" s="471"/>
      <c r="D654" s="471"/>
      <c r="E654" s="445"/>
      <c r="F654" s="445"/>
      <c r="G654" s="442"/>
      <c r="H654" s="448"/>
      <c r="I654" s="447"/>
      <c r="J654" s="448">
        <f t="shared" si="5"/>
        <v>12</v>
      </c>
      <c r="K654" s="448"/>
    </row>
    <row r="655" ht="22.5" customHeight="1">
      <c r="A655" s="443"/>
      <c r="B655" s="456"/>
      <c r="C655" s="471"/>
      <c r="D655" s="471"/>
      <c r="E655" s="445"/>
      <c r="F655" s="445"/>
      <c r="G655" s="442"/>
      <c r="H655" s="448"/>
      <c r="I655" s="447"/>
      <c r="J655" s="448">
        <f t="shared" si="5"/>
        <v>12</v>
      </c>
      <c r="K655" s="448"/>
    </row>
    <row r="656" ht="22.5" customHeight="1">
      <c r="A656" s="443"/>
      <c r="B656" s="456"/>
      <c r="C656" s="471"/>
      <c r="D656" s="471"/>
      <c r="E656" s="445"/>
      <c r="F656" s="445"/>
      <c r="G656" s="442"/>
      <c r="H656" s="448"/>
      <c r="I656" s="447"/>
      <c r="J656" s="448">
        <f t="shared" si="5"/>
        <v>12</v>
      </c>
      <c r="K656" s="448"/>
    </row>
    <row r="657" ht="22.5" customHeight="1">
      <c r="A657" s="443"/>
      <c r="B657" s="456"/>
      <c r="C657" s="471"/>
      <c r="D657" s="471"/>
      <c r="E657" s="445"/>
      <c r="F657" s="442"/>
      <c r="G657" s="442"/>
      <c r="H657" s="448"/>
      <c r="I657" s="447"/>
      <c r="J657" s="448">
        <f t="shared" si="5"/>
        <v>12</v>
      </c>
      <c r="K657" s="448"/>
    </row>
    <row r="658" ht="22.5" customHeight="1">
      <c r="A658" s="443"/>
      <c r="B658" s="456"/>
      <c r="C658" s="471"/>
      <c r="D658" s="471"/>
      <c r="E658" s="445"/>
      <c r="F658" s="445"/>
      <c r="G658" s="442"/>
      <c r="H658" s="448"/>
      <c r="I658" s="447"/>
      <c r="J658" s="448">
        <f t="shared" si="5"/>
        <v>12</v>
      </c>
      <c r="K658" s="448"/>
    </row>
    <row r="659" ht="22.5" customHeight="1">
      <c r="A659" s="443"/>
      <c r="B659" s="456"/>
      <c r="C659" s="471"/>
      <c r="D659" s="471"/>
      <c r="E659" s="445"/>
      <c r="F659" s="445"/>
      <c r="G659" s="442"/>
      <c r="H659" s="448"/>
      <c r="I659" s="447"/>
      <c r="J659" s="448">
        <f t="shared" si="5"/>
        <v>12</v>
      </c>
      <c r="K659" s="448"/>
    </row>
    <row r="660" ht="22.5" customHeight="1">
      <c r="A660" s="443"/>
      <c r="B660" s="456"/>
      <c r="C660" s="471"/>
      <c r="D660" s="471"/>
      <c r="E660" s="445"/>
      <c r="F660" s="445"/>
      <c r="G660" s="442"/>
      <c r="H660" s="448"/>
      <c r="I660" s="447"/>
      <c r="J660" s="448">
        <f t="shared" si="5"/>
        <v>12</v>
      </c>
      <c r="K660" s="448"/>
    </row>
    <row r="661" ht="22.5" customHeight="1">
      <c r="A661" s="443"/>
      <c r="B661" s="456"/>
      <c r="C661" s="471"/>
      <c r="D661" s="471"/>
      <c r="E661" s="445"/>
      <c r="F661" s="445"/>
      <c r="G661" s="442"/>
      <c r="H661" s="448"/>
      <c r="I661" s="447"/>
      <c r="J661" s="448">
        <f t="shared" si="5"/>
        <v>12</v>
      </c>
      <c r="K661" s="448"/>
    </row>
    <row r="662" ht="22.5" customHeight="1">
      <c r="A662" s="443"/>
      <c r="B662" s="456"/>
      <c r="C662" s="471"/>
      <c r="D662" s="471"/>
      <c r="E662" s="445"/>
      <c r="F662" s="445"/>
      <c r="G662" s="442"/>
      <c r="H662" s="448"/>
      <c r="I662" s="447"/>
      <c r="J662" s="448">
        <f t="shared" si="5"/>
        <v>12</v>
      </c>
      <c r="K662" s="448"/>
    </row>
    <row r="663" ht="22.5" customHeight="1">
      <c r="A663" s="443"/>
      <c r="B663" s="456"/>
      <c r="C663" s="471"/>
      <c r="D663" s="471"/>
      <c r="E663" s="445"/>
      <c r="F663" s="445"/>
      <c r="G663" s="442"/>
      <c r="H663" s="448"/>
      <c r="I663" s="447"/>
      <c r="J663" s="448">
        <f t="shared" si="5"/>
        <v>12</v>
      </c>
      <c r="K663" s="448"/>
    </row>
    <row r="664" ht="22.5" customHeight="1">
      <c r="A664" s="443"/>
      <c r="B664" s="456"/>
      <c r="C664" s="471"/>
      <c r="D664" s="471"/>
      <c r="E664" s="445"/>
      <c r="F664" s="445"/>
      <c r="G664" s="442"/>
      <c r="H664" s="448"/>
      <c r="I664" s="447"/>
      <c r="J664" s="448">
        <f t="shared" si="5"/>
        <v>12</v>
      </c>
      <c r="K664" s="448"/>
    </row>
    <row r="665" ht="22.5" customHeight="1">
      <c r="A665" s="443"/>
      <c r="B665" s="456"/>
      <c r="C665" s="471"/>
      <c r="D665" s="471"/>
      <c r="E665" s="445"/>
      <c r="F665" s="445"/>
      <c r="G665" s="442"/>
      <c r="H665" s="448"/>
      <c r="I665" s="447"/>
      <c r="J665" s="448">
        <f t="shared" si="5"/>
        <v>12</v>
      </c>
      <c r="K665" s="448"/>
    </row>
    <row r="666" ht="22.5" customHeight="1">
      <c r="A666" s="443"/>
      <c r="B666" s="456"/>
      <c r="C666" s="471"/>
      <c r="D666" s="471"/>
      <c r="E666" s="445"/>
      <c r="F666" s="445"/>
      <c r="G666" s="442"/>
      <c r="H666" s="448"/>
      <c r="I666" s="447"/>
      <c r="J666" s="448">
        <f t="shared" si="5"/>
        <v>12</v>
      </c>
      <c r="K666" s="448"/>
    </row>
    <row r="667" ht="22.5" customHeight="1">
      <c r="A667" s="443"/>
      <c r="B667" s="456"/>
      <c r="C667" s="471"/>
      <c r="D667" s="471"/>
      <c r="E667" s="445"/>
      <c r="F667" s="445"/>
      <c r="G667" s="442"/>
      <c r="H667" s="448"/>
      <c r="I667" s="447"/>
      <c r="J667" s="448">
        <f t="shared" si="5"/>
        <v>12</v>
      </c>
      <c r="K667" s="448"/>
    </row>
    <row r="668" ht="22.5" customHeight="1">
      <c r="A668" s="443"/>
      <c r="B668" s="456"/>
      <c r="C668" s="471"/>
      <c r="D668" s="471"/>
      <c r="E668" s="445"/>
      <c r="F668" s="445"/>
      <c r="G668" s="442"/>
      <c r="H668" s="448"/>
      <c r="I668" s="447"/>
      <c r="J668" s="448">
        <f t="shared" si="5"/>
        <v>12</v>
      </c>
      <c r="K668" s="448"/>
    </row>
    <row r="669" ht="22.5" customHeight="1">
      <c r="A669" s="443"/>
      <c r="B669" s="456"/>
      <c r="C669" s="471"/>
      <c r="D669" s="471"/>
      <c r="E669" s="445"/>
      <c r="F669" s="445"/>
      <c r="G669" s="442"/>
      <c r="H669" s="448"/>
      <c r="I669" s="447"/>
      <c r="J669" s="448">
        <f t="shared" si="5"/>
        <v>12</v>
      </c>
      <c r="K669" s="448"/>
    </row>
    <row r="670" ht="22.5" customHeight="1">
      <c r="A670" s="443"/>
      <c r="B670" s="456"/>
      <c r="C670" s="471"/>
      <c r="D670" s="471"/>
      <c r="E670" s="445"/>
      <c r="F670" s="445"/>
      <c r="G670" s="442"/>
      <c r="H670" s="448"/>
      <c r="I670" s="447"/>
      <c r="J670" s="448">
        <f t="shared" si="5"/>
        <v>12</v>
      </c>
      <c r="K670" s="448"/>
    </row>
    <row r="671" ht="22.5" customHeight="1">
      <c r="A671" s="443"/>
      <c r="B671" s="456"/>
      <c r="C671" s="471"/>
      <c r="D671" s="471"/>
      <c r="E671" s="445"/>
      <c r="F671" s="445"/>
      <c r="G671" s="442"/>
      <c r="H671" s="448"/>
      <c r="I671" s="447"/>
      <c r="J671" s="448">
        <f t="shared" si="5"/>
        <v>12</v>
      </c>
      <c r="K671" s="448"/>
    </row>
    <row r="672" ht="22.5" customHeight="1">
      <c r="A672" s="443"/>
      <c r="B672" s="456"/>
      <c r="C672" s="471"/>
      <c r="D672" s="471"/>
      <c r="E672" s="445"/>
      <c r="F672" s="445"/>
      <c r="G672" s="442"/>
      <c r="H672" s="448"/>
      <c r="I672" s="447"/>
      <c r="J672" s="448">
        <f t="shared" si="5"/>
        <v>12</v>
      </c>
      <c r="K672" s="448"/>
    </row>
    <row r="673" ht="22.5" customHeight="1">
      <c r="A673" s="443"/>
      <c r="B673" s="456"/>
      <c r="C673" s="471"/>
      <c r="D673" s="471"/>
      <c r="E673" s="445"/>
      <c r="F673" s="445"/>
      <c r="G673" s="442"/>
      <c r="H673" s="448"/>
      <c r="I673" s="447"/>
      <c r="J673" s="448">
        <f t="shared" si="5"/>
        <v>12</v>
      </c>
      <c r="K673" s="448"/>
    </row>
    <row r="674" ht="22.5" customHeight="1">
      <c r="A674" s="443"/>
      <c r="B674" s="456"/>
      <c r="C674" s="471"/>
      <c r="D674" s="471"/>
      <c r="E674" s="445"/>
      <c r="F674" s="445"/>
      <c r="G674" s="442"/>
      <c r="H674" s="448"/>
      <c r="I674" s="447"/>
      <c r="J674" s="448">
        <f t="shared" si="5"/>
        <v>12</v>
      </c>
      <c r="K674" s="448"/>
    </row>
    <row r="675" ht="22.5" customHeight="1">
      <c r="A675" s="443"/>
      <c r="B675" s="456"/>
      <c r="C675" s="471"/>
      <c r="D675" s="471"/>
      <c r="E675" s="445"/>
      <c r="F675" s="445"/>
      <c r="G675" s="442"/>
      <c r="H675" s="448"/>
      <c r="I675" s="447"/>
      <c r="J675" s="448">
        <f t="shared" si="5"/>
        <v>12</v>
      </c>
      <c r="K675" s="448"/>
    </row>
    <row r="676" ht="22.5" customHeight="1">
      <c r="A676" s="443"/>
      <c r="B676" s="456"/>
      <c r="C676" s="471"/>
      <c r="D676" s="471"/>
      <c r="E676" s="445"/>
      <c r="F676" s="445"/>
      <c r="G676" s="442"/>
      <c r="H676" s="448"/>
      <c r="I676" s="447"/>
      <c r="J676" s="448">
        <f t="shared" si="5"/>
        <v>12</v>
      </c>
      <c r="K676" s="448"/>
    </row>
    <row r="677" ht="22.5" customHeight="1">
      <c r="A677" s="443"/>
      <c r="B677" s="456"/>
      <c r="C677" s="471"/>
      <c r="D677" s="471"/>
      <c r="E677" s="445"/>
      <c r="F677" s="445"/>
      <c r="G677" s="442"/>
      <c r="H677" s="448"/>
      <c r="I677" s="447"/>
      <c r="J677" s="448">
        <f t="shared" si="5"/>
        <v>12</v>
      </c>
      <c r="K677" s="448"/>
    </row>
    <row r="678" ht="22.5" customHeight="1">
      <c r="A678" s="443"/>
      <c r="B678" s="456"/>
      <c r="C678" s="471"/>
      <c r="D678" s="471"/>
      <c r="E678" s="445"/>
      <c r="F678" s="445"/>
      <c r="G678" s="442"/>
      <c r="H678" s="448"/>
      <c r="I678" s="447"/>
      <c r="J678" s="448">
        <f t="shared" si="5"/>
        <v>12</v>
      </c>
      <c r="K678" s="448"/>
    </row>
    <row r="679" ht="22.5" customHeight="1">
      <c r="A679" s="443"/>
      <c r="B679" s="456"/>
      <c r="C679" s="471"/>
      <c r="D679" s="471"/>
      <c r="E679" s="445"/>
      <c r="F679" s="445"/>
      <c r="G679" s="442"/>
      <c r="H679" s="448"/>
      <c r="I679" s="447"/>
      <c r="J679" s="448">
        <f t="shared" si="5"/>
        <v>12</v>
      </c>
      <c r="K679" s="448"/>
    </row>
    <row r="680" ht="22.5" customHeight="1">
      <c r="A680" s="443"/>
      <c r="B680" s="456"/>
      <c r="C680" s="471"/>
      <c r="D680" s="471"/>
      <c r="E680" s="445"/>
      <c r="F680" s="445"/>
      <c r="G680" s="442"/>
      <c r="H680" s="448"/>
      <c r="I680" s="447"/>
      <c r="J680" s="448">
        <f t="shared" si="5"/>
        <v>12</v>
      </c>
      <c r="K680" s="448"/>
    </row>
    <row r="681" ht="22.5" customHeight="1">
      <c r="A681" s="443"/>
      <c r="B681" s="456"/>
      <c r="C681" s="471"/>
      <c r="D681" s="471"/>
      <c r="E681" s="445"/>
      <c r="F681" s="445"/>
      <c r="G681" s="442"/>
      <c r="H681" s="448"/>
      <c r="I681" s="447"/>
      <c r="J681" s="448">
        <f t="shared" si="5"/>
        <v>12</v>
      </c>
      <c r="K681" s="448"/>
    </row>
    <row r="682" ht="22.5" customHeight="1">
      <c r="A682" s="443"/>
      <c r="B682" s="456"/>
      <c r="C682" s="471"/>
      <c r="D682" s="471"/>
      <c r="E682" s="445"/>
      <c r="F682" s="445"/>
      <c r="G682" s="442"/>
      <c r="H682" s="448"/>
      <c r="I682" s="447"/>
      <c r="J682" s="448">
        <f t="shared" si="5"/>
        <v>12</v>
      </c>
      <c r="K682" s="448"/>
    </row>
    <row r="683" ht="22.5" customHeight="1">
      <c r="A683" s="443"/>
      <c r="B683" s="456"/>
      <c r="C683" s="471"/>
      <c r="D683" s="471"/>
      <c r="E683" s="445"/>
      <c r="F683" s="445"/>
      <c r="G683" s="442"/>
      <c r="H683" s="448"/>
      <c r="I683" s="447"/>
      <c r="J683" s="448">
        <f t="shared" si="5"/>
        <v>12</v>
      </c>
      <c r="K683" s="448"/>
    </row>
    <row r="684" ht="22.5" customHeight="1">
      <c r="A684" s="443"/>
      <c r="B684" s="456"/>
      <c r="C684" s="471"/>
      <c r="D684" s="471"/>
      <c r="E684" s="445"/>
      <c r="F684" s="445"/>
      <c r="G684" s="442"/>
      <c r="H684" s="448"/>
      <c r="I684" s="447"/>
      <c r="J684" s="448">
        <f t="shared" si="5"/>
        <v>12</v>
      </c>
      <c r="K684" s="448"/>
    </row>
    <row r="685" ht="22.5" customHeight="1">
      <c r="A685" s="443"/>
      <c r="B685" s="456"/>
      <c r="C685" s="471"/>
      <c r="D685" s="471"/>
      <c r="E685" s="445"/>
      <c r="F685" s="445"/>
      <c r="G685" s="442"/>
      <c r="H685" s="448"/>
      <c r="I685" s="447"/>
      <c r="J685" s="448">
        <f t="shared" si="5"/>
        <v>12</v>
      </c>
      <c r="K685" s="448"/>
    </row>
    <row r="686" ht="22.5" customHeight="1">
      <c r="A686" s="443"/>
      <c r="B686" s="456"/>
      <c r="C686" s="471"/>
      <c r="D686" s="471"/>
      <c r="E686" s="445"/>
      <c r="F686" s="445"/>
      <c r="G686" s="442"/>
      <c r="H686" s="448"/>
      <c r="I686" s="447"/>
      <c r="J686" s="448">
        <f t="shared" si="5"/>
        <v>12</v>
      </c>
      <c r="K686" s="448"/>
    </row>
    <row r="687" ht="22.5" customHeight="1">
      <c r="A687" s="443"/>
      <c r="B687" s="456"/>
      <c r="C687" s="471"/>
      <c r="D687" s="471"/>
      <c r="E687" s="445"/>
      <c r="F687" s="445"/>
      <c r="G687" s="442"/>
      <c r="H687" s="448"/>
      <c r="I687" s="447"/>
      <c r="J687" s="448">
        <f t="shared" si="5"/>
        <v>12</v>
      </c>
      <c r="K687" s="448"/>
    </row>
    <row r="688" ht="22.5" customHeight="1">
      <c r="A688" s="443"/>
      <c r="B688" s="456"/>
      <c r="C688" s="471"/>
      <c r="D688" s="471"/>
      <c r="E688" s="445"/>
      <c r="F688" s="445"/>
      <c r="G688" s="442"/>
      <c r="H688" s="448"/>
      <c r="I688" s="447"/>
      <c r="J688" s="448">
        <f t="shared" si="5"/>
        <v>12</v>
      </c>
      <c r="K688" s="448"/>
    </row>
    <row r="689" ht="22.5" customHeight="1">
      <c r="A689" s="443"/>
      <c r="B689" s="456"/>
      <c r="C689" s="471"/>
      <c r="D689" s="471"/>
      <c r="E689" s="445"/>
      <c r="F689" s="445"/>
      <c r="G689" s="442"/>
      <c r="H689" s="448"/>
      <c r="I689" s="447"/>
      <c r="J689" s="448">
        <f t="shared" si="5"/>
        <v>12</v>
      </c>
      <c r="K689" s="448"/>
    </row>
    <row r="690" ht="22.5" customHeight="1">
      <c r="A690" s="443"/>
      <c r="B690" s="456"/>
      <c r="C690" s="471"/>
      <c r="D690" s="471"/>
      <c r="E690" s="445"/>
      <c r="F690" s="445"/>
      <c r="G690" s="442"/>
      <c r="H690" s="448"/>
      <c r="I690" s="447"/>
      <c r="J690" s="448">
        <f t="shared" si="5"/>
        <v>12</v>
      </c>
      <c r="K690" s="448"/>
    </row>
    <row r="691" ht="22.5" customHeight="1">
      <c r="A691" s="443"/>
      <c r="B691" s="456"/>
      <c r="C691" s="471"/>
      <c r="D691" s="471"/>
      <c r="E691" s="445"/>
      <c r="F691" s="445"/>
      <c r="G691" s="442"/>
      <c r="H691" s="448"/>
      <c r="I691" s="447"/>
      <c r="J691" s="448">
        <f t="shared" si="5"/>
        <v>12</v>
      </c>
      <c r="K691" s="448"/>
    </row>
    <row r="692" ht="22.5" customHeight="1">
      <c r="A692" s="443"/>
      <c r="B692" s="456"/>
      <c r="C692" s="471"/>
      <c r="D692" s="471"/>
      <c r="E692" s="445"/>
      <c r="F692" s="445"/>
      <c r="G692" s="442"/>
      <c r="H692" s="448"/>
      <c r="I692" s="447"/>
      <c r="J692" s="448">
        <f t="shared" si="5"/>
        <v>12</v>
      </c>
      <c r="K692" s="448"/>
    </row>
    <row r="693" ht="22.5" customHeight="1">
      <c r="A693" s="443"/>
      <c r="B693" s="456"/>
      <c r="C693" s="471"/>
      <c r="D693" s="471"/>
      <c r="E693" s="445"/>
      <c r="F693" s="445"/>
      <c r="G693" s="442"/>
      <c r="H693" s="448"/>
      <c r="I693" s="447"/>
      <c r="J693" s="448">
        <f t="shared" si="5"/>
        <v>12</v>
      </c>
      <c r="K693" s="448"/>
    </row>
    <row r="694" ht="22.5" customHeight="1">
      <c r="A694" s="443"/>
      <c r="B694" s="456"/>
      <c r="C694" s="471"/>
      <c r="D694" s="471"/>
      <c r="E694" s="445"/>
      <c r="F694" s="442"/>
      <c r="G694" s="442"/>
      <c r="H694" s="448"/>
      <c r="I694" s="447"/>
      <c r="J694" s="448">
        <f t="shared" si="5"/>
        <v>12</v>
      </c>
      <c r="K694" s="448"/>
    </row>
    <row r="695" ht="22.5" customHeight="1">
      <c r="A695" s="443"/>
      <c r="B695" s="456"/>
      <c r="C695" s="471"/>
      <c r="D695" s="471"/>
      <c r="E695" s="445"/>
      <c r="F695" s="445"/>
      <c r="G695" s="442"/>
      <c r="H695" s="448"/>
      <c r="I695" s="447"/>
      <c r="J695" s="448">
        <f t="shared" si="5"/>
        <v>12</v>
      </c>
      <c r="K695" s="448"/>
    </row>
    <row r="696" ht="22.5" customHeight="1">
      <c r="A696" s="443"/>
      <c r="B696" s="456"/>
      <c r="C696" s="471"/>
      <c r="D696" s="471"/>
      <c r="E696" s="445"/>
      <c r="F696" s="445"/>
      <c r="G696" s="442"/>
      <c r="H696" s="448"/>
      <c r="I696" s="447"/>
      <c r="J696" s="448">
        <f t="shared" si="5"/>
        <v>12</v>
      </c>
      <c r="K696" s="448"/>
    </row>
    <row r="697" ht="22.5" customHeight="1">
      <c r="A697" s="443"/>
      <c r="B697" s="456"/>
      <c r="C697" s="471"/>
      <c r="D697" s="471"/>
      <c r="E697" s="445"/>
      <c r="F697" s="445"/>
      <c r="G697" s="442"/>
      <c r="H697" s="448"/>
      <c r="I697" s="447"/>
      <c r="J697" s="448">
        <f t="shared" si="5"/>
        <v>12</v>
      </c>
      <c r="K697" s="448"/>
    </row>
    <row r="698" ht="22.5" customHeight="1">
      <c r="A698" s="443"/>
      <c r="B698" s="456"/>
      <c r="C698" s="471"/>
      <c r="D698" s="471"/>
      <c r="E698" s="445"/>
      <c r="F698" s="445"/>
      <c r="G698" s="442"/>
      <c r="H698" s="448"/>
      <c r="I698" s="447"/>
      <c r="J698" s="448">
        <f t="shared" si="5"/>
        <v>12</v>
      </c>
      <c r="K698" s="448"/>
    </row>
    <row r="699" ht="22.5" customHeight="1">
      <c r="A699" s="443"/>
      <c r="B699" s="456"/>
      <c r="C699" s="471"/>
      <c r="D699" s="471"/>
      <c r="E699" s="428"/>
      <c r="F699" s="445"/>
      <c r="G699" s="442"/>
      <c r="H699" s="448"/>
      <c r="I699" s="447"/>
      <c r="J699" s="448">
        <f t="shared" si="5"/>
        <v>12</v>
      </c>
      <c r="K699" s="448"/>
    </row>
    <row r="700" ht="22.5" customHeight="1">
      <c r="A700" s="443"/>
      <c r="B700" s="456"/>
      <c r="C700" s="471"/>
      <c r="D700" s="471"/>
      <c r="E700" s="445"/>
      <c r="F700" s="445"/>
      <c r="G700" s="442"/>
      <c r="H700" s="448"/>
      <c r="I700" s="447"/>
      <c r="J700" s="448">
        <f t="shared" si="5"/>
        <v>12</v>
      </c>
      <c r="K700" s="448"/>
    </row>
    <row r="701" ht="22.5" customHeight="1">
      <c r="A701" s="443"/>
      <c r="B701" s="456"/>
      <c r="C701" s="471"/>
      <c r="D701" s="471"/>
      <c r="E701" s="445"/>
      <c r="F701" s="445"/>
      <c r="G701" s="442"/>
      <c r="H701" s="448"/>
      <c r="I701" s="447"/>
      <c r="J701" s="448">
        <f t="shared" si="5"/>
        <v>12</v>
      </c>
      <c r="K701" s="448"/>
    </row>
    <row r="702" ht="22.5" customHeight="1">
      <c r="A702" s="443"/>
      <c r="B702" s="456"/>
      <c r="C702" s="471"/>
      <c r="D702" s="471"/>
      <c r="E702" s="445"/>
      <c r="F702" s="445"/>
      <c r="G702" s="442"/>
      <c r="H702" s="448"/>
      <c r="I702" s="447"/>
      <c r="J702" s="448">
        <f t="shared" si="5"/>
        <v>12</v>
      </c>
      <c r="K702" s="448"/>
    </row>
    <row r="703" ht="22.5" customHeight="1">
      <c r="A703" s="443"/>
      <c r="B703" s="456"/>
      <c r="C703" s="471"/>
      <c r="D703" s="471"/>
      <c r="E703" s="445"/>
      <c r="F703" s="445"/>
      <c r="G703" s="442"/>
      <c r="H703" s="448"/>
      <c r="I703" s="447"/>
      <c r="J703" s="448">
        <f t="shared" si="5"/>
        <v>12</v>
      </c>
      <c r="K703" s="448"/>
    </row>
    <row r="704" ht="22.5" customHeight="1">
      <c r="A704" s="443"/>
      <c r="B704" s="456"/>
      <c r="C704" s="471"/>
      <c r="D704" s="471"/>
      <c r="E704" s="445"/>
      <c r="F704" s="445"/>
      <c r="G704" s="442"/>
      <c r="H704" s="448"/>
      <c r="I704" s="447"/>
      <c r="J704" s="448">
        <f t="shared" si="5"/>
        <v>12</v>
      </c>
      <c r="K704" s="448"/>
    </row>
    <row r="705" ht="22.5" customHeight="1">
      <c r="A705" s="443"/>
      <c r="B705" s="456"/>
      <c r="C705" s="471"/>
      <c r="D705" s="471"/>
      <c r="E705" s="445"/>
      <c r="F705" s="445"/>
      <c r="G705" s="442"/>
      <c r="H705" s="448"/>
      <c r="I705" s="447"/>
      <c r="J705" s="448">
        <f t="shared" si="5"/>
        <v>12</v>
      </c>
      <c r="K705" s="448"/>
    </row>
    <row r="706" ht="22.5" customHeight="1">
      <c r="A706" s="443"/>
      <c r="B706" s="456"/>
      <c r="C706" s="471"/>
      <c r="D706" s="471"/>
      <c r="E706" s="445"/>
      <c r="F706" s="445"/>
      <c r="G706" s="442"/>
      <c r="H706" s="448"/>
      <c r="I706" s="447"/>
      <c r="J706" s="448">
        <f t="shared" si="5"/>
        <v>12</v>
      </c>
      <c r="K706" s="448"/>
    </row>
    <row r="707" ht="22.5" customHeight="1">
      <c r="A707" s="443"/>
      <c r="B707" s="456"/>
      <c r="C707" s="471"/>
      <c r="D707" s="471"/>
      <c r="E707" s="445"/>
      <c r="F707" s="445"/>
      <c r="G707" s="442"/>
      <c r="H707" s="448"/>
      <c r="I707" s="447"/>
      <c r="J707" s="448">
        <f t="shared" si="5"/>
        <v>12</v>
      </c>
      <c r="K707" s="448"/>
    </row>
    <row r="708" ht="22.5" customHeight="1">
      <c r="A708" s="443"/>
      <c r="B708" s="456"/>
      <c r="C708" s="471"/>
      <c r="D708" s="471"/>
      <c r="E708" s="445"/>
      <c r="F708" s="445"/>
      <c r="G708" s="442"/>
      <c r="H708" s="448"/>
      <c r="I708" s="447"/>
      <c r="J708" s="448">
        <f t="shared" si="5"/>
        <v>12</v>
      </c>
      <c r="K708" s="448"/>
    </row>
    <row r="709" ht="22.5" customHeight="1">
      <c r="A709" s="443"/>
      <c r="B709" s="456"/>
      <c r="C709" s="471"/>
      <c r="D709" s="471"/>
      <c r="E709" s="445"/>
      <c r="F709" s="445"/>
      <c r="G709" s="442"/>
      <c r="H709" s="448"/>
      <c r="I709" s="447"/>
      <c r="J709" s="448">
        <f t="shared" si="5"/>
        <v>12</v>
      </c>
      <c r="K709" s="448"/>
    </row>
    <row r="710" ht="22.5" customHeight="1">
      <c r="A710" s="443"/>
      <c r="B710" s="456"/>
      <c r="C710" s="471"/>
      <c r="D710" s="471"/>
      <c r="E710" s="445"/>
      <c r="F710" s="445"/>
      <c r="G710" s="442"/>
      <c r="H710" s="448"/>
      <c r="I710" s="447"/>
      <c r="J710" s="448">
        <f t="shared" si="5"/>
        <v>12</v>
      </c>
      <c r="K710" s="448"/>
    </row>
    <row r="711" ht="22.5" customHeight="1">
      <c r="A711" s="443"/>
      <c r="B711" s="456"/>
      <c r="C711" s="471"/>
      <c r="D711" s="471"/>
      <c r="E711" s="445"/>
      <c r="F711" s="445"/>
      <c r="G711" s="442"/>
      <c r="H711" s="448"/>
      <c r="I711" s="447"/>
      <c r="J711" s="448">
        <f t="shared" si="5"/>
        <v>12</v>
      </c>
      <c r="K711" s="448"/>
    </row>
    <row r="712" ht="22.5" customHeight="1">
      <c r="A712" s="443"/>
      <c r="B712" s="456"/>
      <c r="C712" s="471"/>
      <c r="D712" s="471"/>
      <c r="E712" s="445"/>
      <c r="F712" s="445"/>
      <c r="G712" s="442"/>
      <c r="H712" s="448"/>
      <c r="I712" s="447"/>
      <c r="J712" s="448">
        <f t="shared" si="5"/>
        <v>12</v>
      </c>
      <c r="K712" s="448"/>
    </row>
    <row r="713" ht="22.5" customHeight="1">
      <c r="A713" s="443"/>
      <c r="B713" s="456"/>
      <c r="C713" s="471"/>
      <c r="D713" s="471"/>
      <c r="E713" s="445"/>
      <c r="F713" s="445"/>
      <c r="G713" s="442"/>
      <c r="H713" s="448"/>
      <c r="I713" s="447"/>
      <c r="J713" s="448">
        <f t="shared" si="5"/>
        <v>12</v>
      </c>
      <c r="K713" s="448"/>
    </row>
    <row r="714" ht="22.5" customHeight="1">
      <c r="A714" s="443"/>
      <c r="B714" s="456"/>
      <c r="C714" s="471"/>
      <c r="D714" s="471"/>
      <c r="E714" s="445"/>
      <c r="F714" s="445"/>
      <c r="G714" s="442"/>
      <c r="H714" s="448"/>
      <c r="I714" s="447"/>
      <c r="J714" s="448">
        <f t="shared" si="5"/>
        <v>12</v>
      </c>
      <c r="K714" s="448"/>
    </row>
    <row r="715" ht="22.5" customHeight="1">
      <c r="A715" s="443"/>
      <c r="B715" s="456"/>
      <c r="C715" s="471"/>
      <c r="D715" s="471"/>
      <c r="E715" s="445"/>
      <c r="F715" s="445"/>
      <c r="G715" s="442"/>
      <c r="H715" s="448"/>
      <c r="I715" s="447"/>
      <c r="J715" s="448">
        <f t="shared" si="5"/>
        <v>12</v>
      </c>
      <c r="K715" s="448"/>
    </row>
    <row r="716" ht="22.5" customHeight="1">
      <c r="A716" s="443"/>
      <c r="B716" s="456"/>
      <c r="C716" s="471"/>
      <c r="D716" s="471"/>
      <c r="E716" s="445"/>
      <c r="F716" s="445"/>
      <c r="G716" s="442"/>
      <c r="H716" s="448"/>
      <c r="I716" s="447"/>
      <c r="J716" s="448">
        <f t="shared" si="5"/>
        <v>12</v>
      </c>
      <c r="K716" s="448"/>
    </row>
    <row r="717" ht="22.5" customHeight="1">
      <c r="A717" s="443"/>
      <c r="B717" s="456"/>
      <c r="C717" s="471"/>
      <c r="D717" s="471"/>
      <c r="E717" s="445"/>
      <c r="F717" s="445"/>
      <c r="G717" s="442"/>
      <c r="H717" s="448"/>
      <c r="I717" s="447"/>
      <c r="J717" s="448">
        <f t="shared" si="5"/>
        <v>12</v>
      </c>
      <c r="K717" s="448"/>
    </row>
    <row r="718" ht="22.5" customHeight="1">
      <c r="A718" s="443"/>
      <c r="B718" s="456"/>
      <c r="C718" s="471"/>
      <c r="D718" s="471"/>
      <c r="E718" s="445"/>
      <c r="F718" s="445"/>
      <c r="G718" s="442"/>
      <c r="H718" s="448"/>
      <c r="I718" s="447"/>
      <c r="J718" s="448">
        <f t="shared" si="5"/>
        <v>12</v>
      </c>
      <c r="K718" s="448"/>
    </row>
    <row r="719" ht="22.5" customHeight="1">
      <c r="A719" s="443"/>
      <c r="B719" s="456"/>
      <c r="C719" s="471"/>
      <c r="D719" s="471"/>
      <c r="E719" s="445"/>
      <c r="F719" s="445"/>
      <c r="G719" s="442"/>
      <c r="H719" s="448"/>
      <c r="I719" s="447"/>
      <c r="J719" s="448">
        <f t="shared" si="5"/>
        <v>12</v>
      </c>
      <c r="K719" s="448"/>
    </row>
    <row r="720" ht="22.5" customHeight="1">
      <c r="A720" s="443"/>
      <c r="B720" s="456"/>
      <c r="C720" s="471"/>
      <c r="D720" s="471"/>
      <c r="E720" s="445"/>
      <c r="F720" s="445"/>
      <c r="G720" s="442"/>
      <c r="H720" s="448"/>
      <c r="I720" s="447"/>
      <c r="J720" s="448">
        <f t="shared" si="5"/>
        <v>12</v>
      </c>
      <c r="K720" s="448"/>
    </row>
    <row r="721" ht="22.5" customHeight="1">
      <c r="A721" s="443"/>
      <c r="B721" s="456"/>
      <c r="C721" s="471"/>
      <c r="D721" s="471"/>
      <c r="E721" s="445"/>
      <c r="F721" s="445"/>
      <c r="G721" s="442"/>
      <c r="H721" s="448"/>
      <c r="I721" s="447"/>
      <c r="J721" s="448">
        <f t="shared" si="5"/>
        <v>12</v>
      </c>
      <c r="K721" s="448"/>
    </row>
    <row r="722" ht="22.5" customHeight="1">
      <c r="A722" s="443"/>
      <c r="B722" s="456"/>
      <c r="C722" s="471"/>
      <c r="D722" s="471"/>
      <c r="E722" s="445"/>
      <c r="F722" s="445"/>
      <c r="G722" s="442"/>
      <c r="H722" s="448"/>
      <c r="I722" s="447"/>
      <c r="J722" s="448">
        <f t="shared" si="5"/>
        <v>12</v>
      </c>
      <c r="K722" s="448"/>
    </row>
    <row r="723" ht="22.5" customHeight="1">
      <c r="A723" s="443"/>
      <c r="B723" s="456"/>
      <c r="C723" s="471"/>
      <c r="D723" s="471"/>
      <c r="E723" s="445"/>
      <c r="F723" s="445"/>
      <c r="G723" s="442"/>
      <c r="H723" s="448"/>
      <c r="I723" s="447"/>
      <c r="J723" s="448">
        <f t="shared" si="5"/>
        <v>12</v>
      </c>
      <c r="K723" s="448"/>
    </row>
    <row r="724" ht="22.5" customHeight="1">
      <c r="A724" s="443"/>
      <c r="B724" s="456"/>
      <c r="C724" s="471"/>
      <c r="D724" s="471"/>
      <c r="E724" s="445"/>
      <c r="F724" s="445"/>
      <c r="G724" s="442"/>
      <c r="H724" s="448"/>
      <c r="I724" s="447"/>
      <c r="J724" s="448">
        <f t="shared" si="5"/>
        <v>12</v>
      </c>
      <c r="K724" s="448"/>
    </row>
    <row r="725" ht="22.5" customHeight="1">
      <c r="A725" s="443"/>
      <c r="B725" s="456"/>
      <c r="C725" s="471"/>
      <c r="D725" s="471"/>
      <c r="E725" s="445"/>
      <c r="F725" s="445"/>
      <c r="G725" s="442"/>
      <c r="H725" s="448"/>
      <c r="I725" s="447"/>
      <c r="J725" s="448">
        <f t="shared" si="5"/>
        <v>12</v>
      </c>
      <c r="K725" s="448"/>
    </row>
    <row r="726" ht="22.5" customHeight="1">
      <c r="A726" s="443"/>
      <c r="B726" s="456"/>
      <c r="C726" s="471"/>
      <c r="D726" s="471"/>
      <c r="E726" s="445"/>
      <c r="F726" s="445"/>
      <c r="G726" s="442"/>
      <c r="H726" s="448"/>
      <c r="I726" s="447"/>
      <c r="J726" s="448">
        <f t="shared" si="5"/>
        <v>12</v>
      </c>
      <c r="K726" s="448"/>
    </row>
    <row r="727" ht="22.5" customHeight="1">
      <c r="A727" s="443"/>
      <c r="B727" s="456"/>
      <c r="C727" s="471"/>
      <c r="D727" s="471"/>
      <c r="E727" s="445"/>
      <c r="F727" s="445"/>
      <c r="G727" s="442"/>
      <c r="H727" s="448"/>
      <c r="I727" s="447"/>
      <c r="J727" s="448">
        <f t="shared" si="5"/>
        <v>12</v>
      </c>
      <c r="K727" s="448"/>
    </row>
    <row r="728" ht="22.5" customHeight="1">
      <c r="A728" s="443"/>
      <c r="B728" s="456"/>
      <c r="C728" s="471"/>
      <c r="D728" s="471"/>
      <c r="E728" s="445"/>
      <c r="F728" s="445"/>
      <c r="G728" s="442"/>
      <c r="H728" s="448"/>
      <c r="I728" s="447"/>
      <c r="J728" s="448">
        <f t="shared" si="5"/>
        <v>12</v>
      </c>
      <c r="K728" s="448"/>
    </row>
    <row r="729" ht="22.5" customHeight="1">
      <c r="A729" s="443"/>
      <c r="B729" s="456"/>
      <c r="C729" s="471"/>
      <c r="D729" s="471"/>
      <c r="E729" s="445"/>
      <c r="F729" s="445"/>
      <c r="G729" s="442"/>
      <c r="H729" s="448"/>
      <c r="I729" s="447"/>
      <c r="J729" s="448">
        <f t="shared" si="5"/>
        <v>12</v>
      </c>
      <c r="K729" s="448"/>
    </row>
    <row r="730" ht="22.5" customHeight="1">
      <c r="A730" s="443"/>
      <c r="B730" s="456"/>
      <c r="C730" s="471"/>
      <c r="D730" s="471"/>
      <c r="E730" s="445"/>
      <c r="F730" s="445"/>
      <c r="G730" s="442"/>
      <c r="H730" s="448"/>
      <c r="I730" s="447"/>
      <c r="J730" s="448">
        <f t="shared" si="5"/>
        <v>12</v>
      </c>
      <c r="K730" s="448"/>
    </row>
    <row r="731" ht="22.5" customHeight="1">
      <c r="A731" s="443"/>
      <c r="B731" s="456"/>
      <c r="C731" s="471"/>
      <c r="D731" s="471"/>
      <c r="E731" s="445"/>
      <c r="F731" s="445"/>
      <c r="G731" s="442"/>
      <c r="H731" s="448"/>
      <c r="I731" s="447"/>
      <c r="J731" s="448">
        <f t="shared" si="5"/>
        <v>12</v>
      </c>
      <c r="K731" s="448"/>
    </row>
    <row r="732" ht="22.5" customHeight="1">
      <c r="A732" s="443"/>
      <c r="B732" s="456"/>
      <c r="C732" s="471"/>
      <c r="D732" s="471"/>
      <c r="E732" s="445"/>
      <c r="F732" s="445"/>
      <c r="G732" s="442"/>
      <c r="H732" s="448"/>
      <c r="I732" s="447"/>
      <c r="J732" s="448">
        <f t="shared" si="5"/>
        <v>12</v>
      </c>
      <c r="K732" s="448"/>
    </row>
    <row r="733" ht="22.5" customHeight="1">
      <c r="A733" s="443"/>
      <c r="B733" s="456"/>
      <c r="C733" s="471"/>
      <c r="D733" s="471"/>
      <c r="E733" s="445"/>
      <c r="F733" s="445"/>
      <c r="G733" s="442"/>
      <c r="H733" s="448"/>
      <c r="I733" s="447"/>
      <c r="J733" s="448">
        <f t="shared" si="5"/>
        <v>12</v>
      </c>
      <c r="K733" s="448"/>
    </row>
    <row r="734" ht="22.5" customHeight="1">
      <c r="A734" s="443"/>
      <c r="B734" s="456"/>
      <c r="C734" s="471"/>
      <c r="D734" s="471"/>
      <c r="E734" s="445"/>
      <c r="F734" s="445"/>
      <c r="G734" s="442"/>
      <c r="H734" s="448"/>
      <c r="I734" s="447"/>
      <c r="J734" s="448">
        <f t="shared" si="5"/>
        <v>12</v>
      </c>
      <c r="K734" s="448"/>
    </row>
    <row r="735" ht="22.5" customHeight="1">
      <c r="A735" s="443"/>
      <c r="B735" s="456"/>
      <c r="C735" s="471"/>
      <c r="D735" s="471"/>
      <c r="E735" s="445"/>
      <c r="F735" s="445"/>
      <c r="G735" s="442"/>
      <c r="H735" s="448"/>
      <c r="I735" s="447"/>
      <c r="J735" s="448">
        <f t="shared" si="5"/>
        <v>12</v>
      </c>
      <c r="K735" s="448"/>
    </row>
    <row r="736" ht="22.5" customHeight="1">
      <c r="A736" s="443"/>
      <c r="B736" s="456"/>
      <c r="C736" s="471"/>
      <c r="D736" s="471"/>
      <c r="E736" s="445"/>
      <c r="F736" s="445"/>
      <c r="G736" s="442"/>
      <c r="H736" s="448"/>
      <c r="I736" s="447"/>
      <c r="J736" s="448">
        <f t="shared" si="5"/>
        <v>12</v>
      </c>
      <c r="K736" s="448"/>
    </row>
    <row r="737" ht="22.5" customHeight="1">
      <c r="A737" s="443"/>
      <c r="B737" s="456"/>
      <c r="C737" s="471"/>
      <c r="D737" s="471"/>
      <c r="E737" s="445"/>
      <c r="F737" s="445"/>
      <c r="G737" s="442"/>
      <c r="H737" s="448"/>
      <c r="I737" s="447"/>
      <c r="J737" s="448">
        <f t="shared" si="5"/>
        <v>12</v>
      </c>
      <c r="K737" s="448"/>
    </row>
    <row r="738" ht="22.5" customHeight="1">
      <c r="A738" s="443"/>
      <c r="B738" s="456"/>
      <c r="C738" s="471"/>
      <c r="D738" s="471"/>
      <c r="E738" s="445"/>
      <c r="F738" s="445"/>
      <c r="G738" s="442"/>
      <c r="H738" s="448"/>
      <c r="I738" s="447"/>
      <c r="J738" s="448">
        <f t="shared" si="5"/>
        <v>12</v>
      </c>
      <c r="K738" s="448"/>
    </row>
    <row r="739" ht="22.5" customHeight="1">
      <c r="A739" s="443"/>
      <c r="B739" s="456"/>
      <c r="C739" s="471"/>
      <c r="D739" s="471"/>
      <c r="E739" s="445"/>
      <c r="F739" s="445"/>
      <c r="G739" s="442"/>
      <c r="H739" s="448"/>
      <c r="I739" s="447"/>
      <c r="J739" s="448">
        <f t="shared" si="5"/>
        <v>12</v>
      </c>
      <c r="K739" s="448"/>
    </row>
    <row r="740" ht="22.5" customHeight="1">
      <c r="A740" s="443"/>
      <c r="B740" s="456"/>
      <c r="C740" s="471"/>
      <c r="D740" s="471"/>
      <c r="E740" s="445"/>
      <c r="F740" s="445"/>
      <c r="G740" s="442"/>
      <c r="H740" s="448"/>
      <c r="I740" s="447"/>
      <c r="J740" s="448">
        <f t="shared" si="5"/>
        <v>12</v>
      </c>
      <c r="K740" s="448"/>
    </row>
    <row r="741" ht="22.5" customHeight="1">
      <c r="A741" s="443"/>
      <c r="B741" s="456"/>
      <c r="C741" s="471"/>
      <c r="D741" s="471"/>
      <c r="E741" s="445"/>
      <c r="F741" s="445"/>
      <c r="G741" s="442"/>
      <c r="H741" s="448"/>
      <c r="I741" s="447"/>
      <c r="J741" s="448">
        <f t="shared" si="5"/>
        <v>12</v>
      </c>
      <c r="K741" s="448"/>
    </row>
    <row r="742" ht="22.5" customHeight="1">
      <c r="A742" s="443"/>
      <c r="B742" s="456"/>
      <c r="C742" s="471"/>
      <c r="D742" s="471"/>
      <c r="E742" s="445"/>
      <c r="F742" s="445"/>
      <c r="G742" s="442"/>
      <c r="H742" s="448"/>
      <c r="I742" s="447"/>
      <c r="J742" s="448">
        <f t="shared" si="5"/>
        <v>12</v>
      </c>
      <c r="K742" s="448"/>
    </row>
    <row r="743" ht="22.5" customHeight="1">
      <c r="A743" s="443"/>
      <c r="B743" s="456"/>
      <c r="C743" s="471"/>
      <c r="D743" s="471"/>
      <c r="E743" s="445"/>
      <c r="F743" s="445"/>
      <c r="G743" s="442"/>
      <c r="H743" s="448"/>
      <c r="I743" s="447"/>
      <c r="J743" s="448">
        <f t="shared" si="5"/>
        <v>12</v>
      </c>
      <c r="K743" s="448"/>
    </row>
    <row r="744" ht="22.5" customHeight="1">
      <c r="A744" s="443"/>
      <c r="B744" s="456"/>
      <c r="C744" s="471"/>
      <c r="D744" s="471"/>
      <c r="E744" s="445"/>
      <c r="F744" s="445"/>
      <c r="G744" s="442"/>
      <c r="H744" s="448"/>
      <c r="I744" s="447"/>
      <c r="J744" s="448">
        <f t="shared" si="5"/>
        <v>12</v>
      </c>
      <c r="K744" s="448"/>
    </row>
    <row r="745" ht="22.5" customHeight="1">
      <c r="A745" s="443"/>
      <c r="B745" s="456"/>
      <c r="C745" s="471"/>
      <c r="D745" s="471"/>
      <c r="E745" s="445"/>
      <c r="F745" s="445"/>
      <c r="G745" s="442"/>
      <c r="H745" s="448"/>
      <c r="I745" s="447"/>
      <c r="J745" s="448">
        <f t="shared" si="5"/>
        <v>12</v>
      </c>
      <c r="K745" s="448"/>
    </row>
    <row r="746" ht="22.5" customHeight="1">
      <c r="A746" s="443"/>
      <c r="B746" s="456"/>
      <c r="C746" s="471"/>
      <c r="D746" s="471"/>
      <c r="E746" s="445"/>
      <c r="F746" s="445"/>
      <c r="G746" s="442"/>
      <c r="H746" s="448"/>
      <c r="I746" s="447"/>
      <c r="J746" s="448">
        <f t="shared" si="5"/>
        <v>12</v>
      </c>
      <c r="K746" s="448"/>
    </row>
    <row r="747" ht="22.5" customHeight="1">
      <c r="A747" s="443"/>
      <c r="B747" s="456"/>
      <c r="C747" s="471"/>
      <c r="D747" s="471"/>
      <c r="E747" s="445"/>
      <c r="F747" s="445"/>
      <c r="G747" s="442"/>
      <c r="H747" s="448"/>
      <c r="I747" s="447"/>
      <c r="J747" s="448">
        <f t="shared" si="5"/>
        <v>12</v>
      </c>
      <c r="K747" s="448"/>
    </row>
    <row r="748" ht="22.5" customHeight="1">
      <c r="A748" s="443"/>
      <c r="B748" s="456"/>
      <c r="C748" s="471"/>
      <c r="D748" s="471"/>
      <c r="E748" s="445"/>
      <c r="F748" s="445"/>
      <c r="G748" s="442"/>
      <c r="H748" s="448"/>
      <c r="I748" s="447"/>
      <c r="J748" s="448">
        <f t="shared" si="5"/>
        <v>12</v>
      </c>
      <c r="K748" s="448"/>
    </row>
    <row r="749" ht="22.5" customHeight="1">
      <c r="A749" s="443"/>
      <c r="B749" s="456"/>
      <c r="C749" s="471"/>
      <c r="D749" s="471"/>
      <c r="E749" s="445"/>
      <c r="F749" s="445"/>
      <c r="G749" s="442"/>
      <c r="H749" s="448"/>
      <c r="I749" s="447"/>
      <c r="J749" s="448">
        <f t="shared" si="5"/>
        <v>12</v>
      </c>
      <c r="K749" s="448"/>
    </row>
    <row r="750" ht="22.5" customHeight="1">
      <c r="A750" s="443"/>
      <c r="B750" s="456"/>
      <c r="C750" s="471"/>
      <c r="D750" s="471"/>
      <c r="E750" s="445"/>
      <c r="F750" s="445"/>
      <c r="G750" s="442"/>
      <c r="H750" s="448"/>
      <c r="I750" s="447"/>
      <c r="J750" s="448">
        <f t="shared" si="5"/>
        <v>12</v>
      </c>
      <c r="K750" s="448"/>
    </row>
    <row r="751" ht="22.5" customHeight="1">
      <c r="A751" s="443"/>
      <c r="B751" s="456"/>
      <c r="C751" s="471"/>
      <c r="D751" s="471"/>
      <c r="E751" s="445"/>
      <c r="F751" s="445"/>
      <c r="G751" s="442"/>
      <c r="H751" s="448"/>
      <c r="I751" s="447"/>
      <c r="J751" s="448">
        <f t="shared" si="5"/>
        <v>12</v>
      </c>
      <c r="K751" s="448"/>
    </row>
    <row r="752" ht="22.5" customHeight="1">
      <c r="A752" s="443"/>
      <c r="B752" s="456"/>
      <c r="C752" s="471"/>
      <c r="D752" s="471"/>
      <c r="E752" s="445"/>
      <c r="F752" s="445"/>
      <c r="G752" s="442"/>
      <c r="H752" s="448"/>
      <c r="I752" s="447"/>
      <c r="J752" s="448">
        <f t="shared" si="5"/>
        <v>12</v>
      </c>
      <c r="K752" s="448"/>
    </row>
    <row r="753" ht="22.5" customHeight="1">
      <c r="A753" s="443"/>
      <c r="B753" s="456"/>
      <c r="C753" s="471"/>
      <c r="D753" s="471"/>
      <c r="E753" s="445"/>
      <c r="F753" s="445"/>
      <c r="G753" s="442"/>
      <c r="H753" s="448"/>
      <c r="I753" s="447"/>
      <c r="J753" s="448">
        <f t="shared" si="5"/>
        <v>12</v>
      </c>
      <c r="K753" s="448"/>
    </row>
    <row r="754" ht="22.5" customHeight="1">
      <c r="A754" s="443"/>
      <c r="B754" s="456"/>
      <c r="C754" s="471"/>
      <c r="D754" s="471"/>
      <c r="E754" s="445"/>
      <c r="F754" s="445"/>
      <c r="G754" s="442"/>
      <c r="H754" s="448"/>
      <c r="I754" s="447"/>
      <c r="J754" s="448">
        <f t="shared" si="5"/>
        <v>12</v>
      </c>
      <c r="K754" s="448"/>
    </row>
    <row r="755" ht="22.5" customHeight="1">
      <c r="A755" s="443"/>
      <c r="B755" s="456"/>
      <c r="C755" s="471"/>
      <c r="D755" s="471"/>
      <c r="E755" s="445"/>
      <c r="F755" s="445"/>
      <c r="G755" s="442"/>
      <c r="H755" s="448"/>
      <c r="I755" s="447"/>
      <c r="J755" s="448">
        <f t="shared" si="5"/>
        <v>12</v>
      </c>
      <c r="K755" s="448"/>
    </row>
    <row r="756" ht="22.5" customHeight="1">
      <c r="A756" s="443"/>
      <c r="B756" s="456"/>
      <c r="C756" s="471"/>
      <c r="D756" s="471"/>
      <c r="E756" s="445"/>
      <c r="F756" s="445"/>
      <c r="G756" s="442"/>
      <c r="H756" s="448"/>
      <c r="I756" s="447"/>
      <c r="J756" s="448">
        <f t="shared" si="5"/>
        <v>12</v>
      </c>
      <c r="K756" s="448"/>
    </row>
    <row r="757" ht="22.5" customHeight="1">
      <c r="A757" s="443"/>
      <c r="B757" s="456"/>
      <c r="C757" s="471"/>
      <c r="D757" s="471"/>
      <c r="E757" s="445"/>
      <c r="F757" s="445"/>
      <c r="G757" s="442"/>
      <c r="H757" s="448"/>
      <c r="I757" s="447"/>
      <c r="J757" s="448">
        <f t="shared" si="5"/>
        <v>12</v>
      </c>
      <c r="K757" s="448"/>
    </row>
    <row r="758" ht="22.5" customHeight="1">
      <c r="A758" s="443"/>
      <c r="B758" s="456"/>
      <c r="C758" s="471"/>
      <c r="D758" s="471"/>
      <c r="E758" s="445"/>
      <c r="F758" s="445"/>
      <c r="G758" s="442"/>
      <c r="H758" s="448"/>
      <c r="I758" s="447"/>
      <c r="J758" s="448">
        <f t="shared" si="5"/>
        <v>12</v>
      </c>
      <c r="K758" s="448"/>
    </row>
    <row r="759" ht="22.5" customHeight="1">
      <c r="A759" s="443"/>
      <c r="B759" s="456"/>
      <c r="C759" s="471"/>
      <c r="D759" s="471"/>
      <c r="E759" s="445"/>
      <c r="F759" s="445"/>
      <c r="G759" s="442"/>
      <c r="H759" s="448"/>
      <c r="I759" s="447"/>
      <c r="J759" s="448">
        <f t="shared" si="5"/>
        <v>12</v>
      </c>
      <c r="K759" s="448"/>
    </row>
    <row r="760" ht="22.5" customHeight="1">
      <c r="A760" s="443"/>
      <c r="B760" s="456"/>
      <c r="C760" s="471"/>
      <c r="D760" s="471"/>
      <c r="E760" s="445"/>
      <c r="F760" s="445"/>
      <c r="G760" s="442"/>
      <c r="H760" s="448"/>
      <c r="I760" s="447"/>
      <c r="J760" s="448">
        <f t="shared" si="5"/>
        <v>12</v>
      </c>
      <c r="K760" s="448"/>
    </row>
    <row r="761" ht="22.5" customHeight="1">
      <c r="A761" s="443"/>
      <c r="B761" s="456"/>
      <c r="C761" s="471"/>
      <c r="D761" s="471"/>
      <c r="E761" s="445"/>
      <c r="F761" s="445"/>
      <c r="G761" s="442"/>
      <c r="H761" s="448"/>
      <c r="I761" s="447"/>
      <c r="J761" s="448">
        <f t="shared" si="5"/>
        <v>12</v>
      </c>
      <c r="K761" s="448"/>
    </row>
    <row r="762" ht="22.5" customHeight="1">
      <c r="A762" s="443"/>
      <c r="B762" s="456"/>
      <c r="C762" s="471"/>
      <c r="D762" s="471"/>
      <c r="E762" s="445"/>
      <c r="F762" s="445"/>
      <c r="G762" s="442"/>
      <c r="H762" s="448"/>
      <c r="I762" s="447"/>
      <c r="J762" s="448">
        <f t="shared" si="5"/>
        <v>12</v>
      </c>
      <c r="K762" s="448"/>
    </row>
    <row r="763" ht="22.5" customHeight="1">
      <c r="A763" s="443"/>
      <c r="B763" s="456"/>
      <c r="C763" s="471"/>
      <c r="D763" s="471"/>
      <c r="E763" s="445"/>
      <c r="F763" s="445"/>
      <c r="G763" s="442"/>
      <c r="H763" s="448"/>
      <c r="I763" s="447"/>
      <c r="J763" s="448">
        <f t="shared" si="5"/>
        <v>12</v>
      </c>
      <c r="K763" s="448"/>
    </row>
    <row r="764" ht="22.5" customHeight="1">
      <c r="A764" s="443"/>
      <c r="B764" s="456"/>
      <c r="C764" s="471"/>
      <c r="D764" s="471"/>
      <c r="E764" s="445"/>
      <c r="F764" s="445"/>
      <c r="G764" s="442"/>
      <c r="H764" s="448"/>
      <c r="I764" s="447"/>
      <c r="J764" s="448">
        <f t="shared" si="5"/>
        <v>12</v>
      </c>
      <c r="K764" s="448"/>
    </row>
    <row r="765" ht="22.5" customHeight="1">
      <c r="A765" s="443"/>
      <c r="B765" s="456"/>
      <c r="C765" s="471"/>
      <c r="D765" s="471"/>
      <c r="E765" s="445"/>
      <c r="F765" s="445"/>
      <c r="G765" s="442"/>
      <c r="H765" s="448"/>
      <c r="I765" s="447"/>
      <c r="J765" s="448">
        <f t="shared" si="5"/>
        <v>12</v>
      </c>
      <c r="K765" s="448"/>
    </row>
    <row r="766" ht="22.5" customHeight="1">
      <c r="A766" s="443"/>
      <c r="B766" s="456"/>
      <c r="C766" s="471"/>
      <c r="D766" s="471"/>
      <c r="E766" s="445"/>
      <c r="F766" s="445"/>
      <c r="G766" s="442"/>
      <c r="H766" s="448"/>
      <c r="I766" s="447"/>
      <c r="J766" s="448">
        <f t="shared" si="5"/>
        <v>12</v>
      </c>
      <c r="K766" s="448"/>
    </row>
    <row r="767" ht="22.5" customHeight="1">
      <c r="A767" s="443"/>
      <c r="B767" s="456"/>
      <c r="C767" s="471"/>
      <c r="D767" s="471"/>
      <c r="E767" s="445"/>
      <c r="F767" s="445"/>
      <c r="G767" s="442"/>
      <c r="H767" s="448"/>
      <c r="I767" s="447"/>
      <c r="J767" s="448">
        <f t="shared" si="5"/>
        <v>12</v>
      </c>
      <c r="K767" s="448"/>
    </row>
    <row r="768" ht="22.5" customHeight="1">
      <c r="A768" s="443"/>
      <c r="B768" s="456"/>
      <c r="C768" s="471"/>
      <c r="D768" s="471"/>
      <c r="E768" s="445"/>
      <c r="F768" s="445"/>
      <c r="G768" s="442"/>
      <c r="H768" s="448"/>
      <c r="I768" s="447"/>
      <c r="J768" s="448">
        <f t="shared" si="5"/>
        <v>12</v>
      </c>
      <c r="K768" s="448"/>
    </row>
    <row r="769" ht="22.5" customHeight="1">
      <c r="A769" s="443"/>
      <c r="B769" s="456"/>
      <c r="C769" s="471"/>
      <c r="D769" s="471"/>
      <c r="E769" s="445"/>
      <c r="F769" s="445"/>
      <c r="G769" s="442"/>
      <c r="H769" s="448"/>
      <c r="I769" s="447"/>
      <c r="J769" s="448">
        <f t="shared" si="5"/>
        <v>12</v>
      </c>
      <c r="K769" s="448"/>
    </row>
    <row r="770" ht="22.5" customHeight="1">
      <c r="A770" s="443"/>
      <c r="B770" s="456"/>
      <c r="C770" s="471"/>
      <c r="D770" s="471"/>
      <c r="E770" s="445"/>
      <c r="F770" s="445"/>
      <c r="G770" s="442"/>
      <c r="H770" s="448"/>
      <c r="I770" s="447"/>
      <c r="J770" s="448">
        <f t="shared" si="5"/>
        <v>12</v>
      </c>
      <c r="K770" s="448"/>
    </row>
    <row r="771" ht="22.5" customHeight="1">
      <c r="A771" s="443"/>
      <c r="B771" s="456"/>
      <c r="C771" s="471"/>
      <c r="D771" s="471"/>
      <c r="E771" s="445"/>
      <c r="F771" s="445"/>
      <c r="G771" s="442"/>
      <c r="H771" s="448"/>
      <c r="I771" s="447"/>
      <c r="J771" s="448">
        <f t="shared" si="5"/>
        <v>12</v>
      </c>
      <c r="K771" s="448"/>
    </row>
    <row r="772" ht="22.5" customHeight="1">
      <c r="A772" s="443"/>
      <c r="B772" s="456"/>
      <c r="C772" s="471"/>
      <c r="D772" s="471"/>
      <c r="E772" s="445"/>
      <c r="F772" s="445"/>
      <c r="G772" s="442"/>
      <c r="H772" s="448"/>
      <c r="I772" s="447"/>
      <c r="J772" s="448">
        <f t="shared" si="5"/>
        <v>12</v>
      </c>
      <c r="K772" s="448"/>
    </row>
    <row r="773" ht="22.5" customHeight="1">
      <c r="A773" s="443"/>
      <c r="B773" s="456"/>
      <c r="C773" s="471"/>
      <c r="D773" s="471"/>
      <c r="E773" s="445"/>
      <c r="F773" s="445"/>
      <c r="G773" s="442"/>
      <c r="H773" s="448"/>
      <c r="I773" s="447"/>
      <c r="J773" s="448">
        <f t="shared" si="5"/>
        <v>12</v>
      </c>
      <c r="K773" s="448"/>
    </row>
    <row r="774" ht="22.5" customHeight="1">
      <c r="A774" s="443"/>
      <c r="B774" s="456"/>
      <c r="C774" s="471"/>
      <c r="D774" s="471"/>
      <c r="E774" s="445"/>
      <c r="F774" s="445"/>
      <c r="G774" s="442"/>
      <c r="H774" s="448"/>
      <c r="I774" s="447"/>
      <c r="J774" s="448">
        <f t="shared" si="5"/>
        <v>12</v>
      </c>
      <c r="K774" s="448"/>
    </row>
    <row r="775" ht="22.5" customHeight="1">
      <c r="A775" s="443"/>
      <c r="B775" s="456"/>
      <c r="C775" s="471"/>
      <c r="D775" s="471"/>
      <c r="E775" s="445"/>
      <c r="F775" s="445"/>
      <c r="G775" s="442"/>
      <c r="H775" s="448"/>
      <c r="I775" s="447"/>
      <c r="J775" s="448">
        <f t="shared" si="5"/>
        <v>12</v>
      </c>
      <c r="K775" s="448"/>
    </row>
    <row r="776" ht="22.5" customHeight="1">
      <c r="A776" s="443"/>
      <c r="B776" s="456"/>
      <c r="C776" s="471"/>
      <c r="D776" s="471"/>
      <c r="E776" s="445"/>
      <c r="F776" s="445"/>
      <c r="G776" s="442"/>
      <c r="H776" s="448"/>
      <c r="I776" s="447"/>
      <c r="J776" s="448">
        <f t="shared" si="5"/>
        <v>12</v>
      </c>
      <c r="K776" s="448"/>
    </row>
    <row r="777" ht="22.5" customHeight="1">
      <c r="A777" s="443"/>
      <c r="B777" s="456"/>
      <c r="C777" s="471"/>
      <c r="D777" s="471"/>
      <c r="E777" s="445"/>
      <c r="F777" s="445"/>
      <c r="G777" s="442"/>
      <c r="H777" s="448"/>
      <c r="I777" s="447"/>
      <c r="J777" s="448">
        <f t="shared" si="5"/>
        <v>12</v>
      </c>
      <c r="K777" s="448"/>
    </row>
    <row r="778" ht="22.5" customHeight="1">
      <c r="A778" s="443"/>
      <c r="B778" s="456"/>
      <c r="C778" s="471"/>
      <c r="D778" s="471"/>
      <c r="E778" s="445"/>
      <c r="F778" s="445"/>
      <c r="G778" s="442"/>
      <c r="H778" s="448"/>
      <c r="I778" s="447"/>
      <c r="J778" s="448">
        <f t="shared" si="5"/>
        <v>12</v>
      </c>
      <c r="K778" s="448"/>
    </row>
    <row r="779" ht="22.5" customHeight="1">
      <c r="A779" s="443"/>
      <c r="B779" s="456"/>
      <c r="C779" s="471"/>
      <c r="D779" s="471"/>
      <c r="E779" s="445"/>
      <c r="F779" s="445"/>
      <c r="G779" s="442"/>
      <c r="H779" s="448"/>
      <c r="I779" s="447"/>
      <c r="J779" s="448">
        <f t="shared" si="5"/>
        <v>12</v>
      </c>
      <c r="K779" s="448"/>
    </row>
    <row r="780" ht="22.5" customHeight="1">
      <c r="A780" s="443"/>
      <c r="B780" s="456"/>
      <c r="C780" s="471"/>
      <c r="D780" s="471"/>
      <c r="E780" s="445"/>
      <c r="F780" s="445"/>
      <c r="G780" s="442"/>
      <c r="H780" s="448"/>
      <c r="I780" s="447"/>
      <c r="J780" s="448">
        <f t="shared" si="5"/>
        <v>12</v>
      </c>
      <c r="K780" s="448"/>
    </row>
    <row r="781" ht="22.5" customHeight="1">
      <c r="A781" s="443"/>
      <c r="B781" s="456"/>
      <c r="C781" s="471"/>
      <c r="D781" s="471"/>
      <c r="E781" s="445"/>
      <c r="F781" s="445"/>
      <c r="G781" s="442"/>
      <c r="H781" s="448"/>
      <c r="I781" s="447"/>
      <c r="J781" s="448">
        <f t="shared" si="5"/>
        <v>12</v>
      </c>
      <c r="K781" s="448"/>
    </row>
    <row r="782" ht="22.5" customHeight="1">
      <c r="A782" s="443"/>
      <c r="B782" s="456"/>
      <c r="C782" s="471"/>
      <c r="D782" s="471"/>
      <c r="E782" s="445"/>
      <c r="F782" s="445"/>
      <c r="G782" s="442"/>
      <c r="H782" s="448"/>
      <c r="I782" s="447"/>
      <c r="J782" s="448">
        <f t="shared" si="5"/>
        <v>12</v>
      </c>
      <c r="K782" s="448"/>
    </row>
    <row r="783" ht="22.5" customHeight="1">
      <c r="A783" s="443"/>
      <c r="B783" s="456"/>
      <c r="C783" s="471"/>
      <c r="D783" s="471"/>
      <c r="E783" s="445"/>
      <c r="F783" s="445"/>
      <c r="G783" s="442"/>
      <c r="H783" s="448"/>
      <c r="I783" s="447"/>
      <c r="J783" s="448">
        <f t="shared" si="5"/>
        <v>12</v>
      </c>
      <c r="K783" s="448"/>
    </row>
    <row r="784" ht="22.5" customHeight="1">
      <c r="A784" s="443"/>
      <c r="B784" s="456"/>
      <c r="C784" s="471"/>
      <c r="D784" s="471"/>
      <c r="E784" s="445"/>
      <c r="F784" s="445"/>
      <c r="G784" s="442"/>
      <c r="H784" s="448"/>
      <c r="I784" s="447"/>
      <c r="J784" s="448">
        <f t="shared" si="5"/>
        <v>12</v>
      </c>
      <c r="K784" s="448"/>
    </row>
    <row r="785" ht="22.5" customHeight="1">
      <c r="A785" s="443"/>
      <c r="B785" s="456"/>
      <c r="C785" s="471"/>
      <c r="D785" s="471"/>
      <c r="E785" s="445"/>
      <c r="F785" s="445"/>
      <c r="G785" s="442"/>
      <c r="H785" s="448"/>
      <c r="I785" s="447"/>
      <c r="J785" s="448">
        <f t="shared" si="5"/>
        <v>12</v>
      </c>
      <c r="K785" s="448"/>
    </row>
    <row r="786" ht="22.5" customHeight="1">
      <c r="A786" s="443"/>
      <c r="B786" s="477"/>
      <c r="C786" s="489"/>
      <c r="D786" s="489"/>
      <c r="E786" s="481"/>
      <c r="F786" s="481"/>
      <c r="G786" s="482"/>
      <c r="H786" s="483"/>
      <c r="I786" s="484"/>
      <c r="J786" s="483">
        <f t="shared" si="5"/>
        <v>12</v>
      </c>
      <c r="K786" s="448"/>
    </row>
    <row r="787" ht="22.5" customHeight="1">
      <c r="A787" s="443"/>
      <c r="B787" s="456"/>
      <c r="C787" s="471"/>
      <c r="D787" s="471"/>
      <c r="E787" s="445"/>
      <c r="F787" s="445"/>
      <c r="G787" s="442"/>
      <c r="H787" s="448"/>
      <c r="I787" s="447"/>
      <c r="J787" s="448">
        <f t="shared" si="5"/>
        <v>12</v>
      </c>
      <c r="K787" s="448"/>
    </row>
    <row r="788" ht="22.5" customHeight="1">
      <c r="A788" s="443"/>
      <c r="B788" s="456"/>
      <c r="C788" s="471"/>
      <c r="D788" s="471"/>
      <c r="E788" s="445"/>
      <c r="F788" s="445"/>
      <c r="G788" s="442"/>
      <c r="H788" s="448"/>
      <c r="I788" s="447"/>
      <c r="J788" s="448">
        <f t="shared" si="5"/>
        <v>12</v>
      </c>
      <c r="K788" s="448"/>
    </row>
    <row r="789" ht="22.5" customHeight="1">
      <c r="A789" s="443"/>
      <c r="B789" s="456"/>
      <c r="C789" s="471"/>
      <c r="D789" s="471"/>
      <c r="E789" s="445"/>
      <c r="F789" s="445"/>
      <c r="G789" s="442"/>
      <c r="H789" s="448"/>
      <c r="I789" s="447"/>
      <c r="J789" s="448">
        <f t="shared" si="5"/>
        <v>12</v>
      </c>
      <c r="K789" s="448"/>
    </row>
    <row r="790" ht="22.5" customHeight="1">
      <c r="A790" s="443"/>
      <c r="B790" s="456"/>
      <c r="C790" s="471"/>
      <c r="D790" s="471"/>
      <c r="E790" s="445"/>
      <c r="F790" s="445"/>
      <c r="G790" s="442"/>
      <c r="H790" s="448"/>
      <c r="I790" s="447"/>
      <c r="J790" s="448">
        <f t="shared" si="5"/>
        <v>12</v>
      </c>
      <c r="K790" s="448"/>
    </row>
    <row r="791" ht="22.5" customHeight="1">
      <c r="A791" s="443"/>
      <c r="B791" s="456"/>
      <c r="C791" s="471"/>
      <c r="D791" s="471"/>
      <c r="E791" s="445"/>
      <c r="F791" s="445"/>
      <c r="G791" s="442"/>
      <c r="H791" s="448"/>
      <c r="I791" s="447"/>
      <c r="J791" s="448">
        <f t="shared" si="5"/>
        <v>12</v>
      </c>
      <c r="K791" s="448"/>
    </row>
    <row r="792" ht="22.5" customHeight="1">
      <c r="A792" s="443"/>
      <c r="B792" s="456"/>
      <c r="C792" s="471"/>
      <c r="D792" s="471"/>
      <c r="E792" s="445"/>
      <c r="F792" s="442"/>
      <c r="G792" s="442"/>
      <c r="H792" s="448"/>
      <c r="I792" s="447"/>
      <c r="J792" s="448">
        <f t="shared" si="5"/>
        <v>12</v>
      </c>
      <c r="K792" s="448"/>
    </row>
    <row r="793" ht="22.5" customHeight="1">
      <c r="A793" s="443"/>
      <c r="B793" s="456"/>
      <c r="C793" s="471"/>
      <c r="D793" s="471"/>
      <c r="E793" s="445"/>
      <c r="F793" s="445"/>
      <c r="G793" s="442"/>
      <c r="H793" s="448"/>
      <c r="I793" s="447"/>
      <c r="J793" s="448">
        <f t="shared" si="5"/>
        <v>12</v>
      </c>
      <c r="K793" s="448"/>
    </row>
    <row r="794" ht="22.5" customHeight="1">
      <c r="A794" s="443"/>
      <c r="B794" s="456"/>
      <c r="C794" s="471"/>
      <c r="D794" s="471"/>
      <c r="E794" s="445"/>
      <c r="F794" s="445"/>
      <c r="G794" s="442"/>
      <c r="H794" s="448"/>
      <c r="I794" s="447"/>
      <c r="J794" s="448">
        <f t="shared" si="5"/>
        <v>12</v>
      </c>
      <c r="K794" s="448"/>
    </row>
    <row r="795" ht="22.5" customHeight="1">
      <c r="A795" s="443"/>
      <c r="B795" s="456"/>
      <c r="C795" s="471"/>
      <c r="D795" s="471"/>
      <c r="E795" s="445"/>
      <c r="F795" s="445"/>
      <c r="G795" s="442"/>
      <c r="H795" s="448"/>
      <c r="I795" s="447"/>
      <c r="J795" s="448">
        <f t="shared" si="5"/>
        <v>12</v>
      </c>
      <c r="K795" s="448"/>
    </row>
    <row r="796" ht="22.5" customHeight="1">
      <c r="A796" s="443"/>
      <c r="B796" s="456"/>
      <c r="C796" s="471"/>
      <c r="D796" s="471"/>
      <c r="E796" s="445"/>
      <c r="F796" s="445"/>
      <c r="G796" s="442"/>
      <c r="H796" s="448"/>
      <c r="I796" s="447"/>
      <c r="J796" s="448">
        <f t="shared" si="5"/>
        <v>12</v>
      </c>
      <c r="K796" s="448"/>
    </row>
    <row r="797" ht="22.5" customHeight="1">
      <c r="A797" s="443"/>
      <c r="B797" s="456"/>
      <c r="C797" s="471"/>
      <c r="D797" s="471"/>
      <c r="E797" s="445"/>
      <c r="F797" s="445"/>
      <c r="G797" s="442"/>
      <c r="H797" s="448"/>
      <c r="I797" s="447"/>
      <c r="J797" s="448">
        <f t="shared" si="5"/>
        <v>12</v>
      </c>
      <c r="K797" s="448"/>
    </row>
    <row r="798" ht="22.5" customHeight="1">
      <c r="A798" s="443"/>
      <c r="B798" s="456"/>
      <c r="C798" s="471"/>
      <c r="D798" s="471"/>
      <c r="E798" s="445"/>
      <c r="F798" s="442"/>
      <c r="G798" s="442"/>
      <c r="H798" s="448"/>
      <c r="I798" s="447"/>
      <c r="J798" s="448">
        <f t="shared" si="5"/>
        <v>12</v>
      </c>
      <c r="K798" s="448"/>
    </row>
    <row r="799" ht="22.5" customHeight="1">
      <c r="A799" s="443"/>
      <c r="B799" s="456"/>
      <c r="C799" s="471"/>
      <c r="D799" s="471"/>
      <c r="E799" s="445"/>
      <c r="F799" s="445"/>
      <c r="G799" s="442"/>
      <c r="H799" s="448"/>
      <c r="I799" s="447"/>
      <c r="J799" s="448">
        <f t="shared" si="5"/>
        <v>12</v>
      </c>
      <c r="K799" s="448"/>
    </row>
    <row r="800" ht="22.5" customHeight="1">
      <c r="A800" s="443"/>
      <c r="B800" s="456"/>
      <c r="C800" s="471"/>
      <c r="D800" s="471"/>
      <c r="E800" s="445"/>
      <c r="F800" s="445"/>
      <c r="G800" s="442"/>
      <c r="H800" s="448"/>
      <c r="I800" s="447"/>
      <c r="J800" s="448">
        <f t="shared" si="5"/>
        <v>12</v>
      </c>
      <c r="K800" s="448"/>
    </row>
    <row r="801" ht="22.5" customHeight="1">
      <c r="A801" s="443"/>
      <c r="B801" s="456"/>
      <c r="C801" s="471"/>
      <c r="D801" s="471"/>
      <c r="E801" s="445"/>
      <c r="F801" s="445"/>
      <c r="G801" s="442"/>
      <c r="H801" s="448"/>
      <c r="I801" s="447"/>
      <c r="J801" s="448">
        <f t="shared" si="5"/>
        <v>12</v>
      </c>
      <c r="K801" s="448"/>
    </row>
    <row r="802" ht="22.5" customHeight="1">
      <c r="A802" s="443"/>
      <c r="B802" s="456"/>
      <c r="C802" s="471"/>
      <c r="D802" s="471"/>
      <c r="E802" s="445"/>
      <c r="F802" s="445"/>
      <c r="G802" s="442"/>
      <c r="H802" s="448"/>
      <c r="I802" s="447"/>
      <c r="J802" s="448">
        <f t="shared" si="5"/>
        <v>12</v>
      </c>
      <c r="K802" s="448"/>
    </row>
    <row r="803" ht="22.5" customHeight="1">
      <c r="A803" s="443"/>
      <c r="B803" s="456"/>
      <c r="C803" s="471"/>
      <c r="D803" s="471"/>
      <c r="E803" s="445"/>
      <c r="F803" s="445"/>
      <c r="G803" s="442"/>
      <c r="H803" s="448"/>
      <c r="I803" s="447"/>
      <c r="J803" s="448">
        <f t="shared" si="5"/>
        <v>12</v>
      </c>
      <c r="K803" s="448"/>
    </row>
    <row r="804" ht="22.5" customHeight="1">
      <c r="A804" s="443"/>
      <c r="B804" s="456"/>
      <c r="C804" s="471"/>
      <c r="D804" s="471"/>
      <c r="E804" s="445"/>
      <c r="F804" s="445"/>
      <c r="G804" s="442"/>
      <c r="H804" s="448"/>
      <c r="I804" s="447"/>
      <c r="J804" s="448">
        <f t="shared" si="5"/>
        <v>12</v>
      </c>
      <c r="K804" s="448"/>
    </row>
    <row r="805" ht="22.5" customHeight="1">
      <c r="A805" s="443"/>
      <c r="B805" s="456"/>
      <c r="C805" s="471"/>
      <c r="D805" s="471"/>
      <c r="E805" s="445"/>
      <c r="F805" s="445"/>
      <c r="G805" s="442"/>
      <c r="H805" s="448"/>
      <c r="I805" s="447"/>
      <c r="J805" s="448">
        <f t="shared" si="5"/>
        <v>12</v>
      </c>
      <c r="K805" s="448"/>
    </row>
    <row r="806" ht="22.5" customHeight="1">
      <c r="A806" s="443"/>
      <c r="B806" s="456"/>
      <c r="C806" s="471"/>
      <c r="D806" s="471"/>
      <c r="E806" s="445"/>
      <c r="F806" s="445"/>
      <c r="G806" s="442"/>
      <c r="H806" s="448"/>
      <c r="I806" s="447"/>
      <c r="J806" s="448">
        <f t="shared" si="5"/>
        <v>12</v>
      </c>
      <c r="K806" s="448"/>
    </row>
    <row r="807" ht="22.5" customHeight="1">
      <c r="A807" s="443"/>
      <c r="B807" s="456"/>
      <c r="C807" s="471"/>
      <c r="D807" s="471"/>
      <c r="E807" s="445"/>
      <c r="F807" s="445"/>
      <c r="G807" s="442"/>
      <c r="H807" s="448"/>
      <c r="I807" s="447"/>
      <c r="J807" s="448">
        <f t="shared" si="5"/>
        <v>12</v>
      </c>
      <c r="K807" s="448"/>
    </row>
    <row r="808" ht="22.5" customHeight="1">
      <c r="A808" s="443"/>
      <c r="B808" s="456"/>
      <c r="C808" s="471"/>
      <c r="D808" s="471"/>
      <c r="E808" s="445"/>
      <c r="F808" s="445"/>
      <c r="G808" s="442"/>
      <c r="H808" s="448"/>
      <c r="I808" s="447"/>
      <c r="J808" s="448">
        <f t="shared" si="5"/>
        <v>12</v>
      </c>
      <c r="K808" s="448"/>
    </row>
    <row r="809" ht="22.5" customHeight="1">
      <c r="A809" s="443"/>
      <c r="B809" s="456"/>
      <c r="C809" s="471"/>
      <c r="D809" s="471"/>
      <c r="E809" s="445"/>
      <c r="F809" s="445"/>
      <c r="G809" s="442"/>
      <c r="H809" s="448"/>
      <c r="I809" s="447"/>
      <c r="J809" s="448">
        <f t="shared" si="5"/>
        <v>12</v>
      </c>
      <c r="K809" s="448"/>
    </row>
    <row r="810" ht="22.5" customHeight="1">
      <c r="A810" s="443"/>
      <c r="B810" s="456"/>
      <c r="C810" s="471"/>
      <c r="D810" s="471"/>
      <c r="E810" s="445"/>
      <c r="F810" s="445"/>
      <c r="G810" s="442"/>
      <c r="H810" s="448"/>
      <c r="I810" s="447"/>
      <c r="J810" s="448">
        <f t="shared" si="5"/>
        <v>12</v>
      </c>
      <c r="K810" s="448"/>
    </row>
    <row r="811" ht="22.5" customHeight="1">
      <c r="A811" s="443"/>
      <c r="B811" s="456"/>
      <c r="C811" s="471"/>
      <c r="D811" s="471"/>
      <c r="E811" s="445"/>
      <c r="F811" s="445"/>
      <c r="G811" s="442"/>
      <c r="H811" s="448"/>
      <c r="I811" s="447"/>
      <c r="J811" s="448">
        <f t="shared" si="5"/>
        <v>12</v>
      </c>
      <c r="K811" s="448"/>
    </row>
    <row r="812" ht="22.5" customHeight="1">
      <c r="A812" s="443"/>
      <c r="B812" s="456"/>
      <c r="C812" s="471"/>
      <c r="D812" s="471"/>
      <c r="E812" s="445"/>
      <c r="F812" s="445"/>
      <c r="G812" s="442"/>
      <c r="H812" s="448"/>
      <c r="I812" s="447"/>
      <c r="J812" s="448">
        <f t="shared" si="5"/>
        <v>12</v>
      </c>
      <c r="K812" s="448"/>
    </row>
    <row r="813" ht="22.5" customHeight="1">
      <c r="A813" s="443"/>
      <c r="B813" s="456"/>
      <c r="C813" s="471"/>
      <c r="D813" s="471"/>
      <c r="E813" s="445"/>
      <c r="F813" s="445"/>
      <c r="G813" s="442"/>
      <c r="H813" s="448"/>
      <c r="I813" s="447"/>
      <c r="J813" s="448">
        <f t="shared" si="5"/>
        <v>12</v>
      </c>
      <c r="K813" s="448"/>
    </row>
    <row r="814" ht="22.5" customHeight="1">
      <c r="A814" s="443"/>
      <c r="B814" s="456"/>
      <c r="C814" s="471"/>
      <c r="D814" s="471"/>
      <c r="E814" s="445"/>
      <c r="F814" s="445"/>
      <c r="G814" s="442"/>
      <c r="H814" s="448"/>
      <c r="I814" s="447"/>
      <c r="J814" s="448">
        <f t="shared" si="5"/>
        <v>12</v>
      </c>
      <c r="K814" s="448"/>
    </row>
    <row r="815" ht="22.5" customHeight="1">
      <c r="A815" s="443"/>
      <c r="B815" s="456"/>
      <c r="C815" s="471"/>
      <c r="D815" s="471"/>
      <c r="E815" s="445"/>
      <c r="F815" s="445"/>
      <c r="G815" s="442"/>
      <c r="H815" s="448"/>
      <c r="I815" s="447"/>
      <c r="J815" s="448">
        <f t="shared" si="5"/>
        <v>12</v>
      </c>
      <c r="K815" s="448"/>
    </row>
    <row r="816" ht="22.5" customHeight="1">
      <c r="A816" s="443"/>
      <c r="B816" s="456"/>
      <c r="C816" s="471"/>
      <c r="D816" s="471"/>
      <c r="E816" s="445"/>
      <c r="F816" s="445"/>
      <c r="G816" s="442"/>
      <c r="H816" s="448"/>
      <c r="I816" s="447"/>
      <c r="J816" s="448">
        <f t="shared" si="5"/>
        <v>12</v>
      </c>
      <c r="K816" s="448"/>
    </row>
    <row r="817" ht="22.5" customHeight="1">
      <c r="A817" s="443"/>
      <c r="B817" s="456"/>
      <c r="C817" s="471"/>
      <c r="D817" s="471"/>
      <c r="E817" s="445"/>
      <c r="F817" s="445"/>
      <c r="G817" s="442"/>
      <c r="H817" s="448"/>
      <c r="I817" s="447"/>
      <c r="J817" s="448">
        <f t="shared" si="5"/>
        <v>12</v>
      </c>
      <c r="K817" s="448"/>
    </row>
    <row r="818" ht="22.5" customHeight="1">
      <c r="A818" s="443"/>
      <c r="B818" s="456"/>
      <c r="C818" s="471"/>
      <c r="D818" s="471"/>
      <c r="E818" s="445"/>
      <c r="F818" s="445"/>
      <c r="G818" s="442"/>
      <c r="H818" s="448"/>
      <c r="I818" s="447"/>
      <c r="J818" s="448">
        <f t="shared" si="5"/>
        <v>12</v>
      </c>
      <c r="K818" s="448"/>
    </row>
    <row r="819" ht="22.5" customHeight="1">
      <c r="A819" s="443"/>
      <c r="B819" s="456"/>
      <c r="C819" s="471"/>
      <c r="D819" s="471"/>
      <c r="E819" s="445"/>
      <c r="F819" s="445"/>
      <c r="G819" s="442"/>
      <c r="H819" s="448"/>
      <c r="I819" s="447"/>
      <c r="J819" s="448">
        <f t="shared" si="5"/>
        <v>12</v>
      </c>
      <c r="K819" s="448"/>
    </row>
    <row r="820" ht="22.5" customHeight="1">
      <c r="A820" s="443"/>
      <c r="B820" s="456"/>
      <c r="C820" s="471"/>
      <c r="D820" s="471"/>
      <c r="E820" s="445"/>
      <c r="F820" s="445"/>
      <c r="G820" s="442"/>
      <c r="H820" s="448"/>
      <c r="I820" s="447"/>
      <c r="J820" s="448">
        <f t="shared" si="5"/>
        <v>12</v>
      </c>
      <c r="K820" s="448"/>
    </row>
    <row r="821" ht="22.5" customHeight="1">
      <c r="A821" s="443"/>
      <c r="B821" s="456"/>
      <c r="C821" s="471"/>
      <c r="D821" s="471"/>
      <c r="E821" s="445"/>
      <c r="F821" s="445"/>
      <c r="G821" s="442"/>
      <c r="H821" s="448"/>
      <c r="I821" s="447"/>
      <c r="J821" s="448">
        <f t="shared" si="5"/>
        <v>12</v>
      </c>
      <c r="K821" s="448"/>
    </row>
    <row r="822" ht="22.5" customHeight="1">
      <c r="A822" s="443"/>
      <c r="B822" s="456"/>
      <c r="C822" s="471"/>
      <c r="D822" s="471"/>
      <c r="E822" s="445"/>
      <c r="F822" s="445"/>
      <c r="G822" s="442"/>
      <c r="H822" s="448"/>
      <c r="I822" s="447"/>
      <c r="J822" s="448">
        <f t="shared" si="5"/>
        <v>12</v>
      </c>
      <c r="K822" s="448"/>
    </row>
    <row r="823" ht="22.5" customHeight="1">
      <c r="A823" s="443"/>
      <c r="B823" s="456"/>
      <c r="C823" s="471"/>
      <c r="D823" s="471"/>
      <c r="E823" s="445"/>
      <c r="F823" s="490"/>
      <c r="G823" s="442"/>
      <c r="H823" s="448"/>
      <c r="I823" s="447"/>
      <c r="J823" s="448">
        <f t="shared" si="5"/>
        <v>12</v>
      </c>
      <c r="K823" s="448"/>
    </row>
    <row r="824" ht="22.5" customHeight="1">
      <c r="A824" s="443"/>
      <c r="B824" s="456"/>
      <c r="C824" s="471"/>
      <c r="D824" s="471"/>
      <c r="E824" s="445"/>
      <c r="F824" s="490"/>
      <c r="G824" s="442"/>
      <c r="H824" s="448"/>
      <c r="I824" s="447"/>
      <c r="J824" s="448">
        <f t="shared" si="5"/>
        <v>12</v>
      </c>
      <c r="K824" s="448"/>
    </row>
    <row r="825" ht="22.5" customHeight="1">
      <c r="A825" s="443"/>
      <c r="B825" s="456"/>
      <c r="C825" s="471"/>
      <c r="D825" s="471"/>
      <c r="E825" s="445"/>
      <c r="F825" s="445"/>
      <c r="G825" s="442"/>
      <c r="H825" s="448"/>
      <c r="I825" s="447"/>
      <c r="J825" s="448">
        <f t="shared" si="5"/>
        <v>12</v>
      </c>
      <c r="K825" s="448"/>
    </row>
    <row r="826" ht="22.5" customHeight="1">
      <c r="A826" s="443"/>
      <c r="B826" s="456"/>
      <c r="C826" s="471"/>
      <c r="D826" s="471"/>
      <c r="E826" s="445"/>
      <c r="F826" s="445"/>
      <c r="G826" s="442"/>
      <c r="H826" s="448"/>
      <c r="I826" s="447"/>
      <c r="J826" s="448">
        <f t="shared" si="5"/>
        <v>12</v>
      </c>
      <c r="K826" s="448"/>
    </row>
    <row r="827" ht="22.5" customHeight="1">
      <c r="A827" s="443"/>
      <c r="B827" s="456"/>
      <c r="C827" s="471"/>
      <c r="D827" s="471"/>
      <c r="E827" s="445"/>
      <c r="F827" s="445"/>
      <c r="G827" s="442"/>
      <c r="H827" s="448"/>
      <c r="I827" s="447"/>
      <c r="J827" s="448">
        <f t="shared" si="5"/>
        <v>12</v>
      </c>
      <c r="K827" s="448"/>
    </row>
    <row r="828" ht="22.5" customHeight="1">
      <c r="A828" s="443"/>
      <c r="B828" s="456"/>
      <c r="C828" s="471"/>
      <c r="D828" s="471"/>
      <c r="E828" s="445"/>
      <c r="F828" s="445"/>
      <c r="G828" s="442"/>
      <c r="H828" s="448"/>
      <c r="I828" s="447"/>
      <c r="J828" s="448">
        <f t="shared" si="5"/>
        <v>12</v>
      </c>
      <c r="K828" s="448"/>
    </row>
    <row r="829" ht="22.5" customHeight="1">
      <c r="A829" s="443"/>
      <c r="B829" s="456"/>
      <c r="C829" s="471"/>
      <c r="D829" s="471"/>
      <c r="E829" s="445"/>
      <c r="F829" s="445"/>
      <c r="G829" s="442"/>
      <c r="H829" s="448"/>
      <c r="I829" s="447"/>
      <c r="J829" s="448">
        <f t="shared" si="5"/>
        <v>12</v>
      </c>
      <c r="K829" s="448"/>
    </row>
    <row r="830" ht="22.5" customHeight="1">
      <c r="A830" s="443"/>
      <c r="B830" s="456"/>
      <c r="C830" s="471"/>
      <c r="D830" s="471"/>
      <c r="E830" s="445"/>
      <c r="F830" s="445"/>
      <c r="G830" s="442"/>
      <c r="H830" s="448"/>
      <c r="I830" s="447"/>
      <c r="J830" s="448">
        <f t="shared" si="5"/>
        <v>12</v>
      </c>
      <c r="K830" s="448"/>
    </row>
    <row r="831" ht="22.5" customHeight="1">
      <c r="A831" s="443"/>
      <c r="B831" s="456"/>
      <c r="C831" s="471"/>
      <c r="D831" s="471"/>
      <c r="E831" s="445"/>
      <c r="F831" s="445"/>
      <c r="G831" s="442"/>
      <c r="H831" s="448"/>
      <c r="I831" s="447"/>
      <c r="J831" s="448">
        <f t="shared" si="5"/>
        <v>12</v>
      </c>
      <c r="K831" s="448"/>
    </row>
    <row r="832" ht="22.5" customHeight="1">
      <c r="A832" s="443"/>
      <c r="B832" s="456"/>
      <c r="C832" s="471"/>
      <c r="D832" s="471"/>
      <c r="E832" s="445"/>
      <c r="F832" s="445"/>
      <c r="G832" s="442"/>
      <c r="H832" s="448"/>
      <c r="I832" s="447"/>
      <c r="J832" s="448">
        <f t="shared" si="5"/>
        <v>12</v>
      </c>
      <c r="K832" s="448"/>
    </row>
    <row r="833" ht="22.5" customHeight="1">
      <c r="A833" s="443"/>
      <c r="B833" s="456"/>
      <c r="C833" s="471"/>
      <c r="D833" s="471"/>
      <c r="E833" s="445"/>
      <c r="F833" s="445"/>
      <c r="G833" s="442"/>
      <c r="H833" s="448"/>
      <c r="I833" s="447"/>
      <c r="J833" s="448">
        <f t="shared" si="5"/>
        <v>12</v>
      </c>
      <c r="K833" s="448"/>
    </row>
    <row r="834" ht="22.5" customHeight="1">
      <c r="A834" s="443"/>
      <c r="B834" s="456"/>
      <c r="C834" s="471"/>
      <c r="D834" s="471"/>
      <c r="E834" s="445"/>
      <c r="F834" s="445"/>
      <c r="G834" s="442"/>
      <c r="H834" s="448"/>
      <c r="I834" s="447"/>
      <c r="J834" s="448">
        <f t="shared" si="5"/>
        <v>12</v>
      </c>
      <c r="K834" s="448"/>
    </row>
    <row r="835" ht="22.5" customHeight="1">
      <c r="A835" s="443"/>
      <c r="B835" s="456"/>
      <c r="C835" s="471"/>
      <c r="D835" s="471"/>
      <c r="E835" s="445"/>
      <c r="F835" s="445"/>
      <c r="G835" s="442"/>
      <c r="H835" s="448"/>
      <c r="I835" s="447"/>
      <c r="J835" s="448">
        <f t="shared" si="5"/>
        <v>12</v>
      </c>
      <c r="K835" s="448"/>
    </row>
    <row r="836" ht="22.5" customHeight="1">
      <c r="A836" s="443"/>
      <c r="B836" s="456"/>
      <c r="C836" s="471"/>
      <c r="D836" s="471"/>
      <c r="E836" s="445"/>
      <c r="F836" s="445"/>
      <c r="G836" s="442"/>
      <c r="H836" s="448"/>
      <c r="I836" s="447"/>
      <c r="J836" s="448">
        <f t="shared" si="5"/>
        <v>12</v>
      </c>
      <c r="K836" s="448"/>
    </row>
    <row r="837" ht="22.5" customHeight="1">
      <c r="A837" s="443"/>
      <c r="B837" s="456"/>
      <c r="C837" s="471"/>
      <c r="D837" s="471"/>
      <c r="E837" s="445"/>
      <c r="F837" s="445"/>
      <c r="G837" s="442"/>
      <c r="H837" s="448"/>
      <c r="I837" s="447"/>
      <c r="J837" s="448">
        <f t="shared" si="5"/>
        <v>12</v>
      </c>
      <c r="K837" s="448"/>
    </row>
    <row r="838" ht="22.5" customHeight="1">
      <c r="A838" s="443"/>
      <c r="B838" s="456"/>
      <c r="C838" s="471"/>
      <c r="D838" s="471"/>
      <c r="E838" s="445"/>
      <c r="F838" s="445"/>
      <c r="G838" s="442"/>
      <c r="H838" s="448"/>
      <c r="I838" s="447"/>
      <c r="J838" s="448">
        <f t="shared" si="5"/>
        <v>12</v>
      </c>
      <c r="K838" s="448"/>
    </row>
    <row r="839" ht="22.5" customHeight="1">
      <c r="A839" s="443"/>
      <c r="B839" s="456"/>
      <c r="C839" s="471"/>
      <c r="D839" s="471"/>
      <c r="E839" s="445"/>
      <c r="F839" s="445"/>
      <c r="G839" s="442"/>
      <c r="H839" s="448"/>
      <c r="I839" s="447"/>
      <c r="J839" s="448">
        <f t="shared" si="5"/>
        <v>12</v>
      </c>
      <c r="K839" s="448"/>
    </row>
    <row r="840" ht="22.5" customHeight="1">
      <c r="A840" s="443"/>
      <c r="B840" s="456"/>
      <c r="C840" s="471"/>
      <c r="D840" s="471"/>
      <c r="E840" s="445"/>
      <c r="F840" s="445"/>
      <c r="G840" s="442"/>
      <c r="H840" s="448"/>
      <c r="I840" s="447"/>
      <c r="J840" s="448">
        <f t="shared" si="5"/>
        <v>12</v>
      </c>
      <c r="K840" s="448"/>
    </row>
    <row r="841" ht="22.5" customHeight="1">
      <c r="A841" s="443"/>
      <c r="B841" s="456"/>
      <c r="C841" s="471"/>
      <c r="D841" s="471"/>
      <c r="E841" s="445"/>
      <c r="F841" s="445"/>
      <c r="G841" s="442"/>
      <c r="H841" s="448"/>
      <c r="I841" s="447"/>
      <c r="J841" s="448">
        <f t="shared" si="5"/>
        <v>12</v>
      </c>
      <c r="K841" s="448"/>
    </row>
    <row r="842" ht="22.5" customHeight="1">
      <c r="A842" s="443"/>
      <c r="B842" s="456"/>
      <c r="C842" s="471"/>
      <c r="D842" s="471"/>
      <c r="E842" s="445"/>
      <c r="F842" s="445"/>
      <c r="G842" s="442"/>
      <c r="H842" s="448"/>
      <c r="I842" s="447"/>
      <c r="J842" s="448">
        <f t="shared" si="5"/>
        <v>12</v>
      </c>
      <c r="K842" s="448"/>
    </row>
    <row r="843" ht="22.5" customHeight="1">
      <c r="A843" s="443"/>
      <c r="B843" s="456"/>
      <c r="C843" s="471"/>
      <c r="D843" s="471"/>
      <c r="E843" s="445"/>
      <c r="F843" s="445"/>
      <c r="G843" s="442"/>
      <c r="H843" s="448"/>
      <c r="I843" s="447"/>
      <c r="J843" s="448">
        <f t="shared" si="5"/>
        <v>12</v>
      </c>
      <c r="K843" s="448"/>
    </row>
    <row r="844" ht="22.5" customHeight="1">
      <c r="A844" s="443"/>
      <c r="B844" s="456"/>
      <c r="C844" s="471"/>
      <c r="D844" s="471"/>
      <c r="E844" s="445"/>
      <c r="F844" s="445"/>
      <c r="G844" s="442"/>
      <c r="H844" s="448"/>
      <c r="I844" s="447"/>
      <c r="J844" s="448">
        <f t="shared" si="5"/>
        <v>12</v>
      </c>
      <c r="K844" s="448"/>
    </row>
    <row r="845" ht="22.5" customHeight="1">
      <c r="A845" s="443"/>
      <c r="B845" s="456"/>
      <c r="C845" s="471"/>
      <c r="D845" s="471"/>
      <c r="E845" s="445"/>
      <c r="F845" s="445"/>
      <c r="G845" s="442"/>
      <c r="H845" s="448"/>
      <c r="I845" s="447"/>
      <c r="J845" s="448">
        <f t="shared" si="5"/>
        <v>12</v>
      </c>
      <c r="K845" s="448"/>
    </row>
    <row r="846" ht="22.5" customHeight="1">
      <c r="A846" s="443"/>
      <c r="B846" s="456"/>
      <c r="C846" s="471"/>
      <c r="D846" s="471"/>
      <c r="E846" s="445"/>
      <c r="F846" s="445"/>
      <c r="G846" s="442"/>
      <c r="H846" s="448" t="s">
        <v>2676</v>
      </c>
      <c r="I846" s="447"/>
      <c r="J846" s="448">
        <f t="shared" si="5"/>
        <v>12</v>
      </c>
      <c r="K846" s="448"/>
    </row>
    <row r="847" ht="22.5" customHeight="1">
      <c r="A847" s="443"/>
      <c r="B847" s="456"/>
      <c r="C847" s="471"/>
      <c r="D847" s="471"/>
      <c r="E847" s="445"/>
      <c r="F847" s="445"/>
      <c r="G847" s="442"/>
      <c r="H847" s="448"/>
      <c r="I847" s="447"/>
      <c r="J847" s="448">
        <f t="shared" si="5"/>
        <v>12</v>
      </c>
      <c r="K847" s="448"/>
    </row>
    <row r="848" ht="22.5" customHeight="1">
      <c r="A848" s="443"/>
      <c r="B848" s="456"/>
      <c r="C848" s="471"/>
      <c r="D848" s="471"/>
      <c r="E848" s="445"/>
      <c r="F848" s="445"/>
      <c r="G848" s="442"/>
      <c r="H848" s="448"/>
      <c r="I848" s="447"/>
      <c r="J848" s="448">
        <f t="shared" si="5"/>
        <v>12</v>
      </c>
      <c r="K848" s="448"/>
    </row>
    <row r="849" ht="22.5" customHeight="1">
      <c r="A849" s="443"/>
      <c r="B849" s="456"/>
      <c r="C849" s="471"/>
      <c r="D849" s="471"/>
      <c r="E849" s="445"/>
      <c r="F849" s="445"/>
      <c r="G849" s="442"/>
      <c r="H849" s="448"/>
      <c r="I849" s="447"/>
      <c r="J849" s="448">
        <f t="shared" si="5"/>
        <v>12</v>
      </c>
      <c r="K849" s="448"/>
    </row>
    <row r="850" ht="22.5" customHeight="1">
      <c r="A850" s="443"/>
      <c r="B850" s="456"/>
      <c r="C850" s="471"/>
      <c r="D850" s="471"/>
      <c r="E850" s="445"/>
      <c r="F850" s="445"/>
      <c r="G850" s="442"/>
      <c r="H850" s="448"/>
      <c r="I850" s="447"/>
      <c r="J850" s="448">
        <f t="shared" si="5"/>
        <v>12</v>
      </c>
      <c r="K850" s="448"/>
    </row>
    <row r="851" ht="22.5" customHeight="1">
      <c r="A851" s="443"/>
      <c r="B851" s="456"/>
      <c r="C851" s="471"/>
      <c r="D851" s="471"/>
      <c r="E851" s="445"/>
      <c r="F851" s="445"/>
      <c r="G851" s="442"/>
      <c r="H851" s="448"/>
      <c r="I851" s="447"/>
      <c r="J851" s="448">
        <f t="shared" si="5"/>
        <v>12</v>
      </c>
      <c r="K851" s="448"/>
    </row>
    <row r="852" ht="22.5" customHeight="1">
      <c r="A852" s="443"/>
      <c r="B852" s="456"/>
      <c r="C852" s="471"/>
      <c r="D852" s="471"/>
      <c r="E852" s="445"/>
      <c r="F852" s="445"/>
      <c r="G852" s="442"/>
      <c r="H852" s="448"/>
      <c r="I852" s="447"/>
      <c r="J852" s="448">
        <f t="shared" si="5"/>
        <v>12</v>
      </c>
      <c r="K852" s="448"/>
    </row>
    <row r="853" ht="22.5" customHeight="1">
      <c r="A853" s="443"/>
      <c r="B853" s="456"/>
      <c r="C853" s="471"/>
      <c r="D853" s="471"/>
      <c r="E853" s="445"/>
      <c r="F853" s="445"/>
      <c r="G853" s="442"/>
      <c r="H853" s="448"/>
      <c r="I853" s="447"/>
      <c r="J853" s="448">
        <f t="shared" si="5"/>
        <v>12</v>
      </c>
      <c r="K853" s="448"/>
    </row>
    <row r="854" ht="22.5" customHeight="1">
      <c r="A854" s="443"/>
      <c r="B854" s="456"/>
      <c r="C854" s="471"/>
      <c r="D854" s="471"/>
      <c r="E854" s="445"/>
      <c r="F854" s="445"/>
      <c r="G854" s="442"/>
      <c r="H854" s="448"/>
      <c r="I854" s="447"/>
      <c r="J854" s="448">
        <f t="shared" si="5"/>
        <v>12</v>
      </c>
      <c r="K854" s="448"/>
    </row>
    <row r="855" ht="22.5" customHeight="1">
      <c r="A855" s="443"/>
      <c r="B855" s="456"/>
      <c r="C855" s="471"/>
      <c r="D855" s="471"/>
      <c r="E855" s="445"/>
      <c r="F855" s="445"/>
      <c r="G855" s="442"/>
      <c r="H855" s="448"/>
      <c r="I855" s="447"/>
      <c r="J855" s="448">
        <f t="shared" si="5"/>
        <v>12</v>
      </c>
      <c r="K855" s="448"/>
    </row>
    <row r="856" ht="22.5" customHeight="1">
      <c r="A856" s="443"/>
      <c r="B856" s="456"/>
      <c r="C856" s="471"/>
      <c r="D856" s="471"/>
      <c r="E856" s="445"/>
      <c r="F856" s="445"/>
      <c r="G856" s="442"/>
      <c r="H856" s="448"/>
      <c r="I856" s="447"/>
      <c r="J856" s="448">
        <f t="shared" si="5"/>
        <v>12</v>
      </c>
      <c r="K856" s="448"/>
    </row>
    <row r="857" ht="22.5" customHeight="1">
      <c r="A857" s="443"/>
      <c r="B857" s="456"/>
      <c r="C857" s="471"/>
      <c r="D857" s="471"/>
      <c r="E857" s="445"/>
      <c r="F857" s="445"/>
      <c r="G857" s="442"/>
      <c r="H857" s="448"/>
      <c r="I857" s="447"/>
      <c r="J857" s="448">
        <f t="shared" si="5"/>
        <v>12</v>
      </c>
      <c r="K857" s="448"/>
    </row>
    <row r="858" ht="22.5" customHeight="1">
      <c r="A858" s="443"/>
      <c r="B858" s="456"/>
      <c r="C858" s="471"/>
      <c r="D858" s="471"/>
      <c r="E858" s="445"/>
      <c r="F858" s="445"/>
      <c r="G858" s="442"/>
      <c r="H858" s="448"/>
      <c r="I858" s="447"/>
      <c r="J858" s="448">
        <f t="shared" si="5"/>
        <v>12</v>
      </c>
      <c r="K858" s="448"/>
    </row>
    <row r="859" ht="22.5" customHeight="1">
      <c r="A859" s="443"/>
      <c r="B859" s="456"/>
      <c r="C859" s="471"/>
      <c r="D859" s="471"/>
      <c r="E859" s="445"/>
      <c r="F859" s="445"/>
      <c r="G859" s="442"/>
      <c r="H859" s="448"/>
      <c r="I859" s="447"/>
      <c r="J859" s="448">
        <f t="shared" si="5"/>
        <v>12</v>
      </c>
      <c r="K859" s="448"/>
    </row>
    <row r="860" ht="22.5" customHeight="1">
      <c r="A860" s="443"/>
      <c r="B860" s="456"/>
      <c r="C860" s="471"/>
      <c r="D860" s="471"/>
      <c r="E860" s="445"/>
      <c r="F860" s="445"/>
      <c r="G860" s="442"/>
      <c r="H860" s="448"/>
      <c r="I860" s="447"/>
      <c r="J860" s="448">
        <f t="shared" si="5"/>
        <v>12</v>
      </c>
      <c r="K860" s="448"/>
    </row>
    <row r="861" ht="22.5" customHeight="1">
      <c r="A861" s="443"/>
      <c r="B861" s="456"/>
      <c r="C861" s="471"/>
      <c r="D861" s="471"/>
      <c r="E861" s="445"/>
      <c r="F861" s="445"/>
      <c r="G861" s="442"/>
      <c r="H861" s="448"/>
      <c r="I861" s="447"/>
      <c r="J861" s="448">
        <f t="shared" si="5"/>
        <v>12</v>
      </c>
      <c r="K861" s="448"/>
    </row>
    <row r="862" ht="22.5" customHeight="1">
      <c r="A862" s="443"/>
      <c r="B862" s="456"/>
      <c r="C862" s="471"/>
      <c r="D862" s="471"/>
      <c r="E862" s="445"/>
      <c r="F862" s="445"/>
      <c r="G862" s="442"/>
      <c r="H862" s="448"/>
      <c r="I862" s="447"/>
      <c r="J862" s="448">
        <f t="shared" si="5"/>
        <v>12</v>
      </c>
      <c r="K862" s="448"/>
    </row>
    <row r="863" ht="22.5" customHeight="1">
      <c r="A863" s="443"/>
      <c r="B863" s="456"/>
      <c r="C863" s="471"/>
      <c r="D863" s="471"/>
      <c r="E863" s="445"/>
      <c r="F863" s="445"/>
      <c r="G863" s="442"/>
      <c r="H863" s="448"/>
      <c r="I863" s="447"/>
      <c r="J863" s="448">
        <f t="shared" si="5"/>
        <v>12</v>
      </c>
      <c r="K863" s="448"/>
    </row>
    <row r="864" ht="22.5" customHeight="1">
      <c r="A864" s="443"/>
      <c r="B864" s="456"/>
      <c r="C864" s="471"/>
      <c r="D864" s="471"/>
      <c r="E864" s="445"/>
      <c r="F864" s="445"/>
      <c r="G864" s="442"/>
      <c r="H864" s="448"/>
      <c r="I864" s="447"/>
      <c r="J864" s="448">
        <f t="shared" si="5"/>
        <v>12</v>
      </c>
      <c r="K864" s="448"/>
    </row>
    <row r="865" ht="22.5" customHeight="1">
      <c r="A865" s="443"/>
      <c r="B865" s="456"/>
      <c r="C865" s="471"/>
      <c r="D865" s="471"/>
      <c r="E865" s="445"/>
      <c r="F865" s="445"/>
      <c r="G865" s="442"/>
      <c r="H865" s="448"/>
      <c r="I865" s="447"/>
      <c r="J865" s="448">
        <f t="shared" si="5"/>
        <v>12</v>
      </c>
      <c r="K865" s="448"/>
    </row>
    <row r="866" ht="22.5" customHeight="1">
      <c r="A866" s="443"/>
      <c r="B866" s="456"/>
      <c r="C866" s="471"/>
      <c r="D866" s="471"/>
      <c r="E866" s="445"/>
      <c r="F866" s="445"/>
      <c r="G866" s="442"/>
      <c r="H866" s="448"/>
      <c r="I866" s="447"/>
      <c r="J866" s="448">
        <f t="shared" si="5"/>
        <v>12</v>
      </c>
      <c r="K866" s="448"/>
    </row>
    <row r="867" ht="22.5" customHeight="1">
      <c r="A867" s="443"/>
      <c r="B867" s="456"/>
      <c r="C867" s="471"/>
      <c r="D867" s="471"/>
      <c r="E867" s="445"/>
      <c r="F867" s="445"/>
      <c r="G867" s="442"/>
      <c r="H867" s="448"/>
      <c r="I867" s="447"/>
      <c r="J867" s="448">
        <f t="shared" si="5"/>
        <v>12</v>
      </c>
      <c r="K867" s="448"/>
    </row>
    <row r="868" ht="22.5" customHeight="1">
      <c r="A868" s="443"/>
      <c r="B868" s="456"/>
      <c r="C868" s="471"/>
      <c r="D868" s="471"/>
      <c r="E868" s="445"/>
      <c r="F868" s="445"/>
      <c r="G868" s="442"/>
      <c r="H868" s="448"/>
      <c r="I868" s="447"/>
      <c r="J868" s="448">
        <f t="shared" si="5"/>
        <v>12</v>
      </c>
      <c r="K868" s="448"/>
    </row>
    <row r="869" ht="22.5" customHeight="1">
      <c r="A869" s="443"/>
      <c r="B869" s="456"/>
      <c r="C869" s="471"/>
      <c r="D869" s="471"/>
      <c r="E869" s="445"/>
      <c r="F869" s="445"/>
      <c r="G869" s="442"/>
      <c r="H869" s="448"/>
      <c r="I869" s="447"/>
      <c r="J869" s="448">
        <f t="shared" si="5"/>
        <v>12</v>
      </c>
      <c r="K869" s="448"/>
    </row>
    <row r="870" ht="22.5" customHeight="1">
      <c r="A870" s="443"/>
      <c r="B870" s="456"/>
      <c r="C870" s="471"/>
      <c r="D870" s="471"/>
      <c r="E870" s="445"/>
      <c r="F870" s="445"/>
      <c r="G870" s="442"/>
      <c r="H870" s="448"/>
      <c r="I870" s="447"/>
      <c r="J870" s="448">
        <f t="shared" si="5"/>
        <v>12</v>
      </c>
      <c r="K870" s="448"/>
    </row>
    <row r="871" ht="22.5" customHeight="1">
      <c r="A871" s="443"/>
      <c r="B871" s="456"/>
      <c r="C871" s="471"/>
      <c r="D871" s="471"/>
      <c r="E871" s="445"/>
      <c r="F871" s="445"/>
      <c r="G871" s="442"/>
      <c r="H871" s="448"/>
      <c r="I871" s="447"/>
      <c r="J871" s="448">
        <f t="shared" si="5"/>
        <v>12</v>
      </c>
      <c r="K871" s="448"/>
    </row>
    <row r="872" ht="22.5" customHeight="1">
      <c r="A872" s="443"/>
      <c r="B872" s="456"/>
      <c r="C872" s="471"/>
      <c r="D872" s="471"/>
      <c r="E872" s="445"/>
      <c r="F872" s="445"/>
      <c r="G872" s="442"/>
      <c r="H872" s="448"/>
      <c r="I872" s="447"/>
      <c r="J872" s="448">
        <f t="shared" si="5"/>
        <v>12</v>
      </c>
      <c r="K872" s="448"/>
    </row>
    <row r="873" ht="22.5" customHeight="1">
      <c r="A873" s="443"/>
      <c r="B873" s="456"/>
      <c r="C873" s="471"/>
      <c r="D873" s="471"/>
      <c r="E873" s="445"/>
      <c r="F873" s="445"/>
      <c r="G873" s="442"/>
      <c r="H873" s="448"/>
      <c r="I873" s="447"/>
      <c r="J873" s="448">
        <f t="shared" si="5"/>
        <v>12</v>
      </c>
      <c r="K873" s="448"/>
    </row>
    <row r="874" ht="22.5" customHeight="1">
      <c r="A874" s="443"/>
      <c r="B874" s="456"/>
      <c r="C874" s="471"/>
      <c r="D874" s="471"/>
      <c r="E874" s="445"/>
      <c r="F874" s="445"/>
      <c r="G874" s="442"/>
      <c r="H874" s="448"/>
      <c r="I874" s="447"/>
      <c r="J874" s="448">
        <f t="shared" si="5"/>
        <v>12</v>
      </c>
      <c r="K874" s="448"/>
    </row>
    <row r="875" ht="22.5" customHeight="1">
      <c r="A875" s="443"/>
      <c r="B875" s="456"/>
      <c r="C875" s="471"/>
      <c r="D875" s="471"/>
      <c r="E875" s="445"/>
      <c r="F875" s="445"/>
      <c r="G875" s="442"/>
      <c r="H875" s="448"/>
      <c r="I875" s="447"/>
      <c r="J875" s="448">
        <f t="shared" si="5"/>
        <v>12</v>
      </c>
      <c r="K875" s="448"/>
    </row>
    <row r="876" ht="22.5" customHeight="1">
      <c r="A876" s="443"/>
      <c r="B876" s="456"/>
      <c r="C876" s="471"/>
      <c r="D876" s="471"/>
      <c r="E876" s="445"/>
      <c r="F876" s="445"/>
      <c r="G876" s="442"/>
      <c r="H876" s="448"/>
      <c r="I876" s="447"/>
      <c r="J876" s="448">
        <f t="shared" si="5"/>
        <v>12</v>
      </c>
      <c r="K876" s="448"/>
    </row>
    <row r="877" ht="22.5" customHeight="1">
      <c r="A877" s="443"/>
      <c r="B877" s="456"/>
      <c r="C877" s="471"/>
      <c r="D877" s="471"/>
      <c r="E877" s="445"/>
      <c r="F877" s="445"/>
      <c r="G877" s="442"/>
      <c r="H877" s="448"/>
      <c r="I877" s="447"/>
      <c r="J877" s="448">
        <f t="shared" si="5"/>
        <v>12</v>
      </c>
      <c r="K877" s="448"/>
    </row>
    <row r="878" ht="22.5" customHeight="1">
      <c r="A878" s="443"/>
      <c r="B878" s="456"/>
      <c r="C878" s="471"/>
      <c r="D878" s="471"/>
      <c r="E878" s="445"/>
      <c r="F878" s="445"/>
      <c r="G878" s="442"/>
      <c r="H878" s="448"/>
      <c r="I878" s="447"/>
      <c r="J878" s="448">
        <f t="shared" si="5"/>
        <v>12</v>
      </c>
      <c r="K878" s="448"/>
    </row>
    <row r="879" ht="22.5" customHeight="1">
      <c r="A879" s="443"/>
      <c r="B879" s="456"/>
      <c r="C879" s="471"/>
      <c r="D879" s="471"/>
      <c r="E879" s="445"/>
      <c r="F879" s="445"/>
      <c r="G879" s="442"/>
      <c r="H879" s="448"/>
      <c r="I879" s="447"/>
      <c r="J879" s="448">
        <f t="shared" si="5"/>
        <v>12</v>
      </c>
      <c r="K879" s="448"/>
    </row>
    <row r="880" ht="22.5" customHeight="1">
      <c r="A880" s="443"/>
      <c r="B880" s="456"/>
      <c r="C880" s="471"/>
      <c r="D880" s="471"/>
      <c r="E880" s="445"/>
      <c r="F880" s="445"/>
      <c r="G880" s="442"/>
      <c r="H880" s="448"/>
      <c r="I880" s="447"/>
      <c r="J880" s="448">
        <f t="shared" si="5"/>
        <v>12</v>
      </c>
      <c r="K880" s="448"/>
    </row>
    <row r="881" ht="22.5" customHeight="1">
      <c r="A881" s="443"/>
      <c r="B881" s="456"/>
      <c r="C881" s="471"/>
      <c r="D881" s="471"/>
      <c r="E881" s="445"/>
      <c r="F881" s="445"/>
      <c r="G881" s="442"/>
      <c r="H881" s="448"/>
      <c r="I881" s="447"/>
      <c r="J881" s="448">
        <f t="shared" si="5"/>
        <v>12</v>
      </c>
      <c r="K881" s="448"/>
    </row>
    <row r="882" ht="22.5" customHeight="1">
      <c r="A882" s="443"/>
      <c r="B882" s="456"/>
      <c r="C882" s="471"/>
      <c r="D882" s="471"/>
      <c r="E882" s="445"/>
      <c r="F882" s="445"/>
      <c r="G882" s="442"/>
      <c r="H882" s="448"/>
      <c r="I882" s="447"/>
      <c r="J882" s="448">
        <f t="shared" si="5"/>
        <v>12</v>
      </c>
      <c r="K882" s="448"/>
    </row>
    <row r="883" ht="22.5" customHeight="1">
      <c r="A883" s="443"/>
      <c r="B883" s="456"/>
      <c r="C883" s="471"/>
      <c r="D883" s="471"/>
      <c r="E883" s="445"/>
      <c r="F883" s="445"/>
      <c r="G883" s="442"/>
      <c r="H883" s="448"/>
      <c r="I883" s="447"/>
      <c r="J883" s="448">
        <f t="shared" si="5"/>
        <v>12</v>
      </c>
      <c r="K883" s="448"/>
    </row>
    <row r="884" ht="22.5" customHeight="1">
      <c r="A884" s="443"/>
      <c r="B884" s="456"/>
      <c r="C884" s="471"/>
      <c r="D884" s="471"/>
      <c r="E884" s="445"/>
      <c r="F884" s="445"/>
      <c r="G884" s="442"/>
      <c r="H884" s="448"/>
      <c r="I884" s="447"/>
      <c r="J884" s="448">
        <f t="shared" si="5"/>
        <v>12</v>
      </c>
      <c r="K884" s="448"/>
    </row>
    <row r="885" ht="22.5" customHeight="1">
      <c r="A885" s="443"/>
      <c r="B885" s="456"/>
      <c r="C885" s="471"/>
      <c r="D885" s="471"/>
      <c r="E885" s="445"/>
      <c r="F885" s="445"/>
      <c r="G885" s="442"/>
      <c r="H885" s="448"/>
      <c r="I885" s="447"/>
      <c r="J885" s="448">
        <f t="shared" si="5"/>
        <v>12</v>
      </c>
      <c r="K885" s="448"/>
    </row>
    <row r="886" ht="22.5" customHeight="1">
      <c r="B886" s="456"/>
      <c r="C886" s="471"/>
      <c r="D886" s="471"/>
      <c r="E886" s="445"/>
      <c r="F886" s="445"/>
      <c r="G886" s="442"/>
      <c r="H886" s="448"/>
      <c r="I886" s="447"/>
      <c r="J886" s="448">
        <f t="shared" si="5"/>
        <v>12</v>
      </c>
      <c r="K886" s="448"/>
    </row>
    <row r="887" ht="22.5" customHeight="1">
      <c r="B887" s="456"/>
      <c r="C887" s="488"/>
      <c r="D887" s="488"/>
      <c r="G887" s="442"/>
      <c r="J887" s="448">
        <f t="shared" si="5"/>
        <v>12</v>
      </c>
      <c r="K887" s="448"/>
    </row>
    <row r="888" ht="22.5" customHeight="1">
      <c r="A888" s="443"/>
      <c r="B888" s="456"/>
      <c r="C888" s="488"/>
      <c r="D888" s="471"/>
      <c r="G888" s="442"/>
      <c r="J888" s="448">
        <f t="shared" si="5"/>
        <v>12</v>
      </c>
      <c r="K888" s="448"/>
    </row>
    <row r="889" ht="22.5" customHeight="1">
      <c r="A889" s="443"/>
      <c r="B889" s="456"/>
      <c r="C889" s="471"/>
      <c r="D889" s="471"/>
      <c r="E889" s="445"/>
      <c r="F889" s="445"/>
      <c r="G889" s="442"/>
      <c r="H889" s="448"/>
      <c r="I889" s="447"/>
      <c r="J889" s="448">
        <f t="shared" si="5"/>
        <v>12</v>
      </c>
      <c r="K889" s="448"/>
    </row>
    <row r="890" ht="22.5" customHeight="1">
      <c r="A890" s="443"/>
      <c r="B890" s="456"/>
      <c r="C890" s="471"/>
      <c r="D890" s="471"/>
      <c r="E890" s="445"/>
      <c r="F890" s="445"/>
      <c r="G890" s="442"/>
      <c r="H890" s="448"/>
      <c r="I890" s="447"/>
      <c r="J890" s="448">
        <f t="shared" si="5"/>
        <v>12</v>
      </c>
      <c r="K890" s="448"/>
    </row>
    <row r="891" ht="22.5" customHeight="1">
      <c r="A891" s="443"/>
      <c r="B891" s="456"/>
      <c r="C891" s="471"/>
      <c r="D891" s="471"/>
      <c r="E891" s="445"/>
      <c r="F891" s="445"/>
      <c r="G891" s="442"/>
      <c r="H891" s="448"/>
      <c r="I891" s="447"/>
      <c r="J891" s="448">
        <f t="shared" si="5"/>
        <v>12</v>
      </c>
      <c r="K891" s="448"/>
    </row>
    <row r="892" ht="22.5" customHeight="1">
      <c r="A892" s="443"/>
      <c r="B892" s="456"/>
      <c r="C892" s="471"/>
      <c r="D892" s="471"/>
      <c r="E892" s="445"/>
      <c r="F892" s="445"/>
      <c r="G892" s="442"/>
      <c r="H892" s="448"/>
      <c r="I892" s="447"/>
      <c r="J892" s="448">
        <f t="shared" si="5"/>
        <v>12</v>
      </c>
      <c r="K892" s="448"/>
    </row>
    <row r="893" ht="22.5" customHeight="1">
      <c r="A893" s="443"/>
      <c r="B893" s="456"/>
      <c r="C893" s="471"/>
      <c r="D893" s="471"/>
      <c r="E893" s="445"/>
      <c r="F893" s="445"/>
      <c r="G893" s="442"/>
      <c r="H893" s="448"/>
      <c r="I893" s="447"/>
      <c r="J893" s="448">
        <f t="shared" si="5"/>
        <v>12</v>
      </c>
      <c r="K893" s="448"/>
    </row>
    <row r="894" ht="22.5" customHeight="1">
      <c r="A894" s="443"/>
      <c r="B894" s="456"/>
      <c r="C894" s="471"/>
      <c r="D894" s="471"/>
      <c r="E894" s="445"/>
      <c r="F894" s="445"/>
      <c r="G894" s="442"/>
      <c r="H894" s="448"/>
      <c r="I894" s="447"/>
      <c r="J894" s="448">
        <f t="shared" si="5"/>
        <v>12</v>
      </c>
      <c r="K894" s="448"/>
    </row>
    <row r="895" ht="22.5" customHeight="1">
      <c r="A895" s="443"/>
      <c r="B895" s="456"/>
      <c r="C895" s="471"/>
      <c r="D895" s="471"/>
      <c r="E895" s="445"/>
      <c r="F895" s="445"/>
      <c r="G895" s="442"/>
      <c r="H895" s="448"/>
      <c r="I895" s="447"/>
      <c r="J895" s="448">
        <f t="shared" si="5"/>
        <v>12</v>
      </c>
      <c r="K895" s="448"/>
    </row>
    <row r="896" ht="22.5" customHeight="1">
      <c r="A896" s="443"/>
      <c r="B896" s="456"/>
      <c r="C896" s="471"/>
      <c r="D896" s="471"/>
      <c r="E896" s="445"/>
      <c r="F896" s="445"/>
      <c r="G896" s="442"/>
      <c r="H896" s="448"/>
      <c r="I896" s="447"/>
      <c r="J896" s="448">
        <f t="shared" si="5"/>
        <v>12</v>
      </c>
      <c r="K896" s="448"/>
    </row>
    <row r="897" ht="22.5" customHeight="1">
      <c r="A897" s="443"/>
      <c r="B897" s="456"/>
      <c r="C897" s="471"/>
      <c r="D897" s="471"/>
      <c r="E897" s="445"/>
      <c r="F897" s="445"/>
      <c r="G897" s="442"/>
      <c r="H897" s="448"/>
      <c r="I897" s="447"/>
      <c r="J897" s="448">
        <f t="shared" si="5"/>
        <v>12</v>
      </c>
      <c r="K897" s="448"/>
    </row>
    <row r="898" ht="22.5" customHeight="1">
      <c r="A898" s="443"/>
      <c r="B898" s="456"/>
      <c r="C898" s="471"/>
      <c r="D898" s="471"/>
      <c r="E898" s="445"/>
      <c r="F898" s="445"/>
      <c r="G898" s="442"/>
      <c r="H898" s="448"/>
      <c r="I898" s="447"/>
      <c r="J898" s="448">
        <f t="shared" si="5"/>
        <v>12</v>
      </c>
      <c r="K898" s="448"/>
    </row>
    <row r="899" ht="22.5" customHeight="1">
      <c r="A899" s="443"/>
      <c r="B899" s="456"/>
      <c r="C899" s="471"/>
      <c r="D899" s="471"/>
      <c r="E899" s="445"/>
      <c r="F899" s="445"/>
      <c r="G899" s="442"/>
      <c r="H899" s="448"/>
      <c r="I899" s="447"/>
      <c r="J899" s="448">
        <f t="shared" si="5"/>
        <v>12</v>
      </c>
      <c r="K899" s="448"/>
    </row>
    <row r="900" ht="22.5" customHeight="1">
      <c r="A900" s="443"/>
      <c r="B900" s="456"/>
      <c r="C900" s="471"/>
      <c r="D900" s="471"/>
      <c r="E900" s="445"/>
      <c r="F900" s="445"/>
      <c r="G900" s="442"/>
      <c r="H900" s="448"/>
      <c r="I900" s="447"/>
      <c r="J900" s="448">
        <f t="shared" si="5"/>
        <v>12</v>
      </c>
      <c r="K900" s="448"/>
    </row>
    <row r="901" ht="22.5" customHeight="1">
      <c r="A901" s="443"/>
      <c r="B901" s="456"/>
      <c r="C901" s="471"/>
      <c r="D901" s="471"/>
      <c r="E901" s="445"/>
      <c r="F901" s="445"/>
      <c r="G901" s="442"/>
      <c r="H901" s="448"/>
      <c r="I901" s="447"/>
      <c r="J901" s="448">
        <f t="shared" si="5"/>
        <v>12</v>
      </c>
      <c r="K901" s="448"/>
    </row>
    <row r="902" ht="22.5" customHeight="1">
      <c r="A902" s="443"/>
      <c r="B902" s="456"/>
      <c r="C902" s="471"/>
      <c r="D902" s="471"/>
      <c r="E902" s="445"/>
      <c r="F902" s="445"/>
      <c r="G902" s="442"/>
      <c r="H902" s="448" t="s">
        <v>2677</v>
      </c>
      <c r="I902" s="447"/>
      <c r="J902" s="448">
        <f t="shared" si="5"/>
        <v>12</v>
      </c>
      <c r="K902" s="448"/>
    </row>
    <row r="903" ht="22.5" customHeight="1">
      <c r="A903" s="443"/>
      <c r="B903" s="456"/>
      <c r="C903" s="471"/>
      <c r="D903" s="471"/>
      <c r="E903" s="445"/>
      <c r="F903" s="445"/>
      <c r="G903" s="442"/>
      <c r="H903" s="448"/>
      <c r="I903" s="447"/>
      <c r="J903" s="448">
        <f t="shared" si="5"/>
        <v>12</v>
      </c>
      <c r="K903" s="448"/>
    </row>
    <row r="904" ht="22.5" customHeight="1">
      <c r="A904" s="443"/>
      <c r="B904" s="456"/>
      <c r="C904" s="471"/>
      <c r="D904" s="471"/>
      <c r="E904" s="445"/>
      <c r="F904" s="445"/>
      <c r="G904" s="442"/>
      <c r="H904" s="448"/>
      <c r="I904" s="447"/>
      <c r="J904" s="448">
        <f t="shared" si="5"/>
        <v>12</v>
      </c>
      <c r="K904" s="448"/>
    </row>
    <row r="905" ht="22.5" customHeight="1">
      <c r="A905" s="443"/>
      <c r="B905" s="456"/>
      <c r="C905" s="471"/>
      <c r="D905" s="471"/>
      <c r="E905" s="445"/>
      <c r="F905" s="445"/>
      <c r="G905" s="442"/>
      <c r="H905" s="448"/>
      <c r="I905" s="447"/>
      <c r="J905" s="448">
        <f t="shared" si="5"/>
        <v>12</v>
      </c>
      <c r="K905" s="448"/>
    </row>
    <row r="906" ht="22.5" customHeight="1">
      <c r="A906" s="443"/>
      <c r="B906" s="456"/>
      <c r="C906" s="471"/>
      <c r="D906" s="471"/>
      <c r="E906" s="445"/>
      <c r="F906" s="445"/>
      <c r="G906" s="442"/>
      <c r="H906" s="448"/>
      <c r="I906" s="447"/>
      <c r="J906" s="448">
        <f t="shared" si="5"/>
        <v>12</v>
      </c>
      <c r="K906" s="448"/>
    </row>
    <row r="907" ht="22.5" customHeight="1">
      <c r="A907" s="443"/>
      <c r="B907" s="418"/>
      <c r="C907" s="491"/>
      <c r="D907" s="450"/>
      <c r="E907" s="420"/>
      <c r="F907" s="445"/>
      <c r="G907" s="442"/>
      <c r="H907" s="448"/>
      <c r="I907" s="447"/>
      <c r="J907" s="448">
        <f t="shared" si="5"/>
        <v>12</v>
      </c>
      <c r="K907" s="448"/>
    </row>
    <row r="908" ht="22.5" customHeight="1">
      <c r="A908" s="443"/>
      <c r="B908" s="418"/>
      <c r="C908" s="471"/>
      <c r="D908" s="450"/>
      <c r="E908" s="445"/>
      <c r="F908" s="445"/>
      <c r="G908" s="442"/>
      <c r="H908" s="448"/>
      <c r="I908" s="447"/>
      <c r="J908" s="448">
        <f t="shared" si="5"/>
        <v>12</v>
      </c>
      <c r="K908" s="448"/>
    </row>
    <row r="909" ht="22.5" customHeight="1">
      <c r="A909" s="443"/>
      <c r="B909" s="456"/>
      <c r="C909" s="471"/>
      <c r="D909" s="471"/>
      <c r="E909" s="445"/>
      <c r="F909" s="445"/>
      <c r="G909" s="442"/>
      <c r="H909" s="448"/>
      <c r="I909" s="447"/>
      <c r="J909" s="448">
        <f t="shared" si="5"/>
        <v>12</v>
      </c>
      <c r="K909" s="448"/>
    </row>
    <row r="910" ht="22.5" customHeight="1">
      <c r="A910" s="443"/>
      <c r="B910" s="456"/>
      <c r="C910" s="471"/>
      <c r="D910" s="471"/>
      <c r="E910" s="445"/>
      <c r="F910" s="445"/>
      <c r="G910" s="442"/>
      <c r="H910" s="448"/>
      <c r="I910" s="447"/>
      <c r="J910" s="448">
        <f t="shared" si="5"/>
        <v>12</v>
      </c>
      <c r="K910" s="448"/>
    </row>
    <row r="911" ht="22.5" customHeight="1">
      <c r="A911" s="443"/>
      <c r="B911" s="456"/>
      <c r="C911" s="471"/>
      <c r="D911" s="471"/>
      <c r="E911" s="445"/>
      <c r="F911" s="442"/>
      <c r="G911" s="442"/>
      <c r="H911" s="448"/>
      <c r="I911" s="447"/>
      <c r="J911" s="448">
        <f t="shared" si="5"/>
        <v>12</v>
      </c>
      <c r="K911" s="448"/>
    </row>
    <row r="912" ht="22.5" customHeight="1">
      <c r="A912" s="443"/>
      <c r="B912" s="456"/>
      <c r="C912" s="471"/>
      <c r="D912" s="471"/>
      <c r="E912" s="445"/>
      <c r="F912" s="445"/>
      <c r="G912" s="442"/>
      <c r="H912" s="448"/>
      <c r="I912" s="447"/>
      <c r="J912" s="448">
        <f t="shared" si="5"/>
        <v>12</v>
      </c>
      <c r="K912" s="448"/>
    </row>
    <row r="913" ht="22.5" customHeight="1">
      <c r="A913" s="443"/>
      <c r="B913" s="456"/>
      <c r="C913" s="471"/>
      <c r="D913" s="471"/>
      <c r="E913" s="445"/>
      <c r="F913" s="445"/>
      <c r="G913" s="442"/>
      <c r="H913" s="448"/>
      <c r="I913" s="447"/>
      <c r="J913" s="448">
        <f t="shared" si="5"/>
        <v>12</v>
      </c>
      <c r="K913" s="448"/>
    </row>
    <row r="914" ht="22.5" customHeight="1">
      <c r="A914" s="443"/>
      <c r="B914" s="456"/>
      <c r="C914" s="471"/>
      <c r="D914" s="471"/>
      <c r="E914" s="445"/>
      <c r="F914" s="445"/>
      <c r="G914" s="442"/>
      <c r="H914" s="448"/>
      <c r="I914" s="447"/>
      <c r="J914" s="448">
        <f t="shared" si="5"/>
        <v>12</v>
      </c>
      <c r="K914" s="448"/>
    </row>
    <row r="915" ht="22.5" customHeight="1">
      <c r="A915" s="443"/>
      <c r="B915" s="456"/>
      <c r="C915" s="471"/>
      <c r="D915" s="471"/>
      <c r="E915" s="445"/>
      <c r="F915" s="445"/>
      <c r="G915" s="442"/>
      <c r="H915" s="448"/>
      <c r="I915" s="447"/>
      <c r="J915" s="448">
        <f t="shared" si="5"/>
        <v>12</v>
      </c>
      <c r="K915" s="448"/>
    </row>
    <row r="916" ht="22.5" customHeight="1">
      <c r="A916" s="443"/>
      <c r="B916" s="456"/>
      <c r="C916" s="471"/>
      <c r="D916" s="471"/>
      <c r="E916" s="445"/>
      <c r="F916" s="445"/>
      <c r="G916" s="442"/>
      <c r="H916" s="448"/>
      <c r="I916" s="447"/>
      <c r="J916" s="448">
        <f t="shared" si="5"/>
        <v>12</v>
      </c>
      <c r="K916" s="448"/>
    </row>
    <row r="917" ht="22.5" customHeight="1">
      <c r="A917" s="443"/>
      <c r="B917" s="456"/>
      <c r="C917" s="471"/>
      <c r="D917" s="471"/>
      <c r="E917" s="445"/>
      <c r="F917" s="445"/>
      <c r="G917" s="442"/>
      <c r="H917" s="448"/>
      <c r="I917" s="447"/>
      <c r="J917" s="448">
        <f t="shared" si="5"/>
        <v>12</v>
      </c>
      <c r="K917" s="448"/>
    </row>
    <row r="918" ht="22.5" customHeight="1">
      <c r="A918" s="443"/>
      <c r="B918" s="456"/>
      <c r="C918" s="471"/>
      <c r="D918" s="471"/>
      <c r="E918" s="445"/>
      <c r="F918" s="445"/>
      <c r="G918" s="442"/>
      <c r="H918" s="448"/>
      <c r="I918" s="447"/>
      <c r="J918" s="448">
        <f t="shared" si="5"/>
        <v>12</v>
      </c>
      <c r="K918" s="448"/>
    </row>
    <row r="919" ht="22.5" customHeight="1">
      <c r="A919" s="443"/>
      <c r="B919" s="456"/>
      <c r="C919" s="471"/>
      <c r="D919" s="471"/>
      <c r="E919" s="445"/>
      <c r="F919" s="445"/>
      <c r="G919" s="442"/>
      <c r="H919" s="448"/>
      <c r="I919" s="447"/>
      <c r="J919" s="448">
        <f t="shared" si="5"/>
        <v>12</v>
      </c>
      <c r="K919" s="448"/>
    </row>
    <row r="920" ht="22.5" customHeight="1">
      <c r="A920" s="443"/>
      <c r="B920" s="456"/>
      <c r="C920" s="471"/>
      <c r="D920" s="471"/>
      <c r="E920" s="445"/>
      <c r="F920" s="445"/>
      <c r="G920" s="442"/>
      <c r="H920" s="448"/>
      <c r="I920" s="447"/>
      <c r="J920" s="448">
        <f t="shared" si="5"/>
        <v>12</v>
      </c>
      <c r="K920" s="448"/>
    </row>
    <row r="921" ht="22.5" customHeight="1">
      <c r="A921" s="443"/>
      <c r="B921" s="456"/>
      <c r="C921" s="471"/>
      <c r="D921" s="471"/>
      <c r="E921" s="445"/>
      <c r="F921" s="445"/>
      <c r="G921" s="442"/>
      <c r="H921" s="448"/>
      <c r="I921" s="447"/>
      <c r="J921" s="448">
        <f t="shared" si="5"/>
        <v>12</v>
      </c>
      <c r="K921" s="448"/>
    </row>
    <row r="922" ht="22.5" customHeight="1">
      <c r="A922" s="443"/>
      <c r="B922" s="456"/>
      <c r="C922" s="471"/>
      <c r="D922" s="471"/>
      <c r="E922" s="445"/>
      <c r="F922" s="445"/>
      <c r="G922" s="442"/>
      <c r="H922" s="448"/>
      <c r="I922" s="447"/>
      <c r="J922" s="448">
        <f t="shared" si="5"/>
        <v>12</v>
      </c>
      <c r="K922" s="448"/>
    </row>
    <row r="923" ht="22.5" customHeight="1">
      <c r="A923" s="443"/>
      <c r="B923" s="456"/>
      <c r="C923" s="471"/>
      <c r="D923" s="471"/>
      <c r="E923" s="445"/>
      <c r="F923" s="445"/>
      <c r="G923" s="442"/>
      <c r="H923" s="448"/>
      <c r="I923" s="447"/>
      <c r="J923" s="448">
        <f t="shared" si="5"/>
        <v>12</v>
      </c>
      <c r="K923" s="448"/>
    </row>
    <row r="924" ht="22.5" customHeight="1">
      <c r="A924" s="443"/>
      <c r="B924" s="456"/>
      <c r="C924" s="471"/>
      <c r="D924" s="471"/>
      <c r="E924" s="445"/>
      <c r="F924" s="445"/>
      <c r="G924" s="442"/>
      <c r="H924" s="448"/>
      <c r="I924" s="447"/>
      <c r="J924" s="448">
        <f t="shared" si="5"/>
        <v>12</v>
      </c>
      <c r="K924" s="448"/>
    </row>
    <row r="925" ht="22.5" customHeight="1">
      <c r="A925" s="443"/>
      <c r="B925" s="456"/>
      <c r="C925" s="471"/>
      <c r="D925" s="471"/>
      <c r="E925" s="445"/>
      <c r="F925" s="445"/>
      <c r="G925" s="442"/>
      <c r="H925" s="448"/>
      <c r="I925" s="447"/>
      <c r="J925" s="448">
        <f t="shared" si="5"/>
        <v>12</v>
      </c>
      <c r="K925" s="448"/>
    </row>
    <row r="926" ht="22.5" customHeight="1">
      <c r="A926" s="443"/>
      <c r="B926" s="456"/>
      <c r="C926" s="471"/>
      <c r="D926" s="471"/>
      <c r="E926" s="445"/>
      <c r="F926" s="445"/>
      <c r="G926" s="442"/>
      <c r="H926" s="448"/>
      <c r="I926" s="447"/>
      <c r="J926" s="448">
        <f t="shared" si="5"/>
        <v>12</v>
      </c>
      <c r="K926" s="448"/>
    </row>
    <row r="927" ht="22.5" customHeight="1">
      <c r="A927" s="443"/>
      <c r="B927" s="456"/>
      <c r="C927" s="471"/>
      <c r="D927" s="471"/>
      <c r="E927" s="445"/>
      <c r="F927" s="445"/>
      <c r="G927" s="442"/>
      <c r="H927" s="448"/>
      <c r="I927" s="447"/>
      <c r="J927" s="448">
        <f t="shared" si="5"/>
        <v>12</v>
      </c>
      <c r="K927" s="448"/>
    </row>
    <row r="928" ht="22.5" customHeight="1">
      <c r="A928" s="443"/>
      <c r="B928" s="456"/>
      <c r="C928" s="471"/>
      <c r="D928" s="471"/>
      <c r="E928" s="445"/>
      <c r="F928" s="445"/>
      <c r="G928" s="442"/>
      <c r="H928" s="448"/>
      <c r="I928" s="447"/>
      <c r="J928" s="448">
        <f t="shared" si="5"/>
        <v>12</v>
      </c>
      <c r="K928" s="448"/>
    </row>
    <row r="929" ht="22.5" customHeight="1">
      <c r="A929" s="443"/>
      <c r="B929" s="456"/>
      <c r="C929" s="471"/>
      <c r="D929" s="471"/>
      <c r="E929" s="445"/>
      <c r="F929" s="445"/>
      <c r="G929" s="442"/>
      <c r="H929" s="448"/>
      <c r="I929" s="447"/>
      <c r="J929" s="448">
        <f t="shared" si="5"/>
        <v>12</v>
      </c>
      <c r="K929" s="448"/>
    </row>
    <row r="930" ht="22.5" customHeight="1">
      <c r="A930" s="443"/>
      <c r="B930" s="456"/>
      <c r="C930" s="471"/>
      <c r="D930" s="471"/>
      <c r="E930" s="445"/>
      <c r="F930" s="445"/>
      <c r="G930" s="442"/>
      <c r="H930" s="448"/>
      <c r="I930" s="447"/>
      <c r="J930" s="448">
        <f t="shared" si="5"/>
        <v>12</v>
      </c>
      <c r="K930" s="448"/>
    </row>
    <row r="931" ht="22.5" customHeight="1">
      <c r="A931" s="443"/>
      <c r="B931" s="456"/>
      <c r="C931" s="471"/>
      <c r="D931" s="471"/>
      <c r="E931" s="445"/>
      <c r="F931" s="445"/>
      <c r="G931" s="442"/>
      <c r="H931" s="448"/>
      <c r="I931" s="447"/>
      <c r="J931" s="448">
        <f t="shared" si="5"/>
        <v>12</v>
      </c>
      <c r="K931" s="448"/>
    </row>
    <row r="932" ht="22.5" customHeight="1">
      <c r="A932" s="443"/>
      <c r="B932" s="456"/>
      <c r="C932" s="471"/>
      <c r="D932" s="471"/>
      <c r="E932" s="445"/>
      <c r="F932" s="445"/>
      <c r="G932" s="442"/>
      <c r="H932" s="448"/>
      <c r="I932" s="447"/>
      <c r="J932" s="448">
        <f t="shared" si="5"/>
        <v>12</v>
      </c>
      <c r="K932" s="448"/>
    </row>
    <row r="933" ht="22.5" customHeight="1">
      <c r="A933" s="443"/>
      <c r="B933" s="456"/>
      <c r="C933" s="471"/>
      <c r="D933" s="471"/>
      <c r="E933" s="445"/>
      <c r="F933" s="445"/>
      <c r="G933" s="442"/>
      <c r="H933" s="448"/>
      <c r="I933" s="447"/>
      <c r="J933" s="448">
        <f t="shared" si="5"/>
        <v>12</v>
      </c>
      <c r="K933" s="448"/>
    </row>
    <row r="934" ht="22.5" customHeight="1">
      <c r="A934" s="443"/>
      <c r="B934" s="456"/>
      <c r="C934" s="471"/>
      <c r="D934" s="471"/>
      <c r="E934" s="445"/>
      <c r="F934" s="445"/>
      <c r="G934" s="442"/>
      <c r="H934" s="448"/>
      <c r="I934" s="447"/>
      <c r="J934" s="448">
        <f t="shared" si="5"/>
        <v>12</v>
      </c>
      <c r="K934" s="448"/>
    </row>
    <row r="935" ht="22.5" customHeight="1">
      <c r="A935" s="443"/>
      <c r="B935" s="456"/>
      <c r="C935" s="471"/>
      <c r="D935" s="471"/>
      <c r="E935" s="445"/>
      <c r="F935" s="445"/>
      <c r="G935" s="442"/>
      <c r="H935" s="448"/>
      <c r="I935" s="447"/>
      <c r="J935" s="448">
        <f t="shared" si="5"/>
        <v>12</v>
      </c>
      <c r="K935" s="448"/>
    </row>
    <row r="936" ht="22.5" customHeight="1">
      <c r="A936" s="443"/>
      <c r="B936" s="456"/>
      <c r="C936" s="471"/>
      <c r="D936" s="471"/>
      <c r="E936" s="445"/>
      <c r="F936" s="445"/>
      <c r="G936" s="442"/>
      <c r="H936" s="448"/>
      <c r="I936" s="447"/>
      <c r="J936" s="448">
        <f t="shared" si="5"/>
        <v>12</v>
      </c>
      <c r="K936" s="448"/>
    </row>
    <row r="937" ht="22.5" customHeight="1">
      <c r="A937" s="443"/>
      <c r="B937" s="456"/>
      <c r="C937" s="471"/>
      <c r="D937" s="471"/>
      <c r="E937" s="445"/>
      <c r="F937" s="445"/>
      <c r="G937" s="442"/>
      <c r="H937" s="448"/>
      <c r="I937" s="447"/>
      <c r="J937" s="448">
        <f t="shared" si="5"/>
        <v>12</v>
      </c>
      <c r="K937" s="448"/>
    </row>
    <row r="938" ht="22.5" customHeight="1">
      <c r="A938" s="443"/>
      <c r="B938" s="456"/>
      <c r="C938" s="471"/>
      <c r="D938" s="471"/>
      <c r="E938" s="445"/>
      <c r="F938" s="445"/>
      <c r="G938" s="442"/>
      <c r="H938" s="448"/>
      <c r="I938" s="447"/>
      <c r="J938" s="448">
        <f t="shared" si="5"/>
        <v>12</v>
      </c>
      <c r="K938" s="448"/>
    </row>
    <row r="939" ht="22.5" customHeight="1">
      <c r="A939" s="443"/>
      <c r="B939" s="456"/>
      <c r="C939" s="471"/>
      <c r="D939" s="471"/>
      <c r="E939" s="445"/>
      <c r="F939" s="445"/>
      <c r="G939" s="442"/>
      <c r="H939" s="448"/>
      <c r="I939" s="447"/>
      <c r="J939" s="448">
        <f t="shared" si="5"/>
        <v>12</v>
      </c>
      <c r="K939" s="448"/>
    </row>
    <row r="940" ht="22.5" customHeight="1">
      <c r="A940" s="443"/>
      <c r="B940" s="456"/>
      <c r="C940" s="471"/>
      <c r="D940" s="471"/>
      <c r="E940" s="445"/>
      <c r="F940" s="445"/>
      <c r="G940" s="442"/>
      <c r="H940" s="448"/>
      <c r="I940" s="447"/>
      <c r="J940" s="448">
        <f t="shared" si="5"/>
        <v>12</v>
      </c>
      <c r="K940" s="448"/>
    </row>
    <row r="941" ht="22.5" customHeight="1">
      <c r="A941" s="443"/>
      <c r="B941" s="456"/>
      <c r="C941" s="471"/>
      <c r="D941" s="471"/>
      <c r="E941" s="445"/>
      <c r="F941" s="445"/>
      <c r="G941" s="442"/>
      <c r="H941" s="448"/>
      <c r="I941" s="447"/>
      <c r="J941" s="448">
        <f t="shared" si="5"/>
        <v>12</v>
      </c>
      <c r="K941" s="448"/>
    </row>
    <row r="942" ht="22.5" customHeight="1">
      <c r="A942" s="443"/>
      <c r="B942" s="456"/>
      <c r="C942" s="471"/>
      <c r="D942" s="471"/>
      <c r="E942" s="445"/>
      <c r="F942" s="445"/>
      <c r="G942" s="442"/>
      <c r="H942" s="448"/>
      <c r="I942" s="447"/>
      <c r="J942" s="448">
        <f t="shared" si="5"/>
        <v>12</v>
      </c>
      <c r="K942" s="448"/>
    </row>
    <row r="943" ht="22.5" customHeight="1">
      <c r="A943" s="443"/>
      <c r="B943" s="456"/>
      <c r="C943" s="471"/>
      <c r="D943" s="471"/>
      <c r="E943" s="445"/>
      <c r="F943" s="445"/>
      <c r="G943" s="442"/>
      <c r="H943" s="448"/>
      <c r="I943" s="447"/>
      <c r="J943" s="448">
        <f t="shared" si="5"/>
        <v>12</v>
      </c>
      <c r="K943" s="448"/>
    </row>
    <row r="944" ht="22.5" customHeight="1">
      <c r="A944" s="443"/>
      <c r="B944" s="456"/>
      <c r="C944" s="471"/>
      <c r="D944" s="471"/>
      <c r="E944" s="445"/>
      <c r="F944" s="445"/>
      <c r="G944" s="442"/>
      <c r="H944" s="448"/>
      <c r="I944" s="447"/>
      <c r="J944" s="448">
        <f t="shared" si="5"/>
        <v>12</v>
      </c>
      <c r="K944" s="448"/>
    </row>
    <row r="945" ht="22.5" customHeight="1">
      <c r="A945" s="443"/>
      <c r="B945" s="456"/>
      <c r="C945" s="471"/>
      <c r="D945" s="471"/>
      <c r="E945" s="445"/>
      <c r="F945" s="445"/>
      <c r="G945" s="442"/>
      <c r="H945" s="448"/>
      <c r="I945" s="447"/>
      <c r="J945" s="448">
        <f t="shared" si="5"/>
        <v>12</v>
      </c>
      <c r="K945" s="448"/>
    </row>
    <row r="946" ht="22.5" customHeight="1">
      <c r="A946" s="443"/>
      <c r="B946" s="456"/>
      <c r="C946" s="471"/>
      <c r="D946" s="471"/>
      <c r="E946" s="445"/>
      <c r="F946" s="445"/>
      <c r="G946" s="442"/>
      <c r="H946" s="448"/>
      <c r="I946" s="447"/>
      <c r="J946" s="448">
        <f t="shared" si="5"/>
        <v>12</v>
      </c>
      <c r="K946" s="448"/>
    </row>
    <row r="947" ht="22.5" customHeight="1">
      <c r="A947" s="443"/>
      <c r="B947" s="456"/>
      <c r="C947" s="471"/>
      <c r="D947" s="471"/>
      <c r="E947" s="445"/>
      <c r="F947" s="445"/>
      <c r="G947" s="442"/>
      <c r="H947" s="448"/>
      <c r="I947" s="447"/>
      <c r="J947" s="448">
        <f t="shared" si="5"/>
        <v>12</v>
      </c>
      <c r="K947" s="448"/>
    </row>
    <row r="948" ht="22.5" customHeight="1">
      <c r="A948" s="443"/>
      <c r="B948" s="456"/>
      <c r="C948" s="471"/>
      <c r="D948" s="471"/>
      <c r="E948" s="445"/>
      <c r="F948" s="445"/>
      <c r="G948" s="442"/>
      <c r="H948" s="448"/>
      <c r="I948" s="447"/>
      <c r="J948" s="448">
        <f t="shared" si="5"/>
        <v>12</v>
      </c>
      <c r="K948" s="448"/>
    </row>
    <row r="949" ht="22.5" customHeight="1">
      <c r="A949" s="443"/>
      <c r="B949" s="456"/>
      <c r="C949" s="471"/>
      <c r="D949" s="471"/>
      <c r="E949" s="445"/>
      <c r="F949" s="445"/>
      <c r="G949" s="442"/>
      <c r="H949" s="448"/>
      <c r="I949" s="447"/>
      <c r="J949" s="448">
        <f t="shared" si="5"/>
        <v>12</v>
      </c>
      <c r="K949" s="448"/>
    </row>
    <row r="950" ht="22.5" customHeight="1">
      <c r="A950" s="443"/>
      <c r="B950" s="456"/>
      <c r="C950" s="471"/>
      <c r="D950" s="471"/>
      <c r="E950" s="445"/>
      <c r="F950" s="445"/>
      <c r="G950" s="442"/>
      <c r="H950" s="448"/>
      <c r="I950" s="447"/>
      <c r="J950" s="448">
        <f t="shared" si="5"/>
        <v>12</v>
      </c>
      <c r="K950" s="448"/>
    </row>
    <row r="951" ht="22.5" customHeight="1">
      <c r="A951" s="443"/>
      <c r="B951" s="456"/>
      <c r="C951" s="471"/>
      <c r="D951" s="471"/>
      <c r="E951" s="445"/>
      <c r="F951" s="445"/>
      <c r="G951" s="442"/>
      <c r="H951" s="448"/>
      <c r="I951" s="447"/>
      <c r="J951" s="448">
        <f t="shared" si="5"/>
        <v>12</v>
      </c>
      <c r="K951" s="448"/>
    </row>
    <row r="952" ht="22.5" customHeight="1">
      <c r="A952" s="443"/>
      <c r="B952" s="456"/>
      <c r="C952" s="471"/>
      <c r="D952" s="471"/>
      <c r="E952" s="445"/>
      <c r="F952" s="445"/>
      <c r="G952" s="442"/>
      <c r="H952" s="448"/>
      <c r="I952" s="447"/>
      <c r="J952" s="448">
        <f t="shared" si="5"/>
        <v>12</v>
      </c>
      <c r="K952" s="448"/>
    </row>
    <row r="953" ht="22.5" customHeight="1">
      <c r="A953" s="443"/>
      <c r="B953" s="456"/>
      <c r="C953" s="471"/>
      <c r="D953" s="471"/>
      <c r="E953" s="445"/>
      <c r="F953" s="445"/>
      <c r="G953" s="442"/>
      <c r="H953" s="448"/>
      <c r="I953" s="447"/>
      <c r="J953" s="448">
        <f t="shared" si="5"/>
        <v>12</v>
      </c>
      <c r="K953" s="448"/>
    </row>
    <row r="954" ht="22.5" customHeight="1">
      <c r="A954" s="443"/>
      <c r="B954" s="456"/>
      <c r="C954" s="471"/>
      <c r="D954" s="471"/>
      <c r="E954" s="445"/>
      <c r="F954" s="445"/>
      <c r="G954" s="442"/>
      <c r="H954" s="448"/>
      <c r="I954" s="447"/>
      <c r="J954" s="448">
        <f t="shared" si="5"/>
        <v>12</v>
      </c>
      <c r="K954" s="448"/>
    </row>
    <row r="955" ht="22.5" customHeight="1">
      <c r="A955" s="443"/>
      <c r="B955" s="456"/>
      <c r="C955" s="471"/>
      <c r="D955" s="471"/>
      <c r="E955" s="445"/>
      <c r="F955" s="445"/>
      <c r="G955" s="442"/>
      <c r="H955" s="448"/>
      <c r="I955" s="447"/>
      <c r="J955" s="448">
        <f t="shared" si="5"/>
        <v>12</v>
      </c>
      <c r="K955" s="448"/>
    </row>
    <row r="956" ht="22.5" customHeight="1">
      <c r="A956" s="443"/>
      <c r="B956" s="456"/>
      <c r="C956" s="471"/>
      <c r="D956" s="471"/>
      <c r="E956" s="445"/>
      <c r="F956" s="445"/>
      <c r="G956" s="442"/>
      <c r="H956" s="448"/>
      <c r="I956" s="447"/>
      <c r="J956" s="448">
        <f t="shared" si="5"/>
        <v>12</v>
      </c>
      <c r="K956" s="448"/>
    </row>
    <row r="957" ht="22.5" customHeight="1">
      <c r="A957" s="443"/>
      <c r="B957" s="456"/>
      <c r="C957" s="471"/>
      <c r="D957" s="471"/>
      <c r="E957" s="445"/>
      <c r="F957" s="445"/>
      <c r="G957" s="442"/>
      <c r="H957" s="448"/>
      <c r="I957" s="447"/>
      <c r="J957" s="448">
        <f t="shared" si="5"/>
        <v>12</v>
      </c>
      <c r="K957" s="448"/>
    </row>
    <row r="958" ht="22.5" customHeight="1">
      <c r="A958" s="443"/>
      <c r="B958" s="456"/>
      <c r="C958" s="471"/>
      <c r="D958" s="471"/>
      <c r="E958" s="445"/>
      <c r="F958" s="445"/>
      <c r="G958" s="442"/>
      <c r="H958" s="448"/>
      <c r="I958" s="447"/>
      <c r="J958" s="448">
        <f t="shared" si="5"/>
        <v>12</v>
      </c>
      <c r="K958" s="448"/>
    </row>
    <row r="959" ht="22.5" customHeight="1">
      <c r="A959" s="443"/>
      <c r="B959" s="456"/>
      <c r="C959" s="471"/>
      <c r="D959" s="471"/>
      <c r="E959" s="445"/>
      <c r="F959" s="445"/>
      <c r="G959" s="442"/>
      <c r="H959" s="448"/>
      <c r="I959" s="447"/>
      <c r="J959" s="448">
        <f t="shared" si="5"/>
        <v>12</v>
      </c>
      <c r="K959" s="448"/>
    </row>
    <row r="960" ht="22.5" customHeight="1">
      <c r="A960" s="443"/>
      <c r="B960" s="456"/>
      <c r="C960" s="471"/>
      <c r="D960" s="471"/>
      <c r="E960" s="445"/>
      <c r="F960" s="445"/>
      <c r="G960" s="442"/>
      <c r="H960" s="448"/>
      <c r="I960" s="447"/>
      <c r="J960" s="448">
        <f t="shared" si="5"/>
        <v>12</v>
      </c>
      <c r="K960" s="448"/>
    </row>
    <row r="961" ht="22.5" customHeight="1">
      <c r="A961" s="443"/>
      <c r="B961" s="456"/>
      <c r="C961" s="471"/>
      <c r="D961" s="471"/>
      <c r="E961" s="445"/>
      <c r="F961" s="445"/>
      <c r="G961" s="442"/>
      <c r="H961" s="448"/>
      <c r="I961" s="447"/>
      <c r="J961" s="448">
        <f t="shared" si="5"/>
        <v>12</v>
      </c>
      <c r="K961" s="448"/>
    </row>
    <row r="962" ht="22.5" customHeight="1">
      <c r="A962" s="443"/>
      <c r="B962" s="456"/>
      <c r="C962" s="471"/>
      <c r="D962" s="471"/>
      <c r="E962" s="445"/>
      <c r="F962" s="445"/>
      <c r="G962" s="442"/>
      <c r="H962" s="448"/>
      <c r="I962" s="447"/>
      <c r="J962" s="448">
        <f t="shared" si="5"/>
        <v>12</v>
      </c>
      <c r="K962" s="448"/>
    </row>
    <row r="963" ht="22.5" customHeight="1">
      <c r="A963" s="443"/>
      <c r="B963" s="456"/>
      <c r="C963" s="471"/>
      <c r="D963" s="471"/>
      <c r="E963" s="445"/>
      <c r="F963" s="445"/>
      <c r="G963" s="442"/>
      <c r="H963" s="448"/>
      <c r="I963" s="447"/>
      <c r="J963" s="448">
        <f t="shared" si="5"/>
        <v>12</v>
      </c>
      <c r="K963" s="448"/>
    </row>
    <row r="964" ht="22.5" customHeight="1">
      <c r="A964" s="443"/>
      <c r="B964" s="456"/>
      <c r="C964" s="471"/>
      <c r="D964" s="471"/>
      <c r="E964" s="445"/>
      <c r="F964" s="445"/>
      <c r="G964" s="442"/>
      <c r="H964" s="448"/>
      <c r="I964" s="447"/>
      <c r="J964" s="448">
        <f t="shared" si="5"/>
        <v>12</v>
      </c>
      <c r="K964" s="448"/>
    </row>
    <row r="965" ht="22.5" customHeight="1">
      <c r="A965" s="443"/>
      <c r="B965" s="456"/>
      <c r="C965" s="471"/>
      <c r="D965" s="471"/>
      <c r="E965" s="445"/>
      <c r="F965" s="445"/>
      <c r="G965" s="442"/>
      <c r="H965" s="448"/>
      <c r="I965" s="447"/>
      <c r="J965" s="448">
        <f t="shared" si="5"/>
        <v>12</v>
      </c>
      <c r="K965" s="448"/>
    </row>
    <row r="966" ht="22.5" customHeight="1">
      <c r="A966" s="443"/>
      <c r="B966" s="456"/>
      <c r="C966" s="471"/>
      <c r="D966" s="471"/>
      <c r="E966" s="445"/>
      <c r="F966" s="445"/>
      <c r="G966" s="442"/>
      <c r="H966" s="448"/>
      <c r="I966" s="447"/>
      <c r="J966" s="448">
        <f t="shared" si="5"/>
        <v>12</v>
      </c>
      <c r="K966" s="448"/>
    </row>
    <row r="967" ht="22.5" customHeight="1">
      <c r="A967" s="443"/>
      <c r="B967" s="456"/>
      <c r="C967" s="471"/>
      <c r="D967" s="471"/>
      <c r="E967" s="445"/>
      <c r="F967" s="445"/>
      <c r="G967" s="442"/>
      <c r="H967" s="448"/>
      <c r="I967" s="447"/>
      <c r="J967" s="448">
        <f t="shared" si="5"/>
        <v>12</v>
      </c>
      <c r="K967" s="448"/>
    </row>
    <row r="968" ht="22.5" customHeight="1">
      <c r="A968" s="443"/>
      <c r="B968" s="456"/>
      <c r="C968" s="471"/>
      <c r="D968" s="471"/>
      <c r="E968" s="445"/>
      <c r="F968" s="445"/>
      <c r="G968" s="442"/>
      <c r="H968" s="448"/>
      <c r="I968" s="447"/>
      <c r="J968" s="448">
        <f t="shared" si="5"/>
        <v>12</v>
      </c>
      <c r="K968" s="448"/>
    </row>
    <row r="969" ht="22.5" customHeight="1">
      <c r="A969" s="443"/>
      <c r="B969" s="456"/>
      <c r="C969" s="471"/>
      <c r="D969" s="471"/>
      <c r="E969" s="445"/>
      <c r="F969" s="445"/>
      <c r="G969" s="442"/>
      <c r="H969" s="448"/>
      <c r="I969" s="447"/>
      <c r="J969" s="448">
        <f t="shared" si="5"/>
        <v>12</v>
      </c>
      <c r="K969" s="448"/>
    </row>
    <row r="970" ht="22.5" customHeight="1">
      <c r="A970" s="443"/>
      <c r="B970" s="456"/>
      <c r="C970" s="471"/>
      <c r="D970" s="471"/>
      <c r="E970" s="445"/>
      <c r="F970" s="445"/>
      <c r="G970" s="442"/>
      <c r="H970" s="448"/>
      <c r="I970" s="447"/>
      <c r="J970" s="448">
        <f t="shared" si="5"/>
        <v>12</v>
      </c>
      <c r="K970" s="448"/>
    </row>
    <row r="971" ht="22.5" customHeight="1">
      <c r="A971" s="443"/>
      <c r="B971" s="456"/>
      <c r="C971" s="471"/>
      <c r="D971" s="471"/>
      <c r="E971" s="445"/>
      <c r="F971" s="445"/>
      <c r="G971" s="442"/>
      <c r="H971" s="448"/>
      <c r="I971" s="447"/>
      <c r="J971" s="448">
        <f t="shared" si="5"/>
        <v>12</v>
      </c>
      <c r="K971" s="448"/>
    </row>
    <row r="972" ht="22.5" customHeight="1">
      <c r="A972" s="443"/>
      <c r="B972" s="456"/>
      <c r="C972" s="471"/>
      <c r="D972" s="471"/>
      <c r="E972" s="445"/>
      <c r="F972" s="445"/>
      <c r="G972" s="442"/>
      <c r="H972" s="448"/>
      <c r="I972" s="447"/>
      <c r="J972" s="448">
        <f t="shared" si="5"/>
        <v>12</v>
      </c>
      <c r="K972" s="448"/>
    </row>
    <row r="973" ht="22.5" customHeight="1">
      <c r="A973" s="443"/>
      <c r="B973" s="456"/>
      <c r="C973" s="471"/>
      <c r="D973" s="471"/>
      <c r="E973" s="445"/>
      <c r="F973" s="445"/>
      <c r="G973" s="442"/>
      <c r="H973" s="448"/>
      <c r="I973" s="447"/>
      <c r="J973" s="448">
        <f t="shared" si="5"/>
        <v>12</v>
      </c>
      <c r="K973" s="448"/>
    </row>
    <row r="974" ht="22.5" customHeight="1">
      <c r="A974" s="443"/>
      <c r="B974" s="456"/>
      <c r="C974" s="471"/>
      <c r="D974" s="471"/>
      <c r="E974" s="445"/>
      <c r="F974" s="445"/>
      <c r="G974" s="442"/>
      <c r="H974" s="448"/>
      <c r="I974" s="447"/>
      <c r="J974" s="448">
        <f t="shared" si="5"/>
        <v>12</v>
      </c>
      <c r="K974" s="448"/>
    </row>
    <row r="975" ht="22.5" customHeight="1">
      <c r="A975" s="443"/>
      <c r="B975" s="456"/>
      <c r="C975" s="471"/>
      <c r="D975" s="471"/>
      <c r="E975" s="445"/>
      <c r="F975" s="445"/>
      <c r="G975" s="442"/>
      <c r="H975" s="448"/>
      <c r="I975" s="447"/>
      <c r="J975" s="448">
        <f t="shared" si="5"/>
        <v>12</v>
      </c>
      <c r="K975" s="448"/>
    </row>
    <row r="976" ht="22.5" customHeight="1">
      <c r="A976" s="443"/>
      <c r="B976" s="456"/>
      <c r="C976" s="471"/>
      <c r="D976" s="471"/>
      <c r="E976" s="445"/>
      <c r="F976" s="445"/>
      <c r="G976" s="442"/>
      <c r="H976" s="448"/>
      <c r="I976" s="447"/>
      <c r="J976" s="448">
        <f t="shared" si="5"/>
        <v>12</v>
      </c>
      <c r="K976" s="448"/>
    </row>
    <row r="977" ht="22.5" customHeight="1">
      <c r="A977" s="443"/>
      <c r="B977" s="456"/>
      <c r="C977" s="471"/>
      <c r="D977" s="471"/>
      <c r="E977" s="445"/>
      <c r="F977" s="445"/>
      <c r="G977" s="442"/>
      <c r="H977" s="448"/>
      <c r="I977" s="447"/>
      <c r="J977" s="448">
        <f t="shared" si="5"/>
        <v>12</v>
      </c>
      <c r="K977" s="448"/>
    </row>
    <row r="978" ht="22.5" customHeight="1">
      <c r="A978" s="443"/>
      <c r="B978" s="456"/>
      <c r="C978" s="471"/>
      <c r="D978" s="471"/>
      <c r="E978" s="445"/>
      <c r="F978" s="445"/>
      <c r="G978" s="442"/>
      <c r="H978" s="448"/>
      <c r="I978" s="447"/>
      <c r="J978" s="448">
        <f t="shared" si="5"/>
        <v>12</v>
      </c>
      <c r="K978" s="448"/>
    </row>
    <row r="979" ht="22.5" customHeight="1">
      <c r="A979" s="443"/>
      <c r="B979" s="456"/>
      <c r="C979" s="471"/>
      <c r="D979" s="471"/>
      <c r="E979" s="445"/>
      <c r="F979" s="445"/>
      <c r="G979" s="442"/>
      <c r="H979" s="448"/>
      <c r="I979" s="447"/>
      <c r="J979" s="448">
        <f t="shared" si="5"/>
        <v>12</v>
      </c>
      <c r="K979" s="448"/>
    </row>
    <row r="980" ht="22.5" customHeight="1">
      <c r="A980" s="443"/>
      <c r="B980" s="456"/>
      <c r="C980" s="471"/>
      <c r="D980" s="471"/>
      <c r="E980" s="445"/>
      <c r="F980" s="445"/>
      <c r="G980" s="442"/>
      <c r="H980" s="448"/>
      <c r="I980" s="447"/>
      <c r="J980" s="448">
        <f t="shared" si="5"/>
        <v>12</v>
      </c>
      <c r="K980" s="448"/>
    </row>
    <row r="981" ht="22.5" customHeight="1">
      <c r="A981" s="443"/>
      <c r="B981" s="456"/>
      <c r="C981" s="471"/>
      <c r="D981" s="471"/>
      <c r="E981" s="445"/>
      <c r="F981" s="445"/>
      <c r="G981" s="442"/>
      <c r="H981" s="448"/>
      <c r="I981" s="447"/>
      <c r="J981" s="448">
        <f t="shared" si="5"/>
        <v>12</v>
      </c>
      <c r="K981" s="448"/>
    </row>
    <row r="982" ht="22.5" customHeight="1">
      <c r="A982" s="443"/>
      <c r="B982" s="456"/>
      <c r="C982" s="471"/>
      <c r="D982" s="471"/>
      <c r="E982" s="445"/>
      <c r="F982" s="445"/>
      <c r="G982" s="442"/>
      <c r="H982" s="448"/>
      <c r="I982" s="447"/>
      <c r="J982" s="448">
        <f t="shared" si="5"/>
        <v>12</v>
      </c>
      <c r="K982" s="448"/>
    </row>
    <row r="983" ht="22.5" customHeight="1">
      <c r="A983" s="443"/>
      <c r="B983" s="456"/>
      <c r="C983" s="471"/>
      <c r="D983" s="471"/>
      <c r="E983" s="445"/>
      <c r="F983" s="445"/>
      <c r="G983" s="442"/>
      <c r="H983" s="448"/>
      <c r="I983" s="447"/>
      <c r="J983" s="448">
        <f t="shared" si="5"/>
        <v>12</v>
      </c>
      <c r="K983" s="448"/>
    </row>
    <row r="984" ht="22.5" customHeight="1">
      <c r="A984" s="443"/>
      <c r="B984" s="456"/>
      <c r="C984" s="471"/>
      <c r="D984" s="471"/>
      <c r="E984" s="445"/>
      <c r="F984" s="445"/>
      <c r="G984" s="442"/>
      <c r="H984" s="448"/>
      <c r="I984" s="447"/>
      <c r="J984" s="448">
        <f t="shared" si="5"/>
        <v>12</v>
      </c>
      <c r="K984" s="448"/>
    </row>
    <row r="985" ht="22.5" customHeight="1">
      <c r="A985" s="443"/>
      <c r="B985" s="456"/>
      <c r="C985" s="471"/>
      <c r="D985" s="471"/>
      <c r="E985" s="445"/>
      <c r="F985" s="445"/>
      <c r="G985" s="442"/>
      <c r="H985" s="448"/>
      <c r="I985" s="447"/>
      <c r="J985" s="448">
        <f t="shared" si="5"/>
        <v>12</v>
      </c>
      <c r="K985" s="448"/>
    </row>
    <row r="986" ht="22.5" customHeight="1">
      <c r="A986" s="443"/>
      <c r="B986" s="456"/>
      <c r="C986" s="471"/>
      <c r="D986" s="471"/>
      <c r="E986" s="445"/>
      <c r="F986" s="445"/>
      <c r="G986" s="442"/>
      <c r="H986" s="448"/>
      <c r="I986" s="447"/>
      <c r="J986" s="448">
        <f t="shared" si="5"/>
        <v>12</v>
      </c>
      <c r="K986" s="448"/>
    </row>
    <row r="987" ht="22.5" customHeight="1">
      <c r="A987" s="443"/>
      <c r="B987" s="456"/>
      <c r="C987" s="471"/>
      <c r="D987" s="471"/>
      <c r="E987" s="445"/>
      <c r="F987" s="445"/>
      <c r="G987" s="442"/>
      <c r="H987" s="448"/>
      <c r="I987" s="447"/>
      <c r="J987" s="448">
        <f t="shared" si="5"/>
        <v>12</v>
      </c>
      <c r="K987" s="448"/>
    </row>
    <row r="988" ht="22.5" customHeight="1">
      <c r="A988" s="443"/>
      <c r="B988" s="456"/>
      <c r="C988" s="471"/>
      <c r="D988" s="471"/>
      <c r="E988" s="445"/>
      <c r="F988" s="445"/>
      <c r="G988" s="442"/>
      <c r="H988" s="448"/>
      <c r="I988" s="447"/>
      <c r="J988" s="448">
        <f t="shared" si="5"/>
        <v>12</v>
      </c>
      <c r="K988" s="448"/>
    </row>
    <row r="989" ht="22.5" customHeight="1">
      <c r="A989" s="443"/>
      <c r="B989" s="456"/>
      <c r="C989" s="471"/>
      <c r="D989" s="471"/>
      <c r="E989" s="445"/>
      <c r="F989" s="445"/>
      <c r="G989" s="442"/>
      <c r="H989" s="448"/>
      <c r="I989" s="447"/>
      <c r="J989" s="448">
        <f t="shared" si="5"/>
        <v>12</v>
      </c>
      <c r="K989" s="448"/>
    </row>
    <row r="990" ht="22.5" customHeight="1">
      <c r="A990" s="443"/>
      <c r="B990" s="456"/>
      <c r="C990" s="471"/>
      <c r="D990" s="471"/>
      <c r="E990" s="445"/>
      <c r="F990" s="445"/>
      <c r="G990" s="442"/>
      <c r="H990" s="448"/>
      <c r="I990" s="447"/>
      <c r="J990" s="448">
        <f t="shared" si="5"/>
        <v>12</v>
      </c>
      <c r="K990" s="448"/>
    </row>
    <row r="991" ht="22.5" customHeight="1">
      <c r="A991" s="443"/>
      <c r="B991" s="456"/>
      <c r="C991" s="471"/>
      <c r="D991" s="471"/>
      <c r="E991" s="445"/>
      <c r="F991" s="445"/>
      <c r="G991" s="442"/>
      <c r="H991" s="448"/>
      <c r="I991" s="447"/>
      <c r="J991" s="448">
        <f t="shared" si="5"/>
        <v>12</v>
      </c>
      <c r="K991" s="448"/>
    </row>
    <row r="992" ht="22.5" customHeight="1">
      <c r="A992" s="443"/>
      <c r="B992" s="456"/>
      <c r="C992" s="471"/>
      <c r="D992" s="471"/>
      <c r="E992" s="445"/>
      <c r="F992" s="445"/>
      <c r="G992" s="442"/>
      <c r="H992" s="448"/>
      <c r="I992" s="447"/>
      <c r="J992" s="448">
        <f t="shared" si="5"/>
        <v>12</v>
      </c>
      <c r="K992" s="448"/>
    </row>
    <row r="993" ht="22.5" customHeight="1">
      <c r="A993" s="443"/>
      <c r="B993" s="456"/>
      <c r="C993" s="471"/>
      <c r="D993" s="471"/>
      <c r="E993" s="445"/>
      <c r="F993" s="445"/>
      <c r="G993" s="442"/>
      <c r="H993" s="448"/>
      <c r="I993" s="447"/>
      <c r="J993" s="448">
        <f t="shared" si="5"/>
        <v>12</v>
      </c>
      <c r="K993" s="448"/>
    </row>
    <row r="994" ht="22.5" customHeight="1">
      <c r="A994" s="443"/>
      <c r="B994" s="456"/>
      <c r="C994" s="471"/>
      <c r="D994" s="471"/>
      <c r="E994" s="445"/>
      <c r="F994" s="445"/>
      <c r="G994" s="442"/>
      <c r="H994" s="448"/>
      <c r="I994" s="447"/>
      <c r="J994" s="448">
        <f t="shared" si="5"/>
        <v>12</v>
      </c>
      <c r="K994" s="448"/>
    </row>
    <row r="995" ht="22.5" customHeight="1">
      <c r="A995" s="443"/>
      <c r="B995" s="456"/>
      <c r="C995" s="471"/>
      <c r="D995" s="471"/>
      <c r="E995" s="445"/>
      <c r="F995" s="445"/>
      <c r="G995" s="442"/>
      <c r="H995" s="448"/>
      <c r="I995" s="447"/>
      <c r="J995" s="448">
        <f t="shared" si="5"/>
        <v>12</v>
      </c>
      <c r="K995" s="448"/>
    </row>
    <row r="996" ht="22.5" customHeight="1">
      <c r="A996" s="443"/>
      <c r="B996" s="456"/>
      <c r="C996" s="471"/>
      <c r="D996" s="471"/>
      <c r="E996" s="445"/>
      <c r="F996" s="445"/>
      <c r="G996" s="442"/>
      <c r="H996" s="448"/>
      <c r="I996" s="447"/>
      <c r="J996" s="448">
        <f t="shared" si="5"/>
        <v>12</v>
      </c>
      <c r="K996" s="448"/>
    </row>
    <row r="997" ht="22.5" customHeight="1">
      <c r="A997" s="443"/>
      <c r="B997" s="456"/>
      <c r="C997" s="471"/>
      <c r="D997" s="471"/>
      <c r="E997" s="445"/>
      <c r="F997" s="445"/>
      <c r="G997" s="442"/>
      <c r="H997" s="448"/>
      <c r="I997" s="447"/>
      <c r="J997" s="448">
        <f t="shared" si="5"/>
        <v>12</v>
      </c>
      <c r="K997" s="448"/>
    </row>
    <row r="998" ht="22.5" customHeight="1">
      <c r="A998" s="443"/>
      <c r="B998" s="456"/>
      <c r="C998" s="471"/>
      <c r="D998" s="471"/>
      <c r="E998" s="445"/>
      <c r="F998" s="445"/>
      <c r="G998" s="442"/>
      <c r="H998" s="448"/>
      <c r="I998" s="447"/>
      <c r="J998" s="448">
        <f t="shared" si="5"/>
        <v>12</v>
      </c>
      <c r="K998" s="448"/>
    </row>
    <row r="999" ht="22.5" customHeight="1">
      <c r="A999" s="443"/>
      <c r="B999" s="456"/>
      <c r="C999" s="471"/>
      <c r="D999" s="471"/>
      <c r="E999" s="445"/>
      <c r="F999" s="445"/>
      <c r="G999" s="442"/>
      <c r="H999" s="448"/>
      <c r="I999" s="447"/>
      <c r="J999" s="448">
        <f t="shared" si="5"/>
        <v>12</v>
      </c>
      <c r="K999" s="448"/>
    </row>
    <row r="1000" ht="22.5" customHeight="1">
      <c r="A1000" s="443"/>
      <c r="B1000" s="456"/>
      <c r="C1000" s="471"/>
      <c r="D1000" s="471"/>
      <c r="E1000" s="445"/>
      <c r="F1000" s="445"/>
      <c r="G1000" s="442"/>
      <c r="H1000" s="448"/>
      <c r="I1000" s="447"/>
      <c r="J1000" s="448">
        <f t="shared" si="5"/>
        <v>12</v>
      </c>
      <c r="K1000" s="448"/>
    </row>
    <row r="1001" ht="22.5" customHeight="1">
      <c r="A1001" s="443"/>
      <c r="B1001" s="456"/>
      <c r="C1001" s="471"/>
      <c r="D1001" s="471"/>
      <c r="E1001" s="445"/>
      <c r="F1001" s="445"/>
      <c r="G1001" s="442"/>
      <c r="H1001" s="448"/>
      <c r="I1001" s="447"/>
      <c r="J1001" s="448">
        <f t="shared" si="5"/>
        <v>12</v>
      </c>
      <c r="K1001" s="448"/>
    </row>
    <row r="1002" ht="22.5" customHeight="1">
      <c r="A1002" s="443"/>
      <c r="B1002" s="456"/>
      <c r="C1002" s="471"/>
      <c r="D1002" s="471"/>
      <c r="E1002" s="445"/>
      <c r="F1002" s="445"/>
      <c r="G1002" s="442"/>
      <c r="H1002" s="448"/>
      <c r="I1002" s="447"/>
      <c r="J1002" s="448">
        <f t="shared" si="5"/>
        <v>12</v>
      </c>
      <c r="K1002" s="448"/>
    </row>
    <row r="1003" ht="22.5" customHeight="1">
      <c r="A1003" s="443"/>
      <c r="B1003" s="456"/>
      <c r="C1003" s="471"/>
      <c r="D1003" s="471"/>
      <c r="E1003" s="445"/>
      <c r="F1003" s="445"/>
      <c r="G1003" s="442"/>
      <c r="H1003" s="448"/>
      <c r="I1003" s="447"/>
      <c r="J1003" s="448">
        <f t="shared" si="5"/>
        <v>12</v>
      </c>
      <c r="K1003" s="448"/>
    </row>
    <row r="1004" ht="22.5" customHeight="1">
      <c r="A1004" s="443"/>
      <c r="B1004" s="456"/>
      <c r="C1004" s="471"/>
      <c r="D1004" s="471"/>
      <c r="E1004" s="445"/>
      <c r="F1004" s="445"/>
      <c r="G1004" s="442"/>
      <c r="H1004" s="448"/>
      <c r="I1004" s="447"/>
      <c r="J1004" s="448">
        <f t="shared" si="5"/>
        <v>12</v>
      </c>
      <c r="K1004" s="448"/>
    </row>
    <row r="1005" ht="22.5" customHeight="1">
      <c r="A1005" s="443"/>
      <c r="B1005" s="456"/>
      <c r="C1005" s="471"/>
      <c r="D1005" s="471"/>
      <c r="E1005" s="445"/>
      <c r="F1005" s="445"/>
      <c r="G1005" s="442"/>
      <c r="H1005" s="448"/>
      <c r="I1005" s="447"/>
      <c r="J1005" s="448">
        <f t="shared" si="5"/>
        <v>12</v>
      </c>
      <c r="K1005" s="448"/>
    </row>
    <row r="1006" ht="22.5" customHeight="1">
      <c r="A1006" s="443"/>
      <c r="B1006" s="456"/>
      <c r="C1006" s="471"/>
      <c r="D1006" s="471"/>
      <c r="E1006" s="445"/>
      <c r="F1006" s="445"/>
      <c r="G1006" s="442"/>
      <c r="H1006" s="448"/>
      <c r="I1006" s="447"/>
      <c r="J1006" s="448">
        <f t="shared" si="5"/>
        <v>12</v>
      </c>
      <c r="K1006" s="448"/>
    </row>
    <row r="1007" ht="22.5" customHeight="1">
      <c r="A1007" s="443"/>
      <c r="B1007" s="456"/>
      <c r="C1007" s="471"/>
      <c r="D1007" s="471"/>
      <c r="E1007" s="445"/>
      <c r="F1007" s="445"/>
      <c r="G1007" s="442"/>
      <c r="H1007" s="448"/>
      <c r="I1007" s="447"/>
      <c r="J1007" s="448">
        <f t="shared" si="5"/>
        <v>12</v>
      </c>
      <c r="K1007" s="448"/>
    </row>
    <row r="1008" ht="22.5" customHeight="1">
      <c r="A1008" s="443"/>
      <c r="B1008" s="456"/>
      <c r="C1008" s="471"/>
      <c r="D1008" s="471"/>
      <c r="E1008" s="445"/>
      <c r="F1008" s="445"/>
      <c r="G1008" s="442"/>
      <c r="H1008" s="448"/>
      <c r="I1008" s="447"/>
      <c r="J1008" s="448">
        <f t="shared" si="5"/>
        <v>12</v>
      </c>
      <c r="K1008" s="448"/>
    </row>
    <row r="1009" ht="22.5" customHeight="1">
      <c r="A1009" s="443"/>
      <c r="B1009" s="456"/>
      <c r="C1009" s="471"/>
      <c r="D1009" s="471"/>
      <c r="E1009" s="445"/>
      <c r="F1009" s="445"/>
      <c r="G1009" s="442"/>
      <c r="H1009" s="448"/>
      <c r="I1009" s="447"/>
      <c r="J1009" s="448">
        <f t="shared" si="5"/>
        <v>12</v>
      </c>
      <c r="K1009" s="448"/>
    </row>
    <row r="1010" ht="22.5" customHeight="1">
      <c r="A1010" s="443"/>
      <c r="B1010" s="456"/>
      <c r="C1010" s="471"/>
      <c r="D1010" s="471"/>
      <c r="E1010" s="445"/>
      <c r="F1010" s="445"/>
      <c r="G1010" s="442"/>
      <c r="H1010" s="448"/>
      <c r="I1010" s="447"/>
      <c r="J1010" s="448">
        <f t="shared" si="5"/>
        <v>12</v>
      </c>
      <c r="K1010" s="448"/>
    </row>
    <row r="1011" ht="22.5" customHeight="1">
      <c r="A1011" s="443"/>
      <c r="B1011" s="456"/>
      <c r="C1011" s="471"/>
      <c r="D1011" s="471"/>
      <c r="E1011" s="445"/>
      <c r="F1011" s="445"/>
      <c r="G1011" s="442"/>
      <c r="H1011" s="448"/>
      <c r="I1011" s="447"/>
      <c r="J1011" s="448">
        <f t="shared" si="5"/>
        <v>12</v>
      </c>
      <c r="K1011" s="448"/>
    </row>
    <row r="1012" ht="22.5" customHeight="1">
      <c r="A1012" s="443"/>
      <c r="B1012" s="477"/>
      <c r="C1012" s="489"/>
      <c r="D1012" s="489"/>
      <c r="E1012" s="481"/>
      <c r="F1012" s="481"/>
      <c r="G1012" s="482"/>
      <c r="H1012" s="483"/>
      <c r="I1012" s="484"/>
      <c r="J1012" s="483">
        <f t="shared" si="5"/>
        <v>12</v>
      </c>
      <c r="K1012" s="448"/>
    </row>
    <row r="1013" ht="22.5" customHeight="1">
      <c r="A1013" s="443"/>
      <c r="B1013" s="456"/>
      <c r="C1013" s="471"/>
      <c r="D1013" s="471"/>
      <c r="E1013" s="445"/>
      <c r="F1013" s="445"/>
      <c r="G1013" s="442"/>
      <c r="H1013" s="448"/>
      <c r="I1013" s="447"/>
      <c r="J1013" s="448">
        <f t="shared" si="5"/>
        <v>12</v>
      </c>
      <c r="K1013" s="448"/>
    </row>
    <row r="1014" ht="22.5" customHeight="1">
      <c r="A1014" s="443"/>
      <c r="B1014" s="456"/>
      <c r="C1014" s="471"/>
      <c r="D1014" s="471"/>
      <c r="E1014" s="445"/>
      <c r="F1014" s="445"/>
      <c r="G1014" s="442"/>
      <c r="H1014" s="448"/>
      <c r="I1014" s="447"/>
      <c r="J1014" s="448">
        <f t="shared" si="5"/>
        <v>12</v>
      </c>
      <c r="K1014" s="448"/>
    </row>
    <row r="1015" ht="22.5" customHeight="1">
      <c r="A1015" s="443"/>
      <c r="B1015" s="456"/>
      <c r="C1015" s="471"/>
      <c r="D1015" s="471"/>
      <c r="E1015" s="445"/>
      <c r="F1015" s="445"/>
      <c r="G1015" s="442"/>
      <c r="H1015" s="448"/>
      <c r="I1015" s="447"/>
      <c r="J1015" s="448">
        <f t="shared" si="5"/>
        <v>12</v>
      </c>
      <c r="K1015" s="448"/>
    </row>
    <row r="1016" ht="22.5" customHeight="1">
      <c r="A1016" s="443"/>
      <c r="B1016" s="456"/>
      <c r="C1016" s="471"/>
      <c r="D1016" s="471"/>
      <c r="E1016" s="445"/>
      <c r="F1016" s="445"/>
      <c r="G1016" s="442"/>
      <c r="H1016" s="448"/>
      <c r="I1016" s="447"/>
      <c r="J1016" s="448">
        <f t="shared" si="5"/>
        <v>12</v>
      </c>
      <c r="K1016" s="448"/>
    </row>
    <row r="1017" ht="22.5" customHeight="1">
      <c r="A1017" s="443"/>
      <c r="B1017" s="456"/>
      <c r="C1017" s="471"/>
      <c r="D1017" s="471"/>
      <c r="E1017" s="445"/>
      <c r="F1017" s="445"/>
      <c r="G1017" s="442"/>
      <c r="H1017" s="448"/>
      <c r="I1017" s="447"/>
      <c r="J1017" s="448">
        <f t="shared" si="5"/>
        <v>12</v>
      </c>
      <c r="K1017" s="448"/>
    </row>
    <row r="1018" ht="22.5" customHeight="1">
      <c r="A1018" s="443"/>
      <c r="B1018" s="456"/>
      <c r="C1018" s="471"/>
      <c r="D1018" s="471"/>
      <c r="E1018" s="445"/>
      <c r="F1018" s="445"/>
      <c r="G1018" s="442"/>
      <c r="H1018" s="448"/>
      <c r="I1018" s="447"/>
      <c r="J1018" s="448">
        <f t="shared" si="5"/>
        <v>12</v>
      </c>
      <c r="K1018" s="448"/>
    </row>
    <row r="1019" ht="22.5" customHeight="1">
      <c r="A1019" s="443"/>
      <c r="B1019" s="456"/>
      <c r="C1019" s="471"/>
      <c r="D1019" s="471"/>
      <c r="E1019" s="445"/>
      <c r="F1019" s="445"/>
      <c r="G1019" s="442"/>
      <c r="H1019" s="448"/>
      <c r="I1019" s="447"/>
      <c r="J1019" s="448">
        <f t="shared" si="5"/>
        <v>12</v>
      </c>
      <c r="K1019" s="448"/>
    </row>
    <row r="1020" ht="22.5" customHeight="1">
      <c r="A1020" s="443"/>
      <c r="B1020" s="456"/>
      <c r="C1020" s="471"/>
      <c r="D1020" s="471"/>
      <c r="E1020" s="445"/>
      <c r="F1020" s="445"/>
      <c r="G1020" s="442"/>
      <c r="H1020" s="448"/>
      <c r="I1020" s="447"/>
      <c r="J1020" s="448">
        <f t="shared" si="5"/>
        <v>12</v>
      </c>
      <c r="K1020" s="448"/>
    </row>
    <row r="1021" ht="22.5" customHeight="1">
      <c r="A1021" s="443"/>
      <c r="B1021" s="456"/>
      <c r="C1021" s="471"/>
      <c r="D1021" s="471"/>
      <c r="E1021" s="445"/>
      <c r="F1021" s="445"/>
      <c r="G1021" s="442"/>
      <c r="H1021" s="448"/>
      <c r="I1021" s="447"/>
      <c r="J1021" s="448">
        <f t="shared" si="5"/>
        <v>12</v>
      </c>
      <c r="K1021" s="448"/>
    </row>
    <row r="1022" ht="22.5" customHeight="1">
      <c r="A1022" s="443"/>
      <c r="B1022" s="456"/>
      <c r="C1022" s="471"/>
      <c r="D1022" s="471"/>
      <c r="E1022" s="445"/>
      <c r="F1022" s="445"/>
      <c r="G1022" s="442"/>
      <c r="H1022" s="448"/>
      <c r="I1022" s="447"/>
      <c r="J1022" s="448">
        <f t="shared" si="5"/>
        <v>12</v>
      </c>
      <c r="K1022" s="448"/>
    </row>
    <row r="1023" ht="22.5" customHeight="1">
      <c r="A1023" s="443"/>
      <c r="B1023" s="456"/>
      <c r="C1023" s="471"/>
      <c r="D1023" s="471"/>
      <c r="E1023" s="445"/>
      <c r="F1023" s="445"/>
      <c r="G1023" s="442"/>
      <c r="H1023" s="448"/>
      <c r="I1023" s="447"/>
      <c r="J1023" s="448">
        <f t="shared" si="5"/>
        <v>12</v>
      </c>
      <c r="K1023" s="448"/>
    </row>
    <row r="1024" ht="22.5" customHeight="1">
      <c r="B1024" s="456"/>
      <c r="C1024" s="471"/>
      <c r="D1024" s="471"/>
      <c r="E1024" s="445"/>
      <c r="F1024" s="445"/>
      <c r="G1024" s="442"/>
      <c r="H1024" s="448"/>
      <c r="I1024" s="447"/>
      <c r="J1024" s="448">
        <f t="shared" si="5"/>
        <v>12</v>
      </c>
      <c r="K1024" s="448"/>
    </row>
    <row r="1025" ht="22.5" customHeight="1">
      <c r="B1025" s="492"/>
      <c r="C1025" s="488"/>
      <c r="D1025" s="471"/>
      <c r="E1025" s="445"/>
      <c r="G1025" s="442"/>
      <c r="J1025" s="448">
        <f t="shared" si="5"/>
        <v>12</v>
      </c>
      <c r="K1025" s="448"/>
    </row>
    <row r="1026" ht="22.5" customHeight="1">
      <c r="B1026" s="492"/>
      <c r="C1026" s="488"/>
      <c r="D1026" s="471"/>
      <c r="E1026" s="445"/>
      <c r="G1026" s="442"/>
      <c r="J1026" s="448">
        <f t="shared" si="5"/>
        <v>12</v>
      </c>
      <c r="K1026" s="448"/>
    </row>
    <row r="1027" ht="22.5" customHeight="1">
      <c r="B1027" s="456"/>
      <c r="C1027" s="488"/>
      <c r="D1027" s="488"/>
      <c r="G1027" s="442"/>
      <c r="J1027" s="448">
        <f t="shared" si="5"/>
        <v>12</v>
      </c>
      <c r="K1027" s="448"/>
    </row>
    <row r="1028" ht="22.5" customHeight="1">
      <c r="A1028" s="443"/>
      <c r="B1028" s="492"/>
      <c r="C1028" s="488"/>
      <c r="D1028" s="488"/>
      <c r="G1028" s="442"/>
      <c r="J1028" s="448">
        <f t="shared" si="5"/>
        <v>12</v>
      </c>
      <c r="K1028" s="448"/>
    </row>
    <row r="1029" ht="22.5" customHeight="1">
      <c r="A1029" s="443"/>
      <c r="B1029" s="456"/>
      <c r="C1029" s="471"/>
      <c r="D1029" s="471"/>
      <c r="E1029" s="445"/>
      <c r="F1029" s="445"/>
      <c r="G1029" s="442"/>
      <c r="H1029" s="448"/>
      <c r="I1029" s="447"/>
      <c r="J1029" s="448">
        <f t="shared" si="5"/>
        <v>12</v>
      </c>
      <c r="K1029" s="448"/>
    </row>
    <row r="1030" ht="22.5" customHeight="1">
      <c r="A1030" s="443"/>
      <c r="B1030" s="456"/>
      <c r="C1030" s="471"/>
      <c r="D1030" s="471"/>
      <c r="E1030" s="445"/>
      <c r="F1030" s="445"/>
      <c r="G1030" s="442"/>
      <c r="H1030" s="448"/>
      <c r="I1030" s="447"/>
      <c r="J1030" s="448">
        <f t="shared" si="5"/>
        <v>12</v>
      </c>
      <c r="K1030" s="448"/>
    </row>
    <row r="1031" ht="22.5" customHeight="1">
      <c r="B1031" s="456"/>
      <c r="C1031" s="471"/>
      <c r="D1031" s="471"/>
      <c r="E1031" s="445"/>
      <c r="F1031" s="445"/>
      <c r="G1031" s="442"/>
      <c r="H1031" s="448"/>
      <c r="I1031" s="447"/>
      <c r="J1031" s="448">
        <f t="shared" si="5"/>
        <v>12</v>
      </c>
      <c r="K1031" s="448"/>
    </row>
    <row r="1032" ht="22.5" customHeight="1">
      <c r="B1032" s="492"/>
      <c r="C1032" s="488"/>
      <c r="D1032" s="488"/>
      <c r="G1032" s="442"/>
      <c r="J1032" s="448">
        <f t="shared" si="5"/>
        <v>12</v>
      </c>
      <c r="K1032" s="448"/>
    </row>
    <row r="1033" ht="22.5" customHeight="1">
      <c r="B1033" s="492"/>
      <c r="C1033" s="488"/>
      <c r="D1033" s="488"/>
      <c r="G1033" s="442"/>
      <c r="J1033" s="448">
        <f t="shared" si="5"/>
        <v>12</v>
      </c>
      <c r="K1033" s="448"/>
    </row>
    <row r="1034" ht="22.5" customHeight="1">
      <c r="B1034" s="492"/>
      <c r="C1034" s="488"/>
      <c r="D1034" s="471"/>
      <c r="E1034" s="445"/>
      <c r="G1034" s="442"/>
      <c r="J1034" s="448">
        <f t="shared" si="5"/>
        <v>12</v>
      </c>
      <c r="K1034" s="448"/>
    </row>
    <row r="1035" ht="22.5" customHeight="1">
      <c r="B1035" s="492"/>
      <c r="C1035" s="488"/>
      <c r="D1035" s="471"/>
      <c r="E1035" s="445"/>
      <c r="G1035" s="442"/>
      <c r="J1035" s="448">
        <f t="shared" si="5"/>
        <v>12</v>
      </c>
      <c r="K1035" s="448"/>
    </row>
    <row r="1036" ht="22.5" customHeight="1">
      <c r="B1036" s="492"/>
      <c r="C1036" s="488"/>
      <c r="D1036" s="488"/>
      <c r="G1036" s="442"/>
      <c r="J1036" s="448">
        <f t="shared" si="5"/>
        <v>12</v>
      </c>
      <c r="K1036" s="448"/>
    </row>
    <row r="1037" ht="22.5" customHeight="1">
      <c r="B1037" s="492"/>
      <c r="C1037" s="488"/>
      <c r="D1037" s="488"/>
      <c r="G1037" s="442"/>
      <c r="J1037" s="448">
        <f t="shared" si="5"/>
        <v>12</v>
      </c>
      <c r="K1037" s="448"/>
    </row>
    <row r="1038" ht="22.5" customHeight="1">
      <c r="A1038" s="443"/>
      <c r="B1038" s="492"/>
      <c r="C1038" s="488"/>
      <c r="D1038" s="488"/>
      <c r="G1038" s="442"/>
      <c r="J1038" s="448">
        <f t="shared" si="5"/>
        <v>12</v>
      </c>
      <c r="K1038" s="448"/>
    </row>
    <row r="1039" ht="22.5" customHeight="1">
      <c r="A1039" s="443"/>
      <c r="B1039" s="456"/>
      <c r="C1039" s="471"/>
      <c r="D1039" s="471"/>
      <c r="E1039" s="445"/>
      <c r="F1039" s="445"/>
      <c r="G1039" s="442"/>
      <c r="H1039" s="448"/>
      <c r="I1039" s="447"/>
      <c r="J1039" s="448">
        <f t="shared" si="5"/>
        <v>12</v>
      </c>
      <c r="K1039" s="448"/>
    </row>
    <row r="1040" ht="22.5" customHeight="1">
      <c r="A1040" s="443"/>
      <c r="B1040" s="456"/>
      <c r="C1040" s="471"/>
      <c r="D1040" s="471"/>
      <c r="E1040" s="445"/>
      <c r="F1040" s="445"/>
      <c r="G1040" s="442"/>
      <c r="H1040" s="448"/>
      <c r="I1040" s="447"/>
      <c r="J1040" s="448">
        <f t="shared" si="5"/>
        <v>12</v>
      </c>
      <c r="K1040" s="448"/>
    </row>
    <row r="1041" ht="22.5" customHeight="1">
      <c r="A1041" s="443"/>
      <c r="B1041" s="456"/>
      <c r="C1041" s="471"/>
      <c r="D1041" s="471"/>
      <c r="E1041" s="445"/>
      <c r="F1041" s="445"/>
      <c r="G1041" s="442"/>
      <c r="H1041" s="448"/>
      <c r="I1041" s="447"/>
      <c r="J1041" s="448">
        <f t="shared" si="5"/>
        <v>12</v>
      </c>
      <c r="K1041" s="448"/>
    </row>
    <row r="1042" ht="22.5" customHeight="1">
      <c r="A1042" s="443"/>
      <c r="B1042" s="456"/>
      <c r="C1042" s="471"/>
      <c r="D1042" s="471"/>
      <c r="E1042" s="445"/>
      <c r="F1042" s="445"/>
      <c r="G1042" s="442"/>
      <c r="H1042" s="448" t="s">
        <v>2678</v>
      </c>
      <c r="I1042" s="447"/>
      <c r="J1042" s="448">
        <f t="shared" si="5"/>
        <v>12</v>
      </c>
      <c r="K1042" s="448"/>
    </row>
    <row r="1043" ht="22.5" customHeight="1">
      <c r="A1043" s="443"/>
      <c r="B1043" s="456"/>
      <c r="C1043" s="471"/>
      <c r="D1043" s="471"/>
      <c r="E1043" s="445"/>
      <c r="F1043" s="445"/>
      <c r="G1043" s="442"/>
      <c r="H1043" s="448"/>
      <c r="I1043" s="447"/>
      <c r="J1043" s="448">
        <f t="shared" si="5"/>
        <v>12</v>
      </c>
      <c r="K1043" s="448"/>
    </row>
    <row r="1044" ht="22.5" customHeight="1">
      <c r="A1044" s="443"/>
      <c r="B1044" s="456"/>
      <c r="C1044" s="471"/>
      <c r="D1044" s="471"/>
      <c r="E1044" s="445"/>
      <c r="F1044" s="445"/>
      <c r="G1044" s="442"/>
      <c r="H1044" s="448"/>
      <c r="I1044" s="447"/>
      <c r="J1044" s="448">
        <f t="shared" si="5"/>
        <v>12</v>
      </c>
      <c r="K1044" s="448"/>
    </row>
    <row r="1045" ht="22.5" customHeight="1">
      <c r="A1045" s="443"/>
      <c r="B1045" s="456"/>
      <c r="C1045" s="471"/>
      <c r="D1045" s="471"/>
      <c r="E1045" s="445"/>
      <c r="F1045" s="445"/>
      <c r="G1045" s="442"/>
      <c r="H1045" s="448"/>
      <c r="I1045" s="447"/>
      <c r="J1045" s="448">
        <f t="shared" si="5"/>
        <v>12</v>
      </c>
      <c r="K1045" s="448"/>
    </row>
    <row r="1046" ht="22.5" customHeight="1">
      <c r="A1046" s="443"/>
      <c r="B1046" s="456"/>
      <c r="C1046" s="471"/>
      <c r="D1046" s="471"/>
      <c r="E1046" s="445"/>
      <c r="F1046" s="445"/>
      <c r="G1046" s="442"/>
      <c r="H1046" s="448"/>
      <c r="I1046" s="447"/>
      <c r="J1046" s="448">
        <f t="shared" si="5"/>
        <v>12</v>
      </c>
      <c r="K1046" s="448"/>
    </row>
    <row r="1047" ht="22.5" customHeight="1">
      <c r="A1047" s="443"/>
      <c r="B1047" s="456"/>
      <c r="C1047" s="471"/>
      <c r="D1047" s="471"/>
      <c r="E1047" s="445"/>
      <c r="F1047" s="445"/>
      <c r="G1047" s="442"/>
      <c r="H1047" s="448"/>
      <c r="I1047" s="447"/>
      <c r="J1047" s="448">
        <f t="shared" si="5"/>
        <v>12</v>
      </c>
      <c r="K1047" s="448"/>
    </row>
    <row r="1048" ht="22.5" customHeight="1">
      <c r="A1048" s="443"/>
      <c r="B1048" s="456"/>
      <c r="C1048" s="471"/>
      <c r="D1048" s="471"/>
      <c r="E1048" s="445"/>
      <c r="F1048" s="445"/>
      <c r="G1048" s="442"/>
      <c r="H1048" s="448"/>
      <c r="I1048" s="447"/>
      <c r="J1048" s="448">
        <f t="shared" si="5"/>
        <v>12</v>
      </c>
      <c r="K1048" s="448"/>
    </row>
    <row r="1049" ht="22.5" customHeight="1">
      <c r="A1049" s="443"/>
      <c r="B1049" s="456"/>
      <c r="C1049" s="471"/>
      <c r="D1049" s="471"/>
      <c r="E1049" s="445"/>
      <c r="F1049" s="445"/>
      <c r="G1049" s="442"/>
      <c r="H1049" s="448"/>
      <c r="I1049" s="447"/>
      <c r="J1049" s="448">
        <f t="shared" si="5"/>
        <v>12</v>
      </c>
      <c r="K1049" s="448"/>
    </row>
    <row r="1050" ht="22.5" customHeight="1">
      <c r="A1050" s="443"/>
      <c r="B1050" s="456"/>
      <c r="C1050" s="471"/>
      <c r="D1050" s="471"/>
      <c r="E1050" s="445"/>
      <c r="F1050" s="445"/>
      <c r="G1050" s="442"/>
      <c r="H1050" s="448"/>
      <c r="I1050" s="447"/>
      <c r="J1050" s="448">
        <f t="shared" si="5"/>
        <v>12</v>
      </c>
      <c r="K1050" s="448"/>
    </row>
    <row r="1051" ht="22.5" customHeight="1">
      <c r="A1051" s="443"/>
      <c r="B1051" s="456"/>
      <c r="C1051" s="471"/>
      <c r="D1051" s="471"/>
      <c r="E1051" s="445"/>
      <c r="F1051" s="445"/>
      <c r="G1051" s="442"/>
      <c r="H1051" s="448"/>
      <c r="I1051" s="447"/>
      <c r="J1051" s="448">
        <f t="shared" si="5"/>
        <v>12</v>
      </c>
      <c r="K1051" s="448"/>
    </row>
    <row r="1052" ht="22.5" customHeight="1">
      <c r="A1052" s="443"/>
      <c r="B1052" s="456"/>
      <c r="C1052" s="471"/>
      <c r="D1052" s="471"/>
      <c r="E1052" s="445"/>
      <c r="F1052" s="445"/>
      <c r="G1052" s="442"/>
      <c r="H1052" s="448"/>
      <c r="I1052" s="447"/>
      <c r="J1052" s="448">
        <f t="shared" si="5"/>
        <v>12</v>
      </c>
      <c r="K1052" s="448"/>
    </row>
    <row r="1053" ht="22.5" customHeight="1">
      <c r="A1053" s="443"/>
      <c r="B1053" s="456"/>
      <c r="C1053" s="471"/>
      <c r="D1053" s="471"/>
      <c r="E1053" s="445"/>
      <c r="F1053" s="445"/>
      <c r="G1053" s="442"/>
      <c r="H1053" s="448"/>
      <c r="I1053" s="447"/>
      <c r="J1053" s="448">
        <f t="shared" si="5"/>
        <v>12</v>
      </c>
      <c r="K1053" s="448"/>
    </row>
    <row r="1054" ht="22.5" customHeight="1">
      <c r="A1054" s="443"/>
      <c r="B1054" s="456"/>
      <c r="C1054" s="471"/>
      <c r="D1054" s="471"/>
      <c r="E1054" s="445"/>
      <c r="F1054" s="445"/>
      <c r="G1054" s="442"/>
      <c r="H1054" s="448"/>
      <c r="I1054" s="447"/>
      <c r="J1054" s="448">
        <f t="shared" si="5"/>
        <v>12</v>
      </c>
      <c r="K1054" s="448"/>
    </row>
    <row r="1055" ht="22.5" customHeight="1">
      <c r="A1055" s="443"/>
      <c r="B1055" s="456"/>
      <c r="C1055" s="471"/>
      <c r="D1055" s="471"/>
      <c r="E1055" s="445"/>
      <c r="F1055" s="445"/>
      <c r="G1055" s="442"/>
      <c r="H1055" s="448"/>
      <c r="I1055" s="447"/>
      <c r="J1055" s="448">
        <f t="shared" si="5"/>
        <v>12</v>
      </c>
      <c r="K1055" s="448"/>
    </row>
    <row r="1056" ht="22.5" customHeight="1">
      <c r="A1056" s="443"/>
      <c r="B1056" s="456"/>
      <c r="C1056" s="471"/>
      <c r="D1056" s="471"/>
      <c r="E1056" s="445"/>
      <c r="F1056" s="445"/>
      <c r="G1056" s="442"/>
      <c r="H1056" s="448"/>
      <c r="I1056" s="447"/>
      <c r="J1056" s="448">
        <f t="shared" si="5"/>
        <v>12</v>
      </c>
      <c r="K1056" s="448"/>
    </row>
    <row r="1057" ht="22.5" customHeight="1">
      <c r="A1057" s="443"/>
      <c r="B1057" s="456"/>
      <c r="C1057" s="471"/>
      <c r="D1057" s="471"/>
      <c r="E1057" s="445"/>
      <c r="F1057" s="445"/>
      <c r="G1057" s="442"/>
      <c r="H1057" s="448"/>
      <c r="I1057" s="447"/>
      <c r="J1057" s="448">
        <f t="shared" si="5"/>
        <v>12</v>
      </c>
      <c r="K1057" s="448"/>
    </row>
    <row r="1058" ht="22.5" customHeight="1">
      <c r="B1058" s="456"/>
      <c r="C1058" s="471"/>
      <c r="D1058" s="471"/>
      <c r="E1058" s="445"/>
      <c r="F1058" s="445"/>
      <c r="G1058" s="442"/>
      <c r="H1058" s="448"/>
      <c r="I1058" s="447"/>
      <c r="J1058" s="448">
        <f t="shared" si="5"/>
        <v>12</v>
      </c>
      <c r="K1058" s="448"/>
    </row>
    <row r="1059" ht="22.5" customHeight="1">
      <c r="A1059" s="443"/>
      <c r="B1059" s="456"/>
      <c r="C1059" s="471"/>
      <c r="D1059" s="488"/>
      <c r="G1059" s="442"/>
      <c r="J1059" s="448">
        <f t="shared" si="5"/>
        <v>12</v>
      </c>
      <c r="K1059" s="448"/>
    </row>
    <row r="1060" ht="22.5" customHeight="1">
      <c r="B1060" s="456"/>
      <c r="C1060" s="471"/>
      <c r="D1060" s="471"/>
      <c r="E1060" s="445"/>
      <c r="F1060" s="445"/>
      <c r="G1060" s="442"/>
      <c r="H1060" s="448"/>
      <c r="I1060" s="447"/>
      <c r="J1060" s="448">
        <f t="shared" si="5"/>
        <v>12</v>
      </c>
      <c r="K1060" s="448"/>
    </row>
    <row r="1061" ht="22.5" customHeight="1">
      <c r="B1061" s="456"/>
      <c r="C1061" s="488"/>
      <c r="D1061" s="488"/>
      <c r="G1061" s="442"/>
      <c r="J1061" s="448">
        <f t="shared" si="5"/>
        <v>12</v>
      </c>
      <c r="K1061" s="448"/>
    </row>
    <row r="1062" ht="22.5" customHeight="1">
      <c r="B1062" s="456"/>
      <c r="C1062" s="488"/>
      <c r="D1062" s="488"/>
      <c r="G1062" s="442"/>
      <c r="J1062" s="448">
        <f t="shared" si="5"/>
        <v>12</v>
      </c>
      <c r="K1062" s="448"/>
    </row>
    <row r="1063" ht="22.5" customHeight="1">
      <c r="B1063" s="456"/>
      <c r="C1063" s="488"/>
      <c r="D1063" s="488"/>
      <c r="G1063" s="442"/>
      <c r="H1063" s="454" t="s">
        <v>2679</v>
      </c>
      <c r="J1063" s="448">
        <f t="shared" si="5"/>
        <v>12</v>
      </c>
      <c r="K1063" s="448"/>
    </row>
    <row r="1064" ht="22.5" customHeight="1">
      <c r="A1064" s="443"/>
      <c r="B1064" s="456"/>
      <c r="C1064" s="488"/>
      <c r="D1064" s="488"/>
      <c r="G1064" s="442"/>
      <c r="H1064" s="454" t="s">
        <v>2679</v>
      </c>
      <c r="J1064" s="448">
        <f t="shared" si="5"/>
        <v>12</v>
      </c>
      <c r="K1064" s="448"/>
    </row>
    <row r="1065" ht="22.5" customHeight="1">
      <c r="A1065" s="443"/>
      <c r="B1065" s="456"/>
      <c r="C1065" s="471"/>
      <c r="D1065" s="488"/>
      <c r="F1065" s="445"/>
      <c r="G1065" s="442"/>
      <c r="H1065" s="448"/>
      <c r="I1065" s="447"/>
      <c r="J1065" s="448">
        <f t="shared" si="5"/>
        <v>12</v>
      </c>
      <c r="K1065" s="448"/>
    </row>
    <row r="1066" ht="22.5" customHeight="1">
      <c r="A1066" s="443"/>
      <c r="B1066" s="456"/>
      <c r="C1066" s="471"/>
      <c r="D1066" s="471"/>
      <c r="E1066" s="445"/>
      <c r="F1066" s="445"/>
      <c r="G1066" s="442"/>
      <c r="H1066" s="448"/>
      <c r="I1066" s="447"/>
      <c r="J1066" s="448">
        <f t="shared" si="5"/>
        <v>12</v>
      </c>
      <c r="K1066" s="448"/>
    </row>
    <row r="1067" ht="22.5" customHeight="1">
      <c r="A1067" s="443"/>
      <c r="B1067" s="456"/>
      <c r="C1067" s="471"/>
      <c r="D1067" s="471"/>
      <c r="E1067" s="445"/>
      <c r="F1067" s="445"/>
      <c r="G1067" s="442"/>
      <c r="H1067" s="448"/>
      <c r="I1067" s="447"/>
      <c r="J1067" s="448">
        <f t="shared" si="5"/>
        <v>12</v>
      </c>
      <c r="K1067" s="448"/>
    </row>
    <row r="1068" ht="22.5" customHeight="1">
      <c r="A1068" s="443"/>
      <c r="B1068" s="456"/>
      <c r="C1068" s="471"/>
      <c r="D1068" s="471"/>
      <c r="E1068" s="445"/>
      <c r="F1068" s="445"/>
      <c r="G1068" s="442"/>
      <c r="H1068" s="448"/>
      <c r="I1068" s="447"/>
      <c r="J1068" s="448">
        <f t="shared" si="5"/>
        <v>12</v>
      </c>
      <c r="K1068" s="448"/>
    </row>
    <row r="1069" ht="22.5" customHeight="1">
      <c r="B1069" s="456"/>
      <c r="C1069" s="471"/>
      <c r="D1069" s="471"/>
      <c r="E1069" s="445"/>
      <c r="F1069" s="445"/>
      <c r="G1069" s="442"/>
      <c r="H1069" s="448"/>
      <c r="I1069" s="447"/>
      <c r="J1069" s="448">
        <f t="shared" si="5"/>
        <v>12</v>
      </c>
      <c r="K1069" s="448"/>
    </row>
    <row r="1070" ht="22.5" customHeight="1">
      <c r="A1070" s="443"/>
      <c r="B1070" s="492"/>
      <c r="C1070" s="488"/>
      <c r="D1070" s="488"/>
      <c r="G1070" s="442"/>
    </row>
    <row r="1071" ht="22.5" customHeight="1">
      <c r="A1071" s="443"/>
      <c r="B1071" s="456"/>
      <c r="C1071" s="471"/>
      <c r="D1071" s="471"/>
      <c r="E1071" s="445"/>
      <c r="F1071" s="445"/>
      <c r="G1071" s="442"/>
      <c r="H1071" s="448"/>
      <c r="I1071" s="447"/>
      <c r="J1071" s="448">
        <f t="shared" ref="J1071:J1099" si="6">MONTH(B1071)</f>
        <v>12</v>
      </c>
      <c r="K1071" s="448"/>
    </row>
    <row r="1072" ht="22.5" customHeight="1">
      <c r="A1072" s="443"/>
      <c r="B1072" s="456"/>
      <c r="C1072" s="471"/>
      <c r="D1072" s="471"/>
      <c r="F1072" s="445"/>
      <c r="G1072" s="442"/>
      <c r="H1072" s="448"/>
      <c r="I1072" s="447"/>
      <c r="J1072" s="448">
        <f t="shared" si="6"/>
        <v>12</v>
      </c>
      <c r="K1072" s="448"/>
    </row>
    <row r="1073" ht="22.5" customHeight="1">
      <c r="A1073" s="443"/>
      <c r="B1073" s="456"/>
      <c r="C1073" s="471"/>
      <c r="D1073" s="471"/>
      <c r="E1073" s="445"/>
      <c r="F1073" s="445"/>
      <c r="G1073" s="442"/>
      <c r="H1073" s="448"/>
      <c r="I1073" s="447"/>
      <c r="J1073" s="448">
        <f t="shared" si="6"/>
        <v>12</v>
      </c>
      <c r="K1073" s="448"/>
    </row>
    <row r="1074" ht="22.5" customHeight="1">
      <c r="A1074" s="443"/>
      <c r="B1074" s="456"/>
      <c r="C1074" s="471"/>
      <c r="D1074" s="471"/>
      <c r="E1074" s="445"/>
      <c r="F1074" s="445"/>
      <c r="G1074" s="442"/>
      <c r="H1074" s="448"/>
      <c r="I1074" s="447"/>
      <c r="J1074" s="448">
        <f t="shared" si="6"/>
        <v>12</v>
      </c>
      <c r="K1074" s="448"/>
    </row>
    <row r="1075" ht="22.5" customHeight="1">
      <c r="A1075" s="443"/>
      <c r="B1075" s="456"/>
      <c r="C1075" s="471"/>
      <c r="D1075" s="471"/>
      <c r="E1075" s="445"/>
      <c r="F1075" s="445"/>
      <c r="G1075" s="442"/>
      <c r="H1075" s="448"/>
      <c r="I1075" s="447"/>
      <c r="J1075" s="448">
        <f t="shared" si="6"/>
        <v>12</v>
      </c>
      <c r="K1075" s="448"/>
    </row>
    <row r="1076" ht="22.5" customHeight="1">
      <c r="A1076" s="443"/>
      <c r="B1076" s="456"/>
      <c r="C1076" s="471"/>
      <c r="D1076" s="471"/>
      <c r="E1076" s="445"/>
      <c r="F1076" s="445"/>
      <c r="G1076" s="442"/>
      <c r="H1076" s="448"/>
      <c r="I1076" s="447"/>
      <c r="J1076" s="448">
        <f t="shared" si="6"/>
        <v>12</v>
      </c>
      <c r="K1076" s="448"/>
    </row>
    <row r="1077" ht="22.5" customHeight="1">
      <c r="A1077" s="443"/>
      <c r="B1077" s="456"/>
      <c r="C1077" s="471"/>
      <c r="D1077" s="471"/>
      <c r="E1077" s="445"/>
      <c r="F1077" s="445"/>
      <c r="G1077" s="442"/>
      <c r="H1077" s="448"/>
      <c r="I1077" s="447"/>
      <c r="J1077" s="448">
        <f t="shared" si="6"/>
        <v>12</v>
      </c>
      <c r="K1077" s="448"/>
    </row>
    <row r="1078" ht="22.5" customHeight="1">
      <c r="A1078" s="443"/>
      <c r="B1078" s="456"/>
      <c r="C1078" s="471"/>
      <c r="D1078" s="471"/>
      <c r="E1078" s="445"/>
      <c r="F1078" s="445"/>
      <c r="G1078" s="442"/>
      <c r="H1078" s="448"/>
      <c r="I1078" s="447"/>
      <c r="J1078" s="448">
        <f t="shared" si="6"/>
        <v>12</v>
      </c>
      <c r="K1078" s="448"/>
    </row>
    <row r="1079" ht="22.5" customHeight="1">
      <c r="A1079" s="443"/>
      <c r="B1079" s="456"/>
      <c r="C1079" s="471"/>
      <c r="D1079" s="471"/>
      <c r="E1079" s="445"/>
      <c r="F1079" s="445"/>
      <c r="G1079" s="442"/>
      <c r="H1079" s="448"/>
      <c r="I1079" s="447"/>
      <c r="J1079" s="448">
        <f t="shared" si="6"/>
        <v>12</v>
      </c>
      <c r="K1079" s="448"/>
    </row>
    <row r="1080" ht="22.5" customHeight="1">
      <c r="A1080" s="443"/>
      <c r="B1080" s="456"/>
      <c r="C1080" s="471"/>
      <c r="D1080" s="471"/>
      <c r="E1080" s="445"/>
      <c r="F1080" s="445"/>
      <c r="G1080" s="442"/>
      <c r="H1080" s="448"/>
      <c r="I1080" s="447"/>
      <c r="J1080" s="448">
        <f t="shared" si="6"/>
        <v>12</v>
      </c>
      <c r="K1080" s="448"/>
    </row>
    <row r="1081" ht="22.5" customHeight="1">
      <c r="A1081" s="443"/>
      <c r="B1081" s="456"/>
      <c r="C1081" s="471"/>
      <c r="D1081" s="471"/>
      <c r="E1081" s="445"/>
      <c r="F1081" s="445"/>
      <c r="G1081" s="442"/>
      <c r="H1081" s="448"/>
      <c r="I1081" s="447"/>
      <c r="J1081" s="448">
        <f t="shared" si="6"/>
        <v>12</v>
      </c>
      <c r="K1081" s="448"/>
    </row>
    <row r="1082" ht="22.5" customHeight="1">
      <c r="A1082" s="443"/>
      <c r="B1082" s="456"/>
      <c r="C1082" s="471"/>
      <c r="D1082" s="471"/>
      <c r="E1082" s="445"/>
      <c r="F1082" s="445"/>
      <c r="G1082" s="442"/>
      <c r="H1082" s="448"/>
      <c r="I1082" s="447"/>
      <c r="J1082" s="448">
        <f t="shared" si="6"/>
        <v>12</v>
      </c>
      <c r="K1082" s="448"/>
    </row>
    <row r="1083" ht="22.5" customHeight="1">
      <c r="A1083" s="443"/>
      <c r="B1083" s="456"/>
      <c r="C1083" s="471"/>
      <c r="D1083" s="471"/>
      <c r="E1083" s="445"/>
      <c r="F1083" s="445"/>
      <c r="G1083" s="442"/>
      <c r="H1083" s="448"/>
      <c r="I1083" s="447"/>
      <c r="J1083" s="448">
        <f t="shared" si="6"/>
        <v>12</v>
      </c>
      <c r="K1083" s="448"/>
    </row>
    <row r="1084" ht="22.5" customHeight="1">
      <c r="A1084" s="443"/>
      <c r="B1084" s="456"/>
      <c r="C1084" s="471"/>
      <c r="D1084" s="471"/>
      <c r="E1084" s="445"/>
      <c r="F1084" s="445"/>
      <c r="G1084" s="442"/>
      <c r="H1084" s="448"/>
      <c r="I1084" s="447"/>
      <c r="J1084" s="448">
        <f t="shared" si="6"/>
        <v>12</v>
      </c>
      <c r="K1084" s="448"/>
    </row>
    <row r="1085" ht="22.5" customHeight="1">
      <c r="A1085" s="443"/>
      <c r="B1085" s="456"/>
      <c r="C1085" s="471"/>
      <c r="D1085" s="471"/>
      <c r="E1085" s="445"/>
      <c r="F1085" s="445"/>
      <c r="G1085" s="442"/>
      <c r="H1085" s="448"/>
      <c r="I1085" s="447"/>
      <c r="J1085" s="448">
        <f t="shared" si="6"/>
        <v>12</v>
      </c>
      <c r="K1085" s="448"/>
    </row>
    <row r="1086" ht="22.5" customHeight="1">
      <c r="A1086" s="443"/>
      <c r="B1086" s="456"/>
      <c r="C1086" s="471"/>
      <c r="D1086" s="471"/>
      <c r="E1086" s="445"/>
      <c r="F1086" s="445"/>
      <c r="G1086" s="442"/>
      <c r="H1086" s="448"/>
      <c r="I1086" s="447"/>
      <c r="J1086" s="448">
        <f t="shared" si="6"/>
        <v>12</v>
      </c>
      <c r="K1086" s="448"/>
    </row>
    <row r="1087" ht="22.5" customHeight="1">
      <c r="A1087" s="443"/>
      <c r="B1087" s="456"/>
      <c r="C1087" s="471"/>
      <c r="D1087" s="471"/>
      <c r="E1087" s="445"/>
      <c r="F1087" s="445"/>
      <c r="G1087" s="442"/>
      <c r="H1087" s="448"/>
      <c r="I1087" s="447"/>
      <c r="J1087" s="448">
        <f t="shared" si="6"/>
        <v>12</v>
      </c>
      <c r="K1087" s="448"/>
    </row>
    <row r="1088" ht="22.5" customHeight="1">
      <c r="A1088" s="443"/>
      <c r="B1088" s="456"/>
      <c r="C1088" s="471"/>
      <c r="D1088" s="471"/>
      <c r="E1088" s="445"/>
      <c r="F1088" s="445"/>
      <c r="G1088" s="442"/>
      <c r="H1088" s="448"/>
      <c r="I1088" s="447"/>
      <c r="J1088" s="448">
        <f t="shared" si="6"/>
        <v>12</v>
      </c>
      <c r="K1088" s="448"/>
    </row>
    <row r="1089" ht="22.5" customHeight="1">
      <c r="A1089" s="443"/>
      <c r="B1089" s="456"/>
      <c r="C1089" s="471"/>
      <c r="D1089" s="471"/>
      <c r="E1089" s="445"/>
      <c r="F1089" s="445"/>
      <c r="G1089" s="442"/>
      <c r="H1089" s="448"/>
      <c r="I1089" s="447"/>
      <c r="J1089" s="448">
        <f t="shared" si="6"/>
        <v>12</v>
      </c>
      <c r="K1089" s="448"/>
    </row>
    <row r="1090" ht="22.5" customHeight="1">
      <c r="A1090" s="443"/>
      <c r="B1090" s="456"/>
      <c r="C1090" s="471"/>
      <c r="D1090" s="471"/>
      <c r="E1090" s="445"/>
      <c r="F1090" s="445"/>
      <c r="G1090" s="442"/>
      <c r="H1090" s="448"/>
      <c r="I1090" s="447"/>
      <c r="J1090" s="448">
        <f t="shared" si="6"/>
        <v>12</v>
      </c>
      <c r="K1090" s="448"/>
    </row>
    <row r="1091" ht="22.5" customHeight="1">
      <c r="A1091" s="443"/>
      <c r="B1091" s="456"/>
      <c r="C1091" s="471"/>
      <c r="D1091" s="471"/>
      <c r="E1091" s="445"/>
      <c r="F1091" s="445"/>
      <c r="G1091" s="442"/>
      <c r="H1091" s="448"/>
      <c r="I1091" s="447"/>
      <c r="J1091" s="448">
        <f t="shared" si="6"/>
        <v>12</v>
      </c>
      <c r="K1091" s="448"/>
    </row>
    <row r="1092" ht="22.5" customHeight="1">
      <c r="A1092" s="443"/>
      <c r="B1092" s="456"/>
      <c r="C1092" s="471"/>
      <c r="D1092" s="471"/>
      <c r="E1092" s="445"/>
      <c r="F1092" s="445"/>
      <c r="G1092" s="442"/>
      <c r="H1092" s="448"/>
      <c r="I1092" s="447"/>
      <c r="J1092" s="448">
        <f t="shared" si="6"/>
        <v>12</v>
      </c>
      <c r="K1092" s="448"/>
    </row>
    <row r="1093" ht="22.5" customHeight="1">
      <c r="A1093" s="443"/>
      <c r="B1093" s="456"/>
      <c r="C1093" s="471"/>
      <c r="D1093" s="471"/>
      <c r="E1093" s="445"/>
      <c r="F1093" s="445"/>
      <c r="G1093" s="442"/>
      <c r="H1093" s="448"/>
      <c r="I1093" s="447"/>
      <c r="J1093" s="448">
        <f t="shared" si="6"/>
        <v>12</v>
      </c>
      <c r="K1093" s="448"/>
    </row>
    <row r="1094" ht="22.5" customHeight="1">
      <c r="A1094" s="443"/>
      <c r="B1094" s="456"/>
      <c r="C1094" s="471"/>
      <c r="D1094" s="471"/>
      <c r="E1094" s="445"/>
      <c r="F1094" s="445"/>
      <c r="G1094" s="442"/>
      <c r="H1094" s="448"/>
      <c r="I1094" s="447"/>
      <c r="J1094" s="448">
        <f t="shared" si="6"/>
        <v>12</v>
      </c>
      <c r="K1094" s="448"/>
    </row>
    <row r="1095" ht="22.5" customHeight="1">
      <c r="A1095" s="443"/>
      <c r="B1095" s="456"/>
      <c r="C1095" s="471"/>
      <c r="D1095" s="471"/>
      <c r="E1095" s="445"/>
      <c r="F1095" s="445"/>
      <c r="G1095" s="442"/>
      <c r="H1095" s="448"/>
      <c r="I1095" s="447"/>
      <c r="J1095" s="448">
        <f t="shared" si="6"/>
        <v>12</v>
      </c>
      <c r="K1095" s="448"/>
    </row>
    <row r="1096" ht="22.5" customHeight="1">
      <c r="A1096" s="443"/>
      <c r="B1096" s="456"/>
      <c r="C1096" s="471"/>
      <c r="D1096" s="471"/>
      <c r="E1096" s="445"/>
      <c r="F1096" s="445"/>
      <c r="G1096" s="442"/>
      <c r="H1096" s="448"/>
      <c r="I1096" s="447"/>
      <c r="J1096" s="448">
        <f t="shared" si="6"/>
        <v>12</v>
      </c>
      <c r="K1096" s="448"/>
    </row>
    <row r="1097" ht="22.5" customHeight="1">
      <c r="A1097" s="443"/>
      <c r="B1097" s="456"/>
      <c r="C1097" s="471"/>
      <c r="D1097" s="471"/>
      <c r="E1097" s="445"/>
      <c r="F1097" s="445"/>
      <c r="G1097" s="442"/>
      <c r="H1097" s="448"/>
      <c r="I1097" s="447"/>
      <c r="J1097" s="448">
        <f t="shared" si="6"/>
        <v>12</v>
      </c>
      <c r="K1097" s="448"/>
    </row>
    <row r="1098" ht="22.5" customHeight="1">
      <c r="A1098" s="443"/>
      <c r="B1098" s="456"/>
      <c r="C1098" s="471"/>
      <c r="D1098" s="471"/>
      <c r="E1098" s="445"/>
      <c r="F1098" s="445"/>
      <c r="G1098" s="442"/>
      <c r="H1098" s="448"/>
      <c r="I1098" s="447"/>
      <c r="J1098" s="448">
        <f t="shared" si="6"/>
        <v>12</v>
      </c>
      <c r="K1098" s="448"/>
    </row>
    <row r="1099" ht="22.5" customHeight="1">
      <c r="A1099" s="443"/>
      <c r="B1099" s="456"/>
      <c r="C1099" s="471"/>
      <c r="D1099" s="471"/>
      <c r="E1099" s="445"/>
      <c r="F1099" s="445"/>
      <c r="G1099" s="442"/>
      <c r="H1099" s="448"/>
      <c r="I1099" s="447"/>
      <c r="J1099" s="448">
        <f t="shared" si="6"/>
        <v>12</v>
      </c>
      <c r="K1099" s="448"/>
    </row>
    <row r="1100" ht="22.5" customHeight="1">
      <c r="A1100" s="443"/>
      <c r="B1100" s="456"/>
      <c r="C1100" s="471"/>
      <c r="D1100" s="471"/>
      <c r="E1100" s="445"/>
      <c r="F1100" s="445"/>
      <c r="G1100" s="442"/>
      <c r="H1100" s="448"/>
      <c r="I1100" s="447"/>
      <c r="J1100" s="448"/>
      <c r="K1100" s="448"/>
    </row>
    <row r="1101" ht="22.5" customHeight="1">
      <c r="A1101" s="443"/>
      <c r="B1101" s="456"/>
      <c r="C1101" s="471"/>
      <c r="D1101" s="471"/>
      <c r="E1101" s="445"/>
      <c r="F1101" s="445"/>
      <c r="G1101" s="442"/>
      <c r="H1101" s="448"/>
      <c r="I1101" s="447"/>
      <c r="J1101" s="448">
        <f t="shared" ref="J1101:J1103" si="7">MONTH(B1101)</f>
        <v>12</v>
      </c>
      <c r="K1101" s="448"/>
    </row>
    <row r="1102" ht="22.5" customHeight="1">
      <c r="A1102" s="443"/>
      <c r="B1102" s="456"/>
      <c r="C1102" s="471"/>
      <c r="D1102" s="471"/>
      <c r="E1102" s="445"/>
      <c r="F1102" s="445"/>
      <c r="G1102" s="442"/>
      <c r="H1102" s="448" t="s">
        <v>2551</v>
      </c>
      <c r="I1102" s="447"/>
      <c r="J1102" s="448">
        <f t="shared" si="7"/>
        <v>12</v>
      </c>
      <c r="K1102" s="448"/>
    </row>
    <row r="1103" ht="22.5" customHeight="1">
      <c r="B1103" s="456"/>
      <c r="C1103" s="471"/>
      <c r="D1103" s="471"/>
      <c r="E1103" s="445"/>
      <c r="F1103" s="445"/>
      <c r="G1103" s="442"/>
      <c r="H1103" s="448"/>
      <c r="I1103" s="447"/>
      <c r="J1103" s="448">
        <f t="shared" si="7"/>
        <v>12</v>
      </c>
      <c r="K1103" s="448"/>
    </row>
    <row r="1104" ht="22.5" customHeight="1">
      <c r="A1104" s="443"/>
      <c r="B1104" s="456"/>
      <c r="C1104" s="488"/>
      <c r="D1104" s="471"/>
      <c r="E1104" s="445"/>
      <c r="G1104" s="442"/>
    </row>
    <row r="1105" ht="22.5" customHeight="1">
      <c r="A1105" s="443"/>
      <c r="B1105" s="456"/>
      <c r="C1105" s="471"/>
      <c r="D1105" s="471"/>
      <c r="E1105" s="445"/>
      <c r="F1105" s="445"/>
      <c r="G1105" s="442"/>
      <c r="H1105" s="448"/>
      <c r="I1105" s="447"/>
      <c r="J1105" s="448">
        <f t="shared" ref="J1105:J1637" si="8">MONTH(B1105)</f>
        <v>12</v>
      </c>
      <c r="K1105" s="448"/>
    </row>
    <row r="1106" ht="22.5" customHeight="1">
      <c r="A1106" s="443"/>
      <c r="B1106" s="456"/>
      <c r="C1106" s="471"/>
      <c r="D1106" s="471"/>
      <c r="E1106" s="445"/>
      <c r="F1106" s="445"/>
      <c r="G1106" s="442"/>
      <c r="H1106" s="448"/>
      <c r="I1106" s="447"/>
      <c r="J1106" s="448">
        <f t="shared" si="8"/>
        <v>12</v>
      </c>
      <c r="K1106" s="448"/>
    </row>
    <row r="1107" ht="22.5" customHeight="1">
      <c r="A1107" s="443"/>
      <c r="B1107" s="456"/>
      <c r="C1107" s="471"/>
      <c r="D1107" s="471"/>
      <c r="E1107" s="445"/>
      <c r="F1107" s="445"/>
      <c r="G1107" s="442"/>
      <c r="H1107" s="448"/>
      <c r="I1107" s="447"/>
      <c r="J1107" s="448">
        <f t="shared" si="8"/>
        <v>12</v>
      </c>
      <c r="K1107" s="448"/>
    </row>
    <row r="1108" ht="22.5" customHeight="1">
      <c r="A1108" s="443"/>
      <c r="B1108" s="456"/>
      <c r="C1108" s="471"/>
      <c r="D1108" s="471"/>
      <c r="E1108" s="445"/>
      <c r="F1108" s="445"/>
      <c r="G1108" s="442"/>
      <c r="H1108" s="448"/>
      <c r="I1108" s="447"/>
      <c r="J1108" s="448">
        <f t="shared" si="8"/>
        <v>12</v>
      </c>
      <c r="K1108" s="448"/>
    </row>
    <row r="1109" ht="22.5" customHeight="1">
      <c r="A1109" s="443"/>
      <c r="B1109" s="456"/>
      <c r="C1109" s="471"/>
      <c r="D1109" s="471"/>
      <c r="E1109" s="445"/>
      <c r="F1109" s="445"/>
      <c r="G1109" s="442"/>
      <c r="H1109" s="448"/>
      <c r="I1109" s="447"/>
      <c r="J1109" s="448">
        <f t="shared" si="8"/>
        <v>12</v>
      </c>
      <c r="K1109" s="448"/>
    </row>
    <row r="1110" ht="22.5" customHeight="1">
      <c r="A1110" s="443"/>
      <c r="B1110" s="456"/>
      <c r="C1110" s="471"/>
      <c r="D1110" s="471"/>
      <c r="E1110" s="445"/>
      <c r="F1110" s="445"/>
      <c r="G1110" s="442"/>
      <c r="H1110" s="448"/>
      <c r="I1110" s="447"/>
      <c r="J1110" s="448">
        <f t="shared" si="8"/>
        <v>12</v>
      </c>
      <c r="K1110" s="448"/>
    </row>
    <row r="1111" ht="22.5" customHeight="1">
      <c r="B1111" s="456"/>
      <c r="C1111" s="471"/>
      <c r="D1111" s="471"/>
      <c r="E1111" s="445"/>
      <c r="F1111" s="445"/>
      <c r="G1111" s="442"/>
      <c r="H1111" s="448"/>
      <c r="I1111" s="447"/>
      <c r="J1111" s="448">
        <f t="shared" si="8"/>
        <v>12</v>
      </c>
      <c r="K1111" s="448"/>
    </row>
    <row r="1112" ht="22.5" customHeight="1">
      <c r="B1112" s="456"/>
      <c r="C1112" s="488"/>
      <c r="D1112" s="488"/>
      <c r="G1112" s="442"/>
      <c r="J1112" s="448">
        <f t="shared" si="8"/>
        <v>12</v>
      </c>
      <c r="K1112" s="448"/>
    </row>
    <row r="1113" ht="22.5" customHeight="1">
      <c r="B1113" s="456"/>
      <c r="C1113" s="488"/>
      <c r="D1113" s="488"/>
      <c r="G1113" s="442"/>
      <c r="J1113" s="448">
        <f t="shared" si="8"/>
        <v>12</v>
      </c>
      <c r="K1113" s="448"/>
    </row>
    <row r="1114" ht="22.5" customHeight="1">
      <c r="A1114" s="443"/>
      <c r="B1114" s="456"/>
      <c r="C1114" s="488"/>
      <c r="D1114" s="488"/>
      <c r="G1114" s="442"/>
      <c r="J1114" s="448">
        <f t="shared" si="8"/>
        <v>12</v>
      </c>
      <c r="K1114" s="448"/>
    </row>
    <row r="1115" ht="22.5" customHeight="1">
      <c r="A1115" s="443"/>
      <c r="B1115" s="456"/>
      <c r="C1115" s="471"/>
      <c r="D1115" s="471"/>
      <c r="E1115" s="445"/>
      <c r="F1115" s="445"/>
      <c r="G1115" s="442"/>
      <c r="H1115" s="448"/>
      <c r="I1115" s="447"/>
      <c r="J1115" s="448">
        <f t="shared" si="8"/>
        <v>12</v>
      </c>
      <c r="K1115" s="448"/>
    </row>
    <row r="1116" ht="22.5" customHeight="1">
      <c r="A1116" s="443"/>
      <c r="B1116" s="456"/>
      <c r="C1116" s="471"/>
      <c r="D1116" s="471"/>
      <c r="E1116" s="445"/>
      <c r="F1116" s="445"/>
      <c r="G1116" s="442"/>
      <c r="H1116" s="448" t="s">
        <v>2551</v>
      </c>
      <c r="I1116" s="447"/>
      <c r="J1116" s="448">
        <f t="shared" si="8"/>
        <v>12</v>
      </c>
      <c r="K1116" s="448"/>
    </row>
    <row r="1117" ht="22.5" customHeight="1">
      <c r="A1117" s="443"/>
      <c r="B1117" s="456"/>
      <c r="C1117" s="471"/>
      <c r="D1117" s="488"/>
      <c r="E1117" s="445"/>
      <c r="F1117" s="445"/>
      <c r="G1117" s="442"/>
      <c r="H1117" s="448"/>
      <c r="I1117" s="447"/>
      <c r="J1117" s="448">
        <f t="shared" si="8"/>
        <v>12</v>
      </c>
      <c r="K1117" s="448"/>
    </row>
    <row r="1118" ht="22.5" customHeight="1">
      <c r="A1118" s="443"/>
      <c r="B1118" s="456"/>
      <c r="C1118" s="471"/>
      <c r="D1118" s="471"/>
      <c r="E1118" s="445"/>
      <c r="F1118" s="445"/>
      <c r="G1118" s="442"/>
      <c r="H1118" s="448"/>
      <c r="I1118" s="447"/>
      <c r="J1118" s="448">
        <f t="shared" si="8"/>
        <v>12</v>
      </c>
      <c r="K1118" s="448"/>
    </row>
    <row r="1119" ht="22.5" customHeight="1">
      <c r="A1119" s="443"/>
      <c r="B1119" s="456"/>
      <c r="C1119" s="471"/>
      <c r="D1119" s="471"/>
      <c r="E1119" s="445"/>
      <c r="F1119" s="445"/>
      <c r="G1119" s="442"/>
      <c r="H1119" s="448"/>
      <c r="I1119" s="447"/>
      <c r="J1119" s="448">
        <f t="shared" si="8"/>
        <v>12</v>
      </c>
      <c r="K1119" s="448"/>
    </row>
    <row r="1120" ht="22.5" customHeight="1">
      <c r="A1120" s="443"/>
      <c r="B1120" s="456"/>
      <c r="C1120" s="471"/>
      <c r="D1120" s="471"/>
      <c r="E1120" s="445"/>
      <c r="F1120" s="445"/>
      <c r="G1120" s="442"/>
      <c r="H1120" s="448"/>
      <c r="I1120" s="447"/>
      <c r="J1120" s="448">
        <f t="shared" si="8"/>
        <v>12</v>
      </c>
      <c r="K1120" s="448"/>
    </row>
    <row r="1121" ht="22.5" customHeight="1">
      <c r="A1121" s="443"/>
      <c r="B1121" s="456"/>
      <c r="C1121" s="471"/>
      <c r="D1121" s="488"/>
      <c r="E1121" s="445"/>
      <c r="F1121" s="445"/>
      <c r="G1121" s="442"/>
      <c r="H1121" s="448"/>
      <c r="I1121" s="447"/>
      <c r="J1121" s="448">
        <f t="shared" si="8"/>
        <v>12</v>
      </c>
      <c r="K1121" s="448"/>
    </row>
    <row r="1122" ht="22.5" customHeight="1">
      <c r="A1122" s="443"/>
      <c r="B1122" s="456"/>
      <c r="C1122" s="471"/>
      <c r="D1122" s="471"/>
      <c r="E1122" s="445"/>
      <c r="F1122" s="445"/>
      <c r="G1122" s="442"/>
      <c r="H1122" s="448"/>
      <c r="I1122" s="447"/>
      <c r="J1122" s="448">
        <f t="shared" si="8"/>
        <v>12</v>
      </c>
      <c r="K1122" s="448"/>
    </row>
    <row r="1123" ht="22.5" customHeight="1">
      <c r="A1123" s="443"/>
      <c r="B1123" s="456"/>
      <c r="C1123" s="471"/>
      <c r="D1123" s="471"/>
      <c r="E1123" s="445"/>
      <c r="F1123" s="445"/>
      <c r="G1123" s="442"/>
      <c r="H1123" s="448"/>
      <c r="I1123" s="447"/>
      <c r="J1123" s="448">
        <f t="shared" si="8"/>
        <v>12</v>
      </c>
      <c r="K1123" s="448"/>
    </row>
    <row r="1124" ht="22.5" customHeight="1">
      <c r="A1124" s="443"/>
      <c r="B1124" s="456"/>
      <c r="C1124" s="471"/>
      <c r="D1124" s="471"/>
      <c r="E1124" s="445"/>
      <c r="F1124" s="445"/>
      <c r="G1124" s="442"/>
      <c r="H1124" s="448"/>
      <c r="I1124" s="447"/>
      <c r="J1124" s="448">
        <f t="shared" si="8"/>
        <v>12</v>
      </c>
      <c r="K1124" s="448"/>
    </row>
    <row r="1125" ht="22.5" customHeight="1">
      <c r="A1125" s="443"/>
      <c r="B1125" s="456"/>
      <c r="C1125" s="471"/>
      <c r="D1125" s="471"/>
      <c r="E1125" s="445"/>
      <c r="F1125" s="445"/>
      <c r="G1125" s="442"/>
      <c r="H1125" s="448"/>
      <c r="I1125" s="447"/>
      <c r="J1125" s="448">
        <f t="shared" si="8"/>
        <v>12</v>
      </c>
      <c r="K1125" s="448"/>
    </row>
    <row r="1126" ht="22.5" customHeight="1">
      <c r="A1126" s="443"/>
      <c r="B1126" s="456"/>
      <c r="C1126" s="471"/>
      <c r="D1126" s="471"/>
      <c r="E1126" s="445"/>
      <c r="F1126" s="445"/>
      <c r="G1126" s="442"/>
      <c r="H1126" s="448"/>
      <c r="I1126" s="447"/>
      <c r="J1126" s="448">
        <f t="shared" si="8"/>
        <v>12</v>
      </c>
      <c r="K1126" s="448"/>
    </row>
    <row r="1127" ht="22.5" customHeight="1">
      <c r="A1127" s="443"/>
      <c r="B1127" s="456"/>
      <c r="C1127" s="471"/>
      <c r="D1127" s="471"/>
      <c r="E1127" s="445"/>
      <c r="F1127" s="445"/>
      <c r="G1127" s="442"/>
      <c r="H1127" s="448"/>
      <c r="I1127" s="447"/>
      <c r="J1127" s="448">
        <f t="shared" si="8"/>
        <v>12</v>
      </c>
      <c r="K1127" s="448"/>
    </row>
    <row r="1128" ht="22.5" customHeight="1">
      <c r="A1128" s="443"/>
      <c r="B1128" s="456"/>
      <c r="C1128" s="471"/>
      <c r="D1128" s="471"/>
      <c r="E1128" s="445"/>
      <c r="F1128" s="445"/>
      <c r="G1128" s="442"/>
      <c r="H1128" s="448"/>
      <c r="I1128" s="447"/>
      <c r="J1128" s="448">
        <f t="shared" si="8"/>
        <v>12</v>
      </c>
      <c r="K1128" s="448"/>
    </row>
    <row r="1129" ht="22.5" customHeight="1">
      <c r="A1129" s="443"/>
      <c r="B1129" s="456"/>
      <c r="C1129" s="471"/>
      <c r="D1129" s="471"/>
      <c r="E1129" s="445"/>
      <c r="F1129" s="445"/>
      <c r="G1129" s="442"/>
      <c r="H1129" s="448"/>
      <c r="I1129" s="447"/>
      <c r="J1129" s="448">
        <f t="shared" si="8"/>
        <v>12</v>
      </c>
      <c r="K1129" s="448"/>
    </row>
    <row r="1130" ht="22.5" customHeight="1">
      <c r="A1130" s="443"/>
      <c r="B1130" s="456"/>
      <c r="C1130" s="471"/>
      <c r="D1130" s="471"/>
      <c r="E1130" s="445"/>
      <c r="F1130" s="445"/>
      <c r="G1130" s="442"/>
      <c r="H1130" s="448"/>
      <c r="I1130" s="447"/>
      <c r="J1130" s="448">
        <f t="shared" si="8"/>
        <v>12</v>
      </c>
      <c r="K1130" s="448"/>
    </row>
    <row r="1131" ht="22.5" customHeight="1">
      <c r="A1131" s="443"/>
      <c r="B1131" s="456"/>
      <c r="C1131" s="471"/>
      <c r="D1131" s="471"/>
      <c r="E1131" s="445"/>
      <c r="F1131" s="445"/>
      <c r="G1131" s="442"/>
      <c r="H1131" s="448"/>
      <c r="I1131" s="447"/>
      <c r="J1131" s="448">
        <f t="shared" si="8"/>
        <v>12</v>
      </c>
      <c r="K1131" s="448"/>
    </row>
    <row r="1132" ht="22.5" customHeight="1">
      <c r="A1132" s="443"/>
      <c r="B1132" s="456"/>
      <c r="C1132" s="471"/>
      <c r="D1132" s="471"/>
      <c r="E1132" s="445"/>
      <c r="F1132" s="445"/>
      <c r="G1132" s="442"/>
      <c r="H1132" s="448"/>
      <c r="I1132" s="447"/>
      <c r="J1132" s="448">
        <f t="shared" si="8"/>
        <v>12</v>
      </c>
      <c r="K1132" s="448"/>
    </row>
    <row r="1133" ht="22.5" customHeight="1">
      <c r="A1133" s="443"/>
      <c r="B1133" s="456"/>
      <c r="C1133" s="471"/>
      <c r="D1133" s="471"/>
      <c r="E1133" s="445"/>
      <c r="F1133" s="445"/>
      <c r="G1133" s="442"/>
      <c r="H1133" s="448"/>
      <c r="I1133" s="447"/>
      <c r="J1133" s="448">
        <f t="shared" si="8"/>
        <v>12</v>
      </c>
      <c r="K1133" s="448"/>
    </row>
    <row r="1134" ht="22.5" customHeight="1">
      <c r="A1134" s="443"/>
      <c r="B1134" s="456"/>
      <c r="C1134" s="471"/>
      <c r="D1134" s="471"/>
      <c r="E1134" s="445"/>
      <c r="F1134" s="445"/>
      <c r="G1134" s="442"/>
      <c r="H1134" s="448"/>
      <c r="I1134" s="447"/>
      <c r="J1134" s="448">
        <f t="shared" si="8"/>
        <v>12</v>
      </c>
      <c r="K1134" s="448"/>
    </row>
    <row r="1135" ht="22.5" customHeight="1">
      <c r="A1135" s="443"/>
      <c r="B1135" s="456"/>
      <c r="C1135" s="471"/>
      <c r="D1135" s="471"/>
      <c r="E1135" s="445"/>
      <c r="F1135" s="445"/>
      <c r="G1135" s="442"/>
      <c r="H1135" s="448"/>
      <c r="I1135" s="447"/>
      <c r="J1135" s="448">
        <f t="shared" si="8"/>
        <v>12</v>
      </c>
      <c r="K1135" s="448"/>
    </row>
    <row r="1136" ht="22.5" customHeight="1">
      <c r="A1136" s="443"/>
      <c r="B1136" s="456"/>
      <c r="C1136" s="471"/>
      <c r="D1136" s="471"/>
      <c r="E1136" s="445"/>
      <c r="F1136" s="445"/>
      <c r="G1136" s="442"/>
      <c r="H1136" s="448"/>
      <c r="I1136" s="447"/>
      <c r="J1136" s="448">
        <f t="shared" si="8"/>
        <v>12</v>
      </c>
      <c r="K1136" s="448"/>
    </row>
    <row r="1137" ht="22.5" customHeight="1">
      <c r="A1137" s="443"/>
      <c r="B1137" s="456"/>
      <c r="C1137" s="471"/>
      <c r="D1137" s="471"/>
      <c r="E1137" s="445"/>
      <c r="F1137" s="445"/>
      <c r="G1137" s="442"/>
      <c r="H1137" s="448"/>
      <c r="I1137" s="447"/>
      <c r="J1137" s="448">
        <f t="shared" si="8"/>
        <v>12</v>
      </c>
      <c r="K1137" s="448"/>
    </row>
    <row r="1138" ht="22.5" customHeight="1">
      <c r="A1138" s="443"/>
      <c r="B1138" s="456"/>
      <c r="C1138" s="471"/>
      <c r="D1138" s="471"/>
      <c r="E1138" s="445"/>
      <c r="F1138" s="445"/>
      <c r="G1138" s="442"/>
      <c r="H1138" s="448"/>
      <c r="I1138" s="447"/>
      <c r="J1138" s="448">
        <f t="shared" si="8"/>
        <v>12</v>
      </c>
      <c r="K1138" s="448"/>
    </row>
    <row r="1139" ht="22.5" customHeight="1">
      <c r="A1139" s="443"/>
      <c r="B1139" s="456"/>
      <c r="C1139" s="471"/>
      <c r="D1139" s="471"/>
      <c r="E1139" s="445"/>
      <c r="F1139" s="445"/>
      <c r="G1139" s="442"/>
      <c r="H1139" s="448"/>
      <c r="I1139" s="447"/>
      <c r="J1139" s="448">
        <f t="shared" si="8"/>
        <v>12</v>
      </c>
      <c r="K1139" s="448"/>
    </row>
    <row r="1140" ht="22.5" customHeight="1">
      <c r="A1140" s="443"/>
      <c r="B1140" s="456"/>
      <c r="C1140" s="471"/>
      <c r="D1140" s="471"/>
      <c r="E1140" s="445"/>
      <c r="F1140" s="445"/>
      <c r="G1140" s="442"/>
      <c r="H1140" s="448"/>
      <c r="I1140" s="447"/>
      <c r="J1140" s="448">
        <f t="shared" si="8"/>
        <v>12</v>
      </c>
      <c r="K1140" s="448"/>
    </row>
    <row r="1141" ht="22.5" customHeight="1">
      <c r="A1141" s="443"/>
      <c r="B1141" s="456"/>
      <c r="C1141" s="471"/>
      <c r="D1141" s="471"/>
      <c r="E1141" s="445"/>
      <c r="F1141" s="445"/>
      <c r="G1141" s="442"/>
      <c r="H1141" s="448"/>
      <c r="I1141" s="447"/>
      <c r="J1141" s="448">
        <f t="shared" si="8"/>
        <v>12</v>
      </c>
      <c r="K1141" s="448"/>
    </row>
    <row r="1142" ht="22.5" customHeight="1">
      <c r="A1142" s="443"/>
      <c r="B1142" s="456"/>
      <c r="C1142" s="471"/>
      <c r="D1142" s="471"/>
      <c r="E1142" s="445"/>
      <c r="F1142" s="445"/>
      <c r="G1142" s="442"/>
      <c r="H1142" s="448"/>
      <c r="I1142" s="447"/>
      <c r="J1142" s="448">
        <f t="shared" si="8"/>
        <v>12</v>
      </c>
      <c r="K1142" s="448"/>
    </row>
    <row r="1143" ht="22.5" customHeight="1">
      <c r="A1143" s="443"/>
      <c r="B1143" s="456"/>
      <c r="C1143" s="471"/>
      <c r="D1143" s="471"/>
      <c r="E1143" s="445"/>
      <c r="F1143" s="445"/>
      <c r="G1143" s="442"/>
      <c r="H1143" s="448"/>
      <c r="I1143" s="447"/>
      <c r="J1143" s="448">
        <f t="shared" si="8"/>
        <v>12</v>
      </c>
      <c r="K1143" s="448"/>
    </row>
    <row r="1144" ht="22.5" customHeight="1">
      <c r="A1144" s="443"/>
      <c r="B1144" s="456"/>
      <c r="C1144" s="471"/>
      <c r="D1144" s="471"/>
      <c r="E1144" s="445"/>
      <c r="F1144" s="445"/>
      <c r="G1144" s="442"/>
      <c r="H1144" s="448"/>
      <c r="I1144" s="447"/>
      <c r="J1144" s="448">
        <f t="shared" si="8"/>
        <v>12</v>
      </c>
      <c r="K1144" s="448"/>
    </row>
    <row r="1145" ht="22.5" customHeight="1">
      <c r="A1145" s="443"/>
      <c r="B1145" s="456"/>
      <c r="C1145" s="471"/>
      <c r="D1145" s="471"/>
      <c r="E1145" s="445"/>
      <c r="F1145" s="445"/>
      <c r="G1145" s="442"/>
      <c r="H1145" s="448"/>
      <c r="I1145" s="447"/>
      <c r="J1145" s="448">
        <f t="shared" si="8"/>
        <v>12</v>
      </c>
      <c r="K1145" s="448"/>
    </row>
    <row r="1146" ht="22.5" customHeight="1">
      <c r="A1146" s="443"/>
      <c r="B1146" s="456"/>
      <c r="C1146" s="471"/>
      <c r="D1146" s="471"/>
      <c r="E1146" s="445"/>
      <c r="F1146" s="445"/>
      <c r="G1146" s="442"/>
      <c r="H1146" s="448"/>
      <c r="I1146" s="447"/>
      <c r="J1146" s="448">
        <f t="shared" si="8"/>
        <v>12</v>
      </c>
      <c r="K1146" s="448"/>
    </row>
    <row r="1147" ht="22.5" customHeight="1">
      <c r="A1147" s="443"/>
      <c r="B1147" s="456"/>
      <c r="C1147" s="471"/>
      <c r="D1147" s="471"/>
      <c r="E1147" s="445"/>
      <c r="F1147" s="445"/>
      <c r="G1147" s="442"/>
      <c r="H1147" s="448"/>
      <c r="I1147" s="447"/>
      <c r="J1147" s="448">
        <f t="shared" si="8"/>
        <v>12</v>
      </c>
      <c r="K1147" s="448"/>
    </row>
    <row r="1148" ht="22.5" customHeight="1">
      <c r="A1148" s="443"/>
      <c r="B1148" s="456"/>
      <c r="C1148" s="471"/>
      <c r="D1148" s="471"/>
      <c r="E1148" s="445"/>
      <c r="F1148" s="445"/>
      <c r="G1148" s="442"/>
      <c r="H1148" s="448"/>
      <c r="I1148" s="447"/>
      <c r="J1148" s="448">
        <f t="shared" si="8"/>
        <v>12</v>
      </c>
      <c r="K1148" s="448"/>
    </row>
    <row r="1149" ht="22.5" customHeight="1">
      <c r="A1149" s="443"/>
      <c r="B1149" s="456"/>
      <c r="C1149" s="471"/>
      <c r="D1149" s="471"/>
      <c r="E1149" s="445"/>
      <c r="F1149" s="445"/>
      <c r="G1149" s="442"/>
      <c r="H1149" s="448"/>
      <c r="I1149" s="447"/>
      <c r="J1149" s="448">
        <f t="shared" si="8"/>
        <v>12</v>
      </c>
      <c r="K1149" s="448"/>
    </row>
    <row r="1150" ht="22.5" customHeight="1">
      <c r="A1150" s="443"/>
      <c r="B1150" s="456"/>
      <c r="C1150" s="471"/>
      <c r="D1150" s="471"/>
      <c r="E1150" s="445"/>
      <c r="F1150" s="445"/>
      <c r="G1150" s="442"/>
      <c r="H1150" s="448"/>
      <c r="I1150" s="447"/>
      <c r="J1150" s="448">
        <f t="shared" si="8"/>
        <v>12</v>
      </c>
      <c r="K1150" s="448"/>
    </row>
    <row r="1151" ht="22.5" customHeight="1">
      <c r="A1151" s="443"/>
      <c r="B1151" s="456"/>
      <c r="C1151" s="471"/>
      <c r="D1151" s="471"/>
      <c r="E1151" s="445"/>
      <c r="F1151" s="445"/>
      <c r="G1151" s="442"/>
      <c r="H1151" s="448"/>
      <c r="I1151" s="447"/>
      <c r="J1151" s="448">
        <f t="shared" si="8"/>
        <v>12</v>
      </c>
      <c r="K1151" s="448"/>
    </row>
    <row r="1152" ht="22.5" customHeight="1">
      <c r="A1152" s="443"/>
      <c r="B1152" s="456"/>
      <c r="C1152" s="471"/>
      <c r="D1152" s="471"/>
      <c r="E1152" s="445"/>
      <c r="F1152" s="445"/>
      <c r="G1152" s="442"/>
      <c r="H1152" s="448"/>
      <c r="I1152" s="447"/>
      <c r="J1152" s="448">
        <f t="shared" si="8"/>
        <v>12</v>
      </c>
      <c r="K1152" s="448"/>
    </row>
    <row r="1153" ht="22.5" customHeight="1">
      <c r="A1153" s="443"/>
      <c r="B1153" s="456"/>
      <c r="C1153" s="471"/>
      <c r="D1153" s="488"/>
      <c r="E1153" s="448"/>
      <c r="F1153" s="445"/>
      <c r="G1153" s="442"/>
      <c r="H1153" s="448"/>
      <c r="I1153" s="447"/>
      <c r="J1153" s="448">
        <f t="shared" si="8"/>
        <v>12</v>
      </c>
      <c r="K1153" s="448"/>
    </row>
    <row r="1154" ht="22.5" customHeight="1">
      <c r="A1154" s="443"/>
      <c r="B1154" s="456"/>
      <c r="C1154" s="471"/>
      <c r="D1154" s="488"/>
      <c r="E1154" s="448"/>
      <c r="F1154" s="445"/>
      <c r="G1154" s="442"/>
      <c r="H1154" s="448"/>
      <c r="I1154" s="447"/>
      <c r="J1154" s="448">
        <f t="shared" si="8"/>
        <v>12</v>
      </c>
      <c r="K1154" s="448"/>
    </row>
    <row r="1155" ht="22.5" customHeight="1">
      <c r="A1155" s="443"/>
      <c r="B1155" s="456"/>
      <c r="C1155" s="471"/>
      <c r="D1155" s="488"/>
      <c r="E1155" s="448"/>
      <c r="F1155" s="445"/>
      <c r="G1155" s="442"/>
      <c r="H1155" s="448"/>
      <c r="I1155" s="447"/>
      <c r="J1155" s="448">
        <f t="shared" si="8"/>
        <v>12</v>
      </c>
      <c r="K1155" s="448"/>
    </row>
    <row r="1156" ht="22.5" customHeight="1">
      <c r="A1156" s="443"/>
      <c r="B1156" s="456"/>
      <c r="C1156" s="471"/>
      <c r="D1156" s="488"/>
      <c r="E1156" s="448"/>
      <c r="F1156" s="445"/>
      <c r="G1156" s="442"/>
      <c r="H1156" s="448"/>
      <c r="I1156" s="447"/>
      <c r="J1156" s="448">
        <f t="shared" si="8"/>
        <v>12</v>
      </c>
      <c r="K1156" s="448"/>
    </row>
    <row r="1157" ht="22.5" customHeight="1">
      <c r="A1157" s="443"/>
      <c r="B1157" s="456"/>
      <c r="C1157" s="471"/>
      <c r="D1157" s="488"/>
      <c r="E1157" s="448"/>
      <c r="F1157" s="445"/>
      <c r="G1157" s="442"/>
      <c r="H1157" s="448"/>
      <c r="I1157" s="447"/>
      <c r="J1157" s="448">
        <f t="shared" si="8"/>
        <v>12</v>
      </c>
      <c r="K1157" s="448"/>
    </row>
    <row r="1158" ht="22.5" customHeight="1">
      <c r="A1158" s="443"/>
      <c r="B1158" s="456"/>
      <c r="C1158" s="471"/>
      <c r="D1158" s="488"/>
      <c r="E1158" s="448"/>
      <c r="F1158" s="445"/>
      <c r="G1158" s="442"/>
      <c r="H1158" s="448"/>
      <c r="I1158" s="447"/>
      <c r="J1158" s="448">
        <f t="shared" si="8"/>
        <v>12</v>
      </c>
      <c r="K1158" s="448"/>
    </row>
    <row r="1159" ht="22.5" customHeight="1">
      <c r="A1159" s="443"/>
      <c r="B1159" s="456"/>
      <c r="C1159" s="471"/>
      <c r="D1159" s="488"/>
      <c r="E1159" s="448"/>
      <c r="F1159" s="445"/>
      <c r="G1159" s="442"/>
      <c r="H1159" s="448"/>
      <c r="I1159" s="447"/>
      <c r="J1159" s="448">
        <f t="shared" si="8"/>
        <v>12</v>
      </c>
      <c r="K1159" s="448"/>
    </row>
    <row r="1160" ht="22.5" customHeight="1">
      <c r="A1160" s="443"/>
      <c r="B1160" s="456"/>
      <c r="C1160" s="471"/>
      <c r="D1160" s="488"/>
      <c r="E1160" s="448"/>
      <c r="F1160" s="445"/>
      <c r="G1160" s="442"/>
      <c r="H1160" s="448"/>
      <c r="I1160" s="447"/>
      <c r="J1160" s="448">
        <f t="shared" si="8"/>
        <v>12</v>
      </c>
      <c r="K1160" s="448"/>
    </row>
    <row r="1161" ht="22.5" customHeight="1">
      <c r="A1161" s="443"/>
      <c r="B1161" s="456"/>
      <c r="C1161" s="471"/>
      <c r="D1161" s="488"/>
      <c r="E1161" s="448"/>
      <c r="F1161" s="445"/>
      <c r="G1161" s="442"/>
      <c r="H1161" s="448"/>
      <c r="I1161" s="447"/>
      <c r="J1161" s="448">
        <f t="shared" si="8"/>
        <v>12</v>
      </c>
      <c r="K1161" s="448"/>
    </row>
    <row r="1162" ht="22.5" customHeight="1">
      <c r="A1162" s="443"/>
      <c r="B1162" s="456"/>
      <c r="C1162" s="471"/>
      <c r="D1162" s="488"/>
      <c r="E1162" s="448"/>
      <c r="F1162" s="445"/>
      <c r="G1162" s="442"/>
      <c r="H1162" s="448"/>
      <c r="I1162" s="447"/>
      <c r="J1162" s="448">
        <f t="shared" si="8"/>
        <v>12</v>
      </c>
      <c r="K1162" s="448"/>
    </row>
    <row r="1163" ht="22.5" customHeight="1">
      <c r="A1163" s="443"/>
      <c r="B1163" s="456"/>
      <c r="C1163" s="471"/>
      <c r="D1163" s="488"/>
      <c r="E1163" s="448"/>
      <c r="F1163" s="445"/>
      <c r="G1163" s="442"/>
      <c r="H1163" s="448"/>
      <c r="I1163" s="447"/>
      <c r="J1163" s="448">
        <f t="shared" si="8"/>
        <v>12</v>
      </c>
      <c r="K1163" s="448"/>
    </row>
    <row r="1164" ht="22.5" customHeight="1">
      <c r="A1164" s="443"/>
      <c r="B1164" s="456"/>
      <c r="C1164" s="471"/>
      <c r="D1164" s="488"/>
      <c r="E1164" s="448"/>
      <c r="F1164" s="445"/>
      <c r="G1164" s="442"/>
      <c r="H1164" s="448"/>
      <c r="I1164" s="447"/>
      <c r="J1164" s="448">
        <f t="shared" si="8"/>
        <v>12</v>
      </c>
      <c r="K1164" s="448"/>
    </row>
    <row r="1165" ht="22.5" customHeight="1">
      <c r="A1165" s="443"/>
      <c r="B1165" s="456"/>
      <c r="C1165" s="471"/>
      <c r="D1165" s="488"/>
      <c r="E1165" s="448"/>
      <c r="F1165" s="445"/>
      <c r="G1165" s="442"/>
      <c r="H1165" s="448"/>
      <c r="I1165" s="447"/>
      <c r="J1165" s="448">
        <f t="shared" si="8"/>
        <v>12</v>
      </c>
      <c r="K1165" s="448"/>
    </row>
    <row r="1166" ht="22.5" customHeight="1">
      <c r="A1166" s="443"/>
      <c r="B1166" s="456"/>
      <c r="C1166" s="471"/>
      <c r="D1166" s="488"/>
      <c r="E1166" s="448"/>
      <c r="F1166" s="445"/>
      <c r="G1166" s="442"/>
      <c r="H1166" s="448"/>
      <c r="I1166" s="447"/>
      <c r="J1166" s="448">
        <f t="shared" si="8"/>
        <v>12</v>
      </c>
      <c r="K1166" s="448"/>
    </row>
    <row r="1167" ht="22.5" customHeight="1">
      <c r="A1167" s="443"/>
      <c r="B1167" s="456"/>
      <c r="C1167" s="471"/>
      <c r="D1167" s="488"/>
      <c r="E1167" s="448"/>
      <c r="F1167" s="445"/>
      <c r="G1167" s="442"/>
      <c r="H1167" s="448"/>
      <c r="I1167" s="447"/>
      <c r="J1167" s="448">
        <f t="shared" si="8"/>
        <v>12</v>
      </c>
      <c r="K1167" s="448"/>
    </row>
    <row r="1168" ht="22.5" customHeight="1">
      <c r="A1168" s="443"/>
      <c r="B1168" s="456"/>
      <c r="C1168" s="471"/>
      <c r="D1168" s="488"/>
      <c r="E1168" s="448"/>
      <c r="F1168" s="445"/>
      <c r="G1168" s="442"/>
      <c r="H1168" s="448"/>
      <c r="I1168" s="447"/>
      <c r="J1168" s="448">
        <f t="shared" si="8"/>
        <v>12</v>
      </c>
      <c r="K1168" s="448"/>
    </row>
    <row r="1169" ht="22.5" customHeight="1">
      <c r="A1169" s="443"/>
      <c r="B1169" s="456"/>
      <c r="C1169" s="471"/>
      <c r="D1169" s="488"/>
      <c r="E1169" s="448"/>
      <c r="F1169" s="445"/>
      <c r="G1169" s="442"/>
      <c r="H1169" s="448"/>
      <c r="I1169" s="447"/>
      <c r="J1169" s="448">
        <f t="shared" si="8"/>
        <v>12</v>
      </c>
      <c r="K1169" s="448"/>
    </row>
    <row r="1170" ht="22.5" customHeight="1">
      <c r="A1170" s="443"/>
      <c r="B1170" s="456"/>
      <c r="C1170" s="471"/>
      <c r="D1170" s="488"/>
      <c r="E1170" s="448"/>
      <c r="F1170" s="445"/>
      <c r="G1170" s="442"/>
      <c r="H1170" s="448"/>
      <c r="I1170" s="447"/>
      <c r="J1170" s="448">
        <f t="shared" si="8"/>
        <v>12</v>
      </c>
      <c r="K1170" s="448"/>
    </row>
    <row r="1171" ht="22.5" customHeight="1">
      <c r="A1171" s="443"/>
      <c r="B1171" s="456"/>
      <c r="C1171" s="471"/>
      <c r="D1171" s="488"/>
      <c r="E1171" s="448"/>
      <c r="F1171" s="445"/>
      <c r="G1171" s="442"/>
      <c r="H1171" s="448"/>
      <c r="I1171" s="447"/>
      <c r="J1171" s="448">
        <f t="shared" si="8"/>
        <v>12</v>
      </c>
      <c r="K1171" s="448"/>
    </row>
    <row r="1172" ht="22.5" customHeight="1">
      <c r="A1172" s="443"/>
      <c r="B1172" s="456"/>
      <c r="C1172" s="471"/>
      <c r="D1172" s="488"/>
      <c r="E1172" s="448"/>
      <c r="F1172" s="445"/>
      <c r="G1172" s="442"/>
      <c r="H1172" s="448"/>
      <c r="I1172" s="447"/>
      <c r="J1172" s="448">
        <f t="shared" si="8"/>
        <v>12</v>
      </c>
      <c r="K1172" s="448"/>
    </row>
    <row r="1173" ht="22.5" customHeight="1">
      <c r="A1173" s="443"/>
      <c r="B1173" s="456"/>
      <c r="C1173" s="471"/>
      <c r="D1173" s="471"/>
      <c r="E1173" s="445"/>
      <c r="F1173" s="445"/>
      <c r="G1173" s="442"/>
      <c r="H1173" s="448"/>
      <c r="I1173" s="447"/>
      <c r="J1173" s="448">
        <f t="shared" si="8"/>
        <v>12</v>
      </c>
      <c r="K1173" s="448"/>
    </row>
    <row r="1174" ht="22.5" customHeight="1">
      <c r="A1174" s="443"/>
      <c r="B1174" s="456"/>
      <c r="C1174" s="471"/>
      <c r="D1174" s="471"/>
      <c r="E1174" s="445"/>
      <c r="F1174" s="445"/>
      <c r="G1174" s="442"/>
      <c r="H1174" s="448"/>
      <c r="I1174" s="447"/>
      <c r="J1174" s="448">
        <f t="shared" si="8"/>
        <v>12</v>
      </c>
      <c r="K1174" s="448"/>
    </row>
    <row r="1175" ht="22.5" customHeight="1">
      <c r="A1175" s="443"/>
      <c r="B1175" s="456"/>
      <c r="C1175" s="471"/>
      <c r="D1175" s="471"/>
      <c r="E1175" s="445"/>
      <c r="F1175" s="445"/>
      <c r="G1175" s="442"/>
      <c r="H1175" s="448"/>
      <c r="I1175" s="447"/>
      <c r="J1175" s="448">
        <f t="shared" si="8"/>
        <v>12</v>
      </c>
      <c r="K1175" s="448"/>
    </row>
    <row r="1176" ht="22.5" customHeight="1">
      <c r="A1176" s="443"/>
      <c r="B1176" s="456"/>
      <c r="C1176" s="471"/>
      <c r="D1176" s="471"/>
      <c r="E1176" s="445"/>
      <c r="F1176" s="445"/>
      <c r="G1176" s="442"/>
      <c r="H1176" s="448"/>
      <c r="I1176" s="447"/>
      <c r="J1176" s="448">
        <f t="shared" si="8"/>
        <v>12</v>
      </c>
      <c r="K1176" s="448"/>
    </row>
    <row r="1177" ht="22.5" customHeight="1">
      <c r="A1177" s="443"/>
      <c r="B1177" s="456"/>
      <c r="C1177" s="471"/>
      <c r="D1177" s="471"/>
      <c r="E1177" s="445"/>
      <c r="F1177" s="445"/>
      <c r="G1177" s="442"/>
      <c r="H1177" s="448"/>
      <c r="I1177" s="447"/>
      <c r="J1177" s="448">
        <f t="shared" si="8"/>
        <v>12</v>
      </c>
      <c r="K1177" s="448"/>
    </row>
    <row r="1178" ht="22.5" customHeight="1">
      <c r="A1178" s="443"/>
      <c r="B1178" s="456"/>
      <c r="C1178" s="471"/>
      <c r="D1178" s="471"/>
      <c r="E1178" s="445"/>
      <c r="F1178" s="445"/>
      <c r="G1178" s="442"/>
      <c r="H1178" s="448"/>
      <c r="I1178" s="447"/>
      <c r="J1178" s="448">
        <f t="shared" si="8"/>
        <v>12</v>
      </c>
      <c r="K1178" s="448"/>
    </row>
    <row r="1179" ht="22.5" customHeight="1">
      <c r="A1179" s="443"/>
      <c r="B1179" s="456"/>
      <c r="C1179" s="471"/>
      <c r="D1179" s="471"/>
      <c r="E1179" s="445"/>
      <c r="F1179" s="445"/>
      <c r="G1179" s="442"/>
      <c r="H1179" s="448"/>
      <c r="I1179" s="447"/>
      <c r="J1179" s="448">
        <f t="shared" si="8"/>
        <v>12</v>
      </c>
      <c r="K1179" s="448"/>
    </row>
    <row r="1180" ht="22.5" customHeight="1">
      <c r="A1180" s="443"/>
      <c r="B1180" s="456"/>
      <c r="C1180" s="471"/>
      <c r="D1180" s="471"/>
      <c r="E1180" s="445"/>
      <c r="F1180" s="445"/>
      <c r="G1180" s="442"/>
      <c r="H1180" s="448"/>
      <c r="I1180" s="447"/>
      <c r="J1180" s="448">
        <f t="shared" si="8"/>
        <v>12</v>
      </c>
      <c r="K1180" s="448"/>
    </row>
    <row r="1181" ht="22.5" customHeight="1">
      <c r="A1181" s="443"/>
      <c r="B1181" s="456"/>
      <c r="C1181" s="471"/>
      <c r="D1181" s="471"/>
      <c r="E1181" s="445"/>
      <c r="F1181" s="445"/>
      <c r="G1181" s="442"/>
      <c r="H1181" s="448"/>
      <c r="I1181" s="447"/>
      <c r="J1181" s="448">
        <f t="shared" si="8"/>
        <v>12</v>
      </c>
      <c r="K1181" s="448"/>
    </row>
    <row r="1182" ht="22.5" customHeight="1">
      <c r="A1182" s="443"/>
      <c r="B1182" s="456"/>
      <c r="C1182" s="471"/>
      <c r="D1182" s="471"/>
      <c r="E1182" s="445"/>
      <c r="F1182" s="445"/>
      <c r="G1182" s="442"/>
      <c r="H1182" s="448"/>
      <c r="I1182" s="447"/>
      <c r="J1182" s="448">
        <f t="shared" si="8"/>
        <v>12</v>
      </c>
      <c r="K1182" s="448"/>
    </row>
    <row r="1183" ht="22.5" customHeight="1">
      <c r="A1183" s="443"/>
      <c r="B1183" s="456"/>
      <c r="C1183" s="471"/>
      <c r="D1183" s="471"/>
      <c r="E1183" s="445"/>
      <c r="F1183" s="445"/>
      <c r="G1183" s="442"/>
      <c r="H1183" s="448"/>
      <c r="I1183" s="447"/>
      <c r="J1183" s="448">
        <f t="shared" si="8"/>
        <v>12</v>
      </c>
      <c r="K1183" s="448"/>
    </row>
    <row r="1184" ht="22.5" customHeight="1">
      <c r="A1184" s="443"/>
      <c r="B1184" s="456"/>
      <c r="C1184" s="471"/>
      <c r="D1184" s="471"/>
      <c r="E1184" s="445"/>
      <c r="F1184" s="445"/>
      <c r="G1184" s="442"/>
      <c r="H1184" s="448"/>
      <c r="I1184" s="447"/>
      <c r="J1184" s="448">
        <f t="shared" si="8"/>
        <v>12</v>
      </c>
      <c r="K1184" s="448"/>
    </row>
    <row r="1185" ht="22.5" customHeight="1">
      <c r="A1185" s="443"/>
      <c r="B1185" s="456"/>
      <c r="C1185" s="471"/>
      <c r="D1185" s="471"/>
      <c r="E1185" s="445"/>
      <c r="F1185" s="445"/>
      <c r="G1185" s="442"/>
      <c r="H1185" s="448"/>
      <c r="I1185" s="447"/>
      <c r="J1185" s="448">
        <f t="shared" si="8"/>
        <v>12</v>
      </c>
      <c r="K1185" s="448"/>
    </row>
    <row r="1186" ht="22.5" customHeight="1">
      <c r="A1186" s="443"/>
      <c r="B1186" s="456"/>
      <c r="C1186" s="471"/>
      <c r="D1186" s="471"/>
      <c r="E1186" s="445"/>
      <c r="F1186" s="445"/>
      <c r="G1186" s="442"/>
      <c r="H1186" s="448"/>
      <c r="I1186" s="447"/>
      <c r="J1186" s="448">
        <f t="shared" si="8"/>
        <v>12</v>
      </c>
      <c r="K1186" s="448"/>
    </row>
    <row r="1187" ht="22.5" customHeight="1">
      <c r="A1187" s="443"/>
      <c r="B1187" s="456"/>
      <c r="C1187" s="471"/>
      <c r="D1187" s="471"/>
      <c r="E1187" s="445"/>
      <c r="F1187" s="445"/>
      <c r="G1187" s="442"/>
      <c r="H1187" s="448"/>
      <c r="I1187" s="447"/>
      <c r="J1187" s="448">
        <f t="shared" si="8"/>
        <v>12</v>
      </c>
      <c r="K1187" s="448"/>
    </row>
    <row r="1188" ht="22.5" customHeight="1">
      <c r="A1188" s="443"/>
      <c r="B1188" s="456"/>
      <c r="C1188" s="471"/>
      <c r="D1188" s="471"/>
      <c r="E1188" s="445"/>
      <c r="F1188" s="445"/>
      <c r="G1188" s="442"/>
      <c r="H1188" s="448"/>
      <c r="I1188" s="447"/>
      <c r="J1188" s="448">
        <f t="shared" si="8"/>
        <v>12</v>
      </c>
      <c r="K1188" s="448"/>
    </row>
    <row r="1189" ht="22.5" customHeight="1">
      <c r="A1189" s="443"/>
      <c r="B1189" s="456"/>
      <c r="C1189" s="471"/>
      <c r="D1189" s="471"/>
      <c r="E1189" s="445"/>
      <c r="F1189" s="445"/>
      <c r="G1189" s="442"/>
      <c r="H1189" s="448"/>
      <c r="I1189" s="447"/>
      <c r="J1189" s="448">
        <f t="shared" si="8"/>
        <v>12</v>
      </c>
      <c r="K1189" s="448"/>
    </row>
    <row r="1190" ht="22.5" customHeight="1">
      <c r="A1190" s="443"/>
      <c r="B1190" s="456"/>
      <c r="C1190" s="471"/>
      <c r="D1190" s="471"/>
      <c r="E1190" s="445"/>
      <c r="F1190" s="445"/>
      <c r="G1190" s="442"/>
      <c r="H1190" s="448"/>
      <c r="I1190" s="447"/>
      <c r="J1190" s="448">
        <f t="shared" si="8"/>
        <v>12</v>
      </c>
      <c r="K1190" s="448"/>
    </row>
    <row r="1191" ht="22.5" customHeight="1">
      <c r="A1191" s="443"/>
      <c r="B1191" s="456"/>
      <c r="C1191" s="471"/>
      <c r="D1191" s="471"/>
      <c r="E1191" s="445"/>
      <c r="F1191" s="445"/>
      <c r="G1191" s="442"/>
      <c r="H1191" s="448"/>
      <c r="I1191" s="447"/>
      <c r="J1191" s="448">
        <f t="shared" si="8"/>
        <v>12</v>
      </c>
      <c r="K1191" s="448"/>
    </row>
    <row r="1192" ht="22.5" customHeight="1">
      <c r="A1192" s="443"/>
      <c r="B1192" s="456"/>
      <c r="C1192" s="471"/>
      <c r="D1192" s="471"/>
      <c r="E1192" s="445"/>
      <c r="F1192" s="445"/>
      <c r="G1192" s="442"/>
      <c r="H1192" s="448"/>
      <c r="I1192" s="447"/>
      <c r="J1192" s="448">
        <f t="shared" si="8"/>
        <v>12</v>
      </c>
      <c r="K1192" s="448"/>
    </row>
    <row r="1193" ht="22.5" customHeight="1">
      <c r="A1193" s="443"/>
      <c r="B1193" s="456"/>
      <c r="C1193" s="471"/>
      <c r="D1193" s="471"/>
      <c r="E1193" s="445"/>
      <c r="F1193" s="445"/>
      <c r="G1193" s="442"/>
      <c r="H1193" s="448"/>
      <c r="I1193" s="447"/>
      <c r="J1193" s="448">
        <f t="shared" si="8"/>
        <v>12</v>
      </c>
      <c r="K1193" s="448"/>
    </row>
    <row r="1194" ht="22.5" customHeight="1">
      <c r="A1194" s="443"/>
      <c r="B1194" s="456"/>
      <c r="C1194" s="471"/>
      <c r="D1194" s="471"/>
      <c r="E1194" s="445"/>
      <c r="F1194" s="445"/>
      <c r="G1194" s="442"/>
      <c r="H1194" s="448"/>
      <c r="I1194" s="447"/>
      <c r="J1194" s="448">
        <f t="shared" si="8"/>
        <v>12</v>
      </c>
      <c r="K1194" s="448"/>
    </row>
    <row r="1195" ht="22.5" customHeight="1">
      <c r="A1195" s="443"/>
      <c r="B1195" s="456"/>
      <c r="C1195" s="471"/>
      <c r="D1195" s="471"/>
      <c r="E1195" s="445"/>
      <c r="F1195" s="445"/>
      <c r="G1195" s="442"/>
      <c r="H1195" s="448"/>
      <c r="I1195" s="447"/>
      <c r="J1195" s="448">
        <f t="shared" si="8"/>
        <v>12</v>
      </c>
      <c r="K1195" s="448"/>
    </row>
    <row r="1196" ht="22.5" customHeight="1">
      <c r="A1196" s="443"/>
      <c r="B1196" s="456"/>
      <c r="C1196" s="471"/>
      <c r="D1196" s="471"/>
      <c r="E1196" s="445"/>
      <c r="F1196" s="445"/>
      <c r="G1196" s="442"/>
      <c r="H1196" s="448"/>
      <c r="I1196" s="447"/>
      <c r="J1196" s="448">
        <f t="shared" si="8"/>
        <v>12</v>
      </c>
      <c r="K1196" s="448"/>
    </row>
    <row r="1197" ht="22.5" customHeight="1">
      <c r="A1197" s="443"/>
      <c r="B1197" s="456"/>
      <c r="C1197" s="471"/>
      <c r="D1197" s="471"/>
      <c r="E1197" s="445"/>
      <c r="F1197" s="445"/>
      <c r="G1197" s="442"/>
      <c r="H1197" s="448"/>
      <c r="I1197" s="447"/>
      <c r="J1197" s="448">
        <f t="shared" si="8"/>
        <v>12</v>
      </c>
      <c r="K1197" s="448"/>
    </row>
    <row r="1198" ht="22.5" customHeight="1">
      <c r="A1198" s="443"/>
      <c r="B1198" s="456"/>
      <c r="C1198" s="471"/>
      <c r="D1198" s="471"/>
      <c r="E1198" s="445"/>
      <c r="F1198" s="445"/>
      <c r="G1198" s="442"/>
      <c r="H1198" s="448"/>
      <c r="I1198" s="447"/>
      <c r="J1198" s="448">
        <f t="shared" si="8"/>
        <v>12</v>
      </c>
      <c r="K1198" s="448"/>
    </row>
    <row r="1199" ht="22.5" customHeight="1">
      <c r="A1199" s="443"/>
      <c r="B1199" s="456"/>
      <c r="C1199" s="471"/>
      <c r="D1199" s="471"/>
      <c r="E1199" s="445"/>
      <c r="F1199" s="445"/>
      <c r="G1199" s="442"/>
      <c r="H1199" s="448"/>
      <c r="I1199" s="447"/>
      <c r="J1199" s="448">
        <f t="shared" si="8"/>
        <v>12</v>
      </c>
      <c r="K1199" s="448"/>
    </row>
    <row r="1200" ht="22.5" customHeight="1">
      <c r="A1200" s="443"/>
      <c r="B1200" s="456"/>
      <c r="C1200" s="471"/>
      <c r="D1200" s="471"/>
      <c r="E1200" s="445"/>
      <c r="F1200" s="445"/>
      <c r="G1200" s="442"/>
      <c r="H1200" s="448"/>
      <c r="I1200" s="447"/>
      <c r="J1200" s="448">
        <f t="shared" si="8"/>
        <v>12</v>
      </c>
      <c r="K1200" s="448"/>
    </row>
    <row r="1201" ht="22.5" customHeight="1">
      <c r="A1201" s="443"/>
      <c r="B1201" s="456"/>
      <c r="C1201" s="471"/>
      <c r="D1201" s="471"/>
      <c r="E1201" s="445"/>
      <c r="F1201" s="445"/>
      <c r="G1201" s="442"/>
      <c r="H1201" s="448"/>
      <c r="I1201" s="447"/>
      <c r="J1201" s="448">
        <f t="shared" si="8"/>
        <v>12</v>
      </c>
      <c r="K1201" s="448"/>
    </row>
    <row r="1202" ht="22.5" customHeight="1">
      <c r="A1202" s="443"/>
      <c r="B1202" s="456"/>
      <c r="C1202" s="471"/>
      <c r="D1202" s="471"/>
      <c r="E1202" s="445"/>
      <c r="F1202" s="445"/>
      <c r="G1202" s="442"/>
      <c r="H1202" s="448"/>
      <c r="I1202" s="447"/>
      <c r="J1202" s="448">
        <f t="shared" si="8"/>
        <v>12</v>
      </c>
      <c r="K1202" s="448"/>
    </row>
    <row r="1203" ht="22.5" customHeight="1">
      <c r="A1203" s="443"/>
      <c r="B1203" s="456"/>
      <c r="C1203" s="471"/>
      <c r="D1203" s="471"/>
      <c r="E1203" s="445"/>
      <c r="F1203" s="445"/>
      <c r="G1203" s="442"/>
      <c r="H1203" s="448"/>
      <c r="I1203" s="447"/>
      <c r="J1203" s="448">
        <f t="shared" si="8"/>
        <v>12</v>
      </c>
      <c r="K1203" s="448"/>
    </row>
    <row r="1204" ht="22.5" customHeight="1">
      <c r="A1204" s="443"/>
      <c r="B1204" s="456"/>
      <c r="C1204" s="471"/>
      <c r="D1204" s="471"/>
      <c r="E1204" s="445"/>
      <c r="F1204" s="445"/>
      <c r="G1204" s="442"/>
      <c r="H1204" s="448"/>
      <c r="I1204" s="447"/>
      <c r="J1204" s="448">
        <f t="shared" si="8"/>
        <v>12</v>
      </c>
      <c r="K1204" s="448"/>
    </row>
    <row r="1205" ht="22.5" customHeight="1">
      <c r="A1205" s="443"/>
      <c r="B1205" s="456"/>
      <c r="C1205" s="471"/>
      <c r="D1205" s="471"/>
      <c r="E1205" s="445"/>
      <c r="F1205" s="445"/>
      <c r="G1205" s="442"/>
      <c r="H1205" s="448"/>
      <c r="I1205" s="447"/>
      <c r="J1205" s="448">
        <f t="shared" si="8"/>
        <v>12</v>
      </c>
      <c r="K1205" s="448"/>
    </row>
    <row r="1206" ht="22.5" customHeight="1">
      <c r="A1206" s="443"/>
      <c r="B1206" s="456"/>
      <c r="C1206" s="471"/>
      <c r="D1206" s="471"/>
      <c r="E1206" s="445"/>
      <c r="F1206" s="445"/>
      <c r="G1206" s="442"/>
      <c r="H1206" s="448"/>
      <c r="I1206" s="447"/>
      <c r="J1206" s="448">
        <f t="shared" si="8"/>
        <v>12</v>
      </c>
      <c r="K1206" s="448"/>
    </row>
    <row r="1207" ht="22.5" customHeight="1">
      <c r="A1207" s="443"/>
      <c r="B1207" s="456"/>
      <c r="C1207" s="471"/>
      <c r="D1207" s="471"/>
      <c r="E1207" s="445"/>
      <c r="F1207" s="445"/>
      <c r="G1207" s="442"/>
      <c r="H1207" s="448"/>
      <c r="I1207" s="447"/>
      <c r="J1207" s="448">
        <f t="shared" si="8"/>
        <v>12</v>
      </c>
      <c r="K1207" s="448"/>
    </row>
    <row r="1208" ht="22.5" customHeight="1">
      <c r="A1208" s="443"/>
      <c r="B1208" s="456"/>
      <c r="C1208" s="471"/>
      <c r="D1208" s="471"/>
      <c r="E1208" s="445"/>
      <c r="F1208" s="445"/>
      <c r="G1208" s="442"/>
      <c r="H1208" s="448"/>
      <c r="I1208" s="447"/>
      <c r="J1208" s="448">
        <f t="shared" si="8"/>
        <v>12</v>
      </c>
      <c r="K1208" s="448"/>
    </row>
    <row r="1209" ht="22.5" customHeight="1">
      <c r="A1209" s="443"/>
      <c r="B1209" s="456"/>
      <c r="C1209" s="471"/>
      <c r="D1209" s="471"/>
      <c r="E1209" s="445"/>
      <c r="F1209" s="445"/>
      <c r="G1209" s="442"/>
      <c r="H1209" s="448"/>
      <c r="I1209" s="447"/>
      <c r="J1209" s="448">
        <f t="shared" si="8"/>
        <v>12</v>
      </c>
      <c r="K1209" s="448"/>
    </row>
    <row r="1210" ht="22.5" customHeight="1">
      <c r="A1210" s="443"/>
      <c r="B1210" s="456"/>
      <c r="C1210" s="471"/>
      <c r="D1210" s="471"/>
      <c r="E1210" s="445"/>
      <c r="F1210" s="445"/>
      <c r="G1210" s="442"/>
      <c r="H1210" s="448"/>
      <c r="I1210" s="447"/>
      <c r="J1210" s="448">
        <f t="shared" si="8"/>
        <v>12</v>
      </c>
      <c r="K1210" s="448"/>
    </row>
    <row r="1211" ht="22.5" customHeight="1">
      <c r="A1211" s="443"/>
      <c r="B1211" s="456"/>
      <c r="C1211" s="471"/>
      <c r="D1211" s="471"/>
      <c r="E1211" s="445"/>
      <c r="F1211" s="445"/>
      <c r="G1211" s="442"/>
      <c r="H1211" s="448"/>
      <c r="I1211" s="447"/>
      <c r="J1211" s="448">
        <f t="shared" si="8"/>
        <v>12</v>
      </c>
      <c r="K1211" s="448"/>
    </row>
    <row r="1212" ht="22.5" customHeight="1">
      <c r="A1212" s="443"/>
      <c r="B1212" s="456"/>
      <c r="C1212" s="471"/>
      <c r="D1212" s="471"/>
      <c r="E1212" s="445"/>
      <c r="F1212" s="445"/>
      <c r="G1212" s="442"/>
      <c r="H1212" s="448"/>
      <c r="I1212" s="447"/>
      <c r="J1212" s="448">
        <f t="shared" si="8"/>
        <v>12</v>
      </c>
      <c r="K1212" s="448"/>
    </row>
    <row r="1213" ht="22.5" customHeight="1">
      <c r="A1213" s="443"/>
      <c r="B1213" s="456"/>
      <c r="C1213" s="471"/>
      <c r="D1213" s="471"/>
      <c r="E1213" s="445"/>
      <c r="F1213" s="445"/>
      <c r="G1213" s="442"/>
      <c r="H1213" s="448"/>
      <c r="I1213" s="447"/>
      <c r="J1213" s="448">
        <f t="shared" si="8"/>
        <v>12</v>
      </c>
      <c r="K1213" s="448"/>
    </row>
    <row r="1214" ht="22.5" customHeight="1">
      <c r="A1214" s="443"/>
      <c r="B1214" s="456"/>
      <c r="C1214" s="471"/>
      <c r="D1214" s="471"/>
      <c r="E1214" s="445"/>
      <c r="F1214" s="445"/>
      <c r="G1214" s="442"/>
      <c r="H1214" s="448"/>
      <c r="I1214" s="447"/>
      <c r="J1214" s="448">
        <f t="shared" si="8"/>
        <v>12</v>
      </c>
      <c r="K1214" s="448"/>
    </row>
    <row r="1215" ht="22.5" customHeight="1">
      <c r="A1215" s="443"/>
      <c r="B1215" s="456"/>
      <c r="C1215" s="471"/>
      <c r="D1215" s="471"/>
      <c r="E1215" s="445"/>
      <c r="F1215" s="445"/>
      <c r="G1215" s="442"/>
      <c r="H1215" s="448"/>
      <c r="I1215" s="447"/>
      <c r="J1215" s="448">
        <f t="shared" si="8"/>
        <v>12</v>
      </c>
      <c r="K1215" s="448"/>
    </row>
    <row r="1216" ht="22.5" customHeight="1">
      <c r="A1216" s="443"/>
      <c r="B1216" s="456"/>
      <c r="C1216" s="471"/>
      <c r="D1216" s="471"/>
      <c r="E1216" s="445"/>
      <c r="F1216" s="445"/>
      <c r="G1216" s="442"/>
      <c r="H1216" s="448"/>
      <c r="I1216" s="447"/>
      <c r="J1216" s="448">
        <f t="shared" si="8"/>
        <v>12</v>
      </c>
      <c r="K1216" s="448"/>
    </row>
    <row r="1217" ht="22.5" customHeight="1">
      <c r="A1217" s="443"/>
      <c r="B1217" s="456"/>
      <c r="C1217" s="471"/>
      <c r="D1217" s="471"/>
      <c r="E1217" s="445"/>
      <c r="F1217" s="445"/>
      <c r="G1217" s="442"/>
      <c r="H1217" s="448"/>
      <c r="I1217" s="447"/>
      <c r="J1217" s="448">
        <f t="shared" si="8"/>
        <v>12</v>
      </c>
      <c r="K1217" s="448"/>
    </row>
    <row r="1218" ht="22.5" customHeight="1">
      <c r="A1218" s="443"/>
      <c r="B1218" s="456"/>
      <c r="C1218" s="471"/>
      <c r="D1218" s="471"/>
      <c r="E1218" s="445"/>
      <c r="F1218" s="445"/>
      <c r="G1218" s="442"/>
      <c r="H1218" s="448"/>
      <c r="I1218" s="447"/>
      <c r="J1218" s="448">
        <f t="shared" si="8"/>
        <v>12</v>
      </c>
      <c r="K1218" s="448"/>
    </row>
    <row r="1219" ht="22.5" customHeight="1">
      <c r="A1219" s="493"/>
      <c r="B1219" s="456"/>
      <c r="C1219" s="471"/>
      <c r="D1219" s="471"/>
      <c r="E1219" s="445"/>
      <c r="F1219" s="445"/>
      <c r="G1219" s="442"/>
      <c r="H1219" s="448"/>
      <c r="I1219" s="447"/>
      <c r="J1219" s="448">
        <f t="shared" si="8"/>
        <v>12</v>
      </c>
      <c r="K1219" s="448"/>
    </row>
    <row r="1220" ht="22.5" customHeight="1">
      <c r="A1220" s="443"/>
      <c r="B1220" s="477"/>
      <c r="C1220" s="489"/>
      <c r="D1220" s="489"/>
      <c r="E1220" s="481"/>
      <c r="F1220" s="481"/>
      <c r="G1220" s="482"/>
      <c r="H1220" s="483"/>
      <c r="I1220" s="484"/>
      <c r="J1220" s="483">
        <f t="shared" si="8"/>
        <v>12</v>
      </c>
      <c r="K1220" s="448"/>
    </row>
    <row r="1221" ht="22.5" customHeight="1">
      <c r="A1221" s="443"/>
      <c r="B1221" s="456"/>
      <c r="C1221" s="471"/>
      <c r="D1221" s="471"/>
      <c r="E1221" s="445"/>
      <c r="F1221" s="445"/>
      <c r="G1221" s="442"/>
      <c r="H1221" s="448"/>
      <c r="I1221" s="447"/>
      <c r="J1221" s="448">
        <f t="shared" si="8"/>
        <v>12</v>
      </c>
      <c r="K1221" s="448"/>
    </row>
    <row r="1222" ht="22.5" customHeight="1">
      <c r="A1222" s="443"/>
      <c r="B1222" s="456"/>
      <c r="C1222" s="471"/>
      <c r="D1222" s="471"/>
      <c r="E1222" s="448"/>
      <c r="F1222" s="445"/>
      <c r="G1222" s="442"/>
      <c r="H1222" s="448"/>
      <c r="I1222" s="447"/>
      <c r="J1222" s="448">
        <f t="shared" si="8"/>
        <v>12</v>
      </c>
      <c r="K1222" s="448"/>
    </row>
    <row r="1223" ht="22.5" customHeight="1">
      <c r="A1223" s="443"/>
      <c r="B1223" s="456"/>
      <c r="C1223" s="471"/>
      <c r="D1223" s="471"/>
      <c r="E1223" s="448"/>
      <c r="F1223" s="445"/>
      <c r="G1223" s="442"/>
      <c r="H1223" s="448"/>
      <c r="I1223" s="447"/>
      <c r="J1223" s="448">
        <f t="shared" si="8"/>
        <v>12</v>
      </c>
      <c r="K1223" s="448"/>
    </row>
    <row r="1224" ht="22.5" customHeight="1">
      <c r="A1224" s="443"/>
      <c r="B1224" s="456"/>
      <c r="C1224" s="471"/>
      <c r="D1224" s="471"/>
      <c r="E1224" s="448"/>
      <c r="F1224" s="445"/>
      <c r="G1224" s="442"/>
      <c r="H1224" s="448"/>
      <c r="I1224" s="447"/>
      <c r="J1224" s="448">
        <f t="shared" si="8"/>
        <v>12</v>
      </c>
      <c r="K1224" s="448"/>
    </row>
    <row r="1225" ht="22.5" customHeight="1">
      <c r="A1225" s="443"/>
      <c r="B1225" s="456"/>
      <c r="C1225" s="471"/>
      <c r="D1225" s="471"/>
      <c r="E1225" s="448"/>
      <c r="F1225" s="445"/>
      <c r="G1225" s="442"/>
      <c r="H1225" s="448"/>
      <c r="I1225" s="447"/>
      <c r="J1225" s="448">
        <f t="shared" si="8"/>
        <v>12</v>
      </c>
      <c r="K1225" s="448"/>
    </row>
    <row r="1226" ht="22.5" customHeight="1">
      <c r="A1226" s="443"/>
      <c r="B1226" s="456"/>
      <c r="C1226" s="471"/>
      <c r="D1226" s="471"/>
      <c r="E1226" s="448"/>
      <c r="F1226" s="445"/>
      <c r="G1226" s="442"/>
      <c r="H1226" s="448"/>
      <c r="I1226" s="447"/>
      <c r="J1226" s="448">
        <f t="shared" si="8"/>
        <v>12</v>
      </c>
      <c r="K1226" s="448"/>
    </row>
    <row r="1227" ht="22.5" customHeight="1">
      <c r="A1227" s="443"/>
      <c r="B1227" s="456"/>
      <c r="C1227" s="471"/>
      <c r="D1227" s="471"/>
      <c r="E1227" s="448"/>
      <c r="F1227" s="445"/>
      <c r="G1227" s="442"/>
      <c r="H1227" s="448"/>
      <c r="I1227" s="447"/>
      <c r="J1227" s="448">
        <f t="shared" si="8"/>
        <v>12</v>
      </c>
      <c r="K1227" s="448"/>
    </row>
    <row r="1228" ht="22.5" customHeight="1">
      <c r="A1228" s="443"/>
      <c r="B1228" s="456"/>
      <c r="C1228" s="471"/>
      <c r="D1228" s="471"/>
      <c r="E1228" s="448"/>
      <c r="F1228" s="445"/>
      <c r="G1228" s="442"/>
      <c r="H1228" s="448"/>
      <c r="I1228" s="447"/>
      <c r="J1228" s="448">
        <f t="shared" si="8"/>
        <v>12</v>
      </c>
      <c r="K1228" s="448"/>
    </row>
    <row r="1229" ht="22.5" customHeight="1">
      <c r="A1229" s="443"/>
      <c r="B1229" s="456"/>
      <c r="C1229" s="471"/>
      <c r="D1229" s="471"/>
      <c r="E1229" s="445"/>
      <c r="F1229" s="445"/>
      <c r="G1229" s="442"/>
      <c r="H1229" s="448"/>
      <c r="I1229" s="447"/>
      <c r="J1229" s="448">
        <f t="shared" si="8"/>
        <v>12</v>
      </c>
      <c r="K1229" s="448"/>
    </row>
    <row r="1230" ht="22.5" customHeight="1">
      <c r="A1230" s="443"/>
      <c r="B1230" s="456"/>
      <c r="C1230" s="471"/>
      <c r="D1230" s="471"/>
      <c r="E1230" s="445"/>
      <c r="F1230" s="445"/>
      <c r="G1230" s="442"/>
      <c r="H1230" s="448"/>
      <c r="I1230" s="447"/>
      <c r="J1230" s="448">
        <f t="shared" si="8"/>
        <v>12</v>
      </c>
      <c r="K1230" s="448"/>
    </row>
    <row r="1231" ht="22.5" customHeight="1">
      <c r="A1231" s="443"/>
      <c r="B1231" s="456"/>
      <c r="C1231" s="471"/>
      <c r="D1231" s="471"/>
      <c r="E1231" s="445"/>
      <c r="F1231" s="445"/>
      <c r="G1231" s="442"/>
      <c r="H1231" s="448"/>
      <c r="I1231" s="447"/>
      <c r="J1231" s="448">
        <f t="shared" si="8"/>
        <v>12</v>
      </c>
      <c r="K1231" s="448"/>
    </row>
    <row r="1232" ht="22.5" customHeight="1">
      <c r="A1232" s="443"/>
      <c r="B1232" s="456"/>
      <c r="C1232" s="471"/>
      <c r="D1232" s="471"/>
      <c r="E1232" s="445"/>
      <c r="F1232" s="445"/>
      <c r="G1232" s="442"/>
      <c r="H1232" s="448"/>
      <c r="I1232" s="447"/>
      <c r="J1232" s="448">
        <f t="shared" si="8"/>
        <v>12</v>
      </c>
      <c r="K1232" s="448"/>
    </row>
    <row r="1233" ht="22.5" customHeight="1">
      <c r="A1233" s="443"/>
      <c r="B1233" s="456"/>
      <c r="C1233" s="471"/>
      <c r="D1233" s="471"/>
      <c r="E1233" s="445"/>
      <c r="F1233" s="445"/>
      <c r="G1233" s="442"/>
      <c r="H1233" s="448"/>
      <c r="I1233" s="447"/>
      <c r="J1233" s="448">
        <f t="shared" si="8"/>
        <v>12</v>
      </c>
      <c r="K1233" s="448"/>
    </row>
    <row r="1234" ht="22.5" customHeight="1">
      <c r="A1234" s="443"/>
      <c r="B1234" s="456"/>
      <c r="C1234" s="471"/>
      <c r="D1234" s="471"/>
      <c r="E1234" s="445"/>
      <c r="F1234" s="445"/>
      <c r="G1234" s="442"/>
      <c r="H1234" s="448"/>
      <c r="I1234" s="447"/>
      <c r="J1234" s="448">
        <f t="shared" si="8"/>
        <v>12</v>
      </c>
      <c r="K1234" s="448"/>
    </row>
    <row r="1235" ht="22.5" customHeight="1">
      <c r="A1235" s="443"/>
      <c r="B1235" s="456"/>
      <c r="C1235" s="471"/>
      <c r="D1235" s="471"/>
      <c r="E1235" s="445"/>
      <c r="F1235" s="445"/>
      <c r="G1235" s="442"/>
      <c r="H1235" s="448"/>
      <c r="I1235" s="447"/>
      <c r="J1235" s="448">
        <f t="shared" si="8"/>
        <v>12</v>
      </c>
      <c r="K1235" s="448"/>
    </row>
    <row r="1236" ht="22.5" customHeight="1">
      <c r="A1236" s="443"/>
      <c r="B1236" s="456"/>
      <c r="C1236" s="471"/>
      <c r="D1236" s="471"/>
      <c r="E1236" s="445"/>
      <c r="F1236" s="445"/>
      <c r="G1236" s="442"/>
      <c r="H1236" s="448"/>
      <c r="I1236" s="447"/>
      <c r="J1236" s="448">
        <f t="shared" si="8"/>
        <v>12</v>
      </c>
      <c r="K1236" s="448"/>
    </row>
    <row r="1237" ht="22.5" customHeight="1">
      <c r="A1237" s="443"/>
      <c r="B1237" s="456"/>
      <c r="C1237" s="471"/>
      <c r="D1237" s="471"/>
      <c r="E1237" s="445"/>
      <c r="F1237" s="445"/>
      <c r="G1237" s="442"/>
      <c r="H1237" s="448"/>
      <c r="I1237" s="447"/>
      <c r="J1237" s="448">
        <f t="shared" si="8"/>
        <v>12</v>
      </c>
      <c r="K1237" s="448"/>
    </row>
    <row r="1238" ht="22.5" customHeight="1">
      <c r="A1238" s="443"/>
      <c r="B1238" s="456"/>
      <c r="C1238" s="471"/>
      <c r="D1238" s="471"/>
      <c r="E1238" s="445"/>
      <c r="F1238" s="445"/>
      <c r="G1238" s="442"/>
      <c r="H1238" s="448"/>
      <c r="I1238" s="447"/>
      <c r="J1238" s="448">
        <f t="shared" si="8"/>
        <v>12</v>
      </c>
      <c r="K1238" s="448"/>
    </row>
    <row r="1239" ht="22.5" customHeight="1">
      <c r="A1239" s="443"/>
      <c r="B1239" s="456"/>
      <c r="C1239" s="471"/>
      <c r="D1239" s="471"/>
      <c r="E1239" s="445"/>
      <c r="F1239" s="445"/>
      <c r="G1239" s="442"/>
      <c r="H1239" s="448"/>
      <c r="I1239" s="447"/>
      <c r="J1239" s="448">
        <f t="shared" si="8"/>
        <v>12</v>
      </c>
      <c r="K1239" s="448"/>
    </row>
    <row r="1240" ht="22.5" customHeight="1">
      <c r="A1240" s="443"/>
      <c r="B1240" s="456"/>
      <c r="C1240" s="471"/>
      <c r="D1240" s="471"/>
      <c r="E1240" s="445"/>
      <c r="F1240" s="445"/>
      <c r="G1240" s="442"/>
      <c r="H1240" s="448"/>
      <c r="I1240" s="447"/>
      <c r="J1240" s="448">
        <f t="shared" si="8"/>
        <v>12</v>
      </c>
      <c r="K1240" s="448"/>
    </row>
    <row r="1241" ht="22.5" customHeight="1">
      <c r="A1241" s="443"/>
      <c r="B1241" s="456"/>
      <c r="C1241" s="471"/>
      <c r="D1241" s="471"/>
      <c r="E1241" s="445"/>
      <c r="F1241" s="445"/>
      <c r="G1241" s="442"/>
      <c r="H1241" s="448"/>
      <c r="I1241" s="447"/>
      <c r="J1241" s="448">
        <f t="shared" si="8"/>
        <v>12</v>
      </c>
      <c r="K1241" s="448"/>
    </row>
    <row r="1242" ht="22.5" customHeight="1">
      <c r="A1242" s="443"/>
      <c r="B1242" s="456"/>
      <c r="C1242" s="471"/>
      <c r="D1242" s="471"/>
      <c r="E1242" s="445"/>
      <c r="F1242" s="445"/>
      <c r="G1242" s="442"/>
      <c r="H1242" s="448"/>
      <c r="I1242" s="447"/>
      <c r="J1242" s="448">
        <f t="shared" si="8"/>
        <v>12</v>
      </c>
      <c r="K1242" s="448"/>
    </row>
    <row r="1243" ht="22.5" customHeight="1">
      <c r="A1243" s="443"/>
      <c r="B1243" s="456"/>
      <c r="C1243" s="471"/>
      <c r="D1243" s="471"/>
      <c r="E1243" s="445"/>
      <c r="F1243" s="445"/>
      <c r="G1243" s="442"/>
      <c r="H1243" s="448"/>
      <c r="I1243" s="447"/>
      <c r="J1243" s="448">
        <f t="shared" si="8"/>
        <v>12</v>
      </c>
      <c r="K1243" s="448"/>
    </row>
    <row r="1244" ht="22.5" customHeight="1">
      <c r="A1244" s="443"/>
      <c r="B1244" s="456"/>
      <c r="C1244" s="471"/>
      <c r="D1244" s="471"/>
      <c r="E1244" s="445"/>
      <c r="F1244" s="445"/>
      <c r="G1244" s="442"/>
      <c r="H1244" s="448"/>
      <c r="I1244" s="447"/>
      <c r="J1244" s="448">
        <f t="shared" si="8"/>
        <v>12</v>
      </c>
      <c r="K1244" s="448"/>
    </row>
    <row r="1245" ht="22.5" customHeight="1">
      <c r="A1245" s="443"/>
      <c r="B1245" s="456"/>
      <c r="C1245" s="471"/>
      <c r="D1245" s="471"/>
      <c r="E1245" s="445"/>
      <c r="F1245" s="445"/>
      <c r="G1245" s="442"/>
      <c r="H1245" s="448"/>
      <c r="I1245" s="447"/>
      <c r="J1245" s="448">
        <f t="shared" si="8"/>
        <v>12</v>
      </c>
      <c r="K1245" s="448"/>
    </row>
    <row r="1246" ht="22.5" customHeight="1">
      <c r="A1246" s="443"/>
      <c r="B1246" s="456"/>
      <c r="C1246" s="471"/>
      <c r="D1246" s="471"/>
      <c r="E1246" s="445"/>
      <c r="F1246" s="445"/>
      <c r="G1246" s="442"/>
      <c r="H1246" s="448"/>
      <c r="I1246" s="447"/>
      <c r="J1246" s="448">
        <f t="shared" si="8"/>
        <v>12</v>
      </c>
      <c r="K1246" s="448"/>
    </row>
    <row r="1247" ht="22.5" customHeight="1">
      <c r="A1247" s="443"/>
      <c r="B1247" s="456"/>
      <c r="C1247" s="471"/>
      <c r="D1247" s="471"/>
      <c r="E1247" s="445"/>
      <c r="F1247" s="445"/>
      <c r="G1247" s="442"/>
      <c r="H1247" s="448"/>
      <c r="I1247" s="447"/>
      <c r="J1247" s="448">
        <f t="shared" si="8"/>
        <v>12</v>
      </c>
      <c r="K1247" s="448"/>
    </row>
    <row r="1248" ht="22.5" customHeight="1">
      <c r="A1248" s="443"/>
      <c r="B1248" s="456"/>
      <c r="C1248" s="471"/>
      <c r="D1248" s="471"/>
      <c r="E1248" s="445"/>
      <c r="F1248" s="445"/>
      <c r="G1248" s="442"/>
      <c r="H1248" s="448"/>
      <c r="I1248" s="447"/>
      <c r="J1248" s="448">
        <f t="shared" si="8"/>
        <v>12</v>
      </c>
      <c r="K1248" s="448"/>
    </row>
    <row r="1249" ht="22.5" customHeight="1">
      <c r="A1249" s="443"/>
      <c r="B1249" s="456"/>
      <c r="C1249" s="471"/>
      <c r="D1249" s="471"/>
      <c r="E1249" s="445"/>
      <c r="F1249" s="445"/>
      <c r="G1249" s="442"/>
      <c r="H1249" s="448"/>
      <c r="I1249" s="447"/>
      <c r="J1249" s="448">
        <f t="shared" si="8"/>
        <v>12</v>
      </c>
      <c r="K1249" s="448"/>
    </row>
    <row r="1250" ht="22.5" customHeight="1">
      <c r="A1250" s="443"/>
      <c r="B1250" s="456"/>
      <c r="C1250" s="471"/>
      <c r="D1250" s="471"/>
      <c r="E1250" s="445"/>
      <c r="F1250" s="445"/>
      <c r="G1250" s="442"/>
      <c r="H1250" s="448"/>
      <c r="I1250" s="447"/>
      <c r="J1250" s="448">
        <f t="shared" si="8"/>
        <v>12</v>
      </c>
      <c r="K1250" s="448"/>
    </row>
    <row r="1251" ht="22.5" customHeight="1">
      <c r="A1251" s="443"/>
      <c r="B1251" s="456"/>
      <c r="C1251" s="494"/>
      <c r="D1251" s="471"/>
      <c r="E1251" s="445"/>
      <c r="F1251" s="445"/>
      <c r="G1251" s="442"/>
      <c r="H1251" s="448"/>
      <c r="I1251" s="447"/>
      <c r="J1251" s="448">
        <f t="shared" si="8"/>
        <v>12</v>
      </c>
      <c r="K1251" s="448"/>
    </row>
    <row r="1252" ht="22.5" customHeight="1">
      <c r="A1252" s="443"/>
      <c r="B1252" s="456"/>
      <c r="C1252" s="494"/>
      <c r="D1252" s="471"/>
      <c r="E1252" s="445"/>
      <c r="F1252" s="445"/>
      <c r="G1252" s="442"/>
      <c r="H1252" s="448"/>
      <c r="I1252" s="447"/>
      <c r="J1252" s="448">
        <f t="shared" si="8"/>
        <v>12</v>
      </c>
      <c r="K1252" s="448"/>
    </row>
    <row r="1253" ht="22.5" customHeight="1">
      <c r="A1253" s="443"/>
      <c r="B1253" s="456"/>
      <c r="C1253" s="494"/>
      <c r="D1253" s="471"/>
      <c r="E1253" s="445"/>
      <c r="F1253" s="445"/>
      <c r="G1253" s="442"/>
      <c r="H1253" s="448"/>
      <c r="I1253" s="447"/>
      <c r="J1253" s="448">
        <f t="shared" si="8"/>
        <v>12</v>
      </c>
      <c r="K1253" s="448"/>
    </row>
    <row r="1254" ht="22.5" customHeight="1">
      <c r="A1254" s="443"/>
      <c r="B1254" s="456"/>
      <c r="C1254" s="494"/>
      <c r="D1254" s="471"/>
      <c r="E1254" s="445"/>
      <c r="F1254" s="445"/>
      <c r="G1254" s="442"/>
      <c r="H1254" s="448"/>
      <c r="I1254" s="447"/>
      <c r="J1254" s="448">
        <f t="shared" si="8"/>
        <v>12</v>
      </c>
      <c r="K1254" s="448"/>
    </row>
    <row r="1255" ht="22.5" customHeight="1">
      <c r="A1255" s="443"/>
      <c r="B1255" s="456"/>
      <c r="C1255" s="494"/>
      <c r="D1255" s="471"/>
      <c r="E1255" s="445"/>
      <c r="F1255" s="445"/>
      <c r="G1255" s="442"/>
      <c r="H1255" s="448"/>
      <c r="I1255" s="447"/>
      <c r="J1255" s="448">
        <f t="shared" si="8"/>
        <v>12</v>
      </c>
      <c r="K1255" s="448"/>
    </row>
    <row r="1256" ht="22.5" customHeight="1">
      <c r="A1256" s="443"/>
      <c r="B1256" s="456"/>
      <c r="C1256" s="471"/>
      <c r="D1256" s="471"/>
      <c r="E1256" s="445"/>
      <c r="F1256" s="445"/>
      <c r="G1256" s="442"/>
      <c r="H1256" s="448"/>
      <c r="I1256" s="447"/>
      <c r="J1256" s="448">
        <f t="shared" si="8"/>
        <v>12</v>
      </c>
      <c r="K1256" s="448"/>
    </row>
    <row r="1257" ht="22.5" customHeight="1">
      <c r="A1257" s="443"/>
      <c r="B1257" s="456"/>
      <c r="C1257" s="471"/>
      <c r="D1257" s="471"/>
      <c r="E1257" s="445"/>
      <c r="F1257" s="445"/>
      <c r="G1257" s="442"/>
      <c r="H1257" s="448" t="s">
        <v>2551</v>
      </c>
      <c r="I1257" s="447"/>
      <c r="J1257" s="448">
        <f t="shared" si="8"/>
        <v>12</v>
      </c>
      <c r="K1257" s="448"/>
    </row>
    <row r="1258" ht="22.5" customHeight="1">
      <c r="A1258" s="443"/>
      <c r="B1258" s="456"/>
      <c r="C1258" s="471"/>
      <c r="D1258" s="471"/>
      <c r="E1258" s="445"/>
      <c r="F1258" s="445"/>
      <c r="G1258" s="442"/>
      <c r="H1258" s="448"/>
      <c r="I1258" s="447"/>
      <c r="J1258" s="448">
        <f t="shared" si="8"/>
        <v>12</v>
      </c>
      <c r="K1258" s="448"/>
    </row>
    <row r="1259" ht="22.5" customHeight="1">
      <c r="A1259" s="443"/>
      <c r="B1259" s="456"/>
      <c r="C1259" s="471"/>
      <c r="D1259" s="471"/>
      <c r="E1259" s="445"/>
      <c r="F1259" s="445"/>
      <c r="G1259" s="442"/>
      <c r="H1259" s="448"/>
      <c r="I1259" s="447"/>
      <c r="J1259" s="448">
        <f t="shared" si="8"/>
        <v>12</v>
      </c>
      <c r="K1259" s="448"/>
    </row>
    <row r="1260" ht="22.5" customHeight="1">
      <c r="A1260" s="443"/>
      <c r="B1260" s="456"/>
      <c r="C1260" s="471"/>
      <c r="D1260" s="471"/>
      <c r="E1260" s="445"/>
      <c r="F1260" s="445"/>
      <c r="G1260" s="442"/>
      <c r="H1260" s="448"/>
      <c r="I1260" s="447"/>
      <c r="J1260" s="448">
        <f t="shared" si="8"/>
        <v>12</v>
      </c>
      <c r="K1260" s="448"/>
    </row>
    <row r="1261" ht="22.5" customHeight="1">
      <c r="A1261" s="443"/>
      <c r="B1261" s="456"/>
      <c r="C1261" s="471"/>
      <c r="D1261" s="471"/>
      <c r="E1261" s="445"/>
      <c r="F1261" s="445"/>
      <c r="G1261" s="442"/>
      <c r="H1261" s="448"/>
      <c r="I1261" s="447"/>
      <c r="J1261" s="448">
        <f t="shared" si="8"/>
        <v>12</v>
      </c>
      <c r="K1261" s="448"/>
    </row>
    <row r="1262" ht="22.5" customHeight="1">
      <c r="A1262" s="443"/>
      <c r="B1262" s="456"/>
      <c r="C1262" s="471"/>
      <c r="D1262" s="471"/>
      <c r="E1262" s="445"/>
      <c r="F1262" s="445"/>
      <c r="G1262" s="442"/>
      <c r="H1262" s="448"/>
      <c r="I1262" s="447"/>
      <c r="J1262" s="448">
        <f t="shared" si="8"/>
        <v>12</v>
      </c>
      <c r="K1262" s="448"/>
    </row>
    <row r="1263" ht="22.5" customHeight="1">
      <c r="A1263" s="443"/>
      <c r="B1263" s="456"/>
      <c r="C1263" s="471"/>
      <c r="D1263" s="471"/>
      <c r="E1263" s="445"/>
      <c r="F1263" s="445"/>
      <c r="G1263" s="442"/>
      <c r="H1263" s="448"/>
      <c r="I1263" s="447"/>
      <c r="J1263" s="448">
        <f t="shared" si="8"/>
        <v>12</v>
      </c>
      <c r="K1263" s="448"/>
    </row>
    <row r="1264" ht="22.5" customHeight="1">
      <c r="A1264" s="443"/>
      <c r="B1264" s="456"/>
      <c r="C1264" s="471"/>
      <c r="D1264" s="471"/>
      <c r="E1264" s="445"/>
      <c r="F1264" s="445"/>
      <c r="G1264" s="442"/>
      <c r="H1264" s="448"/>
      <c r="I1264" s="447"/>
      <c r="J1264" s="448">
        <f t="shared" si="8"/>
        <v>12</v>
      </c>
      <c r="K1264" s="448"/>
    </row>
    <row r="1265" ht="22.5" customHeight="1">
      <c r="A1265" s="443"/>
      <c r="B1265" s="456"/>
      <c r="C1265" s="471"/>
      <c r="D1265" s="471"/>
      <c r="E1265" s="445"/>
      <c r="F1265" s="445"/>
      <c r="G1265" s="442"/>
      <c r="H1265" s="448"/>
      <c r="I1265" s="447"/>
      <c r="J1265" s="448">
        <f t="shared" si="8"/>
        <v>12</v>
      </c>
      <c r="K1265" s="448"/>
    </row>
    <row r="1266" ht="22.5" customHeight="1">
      <c r="A1266" s="443"/>
      <c r="B1266" s="456"/>
      <c r="C1266" s="471"/>
      <c r="D1266" s="471"/>
      <c r="E1266" s="445"/>
      <c r="F1266" s="445"/>
      <c r="G1266" s="442"/>
      <c r="H1266" s="448"/>
      <c r="I1266" s="447"/>
      <c r="J1266" s="448">
        <f t="shared" si="8"/>
        <v>12</v>
      </c>
      <c r="K1266" s="448"/>
    </row>
    <row r="1267" ht="22.5" customHeight="1">
      <c r="A1267" s="443"/>
      <c r="B1267" s="456"/>
      <c r="C1267" s="471"/>
      <c r="D1267" s="471"/>
      <c r="E1267" s="445"/>
      <c r="F1267" s="445"/>
      <c r="G1267" s="442"/>
      <c r="H1267" s="448"/>
      <c r="I1267" s="447"/>
      <c r="J1267" s="448">
        <f t="shared" si="8"/>
        <v>12</v>
      </c>
      <c r="K1267" s="448"/>
    </row>
    <row r="1268" ht="22.5" customHeight="1">
      <c r="A1268" s="443"/>
      <c r="B1268" s="456"/>
      <c r="C1268" s="471"/>
      <c r="D1268" s="471"/>
      <c r="E1268" s="445"/>
      <c r="F1268" s="445"/>
      <c r="G1268" s="442"/>
      <c r="H1268" s="448"/>
      <c r="I1268" s="447"/>
      <c r="J1268" s="448">
        <f t="shared" si="8"/>
        <v>12</v>
      </c>
      <c r="K1268" s="448"/>
    </row>
    <row r="1269" ht="22.5" customHeight="1">
      <c r="A1269" s="443"/>
      <c r="B1269" s="456"/>
      <c r="C1269" s="471"/>
      <c r="D1269" s="471"/>
      <c r="E1269" s="445"/>
      <c r="F1269" s="445"/>
      <c r="G1269" s="442"/>
      <c r="H1269" s="448"/>
      <c r="I1269" s="447"/>
      <c r="J1269" s="448">
        <f t="shared" si="8"/>
        <v>12</v>
      </c>
      <c r="K1269" s="448"/>
    </row>
    <row r="1270" ht="22.5" customHeight="1">
      <c r="A1270" s="443"/>
      <c r="B1270" s="456"/>
      <c r="C1270" s="471"/>
      <c r="D1270" s="471"/>
      <c r="E1270" s="445"/>
      <c r="F1270" s="445"/>
      <c r="G1270" s="442"/>
      <c r="H1270" s="448"/>
      <c r="I1270" s="447"/>
      <c r="J1270" s="448">
        <f t="shared" si="8"/>
        <v>12</v>
      </c>
      <c r="K1270" s="448"/>
    </row>
    <row r="1271" ht="22.5" customHeight="1">
      <c r="A1271" s="443"/>
      <c r="B1271" s="456"/>
      <c r="C1271" s="471"/>
      <c r="D1271" s="471"/>
      <c r="E1271" s="445"/>
      <c r="F1271" s="445"/>
      <c r="G1271" s="442"/>
      <c r="H1271" s="448"/>
      <c r="I1271" s="447"/>
      <c r="J1271" s="448">
        <f t="shared" si="8"/>
        <v>12</v>
      </c>
      <c r="K1271" s="448"/>
    </row>
    <row r="1272" ht="22.5" customHeight="1">
      <c r="A1272" s="443"/>
      <c r="B1272" s="456"/>
      <c r="C1272" s="471"/>
      <c r="D1272" s="471"/>
      <c r="E1272" s="445"/>
      <c r="F1272" s="445"/>
      <c r="G1272" s="442"/>
      <c r="H1272" s="448"/>
      <c r="I1272" s="447"/>
      <c r="J1272" s="448">
        <f t="shared" si="8"/>
        <v>12</v>
      </c>
      <c r="K1272" s="448"/>
    </row>
    <row r="1273" ht="22.5" customHeight="1">
      <c r="A1273" s="443"/>
      <c r="B1273" s="456"/>
      <c r="C1273" s="471"/>
      <c r="D1273" s="471"/>
      <c r="E1273" s="445"/>
      <c r="F1273" s="445"/>
      <c r="G1273" s="442"/>
      <c r="H1273" s="448"/>
      <c r="I1273" s="447"/>
      <c r="J1273" s="448">
        <f t="shared" si="8"/>
        <v>12</v>
      </c>
      <c r="K1273" s="448"/>
    </row>
    <row r="1274" ht="22.5" customHeight="1">
      <c r="A1274" s="443"/>
      <c r="B1274" s="456"/>
      <c r="C1274" s="471"/>
      <c r="D1274" s="471"/>
      <c r="E1274" s="445"/>
      <c r="F1274" s="445"/>
      <c r="G1274" s="442"/>
      <c r="H1274" s="448"/>
      <c r="I1274" s="447"/>
      <c r="J1274" s="448">
        <f t="shared" si="8"/>
        <v>12</v>
      </c>
      <c r="K1274" s="448"/>
    </row>
    <row r="1275" ht="22.5" customHeight="1">
      <c r="A1275" s="443"/>
      <c r="B1275" s="456"/>
      <c r="C1275" s="471"/>
      <c r="D1275" s="471"/>
      <c r="E1275" s="445"/>
      <c r="F1275" s="445"/>
      <c r="G1275" s="442"/>
      <c r="H1275" s="448"/>
      <c r="I1275" s="447"/>
      <c r="J1275" s="448">
        <f t="shared" si="8"/>
        <v>12</v>
      </c>
      <c r="K1275" s="448"/>
    </row>
    <row r="1276" ht="22.5" customHeight="1">
      <c r="A1276" s="443"/>
      <c r="B1276" s="456"/>
      <c r="C1276" s="471"/>
      <c r="D1276" s="471"/>
      <c r="E1276" s="445"/>
      <c r="F1276" s="445"/>
      <c r="G1276" s="442"/>
      <c r="H1276" s="448"/>
      <c r="I1276" s="447"/>
      <c r="J1276" s="448">
        <f t="shared" si="8"/>
        <v>12</v>
      </c>
      <c r="K1276" s="448"/>
    </row>
    <row r="1277" ht="22.5" customHeight="1">
      <c r="A1277" s="443"/>
      <c r="B1277" s="456"/>
      <c r="C1277" s="471"/>
      <c r="D1277" s="471"/>
      <c r="E1277" s="445"/>
      <c r="F1277" s="445"/>
      <c r="G1277" s="442"/>
      <c r="H1277" s="448"/>
      <c r="I1277" s="447"/>
      <c r="J1277" s="448">
        <f t="shared" si="8"/>
        <v>12</v>
      </c>
      <c r="K1277" s="448"/>
    </row>
    <row r="1278" ht="22.5" customHeight="1">
      <c r="A1278" s="443"/>
      <c r="B1278" s="456"/>
      <c r="C1278" s="471"/>
      <c r="D1278" s="471"/>
      <c r="E1278" s="445"/>
      <c r="F1278" s="445"/>
      <c r="G1278" s="442"/>
      <c r="H1278" s="448"/>
      <c r="I1278" s="447"/>
      <c r="J1278" s="448">
        <f t="shared" si="8"/>
        <v>12</v>
      </c>
      <c r="K1278" s="448"/>
    </row>
    <row r="1279" ht="22.5" customHeight="1">
      <c r="A1279" s="443"/>
      <c r="B1279" s="456"/>
      <c r="C1279" s="471"/>
      <c r="D1279" s="471"/>
      <c r="E1279" s="445"/>
      <c r="F1279" s="445"/>
      <c r="G1279" s="442"/>
      <c r="H1279" s="448"/>
      <c r="I1279" s="447"/>
      <c r="J1279" s="448">
        <f t="shared" si="8"/>
        <v>12</v>
      </c>
      <c r="K1279" s="448"/>
    </row>
    <row r="1280" ht="22.5" customHeight="1">
      <c r="A1280" s="443"/>
      <c r="B1280" s="456"/>
      <c r="C1280" s="471"/>
      <c r="D1280" s="471"/>
      <c r="E1280" s="445"/>
      <c r="F1280" s="445"/>
      <c r="G1280" s="442"/>
      <c r="H1280" s="448"/>
      <c r="I1280" s="447"/>
      <c r="J1280" s="448">
        <f t="shared" si="8"/>
        <v>12</v>
      </c>
      <c r="K1280" s="448"/>
    </row>
    <row r="1281" ht="22.5" customHeight="1">
      <c r="A1281" s="443"/>
      <c r="B1281" s="456"/>
      <c r="C1281" s="471"/>
      <c r="D1281" s="471"/>
      <c r="E1281" s="445"/>
      <c r="F1281" s="445"/>
      <c r="G1281" s="442"/>
      <c r="H1281" s="448"/>
      <c r="I1281" s="447"/>
      <c r="J1281" s="448">
        <f t="shared" si="8"/>
        <v>12</v>
      </c>
      <c r="K1281" s="448"/>
    </row>
    <row r="1282" ht="22.5" customHeight="1">
      <c r="A1282" s="443"/>
      <c r="B1282" s="456"/>
      <c r="C1282" s="471"/>
      <c r="D1282" s="471"/>
      <c r="E1282" s="445"/>
      <c r="F1282" s="445"/>
      <c r="G1282" s="442"/>
      <c r="H1282" s="448"/>
      <c r="I1282" s="447"/>
      <c r="J1282" s="448">
        <f t="shared" si="8"/>
        <v>12</v>
      </c>
      <c r="K1282" s="448"/>
    </row>
    <row r="1283" ht="22.5" customHeight="1">
      <c r="A1283" s="443"/>
      <c r="B1283" s="456"/>
      <c r="C1283" s="471"/>
      <c r="D1283" s="471"/>
      <c r="E1283" s="445"/>
      <c r="F1283" s="445"/>
      <c r="G1283" s="442"/>
      <c r="H1283" s="448"/>
      <c r="I1283" s="447"/>
      <c r="J1283" s="448">
        <f t="shared" si="8"/>
        <v>12</v>
      </c>
      <c r="K1283" s="448"/>
    </row>
    <row r="1284" ht="22.5" customHeight="1">
      <c r="A1284" s="443"/>
      <c r="B1284" s="456"/>
      <c r="C1284" s="471"/>
      <c r="D1284" s="471"/>
      <c r="E1284" s="445"/>
      <c r="F1284" s="445"/>
      <c r="G1284" s="442"/>
      <c r="H1284" s="448"/>
      <c r="I1284" s="447"/>
      <c r="J1284" s="448">
        <f t="shared" si="8"/>
        <v>12</v>
      </c>
      <c r="K1284" s="448"/>
    </row>
    <row r="1285" ht="22.5" customHeight="1">
      <c r="A1285" s="443"/>
      <c r="B1285" s="456"/>
      <c r="C1285" s="471"/>
      <c r="D1285" s="471"/>
      <c r="E1285" s="495"/>
      <c r="F1285" s="445"/>
      <c r="G1285" s="442"/>
      <c r="H1285" s="448"/>
      <c r="I1285" s="447"/>
      <c r="J1285" s="448">
        <f t="shared" si="8"/>
        <v>12</v>
      </c>
      <c r="K1285" s="448"/>
    </row>
    <row r="1286" ht="22.5" customHeight="1">
      <c r="A1286" s="443"/>
      <c r="B1286" s="456"/>
      <c r="C1286" s="471"/>
      <c r="D1286" s="471"/>
      <c r="E1286" s="495"/>
      <c r="F1286" s="445"/>
      <c r="G1286" s="442"/>
      <c r="H1286" s="448"/>
      <c r="I1286" s="447"/>
      <c r="J1286" s="448">
        <f t="shared" si="8"/>
        <v>12</v>
      </c>
      <c r="K1286" s="448"/>
    </row>
    <row r="1287" ht="22.5" customHeight="1">
      <c r="A1287" s="443"/>
      <c r="B1287" s="456"/>
      <c r="C1287" s="471"/>
      <c r="D1287" s="471"/>
      <c r="E1287" s="495"/>
      <c r="F1287" s="445"/>
      <c r="G1287" s="442"/>
      <c r="H1287" s="448"/>
      <c r="I1287" s="447"/>
      <c r="J1287" s="448">
        <f t="shared" si="8"/>
        <v>12</v>
      </c>
      <c r="K1287" s="448"/>
    </row>
    <row r="1288" ht="22.5" customHeight="1">
      <c r="A1288" s="443"/>
      <c r="B1288" s="456"/>
      <c r="C1288" s="471"/>
      <c r="D1288" s="471"/>
      <c r="E1288" s="495"/>
      <c r="F1288" s="445"/>
      <c r="G1288" s="442"/>
      <c r="H1288" s="448"/>
      <c r="I1288" s="447"/>
      <c r="J1288" s="448">
        <f t="shared" si="8"/>
        <v>12</v>
      </c>
      <c r="K1288" s="448"/>
    </row>
    <row r="1289" ht="22.5" customHeight="1">
      <c r="A1289" s="443"/>
      <c r="B1289" s="456"/>
      <c r="C1289" s="471"/>
      <c r="D1289" s="471"/>
      <c r="E1289" s="496"/>
      <c r="F1289" s="445"/>
      <c r="G1289" s="442"/>
      <c r="H1289" s="448"/>
      <c r="I1289" s="447"/>
      <c r="J1289" s="448">
        <f t="shared" si="8"/>
        <v>12</v>
      </c>
      <c r="K1289" s="448"/>
    </row>
    <row r="1290" ht="22.5" customHeight="1">
      <c r="A1290" s="443"/>
      <c r="B1290" s="456"/>
      <c r="C1290" s="471"/>
      <c r="D1290" s="471"/>
      <c r="E1290" s="495"/>
      <c r="F1290" s="445"/>
      <c r="G1290" s="442"/>
      <c r="H1290" s="448"/>
      <c r="I1290" s="447"/>
      <c r="J1290" s="448">
        <f t="shared" si="8"/>
        <v>12</v>
      </c>
      <c r="K1290" s="448"/>
    </row>
    <row r="1291" ht="22.5" customHeight="1">
      <c r="A1291" s="443"/>
      <c r="B1291" s="456"/>
      <c r="C1291" s="471"/>
      <c r="D1291" s="471"/>
      <c r="E1291" s="445"/>
      <c r="F1291" s="445"/>
      <c r="G1291" s="442"/>
      <c r="H1291" s="448"/>
      <c r="I1291" s="447"/>
      <c r="J1291" s="448">
        <f t="shared" si="8"/>
        <v>12</v>
      </c>
      <c r="K1291" s="448"/>
    </row>
    <row r="1292" ht="22.5" customHeight="1">
      <c r="A1292" s="443"/>
      <c r="B1292" s="456"/>
      <c r="C1292" s="471"/>
      <c r="D1292" s="471"/>
      <c r="E1292" s="445"/>
      <c r="F1292" s="445"/>
      <c r="G1292" s="442"/>
      <c r="H1292" s="448"/>
      <c r="I1292" s="447"/>
      <c r="J1292" s="448">
        <f t="shared" si="8"/>
        <v>12</v>
      </c>
      <c r="K1292" s="448"/>
    </row>
    <row r="1293" ht="22.5" customHeight="1">
      <c r="A1293" s="443"/>
      <c r="B1293" s="456"/>
      <c r="C1293" s="471"/>
      <c r="D1293" s="471"/>
      <c r="E1293" s="445"/>
      <c r="F1293" s="445"/>
      <c r="G1293" s="442"/>
      <c r="H1293" s="448"/>
      <c r="I1293" s="447"/>
      <c r="J1293" s="448">
        <f t="shared" si="8"/>
        <v>12</v>
      </c>
      <c r="K1293" s="448"/>
    </row>
    <row r="1294" ht="22.5" customHeight="1">
      <c r="A1294" s="443"/>
      <c r="B1294" s="456"/>
      <c r="C1294" s="471"/>
      <c r="D1294" s="471"/>
      <c r="E1294" s="445"/>
      <c r="F1294" s="445"/>
      <c r="G1294" s="442"/>
      <c r="H1294" s="448"/>
      <c r="I1294" s="447"/>
      <c r="J1294" s="448">
        <f t="shared" si="8"/>
        <v>12</v>
      </c>
      <c r="K1294" s="448"/>
    </row>
    <row r="1295" ht="22.5" customHeight="1">
      <c r="A1295" s="443"/>
      <c r="B1295" s="456"/>
      <c r="C1295" s="471"/>
      <c r="D1295" s="471"/>
      <c r="E1295" s="445"/>
      <c r="F1295" s="445"/>
      <c r="G1295" s="442"/>
      <c r="H1295" s="448"/>
      <c r="I1295" s="447"/>
      <c r="J1295" s="448">
        <f t="shared" si="8"/>
        <v>12</v>
      </c>
      <c r="K1295" s="448"/>
    </row>
    <row r="1296" ht="22.5" customHeight="1">
      <c r="A1296" s="443"/>
      <c r="B1296" s="456"/>
      <c r="C1296" s="471"/>
      <c r="D1296" s="471"/>
      <c r="E1296" s="445"/>
      <c r="F1296" s="445"/>
      <c r="G1296" s="442"/>
      <c r="H1296" s="448"/>
      <c r="I1296" s="447"/>
      <c r="J1296" s="448">
        <f t="shared" si="8"/>
        <v>12</v>
      </c>
      <c r="K1296" s="448"/>
    </row>
    <row r="1297" ht="22.5" customHeight="1">
      <c r="A1297" s="443"/>
      <c r="B1297" s="456"/>
      <c r="C1297" s="471"/>
      <c r="D1297" s="471"/>
      <c r="E1297" s="445"/>
      <c r="F1297" s="445"/>
      <c r="G1297" s="442"/>
      <c r="H1297" s="448"/>
      <c r="I1297" s="447"/>
      <c r="J1297" s="448">
        <f t="shared" si="8"/>
        <v>12</v>
      </c>
      <c r="K1297" s="448"/>
    </row>
    <row r="1298" ht="22.5" customHeight="1">
      <c r="A1298" s="443"/>
      <c r="B1298" s="456"/>
      <c r="C1298" s="471"/>
      <c r="D1298" s="471"/>
      <c r="E1298" s="445"/>
      <c r="F1298" s="445"/>
      <c r="G1298" s="442"/>
      <c r="H1298" s="448"/>
      <c r="I1298" s="447"/>
      <c r="J1298" s="448">
        <f t="shared" si="8"/>
        <v>12</v>
      </c>
      <c r="K1298" s="448"/>
    </row>
    <row r="1299" ht="22.5" customHeight="1">
      <c r="A1299" s="443"/>
      <c r="B1299" s="456"/>
      <c r="C1299" s="471"/>
      <c r="D1299" s="471"/>
      <c r="E1299" s="445"/>
      <c r="F1299" s="445"/>
      <c r="G1299" s="442"/>
      <c r="H1299" s="448"/>
      <c r="I1299" s="447"/>
      <c r="J1299" s="448">
        <f t="shared" si="8"/>
        <v>12</v>
      </c>
      <c r="K1299" s="448"/>
    </row>
    <row r="1300" ht="22.5" customHeight="1">
      <c r="A1300" s="443"/>
      <c r="B1300" s="456"/>
      <c r="C1300" s="471"/>
      <c r="D1300" s="471"/>
      <c r="E1300" s="445"/>
      <c r="F1300" s="445"/>
      <c r="G1300" s="442"/>
      <c r="H1300" s="448"/>
      <c r="I1300" s="447"/>
      <c r="J1300" s="448">
        <f t="shared" si="8"/>
        <v>12</v>
      </c>
      <c r="K1300" s="448"/>
    </row>
    <row r="1301" ht="22.5" customHeight="1">
      <c r="A1301" s="443"/>
      <c r="B1301" s="456"/>
      <c r="C1301" s="471"/>
      <c r="D1301" s="471"/>
      <c r="E1301" s="445"/>
      <c r="F1301" s="445"/>
      <c r="G1301" s="442"/>
      <c r="H1301" s="448"/>
      <c r="I1301" s="447"/>
      <c r="J1301" s="448">
        <f t="shared" si="8"/>
        <v>12</v>
      </c>
      <c r="K1301" s="448"/>
    </row>
    <row r="1302" ht="22.5" customHeight="1">
      <c r="A1302" s="443"/>
      <c r="B1302" s="456"/>
      <c r="C1302" s="471"/>
      <c r="D1302" s="471"/>
      <c r="E1302" s="445"/>
      <c r="F1302" s="445"/>
      <c r="G1302" s="442"/>
      <c r="H1302" s="448"/>
      <c r="I1302" s="447"/>
      <c r="J1302" s="448">
        <f t="shared" si="8"/>
        <v>12</v>
      </c>
      <c r="K1302" s="448"/>
    </row>
    <row r="1303" ht="22.5" customHeight="1">
      <c r="A1303" s="443"/>
      <c r="B1303" s="456"/>
      <c r="C1303" s="471"/>
      <c r="D1303" s="471"/>
      <c r="E1303" s="445"/>
      <c r="F1303" s="445"/>
      <c r="G1303" s="442"/>
      <c r="H1303" s="448"/>
      <c r="I1303" s="447"/>
      <c r="J1303" s="448">
        <f t="shared" si="8"/>
        <v>12</v>
      </c>
      <c r="K1303" s="448"/>
    </row>
    <row r="1304" ht="22.5" customHeight="1">
      <c r="A1304" s="443"/>
      <c r="B1304" s="456"/>
      <c r="C1304" s="471"/>
      <c r="D1304" s="471"/>
      <c r="E1304" s="445"/>
      <c r="F1304" s="445"/>
      <c r="G1304" s="442"/>
      <c r="H1304" s="448" t="s">
        <v>2680</v>
      </c>
      <c r="I1304" s="447"/>
      <c r="J1304" s="448">
        <f t="shared" si="8"/>
        <v>12</v>
      </c>
      <c r="K1304" s="448"/>
    </row>
    <row r="1305" ht="22.5" customHeight="1">
      <c r="A1305" s="443"/>
      <c r="B1305" s="456"/>
      <c r="C1305" s="471"/>
      <c r="D1305" s="471"/>
      <c r="E1305" s="448"/>
      <c r="F1305" s="445"/>
      <c r="G1305" s="442"/>
      <c r="H1305" s="448"/>
      <c r="I1305" s="447"/>
      <c r="J1305" s="448">
        <f t="shared" si="8"/>
        <v>12</v>
      </c>
      <c r="K1305" s="448"/>
    </row>
    <row r="1306" ht="22.5" customHeight="1">
      <c r="A1306" s="443"/>
      <c r="B1306" s="456"/>
      <c r="C1306" s="471"/>
      <c r="D1306" s="471"/>
      <c r="E1306" s="445"/>
      <c r="F1306" s="445"/>
      <c r="G1306" s="442"/>
      <c r="H1306" s="448"/>
      <c r="I1306" s="447"/>
      <c r="J1306" s="448">
        <f t="shared" si="8"/>
        <v>12</v>
      </c>
      <c r="K1306" s="448"/>
    </row>
    <row r="1307" ht="22.5" customHeight="1">
      <c r="A1307" s="443"/>
      <c r="B1307" s="456"/>
      <c r="C1307" s="471"/>
      <c r="D1307" s="471"/>
      <c r="E1307" s="445"/>
      <c r="F1307" s="445"/>
      <c r="G1307" s="442"/>
      <c r="H1307" s="448"/>
      <c r="I1307" s="447"/>
      <c r="J1307" s="448">
        <f t="shared" si="8"/>
        <v>12</v>
      </c>
      <c r="K1307" s="448"/>
    </row>
    <row r="1308" ht="22.5" customHeight="1">
      <c r="A1308" s="443"/>
      <c r="B1308" s="456"/>
      <c r="C1308" s="471"/>
      <c r="D1308" s="471"/>
      <c r="E1308" s="445"/>
      <c r="F1308" s="445"/>
      <c r="G1308" s="442"/>
      <c r="H1308" s="448"/>
      <c r="I1308" s="447"/>
      <c r="J1308" s="448">
        <f t="shared" si="8"/>
        <v>12</v>
      </c>
      <c r="K1308" s="448"/>
    </row>
    <row r="1309" ht="22.5" customHeight="1">
      <c r="A1309" s="443"/>
      <c r="B1309" s="456"/>
      <c r="C1309" s="471"/>
      <c r="D1309" s="471"/>
      <c r="E1309" s="445"/>
      <c r="F1309" s="445"/>
      <c r="G1309" s="442"/>
      <c r="H1309" s="448"/>
      <c r="I1309" s="447"/>
      <c r="J1309" s="448">
        <f t="shared" si="8"/>
        <v>12</v>
      </c>
      <c r="K1309" s="448"/>
    </row>
    <row r="1310" ht="22.5" customHeight="1">
      <c r="A1310" s="443"/>
      <c r="B1310" s="456"/>
      <c r="C1310" s="471"/>
      <c r="D1310" s="471"/>
      <c r="E1310" s="445"/>
      <c r="F1310" s="445"/>
      <c r="G1310" s="442"/>
      <c r="H1310" s="448"/>
      <c r="I1310" s="447"/>
      <c r="J1310" s="448">
        <f t="shared" si="8"/>
        <v>12</v>
      </c>
      <c r="K1310" s="448"/>
    </row>
    <row r="1311" ht="22.5" customHeight="1">
      <c r="A1311" s="443"/>
      <c r="B1311" s="456"/>
      <c r="C1311" s="471"/>
      <c r="D1311" s="471"/>
      <c r="E1311" s="445"/>
      <c r="F1311" s="445"/>
      <c r="G1311" s="442"/>
      <c r="H1311" s="448"/>
      <c r="I1311" s="447"/>
      <c r="J1311" s="448">
        <f t="shared" si="8"/>
        <v>12</v>
      </c>
      <c r="K1311" s="448"/>
    </row>
    <row r="1312" ht="22.5" customHeight="1">
      <c r="A1312" s="443"/>
      <c r="B1312" s="456"/>
      <c r="C1312" s="471"/>
      <c r="D1312" s="471"/>
      <c r="E1312" s="445"/>
      <c r="F1312" s="445"/>
      <c r="G1312" s="442"/>
      <c r="H1312" s="448"/>
      <c r="I1312" s="447"/>
      <c r="J1312" s="448">
        <f t="shared" si="8"/>
        <v>12</v>
      </c>
      <c r="K1312" s="448"/>
    </row>
    <row r="1313" ht="22.5" customHeight="1">
      <c r="A1313" s="443"/>
      <c r="B1313" s="456"/>
      <c r="C1313" s="471"/>
      <c r="D1313" s="471"/>
      <c r="E1313" s="445"/>
      <c r="F1313" s="445"/>
      <c r="G1313" s="442"/>
      <c r="H1313" s="448"/>
      <c r="I1313" s="447"/>
      <c r="J1313" s="448">
        <f t="shared" si="8"/>
        <v>12</v>
      </c>
      <c r="K1313" s="448"/>
    </row>
    <row r="1314" ht="22.5" customHeight="1">
      <c r="A1314" s="443"/>
      <c r="B1314" s="456"/>
      <c r="C1314" s="471"/>
      <c r="D1314" s="471"/>
      <c r="E1314" s="445"/>
      <c r="F1314" s="445"/>
      <c r="G1314" s="442"/>
      <c r="H1314" s="448"/>
      <c r="I1314" s="447"/>
      <c r="J1314" s="448">
        <f t="shared" si="8"/>
        <v>12</v>
      </c>
      <c r="K1314" s="448"/>
    </row>
    <row r="1315" ht="22.5" customHeight="1">
      <c r="A1315" s="443"/>
      <c r="B1315" s="456"/>
      <c r="C1315" s="471"/>
      <c r="D1315" s="471"/>
      <c r="E1315" s="445"/>
      <c r="F1315" s="445"/>
      <c r="G1315" s="442"/>
      <c r="H1315" s="448"/>
      <c r="I1315" s="447"/>
      <c r="J1315" s="448">
        <f t="shared" si="8"/>
        <v>12</v>
      </c>
      <c r="K1315" s="448"/>
    </row>
    <row r="1316" ht="22.5" customHeight="1">
      <c r="A1316" s="443"/>
      <c r="B1316" s="456"/>
      <c r="C1316" s="471"/>
      <c r="D1316" s="471"/>
      <c r="E1316" s="445"/>
      <c r="F1316" s="445"/>
      <c r="G1316" s="442"/>
      <c r="H1316" s="448"/>
      <c r="I1316" s="447"/>
      <c r="J1316" s="448">
        <f t="shared" si="8"/>
        <v>12</v>
      </c>
      <c r="K1316" s="448"/>
    </row>
    <row r="1317" ht="22.5" customHeight="1">
      <c r="A1317" s="443"/>
      <c r="B1317" s="456"/>
      <c r="C1317" s="471"/>
      <c r="D1317" s="471"/>
      <c r="E1317" s="445"/>
      <c r="F1317" s="445"/>
      <c r="G1317" s="442"/>
      <c r="H1317" s="448"/>
      <c r="I1317" s="447"/>
      <c r="J1317" s="448">
        <f t="shared" si="8"/>
        <v>12</v>
      </c>
      <c r="K1317" s="448"/>
    </row>
    <row r="1318" ht="22.5" customHeight="1">
      <c r="A1318" s="443"/>
      <c r="B1318" s="456"/>
      <c r="C1318" s="471"/>
      <c r="D1318" s="471"/>
      <c r="E1318" s="445"/>
      <c r="F1318" s="445"/>
      <c r="G1318" s="442"/>
      <c r="H1318" s="448"/>
      <c r="I1318" s="447"/>
      <c r="J1318" s="448">
        <f t="shared" si="8"/>
        <v>12</v>
      </c>
      <c r="K1318" s="448"/>
    </row>
    <row r="1319" ht="22.5" customHeight="1">
      <c r="A1319" s="443"/>
      <c r="B1319" s="456"/>
      <c r="C1319" s="471"/>
      <c r="D1319" s="471"/>
      <c r="E1319" s="445"/>
      <c r="F1319" s="445"/>
      <c r="G1319" s="442"/>
      <c r="H1319" s="448"/>
      <c r="I1319" s="447"/>
      <c r="J1319" s="448">
        <f t="shared" si="8"/>
        <v>12</v>
      </c>
      <c r="K1319" s="448"/>
    </row>
    <row r="1320" ht="22.5" customHeight="1">
      <c r="A1320" s="443"/>
      <c r="B1320" s="456"/>
      <c r="C1320" s="471"/>
      <c r="D1320" s="471"/>
      <c r="E1320" s="445"/>
      <c r="F1320" s="445"/>
      <c r="G1320" s="442"/>
      <c r="H1320" s="448"/>
      <c r="I1320" s="447"/>
      <c r="J1320" s="448">
        <f t="shared" si="8"/>
        <v>12</v>
      </c>
      <c r="K1320" s="448"/>
    </row>
    <row r="1321" ht="22.5" customHeight="1">
      <c r="A1321" s="443"/>
      <c r="B1321" s="456"/>
      <c r="C1321" s="471"/>
      <c r="D1321" s="471"/>
      <c r="E1321" s="445"/>
      <c r="F1321" s="445"/>
      <c r="G1321" s="442"/>
      <c r="H1321" s="448"/>
      <c r="I1321" s="447"/>
      <c r="J1321" s="448">
        <f t="shared" si="8"/>
        <v>12</v>
      </c>
      <c r="K1321" s="448"/>
    </row>
    <row r="1322" ht="22.5" customHeight="1">
      <c r="A1322" s="443"/>
      <c r="B1322" s="456"/>
      <c r="C1322" s="471"/>
      <c r="D1322" s="471"/>
      <c r="E1322" s="445"/>
      <c r="F1322" s="445"/>
      <c r="G1322" s="442"/>
      <c r="H1322" s="448"/>
      <c r="I1322" s="447"/>
      <c r="J1322" s="448">
        <f t="shared" si="8"/>
        <v>12</v>
      </c>
      <c r="K1322" s="448"/>
    </row>
    <row r="1323" ht="22.5" customHeight="1">
      <c r="A1323" s="443"/>
      <c r="B1323" s="456"/>
      <c r="C1323" s="471"/>
      <c r="D1323" s="471"/>
      <c r="E1323" s="445"/>
      <c r="F1323" s="445"/>
      <c r="G1323" s="442"/>
      <c r="H1323" s="448"/>
      <c r="I1323" s="447"/>
      <c r="J1323" s="448">
        <f t="shared" si="8"/>
        <v>12</v>
      </c>
      <c r="K1323" s="448"/>
    </row>
    <row r="1324" ht="22.5" customHeight="1">
      <c r="A1324" s="443"/>
      <c r="B1324" s="456"/>
      <c r="C1324" s="488"/>
      <c r="D1324" s="471"/>
      <c r="E1324" s="445"/>
      <c r="F1324" s="445"/>
      <c r="G1324" s="442"/>
      <c r="H1324" s="448"/>
      <c r="I1324" s="447"/>
      <c r="J1324" s="448">
        <f t="shared" si="8"/>
        <v>12</v>
      </c>
      <c r="K1324" s="448"/>
    </row>
    <row r="1325" ht="22.5" customHeight="1">
      <c r="A1325" s="443"/>
      <c r="B1325" s="456"/>
      <c r="C1325" s="471"/>
      <c r="D1325" s="471"/>
      <c r="E1325" s="445"/>
      <c r="F1325" s="445"/>
      <c r="G1325" s="442"/>
      <c r="H1325" s="448" t="s">
        <v>2681</v>
      </c>
      <c r="I1325" s="447"/>
      <c r="J1325" s="448">
        <f t="shared" si="8"/>
        <v>12</v>
      </c>
      <c r="K1325" s="448"/>
    </row>
    <row r="1326" ht="22.5" customHeight="1">
      <c r="A1326" s="443"/>
      <c r="B1326" s="456"/>
      <c r="C1326" s="471"/>
      <c r="D1326" s="471"/>
      <c r="E1326" s="445"/>
      <c r="F1326" s="445"/>
      <c r="G1326" s="442"/>
      <c r="H1326" s="448"/>
      <c r="I1326" s="447"/>
      <c r="J1326" s="448">
        <f t="shared" si="8"/>
        <v>12</v>
      </c>
      <c r="K1326" s="448"/>
    </row>
    <row r="1327" ht="22.5" customHeight="1">
      <c r="A1327" s="443"/>
      <c r="B1327" s="456"/>
      <c r="C1327" s="471"/>
      <c r="D1327" s="471"/>
      <c r="E1327" s="445"/>
      <c r="F1327" s="445"/>
      <c r="G1327" s="442"/>
      <c r="H1327" s="448"/>
      <c r="I1327" s="447"/>
      <c r="J1327" s="448">
        <f t="shared" si="8"/>
        <v>12</v>
      </c>
      <c r="K1327" s="448"/>
    </row>
    <row r="1328" ht="22.5" customHeight="1">
      <c r="A1328" s="443"/>
      <c r="B1328" s="456"/>
      <c r="C1328" s="494"/>
      <c r="D1328" s="471"/>
      <c r="E1328" s="448"/>
      <c r="F1328" s="445"/>
      <c r="G1328" s="442"/>
      <c r="I1328" s="447"/>
      <c r="J1328" s="448">
        <f t="shared" si="8"/>
        <v>12</v>
      </c>
      <c r="K1328" s="448"/>
    </row>
    <row r="1329" ht="22.5" customHeight="1">
      <c r="A1329" s="443"/>
      <c r="B1329" s="456"/>
      <c r="C1329" s="494"/>
      <c r="D1329" s="471"/>
      <c r="E1329" s="448"/>
      <c r="F1329" s="445"/>
      <c r="G1329" s="442"/>
      <c r="I1329" s="447"/>
      <c r="J1329" s="448">
        <f t="shared" si="8"/>
        <v>12</v>
      </c>
      <c r="K1329" s="448"/>
    </row>
    <row r="1330" ht="22.5" customHeight="1">
      <c r="A1330" s="443"/>
      <c r="B1330" s="456"/>
      <c r="C1330" s="494"/>
      <c r="D1330" s="471"/>
      <c r="E1330" s="448"/>
      <c r="G1330" s="442"/>
      <c r="I1330" s="447"/>
      <c r="J1330" s="448">
        <f t="shared" si="8"/>
        <v>12</v>
      </c>
      <c r="K1330" s="448"/>
    </row>
    <row r="1331" ht="22.5" customHeight="1">
      <c r="A1331" s="443"/>
      <c r="B1331" s="456"/>
      <c r="C1331" s="471"/>
      <c r="D1331" s="471"/>
      <c r="E1331" s="445"/>
      <c r="F1331" s="445"/>
      <c r="G1331" s="442"/>
      <c r="H1331" s="448"/>
      <c r="I1331" s="447"/>
      <c r="J1331" s="448">
        <f t="shared" si="8"/>
        <v>12</v>
      </c>
      <c r="K1331" s="448"/>
    </row>
    <row r="1332" ht="22.5" customHeight="1">
      <c r="A1332" s="443"/>
      <c r="B1332" s="456"/>
      <c r="C1332" s="471"/>
      <c r="D1332" s="471"/>
      <c r="E1332" s="445"/>
      <c r="F1332" s="445"/>
      <c r="G1332" s="442"/>
      <c r="H1332" s="448"/>
      <c r="I1332" s="447"/>
      <c r="J1332" s="448">
        <f t="shared" si="8"/>
        <v>12</v>
      </c>
      <c r="K1332" s="448"/>
    </row>
    <row r="1333" ht="22.5" customHeight="1">
      <c r="A1333" s="443"/>
      <c r="B1333" s="456"/>
      <c r="C1333" s="471"/>
      <c r="D1333" s="471"/>
      <c r="E1333" s="445"/>
      <c r="F1333" s="445"/>
      <c r="G1333" s="442"/>
      <c r="H1333" s="448"/>
      <c r="I1333" s="447"/>
      <c r="J1333" s="448">
        <f t="shared" si="8"/>
        <v>12</v>
      </c>
      <c r="K1333" s="448"/>
    </row>
    <row r="1334" ht="22.5" customHeight="1">
      <c r="A1334" s="443"/>
      <c r="B1334" s="456"/>
      <c r="C1334" s="471"/>
      <c r="D1334" s="471"/>
      <c r="E1334" s="445"/>
      <c r="F1334" s="445"/>
      <c r="G1334" s="442"/>
      <c r="H1334" s="448"/>
      <c r="I1334" s="447"/>
      <c r="J1334" s="448">
        <f t="shared" si="8"/>
        <v>12</v>
      </c>
      <c r="K1334" s="448"/>
    </row>
    <row r="1335" ht="22.5" customHeight="1">
      <c r="A1335" s="443"/>
      <c r="B1335" s="456"/>
      <c r="C1335" s="471"/>
      <c r="D1335" s="471"/>
      <c r="E1335" s="442"/>
      <c r="F1335" s="445"/>
      <c r="G1335" s="442"/>
      <c r="H1335" s="448"/>
      <c r="I1335" s="447"/>
      <c r="J1335" s="448">
        <f t="shared" si="8"/>
        <v>12</v>
      </c>
      <c r="K1335" s="448"/>
    </row>
    <row r="1336" ht="22.5" customHeight="1">
      <c r="A1336" s="443"/>
      <c r="B1336" s="456"/>
      <c r="C1336" s="471"/>
      <c r="D1336" s="471"/>
      <c r="E1336" s="448"/>
      <c r="F1336" s="445"/>
      <c r="G1336" s="442"/>
      <c r="H1336" s="448"/>
      <c r="I1336" s="447"/>
      <c r="J1336" s="448">
        <f t="shared" si="8"/>
        <v>12</v>
      </c>
      <c r="K1336" s="448"/>
    </row>
    <row r="1337" ht="22.5" customHeight="1">
      <c r="A1337" s="443"/>
      <c r="B1337" s="456"/>
      <c r="C1337" s="471"/>
      <c r="D1337" s="471"/>
      <c r="E1337" s="445"/>
      <c r="F1337" s="445"/>
      <c r="G1337" s="442"/>
      <c r="H1337" s="448"/>
      <c r="I1337" s="447"/>
      <c r="J1337" s="448">
        <f t="shared" si="8"/>
        <v>12</v>
      </c>
      <c r="K1337" s="448"/>
    </row>
    <row r="1338" ht="22.5" customHeight="1">
      <c r="A1338" s="443"/>
      <c r="B1338" s="456"/>
      <c r="C1338" s="471"/>
      <c r="D1338" s="471"/>
      <c r="E1338" s="445"/>
      <c r="F1338" s="445"/>
      <c r="G1338" s="442"/>
      <c r="H1338" s="448"/>
      <c r="I1338" s="447"/>
      <c r="J1338" s="448">
        <f t="shared" si="8"/>
        <v>12</v>
      </c>
      <c r="K1338" s="448"/>
    </row>
    <row r="1339" ht="22.5" customHeight="1">
      <c r="A1339" s="443"/>
      <c r="B1339" s="456"/>
      <c r="C1339" s="471"/>
      <c r="D1339" s="471"/>
      <c r="E1339" s="445"/>
      <c r="F1339" s="445"/>
      <c r="G1339" s="442"/>
      <c r="H1339" s="448"/>
      <c r="I1339" s="447"/>
      <c r="J1339" s="448">
        <f t="shared" si="8"/>
        <v>12</v>
      </c>
      <c r="K1339" s="448"/>
    </row>
    <row r="1340" ht="22.5" customHeight="1">
      <c r="A1340" s="443"/>
      <c r="B1340" s="456"/>
      <c r="C1340" s="471"/>
      <c r="D1340" s="471"/>
      <c r="E1340" s="445"/>
      <c r="F1340" s="445"/>
      <c r="G1340" s="442"/>
      <c r="H1340" s="448"/>
      <c r="I1340" s="447"/>
      <c r="J1340" s="448">
        <f t="shared" si="8"/>
        <v>12</v>
      </c>
      <c r="K1340" s="448"/>
    </row>
    <row r="1341" ht="22.5" customHeight="1">
      <c r="A1341" s="443"/>
      <c r="B1341" s="456"/>
      <c r="C1341" s="471"/>
      <c r="D1341" s="471"/>
      <c r="E1341" s="445"/>
      <c r="F1341" s="445"/>
      <c r="G1341" s="442"/>
      <c r="H1341" s="448"/>
      <c r="I1341" s="447"/>
      <c r="J1341" s="448">
        <f t="shared" si="8"/>
        <v>12</v>
      </c>
      <c r="K1341" s="448"/>
    </row>
    <row r="1342" ht="22.5" customHeight="1">
      <c r="A1342" s="443"/>
      <c r="B1342" s="456"/>
      <c r="C1342" s="471"/>
      <c r="D1342" s="471"/>
      <c r="E1342" s="445"/>
      <c r="F1342" s="445"/>
      <c r="G1342" s="442"/>
      <c r="H1342" s="448"/>
      <c r="I1342" s="447"/>
      <c r="J1342" s="448">
        <f t="shared" si="8"/>
        <v>12</v>
      </c>
      <c r="K1342" s="448"/>
    </row>
    <row r="1343" ht="22.5" customHeight="1">
      <c r="A1343" s="443"/>
      <c r="B1343" s="456"/>
      <c r="C1343" s="471"/>
      <c r="D1343" s="471"/>
      <c r="E1343" s="445"/>
      <c r="F1343" s="445"/>
      <c r="G1343" s="442"/>
      <c r="H1343" s="448"/>
      <c r="I1343" s="447"/>
      <c r="J1343" s="448">
        <f t="shared" si="8"/>
        <v>12</v>
      </c>
      <c r="K1343" s="448"/>
    </row>
    <row r="1344" ht="22.5" customHeight="1">
      <c r="A1344" s="443"/>
      <c r="B1344" s="456"/>
      <c r="C1344" s="471"/>
      <c r="D1344" s="471"/>
      <c r="E1344" s="445"/>
      <c r="F1344" s="445"/>
      <c r="G1344" s="442"/>
      <c r="H1344" s="448"/>
      <c r="I1344" s="447"/>
      <c r="J1344" s="448">
        <f t="shared" si="8"/>
        <v>12</v>
      </c>
      <c r="K1344" s="448"/>
    </row>
    <row r="1345" ht="22.5" customHeight="1">
      <c r="A1345" s="443"/>
      <c r="B1345" s="456"/>
      <c r="C1345" s="471"/>
      <c r="D1345" s="471"/>
      <c r="E1345" s="445"/>
      <c r="F1345" s="445"/>
      <c r="G1345" s="442"/>
      <c r="H1345" s="448"/>
      <c r="I1345" s="447"/>
      <c r="J1345" s="448">
        <f t="shared" si="8"/>
        <v>12</v>
      </c>
      <c r="K1345" s="448"/>
    </row>
    <row r="1346" ht="22.5" customHeight="1">
      <c r="A1346" s="443"/>
      <c r="B1346" s="456"/>
      <c r="C1346" s="471"/>
      <c r="D1346" s="471"/>
      <c r="E1346" s="445"/>
      <c r="F1346" s="445"/>
      <c r="G1346" s="442"/>
      <c r="H1346" s="448"/>
      <c r="I1346" s="447"/>
      <c r="J1346" s="448">
        <f t="shared" si="8"/>
        <v>12</v>
      </c>
      <c r="K1346" s="448"/>
    </row>
    <row r="1347" ht="22.5" customHeight="1">
      <c r="A1347" s="443"/>
      <c r="B1347" s="456"/>
      <c r="C1347" s="471"/>
      <c r="D1347" s="471"/>
      <c r="E1347" s="445"/>
      <c r="F1347" s="445"/>
      <c r="G1347" s="442"/>
      <c r="H1347" s="448"/>
      <c r="I1347" s="447"/>
      <c r="J1347" s="448">
        <f t="shared" si="8"/>
        <v>12</v>
      </c>
      <c r="K1347" s="448"/>
    </row>
    <row r="1348" ht="22.5" customHeight="1">
      <c r="A1348" s="443"/>
      <c r="B1348" s="456"/>
      <c r="C1348" s="471"/>
      <c r="D1348" s="471"/>
      <c r="E1348" s="445"/>
      <c r="F1348" s="445"/>
      <c r="G1348" s="442"/>
      <c r="H1348" s="448"/>
      <c r="I1348" s="447"/>
      <c r="J1348" s="448">
        <f t="shared" si="8"/>
        <v>12</v>
      </c>
      <c r="K1348" s="448"/>
    </row>
    <row r="1349" ht="22.5" customHeight="1">
      <c r="A1349" s="443"/>
      <c r="B1349" s="456"/>
      <c r="C1349" s="471"/>
      <c r="D1349" s="471"/>
      <c r="E1349" s="445"/>
      <c r="F1349" s="445"/>
      <c r="G1349" s="442"/>
      <c r="H1349" s="448"/>
      <c r="I1349" s="447"/>
      <c r="J1349" s="448">
        <f t="shared" si="8"/>
        <v>12</v>
      </c>
      <c r="K1349" s="448"/>
    </row>
    <row r="1350" ht="22.5" customHeight="1">
      <c r="A1350" s="443"/>
      <c r="B1350" s="456"/>
      <c r="C1350" s="471"/>
      <c r="D1350" s="471"/>
      <c r="E1350" s="445"/>
      <c r="F1350" s="445"/>
      <c r="G1350" s="442"/>
      <c r="H1350" s="448"/>
      <c r="I1350" s="447"/>
      <c r="J1350" s="448">
        <f t="shared" si="8"/>
        <v>12</v>
      </c>
      <c r="K1350" s="448"/>
    </row>
    <row r="1351" ht="22.5" customHeight="1">
      <c r="A1351" s="443"/>
      <c r="B1351" s="456"/>
      <c r="C1351" s="471"/>
      <c r="D1351" s="471"/>
      <c r="E1351" s="445"/>
      <c r="F1351" s="445"/>
      <c r="G1351" s="442"/>
      <c r="H1351" s="448"/>
      <c r="I1351" s="447"/>
      <c r="J1351" s="448">
        <f t="shared" si="8"/>
        <v>12</v>
      </c>
      <c r="K1351" s="448"/>
    </row>
    <row r="1352" ht="22.5" customHeight="1">
      <c r="A1352" s="443"/>
      <c r="B1352" s="456"/>
      <c r="C1352" s="471"/>
      <c r="D1352" s="471"/>
      <c r="E1352" s="445"/>
      <c r="F1352" s="445"/>
      <c r="G1352" s="442"/>
      <c r="H1352" s="448"/>
      <c r="I1352" s="447"/>
      <c r="J1352" s="448">
        <f t="shared" si="8"/>
        <v>12</v>
      </c>
      <c r="K1352" s="448"/>
    </row>
    <row r="1353" ht="22.5" customHeight="1">
      <c r="A1353" s="443"/>
      <c r="B1353" s="456"/>
      <c r="C1353" s="471"/>
      <c r="D1353" s="471"/>
      <c r="E1353" s="445"/>
      <c r="F1353" s="445"/>
      <c r="G1353" s="442"/>
      <c r="H1353" s="448"/>
      <c r="I1353" s="447"/>
      <c r="J1353" s="448">
        <f t="shared" si="8"/>
        <v>12</v>
      </c>
      <c r="K1353" s="448"/>
    </row>
    <row r="1354" ht="22.5" customHeight="1">
      <c r="A1354" s="443"/>
      <c r="B1354" s="456"/>
      <c r="C1354" s="471"/>
      <c r="D1354" s="471"/>
      <c r="E1354" s="445"/>
      <c r="F1354" s="445"/>
      <c r="G1354" s="442"/>
      <c r="H1354" s="448"/>
      <c r="I1354" s="447"/>
      <c r="J1354" s="448">
        <f t="shared" si="8"/>
        <v>12</v>
      </c>
      <c r="K1354" s="448"/>
    </row>
    <row r="1355" ht="22.5" customHeight="1">
      <c r="A1355" s="443"/>
      <c r="B1355" s="456"/>
      <c r="C1355" s="471"/>
      <c r="D1355" s="471"/>
      <c r="E1355" s="445"/>
      <c r="F1355" s="445"/>
      <c r="G1355" s="442"/>
      <c r="H1355" s="448"/>
      <c r="I1355" s="447"/>
      <c r="J1355" s="448">
        <f t="shared" si="8"/>
        <v>12</v>
      </c>
      <c r="K1355" s="448"/>
    </row>
    <row r="1356" ht="22.5" customHeight="1">
      <c r="A1356" s="443"/>
      <c r="B1356" s="456"/>
      <c r="C1356" s="471"/>
      <c r="D1356" s="471"/>
      <c r="E1356" s="445"/>
      <c r="F1356" s="445"/>
      <c r="G1356" s="442"/>
      <c r="H1356" s="448"/>
      <c r="I1356" s="447"/>
      <c r="J1356" s="448">
        <f t="shared" si="8"/>
        <v>12</v>
      </c>
      <c r="K1356" s="448"/>
    </row>
    <row r="1357" ht="22.5" customHeight="1">
      <c r="A1357" s="443"/>
      <c r="B1357" s="456"/>
      <c r="C1357" s="471"/>
      <c r="D1357" s="471"/>
      <c r="E1357" s="445"/>
      <c r="F1357" s="445"/>
      <c r="G1357" s="442"/>
      <c r="H1357" s="448"/>
      <c r="I1357" s="447"/>
      <c r="J1357" s="448">
        <f t="shared" si="8"/>
        <v>12</v>
      </c>
      <c r="K1357" s="448"/>
    </row>
    <row r="1358" ht="22.5" customHeight="1">
      <c r="A1358" s="443"/>
      <c r="B1358" s="456"/>
      <c r="C1358" s="471"/>
      <c r="D1358" s="471"/>
      <c r="E1358" s="445"/>
      <c r="F1358" s="445"/>
      <c r="G1358" s="442"/>
      <c r="H1358" s="448"/>
      <c r="I1358" s="447"/>
      <c r="J1358" s="448">
        <f t="shared" si="8"/>
        <v>12</v>
      </c>
      <c r="K1358" s="448"/>
    </row>
    <row r="1359" ht="22.5" customHeight="1">
      <c r="A1359" s="443"/>
      <c r="B1359" s="456"/>
      <c r="C1359" s="471"/>
      <c r="D1359" s="471"/>
      <c r="E1359" s="445"/>
      <c r="F1359" s="445"/>
      <c r="G1359" s="442"/>
      <c r="H1359" s="448"/>
      <c r="I1359" s="447"/>
      <c r="J1359" s="448">
        <f t="shared" si="8"/>
        <v>12</v>
      </c>
      <c r="K1359" s="448"/>
    </row>
    <row r="1360" ht="22.5" customHeight="1">
      <c r="A1360" s="443"/>
      <c r="B1360" s="456"/>
      <c r="C1360" s="471"/>
      <c r="D1360" s="471"/>
      <c r="E1360" s="445"/>
      <c r="F1360" s="445"/>
      <c r="G1360" s="442"/>
      <c r="H1360" s="448"/>
      <c r="I1360" s="447"/>
      <c r="J1360" s="448">
        <f t="shared" si="8"/>
        <v>12</v>
      </c>
      <c r="K1360" s="448"/>
    </row>
    <row r="1361" ht="22.5" customHeight="1">
      <c r="A1361" s="443"/>
      <c r="B1361" s="456"/>
      <c r="C1361" s="471"/>
      <c r="D1361" s="471"/>
      <c r="E1361" s="445"/>
      <c r="F1361" s="445"/>
      <c r="G1361" s="442"/>
      <c r="H1361" s="448"/>
      <c r="I1361" s="447"/>
      <c r="J1361" s="448">
        <f t="shared" si="8"/>
        <v>12</v>
      </c>
      <c r="K1361" s="448"/>
    </row>
    <row r="1362" ht="22.5" customHeight="1">
      <c r="A1362" s="443"/>
      <c r="B1362" s="456"/>
      <c r="C1362" s="471"/>
      <c r="D1362" s="471"/>
      <c r="E1362" s="445"/>
      <c r="F1362" s="445"/>
      <c r="G1362" s="442"/>
      <c r="H1362" s="448"/>
      <c r="I1362" s="447"/>
      <c r="J1362" s="448">
        <f t="shared" si="8"/>
        <v>12</v>
      </c>
      <c r="K1362" s="448"/>
    </row>
    <row r="1363" ht="22.5" customHeight="1">
      <c r="A1363" s="443"/>
      <c r="B1363" s="456"/>
      <c r="C1363" s="471"/>
      <c r="D1363" s="471"/>
      <c r="E1363" s="445"/>
      <c r="F1363" s="445"/>
      <c r="G1363" s="442"/>
      <c r="H1363" s="448"/>
      <c r="I1363" s="447"/>
      <c r="J1363" s="448">
        <f t="shared" si="8"/>
        <v>12</v>
      </c>
      <c r="K1363" s="448"/>
    </row>
    <row r="1364" ht="22.5" customHeight="1">
      <c r="A1364" s="443"/>
      <c r="B1364" s="456"/>
      <c r="C1364" s="471"/>
      <c r="D1364" s="471"/>
      <c r="E1364" s="445"/>
      <c r="F1364" s="445"/>
      <c r="G1364" s="442"/>
      <c r="H1364" s="448"/>
      <c r="I1364" s="447"/>
      <c r="J1364" s="448">
        <f t="shared" si="8"/>
        <v>12</v>
      </c>
      <c r="K1364" s="448"/>
    </row>
    <row r="1365" ht="22.5" customHeight="1">
      <c r="A1365" s="443"/>
      <c r="B1365" s="456"/>
      <c r="C1365" s="471"/>
      <c r="D1365" s="471"/>
      <c r="E1365" s="445"/>
      <c r="F1365" s="445"/>
      <c r="G1365" s="442"/>
      <c r="H1365" s="448"/>
      <c r="I1365" s="447"/>
      <c r="J1365" s="448">
        <f t="shared" si="8"/>
        <v>12</v>
      </c>
      <c r="K1365" s="448"/>
    </row>
    <row r="1366" ht="22.5" customHeight="1">
      <c r="A1366" s="443"/>
      <c r="B1366" s="456"/>
      <c r="C1366" s="471"/>
      <c r="D1366" s="471"/>
      <c r="E1366" s="445"/>
      <c r="F1366" s="445"/>
      <c r="G1366" s="442"/>
      <c r="H1366" s="448"/>
      <c r="I1366" s="447"/>
      <c r="J1366" s="448">
        <f t="shared" si="8"/>
        <v>12</v>
      </c>
      <c r="K1366" s="448"/>
    </row>
    <row r="1367" ht="22.5" customHeight="1">
      <c r="A1367" s="443"/>
      <c r="B1367" s="456"/>
      <c r="C1367" s="471"/>
      <c r="D1367" s="471"/>
      <c r="E1367" s="445"/>
      <c r="F1367" s="445"/>
      <c r="G1367" s="442"/>
      <c r="H1367" s="448"/>
      <c r="I1367" s="447"/>
      <c r="J1367" s="448">
        <f t="shared" si="8"/>
        <v>12</v>
      </c>
      <c r="K1367" s="448"/>
    </row>
    <row r="1368" ht="22.5" customHeight="1">
      <c r="A1368" s="443"/>
      <c r="B1368" s="456"/>
      <c r="C1368" s="471"/>
      <c r="D1368" s="471"/>
      <c r="E1368" s="445"/>
      <c r="F1368" s="445"/>
      <c r="G1368" s="442"/>
      <c r="H1368" s="448"/>
      <c r="I1368" s="447"/>
      <c r="J1368" s="448">
        <f t="shared" si="8"/>
        <v>12</v>
      </c>
      <c r="K1368" s="448"/>
    </row>
    <row r="1369" ht="22.5" customHeight="1">
      <c r="A1369" s="443"/>
      <c r="B1369" s="456"/>
      <c r="C1369" s="471"/>
      <c r="D1369" s="471"/>
      <c r="E1369" s="445"/>
      <c r="F1369" s="445"/>
      <c r="G1369" s="442"/>
      <c r="H1369" s="448"/>
      <c r="I1369" s="447"/>
      <c r="J1369" s="448">
        <f t="shared" si="8"/>
        <v>12</v>
      </c>
      <c r="K1369" s="448"/>
    </row>
    <row r="1370" ht="22.5" customHeight="1">
      <c r="A1370" s="443"/>
      <c r="B1370" s="456"/>
      <c r="C1370" s="471"/>
      <c r="D1370" s="471"/>
      <c r="E1370" s="445"/>
      <c r="F1370" s="445"/>
      <c r="G1370" s="442"/>
      <c r="H1370" s="448"/>
      <c r="I1370" s="447"/>
      <c r="J1370" s="448">
        <f t="shared" si="8"/>
        <v>12</v>
      </c>
      <c r="K1370" s="448"/>
    </row>
    <row r="1371" ht="22.5" customHeight="1">
      <c r="A1371" s="443"/>
      <c r="B1371" s="456"/>
      <c r="C1371" s="471"/>
      <c r="D1371" s="471"/>
      <c r="E1371" s="445"/>
      <c r="F1371" s="445"/>
      <c r="G1371" s="442"/>
      <c r="H1371" s="448"/>
      <c r="I1371" s="447"/>
      <c r="J1371" s="448">
        <f t="shared" si="8"/>
        <v>12</v>
      </c>
      <c r="K1371" s="448"/>
    </row>
    <row r="1372" ht="22.5" customHeight="1">
      <c r="A1372" s="443"/>
      <c r="B1372" s="456"/>
      <c r="C1372" s="471"/>
      <c r="D1372" s="471"/>
      <c r="E1372" s="445"/>
      <c r="F1372" s="445"/>
      <c r="G1372" s="442"/>
      <c r="H1372" s="448"/>
      <c r="I1372" s="447"/>
      <c r="J1372" s="448">
        <f t="shared" si="8"/>
        <v>12</v>
      </c>
      <c r="K1372" s="448"/>
    </row>
    <row r="1373" ht="22.5" customHeight="1">
      <c r="A1373" s="443"/>
      <c r="B1373" s="456"/>
      <c r="C1373" s="471"/>
      <c r="D1373" s="471"/>
      <c r="E1373" s="445"/>
      <c r="F1373" s="445"/>
      <c r="G1373" s="442"/>
      <c r="H1373" s="448"/>
      <c r="I1373" s="447"/>
      <c r="J1373" s="448">
        <f t="shared" si="8"/>
        <v>12</v>
      </c>
      <c r="K1373" s="448"/>
    </row>
    <row r="1374" ht="22.5" customHeight="1">
      <c r="A1374" s="443"/>
      <c r="B1374" s="456"/>
      <c r="C1374" s="471"/>
      <c r="D1374" s="471"/>
      <c r="E1374" s="445"/>
      <c r="F1374" s="445"/>
      <c r="G1374" s="442"/>
      <c r="H1374" s="448"/>
      <c r="I1374" s="447"/>
      <c r="J1374" s="448">
        <f t="shared" si="8"/>
        <v>12</v>
      </c>
      <c r="K1374" s="448"/>
    </row>
    <row r="1375" ht="22.5" customHeight="1">
      <c r="A1375" s="443"/>
      <c r="B1375" s="456"/>
      <c r="C1375" s="471"/>
      <c r="D1375" s="471"/>
      <c r="E1375" s="445"/>
      <c r="F1375" s="445"/>
      <c r="G1375" s="442"/>
      <c r="H1375" s="448"/>
      <c r="I1375" s="447"/>
      <c r="J1375" s="448">
        <f t="shared" si="8"/>
        <v>12</v>
      </c>
      <c r="K1375" s="448"/>
    </row>
    <row r="1376" ht="22.5" customHeight="1">
      <c r="A1376" s="443"/>
      <c r="B1376" s="456"/>
      <c r="C1376" s="471"/>
      <c r="D1376" s="471"/>
      <c r="E1376" s="445"/>
      <c r="F1376" s="445"/>
      <c r="G1376" s="442"/>
      <c r="H1376" s="448"/>
      <c r="I1376" s="447"/>
      <c r="J1376" s="448">
        <f t="shared" si="8"/>
        <v>12</v>
      </c>
      <c r="K1376" s="448"/>
    </row>
    <row r="1377" ht="22.5" customHeight="1">
      <c r="A1377" s="443"/>
      <c r="B1377" s="456"/>
      <c r="C1377" s="471"/>
      <c r="D1377" s="471"/>
      <c r="E1377" s="445"/>
      <c r="F1377" s="445"/>
      <c r="G1377" s="442"/>
      <c r="H1377" s="448"/>
      <c r="I1377" s="447"/>
      <c r="J1377" s="448">
        <f t="shared" si="8"/>
        <v>12</v>
      </c>
      <c r="K1377" s="448"/>
    </row>
    <row r="1378" ht="22.5" customHeight="1">
      <c r="A1378" s="443"/>
      <c r="B1378" s="456"/>
      <c r="C1378" s="471"/>
      <c r="D1378" s="471"/>
      <c r="E1378" s="445"/>
      <c r="F1378" s="445"/>
      <c r="G1378" s="442"/>
      <c r="H1378" s="448"/>
      <c r="I1378" s="447"/>
      <c r="J1378" s="448">
        <f t="shared" si="8"/>
        <v>12</v>
      </c>
      <c r="K1378" s="448"/>
    </row>
    <row r="1379" ht="22.5" customHeight="1">
      <c r="A1379" s="443"/>
      <c r="B1379" s="456"/>
      <c r="C1379" s="471"/>
      <c r="D1379" s="471"/>
      <c r="E1379" s="445"/>
      <c r="F1379" s="445"/>
      <c r="G1379" s="442"/>
      <c r="H1379" s="448"/>
      <c r="I1379" s="447"/>
      <c r="J1379" s="448">
        <f t="shared" si="8"/>
        <v>12</v>
      </c>
      <c r="K1379" s="448"/>
    </row>
    <row r="1380" ht="22.5" customHeight="1">
      <c r="A1380" s="443"/>
      <c r="B1380" s="456"/>
      <c r="C1380" s="471"/>
      <c r="D1380" s="471"/>
      <c r="E1380" s="445"/>
      <c r="F1380" s="445"/>
      <c r="G1380" s="442"/>
      <c r="H1380" s="448"/>
      <c r="I1380" s="447"/>
      <c r="J1380" s="448">
        <f t="shared" si="8"/>
        <v>12</v>
      </c>
      <c r="K1380" s="448"/>
    </row>
    <row r="1381" ht="22.5" customHeight="1">
      <c r="A1381" s="443"/>
      <c r="B1381" s="456"/>
      <c r="C1381" s="471"/>
      <c r="D1381" s="471"/>
      <c r="E1381" s="445"/>
      <c r="F1381" s="445"/>
      <c r="G1381" s="442"/>
      <c r="H1381" s="448"/>
      <c r="I1381" s="447"/>
      <c r="J1381" s="448">
        <f t="shared" si="8"/>
        <v>12</v>
      </c>
      <c r="K1381" s="448"/>
    </row>
    <row r="1382" ht="22.5" customHeight="1">
      <c r="A1382" s="443"/>
      <c r="B1382" s="456"/>
      <c r="C1382" s="471"/>
      <c r="D1382" s="471"/>
      <c r="E1382" s="445"/>
      <c r="F1382" s="445"/>
      <c r="G1382" s="442"/>
      <c r="H1382" s="448"/>
      <c r="I1382" s="447"/>
      <c r="J1382" s="448">
        <f t="shared" si="8"/>
        <v>12</v>
      </c>
      <c r="K1382" s="448"/>
    </row>
    <row r="1383" ht="22.5" customHeight="1">
      <c r="A1383" s="443"/>
      <c r="B1383" s="456"/>
      <c r="C1383" s="471"/>
      <c r="D1383" s="471"/>
      <c r="E1383" s="445"/>
      <c r="F1383" s="445"/>
      <c r="G1383" s="442"/>
      <c r="H1383" s="448"/>
      <c r="I1383" s="447"/>
      <c r="J1383" s="448">
        <f t="shared" si="8"/>
        <v>12</v>
      </c>
      <c r="K1383" s="448"/>
    </row>
    <row r="1384" ht="22.5" customHeight="1">
      <c r="A1384" s="443"/>
      <c r="B1384" s="456"/>
      <c r="C1384" s="471"/>
      <c r="D1384" s="471"/>
      <c r="E1384" s="445"/>
      <c r="F1384" s="445"/>
      <c r="G1384" s="442"/>
      <c r="H1384" s="448"/>
      <c r="I1384" s="447"/>
      <c r="J1384" s="448">
        <f t="shared" si="8"/>
        <v>12</v>
      </c>
      <c r="K1384" s="448"/>
    </row>
    <row r="1385" ht="22.5" customHeight="1">
      <c r="A1385" s="443"/>
      <c r="B1385" s="456"/>
      <c r="C1385" s="471"/>
      <c r="D1385" s="471"/>
      <c r="E1385" s="445"/>
      <c r="F1385" s="445"/>
      <c r="G1385" s="442"/>
      <c r="H1385" s="448"/>
      <c r="I1385" s="447"/>
      <c r="J1385" s="448">
        <f t="shared" si="8"/>
        <v>12</v>
      </c>
      <c r="K1385" s="448"/>
    </row>
    <row r="1386" ht="22.5" customHeight="1">
      <c r="A1386" s="443"/>
      <c r="B1386" s="456"/>
      <c r="C1386" s="471"/>
      <c r="D1386" s="471"/>
      <c r="E1386" s="445"/>
      <c r="F1386" s="445"/>
      <c r="G1386" s="442"/>
      <c r="H1386" s="448"/>
      <c r="I1386" s="447"/>
      <c r="J1386" s="448">
        <f t="shared" si="8"/>
        <v>12</v>
      </c>
      <c r="K1386" s="448"/>
    </row>
    <row r="1387" ht="22.5" customHeight="1">
      <c r="A1387" s="443"/>
      <c r="B1387" s="456"/>
      <c r="C1387" s="471"/>
      <c r="D1387" s="471"/>
      <c r="E1387" s="445"/>
      <c r="F1387" s="445"/>
      <c r="G1387" s="442"/>
      <c r="H1387" s="448"/>
      <c r="I1387" s="447"/>
      <c r="J1387" s="448">
        <f t="shared" si="8"/>
        <v>12</v>
      </c>
      <c r="K1387" s="448"/>
    </row>
    <row r="1388" ht="22.5" customHeight="1">
      <c r="A1388" s="443"/>
      <c r="B1388" s="456"/>
      <c r="C1388" s="471"/>
      <c r="D1388" s="471"/>
      <c r="E1388" s="445"/>
      <c r="F1388" s="445"/>
      <c r="G1388" s="442"/>
      <c r="H1388" s="448"/>
      <c r="I1388" s="447"/>
      <c r="J1388" s="448">
        <f t="shared" si="8"/>
        <v>12</v>
      </c>
      <c r="K1388" s="448"/>
    </row>
    <row r="1389" ht="22.5" customHeight="1">
      <c r="A1389" s="443"/>
      <c r="B1389" s="456"/>
      <c r="C1389" s="471"/>
      <c r="D1389" s="471"/>
      <c r="E1389" s="445"/>
      <c r="F1389" s="445"/>
      <c r="G1389" s="442"/>
      <c r="H1389" s="448"/>
      <c r="I1389" s="447"/>
      <c r="J1389" s="448">
        <f t="shared" si="8"/>
        <v>12</v>
      </c>
      <c r="K1389" s="448"/>
    </row>
    <row r="1390" ht="22.5" customHeight="1">
      <c r="A1390" s="443"/>
      <c r="B1390" s="456"/>
      <c r="C1390" s="471"/>
      <c r="D1390" s="471"/>
      <c r="E1390" s="445"/>
      <c r="F1390" s="445"/>
      <c r="G1390" s="442"/>
      <c r="H1390" s="448"/>
      <c r="I1390" s="447"/>
      <c r="J1390" s="448">
        <f t="shared" si="8"/>
        <v>12</v>
      </c>
      <c r="K1390" s="448"/>
    </row>
    <row r="1391" ht="22.5" customHeight="1">
      <c r="A1391" s="443"/>
      <c r="B1391" s="456"/>
      <c r="C1391" s="471"/>
      <c r="D1391" s="471"/>
      <c r="E1391" s="445"/>
      <c r="F1391" s="445"/>
      <c r="G1391" s="442"/>
      <c r="H1391" s="448"/>
      <c r="I1391" s="447"/>
      <c r="J1391" s="448">
        <f t="shared" si="8"/>
        <v>12</v>
      </c>
      <c r="K1391" s="448"/>
    </row>
    <row r="1392" ht="22.5" customHeight="1">
      <c r="A1392" s="443"/>
      <c r="B1392" s="456"/>
      <c r="C1392" s="471"/>
      <c r="D1392" s="471"/>
      <c r="E1392" s="445"/>
      <c r="F1392" s="445"/>
      <c r="G1392" s="442"/>
      <c r="H1392" s="448"/>
      <c r="I1392" s="447"/>
      <c r="J1392" s="448">
        <f t="shared" si="8"/>
        <v>12</v>
      </c>
      <c r="K1392" s="448"/>
    </row>
    <row r="1393" ht="22.5" customHeight="1">
      <c r="A1393" s="443"/>
      <c r="B1393" s="456"/>
      <c r="C1393" s="471"/>
      <c r="D1393" s="471"/>
      <c r="E1393" s="445"/>
      <c r="F1393" s="445"/>
      <c r="G1393" s="442"/>
      <c r="H1393" s="448"/>
      <c r="I1393" s="447"/>
      <c r="J1393" s="448">
        <f t="shared" si="8"/>
        <v>12</v>
      </c>
      <c r="K1393" s="448"/>
    </row>
    <row r="1394" ht="22.5" customHeight="1">
      <c r="A1394" s="443"/>
      <c r="B1394" s="456"/>
      <c r="C1394" s="471"/>
      <c r="D1394" s="471"/>
      <c r="E1394" s="445"/>
      <c r="F1394" s="445"/>
      <c r="G1394" s="442"/>
      <c r="H1394" s="448"/>
      <c r="I1394" s="447"/>
      <c r="J1394" s="448">
        <f t="shared" si="8"/>
        <v>12</v>
      </c>
      <c r="K1394" s="448"/>
    </row>
    <row r="1395" ht="22.5" customHeight="1">
      <c r="A1395" s="443"/>
      <c r="B1395" s="456"/>
      <c r="C1395" s="471"/>
      <c r="D1395" s="471"/>
      <c r="E1395" s="445"/>
      <c r="F1395" s="445"/>
      <c r="G1395" s="442"/>
      <c r="H1395" s="448"/>
      <c r="I1395" s="447"/>
      <c r="J1395" s="448">
        <f t="shared" si="8"/>
        <v>12</v>
      </c>
      <c r="K1395" s="448"/>
    </row>
    <row r="1396" ht="22.5" customHeight="1">
      <c r="A1396" s="443"/>
      <c r="B1396" s="456"/>
      <c r="C1396" s="471"/>
      <c r="D1396" s="471"/>
      <c r="E1396" s="445"/>
      <c r="F1396" s="445"/>
      <c r="G1396" s="442"/>
      <c r="H1396" s="448"/>
      <c r="I1396" s="447"/>
      <c r="J1396" s="448">
        <f t="shared" si="8"/>
        <v>12</v>
      </c>
      <c r="K1396" s="448"/>
    </row>
    <row r="1397" ht="22.5" customHeight="1">
      <c r="A1397" s="443"/>
      <c r="B1397" s="456"/>
      <c r="C1397" s="471"/>
      <c r="D1397" s="471"/>
      <c r="E1397" s="445"/>
      <c r="F1397" s="445"/>
      <c r="G1397" s="442"/>
      <c r="H1397" s="448"/>
      <c r="I1397" s="447"/>
      <c r="J1397" s="448">
        <f t="shared" si="8"/>
        <v>12</v>
      </c>
      <c r="K1397" s="448"/>
    </row>
    <row r="1398" ht="22.5" customHeight="1">
      <c r="A1398" s="443"/>
      <c r="B1398" s="456"/>
      <c r="C1398" s="471"/>
      <c r="D1398" s="471"/>
      <c r="E1398" s="445"/>
      <c r="F1398" s="445"/>
      <c r="G1398" s="442"/>
      <c r="H1398" s="448"/>
      <c r="I1398" s="447"/>
      <c r="J1398" s="448">
        <f t="shared" si="8"/>
        <v>12</v>
      </c>
      <c r="K1398" s="448"/>
    </row>
    <row r="1399" ht="22.5" customHeight="1">
      <c r="A1399" s="443"/>
      <c r="B1399" s="456"/>
      <c r="C1399" s="471"/>
      <c r="D1399" s="471"/>
      <c r="E1399" s="445"/>
      <c r="F1399" s="445"/>
      <c r="G1399" s="442"/>
      <c r="H1399" s="448"/>
      <c r="I1399" s="447"/>
      <c r="J1399" s="448">
        <f t="shared" si="8"/>
        <v>12</v>
      </c>
      <c r="K1399" s="448"/>
    </row>
    <row r="1400" ht="22.5" customHeight="1">
      <c r="A1400" s="443"/>
      <c r="B1400" s="456"/>
      <c r="C1400" s="471"/>
      <c r="D1400" s="471"/>
      <c r="E1400" s="445"/>
      <c r="F1400" s="445"/>
      <c r="G1400" s="442"/>
      <c r="H1400" s="448"/>
      <c r="I1400" s="447"/>
      <c r="J1400" s="448">
        <f t="shared" si="8"/>
        <v>12</v>
      </c>
      <c r="K1400" s="448"/>
    </row>
    <row r="1401" ht="22.5" customHeight="1">
      <c r="A1401" s="443"/>
      <c r="B1401" s="456"/>
      <c r="C1401" s="471"/>
      <c r="D1401" s="471"/>
      <c r="E1401" s="445"/>
      <c r="F1401" s="445"/>
      <c r="G1401" s="442"/>
      <c r="H1401" s="448"/>
      <c r="I1401" s="447"/>
      <c r="J1401" s="448">
        <f t="shared" si="8"/>
        <v>12</v>
      </c>
      <c r="K1401" s="448"/>
    </row>
    <row r="1402" ht="22.5" customHeight="1">
      <c r="A1402" s="443"/>
      <c r="B1402" s="456"/>
      <c r="C1402" s="471"/>
      <c r="D1402" s="471"/>
      <c r="E1402" s="445"/>
      <c r="F1402" s="445"/>
      <c r="G1402" s="442"/>
      <c r="H1402" s="448"/>
      <c r="I1402" s="447"/>
      <c r="J1402" s="448">
        <f t="shared" si="8"/>
        <v>12</v>
      </c>
      <c r="K1402" s="448"/>
    </row>
    <row r="1403" ht="22.5" customHeight="1">
      <c r="A1403" s="443"/>
      <c r="B1403" s="456"/>
      <c r="C1403" s="471"/>
      <c r="D1403" s="471"/>
      <c r="E1403" s="445"/>
      <c r="F1403" s="445"/>
      <c r="G1403" s="442"/>
      <c r="H1403" s="448"/>
      <c r="I1403" s="447"/>
      <c r="J1403" s="448">
        <f t="shared" si="8"/>
        <v>12</v>
      </c>
      <c r="K1403" s="448"/>
    </row>
    <row r="1404" ht="22.5" customHeight="1">
      <c r="A1404" s="443"/>
      <c r="B1404" s="456"/>
      <c r="C1404" s="471"/>
      <c r="D1404" s="471"/>
      <c r="E1404" s="445"/>
      <c r="F1404" s="445"/>
      <c r="G1404" s="442"/>
      <c r="H1404" s="448"/>
      <c r="I1404" s="447"/>
      <c r="J1404" s="448">
        <f t="shared" si="8"/>
        <v>12</v>
      </c>
      <c r="K1404" s="448"/>
    </row>
    <row r="1405" ht="22.5" customHeight="1">
      <c r="A1405" s="443"/>
      <c r="B1405" s="456"/>
      <c r="C1405" s="471"/>
      <c r="D1405" s="471"/>
      <c r="E1405" s="445"/>
      <c r="F1405" s="445"/>
      <c r="G1405" s="442"/>
      <c r="H1405" s="448"/>
      <c r="I1405" s="447"/>
      <c r="J1405" s="448">
        <f t="shared" si="8"/>
        <v>12</v>
      </c>
      <c r="K1405" s="448"/>
    </row>
    <row r="1406" ht="22.5" customHeight="1">
      <c r="A1406" s="443"/>
      <c r="B1406" s="456"/>
      <c r="C1406" s="471"/>
      <c r="D1406" s="471"/>
      <c r="E1406" s="445"/>
      <c r="F1406" s="445"/>
      <c r="G1406" s="442"/>
      <c r="H1406" s="448"/>
      <c r="I1406" s="447"/>
      <c r="J1406" s="448">
        <f t="shared" si="8"/>
        <v>12</v>
      </c>
      <c r="K1406" s="448"/>
    </row>
    <row r="1407" ht="22.5" customHeight="1">
      <c r="A1407" s="443"/>
      <c r="B1407" s="456"/>
      <c r="C1407" s="471"/>
      <c r="D1407" s="471"/>
      <c r="E1407" s="445"/>
      <c r="F1407" s="445"/>
      <c r="G1407" s="442"/>
      <c r="H1407" s="448"/>
      <c r="I1407" s="447"/>
      <c r="J1407" s="448">
        <f t="shared" si="8"/>
        <v>12</v>
      </c>
      <c r="K1407" s="448"/>
    </row>
    <row r="1408" ht="22.5" customHeight="1">
      <c r="A1408" s="443"/>
      <c r="B1408" s="456"/>
      <c r="C1408" s="471"/>
      <c r="D1408" s="471"/>
      <c r="E1408" s="445"/>
      <c r="F1408" s="445"/>
      <c r="G1408" s="442"/>
      <c r="H1408" s="448"/>
      <c r="I1408" s="447"/>
      <c r="J1408" s="448">
        <f t="shared" si="8"/>
        <v>12</v>
      </c>
      <c r="K1408" s="448"/>
    </row>
    <row r="1409" ht="22.5" customHeight="1">
      <c r="A1409" s="443"/>
      <c r="B1409" s="456"/>
      <c r="C1409" s="471"/>
      <c r="D1409" s="471"/>
      <c r="E1409" s="445"/>
      <c r="F1409" s="445"/>
      <c r="G1409" s="442"/>
      <c r="H1409" s="448"/>
      <c r="I1409" s="447"/>
      <c r="J1409" s="448">
        <f t="shared" si="8"/>
        <v>12</v>
      </c>
      <c r="K1409" s="448"/>
    </row>
    <row r="1410" ht="22.5" customHeight="1">
      <c r="A1410" s="443"/>
      <c r="B1410" s="456"/>
      <c r="C1410" s="471"/>
      <c r="D1410" s="471"/>
      <c r="E1410" s="445"/>
      <c r="F1410" s="445"/>
      <c r="G1410" s="442"/>
      <c r="H1410" s="448"/>
      <c r="I1410" s="447"/>
      <c r="J1410" s="448">
        <f t="shared" si="8"/>
        <v>12</v>
      </c>
      <c r="K1410" s="448"/>
    </row>
    <row r="1411" ht="22.5" customHeight="1">
      <c r="A1411" s="443"/>
      <c r="B1411" s="456"/>
      <c r="C1411" s="471"/>
      <c r="D1411" s="471"/>
      <c r="E1411" s="445"/>
      <c r="F1411" s="445"/>
      <c r="G1411" s="442"/>
      <c r="H1411" s="448"/>
      <c r="I1411" s="447"/>
      <c r="J1411" s="448">
        <f t="shared" si="8"/>
        <v>12</v>
      </c>
      <c r="K1411" s="448"/>
    </row>
    <row r="1412" ht="22.5" customHeight="1">
      <c r="A1412" s="443"/>
      <c r="B1412" s="456"/>
      <c r="C1412" s="471"/>
      <c r="D1412" s="471"/>
      <c r="E1412" s="445"/>
      <c r="F1412" s="445"/>
      <c r="G1412" s="442"/>
      <c r="H1412" s="448"/>
      <c r="I1412" s="447"/>
      <c r="J1412" s="448">
        <f t="shared" si="8"/>
        <v>12</v>
      </c>
      <c r="K1412" s="448"/>
    </row>
    <row r="1413" ht="22.5" customHeight="1">
      <c r="A1413" s="443"/>
      <c r="B1413" s="456"/>
      <c r="C1413" s="471"/>
      <c r="D1413" s="471"/>
      <c r="E1413" s="445"/>
      <c r="F1413" s="445"/>
      <c r="G1413" s="442"/>
      <c r="H1413" s="448"/>
      <c r="I1413" s="447"/>
      <c r="J1413" s="448">
        <f t="shared" si="8"/>
        <v>12</v>
      </c>
      <c r="K1413" s="448"/>
    </row>
    <row r="1414" ht="22.5" customHeight="1">
      <c r="A1414" s="443"/>
      <c r="B1414" s="456"/>
      <c r="C1414" s="471"/>
      <c r="D1414" s="471"/>
      <c r="E1414" s="445"/>
      <c r="F1414" s="445"/>
      <c r="G1414" s="442"/>
      <c r="H1414" s="448"/>
      <c r="I1414" s="447"/>
      <c r="J1414" s="448">
        <f t="shared" si="8"/>
        <v>12</v>
      </c>
      <c r="K1414" s="448"/>
    </row>
    <row r="1415" ht="22.5" customHeight="1">
      <c r="A1415" s="443"/>
      <c r="B1415" s="456"/>
      <c r="C1415" s="471"/>
      <c r="D1415" s="471"/>
      <c r="E1415" s="445"/>
      <c r="F1415" s="445"/>
      <c r="G1415" s="442"/>
      <c r="H1415" s="448"/>
      <c r="I1415" s="447"/>
      <c r="J1415" s="448">
        <f t="shared" si="8"/>
        <v>12</v>
      </c>
      <c r="K1415" s="448"/>
    </row>
    <row r="1416" ht="22.5" customHeight="1">
      <c r="A1416" s="443"/>
      <c r="B1416" s="456"/>
      <c r="C1416" s="471"/>
      <c r="D1416" s="471"/>
      <c r="E1416" s="445"/>
      <c r="F1416" s="445"/>
      <c r="G1416" s="442"/>
      <c r="H1416" s="448"/>
      <c r="I1416" s="447"/>
      <c r="J1416" s="448">
        <f t="shared" si="8"/>
        <v>12</v>
      </c>
      <c r="K1416" s="448"/>
    </row>
    <row r="1417" ht="22.5" customHeight="1">
      <c r="A1417" s="443"/>
      <c r="B1417" s="456"/>
      <c r="C1417" s="471"/>
      <c r="D1417" s="471"/>
      <c r="E1417" s="445"/>
      <c r="F1417" s="445"/>
      <c r="G1417" s="442"/>
      <c r="H1417" s="448"/>
      <c r="I1417" s="447"/>
      <c r="J1417" s="448">
        <f t="shared" si="8"/>
        <v>12</v>
      </c>
      <c r="K1417" s="448"/>
    </row>
    <row r="1418" ht="22.5" customHeight="1">
      <c r="A1418" s="443"/>
      <c r="B1418" s="456"/>
      <c r="C1418" s="471"/>
      <c r="D1418" s="471"/>
      <c r="E1418" s="445"/>
      <c r="F1418" s="445"/>
      <c r="G1418" s="442"/>
      <c r="H1418" s="448"/>
      <c r="I1418" s="447"/>
      <c r="J1418" s="448">
        <f t="shared" si="8"/>
        <v>12</v>
      </c>
      <c r="K1418" s="448"/>
    </row>
    <row r="1419" ht="22.5" customHeight="1">
      <c r="A1419" s="443"/>
      <c r="B1419" s="456"/>
      <c r="C1419" s="471"/>
      <c r="D1419" s="471"/>
      <c r="E1419" s="445"/>
      <c r="F1419" s="445"/>
      <c r="G1419" s="442"/>
      <c r="H1419" s="448"/>
      <c r="I1419" s="447"/>
      <c r="J1419" s="448">
        <f t="shared" si="8"/>
        <v>12</v>
      </c>
      <c r="K1419" s="448"/>
    </row>
    <row r="1420" ht="22.5" customHeight="1">
      <c r="A1420" s="493"/>
      <c r="B1420" s="456"/>
      <c r="C1420" s="471"/>
      <c r="D1420" s="471"/>
      <c r="E1420" s="445"/>
      <c r="F1420" s="445"/>
      <c r="G1420" s="442"/>
      <c r="H1420" s="448"/>
      <c r="I1420" s="447"/>
      <c r="J1420" s="448">
        <f t="shared" si="8"/>
        <v>12</v>
      </c>
      <c r="K1420" s="448"/>
    </row>
    <row r="1421" ht="22.5" customHeight="1">
      <c r="A1421" s="443"/>
      <c r="B1421" s="477"/>
      <c r="C1421" s="489"/>
      <c r="D1421" s="489"/>
      <c r="E1421" s="481"/>
      <c r="F1421" s="481"/>
      <c r="G1421" s="482"/>
      <c r="H1421" s="483"/>
      <c r="I1421" s="484"/>
      <c r="J1421" s="483">
        <f t="shared" si="8"/>
        <v>12</v>
      </c>
      <c r="K1421" s="448"/>
    </row>
    <row r="1422" ht="22.5" customHeight="1">
      <c r="A1422" s="443"/>
      <c r="B1422" s="456"/>
      <c r="C1422" s="471"/>
      <c r="D1422" s="471"/>
      <c r="E1422" s="445"/>
      <c r="F1422" s="445"/>
      <c r="G1422" s="442"/>
      <c r="H1422" s="448"/>
      <c r="I1422" s="447"/>
      <c r="J1422" s="448">
        <f t="shared" si="8"/>
        <v>12</v>
      </c>
      <c r="K1422" s="448"/>
    </row>
    <row r="1423" ht="22.5" customHeight="1">
      <c r="A1423" s="443"/>
      <c r="B1423" s="456"/>
      <c r="C1423" s="471"/>
      <c r="D1423" s="471"/>
      <c r="E1423" s="445"/>
      <c r="F1423" s="445"/>
      <c r="G1423" s="442"/>
      <c r="H1423" s="448"/>
      <c r="I1423" s="447"/>
      <c r="J1423" s="448">
        <f t="shared" si="8"/>
        <v>12</v>
      </c>
      <c r="K1423" s="448"/>
    </row>
    <row r="1424" ht="22.5" customHeight="1">
      <c r="A1424" s="443"/>
      <c r="B1424" s="456"/>
      <c r="C1424" s="471"/>
      <c r="D1424" s="471"/>
      <c r="E1424" s="445"/>
      <c r="F1424" s="445"/>
      <c r="G1424" s="442"/>
      <c r="H1424" s="448"/>
      <c r="I1424" s="447"/>
      <c r="J1424" s="448">
        <f t="shared" si="8"/>
        <v>12</v>
      </c>
      <c r="K1424" s="448"/>
    </row>
    <row r="1425" ht="22.5" customHeight="1">
      <c r="A1425" s="443"/>
      <c r="B1425" s="456"/>
      <c r="C1425" s="471"/>
      <c r="D1425" s="471"/>
      <c r="E1425" s="445"/>
      <c r="F1425" s="445"/>
      <c r="G1425" s="442"/>
      <c r="H1425" s="448"/>
      <c r="I1425" s="447"/>
      <c r="J1425" s="448">
        <f t="shared" si="8"/>
        <v>12</v>
      </c>
      <c r="K1425" s="448"/>
    </row>
    <row r="1426" ht="22.5" customHeight="1">
      <c r="A1426" s="443"/>
      <c r="B1426" s="456"/>
      <c r="C1426" s="471"/>
      <c r="D1426" s="471"/>
      <c r="E1426" s="445"/>
      <c r="F1426" s="445"/>
      <c r="G1426" s="442"/>
      <c r="H1426" s="448"/>
      <c r="I1426" s="447"/>
      <c r="J1426" s="448">
        <f t="shared" si="8"/>
        <v>12</v>
      </c>
      <c r="K1426" s="448"/>
    </row>
    <row r="1427" ht="22.5" customHeight="1">
      <c r="A1427" s="443"/>
      <c r="B1427" s="456"/>
      <c r="C1427" s="471"/>
      <c r="D1427" s="471"/>
      <c r="E1427" s="445"/>
      <c r="F1427" s="445"/>
      <c r="G1427" s="442"/>
      <c r="H1427" s="448"/>
      <c r="I1427" s="447"/>
      <c r="J1427" s="448">
        <f t="shared" si="8"/>
        <v>12</v>
      </c>
      <c r="K1427" s="448"/>
    </row>
    <row r="1428" ht="22.5" customHeight="1">
      <c r="A1428" s="443"/>
      <c r="B1428" s="456"/>
      <c r="C1428" s="471"/>
      <c r="D1428" s="471"/>
      <c r="E1428" s="445"/>
      <c r="F1428" s="445"/>
      <c r="G1428" s="442"/>
      <c r="H1428" s="448"/>
      <c r="I1428" s="447"/>
      <c r="J1428" s="448">
        <f t="shared" si="8"/>
        <v>12</v>
      </c>
      <c r="K1428" s="448"/>
    </row>
    <row r="1429" ht="22.5" customHeight="1">
      <c r="A1429" s="443"/>
      <c r="B1429" s="456"/>
      <c r="C1429" s="471"/>
      <c r="D1429" s="471"/>
      <c r="E1429" s="445"/>
      <c r="F1429" s="445"/>
      <c r="G1429" s="442"/>
      <c r="H1429" s="448"/>
      <c r="I1429" s="447"/>
      <c r="J1429" s="448">
        <f t="shared" si="8"/>
        <v>12</v>
      </c>
      <c r="K1429" s="448"/>
    </row>
    <row r="1430" ht="22.5" customHeight="1">
      <c r="A1430" s="443"/>
      <c r="B1430" s="456"/>
      <c r="C1430" s="471"/>
      <c r="D1430" s="471"/>
      <c r="E1430" s="445"/>
      <c r="F1430" s="445"/>
      <c r="G1430" s="442"/>
      <c r="H1430" s="448"/>
      <c r="I1430" s="447"/>
      <c r="J1430" s="448">
        <f t="shared" si="8"/>
        <v>12</v>
      </c>
      <c r="K1430" s="448"/>
    </row>
    <row r="1431" ht="22.5" customHeight="1">
      <c r="A1431" s="443"/>
      <c r="B1431" s="456"/>
      <c r="C1431" s="471"/>
      <c r="D1431" s="471"/>
      <c r="E1431" s="445"/>
      <c r="F1431" s="445"/>
      <c r="G1431" s="442"/>
      <c r="H1431" s="448"/>
      <c r="I1431" s="447"/>
      <c r="J1431" s="448">
        <f t="shared" si="8"/>
        <v>12</v>
      </c>
      <c r="K1431" s="448"/>
    </row>
    <row r="1432" ht="22.5" customHeight="1">
      <c r="A1432" s="443"/>
      <c r="B1432" s="456"/>
      <c r="C1432" s="494"/>
      <c r="D1432" s="471"/>
      <c r="E1432" s="448"/>
      <c r="F1432" s="445"/>
      <c r="G1432" s="442"/>
      <c r="I1432" s="447"/>
      <c r="J1432" s="448">
        <f t="shared" si="8"/>
        <v>12</v>
      </c>
      <c r="K1432" s="448"/>
    </row>
    <row r="1433" ht="22.5" customHeight="1">
      <c r="A1433" s="443"/>
      <c r="B1433" s="456"/>
      <c r="C1433" s="471"/>
      <c r="D1433" s="471"/>
      <c r="E1433" s="445"/>
      <c r="F1433" s="445"/>
      <c r="G1433" s="442"/>
      <c r="H1433" s="448"/>
      <c r="I1433" s="447"/>
      <c r="J1433" s="448">
        <f t="shared" si="8"/>
        <v>12</v>
      </c>
      <c r="K1433" s="448"/>
    </row>
    <row r="1434" ht="22.5" customHeight="1">
      <c r="A1434" s="443"/>
      <c r="B1434" s="456"/>
      <c r="C1434" s="494"/>
      <c r="D1434" s="471"/>
      <c r="E1434" s="448"/>
      <c r="F1434" s="445"/>
      <c r="G1434" s="442"/>
      <c r="I1434" s="447"/>
      <c r="J1434" s="448">
        <f t="shared" si="8"/>
        <v>12</v>
      </c>
      <c r="K1434" s="448"/>
    </row>
    <row r="1435" ht="22.5" customHeight="1">
      <c r="A1435" s="443"/>
      <c r="B1435" s="456"/>
      <c r="C1435" s="494"/>
      <c r="D1435" s="471"/>
      <c r="E1435" s="448"/>
      <c r="F1435" s="445"/>
      <c r="G1435" s="442"/>
      <c r="I1435" s="447"/>
      <c r="J1435" s="448">
        <f t="shared" si="8"/>
        <v>12</v>
      </c>
      <c r="K1435" s="448"/>
    </row>
    <row r="1436" ht="22.5" customHeight="1">
      <c r="A1436" s="443"/>
      <c r="B1436" s="456"/>
      <c r="C1436" s="494"/>
      <c r="D1436" s="471"/>
      <c r="E1436" s="448"/>
      <c r="F1436" s="445"/>
      <c r="G1436" s="442"/>
      <c r="I1436" s="447"/>
      <c r="J1436" s="448">
        <f t="shared" si="8"/>
        <v>12</v>
      </c>
      <c r="K1436" s="448"/>
    </row>
    <row r="1437" ht="22.5" customHeight="1">
      <c r="A1437" s="443"/>
      <c r="B1437" s="456"/>
      <c r="C1437" s="494"/>
      <c r="D1437" s="471"/>
      <c r="E1437" s="448"/>
      <c r="F1437" s="445"/>
      <c r="G1437" s="442"/>
      <c r="I1437" s="447"/>
      <c r="J1437" s="448">
        <f t="shared" si="8"/>
        <v>12</v>
      </c>
      <c r="K1437" s="448"/>
    </row>
    <row r="1438" ht="22.5" customHeight="1">
      <c r="A1438" s="443"/>
      <c r="B1438" s="456"/>
      <c r="C1438" s="494"/>
      <c r="D1438" s="471"/>
      <c r="E1438" s="448"/>
      <c r="F1438" s="445"/>
      <c r="G1438" s="442"/>
      <c r="I1438" s="447"/>
      <c r="J1438" s="448">
        <f t="shared" si="8"/>
        <v>12</v>
      </c>
      <c r="K1438" s="448"/>
    </row>
    <row r="1439" ht="22.5" customHeight="1">
      <c r="A1439" s="443"/>
      <c r="B1439" s="456"/>
      <c r="C1439" s="471"/>
      <c r="D1439" s="471"/>
      <c r="E1439" s="448"/>
      <c r="F1439" s="445"/>
      <c r="G1439" s="442"/>
      <c r="H1439" s="448"/>
      <c r="I1439" s="447"/>
      <c r="J1439" s="448">
        <f t="shared" si="8"/>
        <v>12</v>
      </c>
      <c r="K1439" s="448"/>
    </row>
    <row r="1440" ht="22.5" customHeight="1">
      <c r="A1440" s="443"/>
      <c r="B1440" s="456"/>
      <c r="C1440" s="471"/>
      <c r="D1440" s="471"/>
      <c r="E1440" s="445"/>
      <c r="F1440" s="445"/>
      <c r="G1440" s="442"/>
      <c r="H1440" s="448"/>
      <c r="I1440" s="447"/>
      <c r="J1440" s="448">
        <f t="shared" si="8"/>
        <v>12</v>
      </c>
      <c r="K1440" s="448"/>
    </row>
    <row r="1441" ht="22.5" customHeight="1">
      <c r="A1441" s="443"/>
      <c r="B1441" s="456"/>
      <c r="C1441" s="471"/>
      <c r="D1441" s="471"/>
      <c r="E1441" s="445"/>
      <c r="F1441" s="445"/>
      <c r="G1441" s="442"/>
      <c r="H1441" s="448" t="s">
        <v>2551</v>
      </c>
      <c r="I1441" s="447"/>
      <c r="J1441" s="448">
        <f t="shared" si="8"/>
        <v>12</v>
      </c>
      <c r="K1441" s="448"/>
    </row>
    <row r="1442" ht="22.5" customHeight="1">
      <c r="A1442" s="443"/>
      <c r="B1442" s="456"/>
      <c r="C1442" s="471"/>
      <c r="D1442" s="471"/>
      <c r="E1442" s="445"/>
      <c r="F1442" s="445"/>
      <c r="G1442" s="442"/>
      <c r="H1442" s="448"/>
      <c r="I1442" s="447"/>
      <c r="J1442" s="448">
        <f t="shared" si="8"/>
        <v>12</v>
      </c>
      <c r="K1442" s="448"/>
    </row>
    <row r="1443" ht="22.5" customHeight="1">
      <c r="A1443" s="443"/>
      <c r="B1443" s="456"/>
      <c r="C1443" s="471"/>
      <c r="D1443" s="471"/>
      <c r="E1443" s="445"/>
      <c r="F1443" s="445"/>
      <c r="G1443" s="442"/>
      <c r="H1443" s="448"/>
      <c r="I1443" s="447"/>
      <c r="J1443" s="448">
        <f t="shared" si="8"/>
        <v>12</v>
      </c>
      <c r="K1443" s="448"/>
    </row>
    <row r="1444" ht="22.5" customHeight="1">
      <c r="A1444" s="443"/>
      <c r="B1444" s="456"/>
      <c r="C1444" s="471"/>
      <c r="D1444" s="471"/>
      <c r="E1444" s="445"/>
      <c r="F1444" s="445"/>
      <c r="G1444" s="442"/>
      <c r="H1444" s="448"/>
      <c r="I1444" s="447"/>
      <c r="J1444" s="448">
        <f t="shared" si="8"/>
        <v>12</v>
      </c>
      <c r="K1444" s="448"/>
    </row>
    <row r="1445" ht="22.5" customHeight="1">
      <c r="A1445" s="443"/>
      <c r="B1445" s="456"/>
      <c r="C1445" s="471"/>
      <c r="D1445" s="471"/>
      <c r="E1445" s="445"/>
      <c r="F1445" s="445"/>
      <c r="G1445" s="442"/>
      <c r="H1445" s="448"/>
      <c r="I1445" s="447"/>
      <c r="J1445" s="448">
        <f t="shared" si="8"/>
        <v>12</v>
      </c>
      <c r="K1445" s="448"/>
    </row>
    <row r="1446" ht="22.5" customHeight="1">
      <c r="A1446" s="443"/>
      <c r="B1446" s="456"/>
      <c r="C1446" s="471"/>
      <c r="D1446" s="471"/>
      <c r="E1446" s="445"/>
      <c r="F1446" s="445"/>
      <c r="G1446" s="442"/>
      <c r="H1446" s="448"/>
      <c r="I1446" s="447"/>
      <c r="J1446" s="448">
        <f t="shared" si="8"/>
        <v>12</v>
      </c>
      <c r="K1446" s="448"/>
    </row>
    <row r="1447" ht="22.5" customHeight="1">
      <c r="A1447" s="443"/>
      <c r="B1447" s="456"/>
      <c r="C1447" s="471"/>
      <c r="D1447" s="471"/>
      <c r="E1447" s="445"/>
      <c r="F1447" s="445"/>
      <c r="G1447" s="442"/>
      <c r="H1447" s="448"/>
      <c r="I1447" s="447"/>
      <c r="J1447" s="448">
        <f t="shared" si="8"/>
        <v>12</v>
      </c>
      <c r="K1447" s="448"/>
    </row>
    <row r="1448" ht="22.5" customHeight="1">
      <c r="A1448" s="443"/>
      <c r="B1448" s="456"/>
      <c r="C1448" s="471"/>
      <c r="D1448" s="471"/>
      <c r="E1448" s="445"/>
      <c r="F1448" s="445"/>
      <c r="G1448" s="442"/>
      <c r="H1448" s="448"/>
      <c r="I1448" s="447"/>
      <c r="J1448" s="448">
        <f t="shared" si="8"/>
        <v>12</v>
      </c>
      <c r="K1448" s="448"/>
    </row>
    <row r="1449" ht="22.5" customHeight="1">
      <c r="A1449" s="443"/>
      <c r="B1449" s="456"/>
      <c r="C1449" s="471"/>
      <c r="D1449" s="471"/>
      <c r="E1449" s="445"/>
      <c r="F1449" s="445"/>
      <c r="G1449" s="442"/>
      <c r="H1449" s="448"/>
      <c r="I1449" s="447"/>
      <c r="J1449" s="448">
        <f t="shared" si="8"/>
        <v>12</v>
      </c>
      <c r="K1449" s="448"/>
    </row>
    <row r="1450" ht="22.5" customHeight="1">
      <c r="A1450" s="443"/>
      <c r="B1450" s="456"/>
      <c r="C1450" s="471"/>
      <c r="D1450" s="471"/>
      <c r="E1450" s="445"/>
      <c r="F1450" s="445"/>
      <c r="G1450" s="442"/>
      <c r="H1450" s="448"/>
      <c r="I1450" s="447"/>
      <c r="J1450" s="448">
        <f t="shared" si="8"/>
        <v>12</v>
      </c>
      <c r="K1450" s="448"/>
    </row>
    <row r="1451" ht="22.5" customHeight="1">
      <c r="A1451" s="443"/>
      <c r="B1451" s="456"/>
      <c r="C1451" s="471"/>
      <c r="D1451" s="471"/>
      <c r="E1451" s="445"/>
      <c r="F1451" s="445"/>
      <c r="G1451" s="442"/>
      <c r="H1451" s="448"/>
      <c r="I1451" s="447"/>
      <c r="J1451" s="448">
        <f t="shared" si="8"/>
        <v>12</v>
      </c>
      <c r="K1451" s="448"/>
    </row>
    <row r="1452" ht="22.5" customHeight="1">
      <c r="A1452" s="443"/>
      <c r="B1452" s="456"/>
      <c r="C1452" s="471"/>
      <c r="D1452" s="471"/>
      <c r="E1452" s="445"/>
      <c r="F1452" s="445"/>
      <c r="G1452" s="442"/>
      <c r="H1452" s="448"/>
      <c r="I1452" s="447"/>
      <c r="J1452" s="448">
        <f t="shared" si="8"/>
        <v>12</v>
      </c>
      <c r="K1452" s="448"/>
    </row>
    <row r="1453" ht="22.5" customHeight="1">
      <c r="A1453" s="443"/>
      <c r="B1453" s="456"/>
      <c r="C1453" s="471"/>
      <c r="D1453" s="471"/>
      <c r="E1453" s="445"/>
      <c r="F1453" s="445"/>
      <c r="G1453" s="442"/>
      <c r="H1453" s="448"/>
      <c r="I1453" s="447"/>
      <c r="J1453" s="448">
        <f t="shared" si="8"/>
        <v>12</v>
      </c>
      <c r="K1453" s="448"/>
    </row>
    <row r="1454" ht="22.5" customHeight="1">
      <c r="A1454" s="443"/>
      <c r="B1454" s="456"/>
      <c r="C1454" s="471"/>
      <c r="D1454" s="471"/>
      <c r="E1454" s="445"/>
      <c r="F1454" s="445"/>
      <c r="G1454" s="442"/>
      <c r="H1454" s="448"/>
      <c r="I1454" s="447"/>
      <c r="J1454" s="448">
        <f t="shared" si="8"/>
        <v>12</v>
      </c>
      <c r="K1454" s="448"/>
    </row>
    <row r="1455" ht="22.5" customHeight="1">
      <c r="A1455" s="443"/>
      <c r="B1455" s="456"/>
      <c r="C1455" s="471"/>
      <c r="D1455" s="471"/>
      <c r="E1455" s="445"/>
      <c r="F1455" s="445"/>
      <c r="G1455" s="442"/>
      <c r="H1455" s="448"/>
      <c r="I1455" s="447"/>
      <c r="J1455" s="448">
        <f t="shared" si="8"/>
        <v>12</v>
      </c>
      <c r="K1455" s="448"/>
    </row>
    <row r="1456" ht="22.5" customHeight="1">
      <c r="A1456" s="443"/>
      <c r="B1456" s="456"/>
      <c r="C1456" s="471"/>
      <c r="D1456" s="471"/>
      <c r="E1456" s="445"/>
      <c r="F1456" s="445"/>
      <c r="G1456" s="442"/>
      <c r="H1456" s="448"/>
      <c r="I1456" s="447"/>
      <c r="J1456" s="448">
        <f t="shared" si="8"/>
        <v>12</v>
      </c>
      <c r="K1456" s="448"/>
    </row>
    <row r="1457" ht="22.5" customHeight="1">
      <c r="A1457" s="443"/>
      <c r="B1457" s="456"/>
      <c r="C1457" s="471"/>
      <c r="D1457" s="471"/>
      <c r="E1457" s="445"/>
      <c r="F1457" s="445"/>
      <c r="G1457" s="442"/>
      <c r="H1457" s="448"/>
      <c r="I1457" s="447"/>
      <c r="J1457" s="448">
        <f t="shared" si="8"/>
        <v>12</v>
      </c>
      <c r="K1457" s="448"/>
    </row>
    <row r="1458" ht="22.5" customHeight="1">
      <c r="A1458" s="443"/>
      <c r="B1458" s="456"/>
      <c r="C1458" s="471"/>
      <c r="D1458" s="471"/>
      <c r="E1458" s="445"/>
      <c r="F1458" s="445"/>
      <c r="G1458" s="442"/>
      <c r="H1458" s="448"/>
      <c r="I1458" s="447"/>
      <c r="J1458" s="448">
        <f t="shared" si="8"/>
        <v>12</v>
      </c>
      <c r="K1458" s="448"/>
    </row>
    <row r="1459" ht="22.5" customHeight="1">
      <c r="A1459" s="443"/>
      <c r="B1459" s="456"/>
      <c r="C1459" s="471"/>
      <c r="D1459" s="471"/>
      <c r="E1459" s="445"/>
      <c r="F1459" s="445"/>
      <c r="G1459" s="442"/>
      <c r="H1459" s="448"/>
      <c r="I1459" s="447"/>
      <c r="J1459" s="448">
        <f t="shared" si="8"/>
        <v>12</v>
      </c>
      <c r="K1459" s="448"/>
    </row>
    <row r="1460" ht="22.5" customHeight="1">
      <c r="A1460" s="443"/>
      <c r="B1460" s="456"/>
      <c r="C1460" s="471"/>
      <c r="D1460" s="471"/>
      <c r="E1460" s="445"/>
      <c r="F1460" s="445"/>
      <c r="G1460" s="442"/>
      <c r="H1460" s="448"/>
      <c r="I1460" s="447"/>
      <c r="J1460" s="448">
        <f t="shared" si="8"/>
        <v>12</v>
      </c>
      <c r="K1460" s="448"/>
    </row>
    <row r="1461" ht="22.5" customHeight="1">
      <c r="A1461" s="443"/>
      <c r="B1461" s="456"/>
      <c r="C1461" s="471"/>
      <c r="D1461" s="471"/>
      <c r="E1461" s="445"/>
      <c r="F1461" s="445"/>
      <c r="G1461" s="442"/>
      <c r="H1461" s="448"/>
      <c r="I1461" s="447"/>
      <c r="J1461" s="448">
        <f t="shared" si="8"/>
        <v>12</v>
      </c>
      <c r="K1461" s="448"/>
    </row>
    <row r="1462" ht="22.5" customHeight="1">
      <c r="A1462" s="443"/>
      <c r="B1462" s="456"/>
      <c r="C1462" s="471"/>
      <c r="D1462" s="471"/>
      <c r="E1462" s="445"/>
      <c r="F1462" s="445"/>
      <c r="G1462" s="442"/>
      <c r="H1462" s="448"/>
      <c r="I1462" s="447"/>
      <c r="J1462" s="448">
        <f t="shared" si="8"/>
        <v>12</v>
      </c>
      <c r="K1462" s="448"/>
    </row>
    <row r="1463" ht="22.5" customHeight="1">
      <c r="A1463" s="443"/>
      <c r="B1463" s="456"/>
      <c r="C1463" s="471"/>
      <c r="D1463" s="471"/>
      <c r="E1463" s="445"/>
      <c r="F1463" s="445"/>
      <c r="G1463" s="442"/>
      <c r="H1463" s="448"/>
      <c r="I1463" s="447"/>
      <c r="J1463" s="448">
        <f t="shared" si="8"/>
        <v>12</v>
      </c>
      <c r="K1463" s="448"/>
    </row>
    <row r="1464" ht="22.5" customHeight="1">
      <c r="A1464" s="443"/>
      <c r="B1464" s="456"/>
      <c r="C1464" s="471"/>
      <c r="D1464" s="471"/>
      <c r="E1464" s="445"/>
      <c r="F1464" s="445"/>
      <c r="G1464" s="442"/>
      <c r="H1464" s="448" t="s">
        <v>2551</v>
      </c>
      <c r="I1464" s="447"/>
      <c r="J1464" s="448">
        <f t="shared" si="8"/>
        <v>12</v>
      </c>
      <c r="K1464" s="448"/>
    </row>
    <row r="1465" ht="22.5" customHeight="1">
      <c r="A1465" s="443"/>
      <c r="B1465" s="456"/>
      <c r="C1465" s="471"/>
      <c r="D1465" s="471"/>
      <c r="E1465" s="445"/>
      <c r="F1465" s="445"/>
      <c r="G1465" s="442"/>
      <c r="H1465" s="448"/>
      <c r="I1465" s="447"/>
      <c r="J1465" s="448">
        <f t="shared" si="8"/>
        <v>12</v>
      </c>
      <c r="K1465" s="448"/>
    </row>
    <row r="1466" ht="22.5" customHeight="1">
      <c r="A1466" s="443"/>
      <c r="B1466" s="456"/>
      <c r="C1466" s="471"/>
      <c r="D1466" s="471"/>
      <c r="E1466" s="445"/>
      <c r="F1466" s="445"/>
      <c r="G1466" s="442"/>
      <c r="H1466" s="448"/>
      <c r="I1466" s="447"/>
      <c r="J1466" s="448">
        <f t="shared" si="8"/>
        <v>12</v>
      </c>
      <c r="K1466" s="448"/>
    </row>
    <row r="1467" ht="22.5" customHeight="1">
      <c r="A1467" s="443"/>
      <c r="B1467" s="456"/>
      <c r="C1467" s="471"/>
      <c r="D1467" s="471"/>
      <c r="E1467" s="445"/>
      <c r="F1467" s="445"/>
      <c r="G1467" s="442"/>
      <c r="H1467" s="448"/>
      <c r="I1467" s="447"/>
      <c r="J1467" s="448">
        <f t="shared" si="8"/>
        <v>12</v>
      </c>
      <c r="K1467" s="448"/>
    </row>
    <row r="1468" ht="22.5" customHeight="1">
      <c r="A1468" s="443"/>
      <c r="B1468" s="456"/>
      <c r="C1468" s="471"/>
      <c r="D1468" s="471"/>
      <c r="E1468" s="445"/>
      <c r="F1468" s="445"/>
      <c r="G1468" s="442"/>
      <c r="H1468" s="448"/>
      <c r="I1468" s="447"/>
      <c r="J1468" s="448">
        <f t="shared" si="8"/>
        <v>12</v>
      </c>
      <c r="K1468" s="448"/>
    </row>
    <row r="1469" ht="22.5" customHeight="1">
      <c r="A1469" s="443"/>
      <c r="B1469" s="456"/>
      <c r="C1469" s="471"/>
      <c r="D1469" s="471"/>
      <c r="E1469" s="445"/>
      <c r="F1469" s="445"/>
      <c r="G1469" s="442"/>
      <c r="H1469" s="448"/>
      <c r="I1469" s="447"/>
      <c r="J1469" s="448">
        <f t="shared" si="8"/>
        <v>12</v>
      </c>
      <c r="K1469" s="448"/>
    </row>
    <row r="1470" ht="22.5" customHeight="1">
      <c r="A1470" s="443"/>
      <c r="B1470" s="456"/>
      <c r="C1470" s="471"/>
      <c r="D1470" s="471"/>
      <c r="E1470" s="445"/>
      <c r="F1470" s="445"/>
      <c r="G1470" s="442"/>
      <c r="H1470" s="448"/>
      <c r="I1470" s="447"/>
      <c r="J1470" s="448">
        <f t="shared" si="8"/>
        <v>12</v>
      </c>
      <c r="K1470" s="448"/>
    </row>
    <row r="1471" ht="22.5" customHeight="1">
      <c r="A1471" s="443"/>
      <c r="B1471" s="456"/>
      <c r="C1471" s="471"/>
      <c r="D1471" s="471"/>
      <c r="E1471" s="445"/>
      <c r="F1471" s="445"/>
      <c r="G1471" s="442"/>
      <c r="H1471" s="448"/>
      <c r="I1471" s="447"/>
      <c r="J1471" s="448">
        <f t="shared" si="8"/>
        <v>12</v>
      </c>
      <c r="K1471" s="448"/>
    </row>
    <row r="1472" ht="22.5" customHeight="1">
      <c r="A1472" s="443"/>
      <c r="B1472" s="456"/>
      <c r="C1472" s="471"/>
      <c r="D1472" s="471"/>
      <c r="E1472" s="445"/>
      <c r="F1472" s="445"/>
      <c r="G1472" s="442"/>
      <c r="H1472" s="448"/>
      <c r="I1472" s="447"/>
      <c r="J1472" s="448">
        <f t="shared" si="8"/>
        <v>12</v>
      </c>
      <c r="K1472" s="448"/>
    </row>
    <row r="1473" ht="22.5" customHeight="1">
      <c r="A1473" s="443"/>
      <c r="B1473" s="456"/>
      <c r="C1473" s="471"/>
      <c r="D1473" s="471"/>
      <c r="E1473" s="445"/>
      <c r="F1473" s="445"/>
      <c r="G1473" s="442"/>
      <c r="H1473" s="448"/>
      <c r="I1473" s="447"/>
      <c r="J1473" s="448">
        <f t="shared" si="8"/>
        <v>12</v>
      </c>
      <c r="K1473" s="448"/>
    </row>
    <row r="1474" ht="22.5" customHeight="1">
      <c r="A1474" s="443"/>
      <c r="B1474" s="456"/>
      <c r="C1474" s="471"/>
      <c r="D1474" s="471"/>
      <c r="E1474" s="445"/>
      <c r="F1474" s="445"/>
      <c r="G1474" s="442"/>
      <c r="H1474" s="448"/>
      <c r="I1474" s="447"/>
      <c r="J1474" s="448">
        <f t="shared" si="8"/>
        <v>12</v>
      </c>
      <c r="K1474" s="448"/>
    </row>
    <row r="1475" ht="22.5" customHeight="1">
      <c r="A1475" s="443"/>
      <c r="B1475" s="456"/>
      <c r="C1475" s="471"/>
      <c r="D1475" s="471"/>
      <c r="E1475" s="445"/>
      <c r="F1475" s="445"/>
      <c r="G1475" s="442"/>
      <c r="H1475" s="448"/>
      <c r="I1475" s="447"/>
      <c r="J1475" s="448">
        <f t="shared" si="8"/>
        <v>12</v>
      </c>
      <c r="K1475" s="448"/>
    </row>
    <row r="1476" ht="22.5" customHeight="1">
      <c r="A1476" s="443"/>
      <c r="B1476" s="456"/>
      <c r="C1476" s="471"/>
      <c r="D1476" s="471"/>
      <c r="E1476" s="445"/>
      <c r="F1476" s="445"/>
      <c r="G1476" s="442"/>
      <c r="H1476" s="448"/>
      <c r="I1476" s="447"/>
      <c r="J1476" s="448">
        <f t="shared" si="8"/>
        <v>12</v>
      </c>
      <c r="K1476" s="448"/>
    </row>
    <row r="1477" ht="22.5" customHeight="1">
      <c r="A1477" s="443"/>
      <c r="B1477" s="456"/>
      <c r="C1477" s="471"/>
      <c r="D1477" s="471"/>
      <c r="E1477" s="445"/>
      <c r="F1477" s="445"/>
      <c r="G1477" s="442"/>
      <c r="H1477" s="448"/>
      <c r="I1477" s="447"/>
      <c r="J1477" s="448">
        <f t="shared" si="8"/>
        <v>12</v>
      </c>
      <c r="K1477" s="448"/>
    </row>
    <row r="1478" ht="22.5" customHeight="1">
      <c r="A1478" s="443"/>
      <c r="B1478" s="456"/>
      <c r="C1478" s="471"/>
      <c r="D1478" s="471"/>
      <c r="E1478" s="445"/>
      <c r="F1478" s="445"/>
      <c r="G1478" s="442"/>
      <c r="H1478" s="448"/>
      <c r="I1478" s="447"/>
      <c r="J1478" s="448">
        <f t="shared" si="8"/>
        <v>12</v>
      </c>
      <c r="K1478" s="448"/>
    </row>
    <row r="1479" ht="22.5" customHeight="1">
      <c r="A1479" s="443"/>
      <c r="B1479" s="456"/>
      <c r="C1479" s="471"/>
      <c r="D1479" s="471"/>
      <c r="E1479" s="445"/>
      <c r="F1479" s="445"/>
      <c r="G1479" s="442"/>
      <c r="H1479" s="448"/>
      <c r="I1479" s="447"/>
      <c r="J1479" s="448">
        <f t="shared" si="8"/>
        <v>12</v>
      </c>
      <c r="K1479" s="448"/>
    </row>
    <row r="1480" ht="22.5" customHeight="1">
      <c r="A1480" s="443"/>
      <c r="B1480" s="456"/>
      <c r="C1480" s="471"/>
      <c r="D1480" s="471"/>
      <c r="E1480" s="445"/>
      <c r="F1480" s="445"/>
      <c r="G1480" s="442"/>
      <c r="H1480" s="448"/>
      <c r="I1480" s="447"/>
      <c r="J1480" s="448">
        <f t="shared" si="8"/>
        <v>12</v>
      </c>
      <c r="K1480" s="448"/>
    </row>
    <row r="1481" ht="22.5" customHeight="1">
      <c r="A1481" s="443"/>
      <c r="B1481" s="456"/>
      <c r="C1481" s="471"/>
      <c r="D1481" s="471"/>
      <c r="E1481" s="445"/>
      <c r="F1481" s="445"/>
      <c r="G1481" s="442"/>
      <c r="H1481" s="448"/>
      <c r="I1481" s="447"/>
      <c r="J1481" s="448">
        <f t="shared" si="8"/>
        <v>12</v>
      </c>
      <c r="K1481" s="448"/>
    </row>
    <row r="1482" ht="22.5" customHeight="1">
      <c r="A1482" s="443"/>
      <c r="B1482" s="456"/>
      <c r="C1482" s="471"/>
      <c r="D1482" s="471"/>
      <c r="E1482" s="445"/>
      <c r="F1482" s="445"/>
      <c r="G1482" s="442"/>
      <c r="H1482" s="448"/>
      <c r="I1482" s="447"/>
      <c r="J1482" s="448">
        <f t="shared" si="8"/>
        <v>12</v>
      </c>
      <c r="K1482" s="448"/>
    </row>
    <row r="1483" ht="22.5" customHeight="1">
      <c r="A1483" s="443"/>
      <c r="B1483" s="456"/>
      <c r="C1483" s="471"/>
      <c r="D1483" s="471"/>
      <c r="E1483" s="445"/>
      <c r="F1483" s="445"/>
      <c r="G1483" s="442"/>
      <c r="H1483" s="448"/>
      <c r="I1483" s="447"/>
      <c r="J1483" s="448">
        <f t="shared" si="8"/>
        <v>12</v>
      </c>
      <c r="K1483" s="448"/>
    </row>
    <row r="1484" ht="22.5" customHeight="1">
      <c r="A1484" s="443"/>
      <c r="B1484" s="456"/>
      <c r="C1484" s="471"/>
      <c r="D1484" s="471"/>
      <c r="E1484" s="445"/>
      <c r="F1484" s="445"/>
      <c r="G1484" s="442"/>
      <c r="H1484" s="448"/>
      <c r="I1484" s="447"/>
      <c r="J1484" s="448">
        <f t="shared" si="8"/>
        <v>12</v>
      </c>
      <c r="K1484" s="448"/>
    </row>
    <row r="1485" ht="22.5" customHeight="1">
      <c r="A1485" s="443"/>
      <c r="B1485" s="456"/>
      <c r="C1485" s="471"/>
      <c r="D1485" s="471"/>
      <c r="E1485" s="445"/>
      <c r="F1485" s="445"/>
      <c r="G1485" s="442"/>
      <c r="H1485" s="448"/>
      <c r="I1485" s="447"/>
      <c r="J1485" s="448">
        <f t="shared" si="8"/>
        <v>12</v>
      </c>
      <c r="K1485" s="448"/>
    </row>
    <row r="1486" ht="22.5" customHeight="1">
      <c r="A1486" s="443"/>
      <c r="B1486" s="456"/>
      <c r="C1486" s="471"/>
      <c r="D1486" s="471"/>
      <c r="E1486" s="445"/>
      <c r="F1486" s="445"/>
      <c r="G1486" s="442"/>
      <c r="H1486" s="448"/>
      <c r="I1486" s="447"/>
      <c r="J1486" s="448">
        <f t="shared" si="8"/>
        <v>12</v>
      </c>
      <c r="K1486" s="448"/>
    </row>
    <row r="1487" ht="22.5" customHeight="1">
      <c r="A1487" s="443"/>
      <c r="B1487" s="456"/>
      <c r="C1487" s="471"/>
      <c r="D1487" s="471"/>
      <c r="E1487" s="445"/>
      <c r="F1487" s="445"/>
      <c r="G1487" s="442"/>
      <c r="H1487" s="448"/>
      <c r="I1487" s="447"/>
      <c r="J1487" s="448">
        <f t="shared" si="8"/>
        <v>12</v>
      </c>
      <c r="K1487" s="448"/>
    </row>
    <row r="1488" ht="22.5" customHeight="1">
      <c r="A1488" s="443"/>
      <c r="B1488" s="456"/>
      <c r="C1488" s="471"/>
      <c r="D1488" s="471"/>
      <c r="E1488" s="445"/>
      <c r="F1488" s="445"/>
      <c r="G1488" s="442"/>
      <c r="H1488" s="448"/>
      <c r="I1488" s="447"/>
      <c r="J1488" s="448">
        <f t="shared" si="8"/>
        <v>12</v>
      </c>
      <c r="K1488" s="448"/>
    </row>
    <row r="1489" ht="22.5" customHeight="1">
      <c r="A1489" s="443"/>
      <c r="B1489" s="456"/>
      <c r="C1489" s="471"/>
      <c r="D1489" s="471"/>
      <c r="E1489" s="445"/>
      <c r="F1489" s="445"/>
      <c r="G1489" s="442"/>
      <c r="H1489" s="448"/>
      <c r="I1489" s="447"/>
      <c r="J1489" s="448">
        <f t="shared" si="8"/>
        <v>12</v>
      </c>
      <c r="K1489" s="448"/>
    </row>
    <row r="1490" ht="22.5" customHeight="1">
      <c r="A1490" s="443"/>
      <c r="B1490" s="456"/>
      <c r="C1490" s="471"/>
      <c r="D1490" s="471"/>
      <c r="E1490" s="445"/>
      <c r="F1490" s="445"/>
      <c r="G1490" s="442"/>
      <c r="H1490" s="448"/>
      <c r="I1490" s="447"/>
      <c r="J1490" s="448">
        <f t="shared" si="8"/>
        <v>12</v>
      </c>
      <c r="K1490" s="448"/>
    </row>
    <row r="1491" ht="22.5" customHeight="1">
      <c r="A1491" s="443"/>
      <c r="B1491" s="456"/>
      <c r="C1491" s="471"/>
      <c r="D1491" s="471"/>
      <c r="E1491" s="445"/>
      <c r="F1491" s="445"/>
      <c r="G1491" s="442"/>
      <c r="H1491" s="448"/>
      <c r="I1491" s="447"/>
      <c r="J1491" s="448">
        <f t="shared" si="8"/>
        <v>12</v>
      </c>
      <c r="K1491" s="448"/>
    </row>
    <row r="1492" ht="22.5" customHeight="1">
      <c r="A1492" s="443"/>
      <c r="B1492" s="456"/>
      <c r="C1492" s="471"/>
      <c r="D1492" s="471"/>
      <c r="E1492" s="445"/>
      <c r="F1492" s="445"/>
      <c r="G1492" s="442"/>
      <c r="H1492" s="448"/>
      <c r="I1492" s="447"/>
      <c r="J1492" s="448">
        <f t="shared" si="8"/>
        <v>12</v>
      </c>
      <c r="K1492" s="448"/>
    </row>
    <row r="1493" ht="22.5" customHeight="1">
      <c r="A1493" s="443"/>
      <c r="B1493" s="456"/>
      <c r="C1493" s="471"/>
      <c r="D1493" s="471"/>
      <c r="E1493" s="445"/>
      <c r="F1493" s="445"/>
      <c r="G1493" s="442"/>
      <c r="H1493" s="448"/>
      <c r="I1493" s="447"/>
      <c r="J1493" s="448">
        <f t="shared" si="8"/>
        <v>12</v>
      </c>
      <c r="K1493" s="448"/>
    </row>
    <row r="1494" ht="22.5" customHeight="1">
      <c r="A1494" s="443"/>
      <c r="B1494" s="456"/>
      <c r="C1494" s="471"/>
      <c r="D1494" s="471"/>
      <c r="E1494" s="445"/>
      <c r="F1494" s="445"/>
      <c r="G1494" s="442"/>
      <c r="H1494" s="448"/>
      <c r="I1494" s="447"/>
      <c r="J1494" s="448">
        <f t="shared" si="8"/>
        <v>12</v>
      </c>
      <c r="K1494" s="448"/>
    </row>
    <row r="1495" ht="22.5" customHeight="1">
      <c r="A1495" s="443"/>
      <c r="B1495" s="456"/>
      <c r="C1495" s="471"/>
      <c r="D1495" s="471"/>
      <c r="E1495" s="445"/>
      <c r="F1495" s="445"/>
      <c r="G1495" s="442"/>
      <c r="H1495" s="448"/>
      <c r="I1495" s="447"/>
      <c r="J1495" s="448">
        <f t="shared" si="8"/>
        <v>12</v>
      </c>
      <c r="K1495" s="448"/>
    </row>
    <row r="1496" ht="22.5" customHeight="1">
      <c r="A1496" s="443"/>
      <c r="B1496" s="456"/>
      <c r="C1496" s="471"/>
      <c r="D1496" s="471"/>
      <c r="E1496" s="445"/>
      <c r="F1496" s="445"/>
      <c r="G1496" s="442"/>
      <c r="H1496" s="448"/>
      <c r="I1496" s="447"/>
      <c r="J1496" s="448">
        <f t="shared" si="8"/>
        <v>12</v>
      </c>
      <c r="K1496" s="448"/>
    </row>
    <row r="1497" ht="22.5" customHeight="1">
      <c r="A1497" s="443"/>
      <c r="B1497" s="456"/>
      <c r="C1497" s="471"/>
      <c r="D1497" s="471"/>
      <c r="E1497" s="445"/>
      <c r="F1497" s="445"/>
      <c r="G1497" s="442"/>
      <c r="H1497" s="448"/>
      <c r="I1497" s="447"/>
      <c r="J1497" s="448">
        <f t="shared" si="8"/>
        <v>12</v>
      </c>
      <c r="K1497" s="448"/>
    </row>
    <row r="1498" ht="22.5" customHeight="1">
      <c r="A1498" s="443"/>
      <c r="B1498" s="456"/>
      <c r="C1498" s="471"/>
      <c r="D1498" s="471"/>
      <c r="E1498" s="445"/>
      <c r="F1498" s="445"/>
      <c r="G1498" s="442"/>
      <c r="H1498" s="448"/>
      <c r="I1498" s="447"/>
      <c r="J1498" s="448">
        <f t="shared" si="8"/>
        <v>12</v>
      </c>
      <c r="K1498" s="448"/>
    </row>
    <row r="1499" ht="22.5" customHeight="1">
      <c r="A1499" s="443"/>
      <c r="B1499" s="456"/>
      <c r="C1499" s="471"/>
      <c r="D1499" s="471"/>
      <c r="E1499" s="445"/>
      <c r="F1499" s="445"/>
      <c r="G1499" s="442"/>
      <c r="H1499" s="448"/>
      <c r="I1499" s="447"/>
      <c r="J1499" s="448">
        <f t="shared" si="8"/>
        <v>12</v>
      </c>
      <c r="K1499" s="448"/>
    </row>
    <row r="1500" ht="22.5" customHeight="1">
      <c r="A1500" s="443"/>
      <c r="B1500" s="456"/>
      <c r="C1500" s="471"/>
      <c r="D1500" s="471"/>
      <c r="E1500" s="445"/>
      <c r="F1500" s="445"/>
      <c r="G1500" s="442"/>
      <c r="H1500" s="448"/>
      <c r="I1500" s="447"/>
      <c r="J1500" s="448">
        <f t="shared" si="8"/>
        <v>12</v>
      </c>
      <c r="K1500" s="448"/>
    </row>
    <row r="1501" ht="22.5" customHeight="1">
      <c r="A1501" s="443"/>
      <c r="B1501" s="456"/>
      <c r="C1501" s="471"/>
      <c r="D1501" s="471"/>
      <c r="E1501" s="445"/>
      <c r="F1501" s="445"/>
      <c r="G1501" s="442"/>
      <c r="H1501" s="448"/>
      <c r="I1501" s="447"/>
      <c r="J1501" s="448">
        <f t="shared" si="8"/>
        <v>12</v>
      </c>
      <c r="K1501" s="448"/>
    </row>
    <row r="1502" ht="22.5" customHeight="1">
      <c r="A1502" s="443"/>
      <c r="B1502" s="456"/>
      <c r="C1502" s="471"/>
      <c r="D1502" s="471"/>
      <c r="E1502" s="445"/>
      <c r="F1502" s="445"/>
      <c r="G1502" s="442"/>
      <c r="H1502" s="448"/>
      <c r="I1502" s="447"/>
      <c r="J1502" s="448">
        <f t="shared" si="8"/>
        <v>12</v>
      </c>
      <c r="K1502" s="448"/>
    </row>
    <row r="1503" ht="22.5" customHeight="1">
      <c r="A1503" s="443"/>
      <c r="B1503" s="456"/>
      <c r="C1503" s="471"/>
      <c r="D1503" s="471"/>
      <c r="E1503" s="445"/>
      <c r="F1503" s="445"/>
      <c r="G1503" s="442"/>
      <c r="H1503" s="448"/>
      <c r="I1503" s="447"/>
      <c r="J1503" s="448">
        <f t="shared" si="8"/>
        <v>12</v>
      </c>
      <c r="K1503" s="448"/>
    </row>
    <row r="1504" ht="22.5" customHeight="1">
      <c r="A1504" s="443"/>
      <c r="B1504" s="456"/>
      <c r="C1504" s="471"/>
      <c r="D1504" s="471"/>
      <c r="E1504" s="445"/>
      <c r="F1504" s="445"/>
      <c r="G1504" s="442"/>
      <c r="H1504" s="448"/>
      <c r="I1504" s="447"/>
      <c r="J1504" s="448">
        <f t="shared" si="8"/>
        <v>12</v>
      </c>
      <c r="K1504" s="448"/>
    </row>
    <row r="1505" ht="22.5" customHeight="1">
      <c r="A1505" s="443"/>
      <c r="B1505" s="456"/>
      <c r="C1505" s="471"/>
      <c r="D1505" s="471"/>
      <c r="E1505" s="445"/>
      <c r="F1505" s="445"/>
      <c r="G1505" s="442"/>
      <c r="H1505" s="448"/>
      <c r="I1505" s="447"/>
      <c r="J1505" s="448">
        <f t="shared" si="8"/>
        <v>12</v>
      </c>
      <c r="K1505" s="448"/>
    </row>
    <row r="1506" ht="22.5" customHeight="1">
      <c r="A1506" s="443"/>
      <c r="B1506" s="456"/>
      <c r="C1506" s="471"/>
      <c r="D1506" s="471"/>
      <c r="E1506" s="445"/>
      <c r="F1506" s="445"/>
      <c r="G1506" s="442"/>
      <c r="H1506" s="448"/>
      <c r="I1506" s="447"/>
      <c r="J1506" s="448">
        <f t="shared" si="8"/>
        <v>12</v>
      </c>
      <c r="K1506" s="448"/>
    </row>
    <row r="1507" ht="22.5" customHeight="1">
      <c r="A1507" s="443"/>
      <c r="B1507" s="456"/>
      <c r="C1507" s="471"/>
      <c r="D1507" s="471"/>
      <c r="E1507" s="445"/>
      <c r="F1507" s="445"/>
      <c r="G1507" s="442"/>
      <c r="H1507" s="448"/>
      <c r="I1507" s="447"/>
      <c r="J1507" s="448">
        <f t="shared" si="8"/>
        <v>12</v>
      </c>
      <c r="K1507" s="448"/>
    </row>
    <row r="1508" ht="22.5" customHeight="1">
      <c r="A1508" s="443"/>
      <c r="B1508" s="456"/>
      <c r="C1508" s="471"/>
      <c r="D1508" s="471"/>
      <c r="E1508" s="445"/>
      <c r="F1508" s="445"/>
      <c r="G1508" s="442"/>
      <c r="H1508" s="448"/>
      <c r="I1508" s="447"/>
      <c r="J1508" s="448">
        <f t="shared" si="8"/>
        <v>12</v>
      </c>
      <c r="K1508" s="448"/>
    </row>
    <row r="1509" ht="22.5" customHeight="1">
      <c r="A1509" s="443"/>
      <c r="B1509" s="456"/>
      <c r="C1509" s="471"/>
      <c r="D1509" s="471"/>
      <c r="E1509" s="445"/>
      <c r="F1509" s="445"/>
      <c r="G1509" s="442"/>
      <c r="H1509" s="448"/>
      <c r="I1509" s="447"/>
      <c r="J1509" s="448">
        <f t="shared" si="8"/>
        <v>12</v>
      </c>
      <c r="K1509" s="448"/>
    </row>
    <row r="1510" ht="22.5" customHeight="1">
      <c r="A1510" s="443"/>
      <c r="B1510" s="456"/>
      <c r="C1510" s="471"/>
      <c r="D1510" s="471"/>
      <c r="E1510" s="445"/>
      <c r="F1510" s="445"/>
      <c r="G1510" s="442"/>
      <c r="H1510" s="448"/>
      <c r="I1510" s="447"/>
      <c r="J1510" s="448">
        <f t="shared" si="8"/>
        <v>12</v>
      </c>
      <c r="K1510" s="448"/>
    </row>
    <row r="1511" ht="22.5" customHeight="1">
      <c r="A1511" s="443"/>
      <c r="B1511" s="456"/>
      <c r="C1511" s="471"/>
      <c r="D1511" s="471"/>
      <c r="E1511" s="445"/>
      <c r="F1511" s="445"/>
      <c r="G1511" s="442"/>
      <c r="H1511" s="448"/>
      <c r="I1511" s="447"/>
      <c r="J1511" s="448">
        <f t="shared" si="8"/>
        <v>12</v>
      </c>
      <c r="K1511" s="448"/>
    </row>
    <row r="1512" ht="22.5" customHeight="1">
      <c r="A1512" s="443"/>
      <c r="B1512" s="456"/>
      <c r="C1512" s="471"/>
      <c r="D1512" s="471"/>
      <c r="E1512" s="445"/>
      <c r="F1512" s="445"/>
      <c r="G1512" s="442"/>
      <c r="H1512" s="448"/>
      <c r="I1512" s="447"/>
      <c r="J1512" s="448">
        <f t="shared" si="8"/>
        <v>12</v>
      </c>
      <c r="K1512" s="448"/>
    </row>
    <row r="1513" ht="22.5" customHeight="1">
      <c r="A1513" s="443"/>
      <c r="B1513" s="456"/>
      <c r="C1513" s="471"/>
      <c r="D1513" s="471"/>
      <c r="E1513" s="445"/>
      <c r="F1513" s="445"/>
      <c r="G1513" s="442"/>
      <c r="H1513" s="448"/>
      <c r="I1513" s="447"/>
      <c r="J1513" s="448">
        <f t="shared" si="8"/>
        <v>12</v>
      </c>
      <c r="K1513" s="448"/>
    </row>
    <row r="1514" ht="22.5" customHeight="1">
      <c r="A1514" s="443"/>
      <c r="B1514" s="456"/>
      <c r="C1514" s="471"/>
      <c r="D1514" s="471"/>
      <c r="E1514" s="445"/>
      <c r="F1514" s="445"/>
      <c r="G1514" s="442"/>
      <c r="H1514" s="448"/>
      <c r="I1514" s="447"/>
      <c r="J1514" s="448">
        <f t="shared" si="8"/>
        <v>12</v>
      </c>
      <c r="K1514" s="448"/>
    </row>
    <row r="1515" ht="22.5" customHeight="1">
      <c r="A1515" s="443"/>
      <c r="B1515" s="456"/>
      <c r="C1515" s="471"/>
      <c r="D1515" s="471"/>
      <c r="E1515" s="445"/>
      <c r="F1515" s="445"/>
      <c r="G1515" s="442"/>
      <c r="H1515" s="448"/>
      <c r="I1515" s="447"/>
      <c r="J1515" s="448">
        <f t="shared" si="8"/>
        <v>12</v>
      </c>
      <c r="K1515" s="448"/>
    </row>
    <row r="1516" ht="22.5" customHeight="1">
      <c r="A1516" s="443"/>
      <c r="B1516" s="456"/>
      <c r="C1516" s="471"/>
      <c r="D1516" s="471"/>
      <c r="E1516" s="445"/>
      <c r="F1516" s="445"/>
      <c r="G1516" s="442"/>
      <c r="H1516" s="448"/>
      <c r="I1516" s="447"/>
      <c r="J1516" s="448">
        <f t="shared" si="8"/>
        <v>12</v>
      </c>
      <c r="K1516" s="448"/>
    </row>
    <row r="1517" ht="22.5" customHeight="1">
      <c r="A1517" s="443"/>
      <c r="B1517" s="456"/>
      <c r="C1517" s="471"/>
      <c r="D1517" s="471"/>
      <c r="E1517" s="445"/>
      <c r="F1517" s="445"/>
      <c r="G1517" s="442"/>
      <c r="H1517" s="448"/>
      <c r="I1517" s="447"/>
      <c r="J1517" s="448">
        <f t="shared" si="8"/>
        <v>12</v>
      </c>
      <c r="K1517" s="448"/>
    </row>
    <row r="1518" ht="22.5" customHeight="1">
      <c r="A1518" s="443"/>
      <c r="B1518" s="456"/>
      <c r="C1518" s="471"/>
      <c r="D1518" s="471"/>
      <c r="E1518" s="445"/>
      <c r="F1518" s="445"/>
      <c r="G1518" s="442"/>
      <c r="H1518" s="448"/>
      <c r="I1518" s="447"/>
      <c r="J1518" s="448">
        <f t="shared" si="8"/>
        <v>12</v>
      </c>
      <c r="K1518" s="448"/>
    </row>
    <row r="1519" ht="22.5" customHeight="1">
      <c r="A1519" s="443"/>
      <c r="B1519" s="456"/>
      <c r="C1519" s="471"/>
      <c r="D1519" s="471"/>
      <c r="E1519" s="445"/>
      <c r="F1519" s="445"/>
      <c r="G1519" s="442"/>
      <c r="H1519" s="448"/>
      <c r="I1519" s="447"/>
      <c r="J1519" s="448">
        <f t="shared" si="8"/>
        <v>12</v>
      </c>
      <c r="K1519" s="448"/>
    </row>
    <row r="1520" ht="22.5" customHeight="1">
      <c r="A1520" s="443"/>
      <c r="B1520" s="456"/>
      <c r="C1520" s="494"/>
      <c r="D1520" s="471"/>
      <c r="E1520" s="448"/>
      <c r="F1520" s="445"/>
      <c r="G1520" s="442"/>
      <c r="I1520" s="447"/>
      <c r="J1520" s="448">
        <f t="shared" si="8"/>
        <v>12</v>
      </c>
      <c r="K1520" s="448"/>
    </row>
    <row r="1521" ht="22.5" customHeight="1">
      <c r="A1521" s="443"/>
      <c r="B1521" s="456"/>
      <c r="C1521" s="494"/>
      <c r="D1521" s="471"/>
      <c r="E1521" s="448"/>
      <c r="F1521" s="445"/>
      <c r="G1521" s="442"/>
      <c r="I1521" s="447"/>
      <c r="J1521" s="448">
        <f t="shared" si="8"/>
        <v>12</v>
      </c>
      <c r="K1521" s="448"/>
    </row>
    <row r="1522" ht="22.5" customHeight="1">
      <c r="A1522" s="443"/>
      <c r="B1522" s="456"/>
      <c r="C1522" s="494"/>
      <c r="D1522" s="471"/>
      <c r="E1522" s="448"/>
      <c r="F1522" s="445"/>
      <c r="G1522" s="442"/>
      <c r="I1522" s="447"/>
      <c r="J1522" s="448">
        <f t="shared" si="8"/>
        <v>12</v>
      </c>
      <c r="K1522" s="448"/>
    </row>
    <row r="1523" ht="22.5" customHeight="1">
      <c r="A1523" s="443"/>
      <c r="B1523" s="456"/>
      <c r="C1523" s="494"/>
      <c r="D1523" s="471"/>
      <c r="E1523" s="448"/>
      <c r="F1523" s="445"/>
      <c r="G1523" s="442"/>
      <c r="I1523" s="447"/>
      <c r="J1523" s="448">
        <f t="shared" si="8"/>
        <v>12</v>
      </c>
      <c r="K1523" s="448"/>
    </row>
    <row r="1524" ht="22.5" customHeight="1">
      <c r="A1524" s="443"/>
      <c r="B1524" s="456"/>
      <c r="C1524" s="488"/>
      <c r="D1524" s="471"/>
      <c r="E1524" s="448"/>
      <c r="F1524" s="445"/>
      <c r="G1524" s="442"/>
      <c r="H1524" s="454" t="s">
        <v>2682</v>
      </c>
      <c r="I1524" s="447"/>
      <c r="J1524" s="448">
        <f t="shared" si="8"/>
        <v>12</v>
      </c>
      <c r="K1524" s="448"/>
    </row>
    <row r="1525" ht="22.5" customHeight="1">
      <c r="A1525" s="443"/>
      <c r="B1525" s="456"/>
      <c r="C1525" s="494"/>
      <c r="D1525" s="471"/>
      <c r="E1525" s="448"/>
      <c r="F1525" s="445"/>
      <c r="G1525" s="442"/>
      <c r="I1525" s="447"/>
      <c r="J1525" s="448">
        <f t="shared" si="8"/>
        <v>12</v>
      </c>
      <c r="K1525" s="448"/>
    </row>
    <row r="1526" ht="22.5" customHeight="1">
      <c r="A1526" s="443"/>
      <c r="B1526" s="456"/>
      <c r="C1526" s="494"/>
      <c r="D1526" s="471"/>
      <c r="E1526" s="448"/>
      <c r="F1526" s="445"/>
      <c r="G1526" s="442"/>
      <c r="I1526" s="447"/>
      <c r="J1526" s="448">
        <f t="shared" si="8"/>
        <v>12</v>
      </c>
      <c r="K1526" s="448"/>
    </row>
    <row r="1527" ht="22.5" customHeight="1">
      <c r="A1527" s="443"/>
      <c r="B1527" s="456"/>
      <c r="C1527" s="494"/>
      <c r="D1527" s="471"/>
      <c r="E1527" s="448"/>
      <c r="F1527" s="445"/>
      <c r="G1527" s="442"/>
      <c r="I1527" s="447"/>
      <c r="J1527" s="448">
        <f t="shared" si="8"/>
        <v>12</v>
      </c>
      <c r="K1527" s="448"/>
    </row>
    <row r="1528" ht="22.5" customHeight="1">
      <c r="A1528" s="443"/>
      <c r="B1528" s="456"/>
      <c r="C1528" s="494"/>
      <c r="D1528" s="471"/>
      <c r="E1528" s="448"/>
      <c r="F1528" s="445"/>
      <c r="G1528" s="442"/>
      <c r="I1528" s="447"/>
      <c r="J1528" s="448">
        <f t="shared" si="8"/>
        <v>12</v>
      </c>
      <c r="K1528" s="448"/>
    </row>
    <row r="1529" ht="22.5" customHeight="1">
      <c r="A1529" s="443"/>
      <c r="B1529" s="456"/>
      <c r="C1529" s="471"/>
      <c r="D1529" s="471"/>
      <c r="E1529" s="445"/>
      <c r="F1529" s="445"/>
      <c r="G1529" s="442"/>
      <c r="H1529" s="448"/>
      <c r="I1529" s="447"/>
      <c r="J1529" s="448">
        <f t="shared" si="8"/>
        <v>12</v>
      </c>
      <c r="K1529" s="448"/>
    </row>
    <row r="1530" ht="22.5" customHeight="1">
      <c r="A1530" s="443"/>
      <c r="B1530" s="456"/>
      <c r="C1530" s="471"/>
      <c r="D1530" s="471"/>
      <c r="E1530" s="445"/>
      <c r="F1530" s="445"/>
      <c r="G1530" s="442"/>
      <c r="H1530" s="448"/>
      <c r="I1530" s="447"/>
      <c r="J1530" s="448">
        <f t="shared" si="8"/>
        <v>12</v>
      </c>
      <c r="K1530" s="448"/>
    </row>
    <row r="1531" ht="22.5" customHeight="1">
      <c r="A1531" s="443"/>
      <c r="B1531" s="456"/>
      <c r="C1531" s="488"/>
      <c r="D1531" s="471"/>
      <c r="E1531" s="448"/>
      <c r="F1531" s="445"/>
      <c r="G1531" s="442"/>
      <c r="I1531" s="447"/>
      <c r="J1531" s="448">
        <f t="shared" si="8"/>
        <v>12</v>
      </c>
      <c r="K1531" s="448"/>
    </row>
    <row r="1532" ht="22.5" customHeight="1">
      <c r="A1532" s="443"/>
      <c r="B1532" s="456"/>
      <c r="C1532" s="488"/>
      <c r="D1532" s="471"/>
      <c r="E1532" s="448"/>
      <c r="F1532" s="445"/>
      <c r="G1532" s="442"/>
      <c r="I1532" s="447"/>
      <c r="J1532" s="448">
        <f t="shared" si="8"/>
        <v>12</v>
      </c>
      <c r="K1532" s="448"/>
    </row>
    <row r="1533" ht="22.5" customHeight="1">
      <c r="A1533" s="443"/>
      <c r="B1533" s="456"/>
      <c r="C1533" s="488"/>
      <c r="D1533" s="471"/>
      <c r="E1533" s="448"/>
      <c r="F1533" s="445"/>
      <c r="G1533" s="442"/>
      <c r="H1533" s="454" t="s">
        <v>2551</v>
      </c>
      <c r="I1533" s="447"/>
      <c r="J1533" s="448">
        <f t="shared" si="8"/>
        <v>12</v>
      </c>
      <c r="K1533" s="448"/>
    </row>
    <row r="1534" ht="22.5" customHeight="1">
      <c r="A1534" s="443"/>
      <c r="B1534" s="456"/>
      <c r="C1534" s="488"/>
      <c r="D1534" s="471"/>
      <c r="E1534" s="448"/>
      <c r="F1534" s="445"/>
      <c r="G1534" s="442"/>
      <c r="I1534" s="447"/>
      <c r="J1534" s="448">
        <f t="shared" si="8"/>
        <v>12</v>
      </c>
      <c r="K1534" s="448"/>
    </row>
    <row r="1535" ht="22.5" customHeight="1">
      <c r="A1535" s="443"/>
      <c r="B1535" s="456"/>
      <c r="C1535" s="488"/>
      <c r="D1535" s="471"/>
      <c r="E1535" s="448"/>
      <c r="F1535" s="445"/>
      <c r="G1535" s="442"/>
      <c r="I1535" s="447"/>
      <c r="J1535" s="448">
        <f t="shared" si="8"/>
        <v>12</v>
      </c>
      <c r="K1535" s="448"/>
    </row>
    <row r="1536" ht="22.5" customHeight="1">
      <c r="A1536" s="443"/>
      <c r="B1536" s="456"/>
      <c r="C1536" s="471"/>
      <c r="D1536" s="471"/>
      <c r="E1536" s="445"/>
      <c r="F1536" s="445"/>
      <c r="G1536" s="442"/>
      <c r="H1536" s="448"/>
      <c r="I1536" s="447"/>
      <c r="J1536" s="448">
        <f t="shared" si="8"/>
        <v>12</v>
      </c>
      <c r="K1536" s="448"/>
    </row>
    <row r="1537" ht="22.5" customHeight="1">
      <c r="A1537" s="443"/>
      <c r="B1537" s="456"/>
      <c r="C1537" s="471"/>
      <c r="D1537" s="471"/>
      <c r="E1537" s="445"/>
      <c r="F1537" s="445"/>
      <c r="G1537" s="442"/>
      <c r="H1537" s="448"/>
      <c r="I1537" s="447"/>
      <c r="J1537" s="448">
        <f t="shared" si="8"/>
        <v>12</v>
      </c>
      <c r="K1537" s="448"/>
    </row>
    <row r="1538" ht="22.5" customHeight="1">
      <c r="A1538" s="443"/>
      <c r="B1538" s="456"/>
      <c r="C1538" s="471"/>
      <c r="D1538" s="471"/>
      <c r="E1538" s="445"/>
      <c r="F1538" s="445"/>
      <c r="G1538" s="442"/>
      <c r="H1538" s="448"/>
      <c r="I1538" s="447"/>
      <c r="J1538" s="448">
        <f t="shared" si="8"/>
        <v>12</v>
      </c>
      <c r="K1538" s="448"/>
    </row>
    <row r="1539" ht="22.5" customHeight="1">
      <c r="A1539" s="443"/>
      <c r="B1539" s="456"/>
      <c r="C1539" s="471"/>
      <c r="D1539" s="471"/>
      <c r="E1539" s="445"/>
      <c r="F1539" s="445"/>
      <c r="G1539" s="442"/>
      <c r="H1539" s="448"/>
      <c r="I1539" s="447"/>
      <c r="J1539" s="448">
        <f t="shared" si="8"/>
        <v>12</v>
      </c>
      <c r="K1539" s="448"/>
    </row>
    <row r="1540" ht="22.5" customHeight="1">
      <c r="A1540" s="443"/>
      <c r="B1540" s="456"/>
      <c r="C1540" s="471"/>
      <c r="D1540" s="471"/>
      <c r="E1540" s="445"/>
      <c r="F1540" s="445"/>
      <c r="G1540" s="442"/>
      <c r="H1540" s="448"/>
      <c r="I1540" s="447"/>
      <c r="J1540" s="448">
        <f t="shared" si="8"/>
        <v>12</v>
      </c>
      <c r="K1540" s="448"/>
    </row>
    <row r="1541" ht="22.5" customHeight="1">
      <c r="A1541" s="443"/>
      <c r="B1541" s="456"/>
      <c r="C1541" s="471"/>
      <c r="D1541" s="471"/>
      <c r="E1541" s="445"/>
      <c r="F1541" s="445"/>
      <c r="G1541" s="442"/>
      <c r="H1541" s="448"/>
      <c r="I1541" s="447"/>
      <c r="J1541" s="448">
        <f t="shared" si="8"/>
        <v>12</v>
      </c>
      <c r="K1541" s="448"/>
    </row>
    <row r="1542" ht="22.5" customHeight="1">
      <c r="A1542" s="443"/>
      <c r="B1542" s="456"/>
      <c r="C1542" s="471"/>
      <c r="D1542" s="471"/>
      <c r="E1542" s="445"/>
      <c r="F1542" s="445"/>
      <c r="G1542" s="442"/>
      <c r="H1542" s="448"/>
      <c r="I1542" s="447"/>
      <c r="J1542" s="448">
        <f t="shared" si="8"/>
        <v>12</v>
      </c>
      <c r="K1542" s="448"/>
    </row>
    <row r="1543" ht="22.5" customHeight="1">
      <c r="A1543" s="443"/>
      <c r="B1543" s="456"/>
      <c r="C1543" s="471"/>
      <c r="D1543" s="471"/>
      <c r="E1543" s="445"/>
      <c r="F1543" s="445"/>
      <c r="G1543" s="442"/>
      <c r="H1543" s="448"/>
      <c r="I1543" s="447"/>
      <c r="J1543" s="448">
        <f t="shared" si="8"/>
        <v>12</v>
      </c>
      <c r="K1543" s="448"/>
    </row>
    <row r="1544" ht="22.5" customHeight="1">
      <c r="A1544" s="443"/>
      <c r="B1544" s="456"/>
      <c r="C1544" s="471"/>
      <c r="D1544" s="471"/>
      <c r="E1544" s="445"/>
      <c r="F1544" s="445"/>
      <c r="G1544" s="442"/>
      <c r="H1544" s="448"/>
      <c r="I1544" s="447"/>
      <c r="J1544" s="448">
        <f t="shared" si="8"/>
        <v>12</v>
      </c>
      <c r="K1544" s="448"/>
    </row>
    <row r="1545" ht="22.5" customHeight="1">
      <c r="A1545" s="443"/>
      <c r="B1545" s="456"/>
      <c r="C1545" s="471"/>
      <c r="D1545" s="471"/>
      <c r="E1545" s="445"/>
      <c r="F1545" s="445"/>
      <c r="G1545" s="442"/>
      <c r="H1545" s="448"/>
      <c r="I1545" s="447"/>
      <c r="J1545" s="448">
        <f t="shared" si="8"/>
        <v>12</v>
      </c>
      <c r="K1545" s="448"/>
    </row>
    <row r="1546" ht="22.5" customHeight="1">
      <c r="A1546" s="443"/>
      <c r="B1546" s="456"/>
      <c r="C1546" s="471"/>
      <c r="D1546" s="471"/>
      <c r="E1546" s="445"/>
      <c r="F1546" s="445"/>
      <c r="G1546" s="442"/>
      <c r="H1546" s="448"/>
      <c r="I1546" s="447"/>
      <c r="J1546" s="448">
        <f t="shared" si="8"/>
        <v>12</v>
      </c>
      <c r="K1546" s="448"/>
    </row>
    <row r="1547" ht="22.5" customHeight="1">
      <c r="A1547" s="443"/>
      <c r="B1547" s="456"/>
      <c r="C1547" s="471"/>
      <c r="D1547" s="471"/>
      <c r="E1547" s="445"/>
      <c r="F1547" s="445"/>
      <c r="G1547" s="442"/>
      <c r="H1547" s="448"/>
      <c r="I1547" s="447"/>
      <c r="J1547" s="448">
        <f t="shared" si="8"/>
        <v>12</v>
      </c>
      <c r="K1547" s="448"/>
    </row>
    <row r="1548" ht="22.5" customHeight="1">
      <c r="A1548" s="443"/>
      <c r="B1548" s="456"/>
      <c r="C1548" s="471"/>
      <c r="D1548" s="471"/>
      <c r="E1548" s="445"/>
      <c r="F1548" s="445"/>
      <c r="G1548" s="442"/>
      <c r="H1548" s="448"/>
      <c r="I1548" s="447"/>
      <c r="J1548" s="448">
        <f t="shared" si="8"/>
        <v>12</v>
      </c>
      <c r="K1548" s="448"/>
    </row>
    <row r="1549" ht="22.5" customHeight="1">
      <c r="A1549" s="443"/>
      <c r="B1549" s="456"/>
      <c r="C1549" s="471"/>
      <c r="D1549" s="471"/>
      <c r="E1549" s="445"/>
      <c r="F1549" s="445"/>
      <c r="G1549" s="442"/>
      <c r="H1549" s="448"/>
      <c r="I1549" s="447"/>
      <c r="J1549" s="448">
        <f t="shared" si="8"/>
        <v>12</v>
      </c>
      <c r="K1549" s="448"/>
    </row>
    <row r="1550" ht="22.5" customHeight="1">
      <c r="A1550" s="443"/>
      <c r="B1550" s="456"/>
      <c r="C1550" s="471"/>
      <c r="D1550" s="471"/>
      <c r="E1550" s="445"/>
      <c r="F1550" s="445"/>
      <c r="G1550" s="442"/>
      <c r="H1550" s="448"/>
      <c r="I1550" s="447"/>
      <c r="J1550" s="448">
        <f t="shared" si="8"/>
        <v>12</v>
      </c>
      <c r="K1550" s="448"/>
    </row>
    <row r="1551" ht="22.5" customHeight="1">
      <c r="A1551" s="443"/>
      <c r="B1551" s="456"/>
      <c r="C1551" s="471"/>
      <c r="D1551" s="471"/>
      <c r="E1551" s="445"/>
      <c r="F1551" s="445"/>
      <c r="G1551" s="442"/>
      <c r="H1551" s="448"/>
      <c r="I1551" s="447"/>
      <c r="J1551" s="448">
        <f t="shared" si="8"/>
        <v>12</v>
      </c>
      <c r="K1551" s="448"/>
    </row>
    <row r="1552" ht="22.5" customHeight="1">
      <c r="A1552" s="443"/>
      <c r="B1552" s="456"/>
      <c r="C1552" s="471"/>
      <c r="D1552" s="471"/>
      <c r="E1552" s="445"/>
      <c r="F1552" s="445"/>
      <c r="G1552" s="442"/>
      <c r="H1552" s="448"/>
      <c r="I1552" s="447"/>
      <c r="J1552" s="448">
        <f t="shared" si="8"/>
        <v>12</v>
      </c>
      <c r="K1552" s="448"/>
    </row>
    <row r="1553" ht="22.5" customHeight="1">
      <c r="A1553" s="443"/>
      <c r="B1553" s="456"/>
      <c r="C1553" s="488"/>
      <c r="D1553" s="471"/>
      <c r="E1553" s="448"/>
      <c r="F1553" s="445"/>
      <c r="G1553" s="442"/>
      <c r="I1553" s="447"/>
      <c r="J1553" s="448">
        <f t="shared" si="8"/>
        <v>12</v>
      </c>
      <c r="K1553" s="448"/>
    </row>
    <row r="1554" ht="22.5" customHeight="1">
      <c r="A1554" s="443"/>
      <c r="B1554" s="456"/>
      <c r="C1554" s="488"/>
      <c r="D1554" s="471"/>
      <c r="E1554" s="448"/>
      <c r="F1554" s="445"/>
      <c r="G1554" s="442"/>
      <c r="I1554" s="447"/>
      <c r="J1554" s="448">
        <f t="shared" si="8"/>
        <v>12</v>
      </c>
      <c r="K1554" s="448"/>
    </row>
    <row r="1555" ht="22.5" customHeight="1">
      <c r="A1555" s="443"/>
      <c r="B1555" s="456"/>
      <c r="C1555" s="488"/>
      <c r="D1555" s="471"/>
      <c r="E1555" s="448"/>
      <c r="F1555" s="445"/>
      <c r="G1555" s="442"/>
      <c r="I1555" s="447"/>
      <c r="J1555" s="448">
        <f t="shared" si="8"/>
        <v>12</v>
      </c>
      <c r="K1555" s="448"/>
    </row>
    <row r="1556" ht="22.5" customHeight="1">
      <c r="A1556" s="443"/>
      <c r="B1556" s="456"/>
      <c r="C1556" s="488"/>
      <c r="D1556" s="471"/>
      <c r="E1556" s="448"/>
      <c r="F1556" s="445"/>
      <c r="G1556" s="442"/>
      <c r="I1556" s="447"/>
      <c r="J1556" s="448">
        <f t="shared" si="8"/>
        <v>12</v>
      </c>
      <c r="K1556" s="448"/>
    </row>
    <row r="1557" ht="22.5" customHeight="1">
      <c r="A1557" s="443"/>
      <c r="B1557" s="456"/>
      <c r="C1557" s="488"/>
      <c r="D1557" s="471"/>
      <c r="E1557" s="448"/>
      <c r="F1557" s="445"/>
      <c r="G1557" s="442"/>
      <c r="I1557" s="447"/>
      <c r="J1557" s="448">
        <f t="shared" si="8"/>
        <v>12</v>
      </c>
      <c r="K1557" s="448"/>
    </row>
    <row r="1558" ht="22.5" customHeight="1">
      <c r="A1558" s="443"/>
      <c r="B1558" s="456"/>
      <c r="C1558" s="488"/>
      <c r="D1558" s="471"/>
      <c r="E1558" s="448"/>
      <c r="F1558" s="445"/>
      <c r="G1558" s="442"/>
      <c r="I1558" s="447"/>
      <c r="J1558" s="448">
        <f t="shared" si="8"/>
        <v>12</v>
      </c>
      <c r="K1558" s="448"/>
    </row>
    <row r="1559" ht="22.5" customHeight="1">
      <c r="A1559" s="443"/>
      <c r="B1559" s="456"/>
      <c r="C1559" s="488"/>
      <c r="D1559" s="471"/>
      <c r="E1559" s="448"/>
      <c r="F1559" s="445"/>
      <c r="G1559" s="442"/>
      <c r="I1559" s="447"/>
      <c r="J1559" s="448">
        <f t="shared" si="8"/>
        <v>12</v>
      </c>
      <c r="K1559" s="448"/>
    </row>
    <row r="1560" ht="22.5" customHeight="1">
      <c r="A1560" s="443"/>
      <c r="B1560" s="456"/>
      <c r="C1560" s="488"/>
      <c r="D1560" s="471"/>
      <c r="E1560" s="448"/>
      <c r="F1560" s="445"/>
      <c r="G1560" s="442"/>
      <c r="I1560" s="447"/>
      <c r="J1560" s="448">
        <f t="shared" si="8"/>
        <v>12</v>
      </c>
      <c r="K1560" s="448"/>
    </row>
    <row r="1561" ht="22.5" customHeight="1">
      <c r="A1561" s="443"/>
      <c r="B1561" s="456"/>
      <c r="C1561" s="488"/>
      <c r="D1561" s="471"/>
      <c r="E1561" s="448"/>
      <c r="F1561" s="445"/>
      <c r="G1561" s="442"/>
      <c r="I1561" s="447"/>
      <c r="J1561" s="448">
        <f t="shared" si="8"/>
        <v>12</v>
      </c>
      <c r="K1561" s="448"/>
    </row>
    <row r="1562" ht="22.5" customHeight="1">
      <c r="A1562" s="443"/>
      <c r="B1562" s="456"/>
      <c r="C1562" s="488"/>
      <c r="D1562" s="471"/>
      <c r="E1562" s="448"/>
      <c r="F1562" s="445"/>
      <c r="G1562" s="442"/>
      <c r="I1562" s="447"/>
      <c r="J1562" s="448">
        <f t="shared" si="8"/>
        <v>12</v>
      </c>
      <c r="K1562" s="448"/>
    </row>
    <row r="1563" ht="22.5" customHeight="1">
      <c r="A1563" s="443"/>
      <c r="B1563" s="456"/>
      <c r="C1563" s="488"/>
      <c r="D1563" s="471"/>
      <c r="E1563" s="448"/>
      <c r="F1563" s="445"/>
      <c r="G1563" s="442"/>
      <c r="I1563" s="447"/>
      <c r="J1563" s="448">
        <f t="shared" si="8"/>
        <v>12</v>
      </c>
      <c r="K1563" s="448"/>
    </row>
    <row r="1564" ht="22.5" customHeight="1">
      <c r="A1564" s="443"/>
      <c r="B1564" s="456"/>
      <c r="C1564" s="488"/>
      <c r="D1564" s="471"/>
      <c r="E1564" s="448"/>
      <c r="F1564" s="445"/>
      <c r="G1564" s="442"/>
      <c r="I1564" s="447"/>
      <c r="J1564" s="448">
        <f t="shared" si="8"/>
        <v>12</v>
      </c>
      <c r="K1564" s="448"/>
    </row>
    <row r="1565" ht="22.5" customHeight="1">
      <c r="A1565" s="443"/>
      <c r="B1565" s="456"/>
      <c r="C1565" s="494"/>
      <c r="D1565" s="471"/>
      <c r="E1565" s="448"/>
      <c r="F1565" s="445"/>
      <c r="G1565" s="442"/>
      <c r="I1565" s="447"/>
      <c r="J1565" s="448">
        <f t="shared" si="8"/>
        <v>12</v>
      </c>
      <c r="K1565" s="448"/>
    </row>
    <row r="1566" ht="22.5" customHeight="1">
      <c r="A1566" s="443"/>
      <c r="B1566" s="456"/>
      <c r="C1566" s="488"/>
      <c r="D1566" s="471"/>
      <c r="E1566" s="448"/>
      <c r="F1566" s="445"/>
      <c r="G1566" s="442"/>
      <c r="I1566" s="447"/>
      <c r="J1566" s="448">
        <f t="shared" si="8"/>
        <v>12</v>
      </c>
      <c r="K1566" s="448"/>
    </row>
    <row r="1567" ht="22.5" customHeight="1">
      <c r="A1567" s="443"/>
      <c r="B1567" s="456"/>
      <c r="C1567" s="488"/>
      <c r="D1567" s="471"/>
      <c r="E1567" s="448"/>
      <c r="F1567" s="445"/>
      <c r="G1567" s="442"/>
      <c r="I1567" s="447"/>
      <c r="J1567" s="448">
        <f t="shared" si="8"/>
        <v>12</v>
      </c>
      <c r="K1567" s="448"/>
    </row>
    <row r="1568" ht="22.5" customHeight="1">
      <c r="A1568" s="443"/>
      <c r="B1568" s="456"/>
      <c r="C1568" s="488"/>
      <c r="D1568" s="471"/>
      <c r="E1568" s="448"/>
      <c r="F1568" s="445"/>
      <c r="G1568" s="442"/>
      <c r="I1568" s="447"/>
      <c r="J1568" s="448">
        <f t="shared" si="8"/>
        <v>12</v>
      </c>
      <c r="K1568" s="448"/>
    </row>
    <row r="1569" ht="22.5" customHeight="1">
      <c r="A1569" s="443"/>
      <c r="B1569" s="456"/>
      <c r="C1569" s="488"/>
      <c r="D1569" s="471"/>
      <c r="E1569" s="448"/>
      <c r="F1569" s="445"/>
      <c r="G1569" s="442"/>
      <c r="I1569" s="447"/>
      <c r="J1569" s="448">
        <f t="shared" si="8"/>
        <v>12</v>
      </c>
      <c r="K1569" s="448"/>
    </row>
    <row r="1570" ht="22.5" customHeight="1">
      <c r="A1570" s="443"/>
      <c r="B1570" s="456"/>
      <c r="C1570" s="488"/>
      <c r="D1570" s="471"/>
      <c r="E1570" s="448"/>
      <c r="F1570" s="445"/>
      <c r="G1570" s="442"/>
      <c r="I1570" s="447"/>
      <c r="J1570" s="448">
        <f t="shared" si="8"/>
        <v>12</v>
      </c>
      <c r="K1570" s="448"/>
    </row>
    <row r="1571" ht="22.5" customHeight="1">
      <c r="A1571" s="443"/>
      <c r="B1571" s="456"/>
      <c r="C1571" s="488"/>
      <c r="D1571" s="471"/>
      <c r="E1571" s="448"/>
      <c r="F1571" s="445"/>
      <c r="G1571" s="442"/>
      <c r="I1571" s="447"/>
      <c r="J1571" s="448">
        <f t="shared" si="8"/>
        <v>12</v>
      </c>
      <c r="K1571" s="448"/>
    </row>
    <row r="1572" ht="22.5" customHeight="1">
      <c r="A1572" s="443"/>
      <c r="B1572" s="456"/>
      <c r="C1572" s="488"/>
      <c r="D1572" s="471"/>
      <c r="E1572" s="448"/>
      <c r="F1572" s="445"/>
      <c r="G1572" s="442"/>
      <c r="I1572" s="447"/>
      <c r="J1572" s="448">
        <f t="shared" si="8"/>
        <v>12</v>
      </c>
      <c r="K1572" s="448"/>
    </row>
    <row r="1573" ht="22.5" customHeight="1">
      <c r="A1573" s="443"/>
      <c r="B1573" s="456"/>
      <c r="C1573" s="488"/>
      <c r="D1573" s="471"/>
      <c r="E1573" s="448"/>
      <c r="F1573" s="445"/>
      <c r="G1573" s="442"/>
      <c r="I1573" s="447"/>
      <c r="J1573" s="448">
        <f t="shared" si="8"/>
        <v>12</v>
      </c>
      <c r="K1573" s="448"/>
    </row>
    <row r="1574" ht="22.5" customHeight="1">
      <c r="A1574" s="443"/>
      <c r="B1574" s="456"/>
      <c r="C1574" s="488"/>
      <c r="D1574" s="471"/>
      <c r="E1574" s="448"/>
      <c r="F1574" s="445"/>
      <c r="G1574" s="442"/>
      <c r="I1574" s="447"/>
      <c r="J1574" s="448">
        <f t="shared" si="8"/>
        <v>12</v>
      </c>
      <c r="K1574" s="448"/>
    </row>
    <row r="1575" ht="22.5" customHeight="1">
      <c r="A1575" s="443"/>
      <c r="B1575" s="456"/>
      <c r="C1575" s="488"/>
      <c r="D1575" s="471"/>
      <c r="E1575" s="448"/>
      <c r="F1575" s="445"/>
      <c r="G1575" s="442"/>
      <c r="I1575" s="447"/>
      <c r="J1575" s="448">
        <f t="shared" si="8"/>
        <v>12</v>
      </c>
      <c r="K1575" s="448"/>
    </row>
    <row r="1576" ht="22.5" customHeight="1">
      <c r="A1576" s="443"/>
      <c r="B1576" s="456"/>
      <c r="C1576" s="488"/>
      <c r="D1576" s="471"/>
      <c r="E1576" s="448"/>
      <c r="F1576" s="445"/>
      <c r="G1576" s="442"/>
      <c r="I1576" s="447"/>
      <c r="J1576" s="448">
        <f t="shared" si="8"/>
        <v>12</v>
      </c>
      <c r="K1576" s="448"/>
    </row>
    <row r="1577" ht="22.5" customHeight="1">
      <c r="A1577" s="443"/>
      <c r="B1577" s="456"/>
      <c r="C1577" s="488"/>
      <c r="D1577" s="471"/>
      <c r="E1577" s="448"/>
      <c r="F1577" s="445"/>
      <c r="G1577" s="442"/>
      <c r="I1577" s="447"/>
      <c r="J1577" s="448">
        <f t="shared" si="8"/>
        <v>12</v>
      </c>
      <c r="K1577" s="448"/>
    </row>
    <row r="1578" ht="22.5" customHeight="1">
      <c r="A1578" s="443"/>
      <c r="B1578" s="456"/>
      <c r="C1578" s="488"/>
      <c r="D1578" s="471"/>
      <c r="E1578" s="448"/>
      <c r="F1578" s="445"/>
      <c r="G1578" s="442"/>
      <c r="I1578" s="447"/>
      <c r="J1578" s="448">
        <f t="shared" si="8"/>
        <v>12</v>
      </c>
      <c r="K1578" s="448"/>
    </row>
    <row r="1579" ht="22.5" customHeight="1">
      <c r="A1579" s="443"/>
      <c r="B1579" s="456"/>
      <c r="C1579" s="488"/>
      <c r="D1579" s="471"/>
      <c r="E1579" s="448"/>
      <c r="F1579" s="445"/>
      <c r="G1579" s="442"/>
      <c r="I1579" s="447"/>
      <c r="J1579" s="448">
        <f t="shared" si="8"/>
        <v>12</v>
      </c>
      <c r="K1579" s="448"/>
    </row>
    <row r="1580" ht="22.5" customHeight="1">
      <c r="A1580" s="443"/>
      <c r="B1580" s="456"/>
      <c r="C1580" s="488"/>
      <c r="D1580" s="471"/>
      <c r="E1580" s="448"/>
      <c r="F1580" s="445"/>
      <c r="G1580" s="442"/>
      <c r="I1580" s="447"/>
      <c r="J1580" s="448">
        <f t="shared" si="8"/>
        <v>12</v>
      </c>
      <c r="K1580" s="448"/>
    </row>
    <row r="1581" ht="22.5" customHeight="1">
      <c r="A1581" s="443"/>
      <c r="B1581" s="456"/>
      <c r="C1581" s="488"/>
      <c r="D1581" s="471"/>
      <c r="E1581" s="448"/>
      <c r="F1581" s="445"/>
      <c r="G1581" s="442"/>
      <c r="I1581" s="447"/>
      <c r="J1581" s="448">
        <f t="shared" si="8"/>
        <v>12</v>
      </c>
      <c r="K1581" s="448"/>
    </row>
    <row r="1582" ht="22.5" customHeight="1">
      <c r="A1582" s="443"/>
      <c r="B1582" s="456"/>
      <c r="C1582" s="488"/>
      <c r="D1582" s="471"/>
      <c r="E1582" s="448"/>
      <c r="F1582" s="445"/>
      <c r="G1582" s="442"/>
      <c r="I1582" s="447"/>
      <c r="J1582" s="448">
        <f t="shared" si="8"/>
        <v>12</v>
      </c>
      <c r="K1582" s="448"/>
    </row>
    <row r="1583" ht="22.5" customHeight="1">
      <c r="A1583" s="443"/>
      <c r="B1583" s="456"/>
      <c r="C1583" s="488"/>
      <c r="D1583" s="471"/>
      <c r="E1583" s="448"/>
      <c r="F1583" s="445"/>
      <c r="G1583" s="442"/>
      <c r="I1583" s="447"/>
      <c r="J1583" s="448">
        <f t="shared" si="8"/>
        <v>12</v>
      </c>
      <c r="K1583" s="448"/>
    </row>
    <row r="1584" ht="22.5" customHeight="1">
      <c r="A1584" s="443"/>
      <c r="B1584" s="456"/>
      <c r="C1584" s="488"/>
      <c r="D1584" s="471"/>
      <c r="E1584" s="448"/>
      <c r="F1584" s="445"/>
      <c r="G1584" s="442"/>
      <c r="I1584" s="447"/>
      <c r="J1584" s="448">
        <f t="shared" si="8"/>
        <v>12</v>
      </c>
      <c r="K1584" s="448"/>
    </row>
    <row r="1585" ht="22.5" customHeight="1">
      <c r="A1585" s="443"/>
      <c r="B1585" s="456"/>
      <c r="C1585" s="488"/>
      <c r="D1585" s="471"/>
      <c r="E1585" s="448"/>
      <c r="F1585" s="445"/>
      <c r="G1585" s="442"/>
      <c r="I1585" s="447"/>
      <c r="J1585" s="448">
        <f t="shared" si="8"/>
        <v>12</v>
      </c>
      <c r="K1585" s="448"/>
    </row>
    <row r="1586" ht="22.5" customHeight="1">
      <c r="A1586" s="443"/>
      <c r="B1586" s="456"/>
      <c r="C1586" s="488"/>
      <c r="D1586" s="471"/>
      <c r="E1586" s="448"/>
      <c r="F1586" s="445"/>
      <c r="G1586" s="442"/>
      <c r="I1586" s="447"/>
      <c r="J1586" s="448">
        <f t="shared" si="8"/>
        <v>12</v>
      </c>
      <c r="K1586" s="448"/>
    </row>
    <row r="1587" ht="22.5" customHeight="1">
      <c r="A1587" s="443"/>
      <c r="B1587" s="456"/>
      <c r="C1587" s="488"/>
      <c r="D1587" s="471"/>
      <c r="E1587" s="448"/>
      <c r="F1587" s="445"/>
      <c r="G1587" s="442"/>
      <c r="I1587" s="447"/>
      <c r="J1587" s="448">
        <f t="shared" si="8"/>
        <v>12</v>
      </c>
      <c r="K1587" s="448"/>
    </row>
    <row r="1588" ht="22.5" customHeight="1">
      <c r="A1588" s="443"/>
      <c r="B1588" s="456"/>
      <c r="C1588" s="488"/>
      <c r="D1588" s="471"/>
      <c r="E1588" s="448"/>
      <c r="F1588" s="445"/>
      <c r="G1588" s="442"/>
      <c r="I1588" s="447"/>
      <c r="J1588" s="448">
        <f t="shared" si="8"/>
        <v>12</v>
      </c>
      <c r="K1588" s="448"/>
    </row>
    <row r="1589" ht="22.5" customHeight="1">
      <c r="A1589" s="443"/>
      <c r="B1589" s="456"/>
      <c r="C1589" s="488"/>
      <c r="D1589" s="471"/>
      <c r="E1589" s="448"/>
      <c r="F1589" s="445"/>
      <c r="G1589" s="442"/>
      <c r="I1589" s="447"/>
      <c r="J1589" s="448">
        <f t="shared" si="8"/>
        <v>12</v>
      </c>
      <c r="K1589" s="448"/>
    </row>
    <row r="1590" ht="22.5" customHeight="1">
      <c r="A1590" s="443"/>
      <c r="B1590" s="456"/>
      <c r="C1590" s="488"/>
      <c r="D1590" s="471"/>
      <c r="E1590" s="448"/>
      <c r="F1590" s="445"/>
      <c r="G1590" s="442"/>
      <c r="I1590" s="447"/>
      <c r="J1590" s="448">
        <f t="shared" si="8"/>
        <v>12</v>
      </c>
      <c r="K1590" s="448"/>
    </row>
    <row r="1591" ht="22.5" customHeight="1">
      <c r="A1591" s="443"/>
      <c r="B1591" s="456"/>
      <c r="C1591" s="488"/>
      <c r="D1591" s="471"/>
      <c r="E1591" s="448"/>
      <c r="F1591" s="445"/>
      <c r="G1591" s="442"/>
      <c r="I1591" s="447"/>
      <c r="J1591" s="448">
        <f t="shared" si="8"/>
        <v>12</v>
      </c>
      <c r="K1591" s="448"/>
    </row>
    <row r="1592" ht="22.5" customHeight="1">
      <c r="A1592" s="443"/>
      <c r="B1592" s="456"/>
      <c r="C1592" s="488"/>
      <c r="D1592" s="471"/>
      <c r="E1592" s="448"/>
      <c r="F1592" s="445"/>
      <c r="G1592" s="442"/>
      <c r="I1592" s="447"/>
      <c r="J1592" s="448">
        <f t="shared" si="8"/>
        <v>12</v>
      </c>
      <c r="K1592" s="448"/>
    </row>
    <row r="1593" ht="22.5" customHeight="1">
      <c r="A1593" s="443"/>
      <c r="B1593" s="456"/>
      <c r="C1593" s="488"/>
      <c r="D1593" s="471"/>
      <c r="E1593" s="448"/>
      <c r="F1593" s="445"/>
      <c r="G1593" s="442"/>
      <c r="I1593" s="447"/>
      <c r="J1593" s="448">
        <f t="shared" si="8"/>
        <v>12</v>
      </c>
      <c r="K1593" s="448"/>
    </row>
    <row r="1594" ht="22.5" customHeight="1">
      <c r="A1594" s="443"/>
      <c r="B1594" s="456"/>
      <c r="C1594" s="488"/>
      <c r="D1594" s="471"/>
      <c r="E1594" s="448"/>
      <c r="F1594" s="445"/>
      <c r="G1594" s="442"/>
      <c r="I1594" s="447"/>
      <c r="J1594" s="448">
        <f t="shared" si="8"/>
        <v>12</v>
      </c>
      <c r="K1594" s="448"/>
    </row>
    <row r="1595" ht="22.5" customHeight="1">
      <c r="A1595" s="443"/>
      <c r="B1595" s="456"/>
      <c r="C1595" s="488"/>
      <c r="D1595" s="471"/>
      <c r="E1595" s="448"/>
      <c r="F1595" s="445"/>
      <c r="G1595" s="442"/>
      <c r="I1595" s="447"/>
      <c r="J1595" s="448">
        <f t="shared" si="8"/>
        <v>12</v>
      </c>
      <c r="K1595" s="448"/>
    </row>
    <row r="1596" ht="22.5" customHeight="1">
      <c r="A1596" s="443"/>
      <c r="B1596" s="456"/>
      <c r="C1596" s="488"/>
      <c r="D1596" s="471"/>
      <c r="E1596" s="448"/>
      <c r="F1596" s="445"/>
      <c r="G1596" s="442"/>
      <c r="I1596" s="447"/>
      <c r="J1596" s="448">
        <f t="shared" si="8"/>
        <v>12</v>
      </c>
      <c r="K1596" s="448"/>
    </row>
    <row r="1597" ht="22.5" customHeight="1">
      <c r="A1597" s="443"/>
      <c r="B1597" s="456"/>
      <c r="C1597" s="488"/>
      <c r="D1597" s="471"/>
      <c r="E1597" s="448"/>
      <c r="F1597" s="445"/>
      <c r="G1597" s="442"/>
      <c r="I1597" s="447"/>
      <c r="J1597" s="448">
        <f t="shared" si="8"/>
        <v>12</v>
      </c>
      <c r="K1597" s="448"/>
    </row>
    <row r="1598" ht="22.5" customHeight="1">
      <c r="A1598" s="443"/>
      <c r="B1598" s="456"/>
      <c r="C1598" s="488"/>
      <c r="D1598" s="471"/>
      <c r="E1598" s="448"/>
      <c r="F1598" s="445"/>
      <c r="G1598" s="442"/>
      <c r="I1598" s="447"/>
      <c r="J1598" s="448">
        <f t="shared" si="8"/>
        <v>12</v>
      </c>
      <c r="K1598" s="448"/>
    </row>
    <row r="1599" ht="22.5" customHeight="1">
      <c r="A1599" s="443"/>
      <c r="B1599" s="456"/>
      <c r="C1599" s="488"/>
      <c r="D1599" s="471"/>
      <c r="E1599" s="448"/>
      <c r="F1599" s="445"/>
      <c r="G1599" s="442"/>
      <c r="I1599" s="447"/>
      <c r="J1599" s="448">
        <f t="shared" si="8"/>
        <v>12</v>
      </c>
      <c r="K1599" s="448"/>
    </row>
    <row r="1600" ht="22.5" customHeight="1">
      <c r="A1600" s="443"/>
      <c r="B1600" s="456"/>
      <c r="C1600" s="488"/>
      <c r="D1600" s="471"/>
      <c r="E1600" s="448"/>
      <c r="F1600" s="445"/>
      <c r="G1600" s="442"/>
      <c r="I1600" s="447"/>
      <c r="J1600" s="448">
        <f t="shared" si="8"/>
        <v>12</v>
      </c>
      <c r="K1600" s="448"/>
    </row>
    <row r="1601" ht="22.5" customHeight="1">
      <c r="A1601" s="443"/>
      <c r="B1601" s="456"/>
      <c r="C1601" s="488"/>
      <c r="D1601" s="471"/>
      <c r="E1601" s="448"/>
      <c r="F1601" s="445"/>
      <c r="G1601" s="442"/>
      <c r="I1601" s="447"/>
      <c r="J1601" s="448">
        <f t="shared" si="8"/>
        <v>12</v>
      </c>
      <c r="K1601" s="448"/>
    </row>
    <row r="1602" ht="22.5" customHeight="1">
      <c r="A1602" s="443"/>
      <c r="B1602" s="456"/>
      <c r="C1602" s="488"/>
      <c r="D1602" s="471"/>
      <c r="E1602" s="448"/>
      <c r="F1602" s="445"/>
      <c r="G1602" s="442"/>
      <c r="I1602" s="447"/>
      <c r="J1602" s="448">
        <f t="shared" si="8"/>
        <v>12</v>
      </c>
      <c r="K1602" s="448"/>
    </row>
    <row r="1603" ht="22.5" customHeight="1">
      <c r="A1603" s="443"/>
      <c r="B1603" s="456"/>
      <c r="C1603" s="488"/>
      <c r="D1603" s="471"/>
      <c r="E1603" s="448"/>
      <c r="F1603" s="445"/>
      <c r="G1603" s="442"/>
      <c r="I1603" s="447"/>
      <c r="J1603" s="448">
        <f t="shared" si="8"/>
        <v>12</v>
      </c>
      <c r="K1603" s="448"/>
    </row>
    <row r="1604" ht="22.5" customHeight="1">
      <c r="A1604" s="443"/>
      <c r="B1604" s="456"/>
      <c r="C1604" s="488"/>
      <c r="D1604" s="471"/>
      <c r="E1604" s="448"/>
      <c r="F1604" s="445"/>
      <c r="G1604" s="442"/>
      <c r="I1604" s="447"/>
      <c r="J1604" s="448">
        <f t="shared" si="8"/>
        <v>12</v>
      </c>
      <c r="K1604" s="448"/>
    </row>
    <row r="1605" ht="22.5" customHeight="1">
      <c r="A1605" s="443"/>
      <c r="B1605" s="456"/>
      <c r="C1605" s="488"/>
      <c r="D1605" s="471"/>
      <c r="E1605" s="448"/>
      <c r="F1605" s="445"/>
      <c r="G1605" s="442"/>
      <c r="I1605" s="447"/>
      <c r="J1605" s="448">
        <f t="shared" si="8"/>
        <v>12</v>
      </c>
      <c r="K1605" s="448"/>
    </row>
    <row r="1606" ht="22.5" customHeight="1">
      <c r="A1606" s="443"/>
      <c r="B1606" s="456"/>
      <c r="C1606" s="488"/>
      <c r="D1606" s="471"/>
      <c r="E1606" s="448"/>
      <c r="F1606" s="445"/>
      <c r="G1606" s="442"/>
      <c r="I1606" s="447"/>
      <c r="J1606" s="448">
        <f t="shared" si="8"/>
        <v>12</v>
      </c>
      <c r="K1606" s="448"/>
    </row>
    <row r="1607" ht="22.5" customHeight="1">
      <c r="A1607" s="443"/>
      <c r="B1607" s="456"/>
      <c r="C1607" s="488"/>
      <c r="D1607" s="471"/>
      <c r="E1607" s="448"/>
      <c r="F1607" s="445"/>
      <c r="G1607" s="442"/>
      <c r="I1607" s="447"/>
      <c r="J1607" s="448">
        <f t="shared" si="8"/>
        <v>12</v>
      </c>
      <c r="K1607" s="448"/>
    </row>
    <row r="1608" ht="22.5" customHeight="1">
      <c r="A1608" s="443"/>
      <c r="B1608" s="456"/>
      <c r="C1608" s="488"/>
      <c r="D1608" s="471"/>
      <c r="E1608" s="448"/>
      <c r="F1608" s="445"/>
      <c r="G1608" s="442"/>
      <c r="I1608" s="447"/>
      <c r="J1608" s="448">
        <f t="shared" si="8"/>
        <v>12</v>
      </c>
      <c r="K1608" s="448"/>
    </row>
    <row r="1609" ht="22.5" customHeight="1">
      <c r="A1609" s="443"/>
      <c r="B1609" s="456"/>
      <c r="C1609" s="488"/>
      <c r="D1609" s="471"/>
      <c r="E1609" s="448"/>
      <c r="F1609" s="445"/>
      <c r="G1609" s="442"/>
      <c r="I1609" s="447"/>
      <c r="J1609" s="448">
        <f t="shared" si="8"/>
        <v>12</v>
      </c>
      <c r="K1609" s="448"/>
    </row>
    <row r="1610" ht="22.5" customHeight="1">
      <c r="A1610" s="443"/>
      <c r="B1610" s="456"/>
      <c r="C1610" s="488"/>
      <c r="D1610" s="471"/>
      <c r="E1610" s="448"/>
      <c r="F1610" s="445"/>
      <c r="G1610" s="442"/>
      <c r="I1610" s="447"/>
      <c r="J1610" s="448">
        <f t="shared" si="8"/>
        <v>12</v>
      </c>
      <c r="K1610" s="448"/>
    </row>
    <row r="1611" ht="22.5" customHeight="1">
      <c r="A1611" s="443"/>
      <c r="B1611" s="456"/>
      <c r="C1611" s="488"/>
      <c r="D1611" s="471"/>
      <c r="E1611" s="448"/>
      <c r="F1611" s="445"/>
      <c r="G1611" s="442"/>
      <c r="I1611" s="447"/>
      <c r="J1611" s="448">
        <f t="shared" si="8"/>
        <v>12</v>
      </c>
      <c r="K1611" s="448"/>
    </row>
    <row r="1612" ht="22.5" customHeight="1">
      <c r="A1612" s="443"/>
      <c r="B1612" s="456"/>
      <c r="C1612" s="488"/>
      <c r="D1612" s="471"/>
      <c r="E1612" s="448"/>
      <c r="F1612" s="445"/>
      <c r="G1612" s="442"/>
      <c r="I1612" s="447"/>
      <c r="J1612" s="448">
        <f t="shared" si="8"/>
        <v>12</v>
      </c>
      <c r="K1612" s="448"/>
    </row>
    <row r="1613" ht="22.5" customHeight="1">
      <c r="A1613" s="443"/>
      <c r="B1613" s="477"/>
      <c r="C1613" s="497"/>
      <c r="D1613" s="489"/>
      <c r="E1613" s="483"/>
      <c r="F1613" s="481"/>
      <c r="G1613" s="482"/>
      <c r="H1613" s="498"/>
      <c r="I1613" s="484"/>
      <c r="J1613" s="483">
        <f t="shared" si="8"/>
        <v>12</v>
      </c>
      <c r="K1613" s="448"/>
    </row>
    <row r="1614" ht="22.5" customHeight="1">
      <c r="A1614" s="443"/>
      <c r="B1614" s="456"/>
      <c r="C1614" s="494"/>
      <c r="D1614" s="471"/>
      <c r="E1614" s="448"/>
      <c r="F1614" s="445"/>
      <c r="G1614" s="442"/>
      <c r="I1614" s="447"/>
      <c r="J1614" s="448">
        <f t="shared" si="8"/>
        <v>12</v>
      </c>
      <c r="K1614" s="448"/>
    </row>
    <row r="1615" ht="22.5" customHeight="1">
      <c r="A1615" s="443"/>
      <c r="B1615" s="456"/>
      <c r="C1615" s="488"/>
      <c r="D1615" s="471"/>
      <c r="E1615" s="448"/>
      <c r="F1615" s="445"/>
      <c r="G1615" s="442"/>
      <c r="H1615" s="454" t="s">
        <v>2682</v>
      </c>
      <c r="I1615" s="447"/>
      <c r="J1615" s="448">
        <f t="shared" si="8"/>
        <v>12</v>
      </c>
      <c r="K1615" s="448"/>
    </row>
    <row r="1616" ht="22.5" customHeight="1">
      <c r="A1616" s="443"/>
      <c r="B1616" s="456"/>
      <c r="C1616" s="494"/>
      <c r="D1616" s="471"/>
      <c r="E1616" s="448"/>
      <c r="F1616" s="445"/>
      <c r="G1616" s="442"/>
      <c r="H1616" s="454" t="s">
        <v>2682</v>
      </c>
      <c r="I1616" s="447"/>
      <c r="J1616" s="448">
        <f t="shared" si="8"/>
        <v>12</v>
      </c>
      <c r="K1616" s="448"/>
    </row>
    <row r="1617" ht="22.5" customHeight="1">
      <c r="A1617" s="443"/>
      <c r="B1617" s="456"/>
      <c r="C1617" s="494"/>
      <c r="D1617" s="471"/>
      <c r="E1617" s="448"/>
      <c r="F1617" s="445"/>
      <c r="G1617" s="442"/>
      <c r="I1617" s="447"/>
      <c r="J1617" s="448">
        <f t="shared" si="8"/>
        <v>12</v>
      </c>
      <c r="K1617" s="448"/>
    </row>
    <row r="1618" ht="22.5" customHeight="1">
      <c r="A1618" s="443"/>
      <c r="B1618" s="456"/>
      <c r="C1618" s="494"/>
      <c r="D1618" s="471"/>
      <c r="E1618" s="448"/>
      <c r="F1618" s="445"/>
      <c r="G1618" s="442"/>
      <c r="I1618" s="447"/>
      <c r="J1618" s="448">
        <f t="shared" si="8"/>
        <v>12</v>
      </c>
      <c r="K1618" s="448"/>
    </row>
    <row r="1619" ht="22.5" customHeight="1">
      <c r="A1619" s="443"/>
      <c r="B1619" s="456"/>
      <c r="C1619" s="471"/>
      <c r="D1619" s="471"/>
      <c r="E1619" s="485"/>
      <c r="F1619" s="485"/>
      <c r="G1619" s="442"/>
      <c r="H1619" s="448"/>
      <c r="I1619" s="447"/>
      <c r="J1619" s="448">
        <f t="shared" si="8"/>
        <v>12</v>
      </c>
      <c r="K1619" s="448"/>
    </row>
    <row r="1620" ht="22.5" customHeight="1">
      <c r="A1620" s="443"/>
      <c r="B1620" s="456"/>
      <c r="C1620" s="471"/>
      <c r="D1620" s="471"/>
      <c r="E1620" s="445"/>
      <c r="F1620" s="445"/>
      <c r="G1620" s="442"/>
      <c r="H1620" s="448"/>
      <c r="I1620" s="447"/>
      <c r="J1620" s="448">
        <f t="shared" si="8"/>
        <v>12</v>
      </c>
      <c r="K1620" s="448"/>
    </row>
    <row r="1621" ht="22.5" customHeight="1">
      <c r="A1621" s="443"/>
      <c r="B1621" s="456"/>
      <c r="C1621" s="471"/>
      <c r="D1621" s="471"/>
      <c r="E1621" s="445"/>
      <c r="F1621" s="445"/>
      <c r="G1621" s="442"/>
      <c r="H1621" s="448"/>
      <c r="I1621" s="447"/>
      <c r="J1621" s="448">
        <f t="shared" si="8"/>
        <v>12</v>
      </c>
      <c r="K1621" s="448"/>
    </row>
    <row r="1622" ht="22.5" customHeight="1">
      <c r="A1622" s="443"/>
      <c r="B1622" s="456"/>
      <c r="C1622" s="471"/>
      <c r="D1622" s="471"/>
      <c r="E1622" s="455"/>
      <c r="F1622" s="442"/>
      <c r="G1622" s="442"/>
      <c r="J1622" s="448">
        <f t="shared" si="8"/>
        <v>12</v>
      </c>
      <c r="K1622" s="448"/>
    </row>
    <row r="1623" ht="22.5" customHeight="1">
      <c r="A1623" s="443"/>
      <c r="B1623" s="456"/>
      <c r="C1623" s="471"/>
      <c r="D1623" s="471"/>
      <c r="E1623" s="455"/>
      <c r="F1623" s="442"/>
      <c r="G1623" s="442"/>
      <c r="J1623" s="448">
        <f t="shared" si="8"/>
        <v>12</v>
      </c>
      <c r="K1623" s="448"/>
    </row>
    <row r="1624" ht="22.5" customHeight="1">
      <c r="A1624" s="443"/>
      <c r="B1624" s="456"/>
      <c r="C1624" s="471"/>
      <c r="D1624" s="471"/>
      <c r="E1624" s="445"/>
      <c r="F1624" s="445"/>
      <c r="G1624" s="442"/>
      <c r="H1624" s="448"/>
      <c r="I1624" s="447"/>
      <c r="J1624" s="448">
        <f t="shared" si="8"/>
        <v>12</v>
      </c>
      <c r="K1624" s="448"/>
    </row>
    <row r="1625" ht="22.5" customHeight="1">
      <c r="A1625" s="443"/>
      <c r="B1625" s="456"/>
      <c r="C1625" s="471"/>
      <c r="D1625" s="471"/>
      <c r="E1625" s="445"/>
      <c r="F1625" s="445"/>
      <c r="G1625" s="442"/>
      <c r="H1625" s="448"/>
      <c r="I1625" s="447"/>
      <c r="J1625" s="448">
        <f t="shared" si="8"/>
        <v>12</v>
      </c>
      <c r="K1625" s="448"/>
    </row>
    <row r="1626" ht="22.5" customHeight="1">
      <c r="A1626" s="443"/>
      <c r="B1626" s="456"/>
      <c r="C1626" s="494"/>
      <c r="D1626" s="471"/>
      <c r="E1626" s="445"/>
      <c r="F1626" s="445"/>
      <c r="G1626" s="442"/>
      <c r="H1626" s="448"/>
      <c r="I1626" s="447"/>
      <c r="J1626" s="448">
        <f t="shared" si="8"/>
        <v>12</v>
      </c>
      <c r="K1626" s="448"/>
    </row>
    <row r="1627" ht="22.5" customHeight="1">
      <c r="A1627" s="443"/>
      <c r="B1627" s="456"/>
      <c r="C1627" s="494"/>
      <c r="D1627" s="471"/>
      <c r="E1627" s="448"/>
      <c r="F1627" s="445"/>
      <c r="G1627" s="442"/>
      <c r="I1627" s="447"/>
      <c r="J1627" s="448">
        <f t="shared" si="8"/>
        <v>12</v>
      </c>
      <c r="K1627" s="448"/>
    </row>
    <row r="1628" ht="22.5" customHeight="1">
      <c r="A1628" s="443"/>
      <c r="B1628" s="456"/>
      <c r="C1628" s="494"/>
      <c r="D1628" s="471"/>
      <c r="E1628" s="448"/>
      <c r="F1628" s="445"/>
      <c r="G1628" s="442"/>
      <c r="I1628" s="447"/>
      <c r="J1628" s="448">
        <f t="shared" si="8"/>
        <v>12</v>
      </c>
      <c r="K1628" s="448"/>
    </row>
    <row r="1629" ht="22.5" customHeight="1">
      <c r="A1629" s="443"/>
      <c r="B1629" s="456"/>
      <c r="C1629" s="494"/>
      <c r="D1629" s="471"/>
      <c r="E1629" s="448"/>
      <c r="F1629" s="445"/>
      <c r="G1629" s="442"/>
      <c r="I1629" s="447"/>
      <c r="J1629" s="448">
        <f t="shared" si="8"/>
        <v>12</v>
      </c>
      <c r="K1629" s="448"/>
    </row>
    <row r="1630" ht="22.5" customHeight="1">
      <c r="A1630" s="443"/>
      <c r="B1630" s="456"/>
      <c r="C1630" s="471"/>
      <c r="D1630" s="471"/>
      <c r="E1630" s="445"/>
      <c r="F1630" s="445"/>
      <c r="G1630" s="442"/>
      <c r="H1630" s="448"/>
      <c r="I1630" s="447"/>
      <c r="J1630" s="448">
        <f t="shared" si="8"/>
        <v>12</v>
      </c>
      <c r="K1630" s="448"/>
    </row>
    <row r="1631" ht="22.5" customHeight="1">
      <c r="A1631" s="443"/>
      <c r="B1631" s="456"/>
      <c r="C1631" s="471"/>
      <c r="D1631" s="471"/>
      <c r="E1631" s="445"/>
      <c r="F1631" s="445"/>
      <c r="G1631" s="442"/>
      <c r="H1631" s="448"/>
      <c r="I1631" s="447"/>
      <c r="J1631" s="448">
        <f t="shared" si="8"/>
        <v>12</v>
      </c>
      <c r="K1631" s="448"/>
    </row>
    <row r="1632" ht="22.5" customHeight="1">
      <c r="A1632" s="443"/>
      <c r="B1632" s="456"/>
      <c r="C1632" s="471"/>
      <c r="D1632" s="471"/>
      <c r="E1632" s="445"/>
      <c r="F1632" s="445"/>
      <c r="G1632" s="442"/>
      <c r="H1632" s="448"/>
      <c r="I1632" s="447"/>
      <c r="J1632" s="448">
        <f t="shared" si="8"/>
        <v>12</v>
      </c>
      <c r="K1632" s="448"/>
    </row>
    <row r="1633" ht="22.5" customHeight="1">
      <c r="A1633" s="443"/>
      <c r="B1633" s="456"/>
      <c r="C1633" s="471"/>
      <c r="D1633" s="471"/>
      <c r="E1633" s="445"/>
      <c r="F1633" s="445"/>
      <c r="G1633" s="442"/>
      <c r="H1633" s="448"/>
      <c r="I1633" s="447"/>
      <c r="J1633" s="448">
        <f t="shared" si="8"/>
        <v>12</v>
      </c>
      <c r="K1633" s="448"/>
    </row>
    <row r="1634" ht="22.5" customHeight="1">
      <c r="A1634" s="443"/>
      <c r="B1634" s="456"/>
      <c r="C1634" s="471"/>
      <c r="D1634" s="471"/>
      <c r="E1634" s="445"/>
      <c r="F1634" s="445"/>
      <c r="G1634" s="442"/>
      <c r="H1634" s="448"/>
      <c r="I1634" s="447"/>
      <c r="J1634" s="448">
        <f t="shared" si="8"/>
        <v>12</v>
      </c>
      <c r="K1634" s="448"/>
    </row>
    <row r="1635" ht="22.5" customHeight="1">
      <c r="A1635" s="443"/>
      <c r="B1635" s="456"/>
      <c r="C1635" s="471"/>
      <c r="D1635" s="471"/>
      <c r="E1635" s="445"/>
      <c r="F1635" s="445"/>
      <c r="G1635" s="442"/>
      <c r="H1635" s="448"/>
      <c r="I1635" s="447"/>
      <c r="J1635" s="448">
        <f t="shared" si="8"/>
        <v>12</v>
      </c>
      <c r="K1635" s="448"/>
    </row>
    <row r="1636" ht="22.5" customHeight="1">
      <c r="A1636" s="443"/>
      <c r="B1636" s="456"/>
      <c r="C1636" s="471"/>
      <c r="D1636" s="471"/>
      <c r="E1636" s="445"/>
      <c r="F1636" s="445"/>
      <c r="G1636" s="442"/>
      <c r="H1636" s="448"/>
      <c r="I1636" s="447"/>
      <c r="J1636" s="448">
        <f t="shared" si="8"/>
        <v>12</v>
      </c>
      <c r="K1636" s="448"/>
    </row>
    <row r="1637" ht="22.5" customHeight="1">
      <c r="B1637" s="456"/>
      <c r="C1637" s="471"/>
      <c r="D1637" s="471"/>
      <c r="E1637" s="445"/>
      <c r="F1637" s="445"/>
      <c r="G1637" s="442"/>
      <c r="H1637" s="448"/>
      <c r="I1637" s="447"/>
      <c r="J1637" s="448">
        <f t="shared" si="8"/>
        <v>12</v>
      </c>
      <c r="K1637" s="448"/>
    </row>
    <row r="1638" ht="22.5" customHeight="1">
      <c r="B1638" s="456"/>
      <c r="C1638" s="488"/>
      <c r="D1638" s="488"/>
      <c r="G1638" s="442"/>
      <c r="H1638" s="454"/>
    </row>
    <row r="1639" ht="22.5" customHeight="1">
      <c r="B1639" s="456"/>
      <c r="C1639" s="488"/>
      <c r="D1639" s="488"/>
      <c r="G1639" s="442"/>
      <c r="H1639" s="454" t="s">
        <v>2683</v>
      </c>
    </row>
    <row r="1640" ht="22.5" customHeight="1">
      <c r="B1640" s="456"/>
      <c r="C1640" s="488"/>
      <c r="D1640" s="488"/>
      <c r="G1640" s="442"/>
    </row>
    <row r="1641" ht="22.5" customHeight="1">
      <c r="B1641" s="456"/>
      <c r="C1641" s="488"/>
      <c r="D1641" s="488"/>
      <c r="G1641" s="442"/>
    </row>
    <row r="1642" ht="22.5" customHeight="1">
      <c r="B1642" s="456"/>
      <c r="C1642" s="488"/>
      <c r="D1642" s="488"/>
      <c r="G1642" s="442"/>
    </row>
    <row r="1643" ht="22.5" customHeight="1">
      <c r="B1643" s="492"/>
      <c r="C1643" s="488"/>
      <c r="D1643" s="488"/>
      <c r="G1643" s="442"/>
    </row>
    <row r="1644" ht="22.5" customHeight="1">
      <c r="B1644" s="492"/>
      <c r="C1644" s="488"/>
      <c r="D1644" s="488"/>
      <c r="G1644" s="442"/>
    </row>
    <row r="1645" ht="22.5" customHeight="1">
      <c r="B1645" s="492"/>
      <c r="C1645" s="488"/>
      <c r="D1645" s="488"/>
      <c r="G1645" s="442"/>
    </row>
    <row r="1646" ht="22.5" customHeight="1">
      <c r="B1646" s="492"/>
      <c r="C1646" s="488"/>
      <c r="D1646" s="488"/>
      <c r="G1646" s="442"/>
    </row>
    <row r="1647" ht="22.5" customHeight="1">
      <c r="B1647" s="492"/>
      <c r="C1647" s="488"/>
      <c r="D1647" s="488"/>
      <c r="G1647" s="442"/>
    </row>
    <row r="1648" ht="22.5" customHeight="1">
      <c r="B1648" s="492"/>
      <c r="C1648" s="488"/>
      <c r="D1648" s="488"/>
      <c r="G1648" s="442"/>
    </row>
    <row r="1649" ht="22.5" customHeight="1">
      <c r="B1649" s="492"/>
      <c r="C1649" s="488"/>
      <c r="D1649" s="488"/>
      <c r="G1649" s="442"/>
    </row>
    <row r="1650" ht="22.5" customHeight="1">
      <c r="B1650" s="492"/>
      <c r="C1650" s="488"/>
      <c r="D1650" s="488"/>
      <c r="G1650" s="442"/>
    </row>
    <row r="1651" ht="22.5" customHeight="1">
      <c r="B1651" s="492"/>
      <c r="C1651" s="488"/>
      <c r="D1651" s="488"/>
      <c r="G1651" s="442"/>
    </row>
    <row r="1652" ht="22.5" customHeight="1">
      <c r="B1652" s="492"/>
      <c r="C1652" s="488"/>
      <c r="D1652" s="488"/>
      <c r="G1652" s="442"/>
    </row>
    <row r="1653" ht="22.5" customHeight="1">
      <c r="B1653" s="492"/>
      <c r="C1653" s="488"/>
      <c r="D1653" s="488"/>
      <c r="G1653" s="442"/>
    </row>
    <row r="1654" ht="22.5" customHeight="1">
      <c r="B1654" s="492"/>
      <c r="C1654" s="488"/>
      <c r="D1654" s="488"/>
      <c r="G1654" s="442"/>
    </row>
    <row r="1655" ht="22.5" customHeight="1">
      <c r="B1655" s="492"/>
      <c r="C1655" s="488"/>
      <c r="D1655" s="488"/>
      <c r="G1655" s="442"/>
    </row>
    <row r="1656" ht="22.5" customHeight="1">
      <c r="A1656" s="443"/>
      <c r="B1656" s="492"/>
      <c r="C1656" s="488"/>
      <c r="D1656" s="488"/>
      <c r="G1656" s="442"/>
    </row>
    <row r="1657" ht="22.5" customHeight="1">
      <c r="A1657" s="443"/>
      <c r="B1657" s="456"/>
      <c r="C1657" s="471"/>
      <c r="D1657" s="471"/>
      <c r="E1657" s="445"/>
      <c r="F1657" s="445"/>
      <c r="G1657" s="442"/>
      <c r="H1657" s="448"/>
      <c r="I1657" s="447"/>
      <c r="J1657" s="448">
        <f t="shared" ref="J1657:J2418" si="9">MONTH(B1657)</f>
        <v>12</v>
      </c>
      <c r="K1657" s="448"/>
    </row>
    <row r="1658" ht="22.5" customHeight="1">
      <c r="A1658" s="443"/>
      <c r="B1658" s="456"/>
      <c r="C1658" s="471"/>
      <c r="D1658" s="471"/>
      <c r="E1658" s="445"/>
      <c r="F1658" s="445"/>
      <c r="G1658" s="442"/>
      <c r="H1658" s="448"/>
      <c r="I1658" s="447"/>
      <c r="J1658" s="448">
        <f t="shared" si="9"/>
        <v>12</v>
      </c>
      <c r="K1658" s="448"/>
    </row>
    <row r="1659" ht="22.5" customHeight="1">
      <c r="A1659" s="443"/>
      <c r="B1659" s="456"/>
      <c r="C1659" s="471"/>
      <c r="D1659" s="471"/>
      <c r="E1659" s="445"/>
      <c r="F1659" s="445"/>
      <c r="G1659" s="442"/>
      <c r="H1659" s="448"/>
      <c r="I1659" s="447"/>
      <c r="J1659" s="448">
        <f t="shared" si="9"/>
        <v>12</v>
      </c>
      <c r="K1659" s="448"/>
    </row>
    <row r="1660" ht="22.5" customHeight="1">
      <c r="A1660" s="443"/>
      <c r="B1660" s="456"/>
      <c r="C1660" s="471"/>
      <c r="D1660" s="471"/>
      <c r="E1660" s="445"/>
      <c r="F1660" s="445"/>
      <c r="G1660" s="442"/>
      <c r="H1660" s="448"/>
      <c r="I1660" s="447"/>
      <c r="J1660" s="448">
        <f t="shared" si="9"/>
        <v>12</v>
      </c>
      <c r="K1660" s="448"/>
    </row>
    <row r="1661" ht="22.5" customHeight="1">
      <c r="A1661" s="443"/>
      <c r="B1661" s="456"/>
      <c r="C1661" s="471"/>
      <c r="D1661" s="471"/>
      <c r="E1661" s="445"/>
      <c r="F1661" s="445"/>
      <c r="G1661" s="442"/>
      <c r="H1661" s="448"/>
      <c r="I1661" s="447"/>
      <c r="J1661" s="448">
        <f t="shared" si="9"/>
        <v>12</v>
      </c>
      <c r="K1661" s="448"/>
    </row>
    <row r="1662" ht="22.5" customHeight="1">
      <c r="A1662" s="443"/>
      <c r="B1662" s="456"/>
      <c r="C1662" s="471"/>
      <c r="D1662" s="471"/>
      <c r="E1662" s="445"/>
      <c r="F1662" s="445"/>
      <c r="G1662" s="442"/>
      <c r="H1662" s="448"/>
      <c r="I1662" s="447"/>
      <c r="J1662" s="448">
        <f t="shared" si="9"/>
        <v>12</v>
      </c>
      <c r="K1662" s="448"/>
    </row>
    <row r="1663" ht="22.5" customHeight="1">
      <c r="A1663" s="443"/>
      <c r="B1663" s="456"/>
      <c r="C1663" s="471"/>
      <c r="D1663" s="471"/>
      <c r="E1663" s="445"/>
      <c r="F1663" s="445"/>
      <c r="G1663" s="442"/>
      <c r="H1663" s="448"/>
      <c r="I1663" s="447"/>
      <c r="J1663" s="448">
        <f t="shared" si="9"/>
        <v>12</v>
      </c>
      <c r="K1663" s="448"/>
    </row>
    <row r="1664" ht="22.5" customHeight="1">
      <c r="A1664" s="443"/>
      <c r="B1664" s="456"/>
      <c r="C1664" s="471"/>
      <c r="D1664" s="471"/>
      <c r="E1664" s="445"/>
      <c r="F1664" s="445"/>
      <c r="G1664" s="442"/>
      <c r="H1664" s="448"/>
      <c r="I1664" s="447"/>
      <c r="J1664" s="448">
        <f t="shared" si="9"/>
        <v>12</v>
      </c>
      <c r="K1664" s="448"/>
    </row>
    <row r="1665" ht="22.5" customHeight="1">
      <c r="A1665" s="443"/>
      <c r="B1665" s="456"/>
      <c r="C1665" s="471"/>
      <c r="D1665" s="471"/>
      <c r="E1665" s="445"/>
      <c r="F1665" s="445"/>
      <c r="G1665" s="442"/>
      <c r="H1665" s="448"/>
      <c r="I1665" s="447"/>
      <c r="J1665" s="448">
        <f t="shared" si="9"/>
        <v>12</v>
      </c>
      <c r="K1665" s="448"/>
    </row>
    <row r="1666" ht="22.5" customHeight="1">
      <c r="A1666" s="443"/>
      <c r="B1666" s="456"/>
      <c r="C1666" s="471"/>
      <c r="D1666" s="471"/>
      <c r="E1666" s="445"/>
      <c r="F1666" s="445"/>
      <c r="G1666" s="442"/>
      <c r="H1666" s="448"/>
      <c r="I1666" s="447"/>
      <c r="J1666" s="448">
        <f t="shared" si="9"/>
        <v>12</v>
      </c>
      <c r="K1666" s="448"/>
    </row>
    <row r="1667" ht="22.5" customHeight="1">
      <c r="A1667" s="443"/>
      <c r="B1667" s="456"/>
      <c r="C1667" s="471"/>
      <c r="D1667" s="471"/>
      <c r="E1667" s="445"/>
      <c r="F1667" s="445"/>
      <c r="G1667" s="442"/>
      <c r="H1667" s="448"/>
      <c r="I1667" s="447"/>
      <c r="J1667" s="448">
        <f t="shared" si="9"/>
        <v>12</v>
      </c>
      <c r="K1667" s="448"/>
    </row>
    <row r="1668" ht="22.5" customHeight="1">
      <c r="A1668" s="443"/>
      <c r="B1668" s="456"/>
      <c r="C1668" s="471"/>
      <c r="D1668" s="471"/>
      <c r="E1668" s="445"/>
      <c r="F1668" s="445"/>
      <c r="G1668" s="442"/>
      <c r="H1668" s="448"/>
      <c r="I1668" s="447"/>
      <c r="J1668" s="448">
        <f t="shared" si="9"/>
        <v>12</v>
      </c>
      <c r="K1668" s="448"/>
    </row>
    <row r="1669" ht="22.5" customHeight="1">
      <c r="A1669" s="443"/>
      <c r="B1669" s="456"/>
      <c r="C1669" s="471"/>
      <c r="D1669" s="471"/>
      <c r="E1669" s="445"/>
      <c r="F1669" s="445"/>
      <c r="G1669" s="442"/>
      <c r="H1669" s="448"/>
      <c r="I1669" s="447"/>
      <c r="J1669" s="448">
        <f t="shared" si="9"/>
        <v>12</v>
      </c>
      <c r="K1669" s="448"/>
    </row>
    <row r="1670" ht="22.5" customHeight="1">
      <c r="A1670" s="443"/>
      <c r="B1670" s="456"/>
      <c r="C1670" s="471"/>
      <c r="D1670" s="471"/>
      <c r="E1670" s="445"/>
      <c r="F1670" s="445"/>
      <c r="G1670" s="442"/>
      <c r="H1670" s="448"/>
      <c r="I1670" s="447"/>
      <c r="J1670" s="448">
        <f t="shared" si="9"/>
        <v>12</v>
      </c>
      <c r="K1670" s="448"/>
    </row>
    <row r="1671" ht="22.5" customHeight="1">
      <c r="A1671" s="443"/>
      <c r="B1671" s="456"/>
      <c r="C1671" s="471"/>
      <c r="D1671" s="471"/>
      <c r="E1671" s="445"/>
      <c r="F1671" s="445"/>
      <c r="G1671" s="442"/>
      <c r="H1671" s="448"/>
      <c r="I1671" s="447"/>
      <c r="J1671" s="448">
        <f t="shared" si="9"/>
        <v>12</v>
      </c>
      <c r="K1671" s="448"/>
    </row>
    <row r="1672" ht="22.5" customHeight="1">
      <c r="A1672" s="443"/>
      <c r="B1672" s="456"/>
      <c r="C1672" s="471"/>
      <c r="D1672" s="471"/>
      <c r="E1672" s="445"/>
      <c r="F1672" s="445"/>
      <c r="G1672" s="442"/>
      <c r="H1672" s="448"/>
      <c r="I1672" s="447"/>
      <c r="J1672" s="448">
        <f t="shared" si="9"/>
        <v>12</v>
      </c>
      <c r="K1672" s="448"/>
    </row>
    <row r="1673" ht="22.5" customHeight="1">
      <c r="A1673" s="443"/>
      <c r="B1673" s="456"/>
      <c r="C1673" s="471"/>
      <c r="D1673" s="471"/>
      <c r="E1673" s="445"/>
      <c r="F1673" s="445"/>
      <c r="G1673" s="442"/>
      <c r="H1673" s="448"/>
      <c r="I1673" s="447"/>
      <c r="J1673" s="448">
        <f t="shared" si="9"/>
        <v>12</v>
      </c>
      <c r="K1673" s="448"/>
    </row>
    <row r="1674" ht="22.5" customHeight="1">
      <c r="A1674" s="443"/>
      <c r="B1674" s="456"/>
      <c r="C1674" s="471"/>
      <c r="D1674" s="471"/>
      <c r="E1674" s="445"/>
      <c r="F1674" s="445"/>
      <c r="G1674" s="442"/>
      <c r="H1674" s="448"/>
      <c r="I1674" s="447"/>
      <c r="J1674" s="448">
        <f t="shared" si="9"/>
        <v>12</v>
      </c>
      <c r="K1674" s="448"/>
    </row>
    <row r="1675" ht="22.5" customHeight="1">
      <c r="A1675" s="443"/>
      <c r="B1675" s="456"/>
      <c r="C1675" s="471"/>
      <c r="D1675" s="471"/>
      <c r="E1675" s="445"/>
      <c r="F1675" s="445"/>
      <c r="G1675" s="442"/>
      <c r="H1675" s="448"/>
      <c r="I1675" s="447"/>
      <c r="J1675" s="448">
        <f t="shared" si="9"/>
        <v>12</v>
      </c>
      <c r="K1675" s="448"/>
    </row>
    <row r="1676" ht="22.5" customHeight="1">
      <c r="A1676" s="443"/>
      <c r="B1676" s="456"/>
      <c r="C1676" s="471"/>
      <c r="D1676" s="471"/>
      <c r="E1676" s="445"/>
      <c r="F1676" s="445"/>
      <c r="G1676" s="442"/>
      <c r="H1676" s="448"/>
      <c r="I1676" s="447"/>
      <c r="J1676" s="448">
        <f t="shared" si="9"/>
        <v>12</v>
      </c>
      <c r="K1676" s="448"/>
    </row>
    <row r="1677" ht="22.5" customHeight="1">
      <c r="A1677" s="443"/>
      <c r="B1677" s="456"/>
      <c r="C1677" s="471"/>
      <c r="D1677" s="471"/>
      <c r="E1677" s="445"/>
      <c r="F1677" s="445"/>
      <c r="G1677" s="442"/>
      <c r="H1677" s="448"/>
      <c r="I1677" s="447"/>
      <c r="J1677" s="448">
        <f t="shared" si="9"/>
        <v>12</v>
      </c>
      <c r="K1677" s="448"/>
    </row>
    <row r="1678" ht="22.5" customHeight="1">
      <c r="A1678" s="443"/>
      <c r="B1678" s="456"/>
      <c r="C1678" s="471"/>
      <c r="D1678" s="471"/>
      <c r="E1678" s="445"/>
      <c r="F1678" s="445"/>
      <c r="G1678" s="442"/>
      <c r="H1678" s="448"/>
      <c r="I1678" s="447"/>
      <c r="J1678" s="448">
        <f t="shared" si="9"/>
        <v>12</v>
      </c>
      <c r="K1678" s="448"/>
    </row>
    <row r="1679" ht="22.5" customHeight="1">
      <c r="A1679" s="443"/>
      <c r="B1679" s="456"/>
      <c r="C1679" s="471"/>
      <c r="D1679" s="471"/>
      <c r="E1679" s="445"/>
      <c r="F1679" s="445"/>
      <c r="G1679" s="442"/>
      <c r="H1679" s="448"/>
      <c r="I1679" s="447"/>
      <c r="J1679" s="448">
        <f t="shared" si="9"/>
        <v>12</v>
      </c>
      <c r="K1679" s="448"/>
    </row>
    <row r="1680" ht="22.5" customHeight="1">
      <c r="A1680" s="443"/>
      <c r="B1680" s="456"/>
      <c r="C1680" s="471"/>
      <c r="D1680" s="471"/>
      <c r="E1680" s="445"/>
      <c r="F1680" s="445"/>
      <c r="G1680" s="442"/>
      <c r="H1680" s="448"/>
      <c r="I1680" s="447"/>
      <c r="J1680" s="448">
        <f t="shared" si="9"/>
        <v>12</v>
      </c>
      <c r="K1680" s="448"/>
    </row>
    <row r="1681" ht="22.5" customHeight="1">
      <c r="A1681" s="443"/>
      <c r="B1681" s="456"/>
      <c r="C1681" s="471"/>
      <c r="D1681" s="471"/>
      <c r="E1681" s="445"/>
      <c r="F1681" s="445"/>
      <c r="G1681" s="442"/>
      <c r="H1681" s="448"/>
      <c r="I1681" s="447"/>
      <c r="J1681" s="448">
        <f t="shared" si="9"/>
        <v>12</v>
      </c>
      <c r="K1681" s="448"/>
    </row>
    <row r="1682" ht="22.5" customHeight="1">
      <c r="A1682" s="443"/>
      <c r="B1682" s="456"/>
      <c r="C1682" s="471"/>
      <c r="D1682" s="471"/>
      <c r="E1682" s="445"/>
      <c r="F1682" s="445"/>
      <c r="G1682" s="442"/>
      <c r="H1682" s="448"/>
      <c r="I1682" s="447"/>
      <c r="J1682" s="448">
        <f t="shared" si="9"/>
        <v>12</v>
      </c>
      <c r="K1682" s="448"/>
    </row>
    <row r="1683" ht="22.5" customHeight="1">
      <c r="A1683" s="443"/>
      <c r="B1683" s="456"/>
      <c r="C1683" s="471"/>
      <c r="D1683" s="471"/>
      <c r="E1683" s="445"/>
      <c r="F1683" s="445"/>
      <c r="G1683" s="442"/>
      <c r="H1683" s="448"/>
      <c r="I1683" s="447"/>
      <c r="J1683" s="448">
        <f t="shared" si="9"/>
        <v>12</v>
      </c>
      <c r="K1683" s="448"/>
    </row>
    <row r="1684" ht="22.5" customHeight="1">
      <c r="A1684" s="443"/>
      <c r="B1684" s="456"/>
      <c r="C1684" s="471"/>
      <c r="D1684" s="471"/>
      <c r="E1684" s="445"/>
      <c r="F1684" s="445"/>
      <c r="G1684" s="442"/>
      <c r="H1684" s="448"/>
      <c r="I1684" s="447"/>
      <c r="J1684" s="448">
        <f t="shared" si="9"/>
        <v>12</v>
      </c>
      <c r="K1684" s="448"/>
    </row>
    <row r="1685" ht="22.5" customHeight="1">
      <c r="A1685" s="443"/>
      <c r="B1685" s="456"/>
      <c r="C1685" s="471"/>
      <c r="D1685" s="471"/>
      <c r="E1685" s="445"/>
      <c r="F1685" s="445"/>
      <c r="G1685" s="442"/>
      <c r="H1685" s="448"/>
      <c r="I1685" s="447"/>
      <c r="J1685" s="448">
        <f t="shared" si="9"/>
        <v>12</v>
      </c>
      <c r="K1685" s="448"/>
    </row>
    <row r="1686" ht="22.5" customHeight="1">
      <c r="A1686" s="443"/>
      <c r="B1686" s="456"/>
      <c r="C1686" s="471"/>
      <c r="D1686" s="471"/>
      <c r="E1686" s="445"/>
      <c r="F1686" s="445"/>
      <c r="G1686" s="442"/>
      <c r="H1686" s="448"/>
      <c r="I1686" s="447"/>
      <c r="J1686" s="448">
        <f t="shared" si="9"/>
        <v>12</v>
      </c>
      <c r="K1686" s="448"/>
    </row>
    <row r="1687" ht="22.5" customHeight="1">
      <c r="A1687" s="443"/>
      <c r="B1687" s="456"/>
      <c r="C1687" s="471"/>
      <c r="D1687" s="471"/>
      <c r="E1687" s="445"/>
      <c r="F1687" s="445"/>
      <c r="G1687" s="442"/>
      <c r="H1687" s="448"/>
      <c r="I1687" s="447"/>
      <c r="J1687" s="448">
        <f t="shared" si="9"/>
        <v>12</v>
      </c>
      <c r="K1687" s="448"/>
    </row>
    <row r="1688" ht="22.5" customHeight="1">
      <c r="A1688" s="443"/>
      <c r="B1688" s="456"/>
      <c r="C1688" s="471"/>
      <c r="D1688" s="471"/>
      <c r="E1688" s="445"/>
      <c r="F1688" s="445"/>
      <c r="G1688" s="442"/>
      <c r="H1688" s="448"/>
      <c r="I1688" s="447"/>
      <c r="J1688" s="448">
        <f t="shared" si="9"/>
        <v>12</v>
      </c>
      <c r="K1688" s="448"/>
    </row>
    <row r="1689" ht="22.5" customHeight="1">
      <c r="A1689" s="443"/>
      <c r="B1689" s="456"/>
      <c r="C1689" s="471"/>
      <c r="D1689" s="471"/>
      <c r="E1689" s="445"/>
      <c r="F1689" s="445"/>
      <c r="G1689" s="442"/>
      <c r="H1689" s="448" t="s">
        <v>2439</v>
      </c>
      <c r="I1689" s="447"/>
      <c r="J1689" s="448">
        <f t="shared" si="9"/>
        <v>12</v>
      </c>
      <c r="K1689" s="448"/>
    </row>
    <row r="1690" ht="22.5" customHeight="1">
      <c r="A1690" s="443"/>
      <c r="B1690" s="456"/>
      <c r="C1690" s="471"/>
      <c r="D1690" s="471"/>
      <c r="E1690" s="445"/>
      <c r="F1690" s="445"/>
      <c r="G1690" s="442"/>
      <c r="H1690" s="448"/>
      <c r="I1690" s="447"/>
      <c r="J1690" s="448">
        <f t="shared" si="9"/>
        <v>12</v>
      </c>
      <c r="K1690" s="448"/>
    </row>
    <row r="1691" ht="22.5" customHeight="1">
      <c r="A1691" s="443"/>
      <c r="B1691" s="456"/>
      <c r="C1691" s="471"/>
      <c r="D1691" s="471"/>
      <c r="E1691" s="448"/>
      <c r="F1691" s="445"/>
      <c r="G1691" s="442"/>
      <c r="I1691" s="447"/>
      <c r="J1691" s="448">
        <f t="shared" si="9"/>
        <v>12</v>
      </c>
      <c r="K1691" s="448"/>
    </row>
    <row r="1692" ht="22.5" customHeight="1">
      <c r="A1692" s="443"/>
      <c r="B1692" s="456"/>
      <c r="C1692" s="471"/>
      <c r="D1692" s="471"/>
      <c r="E1692" s="448"/>
      <c r="F1692" s="445"/>
      <c r="G1692" s="442"/>
      <c r="H1692" s="448"/>
      <c r="I1692" s="447"/>
      <c r="J1692" s="448">
        <f t="shared" si="9"/>
        <v>12</v>
      </c>
      <c r="K1692" s="448"/>
    </row>
    <row r="1693" ht="22.5" customHeight="1">
      <c r="A1693" s="443"/>
      <c r="B1693" s="456"/>
      <c r="C1693" s="471"/>
      <c r="D1693" s="471"/>
      <c r="E1693" s="445"/>
      <c r="F1693" s="445"/>
      <c r="G1693" s="442"/>
      <c r="H1693" s="448"/>
      <c r="I1693" s="447"/>
      <c r="J1693" s="448">
        <f t="shared" si="9"/>
        <v>12</v>
      </c>
      <c r="K1693" s="448"/>
    </row>
    <row r="1694" ht="22.5" customHeight="1">
      <c r="A1694" s="443"/>
      <c r="B1694" s="456"/>
      <c r="C1694" s="471"/>
      <c r="D1694" s="471"/>
      <c r="E1694" s="445"/>
      <c r="F1694" s="445"/>
      <c r="G1694" s="442"/>
      <c r="H1694" s="448"/>
      <c r="I1694" s="447"/>
      <c r="J1694" s="448">
        <f t="shared" si="9"/>
        <v>12</v>
      </c>
      <c r="K1694" s="448"/>
    </row>
    <row r="1695" ht="22.5" customHeight="1">
      <c r="A1695" s="443"/>
      <c r="B1695" s="456"/>
      <c r="C1695" s="471"/>
      <c r="D1695" s="471"/>
      <c r="E1695" s="445"/>
      <c r="F1695" s="445"/>
      <c r="G1695" s="442"/>
      <c r="H1695" s="448"/>
      <c r="I1695" s="447"/>
      <c r="J1695" s="448">
        <f t="shared" si="9"/>
        <v>12</v>
      </c>
      <c r="K1695" s="448"/>
    </row>
    <row r="1696" ht="22.5" customHeight="1">
      <c r="A1696" s="443"/>
      <c r="B1696" s="456"/>
      <c r="C1696" s="471"/>
      <c r="D1696" s="471"/>
      <c r="E1696" s="445"/>
      <c r="F1696" s="445"/>
      <c r="G1696" s="442"/>
      <c r="H1696" s="448"/>
      <c r="I1696" s="447"/>
      <c r="J1696" s="448">
        <f t="shared" si="9"/>
        <v>12</v>
      </c>
      <c r="K1696" s="448"/>
    </row>
    <row r="1697" ht="22.5" customHeight="1">
      <c r="A1697" s="443"/>
      <c r="B1697" s="456"/>
      <c r="C1697" s="471"/>
      <c r="D1697" s="471"/>
      <c r="E1697" s="445"/>
      <c r="F1697" s="445"/>
      <c r="G1697" s="442"/>
      <c r="H1697" s="448"/>
      <c r="I1697" s="447"/>
      <c r="J1697" s="448">
        <f t="shared" si="9"/>
        <v>12</v>
      </c>
      <c r="K1697" s="448"/>
    </row>
    <row r="1698" ht="22.5" customHeight="1">
      <c r="A1698" s="443"/>
      <c r="B1698" s="456"/>
      <c r="C1698" s="471"/>
      <c r="D1698" s="471"/>
      <c r="E1698" s="445"/>
      <c r="F1698" s="445"/>
      <c r="G1698" s="442"/>
      <c r="H1698" s="448"/>
      <c r="I1698" s="447"/>
      <c r="J1698" s="448">
        <f t="shared" si="9"/>
        <v>12</v>
      </c>
      <c r="K1698" s="448"/>
    </row>
    <row r="1699" ht="22.5" customHeight="1">
      <c r="A1699" s="443"/>
      <c r="B1699" s="456"/>
      <c r="C1699" s="471"/>
      <c r="D1699" s="471"/>
      <c r="E1699" s="445"/>
      <c r="F1699" s="445"/>
      <c r="G1699" s="442"/>
      <c r="H1699" s="448"/>
      <c r="I1699" s="447"/>
      <c r="J1699" s="448">
        <f t="shared" si="9"/>
        <v>12</v>
      </c>
      <c r="K1699" s="448"/>
    </row>
    <row r="1700" ht="22.5" customHeight="1">
      <c r="A1700" s="443"/>
      <c r="B1700" s="456"/>
      <c r="C1700" s="471"/>
      <c r="D1700" s="471"/>
      <c r="E1700" s="445"/>
      <c r="F1700" s="445"/>
      <c r="G1700" s="442"/>
      <c r="H1700" s="448"/>
      <c r="I1700" s="447"/>
      <c r="J1700" s="448">
        <f t="shared" si="9"/>
        <v>12</v>
      </c>
      <c r="K1700" s="448"/>
    </row>
    <row r="1701" ht="22.5" customHeight="1">
      <c r="A1701" s="443"/>
      <c r="B1701" s="456"/>
      <c r="C1701" s="471"/>
      <c r="D1701" s="471"/>
      <c r="E1701" s="445"/>
      <c r="F1701" s="445"/>
      <c r="G1701" s="442"/>
      <c r="H1701" s="448"/>
      <c r="I1701" s="447"/>
      <c r="J1701" s="448">
        <f t="shared" si="9"/>
        <v>12</v>
      </c>
      <c r="K1701" s="448"/>
    </row>
    <row r="1702" ht="22.5" customHeight="1">
      <c r="A1702" s="443"/>
      <c r="B1702" s="456"/>
      <c r="C1702" s="471"/>
      <c r="D1702" s="471"/>
      <c r="E1702" s="445"/>
      <c r="F1702" s="445"/>
      <c r="G1702" s="442"/>
      <c r="H1702" s="448"/>
      <c r="I1702" s="447"/>
      <c r="J1702" s="448">
        <f t="shared" si="9"/>
        <v>12</v>
      </c>
      <c r="K1702" s="448"/>
    </row>
    <row r="1703" ht="22.5" customHeight="1">
      <c r="A1703" s="443"/>
      <c r="B1703" s="456"/>
      <c r="C1703" s="471"/>
      <c r="D1703" s="471"/>
      <c r="E1703" s="445"/>
      <c r="F1703" s="445"/>
      <c r="G1703" s="442"/>
      <c r="H1703" s="448"/>
      <c r="I1703" s="447"/>
      <c r="J1703" s="448">
        <f t="shared" si="9"/>
        <v>12</v>
      </c>
      <c r="K1703" s="448"/>
    </row>
    <row r="1704" ht="22.5" customHeight="1">
      <c r="A1704" s="443"/>
      <c r="B1704" s="456"/>
      <c r="C1704" s="471"/>
      <c r="D1704" s="471"/>
      <c r="E1704" s="445"/>
      <c r="F1704" s="445"/>
      <c r="G1704" s="442"/>
      <c r="H1704" s="448"/>
      <c r="I1704" s="447"/>
      <c r="J1704" s="448">
        <f t="shared" si="9"/>
        <v>12</v>
      </c>
      <c r="K1704" s="448"/>
    </row>
    <row r="1705" ht="22.5" customHeight="1">
      <c r="A1705" s="443"/>
      <c r="B1705" s="456"/>
      <c r="C1705" s="471"/>
      <c r="D1705" s="471"/>
      <c r="E1705" s="445"/>
      <c r="F1705" s="445"/>
      <c r="G1705" s="442"/>
      <c r="H1705" s="448"/>
      <c r="I1705" s="447"/>
      <c r="J1705" s="448">
        <f t="shared" si="9"/>
        <v>12</v>
      </c>
      <c r="K1705" s="448"/>
    </row>
    <row r="1706" ht="22.5" customHeight="1">
      <c r="A1706" s="443"/>
      <c r="B1706" s="456"/>
      <c r="C1706" s="471"/>
      <c r="D1706" s="471"/>
      <c r="E1706" s="445"/>
      <c r="F1706" s="445"/>
      <c r="G1706" s="442"/>
      <c r="H1706" s="448" t="s">
        <v>2551</v>
      </c>
      <c r="I1706" s="447"/>
      <c r="J1706" s="448">
        <f t="shared" si="9"/>
        <v>12</v>
      </c>
      <c r="K1706" s="448"/>
    </row>
    <row r="1707" ht="22.5" customHeight="1">
      <c r="A1707" s="443"/>
      <c r="B1707" s="456"/>
      <c r="C1707" s="471"/>
      <c r="D1707" s="471"/>
      <c r="E1707" s="445"/>
      <c r="F1707" s="445"/>
      <c r="G1707" s="442"/>
      <c r="H1707" s="448"/>
      <c r="I1707" s="447"/>
      <c r="J1707" s="448">
        <f t="shared" si="9"/>
        <v>12</v>
      </c>
      <c r="K1707" s="448"/>
    </row>
    <row r="1708" ht="22.5" customHeight="1">
      <c r="A1708" s="443"/>
      <c r="B1708" s="456"/>
      <c r="C1708" s="471"/>
      <c r="D1708" s="471"/>
      <c r="E1708" s="445"/>
      <c r="F1708" s="445"/>
      <c r="G1708" s="442"/>
      <c r="H1708" s="448"/>
      <c r="I1708" s="447"/>
      <c r="J1708" s="448">
        <f t="shared" si="9"/>
        <v>12</v>
      </c>
      <c r="K1708" s="448"/>
    </row>
    <row r="1709" ht="22.5" customHeight="1">
      <c r="A1709" s="443"/>
      <c r="B1709" s="456"/>
      <c r="C1709" s="471"/>
      <c r="D1709" s="471"/>
      <c r="E1709" s="445"/>
      <c r="F1709" s="445"/>
      <c r="G1709" s="442"/>
      <c r="H1709" s="448"/>
      <c r="I1709" s="447"/>
      <c r="J1709" s="448">
        <f t="shared" si="9"/>
        <v>12</v>
      </c>
      <c r="K1709" s="448"/>
    </row>
    <row r="1710" ht="22.5" customHeight="1">
      <c r="A1710" s="443"/>
      <c r="B1710" s="456"/>
      <c r="C1710" s="471"/>
      <c r="D1710" s="471"/>
      <c r="E1710" s="445"/>
      <c r="F1710" s="445"/>
      <c r="G1710" s="442"/>
      <c r="H1710" s="448"/>
      <c r="I1710" s="447"/>
      <c r="J1710" s="448">
        <f t="shared" si="9"/>
        <v>12</v>
      </c>
      <c r="K1710" s="448"/>
    </row>
    <row r="1711" ht="22.5" customHeight="1">
      <c r="A1711" s="443"/>
      <c r="B1711" s="456"/>
      <c r="C1711" s="471"/>
      <c r="D1711" s="471"/>
      <c r="E1711" s="445"/>
      <c r="F1711" s="445"/>
      <c r="G1711" s="442"/>
      <c r="H1711" s="448"/>
      <c r="I1711" s="447"/>
      <c r="J1711" s="448">
        <f t="shared" si="9"/>
        <v>12</v>
      </c>
      <c r="K1711" s="448"/>
    </row>
    <row r="1712" ht="22.5" customHeight="1">
      <c r="A1712" s="443"/>
      <c r="B1712" s="456"/>
      <c r="C1712" s="471"/>
      <c r="D1712" s="471"/>
      <c r="E1712" s="445"/>
      <c r="F1712" s="445"/>
      <c r="G1712" s="442"/>
      <c r="H1712" s="448"/>
      <c r="I1712" s="447"/>
      <c r="J1712" s="448">
        <f t="shared" si="9"/>
        <v>12</v>
      </c>
      <c r="K1712" s="448"/>
    </row>
    <row r="1713" ht="22.5" customHeight="1">
      <c r="A1713" s="443"/>
      <c r="B1713" s="456"/>
      <c r="C1713" s="471"/>
      <c r="D1713" s="471"/>
      <c r="E1713" s="445"/>
      <c r="F1713" s="445"/>
      <c r="G1713" s="442"/>
      <c r="H1713" s="448"/>
      <c r="I1713" s="447"/>
      <c r="J1713" s="448">
        <f t="shared" si="9"/>
        <v>12</v>
      </c>
      <c r="K1713" s="448"/>
    </row>
    <row r="1714" ht="22.5" customHeight="1">
      <c r="A1714" s="443"/>
      <c r="B1714" s="456"/>
      <c r="C1714" s="471"/>
      <c r="D1714" s="471"/>
      <c r="E1714" s="445"/>
      <c r="F1714" s="445"/>
      <c r="G1714" s="442"/>
      <c r="H1714" s="448"/>
      <c r="I1714" s="447"/>
      <c r="J1714" s="448">
        <f t="shared" si="9"/>
        <v>12</v>
      </c>
      <c r="K1714" s="448"/>
    </row>
    <row r="1715" ht="22.5" customHeight="1">
      <c r="A1715" s="443"/>
      <c r="B1715" s="456"/>
      <c r="C1715" s="471"/>
      <c r="D1715" s="471"/>
      <c r="E1715" s="445"/>
      <c r="F1715" s="445"/>
      <c r="G1715" s="442"/>
      <c r="H1715" s="448"/>
      <c r="I1715" s="447"/>
      <c r="J1715" s="448">
        <f t="shared" si="9"/>
        <v>12</v>
      </c>
      <c r="K1715" s="448"/>
    </row>
    <row r="1716" ht="22.5" customHeight="1">
      <c r="A1716" s="443"/>
      <c r="B1716" s="456"/>
      <c r="C1716" s="471"/>
      <c r="D1716" s="471"/>
      <c r="E1716" s="445"/>
      <c r="F1716" s="445"/>
      <c r="G1716" s="442"/>
      <c r="H1716" s="448"/>
      <c r="I1716" s="447"/>
      <c r="J1716" s="448">
        <f t="shared" si="9"/>
        <v>12</v>
      </c>
      <c r="K1716" s="448"/>
    </row>
    <row r="1717" ht="22.5" customHeight="1">
      <c r="A1717" s="443"/>
      <c r="B1717" s="456"/>
      <c r="C1717" s="471"/>
      <c r="D1717" s="471"/>
      <c r="E1717" s="445"/>
      <c r="F1717" s="445"/>
      <c r="G1717" s="442"/>
      <c r="H1717" s="448"/>
      <c r="I1717" s="447"/>
      <c r="J1717" s="448">
        <f t="shared" si="9"/>
        <v>12</v>
      </c>
      <c r="K1717" s="448"/>
    </row>
    <row r="1718" ht="22.5" customHeight="1">
      <c r="A1718" s="443"/>
      <c r="B1718" s="456"/>
      <c r="C1718" s="471"/>
      <c r="D1718" s="471"/>
      <c r="E1718" s="445"/>
      <c r="F1718" s="445"/>
      <c r="G1718" s="442"/>
      <c r="H1718" s="448"/>
      <c r="I1718" s="447"/>
      <c r="J1718" s="448">
        <f t="shared" si="9"/>
        <v>12</v>
      </c>
      <c r="K1718" s="448"/>
    </row>
    <row r="1719" ht="22.5" customHeight="1">
      <c r="A1719" s="443"/>
      <c r="B1719" s="456"/>
      <c r="C1719" s="471"/>
      <c r="D1719" s="471"/>
      <c r="E1719" s="445"/>
      <c r="F1719" s="445"/>
      <c r="G1719" s="442"/>
      <c r="H1719" s="448"/>
      <c r="I1719" s="447"/>
      <c r="J1719" s="448">
        <f t="shared" si="9"/>
        <v>12</v>
      </c>
      <c r="K1719" s="448"/>
    </row>
    <row r="1720" ht="22.5" customHeight="1">
      <c r="A1720" s="443"/>
      <c r="B1720" s="456"/>
      <c r="C1720" s="471"/>
      <c r="D1720" s="471"/>
      <c r="E1720" s="445"/>
      <c r="F1720" s="445"/>
      <c r="G1720" s="442"/>
      <c r="H1720" s="448"/>
      <c r="I1720" s="447"/>
      <c r="J1720" s="448">
        <f t="shared" si="9"/>
        <v>12</v>
      </c>
      <c r="K1720" s="448"/>
    </row>
    <row r="1721" ht="22.5" customHeight="1">
      <c r="A1721" s="443"/>
      <c r="B1721" s="456"/>
      <c r="C1721" s="471"/>
      <c r="D1721" s="471"/>
      <c r="E1721" s="445"/>
      <c r="F1721" s="445"/>
      <c r="G1721" s="442"/>
      <c r="H1721" s="448"/>
      <c r="I1721" s="447"/>
      <c r="J1721" s="448">
        <f t="shared" si="9"/>
        <v>12</v>
      </c>
      <c r="K1721" s="448"/>
    </row>
    <row r="1722" ht="22.5" customHeight="1">
      <c r="A1722" s="443"/>
      <c r="B1722" s="456"/>
      <c r="C1722" s="471"/>
      <c r="D1722" s="471"/>
      <c r="E1722" s="445"/>
      <c r="F1722" s="445"/>
      <c r="G1722" s="442"/>
      <c r="H1722" s="448"/>
      <c r="I1722" s="447"/>
      <c r="J1722" s="448">
        <f t="shared" si="9"/>
        <v>12</v>
      </c>
      <c r="K1722" s="448"/>
    </row>
    <row r="1723" ht="22.5" customHeight="1">
      <c r="A1723" s="443"/>
      <c r="B1723" s="456"/>
      <c r="C1723" s="471"/>
      <c r="D1723" s="471"/>
      <c r="E1723" s="445"/>
      <c r="F1723" s="445"/>
      <c r="G1723" s="442"/>
      <c r="H1723" s="448"/>
      <c r="I1723" s="447"/>
      <c r="J1723" s="448">
        <f t="shared" si="9"/>
        <v>12</v>
      </c>
      <c r="K1723" s="448"/>
    </row>
    <row r="1724" ht="22.5" customHeight="1">
      <c r="A1724" s="443"/>
      <c r="B1724" s="456"/>
      <c r="C1724" s="471"/>
      <c r="D1724" s="471"/>
      <c r="E1724" s="445"/>
      <c r="F1724" s="445"/>
      <c r="G1724" s="442"/>
      <c r="H1724" s="448"/>
      <c r="I1724" s="447"/>
      <c r="J1724" s="448">
        <f t="shared" si="9"/>
        <v>12</v>
      </c>
      <c r="K1724" s="448"/>
    </row>
    <row r="1725" ht="22.5" customHeight="1">
      <c r="A1725" s="443"/>
      <c r="B1725" s="456"/>
      <c r="C1725" s="471"/>
      <c r="D1725" s="471"/>
      <c r="E1725" s="445"/>
      <c r="F1725" s="445"/>
      <c r="G1725" s="442"/>
      <c r="H1725" s="448"/>
      <c r="I1725" s="447"/>
      <c r="J1725" s="448">
        <f t="shared" si="9"/>
        <v>12</v>
      </c>
      <c r="K1725" s="448"/>
    </row>
    <row r="1726" ht="22.5" customHeight="1">
      <c r="A1726" s="443"/>
      <c r="B1726" s="456"/>
      <c r="C1726" s="471"/>
      <c r="D1726" s="471"/>
      <c r="E1726" s="445"/>
      <c r="F1726" s="445"/>
      <c r="G1726" s="442"/>
      <c r="H1726" s="448"/>
      <c r="I1726" s="447"/>
      <c r="J1726" s="448">
        <f t="shared" si="9"/>
        <v>12</v>
      </c>
      <c r="K1726" s="448"/>
    </row>
    <row r="1727" ht="22.5" customHeight="1">
      <c r="A1727" s="443"/>
      <c r="B1727" s="456"/>
      <c r="C1727" s="471"/>
      <c r="D1727" s="471"/>
      <c r="E1727" s="445"/>
      <c r="F1727" s="445"/>
      <c r="G1727" s="442"/>
      <c r="H1727" s="448"/>
      <c r="I1727" s="447"/>
      <c r="J1727" s="448">
        <f t="shared" si="9"/>
        <v>12</v>
      </c>
      <c r="K1727" s="448"/>
    </row>
    <row r="1728" ht="22.5" customHeight="1">
      <c r="A1728" s="443"/>
      <c r="B1728" s="456"/>
      <c r="C1728" s="471"/>
      <c r="D1728" s="471"/>
      <c r="E1728" s="445"/>
      <c r="F1728" s="445"/>
      <c r="G1728" s="442"/>
      <c r="H1728" s="448"/>
      <c r="I1728" s="447"/>
      <c r="J1728" s="448">
        <f t="shared" si="9"/>
        <v>12</v>
      </c>
      <c r="K1728" s="448"/>
    </row>
    <row r="1729" ht="22.5" customHeight="1">
      <c r="A1729" s="443"/>
      <c r="B1729" s="456"/>
      <c r="C1729" s="471"/>
      <c r="D1729" s="471"/>
      <c r="E1729" s="445"/>
      <c r="F1729" s="445"/>
      <c r="G1729" s="442"/>
      <c r="H1729" s="448"/>
      <c r="I1729" s="447"/>
      <c r="J1729" s="448">
        <f t="shared" si="9"/>
        <v>12</v>
      </c>
      <c r="K1729" s="448"/>
    </row>
    <row r="1730" ht="22.5" customHeight="1">
      <c r="A1730" s="443"/>
      <c r="B1730" s="456"/>
      <c r="C1730" s="471"/>
      <c r="D1730" s="471"/>
      <c r="E1730" s="445"/>
      <c r="F1730" s="445"/>
      <c r="G1730" s="442"/>
      <c r="H1730" s="448"/>
      <c r="I1730" s="447"/>
      <c r="J1730" s="448">
        <f t="shared" si="9"/>
        <v>12</v>
      </c>
      <c r="K1730" s="448"/>
    </row>
    <row r="1731" ht="22.5" customHeight="1">
      <c r="A1731" s="443"/>
      <c r="B1731" s="456"/>
      <c r="C1731" s="471"/>
      <c r="D1731" s="471"/>
      <c r="E1731" s="445"/>
      <c r="F1731" s="445"/>
      <c r="G1731" s="442"/>
      <c r="H1731" s="448"/>
      <c r="I1731" s="447"/>
      <c r="J1731" s="448">
        <f t="shared" si="9"/>
        <v>12</v>
      </c>
      <c r="K1731" s="448"/>
    </row>
    <row r="1732" ht="22.5" customHeight="1">
      <c r="A1732" s="443"/>
      <c r="B1732" s="456"/>
      <c r="C1732" s="471"/>
      <c r="D1732" s="471"/>
      <c r="E1732" s="445"/>
      <c r="F1732" s="445"/>
      <c r="G1732" s="442"/>
      <c r="H1732" s="448"/>
      <c r="I1732" s="447"/>
      <c r="J1732" s="448">
        <f t="shared" si="9"/>
        <v>12</v>
      </c>
      <c r="K1732" s="448"/>
    </row>
    <row r="1733" ht="22.5" customHeight="1">
      <c r="A1733" s="443"/>
      <c r="B1733" s="456"/>
      <c r="C1733" s="471"/>
      <c r="D1733" s="471"/>
      <c r="E1733" s="445"/>
      <c r="F1733" s="445"/>
      <c r="G1733" s="442"/>
      <c r="H1733" s="448"/>
      <c r="I1733" s="447"/>
      <c r="J1733" s="448">
        <f t="shared" si="9"/>
        <v>12</v>
      </c>
      <c r="K1733" s="448"/>
    </row>
    <row r="1734" ht="22.5" customHeight="1">
      <c r="A1734" s="443"/>
      <c r="B1734" s="456"/>
      <c r="C1734" s="471"/>
      <c r="D1734" s="471"/>
      <c r="E1734" s="445"/>
      <c r="F1734" s="445"/>
      <c r="G1734" s="442"/>
      <c r="H1734" s="448"/>
      <c r="I1734" s="447"/>
      <c r="J1734" s="448">
        <f t="shared" si="9"/>
        <v>12</v>
      </c>
      <c r="K1734" s="448"/>
    </row>
    <row r="1735" ht="22.5" customHeight="1">
      <c r="A1735" s="443"/>
      <c r="B1735" s="456"/>
      <c r="C1735" s="471"/>
      <c r="D1735" s="471"/>
      <c r="E1735" s="445"/>
      <c r="F1735" s="445"/>
      <c r="G1735" s="442"/>
      <c r="H1735" s="448"/>
      <c r="I1735" s="447"/>
      <c r="J1735" s="448">
        <f t="shared" si="9"/>
        <v>12</v>
      </c>
      <c r="K1735" s="448"/>
    </row>
    <row r="1736" ht="22.5" customHeight="1">
      <c r="A1736" s="443"/>
      <c r="B1736" s="456"/>
      <c r="C1736" s="471"/>
      <c r="D1736" s="471"/>
      <c r="E1736" s="445"/>
      <c r="F1736" s="445"/>
      <c r="G1736" s="442"/>
      <c r="H1736" s="448"/>
      <c r="I1736" s="447"/>
      <c r="J1736" s="448">
        <f t="shared" si="9"/>
        <v>12</v>
      </c>
      <c r="K1736" s="448"/>
    </row>
    <row r="1737" ht="22.5" customHeight="1">
      <c r="A1737" s="443"/>
      <c r="B1737" s="456"/>
      <c r="C1737" s="471"/>
      <c r="D1737" s="471"/>
      <c r="E1737" s="445"/>
      <c r="F1737" s="445"/>
      <c r="G1737" s="442"/>
      <c r="H1737" s="448"/>
      <c r="I1737" s="447"/>
      <c r="J1737" s="448">
        <f t="shared" si="9"/>
        <v>12</v>
      </c>
      <c r="K1737" s="448"/>
    </row>
    <row r="1738" ht="22.5" customHeight="1">
      <c r="A1738" s="443"/>
      <c r="B1738" s="456"/>
      <c r="C1738" s="471"/>
      <c r="D1738" s="471"/>
      <c r="E1738" s="445"/>
      <c r="F1738" s="445"/>
      <c r="G1738" s="442"/>
      <c r="H1738" s="448"/>
      <c r="I1738" s="447"/>
      <c r="J1738" s="448">
        <f t="shared" si="9"/>
        <v>12</v>
      </c>
      <c r="K1738" s="448"/>
    </row>
    <row r="1739" ht="22.5" customHeight="1">
      <c r="A1739" s="443"/>
      <c r="B1739" s="456"/>
      <c r="C1739" s="471"/>
      <c r="D1739" s="471"/>
      <c r="E1739" s="445"/>
      <c r="F1739" s="445"/>
      <c r="G1739" s="442"/>
      <c r="H1739" s="448"/>
      <c r="I1739" s="447"/>
      <c r="J1739" s="448">
        <f t="shared" si="9"/>
        <v>12</v>
      </c>
      <c r="K1739" s="448"/>
    </row>
    <row r="1740" ht="22.5" customHeight="1">
      <c r="A1740" s="443"/>
      <c r="B1740" s="456"/>
      <c r="C1740" s="471"/>
      <c r="D1740" s="471"/>
      <c r="E1740" s="445"/>
      <c r="F1740" s="445"/>
      <c r="G1740" s="442"/>
      <c r="H1740" s="448"/>
      <c r="I1740" s="447"/>
      <c r="J1740" s="448">
        <f t="shared" si="9"/>
        <v>12</v>
      </c>
      <c r="K1740" s="448"/>
    </row>
    <row r="1741" ht="22.5" customHeight="1">
      <c r="A1741" s="443"/>
      <c r="B1741" s="456"/>
      <c r="C1741" s="471"/>
      <c r="D1741" s="471"/>
      <c r="E1741" s="445"/>
      <c r="F1741" s="445"/>
      <c r="G1741" s="442"/>
      <c r="H1741" s="448"/>
      <c r="I1741" s="447"/>
      <c r="J1741" s="448">
        <f t="shared" si="9"/>
        <v>12</v>
      </c>
      <c r="K1741" s="448"/>
    </row>
    <row r="1742" ht="22.5" customHeight="1">
      <c r="A1742" s="443"/>
      <c r="B1742" s="456"/>
      <c r="C1742" s="471"/>
      <c r="D1742" s="471"/>
      <c r="E1742" s="445"/>
      <c r="F1742" s="445"/>
      <c r="G1742" s="442"/>
      <c r="H1742" s="448"/>
      <c r="I1742" s="447"/>
      <c r="J1742" s="448">
        <f t="shared" si="9"/>
        <v>12</v>
      </c>
      <c r="K1742" s="448"/>
    </row>
    <row r="1743" ht="22.5" customHeight="1">
      <c r="A1743" s="443"/>
      <c r="B1743" s="456"/>
      <c r="C1743" s="471"/>
      <c r="D1743" s="471"/>
      <c r="E1743" s="445"/>
      <c r="F1743" s="445"/>
      <c r="G1743" s="442"/>
      <c r="H1743" s="448"/>
      <c r="I1743" s="447"/>
      <c r="J1743" s="448">
        <f t="shared" si="9"/>
        <v>12</v>
      </c>
      <c r="K1743" s="448"/>
    </row>
    <row r="1744" ht="22.5" customHeight="1">
      <c r="A1744" s="443"/>
      <c r="B1744" s="456"/>
      <c r="C1744" s="471"/>
      <c r="D1744" s="471"/>
      <c r="E1744" s="445"/>
      <c r="F1744" s="445"/>
      <c r="G1744" s="442"/>
      <c r="H1744" s="448"/>
      <c r="I1744" s="447"/>
      <c r="J1744" s="448">
        <f t="shared" si="9"/>
        <v>12</v>
      </c>
      <c r="K1744" s="448"/>
    </row>
    <row r="1745" ht="22.5" customHeight="1">
      <c r="A1745" s="443"/>
      <c r="B1745" s="456"/>
      <c r="C1745" s="471"/>
      <c r="D1745" s="471"/>
      <c r="E1745" s="445"/>
      <c r="F1745" s="445"/>
      <c r="G1745" s="442"/>
      <c r="H1745" s="448"/>
      <c r="I1745" s="447"/>
      <c r="J1745" s="448">
        <f t="shared" si="9"/>
        <v>12</v>
      </c>
      <c r="K1745" s="448"/>
    </row>
    <row r="1746" ht="22.5" customHeight="1">
      <c r="A1746" s="443"/>
      <c r="B1746" s="456"/>
      <c r="C1746" s="471"/>
      <c r="D1746" s="471"/>
      <c r="E1746" s="445"/>
      <c r="F1746" s="445"/>
      <c r="G1746" s="442"/>
      <c r="H1746" s="448"/>
      <c r="I1746" s="447"/>
      <c r="J1746" s="448">
        <f t="shared" si="9"/>
        <v>12</v>
      </c>
      <c r="K1746" s="448"/>
    </row>
    <row r="1747" ht="22.5" customHeight="1">
      <c r="A1747" s="443"/>
      <c r="B1747" s="456"/>
      <c r="C1747" s="471"/>
      <c r="D1747" s="471"/>
      <c r="E1747" s="445"/>
      <c r="F1747" s="445"/>
      <c r="G1747" s="442"/>
      <c r="H1747" s="448"/>
      <c r="I1747" s="447"/>
      <c r="J1747" s="448">
        <f t="shared" si="9"/>
        <v>12</v>
      </c>
      <c r="K1747" s="448"/>
    </row>
    <row r="1748" ht="22.5" customHeight="1">
      <c r="A1748" s="443"/>
      <c r="B1748" s="456"/>
      <c r="C1748" s="471"/>
      <c r="D1748" s="471"/>
      <c r="E1748" s="445"/>
      <c r="F1748" s="445"/>
      <c r="G1748" s="442"/>
      <c r="H1748" s="448"/>
      <c r="I1748" s="447"/>
      <c r="J1748" s="448">
        <f t="shared" si="9"/>
        <v>12</v>
      </c>
      <c r="K1748" s="448"/>
    </row>
    <row r="1749" ht="22.5" customHeight="1">
      <c r="A1749" s="443"/>
      <c r="B1749" s="456"/>
      <c r="C1749" s="471"/>
      <c r="D1749" s="471"/>
      <c r="E1749" s="445"/>
      <c r="F1749" s="445"/>
      <c r="G1749" s="442"/>
      <c r="H1749" s="448"/>
      <c r="I1749" s="447"/>
      <c r="J1749" s="448">
        <f t="shared" si="9"/>
        <v>12</v>
      </c>
      <c r="K1749" s="448"/>
    </row>
    <row r="1750" ht="22.5" customHeight="1">
      <c r="A1750" s="443"/>
      <c r="B1750" s="456"/>
      <c r="C1750" s="471"/>
      <c r="D1750" s="471"/>
      <c r="E1750" s="445"/>
      <c r="F1750" s="445"/>
      <c r="G1750" s="442"/>
      <c r="H1750" s="448"/>
      <c r="I1750" s="447"/>
      <c r="J1750" s="448">
        <f t="shared" si="9"/>
        <v>12</v>
      </c>
      <c r="K1750" s="448"/>
    </row>
    <row r="1751" ht="22.5" customHeight="1">
      <c r="A1751" s="443"/>
      <c r="B1751" s="456"/>
      <c r="C1751" s="471"/>
      <c r="D1751" s="471"/>
      <c r="E1751" s="445"/>
      <c r="F1751" s="445"/>
      <c r="G1751" s="442"/>
      <c r="H1751" s="448"/>
      <c r="I1751" s="447"/>
      <c r="J1751" s="448">
        <f t="shared" si="9"/>
        <v>12</v>
      </c>
      <c r="K1751" s="448"/>
    </row>
    <row r="1752" ht="22.5" customHeight="1">
      <c r="A1752" s="443"/>
      <c r="B1752" s="456"/>
      <c r="C1752" s="471"/>
      <c r="D1752" s="471"/>
      <c r="E1752" s="445"/>
      <c r="F1752" s="445"/>
      <c r="G1752" s="442"/>
      <c r="H1752" s="448"/>
      <c r="I1752" s="447"/>
      <c r="J1752" s="448">
        <f t="shared" si="9"/>
        <v>12</v>
      </c>
      <c r="K1752" s="448"/>
    </row>
    <row r="1753" ht="22.5" customHeight="1">
      <c r="A1753" s="443"/>
      <c r="B1753" s="456"/>
      <c r="C1753" s="471"/>
      <c r="D1753" s="471"/>
      <c r="E1753" s="445"/>
      <c r="F1753" s="445"/>
      <c r="G1753" s="442"/>
      <c r="H1753" s="448"/>
      <c r="I1753" s="447"/>
      <c r="J1753" s="448">
        <f t="shared" si="9"/>
        <v>12</v>
      </c>
      <c r="K1753" s="448"/>
    </row>
    <row r="1754" ht="22.5" customHeight="1">
      <c r="A1754" s="443"/>
      <c r="B1754" s="456"/>
      <c r="C1754" s="471"/>
      <c r="D1754" s="471"/>
      <c r="E1754" s="445"/>
      <c r="F1754" s="445"/>
      <c r="G1754" s="442"/>
      <c r="H1754" s="448"/>
      <c r="I1754" s="447"/>
      <c r="J1754" s="448">
        <f t="shared" si="9"/>
        <v>12</v>
      </c>
      <c r="K1754" s="448"/>
    </row>
    <row r="1755" ht="22.5" customHeight="1">
      <c r="A1755" s="443"/>
      <c r="B1755" s="456"/>
      <c r="C1755" s="471"/>
      <c r="D1755" s="471"/>
      <c r="E1755" s="445"/>
      <c r="F1755" s="445"/>
      <c r="G1755" s="442"/>
      <c r="H1755" s="448"/>
      <c r="I1755" s="447"/>
      <c r="J1755" s="448">
        <f t="shared" si="9"/>
        <v>12</v>
      </c>
      <c r="K1755" s="448"/>
    </row>
    <row r="1756" ht="22.5" customHeight="1">
      <c r="A1756" s="443"/>
      <c r="B1756" s="456"/>
      <c r="C1756" s="471"/>
      <c r="D1756" s="471"/>
      <c r="E1756" s="445"/>
      <c r="F1756" s="445"/>
      <c r="G1756" s="442"/>
      <c r="H1756" s="448"/>
      <c r="I1756" s="447"/>
      <c r="J1756" s="448">
        <f t="shared" si="9"/>
        <v>12</v>
      </c>
      <c r="K1756" s="448"/>
    </row>
    <row r="1757" ht="22.5" customHeight="1">
      <c r="A1757" s="443"/>
      <c r="B1757" s="456"/>
      <c r="C1757" s="471"/>
      <c r="D1757" s="471"/>
      <c r="E1757" s="445"/>
      <c r="F1757" s="445"/>
      <c r="G1757" s="442"/>
      <c r="H1757" s="448"/>
      <c r="I1757" s="447"/>
      <c r="J1757" s="448">
        <f t="shared" si="9"/>
        <v>12</v>
      </c>
      <c r="K1757" s="448"/>
    </row>
    <row r="1758" ht="22.5" customHeight="1">
      <c r="A1758" s="443"/>
      <c r="B1758" s="456"/>
      <c r="C1758" s="471"/>
      <c r="D1758" s="471"/>
      <c r="E1758" s="445"/>
      <c r="F1758" s="445"/>
      <c r="G1758" s="442"/>
      <c r="H1758" s="448"/>
      <c r="I1758" s="447"/>
      <c r="J1758" s="448">
        <f t="shared" si="9"/>
        <v>12</v>
      </c>
      <c r="K1758" s="448"/>
    </row>
    <row r="1759" ht="22.5" customHeight="1">
      <c r="A1759" s="443"/>
      <c r="B1759" s="456"/>
      <c r="C1759" s="471"/>
      <c r="D1759" s="471"/>
      <c r="E1759" s="445"/>
      <c r="F1759" s="445"/>
      <c r="G1759" s="442"/>
      <c r="H1759" s="448"/>
      <c r="I1759" s="447"/>
      <c r="J1759" s="448">
        <f t="shared" si="9"/>
        <v>12</v>
      </c>
      <c r="K1759" s="448"/>
    </row>
    <row r="1760" ht="22.5" customHeight="1">
      <c r="A1760" s="443"/>
      <c r="B1760" s="456"/>
      <c r="C1760" s="471"/>
      <c r="D1760" s="471"/>
      <c r="E1760" s="445"/>
      <c r="F1760" s="445"/>
      <c r="G1760" s="442"/>
      <c r="H1760" s="448"/>
      <c r="I1760" s="447"/>
      <c r="J1760" s="448">
        <f t="shared" si="9"/>
        <v>12</v>
      </c>
      <c r="K1760" s="448"/>
    </row>
    <row r="1761" ht="22.5" customHeight="1">
      <c r="A1761" s="443"/>
      <c r="B1761" s="456"/>
      <c r="C1761" s="471"/>
      <c r="D1761" s="471"/>
      <c r="E1761" s="445"/>
      <c r="F1761" s="445"/>
      <c r="G1761" s="442"/>
      <c r="H1761" s="448"/>
      <c r="I1761" s="447"/>
      <c r="J1761" s="448">
        <f t="shared" si="9"/>
        <v>12</v>
      </c>
      <c r="K1761" s="448"/>
    </row>
    <row r="1762" ht="22.5" customHeight="1">
      <c r="A1762" s="443"/>
      <c r="B1762" s="456"/>
      <c r="C1762" s="471"/>
      <c r="D1762" s="471"/>
      <c r="E1762" s="445"/>
      <c r="F1762" s="445"/>
      <c r="G1762" s="442"/>
      <c r="H1762" s="448"/>
      <c r="I1762" s="447"/>
      <c r="J1762" s="448">
        <f t="shared" si="9"/>
        <v>12</v>
      </c>
      <c r="K1762" s="448"/>
    </row>
    <row r="1763" ht="22.5" customHeight="1">
      <c r="A1763" s="443"/>
      <c r="B1763" s="456"/>
      <c r="C1763" s="471"/>
      <c r="D1763" s="471"/>
      <c r="E1763" s="445"/>
      <c r="F1763" s="445"/>
      <c r="G1763" s="442"/>
      <c r="H1763" s="448"/>
      <c r="I1763" s="447"/>
      <c r="J1763" s="448">
        <f t="shared" si="9"/>
        <v>12</v>
      </c>
      <c r="K1763" s="448"/>
    </row>
    <row r="1764" ht="22.5" customHeight="1">
      <c r="A1764" s="443"/>
      <c r="B1764" s="456"/>
      <c r="C1764" s="471"/>
      <c r="D1764" s="471"/>
      <c r="E1764" s="445"/>
      <c r="F1764" s="445"/>
      <c r="G1764" s="442"/>
      <c r="H1764" s="448"/>
      <c r="I1764" s="447"/>
      <c r="J1764" s="448">
        <f t="shared" si="9"/>
        <v>12</v>
      </c>
      <c r="K1764" s="448"/>
    </row>
    <row r="1765" ht="22.5" customHeight="1">
      <c r="A1765" s="443"/>
      <c r="B1765" s="456"/>
      <c r="C1765" s="471"/>
      <c r="D1765" s="471"/>
      <c r="E1765" s="445"/>
      <c r="F1765" s="445"/>
      <c r="G1765" s="442"/>
      <c r="H1765" s="448"/>
      <c r="I1765" s="447"/>
      <c r="J1765" s="448">
        <f t="shared" si="9"/>
        <v>12</v>
      </c>
      <c r="K1765" s="448"/>
    </row>
    <row r="1766" ht="22.5" customHeight="1">
      <c r="A1766" s="443"/>
      <c r="B1766" s="456"/>
      <c r="C1766" s="471"/>
      <c r="D1766" s="471"/>
      <c r="E1766" s="445"/>
      <c r="F1766" s="445"/>
      <c r="G1766" s="442"/>
      <c r="H1766" s="448"/>
      <c r="I1766" s="447"/>
      <c r="J1766" s="448">
        <f t="shared" si="9"/>
        <v>12</v>
      </c>
      <c r="K1766" s="448"/>
    </row>
    <row r="1767" ht="22.5" customHeight="1">
      <c r="A1767" s="443"/>
      <c r="B1767" s="456"/>
      <c r="C1767" s="471"/>
      <c r="D1767" s="471"/>
      <c r="E1767" s="445"/>
      <c r="F1767" s="445"/>
      <c r="G1767" s="442"/>
      <c r="H1767" s="448"/>
      <c r="I1767" s="447"/>
      <c r="J1767" s="448">
        <f t="shared" si="9"/>
        <v>12</v>
      </c>
      <c r="K1767" s="448"/>
    </row>
    <row r="1768" ht="22.5" customHeight="1">
      <c r="A1768" s="443"/>
      <c r="B1768" s="456"/>
      <c r="C1768" s="471"/>
      <c r="D1768" s="471"/>
      <c r="E1768" s="445"/>
      <c r="F1768" s="445"/>
      <c r="G1768" s="442"/>
      <c r="H1768" s="448"/>
      <c r="I1768" s="447"/>
      <c r="J1768" s="448">
        <f t="shared" si="9"/>
        <v>12</v>
      </c>
      <c r="K1768" s="448"/>
    </row>
    <row r="1769" ht="22.5" customHeight="1">
      <c r="A1769" s="443"/>
      <c r="B1769" s="456"/>
      <c r="C1769" s="471"/>
      <c r="D1769" s="471"/>
      <c r="E1769" s="445"/>
      <c r="F1769" s="445"/>
      <c r="G1769" s="442"/>
      <c r="H1769" s="448"/>
      <c r="I1769" s="447"/>
      <c r="J1769" s="448">
        <f t="shared" si="9"/>
        <v>12</v>
      </c>
      <c r="K1769" s="448"/>
    </row>
    <row r="1770" ht="22.5" customHeight="1">
      <c r="A1770" s="443"/>
      <c r="B1770" s="456"/>
      <c r="C1770" s="471"/>
      <c r="D1770" s="471"/>
      <c r="E1770" s="445"/>
      <c r="F1770" s="445"/>
      <c r="G1770" s="442"/>
      <c r="H1770" s="448"/>
      <c r="I1770" s="447"/>
      <c r="J1770" s="448">
        <f t="shared" si="9"/>
        <v>12</v>
      </c>
      <c r="K1770" s="448"/>
    </row>
    <row r="1771" ht="22.5" customHeight="1">
      <c r="A1771" s="443"/>
      <c r="B1771" s="456"/>
      <c r="C1771" s="471"/>
      <c r="D1771" s="471"/>
      <c r="E1771" s="445"/>
      <c r="F1771" s="445"/>
      <c r="G1771" s="442"/>
      <c r="H1771" s="448"/>
      <c r="I1771" s="447"/>
      <c r="J1771" s="448">
        <f t="shared" si="9"/>
        <v>12</v>
      </c>
      <c r="K1771" s="448"/>
    </row>
    <row r="1772" ht="22.5" customHeight="1">
      <c r="A1772" s="443"/>
      <c r="B1772" s="456"/>
      <c r="C1772" s="471"/>
      <c r="D1772" s="471"/>
      <c r="E1772" s="445"/>
      <c r="F1772" s="445"/>
      <c r="G1772" s="442"/>
      <c r="H1772" s="448"/>
      <c r="I1772" s="447"/>
      <c r="J1772" s="448">
        <f t="shared" si="9"/>
        <v>12</v>
      </c>
      <c r="K1772" s="448"/>
    </row>
    <row r="1773" ht="22.5" customHeight="1">
      <c r="A1773" s="443"/>
      <c r="B1773" s="456"/>
      <c r="C1773" s="471"/>
      <c r="D1773" s="471"/>
      <c r="E1773" s="445"/>
      <c r="F1773" s="445"/>
      <c r="G1773" s="442"/>
      <c r="H1773" s="448"/>
      <c r="I1773" s="447"/>
      <c r="J1773" s="448">
        <f t="shared" si="9"/>
        <v>12</v>
      </c>
      <c r="K1773" s="448"/>
    </row>
    <row r="1774" ht="22.5" customHeight="1">
      <c r="A1774" s="443"/>
      <c r="B1774" s="456"/>
      <c r="C1774" s="471"/>
      <c r="D1774" s="471"/>
      <c r="E1774" s="445"/>
      <c r="F1774" s="445"/>
      <c r="G1774" s="442"/>
      <c r="H1774" s="448"/>
      <c r="I1774" s="447"/>
      <c r="J1774" s="448">
        <f t="shared" si="9"/>
        <v>12</v>
      </c>
      <c r="K1774" s="448"/>
    </row>
    <row r="1775" ht="22.5" customHeight="1">
      <c r="A1775" s="443"/>
      <c r="B1775" s="456"/>
      <c r="C1775" s="471"/>
      <c r="D1775" s="471"/>
      <c r="E1775" s="445"/>
      <c r="F1775" s="445"/>
      <c r="G1775" s="442"/>
      <c r="H1775" s="448"/>
      <c r="I1775" s="447"/>
      <c r="J1775" s="448">
        <f t="shared" si="9"/>
        <v>12</v>
      </c>
      <c r="K1775" s="448"/>
    </row>
    <row r="1776" ht="22.5" customHeight="1">
      <c r="A1776" s="443"/>
      <c r="B1776" s="456"/>
      <c r="C1776" s="471"/>
      <c r="D1776" s="471"/>
      <c r="E1776" s="445"/>
      <c r="F1776" s="445"/>
      <c r="G1776" s="442"/>
      <c r="H1776" s="448"/>
      <c r="I1776" s="447"/>
      <c r="J1776" s="448">
        <f t="shared" si="9"/>
        <v>12</v>
      </c>
      <c r="K1776" s="448"/>
    </row>
    <row r="1777" ht="22.5" customHeight="1">
      <c r="A1777" s="443"/>
      <c r="B1777" s="456"/>
      <c r="C1777" s="471"/>
      <c r="D1777" s="471"/>
      <c r="E1777" s="445"/>
      <c r="F1777" s="445"/>
      <c r="G1777" s="442"/>
      <c r="H1777" s="448"/>
      <c r="I1777" s="447"/>
      <c r="J1777" s="448">
        <f t="shared" si="9"/>
        <v>12</v>
      </c>
      <c r="K1777" s="448"/>
    </row>
    <row r="1778" ht="22.5" customHeight="1">
      <c r="A1778" s="443"/>
      <c r="B1778" s="456"/>
      <c r="C1778" s="471"/>
      <c r="D1778" s="471"/>
      <c r="E1778" s="445"/>
      <c r="F1778" s="445"/>
      <c r="G1778" s="442"/>
      <c r="H1778" s="448"/>
      <c r="I1778" s="447"/>
      <c r="J1778" s="448">
        <f t="shared" si="9"/>
        <v>12</v>
      </c>
      <c r="K1778" s="448"/>
    </row>
    <row r="1779" ht="22.5" customHeight="1">
      <c r="A1779" s="443"/>
      <c r="B1779" s="456"/>
      <c r="C1779" s="471"/>
      <c r="D1779" s="471"/>
      <c r="E1779" s="445"/>
      <c r="F1779" s="445"/>
      <c r="G1779" s="442"/>
      <c r="H1779" s="448"/>
      <c r="I1779" s="447"/>
      <c r="J1779" s="448">
        <f t="shared" si="9"/>
        <v>12</v>
      </c>
      <c r="K1779" s="448"/>
    </row>
    <row r="1780" ht="22.5" customHeight="1">
      <c r="A1780" s="443"/>
      <c r="B1780" s="456"/>
      <c r="C1780" s="471"/>
      <c r="D1780" s="471"/>
      <c r="E1780" s="445"/>
      <c r="F1780" s="445"/>
      <c r="G1780" s="442"/>
      <c r="H1780" s="448"/>
      <c r="I1780" s="447"/>
      <c r="J1780" s="448">
        <f t="shared" si="9"/>
        <v>12</v>
      </c>
      <c r="K1780" s="448"/>
    </row>
    <row r="1781" ht="22.5" customHeight="1">
      <c r="A1781" s="443"/>
      <c r="B1781" s="456"/>
      <c r="C1781" s="471"/>
      <c r="D1781" s="471"/>
      <c r="E1781" s="445"/>
      <c r="F1781" s="445"/>
      <c r="G1781" s="442"/>
      <c r="H1781" s="448"/>
      <c r="I1781" s="447"/>
      <c r="J1781" s="448">
        <f t="shared" si="9"/>
        <v>12</v>
      </c>
      <c r="K1781" s="448"/>
    </row>
    <row r="1782" ht="22.5" customHeight="1">
      <c r="A1782" s="443"/>
      <c r="B1782" s="456"/>
      <c r="C1782" s="471"/>
      <c r="D1782" s="471"/>
      <c r="E1782" s="445"/>
      <c r="F1782" s="445"/>
      <c r="G1782" s="442"/>
      <c r="H1782" s="448"/>
      <c r="I1782" s="447"/>
      <c r="J1782" s="448">
        <f t="shared" si="9"/>
        <v>12</v>
      </c>
      <c r="K1782" s="448"/>
    </row>
    <row r="1783" ht="22.5" customHeight="1">
      <c r="A1783" s="443"/>
      <c r="B1783" s="456"/>
      <c r="C1783" s="471"/>
      <c r="D1783" s="471"/>
      <c r="E1783" s="445"/>
      <c r="F1783" s="445"/>
      <c r="G1783" s="442"/>
      <c r="H1783" s="448"/>
      <c r="I1783" s="447"/>
      <c r="J1783" s="448">
        <f t="shared" si="9"/>
        <v>12</v>
      </c>
      <c r="K1783" s="448"/>
    </row>
    <row r="1784" ht="22.5" customHeight="1">
      <c r="A1784" s="443"/>
      <c r="B1784" s="456"/>
      <c r="C1784" s="471"/>
      <c r="D1784" s="471"/>
      <c r="E1784" s="445"/>
      <c r="F1784" s="445"/>
      <c r="G1784" s="442"/>
      <c r="H1784" s="448"/>
      <c r="I1784" s="447"/>
      <c r="J1784" s="448">
        <f t="shared" si="9"/>
        <v>12</v>
      </c>
      <c r="K1784" s="448"/>
    </row>
    <row r="1785" ht="22.5" customHeight="1">
      <c r="A1785" s="443"/>
      <c r="B1785" s="456"/>
      <c r="C1785" s="471"/>
      <c r="D1785" s="471"/>
      <c r="E1785" s="445"/>
      <c r="F1785" s="445"/>
      <c r="G1785" s="442"/>
      <c r="H1785" s="448"/>
      <c r="I1785" s="447"/>
      <c r="J1785" s="448">
        <f t="shared" si="9"/>
        <v>12</v>
      </c>
      <c r="K1785" s="448"/>
    </row>
    <row r="1786" ht="22.5" customHeight="1">
      <c r="A1786" s="443"/>
      <c r="B1786" s="456"/>
      <c r="C1786" s="471"/>
      <c r="D1786" s="471"/>
      <c r="E1786" s="445"/>
      <c r="F1786" s="445"/>
      <c r="G1786" s="442"/>
      <c r="H1786" s="448"/>
      <c r="I1786" s="447"/>
      <c r="J1786" s="448">
        <f t="shared" si="9"/>
        <v>12</v>
      </c>
      <c r="K1786" s="448"/>
    </row>
    <row r="1787" ht="22.5" customHeight="1">
      <c r="A1787" s="443"/>
      <c r="B1787" s="456"/>
      <c r="C1787" s="471"/>
      <c r="D1787" s="471"/>
      <c r="E1787" s="445"/>
      <c r="F1787" s="445"/>
      <c r="G1787" s="442"/>
      <c r="H1787" s="448"/>
      <c r="I1787" s="447"/>
      <c r="J1787" s="448">
        <f t="shared" si="9"/>
        <v>12</v>
      </c>
      <c r="K1787" s="448"/>
    </row>
    <row r="1788" ht="22.5" customHeight="1">
      <c r="A1788" s="443"/>
      <c r="B1788" s="456"/>
      <c r="C1788" s="471"/>
      <c r="D1788" s="471"/>
      <c r="E1788" s="445"/>
      <c r="F1788" s="445"/>
      <c r="G1788" s="442"/>
      <c r="H1788" s="448"/>
      <c r="I1788" s="447"/>
      <c r="J1788" s="448">
        <f t="shared" si="9"/>
        <v>12</v>
      </c>
      <c r="K1788" s="448"/>
    </row>
    <row r="1789" ht="22.5" customHeight="1">
      <c r="A1789" s="443"/>
      <c r="B1789" s="456"/>
      <c r="C1789" s="471"/>
      <c r="D1789" s="471"/>
      <c r="E1789" s="445"/>
      <c r="F1789" s="445"/>
      <c r="G1789" s="442"/>
      <c r="H1789" s="448"/>
      <c r="I1789" s="447"/>
      <c r="J1789" s="448">
        <f t="shared" si="9"/>
        <v>12</v>
      </c>
      <c r="K1789" s="448"/>
    </row>
    <row r="1790" ht="22.5" customHeight="1">
      <c r="A1790" s="443"/>
      <c r="B1790" s="456"/>
      <c r="C1790" s="471"/>
      <c r="D1790" s="471"/>
      <c r="E1790" s="445"/>
      <c r="F1790" s="445"/>
      <c r="G1790" s="442"/>
      <c r="H1790" s="448"/>
      <c r="I1790" s="447"/>
      <c r="J1790" s="448">
        <f t="shared" si="9"/>
        <v>12</v>
      </c>
      <c r="K1790" s="448"/>
    </row>
    <row r="1791" ht="22.5" customHeight="1">
      <c r="A1791" s="443"/>
      <c r="B1791" s="456"/>
      <c r="C1791" s="471"/>
      <c r="D1791" s="471"/>
      <c r="E1791" s="445"/>
      <c r="F1791" s="445"/>
      <c r="G1791" s="442"/>
      <c r="H1791" s="448"/>
      <c r="I1791" s="447"/>
      <c r="J1791" s="448">
        <f t="shared" si="9"/>
        <v>12</v>
      </c>
      <c r="K1791" s="448"/>
    </row>
    <row r="1792" ht="22.5" customHeight="1">
      <c r="A1792" s="443"/>
      <c r="B1792" s="456"/>
      <c r="C1792" s="471"/>
      <c r="D1792" s="471"/>
      <c r="E1792" s="445"/>
      <c r="F1792" s="445"/>
      <c r="G1792" s="442"/>
      <c r="H1792" s="448"/>
      <c r="I1792" s="447"/>
      <c r="J1792" s="448">
        <f t="shared" si="9"/>
        <v>12</v>
      </c>
      <c r="K1792" s="448"/>
    </row>
    <row r="1793" ht="22.5" customHeight="1">
      <c r="A1793" s="443"/>
      <c r="B1793" s="456"/>
      <c r="C1793" s="471"/>
      <c r="D1793" s="471"/>
      <c r="E1793" s="445"/>
      <c r="F1793" s="445"/>
      <c r="G1793" s="442"/>
      <c r="H1793" s="448"/>
      <c r="I1793" s="447"/>
      <c r="J1793" s="448">
        <f t="shared" si="9"/>
        <v>12</v>
      </c>
      <c r="K1793" s="448"/>
    </row>
    <row r="1794" ht="22.5" customHeight="1">
      <c r="A1794" s="443"/>
      <c r="B1794" s="456"/>
      <c r="C1794" s="471"/>
      <c r="D1794" s="471"/>
      <c r="E1794" s="445"/>
      <c r="F1794" s="445"/>
      <c r="G1794" s="442"/>
      <c r="H1794" s="448"/>
      <c r="I1794" s="447"/>
      <c r="J1794" s="448">
        <f t="shared" si="9"/>
        <v>12</v>
      </c>
      <c r="K1794" s="448"/>
    </row>
    <row r="1795" ht="22.5" customHeight="1">
      <c r="A1795" s="443"/>
      <c r="B1795" s="456"/>
      <c r="C1795" s="471"/>
      <c r="D1795" s="471"/>
      <c r="E1795" s="445"/>
      <c r="F1795" s="445"/>
      <c r="G1795" s="442"/>
      <c r="H1795" s="448"/>
      <c r="I1795" s="447"/>
      <c r="J1795" s="448">
        <f t="shared" si="9"/>
        <v>12</v>
      </c>
      <c r="K1795" s="448"/>
    </row>
    <row r="1796" ht="22.5" customHeight="1">
      <c r="A1796" s="443"/>
      <c r="B1796" s="456"/>
      <c r="C1796" s="471"/>
      <c r="D1796" s="471"/>
      <c r="E1796" s="445"/>
      <c r="F1796" s="445"/>
      <c r="G1796" s="442"/>
      <c r="H1796" s="448"/>
      <c r="I1796" s="447"/>
      <c r="J1796" s="448">
        <f t="shared" si="9"/>
        <v>12</v>
      </c>
      <c r="K1796" s="448"/>
    </row>
    <row r="1797" ht="22.5" customHeight="1">
      <c r="A1797" s="443"/>
      <c r="B1797" s="456"/>
      <c r="C1797" s="471"/>
      <c r="D1797" s="471"/>
      <c r="E1797" s="445"/>
      <c r="F1797" s="445"/>
      <c r="G1797" s="442"/>
      <c r="H1797" s="448"/>
      <c r="I1797" s="447"/>
      <c r="J1797" s="448">
        <f t="shared" si="9"/>
        <v>12</v>
      </c>
      <c r="K1797" s="448"/>
    </row>
    <row r="1798" ht="22.5" customHeight="1">
      <c r="A1798" s="443"/>
      <c r="B1798" s="456"/>
      <c r="C1798" s="471"/>
      <c r="D1798" s="471"/>
      <c r="E1798" s="445"/>
      <c r="F1798" s="445"/>
      <c r="G1798" s="442"/>
      <c r="H1798" s="448"/>
      <c r="I1798" s="447"/>
      <c r="J1798" s="448">
        <f t="shared" si="9"/>
        <v>12</v>
      </c>
      <c r="K1798" s="448"/>
    </row>
    <row r="1799" ht="22.5" customHeight="1">
      <c r="A1799" s="443"/>
      <c r="B1799" s="456"/>
      <c r="C1799" s="471"/>
      <c r="D1799" s="471"/>
      <c r="E1799" s="445"/>
      <c r="F1799" s="445"/>
      <c r="G1799" s="442"/>
      <c r="H1799" s="448"/>
      <c r="I1799" s="447"/>
      <c r="J1799" s="448">
        <f t="shared" si="9"/>
        <v>12</v>
      </c>
      <c r="K1799" s="448"/>
    </row>
    <row r="1800" ht="22.5" customHeight="1">
      <c r="A1800" s="443"/>
      <c r="B1800" s="456"/>
      <c r="C1800" s="471"/>
      <c r="D1800" s="471"/>
      <c r="E1800" s="445"/>
      <c r="F1800" s="445"/>
      <c r="G1800" s="442"/>
      <c r="H1800" s="448"/>
      <c r="I1800" s="447"/>
      <c r="J1800" s="448">
        <f t="shared" si="9"/>
        <v>12</v>
      </c>
      <c r="K1800" s="448"/>
    </row>
    <row r="1801" ht="22.5" customHeight="1">
      <c r="A1801" s="443"/>
      <c r="B1801" s="477"/>
      <c r="C1801" s="489"/>
      <c r="D1801" s="489"/>
      <c r="E1801" s="481"/>
      <c r="F1801" s="481"/>
      <c r="G1801" s="482"/>
      <c r="H1801" s="483"/>
      <c r="I1801" s="484"/>
      <c r="J1801" s="483">
        <f t="shared" si="9"/>
        <v>12</v>
      </c>
      <c r="K1801" s="448"/>
    </row>
    <row r="1802" ht="22.5" customHeight="1">
      <c r="A1802" s="417"/>
      <c r="B1802" s="456"/>
      <c r="C1802" s="471"/>
      <c r="D1802" s="471"/>
      <c r="E1802" s="445"/>
      <c r="F1802" s="445"/>
      <c r="G1802" s="442"/>
      <c r="H1802" s="448"/>
      <c r="I1802" s="447"/>
      <c r="J1802" s="448">
        <f t="shared" si="9"/>
        <v>12</v>
      </c>
      <c r="K1802" s="448"/>
    </row>
    <row r="1803" ht="22.5" customHeight="1">
      <c r="A1803" s="443"/>
      <c r="B1803" s="418"/>
      <c r="C1803" s="450"/>
      <c r="D1803" s="491"/>
      <c r="E1803" s="499"/>
      <c r="F1803" s="420"/>
      <c r="G1803" s="421"/>
      <c r="H1803" s="500"/>
      <c r="I1803" s="423"/>
      <c r="J1803" s="424">
        <f t="shared" si="9"/>
        <v>12</v>
      </c>
      <c r="K1803" s="425"/>
    </row>
    <row r="1804" ht="22.5" customHeight="1">
      <c r="A1804" s="443"/>
      <c r="B1804" s="456"/>
      <c r="C1804" s="494"/>
      <c r="D1804" s="471"/>
      <c r="E1804" s="448"/>
      <c r="F1804" s="445"/>
      <c r="G1804" s="442"/>
      <c r="I1804" s="447"/>
      <c r="J1804" s="448">
        <f t="shared" si="9"/>
        <v>12</v>
      </c>
      <c r="K1804" s="448"/>
    </row>
    <row r="1805" ht="22.5" customHeight="1">
      <c r="A1805" s="443"/>
      <c r="B1805" s="456"/>
      <c r="C1805" s="494"/>
      <c r="D1805" s="471"/>
      <c r="E1805" s="448"/>
      <c r="F1805" s="445"/>
      <c r="G1805" s="442"/>
      <c r="I1805" s="447"/>
      <c r="J1805" s="448">
        <f t="shared" si="9"/>
        <v>12</v>
      </c>
      <c r="K1805" s="448"/>
    </row>
    <row r="1806" ht="22.5" customHeight="1">
      <c r="A1806" s="443"/>
      <c r="B1806" s="456"/>
      <c r="C1806" s="471"/>
      <c r="D1806" s="471"/>
      <c r="E1806" s="445"/>
      <c r="F1806" s="445"/>
      <c r="G1806" s="442"/>
      <c r="H1806" s="448"/>
      <c r="I1806" s="447"/>
      <c r="J1806" s="448">
        <f t="shared" si="9"/>
        <v>12</v>
      </c>
      <c r="K1806" s="448"/>
    </row>
    <row r="1807" ht="22.5" customHeight="1">
      <c r="A1807" s="443"/>
      <c r="B1807" s="456"/>
      <c r="C1807" s="471"/>
      <c r="D1807" s="471"/>
      <c r="E1807" s="445"/>
      <c r="F1807" s="445"/>
      <c r="G1807" s="442"/>
      <c r="H1807" s="448"/>
      <c r="I1807" s="447"/>
      <c r="J1807" s="448">
        <f t="shared" si="9"/>
        <v>12</v>
      </c>
      <c r="K1807" s="448"/>
    </row>
    <row r="1808" ht="22.5" customHeight="1">
      <c r="A1808" s="443"/>
      <c r="B1808" s="456"/>
      <c r="C1808" s="471"/>
      <c r="D1808" s="471"/>
      <c r="E1808" s="445"/>
      <c r="F1808" s="445"/>
      <c r="G1808" s="442"/>
      <c r="H1808" s="448"/>
      <c r="I1808" s="447"/>
      <c r="J1808" s="448">
        <f t="shared" si="9"/>
        <v>12</v>
      </c>
      <c r="K1808" s="448"/>
    </row>
    <row r="1809" ht="22.5" customHeight="1">
      <c r="A1809" s="443"/>
      <c r="B1809" s="456"/>
      <c r="C1809" s="494"/>
      <c r="D1809" s="471"/>
      <c r="E1809" s="445"/>
      <c r="F1809" s="445"/>
      <c r="G1809" s="442"/>
      <c r="H1809" s="448"/>
      <c r="I1809" s="447"/>
      <c r="J1809" s="448">
        <f t="shared" si="9"/>
        <v>12</v>
      </c>
      <c r="K1809" s="448"/>
    </row>
    <row r="1810" ht="22.5" customHeight="1">
      <c r="A1810" s="443"/>
      <c r="B1810" s="456"/>
      <c r="C1810" s="494"/>
      <c r="D1810" s="471"/>
      <c r="E1810" s="445"/>
      <c r="F1810" s="445"/>
      <c r="G1810" s="442"/>
      <c r="H1810" s="448"/>
      <c r="I1810" s="447"/>
      <c r="J1810" s="448">
        <f t="shared" si="9"/>
        <v>12</v>
      </c>
      <c r="K1810" s="448"/>
    </row>
    <row r="1811" ht="22.5" customHeight="1">
      <c r="A1811" s="443"/>
      <c r="B1811" s="456"/>
      <c r="C1811" s="494"/>
      <c r="D1811" s="471"/>
      <c r="E1811" s="445"/>
      <c r="F1811" s="445"/>
      <c r="G1811" s="442"/>
      <c r="H1811" s="448"/>
      <c r="I1811" s="447"/>
      <c r="J1811" s="448">
        <f t="shared" si="9"/>
        <v>12</v>
      </c>
      <c r="K1811" s="448"/>
    </row>
    <row r="1812" ht="22.5" customHeight="1">
      <c r="A1812" s="443"/>
      <c r="B1812" s="456"/>
      <c r="C1812" s="494"/>
      <c r="D1812" s="471"/>
      <c r="E1812" s="445"/>
      <c r="F1812" s="445"/>
      <c r="G1812" s="442"/>
      <c r="H1812" s="448"/>
      <c r="I1812" s="447"/>
      <c r="J1812" s="448">
        <f t="shared" si="9"/>
        <v>12</v>
      </c>
      <c r="K1812" s="448"/>
    </row>
    <row r="1813" ht="22.5" customHeight="1">
      <c r="A1813" s="443"/>
      <c r="B1813" s="456"/>
      <c r="C1813" s="494"/>
      <c r="D1813" s="471"/>
      <c r="E1813" s="445"/>
      <c r="F1813" s="445"/>
      <c r="G1813" s="442"/>
      <c r="H1813" s="448"/>
      <c r="I1813" s="447"/>
      <c r="J1813" s="448">
        <f t="shared" si="9"/>
        <v>12</v>
      </c>
      <c r="K1813" s="448"/>
    </row>
    <row r="1814" ht="22.5" customHeight="1">
      <c r="A1814" s="443"/>
      <c r="B1814" s="456"/>
      <c r="C1814" s="471"/>
      <c r="D1814" s="471"/>
      <c r="E1814" s="445"/>
      <c r="F1814" s="445"/>
      <c r="G1814" s="442"/>
      <c r="H1814" s="448"/>
      <c r="I1814" s="447"/>
      <c r="J1814" s="448">
        <f t="shared" si="9"/>
        <v>12</v>
      </c>
      <c r="K1814" s="448"/>
    </row>
    <row r="1815" ht="22.5" customHeight="1">
      <c r="A1815" s="443"/>
      <c r="B1815" s="456"/>
      <c r="C1815" s="471"/>
      <c r="D1815" s="471"/>
      <c r="E1815" s="445"/>
      <c r="F1815" s="445"/>
      <c r="G1815" s="442"/>
      <c r="H1815" s="448"/>
      <c r="I1815" s="447"/>
      <c r="J1815" s="448">
        <f t="shared" si="9"/>
        <v>12</v>
      </c>
      <c r="K1815" s="448"/>
    </row>
    <row r="1816" ht="22.5" customHeight="1">
      <c r="A1816" s="443"/>
      <c r="B1816" s="456"/>
      <c r="C1816" s="471"/>
      <c r="D1816" s="471"/>
      <c r="E1816" s="445"/>
      <c r="F1816" s="445"/>
      <c r="G1816" s="442"/>
      <c r="H1816" s="448"/>
      <c r="I1816" s="447"/>
      <c r="J1816" s="448">
        <f t="shared" si="9"/>
        <v>12</v>
      </c>
      <c r="K1816" s="448"/>
    </row>
    <row r="1817" ht="22.5" customHeight="1">
      <c r="A1817" s="443"/>
      <c r="B1817" s="456"/>
      <c r="C1817" s="471"/>
      <c r="D1817" s="471"/>
      <c r="E1817" s="445"/>
      <c r="F1817" s="445"/>
      <c r="G1817" s="442"/>
      <c r="H1817" s="448"/>
      <c r="I1817" s="447"/>
      <c r="J1817" s="448">
        <f t="shared" si="9"/>
        <v>12</v>
      </c>
      <c r="K1817" s="448"/>
    </row>
    <row r="1818" ht="22.5" customHeight="1">
      <c r="A1818" s="443"/>
      <c r="B1818" s="456"/>
      <c r="C1818" s="471"/>
      <c r="D1818" s="471"/>
      <c r="E1818" s="445"/>
      <c r="F1818" s="445"/>
      <c r="G1818" s="442"/>
      <c r="H1818" s="448"/>
      <c r="I1818" s="447"/>
      <c r="J1818" s="448">
        <f t="shared" si="9"/>
        <v>12</v>
      </c>
      <c r="K1818" s="448"/>
    </row>
    <row r="1819" ht="22.5" customHeight="1">
      <c r="A1819" s="443"/>
      <c r="B1819" s="456"/>
      <c r="C1819" s="494"/>
      <c r="D1819" s="471"/>
      <c r="E1819" s="448"/>
      <c r="F1819" s="445"/>
      <c r="G1819" s="442"/>
      <c r="I1819" s="447"/>
      <c r="J1819" s="448">
        <f t="shared" si="9"/>
        <v>12</v>
      </c>
      <c r="K1819" s="448"/>
    </row>
    <row r="1820" ht="22.5" customHeight="1">
      <c r="A1820" s="443"/>
      <c r="B1820" s="456"/>
      <c r="C1820" s="494"/>
      <c r="D1820" s="471"/>
      <c r="E1820" s="448"/>
      <c r="F1820" s="445"/>
      <c r="G1820" s="442"/>
      <c r="I1820" s="447"/>
      <c r="J1820" s="448">
        <f t="shared" si="9"/>
        <v>12</v>
      </c>
      <c r="K1820" s="448"/>
    </row>
    <row r="1821" ht="22.5" customHeight="1">
      <c r="A1821" s="443"/>
      <c r="B1821" s="456"/>
      <c r="C1821" s="494"/>
      <c r="D1821" s="471"/>
      <c r="E1821" s="448"/>
      <c r="F1821" s="445"/>
      <c r="G1821" s="442"/>
      <c r="I1821" s="447"/>
      <c r="J1821" s="448">
        <f t="shared" si="9"/>
        <v>12</v>
      </c>
      <c r="K1821" s="448"/>
    </row>
    <row r="1822" ht="22.5" customHeight="1">
      <c r="A1822" s="443"/>
      <c r="B1822" s="456"/>
      <c r="C1822" s="471"/>
      <c r="D1822" s="471"/>
      <c r="E1822" s="445"/>
      <c r="F1822" s="445"/>
      <c r="G1822" s="442"/>
      <c r="H1822" s="448"/>
      <c r="I1822" s="447"/>
      <c r="J1822" s="448">
        <f t="shared" si="9"/>
        <v>12</v>
      </c>
      <c r="K1822" s="448"/>
    </row>
    <row r="1823" ht="22.5" customHeight="1">
      <c r="A1823" s="443"/>
      <c r="B1823" s="456"/>
      <c r="C1823" s="494"/>
      <c r="D1823" s="471"/>
      <c r="E1823" s="448"/>
      <c r="F1823" s="445"/>
      <c r="G1823" s="442"/>
      <c r="I1823" s="447"/>
      <c r="J1823" s="448">
        <f t="shared" si="9"/>
        <v>12</v>
      </c>
      <c r="K1823" s="448"/>
    </row>
    <row r="1824" ht="22.5" customHeight="1">
      <c r="A1824" s="443"/>
      <c r="B1824" s="456"/>
      <c r="C1824" s="494"/>
      <c r="D1824" s="471"/>
      <c r="E1824" s="448"/>
      <c r="F1824" s="445"/>
      <c r="G1824" s="442"/>
      <c r="I1824" s="447"/>
      <c r="J1824" s="448">
        <f t="shared" si="9"/>
        <v>12</v>
      </c>
      <c r="K1824" s="448"/>
    </row>
    <row r="1825" ht="22.5" customHeight="1">
      <c r="A1825" s="443"/>
      <c r="B1825" s="456"/>
      <c r="C1825" s="471"/>
      <c r="D1825" s="471"/>
      <c r="E1825" s="445"/>
      <c r="F1825" s="445"/>
      <c r="G1825" s="442"/>
      <c r="H1825" s="448"/>
      <c r="I1825" s="447"/>
      <c r="J1825" s="448">
        <f t="shared" si="9"/>
        <v>12</v>
      </c>
      <c r="K1825" s="448"/>
    </row>
    <row r="1826" ht="22.5" customHeight="1">
      <c r="A1826" s="443"/>
      <c r="B1826" s="456"/>
      <c r="C1826" s="471"/>
      <c r="D1826" s="471"/>
      <c r="E1826" s="445"/>
      <c r="F1826" s="445"/>
      <c r="G1826" s="442"/>
      <c r="H1826" s="448"/>
      <c r="I1826" s="447"/>
      <c r="J1826" s="448">
        <f t="shared" si="9"/>
        <v>12</v>
      </c>
      <c r="K1826" s="448"/>
    </row>
    <row r="1827" ht="22.5" customHeight="1">
      <c r="A1827" s="443"/>
      <c r="B1827" s="456"/>
      <c r="C1827" s="471"/>
      <c r="D1827" s="471"/>
      <c r="E1827" s="445"/>
      <c r="F1827" s="445"/>
      <c r="G1827" s="442"/>
      <c r="H1827" s="448"/>
      <c r="I1827" s="447"/>
      <c r="J1827" s="448">
        <f t="shared" si="9"/>
        <v>12</v>
      </c>
      <c r="K1827" s="448"/>
    </row>
    <row r="1828" ht="22.5" customHeight="1">
      <c r="A1828" s="443"/>
      <c r="B1828" s="456"/>
      <c r="C1828" s="471"/>
      <c r="D1828" s="471"/>
      <c r="E1828" s="445"/>
      <c r="F1828" s="445"/>
      <c r="G1828" s="442"/>
      <c r="H1828" s="448"/>
      <c r="I1828" s="447"/>
      <c r="J1828" s="448">
        <f t="shared" si="9"/>
        <v>12</v>
      </c>
      <c r="K1828" s="448"/>
    </row>
    <row r="1829" ht="22.5" customHeight="1">
      <c r="A1829" s="443"/>
      <c r="B1829" s="456"/>
      <c r="C1829" s="471"/>
      <c r="D1829" s="471"/>
      <c r="E1829" s="445"/>
      <c r="F1829" s="445"/>
      <c r="G1829" s="442"/>
      <c r="H1829" s="448"/>
      <c r="I1829" s="447"/>
      <c r="J1829" s="448">
        <f t="shared" si="9"/>
        <v>12</v>
      </c>
      <c r="K1829" s="448"/>
    </row>
    <row r="1830" ht="22.5" customHeight="1">
      <c r="A1830" s="443"/>
      <c r="B1830" s="456"/>
      <c r="C1830" s="471"/>
      <c r="D1830" s="471"/>
      <c r="E1830" s="445"/>
      <c r="F1830" s="445"/>
      <c r="G1830" s="442"/>
      <c r="H1830" s="448"/>
      <c r="I1830" s="447"/>
      <c r="J1830" s="448">
        <f t="shared" si="9"/>
        <v>12</v>
      </c>
      <c r="K1830" s="448"/>
    </row>
    <row r="1831" ht="22.5" customHeight="1">
      <c r="A1831" s="443"/>
      <c r="B1831" s="456"/>
      <c r="C1831" s="471"/>
      <c r="D1831" s="471"/>
      <c r="E1831" s="445"/>
      <c r="F1831" s="445"/>
      <c r="G1831" s="442"/>
      <c r="H1831" s="448"/>
      <c r="I1831" s="447"/>
      <c r="J1831" s="448">
        <f t="shared" si="9"/>
        <v>12</v>
      </c>
      <c r="K1831" s="448"/>
    </row>
    <row r="1832" ht="22.5" customHeight="1">
      <c r="A1832" s="443"/>
      <c r="B1832" s="456"/>
      <c r="C1832" s="471"/>
      <c r="D1832" s="471"/>
      <c r="E1832" s="445"/>
      <c r="F1832" s="445"/>
      <c r="G1832" s="442"/>
      <c r="H1832" s="448"/>
      <c r="I1832" s="447"/>
      <c r="J1832" s="448">
        <f t="shared" si="9"/>
        <v>12</v>
      </c>
      <c r="K1832" s="448"/>
    </row>
    <row r="1833" ht="22.5" customHeight="1">
      <c r="A1833" s="443"/>
      <c r="B1833" s="456"/>
      <c r="C1833" s="471"/>
      <c r="D1833" s="471"/>
      <c r="E1833" s="445"/>
      <c r="F1833" s="445"/>
      <c r="G1833" s="442"/>
      <c r="H1833" s="448"/>
      <c r="I1833" s="447"/>
      <c r="J1833" s="448">
        <f t="shared" si="9"/>
        <v>12</v>
      </c>
      <c r="K1833" s="448"/>
    </row>
    <row r="1834" ht="22.5" customHeight="1">
      <c r="A1834" s="443"/>
      <c r="B1834" s="456"/>
      <c r="C1834" s="471"/>
      <c r="D1834" s="471"/>
      <c r="E1834" s="445"/>
      <c r="F1834" s="445"/>
      <c r="G1834" s="442"/>
      <c r="H1834" s="448"/>
      <c r="I1834" s="447"/>
      <c r="J1834" s="448">
        <f t="shared" si="9"/>
        <v>12</v>
      </c>
      <c r="K1834" s="448"/>
    </row>
    <row r="1835" ht="22.5" customHeight="1">
      <c r="A1835" s="443"/>
      <c r="B1835" s="456"/>
      <c r="C1835" s="471"/>
      <c r="D1835" s="471"/>
      <c r="E1835" s="445"/>
      <c r="F1835" s="445"/>
      <c r="G1835" s="442"/>
      <c r="H1835" s="448"/>
      <c r="I1835" s="447"/>
      <c r="J1835" s="448">
        <f t="shared" si="9"/>
        <v>12</v>
      </c>
      <c r="K1835" s="448"/>
    </row>
    <row r="1836" ht="22.5" customHeight="1">
      <c r="A1836" s="443"/>
      <c r="B1836" s="456"/>
      <c r="C1836" s="471"/>
      <c r="D1836" s="471"/>
      <c r="E1836" s="445"/>
      <c r="F1836" s="445"/>
      <c r="G1836" s="442"/>
      <c r="H1836" s="448"/>
      <c r="I1836" s="447"/>
      <c r="J1836" s="448">
        <f t="shared" si="9"/>
        <v>12</v>
      </c>
      <c r="K1836" s="448"/>
    </row>
    <row r="1837" ht="22.5" customHeight="1">
      <c r="A1837" s="443"/>
      <c r="B1837" s="456"/>
      <c r="C1837" s="471"/>
      <c r="D1837" s="471"/>
      <c r="E1837" s="445"/>
      <c r="F1837" s="445"/>
      <c r="G1837" s="442"/>
      <c r="H1837" s="448"/>
      <c r="I1837" s="447"/>
      <c r="J1837" s="448">
        <f t="shared" si="9"/>
        <v>12</v>
      </c>
      <c r="K1837" s="448"/>
    </row>
    <row r="1838" ht="22.5" customHeight="1">
      <c r="A1838" s="443"/>
      <c r="B1838" s="456"/>
      <c r="C1838" s="471"/>
      <c r="D1838" s="471"/>
      <c r="E1838" s="445"/>
      <c r="F1838" s="445"/>
      <c r="G1838" s="442"/>
      <c r="H1838" s="448"/>
      <c r="I1838" s="447"/>
      <c r="J1838" s="448">
        <f t="shared" si="9"/>
        <v>12</v>
      </c>
      <c r="K1838" s="448"/>
    </row>
    <row r="1839" ht="22.5" customHeight="1">
      <c r="A1839" s="443"/>
      <c r="B1839" s="456"/>
      <c r="C1839" s="471"/>
      <c r="D1839" s="471"/>
      <c r="E1839" s="445"/>
      <c r="F1839" s="445"/>
      <c r="G1839" s="442"/>
      <c r="H1839" s="448"/>
      <c r="I1839" s="447"/>
      <c r="J1839" s="448">
        <f t="shared" si="9"/>
        <v>12</v>
      </c>
      <c r="K1839" s="448"/>
    </row>
    <row r="1840" ht="22.5" customHeight="1">
      <c r="A1840" s="443"/>
      <c r="B1840" s="456"/>
      <c r="C1840" s="471"/>
      <c r="D1840" s="471"/>
      <c r="E1840" s="445"/>
      <c r="F1840" s="445"/>
      <c r="G1840" s="442"/>
      <c r="H1840" s="448"/>
      <c r="I1840" s="447"/>
      <c r="J1840" s="448">
        <f t="shared" si="9"/>
        <v>12</v>
      </c>
      <c r="K1840" s="448"/>
    </row>
    <row r="1841" ht="22.5" customHeight="1">
      <c r="A1841" s="443"/>
      <c r="B1841" s="456"/>
      <c r="C1841" s="471"/>
      <c r="D1841" s="471"/>
      <c r="E1841" s="445"/>
      <c r="F1841" s="445"/>
      <c r="G1841" s="442"/>
      <c r="H1841" s="448"/>
      <c r="I1841" s="447"/>
      <c r="J1841" s="448">
        <f t="shared" si="9"/>
        <v>12</v>
      </c>
      <c r="K1841" s="448"/>
    </row>
    <row r="1842" ht="22.5" customHeight="1">
      <c r="A1842" s="443"/>
      <c r="B1842" s="456"/>
      <c r="C1842" s="471"/>
      <c r="D1842" s="471"/>
      <c r="E1842" s="445"/>
      <c r="F1842" s="445"/>
      <c r="G1842" s="442"/>
      <c r="H1842" s="448"/>
      <c r="I1842" s="447"/>
      <c r="J1842" s="448">
        <f t="shared" si="9"/>
        <v>12</v>
      </c>
      <c r="K1842" s="448"/>
    </row>
    <row r="1843" ht="22.5" customHeight="1">
      <c r="A1843" s="443"/>
      <c r="B1843" s="456"/>
      <c r="C1843" s="471"/>
      <c r="D1843" s="471"/>
      <c r="E1843" s="445"/>
      <c r="F1843" s="445"/>
      <c r="G1843" s="442"/>
      <c r="H1843" s="448"/>
      <c r="I1843" s="447"/>
      <c r="J1843" s="448">
        <f t="shared" si="9"/>
        <v>12</v>
      </c>
      <c r="K1843" s="448"/>
    </row>
    <row r="1844" ht="22.5" customHeight="1">
      <c r="A1844" s="443"/>
      <c r="B1844" s="456"/>
      <c r="C1844" s="471"/>
      <c r="D1844" s="471"/>
      <c r="E1844" s="445"/>
      <c r="F1844" s="445"/>
      <c r="G1844" s="442"/>
      <c r="H1844" s="448"/>
      <c r="I1844" s="447"/>
      <c r="J1844" s="448">
        <f t="shared" si="9"/>
        <v>12</v>
      </c>
      <c r="K1844" s="448"/>
    </row>
    <row r="1845" ht="22.5" customHeight="1">
      <c r="A1845" s="443"/>
      <c r="B1845" s="456"/>
      <c r="C1845" s="471"/>
      <c r="D1845" s="471"/>
      <c r="E1845" s="445"/>
      <c r="F1845" s="445"/>
      <c r="G1845" s="442"/>
      <c r="H1845" s="448" t="s">
        <v>2551</v>
      </c>
      <c r="I1845" s="447"/>
      <c r="J1845" s="448">
        <f t="shared" si="9"/>
        <v>12</v>
      </c>
      <c r="K1845" s="448"/>
    </row>
    <row r="1846" ht="22.5" customHeight="1">
      <c r="A1846" s="443"/>
      <c r="B1846" s="456"/>
      <c r="C1846" s="471"/>
      <c r="D1846" s="471"/>
      <c r="E1846" s="448"/>
      <c r="F1846" s="445"/>
      <c r="G1846" s="442"/>
      <c r="I1846" s="447"/>
      <c r="J1846" s="448">
        <f t="shared" si="9"/>
        <v>12</v>
      </c>
      <c r="K1846" s="448"/>
    </row>
    <row r="1847" ht="22.5" customHeight="1">
      <c r="A1847" s="443"/>
      <c r="B1847" s="456"/>
      <c r="C1847" s="471"/>
      <c r="D1847" s="471"/>
      <c r="E1847" s="445"/>
      <c r="F1847" s="445"/>
      <c r="G1847" s="442"/>
      <c r="H1847" s="448"/>
      <c r="I1847" s="447"/>
      <c r="J1847" s="448">
        <f t="shared" si="9"/>
        <v>12</v>
      </c>
      <c r="K1847" s="448"/>
    </row>
    <row r="1848" ht="22.5" customHeight="1">
      <c r="A1848" s="443"/>
      <c r="B1848" s="456"/>
      <c r="C1848" s="471"/>
      <c r="D1848" s="471"/>
      <c r="E1848" s="445"/>
      <c r="F1848" s="445"/>
      <c r="G1848" s="442"/>
      <c r="H1848" s="448"/>
      <c r="I1848" s="447"/>
      <c r="J1848" s="448">
        <f t="shared" si="9"/>
        <v>12</v>
      </c>
      <c r="K1848" s="448"/>
    </row>
    <row r="1849" ht="22.5" customHeight="1">
      <c r="A1849" s="443"/>
      <c r="B1849" s="456"/>
      <c r="C1849" s="471"/>
      <c r="D1849" s="471"/>
      <c r="E1849" s="445"/>
      <c r="F1849" s="445"/>
      <c r="G1849" s="442"/>
      <c r="H1849" s="448"/>
      <c r="I1849" s="447"/>
      <c r="J1849" s="448">
        <f t="shared" si="9"/>
        <v>12</v>
      </c>
      <c r="K1849" s="448"/>
    </row>
    <row r="1850" ht="22.5" customHeight="1">
      <c r="A1850" s="443"/>
      <c r="B1850" s="456"/>
      <c r="C1850" s="471"/>
      <c r="D1850" s="471"/>
      <c r="E1850" s="448"/>
      <c r="F1850" s="445"/>
      <c r="G1850" s="442"/>
      <c r="H1850" s="448"/>
      <c r="I1850" s="447"/>
      <c r="J1850" s="448">
        <f t="shared" si="9"/>
        <v>12</v>
      </c>
      <c r="K1850" s="448"/>
    </row>
    <row r="1851" ht="22.5" customHeight="1">
      <c r="A1851" s="443"/>
      <c r="B1851" s="456"/>
      <c r="C1851" s="471"/>
      <c r="D1851" s="471"/>
      <c r="E1851" s="448"/>
      <c r="F1851" s="445"/>
      <c r="G1851" s="442"/>
      <c r="H1851" s="448"/>
      <c r="I1851" s="447"/>
      <c r="J1851" s="448">
        <f t="shared" si="9"/>
        <v>12</v>
      </c>
      <c r="K1851" s="448"/>
    </row>
    <row r="1852" ht="22.5" customHeight="1">
      <c r="A1852" s="443"/>
      <c r="B1852" s="456"/>
      <c r="C1852" s="471"/>
      <c r="D1852" s="471"/>
      <c r="E1852" s="445"/>
      <c r="F1852" s="445"/>
      <c r="G1852" s="442"/>
      <c r="H1852" s="448"/>
      <c r="I1852" s="447"/>
      <c r="J1852" s="448">
        <f t="shared" si="9"/>
        <v>12</v>
      </c>
      <c r="K1852" s="448"/>
    </row>
    <row r="1853" ht="22.5" customHeight="1">
      <c r="A1853" s="443"/>
      <c r="B1853" s="456"/>
      <c r="C1853" s="471"/>
      <c r="D1853" s="471"/>
      <c r="E1853" s="445"/>
      <c r="F1853" s="445"/>
      <c r="G1853" s="442"/>
      <c r="H1853" s="448"/>
      <c r="I1853" s="447"/>
      <c r="J1853" s="448">
        <f t="shared" si="9"/>
        <v>12</v>
      </c>
      <c r="K1853" s="448"/>
    </row>
    <row r="1854" ht="22.5" customHeight="1">
      <c r="A1854" s="443"/>
      <c r="B1854" s="456"/>
      <c r="C1854" s="471"/>
      <c r="D1854" s="471"/>
      <c r="E1854" s="445"/>
      <c r="F1854" s="445"/>
      <c r="G1854" s="442"/>
      <c r="H1854" s="448" t="s">
        <v>2551</v>
      </c>
      <c r="I1854" s="447"/>
      <c r="J1854" s="448">
        <f t="shared" si="9"/>
        <v>12</v>
      </c>
      <c r="K1854" s="448"/>
    </row>
    <row r="1855" ht="22.5" customHeight="1">
      <c r="A1855" s="443"/>
      <c r="B1855" s="456"/>
      <c r="C1855" s="471"/>
      <c r="D1855" s="471"/>
      <c r="E1855" s="445"/>
      <c r="F1855" s="445"/>
      <c r="G1855" s="442"/>
      <c r="H1855" s="448"/>
      <c r="I1855" s="447"/>
      <c r="J1855" s="448">
        <f t="shared" si="9"/>
        <v>12</v>
      </c>
      <c r="K1855" s="448"/>
    </row>
    <row r="1856" ht="22.5" customHeight="1">
      <c r="A1856" s="443"/>
      <c r="B1856" s="456"/>
      <c r="C1856" s="471"/>
      <c r="D1856" s="471"/>
      <c r="E1856" s="445"/>
      <c r="F1856" s="445"/>
      <c r="G1856" s="442"/>
      <c r="H1856" s="448"/>
      <c r="I1856" s="447"/>
      <c r="J1856" s="448">
        <f t="shared" si="9"/>
        <v>12</v>
      </c>
      <c r="K1856" s="448"/>
    </row>
    <row r="1857" ht="22.5" customHeight="1">
      <c r="A1857" s="443"/>
      <c r="B1857" s="456"/>
      <c r="C1857" s="471"/>
      <c r="D1857" s="471"/>
      <c r="E1857" s="445"/>
      <c r="F1857" s="445"/>
      <c r="G1857" s="442"/>
      <c r="H1857" s="448"/>
      <c r="I1857" s="447"/>
      <c r="J1857" s="448">
        <f t="shared" si="9"/>
        <v>12</v>
      </c>
      <c r="K1857" s="448"/>
    </row>
    <row r="1858" ht="22.5" customHeight="1">
      <c r="A1858" s="443"/>
      <c r="B1858" s="456"/>
      <c r="C1858" s="471"/>
      <c r="D1858" s="471"/>
      <c r="E1858" s="445"/>
      <c r="F1858" s="445"/>
      <c r="G1858" s="442"/>
      <c r="H1858" s="448"/>
      <c r="I1858" s="447"/>
      <c r="J1858" s="448">
        <f t="shared" si="9"/>
        <v>12</v>
      </c>
      <c r="K1858" s="448"/>
    </row>
    <row r="1859" ht="22.5" customHeight="1">
      <c r="A1859" s="443"/>
      <c r="B1859" s="456"/>
      <c r="C1859" s="471"/>
      <c r="D1859" s="471"/>
      <c r="E1859" s="445"/>
      <c r="F1859" s="445"/>
      <c r="G1859" s="442"/>
      <c r="H1859" s="448"/>
      <c r="I1859" s="447"/>
      <c r="J1859" s="448">
        <f t="shared" si="9"/>
        <v>12</v>
      </c>
      <c r="K1859" s="448"/>
    </row>
    <row r="1860" ht="22.5" customHeight="1">
      <c r="A1860" s="443"/>
      <c r="B1860" s="456"/>
      <c r="C1860" s="471"/>
      <c r="D1860" s="471"/>
      <c r="E1860" s="445"/>
      <c r="F1860" s="445"/>
      <c r="G1860" s="442"/>
      <c r="H1860" s="448"/>
      <c r="I1860" s="447"/>
      <c r="J1860" s="448">
        <f t="shared" si="9"/>
        <v>12</v>
      </c>
      <c r="K1860" s="448"/>
    </row>
    <row r="1861" ht="22.5" customHeight="1">
      <c r="A1861" s="443"/>
      <c r="B1861" s="456"/>
      <c r="C1861" s="471"/>
      <c r="D1861" s="471"/>
      <c r="E1861" s="445"/>
      <c r="F1861" s="445"/>
      <c r="G1861" s="442"/>
      <c r="H1861" s="448"/>
      <c r="I1861" s="447"/>
      <c r="J1861" s="448">
        <f t="shared" si="9"/>
        <v>12</v>
      </c>
      <c r="K1861" s="448"/>
    </row>
    <row r="1862" ht="22.5" customHeight="1">
      <c r="A1862" s="443"/>
      <c r="B1862" s="456"/>
      <c r="C1862" s="471"/>
      <c r="D1862" s="471"/>
      <c r="E1862" s="445"/>
      <c r="F1862" s="445"/>
      <c r="G1862" s="442"/>
      <c r="H1862" s="448"/>
      <c r="I1862" s="447"/>
      <c r="J1862" s="448">
        <f t="shared" si="9"/>
        <v>12</v>
      </c>
      <c r="K1862" s="448"/>
    </row>
    <row r="1863" ht="22.5" customHeight="1">
      <c r="A1863" s="443"/>
      <c r="B1863" s="456"/>
      <c r="C1863" s="471"/>
      <c r="D1863" s="471"/>
      <c r="E1863" s="445"/>
      <c r="F1863" s="445"/>
      <c r="G1863" s="442"/>
      <c r="H1863" s="448"/>
      <c r="I1863" s="447"/>
      <c r="J1863" s="448">
        <f t="shared" si="9"/>
        <v>12</v>
      </c>
      <c r="K1863" s="448"/>
    </row>
    <row r="1864" ht="22.5" customHeight="1">
      <c r="A1864" s="443"/>
      <c r="B1864" s="456"/>
      <c r="C1864" s="471"/>
      <c r="D1864" s="471"/>
      <c r="E1864" s="445"/>
      <c r="F1864" s="445"/>
      <c r="G1864" s="442"/>
      <c r="H1864" s="448"/>
      <c r="I1864" s="447"/>
      <c r="J1864" s="448">
        <f t="shared" si="9"/>
        <v>12</v>
      </c>
      <c r="K1864" s="448"/>
    </row>
    <row r="1865" ht="22.5" customHeight="1">
      <c r="A1865" s="443"/>
      <c r="B1865" s="456"/>
      <c r="C1865" s="471"/>
      <c r="D1865" s="471"/>
      <c r="E1865" s="445"/>
      <c r="F1865" s="445"/>
      <c r="G1865" s="442"/>
      <c r="H1865" s="448"/>
      <c r="I1865" s="447"/>
      <c r="J1865" s="448">
        <f t="shared" si="9"/>
        <v>12</v>
      </c>
      <c r="K1865" s="448"/>
    </row>
    <row r="1866" ht="22.5" customHeight="1">
      <c r="A1866" s="443"/>
      <c r="B1866" s="456"/>
      <c r="C1866" s="471"/>
      <c r="D1866" s="471"/>
      <c r="E1866" s="445"/>
      <c r="F1866" s="445"/>
      <c r="G1866" s="442"/>
      <c r="H1866" s="448"/>
      <c r="I1866" s="447"/>
      <c r="J1866" s="448">
        <f t="shared" si="9"/>
        <v>12</v>
      </c>
      <c r="K1866" s="448"/>
    </row>
    <row r="1867" ht="22.5" customHeight="1">
      <c r="A1867" s="443"/>
      <c r="B1867" s="456"/>
      <c r="C1867" s="471"/>
      <c r="D1867" s="471"/>
      <c r="E1867" s="445"/>
      <c r="F1867" s="445"/>
      <c r="G1867" s="442"/>
      <c r="H1867" s="448"/>
      <c r="I1867" s="447"/>
      <c r="J1867" s="448">
        <f t="shared" si="9"/>
        <v>12</v>
      </c>
      <c r="K1867" s="448"/>
    </row>
    <row r="1868" ht="22.5" customHeight="1">
      <c r="A1868" s="443"/>
      <c r="B1868" s="456"/>
      <c r="C1868" s="471"/>
      <c r="D1868" s="471"/>
      <c r="E1868" s="445"/>
      <c r="F1868" s="445"/>
      <c r="G1868" s="442"/>
      <c r="H1868" s="448"/>
      <c r="I1868" s="447"/>
      <c r="J1868" s="448">
        <f t="shared" si="9"/>
        <v>12</v>
      </c>
      <c r="K1868" s="448"/>
    </row>
    <row r="1869" ht="22.5" customHeight="1">
      <c r="A1869" s="443"/>
      <c r="B1869" s="456"/>
      <c r="C1869" s="471"/>
      <c r="D1869" s="471"/>
      <c r="E1869" s="445"/>
      <c r="F1869" s="445"/>
      <c r="G1869" s="442"/>
      <c r="H1869" s="448"/>
      <c r="I1869" s="447"/>
      <c r="J1869" s="448">
        <f t="shared" si="9"/>
        <v>12</v>
      </c>
      <c r="K1869" s="448"/>
    </row>
    <row r="1870" ht="22.5" customHeight="1">
      <c r="A1870" s="443"/>
      <c r="B1870" s="456"/>
      <c r="C1870" s="471"/>
      <c r="D1870" s="471"/>
      <c r="E1870" s="445"/>
      <c r="F1870" s="445"/>
      <c r="G1870" s="442"/>
      <c r="H1870" s="448"/>
      <c r="I1870" s="447"/>
      <c r="J1870" s="448">
        <f t="shared" si="9"/>
        <v>12</v>
      </c>
      <c r="K1870" s="448"/>
    </row>
    <row r="1871" ht="22.5" customHeight="1">
      <c r="A1871" s="443"/>
      <c r="B1871" s="456"/>
      <c r="C1871" s="471"/>
      <c r="D1871" s="471"/>
      <c r="E1871" s="445"/>
      <c r="F1871" s="445"/>
      <c r="G1871" s="442"/>
      <c r="H1871" s="448"/>
      <c r="I1871" s="447"/>
      <c r="J1871" s="448">
        <f t="shared" si="9"/>
        <v>12</v>
      </c>
      <c r="K1871" s="448"/>
    </row>
    <row r="1872" ht="22.5" customHeight="1">
      <c r="A1872" s="443"/>
      <c r="B1872" s="456"/>
      <c r="C1872" s="471"/>
      <c r="D1872" s="471"/>
      <c r="E1872" s="445"/>
      <c r="F1872" s="445"/>
      <c r="G1872" s="442"/>
      <c r="H1872" s="448"/>
      <c r="I1872" s="447"/>
      <c r="J1872" s="448">
        <f t="shared" si="9"/>
        <v>12</v>
      </c>
      <c r="K1872" s="448"/>
    </row>
    <row r="1873" ht="22.5" customHeight="1">
      <c r="A1873" s="443"/>
      <c r="B1873" s="456"/>
      <c r="C1873" s="471"/>
      <c r="D1873" s="471"/>
      <c r="E1873" s="445"/>
      <c r="F1873" s="445"/>
      <c r="G1873" s="442"/>
      <c r="H1873" s="448"/>
      <c r="I1873" s="447"/>
      <c r="J1873" s="448">
        <f t="shared" si="9"/>
        <v>12</v>
      </c>
      <c r="K1873" s="448"/>
    </row>
    <row r="1874" ht="22.5" customHeight="1">
      <c r="A1874" s="443"/>
      <c r="B1874" s="456"/>
      <c r="C1874" s="471"/>
      <c r="D1874" s="471"/>
      <c r="E1874" s="445"/>
      <c r="F1874" s="445"/>
      <c r="G1874" s="442"/>
      <c r="H1874" s="448"/>
      <c r="I1874" s="447"/>
      <c r="J1874" s="448">
        <f t="shared" si="9"/>
        <v>12</v>
      </c>
      <c r="K1874" s="448"/>
    </row>
    <row r="1875" ht="22.5" customHeight="1">
      <c r="A1875" s="443"/>
      <c r="B1875" s="456"/>
      <c r="C1875" s="471"/>
      <c r="D1875" s="471"/>
      <c r="E1875" s="445"/>
      <c r="F1875" s="445"/>
      <c r="G1875" s="442"/>
      <c r="H1875" s="448"/>
      <c r="I1875" s="447"/>
      <c r="J1875" s="448">
        <f t="shared" si="9"/>
        <v>12</v>
      </c>
      <c r="K1875" s="448"/>
    </row>
    <row r="1876" ht="22.5" customHeight="1">
      <c r="A1876" s="443"/>
      <c r="B1876" s="456"/>
      <c r="C1876" s="471"/>
      <c r="D1876" s="471"/>
      <c r="E1876" s="445"/>
      <c r="F1876" s="445"/>
      <c r="G1876" s="442"/>
      <c r="H1876" s="448"/>
      <c r="I1876" s="447"/>
      <c r="J1876" s="448">
        <f t="shared" si="9"/>
        <v>12</v>
      </c>
      <c r="K1876" s="448"/>
    </row>
    <row r="1877" ht="22.5" customHeight="1">
      <c r="A1877" s="443"/>
      <c r="B1877" s="456"/>
      <c r="C1877" s="471"/>
      <c r="D1877" s="471"/>
      <c r="E1877" s="445"/>
      <c r="F1877" s="445"/>
      <c r="G1877" s="442"/>
      <c r="H1877" s="448"/>
      <c r="I1877" s="447"/>
      <c r="J1877" s="448">
        <f t="shared" si="9"/>
        <v>12</v>
      </c>
      <c r="K1877" s="448"/>
    </row>
    <row r="1878" ht="22.5" customHeight="1">
      <c r="A1878" s="443"/>
      <c r="B1878" s="456"/>
      <c r="C1878" s="471"/>
      <c r="D1878" s="471"/>
      <c r="E1878" s="445"/>
      <c r="F1878" s="445"/>
      <c r="G1878" s="442"/>
      <c r="H1878" s="448"/>
      <c r="I1878" s="447"/>
      <c r="J1878" s="448">
        <f t="shared" si="9"/>
        <v>12</v>
      </c>
      <c r="K1878" s="448"/>
    </row>
    <row r="1879" ht="22.5" customHeight="1">
      <c r="A1879" s="443"/>
      <c r="B1879" s="456"/>
      <c r="C1879" s="471"/>
      <c r="D1879" s="471"/>
      <c r="E1879" s="448"/>
      <c r="F1879" s="445"/>
      <c r="G1879" s="442"/>
      <c r="H1879" s="448"/>
      <c r="I1879" s="447"/>
      <c r="J1879" s="448">
        <f t="shared" si="9"/>
        <v>12</v>
      </c>
      <c r="K1879" s="448"/>
    </row>
    <row r="1880" ht="22.5" customHeight="1">
      <c r="A1880" s="443"/>
      <c r="B1880" s="456"/>
      <c r="C1880" s="471"/>
      <c r="D1880" s="471"/>
      <c r="E1880" s="448"/>
      <c r="F1880" s="445"/>
      <c r="G1880" s="442"/>
      <c r="H1880" s="448"/>
      <c r="I1880" s="447"/>
      <c r="J1880" s="448">
        <f t="shared" si="9"/>
        <v>12</v>
      </c>
      <c r="K1880" s="448"/>
    </row>
    <row r="1881" ht="22.5" customHeight="1">
      <c r="A1881" s="443"/>
      <c r="B1881" s="456"/>
      <c r="C1881" s="471"/>
      <c r="D1881" s="471"/>
      <c r="E1881" s="448"/>
      <c r="F1881" s="445"/>
      <c r="G1881" s="442"/>
      <c r="H1881" s="448"/>
      <c r="I1881" s="447"/>
      <c r="J1881" s="448">
        <f t="shared" si="9"/>
        <v>12</v>
      </c>
      <c r="K1881" s="448"/>
    </row>
    <row r="1882" ht="22.5" customHeight="1">
      <c r="A1882" s="443"/>
      <c r="B1882" s="456"/>
      <c r="C1882" s="471"/>
      <c r="D1882" s="471"/>
      <c r="E1882" s="448"/>
      <c r="F1882" s="445"/>
      <c r="G1882" s="442"/>
      <c r="H1882" s="448"/>
      <c r="I1882" s="447"/>
      <c r="J1882" s="448">
        <f t="shared" si="9"/>
        <v>12</v>
      </c>
      <c r="K1882" s="448"/>
    </row>
    <row r="1883" ht="22.5" customHeight="1">
      <c r="A1883" s="443"/>
      <c r="B1883" s="456"/>
      <c r="C1883" s="471"/>
      <c r="D1883" s="471"/>
      <c r="E1883" s="448"/>
      <c r="F1883" s="445"/>
      <c r="G1883" s="442"/>
      <c r="H1883" s="454" t="s">
        <v>2684</v>
      </c>
      <c r="I1883" s="447"/>
      <c r="J1883" s="448">
        <f t="shared" si="9"/>
        <v>12</v>
      </c>
      <c r="K1883" s="448"/>
    </row>
    <row r="1884" ht="22.5" customHeight="1">
      <c r="A1884" s="443"/>
      <c r="B1884" s="456"/>
      <c r="C1884" s="471"/>
      <c r="D1884" s="471"/>
      <c r="E1884" s="448"/>
      <c r="F1884" s="445"/>
      <c r="G1884" s="442"/>
      <c r="I1884" s="447"/>
      <c r="J1884" s="448">
        <f t="shared" si="9"/>
        <v>12</v>
      </c>
      <c r="K1884" s="448"/>
    </row>
    <row r="1885" ht="22.5" customHeight="1">
      <c r="A1885" s="443"/>
      <c r="B1885" s="456"/>
      <c r="C1885" s="471"/>
      <c r="D1885" s="471"/>
      <c r="E1885" s="448"/>
      <c r="F1885" s="445"/>
      <c r="G1885" s="442"/>
      <c r="I1885" s="447"/>
      <c r="J1885" s="448">
        <f t="shared" si="9"/>
        <v>12</v>
      </c>
      <c r="K1885" s="448"/>
    </row>
    <row r="1886" ht="22.5" customHeight="1">
      <c r="A1886" s="443"/>
      <c r="B1886" s="456"/>
      <c r="C1886" s="471"/>
      <c r="D1886" s="471"/>
      <c r="E1886" s="448"/>
      <c r="F1886" s="445"/>
      <c r="G1886" s="442"/>
      <c r="I1886" s="447"/>
      <c r="J1886" s="448">
        <f t="shared" si="9"/>
        <v>12</v>
      </c>
      <c r="K1886" s="448"/>
    </row>
    <row r="1887" ht="22.5" customHeight="1">
      <c r="A1887" s="443"/>
      <c r="B1887" s="456"/>
      <c r="C1887" s="471"/>
      <c r="D1887" s="471"/>
      <c r="E1887" s="448"/>
      <c r="F1887" s="445"/>
      <c r="G1887" s="442"/>
      <c r="I1887" s="447"/>
      <c r="J1887" s="448">
        <f t="shared" si="9"/>
        <v>12</v>
      </c>
      <c r="K1887" s="448"/>
    </row>
    <row r="1888" ht="22.5" customHeight="1">
      <c r="A1888" s="443"/>
      <c r="B1888" s="456"/>
      <c r="C1888" s="471"/>
      <c r="D1888" s="471"/>
      <c r="E1888" s="445"/>
      <c r="F1888" s="445"/>
      <c r="G1888" s="442"/>
      <c r="H1888" s="448"/>
      <c r="I1888" s="447"/>
      <c r="J1888" s="448">
        <f t="shared" si="9"/>
        <v>12</v>
      </c>
      <c r="K1888" s="448"/>
    </row>
    <row r="1889" ht="22.5" customHeight="1">
      <c r="A1889" s="443"/>
      <c r="B1889" s="456"/>
      <c r="C1889" s="471"/>
      <c r="D1889" s="471"/>
      <c r="E1889" s="445"/>
      <c r="F1889" s="445"/>
      <c r="G1889" s="442"/>
      <c r="H1889" s="448"/>
      <c r="I1889" s="447"/>
      <c r="J1889" s="448">
        <f t="shared" si="9"/>
        <v>12</v>
      </c>
      <c r="K1889" s="448"/>
    </row>
    <row r="1890" ht="22.5" customHeight="1">
      <c r="A1890" s="443"/>
      <c r="B1890" s="456"/>
      <c r="C1890" s="471"/>
      <c r="D1890" s="471"/>
      <c r="E1890" s="445"/>
      <c r="F1890" s="445"/>
      <c r="G1890" s="442"/>
      <c r="H1890" s="448"/>
      <c r="I1890" s="447"/>
      <c r="J1890" s="448">
        <f t="shared" si="9"/>
        <v>12</v>
      </c>
      <c r="K1890" s="448"/>
    </row>
    <row r="1891" ht="22.5" customHeight="1">
      <c r="A1891" s="443"/>
      <c r="B1891" s="456"/>
      <c r="C1891" s="471"/>
      <c r="D1891" s="471"/>
      <c r="E1891" s="445"/>
      <c r="F1891" s="445"/>
      <c r="G1891" s="442"/>
      <c r="H1891" s="448"/>
      <c r="I1891" s="447"/>
      <c r="J1891" s="448">
        <f t="shared" si="9"/>
        <v>12</v>
      </c>
      <c r="K1891" s="448"/>
    </row>
    <row r="1892" ht="22.5" customHeight="1">
      <c r="A1892" s="443"/>
      <c r="B1892" s="456"/>
      <c r="C1892" s="471"/>
      <c r="D1892" s="471"/>
      <c r="E1892" s="445"/>
      <c r="F1892" s="445"/>
      <c r="G1892" s="442"/>
      <c r="H1892" s="448"/>
      <c r="I1892" s="447"/>
      <c r="J1892" s="448">
        <f t="shared" si="9"/>
        <v>12</v>
      </c>
      <c r="K1892" s="448"/>
    </row>
    <row r="1893" ht="22.5" customHeight="1">
      <c r="A1893" s="443"/>
      <c r="B1893" s="456"/>
      <c r="C1893" s="471"/>
      <c r="D1893" s="471"/>
      <c r="E1893" s="445"/>
      <c r="F1893" s="445"/>
      <c r="G1893" s="442"/>
      <c r="H1893" s="448"/>
      <c r="I1893" s="447"/>
      <c r="J1893" s="448">
        <f t="shared" si="9"/>
        <v>12</v>
      </c>
      <c r="K1893" s="448"/>
    </row>
    <row r="1894" ht="22.5" customHeight="1">
      <c r="A1894" s="443"/>
      <c r="B1894" s="456"/>
      <c r="C1894" s="471"/>
      <c r="D1894" s="471"/>
      <c r="E1894" s="448"/>
      <c r="F1894" s="445"/>
      <c r="G1894" s="442"/>
      <c r="I1894" s="447"/>
      <c r="J1894" s="448">
        <f t="shared" si="9"/>
        <v>12</v>
      </c>
      <c r="K1894" s="448"/>
    </row>
    <row r="1895" ht="22.5" customHeight="1">
      <c r="A1895" s="443"/>
      <c r="B1895" s="456"/>
      <c r="C1895" s="471"/>
      <c r="D1895" s="471"/>
      <c r="E1895" s="445"/>
      <c r="F1895" s="445"/>
      <c r="G1895" s="442"/>
      <c r="H1895" s="448"/>
      <c r="I1895" s="447"/>
      <c r="J1895" s="448">
        <f t="shared" si="9"/>
        <v>12</v>
      </c>
      <c r="K1895" s="448"/>
    </row>
    <row r="1896" ht="22.5" customHeight="1">
      <c r="A1896" s="443"/>
      <c r="B1896" s="456"/>
      <c r="C1896" s="471"/>
      <c r="D1896" s="471"/>
      <c r="E1896" s="442"/>
      <c r="F1896" s="445"/>
      <c r="G1896" s="442"/>
      <c r="H1896" s="448"/>
      <c r="I1896" s="447"/>
      <c r="J1896" s="448">
        <f t="shared" si="9"/>
        <v>12</v>
      </c>
      <c r="K1896" s="448"/>
    </row>
    <row r="1897" ht="22.5" customHeight="1">
      <c r="A1897" s="443"/>
      <c r="B1897" s="456"/>
      <c r="C1897" s="471"/>
      <c r="D1897" s="471"/>
      <c r="E1897" s="442"/>
      <c r="F1897" s="445"/>
      <c r="G1897" s="442"/>
      <c r="H1897" s="448"/>
      <c r="I1897" s="447"/>
      <c r="J1897" s="448">
        <f t="shared" si="9"/>
        <v>12</v>
      </c>
      <c r="K1897" s="448"/>
    </row>
    <row r="1898" ht="22.5" customHeight="1">
      <c r="A1898" s="443"/>
      <c r="B1898" s="456"/>
      <c r="C1898" s="471"/>
      <c r="D1898" s="471"/>
      <c r="E1898" s="442"/>
      <c r="F1898" s="445"/>
      <c r="G1898" s="442"/>
      <c r="H1898" s="448"/>
      <c r="I1898" s="447"/>
      <c r="J1898" s="448">
        <f t="shared" si="9"/>
        <v>12</v>
      </c>
      <c r="K1898" s="448"/>
    </row>
    <row r="1899" ht="22.5" customHeight="1">
      <c r="A1899" s="443"/>
      <c r="B1899" s="456"/>
      <c r="C1899" s="471"/>
      <c r="D1899" s="471"/>
      <c r="E1899" s="442"/>
      <c r="F1899" s="445"/>
      <c r="G1899" s="442"/>
      <c r="H1899" s="448"/>
      <c r="I1899" s="447"/>
      <c r="J1899" s="448">
        <f t="shared" si="9"/>
        <v>12</v>
      </c>
      <c r="K1899" s="448"/>
    </row>
    <row r="1900" ht="22.5" customHeight="1">
      <c r="A1900" s="443"/>
      <c r="B1900" s="456"/>
      <c r="C1900" s="471"/>
      <c r="D1900" s="471"/>
      <c r="E1900" s="442"/>
      <c r="F1900" s="445"/>
      <c r="G1900" s="442"/>
      <c r="H1900" s="448"/>
      <c r="I1900" s="447"/>
      <c r="J1900" s="448">
        <f t="shared" si="9"/>
        <v>12</v>
      </c>
      <c r="K1900" s="448"/>
    </row>
    <row r="1901" ht="22.5" customHeight="1">
      <c r="A1901" s="443"/>
      <c r="B1901" s="456"/>
      <c r="C1901" s="471"/>
      <c r="D1901" s="471"/>
      <c r="E1901" s="445"/>
      <c r="G1901" s="442"/>
      <c r="H1901" s="448"/>
      <c r="I1901" s="447"/>
      <c r="J1901" s="448">
        <f t="shared" si="9"/>
        <v>12</v>
      </c>
      <c r="K1901" s="448"/>
    </row>
    <row r="1902" ht="22.5" customHeight="1">
      <c r="A1902" s="443"/>
      <c r="B1902" s="456"/>
      <c r="C1902" s="471"/>
      <c r="D1902" s="471"/>
      <c r="E1902" s="445"/>
      <c r="G1902" s="442"/>
      <c r="H1902" s="448"/>
      <c r="I1902" s="447"/>
      <c r="J1902" s="448">
        <f t="shared" si="9"/>
        <v>12</v>
      </c>
      <c r="K1902" s="448"/>
    </row>
    <row r="1903" ht="22.5" customHeight="1">
      <c r="A1903" s="443"/>
      <c r="B1903" s="456"/>
      <c r="C1903" s="471"/>
      <c r="D1903" s="471"/>
      <c r="E1903" s="445"/>
      <c r="G1903" s="442"/>
      <c r="H1903" s="448"/>
      <c r="I1903" s="447"/>
      <c r="J1903" s="448">
        <f t="shared" si="9"/>
        <v>12</v>
      </c>
      <c r="K1903" s="448"/>
    </row>
    <row r="1904" ht="22.5" customHeight="1">
      <c r="A1904" s="443"/>
      <c r="B1904" s="456"/>
      <c r="C1904" s="471"/>
      <c r="D1904" s="471"/>
      <c r="E1904" s="445"/>
      <c r="G1904" s="442"/>
      <c r="H1904" s="448"/>
      <c r="I1904" s="447"/>
      <c r="J1904" s="448">
        <f t="shared" si="9"/>
        <v>12</v>
      </c>
      <c r="K1904" s="448"/>
    </row>
    <row r="1905" ht="22.5" customHeight="1">
      <c r="A1905" s="443"/>
      <c r="B1905" s="456"/>
      <c r="C1905" s="471"/>
      <c r="D1905" s="471"/>
      <c r="E1905" s="445"/>
      <c r="G1905" s="442"/>
      <c r="H1905" s="448"/>
      <c r="I1905" s="447"/>
      <c r="J1905" s="448">
        <f t="shared" si="9"/>
        <v>12</v>
      </c>
      <c r="K1905" s="448"/>
    </row>
    <row r="1906" ht="22.5" customHeight="1">
      <c r="A1906" s="443"/>
      <c r="B1906" s="456"/>
      <c r="C1906" s="471"/>
      <c r="D1906" s="471"/>
      <c r="E1906" s="445"/>
      <c r="F1906" s="445"/>
      <c r="G1906" s="442"/>
      <c r="H1906" s="448"/>
      <c r="I1906" s="447"/>
      <c r="J1906" s="448">
        <f t="shared" si="9"/>
        <v>12</v>
      </c>
      <c r="K1906" s="448"/>
    </row>
    <row r="1907" ht="22.5" customHeight="1">
      <c r="A1907" s="443"/>
      <c r="B1907" s="456"/>
      <c r="C1907" s="471"/>
      <c r="D1907" s="471"/>
      <c r="E1907" s="445"/>
      <c r="F1907" s="445"/>
      <c r="G1907" s="442"/>
      <c r="H1907" s="448"/>
      <c r="I1907" s="447"/>
      <c r="J1907" s="448">
        <f t="shared" si="9"/>
        <v>12</v>
      </c>
      <c r="K1907" s="448"/>
    </row>
    <row r="1908" ht="22.5" customHeight="1">
      <c r="A1908" s="443"/>
      <c r="B1908" s="456"/>
      <c r="C1908" s="471"/>
      <c r="D1908" s="471"/>
      <c r="E1908" s="445"/>
      <c r="F1908" s="445"/>
      <c r="G1908" s="442"/>
      <c r="H1908" s="448"/>
      <c r="I1908" s="447"/>
      <c r="J1908" s="448">
        <f t="shared" si="9"/>
        <v>12</v>
      </c>
      <c r="K1908" s="448"/>
    </row>
    <row r="1909" ht="22.5" customHeight="1">
      <c r="A1909" s="443"/>
      <c r="B1909" s="456"/>
      <c r="C1909" s="471"/>
      <c r="D1909" s="471"/>
      <c r="E1909" s="445"/>
      <c r="F1909" s="445"/>
      <c r="G1909" s="442"/>
      <c r="H1909" s="448"/>
      <c r="I1909" s="447"/>
      <c r="J1909" s="448">
        <f t="shared" si="9"/>
        <v>12</v>
      </c>
      <c r="K1909" s="448"/>
    </row>
    <row r="1910" ht="22.5" customHeight="1">
      <c r="A1910" s="443"/>
      <c r="B1910" s="456"/>
      <c r="C1910" s="471"/>
      <c r="D1910" s="471"/>
      <c r="E1910" s="445"/>
      <c r="F1910" s="445"/>
      <c r="G1910" s="442"/>
      <c r="H1910" s="448"/>
      <c r="I1910" s="447"/>
      <c r="J1910" s="448">
        <f t="shared" si="9"/>
        <v>12</v>
      </c>
      <c r="K1910" s="448"/>
    </row>
    <row r="1911" ht="22.5" customHeight="1">
      <c r="A1911" s="443"/>
      <c r="B1911" s="456"/>
      <c r="C1911" s="471"/>
      <c r="D1911" s="471"/>
      <c r="E1911" s="445"/>
      <c r="F1911" s="445"/>
      <c r="G1911" s="442"/>
      <c r="H1911" s="448"/>
      <c r="I1911" s="447"/>
      <c r="J1911" s="448">
        <f t="shared" si="9"/>
        <v>12</v>
      </c>
      <c r="K1911" s="448"/>
    </row>
    <row r="1912" ht="22.5" customHeight="1">
      <c r="A1912" s="443"/>
      <c r="B1912" s="456"/>
      <c r="C1912" s="471"/>
      <c r="D1912" s="471"/>
      <c r="E1912" s="445"/>
      <c r="F1912" s="445"/>
      <c r="G1912" s="442"/>
      <c r="H1912" s="448"/>
      <c r="I1912" s="447"/>
      <c r="J1912" s="448">
        <f t="shared" si="9"/>
        <v>12</v>
      </c>
      <c r="K1912" s="448"/>
    </row>
    <row r="1913" ht="22.5" customHeight="1">
      <c r="A1913" s="443"/>
      <c r="B1913" s="456"/>
      <c r="C1913" s="471"/>
      <c r="D1913" s="471"/>
      <c r="E1913" s="445"/>
      <c r="F1913" s="445"/>
      <c r="G1913" s="442"/>
      <c r="H1913" s="448"/>
      <c r="I1913" s="447"/>
      <c r="J1913" s="448">
        <f t="shared" si="9"/>
        <v>12</v>
      </c>
      <c r="K1913" s="448"/>
    </row>
    <row r="1914" ht="22.5" customHeight="1">
      <c r="A1914" s="443"/>
      <c r="B1914" s="456"/>
      <c r="C1914" s="471"/>
      <c r="D1914" s="471"/>
      <c r="E1914" s="445"/>
      <c r="F1914" s="445"/>
      <c r="G1914" s="442"/>
      <c r="H1914" s="448"/>
      <c r="I1914" s="447"/>
      <c r="J1914" s="448">
        <f t="shared" si="9"/>
        <v>12</v>
      </c>
      <c r="K1914" s="448"/>
    </row>
    <row r="1915" ht="22.5" customHeight="1">
      <c r="A1915" s="443"/>
      <c r="B1915" s="456"/>
      <c r="C1915" s="471"/>
      <c r="D1915" s="471"/>
      <c r="E1915" s="445"/>
      <c r="F1915" s="445"/>
      <c r="G1915" s="442"/>
      <c r="H1915" s="448"/>
      <c r="I1915" s="447"/>
      <c r="J1915" s="448">
        <f t="shared" si="9"/>
        <v>12</v>
      </c>
      <c r="K1915" s="448"/>
    </row>
    <row r="1916" ht="22.5" customHeight="1">
      <c r="A1916" s="443"/>
      <c r="B1916" s="456"/>
      <c r="C1916" s="471"/>
      <c r="D1916" s="471"/>
      <c r="E1916" s="445"/>
      <c r="F1916" s="445"/>
      <c r="G1916" s="442"/>
      <c r="H1916" s="448"/>
      <c r="I1916" s="447"/>
      <c r="J1916" s="448">
        <f t="shared" si="9"/>
        <v>12</v>
      </c>
      <c r="K1916" s="448"/>
    </row>
    <row r="1917" ht="22.5" customHeight="1">
      <c r="A1917" s="443"/>
      <c r="B1917" s="456"/>
      <c r="C1917" s="471"/>
      <c r="D1917" s="471"/>
      <c r="E1917" s="445"/>
      <c r="F1917" s="445"/>
      <c r="G1917" s="442"/>
      <c r="H1917" s="448"/>
      <c r="I1917" s="447"/>
      <c r="J1917" s="448">
        <f t="shared" si="9"/>
        <v>12</v>
      </c>
      <c r="K1917" s="448"/>
    </row>
    <row r="1918" ht="22.5" customHeight="1">
      <c r="A1918" s="443"/>
      <c r="B1918" s="456"/>
      <c r="C1918" s="471"/>
      <c r="D1918" s="471"/>
      <c r="E1918" s="445"/>
      <c r="F1918" s="445"/>
      <c r="G1918" s="442"/>
      <c r="H1918" s="448"/>
      <c r="I1918" s="447"/>
      <c r="J1918" s="448">
        <f t="shared" si="9"/>
        <v>12</v>
      </c>
      <c r="K1918" s="448"/>
    </row>
    <row r="1919" ht="22.5" customHeight="1">
      <c r="A1919" s="443"/>
      <c r="B1919" s="456"/>
      <c r="C1919" s="471"/>
      <c r="D1919" s="471"/>
      <c r="E1919" s="445"/>
      <c r="F1919" s="445"/>
      <c r="G1919" s="442"/>
      <c r="H1919" s="448"/>
      <c r="I1919" s="447"/>
      <c r="J1919" s="448">
        <f t="shared" si="9"/>
        <v>12</v>
      </c>
      <c r="K1919" s="448"/>
    </row>
    <row r="1920" ht="22.5" customHeight="1">
      <c r="A1920" s="443"/>
      <c r="B1920" s="456"/>
      <c r="C1920" s="471"/>
      <c r="D1920" s="471"/>
      <c r="E1920" s="445"/>
      <c r="F1920" s="445"/>
      <c r="G1920" s="442"/>
      <c r="H1920" s="448"/>
      <c r="I1920" s="447"/>
      <c r="J1920" s="448">
        <f t="shared" si="9"/>
        <v>12</v>
      </c>
      <c r="K1920" s="448"/>
    </row>
    <row r="1921" ht="22.5" customHeight="1">
      <c r="A1921" s="443"/>
      <c r="B1921" s="456"/>
      <c r="C1921" s="471"/>
      <c r="D1921" s="471"/>
      <c r="E1921" s="445"/>
      <c r="F1921" s="445"/>
      <c r="G1921" s="442"/>
      <c r="H1921" s="448"/>
      <c r="I1921" s="447"/>
      <c r="J1921" s="448">
        <f t="shared" si="9"/>
        <v>12</v>
      </c>
      <c r="K1921" s="448"/>
    </row>
    <row r="1922" ht="22.5" customHeight="1">
      <c r="A1922" s="443"/>
      <c r="B1922" s="456"/>
      <c r="C1922" s="471"/>
      <c r="D1922" s="471"/>
      <c r="E1922" s="445"/>
      <c r="F1922" s="445"/>
      <c r="G1922" s="442"/>
      <c r="H1922" s="448"/>
      <c r="I1922" s="447"/>
      <c r="J1922" s="448">
        <f t="shared" si="9"/>
        <v>12</v>
      </c>
      <c r="K1922" s="448"/>
    </row>
    <row r="1923" ht="22.5" customHeight="1">
      <c r="A1923" s="443"/>
      <c r="B1923" s="456"/>
      <c r="C1923" s="471"/>
      <c r="D1923" s="471"/>
      <c r="E1923" s="445"/>
      <c r="F1923" s="445"/>
      <c r="G1923" s="442"/>
      <c r="H1923" s="448"/>
      <c r="I1923" s="447"/>
      <c r="J1923" s="448">
        <f t="shared" si="9"/>
        <v>12</v>
      </c>
      <c r="K1923" s="448"/>
    </row>
    <row r="1924" ht="22.5" customHeight="1">
      <c r="A1924" s="443"/>
      <c r="B1924" s="456"/>
      <c r="C1924" s="471"/>
      <c r="D1924" s="471"/>
      <c r="E1924" s="445"/>
      <c r="F1924" s="445"/>
      <c r="G1924" s="442"/>
      <c r="H1924" s="448"/>
      <c r="I1924" s="447"/>
      <c r="J1924" s="448">
        <f t="shared" si="9"/>
        <v>12</v>
      </c>
      <c r="K1924" s="448"/>
    </row>
    <row r="1925" ht="22.5" customHeight="1">
      <c r="A1925" s="443"/>
      <c r="B1925" s="456"/>
      <c r="C1925" s="471"/>
      <c r="D1925" s="471"/>
      <c r="E1925" s="445"/>
      <c r="F1925" s="445"/>
      <c r="G1925" s="442"/>
      <c r="H1925" s="448"/>
      <c r="I1925" s="447"/>
      <c r="J1925" s="448">
        <f t="shared" si="9"/>
        <v>12</v>
      </c>
      <c r="K1925" s="448"/>
    </row>
    <row r="1926" ht="22.5" customHeight="1">
      <c r="A1926" s="443"/>
      <c r="B1926" s="456"/>
      <c r="C1926" s="471"/>
      <c r="D1926" s="471"/>
      <c r="E1926" s="445"/>
      <c r="F1926" s="445"/>
      <c r="G1926" s="442"/>
      <c r="H1926" s="448"/>
      <c r="I1926" s="447"/>
      <c r="J1926" s="448">
        <f t="shared" si="9"/>
        <v>12</v>
      </c>
      <c r="K1926" s="448"/>
    </row>
    <row r="1927" ht="22.5" customHeight="1">
      <c r="A1927" s="443"/>
      <c r="B1927" s="456"/>
      <c r="C1927" s="471"/>
      <c r="D1927" s="471"/>
      <c r="E1927" s="445"/>
      <c r="F1927" s="445"/>
      <c r="G1927" s="442"/>
      <c r="H1927" s="448"/>
      <c r="I1927" s="447"/>
      <c r="J1927" s="448">
        <f t="shared" si="9"/>
        <v>12</v>
      </c>
      <c r="K1927" s="448"/>
    </row>
    <row r="1928" ht="22.5" customHeight="1">
      <c r="A1928" s="443"/>
      <c r="B1928" s="456"/>
      <c r="C1928" s="471"/>
      <c r="D1928" s="471"/>
      <c r="E1928" s="445"/>
      <c r="F1928" s="445"/>
      <c r="G1928" s="442"/>
      <c r="H1928" s="448"/>
      <c r="I1928" s="447"/>
      <c r="J1928" s="448">
        <f t="shared" si="9"/>
        <v>12</v>
      </c>
      <c r="K1928" s="448"/>
    </row>
    <row r="1929" ht="22.5" customHeight="1">
      <c r="A1929" s="443"/>
      <c r="B1929" s="456"/>
      <c r="C1929" s="471"/>
      <c r="D1929" s="471"/>
      <c r="E1929" s="445"/>
      <c r="F1929" s="445"/>
      <c r="G1929" s="442"/>
      <c r="H1929" s="448"/>
      <c r="I1929" s="447"/>
      <c r="J1929" s="448">
        <f t="shared" si="9"/>
        <v>12</v>
      </c>
      <c r="K1929" s="448"/>
    </row>
    <row r="1930" ht="22.5" customHeight="1">
      <c r="A1930" s="443"/>
      <c r="B1930" s="456"/>
      <c r="C1930" s="471"/>
      <c r="D1930" s="471"/>
      <c r="E1930" s="445"/>
      <c r="F1930" s="445"/>
      <c r="G1930" s="442"/>
      <c r="H1930" s="448"/>
      <c r="I1930" s="447"/>
      <c r="J1930" s="448">
        <f t="shared" si="9"/>
        <v>12</v>
      </c>
      <c r="K1930" s="448"/>
    </row>
    <row r="1931" ht="22.5" customHeight="1">
      <c r="A1931" s="443"/>
      <c r="B1931" s="456"/>
      <c r="C1931" s="471"/>
      <c r="D1931" s="471"/>
      <c r="E1931" s="445"/>
      <c r="F1931" s="445"/>
      <c r="G1931" s="442"/>
      <c r="H1931" s="448"/>
      <c r="I1931" s="447"/>
      <c r="J1931" s="448">
        <f t="shared" si="9"/>
        <v>12</v>
      </c>
      <c r="K1931" s="448"/>
    </row>
    <row r="1932" ht="22.5" customHeight="1">
      <c r="A1932" s="443"/>
      <c r="B1932" s="456"/>
      <c r="C1932" s="471"/>
      <c r="D1932" s="471"/>
      <c r="E1932" s="445"/>
      <c r="F1932" s="445"/>
      <c r="G1932" s="442"/>
      <c r="H1932" s="448"/>
      <c r="I1932" s="447"/>
      <c r="J1932" s="448">
        <f t="shared" si="9"/>
        <v>12</v>
      </c>
      <c r="K1932" s="448"/>
    </row>
    <row r="1933" ht="22.5" customHeight="1">
      <c r="A1933" s="443"/>
      <c r="B1933" s="456"/>
      <c r="C1933" s="471"/>
      <c r="D1933" s="471"/>
      <c r="E1933" s="445"/>
      <c r="F1933" s="445"/>
      <c r="G1933" s="442"/>
      <c r="H1933" s="448"/>
      <c r="I1933" s="447"/>
      <c r="J1933" s="448">
        <f t="shared" si="9"/>
        <v>12</v>
      </c>
      <c r="K1933" s="448"/>
    </row>
    <row r="1934" ht="22.5" customHeight="1">
      <c r="A1934" s="443"/>
      <c r="B1934" s="456"/>
      <c r="C1934" s="471"/>
      <c r="D1934" s="471"/>
      <c r="E1934" s="445"/>
      <c r="F1934" s="445"/>
      <c r="G1934" s="442"/>
      <c r="H1934" s="448"/>
      <c r="I1934" s="447"/>
      <c r="J1934" s="448">
        <f t="shared" si="9"/>
        <v>12</v>
      </c>
      <c r="K1934" s="448"/>
    </row>
    <row r="1935" ht="22.5" customHeight="1">
      <c r="A1935" s="443"/>
      <c r="B1935" s="456"/>
      <c r="C1935" s="471"/>
      <c r="D1935" s="471"/>
      <c r="E1935" s="445"/>
      <c r="F1935" s="445"/>
      <c r="G1935" s="442"/>
      <c r="H1935" s="448"/>
      <c r="I1935" s="447"/>
      <c r="J1935" s="448">
        <f t="shared" si="9"/>
        <v>12</v>
      </c>
      <c r="K1935" s="448"/>
    </row>
    <row r="1936" ht="22.5" customHeight="1">
      <c r="A1936" s="443"/>
      <c r="B1936" s="456"/>
      <c r="C1936" s="471"/>
      <c r="D1936" s="471"/>
      <c r="E1936" s="442"/>
      <c r="F1936" s="445"/>
      <c r="G1936" s="442"/>
      <c r="H1936" s="448"/>
      <c r="I1936" s="447"/>
      <c r="J1936" s="448">
        <f t="shared" si="9"/>
        <v>12</v>
      </c>
      <c r="K1936" s="448"/>
    </row>
    <row r="1937" ht="22.5" customHeight="1">
      <c r="A1937" s="443"/>
      <c r="B1937" s="456"/>
      <c r="C1937" s="471"/>
      <c r="D1937" s="471"/>
      <c r="F1937" s="445"/>
      <c r="G1937" s="442"/>
      <c r="H1937" s="448"/>
      <c r="I1937" s="447"/>
      <c r="J1937" s="448">
        <f t="shared" si="9"/>
        <v>12</v>
      </c>
      <c r="K1937" s="448"/>
    </row>
    <row r="1938" ht="22.5" customHeight="1">
      <c r="A1938" s="443"/>
      <c r="B1938" s="456"/>
      <c r="C1938" s="471"/>
      <c r="D1938" s="471"/>
      <c r="E1938" s="445"/>
      <c r="F1938" s="445"/>
      <c r="G1938" s="442"/>
      <c r="H1938" s="448"/>
      <c r="I1938" s="447"/>
      <c r="J1938" s="448">
        <f t="shared" si="9"/>
        <v>12</v>
      </c>
      <c r="K1938" s="448"/>
    </row>
    <row r="1939" ht="22.5" customHeight="1">
      <c r="A1939" s="443"/>
      <c r="B1939" s="456"/>
      <c r="C1939" s="471"/>
      <c r="D1939" s="471"/>
      <c r="E1939" s="445"/>
      <c r="F1939" s="445"/>
      <c r="G1939" s="442"/>
      <c r="H1939" s="448"/>
      <c r="I1939" s="447"/>
      <c r="J1939" s="448">
        <f t="shared" si="9"/>
        <v>12</v>
      </c>
      <c r="K1939" s="448"/>
    </row>
    <row r="1940" ht="22.5" customHeight="1">
      <c r="A1940" s="443"/>
      <c r="B1940" s="456"/>
      <c r="C1940" s="471"/>
      <c r="D1940" s="471"/>
      <c r="E1940" s="445"/>
      <c r="F1940" s="445"/>
      <c r="G1940" s="442"/>
      <c r="H1940" s="448"/>
      <c r="I1940" s="447"/>
      <c r="J1940" s="448">
        <f t="shared" si="9"/>
        <v>12</v>
      </c>
      <c r="K1940" s="448"/>
    </row>
    <row r="1941" ht="22.5" customHeight="1">
      <c r="A1941" s="443"/>
      <c r="B1941" s="456"/>
      <c r="C1941" s="471"/>
      <c r="D1941" s="471"/>
      <c r="E1941" s="445"/>
      <c r="F1941" s="445"/>
      <c r="G1941" s="442"/>
      <c r="H1941" s="448"/>
      <c r="I1941" s="447"/>
      <c r="J1941" s="448">
        <f t="shared" si="9"/>
        <v>12</v>
      </c>
      <c r="K1941" s="448"/>
    </row>
    <row r="1942" ht="22.5" customHeight="1">
      <c r="A1942" s="443"/>
      <c r="B1942" s="456"/>
      <c r="C1942" s="471"/>
      <c r="D1942" s="471"/>
      <c r="E1942" s="445"/>
      <c r="F1942" s="445"/>
      <c r="G1942" s="442"/>
      <c r="H1942" s="448"/>
      <c r="I1942" s="447"/>
      <c r="J1942" s="448">
        <f t="shared" si="9"/>
        <v>12</v>
      </c>
      <c r="K1942" s="448"/>
    </row>
    <row r="1943" ht="22.5" customHeight="1">
      <c r="A1943" s="443"/>
      <c r="B1943" s="456"/>
      <c r="C1943" s="471"/>
      <c r="D1943" s="471"/>
      <c r="E1943" s="445"/>
      <c r="F1943" s="445"/>
      <c r="G1943" s="442"/>
      <c r="H1943" s="448"/>
      <c r="I1943" s="447"/>
      <c r="J1943" s="448">
        <f t="shared" si="9"/>
        <v>12</v>
      </c>
      <c r="K1943" s="448"/>
    </row>
    <row r="1944" ht="22.5" customHeight="1">
      <c r="A1944" s="443"/>
      <c r="B1944" s="456"/>
      <c r="C1944" s="471"/>
      <c r="D1944" s="471"/>
      <c r="E1944" s="445"/>
      <c r="F1944" s="445"/>
      <c r="G1944" s="442"/>
      <c r="H1944" s="448"/>
      <c r="I1944" s="447"/>
      <c r="J1944" s="448">
        <f t="shared" si="9"/>
        <v>12</v>
      </c>
      <c r="K1944" s="448"/>
    </row>
    <row r="1945" ht="22.5" customHeight="1">
      <c r="A1945" s="443"/>
      <c r="B1945" s="456"/>
      <c r="C1945" s="471"/>
      <c r="D1945" s="471"/>
      <c r="E1945" s="445"/>
      <c r="F1945" s="445"/>
      <c r="G1945" s="442"/>
      <c r="H1945" s="448"/>
      <c r="I1945" s="447"/>
      <c r="J1945" s="448">
        <f t="shared" si="9"/>
        <v>12</v>
      </c>
      <c r="K1945" s="448"/>
    </row>
    <row r="1946" ht="22.5" customHeight="1">
      <c r="A1946" s="443"/>
      <c r="B1946" s="456"/>
      <c r="C1946" s="471"/>
      <c r="D1946" s="471"/>
      <c r="E1946" s="445"/>
      <c r="F1946" s="445"/>
      <c r="G1946" s="442"/>
      <c r="H1946" s="448"/>
      <c r="I1946" s="447"/>
      <c r="J1946" s="448">
        <f t="shared" si="9"/>
        <v>12</v>
      </c>
      <c r="K1946" s="448"/>
    </row>
    <row r="1947" ht="22.5" customHeight="1">
      <c r="A1947" s="443"/>
      <c r="B1947" s="456"/>
      <c r="C1947" s="471"/>
      <c r="D1947" s="471"/>
      <c r="E1947" s="445"/>
      <c r="F1947" s="445"/>
      <c r="G1947" s="442"/>
      <c r="H1947" s="448"/>
      <c r="I1947" s="447"/>
      <c r="J1947" s="448">
        <f t="shared" si="9"/>
        <v>12</v>
      </c>
      <c r="K1947" s="448"/>
    </row>
    <row r="1948" ht="22.5" customHeight="1">
      <c r="A1948" s="443"/>
      <c r="B1948" s="456"/>
      <c r="C1948" s="471"/>
      <c r="D1948" s="471"/>
      <c r="E1948" s="445"/>
      <c r="F1948" s="445"/>
      <c r="G1948" s="442"/>
      <c r="H1948" s="448"/>
      <c r="I1948" s="447"/>
      <c r="J1948" s="448">
        <f t="shared" si="9"/>
        <v>12</v>
      </c>
      <c r="K1948" s="448"/>
    </row>
    <row r="1949" ht="22.5" customHeight="1">
      <c r="A1949" s="443"/>
      <c r="B1949" s="456"/>
      <c r="C1949" s="471"/>
      <c r="D1949" s="471"/>
      <c r="E1949" s="445"/>
      <c r="F1949" s="445"/>
      <c r="G1949" s="442"/>
      <c r="H1949" s="448"/>
      <c r="I1949" s="447"/>
      <c r="J1949" s="448">
        <f t="shared" si="9"/>
        <v>12</v>
      </c>
      <c r="K1949" s="448"/>
    </row>
    <row r="1950" ht="22.5" customHeight="1">
      <c r="A1950" s="443"/>
      <c r="B1950" s="456"/>
      <c r="C1950" s="471"/>
      <c r="D1950" s="471"/>
      <c r="E1950" s="445"/>
      <c r="F1950" s="445"/>
      <c r="G1950" s="442"/>
      <c r="H1950" s="448"/>
      <c r="I1950" s="447"/>
      <c r="J1950" s="448">
        <f t="shared" si="9"/>
        <v>12</v>
      </c>
      <c r="K1950" s="448"/>
    </row>
    <row r="1951" ht="22.5" customHeight="1">
      <c r="A1951" s="443"/>
      <c r="B1951" s="456"/>
      <c r="C1951" s="471"/>
      <c r="D1951" s="471"/>
      <c r="E1951" s="445"/>
      <c r="F1951" s="445"/>
      <c r="G1951" s="442"/>
      <c r="H1951" s="448"/>
      <c r="I1951" s="447"/>
      <c r="J1951" s="448">
        <f t="shared" si="9"/>
        <v>12</v>
      </c>
      <c r="K1951" s="448"/>
    </row>
    <row r="1952" ht="22.5" customHeight="1">
      <c r="A1952" s="443"/>
      <c r="B1952" s="456"/>
      <c r="C1952" s="471"/>
      <c r="D1952" s="471"/>
      <c r="E1952" s="445"/>
      <c r="F1952" s="445"/>
      <c r="G1952" s="442"/>
      <c r="H1952" s="448"/>
      <c r="I1952" s="447"/>
      <c r="J1952" s="448">
        <f t="shared" si="9"/>
        <v>12</v>
      </c>
      <c r="K1952" s="448"/>
    </row>
    <row r="1953" ht="22.5" customHeight="1">
      <c r="A1953" s="443"/>
      <c r="B1953" s="456"/>
      <c r="C1953" s="471"/>
      <c r="D1953" s="471"/>
      <c r="E1953" s="445"/>
      <c r="F1953" s="445"/>
      <c r="G1953" s="442"/>
      <c r="H1953" s="448"/>
      <c r="I1953" s="447"/>
      <c r="J1953" s="448">
        <f t="shared" si="9"/>
        <v>12</v>
      </c>
      <c r="K1953" s="448"/>
    </row>
    <row r="1954" ht="22.5" customHeight="1">
      <c r="A1954" s="443"/>
      <c r="B1954" s="456"/>
      <c r="C1954" s="471"/>
      <c r="D1954" s="471"/>
      <c r="E1954" s="445"/>
      <c r="F1954" s="445"/>
      <c r="G1954" s="442"/>
      <c r="H1954" s="448"/>
      <c r="I1954" s="447"/>
      <c r="J1954" s="448">
        <f t="shared" si="9"/>
        <v>12</v>
      </c>
      <c r="K1954" s="448"/>
    </row>
    <row r="1955" ht="22.5" customHeight="1">
      <c r="A1955" s="443"/>
      <c r="B1955" s="456"/>
      <c r="C1955" s="471"/>
      <c r="D1955" s="471"/>
      <c r="E1955" s="445"/>
      <c r="F1955" s="445"/>
      <c r="G1955" s="442"/>
      <c r="H1955" s="448"/>
      <c r="I1955" s="447"/>
      <c r="J1955" s="448">
        <f t="shared" si="9"/>
        <v>12</v>
      </c>
      <c r="K1955" s="448"/>
    </row>
    <row r="1956" ht="22.5" customHeight="1">
      <c r="A1956" s="443"/>
      <c r="B1956" s="456"/>
      <c r="C1956" s="471"/>
      <c r="D1956" s="471"/>
      <c r="E1956" s="445"/>
      <c r="F1956" s="445"/>
      <c r="G1956" s="442"/>
      <c r="H1956" s="448"/>
      <c r="I1956" s="447"/>
      <c r="J1956" s="448">
        <f t="shared" si="9"/>
        <v>12</v>
      </c>
      <c r="K1956" s="448"/>
    </row>
    <row r="1957" ht="22.5" customHeight="1">
      <c r="A1957" s="443"/>
      <c r="B1957" s="456"/>
      <c r="C1957" s="471"/>
      <c r="D1957" s="471"/>
      <c r="E1957" s="445"/>
      <c r="F1957" s="445"/>
      <c r="G1957" s="442"/>
      <c r="H1957" s="448"/>
      <c r="I1957" s="447"/>
      <c r="J1957" s="448">
        <f t="shared" si="9"/>
        <v>12</v>
      </c>
      <c r="K1957" s="448"/>
    </row>
    <row r="1958" ht="22.5" customHeight="1">
      <c r="A1958" s="443"/>
      <c r="B1958" s="456"/>
      <c r="C1958" s="471"/>
      <c r="D1958" s="471"/>
      <c r="E1958" s="445"/>
      <c r="F1958" s="445"/>
      <c r="G1958" s="442"/>
      <c r="H1958" s="448"/>
      <c r="I1958" s="447"/>
      <c r="J1958" s="448">
        <f t="shared" si="9"/>
        <v>12</v>
      </c>
      <c r="K1958" s="448"/>
    </row>
    <row r="1959" ht="22.5" customHeight="1">
      <c r="A1959" s="443"/>
      <c r="B1959" s="456"/>
      <c r="C1959" s="471"/>
      <c r="D1959" s="471"/>
      <c r="E1959" s="445"/>
      <c r="F1959" s="445"/>
      <c r="G1959" s="442"/>
      <c r="H1959" s="448"/>
      <c r="I1959" s="447"/>
      <c r="J1959" s="448">
        <f t="shared" si="9"/>
        <v>12</v>
      </c>
      <c r="K1959" s="448"/>
    </row>
    <row r="1960" ht="22.5" customHeight="1">
      <c r="A1960" s="443"/>
      <c r="B1960" s="456"/>
      <c r="C1960" s="471"/>
      <c r="D1960" s="471"/>
      <c r="E1960" s="445"/>
      <c r="F1960" s="445"/>
      <c r="G1960" s="442"/>
      <c r="H1960" s="448"/>
      <c r="I1960" s="447"/>
      <c r="J1960" s="448">
        <f t="shared" si="9"/>
        <v>12</v>
      </c>
      <c r="K1960" s="448"/>
    </row>
    <row r="1961" ht="22.5" customHeight="1">
      <c r="A1961" s="443"/>
      <c r="B1961" s="456"/>
      <c r="C1961" s="471"/>
      <c r="D1961" s="471"/>
      <c r="E1961" s="445"/>
      <c r="F1961" s="445"/>
      <c r="G1961" s="442"/>
      <c r="H1961" s="448"/>
      <c r="I1961" s="447"/>
      <c r="J1961" s="448">
        <f t="shared" si="9"/>
        <v>12</v>
      </c>
      <c r="K1961" s="448"/>
    </row>
    <row r="1962" ht="22.5" customHeight="1">
      <c r="A1962" s="443"/>
      <c r="B1962" s="456"/>
      <c r="C1962" s="471"/>
      <c r="D1962" s="471"/>
      <c r="E1962" s="445"/>
      <c r="F1962" s="445"/>
      <c r="G1962" s="442"/>
      <c r="H1962" s="448"/>
      <c r="I1962" s="447"/>
      <c r="J1962" s="448">
        <f t="shared" si="9"/>
        <v>12</v>
      </c>
      <c r="K1962" s="448"/>
    </row>
    <row r="1963" ht="22.5" customHeight="1">
      <c r="A1963" s="443"/>
      <c r="B1963" s="456"/>
      <c r="C1963" s="471"/>
      <c r="D1963" s="471"/>
      <c r="E1963" s="445"/>
      <c r="F1963" s="445"/>
      <c r="G1963" s="442"/>
      <c r="H1963" s="448"/>
      <c r="I1963" s="447"/>
      <c r="J1963" s="448">
        <f t="shared" si="9"/>
        <v>12</v>
      </c>
      <c r="K1963" s="448"/>
    </row>
    <row r="1964" ht="22.5" customHeight="1">
      <c r="A1964" s="443"/>
      <c r="B1964" s="456"/>
      <c r="C1964" s="471"/>
      <c r="D1964" s="471"/>
      <c r="E1964" s="445"/>
      <c r="F1964" s="445"/>
      <c r="G1964" s="442"/>
      <c r="H1964" s="448"/>
      <c r="I1964" s="447"/>
      <c r="J1964" s="448">
        <f t="shared" si="9"/>
        <v>12</v>
      </c>
      <c r="K1964" s="448"/>
    </row>
    <row r="1965" ht="22.5" customHeight="1">
      <c r="A1965" s="443"/>
      <c r="B1965" s="456"/>
      <c r="C1965" s="471"/>
      <c r="D1965" s="471"/>
      <c r="E1965" s="445"/>
      <c r="F1965" s="445"/>
      <c r="G1965" s="442"/>
      <c r="H1965" s="448"/>
      <c r="I1965" s="447"/>
      <c r="J1965" s="448">
        <f t="shared" si="9"/>
        <v>12</v>
      </c>
      <c r="K1965" s="448"/>
    </row>
    <row r="1966" ht="22.5" customHeight="1">
      <c r="A1966" s="443"/>
      <c r="B1966" s="456"/>
      <c r="C1966" s="471"/>
      <c r="D1966" s="471"/>
      <c r="E1966" s="445"/>
      <c r="F1966" s="445"/>
      <c r="G1966" s="442"/>
      <c r="H1966" s="448"/>
      <c r="I1966" s="447"/>
      <c r="J1966" s="448">
        <f t="shared" si="9"/>
        <v>12</v>
      </c>
      <c r="K1966" s="448"/>
    </row>
    <row r="1967" ht="22.5" customHeight="1">
      <c r="A1967" s="443"/>
      <c r="B1967" s="456"/>
      <c r="C1967" s="471"/>
      <c r="D1967" s="471"/>
      <c r="E1967" s="445"/>
      <c r="F1967" s="445"/>
      <c r="G1967" s="442"/>
      <c r="H1967" s="448"/>
      <c r="I1967" s="447"/>
      <c r="J1967" s="448">
        <f t="shared" si="9"/>
        <v>12</v>
      </c>
      <c r="K1967" s="448"/>
    </row>
    <row r="1968" ht="22.5" customHeight="1">
      <c r="A1968" s="443"/>
      <c r="B1968" s="456"/>
      <c r="C1968" s="471"/>
      <c r="D1968" s="471"/>
      <c r="E1968" s="445"/>
      <c r="F1968" s="445"/>
      <c r="G1968" s="442"/>
      <c r="H1968" s="448"/>
      <c r="I1968" s="447"/>
      <c r="J1968" s="448">
        <f t="shared" si="9"/>
        <v>12</v>
      </c>
      <c r="K1968" s="448"/>
    </row>
    <row r="1969" ht="22.5" customHeight="1">
      <c r="A1969" s="443"/>
      <c r="B1969" s="456"/>
      <c r="C1969" s="471"/>
      <c r="D1969" s="471"/>
      <c r="E1969" s="445"/>
      <c r="F1969" s="445"/>
      <c r="G1969" s="442"/>
      <c r="H1969" s="448"/>
      <c r="I1969" s="447"/>
      <c r="J1969" s="448">
        <f t="shared" si="9"/>
        <v>12</v>
      </c>
      <c r="K1969" s="448"/>
    </row>
    <row r="1970" ht="22.5" customHeight="1">
      <c r="A1970" s="443"/>
      <c r="B1970" s="456"/>
      <c r="C1970" s="471"/>
      <c r="D1970" s="471"/>
      <c r="E1970" s="445"/>
      <c r="F1970" s="445"/>
      <c r="G1970" s="442"/>
      <c r="H1970" s="448"/>
      <c r="I1970" s="447"/>
      <c r="J1970" s="448">
        <f t="shared" si="9"/>
        <v>12</v>
      </c>
      <c r="K1970" s="448"/>
    </row>
    <row r="1971" ht="22.5" customHeight="1">
      <c r="A1971" s="443"/>
      <c r="B1971" s="456"/>
      <c r="C1971" s="471"/>
      <c r="D1971" s="471"/>
      <c r="E1971" s="445"/>
      <c r="F1971" s="445"/>
      <c r="G1971" s="442"/>
      <c r="H1971" s="448"/>
      <c r="I1971" s="447"/>
      <c r="J1971" s="448">
        <f t="shared" si="9"/>
        <v>12</v>
      </c>
      <c r="K1971" s="448"/>
    </row>
    <row r="1972" ht="22.5" customHeight="1">
      <c r="A1972" s="443"/>
      <c r="B1972" s="456"/>
      <c r="C1972" s="471"/>
      <c r="D1972" s="471"/>
      <c r="E1972" s="445"/>
      <c r="F1972" s="445"/>
      <c r="G1972" s="442"/>
      <c r="H1972" s="448"/>
      <c r="I1972" s="447"/>
      <c r="J1972" s="448">
        <f t="shared" si="9"/>
        <v>12</v>
      </c>
      <c r="K1972" s="448"/>
    </row>
    <row r="1973" ht="22.5" customHeight="1">
      <c r="A1973" s="443"/>
      <c r="B1973" s="456"/>
      <c r="C1973" s="471"/>
      <c r="D1973" s="471"/>
      <c r="E1973" s="445"/>
      <c r="F1973" s="445"/>
      <c r="G1973" s="442"/>
      <c r="H1973" s="448"/>
      <c r="I1973" s="447"/>
      <c r="J1973" s="448">
        <f t="shared" si="9"/>
        <v>12</v>
      </c>
      <c r="K1973" s="448"/>
    </row>
    <row r="1974" ht="22.5" customHeight="1">
      <c r="A1974" s="443"/>
      <c r="B1974" s="456"/>
      <c r="C1974" s="471"/>
      <c r="D1974" s="471"/>
      <c r="E1974" s="445"/>
      <c r="F1974" s="445"/>
      <c r="G1974" s="442"/>
      <c r="H1974" s="448"/>
      <c r="I1974" s="447"/>
      <c r="J1974" s="448">
        <f t="shared" si="9"/>
        <v>12</v>
      </c>
      <c r="K1974" s="448"/>
    </row>
    <row r="1975" ht="22.5" customHeight="1">
      <c r="A1975" s="443"/>
      <c r="B1975" s="456"/>
      <c r="C1975" s="471"/>
      <c r="D1975" s="471"/>
      <c r="E1975" s="445"/>
      <c r="F1975" s="445"/>
      <c r="G1975" s="442"/>
      <c r="H1975" s="448"/>
      <c r="I1975" s="447"/>
      <c r="J1975" s="448">
        <f t="shared" si="9"/>
        <v>12</v>
      </c>
      <c r="K1975" s="448"/>
    </row>
    <row r="1976" ht="22.5" customHeight="1">
      <c r="A1976" s="443"/>
      <c r="B1976" s="456"/>
      <c r="C1976" s="471"/>
      <c r="D1976" s="471"/>
      <c r="E1976" s="445"/>
      <c r="F1976" s="445"/>
      <c r="G1976" s="442"/>
      <c r="H1976" s="448"/>
      <c r="I1976" s="447"/>
      <c r="J1976" s="448">
        <f t="shared" si="9"/>
        <v>12</v>
      </c>
      <c r="K1976" s="448"/>
    </row>
    <row r="1977" ht="22.5" customHeight="1">
      <c r="A1977" s="443"/>
      <c r="B1977" s="456"/>
      <c r="C1977" s="471"/>
      <c r="D1977" s="471"/>
      <c r="E1977" s="445"/>
      <c r="F1977" s="445"/>
      <c r="G1977" s="442"/>
      <c r="H1977" s="448"/>
      <c r="I1977" s="447"/>
      <c r="J1977" s="448">
        <f t="shared" si="9"/>
        <v>12</v>
      </c>
      <c r="K1977" s="448"/>
    </row>
    <row r="1978" ht="22.5" customHeight="1">
      <c r="A1978" s="443"/>
      <c r="B1978" s="456"/>
      <c r="C1978" s="471"/>
      <c r="D1978" s="471"/>
      <c r="E1978" s="445"/>
      <c r="F1978" s="445"/>
      <c r="G1978" s="442"/>
      <c r="H1978" s="448"/>
      <c r="I1978" s="447"/>
      <c r="J1978" s="448">
        <f t="shared" si="9"/>
        <v>12</v>
      </c>
      <c r="K1978" s="448"/>
    </row>
    <row r="1979" ht="22.5" customHeight="1">
      <c r="A1979" s="443"/>
      <c r="B1979" s="456"/>
      <c r="C1979" s="471"/>
      <c r="D1979" s="471"/>
      <c r="E1979" s="445"/>
      <c r="F1979" s="445"/>
      <c r="G1979" s="442"/>
      <c r="H1979" s="448"/>
      <c r="I1979" s="447"/>
      <c r="J1979" s="448">
        <f t="shared" si="9"/>
        <v>12</v>
      </c>
      <c r="K1979" s="448"/>
    </row>
    <row r="1980" ht="22.5" customHeight="1">
      <c r="A1980" s="443"/>
      <c r="B1980" s="456"/>
      <c r="C1980" s="471"/>
      <c r="D1980" s="471"/>
      <c r="E1980" s="445"/>
      <c r="F1980" s="445"/>
      <c r="G1980" s="442"/>
      <c r="H1980" s="448"/>
      <c r="I1980" s="447"/>
      <c r="J1980" s="448">
        <f t="shared" si="9"/>
        <v>12</v>
      </c>
      <c r="K1980" s="448"/>
    </row>
    <row r="1981" ht="22.5" customHeight="1">
      <c r="A1981" s="443"/>
      <c r="B1981" s="456"/>
      <c r="C1981" s="471"/>
      <c r="D1981" s="471"/>
      <c r="E1981" s="445"/>
      <c r="F1981" s="445"/>
      <c r="G1981" s="442"/>
      <c r="H1981" s="448"/>
      <c r="I1981" s="447"/>
      <c r="J1981" s="448">
        <f t="shared" si="9"/>
        <v>12</v>
      </c>
      <c r="K1981" s="448"/>
    </row>
    <row r="1982" ht="22.5" customHeight="1">
      <c r="A1982" s="443"/>
      <c r="B1982" s="456"/>
      <c r="C1982" s="471"/>
      <c r="D1982" s="471"/>
      <c r="E1982" s="445"/>
      <c r="F1982" s="445"/>
      <c r="G1982" s="442"/>
      <c r="H1982" s="448"/>
      <c r="I1982" s="447"/>
      <c r="J1982" s="448">
        <f t="shared" si="9"/>
        <v>12</v>
      </c>
      <c r="K1982" s="448"/>
    </row>
    <row r="1983" ht="22.5" customHeight="1">
      <c r="A1983" s="443"/>
      <c r="B1983" s="456"/>
      <c r="C1983" s="471"/>
      <c r="D1983" s="471"/>
      <c r="E1983" s="445"/>
      <c r="F1983" s="445"/>
      <c r="G1983" s="442"/>
      <c r="H1983" s="448"/>
      <c r="I1983" s="447"/>
      <c r="J1983" s="448">
        <f t="shared" si="9"/>
        <v>12</v>
      </c>
      <c r="K1983" s="448"/>
    </row>
    <row r="1984" ht="22.5" customHeight="1">
      <c r="A1984" s="443"/>
      <c r="B1984" s="456"/>
      <c r="C1984" s="471"/>
      <c r="D1984" s="471"/>
      <c r="E1984" s="445"/>
      <c r="F1984" s="445"/>
      <c r="G1984" s="442"/>
      <c r="H1984" s="448"/>
      <c r="I1984" s="447"/>
      <c r="J1984" s="448">
        <f t="shared" si="9"/>
        <v>12</v>
      </c>
      <c r="K1984" s="448"/>
    </row>
    <row r="1985" ht="22.5" customHeight="1">
      <c r="A1985" s="443"/>
      <c r="B1985" s="456"/>
      <c r="C1985" s="471"/>
      <c r="D1985" s="471"/>
      <c r="E1985" s="445"/>
      <c r="F1985" s="445"/>
      <c r="G1985" s="442"/>
      <c r="H1985" s="448"/>
      <c r="I1985" s="447"/>
      <c r="J1985" s="448">
        <f t="shared" si="9"/>
        <v>12</v>
      </c>
      <c r="K1985" s="448"/>
    </row>
    <row r="1986" ht="22.5" customHeight="1">
      <c r="A1986" s="443"/>
      <c r="B1986" s="456"/>
      <c r="C1986" s="471"/>
      <c r="D1986" s="471"/>
      <c r="E1986" s="445"/>
      <c r="F1986" s="445"/>
      <c r="G1986" s="442"/>
      <c r="H1986" s="448"/>
      <c r="I1986" s="447"/>
      <c r="J1986" s="448">
        <f t="shared" si="9"/>
        <v>12</v>
      </c>
      <c r="K1986" s="448"/>
    </row>
    <row r="1987" ht="22.5" customHeight="1">
      <c r="A1987" s="443"/>
      <c r="B1987" s="456"/>
      <c r="C1987" s="471"/>
      <c r="D1987" s="471"/>
      <c r="E1987" s="445"/>
      <c r="F1987" s="445"/>
      <c r="G1987" s="442"/>
      <c r="H1987" s="448"/>
      <c r="I1987" s="447"/>
      <c r="J1987" s="448">
        <f t="shared" si="9"/>
        <v>12</v>
      </c>
      <c r="K1987" s="448"/>
    </row>
    <row r="1988" ht="22.5" customHeight="1">
      <c r="A1988" s="443"/>
      <c r="B1988" s="456"/>
      <c r="C1988" s="471"/>
      <c r="D1988" s="471"/>
      <c r="E1988" s="445"/>
      <c r="F1988" s="445"/>
      <c r="G1988" s="442"/>
      <c r="H1988" s="448"/>
      <c r="I1988" s="447"/>
      <c r="J1988" s="448">
        <f t="shared" si="9"/>
        <v>12</v>
      </c>
      <c r="K1988" s="448"/>
    </row>
    <row r="1989" ht="22.5" customHeight="1">
      <c r="A1989" s="443"/>
      <c r="B1989" s="456"/>
      <c r="C1989" s="471"/>
      <c r="D1989" s="471"/>
      <c r="E1989" s="445"/>
      <c r="F1989" s="445"/>
      <c r="G1989" s="442"/>
      <c r="H1989" s="448"/>
      <c r="I1989" s="447"/>
      <c r="J1989" s="448">
        <f t="shared" si="9"/>
        <v>12</v>
      </c>
      <c r="K1989" s="448"/>
    </row>
    <row r="1990" ht="22.5" customHeight="1">
      <c r="A1990" s="443"/>
      <c r="B1990" s="456"/>
      <c r="C1990" s="471"/>
      <c r="D1990" s="471"/>
      <c r="E1990" s="445"/>
      <c r="F1990" s="445"/>
      <c r="G1990" s="442"/>
      <c r="H1990" s="448"/>
      <c r="I1990" s="447"/>
      <c r="J1990" s="448">
        <f t="shared" si="9"/>
        <v>12</v>
      </c>
      <c r="K1990" s="448"/>
    </row>
    <row r="1991" ht="22.5" customHeight="1">
      <c r="A1991" s="443"/>
      <c r="B1991" s="456"/>
      <c r="C1991" s="471"/>
      <c r="D1991" s="471"/>
      <c r="E1991" s="445"/>
      <c r="F1991" s="445"/>
      <c r="G1991" s="442"/>
      <c r="H1991" s="448"/>
      <c r="I1991" s="447"/>
      <c r="J1991" s="448">
        <f t="shared" si="9"/>
        <v>12</v>
      </c>
      <c r="K1991" s="448"/>
    </row>
    <row r="1992" ht="22.5" customHeight="1">
      <c r="A1992" s="443"/>
      <c r="B1992" s="456"/>
      <c r="C1992" s="471"/>
      <c r="D1992" s="471"/>
      <c r="E1992" s="445"/>
      <c r="F1992" s="445"/>
      <c r="G1992" s="442"/>
      <c r="H1992" s="448"/>
      <c r="I1992" s="447"/>
      <c r="J1992" s="448">
        <f t="shared" si="9"/>
        <v>12</v>
      </c>
      <c r="K1992" s="448"/>
    </row>
    <row r="1993" ht="22.5" customHeight="1">
      <c r="A1993" s="443"/>
      <c r="B1993" s="456"/>
      <c r="C1993" s="471"/>
      <c r="D1993" s="471"/>
      <c r="E1993" s="445"/>
      <c r="F1993" s="445"/>
      <c r="G1993" s="442"/>
      <c r="H1993" s="448"/>
      <c r="I1993" s="447"/>
      <c r="J1993" s="448">
        <f t="shared" si="9"/>
        <v>12</v>
      </c>
      <c r="K1993" s="448"/>
    </row>
    <row r="1994" ht="22.5" customHeight="1">
      <c r="A1994" s="443"/>
      <c r="B1994" s="456"/>
      <c r="C1994" s="471"/>
      <c r="D1994" s="471"/>
      <c r="E1994" s="445"/>
      <c r="F1994" s="445"/>
      <c r="G1994" s="442"/>
      <c r="H1994" s="448"/>
      <c r="I1994" s="447"/>
      <c r="J1994" s="448">
        <f t="shared" si="9"/>
        <v>12</v>
      </c>
      <c r="K1994" s="448"/>
    </row>
    <row r="1995" ht="22.5" customHeight="1">
      <c r="A1995" s="443"/>
      <c r="B1995" s="456"/>
      <c r="C1995" s="471"/>
      <c r="D1995" s="471"/>
      <c r="E1995" s="445"/>
      <c r="F1995" s="445"/>
      <c r="G1995" s="442"/>
      <c r="H1995" s="448"/>
      <c r="I1995" s="447"/>
      <c r="J1995" s="448">
        <f t="shared" si="9"/>
        <v>12</v>
      </c>
      <c r="K1995" s="448"/>
    </row>
    <row r="1996" ht="22.5" customHeight="1">
      <c r="A1996" s="443"/>
      <c r="B1996" s="456"/>
      <c r="C1996" s="471"/>
      <c r="D1996" s="471"/>
      <c r="E1996" s="445"/>
      <c r="F1996" s="445"/>
      <c r="G1996" s="442"/>
      <c r="H1996" s="448"/>
      <c r="I1996" s="447"/>
      <c r="J1996" s="448">
        <f t="shared" si="9"/>
        <v>12</v>
      </c>
      <c r="K1996" s="448"/>
    </row>
    <row r="1997" ht="22.5" customHeight="1">
      <c r="A1997" s="443"/>
      <c r="B1997" s="456"/>
      <c r="C1997" s="471"/>
      <c r="D1997" s="471"/>
      <c r="E1997" s="445"/>
      <c r="F1997" s="445"/>
      <c r="G1997" s="442"/>
      <c r="H1997" s="448"/>
      <c r="I1997" s="447"/>
      <c r="J1997" s="448">
        <f t="shared" si="9"/>
        <v>12</v>
      </c>
      <c r="K1997" s="448"/>
    </row>
    <row r="1998" ht="22.5" customHeight="1">
      <c r="A1998" s="443"/>
      <c r="B1998" s="456"/>
      <c r="C1998" s="471"/>
      <c r="D1998" s="471"/>
      <c r="E1998" s="445"/>
      <c r="F1998" s="445"/>
      <c r="G1998" s="442"/>
      <c r="H1998" s="448"/>
      <c r="I1998" s="447"/>
      <c r="J1998" s="448">
        <f t="shared" si="9"/>
        <v>12</v>
      </c>
      <c r="K1998" s="448"/>
    </row>
    <row r="1999" ht="22.5" customHeight="1">
      <c r="A1999" s="443"/>
      <c r="B1999" s="456"/>
      <c r="C1999" s="471"/>
      <c r="D1999" s="471"/>
      <c r="E1999" s="445"/>
      <c r="F1999" s="445"/>
      <c r="G1999" s="442"/>
      <c r="H1999" s="448"/>
      <c r="I1999" s="447"/>
      <c r="J1999" s="448">
        <f t="shared" si="9"/>
        <v>12</v>
      </c>
      <c r="K1999" s="448"/>
    </row>
    <row r="2000" ht="22.5" customHeight="1">
      <c r="A2000" s="443"/>
      <c r="B2000" s="456"/>
      <c r="C2000" s="471"/>
      <c r="D2000" s="471"/>
      <c r="E2000" s="445"/>
      <c r="F2000" s="445"/>
      <c r="G2000" s="442"/>
      <c r="H2000" s="448"/>
      <c r="I2000" s="447"/>
      <c r="J2000" s="448">
        <f t="shared" si="9"/>
        <v>12</v>
      </c>
      <c r="K2000" s="448"/>
    </row>
    <row r="2001" ht="22.5" customHeight="1">
      <c r="A2001" s="443"/>
      <c r="B2001" s="456"/>
      <c r="C2001" s="471"/>
      <c r="D2001" s="471"/>
      <c r="E2001" s="445"/>
      <c r="F2001" s="445"/>
      <c r="G2001" s="442"/>
      <c r="H2001" s="448"/>
      <c r="I2001" s="447"/>
      <c r="J2001" s="448">
        <f t="shared" si="9"/>
        <v>12</v>
      </c>
      <c r="K2001" s="448"/>
    </row>
    <row r="2002" ht="22.5" customHeight="1">
      <c r="A2002" s="443"/>
      <c r="B2002" s="456"/>
      <c r="C2002" s="471"/>
      <c r="D2002" s="471"/>
      <c r="E2002" s="445"/>
      <c r="F2002" s="445"/>
      <c r="G2002" s="442"/>
      <c r="H2002" s="448"/>
      <c r="I2002" s="447"/>
      <c r="J2002" s="448">
        <f t="shared" si="9"/>
        <v>12</v>
      </c>
      <c r="K2002" s="448"/>
    </row>
    <row r="2003" ht="22.5" customHeight="1">
      <c r="A2003" s="443"/>
      <c r="B2003" s="456"/>
      <c r="C2003" s="471"/>
      <c r="D2003" s="471"/>
      <c r="E2003" s="445"/>
      <c r="F2003" s="445"/>
      <c r="G2003" s="442"/>
      <c r="H2003" s="448"/>
      <c r="I2003" s="447"/>
      <c r="J2003" s="448">
        <f t="shared" si="9"/>
        <v>12</v>
      </c>
      <c r="K2003" s="448"/>
    </row>
    <row r="2004" ht="22.5" customHeight="1">
      <c r="A2004" s="443"/>
      <c r="B2004" s="456"/>
      <c r="C2004" s="471"/>
      <c r="D2004" s="471"/>
      <c r="E2004" s="445"/>
      <c r="F2004" s="445"/>
      <c r="G2004" s="442"/>
      <c r="H2004" s="448"/>
      <c r="I2004" s="447"/>
      <c r="J2004" s="448">
        <f t="shared" si="9"/>
        <v>12</v>
      </c>
      <c r="K2004" s="448"/>
    </row>
    <row r="2005" ht="22.5" customHeight="1">
      <c r="A2005" s="443"/>
      <c r="B2005" s="456"/>
      <c r="C2005" s="471"/>
      <c r="D2005" s="471"/>
      <c r="E2005" s="445"/>
      <c r="F2005" s="445"/>
      <c r="G2005" s="442"/>
      <c r="H2005" s="448"/>
      <c r="I2005" s="447"/>
      <c r="J2005" s="448">
        <f t="shared" si="9"/>
        <v>12</v>
      </c>
      <c r="K2005" s="448"/>
    </row>
    <row r="2006" ht="22.5" customHeight="1">
      <c r="A2006" s="443"/>
      <c r="B2006" s="456"/>
      <c r="C2006" s="471"/>
      <c r="D2006" s="471"/>
      <c r="E2006" s="445"/>
      <c r="F2006" s="445"/>
      <c r="G2006" s="442"/>
      <c r="H2006" s="448"/>
      <c r="I2006" s="447"/>
      <c r="J2006" s="448">
        <f t="shared" si="9"/>
        <v>12</v>
      </c>
      <c r="K2006" s="448"/>
    </row>
    <row r="2007" ht="22.5" customHeight="1">
      <c r="A2007" s="443"/>
      <c r="B2007" s="456"/>
      <c r="C2007" s="471"/>
      <c r="D2007" s="471"/>
      <c r="E2007" s="445"/>
      <c r="F2007" s="445"/>
      <c r="G2007" s="442"/>
      <c r="H2007" s="448"/>
      <c r="I2007" s="447"/>
      <c r="J2007" s="448">
        <f t="shared" si="9"/>
        <v>12</v>
      </c>
      <c r="K2007" s="448"/>
    </row>
    <row r="2008" ht="22.5" customHeight="1">
      <c r="A2008" s="443"/>
      <c r="B2008" s="456"/>
      <c r="C2008" s="471"/>
      <c r="D2008" s="471"/>
      <c r="E2008" s="445"/>
      <c r="F2008" s="445"/>
      <c r="G2008" s="442"/>
      <c r="H2008" s="448"/>
      <c r="I2008" s="447"/>
      <c r="J2008" s="448">
        <f t="shared" si="9"/>
        <v>12</v>
      </c>
      <c r="K2008" s="448"/>
    </row>
    <row r="2009" ht="22.5" customHeight="1">
      <c r="A2009" s="443"/>
      <c r="B2009" s="456"/>
      <c r="C2009" s="471"/>
      <c r="D2009" s="471"/>
      <c r="E2009" s="445"/>
      <c r="F2009" s="445"/>
      <c r="G2009" s="442"/>
      <c r="H2009" s="448"/>
      <c r="I2009" s="447"/>
      <c r="J2009" s="448">
        <f t="shared" si="9"/>
        <v>12</v>
      </c>
      <c r="K2009" s="448"/>
    </row>
    <row r="2010" ht="22.5" customHeight="1">
      <c r="A2010" s="443"/>
      <c r="B2010" s="456"/>
      <c r="C2010" s="471"/>
      <c r="D2010" s="471"/>
      <c r="E2010" s="445"/>
      <c r="F2010" s="445"/>
      <c r="G2010" s="442"/>
      <c r="H2010" s="448"/>
      <c r="I2010" s="447"/>
      <c r="J2010" s="448">
        <f t="shared" si="9"/>
        <v>12</v>
      </c>
      <c r="K2010" s="448"/>
    </row>
    <row r="2011" ht="22.5" customHeight="1">
      <c r="A2011" s="443"/>
      <c r="B2011" s="456"/>
      <c r="C2011" s="471"/>
      <c r="D2011" s="471"/>
      <c r="E2011" s="445"/>
      <c r="F2011" s="445"/>
      <c r="G2011" s="442"/>
      <c r="H2011" s="448"/>
      <c r="I2011" s="447"/>
      <c r="J2011" s="448">
        <f t="shared" si="9"/>
        <v>12</v>
      </c>
      <c r="K2011" s="448"/>
    </row>
    <row r="2012" ht="22.5" customHeight="1">
      <c r="A2012" s="443"/>
      <c r="B2012" s="456"/>
      <c r="C2012" s="471"/>
      <c r="D2012" s="471"/>
      <c r="E2012" s="445"/>
      <c r="F2012" s="445"/>
      <c r="G2012" s="442"/>
      <c r="H2012" s="448"/>
      <c r="I2012" s="447"/>
      <c r="J2012" s="448">
        <f t="shared" si="9"/>
        <v>12</v>
      </c>
      <c r="K2012" s="448"/>
    </row>
    <row r="2013" ht="22.5" customHeight="1">
      <c r="A2013" s="443"/>
      <c r="B2013" s="456"/>
      <c r="C2013" s="471"/>
      <c r="D2013" s="471"/>
      <c r="E2013" s="445"/>
      <c r="F2013" s="445"/>
      <c r="G2013" s="442"/>
      <c r="H2013" s="448"/>
      <c r="I2013" s="447"/>
      <c r="J2013" s="448">
        <f t="shared" si="9"/>
        <v>12</v>
      </c>
      <c r="K2013" s="448"/>
    </row>
    <row r="2014" ht="22.5" customHeight="1">
      <c r="A2014" s="443"/>
      <c r="B2014" s="477"/>
      <c r="C2014" s="489"/>
      <c r="D2014" s="489"/>
      <c r="E2014" s="481"/>
      <c r="F2014" s="481"/>
      <c r="G2014" s="482"/>
      <c r="H2014" s="483"/>
      <c r="I2014" s="484"/>
      <c r="J2014" s="483">
        <f t="shared" si="9"/>
        <v>12</v>
      </c>
      <c r="K2014" s="448"/>
    </row>
    <row r="2015" ht="22.5" customHeight="1">
      <c r="A2015" s="443"/>
      <c r="B2015" s="456"/>
      <c r="C2015" s="471"/>
      <c r="D2015" s="471"/>
      <c r="E2015" s="445"/>
      <c r="F2015" s="445"/>
      <c r="G2015" s="442"/>
      <c r="H2015" s="448"/>
      <c r="I2015" s="447"/>
      <c r="J2015" s="448">
        <f t="shared" si="9"/>
        <v>12</v>
      </c>
      <c r="K2015" s="448"/>
    </row>
    <row r="2016" ht="22.5" customHeight="1">
      <c r="A2016" s="443"/>
      <c r="B2016" s="456"/>
      <c r="C2016" s="471"/>
      <c r="D2016" s="471"/>
      <c r="E2016" s="445"/>
      <c r="F2016" s="445"/>
      <c r="G2016" s="442"/>
      <c r="H2016" s="448"/>
      <c r="I2016" s="447"/>
      <c r="J2016" s="448">
        <f t="shared" si="9"/>
        <v>12</v>
      </c>
      <c r="K2016" s="448"/>
    </row>
    <row r="2017" ht="22.5" customHeight="1">
      <c r="A2017" s="443"/>
      <c r="B2017" s="456"/>
      <c r="C2017" s="471"/>
      <c r="D2017" s="471"/>
      <c r="E2017" s="445"/>
      <c r="F2017" s="445"/>
      <c r="G2017" s="442"/>
      <c r="H2017" s="448"/>
      <c r="I2017" s="447"/>
      <c r="J2017" s="448">
        <f t="shared" si="9"/>
        <v>12</v>
      </c>
      <c r="K2017" s="448"/>
    </row>
    <row r="2018" ht="22.5" customHeight="1">
      <c r="A2018" s="443"/>
      <c r="B2018" s="456"/>
      <c r="C2018" s="471"/>
      <c r="D2018" s="471"/>
      <c r="E2018" s="445"/>
      <c r="F2018" s="445"/>
      <c r="G2018" s="442"/>
      <c r="H2018" s="448" t="s">
        <v>2685</v>
      </c>
      <c r="I2018" s="447"/>
      <c r="J2018" s="448">
        <f t="shared" si="9"/>
        <v>12</v>
      </c>
      <c r="K2018" s="448"/>
    </row>
    <row r="2019" ht="22.5" customHeight="1">
      <c r="A2019" s="443"/>
      <c r="B2019" s="456"/>
      <c r="C2019" s="471"/>
      <c r="D2019" s="471"/>
      <c r="E2019" s="445"/>
      <c r="F2019" s="445"/>
      <c r="G2019" s="442"/>
      <c r="H2019" s="448"/>
      <c r="I2019" s="447"/>
      <c r="J2019" s="448">
        <f t="shared" si="9"/>
        <v>12</v>
      </c>
      <c r="K2019" s="448"/>
    </row>
    <row r="2020" ht="22.5" customHeight="1">
      <c r="A2020" s="443"/>
      <c r="B2020" s="456"/>
      <c r="C2020" s="471"/>
      <c r="D2020" s="471"/>
      <c r="E2020" s="445"/>
      <c r="F2020" s="445"/>
      <c r="G2020" s="442"/>
      <c r="H2020" s="448"/>
      <c r="I2020" s="447"/>
      <c r="J2020" s="448">
        <f t="shared" si="9"/>
        <v>12</v>
      </c>
      <c r="K2020" s="448"/>
    </row>
    <row r="2021" ht="22.5" customHeight="1">
      <c r="A2021" s="443"/>
      <c r="B2021" s="456"/>
      <c r="C2021" s="471"/>
      <c r="D2021" s="471"/>
      <c r="E2021" s="445"/>
      <c r="F2021" s="445"/>
      <c r="G2021" s="442"/>
      <c r="H2021" s="448"/>
      <c r="I2021" s="447"/>
      <c r="J2021" s="448">
        <f t="shared" si="9"/>
        <v>12</v>
      </c>
      <c r="K2021" s="448"/>
    </row>
    <row r="2022" ht="22.5" customHeight="1">
      <c r="A2022" s="443"/>
      <c r="B2022" s="456"/>
      <c r="C2022" s="471"/>
      <c r="D2022" s="471"/>
      <c r="E2022" s="445"/>
      <c r="F2022" s="445"/>
      <c r="G2022" s="442"/>
      <c r="H2022" s="448"/>
      <c r="I2022" s="447"/>
      <c r="J2022" s="448">
        <f t="shared" si="9"/>
        <v>12</v>
      </c>
      <c r="K2022" s="448"/>
    </row>
    <row r="2023" ht="22.5" customHeight="1">
      <c r="A2023" s="443"/>
      <c r="B2023" s="456"/>
      <c r="C2023" s="471"/>
      <c r="D2023" s="471"/>
      <c r="E2023" s="445"/>
      <c r="F2023" s="445"/>
      <c r="G2023" s="442"/>
      <c r="H2023" s="448"/>
      <c r="I2023" s="447"/>
      <c r="J2023" s="448">
        <f t="shared" si="9"/>
        <v>12</v>
      </c>
      <c r="K2023" s="448"/>
    </row>
    <row r="2024" ht="22.5" customHeight="1">
      <c r="A2024" s="443"/>
      <c r="B2024" s="456"/>
      <c r="C2024" s="471"/>
      <c r="D2024" s="471"/>
      <c r="E2024" s="445"/>
      <c r="F2024" s="445"/>
      <c r="G2024" s="442"/>
      <c r="H2024" s="448"/>
      <c r="I2024" s="447"/>
      <c r="J2024" s="448">
        <f t="shared" si="9"/>
        <v>12</v>
      </c>
      <c r="K2024" s="448"/>
    </row>
    <row r="2025" ht="22.5" customHeight="1">
      <c r="A2025" s="443"/>
      <c r="B2025" s="456"/>
      <c r="C2025" s="471"/>
      <c r="D2025" s="471"/>
      <c r="E2025" s="445"/>
      <c r="F2025" s="445"/>
      <c r="G2025" s="442"/>
      <c r="H2025" s="448"/>
      <c r="I2025" s="447"/>
      <c r="J2025" s="448">
        <f t="shared" si="9"/>
        <v>12</v>
      </c>
      <c r="K2025" s="448"/>
    </row>
    <row r="2026" ht="22.5" customHeight="1">
      <c r="A2026" s="443"/>
      <c r="B2026" s="456"/>
      <c r="C2026" s="471"/>
      <c r="D2026" s="471"/>
      <c r="E2026" s="445"/>
      <c r="F2026" s="445"/>
      <c r="G2026" s="442"/>
      <c r="H2026" s="448"/>
      <c r="I2026" s="447"/>
      <c r="J2026" s="448">
        <f t="shared" si="9"/>
        <v>12</v>
      </c>
      <c r="K2026" s="448"/>
    </row>
    <row r="2027" ht="22.5" customHeight="1">
      <c r="B2027" s="456"/>
      <c r="C2027" s="471"/>
      <c r="D2027" s="471"/>
      <c r="E2027" s="445"/>
      <c r="F2027" s="445"/>
      <c r="G2027" s="442"/>
      <c r="H2027" s="448"/>
      <c r="I2027" s="447"/>
      <c r="J2027" s="448">
        <f t="shared" si="9"/>
        <v>12</v>
      </c>
      <c r="K2027" s="448"/>
    </row>
    <row r="2028" ht="22.5" customHeight="1">
      <c r="B2028" s="456"/>
      <c r="C2028" s="488"/>
      <c r="D2028" s="488"/>
      <c r="G2028" s="442"/>
      <c r="J2028" s="448">
        <f t="shared" si="9"/>
        <v>12</v>
      </c>
      <c r="K2028" s="448"/>
    </row>
    <row r="2029" ht="22.5" customHeight="1">
      <c r="B2029" s="456"/>
      <c r="C2029" s="488"/>
      <c r="D2029" s="488"/>
      <c r="G2029" s="442"/>
      <c r="J2029" s="448">
        <f t="shared" si="9"/>
        <v>12</v>
      </c>
      <c r="K2029" s="448"/>
    </row>
    <row r="2030" ht="22.5" customHeight="1">
      <c r="B2030" s="456"/>
      <c r="C2030" s="488"/>
      <c r="D2030" s="488"/>
      <c r="G2030" s="442"/>
      <c r="J2030" s="448">
        <f t="shared" si="9"/>
        <v>12</v>
      </c>
      <c r="K2030" s="448"/>
    </row>
    <row r="2031" ht="22.5" customHeight="1">
      <c r="A2031" s="443"/>
      <c r="B2031" s="456"/>
      <c r="C2031" s="488"/>
      <c r="D2031" s="488"/>
      <c r="F2031" s="445"/>
      <c r="G2031" s="442"/>
      <c r="J2031" s="448">
        <f t="shared" si="9"/>
        <v>12</v>
      </c>
      <c r="K2031" s="448"/>
    </row>
    <row r="2032" ht="22.5" customHeight="1">
      <c r="A2032" s="443"/>
      <c r="B2032" s="456"/>
      <c r="C2032" s="471"/>
      <c r="D2032" s="471"/>
      <c r="E2032" s="445"/>
      <c r="G2032" s="442"/>
      <c r="H2032" s="448"/>
      <c r="I2032" s="447"/>
      <c r="J2032" s="448">
        <f t="shared" si="9"/>
        <v>12</v>
      </c>
      <c r="K2032" s="448"/>
    </row>
    <row r="2033" ht="22.5" customHeight="1">
      <c r="A2033" s="443"/>
      <c r="B2033" s="456"/>
      <c r="C2033" s="494"/>
      <c r="D2033" s="471"/>
      <c r="E2033" s="448"/>
      <c r="F2033" s="455"/>
      <c r="G2033" s="442"/>
      <c r="J2033" s="448">
        <f t="shared" si="9"/>
        <v>12</v>
      </c>
      <c r="K2033" s="448"/>
    </row>
    <row r="2034" ht="22.5" customHeight="1">
      <c r="A2034" s="443"/>
      <c r="B2034" s="456"/>
      <c r="C2034" s="494"/>
      <c r="D2034" s="471"/>
      <c r="E2034" s="448"/>
      <c r="F2034" s="455"/>
      <c r="G2034" s="442"/>
      <c r="J2034" s="448">
        <f t="shared" si="9"/>
        <v>12</v>
      </c>
      <c r="K2034" s="448"/>
    </row>
    <row r="2035" ht="22.5" customHeight="1">
      <c r="A2035" s="443"/>
      <c r="B2035" s="456"/>
      <c r="C2035" s="471"/>
      <c r="D2035" s="471"/>
      <c r="E2035" s="448"/>
      <c r="F2035" s="445"/>
      <c r="G2035" s="442"/>
      <c r="I2035" s="447"/>
      <c r="J2035" s="448">
        <f t="shared" si="9"/>
        <v>12</v>
      </c>
      <c r="K2035" s="448"/>
    </row>
    <row r="2036" ht="22.5" customHeight="1">
      <c r="A2036" s="443"/>
      <c r="B2036" s="456"/>
      <c r="C2036" s="471"/>
      <c r="D2036" s="471"/>
      <c r="E2036" s="448"/>
      <c r="F2036" s="445"/>
      <c r="G2036" s="442"/>
      <c r="I2036" s="447"/>
      <c r="J2036" s="448">
        <f t="shared" si="9"/>
        <v>12</v>
      </c>
      <c r="K2036" s="448"/>
    </row>
    <row r="2037" ht="22.5" customHeight="1">
      <c r="A2037" s="443"/>
      <c r="B2037" s="456"/>
      <c r="C2037" s="471"/>
      <c r="D2037" s="471"/>
      <c r="E2037" s="448"/>
      <c r="F2037" s="445"/>
      <c r="G2037" s="442"/>
      <c r="I2037" s="447"/>
      <c r="J2037" s="448">
        <f t="shared" si="9"/>
        <v>12</v>
      </c>
      <c r="K2037" s="448"/>
    </row>
    <row r="2038" ht="22.5" customHeight="1">
      <c r="A2038" s="443"/>
      <c r="B2038" s="456"/>
      <c r="C2038" s="471"/>
      <c r="D2038" s="471"/>
      <c r="E2038" s="455"/>
      <c r="F2038" s="445"/>
      <c r="G2038" s="442"/>
      <c r="H2038" s="448"/>
      <c r="J2038" s="448">
        <f t="shared" si="9"/>
        <v>12</v>
      </c>
      <c r="K2038" s="448"/>
    </row>
    <row r="2039" ht="22.5" customHeight="1">
      <c r="A2039" s="443"/>
      <c r="B2039" s="456"/>
      <c r="C2039" s="471"/>
      <c r="D2039" s="471"/>
      <c r="E2039" s="448"/>
      <c r="F2039" s="445"/>
      <c r="G2039" s="442"/>
      <c r="H2039" s="448"/>
      <c r="I2039" s="447"/>
      <c r="J2039" s="448">
        <f t="shared" si="9"/>
        <v>12</v>
      </c>
      <c r="K2039" s="448"/>
    </row>
    <row r="2040" ht="22.5" customHeight="1">
      <c r="A2040" s="443"/>
      <c r="B2040" s="456"/>
      <c r="C2040" s="471"/>
      <c r="D2040" s="471"/>
      <c r="E2040" s="448"/>
      <c r="F2040" s="445"/>
      <c r="G2040" s="442"/>
      <c r="I2040" s="447"/>
      <c r="J2040" s="448">
        <f t="shared" si="9"/>
        <v>12</v>
      </c>
      <c r="K2040" s="448"/>
    </row>
    <row r="2041" ht="22.5" customHeight="1">
      <c r="A2041" s="443"/>
      <c r="B2041" s="456"/>
      <c r="C2041" s="471"/>
      <c r="D2041" s="471"/>
      <c r="E2041" s="448"/>
      <c r="F2041" s="445"/>
      <c r="G2041" s="442"/>
      <c r="H2041" s="448"/>
      <c r="I2041" s="447"/>
      <c r="J2041" s="448">
        <f t="shared" si="9"/>
        <v>12</v>
      </c>
      <c r="K2041" s="448"/>
    </row>
    <row r="2042" ht="22.5" customHeight="1">
      <c r="A2042" s="443"/>
      <c r="B2042" s="456"/>
      <c r="C2042" s="471"/>
      <c r="D2042" s="471"/>
      <c r="E2042" s="445"/>
      <c r="F2042" s="445"/>
      <c r="G2042" s="442"/>
      <c r="H2042" s="448" t="s">
        <v>2677</v>
      </c>
      <c r="I2042" s="447"/>
      <c r="J2042" s="448">
        <f t="shared" si="9"/>
        <v>12</v>
      </c>
      <c r="K2042" s="448"/>
    </row>
    <row r="2043" ht="22.5" customHeight="1">
      <c r="A2043" s="443"/>
      <c r="B2043" s="456"/>
      <c r="C2043" s="471"/>
      <c r="D2043" s="471"/>
      <c r="E2043" s="445"/>
      <c r="F2043" s="445"/>
      <c r="G2043" s="442"/>
      <c r="H2043" s="448"/>
      <c r="I2043" s="447"/>
      <c r="J2043" s="448">
        <f t="shared" si="9"/>
        <v>12</v>
      </c>
      <c r="K2043" s="448"/>
    </row>
    <row r="2044" ht="22.5" customHeight="1">
      <c r="A2044" s="443"/>
      <c r="B2044" s="456"/>
      <c r="C2044" s="471"/>
      <c r="D2044" s="471"/>
      <c r="E2044" s="448"/>
      <c r="F2044" s="445"/>
      <c r="G2044" s="442"/>
      <c r="I2044" s="447"/>
      <c r="J2044" s="448">
        <f t="shared" si="9"/>
        <v>12</v>
      </c>
      <c r="K2044" s="448"/>
    </row>
    <row r="2045" ht="22.5" customHeight="1">
      <c r="A2045" s="443"/>
      <c r="B2045" s="456"/>
      <c r="C2045" s="471"/>
      <c r="D2045" s="471"/>
      <c r="E2045" s="445"/>
      <c r="F2045" s="445"/>
      <c r="G2045" s="442"/>
      <c r="H2045" s="448"/>
      <c r="I2045" s="447"/>
      <c r="J2045" s="448">
        <f t="shared" si="9"/>
        <v>12</v>
      </c>
      <c r="K2045" s="448"/>
    </row>
    <row r="2046" ht="22.5" customHeight="1">
      <c r="A2046" s="443"/>
      <c r="B2046" s="456"/>
      <c r="C2046" s="471"/>
      <c r="D2046" s="471"/>
      <c r="E2046" s="445"/>
      <c r="F2046" s="445"/>
      <c r="G2046" s="442"/>
      <c r="H2046" s="448"/>
      <c r="I2046" s="447"/>
      <c r="J2046" s="448">
        <f t="shared" si="9"/>
        <v>12</v>
      </c>
      <c r="K2046" s="448"/>
    </row>
    <row r="2047" ht="22.5" customHeight="1">
      <c r="A2047" s="443"/>
      <c r="B2047" s="456"/>
      <c r="C2047" s="471"/>
      <c r="D2047" s="471"/>
      <c r="E2047" s="445"/>
      <c r="F2047" s="445"/>
      <c r="G2047" s="442"/>
      <c r="H2047" s="448"/>
      <c r="I2047" s="447"/>
      <c r="J2047" s="448">
        <f t="shared" si="9"/>
        <v>12</v>
      </c>
      <c r="K2047" s="448"/>
    </row>
    <row r="2048" ht="22.5" customHeight="1">
      <c r="A2048" s="443"/>
      <c r="B2048" s="456"/>
      <c r="C2048" s="471"/>
      <c r="D2048" s="471"/>
      <c r="E2048" s="445"/>
      <c r="F2048" s="445"/>
      <c r="G2048" s="442"/>
      <c r="H2048" s="448"/>
      <c r="I2048" s="447"/>
      <c r="J2048" s="448">
        <f t="shared" si="9"/>
        <v>12</v>
      </c>
      <c r="K2048" s="448"/>
    </row>
    <row r="2049" ht="22.5" customHeight="1">
      <c r="A2049" s="443"/>
      <c r="B2049" s="456"/>
      <c r="C2049" s="471"/>
      <c r="D2049" s="471"/>
      <c r="E2049" s="445"/>
      <c r="F2049" s="445"/>
      <c r="G2049" s="442"/>
      <c r="H2049" s="448"/>
      <c r="I2049" s="447"/>
      <c r="J2049" s="448">
        <f t="shared" si="9"/>
        <v>12</v>
      </c>
      <c r="K2049" s="448"/>
    </row>
    <row r="2050" ht="22.5" customHeight="1">
      <c r="A2050" s="443"/>
      <c r="B2050" s="456"/>
      <c r="C2050" s="471"/>
      <c r="D2050" s="471"/>
      <c r="E2050" s="445"/>
      <c r="F2050" s="445"/>
      <c r="G2050" s="442"/>
      <c r="H2050" s="448"/>
      <c r="I2050" s="447"/>
      <c r="J2050" s="448">
        <f t="shared" si="9"/>
        <v>12</v>
      </c>
      <c r="K2050" s="448"/>
    </row>
    <row r="2051" ht="22.5" customHeight="1">
      <c r="A2051" s="443"/>
      <c r="B2051" s="456"/>
      <c r="C2051" s="471"/>
      <c r="D2051" s="471"/>
      <c r="E2051" s="445"/>
      <c r="F2051" s="445"/>
      <c r="G2051" s="442"/>
      <c r="H2051" s="448"/>
      <c r="I2051" s="447"/>
      <c r="J2051" s="448">
        <f t="shared" si="9"/>
        <v>12</v>
      </c>
      <c r="K2051" s="448"/>
    </row>
    <row r="2052" ht="22.5" customHeight="1">
      <c r="A2052" s="443"/>
      <c r="B2052" s="456"/>
      <c r="C2052" s="471"/>
      <c r="D2052" s="471"/>
      <c r="E2052" s="445"/>
      <c r="F2052" s="445"/>
      <c r="G2052" s="442"/>
      <c r="H2052" s="448"/>
      <c r="I2052" s="447"/>
      <c r="J2052" s="448">
        <f t="shared" si="9"/>
        <v>12</v>
      </c>
      <c r="K2052" s="448"/>
    </row>
    <row r="2053" ht="22.5" customHeight="1">
      <c r="A2053" s="443"/>
      <c r="B2053" s="456"/>
      <c r="C2053" s="471"/>
      <c r="D2053" s="471"/>
      <c r="E2053" s="442"/>
      <c r="F2053" s="445"/>
      <c r="G2053" s="445"/>
      <c r="H2053" s="448"/>
      <c r="J2053" s="448">
        <f t="shared" si="9"/>
        <v>12</v>
      </c>
      <c r="K2053" s="448"/>
    </row>
    <row r="2054" ht="22.5" customHeight="1">
      <c r="A2054" s="443"/>
      <c r="B2054" s="456"/>
      <c r="C2054" s="471"/>
      <c r="D2054" s="471"/>
      <c r="E2054" s="442"/>
      <c r="F2054" s="445"/>
      <c r="G2054" s="445"/>
      <c r="H2054" s="448"/>
      <c r="J2054" s="448">
        <f t="shared" si="9"/>
        <v>12</v>
      </c>
      <c r="K2054" s="448"/>
    </row>
    <row r="2055" ht="22.5" customHeight="1">
      <c r="A2055" s="443"/>
      <c r="B2055" s="456"/>
      <c r="C2055" s="471"/>
      <c r="D2055" s="471"/>
      <c r="E2055" s="442"/>
      <c r="F2055" s="445"/>
      <c r="G2055" s="442"/>
      <c r="H2055" s="448"/>
      <c r="I2055" s="447"/>
      <c r="J2055" s="448">
        <f t="shared" si="9"/>
        <v>12</v>
      </c>
      <c r="K2055" s="448"/>
    </row>
    <row r="2056" ht="22.5" customHeight="1">
      <c r="A2056" s="443"/>
      <c r="B2056" s="456"/>
      <c r="C2056" s="471"/>
      <c r="D2056" s="471"/>
      <c r="E2056" s="445"/>
      <c r="F2056" s="445"/>
      <c r="G2056" s="442"/>
      <c r="H2056" s="448"/>
      <c r="I2056" s="447"/>
      <c r="J2056" s="448">
        <f t="shared" si="9"/>
        <v>12</v>
      </c>
      <c r="K2056" s="448"/>
    </row>
    <row r="2057" ht="22.5" customHeight="1">
      <c r="A2057" s="443"/>
      <c r="B2057" s="456"/>
      <c r="C2057" s="471"/>
      <c r="D2057" s="471"/>
      <c r="E2057" s="445"/>
      <c r="F2057" s="445"/>
      <c r="G2057" s="442"/>
      <c r="H2057" s="448"/>
      <c r="I2057" s="447"/>
      <c r="J2057" s="448">
        <f t="shared" si="9"/>
        <v>12</v>
      </c>
      <c r="K2057" s="448"/>
    </row>
    <row r="2058" ht="22.5" customHeight="1">
      <c r="A2058" s="443"/>
      <c r="B2058" s="456"/>
      <c r="C2058" s="471"/>
      <c r="D2058" s="471"/>
      <c r="E2058" s="445"/>
      <c r="F2058" s="445"/>
      <c r="G2058" s="442"/>
      <c r="H2058" s="448"/>
      <c r="I2058" s="447"/>
      <c r="J2058" s="448">
        <f t="shared" si="9"/>
        <v>12</v>
      </c>
      <c r="K2058" s="448"/>
    </row>
    <row r="2059" ht="22.5" customHeight="1">
      <c r="A2059" s="443"/>
      <c r="B2059" s="456"/>
      <c r="C2059" s="471"/>
      <c r="D2059" s="471"/>
      <c r="E2059" s="445"/>
      <c r="F2059" s="445"/>
      <c r="G2059" s="442"/>
      <c r="H2059" s="448"/>
      <c r="I2059" s="447"/>
      <c r="J2059" s="448">
        <f t="shared" si="9"/>
        <v>12</v>
      </c>
      <c r="K2059" s="448"/>
    </row>
    <row r="2060" ht="22.5" customHeight="1">
      <c r="A2060" s="443"/>
      <c r="B2060" s="456"/>
      <c r="C2060" s="471"/>
      <c r="D2060" s="471"/>
      <c r="E2060" s="445"/>
      <c r="F2060" s="445"/>
      <c r="G2060" s="442"/>
      <c r="H2060" s="448"/>
      <c r="I2060" s="447"/>
      <c r="J2060" s="448">
        <f t="shared" si="9"/>
        <v>12</v>
      </c>
      <c r="K2060" s="448"/>
    </row>
    <row r="2061" ht="22.5" customHeight="1">
      <c r="A2061" s="443"/>
      <c r="B2061" s="456"/>
      <c r="C2061" s="471"/>
      <c r="D2061" s="471"/>
      <c r="E2061" s="448"/>
      <c r="F2061" s="445"/>
      <c r="G2061" s="442"/>
      <c r="I2061" s="447"/>
      <c r="J2061" s="448">
        <f t="shared" si="9"/>
        <v>12</v>
      </c>
      <c r="K2061" s="448"/>
    </row>
    <row r="2062" ht="22.5" customHeight="1">
      <c r="A2062" s="443"/>
      <c r="B2062" s="456"/>
      <c r="C2062" s="471"/>
      <c r="D2062" s="471"/>
      <c r="E2062" s="448"/>
      <c r="F2062" s="445"/>
      <c r="G2062" s="442"/>
      <c r="I2062" s="455"/>
      <c r="J2062" s="448">
        <f t="shared" si="9"/>
        <v>12</v>
      </c>
      <c r="K2062" s="448"/>
    </row>
    <row r="2063" ht="22.5" customHeight="1">
      <c r="A2063" s="443"/>
      <c r="B2063" s="456"/>
      <c r="C2063" s="471"/>
      <c r="D2063" s="471"/>
      <c r="E2063" s="448"/>
      <c r="F2063" s="445"/>
      <c r="G2063" s="442"/>
      <c r="I2063" s="447"/>
      <c r="J2063" s="448">
        <f t="shared" si="9"/>
        <v>12</v>
      </c>
      <c r="K2063" s="448"/>
    </row>
    <row r="2064" ht="22.5" customHeight="1">
      <c r="A2064" s="443"/>
      <c r="B2064" s="456"/>
      <c r="C2064" s="471"/>
      <c r="D2064" s="471"/>
      <c r="E2064" s="448"/>
      <c r="F2064" s="445"/>
      <c r="G2064" s="445"/>
      <c r="I2064" s="447"/>
      <c r="J2064" s="448">
        <f t="shared" si="9"/>
        <v>12</v>
      </c>
      <c r="K2064" s="448"/>
    </row>
    <row r="2065" ht="22.5" customHeight="1">
      <c r="A2065" s="443"/>
      <c r="B2065" s="426"/>
      <c r="C2065" s="501"/>
      <c r="D2065" s="501"/>
      <c r="E2065" s="502"/>
      <c r="F2065" s="428"/>
      <c r="G2065" s="438"/>
      <c r="I2065" s="447"/>
      <c r="J2065" s="448">
        <f t="shared" si="9"/>
        <v>12</v>
      </c>
      <c r="K2065" s="448"/>
    </row>
    <row r="2066" ht="22.5" customHeight="1">
      <c r="A2066" s="443"/>
      <c r="B2066" s="426"/>
      <c r="C2066" s="471"/>
      <c r="D2066" s="501"/>
      <c r="E2066" s="448"/>
      <c r="F2066" s="445"/>
      <c r="G2066" s="442"/>
      <c r="I2066" s="447"/>
      <c r="J2066" s="448">
        <f t="shared" si="9"/>
        <v>12</v>
      </c>
      <c r="K2066" s="448"/>
    </row>
    <row r="2067" ht="22.5" customHeight="1">
      <c r="A2067" s="443"/>
      <c r="B2067" s="456"/>
      <c r="C2067" s="471"/>
      <c r="D2067" s="471"/>
      <c r="E2067" s="445"/>
      <c r="F2067" s="445"/>
      <c r="G2067" s="442"/>
      <c r="H2067" s="448"/>
      <c r="I2067" s="447"/>
      <c r="J2067" s="448">
        <f t="shared" si="9"/>
        <v>12</v>
      </c>
      <c r="K2067" s="448"/>
    </row>
    <row r="2068" ht="22.5" customHeight="1">
      <c r="A2068" s="443"/>
      <c r="B2068" s="456"/>
      <c r="C2068" s="471"/>
      <c r="D2068" s="471"/>
      <c r="E2068" s="445"/>
      <c r="F2068" s="445"/>
      <c r="G2068" s="442"/>
      <c r="H2068" s="448"/>
      <c r="I2068" s="447"/>
      <c r="J2068" s="448">
        <f t="shared" si="9"/>
        <v>12</v>
      </c>
      <c r="K2068" s="448"/>
    </row>
    <row r="2069" ht="22.5" customHeight="1">
      <c r="A2069" s="443"/>
      <c r="B2069" s="456"/>
      <c r="C2069" s="471"/>
      <c r="D2069" s="471"/>
      <c r="E2069" s="445"/>
      <c r="F2069" s="445"/>
      <c r="G2069" s="442"/>
      <c r="H2069" s="448"/>
      <c r="I2069" s="447"/>
      <c r="J2069" s="448">
        <f t="shared" si="9"/>
        <v>12</v>
      </c>
      <c r="K2069" s="448"/>
    </row>
    <row r="2070" ht="22.5" customHeight="1">
      <c r="A2070" s="443"/>
      <c r="B2070" s="456"/>
      <c r="C2070" s="471"/>
      <c r="D2070" s="471"/>
      <c r="E2070" s="445"/>
      <c r="F2070" s="445"/>
      <c r="G2070" s="442"/>
      <c r="H2070" s="448"/>
      <c r="I2070" s="447"/>
      <c r="J2070" s="448">
        <f t="shared" si="9"/>
        <v>12</v>
      </c>
      <c r="K2070" s="448"/>
    </row>
    <row r="2071" ht="22.5" customHeight="1">
      <c r="A2071" s="443"/>
      <c r="B2071" s="456"/>
      <c r="C2071" s="471"/>
      <c r="D2071" s="471"/>
      <c r="E2071" s="445"/>
      <c r="F2071" s="445"/>
      <c r="G2071" s="442"/>
      <c r="H2071" s="448"/>
      <c r="I2071" s="447"/>
      <c r="J2071" s="448">
        <f t="shared" si="9"/>
        <v>12</v>
      </c>
      <c r="K2071" s="448"/>
    </row>
    <row r="2072" ht="22.5" customHeight="1">
      <c r="A2072" s="443"/>
      <c r="B2072" s="456"/>
      <c r="C2072" s="471"/>
      <c r="D2072" s="471"/>
      <c r="E2072" s="445"/>
      <c r="F2072" s="445"/>
      <c r="G2072" s="442"/>
      <c r="H2072" s="448"/>
      <c r="I2072" s="447"/>
      <c r="J2072" s="448">
        <f t="shared" si="9"/>
        <v>12</v>
      </c>
      <c r="K2072" s="448"/>
    </row>
    <row r="2073" ht="22.5" customHeight="1">
      <c r="A2073" s="443"/>
      <c r="B2073" s="456"/>
      <c r="C2073" s="471"/>
      <c r="D2073" s="471"/>
      <c r="E2073" s="445"/>
      <c r="F2073" s="445"/>
      <c r="G2073" s="442"/>
      <c r="H2073" s="448"/>
      <c r="I2073" s="447"/>
      <c r="J2073" s="448">
        <f t="shared" si="9"/>
        <v>12</v>
      </c>
      <c r="K2073" s="448"/>
    </row>
    <row r="2074" ht="22.5" customHeight="1">
      <c r="A2074" s="443"/>
      <c r="B2074" s="456"/>
      <c r="C2074" s="471"/>
      <c r="D2074" s="471"/>
      <c r="E2074" s="445"/>
      <c r="F2074" s="445"/>
      <c r="G2074" s="442"/>
      <c r="H2074" s="448"/>
      <c r="I2074" s="447"/>
      <c r="J2074" s="448">
        <f t="shared" si="9"/>
        <v>12</v>
      </c>
      <c r="K2074" s="448"/>
    </row>
    <row r="2075" ht="22.5" customHeight="1">
      <c r="A2075" s="443"/>
      <c r="B2075" s="456"/>
      <c r="C2075" s="471"/>
      <c r="D2075" s="471"/>
      <c r="E2075" s="445"/>
      <c r="F2075" s="445"/>
      <c r="G2075" s="442"/>
      <c r="H2075" s="448"/>
      <c r="I2075" s="447"/>
      <c r="J2075" s="448">
        <f t="shared" si="9"/>
        <v>12</v>
      </c>
      <c r="K2075" s="448"/>
    </row>
    <row r="2076" ht="22.5" customHeight="1">
      <c r="A2076" s="443"/>
      <c r="B2076" s="456"/>
      <c r="C2076" s="471"/>
      <c r="D2076" s="471"/>
      <c r="E2076" s="445"/>
      <c r="F2076" s="445"/>
      <c r="G2076" s="442"/>
      <c r="H2076" s="448"/>
      <c r="I2076" s="447"/>
      <c r="J2076" s="448">
        <f t="shared" si="9"/>
        <v>12</v>
      </c>
      <c r="K2076" s="448"/>
    </row>
    <row r="2077" ht="22.5" customHeight="1">
      <c r="A2077" s="443"/>
      <c r="B2077" s="456"/>
      <c r="C2077" s="471"/>
      <c r="D2077" s="471"/>
      <c r="E2077" s="445"/>
      <c r="F2077" s="445"/>
      <c r="G2077" s="442"/>
      <c r="H2077" s="448"/>
      <c r="I2077" s="447"/>
      <c r="J2077" s="448">
        <f t="shared" si="9"/>
        <v>12</v>
      </c>
      <c r="K2077" s="448"/>
    </row>
    <row r="2078" ht="22.5" customHeight="1">
      <c r="A2078" s="443"/>
      <c r="B2078" s="456"/>
      <c r="C2078" s="471"/>
      <c r="D2078" s="471"/>
      <c r="E2078" s="445"/>
      <c r="F2078" s="445"/>
      <c r="G2078" s="442"/>
      <c r="H2078" s="448"/>
      <c r="I2078" s="447"/>
      <c r="J2078" s="448">
        <f t="shared" si="9"/>
        <v>12</v>
      </c>
      <c r="K2078" s="448"/>
    </row>
    <row r="2079" ht="22.5" customHeight="1">
      <c r="A2079" s="443"/>
      <c r="B2079" s="456"/>
      <c r="C2079" s="471"/>
      <c r="D2079" s="471"/>
      <c r="E2079" s="445"/>
      <c r="F2079" s="445"/>
      <c r="G2079" s="442"/>
      <c r="H2079" s="448"/>
      <c r="I2079" s="447"/>
      <c r="J2079" s="448">
        <f t="shared" si="9"/>
        <v>12</v>
      </c>
      <c r="K2079" s="448"/>
    </row>
    <row r="2080" ht="22.5" customHeight="1">
      <c r="A2080" s="443"/>
      <c r="B2080" s="456"/>
      <c r="C2080" s="471"/>
      <c r="D2080" s="471"/>
      <c r="E2080" s="445"/>
      <c r="F2080" s="445"/>
      <c r="G2080" s="442"/>
      <c r="H2080" s="448"/>
      <c r="I2080" s="447"/>
      <c r="J2080" s="448">
        <f t="shared" si="9"/>
        <v>12</v>
      </c>
      <c r="K2080" s="448"/>
    </row>
    <row r="2081" ht="22.5" customHeight="1">
      <c r="A2081" s="443"/>
      <c r="B2081" s="456"/>
      <c r="C2081" s="471"/>
      <c r="D2081" s="471"/>
      <c r="E2081" s="445"/>
      <c r="F2081" s="445"/>
      <c r="G2081" s="442"/>
      <c r="H2081" s="448"/>
      <c r="I2081" s="447"/>
      <c r="J2081" s="448">
        <f t="shared" si="9"/>
        <v>12</v>
      </c>
      <c r="K2081" s="448"/>
    </row>
    <row r="2082" ht="22.5" customHeight="1">
      <c r="A2082" s="443"/>
      <c r="B2082" s="456"/>
      <c r="C2082" s="471"/>
      <c r="D2082" s="471"/>
      <c r="E2082" s="445"/>
      <c r="F2082" s="445"/>
      <c r="G2082" s="442"/>
      <c r="H2082" s="448"/>
      <c r="I2082" s="447"/>
      <c r="J2082" s="448">
        <f t="shared" si="9"/>
        <v>12</v>
      </c>
      <c r="K2082" s="448"/>
    </row>
    <row r="2083" ht="22.5" customHeight="1">
      <c r="A2083" s="443"/>
      <c r="B2083" s="456"/>
      <c r="C2083" s="471"/>
      <c r="D2083" s="471"/>
      <c r="E2083" s="445"/>
      <c r="F2083" s="445"/>
      <c r="G2083" s="442"/>
      <c r="H2083" s="448"/>
      <c r="I2083" s="447"/>
      <c r="J2083" s="448">
        <f t="shared" si="9"/>
        <v>12</v>
      </c>
      <c r="K2083" s="448"/>
    </row>
    <row r="2084" ht="22.5" customHeight="1">
      <c r="A2084" s="443"/>
      <c r="B2084" s="456"/>
      <c r="C2084" s="471"/>
      <c r="D2084" s="471"/>
      <c r="E2084" s="445"/>
      <c r="F2084" s="445"/>
      <c r="G2084" s="442"/>
      <c r="H2084" s="448"/>
      <c r="I2084" s="447"/>
      <c r="J2084" s="448">
        <f t="shared" si="9"/>
        <v>12</v>
      </c>
      <c r="K2084" s="448"/>
    </row>
    <row r="2085" ht="22.5" customHeight="1">
      <c r="A2085" s="443"/>
      <c r="B2085" s="456"/>
      <c r="C2085" s="471"/>
      <c r="D2085" s="471"/>
      <c r="E2085" s="445"/>
      <c r="F2085" s="445"/>
      <c r="G2085" s="442"/>
      <c r="H2085" s="448"/>
      <c r="I2085" s="447"/>
      <c r="J2085" s="448">
        <f t="shared" si="9"/>
        <v>12</v>
      </c>
      <c r="K2085" s="448"/>
    </row>
    <row r="2086" ht="22.5" customHeight="1">
      <c r="A2086" s="443"/>
      <c r="B2086" s="456"/>
      <c r="C2086" s="471"/>
      <c r="D2086" s="471"/>
      <c r="E2086" s="445"/>
      <c r="F2086" s="445"/>
      <c r="G2086" s="442"/>
      <c r="H2086" s="448"/>
      <c r="I2086" s="447"/>
      <c r="J2086" s="448">
        <f t="shared" si="9"/>
        <v>12</v>
      </c>
      <c r="K2086" s="448"/>
    </row>
    <row r="2087" ht="22.5" customHeight="1">
      <c r="A2087" s="443"/>
      <c r="B2087" s="456"/>
      <c r="C2087" s="471"/>
      <c r="D2087" s="471"/>
      <c r="E2087" s="445"/>
      <c r="F2087" s="445"/>
      <c r="G2087" s="442"/>
      <c r="H2087" s="448"/>
      <c r="I2087" s="447"/>
      <c r="J2087" s="448">
        <f t="shared" si="9"/>
        <v>12</v>
      </c>
      <c r="K2087" s="448"/>
    </row>
    <row r="2088" ht="22.5" customHeight="1">
      <c r="A2088" s="443"/>
      <c r="B2088" s="456"/>
      <c r="C2088" s="471"/>
      <c r="D2088" s="471"/>
      <c r="E2088" s="445"/>
      <c r="F2088" s="445"/>
      <c r="G2088" s="442"/>
      <c r="H2088" s="448"/>
      <c r="I2088" s="447"/>
      <c r="J2088" s="448">
        <f t="shared" si="9"/>
        <v>12</v>
      </c>
      <c r="K2088" s="448"/>
    </row>
    <row r="2089" ht="22.5" customHeight="1">
      <c r="A2089" s="443"/>
      <c r="B2089" s="456"/>
      <c r="C2089" s="471"/>
      <c r="D2089" s="471"/>
      <c r="E2089" s="445"/>
      <c r="F2089" s="445"/>
      <c r="G2089" s="442"/>
      <c r="H2089" s="448"/>
      <c r="I2089" s="447"/>
      <c r="J2089" s="448">
        <f t="shared" si="9"/>
        <v>12</v>
      </c>
      <c r="K2089" s="448"/>
    </row>
    <row r="2090" ht="22.5" customHeight="1">
      <c r="A2090" s="443"/>
      <c r="B2090" s="456"/>
      <c r="C2090" s="471"/>
      <c r="D2090" s="471"/>
      <c r="E2090" s="445"/>
      <c r="F2090" s="445"/>
      <c r="G2090" s="442"/>
      <c r="H2090" s="448"/>
      <c r="I2090" s="447"/>
      <c r="J2090" s="448">
        <f t="shared" si="9"/>
        <v>12</v>
      </c>
      <c r="K2090" s="448"/>
    </row>
    <row r="2091" ht="22.5" customHeight="1">
      <c r="A2091" s="443"/>
      <c r="B2091" s="456"/>
      <c r="C2091" s="471"/>
      <c r="D2091" s="471"/>
      <c r="E2091" s="445"/>
      <c r="F2091" s="445"/>
      <c r="G2091" s="442"/>
      <c r="H2091" s="448"/>
      <c r="I2091" s="447"/>
      <c r="J2091" s="448">
        <f t="shared" si="9"/>
        <v>12</v>
      </c>
      <c r="K2091" s="448"/>
    </row>
    <row r="2092" ht="22.5" customHeight="1">
      <c r="A2092" s="443"/>
      <c r="B2092" s="456"/>
      <c r="C2092" s="471"/>
      <c r="D2092" s="471"/>
      <c r="E2092" s="445"/>
      <c r="F2092" s="445"/>
      <c r="G2092" s="442"/>
      <c r="H2092" s="448"/>
      <c r="I2092" s="447"/>
      <c r="J2092" s="448">
        <f t="shared" si="9"/>
        <v>12</v>
      </c>
      <c r="K2092" s="448"/>
    </row>
    <row r="2093" ht="22.5" customHeight="1">
      <c r="A2093" s="443"/>
      <c r="B2093" s="456"/>
      <c r="C2093" s="471"/>
      <c r="D2093" s="471"/>
      <c r="E2093" s="445"/>
      <c r="F2093" s="445"/>
      <c r="G2093" s="442"/>
      <c r="H2093" s="448"/>
      <c r="I2093" s="447"/>
      <c r="J2093" s="448">
        <f t="shared" si="9"/>
        <v>12</v>
      </c>
      <c r="K2093" s="448"/>
    </row>
    <row r="2094" ht="22.5" customHeight="1">
      <c r="A2094" s="443"/>
      <c r="B2094" s="456"/>
      <c r="C2094" s="471"/>
      <c r="D2094" s="471"/>
      <c r="E2094" s="445"/>
      <c r="F2094" s="445"/>
      <c r="G2094" s="442"/>
      <c r="H2094" s="448"/>
      <c r="I2094" s="447"/>
      <c r="J2094" s="448">
        <f t="shared" si="9"/>
        <v>12</v>
      </c>
      <c r="K2094" s="448"/>
    </row>
    <row r="2095" ht="22.5" customHeight="1">
      <c r="A2095" s="443"/>
      <c r="B2095" s="456"/>
      <c r="C2095" s="471"/>
      <c r="D2095" s="471"/>
      <c r="E2095" s="445"/>
      <c r="F2095" s="445"/>
      <c r="G2095" s="442"/>
      <c r="H2095" s="448"/>
      <c r="I2095" s="447"/>
      <c r="J2095" s="448">
        <f t="shared" si="9"/>
        <v>12</v>
      </c>
      <c r="K2095" s="448"/>
    </row>
    <row r="2096" ht="22.5" customHeight="1">
      <c r="A2096" s="443"/>
      <c r="B2096" s="456"/>
      <c r="C2096" s="471"/>
      <c r="D2096" s="471"/>
      <c r="E2096" s="445"/>
      <c r="F2096" s="445"/>
      <c r="G2096" s="442"/>
      <c r="H2096" s="448"/>
      <c r="I2096" s="447"/>
      <c r="J2096" s="448">
        <f t="shared" si="9"/>
        <v>12</v>
      </c>
      <c r="K2096" s="448"/>
    </row>
    <row r="2097" ht="22.5" customHeight="1">
      <c r="A2097" s="443"/>
      <c r="B2097" s="456"/>
      <c r="C2097" s="471"/>
      <c r="D2097" s="471"/>
      <c r="E2097" s="445"/>
      <c r="F2097" s="445"/>
      <c r="G2097" s="442"/>
      <c r="H2097" s="448"/>
      <c r="I2097" s="447"/>
      <c r="J2097" s="448">
        <f t="shared" si="9"/>
        <v>12</v>
      </c>
      <c r="K2097" s="448"/>
    </row>
    <row r="2098" ht="22.5" customHeight="1">
      <c r="A2098" s="443"/>
      <c r="B2098" s="456"/>
      <c r="C2098" s="471"/>
      <c r="D2098" s="471"/>
      <c r="E2098" s="445"/>
      <c r="F2098" s="445"/>
      <c r="G2098" s="442"/>
      <c r="H2098" s="448"/>
      <c r="I2098" s="447"/>
      <c r="J2098" s="448">
        <f t="shared" si="9"/>
        <v>12</v>
      </c>
      <c r="K2098" s="448"/>
    </row>
    <row r="2099" ht="22.5" customHeight="1">
      <c r="A2099" s="443"/>
      <c r="B2099" s="456"/>
      <c r="C2099" s="494"/>
      <c r="D2099" s="471"/>
      <c r="E2099" s="448"/>
      <c r="F2099" s="445"/>
      <c r="G2099" s="442"/>
      <c r="I2099" s="447"/>
      <c r="J2099" s="448">
        <f t="shared" si="9"/>
        <v>12</v>
      </c>
      <c r="K2099" s="448"/>
    </row>
    <row r="2100" ht="22.5" customHeight="1">
      <c r="A2100" s="443"/>
      <c r="B2100" s="456"/>
      <c r="C2100" s="494"/>
      <c r="D2100" s="471"/>
      <c r="E2100" s="448"/>
      <c r="F2100" s="445"/>
      <c r="G2100" s="442"/>
      <c r="I2100" s="447"/>
      <c r="J2100" s="448">
        <f t="shared" si="9"/>
        <v>12</v>
      </c>
      <c r="K2100" s="448"/>
    </row>
    <row r="2101" ht="22.5" customHeight="1">
      <c r="A2101" s="443"/>
      <c r="B2101" s="456"/>
      <c r="C2101" s="494"/>
      <c r="D2101" s="471"/>
      <c r="E2101" s="448"/>
      <c r="F2101" s="445"/>
      <c r="G2101" s="442"/>
      <c r="I2101" s="447"/>
      <c r="J2101" s="448">
        <f t="shared" si="9"/>
        <v>12</v>
      </c>
      <c r="K2101" s="448"/>
    </row>
    <row r="2102" ht="22.5" customHeight="1">
      <c r="A2102" s="443"/>
      <c r="B2102" s="456"/>
      <c r="C2102" s="494"/>
      <c r="D2102" s="471"/>
      <c r="E2102" s="448"/>
      <c r="F2102" s="445"/>
      <c r="G2102" s="442"/>
      <c r="I2102" s="447"/>
      <c r="J2102" s="448">
        <f t="shared" si="9"/>
        <v>12</v>
      </c>
      <c r="K2102" s="448"/>
    </row>
    <row r="2103" ht="22.5" customHeight="1">
      <c r="A2103" s="443"/>
      <c r="B2103" s="456"/>
      <c r="C2103" s="494"/>
      <c r="D2103" s="471"/>
      <c r="E2103" s="448"/>
      <c r="F2103" s="445"/>
      <c r="G2103" s="442"/>
      <c r="I2103" s="447"/>
      <c r="J2103" s="448">
        <f t="shared" si="9"/>
        <v>12</v>
      </c>
      <c r="K2103" s="448"/>
    </row>
    <row r="2104" ht="22.5" customHeight="1">
      <c r="A2104" s="443"/>
      <c r="B2104" s="456"/>
      <c r="C2104" s="471"/>
      <c r="D2104" s="471"/>
      <c r="E2104" s="445"/>
      <c r="F2104" s="445"/>
      <c r="G2104" s="442"/>
      <c r="H2104" s="448"/>
      <c r="I2104" s="447"/>
      <c r="J2104" s="448">
        <f t="shared" si="9"/>
        <v>12</v>
      </c>
      <c r="K2104" s="448"/>
    </row>
    <row r="2105" ht="22.5" customHeight="1">
      <c r="A2105" s="443"/>
      <c r="B2105" s="456"/>
      <c r="C2105" s="471"/>
      <c r="D2105" s="471"/>
      <c r="E2105" s="445"/>
      <c r="F2105" s="445"/>
      <c r="G2105" s="442"/>
      <c r="H2105" s="448"/>
      <c r="I2105" s="447"/>
      <c r="J2105" s="448">
        <f t="shared" si="9"/>
        <v>12</v>
      </c>
      <c r="K2105" s="448"/>
    </row>
    <row r="2106" ht="22.5" customHeight="1">
      <c r="A2106" s="443"/>
      <c r="B2106" s="456"/>
      <c r="C2106" s="494"/>
      <c r="D2106" s="471"/>
      <c r="E2106" s="448"/>
      <c r="F2106" s="445"/>
      <c r="G2106" s="442"/>
      <c r="H2106" s="448"/>
      <c r="I2106" s="447"/>
      <c r="J2106" s="448">
        <f t="shared" si="9"/>
        <v>12</v>
      </c>
      <c r="K2106" s="448"/>
    </row>
    <row r="2107" ht="22.5" customHeight="1">
      <c r="A2107" s="443"/>
      <c r="B2107" s="456"/>
      <c r="C2107" s="471"/>
      <c r="D2107" s="471"/>
      <c r="E2107" s="445"/>
      <c r="F2107" s="445"/>
      <c r="G2107" s="442"/>
      <c r="H2107" s="448"/>
      <c r="I2107" s="447"/>
      <c r="J2107" s="448">
        <f t="shared" si="9"/>
        <v>12</v>
      </c>
      <c r="K2107" s="448"/>
    </row>
    <row r="2108" ht="22.5" customHeight="1">
      <c r="A2108" s="443"/>
      <c r="B2108" s="456"/>
      <c r="C2108" s="471"/>
      <c r="D2108" s="471"/>
      <c r="E2108" s="448"/>
      <c r="F2108" s="445"/>
      <c r="G2108" s="442"/>
      <c r="J2108" s="448">
        <f t="shared" si="9"/>
        <v>12</v>
      </c>
      <c r="K2108" s="448"/>
    </row>
    <row r="2109" ht="22.5" customHeight="1">
      <c r="A2109" s="443"/>
      <c r="B2109" s="456"/>
      <c r="C2109" s="471"/>
      <c r="D2109" s="471"/>
      <c r="E2109" s="442"/>
      <c r="G2109" s="445"/>
      <c r="H2109" s="448" t="s">
        <v>2686</v>
      </c>
      <c r="I2109" s="447"/>
      <c r="J2109" s="448">
        <f t="shared" si="9"/>
        <v>12</v>
      </c>
      <c r="K2109" s="448"/>
    </row>
    <row r="2110" ht="22.5" customHeight="1">
      <c r="A2110" s="443"/>
      <c r="B2110" s="456"/>
      <c r="C2110" s="471"/>
      <c r="D2110" s="471"/>
      <c r="E2110" s="445"/>
      <c r="F2110" s="445"/>
      <c r="G2110" s="442"/>
      <c r="H2110" s="473" t="s">
        <v>2568</v>
      </c>
      <c r="I2110" s="447"/>
      <c r="J2110" s="448">
        <f t="shared" si="9"/>
        <v>12</v>
      </c>
      <c r="K2110" s="448"/>
    </row>
    <row r="2111" ht="22.5" customHeight="1">
      <c r="A2111" s="443"/>
      <c r="B2111" s="456"/>
      <c r="C2111" s="471"/>
      <c r="D2111" s="471"/>
      <c r="E2111" s="445"/>
      <c r="F2111" s="445"/>
      <c r="G2111" s="442"/>
      <c r="H2111" s="448"/>
      <c r="I2111" s="447"/>
      <c r="J2111" s="448">
        <f t="shared" si="9"/>
        <v>12</v>
      </c>
      <c r="K2111" s="448"/>
    </row>
    <row r="2112" ht="22.5" customHeight="1">
      <c r="A2112" s="443"/>
      <c r="B2112" s="456"/>
      <c r="C2112" s="471"/>
      <c r="D2112" s="471"/>
      <c r="E2112" s="445"/>
      <c r="F2112" s="445"/>
      <c r="G2112" s="442"/>
      <c r="H2112" s="448"/>
      <c r="I2112" s="447"/>
      <c r="J2112" s="448">
        <f t="shared" si="9"/>
        <v>12</v>
      </c>
      <c r="K2112" s="448"/>
    </row>
    <row r="2113" ht="22.5" customHeight="1">
      <c r="A2113" s="443"/>
      <c r="B2113" s="456"/>
      <c r="C2113" s="471"/>
      <c r="D2113" s="471"/>
      <c r="E2113" s="448"/>
      <c r="F2113" s="445"/>
      <c r="G2113" s="442"/>
      <c r="I2113" s="447"/>
      <c r="J2113" s="448">
        <f t="shared" si="9"/>
        <v>12</v>
      </c>
      <c r="K2113" s="448"/>
    </row>
    <row r="2114" ht="22.5" customHeight="1">
      <c r="A2114" s="443"/>
      <c r="B2114" s="456"/>
      <c r="C2114" s="471"/>
      <c r="D2114" s="471"/>
      <c r="E2114" s="448"/>
      <c r="F2114" s="445"/>
      <c r="G2114" s="442"/>
      <c r="I2114" s="447"/>
      <c r="J2114" s="448">
        <f t="shared" si="9"/>
        <v>12</v>
      </c>
      <c r="K2114" s="448"/>
    </row>
    <row r="2115" ht="22.5" customHeight="1">
      <c r="A2115" s="443"/>
      <c r="B2115" s="456"/>
      <c r="C2115" s="471"/>
      <c r="D2115" s="471"/>
      <c r="E2115" s="448"/>
      <c r="F2115" s="445"/>
      <c r="G2115" s="442"/>
      <c r="I2115" s="447"/>
      <c r="J2115" s="448">
        <f t="shared" si="9"/>
        <v>12</v>
      </c>
      <c r="K2115" s="448"/>
    </row>
    <row r="2116" ht="22.5" customHeight="1">
      <c r="A2116" s="443"/>
      <c r="B2116" s="456"/>
      <c r="C2116" s="471"/>
      <c r="D2116" s="471"/>
      <c r="E2116" s="448"/>
      <c r="F2116" s="445"/>
      <c r="G2116" s="442"/>
      <c r="H2116" s="448"/>
      <c r="I2116" s="447"/>
      <c r="J2116" s="448">
        <f t="shared" si="9"/>
        <v>12</v>
      </c>
      <c r="K2116" s="448"/>
    </row>
    <row r="2117" ht="22.5" customHeight="1">
      <c r="A2117" s="443"/>
      <c r="B2117" s="456"/>
      <c r="C2117" s="471"/>
      <c r="D2117" s="471"/>
      <c r="E2117" s="445"/>
      <c r="F2117" s="445"/>
      <c r="G2117" s="442"/>
      <c r="H2117" s="448"/>
      <c r="I2117" s="447"/>
      <c r="J2117" s="448">
        <f t="shared" si="9"/>
        <v>12</v>
      </c>
      <c r="K2117" s="448"/>
    </row>
    <row r="2118" ht="22.5" customHeight="1">
      <c r="A2118" s="443"/>
      <c r="B2118" s="456"/>
      <c r="C2118" s="494"/>
      <c r="D2118" s="471"/>
      <c r="E2118" s="448"/>
      <c r="F2118" s="445"/>
      <c r="G2118" s="442"/>
      <c r="I2118" s="447"/>
      <c r="J2118" s="448">
        <f t="shared" si="9"/>
        <v>12</v>
      </c>
      <c r="K2118" s="448"/>
    </row>
    <row r="2119" ht="22.5" customHeight="1">
      <c r="A2119" s="443"/>
      <c r="B2119" s="456"/>
      <c r="C2119" s="494"/>
      <c r="D2119" s="471"/>
      <c r="E2119" s="448"/>
      <c r="F2119" s="445"/>
      <c r="G2119" s="442"/>
      <c r="I2119" s="447"/>
      <c r="J2119" s="448">
        <f t="shared" si="9"/>
        <v>12</v>
      </c>
      <c r="K2119" s="448"/>
    </row>
    <row r="2120" ht="22.5" customHeight="1">
      <c r="A2120" s="443"/>
      <c r="B2120" s="456"/>
      <c r="C2120" s="494"/>
      <c r="D2120" s="471"/>
      <c r="E2120" s="448"/>
      <c r="F2120" s="445"/>
      <c r="G2120" s="442"/>
      <c r="I2120" s="447"/>
      <c r="J2120" s="448">
        <f t="shared" si="9"/>
        <v>12</v>
      </c>
      <c r="K2120" s="448"/>
    </row>
    <row r="2121" ht="22.5" customHeight="1">
      <c r="A2121" s="443"/>
      <c r="B2121" s="456"/>
      <c r="C2121" s="471"/>
      <c r="D2121" s="471"/>
      <c r="E2121" s="448"/>
      <c r="F2121" s="445"/>
      <c r="G2121" s="442"/>
      <c r="I2121" s="447"/>
      <c r="J2121" s="448">
        <f t="shared" si="9"/>
        <v>12</v>
      </c>
      <c r="K2121" s="448"/>
    </row>
    <row r="2122" ht="22.5" customHeight="1">
      <c r="A2122" s="443"/>
      <c r="B2122" s="456"/>
      <c r="C2122" s="471"/>
      <c r="D2122" s="471"/>
      <c r="E2122" s="445"/>
      <c r="F2122" s="445"/>
      <c r="G2122" s="442"/>
      <c r="H2122" s="448"/>
      <c r="I2122" s="447"/>
      <c r="J2122" s="448">
        <f t="shared" si="9"/>
        <v>12</v>
      </c>
      <c r="K2122" s="448"/>
    </row>
    <row r="2123" ht="22.5" customHeight="1">
      <c r="A2123" s="443"/>
      <c r="B2123" s="456"/>
      <c r="C2123" s="471"/>
      <c r="D2123" s="471"/>
      <c r="E2123" s="455"/>
      <c r="F2123" s="442"/>
      <c r="G2123" s="442"/>
      <c r="H2123" s="448"/>
      <c r="J2123" s="448">
        <f t="shared" si="9"/>
        <v>12</v>
      </c>
      <c r="K2123" s="448"/>
    </row>
    <row r="2124" ht="22.5" customHeight="1">
      <c r="A2124" s="443"/>
      <c r="B2124" s="456"/>
      <c r="C2124" s="471"/>
      <c r="D2124" s="471"/>
      <c r="E2124" s="455"/>
      <c r="F2124" s="442"/>
      <c r="G2124" s="442"/>
      <c r="H2124" s="448"/>
      <c r="J2124" s="448">
        <f t="shared" si="9"/>
        <v>12</v>
      </c>
      <c r="K2124" s="448"/>
    </row>
    <row r="2125" ht="22.5" customHeight="1">
      <c r="A2125" s="443"/>
      <c r="B2125" s="456"/>
      <c r="C2125" s="471"/>
      <c r="D2125" s="471"/>
      <c r="E2125" s="445"/>
      <c r="F2125" s="445"/>
      <c r="G2125" s="442"/>
      <c r="H2125" s="448"/>
      <c r="I2125" s="447"/>
      <c r="J2125" s="448">
        <f t="shared" si="9"/>
        <v>12</v>
      </c>
      <c r="K2125" s="448"/>
    </row>
    <row r="2126" ht="22.5" customHeight="1">
      <c r="A2126" s="443"/>
      <c r="B2126" s="456"/>
      <c r="C2126" s="471"/>
      <c r="D2126" s="471"/>
      <c r="E2126" s="445"/>
      <c r="F2126" s="445"/>
      <c r="G2126" s="442"/>
      <c r="H2126" s="448"/>
      <c r="I2126" s="447"/>
      <c r="J2126" s="448">
        <f t="shared" si="9"/>
        <v>12</v>
      </c>
      <c r="K2126" s="448"/>
    </row>
    <row r="2127" ht="22.5" customHeight="1">
      <c r="A2127" s="443"/>
      <c r="B2127" s="456"/>
      <c r="C2127" s="471"/>
      <c r="D2127" s="471"/>
      <c r="E2127" s="448"/>
      <c r="F2127" s="445"/>
      <c r="G2127" s="442"/>
      <c r="I2127" s="447"/>
      <c r="J2127" s="448">
        <f t="shared" si="9"/>
        <v>12</v>
      </c>
      <c r="K2127" s="448"/>
    </row>
    <row r="2128" ht="22.5" customHeight="1">
      <c r="A2128" s="443"/>
      <c r="B2128" s="456"/>
      <c r="C2128" s="471"/>
      <c r="D2128" s="471"/>
      <c r="E2128" s="445"/>
      <c r="F2128" s="445"/>
      <c r="G2128" s="442"/>
      <c r="H2128" s="448"/>
      <c r="I2128" s="447"/>
      <c r="J2128" s="448">
        <f t="shared" si="9"/>
        <v>12</v>
      </c>
      <c r="K2128" s="448"/>
    </row>
    <row r="2129" ht="22.5" customHeight="1">
      <c r="A2129" s="443"/>
      <c r="B2129" s="456"/>
      <c r="C2129" s="471"/>
      <c r="D2129" s="471"/>
      <c r="E2129" s="445"/>
      <c r="F2129" s="445"/>
      <c r="G2129" s="442"/>
      <c r="H2129" s="448"/>
      <c r="I2129" s="447"/>
      <c r="J2129" s="448">
        <f t="shared" si="9"/>
        <v>12</v>
      </c>
      <c r="K2129" s="448"/>
    </row>
    <row r="2130" ht="22.5" customHeight="1">
      <c r="A2130" s="443"/>
      <c r="B2130" s="456"/>
      <c r="C2130" s="471"/>
      <c r="D2130" s="471"/>
      <c r="E2130" s="448"/>
      <c r="F2130" s="445"/>
      <c r="G2130" s="442"/>
      <c r="I2130" s="447"/>
      <c r="J2130" s="448">
        <f t="shared" si="9"/>
        <v>12</v>
      </c>
      <c r="K2130" s="448"/>
    </row>
    <row r="2131" ht="22.5" customHeight="1">
      <c r="A2131" s="443"/>
      <c r="B2131" s="456"/>
      <c r="C2131" s="471"/>
      <c r="D2131" s="471"/>
      <c r="E2131" s="448"/>
      <c r="F2131" s="445"/>
      <c r="G2131" s="442"/>
      <c r="I2131" s="447"/>
      <c r="J2131" s="448">
        <f t="shared" si="9"/>
        <v>12</v>
      </c>
      <c r="K2131" s="448"/>
    </row>
    <row r="2132" ht="22.5" customHeight="1">
      <c r="A2132" s="443"/>
      <c r="B2132" s="456"/>
      <c r="C2132" s="471"/>
      <c r="D2132" s="471"/>
      <c r="E2132" s="448"/>
      <c r="F2132" s="445"/>
      <c r="G2132" s="442"/>
      <c r="I2132" s="447"/>
      <c r="J2132" s="448">
        <f t="shared" si="9"/>
        <v>12</v>
      </c>
      <c r="K2132" s="448"/>
    </row>
    <row r="2133" ht="22.5" customHeight="1">
      <c r="A2133" s="443"/>
      <c r="B2133" s="456"/>
      <c r="C2133" s="471"/>
      <c r="D2133" s="471"/>
      <c r="E2133" s="445"/>
      <c r="F2133" s="445"/>
      <c r="G2133" s="442"/>
      <c r="H2133" s="448"/>
      <c r="I2133" s="447"/>
      <c r="J2133" s="448">
        <f t="shared" si="9"/>
        <v>12</v>
      </c>
      <c r="K2133" s="448"/>
    </row>
    <row r="2134" ht="22.5" customHeight="1">
      <c r="A2134" s="443"/>
      <c r="B2134" s="456"/>
      <c r="C2134" s="471"/>
      <c r="D2134" s="471"/>
      <c r="E2134" s="445"/>
      <c r="F2134" s="445"/>
      <c r="G2134" s="442"/>
      <c r="H2134" s="448"/>
      <c r="I2134" s="447"/>
      <c r="J2134" s="448">
        <f t="shared" si="9"/>
        <v>12</v>
      </c>
      <c r="K2134" s="448"/>
    </row>
    <row r="2135" ht="22.5" customHeight="1">
      <c r="A2135" s="443"/>
      <c r="B2135" s="456"/>
      <c r="C2135" s="471"/>
      <c r="D2135" s="471"/>
      <c r="E2135" s="445"/>
      <c r="F2135" s="445"/>
      <c r="G2135" s="442"/>
      <c r="H2135" s="448"/>
      <c r="I2135" s="447"/>
      <c r="J2135" s="448">
        <f t="shared" si="9"/>
        <v>12</v>
      </c>
      <c r="K2135" s="448"/>
    </row>
    <row r="2136" ht="22.5" customHeight="1">
      <c r="A2136" s="443"/>
      <c r="B2136" s="456"/>
      <c r="C2136" s="471"/>
      <c r="D2136" s="471"/>
      <c r="E2136" s="445"/>
      <c r="F2136" s="445"/>
      <c r="G2136" s="442"/>
      <c r="H2136" s="448"/>
      <c r="I2136" s="447"/>
      <c r="J2136" s="448">
        <f t="shared" si="9"/>
        <v>12</v>
      </c>
      <c r="K2136" s="448"/>
    </row>
    <row r="2137" ht="22.5" customHeight="1">
      <c r="A2137" s="443"/>
      <c r="B2137" s="456"/>
      <c r="C2137" s="471"/>
      <c r="D2137" s="471"/>
      <c r="E2137" s="445"/>
      <c r="F2137" s="445"/>
      <c r="G2137" s="442"/>
      <c r="H2137" s="448"/>
      <c r="I2137" s="447"/>
      <c r="J2137" s="448">
        <f t="shared" si="9"/>
        <v>12</v>
      </c>
      <c r="K2137" s="448"/>
    </row>
    <row r="2138" ht="22.5" customHeight="1">
      <c r="A2138" s="443"/>
      <c r="B2138" s="456"/>
      <c r="C2138" s="471"/>
      <c r="D2138" s="471"/>
      <c r="E2138" s="445"/>
      <c r="F2138" s="445"/>
      <c r="G2138" s="442"/>
      <c r="H2138" s="448"/>
      <c r="I2138" s="447"/>
      <c r="J2138" s="448">
        <f t="shared" si="9"/>
        <v>12</v>
      </c>
      <c r="K2138" s="448"/>
    </row>
    <row r="2139" ht="22.5" customHeight="1">
      <c r="A2139" s="443"/>
      <c r="B2139" s="456"/>
      <c r="C2139" s="471"/>
      <c r="D2139" s="471"/>
      <c r="E2139" s="445"/>
      <c r="F2139" s="445"/>
      <c r="G2139" s="442"/>
      <c r="H2139" s="448"/>
      <c r="I2139" s="447"/>
      <c r="J2139" s="448">
        <f t="shared" si="9"/>
        <v>12</v>
      </c>
      <c r="K2139" s="448"/>
    </row>
    <row r="2140" ht="22.5" customHeight="1">
      <c r="A2140" s="443"/>
      <c r="B2140" s="456"/>
      <c r="C2140" s="471"/>
      <c r="D2140" s="471"/>
      <c r="E2140" s="445"/>
      <c r="F2140" s="445"/>
      <c r="G2140" s="442"/>
      <c r="H2140" s="448"/>
      <c r="I2140" s="447"/>
      <c r="J2140" s="448">
        <f t="shared" si="9"/>
        <v>12</v>
      </c>
      <c r="K2140" s="448"/>
    </row>
    <row r="2141" ht="22.5" customHeight="1">
      <c r="A2141" s="443"/>
      <c r="B2141" s="456"/>
      <c r="C2141" s="471"/>
      <c r="D2141" s="471"/>
      <c r="E2141" s="445"/>
      <c r="F2141" s="445"/>
      <c r="G2141" s="442"/>
      <c r="H2141" s="448"/>
      <c r="I2141" s="447"/>
      <c r="J2141" s="448">
        <f t="shared" si="9"/>
        <v>12</v>
      </c>
      <c r="K2141" s="448"/>
    </row>
    <row r="2142" ht="22.5" customHeight="1">
      <c r="A2142" s="443"/>
      <c r="B2142" s="456"/>
      <c r="C2142" s="471"/>
      <c r="D2142" s="471"/>
      <c r="E2142" s="445"/>
      <c r="F2142" s="445"/>
      <c r="G2142" s="442"/>
      <c r="H2142" s="448"/>
      <c r="I2142" s="447"/>
      <c r="J2142" s="448">
        <f t="shared" si="9"/>
        <v>12</v>
      </c>
      <c r="K2142" s="448"/>
    </row>
    <row r="2143" ht="22.5" customHeight="1">
      <c r="A2143" s="443"/>
      <c r="B2143" s="456"/>
      <c r="C2143" s="471"/>
      <c r="D2143" s="471"/>
      <c r="E2143" s="445"/>
      <c r="F2143" s="445"/>
      <c r="G2143" s="442"/>
      <c r="H2143" s="448"/>
      <c r="I2143" s="447"/>
      <c r="J2143" s="448">
        <f t="shared" si="9"/>
        <v>12</v>
      </c>
      <c r="K2143" s="448"/>
    </row>
    <row r="2144" ht="22.5" customHeight="1">
      <c r="A2144" s="443"/>
      <c r="B2144" s="456"/>
      <c r="C2144" s="471"/>
      <c r="D2144" s="471"/>
      <c r="E2144" s="445"/>
      <c r="F2144" s="445"/>
      <c r="G2144" s="442"/>
      <c r="H2144" s="448"/>
      <c r="I2144" s="447"/>
      <c r="J2144" s="448">
        <f t="shared" si="9"/>
        <v>12</v>
      </c>
      <c r="K2144" s="448"/>
    </row>
    <row r="2145" ht="22.5" customHeight="1">
      <c r="A2145" s="443"/>
      <c r="B2145" s="456"/>
      <c r="C2145" s="471"/>
      <c r="D2145" s="471"/>
      <c r="E2145" s="445"/>
      <c r="F2145" s="445"/>
      <c r="G2145" s="442"/>
      <c r="H2145" s="448"/>
      <c r="I2145" s="447"/>
      <c r="J2145" s="448">
        <f t="shared" si="9"/>
        <v>12</v>
      </c>
      <c r="K2145" s="448"/>
    </row>
    <row r="2146" ht="22.5" customHeight="1">
      <c r="A2146" s="443"/>
      <c r="B2146" s="456"/>
      <c r="C2146" s="471"/>
      <c r="D2146" s="471"/>
      <c r="E2146" s="445"/>
      <c r="F2146" s="445"/>
      <c r="G2146" s="442"/>
      <c r="H2146" s="448"/>
      <c r="I2146" s="447"/>
      <c r="J2146" s="448">
        <f t="shared" si="9"/>
        <v>12</v>
      </c>
      <c r="K2146" s="448"/>
    </row>
    <row r="2147" ht="22.5" customHeight="1">
      <c r="A2147" s="443"/>
      <c r="B2147" s="456"/>
      <c r="C2147" s="471"/>
      <c r="D2147" s="471"/>
      <c r="E2147" s="445"/>
      <c r="F2147" s="445"/>
      <c r="G2147" s="442"/>
      <c r="H2147" s="448"/>
      <c r="I2147" s="447"/>
      <c r="J2147" s="448">
        <f t="shared" si="9"/>
        <v>12</v>
      </c>
      <c r="K2147" s="448"/>
    </row>
    <row r="2148" ht="22.5" customHeight="1">
      <c r="A2148" s="443"/>
      <c r="B2148" s="456"/>
      <c r="C2148" s="471"/>
      <c r="D2148" s="471"/>
      <c r="E2148" s="445"/>
      <c r="F2148" s="445"/>
      <c r="G2148" s="442"/>
      <c r="H2148" s="448"/>
      <c r="I2148" s="447"/>
      <c r="J2148" s="448">
        <f t="shared" si="9"/>
        <v>12</v>
      </c>
      <c r="K2148" s="448"/>
    </row>
    <row r="2149" ht="22.5" customHeight="1">
      <c r="A2149" s="443"/>
      <c r="B2149" s="456"/>
      <c r="C2149" s="471"/>
      <c r="D2149" s="471"/>
      <c r="E2149" s="445"/>
      <c r="F2149" s="445"/>
      <c r="G2149" s="442"/>
      <c r="H2149" s="448"/>
      <c r="I2149" s="447"/>
      <c r="J2149" s="448">
        <f t="shared" si="9"/>
        <v>12</v>
      </c>
      <c r="K2149" s="448"/>
    </row>
    <row r="2150" ht="22.5" customHeight="1">
      <c r="A2150" s="443"/>
      <c r="B2150" s="456"/>
      <c r="C2150" s="471"/>
      <c r="D2150" s="471"/>
      <c r="E2150" s="445"/>
      <c r="F2150" s="445"/>
      <c r="G2150" s="442"/>
      <c r="H2150" s="448"/>
      <c r="I2150" s="447"/>
      <c r="J2150" s="448">
        <f t="shared" si="9"/>
        <v>12</v>
      </c>
      <c r="K2150" s="448"/>
    </row>
    <row r="2151" ht="22.5" customHeight="1">
      <c r="A2151" s="443"/>
      <c r="B2151" s="456"/>
      <c r="C2151" s="471"/>
      <c r="D2151" s="471"/>
      <c r="E2151" s="445"/>
      <c r="F2151" s="445"/>
      <c r="G2151" s="442"/>
      <c r="H2151" s="448"/>
      <c r="I2151" s="447"/>
      <c r="J2151" s="448">
        <f t="shared" si="9"/>
        <v>12</v>
      </c>
      <c r="K2151" s="448"/>
    </row>
    <row r="2152" ht="22.5" customHeight="1">
      <c r="A2152" s="443"/>
      <c r="B2152" s="456"/>
      <c r="C2152" s="471"/>
      <c r="D2152" s="471"/>
      <c r="E2152" s="445"/>
      <c r="F2152" s="445"/>
      <c r="G2152" s="442"/>
      <c r="H2152" s="448"/>
      <c r="I2152" s="447"/>
      <c r="J2152" s="448">
        <f t="shared" si="9"/>
        <v>12</v>
      </c>
      <c r="K2152" s="448"/>
    </row>
    <row r="2153" ht="22.5" customHeight="1">
      <c r="A2153" s="443"/>
      <c r="B2153" s="456"/>
      <c r="C2153" s="471"/>
      <c r="D2153" s="471"/>
      <c r="E2153" s="445"/>
      <c r="F2153" s="445"/>
      <c r="G2153" s="442"/>
      <c r="H2153" s="448"/>
      <c r="I2153" s="447"/>
      <c r="J2153" s="448">
        <f t="shared" si="9"/>
        <v>12</v>
      </c>
      <c r="K2153" s="448"/>
    </row>
    <row r="2154" ht="22.5" customHeight="1">
      <c r="A2154" s="443"/>
      <c r="B2154" s="456"/>
      <c r="C2154" s="471"/>
      <c r="D2154" s="471"/>
      <c r="E2154" s="445"/>
      <c r="F2154" s="445"/>
      <c r="G2154" s="442"/>
      <c r="H2154" s="448"/>
      <c r="I2154" s="447"/>
      <c r="J2154" s="448">
        <f t="shared" si="9"/>
        <v>12</v>
      </c>
      <c r="K2154" s="448"/>
    </row>
    <row r="2155" ht="22.5" customHeight="1">
      <c r="A2155" s="443"/>
      <c r="B2155" s="456"/>
      <c r="C2155" s="471"/>
      <c r="D2155" s="471"/>
      <c r="E2155" s="445"/>
      <c r="F2155" s="445"/>
      <c r="G2155" s="442"/>
      <c r="H2155" s="448"/>
      <c r="I2155" s="447"/>
      <c r="J2155" s="448">
        <f t="shared" si="9"/>
        <v>12</v>
      </c>
      <c r="K2155" s="448"/>
    </row>
    <row r="2156" ht="22.5" customHeight="1">
      <c r="A2156" s="443"/>
      <c r="B2156" s="456"/>
      <c r="C2156" s="471"/>
      <c r="D2156" s="471"/>
      <c r="E2156" s="445"/>
      <c r="F2156" s="445"/>
      <c r="G2156" s="442"/>
      <c r="H2156" s="448"/>
      <c r="I2156" s="447"/>
      <c r="J2156" s="448">
        <f t="shared" si="9"/>
        <v>12</v>
      </c>
      <c r="K2156" s="448"/>
    </row>
    <row r="2157" ht="22.5" customHeight="1">
      <c r="A2157" s="443"/>
      <c r="B2157" s="456"/>
      <c r="C2157" s="471"/>
      <c r="D2157" s="471"/>
      <c r="E2157" s="445"/>
      <c r="F2157" s="445"/>
      <c r="G2157" s="442"/>
      <c r="H2157" s="448"/>
      <c r="I2157" s="447"/>
      <c r="J2157" s="448">
        <f t="shared" si="9"/>
        <v>12</v>
      </c>
      <c r="K2157" s="448"/>
    </row>
    <row r="2158" ht="22.5" customHeight="1">
      <c r="A2158" s="443"/>
      <c r="B2158" s="456"/>
      <c r="C2158" s="471"/>
      <c r="D2158" s="471"/>
      <c r="E2158" s="445"/>
      <c r="F2158" s="445"/>
      <c r="G2158" s="442"/>
      <c r="H2158" s="448"/>
      <c r="I2158" s="447"/>
      <c r="J2158" s="448">
        <f t="shared" si="9"/>
        <v>12</v>
      </c>
      <c r="K2158" s="448"/>
    </row>
    <row r="2159" ht="22.5" customHeight="1">
      <c r="A2159" s="443"/>
      <c r="B2159" s="456"/>
      <c r="C2159" s="471"/>
      <c r="D2159" s="471"/>
      <c r="E2159" s="445"/>
      <c r="F2159" s="445"/>
      <c r="G2159" s="442"/>
      <c r="H2159" s="448"/>
      <c r="I2159" s="447"/>
      <c r="J2159" s="448">
        <f t="shared" si="9"/>
        <v>12</v>
      </c>
      <c r="K2159" s="448"/>
    </row>
    <row r="2160" ht="22.5" customHeight="1">
      <c r="A2160" s="443"/>
      <c r="B2160" s="456"/>
      <c r="C2160" s="471"/>
      <c r="D2160" s="471"/>
      <c r="E2160" s="445"/>
      <c r="F2160" s="445"/>
      <c r="G2160" s="442"/>
      <c r="H2160" s="448"/>
      <c r="I2160" s="447"/>
      <c r="J2160" s="448">
        <f t="shared" si="9"/>
        <v>12</v>
      </c>
      <c r="K2160" s="448"/>
    </row>
    <row r="2161" ht="22.5" customHeight="1">
      <c r="A2161" s="443"/>
      <c r="B2161" s="456"/>
      <c r="C2161" s="471"/>
      <c r="D2161" s="471"/>
      <c r="E2161" s="445"/>
      <c r="F2161" s="445"/>
      <c r="G2161" s="442"/>
      <c r="H2161" s="448"/>
      <c r="I2161" s="447"/>
      <c r="J2161" s="448">
        <f t="shared" si="9"/>
        <v>12</v>
      </c>
      <c r="K2161" s="448"/>
    </row>
    <row r="2162" ht="22.5" customHeight="1">
      <c r="A2162" s="443"/>
      <c r="B2162" s="456"/>
      <c r="C2162" s="471"/>
      <c r="D2162" s="471"/>
      <c r="E2162" s="445"/>
      <c r="F2162" s="445"/>
      <c r="G2162" s="442"/>
      <c r="H2162" s="448"/>
      <c r="I2162" s="447"/>
      <c r="J2162" s="448">
        <f t="shared" si="9"/>
        <v>12</v>
      </c>
      <c r="K2162" s="448"/>
    </row>
    <row r="2163" ht="22.5" customHeight="1">
      <c r="A2163" s="443"/>
      <c r="B2163" s="456"/>
      <c r="C2163" s="471"/>
      <c r="D2163" s="471"/>
      <c r="E2163" s="445"/>
      <c r="F2163" s="445"/>
      <c r="G2163" s="442"/>
      <c r="H2163" s="448"/>
      <c r="I2163" s="447"/>
      <c r="J2163" s="448">
        <f t="shared" si="9"/>
        <v>12</v>
      </c>
      <c r="K2163" s="448"/>
    </row>
    <row r="2164" ht="22.5" customHeight="1">
      <c r="A2164" s="443"/>
      <c r="B2164" s="456"/>
      <c r="C2164" s="471"/>
      <c r="D2164" s="471"/>
      <c r="E2164" s="445"/>
      <c r="F2164" s="445"/>
      <c r="G2164" s="442"/>
      <c r="H2164" s="448"/>
      <c r="I2164" s="447"/>
      <c r="J2164" s="448">
        <f t="shared" si="9"/>
        <v>12</v>
      </c>
      <c r="K2164" s="448"/>
    </row>
    <row r="2165" ht="22.5" customHeight="1">
      <c r="A2165" s="443"/>
      <c r="B2165" s="456"/>
      <c r="C2165" s="471"/>
      <c r="D2165" s="471"/>
      <c r="E2165" s="445"/>
      <c r="F2165" s="445"/>
      <c r="G2165" s="442"/>
      <c r="H2165" s="448"/>
      <c r="I2165" s="447"/>
      <c r="J2165" s="448">
        <f t="shared" si="9"/>
        <v>12</v>
      </c>
      <c r="K2165" s="448"/>
    </row>
    <row r="2166" ht="22.5" customHeight="1">
      <c r="A2166" s="443"/>
      <c r="B2166" s="456"/>
      <c r="C2166" s="471"/>
      <c r="D2166" s="471"/>
      <c r="E2166" s="445"/>
      <c r="F2166" s="445"/>
      <c r="G2166" s="442"/>
      <c r="H2166" s="448"/>
      <c r="I2166" s="447"/>
      <c r="J2166" s="448">
        <f t="shared" si="9"/>
        <v>12</v>
      </c>
      <c r="K2166" s="448"/>
    </row>
    <row r="2167" ht="22.5" customHeight="1">
      <c r="A2167" s="443"/>
      <c r="B2167" s="456"/>
      <c r="C2167" s="471"/>
      <c r="D2167" s="471"/>
      <c r="E2167" s="445"/>
      <c r="F2167" s="445"/>
      <c r="G2167" s="442"/>
      <c r="H2167" s="448"/>
      <c r="I2167" s="447"/>
      <c r="J2167" s="448">
        <f t="shared" si="9"/>
        <v>12</v>
      </c>
      <c r="K2167" s="448"/>
    </row>
    <row r="2168" ht="22.5" customHeight="1">
      <c r="A2168" s="443"/>
      <c r="B2168" s="456"/>
      <c r="C2168" s="471"/>
      <c r="D2168" s="471"/>
      <c r="E2168" s="445"/>
      <c r="F2168" s="445"/>
      <c r="G2168" s="442"/>
      <c r="H2168" s="448"/>
      <c r="I2168" s="447"/>
      <c r="J2168" s="448">
        <f t="shared" si="9"/>
        <v>12</v>
      </c>
      <c r="K2168" s="448"/>
    </row>
    <row r="2169" ht="22.5" customHeight="1">
      <c r="A2169" s="443"/>
      <c r="B2169" s="456"/>
      <c r="C2169" s="471"/>
      <c r="D2169" s="471"/>
      <c r="E2169" s="445"/>
      <c r="F2169" s="445"/>
      <c r="G2169" s="442"/>
      <c r="H2169" s="448"/>
      <c r="I2169" s="447"/>
      <c r="J2169" s="448">
        <f t="shared" si="9"/>
        <v>12</v>
      </c>
      <c r="K2169" s="448"/>
    </row>
    <row r="2170" ht="22.5" customHeight="1">
      <c r="A2170" s="443"/>
      <c r="B2170" s="456"/>
      <c r="C2170" s="471"/>
      <c r="D2170" s="471"/>
      <c r="E2170" s="445"/>
      <c r="F2170" s="445"/>
      <c r="G2170" s="442"/>
      <c r="H2170" s="448"/>
      <c r="I2170" s="447"/>
      <c r="J2170" s="448">
        <f t="shared" si="9"/>
        <v>12</v>
      </c>
      <c r="K2170" s="448"/>
    </row>
    <row r="2171" ht="22.5" customHeight="1">
      <c r="A2171" s="443"/>
      <c r="B2171" s="456"/>
      <c r="C2171" s="471"/>
      <c r="D2171" s="471"/>
      <c r="E2171" s="445"/>
      <c r="F2171" s="445"/>
      <c r="G2171" s="442"/>
      <c r="H2171" s="448"/>
      <c r="I2171" s="447"/>
      <c r="J2171" s="448">
        <f t="shared" si="9"/>
        <v>12</v>
      </c>
      <c r="K2171" s="448"/>
    </row>
    <row r="2172" ht="22.5" customHeight="1">
      <c r="A2172" s="443"/>
      <c r="B2172" s="456"/>
      <c r="C2172" s="471"/>
      <c r="D2172" s="471"/>
      <c r="E2172" s="445"/>
      <c r="F2172" s="445"/>
      <c r="G2172" s="442"/>
      <c r="H2172" s="448"/>
      <c r="I2172" s="447"/>
      <c r="J2172" s="448">
        <f t="shared" si="9"/>
        <v>12</v>
      </c>
      <c r="K2172" s="448"/>
    </row>
    <row r="2173" ht="22.5" customHeight="1">
      <c r="A2173" s="443"/>
      <c r="B2173" s="456"/>
      <c r="C2173" s="471"/>
      <c r="D2173" s="471"/>
      <c r="E2173" s="445"/>
      <c r="F2173" s="445"/>
      <c r="G2173" s="442"/>
      <c r="H2173" s="448"/>
      <c r="I2173" s="447"/>
      <c r="J2173" s="448">
        <f t="shared" si="9"/>
        <v>12</v>
      </c>
      <c r="K2173" s="448"/>
    </row>
    <row r="2174" ht="22.5" customHeight="1">
      <c r="A2174" s="443"/>
      <c r="B2174" s="456"/>
      <c r="C2174" s="471"/>
      <c r="D2174" s="471"/>
      <c r="E2174" s="445"/>
      <c r="F2174" s="445"/>
      <c r="G2174" s="442"/>
      <c r="H2174" s="448"/>
      <c r="I2174" s="447"/>
      <c r="J2174" s="448">
        <f t="shared" si="9"/>
        <v>12</v>
      </c>
      <c r="K2174" s="448"/>
    </row>
    <row r="2175" ht="22.5" customHeight="1">
      <c r="A2175" s="443"/>
      <c r="B2175" s="456"/>
      <c r="C2175" s="471"/>
      <c r="D2175" s="471"/>
      <c r="E2175" s="445"/>
      <c r="F2175" s="445"/>
      <c r="G2175" s="442"/>
      <c r="H2175" s="448"/>
      <c r="I2175" s="447"/>
      <c r="J2175" s="448">
        <f t="shared" si="9"/>
        <v>12</v>
      </c>
      <c r="K2175" s="448"/>
    </row>
    <row r="2176" ht="22.5" customHeight="1">
      <c r="A2176" s="443"/>
      <c r="B2176" s="456"/>
      <c r="C2176" s="471"/>
      <c r="D2176" s="471"/>
      <c r="E2176" s="445"/>
      <c r="F2176" s="445"/>
      <c r="G2176" s="442"/>
      <c r="H2176" s="448"/>
      <c r="I2176" s="447"/>
      <c r="J2176" s="448">
        <f t="shared" si="9"/>
        <v>12</v>
      </c>
      <c r="K2176" s="448"/>
    </row>
    <row r="2177" ht="22.5" customHeight="1">
      <c r="A2177" s="443"/>
      <c r="B2177" s="456"/>
      <c r="C2177" s="471"/>
      <c r="D2177" s="471"/>
      <c r="E2177" s="445"/>
      <c r="F2177" s="445"/>
      <c r="G2177" s="442"/>
      <c r="H2177" s="448"/>
      <c r="I2177" s="447"/>
      <c r="J2177" s="448">
        <f t="shared" si="9"/>
        <v>12</v>
      </c>
      <c r="K2177" s="448"/>
    </row>
    <row r="2178" ht="22.5" customHeight="1">
      <c r="A2178" s="443"/>
      <c r="B2178" s="456"/>
      <c r="C2178" s="471"/>
      <c r="D2178" s="471"/>
      <c r="E2178" s="445"/>
      <c r="F2178" s="445"/>
      <c r="G2178" s="442"/>
      <c r="H2178" s="448"/>
      <c r="I2178" s="447"/>
      <c r="J2178" s="448">
        <f t="shared" si="9"/>
        <v>12</v>
      </c>
      <c r="K2178" s="448"/>
    </row>
    <row r="2179" ht="22.5" customHeight="1">
      <c r="A2179" s="443"/>
      <c r="B2179" s="456"/>
      <c r="C2179" s="471"/>
      <c r="D2179" s="471"/>
      <c r="E2179" s="445"/>
      <c r="F2179" s="445"/>
      <c r="G2179" s="442"/>
      <c r="H2179" s="448"/>
      <c r="I2179" s="447"/>
      <c r="J2179" s="448">
        <f t="shared" si="9"/>
        <v>12</v>
      </c>
      <c r="K2179" s="448"/>
    </row>
    <row r="2180" ht="22.5" customHeight="1">
      <c r="A2180" s="443"/>
      <c r="B2180" s="456"/>
      <c r="C2180" s="471"/>
      <c r="D2180" s="471"/>
      <c r="E2180" s="445"/>
      <c r="F2180" s="445"/>
      <c r="G2180" s="442"/>
      <c r="H2180" s="448"/>
      <c r="I2180" s="447"/>
      <c r="J2180" s="448">
        <f t="shared" si="9"/>
        <v>12</v>
      </c>
      <c r="K2180" s="448"/>
    </row>
    <row r="2181" ht="22.5" customHeight="1">
      <c r="A2181" s="443"/>
      <c r="B2181" s="456"/>
      <c r="C2181" s="471"/>
      <c r="D2181" s="471"/>
      <c r="E2181" s="445"/>
      <c r="F2181" s="445"/>
      <c r="G2181" s="442"/>
      <c r="H2181" s="448"/>
      <c r="I2181" s="447"/>
      <c r="J2181" s="448">
        <f t="shared" si="9"/>
        <v>12</v>
      </c>
      <c r="K2181" s="448"/>
    </row>
    <row r="2182" ht="22.5" customHeight="1">
      <c r="A2182" s="443"/>
      <c r="B2182" s="456"/>
      <c r="C2182" s="471"/>
      <c r="D2182" s="471"/>
      <c r="E2182" s="445"/>
      <c r="F2182" s="445"/>
      <c r="G2182" s="442"/>
      <c r="H2182" s="448"/>
      <c r="I2182" s="447"/>
      <c r="J2182" s="448">
        <f t="shared" si="9"/>
        <v>12</v>
      </c>
      <c r="K2182" s="448"/>
    </row>
    <row r="2183" ht="22.5" customHeight="1">
      <c r="A2183" s="443"/>
      <c r="B2183" s="456"/>
      <c r="C2183" s="471"/>
      <c r="D2183" s="471"/>
      <c r="E2183" s="445"/>
      <c r="F2183" s="445"/>
      <c r="G2183" s="442"/>
      <c r="H2183" s="448"/>
      <c r="I2183" s="447"/>
      <c r="J2183" s="448">
        <f t="shared" si="9"/>
        <v>12</v>
      </c>
      <c r="K2183" s="448"/>
    </row>
    <row r="2184" ht="22.5" customHeight="1">
      <c r="A2184" s="443"/>
      <c r="B2184" s="456"/>
      <c r="C2184" s="471"/>
      <c r="D2184" s="471"/>
      <c r="E2184" s="445"/>
      <c r="F2184" s="445"/>
      <c r="G2184" s="442"/>
      <c r="H2184" s="448"/>
      <c r="I2184" s="447"/>
      <c r="J2184" s="448">
        <f t="shared" si="9"/>
        <v>12</v>
      </c>
      <c r="K2184" s="448"/>
    </row>
    <row r="2185" ht="22.5" customHeight="1">
      <c r="A2185" s="443"/>
      <c r="B2185" s="456"/>
      <c r="C2185" s="471"/>
      <c r="D2185" s="471"/>
      <c r="E2185" s="445"/>
      <c r="F2185" s="445"/>
      <c r="G2185" s="442"/>
      <c r="H2185" s="448"/>
      <c r="I2185" s="447"/>
      <c r="J2185" s="448">
        <f t="shared" si="9"/>
        <v>12</v>
      </c>
      <c r="K2185" s="448"/>
    </row>
    <row r="2186" ht="22.5" customHeight="1">
      <c r="A2186" s="443"/>
      <c r="B2186" s="456"/>
      <c r="C2186" s="471"/>
      <c r="D2186" s="471"/>
      <c r="E2186" s="445"/>
      <c r="F2186" s="445"/>
      <c r="G2186" s="442"/>
      <c r="H2186" s="448"/>
      <c r="I2186" s="447"/>
      <c r="J2186" s="448">
        <f t="shared" si="9"/>
        <v>12</v>
      </c>
      <c r="K2186" s="448"/>
    </row>
    <row r="2187" ht="22.5" customHeight="1">
      <c r="A2187" s="443"/>
      <c r="B2187" s="456"/>
      <c r="C2187" s="471"/>
      <c r="D2187" s="471"/>
      <c r="E2187" s="445"/>
      <c r="F2187" s="445"/>
      <c r="G2187" s="442"/>
      <c r="H2187" s="448"/>
      <c r="I2187" s="447"/>
      <c r="J2187" s="448">
        <f t="shared" si="9"/>
        <v>12</v>
      </c>
      <c r="K2187" s="448"/>
    </row>
    <row r="2188" ht="22.5" customHeight="1">
      <c r="A2188" s="443"/>
      <c r="B2188" s="456"/>
      <c r="C2188" s="471"/>
      <c r="D2188" s="471"/>
      <c r="E2188" s="445"/>
      <c r="F2188" s="445"/>
      <c r="G2188" s="442"/>
      <c r="H2188" s="448"/>
      <c r="I2188" s="447"/>
      <c r="J2188" s="448">
        <f t="shared" si="9"/>
        <v>12</v>
      </c>
      <c r="K2188" s="448"/>
    </row>
    <row r="2189" ht="22.5" customHeight="1">
      <c r="A2189" s="443"/>
      <c r="B2189" s="456"/>
      <c r="C2189" s="471"/>
      <c r="D2189" s="471"/>
      <c r="E2189" s="445"/>
      <c r="F2189" s="445"/>
      <c r="G2189" s="442"/>
      <c r="H2189" s="448"/>
      <c r="I2189" s="447"/>
      <c r="J2189" s="448">
        <f t="shared" si="9"/>
        <v>12</v>
      </c>
      <c r="K2189" s="448"/>
    </row>
    <row r="2190" ht="22.5" customHeight="1">
      <c r="A2190" s="443"/>
      <c r="B2190" s="456"/>
      <c r="C2190" s="471"/>
      <c r="D2190" s="471"/>
      <c r="E2190" s="445"/>
      <c r="F2190" s="445"/>
      <c r="G2190" s="442"/>
      <c r="H2190" s="448"/>
      <c r="I2190" s="447"/>
      <c r="J2190" s="448">
        <f t="shared" si="9"/>
        <v>12</v>
      </c>
      <c r="K2190" s="448"/>
    </row>
    <row r="2191" ht="22.5" customHeight="1">
      <c r="A2191" s="443"/>
      <c r="B2191" s="456"/>
      <c r="C2191" s="471"/>
      <c r="D2191" s="471"/>
      <c r="E2191" s="445"/>
      <c r="F2191" s="445"/>
      <c r="G2191" s="442"/>
      <c r="H2191" s="448"/>
      <c r="I2191" s="447"/>
      <c r="J2191" s="448">
        <f t="shared" si="9"/>
        <v>12</v>
      </c>
      <c r="K2191" s="448"/>
    </row>
    <row r="2192" ht="22.5" customHeight="1">
      <c r="A2192" s="443"/>
      <c r="B2192" s="456"/>
      <c r="C2192" s="471"/>
      <c r="D2192" s="471"/>
      <c r="E2192" s="445"/>
      <c r="F2192" s="445"/>
      <c r="G2192" s="442"/>
      <c r="H2192" s="448"/>
      <c r="I2192" s="447"/>
      <c r="J2192" s="448">
        <f t="shared" si="9"/>
        <v>12</v>
      </c>
      <c r="K2192" s="448"/>
    </row>
    <row r="2193" ht="22.5" customHeight="1">
      <c r="A2193" s="443"/>
      <c r="B2193" s="456"/>
      <c r="C2193" s="471"/>
      <c r="D2193" s="471"/>
      <c r="E2193" s="445"/>
      <c r="F2193" s="445"/>
      <c r="G2193" s="442"/>
      <c r="H2193" s="448"/>
      <c r="I2193" s="447"/>
      <c r="J2193" s="448">
        <f t="shared" si="9"/>
        <v>12</v>
      </c>
      <c r="K2193" s="448"/>
    </row>
    <row r="2194" ht="22.5" customHeight="1">
      <c r="A2194" s="443"/>
      <c r="B2194" s="456"/>
      <c r="C2194" s="471"/>
      <c r="D2194" s="471"/>
      <c r="E2194" s="445"/>
      <c r="F2194" s="445"/>
      <c r="G2194" s="442"/>
      <c r="H2194" s="448"/>
      <c r="I2194" s="447"/>
      <c r="J2194" s="448">
        <f t="shared" si="9"/>
        <v>12</v>
      </c>
      <c r="K2194" s="448"/>
    </row>
    <row r="2195" ht="22.5" customHeight="1">
      <c r="A2195" s="443"/>
      <c r="B2195" s="456"/>
      <c r="C2195" s="471"/>
      <c r="D2195" s="471"/>
      <c r="E2195" s="445"/>
      <c r="F2195" s="445"/>
      <c r="G2195" s="442"/>
      <c r="H2195" s="448"/>
      <c r="I2195" s="447"/>
      <c r="J2195" s="448">
        <f t="shared" si="9"/>
        <v>12</v>
      </c>
      <c r="K2195" s="448"/>
    </row>
    <row r="2196" ht="22.5" customHeight="1">
      <c r="A2196" s="443"/>
      <c r="B2196" s="456"/>
      <c r="C2196" s="471"/>
      <c r="D2196" s="471"/>
      <c r="E2196" s="445"/>
      <c r="F2196" s="445"/>
      <c r="G2196" s="442"/>
      <c r="H2196" s="448"/>
      <c r="I2196" s="447"/>
      <c r="J2196" s="448">
        <f t="shared" si="9"/>
        <v>12</v>
      </c>
      <c r="K2196" s="448"/>
    </row>
    <row r="2197" ht="22.5" customHeight="1">
      <c r="A2197" s="443"/>
      <c r="B2197" s="456"/>
      <c r="C2197" s="471"/>
      <c r="D2197" s="471"/>
      <c r="E2197" s="445"/>
      <c r="F2197" s="445"/>
      <c r="G2197" s="442"/>
      <c r="H2197" s="448"/>
      <c r="I2197" s="447"/>
      <c r="J2197" s="448">
        <f t="shared" si="9"/>
        <v>12</v>
      </c>
      <c r="K2197" s="448"/>
    </row>
    <row r="2198" ht="22.5" customHeight="1">
      <c r="A2198" s="443"/>
      <c r="B2198" s="456"/>
      <c r="C2198" s="471"/>
      <c r="D2198" s="471"/>
      <c r="E2198" s="445"/>
      <c r="F2198" s="445"/>
      <c r="G2198" s="442"/>
      <c r="H2198" s="448"/>
      <c r="I2198" s="447"/>
      <c r="J2198" s="448">
        <f t="shared" si="9"/>
        <v>12</v>
      </c>
      <c r="K2198" s="448"/>
    </row>
    <row r="2199" ht="22.5" customHeight="1">
      <c r="A2199" s="443"/>
      <c r="B2199" s="456"/>
      <c r="C2199" s="471"/>
      <c r="D2199" s="471"/>
      <c r="E2199" s="445"/>
      <c r="F2199" s="445"/>
      <c r="G2199" s="442"/>
      <c r="H2199" s="448"/>
      <c r="I2199" s="447"/>
      <c r="J2199" s="448">
        <f t="shared" si="9"/>
        <v>12</v>
      </c>
      <c r="K2199" s="448"/>
    </row>
    <row r="2200" ht="22.5" customHeight="1">
      <c r="A2200" s="443"/>
      <c r="B2200" s="456"/>
      <c r="C2200" s="471"/>
      <c r="D2200" s="471"/>
      <c r="E2200" s="445"/>
      <c r="F2200" s="445"/>
      <c r="G2200" s="442"/>
      <c r="H2200" s="448"/>
      <c r="I2200" s="447"/>
      <c r="J2200" s="448">
        <f t="shared" si="9"/>
        <v>12</v>
      </c>
      <c r="K2200" s="448"/>
    </row>
    <row r="2201" ht="22.5" customHeight="1">
      <c r="A2201" s="443"/>
      <c r="B2201" s="456"/>
      <c r="C2201" s="471"/>
      <c r="D2201" s="471"/>
      <c r="E2201" s="445"/>
      <c r="F2201" s="445"/>
      <c r="G2201" s="442"/>
      <c r="H2201" s="448"/>
      <c r="I2201" s="447"/>
      <c r="J2201" s="448">
        <f t="shared" si="9"/>
        <v>12</v>
      </c>
      <c r="K2201" s="448"/>
    </row>
    <row r="2202" ht="22.5" customHeight="1">
      <c r="A2202" s="443"/>
      <c r="B2202" s="456"/>
      <c r="C2202" s="471"/>
      <c r="D2202" s="471"/>
      <c r="E2202" s="445"/>
      <c r="F2202" s="445"/>
      <c r="G2202" s="442"/>
      <c r="H2202" s="448"/>
      <c r="I2202" s="447"/>
      <c r="J2202" s="448">
        <f t="shared" si="9"/>
        <v>12</v>
      </c>
      <c r="K2202" s="448"/>
    </row>
    <row r="2203" ht="22.5" customHeight="1">
      <c r="A2203" s="443"/>
      <c r="B2203" s="456"/>
      <c r="C2203" s="471"/>
      <c r="D2203" s="471"/>
      <c r="E2203" s="445"/>
      <c r="F2203" s="445"/>
      <c r="G2203" s="442"/>
      <c r="H2203" s="448"/>
      <c r="I2203" s="447"/>
      <c r="J2203" s="448">
        <f t="shared" si="9"/>
        <v>12</v>
      </c>
      <c r="K2203" s="448"/>
    </row>
    <row r="2204" ht="22.5" customHeight="1">
      <c r="A2204" s="443"/>
      <c r="B2204" s="456"/>
      <c r="C2204" s="471"/>
      <c r="D2204" s="471"/>
      <c r="E2204" s="445"/>
      <c r="F2204" s="445"/>
      <c r="G2204" s="442"/>
      <c r="H2204" s="448"/>
      <c r="I2204" s="447"/>
      <c r="J2204" s="448">
        <f t="shared" si="9"/>
        <v>12</v>
      </c>
      <c r="K2204" s="448"/>
    </row>
    <row r="2205" ht="22.5" customHeight="1">
      <c r="A2205" s="443"/>
      <c r="B2205" s="456"/>
      <c r="C2205" s="471"/>
      <c r="D2205" s="471"/>
      <c r="E2205" s="445"/>
      <c r="F2205" s="445"/>
      <c r="G2205" s="442"/>
      <c r="H2205" s="448"/>
      <c r="I2205" s="447"/>
      <c r="J2205" s="448">
        <f t="shared" si="9"/>
        <v>12</v>
      </c>
      <c r="K2205" s="448"/>
    </row>
    <row r="2206" ht="22.5" customHeight="1">
      <c r="A2206" s="443"/>
      <c r="B2206" s="456"/>
      <c r="C2206" s="471"/>
      <c r="D2206" s="471"/>
      <c r="E2206" s="445"/>
      <c r="F2206" s="445"/>
      <c r="G2206" s="442"/>
      <c r="H2206" s="448"/>
      <c r="I2206" s="447"/>
      <c r="J2206" s="448">
        <f t="shared" si="9"/>
        <v>12</v>
      </c>
      <c r="K2206" s="448"/>
    </row>
    <row r="2207" ht="22.5" customHeight="1">
      <c r="A2207" s="443"/>
      <c r="B2207" s="456"/>
      <c r="C2207" s="471"/>
      <c r="D2207" s="471"/>
      <c r="E2207" s="445"/>
      <c r="F2207" s="445"/>
      <c r="G2207" s="442"/>
      <c r="H2207" s="448"/>
      <c r="I2207" s="447"/>
      <c r="J2207" s="448">
        <f t="shared" si="9"/>
        <v>12</v>
      </c>
      <c r="K2207" s="448"/>
    </row>
    <row r="2208" ht="22.5" customHeight="1">
      <c r="A2208" s="443"/>
      <c r="B2208" s="456"/>
      <c r="C2208" s="471"/>
      <c r="D2208" s="471"/>
      <c r="E2208" s="445"/>
      <c r="F2208" s="445"/>
      <c r="G2208" s="442"/>
      <c r="H2208" s="448"/>
      <c r="I2208" s="447"/>
      <c r="J2208" s="448">
        <f t="shared" si="9"/>
        <v>12</v>
      </c>
      <c r="K2208" s="448"/>
    </row>
    <row r="2209" ht="22.5" customHeight="1">
      <c r="A2209" s="443"/>
      <c r="B2209" s="456"/>
      <c r="C2209" s="471"/>
      <c r="D2209" s="471"/>
      <c r="E2209" s="445"/>
      <c r="F2209" s="445"/>
      <c r="G2209" s="442"/>
      <c r="H2209" s="448"/>
      <c r="I2209" s="447"/>
      <c r="J2209" s="448">
        <f t="shared" si="9"/>
        <v>12</v>
      </c>
      <c r="K2209" s="448"/>
    </row>
    <row r="2210" ht="22.5" customHeight="1">
      <c r="A2210" s="443"/>
      <c r="B2210" s="456"/>
      <c r="C2210" s="471"/>
      <c r="D2210" s="471"/>
      <c r="E2210" s="445"/>
      <c r="F2210" s="445"/>
      <c r="G2210" s="442"/>
      <c r="H2210" s="448"/>
      <c r="I2210" s="447"/>
      <c r="J2210" s="448">
        <f t="shared" si="9"/>
        <v>12</v>
      </c>
      <c r="K2210" s="448"/>
    </row>
    <row r="2211" ht="22.5" customHeight="1">
      <c r="A2211" s="443"/>
      <c r="B2211" s="456"/>
      <c r="C2211" s="471"/>
      <c r="D2211" s="471"/>
      <c r="E2211" s="445"/>
      <c r="F2211" s="445"/>
      <c r="G2211" s="442"/>
      <c r="H2211" s="448"/>
      <c r="I2211" s="447"/>
      <c r="J2211" s="448">
        <f t="shared" si="9"/>
        <v>12</v>
      </c>
      <c r="K2211" s="448"/>
    </row>
    <row r="2212" ht="22.5" customHeight="1">
      <c r="A2212" s="443"/>
      <c r="B2212" s="456"/>
      <c r="C2212" s="471"/>
      <c r="D2212" s="471"/>
      <c r="E2212" s="445"/>
      <c r="F2212" s="445"/>
      <c r="G2212" s="442"/>
      <c r="H2212" s="448"/>
      <c r="I2212" s="447"/>
      <c r="J2212" s="448">
        <f t="shared" si="9"/>
        <v>12</v>
      </c>
      <c r="K2212" s="448"/>
    </row>
    <row r="2213" ht="22.5" customHeight="1">
      <c r="A2213" s="443"/>
      <c r="B2213" s="456"/>
      <c r="C2213" s="471"/>
      <c r="D2213" s="471"/>
      <c r="E2213" s="445"/>
      <c r="F2213" s="445"/>
      <c r="G2213" s="442"/>
      <c r="H2213" s="448"/>
      <c r="I2213" s="447"/>
      <c r="J2213" s="448">
        <f t="shared" si="9"/>
        <v>12</v>
      </c>
      <c r="K2213" s="448"/>
    </row>
    <row r="2214" ht="22.5" customHeight="1">
      <c r="A2214" s="443"/>
      <c r="B2214" s="456"/>
      <c r="C2214" s="471"/>
      <c r="D2214" s="471"/>
      <c r="E2214" s="445"/>
      <c r="F2214" s="445"/>
      <c r="G2214" s="442"/>
      <c r="H2214" s="448"/>
      <c r="I2214" s="447"/>
      <c r="J2214" s="448">
        <f t="shared" si="9"/>
        <v>12</v>
      </c>
      <c r="K2214" s="448"/>
    </row>
    <row r="2215" ht="22.5" customHeight="1">
      <c r="A2215" s="443"/>
      <c r="B2215" s="456"/>
      <c r="C2215" s="471"/>
      <c r="D2215" s="471"/>
      <c r="E2215" s="445"/>
      <c r="F2215" s="445"/>
      <c r="G2215" s="442"/>
      <c r="H2215" s="448"/>
      <c r="I2215" s="447"/>
      <c r="J2215" s="448">
        <f t="shared" si="9"/>
        <v>12</v>
      </c>
      <c r="K2215" s="448"/>
    </row>
    <row r="2216" ht="22.5" customHeight="1">
      <c r="A2216" s="443"/>
      <c r="B2216" s="456"/>
      <c r="C2216" s="471"/>
      <c r="D2216" s="471"/>
      <c r="E2216" s="445"/>
      <c r="F2216" s="445"/>
      <c r="G2216" s="442"/>
      <c r="H2216" s="448"/>
      <c r="I2216" s="447"/>
      <c r="J2216" s="448">
        <f t="shared" si="9"/>
        <v>12</v>
      </c>
      <c r="K2216" s="448"/>
    </row>
    <row r="2217" ht="22.5" customHeight="1">
      <c r="A2217" s="443"/>
      <c r="B2217" s="456"/>
      <c r="C2217" s="471"/>
      <c r="D2217" s="471"/>
      <c r="E2217" s="445"/>
      <c r="F2217" s="445"/>
      <c r="G2217" s="442"/>
      <c r="H2217" s="448"/>
      <c r="I2217" s="447"/>
      <c r="J2217" s="448">
        <f t="shared" si="9"/>
        <v>12</v>
      </c>
      <c r="K2217" s="448"/>
    </row>
    <row r="2218" ht="22.5" customHeight="1">
      <c r="A2218" s="443"/>
      <c r="B2218" s="456"/>
      <c r="C2218" s="471"/>
      <c r="D2218" s="471"/>
      <c r="E2218" s="445"/>
      <c r="F2218" s="445"/>
      <c r="G2218" s="442"/>
      <c r="H2218" s="448"/>
      <c r="I2218" s="447"/>
      <c r="J2218" s="448">
        <f t="shared" si="9"/>
        <v>12</v>
      </c>
      <c r="K2218" s="448"/>
    </row>
    <row r="2219" ht="22.5" customHeight="1">
      <c r="A2219" s="443"/>
      <c r="B2219" s="456"/>
      <c r="C2219" s="471"/>
      <c r="D2219" s="471"/>
      <c r="E2219" s="445"/>
      <c r="F2219" s="445"/>
      <c r="G2219" s="442"/>
      <c r="H2219" s="448"/>
      <c r="I2219" s="447"/>
      <c r="J2219" s="448">
        <f t="shared" si="9"/>
        <v>12</v>
      </c>
      <c r="K2219" s="448"/>
    </row>
    <row r="2220" ht="22.5" customHeight="1">
      <c r="A2220" s="443"/>
      <c r="B2220" s="456"/>
      <c r="C2220" s="471"/>
      <c r="D2220" s="471"/>
      <c r="E2220" s="445"/>
      <c r="F2220" s="445"/>
      <c r="G2220" s="442"/>
      <c r="H2220" s="448"/>
      <c r="I2220" s="447"/>
      <c r="J2220" s="448">
        <f t="shared" si="9"/>
        <v>12</v>
      </c>
      <c r="K2220" s="448"/>
    </row>
    <row r="2221" ht="22.5" customHeight="1">
      <c r="A2221" s="443"/>
      <c r="B2221" s="456"/>
      <c r="C2221" s="471"/>
      <c r="D2221" s="471"/>
      <c r="E2221" s="445"/>
      <c r="F2221" s="445"/>
      <c r="G2221" s="442"/>
      <c r="H2221" s="448"/>
      <c r="I2221" s="447"/>
      <c r="J2221" s="448">
        <f t="shared" si="9"/>
        <v>12</v>
      </c>
      <c r="K2221" s="448"/>
    </row>
    <row r="2222" ht="22.5" customHeight="1">
      <c r="A2222" s="443"/>
      <c r="B2222" s="456"/>
      <c r="C2222" s="471"/>
      <c r="D2222" s="471"/>
      <c r="E2222" s="445"/>
      <c r="F2222" s="445"/>
      <c r="G2222" s="442"/>
      <c r="H2222" s="448"/>
      <c r="I2222" s="447"/>
      <c r="J2222" s="448">
        <f t="shared" si="9"/>
        <v>12</v>
      </c>
      <c r="K2222" s="448"/>
    </row>
    <row r="2223" ht="22.5" customHeight="1">
      <c r="A2223" s="443"/>
      <c r="B2223" s="456"/>
      <c r="C2223" s="471"/>
      <c r="D2223" s="471"/>
      <c r="E2223" s="445"/>
      <c r="F2223" s="445"/>
      <c r="G2223" s="442"/>
      <c r="H2223" s="448"/>
      <c r="I2223" s="447"/>
      <c r="J2223" s="448">
        <f t="shared" si="9"/>
        <v>12</v>
      </c>
      <c r="K2223" s="448"/>
    </row>
    <row r="2224" ht="22.5" customHeight="1">
      <c r="A2224" s="443"/>
      <c r="B2224" s="456"/>
      <c r="C2224" s="471"/>
      <c r="D2224" s="471"/>
      <c r="E2224" s="445"/>
      <c r="F2224" s="445"/>
      <c r="G2224" s="442"/>
      <c r="H2224" s="448"/>
      <c r="I2224" s="447"/>
      <c r="J2224" s="448">
        <f t="shared" si="9"/>
        <v>12</v>
      </c>
      <c r="K2224" s="448"/>
    </row>
    <row r="2225" ht="22.5" customHeight="1">
      <c r="A2225" s="443"/>
      <c r="B2225" s="456"/>
      <c r="C2225" s="471"/>
      <c r="D2225" s="471"/>
      <c r="E2225" s="445"/>
      <c r="F2225" s="445"/>
      <c r="G2225" s="442"/>
      <c r="H2225" s="448"/>
      <c r="I2225" s="447"/>
      <c r="J2225" s="448">
        <f t="shared" si="9"/>
        <v>12</v>
      </c>
      <c r="K2225" s="448"/>
    </row>
    <row r="2226" ht="22.5" customHeight="1">
      <c r="A2226" s="443"/>
      <c r="B2226" s="456"/>
      <c r="C2226" s="471"/>
      <c r="D2226" s="471"/>
      <c r="E2226" s="445"/>
      <c r="F2226" s="445"/>
      <c r="G2226" s="442"/>
      <c r="H2226" s="448"/>
      <c r="I2226" s="447"/>
      <c r="J2226" s="448">
        <f t="shared" si="9"/>
        <v>12</v>
      </c>
      <c r="K2226" s="448"/>
    </row>
    <row r="2227" ht="22.5" customHeight="1">
      <c r="A2227" s="443"/>
      <c r="B2227" s="456"/>
      <c r="C2227" s="471"/>
      <c r="D2227" s="471"/>
      <c r="E2227" s="445"/>
      <c r="F2227" s="445"/>
      <c r="G2227" s="442"/>
      <c r="H2227" s="448"/>
      <c r="I2227" s="447"/>
      <c r="J2227" s="448">
        <f t="shared" si="9"/>
        <v>12</v>
      </c>
      <c r="K2227" s="448"/>
    </row>
    <row r="2228" ht="22.5" customHeight="1">
      <c r="A2228" s="443"/>
      <c r="B2228" s="456"/>
      <c r="C2228" s="471"/>
      <c r="D2228" s="471"/>
      <c r="E2228" s="445"/>
      <c r="F2228" s="445"/>
      <c r="G2228" s="442"/>
      <c r="H2228" s="448"/>
      <c r="I2228" s="447"/>
      <c r="J2228" s="448">
        <f t="shared" si="9"/>
        <v>12</v>
      </c>
      <c r="K2228" s="448"/>
    </row>
    <row r="2229" ht="22.5" customHeight="1">
      <c r="A2229" s="443"/>
      <c r="B2229" s="456"/>
      <c r="C2229" s="471"/>
      <c r="D2229" s="471"/>
      <c r="E2229" s="445"/>
      <c r="F2229" s="445"/>
      <c r="G2229" s="442"/>
      <c r="H2229" s="448"/>
      <c r="I2229" s="447"/>
      <c r="J2229" s="448">
        <f t="shared" si="9"/>
        <v>12</v>
      </c>
      <c r="K2229" s="448"/>
    </row>
    <row r="2230" ht="22.5" customHeight="1">
      <c r="A2230" s="443"/>
      <c r="B2230" s="456"/>
      <c r="C2230" s="471"/>
      <c r="D2230" s="471"/>
      <c r="E2230" s="445"/>
      <c r="F2230" s="445"/>
      <c r="G2230" s="442"/>
      <c r="H2230" s="448"/>
      <c r="I2230" s="447"/>
      <c r="J2230" s="448">
        <f t="shared" si="9"/>
        <v>12</v>
      </c>
      <c r="K2230" s="448"/>
    </row>
    <row r="2231" ht="22.5" customHeight="1">
      <c r="A2231" s="443"/>
      <c r="B2231" s="456"/>
      <c r="C2231" s="471"/>
      <c r="D2231" s="471"/>
      <c r="E2231" s="445"/>
      <c r="F2231" s="445"/>
      <c r="G2231" s="442"/>
      <c r="H2231" s="448"/>
      <c r="I2231" s="447"/>
      <c r="J2231" s="448">
        <f t="shared" si="9"/>
        <v>12</v>
      </c>
      <c r="K2231" s="448"/>
    </row>
    <row r="2232" ht="22.5" customHeight="1">
      <c r="A2232" s="443"/>
      <c r="B2232" s="456"/>
      <c r="C2232" s="471"/>
      <c r="D2232" s="471"/>
      <c r="E2232" s="445"/>
      <c r="F2232" s="445"/>
      <c r="G2232" s="442"/>
      <c r="H2232" s="448"/>
      <c r="I2232" s="447"/>
      <c r="J2232" s="448">
        <f t="shared" si="9"/>
        <v>12</v>
      </c>
      <c r="K2232" s="448"/>
    </row>
    <row r="2233" ht="22.5" customHeight="1">
      <c r="A2233" s="443"/>
      <c r="B2233" s="456"/>
      <c r="C2233" s="471"/>
      <c r="D2233" s="471"/>
      <c r="E2233" s="445"/>
      <c r="F2233" s="445"/>
      <c r="G2233" s="442"/>
      <c r="H2233" s="448"/>
      <c r="I2233" s="447"/>
      <c r="J2233" s="448">
        <f t="shared" si="9"/>
        <v>12</v>
      </c>
      <c r="K2233" s="448"/>
    </row>
    <row r="2234" ht="22.5" customHeight="1">
      <c r="A2234" s="443"/>
      <c r="B2234" s="456"/>
      <c r="C2234" s="471"/>
      <c r="D2234" s="471"/>
      <c r="E2234" s="445"/>
      <c r="F2234" s="445"/>
      <c r="G2234" s="442"/>
      <c r="H2234" s="448"/>
      <c r="I2234" s="447"/>
      <c r="J2234" s="448">
        <f t="shared" si="9"/>
        <v>12</v>
      </c>
      <c r="K2234" s="448"/>
    </row>
    <row r="2235" ht="22.5" customHeight="1">
      <c r="A2235" s="443"/>
      <c r="B2235" s="456"/>
      <c r="C2235" s="471"/>
      <c r="D2235" s="471"/>
      <c r="E2235" s="445"/>
      <c r="F2235" s="445"/>
      <c r="G2235" s="442"/>
      <c r="H2235" s="448"/>
      <c r="I2235" s="447"/>
      <c r="J2235" s="448">
        <f t="shared" si="9"/>
        <v>12</v>
      </c>
      <c r="K2235" s="448"/>
    </row>
    <row r="2236" ht="22.5" customHeight="1">
      <c r="A2236" s="443"/>
      <c r="B2236" s="456"/>
      <c r="C2236" s="471"/>
      <c r="D2236" s="471"/>
      <c r="E2236" s="445"/>
      <c r="F2236" s="445"/>
      <c r="G2236" s="442"/>
      <c r="H2236" s="448"/>
      <c r="I2236" s="447"/>
      <c r="J2236" s="448">
        <f t="shared" si="9"/>
        <v>12</v>
      </c>
      <c r="K2236" s="448"/>
    </row>
    <row r="2237" ht="22.5" customHeight="1">
      <c r="A2237" s="443"/>
      <c r="B2237" s="456"/>
      <c r="C2237" s="471"/>
      <c r="D2237" s="471"/>
      <c r="E2237" s="445"/>
      <c r="F2237" s="445"/>
      <c r="G2237" s="442"/>
      <c r="H2237" s="448"/>
      <c r="I2237" s="447"/>
      <c r="J2237" s="448">
        <f t="shared" si="9"/>
        <v>12</v>
      </c>
      <c r="K2237" s="448"/>
    </row>
    <row r="2238" ht="22.5" customHeight="1">
      <c r="A2238" s="443"/>
      <c r="B2238" s="456"/>
      <c r="C2238" s="471"/>
      <c r="D2238" s="471"/>
      <c r="E2238" s="445"/>
      <c r="F2238" s="445"/>
      <c r="G2238" s="442"/>
      <c r="H2238" s="448"/>
      <c r="I2238" s="447"/>
      <c r="J2238" s="448">
        <f t="shared" si="9"/>
        <v>12</v>
      </c>
      <c r="K2238" s="448"/>
    </row>
    <row r="2239" ht="22.5" customHeight="1">
      <c r="A2239" s="443"/>
      <c r="B2239" s="456"/>
      <c r="C2239" s="471"/>
      <c r="D2239" s="471"/>
      <c r="E2239" s="445"/>
      <c r="F2239" s="445"/>
      <c r="G2239" s="442"/>
      <c r="H2239" s="448"/>
      <c r="I2239" s="447"/>
      <c r="J2239" s="448">
        <f t="shared" si="9"/>
        <v>12</v>
      </c>
      <c r="K2239" s="448"/>
    </row>
    <row r="2240" ht="22.5" customHeight="1">
      <c r="A2240" s="443"/>
      <c r="B2240" s="456"/>
      <c r="C2240" s="471"/>
      <c r="D2240" s="471"/>
      <c r="E2240" s="445"/>
      <c r="F2240" s="445"/>
      <c r="G2240" s="442"/>
      <c r="H2240" s="448"/>
      <c r="I2240" s="447"/>
      <c r="J2240" s="448">
        <f t="shared" si="9"/>
        <v>12</v>
      </c>
      <c r="K2240" s="448"/>
    </row>
    <row r="2241" ht="22.5" customHeight="1">
      <c r="A2241" s="443"/>
      <c r="B2241" s="456"/>
      <c r="C2241" s="471"/>
      <c r="D2241" s="471"/>
      <c r="E2241" s="445"/>
      <c r="F2241" s="445"/>
      <c r="G2241" s="442"/>
      <c r="H2241" s="448"/>
      <c r="I2241" s="447"/>
      <c r="J2241" s="448">
        <f t="shared" si="9"/>
        <v>12</v>
      </c>
      <c r="K2241" s="448"/>
    </row>
    <row r="2242" ht="22.5" customHeight="1">
      <c r="A2242" s="443"/>
      <c r="B2242" s="456"/>
      <c r="C2242" s="471"/>
      <c r="D2242" s="471"/>
      <c r="E2242" s="445"/>
      <c r="F2242" s="445"/>
      <c r="G2242" s="442"/>
      <c r="H2242" s="448"/>
      <c r="I2242" s="447"/>
      <c r="J2242" s="448">
        <f t="shared" si="9"/>
        <v>12</v>
      </c>
      <c r="K2242" s="448"/>
    </row>
    <row r="2243" ht="22.5" customHeight="1">
      <c r="A2243" s="443"/>
      <c r="B2243" s="456"/>
      <c r="C2243" s="471"/>
      <c r="D2243" s="471"/>
      <c r="E2243" s="445"/>
      <c r="F2243" s="445"/>
      <c r="G2243" s="442"/>
      <c r="H2243" s="448"/>
      <c r="I2243" s="447"/>
      <c r="J2243" s="448">
        <f t="shared" si="9"/>
        <v>12</v>
      </c>
      <c r="K2243" s="448"/>
    </row>
    <row r="2244" ht="22.5" customHeight="1">
      <c r="A2244" s="443"/>
      <c r="B2244" s="456"/>
      <c r="C2244" s="471"/>
      <c r="D2244" s="471"/>
      <c r="E2244" s="445"/>
      <c r="F2244" s="445"/>
      <c r="G2244" s="442"/>
      <c r="H2244" s="448"/>
      <c r="I2244" s="447"/>
      <c r="J2244" s="448">
        <f t="shared" si="9"/>
        <v>12</v>
      </c>
      <c r="K2244" s="448"/>
    </row>
    <row r="2245" ht="22.5" customHeight="1">
      <c r="A2245" s="443"/>
      <c r="B2245" s="456"/>
      <c r="C2245" s="471"/>
      <c r="D2245" s="471"/>
      <c r="E2245" s="445"/>
      <c r="F2245" s="445"/>
      <c r="G2245" s="442"/>
      <c r="H2245" s="448"/>
      <c r="I2245" s="447"/>
      <c r="J2245" s="448">
        <f t="shared" si="9"/>
        <v>12</v>
      </c>
      <c r="K2245" s="448"/>
    </row>
    <row r="2246" ht="22.5" customHeight="1">
      <c r="A2246" s="443"/>
      <c r="B2246" s="456"/>
      <c r="C2246" s="471"/>
      <c r="D2246" s="471"/>
      <c r="E2246" s="445"/>
      <c r="F2246" s="445"/>
      <c r="G2246" s="442"/>
      <c r="H2246" s="448"/>
      <c r="I2246" s="447"/>
      <c r="J2246" s="448">
        <f t="shared" si="9"/>
        <v>12</v>
      </c>
      <c r="K2246" s="448"/>
    </row>
    <row r="2247" ht="22.5" customHeight="1">
      <c r="A2247" s="443"/>
      <c r="B2247" s="456"/>
      <c r="C2247" s="471"/>
      <c r="D2247" s="471"/>
      <c r="E2247" s="445"/>
      <c r="F2247" s="445"/>
      <c r="G2247" s="442"/>
      <c r="H2247" s="448"/>
      <c r="I2247" s="447"/>
      <c r="J2247" s="448">
        <f t="shared" si="9"/>
        <v>12</v>
      </c>
      <c r="K2247" s="448"/>
    </row>
    <row r="2248" ht="22.5" customHeight="1">
      <c r="A2248" s="443"/>
      <c r="B2248" s="456"/>
      <c r="C2248" s="471"/>
      <c r="D2248" s="471"/>
      <c r="E2248" s="445"/>
      <c r="F2248" s="445"/>
      <c r="G2248" s="442"/>
      <c r="H2248" s="448"/>
      <c r="I2248" s="447"/>
      <c r="J2248" s="448">
        <f t="shared" si="9"/>
        <v>12</v>
      </c>
      <c r="K2248" s="448"/>
    </row>
    <row r="2249" ht="22.5" customHeight="1">
      <c r="A2249" s="443"/>
      <c r="B2249" s="456"/>
      <c r="C2249" s="471"/>
      <c r="D2249" s="471"/>
      <c r="E2249" s="445"/>
      <c r="F2249" s="445"/>
      <c r="G2249" s="442"/>
      <c r="H2249" s="448"/>
      <c r="I2249" s="447"/>
      <c r="J2249" s="448">
        <f t="shared" si="9"/>
        <v>12</v>
      </c>
      <c r="K2249" s="448"/>
    </row>
    <row r="2250" ht="22.5" customHeight="1">
      <c r="A2250" s="443"/>
      <c r="B2250" s="456"/>
      <c r="C2250" s="471"/>
      <c r="D2250" s="471"/>
      <c r="E2250" s="445"/>
      <c r="F2250" s="445"/>
      <c r="G2250" s="442"/>
      <c r="H2250" s="448"/>
      <c r="I2250" s="447"/>
      <c r="J2250" s="448">
        <f t="shared" si="9"/>
        <v>12</v>
      </c>
      <c r="K2250" s="448"/>
    </row>
    <row r="2251" ht="22.5" customHeight="1">
      <c r="A2251" s="443"/>
      <c r="B2251" s="456"/>
      <c r="C2251" s="471"/>
      <c r="D2251" s="471"/>
      <c r="E2251" s="445"/>
      <c r="F2251" s="445"/>
      <c r="G2251" s="442"/>
      <c r="H2251" s="448"/>
      <c r="I2251" s="447"/>
      <c r="J2251" s="448">
        <f t="shared" si="9"/>
        <v>12</v>
      </c>
      <c r="K2251" s="448"/>
    </row>
    <row r="2252" ht="22.5" customHeight="1">
      <c r="A2252" s="443"/>
      <c r="B2252" s="456"/>
      <c r="C2252" s="471"/>
      <c r="D2252" s="471"/>
      <c r="E2252" s="445"/>
      <c r="F2252" s="445"/>
      <c r="G2252" s="442"/>
      <c r="H2252" s="448"/>
      <c r="I2252" s="447"/>
      <c r="J2252" s="448">
        <f t="shared" si="9"/>
        <v>12</v>
      </c>
      <c r="K2252" s="448"/>
    </row>
    <row r="2253" ht="22.5" customHeight="1">
      <c r="A2253" s="443"/>
      <c r="B2253" s="456"/>
      <c r="C2253" s="471"/>
      <c r="D2253" s="471"/>
      <c r="E2253" s="445"/>
      <c r="F2253" s="445"/>
      <c r="G2253" s="442"/>
      <c r="H2253" s="448"/>
      <c r="I2253" s="447"/>
      <c r="J2253" s="448">
        <f t="shared" si="9"/>
        <v>12</v>
      </c>
      <c r="K2253" s="448"/>
    </row>
    <row r="2254" ht="22.5" customHeight="1">
      <c r="A2254" s="443"/>
      <c r="B2254" s="456"/>
      <c r="C2254" s="471"/>
      <c r="D2254" s="471"/>
      <c r="E2254" s="445"/>
      <c r="F2254" s="445"/>
      <c r="G2254" s="442"/>
      <c r="H2254" s="448"/>
      <c r="I2254" s="447"/>
      <c r="J2254" s="448">
        <f t="shared" si="9"/>
        <v>12</v>
      </c>
      <c r="K2254" s="448"/>
    </row>
    <row r="2255" ht="22.5" customHeight="1">
      <c r="A2255" s="443"/>
      <c r="B2255" s="456"/>
      <c r="C2255" s="471"/>
      <c r="D2255" s="471"/>
      <c r="E2255" s="445"/>
      <c r="F2255" s="445"/>
      <c r="G2255" s="442"/>
      <c r="H2255" s="448"/>
      <c r="I2255" s="447"/>
      <c r="J2255" s="448">
        <f t="shared" si="9"/>
        <v>12</v>
      </c>
      <c r="K2255" s="448"/>
    </row>
    <row r="2256" ht="22.5" customHeight="1">
      <c r="A2256" s="443"/>
      <c r="B2256" s="456"/>
      <c r="C2256" s="471"/>
      <c r="D2256" s="471"/>
      <c r="E2256" s="445"/>
      <c r="F2256" s="445"/>
      <c r="G2256" s="442"/>
      <c r="H2256" s="448"/>
      <c r="I2256" s="447"/>
      <c r="J2256" s="448">
        <f t="shared" si="9"/>
        <v>12</v>
      </c>
      <c r="K2256" s="448"/>
    </row>
    <row r="2257" ht="22.5" customHeight="1">
      <c r="A2257" s="443"/>
      <c r="B2257" s="456"/>
      <c r="C2257" s="471"/>
      <c r="D2257" s="471"/>
      <c r="E2257" s="445"/>
      <c r="F2257" s="445"/>
      <c r="G2257" s="442"/>
      <c r="H2257" s="448"/>
      <c r="I2257" s="447"/>
      <c r="J2257" s="448">
        <f t="shared" si="9"/>
        <v>12</v>
      </c>
      <c r="K2257" s="448"/>
    </row>
    <row r="2258" ht="22.5" customHeight="1">
      <c r="A2258" s="443"/>
      <c r="B2258" s="456"/>
      <c r="C2258" s="471"/>
      <c r="D2258" s="471"/>
      <c r="E2258" s="445"/>
      <c r="F2258" s="445"/>
      <c r="G2258" s="442"/>
      <c r="H2258" s="448"/>
      <c r="I2258" s="447"/>
      <c r="J2258" s="448">
        <f t="shared" si="9"/>
        <v>12</v>
      </c>
      <c r="K2258" s="448"/>
    </row>
    <row r="2259" ht="22.5" customHeight="1">
      <c r="A2259" s="443"/>
      <c r="B2259" s="456"/>
      <c r="C2259" s="471"/>
      <c r="D2259" s="471"/>
      <c r="E2259" s="445"/>
      <c r="F2259" s="445"/>
      <c r="G2259" s="442"/>
      <c r="H2259" s="448"/>
      <c r="I2259" s="447"/>
      <c r="J2259" s="448">
        <f t="shared" si="9"/>
        <v>12</v>
      </c>
      <c r="K2259" s="448"/>
    </row>
    <row r="2260" ht="22.5" customHeight="1">
      <c r="A2260" s="443"/>
      <c r="B2260" s="456"/>
      <c r="C2260" s="471"/>
      <c r="D2260" s="471"/>
      <c r="E2260" s="445"/>
      <c r="F2260" s="445"/>
      <c r="G2260" s="442"/>
      <c r="H2260" s="448"/>
      <c r="I2260" s="447"/>
      <c r="J2260" s="448">
        <f t="shared" si="9"/>
        <v>12</v>
      </c>
      <c r="K2260" s="448"/>
    </row>
    <row r="2261" ht="22.5" customHeight="1">
      <c r="A2261" s="443"/>
      <c r="B2261" s="456"/>
      <c r="C2261" s="471"/>
      <c r="D2261" s="471"/>
      <c r="E2261" s="445"/>
      <c r="F2261" s="445"/>
      <c r="G2261" s="442"/>
      <c r="H2261" s="448"/>
      <c r="I2261" s="447"/>
      <c r="J2261" s="448">
        <f t="shared" si="9"/>
        <v>12</v>
      </c>
      <c r="K2261" s="448"/>
    </row>
    <row r="2262" ht="22.5" customHeight="1">
      <c r="A2262" s="443"/>
      <c r="B2262" s="456"/>
      <c r="C2262" s="471"/>
      <c r="D2262" s="471"/>
      <c r="E2262" s="445"/>
      <c r="F2262" s="445"/>
      <c r="G2262" s="442"/>
      <c r="H2262" s="448"/>
      <c r="I2262" s="447"/>
      <c r="J2262" s="448">
        <f t="shared" si="9"/>
        <v>12</v>
      </c>
      <c r="K2262" s="448"/>
    </row>
    <row r="2263" ht="22.5" customHeight="1">
      <c r="A2263" s="443"/>
      <c r="B2263" s="456"/>
      <c r="C2263" s="471"/>
      <c r="D2263" s="471"/>
      <c r="E2263" s="445"/>
      <c r="F2263" s="445"/>
      <c r="G2263" s="442"/>
      <c r="H2263" s="448"/>
      <c r="I2263" s="447"/>
      <c r="J2263" s="448">
        <f t="shared" si="9"/>
        <v>12</v>
      </c>
      <c r="K2263" s="448"/>
    </row>
    <row r="2264" ht="22.5" customHeight="1">
      <c r="A2264" s="443"/>
      <c r="B2264" s="456"/>
      <c r="C2264" s="471"/>
      <c r="D2264" s="471"/>
      <c r="E2264" s="445"/>
      <c r="F2264" s="445"/>
      <c r="G2264" s="442"/>
      <c r="H2264" s="448"/>
      <c r="I2264" s="447"/>
      <c r="J2264" s="448">
        <f t="shared" si="9"/>
        <v>12</v>
      </c>
      <c r="K2264" s="448"/>
    </row>
    <row r="2265" ht="22.5" customHeight="1">
      <c r="A2265" s="443"/>
      <c r="B2265" s="456"/>
      <c r="C2265" s="471"/>
      <c r="D2265" s="471"/>
      <c r="E2265" s="445"/>
      <c r="F2265" s="445"/>
      <c r="G2265" s="442"/>
      <c r="H2265" s="448"/>
      <c r="I2265" s="447"/>
      <c r="J2265" s="448">
        <f t="shared" si="9"/>
        <v>12</v>
      </c>
      <c r="K2265" s="448"/>
    </row>
    <row r="2266" ht="22.5" customHeight="1">
      <c r="A2266" s="443"/>
      <c r="B2266" s="456"/>
      <c r="C2266" s="471"/>
      <c r="D2266" s="471"/>
      <c r="E2266" s="445"/>
      <c r="F2266" s="445"/>
      <c r="G2266" s="442"/>
      <c r="H2266" s="448"/>
      <c r="I2266" s="447"/>
      <c r="J2266" s="448">
        <f t="shared" si="9"/>
        <v>12</v>
      </c>
      <c r="K2266" s="448"/>
    </row>
    <row r="2267" ht="22.5" customHeight="1">
      <c r="A2267" s="443"/>
      <c r="B2267" s="456"/>
      <c r="C2267" s="471"/>
      <c r="D2267" s="471"/>
      <c r="E2267" s="445"/>
      <c r="F2267" s="445"/>
      <c r="G2267" s="442"/>
      <c r="H2267" s="448"/>
      <c r="I2267" s="447"/>
      <c r="J2267" s="448">
        <f t="shared" si="9"/>
        <v>12</v>
      </c>
      <c r="K2267" s="448"/>
    </row>
    <row r="2268" ht="22.5" customHeight="1">
      <c r="A2268" s="443"/>
      <c r="B2268" s="456"/>
      <c r="C2268" s="471"/>
      <c r="D2268" s="471"/>
      <c r="E2268" s="445"/>
      <c r="F2268" s="445"/>
      <c r="G2268" s="442"/>
      <c r="H2268" s="448"/>
      <c r="I2268" s="447"/>
      <c r="J2268" s="448">
        <f t="shared" si="9"/>
        <v>12</v>
      </c>
      <c r="K2268" s="448"/>
    </row>
    <row r="2269" ht="22.5" customHeight="1">
      <c r="A2269" s="443"/>
      <c r="B2269" s="456"/>
      <c r="C2269" s="471"/>
      <c r="D2269" s="471"/>
      <c r="E2269" s="445"/>
      <c r="F2269" s="445"/>
      <c r="G2269" s="442"/>
      <c r="H2269" s="448"/>
      <c r="I2269" s="447"/>
      <c r="J2269" s="448">
        <f t="shared" si="9"/>
        <v>12</v>
      </c>
      <c r="K2269" s="448"/>
    </row>
    <row r="2270" ht="22.5" customHeight="1">
      <c r="A2270" s="443"/>
      <c r="B2270" s="456"/>
      <c r="C2270" s="471"/>
      <c r="D2270" s="471"/>
      <c r="E2270" s="445"/>
      <c r="F2270" s="445"/>
      <c r="G2270" s="442"/>
      <c r="H2270" s="448"/>
      <c r="I2270" s="447"/>
      <c r="J2270" s="448">
        <f t="shared" si="9"/>
        <v>12</v>
      </c>
      <c r="K2270" s="448"/>
    </row>
    <row r="2271" ht="22.5" customHeight="1">
      <c r="A2271" s="443"/>
      <c r="B2271" s="456"/>
      <c r="C2271" s="471"/>
      <c r="D2271" s="471"/>
      <c r="E2271" s="445"/>
      <c r="F2271" s="445"/>
      <c r="G2271" s="442"/>
      <c r="H2271" s="448"/>
      <c r="I2271" s="447"/>
      <c r="J2271" s="448">
        <f t="shared" si="9"/>
        <v>12</v>
      </c>
      <c r="K2271" s="448"/>
    </row>
    <row r="2272" ht="22.5" customHeight="1">
      <c r="A2272" s="443"/>
      <c r="B2272" s="456"/>
      <c r="C2272" s="471"/>
      <c r="D2272" s="471"/>
      <c r="E2272" s="445"/>
      <c r="F2272" s="445"/>
      <c r="G2272" s="442"/>
      <c r="H2272" s="448"/>
      <c r="I2272" s="447"/>
      <c r="J2272" s="448">
        <f t="shared" si="9"/>
        <v>12</v>
      </c>
      <c r="K2272" s="448"/>
    </row>
    <row r="2273" ht="22.5" customHeight="1">
      <c r="A2273" s="443"/>
      <c r="B2273" s="456"/>
      <c r="C2273" s="471"/>
      <c r="D2273" s="471"/>
      <c r="E2273" s="445"/>
      <c r="F2273" s="445"/>
      <c r="G2273" s="442"/>
      <c r="H2273" s="448"/>
      <c r="I2273" s="447"/>
      <c r="J2273" s="448">
        <f t="shared" si="9"/>
        <v>12</v>
      </c>
      <c r="K2273" s="448"/>
    </row>
    <row r="2274" ht="22.5" customHeight="1">
      <c r="A2274" s="443"/>
      <c r="B2274" s="456"/>
      <c r="C2274" s="471"/>
      <c r="D2274" s="471"/>
      <c r="E2274" s="445"/>
      <c r="F2274" s="445"/>
      <c r="G2274" s="442"/>
      <c r="H2274" s="448"/>
      <c r="I2274" s="447"/>
      <c r="J2274" s="448">
        <f t="shared" si="9"/>
        <v>12</v>
      </c>
      <c r="K2274" s="448"/>
    </row>
    <row r="2275" ht="22.5" customHeight="1">
      <c r="A2275" s="443"/>
      <c r="B2275" s="456"/>
      <c r="C2275" s="471"/>
      <c r="D2275" s="471"/>
      <c r="E2275" s="445"/>
      <c r="F2275" s="445"/>
      <c r="G2275" s="442"/>
      <c r="H2275" s="448"/>
      <c r="I2275" s="447"/>
      <c r="J2275" s="448">
        <f t="shared" si="9"/>
        <v>12</v>
      </c>
      <c r="K2275" s="448"/>
    </row>
    <row r="2276" ht="22.5" customHeight="1">
      <c r="A2276" s="443"/>
      <c r="B2276" s="456"/>
      <c r="C2276" s="471"/>
      <c r="D2276" s="471"/>
      <c r="E2276" s="445"/>
      <c r="F2276" s="445"/>
      <c r="G2276" s="442"/>
      <c r="H2276" s="448"/>
      <c r="I2276" s="447"/>
      <c r="J2276" s="448">
        <f t="shared" si="9"/>
        <v>12</v>
      </c>
      <c r="K2276" s="448"/>
    </row>
    <row r="2277" ht="22.5" customHeight="1">
      <c r="A2277" s="443"/>
      <c r="B2277" s="456"/>
      <c r="C2277" s="471"/>
      <c r="D2277" s="471"/>
      <c r="E2277" s="445"/>
      <c r="F2277" s="445"/>
      <c r="G2277" s="442"/>
      <c r="H2277" s="448"/>
      <c r="I2277" s="447"/>
      <c r="J2277" s="448">
        <f t="shared" si="9"/>
        <v>12</v>
      </c>
      <c r="K2277" s="448"/>
    </row>
    <row r="2278" ht="22.5" customHeight="1">
      <c r="A2278" s="443"/>
      <c r="B2278" s="456"/>
      <c r="C2278" s="471"/>
      <c r="D2278" s="471"/>
      <c r="E2278" s="445"/>
      <c r="F2278" s="445"/>
      <c r="G2278" s="442"/>
      <c r="H2278" s="448"/>
      <c r="I2278" s="447"/>
      <c r="J2278" s="448">
        <f t="shared" si="9"/>
        <v>12</v>
      </c>
      <c r="K2278" s="448"/>
    </row>
    <row r="2279" ht="22.5" customHeight="1">
      <c r="A2279" s="443"/>
      <c r="B2279" s="456"/>
      <c r="C2279" s="471"/>
      <c r="D2279" s="471"/>
      <c r="E2279" s="445"/>
      <c r="F2279" s="445"/>
      <c r="G2279" s="442"/>
      <c r="H2279" s="448"/>
      <c r="I2279" s="447"/>
      <c r="J2279" s="448">
        <f t="shared" si="9"/>
        <v>12</v>
      </c>
      <c r="K2279" s="448"/>
    </row>
    <row r="2280" ht="22.5" customHeight="1">
      <c r="A2280" s="443"/>
      <c r="B2280" s="456"/>
      <c r="C2280" s="471"/>
      <c r="D2280" s="471"/>
      <c r="E2280" s="445"/>
      <c r="F2280" s="445"/>
      <c r="G2280" s="442"/>
      <c r="H2280" s="448"/>
      <c r="I2280" s="447"/>
      <c r="J2280" s="448">
        <f t="shared" si="9"/>
        <v>12</v>
      </c>
      <c r="K2280" s="448"/>
    </row>
    <row r="2281" ht="22.5" customHeight="1">
      <c r="A2281" s="443"/>
      <c r="B2281" s="456"/>
      <c r="C2281" s="471"/>
      <c r="D2281" s="471"/>
      <c r="E2281" s="445"/>
      <c r="F2281" s="445"/>
      <c r="G2281" s="442"/>
      <c r="H2281" s="448"/>
      <c r="I2281" s="447"/>
      <c r="J2281" s="448">
        <f t="shared" si="9"/>
        <v>12</v>
      </c>
      <c r="K2281" s="448"/>
    </row>
    <row r="2282" ht="22.5" customHeight="1">
      <c r="A2282" s="443"/>
      <c r="B2282" s="456"/>
      <c r="C2282" s="471"/>
      <c r="D2282" s="471"/>
      <c r="E2282" s="445"/>
      <c r="F2282" s="445"/>
      <c r="G2282" s="442"/>
      <c r="H2282" s="448"/>
      <c r="I2282" s="447"/>
      <c r="J2282" s="448">
        <f t="shared" si="9"/>
        <v>12</v>
      </c>
      <c r="K2282" s="448"/>
    </row>
    <row r="2283" ht="22.5" customHeight="1">
      <c r="A2283" s="443"/>
      <c r="B2283" s="456"/>
      <c r="C2283" s="471"/>
      <c r="D2283" s="471"/>
      <c r="E2283" s="445"/>
      <c r="F2283" s="445"/>
      <c r="G2283" s="442"/>
      <c r="H2283" s="448"/>
      <c r="I2283" s="447"/>
      <c r="J2283" s="448">
        <f t="shared" si="9"/>
        <v>12</v>
      </c>
      <c r="K2283" s="448"/>
    </row>
    <row r="2284" ht="22.5" customHeight="1">
      <c r="A2284" s="443"/>
      <c r="B2284" s="456"/>
      <c r="C2284" s="471"/>
      <c r="D2284" s="471"/>
      <c r="E2284" s="445"/>
      <c r="F2284" s="445"/>
      <c r="G2284" s="442"/>
      <c r="H2284" s="448"/>
      <c r="I2284" s="447"/>
      <c r="J2284" s="448">
        <f t="shared" si="9"/>
        <v>12</v>
      </c>
      <c r="K2284" s="448"/>
    </row>
    <row r="2285" ht="22.5" customHeight="1">
      <c r="A2285" s="443"/>
      <c r="B2285" s="456"/>
      <c r="C2285" s="471"/>
      <c r="D2285" s="471"/>
      <c r="E2285" s="445"/>
      <c r="F2285" s="445"/>
      <c r="G2285" s="442"/>
      <c r="H2285" s="448"/>
      <c r="I2285" s="447"/>
      <c r="J2285" s="448">
        <f t="shared" si="9"/>
        <v>12</v>
      </c>
      <c r="K2285" s="448"/>
    </row>
    <row r="2286" ht="22.5" customHeight="1">
      <c r="A2286" s="443"/>
      <c r="B2286" s="456"/>
      <c r="C2286" s="471"/>
      <c r="D2286" s="471"/>
      <c r="E2286" s="445"/>
      <c r="F2286" s="445"/>
      <c r="G2286" s="442"/>
      <c r="H2286" s="448"/>
      <c r="I2286" s="447"/>
      <c r="J2286" s="448">
        <f t="shared" si="9"/>
        <v>12</v>
      </c>
      <c r="K2286" s="448"/>
    </row>
    <row r="2287" ht="22.5" customHeight="1">
      <c r="A2287" s="443"/>
      <c r="B2287" s="456"/>
      <c r="C2287" s="471"/>
      <c r="D2287" s="471"/>
      <c r="E2287" s="445"/>
      <c r="F2287" s="445"/>
      <c r="G2287" s="442"/>
      <c r="H2287" s="448"/>
      <c r="I2287" s="447"/>
      <c r="J2287" s="448">
        <f t="shared" si="9"/>
        <v>12</v>
      </c>
      <c r="K2287" s="448"/>
    </row>
    <row r="2288" ht="22.5" customHeight="1">
      <c r="A2288" s="443"/>
      <c r="B2288" s="456"/>
      <c r="C2288" s="471"/>
      <c r="D2288" s="471"/>
      <c r="E2288" s="445"/>
      <c r="F2288" s="445"/>
      <c r="G2288" s="442"/>
      <c r="H2288" s="448"/>
      <c r="I2288" s="447"/>
      <c r="J2288" s="448">
        <f t="shared" si="9"/>
        <v>12</v>
      </c>
      <c r="K2288" s="448"/>
    </row>
    <row r="2289" ht="22.5" customHeight="1">
      <c r="A2289" s="443"/>
      <c r="B2289" s="456"/>
      <c r="C2289" s="471"/>
      <c r="D2289" s="471"/>
      <c r="E2289" s="445"/>
      <c r="F2289" s="445"/>
      <c r="G2289" s="442"/>
      <c r="H2289" s="448"/>
      <c r="I2289" s="447"/>
      <c r="J2289" s="448">
        <f t="shared" si="9"/>
        <v>12</v>
      </c>
      <c r="K2289" s="448"/>
    </row>
    <row r="2290" ht="22.5" customHeight="1">
      <c r="A2290" s="443"/>
      <c r="B2290" s="456"/>
      <c r="C2290" s="471"/>
      <c r="D2290" s="471"/>
      <c r="E2290" s="445"/>
      <c r="F2290" s="445"/>
      <c r="G2290" s="442"/>
      <c r="H2290" s="448"/>
      <c r="I2290" s="447"/>
      <c r="J2290" s="448">
        <f t="shared" si="9"/>
        <v>12</v>
      </c>
      <c r="K2290" s="448"/>
    </row>
    <row r="2291" ht="22.5" customHeight="1">
      <c r="A2291" s="443"/>
      <c r="B2291" s="456"/>
      <c r="C2291" s="471"/>
      <c r="D2291" s="471"/>
      <c r="E2291" s="445"/>
      <c r="F2291" s="445"/>
      <c r="G2291" s="442"/>
      <c r="H2291" s="448"/>
      <c r="I2291" s="447"/>
      <c r="J2291" s="448">
        <f t="shared" si="9"/>
        <v>12</v>
      </c>
      <c r="K2291" s="448"/>
    </row>
    <row r="2292" ht="22.5" customHeight="1">
      <c r="A2292" s="443"/>
      <c r="B2292" s="456"/>
      <c r="C2292" s="471"/>
      <c r="D2292" s="471"/>
      <c r="E2292" s="445"/>
      <c r="F2292" s="445"/>
      <c r="G2292" s="442"/>
      <c r="H2292" s="448"/>
      <c r="I2292" s="447"/>
      <c r="J2292" s="448">
        <f t="shared" si="9"/>
        <v>12</v>
      </c>
      <c r="K2292" s="448"/>
    </row>
    <row r="2293" ht="22.5" customHeight="1">
      <c r="A2293" s="443"/>
      <c r="B2293" s="456"/>
      <c r="C2293" s="471"/>
      <c r="D2293" s="471"/>
      <c r="E2293" s="445"/>
      <c r="F2293" s="445"/>
      <c r="G2293" s="442"/>
      <c r="H2293" s="448"/>
      <c r="I2293" s="447"/>
      <c r="J2293" s="448">
        <f t="shared" si="9"/>
        <v>12</v>
      </c>
      <c r="K2293" s="448"/>
    </row>
    <row r="2294" ht="22.5" customHeight="1">
      <c r="A2294" s="443"/>
      <c r="B2294" s="456"/>
      <c r="C2294" s="471"/>
      <c r="D2294" s="471"/>
      <c r="E2294" s="445"/>
      <c r="F2294" s="445"/>
      <c r="G2294" s="442"/>
      <c r="H2294" s="448"/>
      <c r="I2294" s="447"/>
      <c r="J2294" s="448">
        <f t="shared" si="9"/>
        <v>12</v>
      </c>
      <c r="K2294" s="448"/>
    </row>
    <row r="2295" ht="22.5" customHeight="1">
      <c r="A2295" s="443"/>
      <c r="B2295" s="456"/>
      <c r="C2295" s="471"/>
      <c r="D2295" s="471"/>
      <c r="E2295" s="445"/>
      <c r="F2295" s="445"/>
      <c r="G2295" s="442"/>
      <c r="H2295" s="448"/>
      <c r="I2295" s="447"/>
      <c r="J2295" s="448">
        <f t="shared" si="9"/>
        <v>12</v>
      </c>
      <c r="K2295" s="448"/>
    </row>
    <row r="2296" ht="22.5" customHeight="1">
      <c r="A2296" s="443"/>
      <c r="B2296" s="456"/>
      <c r="C2296" s="471"/>
      <c r="D2296" s="471"/>
      <c r="E2296" s="445"/>
      <c r="F2296" s="445"/>
      <c r="G2296" s="442"/>
      <c r="H2296" s="448"/>
      <c r="I2296" s="447"/>
      <c r="J2296" s="448">
        <f t="shared" si="9"/>
        <v>12</v>
      </c>
      <c r="K2296" s="448"/>
    </row>
    <row r="2297" ht="22.5" customHeight="1">
      <c r="A2297" s="443"/>
      <c r="B2297" s="456"/>
      <c r="C2297" s="471"/>
      <c r="D2297" s="471"/>
      <c r="E2297" s="445"/>
      <c r="F2297" s="445"/>
      <c r="G2297" s="442"/>
      <c r="H2297" s="448"/>
      <c r="I2297" s="447"/>
      <c r="J2297" s="448">
        <f t="shared" si="9"/>
        <v>12</v>
      </c>
      <c r="K2297" s="448"/>
    </row>
    <row r="2298" ht="22.5" customHeight="1">
      <c r="A2298" s="443"/>
      <c r="B2298" s="456"/>
      <c r="C2298" s="471"/>
      <c r="D2298" s="471"/>
      <c r="E2298" s="445"/>
      <c r="F2298" s="445"/>
      <c r="G2298" s="442"/>
      <c r="H2298" s="448"/>
      <c r="I2298" s="447"/>
      <c r="J2298" s="448">
        <f t="shared" si="9"/>
        <v>12</v>
      </c>
      <c r="K2298" s="448"/>
    </row>
    <row r="2299" ht="22.5" customHeight="1">
      <c r="A2299" s="443"/>
      <c r="B2299" s="456"/>
      <c r="C2299" s="471"/>
      <c r="D2299" s="471"/>
      <c r="E2299" s="445"/>
      <c r="F2299" s="445"/>
      <c r="G2299" s="442"/>
      <c r="H2299" s="448"/>
      <c r="I2299" s="447"/>
      <c r="J2299" s="448">
        <f t="shared" si="9"/>
        <v>12</v>
      </c>
      <c r="K2299" s="448"/>
    </row>
    <row r="2300" ht="22.5" customHeight="1">
      <c r="A2300" s="443"/>
      <c r="B2300" s="456"/>
      <c r="C2300" s="471"/>
      <c r="D2300" s="471"/>
      <c r="E2300" s="445"/>
      <c r="F2300" s="445"/>
      <c r="G2300" s="442"/>
      <c r="H2300" s="448"/>
      <c r="I2300" s="447"/>
      <c r="J2300" s="448">
        <f t="shared" si="9"/>
        <v>12</v>
      </c>
      <c r="K2300" s="448"/>
    </row>
    <row r="2301" ht="22.5" customHeight="1">
      <c r="A2301" s="443"/>
      <c r="B2301" s="456"/>
      <c r="C2301" s="471"/>
      <c r="D2301" s="471"/>
      <c r="E2301" s="445"/>
      <c r="F2301" s="445"/>
      <c r="G2301" s="442"/>
      <c r="H2301" s="448"/>
      <c r="I2301" s="447"/>
      <c r="J2301" s="448">
        <f t="shared" si="9"/>
        <v>12</v>
      </c>
      <c r="K2301" s="448"/>
    </row>
    <row r="2302" ht="22.5" customHeight="1">
      <c r="A2302" s="443"/>
      <c r="B2302" s="456"/>
      <c r="C2302" s="471"/>
      <c r="D2302" s="471"/>
      <c r="E2302" s="445"/>
      <c r="F2302" s="445"/>
      <c r="G2302" s="442"/>
      <c r="H2302" s="448"/>
      <c r="I2302" s="447"/>
      <c r="J2302" s="448">
        <f t="shared" si="9"/>
        <v>12</v>
      </c>
      <c r="K2302" s="448"/>
    </row>
    <row r="2303" ht="22.5" customHeight="1">
      <c r="A2303" s="443"/>
      <c r="B2303" s="456"/>
      <c r="C2303" s="471"/>
      <c r="D2303" s="471"/>
      <c r="E2303" s="445"/>
      <c r="F2303" s="445"/>
      <c r="G2303" s="442"/>
      <c r="H2303" s="448"/>
      <c r="I2303" s="447"/>
      <c r="J2303" s="448">
        <f t="shared" si="9"/>
        <v>12</v>
      </c>
      <c r="K2303" s="448"/>
    </row>
    <row r="2304" ht="22.5" customHeight="1">
      <c r="A2304" s="443"/>
      <c r="B2304" s="456"/>
      <c r="C2304" s="471"/>
      <c r="D2304" s="471"/>
      <c r="E2304" s="445"/>
      <c r="F2304" s="445"/>
      <c r="G2304" s="442"/>
      <c r="H2304" s="448"/>
      <c r="I2304" s="447"/>
      <c r="J2304" s="448">
        <f t="shared" si="9"/>
        <v>12</v>
      </c>
      <c r="K2304" s="448"/>
    </row>
    <row r="2305" ht="22.5" customHeight="1">
      <c r="A2305" s="443"/>
      <c r="B2305" s="456"/>
      <c r="C2305" s="471"/>
      <c r="D2305" s="471"/>
      <c r="E2305" s="445"/>
      <c r="F2305" s="445"/>
      <c r="G2305" s="442"/>
      <c r="H2305" s="448"/>
      <c r="I2305" s="447"/>
      <c r="J2305" s="448">
        <f t="shared" si="9"/>
        <v>12</v>
      </c>
      <c r="K2305" s="448"/>
    </row>
    <row r="2306" ht="22.5" customHeight="1">
      <c r="A2306" s="443"/>
      <c r="B2306" s="456"/>
      <c r="C2306" s="471"/>
      <c r="D2306" s="471"/>
      <c r="E2306" s="445"/>
      <c r="F2306" s="445"/>
      <c r="G2306" s="442"/>
      <c r="H2306" s="448"/>
      <c r="I2306" s="447"/>
      <c r="J2306" s="448">
        <f t="shared" si="9"/>
        <v>12</v>
      </c>
      <c r="K2306" s="448"/>
    </row>
    <row r="2307" ht="22.5" customHeight="1">
      <c r="A2307" s="443"/>
      <c r="B2307" s="456"/>
      <c r="C2307" s="471"/>
      <c r="D2307" s="471"/>
      <c r="E2307" s="445"/>
      <c r="F2307" s="445"/>
      <c r="G2307" s="442"/>
      <c r="H2307" s="448"/>
      <c r="I2307" s="447"/>
      <c r="J2307" s="448">
        <f t="shared" si="9"/>
        <v>12</v>
      </c>
      <c r="K2307" s="448"/>
    </row>
    <row r="2308" ht="22.5" customHeight="1">
      <c r="A2308" s="443"/>
      <c r="B2308" s="456"/>
      <c r="C2308" s="471"/>
      <c r="D2308" s="471"/>
      <c r="E2308" s="445"/>
      <c r="F2308" s="445"/>
      <c r="G2308" s="442"/>
      <c r="H2308" s="448"/>
      <c r="I2308" s="447"/>
      <c r="J2308" s="448">
        <f t="shared" si="9"/>
        <v>12</v>
      </c>
      <c r="K2308" s="448"/>
    </row>
    <row r="2309" ht="22.5" customHeight="1">
      <c r="A2309" s="443"/>
      <c r="B2309" s="456"/>
      <c r="C2309" s="471"/>
      <c r="D2309" s="471"/>
      <c r="E2309" s="445"/>
      <c r="F2309" s="445"/>
      <c r="G2309" s="442"/>
      <c r="H2309" s="448"/>
      <c r="I2309" s="447"/>
      <c r="J2309" s="448">
        <f t="shared" si="9"/>
        <v>12</v>
      </c>
      <c r="K2309" s="448"/>
    </row>
    <row r="2310" ht="22.5" customHeight="1">
      <c r="A2310" s="443"/>
      <c r="B2310" s="456"/>
      <c r="C2310" s="471"/>
      <c r="D2310" s="471"/>
      <c r="E2310" s="445"/>
      <c r="F2310" s="445"/>
      <c r="G2310" s="442"/>
      <c r="H2310" s="448"/>
      <c r="I2310" s="447"/>
      <c r="J2310" s="448">
        <f t="shared" si="9"/>
        <v>12</v>
      </c>
      <c r="K2310" s="448"/>
    </row>
    <row r="2311" ht="22.5" customHeight="1">
      <c r="A2311" s="443"/>
      <c r="B2311" s="456"/>
      <c r="C2311" s="471"/>
      <c r="D2311" s="471"/>
      <c r="E2311" s="445"/>
      <c r="F2311" s="445"/>
      <c r="G2311" s="442"/>
      <c r="H2311" s="448"/>
      <c r="I2311" s="447"/>
      <c r="J2311" s="448">
        <f t="shared" si="9"/>
        <v>12</v>
      </c>
      <c r="K2311" s="448"/>
    </row>
    <row r="2312" ht="22.5" customHeight="1">
      <c r="A2312" s="443"/>
      <c r="B2312" s="456"/>
      <c r="C2312" s="471"/>
      <c r="D2312" s="471"/>
      <c r="E2312" s="445"/>
      <c r="F2312" s="445"/>
      <c r="G2312" s="442"/>
      <c r="H2312" s="448"/>
      <c r="I2312" s="447"/>
      <c r="J2312" s="448">
        <f t="shared" si="9"/>
        <v>12</v>
      </c>
      <c r="K2312" s="448"/>
    </row>
    <row r="2313" ht="22.5" customHeight="1">
      <c r="A2313" s="443"/>
      <c r="B2313" s="456"/>
      <c r="C2313" s="471"/>
      <c r="D2313" s="471"/>
      <c r="E2313" s="445"/>
      <c r="F2313" s="445"/>
      <c r="G2313" s="442"/>
      <c r="H2313" s="448"/>
      <c r="I2313" s="447"/>
      <c r="J2313" s="448">
        <f t="shared" si="9"/>
        <v>12</v>
      </c>
      <c r="K2313" s="448"/>
    </row>
    <row r="2314" ht="22.5" customHeight="1">
      <c r="A2314" s="443"/>
      <c r="B2314" s="456"/>
      <c r="C2314" s="471"/>
      <c r="D2314" s="471"/>
      <c r="E2314" s="445"/>
      <c r="F2314" s="445"/>
      <c r="G2314" s="442"/>
      <c r="H2314" s="448"/>
      <c r="I2314" s="447"/>
      <c r="J2314" s="448">
        <f t="shared" si="9"/>
        <v>12</v>
      </c>
      <c r="K2314" s="448"/>
    </row>
    <row r="2315" ht="22.5" customHeight="1">
      <c r="A2315" s="443"/>
      <c r="B2315" s="456"/>
      <c r="C2315" s="471"/>
      <c r="D2315" s="471"/>
      <c r="E2315" s="445"/>
      <c r="F2315" s="445"/>
      <c r="G2315" s="442"/>
      <c r="H2315" s="448"/>
      <c r="I2315" s="447"/>
      <c r="J2315" s="448">
        <f t="shared" si="9"/>
        <v>12</v>
      </c>
      <c r="K2315" s="448"/>
    </row>
    <row r="2316" ht="22.5" customHeight="1">
      <c r="A2316" s="443"/>
      <c r="B2316" s="456"/>
      <c r="C2316" s="471"/>
      <c r="D2316" s="471"/>
      <c r="E2316" s="445"/>
      <c r="F2316" s="445"/>
      <c r="G2316" s="442"/>
      <c r="H2316" s="448"/>
      <c r="I2316" s="447"/>
      <c r="J2316" s="448">
        <f t="shared" si="9"/>
        <v>12</v>
      </c>
      <c r="K2316" s="448"/>
    </row>
    <row r="2317" ht="22.5" customHeight="1">
      <c r="A2317" s="443"/>
      <c r="B2317" s="456"/>
      <c r="C2317" s="471"/>
      <c r="D2317" s="471"/>
      <c r="E2317" s="445"/>
      <c r="F2317" s="445"/>
      <c r="G2317" s="442"/>
      <c r="H2317" s="448"/>
      <c r="I2317" s="447"/>
      <c r="J2317" s="448">
        <f t="shared" si="9"/>
        <v>12</v>
      </c>
      <c r="K2317" s="448"/>
    </row>
    <row r="2318" ht="22.5" customHeight="1">
      <c r="A2318" s="443"/>
      <c r="B2318" s="456"/>
      <c r="C2318" s="471"/>
      <c r="D2318" s="471"/>
      <c r="E2318" s="445"/>
      <c r="F2318" s="445"/>
      <c r="G2318" s="442"/>
      <c r="H2318" s="448"/>
      <c r="I2318" s="447"/>
      <c r="J2318" s="448">
        <f t="shared" si="9"/>
        <v>12</v>
      </c>
      <c r="K2318" s="448"/>
    </row>
    <row r="2319" ht="22.5" customHeight="1">
      <c r="A2319" s="443"/>
      <c r="B2319" s="456"/>
      <c r="C2319" s="471"/>
      <c r="D2319" s="471"/>
      <c r="E2319" s="445"/>
      <c r="F2319" s="445"/>
      <c r="G2319" s="442"/>
      <c r="H2319" s="448"/>
      <c r="I2319" s="447"/>
      <c r="J2319" s="448">
        <f t="shared" si="9"/>
        <v>12</v>
      </c>
      <c r="K2319" s="448"/>
    </row>
    <row r="2320" ht="22.5" customHeight="1">
      <c r="A2320" s="443"/>
      <c r="B2320" s="456"/>
      <c r="C2320" s="471"/>
      <c r="D2320" s="471"/>
      <c r="E2320" s="445"/>
      <c r="F2320" s="445"/>
      <c r="G2320" s="442"/>
      <c r="H2320" s="448"/>
      <c r="I2320" s="447"/>
      <c r="J2320" s="448">
        <f t="shared" si="9"/>
        <v>12</v>
      </c>
      <c r="K2320" s="448"/>
    </row>
    <row r="2321" ht="22.5" customHeight="1">
      <c r="A2321" s="443"/>
      <c r="B2321" s="456"/>
      <c r="C2321" s="471"/>
      <c r="D2321" s="471"/>
      <c r="E2321" s="445"/>
      <c r="F2321" s="445"/>
      <c r="G2321" s="442"/>
      <c r="H2321" s="448"/>
      <c r="I2321" s="447"/>
      <c r="J2321" s="448">
        <f t="shared" si="9"/>
        <v>12</v>
      </c>
      <c r="K2321" s="448"/>
    </row>
    <row r="2322" ht="22.5" customHeight="1">
      <c r="A2322" s="443"/>
      <c r="B2322" s="456"/>
      <c r="C2322" s="471"/>
      <c r="D2322" s="471"/>
      <c r="E2322" s="445"/>
      <c r="F2322" s="445"/>
      <c r="G2322" s="442"/>
      <c r="H2322" s="448"/>
      <c r="I2322" s="447"/>
      <c r="J2322" s="448">
        <f t="shared" si="9"/>
        <v>12</v>
      </c>
      <c r="K2322" s="448"/>
    </row>
    <row r="2323" ht="22.5" customHeight="1">
      <c r="A2323" s="443"/>
      <c r="B2323" s="456"/>
      <c r="C2323" s="471"/>
      <c r="D2323" s="471"/>
      <c r="E2323" s="445"/>
      <c r="F2323" s="445"/>
      <c r="G2323" s="442"/>
      <c r="H2323" s="448"/>
      <c r="I2323" s="447"/>
      <c r="J2323" s="448">
        <f t="shared" si="9"/>
        <v>12</v>
      </c>
      <c r="K2323" s="448"/>
    </row>
    <row r="2324" ht="22.5" customHeight="1">
      <c r="A2324" s="443"/>
      <c r="B2324" s="456"/>
      <c r="C2324" s="471"/>
      <c r="D2324" s="471"/>
      <c r="E2324" s="445"/>
      <c r="F2324" s="445"/>
      <c r="G2324" s="442"/>
      <c r="H2324" s="448"/>
      <c r="I2324" s="447"/>
      <c r="J2324" s="448">
        <f t="shared" si="9"/>
        <v>12</v>
      </c>
      <c r="K2324" s="448"/>
    </row>
    <row r="2325" ht="22.5" customHeight="1">
      <c r="A2325" s="443"/>
      <c r="B2325" s="456"/>
      <c r="C2325" s="471"/>
      <c r="D2325" s="471"/>
      <c r="E2325" s="445"/>
      <c r="F2325" s="445"/>
      <c r="G2325" s="442"/>
      <c r="H2325" s="448"/>
      <c r="I2325" s="447"/>
      <c r="J2325" s="448">
        <f t="shared" si="9"/>
        <v>12</v>
      </c>
      <c r="K2325" s="448"/>
    </row>
    <row r="2326" ht="22.5" customHeight="1">
      <c r="A2326" s="443"/>
      <c r="B2326" s="456"/>
      <c r="C2326" s="471"/>
      <c r="D2326" s="471"/>
      <c r="E2326" s="445"/>
      <c r="F2326" s="445"/>
      <c r="G2326" s="442"/>
      <c r="H2326" s="448"/>
      <c r="I2326" s="447"/>
      <c r="J2326" s="448">
        <f t="shared" si="9"/>
        <v>12</v>
      </c>
      <c r="K2326" s="448"/>
    </row>
    <row r="2327" ht="22.5" customHeight="1">
      <c r="A2327" s="443"/>
      <c r="B2327" s="456"/>
      <c r="C2327" s="471"/>
      <c r="D2327" s="471"/>
      <c r="E2327" s="445"/>
      <c r="F2327" s="445"/>
      <c r="G2327" s="442"/>
      <c r="H2327" s="448"/>
      <c r="I2327" s="447"/>
      <c r="J2327" s="448">
        <f t="shared" si="9"/>
        <v>12</v>
      </c>
      <c r="K2327" s="448"/>
    </row>
    <row r="2328" ht="22.5" customHeight="1">
      <c r="A2328" s="443"/>
      <c r="B2328" s="456"/>
      <c r="C2328" s="471"/>
      <c r="D2328" s="471"/>
      <c r="E2328" s="445"/>
      <c r="F2328" s="445"/>
      <c r="G2328" s="442"/>
      <c r="H2328" s="448"/>
      <c r="I2328" s="447"/>
      <c r="J2328" s="448">
        <f t="shared" si="9"/>
        <v>12</v>
      </c>
      <c r="K2328" s="448"/>
    </row>
    <row r="2329" ht="22.5" customHeight="1">
      <c r="A2329" s="443"/>
      <c r="B2329" s="456"/>
      <c r="C2329" s="471"/>
      <c r="D2329" s="471"/>
      <c r="E2329" s="445"/>
      <c r="F2329" s="445"/>
      <c r="G2329" s="442"/>
      <c r="H2329" s="448"/>
      <c r="I2329" s="447"/>
      <c r="J2329" s="448">
        <f t="shared" si="9"/>
        <v>12</v>
      </c>
      <c r="K2329" s="448"/>
    </row>
    <row r="2330" ht="22.5" customHeight="1">
      <c r="A2330" s="443"/>
      <c r="B2330" s="456"/>
      <c r="C2330" s="471"/>
      <c r="D2330" s="471"/>
      <c r="E2330" s="445"/>
      <c r="F2330" s="445"/>
      <c r="G2330" s="442"/>
      <c r="H2330" s="448"/>
      <c r="I2330" s="447"/>
      <c r="J2330" s="448">
        <f t="shared" si="9"/>
        <v>12</v>
      </c>
      <c r="K2330" s="448"/>
    </row>
    <row r="2331" ht="22.5" customHeight="1">
      <c r="A2331" s="443"/>
      <c r="B2331" s="456"/>
      <c r="C2331" s="471"/>
      <c r="D2331" s="471"/>
      <c r="E2331" s="445"/>
      <c r="F2331" s="445"/>
      <c r="G2331" s="442"/>
      <c r="H2331" s="448"/>
      <c r="I2331" s="447"/>
      <c r="J2331" s="448">
        <f t="shared" si="9"/>
        <v>12</v>
      </c>
      <c r="K2331" s="448"/>
    </row>
    <row r="2332" ht="22.5" customHeight="1">
      <c r="A2332" s="443"/>
      <c r="B2332" s="456"/>
      <c r="C2332" s="471"/>
      <c r="D2332" s="471"/>
      <c r="E2332" s="445"/>
      <c r="F2332" s="445"/>
      <c r="G2332" s="442"/>
      <c r="H2332" s="448"/>
      <c r="I2332" s="447"/>
      <c r="J2332" s="448">
        <f t="shared" si="9"/>
        <v>12</v>
      </c>
      <c r="K2332" s="448"/>
    </row>
    <row r="2333" ht="22.5" customHeight="1">
      <c r="A2333" s="443"/>
      <c r="B2333" s="456"/>
      <c r="C2333" s="471"/>
      <c r="D2333" s="471"/>
      <c r="E2333" s="445"/>
      <c r="F2333" s="445"/>
      <c r="G2333" s="442"/>
      <c r="H2333" s="448"/>
      <c r="I2333" s="447"/>
      <c r="J2333" s="448">
        <f t="shared" si="9"/>
        <v>12</v>
      </c>
      <c r="K2333" s="448"/>
    </row>
    <row r="2334" ht="22.5" customHeight="1">
      <c r="A2334" s="443"/>
      <c r="B2334" s="456"/>
      <c r="C2334" s="471"/>
      <c r="D2334" s="471"/>
      <c r="E2334" s="445"/>
      <c r="F2334" s="445"/>
      <c r="G2334" s="442"/>
      <c r="H2334" s="448"/>
      <c r="I2334" s="447"/>
      <c r="J2334" s="448">
        <f t="shared" si="9"/>
        <v>12</v>
      </c>
      <c r="K2334" s="448"/>
    </row>
    <row r="2335" ht="22.5" customHeight="1">
      <c r="A2335" s="443"/>
      <c r="B2335" s="456"/>
      <c r="C2335" s="471"/>
      <c r="D2335" s="471"/>
      <c r="E2335" s="445"/>
      <c r="F2335" s="445"/>
      <c r="G2335" s="442"/>
      <c r="H2335" s="448"/>
      <c r="I2335" s="447"/>
      <c r="J2335" s="448">
        <f t="shared" si="9"/>
        <v>12</v>
      </c>
      <c r="K2335" s="448"/>
    </row>
    <row r="2336" ht="22.5" customHeight="1">
      <c r="A2336" s="443"/>
      <c r="B2336" s="456"/>
      <c r="C2336" s="471"/>
      <c r="D2336" s="471"/>
      <c r="E2336" s="445"/>
      <c r="F2336" s="445"/>
      <c r="G2336" s="442"/>
      <c r="H2336" s="448"/>
      <c r="I2336" s="447"/>
      <c r="J2336" s="448">
        <f t="shared" si="9"/>
        <v>12</v>
      </c>
      <c r="K2336" s="448"/>
    </row>
    <row r="2337" ht="22.5" customHeight="1">
      <c r="A2337" s="443"/>
      <c r="B2337" s="456"/>
      <c r="C2337" s="471"/>
      <c r="D2337" s="471"/>
      <c r="E2337" s="445"/>
      <c r="F2337" s="445"/>
      <c r="G2337" s="442"/>
      <c r="H2337" s="448"/>
      <c r="I2337" s="447"/>
      <c r="J2337" s="448">
        <f t="shared" si="9"/>
        <v>12</v>
      </c>
      <c r="K2337" s="448"/>
    </row>
    <row r="2338" ht="22.5" customHeight="1">
      <c r="A2338" s="443"/>
      <c r="B2338" s="456"/>
      <c r="C2338" s="471"/>
      <c r="D2338" s="471"/>
      <c r="E2338" s="445"/>
      <c r="F2338" s="445"/>
      <c r="G2338" s="442"/>
      <c r="H2338" s="448"/>
      <c r="I2338" s="447"/>
      <c r="J2338" s="448">
        <f t="shared" si="9"/>
        <v>12</v>
      </c>
      <c r="K2338" s="448"/>
    </row>
    <row r="2339" ht="22.5" customHeight="1">
      <c r="A2339" s="443"/>
      <c r="B2339" s="456"/>
      <c r="C2339" s="471"/>
      <c r="D2339" s="471"/>
      <c r="E2339" s="445"/>
      <c r="F2339" s="445"/>
      <c r="G2339" s="442"/>
      <c r="H2339" s="448"/>
      <c r="I2339" s="447"/>
      <c r="J2339" s="448">
        <f t="shared" si="9"/>
        <v>12</v>
      </c>
      <c r="K2339" s="448"/>
    </row>
    <row r="2340" ht="22.5" customHeight="1">
      <c r="A2340" s="443"/>
      <c r="B2340" s="456"/>
      <c r="C2340" s="471"/>
      <c r="D2340" s="471"/>
      <c r="E2340" s="445"/>
      <c r="F2340" s="445"/>
      <c r="G2340" s="442"/>
      <c r="H2340" s="448"/>
      <c r="I2340" s="447"/>
      <c r="J2340" s="448">
        <f t="shared" si="9"/>
        <v>12</v>
      </c>
      <c r="K2340" s="448"/>
    </row>
    <row r="2341" ht="22.5" customHeight="1">
      <c r="A2341" s="443"/>
      <c r="B2341" s="456"/>
      <c r="C2341" s="471"/>
      <c r="D2341" s="471"/>
      <c r="E2341" s="445"/>
      <c r="F2341" s="445"/>
      <c r="G2341" s="442"/>
      <c r="H2341" s="448"/>
      <c r="I2341" s="447"/>
      <c r="J2341" s="448">
        <f t="shared" si="9"/>
        <v>12</v>
      </c>
      <c r="K2341" s="448"/>
    </row>
    <row r="2342" ht="22.5" customHeight="1">
      <c r="A2342" s="443"/>
      <c r="B2342" s="456"/>
      <c r="C2342" s="471"/>
      <c r="D2342" s="471"/>
      <c r="E2342" s="445"/>
      <c r="F2342" s="445"/>
      <c r="G2342" s="442"/>
      <c r="H2342" s="448"/>
      <c r="I2342" s="447"/>
      <c r="J2342" s="448">
        <f t="shared" si="9"/>
        <v>12</v>
      </c>
      <c r="K2342" s="448"/>
    </row>
    <row r="2343" ht="22.5" customHeight="1">
      <c r="A2343" s="443"/>
      <c r="B2343" s="456"/>
      <c r="C2343" s="471"/>
      <c r="D2343" s="471"/>
      <c r="E2343" s="445"/>
      <c r="F2343" s="445"/>
      <c r="G2343" s="442"/>
      <c r="H2343" s="448"/>
      <c r="I2343" s="447"/>
      <c r="J2343" s="448">
        <f t="shared" si="9"/>
        <v>12</v>
      </c>
      <c r="K2343" s="448"/>
    </row>
    <row r="2344" ht="22.5" customHeight="1">
      <c r="A2344" s="443"/>
      <c r="B2344" s="456"/>
      <c r="C2344" s="471"/>
      <c r="D2344" s="471"/>
      <c r="E2344" s="445"/>
      <c r="F2344" s="445"/>
      <c r="G2344" s="442"/>
      <c r="H2344" s="448"/>
      <c r="I2344" s="447"/>
      <c r="J2344" s="448">
        <f t="shared" si="9"/>
        <v>12</v>
      </c>
      <c r="K2344" s="448"/>
    </row>
    <row r="2345" ht="22.5" customHeight="1">
      <c r="A2345" s="443"/>
      <c r="B2345" s="456"/>
      <c r="C2345" s="471"/>
      <c r="D2345" s="471"/>
      <c r="E2345" s="445"/>
      <c r="F2345" s="445"/>
      <c r="G2345" s="442"/>
      <c r="H2345" s="448"/>
      <c r="I2345" s="447"/>
      <c r="J2345" s="448">
        <f t="shared" si="9"/>
        <v>12</v>
      </c>
      <c r="K2345" s="448"/>
    </row>
    <row r="2346" ht="22.5" customHeight="1">
      <c r="A2346" s="443"/>
      <c r="B2346" s="456"/>
      <c r="C2346" s="471"/>
      <c r="D2346" s="471"/>
      <c r="E2346" s="445"/>
      <c r="F2346" s="445"/>
      <c r="G2346" s="442"/>
      <c r="H2346" s="448"/>
      <c r="I2346" s="447"/>
      <c r="J2346" s="448">
        <f t="shared" si="9"/>
        <v>12</v>
      </c>
      <c r="K2346" s="448"/>
    </row>
    <row r="2347" ht="22.5" customHeight="1">
      <c r="A2347" s="443"/>
      <c r="B2347" s="456"/>
      <c r="C2347" s="471"/>
      <c r="D2347" s="471"/>
      <c r="E2347" s="445"/>
      <c r="F2347" s="445"/>
      <c r="G2347" s="442"/>
      <c r="H2347" s="448"/>
      <c r="I2347" s="447"/>
      <c r="J2347" s="448">
        <f t="shared" si="9"/>
        <v>12</v>
      </c>
      <c r="K2347" s="448"/>
    </row>
    <row r="2348" ht="22.5" customHeight="1">
      <c r="A2348" s="443"/>
      <c r="B2348" s="456"/>
      <c r="C2348" s="471"/>
      <c r="D2348" s="471"/>
      <c r="E2348" s="445"/>
      <c r="F2348" s="445"/>
      <c r="G2348" s="442"/>
      <c r="H2348" s="448"/>
      <c r="I2348" s="447"/>
      <c r="J2348" s="448">
        <f t="shared" si="9"/>
        <v>12</v>
      </c>
      <c r="K2348" s="448"/>
    </row>
    <row r="2349" ht="22.5" customHeight="1">
      <c r="A2349" s="443"/>
      <c r="B2349" s="456"/>
      <c r="C2349" s="471"/>
      <c r="D2349" s="471"/>
      <c r="E2349" s="445"/>
      <c r="F2349" s="445"/>
      <c r="G2349" s="442"/>
      <c r="H2349" s="448"/>
      <c r="I2349" s="447"/>
      <c r="J2349" s="448">
        <f t="shared" si="9"/>
        <v>12</v>
      </c>
      <c r="K2349" s="448"/>
    </row>
    <row r="2350" ht="22.5" customHeight="1">
      <c r="A2350" s="443"/>
      <c r="B2350" s="456"/>
      <c r="C2350" s="471"/>
      <c r="D2350" s="471"/>
      <c r="E2350" s="445"/>
      <c r="F2350" s="445"/>
      <c r="G2350" s="442"/>
      <c r="H2350" s="448"/>
      <c r="I2350" s="447"/>
      <c r="J2350" s="448">
        <f t="shared" si="9"/>
        <v>12</v>
      </c>
      <c r="K2350" s="448"/>
    </row>
    <row r="2351" ht="22.5" customHeight="1">
      <c r="A2351" s="443"/>
      <c r="B2351" s="456"/>
      <c r="C2351" s="471"/>
      <c r="D2351" s="471"/>
      <c r="E2351" s="445"/>
      <c r="F2351" s="445"/>
      <c r="G2351" s="442"/>
      <c r="H2351" s="448"/>
      <c r="I2351" s="447"/>
      <c r="J2351" s="448">
        <f t="shared" si="9"/>
        <v>12</v>
      </c>
      <c r="K2351" s="448"/>
    </row>
    <row r="2352" ht="22.5" customHeight="1">
      <c r="A2352" s="443"/>
      <c r="B2352" s="456"/>
      <c r="C2352" s="471"/>
      <c r="D2352" s="471"/>
      <c r="E2352" s="445"/>
      <c r="F2352" s="445"/>
      <c r="G2352" s="442"/>
      <c r="H2352" s="448"/>
      <c r="I2352" s="447"/>
      <c r="J2352" s="448">
        <f t="shared" si="9"/>
        <v>12</v>
      </c>
      <c r="K2352" s="448"/>
    </row>
    <row r="2353" ht="22.5" customHeight="1">
      <c r="A2353" s="443"/>
      <c r="B2353" s="456"/>
      <c r="C2353" s="471"/>
      <c r="D2353" s="471"/>
      <c r="E2353" s="445"/>
      <c r="F2353" s="445"/>
      <c r="G2353" s="442"/>
      <c r="H2353" s="448"/>
      <c r="I2353" s="447"/>
      <c r="J2353" s="448">
        <f t="shared" si="9"/>
        <v>12</v>
      </c>
      <c r="K2353" s="448"/>
    </row>
    <row r="2354" ht="22.5" customHeight="1">
      <c r="A2354" s="443"/>
      <c r="B2354" s="456"/>
      <c r="C2354" s="471"/>
      <c r="D2354" s="471"/>
      <c r="E2354" s="445"/>
      <c r="F2354" s="445"/>
      <c r="G2354" s="442"/>
      <c r="H2354" s="448"/>
      <c r="I2354" s="447"/>
      <c r="J2354" s="448">
        <f t="shared" si="9"/>
        <v>12</v>
      </c>
      <c r="K2354" s="448"/>
    </row>
    <row r="2355" ht="22.5" customHeight="1">
      <c r="A2355" s="443"/>
      <c r="B2355" s="456"/>
      <c r="C2355" s="471"/>
      <c r="D2355" s="471"/>
      <c r="E2355" s="445"/>
      <c r="F2355" s="445"/>
      <c r="G2355" s="442"/>
      <c r="H2355" s="448"/>
      <c r="I2355" s="447"/>
      <c r="J2355" s="448">
        <f t="shared" si="9"/>
        <v>12</v>
      </c>
      <c r="K2355" s="448"/>
    </row>
    <row r="2356" ht="22.5" customHeight="1">
      <c r="A2356" s="443"/>
      <c r="B2356" s="456"/>
      <c r="C2356" s="471"/>
      <c r="D2356" s="471"/>
      <c r="E2356" s="445"/>
      <c r="F2356" s="445"/>
      <c r="G2356" s="442"/>
      <c r="H2356" s="448"/>
      <c r="I2356" s="447"/>
      <c r="J2356" s="448">
        <f t="shared" si="9"/>
        <v>12</v>
      </c>
      <c r="K2356" s="448"/>
    </row>
    <row r="2357" ht="22.5" customHeight="1">
      <c r="A2357" s="443"/>
      <c r="B2357" s="456"/>
      <c r="C2357" s="471"/>
      <c r="D2357" s="471"/>
      <c r="E2357" s="445"/>
      <c r="F2357" s="445"/>
      <c r="G2357" s="442"/>
      <c r="H2357" s="448"/>
      <c r="I2357" s="447"/>
      <c r="J2357" s="448">
        <f t="shared" si="9"/>
        <v>12</v>
      </c>
      <c r="K2357" s="448"/>
    </row>
    <row r="2358" ht="22.5" customHeight="1">
      <c r="A2358" s="443"/>
      <c r="B2358" s="456"/>
      <c r="C2358" s="471"/>
      <c r="D2358" s="471"/>
      <c r="E2358" s="445"/>
      <c r="F2358" s="445"/>
      <c r="G2358" s="442"/>
      <c r="H2358" s="448"/>
      <c r="I2358" s="447"/>
      <c r="J2358" s="448">
        <f t="shared" si="9"/>
        <v>12</v>
      </c>
      <c r="K2358" s="448"/>
    </row>
    <row r="2359" ht="22.5" customHeight="1">
      <c r="A2359" s="443"/>
      <c r="B2359" s="456"/>
      <c r="C2359" s="471"/>
      <c r="D2359" s="471"/>
      <c r="E2359" s="445"/>
      <c r="F2359" s="445"/>
      <c r="G2359" s="442"/>
      <c r="H2359" s="448"/>
      <c r="I2359" s="447"/>
      <c r="J2359" s="448">
        <f t="shared" si="9"/>
        <v>12</v>
      </c>
      <c r="K2359" s="448"/>
    </row>
    <row r="2360" ht="22.5" customHeight="1">
      <c r="A2360" s="443"/>
      <c r="B2360" s="456"/>
      <c r="C2360" s="471"/>
      <c r="D2360" s="471"/>
      <c r="E2360" s="445"/>
      <c r="F2360" s="445"/>
      <c r="G2360" s="442"/>
      <c r="H2360" s="448"/>
      <c r="I2360" s="447"/>
      <c r="J2360" s="448">
        <f t="shared" si="9"/>
        <v>12</v>
      </c>
      <c r="K2360" s="448"/>
    </row>
    <row r="2361" ht="22.5" customHeight="1">
      <c r="A2361" s="443"/>
      <c r="B2361" s="456"/>
      <c r="C2361" s="471"/>
      <c r="D2361" s="471"/>
      <c r="E2361" s="445"/>
      <c r="F2361" s="445"/>
      <c r="G2361" s="442"/>
      <c r="H2361" s="448"/>
      <c r="I2361" s="447"/>
      <c r="J2361" s="448">
        <f t="shared" si="9"/>
        <v>12</v>
      </c>
      <c r="K2361" s="448"/>
    </row>
    <row r="2362" ht="22.5" customHeight="1">
      <c r="A2362" s="443"/>
      <c r="B2362" s="456"/>
      <c r="C2362" s="471"/>
      <c r="D2362" s="471"/>
      <c r="E2362" s="445"/>
      <c r="F2362" s="445"/>
      <c r="G2362" s="442"/>
      <c r="H2362" s="448"/>
      <c r="I2362" s="447"/>
      <c r="J2362" s="448">
        <f t="shared" si="9"/>
        <v>12</v>
      </c>
      <c r="K2362" s="448"/>
    </row>
    <row r="2363" ht="22.5" customHeight="1">
      <c r="A2363" s="443"/>
      <c r="B2363" s="456"/>
      <c r="C2363" s="471"/>
      <c r="D2363" s="471"/>
      <c r="E2363" s="445"/>
      <c r="F2363" s="445"/>
      <c r="G2363" s="442"/>
      <c r="H2363" s="448"/>
      <c r="I2363" s="447"/>
      <c r="J2363" s="448">
        <f t="shared" si="9"/>
        <v>12</v>
      </c>
      <c r="K2363" s="448"/>
    </row>
    <row r="2364" ht="22.5" customHeight="1">
      <c r="A2364" s="443"/>
      <c r="B2364" s="456"/>
      <c r="C2364" s="471"/>
      <c r="D2364" s="471"/>
      <c r="E2364" s="445"/>
      <c r="F2364" s="445"/>
      <c r="G2364" s="442"/>
      <c r="H2364" s="448"/>
      <c r="I2364" s="447"/>
      <c r="J2364" s="448">
        <f t="shared" si="9"/>
        <v>12</v>
      </c>
      <c r="K2364" s="448"/>
    </row>
    <row r="2365" ht="22.5" customHeight="1">
      <c r="A2365" s="443"/>
      <c r="B2365" s="456"/>
      <c r="C2365" s="471"/>
      <c r="D2365" s="471"/>
      <c r="E2365" s="445"/>
      <c r="F2365" s="445"/>
      <c r="G2365" s="442"/>
      <c r="H2365" s="448"/>
      <c r="I2365" s="447"/>
      <c r="J2365" s="448">
        <f t="shared" si="9"/>
        <v>12</v>
      </c>
      <c r="K2365" s="448"/>
    </row>
    <row r="2366" ht="22.5" customHeight="1">
      <c r="A2366" s="443"/>
      <c r="B2366" s="456"/>
      <c r="C2366" s="471"/>
      <c r="D2366" s="471"/>
      <c r="E2366" s="445"/>
      <c r="F2366" s="445"/>
      <c r="G2366" s="442"/>
      <c r="H2366" s="448"/>
      <c r="I2366" s="447"/>
      <c r="J2366" s="448">
        <f t="shared" si="9"/>
        <v>12</v>
      </c>
      <c r="K2366" s="448"/>
    </row>
    <row r="2367" ht="22.5" customHeight="1">
      <c r="A2367" s="443"/>
      <c r="B2367" s="456"/>
      <c r="C2367" s="471"/>
      <c r="D2367" s="471"/>
      <c r="E2367" s="445"/>
      <c r="F2367" s="445"/>
      <c r="G2367" s="442"/>
      <c r="H2367" s="448"/>
      <c r="I2367" s="447"/>
      <c r="J2367" s="448">
        <f t="shared" si="9"/>
        <v>12</v>
      </c>
      <c r="K2367" s="448"/>
    </row>
    <row r="2368" ht="22.5" customHeight="1">
      <c r="A2368" s="443"/>
      <c r="B2368" s="456"/>
      <c r="C2368" s="471"/>
      <c r="D2368" s="471"/>
      <c r="E2368" s="445"/>
      <c r="F2368" s="445"/>
      <c r="G2368" s="442"/>
      <c r="H2368" s="448"/>
      <c r="I2368" s="447"/>
      <c r="J2368" s="448">
        <f t="shared" si="9"/>
        <v>12</v>
      </c>
      <c r="K2368" s="448"/>
    </row>
    <row r="2369" ht="22.5" customHeight="1">
      <c r="A2369" s="443"/>
      <c r="B2369" s="456"/>
      <c r="C2369" s="471"/>
      <c r="D2369" s="471"/>
      <c r="E2369" s="445"/>
      <c r="F2369" s="445"/>
      <c r="G2369" s="442"/>
      <c r="H2369" s="448"/>
      <c r="I2369" s="447"/>
      <c r="J2369" s="448">
        <f t="shared" si="9"/>
        <v>12</v>
      </c>
      <c r="K2369" s="448"/>
    </row>
    <row r="2370" ht="22.5" customHeight="1">
      <c r="A2370" s="443"/>
      <c r="B2370" s="456"/>
      <c r="C2370" s="471"/>
      <c r="D2370" s="471"/>
      <c r="E2370" s="445"/>
      <c r="F2370" s="445"/>
      <c r="G2370" s="442"/>
      <c r="H2370" s="448"/>
      <c r="I2370" s="447"/>
      <c r="J2370" s="448">
        <f t="shared" si="9"/>
        <v>12</v>
      </c>
      <c r="K2370" s="448"/>
    </row>
    <row r="2371" ht="22.5" customHeight="1">
      <c r="A2371" s="443"/>
      <c r="B2371" s="456"/>
      <c r="C2371" s="471"/>
      <c r="D2371" s="471"/>
      <c r="E2371" s="445"/>
      <c r="F2371" s="445"/>
      <c r="G2371" s="442"/>
      <c r="H2371" s="448"/>
      <c r="I2371" s="447"/>
      <c r="J2371" s="448">
        <f t="shared" si="9"/>
        <v>12</v>
      </c>
      <c r="K2371" s="448"/>
    </row>
    <row r="2372" ht="22.5" customHeight="1">
      <c r="A2372" s="443"/>
      <c r="B2372" s="456"/>
      <c r="C2372" s="471"/>
      <c r="D2372" s="471"/>
      <c r="E2372" s="445"/>
      <c r="F2372" s="445"/>
      <c r="G2372" s="442"/>
      <c r="H2372" s="448"/>
      <c r="I2372" s="447"/>
      <c r="J2372" s="448">
        <f t="shared" si="9"/>
        <v>12</v>
      </c>
      <c r="K2372" s="448"/>
    </row>
    <row r="2373" ht="22.5" customHeight="1">
      <c r="A2373" s="443"/>
      <c r="B2373" s="456"/>
      <c r="C2373" s="471"/>
      <c r="D2373" s="471"/>
      <c r="E2373" s="445"/>
      <c r="F2373" s="445"/>
      <c r="G2373" s="442"/>
      <c r="H2373" s="448"/>
      <c r="I2373" s="447"/>
      <c r="J2373" s="448">
        <f t="shared" si="9"/>
        <v>12</v>
      </c>
      <c r="K2373" s="448"/>
    </row>
    <row r="2374" ht="22.5" customHeight="1">
      <c r="A2374" s="443"/>
      <c r="B2374" s="456"/>
      <c r="C2374" s="471"/>
      <c r="D2374" s="471"/>
      <c r="E2374" s="445"/>
      <c r="F2374" s="445"/>
      <c r="G2374" s="442"/>
      <c r="H2374" s="448"/>
      <c r="I2374" s="447"/>
      <c r="J2374" s="448">
        <f t="shared" si="9"/>
        <v>12</v>
      </c>
      <c r="K2374" s="448"/>
    </row>
    <row r="2375" ht="22.5" customHeight="1">
      <c r="A2375" s="443"/>
      <c r="B2375" s="456"/>
      <c r="C2375" s="471"/>
      <c r="D2375" s="471"/>
      <c r="E2375" s="445"/>
      <c r="F2375" s="445"/>
      <c r="G2375" s="442"/>
      <c r="H2375" s="448"/>
      <c r="I2375" s="447"/>
      <c r="J2375" s="448">
        <f t="shared" si="9"/>
        <v>12</v>
      </c>
      <c r="K2375" s="448"/>
    </row>
    <row r="2376" ht="22.5" customHeight="1">
      <c r="A2376" s="443"/>
      <c r="B2376" s="456"/>
      <c r="C2376" s="471"/>
      <c r="D2376" s="471"/>
      <c r="E2376" s="445"/>
      <c r="F2376" s="445"/>
      <c r="G2376" s="442"/>
      <c r="H2376" s="448"/>
      <c r="I2376" s="447"/>
      <c r="J2376" s="448">
        <f t="shared" si="9"/>
        <v>12</v>
      </c>
      <c r="K2376" s="448"/>
    </row>
    <row r="2377" ht="22.5" customHeight="1">
      <c r="A2377" s="443"/>
      <c r="B2377" s="456"/>
      <c r="C2377" s="471"/>
      <c r="D2377" s="471"/>
      <c r="E2377" s="445"/>
      <c r="F2377" s="445"/>
      <c r="G2377" s="442"/>
      <c r="H2377" s="448"/>
      <c r="I2377" s="447"/>
      <c r="J2377" s="448">
        <f t="shared" si="9"/>
        <v>12</v>
      </c>
      <c r="K2377" s="448"/>
    </row>
    <row r="2378" ht="22.5" customHeight="1">
      <c r="A2378" s="443"/>
      <c r="B2378" s="456"/>
      <c r="C2378" s="471"/>
      <c r="D2378" s="471"/>
      <c r="E2378" s="445"/>
      <c r="F2378" s="445"/>
      <c r="G2378" s="442"/>
      <c r="H2378" s="448"/>
      <c r="I2378" s="447"/>
      <c r="J2378" s="448">
        <f t="shared" si="9"/>
        <v>12</v>
      </c>
      <c r="K2378" s="448"/>
    </row>
    <row r="2379" ht="22.5" customHeight="1">
      <c r="A2379" s="443"/>
      <c r="B2379" s="456"/>
      <c r="C2379" s="471"/>
      <c r="D2379" s="471"/>
      <c r="E2379" s="445"/>
      <c r="F2379" s="445"/>
      <c r="G2379" s="442"/>
      <c r="H2379" s="448"/>
      <c r="I2379" s="447"/>
      <c r="J2379" s="448">
        <f t="shared" si="9"/>
        <v>12</v>
      </c>
      <c r="K2379" s="448"/>
    </row>
    <row r="2380" ht="22.5" customHeight="1">
      <c r="A2380" s="443"/>
      <c r="B2380" s="456"/>
      <c r="C2380" s="471"/>
      <c r="D2380" s="471"/>
      <c r="E2380" s="445"/>
      <c r="F2380" s="445"/>
      <c r="G2380" s="442"/>
      <c r="H2380" s="448"/>
      <c r="I2380" s="447"/>
      <c r="J2380" s="448">
        <f t="shared" si="9"/>
        <v>12</v>
      </c>
      <c r="K2380" s="448"/>
    </row>
    <row r="2381" ht="22.5" customHeight="1">
      <c r="A2381" s="443"/>
      <c r="B2381" s="456"/>
      <c r="C2381" s="471"/>
      <c r="D2381" s="471"/>
      <c r="E2381" s="445"/>
      <c r="F2381" s="445"/>
      <c r="G2381" s="442"/>
      <c r="H2381" s="448"/>
      <c r="I2381" s="447"/>
      <c r="J2381" s="448">
        <f t="shared" si="9"/>
        <v>12</v>
      </c>
      <c r="K2381" s="448"/>
    </row>
    <row r="2382" ht="22.5" customHeight="1">
      <c r="A2382" s="443"/>
      <c r="B2382" s="456"/>
      <c r="C2382" s="471"/>
      <c r="D2382" s="471"/>
      <c r="E2382" s="445"/>
      <c r="F2382" s="445"/>
      <c r="G2382" s="442"/>
      <c r="H2382" s="448"/>
      <c r="I2382" s="447"/>
      <c r="J2382" s="448">
        <f t="shared" si="9"/>
        <v>12</v>
      </c>
      <c r="K2382" s="448"/>
    </row>
    <row r="2383" ht="22.5" customHeight="1">
      <c r="A2383" s="443"/>
      <c r="B2383" s="456"/>
      <c r="C2383" s="471"/>
      <c r="D2383" s="471"/>
      <c r="E2383" s="445"/>
      <c r="F2383" s="445"/>
      <c r="G2383" s="442"/>
      <c r="H2383" s="448"/>
      <c r="I2383" s="447"/>
      <c r="J2383" s="448">
        <f t="shared" si="9"/>
        <v>12</v>
      </c>
      <c r="K2383" s="448"/>
    </row>
    <row r="2384" ht="22.5" customHeight="1">
      <c r="A2384" s="443"/>
      <c r="B2384" s="456"/>
      <c r="C2384" s="471"/>
      <c r="D2384" s="471"/>
      <c r="E2384" s="445"/>
      <c r="F2384" s="445"/>
      <c r="G2384" s="442"/>
      <c r="H2384" s="448"/>
      <c r="I2384" s="447"/>
      <c r="J2384" s="448">
        <f t="shared" si="9"/>
        <v>12</v>
      </c>
      <c r="K2384" s="448"/>
    </row>
    <row r="2385" ht="22.5" customHeight="1">
      <c r="A2385" s="443"/>
      <c r="B2385" s="456"/>
      <c r="C2385" s="471"/>
      <c r="D2385" s="471"/>
      <c r="E2385" s="445"/>
      <c r="F2385" s="445"/>
      <c r="G2385" s="442"/>
      <c r="H2385" s="448"/>
      <c r="I2385" s="447"/>
      <c r="J2385" s="448">
        <f t="shared" si="9"/>
        <v>12</v>
      </c>
      <c r="K2385" s="448"/>
    </row>
    <row r="2386" ht="22.5" customHeight="1">
      <c r="A2386" s="443"/>
      <c r="B2386" s="456"/>
      <c r="C2386" s="471"/>
      <c r="D2386" s="471"/>
      <c r="E2386" s="445"/>
      <c r="F2386" s="445"/>
      <c r="G2386" s="442"/>
      <c r="H2386" s="448"/>
      <c r="I2386" s="447"/>
      <c r="J2386" s="448">
        <f t="shared" si="9"/>
        <v>12</v>
      </c>
      <c r="K2386" s="448"/>
    </row>
    <row r="2387" ht="22.5" customHeight="1">
      <c r="A2387" s="443"/>
      <c r="B2387" s="456"/>
      <c r="C2387" s="471"/>
      <c r="D2387" s="471"/>
      <c r="E2387" s="445"/>
      <c r="F2387" s="445"/>
      <c r="G2387" s="442"/>
      <c r="H2387" s="448"/>
      <c r="I2387" s="447"/>
      <c r="J2387" s="448">
        <f t="shared" si="9"/>
        <v>12</v>
      </c>
      <c r="K2387" s="448"/>
    </row>
    <row r="2388" ht="22.5" customHeight="1">
      <c r="A2388" s="443"/>
      <c r="B2388" s="456"/>
      <c r="C2388" s="471"/>
      <c r="D2388" s="471"/>
      <c r="E2388" s="445"/>
      <c r="F2388" s="445"/>
      <c r="G2388" s="442"/>
      <c r="H2388" s="448"/>
      <c r="I2388" s="447"/>
      <c r="J2388" s="448">
        <f t="shared" si="9"/>
        <v>12</v>
      </c>
      <c r="K2388" s="448"/>
    </row>
    <row r="2389" ht="22.5" customHeight="1">
      <c r="A2389" s="443"/>
      <c r="B2389" s="456"/>
      <c r="C2389" s="471"/>
      <c r="D2389" s="471"/>
      <c r="E2389" s="445"/>
      <c r="F2389" s="445"/>
      <c r="G2389" s="442"/>
      <c r="H2389" s="448"/>
      <c r="I2389" s="447"/>
      <c r="J2389" s="448">
        <f t="shared" si="9"/>
        <v>12</v>
      </c>
      <c r="K2389" s="448"/>
    </row>
    <row r="2390" ht="22.5" customHeight="1">
      <c r="A2390" s="443"/>
      <c r="B2390" s="456"/>
      <c r="C2390" s="471"/>
      <c r="D2390" s="471"/>
      <c r="E2390" s="445"/>
      <c r="F2390" s="445"/>
      <c r="G2390" s="442"/>
      <c r="H2390" s="448"/>
      <c r="I2390" s="447"/>
      <c r="J2390" s="448">
        <f t="shared" si="9"/>
        <v>12</v>
      </c>
      <c r="K2390" s="448"/>
    </row>
    <row r="2391" ht="22.5" customHeight="1">
      <c r="A2391" s="443"/>
      <c r="B2391" s="456"/>
      <c r="C2391" s="471"/>
      <c r="D2391" s="471"/>
      <c r="E2391" s="445"/>
      <c r="F2391" s="445"/>
      <c r="G2391" s="442"/>
      <c r="H2391" s="448"/>
      <c r="I2391" s="447"/>
      <c r="J2391" s="448">
        <f t="shared" si="9"/>
        <v>12</v>
      </c>
      <c r="K2391" s="448"/>
    </row>
    <row r="2392" ht="22.5" customHeight="1">
      <c r="A2392" s="443"/>
      <c r="B2392" s="456"/>
      <c r="C2392" s="471"/>
      <c r="D2392" s="471"/>
      <c r="E2392" s="445"/>
      <c r="F2392" s="445"/>
      <c r="G2392" s="442"/>
      <c r="H2392" s="448"/>
      <c r="I2392" s="447"/>
      <c r="J2392" s="448">
        <f t="shared" si="9"/>
        <v>12</v>
      </c>
      <c r="K2392" s="448"/>
    </row>
    <row r="2393" ht="22.5" customHeight="1">
      <c r="A2393" s="443"/>
      <c r="B2393" s="456"/>
      <c r="C2393" s="471"/>
      <c r="D2393" s="471"/>
      <c r="E2393" s="445"/>
      <c r="F2393" s="445"/>
      <c r="G2393" s="442"/>
      <c r="H2393" s="448"/>
      <c r="I2393" s="447"/>
      <c r="J2393" s="448">
        <f t="shared" si="9"/>
        <v>12</v>
      </c>
      <c r="K2393" s="448"/>
    </row>
    <row r="2394" ht="22.5" customHeight="1">
      <c r="A2394" s="443"/>
      <c r="B2394" s="456"/>
      <c r="C2394" s="471"/>
      <c r="D2394" s="471"/>
      <c r="E2394" s="445"/>
      <c r="F2394" s="445"/>
      <c r="G2394" s="442"/>
      <c r="H2394" s="448"/>
      <c r="I2394" s="447"/>
      <c r="J2394" s="448">
        <f t="shared" si="9"/>
        <v>12</v>
      </c>
      <c r="K2394" s="448"/>
    </row>
    <row r="2395" ht="22.5" customHeight="1">
      <c r="A2395" s="443"/>
      <c r="B2395" s="456"/>
      <c r="C2395" s="471"/>
      <c r="D2395" s="471"/>
      <c r="E2395" s="445"/>
      <c r="F2395" s="445"/>
      <c r="G2395" s="442"/>
      <c r="H2395" s="448"/>
      <c r="I2395" s="447"/>
      <c r="J2395" s="448">
        <f t="shared" si="9"/>
        <v>12</v>
      </c>
      <c r="K2395" s="448"/>
    </row>
    <row r="2396" ht="22.5" customHeight="1">
      <c r="A2396" s="443"/>
      <c r="B2396" s="456"/>
      <c r="C2396" s="471"/>
      <c r="D2396" s="471"/>
      <c r="E2396" s="445"/>
      <c r="F2396" s="445"/>
      <c r="G2396" s="442"/>
      <c r="H2396" s="448"/>
      <c r="I2396" s="447"/>
      <c r="J2396" s="448">
        <f t="shared" si="9"/>
        <v>12</v>
      </c>
      <c r="K2396" s="448"/>
    </row>
    <row r="2397" ht="22.5" customHeight="1">
      <c r="A2397" s="443"/>
      <c r="B2397" s="456"/>
      <c r="C2397" s="471"/>
      <c r="D2397" s="471"/>
      <c r="E2397" s="445"/>
      <c r="F2397" s="445"/>
      <c r="G2397" s="442"/>
      <c r="H2397" s="448"/>
      <c r="I2397" s="447"/>
      <c r="J2397" s="448">
        <f t="shared" si="9"/>
        <v>12</v>
      </c>
      <c r="K2397" s="448"/>
    </row>
    <row r="2398" ht="22.5" customHeight="1">
      <c r="A2398" s="443"/>
      <c r="B2398" s="456"/>
      <c r="C2398" s="471"/>
      <c r="D2398" s="471"/>
      <c r="E2398" s="445"/>
      <c r="F2398" s="445"/>
      <c r="G2398" s="442"/>
      <c r="H2398" s="448"/>
      <c r="I2398" s="447"/>
      <c r="J2398" s="448">
        <f t="shared" si="9"/>
        <v>12</v>
      </c>
      <c r="K2398" s="448"/>
    </row>
    <row r="2399" ht="22.5" customHeight="1">
      <c r="A2399" s="443"/>
      <c r="B2399" s="456"/>
      <c r="C2399" s="471"/>
      <c r="D2399" s="471"/>
      <c r="E2399" s="445"/>
      <c r="F2399" s="445"/>
      <c r="G2399" s="442"/>
      <c r="H2399" s="448"/>
      <c r="I2399" s="447"/>
      <c r="J2399" s="448">
        <f t="shared" si="9"/>
        <v>12</v>
      </c>
      <c r="K2399" s="448"/>
    </row>
    <row r="2400" ht="22.5" customHeight="1">
      <c r="A2400" s="443"/>
      <c r="B2400" s="456"/>
      <c r="C2400" s="471"/>
      <c r="D2400" s="471"/>
      <c r="E2400" s="445"/>
      <c r="F2400" s="445"/>
      <c r="G2400" s="442"/>
      <c r="H2400" s="448"/>
      <c r="I2400" s="447"/>
      <c r="J2400" s="448">
        <f t="shared" si="9"/>
        <v>12</v>
      </c>
      <c r="K2400" s="448"/>
    </row>
    <row r="2401" ht="22.5" customHeight="1">
      <c r="A2401" s="443"/>
      <c r="B2401" s="456"/>
      <c r="C2401" s="471"/>
      <c r="D2401" s="471"/>
      <c r="E2401" s="445"/>
      <c r="F2401" s="445"/>
      <c r="G2401" s="442"/>
      <c r="H2401" s="448"/>
      <c r="I2401" s="447"/>
      <c r="J2401" s="448">
        <f t="shared" si="9"/>
        <v>12</v>
      </c>
      <c r="K2401" s="448"/>
    </row>
    <row r="2402" ht="22.5" customHeight="1">
      <c r="A2402" s="443"/>
      <c r="B2402" s="456"/>
      <c r="C2402" s="471"/>
      <c r="D2402" s="471"/>
      <c r="E2402" s="445"/>
      <c r="F2402" s="445"/>
      <c r="G2402" s="442"/>
      <c r="H2402" s="448"/>
      <c r="I2402" s="447"/>
      <c r="J2402" s="448">
        <f t="shared" si="9"/>
        <v>12</v>
      </c>
      <c r="K2402" s="448"/>
    </row>
    <row r="2403" ht="22.5" customHeight="1">
      <c r="A2403" s="443"/>
      <c r="B2403" s="456"/>
      <c r="C2403" s="471"/>
      <c r="D2403" s="471"/>
      <c r="E2403" s="445"/>
      <c r="F2403" s="445"/>
      <c r="G2403" s="442"/>
      <c r="H2403" s="448"/>
      <c r="I2403" s="447"/>
      <c r="J2403" s="448">
        <f t="shared" si="9"/>
        <v>12</v>
      </c>
      <c r="K2403" s="448"/>
    </row>
    <row r="2404" ht="22.5" customHeight="1">
      <c r="A2404" s="443"/>
      <c r="B2404" s="456"/>
      <c r="C2404" s="471"/>
      <c r="D2404" s="471"/>
      <c r="E2404" s="445"/>
      <c r="F2404" s="445"/>
      <c r="G2404" s="442"/>
      <c r="H2404" s="448"/>
      <c r="I2404" s="447"/>
      <c r="J2404" s="448">
        <f t="shared" si="9"/>
        <v>12</v>
      </c>
      <c r="K2404" s="448"/>
    </row>
    <row r="2405" ht="22.5" customHeight="1">
      <c r="A2405" s="443"/>
      <c r="B2405" s="456"/>
      <c r="C2405" s="471"/>
      <c r="D2405" s="471"/>
      <c r="E2405" s="445"/>
      <c r="F2405" s="445"/>
      <c r="G2405" s="442"/>
      <c r="H2405" s="448"/>
      <c r="I2405" s="447"/>
      <c r="J2405" s="448">
        <f t="shared" si="9"/>
        <v>12</v>
      </c>
      <c r="K2405" s="448"/>
    </row>
    <row r="2406" ht="22.5" customHeight="1">
      <c r="A2406" s="443"/>
      <c r="B2406" s="456"/>
      <c r="C2406" s="471"/>
      <c r="D2406" s="471"/>
      <c r="E2406" s="445"/>
      <c r="F2406" s="445"/>
      <c r="G2406" s="442"/>
      <c r="H2406" s="448"/>
      <c r="I2406" s="447"/>
      <c r="J2406" s="448">
        <f t="shared" si="9"/>
        <v>12</v>
      </c>
      <c r="K2406" s="448"/>
    </row>
    <row r="2407" ht="22.5" customHeight="1">
      <c r="A2407" s="443"/>
      <c r="B2407" s="456"/>
      <c r="C2407" s="471"/>
      <c r="D2407" s="471"/>
      <c r="E2407" s="445"/>
      <c r="F2407" s="445"/>
      <c r="G2407" s="442"/>
      <c r="H2407" s="448"/>
      <c r="I2407" s="447"/>
      <c r="J2407" s="448">
        <f t="shared" si="9"/>
        <v>12</v>
      </c>
      <c r="K2407" s="448"/>
    </row>
    <row r="2408" ht="22.5" customHeight="1">
      <c r="A2408" s="443"/>
      <c r="B2408" s="456"/>
      <c r="C2408" s="471"/>
      <c r="D2408" s="471"/>
      <c r="E2408" s="445"/>
      <c r="F2408" s="445"/>
      <c r="G2408" s="442"/>
      <c r="H2408" s="448"/>
      <c r="I2408" s="447"/>
      <c r="J2408" s="448">
        <f t="shared" si="9"/>
        <v>12</v>
      </c>
      <c r="K2408" s="448"/>
    </row>
    <row r="2409" ht="22.5" customHeight="1">
      <c r="A2409" s="443"/>
      <c r="B2409" s="456"/>
      <c r="C2409" s="471"/>
      <c r="D2409" s="471"/>
      <c r="E2409" s="445"/>
      <c r="F2409" s="445"/>
      <c r="G2409" s="442"/>
      <c r="H2409" s="448"/>
      <c r="I2409" s="447"/>
      <c r="J2409" s="448">
        <f t="shared" si="9"/>
        <v>12</v>
      </c>
      <c r="K2409" s="448"/>
    </row>
    <row r="2410" ht="22.5" customHeight="1">
      <c r="A2410" s="443"/>
      <c r="B2410" s="456"/>
      <c r="C2410" s="471"/>
      <c r="D2410" s="471"/>
      <c r="E2410" s="445"/>
      <c r="F2410" s="445"/>
      <c r="G2410" s="442"/>
      <c r="H2410" s="448"/>
      <c r="I2410" s="447"/>
      <c r="J2410" s="448">
        <f t="shared" si="9"/>
        <v>12</v>
      </c>
      <c r="K2410" s="448"/>
    </row>
    <row r="2411" ht="22.5" customHeight="1">
      <c r="A2411" s="443"/>
      <c r="B2411" s="456"/>
      <c r="C2411" s="471"/>
      <c r="D2411" s="471"/>
      <c r="E2411" s="445"/>
      <c r="F2411" s="445"/>
      <c r="G2411" s="442"/>
      <c r="H2411" s="448"/>
      <c r="I2411" s="447"/>
      <c r="J2411" s="448">
        <f t="shared" si="9"/>
        <v>12</v>
      </c>
      <c r="K2411" s="448"/>
    </row>
    <row r="2412" ht="22.5" customHeight="1">
      <c r="A2412" s="443"/>
      <c r="B2412" s="456"/>
      <c r="C2412" s="471"/>
      <c r="D2412" s="471"/>
      <c r="E2412" s="445"/>
      <c r="F2412" s="445"/>
      <c r="G2412" s="442"/>
      <c r="H2412" s="448"/>
      <c r="I2412" s="447"/>
      <c r="J2412" s="448">
        <f t="shared" si="9"/>
        <v>12</v>
      </c>
      <c r="K2412" s="448"/>
    </row>
    <row r="2413" ht="22.5" customHeight="1">
      <c r="A2413" s="443"/>
      <c r="B2413" s="456"/>
      <c r="C2413" s="471"/>
      <c r="D2413" s="471"/>
      <c r="E2413" s="445"/>
      <c r="F2413" s="445"/>
      <c r="G2413" s="442"/>
      <c r="H2413" s="448"/>
      <c r="I2413" s="447"/>
      <c r="J2413" s="448">
        <f t="shared" si="9"/>
        <v>12</v>
      </c>
      <c r="K2413" s="448"/>
    </row>
    <row r="2414" ht="22.5" customHeight="1">
      <c r="A2414" s="443"/>
      <c r="B2414" s="456"/>
      <c r="C2414" s="471"/>
      <c r="D2414" s="471"/>
      <c r="E2414" s="445"/>
      <c r="F2414" s="445"/>
      <c r="G2414" s="442"/>
      <c r="H2414" s="448"/>
      <c r="I2414" s="447"/>
      <c r="J2414" s="448">
        <f t="shared" si="9"/>
        <v>12</v>
      </c>
      <c r="K2414" s="448"/>
    </row>
    <row r="2415" ht="22.5" customHeight="1">
      <c r="A2415" s="443"/>
      <c r="B2415" s="456"/>
      <c r="C2415" s="471"/>
      <c r="D2415" s="471"/>
      <c r="E2415" s="445"/>
      <c r="F2415" s="445"/>
      <c r="G2415" s="442"/>
      <c r="H2415" s="448"/>
      <c r="I2415" s="447"/>
      <c r="J2415" s="448">
        <f t="shared" si="9"/>
        <v>12</v>
      </c>
      <c r="K2415" s="448"/>
    </row>
    <row r="2416" ht="22.5" customHeight="1">
      <c r="A2416" s="443"/>
      <c r="B2416" s="456"/>
      <c r="C2416" s="471"/>
      <c r="D2416" s="471"/>
      <c r="E2416" s="445"/>
      <c r="F2416" s="445"/>
      <c r="G2416" s="442"/>
      <c r="H2416" s="448"/>
      <c r="I2416" s="447"/>
      <c r="J2416" s="448">
        <f t="shared" si="9"/>
        <v>12</v>
      </c>
      <c r="K2416" s="448"/>
    </row>
    <row r="2417" ht="22.5" customHeight="1">
      <c r="A2417" s="443"/>
      <c r="B2417" s="456"/>
      <c r="C2417" s="471"/>
      <c r="D2417" s="471"/>
      <c r="E2417" s="445"/>
      <c r="F2417" s="445"/>
      <c r="G2417" s="442"/>
      <c r="H2417" s="448"/>
      <c r="I2417" s="447"/>
      <c r="J2417" s="448">
        <f t="shared" si="9"/>
        <v>12</v>
      </c>
      <c r="K2417" s="448"/>
    </row>
    <row r="2418" ht="22.5" customHeight="1">
      <c r="A2418" s="443"/>
      <c r="B2418" s="456"/>
      <c r="C2418" s="471"/>
      <c r="D2418" s="471"/>
      <c r="E2418" s="445"/>
      <c r="F2418" s="445"/>
      <c r="G2418" s="442"/>
      <c r="H2418" s="448"/>
      <c r="I2418" s="447"/>
      <c r="J2418" s="448">
        <f t="shared" si="9"/>
        <v>12</v>
      </c>
      <c r="K2418" s="448"/>
    </row>
  </sheetData>
  <dataValidations>
    <dataValidation type="list" allowBlank="1" showErrorMessage="1" sqref="D3:D2418">
      <formula1>"쿠팡,청소,수리,투어,기타"</formula1>
    </dataValidation>
    <dataValidation type="list" allowBlank="1" showErrorMessage="1" sqref="C3:C2418">
      <formula1>#REF!</formula1>
    </dataValidation>
    <dataValidation type="custom" allowBlank="1" showDropDown="1" sqref="B3:B2418">
      <formula1>OR(NOT(ISERROR(DATEVALUE(B3))), AND(ISNUMBER(B3), LEFT(CELL("format", B3))="D"))</formula1>
    </dataValidation>
    <dataValidation type="list" allowBlank="1" showErrorMessage="1" sqref="A719">
      <formula1>"쿠팡,청소,수리,투어,기타"</formula1>
    </dataValidation>
    <dataValidation type="custom" allowBlank="1" showDropDown="1" sqref="G3:G2418">
      <formula1>AND(ISNUMBER(G3),(NOT(OR(NOT(ISERROR(DATEVALUE(G3))), AND(ISNUMBER(G3), LEFT(CELL("format", G3))="D")))))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5"/>
    <col customWidth="1" min="2" max="2" width="3.5"/>
    <col customWidth="1" min="3" max="3" width="11.0"/>
    <col customWidth="1" min="4" max="4" width="15.38"/>
    <col customWidth="1" min="5" max="5" width="9.0"/>
    <col customWidth="1" min="6" max="6" width="11.5"/>
    <col customWidth="1" min="7" max="7" width="14.0"/>
    <col customWidth="1" min="8" max="8" width="11.0"/>
    <col customWidth="1" min="9" max="9" width="14.0"/>
    <col customWidth="1" min="10" max="10" width="3.25"/>
    <col customWidth="1" min="11" max="11" width="8.38"/>
    <col customWidth="1" min="12" max="12" width="13.75"/>
    <col customWidth="1" min="13" max="13" width="6.63"/>
    <col customWidth="1" min="14" max="14" width="13.38"/>
    <col customWidth="1" min="15" max="15" width="12.38"/>
    <col customWidth="1" min="16" max="16" width="3.63"/>
    <col customWidth="1" min="17" max="17" width="3.5"/>
    <col customWidth="1" min="18" max="18" width="3.38"/>
    <col customWidth="1" hidden="1" min="19" max="19" width="3.38"/>
    <col customWidth="1" hidden="1" min="20" max="20" width="3.5"/>
    <col customWidth="1" hidden="1" min="21" max="24" width="11.0"/>
    <col customWidth="1" hidden="1" min="25" max="25" width="8.5"/>
    <col customWidth="1" hidden="1" min="26" max="26" width="11.0"/>
    <col customWidth="1" hidden="1" min="27" max="27" width="14.38"/>
    <col customWidth="1" hidden="1" min="28" max="28" width="11.0"/>
    <col customWidth="1" hidden="1" min="29" max="29" width="5.5"/>
    <col customWidth="1" hidden="1" min="30" max="30" width="6.5"/>
    <col customWidth="1" hidden="1" min="31" max="32" width="11.0"/>
    <col customWidth="1" hidden="1" min="33" max="34" width="3.5"/>
    <col customWidth="1" min="35" max="35" width="2.0"/>
    <col customWidth="1" min="36" max="36" width="17.13"/>
    <col customWidth="1" min="37" max="37" width="6.5"/>
    <col customWidth="1" min="38" max="38" width="11.0"/>
    <col customWidth="1" min="39" max="39" width="12.63"/>
    <col customWidth="1" min="40" max="40" width="10.63"/>
    <col customWidth="1" min="41" max="41" width="8.0"/>
    <col customWidth="1" min="42" max="42" width="14.38"/>
    <col customWidth="1" min="43" max="43" width="6.13"/>
    <col customWidth="1" min="44" max="44" width="6.88"/>
    <col customWidth="1" min="45" max="45" width="8.63"/>
    <col customWidth="1" min="46" max="46" width="13.25"/>
    <col customWidth="1" min="47" max="47" width="19.38"/>
    <col customWidth="1" min="48" max="48" width="2.88"/>
    <col customWidth="1" min="49" max="49" width="2.63"/>
    <col customWidth="1" min="50" max="51" width="3.38"/>
  </cols>
  <sheetData>
    <row r="1" ht="6.75" customHeight="1">
      <c r="A1" s="503"/>
      <c r="B1" s="503"/>
      <c r="C1" s="503"/>
      <c r="D1" s="503"/>
      <c r="E1" s="503"/>
      <c r="F1" s="503"/>
      <c r="G1" s="503"/>
      <c r="H1" s="503"/>
      <c r="I1" s="503"/>
      <c r="J1" s="503"/>
      <c r="K1" s="503"/>
      <c r="L1" s="503"/>
      <c r="M1" s="503"/>
      <c r="N1" s="503"/>
      <c r="O1" s="503"/>
      <c r="P1" s="503"/>
      <c r="Q1" s="503"/>
      <c r="R1" s="503"/>
      <c r="S1" s="503"/>
      <c r="T1" s="503"/>
      <c r="U1" s="503"/>
      <c r="V1" s="503"/>
      <c r="W1" s="503"/>
      <c r="X1" s="503"/>
      <c r="Y1" s="503"/>
      <c r="Z1" s="503"/>
      <c r="AA1" s="503"/>
      <c r="AB1" s="503"/>
      <c r="AC1" s="503"/>
      <c r="AD1" s="503"/>
      <c r="AE1" s="503"/>
      <c r="AF1" s="503"/>
      <c r="AG1" s="503"/>
      <c r="AH1" s="503"/>
      <c r="AI1" s="503"/>
      <c r="AJ1" s="503"/>
      <c r="AK1" s="503"/>
      <c r="AL1" s="503"/>
      <c r="AM1" s="503"/>
      <c r="AN1" s="503"/>
      <c r="AO1" s="503"/>
      <c r="AP1" s="503"/>
      <c r="AQ1" s="503"/>
      <c r="AR1" s="503"/>
      <c r="AS1" s="503"/>
      <c r="AT1" s="503"/>
      <c r="AU1" s="503"/>
      <c r="AV1" s="503"/>
      <c r="AW1" s="503"/>
      <c r="AX1" s="503"/>
      <c r="AY1" s="503"/>
    </row>
    <row r="2" ht="21.75" customHeight="1">
      <c r="A2" s="503"/>
      <c r="B2" s="504"/>
      <c r="C2" s="504"/>
      <c r="D2" s="504"/>
      <c r="E2" s="504"/>
      <c r="F2" s="504"/>
      <c r="G2" s="504"/>
      <c r="H2" s="504"/>
      <c r="I2" s="504"/>
      <c r="J2" s="504"/>
      <c r="K2" s="504"/>
      <c r="L2" s="505" t="s">
        <v>2687</v>
      </c>
      <c r="M2" s="504"/>
      <c r="N2" s="504"/>
      <c r="O2" s="506" t="str">
        <f>'입주자'!C1</f>
        <v>조경주</v>
      </c>
      <c r="P2" s="504"/>
      <c r="Q2" s="504"/>
      <c r="R2" s="504"/>
      <c r="S2" s="504"/>
      <c r="T2" s="504"/>
      <c r="U2" s="504"/>
      <c r="V2" s="504"/>
      <c r="W2" s="504"/>
      <c r="X2" s="504"/>
      <c r="Y2" s="504"/>
      <c r="Z2" s="504"/>
      <c r="AA2" s="503"/>
      <c r="AB2" s="504"/>
      <c r="AC2" s="504"/>
      <c r="AD2" s="504"/>
      <c r="AE2" s="504"/>
      <c r="AF2" s="504"/>
      <c r="AG2" s="504"/>
      <c r="AH2" s="504"/>
      <c r="AI2" s="504"/>
      <c r="AJ2" s="504"/>
      <c r="AK2" s="504"/>
      <c r="AL2" s="507" t="s">
        <v>2688</v>
      </c>
      <c r="AM2" s="504"/>
      <c r="AN2" s="504"/>
      <c r="AO2" s="504"/>
      <c r="AP2" s="504"/>
      <c r="AQ2" s="504"/>
      <c r="AR2" s="504"/>
      <c r="AS2" s="508"/>
      <c r="AT2" s="508"/>
      <c r="AU2" s="508"/>
      <c r="AV2" s="508"/>
      <c r="AW2" s="508"/>
      <c r="AX2" s="508"/>
      <c r="AY2" s="508"/>
    </row>
    <row r="3" ht="20.25" customHeight="1">
      <c r="A3" s="503"/>
      <c r="B3" s="509"/>
      <c r="C3" s="510"/>
      <c r="D3" s="510"/>
      <c r="E3" s="510"/>
      <c r="F3" s="510"/>
      <c r="G3" s="510"/>
      <c r="H3" s="510"/>
      <c r="I3" s="510"/>
      <c r="J3" s="510"/>
      <c r="K3" s="510"/>
      <c r="L3" s="510"/>
      <c r="M3" s="510"/>
      <c r="N3" s="510"/>
      <c r="O3" s="510"/>
      <c r="P3" s="510"/>
      <c r="Q3" s="511"/>
      <c r="R3" s="503"/>
      <c r="S3" s="503"/>
      <c r="T3" s="503"/>
      <c r="U3" s="503"/>
      <c r="V3" s="512"/>
      <c r="W3" s="503"/>
      <c r="X3" s="503"/>
      <c r="Y3" s="503"/>
      <c r="Z3" s="503"/>
      <c r="AA3" s="503"/>
      <c r="AB3" s="503"/>
      <c r="AC3" s="503"/>
      <c r="AD3" s="503"/>
      <c r="AE3" s="503"/>
      <c r="AF3" s="503"/>
      <c r="AG3" s="503"/>
      <c r="AH3" s="503"/>
      <c r="AI3" s="503"/>
      <c r="AJ3" s="503"/>
      <c r="AK3" s="503"/>
      <c r="AL3" s="503"/>
      <c r="AM3" s="503"/>
      <c r="AN3" s="503"/>
      <c r="AO3" s="503"/>
      <c r="AP3" s="503"/>
      <c r="AQ3" s="503"/>
      <c r="AR3" s="503"/>
      <c r="AS3" s="503"/>
      <c r="AT3" s="503"/>
      <c r="AU3" s="503"/>
      <c r="AV3" s="503"/>
      <c r="AW3" s="503"/>
      <c r="AX3" s="503"/>
      <c r="AY3" s="503"/>
    </row>
    <row r="4" ht="21.75" customHeight="1">
      <c r="A4" s="503"/>
      <c r="B4" s="513"/>
      <c r="C4" s="514" t="s">
        <v>2689</v>
      </c>
      <c r="Q4" s="515"/>
      <c r="R4" s="503"/>
      <c r="S4" s="503"/>
      <c r="T4" s="516"/>
      <c r="U4" s="510"/>
      <c r="V4" s="510"/>
      <c r="W4" s="510"/>
      <c r="X4" s="510"/>
      <c r="Y4" s="510"/>
      <c r="Z4" s="510"/>
      <c r="AA4" s="510"/>
      <c r="AB4" s="510"/>
      <c r="AC4" s="510"/>
      <c r="AD4" s="510"/>
      <c r="AE4" s="510"/>
      <c r="AF4" s="510"/>
      <c r="AG4" s="511"/>
      <c r="AH4" s="503"/>
      <c r="AI4" s="516"/>
      <c r="AJ4" s="510"/>
      <c r="AK4" s="510"/>
      <c r="AL4" s="510"/>
      <c r="AM4" s="510"/>
      <c r="AN4" s="510"/>
      <c r="AO4" s="510"/>
      <c r="AP4" s="510"/>
      <c r="AQ4" s="510"/>
      <c r="AR4" s="510"/>
      <c r="AS4" s="510"/>
      <c r="AT4" s="517"/>
      <c r="AU4" s="510"/>
      <c r="AV4" s="510"/>
      <c r="AW4" s="511"/>
      <c r="AX4" s="503"/>
      <c r="AY4" s="503"/>
    </row>
    <row r="5" ht="12.0" customHeight="1">
      <c r="A5" s="503"/>
      <c r="B5" s="513"/>
      <c r="Q5" s="515"/>
      <c r="R5" s="503"/>
      <c r="S5" s="503"/>
      <c r="T5" s="513"/>
      <c r="U5" s="514" t="s">
        <v>2690</v>
      </c>
      <c r="AG5" s="515"/>
      <c r="AH5" s="503"/>
      <c r="AI5" s="513"/>
      <c r="AJ5" s="508"/>
      <c r="AK5" s="514"/>
      <c r="AL5" s="514"/>
      <c r="AM5" s="514"/>
      <c r="AN5" s="514" t="s">
        <v>2691</v>
      </c>
      <c r="AR5" s="514"/>
      <c r="AS5" s="514"/>
      <c r="AT5" s="514"/>
      <c r="AU5" s="514"/>
      <c r="AV5" s="514"/>
      <c r="AW5" s="515"/>
      <c r="AX5" s="503"/>
      <c r="AY5" s="503"/>
    </row>
    <row r="6" ht="21.75" customHeight="1">
      <c r="A6" s="503"/>
      <c r="B6" s="513"/>
      <c r="C6" s="518" t="s">
        <v>2692</v>
      </c>
      <c r="Q6" s="515"/>
      <c r="R6" s="503"/>
      <c r="S6" s="503"/>
      <c r="T6" s="513"/>
      <c r="AG6" s="515"/>
      <c r="AH6" s="503"/>
      <c r="AI6" s="513"/>
      <c r="AJ6" s="514"/>
      <c r="AK6" s="514"/>
      <c r="AL6" s="514"/>
      <c r="AM6" s="514"/>
      <c r="AR6" s="514"/>
      <c r="AS6" s="514"/>
      <c r="AT6" s="514"/>
      <c r="AU6" s="514"/>
      <c r="AV6" s="514"/>
      <c r="AW6" s="515"/>
      <c r="AX6" s="503"/>
      <c r="AY6" s="503"/>
    </row>
    <row r="7" ht="21.75" customHeight="1">
      <c r="A7" s="503"/>
      <c r="B7" s="513"/>
      <c r="C7" s="503"/>
      <c r="D7" s="503"/>
      <c r="E7" s="503"/>
      <c r="F7" s="503"/>
      <c r="G7" s="503"/>
      <c r="H7" s="503"/>
      <c r="I7" s="503"/>
      <c r="J7" s="503"/>
      <c r="K7" s="503"/>
      <c r="L7" s="503"/>
      <c r="M7" s="503"/>
      <c r="N7" s="503"/>
      <c r="O7" s="503"/>
      <c r="P7" s="503"/>
      <c r="Q7" s="515"/>
      <c r="R7" s="503"/>
      <c r="S7" s="503"/>
      <c r="T7" s="513"/>
      <c r="U7" s="518" t="s">
        <v>2692</v>
      </c>
      <c r="AG7" s="515"/>
      <c r="AH7" s="503"/>
      <c r="AI7" s="513"/>
      <c r="AJ7" s="518" t="s">
        <v>2693</v>
      </c>
      <c r="AW7" s="515"/>
      <c r="AX7" s="503"/>
      <c r="AY7" s="503"/>
    </row>
    <row r="8" ht="15.75" customHeight="1">
      <c r="A8" s="503"/>
      <c r="B8" s="513"/>
      <c r="C8" s="519" t="s">
        <v>2694</v>
      </c>
      <c r="F8" s="503"/>
      <c r="G8" s="520"/>
      <c r="P8" s="503"/>
      <c r="Q8" s="515"/>
      <c r="R8" s="503"/>
      <c r="S8" s="503"/>
      <c r="T8" s="513"/>
      <c r="U8" s="503"/>
      <c r="V8" s="503"/>
      <c r="W8" s="503"/>
      <c r="X8" s="503"/>
      <c r="Y8" s="503"/>
      <c r="Z8" s="503"/>
      <c r="AA8" s="503"/>
      <c r="AB8" s="503"/>
      <c r="AC8" s="503"/>
      <c r="AD8" s="503"/>
      <c r="AE8" s="503"/>
      <c r="AF8" s="503"/>
      <c r="AG8" s="515"/>
      <c r="AH8" s="503"/>
      <c r="AI8" s="513"/>
      <c r="AJ8" s="503"/>
      <c r="AK8" s="503"/>
      <c r="AL8" s="503"/>
      <c r="AM8" s="503"/>
      <c r="AN8" s="503"/>
      <c r="AO8" s="503"/>
      <c r="AP8" s="503"/>
      <c r="AQ8" s="503"/>
      <c r="AR8" s="503"/>
      <c r="AS8" s="503"/>
      <c r="AT8" s="503"/>
      <c r="AU8" s="503"/>
      <c r="AV8" s="503"/>
      <c r="AW8" s="515"/>
      <c r="AX8" s="503"/>
      <c r="AY8" s="503"/>
    </row>
    <row r="9" ht="21.75" customHeight="1">
      <c r="A9" s="503"/>
      <c r="B9" s="513"/>
      <c r="C9" s="521" t="s">
        <v>1247</v>
      </c>
      <c r="D9" s="522" t="str">
        <f>VLOOKUP($O$2,'입주자'!E5:W1013,13,0)</f>
        <v>서울시 영등포구 당산로18길 13 3층</v>
      </c>
      <c r="E9" s="523"/>
      <c r="F9" s="523"/>
      <c r="G9" s="523"/>
      <c r="H9" s="523"/>
      <c r="I9" s="524" t="s">
        <v>0</v>
      </c>
      <c r="J9" s="525" t="str">
        <f>VLOOKUP($O$2,'입주자'!E5:W1013,14,0)</f>
        <v>영삼하우스</v>
      </c>
      <c r="K9" s="526"/>
      <c r="L9" s="526"/>
      <c r="M9" s="526"/>
      <c r="N9" s="526"/>
      <c r="O9" s="526"/>
      <c r="P9" s="527"/>
      <c r="Q9" s="515"/>
      <c r="R9" s="503"/>
      <c r="S9" s="503"/>
      <c r="T9" s="513"/>
      <c r="U9" s="519" t="s">
        <v>2694</v>
      </c>
      <c r="W9" s="503"/>
      <c r="X9" s="503"/>
      <c r="Y9" s="503"/>
      <c r="Z9" s="503"/>
      <c r="AA9" s="503"/>
      <c r="AB9" s="503"/>
      <c r="AC9" s="503"/>
      <c r="AD9" s="503"/>
      <c r="AE9" s="503"/>
      <c r="AF9" s="503"/>
      <c r="AG9" s="515"/>
      <c r="AH9" s="503"/>
      <c r="AI9" s="513"/>
      <c r="AJ9" s="528" t="s">
        <v>2695</v>
      </c>
      <c r="AO9" s="508"/>
      <c r="AP9" s="520"/>
      <c r="AQ9" s="520"/>
      <c r="AW9" s="529"/>
      <c r="AX9" s="503"/>
      <c r="AY9" s="503"/>
    </row>
    <row r="10" ht="21.75" customHeight="1">
      <c r="A10" s="503"/>
      <c r="B10" s="513"/>
      <c r="C10" s="530" t="s">
        <v>2696</v>
      </c>
      <c r="D10" s="522" t="str">
        <f>VLOOKUP($O$2,'입주자'!E5:W1013,15,0)</f>
        <v>C-1) 2인실 왼</v>
      </c>
      <c r="E10" s="523"/>
      <c r="F10" s="531"/>
      <c r="G10" s="523"/>
      <c r="H10" s="532"/>
      <c r="I10" s="533" t="s">
        <v>2697</v>
      </c>
      <c r="J10" s="534" t="str">
        <f>VLOOKUP($O$2,'입주자'!E5:W1013,17,0)</f>
        <v>신한은행 양성원 110-482-586795                        </v>
      </c>
      <c r="K10" s="535"/>
      <c r="L10" s="535"/>
      <c r="M10" s="535"/>
      <c r="N10" s="535"/>
      <c r="O10" s="535"/>
      <c r="P10" s="536"/>
      <c r="Q10" s="515"/>
      <c r="R10" s="503"/>
      <c r="S10" s="503"/>
      <c r="T10" s="513"/>
      <c r="U10" s="537" t="s">
        <v>1247</v>
      </c>
      <c r="V10" s="538" t="str">
        <f>VLOOKUP($O$2,'세입자'!E38:U224,13,0)</f>
        <v>#REF!</v>
      </c>
      <c r="W10" s="523"/>
      <c r="X10" s="523"/>
      <c r="Y10" s="532"/>
      <c r="Z10" s="539"/>
      <c r="AA10" s="539"/>
      <c r="AB10" s="539"/>
      <c r="AC10" s="539"/>
      <c r="AD10" s="539"/>
      <c r="AE10" s="539"/>
      <c r="AF10" s="540"/>
      <c r="AG10" s="515"/>
      <c r="AH10" s="503"/>
      <c r="AI10" s="513"/>
      <c r="AJ10" s="541" t="s">
        <v>2698</v>
      </c>
      <c r="AK10" s="538" t="str">
        <f t="shared" ref="AK10:AK11" si="1">D9</f>
        <v>서울시 영등포구 당산로18길 13 3층</v>
      </c>
      <c r="AL10" s="523"/>
      <c r="AM10" s="523"/>
      <c r="AN10" s="523"/>
      <c r="AO10" s="523"/>
      <c r="AP10" s="523"/>
      <c r="AQ10" s="524" t="s">
        <v>2699</v>
      </c>
      <c r="AR10" s="527"/>
      <c r="AS10" s="542" t="str">
        <f>J9</f>
        <v>영삼하우스</v>
      </c>
      <c r="AT10" s="526"/>
      <c r="AU10" s="526"/>
      <c r="AV10" s="543"/>
      <c r="AW10" s="515"/>
      <c r="AX10" s="503"/>
      <c r="AY10" s="503"/>
    </row>
    <row r="11" ht="28.5" customHeight="1">
      <c r="A11" s="503"/>
      <c r="B11" s="513"/>
      <c r="C11" s="544" t="s">
        <v>2700</v>
      </c>
      <c r="E11" s="545"/>
      <c r="F11" s="545"/>
      <c r="G11" s="545"/>
      <c r="H11" s="545"/>
      <c r="I11" s="545"/>
      <c r="Q11" s="515"/>
      <c r="R11" s="503"/>
      <c r="S11" s="503"/>
      <c r="T11" s="513"/>
      <c r="U11" s="546" t="s">
        <v>2696</v>
      </c>
      <c r="V11" s="547" t="str">
        <f>VLOOKUP($O$2,'세입자'!E38:U224,4,0)</f>
        <v>#REF!</v>
      </c>
      <c r="W11" s="548"/>
      <c r="X11" s="549"/>
      <c r="Y11" s="549"/>
      <c r="Z11" s="549"/>
      <c r="AA11" s="549"/>
      <c r="AB11" s="549"/>
      <c r="AC11" s="549"/>
      <c r="AD11" s="549"/>
      <c r="AE11" s="549"/>
      <c r="AF11" s="550"/>
      <c r="AG11" s="515"/>
      <c r="AH11" s="503"/>
      <c r="AI11" s="513"/>
      <c r="AJ11" s="551" t="s">
        <v>2701</v>
      </c>
      <c r="AK11" s="538" t="str">
        <f t="shared" si="1"/>
        <v>C-1) 2인실 왼</v>
      </c>
      <c r="AL11" s="523"/>
      <c r="AM11" s="532"/>
      <c r="AN11" s="552"/>
      <c r="AO11" s="549"/>
      <c r="AP11" s="553" t="s">
        <v>2702</v>
      </c>
      <c r="AQ11" s="554" t="str">
        <f>J10</f>
        <v>신한은행 양성원 110-482-586795                        </v>
      </c>
      <c r="AR11" s="535"/>
      <c r="AS11" s="535"/>
      <c r="AT11" s="535"/>
      <c r="AU11" s="535"/>
      <c r="AV11" s="536"/>
      <c r="AW11" s="515"/>
      <c r="AX11" s="503"/>
      <c r="AY11" s="503"/>
    </row>
    <row r="12" ht="30.75" customHeight="1">
      <c r="A12" s="503"/>
      <c r="B12" s="513"/>
      <c r="C12" s="519" t="s">
        <v>2703</v>
      </c>
      <c r="K12" s="545"/>
      <c r="L12" s="545"/>
      <c r="M12" s="545"/>
      <c r="N12" s="545"/>
      <c r="O12" s="545"/>
      <c r="P12" s="545"/>
      <c r="Q12" s="515"/>
      <c r="R12" s="503"/>
      <c r="S12" s="503"/>
      <c r="T12" s="513"/>
      <c r="U12" s="544" t="s">
        <v>2700</v>
      </c>
      <c r="W12" s="503"/>
      <c r="X12" s="503"/>
      <c r="Y12" s="503"/>
      <c r="Z12" s="503"/>
      <c r="AA12" s="503"/>
      <c r="AB12" s="503"/>
      <c r="AC12" s="503"/>
      <c r="AD12" s="503"/>
      <c r="AE12" s="503"/>
      <c r="AF12" s="503"/>
      <c r="AG12" s="515"/>
      <c r="AH12" s="503"/>
      <c r="AI12" s="513"/>
      <c r="AJ12" s="528" t="s">
        <v>2704</v>
      </c>
      <c r="AL12" s="503"/>
      <c r="AM12" s="555"/>
      <c r="AW12" s="515"/>
      <c r="AX12" s="503"/>
      <c r="AY12" s="503"/>
    </row>
    <row r="13" ht="21.75" customHeight="1">
      <c r="A13" s="503"/>
      <c r="B13" s="513"/>
      <c r="C13" s="556" t="s">
        <v>1240</v>
      </c>
      <c r="D13" s="557">
        <f>VLOOKUP($O$2,'입주자'!E5:W1013,6,0)</f>
        <v>2000000</v>
      </c>
      <c r="E13" s="558" t="s">
        <v>2705</v>
      </c>
      <c r="F13" s="559"/>
      <c r="G13" s="510"/>
      <c r="H13" s="510"/>
      <c r="I13" s="510"/>
      <c r="J13" s="510"/>
      <c r="K13" s="560" t="s">
        <v>2706</v>
      </c>
      <c r="L13" s="532"/>
      <c r="M13" s="561">
        <f>TODAY()</f>
        <v>46113</v>
      </c>
      <c r="N13" s="523"/>
      <c r="O13" s="562"/>
      <c r="P13" s="563"/>
      <c r="Q13" s="515"/>
      <c r="R13" s="503"/>
      <c r="S13" s="503"/>
      <c r="T13" s="513"/>
      <c r="U13" s="519" t="s">
        <v>2707</v>
      </c>
      <c r="AC13" s="564"/>
      <c r="AD13" s="503"/>
      <c r="AE13" s="503"/>
      <c r="AF13" s="503"/>
      <c r="AG13" s="515"/>
      <c r="AH13" s="503"/>
      <c r="AI13" s="513"/>
      <c r="AJ13" s="519" t="s">
        <v>2708</v>
      </c>
      <c r="AW13" s="515"/>
      <c r="AX13" s="503"/>
      <c r="AY13" s="503"/>
    </row>
    <row r="14" ht="24.75" customHeight="1">
      <c r="A14" s="503"/>
      <c r="B14" s="513"/>
      <c r="C14" s="565" t="s">
        <v>1243</v>
      </c>
      <c r="D14" s="566">
        <f>VLOOKUP($O$2,'입주자'!E5:W1013,9,0)</f>
        <v>370000</v>
      </c>
      <c r="E14" s="558" t="s">
        <v>2709</v>
      </c>
      <c r="F14" s="567">
        <f>VLOOKUP($O$2,'입주자'!E5:W1013,8,0)</f>
        <v>50000</v>
      </c>
      <c r="G14" s="568" t="s">
        <v>2710</v>
      </c>
      <c r="H14" s="568"/>
      <c r="I14" s="568"/>
      <c r="J14" s="569"/>
      <c r="K14" s="560" t="s">
        <v>2711</v>
      </c>
      <c r="L14" s="532"/>
      <c r="M14" s="570">
        <f>'입주자'!E1</f>
        <v>131290.3226</v>
      </c>
      <c r="N14" s="523"/>
      <c r="O14" s="523"/>
      <c r="P14" s="571"/>
      <c r="Q14" s="515"/>
      <c r="R14" s="503"/>
      <c r="S14" s="503"/>
      <c r="T14" s="513"/>
      <c r="U14" s="572" t="s">
        <v>1240</v>
      </c>
      <c r="V14" s="573" t="str">
        <f>VLOOKUP($O$2,'세입자'!E38:U224,5,0)</f>
        <v>#REF!</v>
      </c>
      <c r="W14" s="526"/>
      <c r="X14" s="510"/>
      <c r="Y14" s="510"/>
      <c r="Z14" s="510"/>
      <c r="AA14" s="510"/>
      <c r="AB14" s="510"/>
      <c r="AC14" s="510"/>
      <c r="AD14" s="510"/>
      <c r="AE14" s="510"/>
      <c r="AF14" s="540"/>
      <c r="AG14" s="515"/>
      <c r="AH14" s="503"/>
      <c r="AI14" s="513"/>
      <c r="AJ14" s="574" t="s">
        <v>2712</v>
      </c>
      <c r="AK14" s="575">
        <f t="shared" ref="AK14:AK16" si="2">D13</f>
        <v>2000000</v>
      </c>
      <c r="AL14" s="526"/>
      <c r="AM14" s="509" t="s">
        <v>2713</v>
      </c>
      <c r="AN14" s="526"/>
      <c r="AO14" s="526"/>
      <c r="AP14" s="526"/>
      <c r="AQ14" s="526"/>
      <c r="AR14" s="526"/>
      <c r="AS14" s="526"/>
      <c r="AT14" s="526"/>
      <c r="AU14" s="576"/>
      <c r="AV14" s="577"/>
      <c r="AW14" s="515"/>
      <c r="AX14" s="503"/>
      <c r="AY14" s="503"/>
    </row>
    <row r="15" ht="24.75" customHeight="1">
      <c r="A15" s="503"/>
      <c r="B15" s="513"/>
      <c r="C15" s="578" t="s">
        <v>2714</v>
      </c>
      <c r="D15" s="579">
        <v>500000.0</v>
      </c>
      <c r="E15" s="558" t="s">
        <v>2715</v>
      </c>
      <c r="F15" s="523"/>
      <c r="G15" s="523"/>
      <c r="H15" s="523"/>
      <c r="I15" s="523"/>
      <c r="J15" s="580"/>
      <c r="K15" s="560" t="s">
        <v>2716</v>
      </c>
      <c r="L15" s="532"/>
      <c r="M15" s="581" t="str">
        <f>VLOOKUP($O$2,'입주자'!E5:W1013,16,0)
</f>
        <v>양성원</v>
      </c>
      <c r="N15" s="523"/>
      <c r="O15" s="582" t="s">
        <v>2717</v>
      </c>
      <c r="P15" s="583"/>
      <c r="Q15" s="515"/>
      <c r="R15" s="503"/>
      <c r="S15" s="503"/>
      <c r="T15" s="513"/>
      <c r="U15" s="584" t="s">
        <v>1243</v>
      </c>
      <c r="V15" s="585" t="str">
        <f>VLOOKUP($O$2,'세입자'!E36:U222,6,0)</f>
        <v>#REF!</v>
      </c>
      <c r="W15" s="586" t="s">
        <v>2718</v>
      </c>
      <c r="X15" s="587" t="s">
        <v>2719</v>
      </c>
      <c r="Y15" s="523"/>
      <c r="Z15" s="588" t="str">
        <f>VLOOKUP($O$2,'세입자'!E36:U222,7,0)</f>
        <v>#REF!</v>
      </c>
      <c r="AA15" s="589" t="s">
        <v>2720</v>
      </c>
      <c r="AB15" s="523"/>
      <c r="AC15" s="523"/>
      <c r="AD15" s="523"/>
      <c r="AE15" s="523"/>
      <c r="AF15" s="590"/>
      <c r="AG15" s="515"/>
      <c r="AH15" s="503"/>
      <c r="AI15" s="513"/>
      <c r="AJ15" s="574" t="s">
        <v>2721</v>
      </c>
      <c r="AK15" s="591">
        <f t="shared" si="2"/>
        <v>370000</v>
      </c>
      <c r="AL15" s="523"/>
      <c r="AM15" s="592" t="s">
        <v>2722</v>
      </c>
      <c r="AN15" s="593">
        <f>F14</f>
        <v>50000</v>
      </c>
      <c r="AO15" s="594" t="s">
        <v>2723</v>
      </c>
      <c r="AP15" s="523"/>
      <c r="AQ15" s="523"/>
      <c r="AR15" s="523"/>
      <c r="AS15" s="595" t="s">
        <v>2724</v>
      </c>
      <c r="AT15" s="532"/>
      <c r="AU15" s="596">
        <f>M14</f>
        <v>131290.3226</v>
      </c>
      <c r="AV15" s="532"/>
      <c r="AW15" s="515"/>
      <c r="AX15" s="503"/>
      <c r="AY15" s="503"/>
    </row>
    <row r="16" ht="24.75" customHeight="1">
      <c r="A16" s="503"/>
      <c r="B16" s="513"/>
      <c r="C16" s="508"/>
      <c r="D16" s="597"/>
      <c r="E16" s="598"/>
      <c r="F16" s="598"/>
      <c r="G16" s="598"/>
      <c r="H16" s="598"/>
      <c r="I16" s="598"/>
      <c r="J16" s="598"/>
      <c r="K16" s="558"/>
      <c r="L16" s="523"/>
      <c r="M16" s="523"/>
      <c r="N16" s="523"/>
      <c r="O16" s="523"/>
      <c r="P16" s="598"/>
      <c r="Q16" s="515"/>
      <c r="R16" s="503"/>
      <c r="S16" s="503"/>
      <c r="T16" s="513"/>
      <c r="U16" s="599"/>
      <c r="V16" s="600"/>
      <c r="W16" s="586"/>
      <c r="X16" s="587"/>
      <c r="Y16" s="587"/>
      <c r="Z16" s="587"/>
      <c r="AA16" s="588"/>
      <c r="AB16" s="580"/>
      <c r="AC16" s="580"/>
      <c r="AD16" s="587"/>
      <c r="AE16" s="587"/>
      <c r="AF16" s="582"/>
      <c r="AG16" s="515"/>
      <c r="AH16" s="503"/>
      <c r="AI16" s="513"/>
      <c r="AJ16" s="551" t="s">
        <v>2725</v>
      </c>
      <c r="AK16" s="591">
        <f t="shared" si="2"/>
        <v>500000</v>
      </c>
      <c r="AL16" s="523"/>
      <c r="AM16" s="601" t="s">
        <v>2726</v>
      </c>
      <c r="AN16" s="523"/>
      <c r="AO16" s="523"/>
      <c r="AP16" s="523"/>
      <c r="AQ16" s="523"/>
      <c r="AR16" s="523"/>
      <c r="AS16" s="592" t="s">
        <v>2727</v>
      </c>
      <c r="AT16" s="602" t="str">
        <f>M15</f>
        <v>양성원</v>
      </c>
      <c r="AU16" s="582" t="s">
        <v>2728</v>
      </c>
      <c r="AV16" s="532"/>
      <c r="AW16" s="515"/>
      <c r="AX16" s="503"/>
      <c r="AY16" s="503"/>
    </row>
    <row r="17" ht="22.5" customHeight="1">
      <c r="A17" s="503"/>
      <c r="B17" s="513"/>
      <c r="C17" s="603" t="s">
        <v>1232</v>
      </c>
      <c r="D17" s="604">
        <f>'입주자'!E3</f>
        <v>1631290.323</v>
      </c>
      <c r="E17" s="605" t="s">
        <v>2729</v>
      </c>
      <c r="F17" s="605"/>
      <c r="G17" s="605"/>
      <c r="H17" s="605"/>
      <c r="I17" s="605"/>
      <c r="J17" s="605"/>
      <c r="K17" s="605"/>
      <c r="L17" s="605"/>
      <c r="M17" s="606"/>
      <c r="N17" s="606"/>
      <c r="O17" s="606"/>
      <c r="P17" s="607"/>
      <c r="Q17" s="515"/>
      <c r="R17" s="503"/>
      <c r="S17" s="503"/>
      <c r="T17" s="513"/>
      <c r="U17" s="546" t="s">
        <v>2714</v>
      </c>
      <c r="V17" s="600" t="str">
        <f>VLOOKUP($O$2,'세입자'!E40:U226,8,0)</f>
        <v>#REF!</v>
      </c>
      <c r="W17" s="539" t="s">
        <v>2718</v>
      </c>
      <c r="X17" s="587" t="s">
        <v>2730</v>
      </c>
      <c r="Y17" s="523"/>
      <c r="Z17" s="523"/>
      <c r="AA17" s="588"/>
      <c r="AB17" s="580"/>
      <c r="AC17" s="580"/>
      <c r="AD17" s="546" t="s">
        <v>2716</v>
      </c>
      <c r="AE17" s="587" t="s">
        <v>33</v>
      </c>
      <c r="AF17" s="583" t="s">
        <v>2717</v>
      </c>
      <c r="AG17" s="515"/>
      <c r="AH17" s="503"/>
      <c r="AI17" s="513"/>
      <c r="AJ17" s="608"/>
      <c r="AK17" s="609"/>
      <c r="AL17" s="526"/>
      <c r="AM17" s="587"/>
      <c r="AN17" s="523"/>
      <c r="AO17" s="523"/>
      <c r="AP17" s="588"/>
      <c r="AQ17" s="510"/>
      <c r="AR17" s="510"/>
      <c r="AS17" s="610"/>
      <c r="AT17" s="576"/>
      <c r="AU17" s="611"/>
      <c r="AV17" s="611"/>
      <c r="AW17" s="515"/>
      <c r="AX17" s="503"/>
      <c r="AY17" s="503"/>
    </row>
    <row r="18" ht="23.25" customHeight="1">
      <c r="A18" s="503"/>
      <c r="B18" s="513"/>
      <c r="C18" s="603" t="s">
        <v>1244</v>
      </c>
      <c r="D18" s="604">
        <f>VLOOKUP($O$2,'입주자'!E5:W1013,10,0)</f>
        <v>100000</v>
      </c>
      <c r="E18" s="612" t="s">
        <v>2731</v>
      </c>
      <c r="F18" s="613"/>
      <c r="G18" s="613"/>
      <c r="H18" s="613"/>
      <c r="I18" s="613"/>
      <c r="J18" s="613"/>
      <c r="K18" s="533" t="s">
        <v>2732</v>
      </c>
      <c r="L18" s="614"/>
      <c r="M18" s="615">
        <f>'입주자'!E2</f>
        <v>35483.87097</v>
      </c>
      <c r="N18" s="535"/>
      <c r="O18" s="535"/>
      <c r="P18" s="616"/>
      <c r="Q18" s="515"/>
      <c r="R18" s="503"/>
      <c r="S18" s="503"/>
      <c r="T18" s="513"/>
      <c r="U18" s="546" t="s">
        <v>1232</v>
      </c>
      <c r="V18" s="617" t="str">
        <f>'세입자'!Q3</f>
        <v>#REF!</v>
      </c>
      <c r="W18" s="586" t="s">
        <v>2718</v>
      </c>
      <c r="X18" s="512" t="s">
        <v>2733</v>
      </c>
      <c r="AA18" s="518" t="str">
        <f>VLOOKUP($O$2,'세입자'!E40:U226,2,0)</f>
        <v>#REF!</v>
      </c>
      <c r="AB18" s="552" t="s">
        <v>2734</v>
      </c>
      <c r="AC18" s="618"/>
      <c r="AD18" s="618"/>
      <c r="AE18" s="618"/>
      <c r="AF18" s="619"/>
      <c r="AG18" s="515"/>
      <c r="AH18" s="503"/>
      <c r="AI18" s="513"/>
      <c r="AJ18" s="620" t="s">
        <v>2735</v>
      </c>
      <c r="AK18" s="621">
        <f t="shared" ref="AK18:AK19" si="3">D17</f>
        <v>1631290.323</v>
      </c>
      <c r="AL18" s="536"/>
      <c r="AM18" s="576" t="s">
        <v>2736</v>
      </c>
      <c r="AN18" s="526"/>
      <c r="AO18" s="526"/>
      <c r="AP18" s="526"/>
      <c r="AQ18" s="526"/>
      <c r="AR18" s="526"/>
      <c r="AS18" s="526"/>
      <c r="AT18" s="526"/>
      <c r="AU18" s="526"/>
      <c r="AV18" s="527"/>
      <c r="AW18" s="515"/>
      <c r="AX18" s="503"/>
      <c r="AY18" s="503"/>
    </row>
    <row r="19" ht="23.25" customHeight="1">
      <c r="A19" s="503"/>
      <c r="B19" s="513"/>
      <c r="C19" s="622" t="s">
        <v>2737</v>
      </c>
      <c r="D19" s="618"/>
      <c r="E19" s="618"/>
      <c r="F19" s="618"/>
      <c r="G19" s="618"/>
      <c r="H19" s="618"/>
      <c r="I19" s="618"/>
      <c r="J19" s="618"/>
      <c r="K19" s="618"/>
      <c r="L19" s="618"/>
      <c r="M19" s="618"/>
      <c r="N19" s="618"/>
      <c r="O19" s="618"/>
      <c r="P19" s="618"/>
      <c r="Q19" s="515"/>
      <c r="R19" s="503"/>
      <c r="S19" s="503"/>
      <c r="T19" s="513"/>
      <c r="U19" s="584" t="s">
        <v>1243</v>
      </c>
      <c r="V19" s="585" t="str">
        <f>VLOOKUP($O$2,'세입자'!E40:U226,6,0)</f>
        <v>#REF!</v>
      </c>
      <c r="W19" s="586" t="s">
        <v>2718</v>
      </c>
      <c r="X19" s="587" t="s">
        <v>2719</v>
      </c>
      <c r="Y19" s="523"/>
      <c r="Z19" s="588" t="str">
        <f>VLOOKUP($O$2,'세입자'!E40:U226,7,0)</f>
        <v>#REF!</v>
      </c>
      <c r="AA19" s="589" t="s">
        <v>2720</v>
      </c>
      <c r="AB19" s="523"/>
      <c r="AC19" s="523"/>
      <c r="AD19" s="523"/>
      <c r="AE19" s="523"/>
      <c r="AF19" s="590"/>
      <c r="AG19" s="515"/>
      <c r="AH19" s="503"/>
      <c r="AI19" s="513"/>
      <c r="AJ19" s="623" t="s">
        <v>2738</v>
      </c>
      <c r="AK19" s="624">
        <f t="shared" si="3"/>
        <v>100000</v>
      </c>
      <c r="AL19" s="614"/>
      <c r="AM19" s="625" t="s">
        <v>2739</v>
      </c>
      <c r="AN19" s="535"/>
      <c r="AO19" s="535"/>
      <c r="AP19" s="535"/>
      <c r="AQ19" s="535"/>
      <c r="AR19" s="535"/>
      <c r="AS19" s="536"/>
      <c r="AT19" s="626" t="s">
        <v>2724</v>
      </c>
      <c r="AU19" s="627">
        <f>M18</f>
        <v>35483.87097</v>
      </c>
      <c r="AV19" s="536"/>
      <c r="AW19" s="515"/>
      <c r="AX19" s="503"/>
      <c r="AY19" s="503"/>
    </row>
    <row r="20" ht="28.5" customHeight="1">
      <c r="A20" s="503"/>
      <c r="B20" s="513"/>
      <c r="C20" s="628" t="s">
        <v>2740</v>
      </c>
      <c r="D20" s="527"/>
      <c r="E20" s="519" t="s">
        <v>2741</v>
      </c>
      <c r="P20" s="629"/>
      <c r="Q20" s="515"/>
      <c r="R20" s="503"/>
      <c r="S20" s="503"/>
      <c r="T20" s="513"/>
      <c r="U20" s="630"/>
      <c r="V20" s="576"/>
      <c r="W20" s="519"/>
      <c r="X20" s="519"/>
      <c r="Y20" s="519"/>
      <c r="Z20" s="519"/>
      <c r="AA20" s="519"/>
      <c r="AB20" s="519"/>
      <c r="AC20" s="519"/>
      <c r="AD20" s="519"/>
      <c r="AE20" s="519"/>
      <c r="AF20" s="519"/>
      <c r="AG20" s="515"/>
      <c r="AH20" s="503"/>
      <c r="AI20" s="513"/>
      <c r="AJ20" s="631" t="s">
        <v>2742</v>
      </c>
      <c r="AK20" s="632">
        <f>TODAY()</f>
        <v>46113</v>
      </c>
      <c r="AL20" s="629"/>
      <c r="AM20" s="633"/>
      <c r="AN20" s="633"/>
      <c r="AO20" s="633"/>
      <c r="AP20" s="633"/>
      <c r="AQ20" s="633"/>
      <c r="AR20" s="633"/>
      <c r="AS20" s="633"/>
      <c r="AT20" s="633"/>
      <c r="AU20" s="519"/>
      <c r="AV20" s="519"/>
      <c r="AW20" s="515"/>
      <c r="AX20" s="503"/>
      <c r="AY20" s="503"/>
    </row>
    <row r="21" ht="28.5" customHeight="1">
      <c r="A21" s="503"/>
      <c r="B21" s="513"/>
      <c r="C21" s="634" t="s">
        <v>2743</v>
      </c>
      <c r="D21" s="629"/>
      <c r="E21" s="519" t="s">
        <v>2744</v>
      </c>
      <c r="G21" s="635">
        <f>VLOOKUP($O$2,'입주자'!E5:W1013,2,0)</f>
        <v>46163</v>
      </c>
      <c r="H21" s="512" t="s">
        <v>2745</v>
      </c>
      <c r="I21" s="636">
        <f>VLOOKUP($O$2,'입주자'!E5:W1013,3,0)</f>
        <v>46538</v>
      </c>
      <c r="J21" s="512" t="s">
        <v>2746</v>
      </c>
      <c r="P21" s="629"/>
      <c r="Q21" s="515"/>
      <c r="R21" s="503"/>
      <c r="S21" s="503"/>
      <c r="T21" s="513"/>
      <c r="U21" s="509" t="s">
        <v>2740</v>
      </c>
      <c r="V21" s="526"/>
      <c r="W21" s="519" t="s">
        <v>2741</v>
      </c>
      <c r="AF21" s="629"/>
      <c r="AG21" s="515"/>
      <c r="AH21" s="503"/>
      <c r="AI21" s="513"/>
      <c r="AJ21" s="509" t="s">
        <v>2747</v>
      </c>
      <c r="AK21" s="526"/>
      <c r="AL21" s="542" t="s">
        <v>2748</v>
      </c>
      <c r="AM21" s="526"/>
      <c r="AN21" s="526"/>
      <c r="AO21" s="526"/>
      <c r="AP21" s="526"/>
      <c r="AQ21" s="526"/>
      <c r="AR21" s="526"/>
      <c r="AS21" s="526"/>
      <c r="AT21" s="526"/>
      <c r="AU21" s="526"/>
      <c r="AV21" s="543"/>
      <c r="AW21" s="515"/>
      <c r="AX21" s="503"/>
      <c r="AY21" s="503"/>
    </row>
    <row r="22" ht="36.75" customHeight="1">
      <c r="A22" s="503"/>
      <c r="B22" s="513"/>
      <c r="C22" s="637" t="s">
        <v>2749</v>
      </c>
      <c r="D22" s="629"/>
      <c r="E22" s="519" t="s">
        <v>2750</v>
      </c>
      <c r="P22" s="638"/>
      <c r="Q22" s="515"/>
      <c r="R22" s="503"/>
      <c r="S22" s="503"/>
      <c r="T22" s="513"/>
      <c r="U22" s="630" t="s">
        <v>2743</v>
      </c>
      <c r="W22" s="519" t="s">
        <v>2744</v>
      </c>
      <c r="X22" s="512" t="str">
        <f>VLOOKUP($O$2,'세입자'!E40:U226,2,0)</f>
        <v>#REF!</v>
      </c>
      <c r="Z22" s="512" t="s">
        <v>2745</v>
      </c>
      <c r="AA22" s="512" t="str">
        <f>VLOOKUP($O$2,'세입자'!E40:U226,3,0)</f>
        <v>#REF!</v>
      </c>
      <c r="AB22" s="512" t="s">
        <v>2751</v>
      </c>
      <c r="AF22" s="629"/>
      <c r="AG22" s="515"/>
      <c r="AH22" s="503"/>
      <c r="AI22" s="513"/>
      <c r="AJ22" s="630" t="s">
        <v>2752</v>
      </c>
      <c r="AL22" s="519" t="s">
        <v>2753</v>
      </c>
      <c r="AM22" s="635">
        <f>G21</f>
        <v>46163</v>
      </c>
      <c r="AN22" s="512"/>
      <c r="AO22" s="512" t="s">
        <v>2754</v>
      </c>
      <c r="AP22" s="635">
        <f>I21</f>
        <v>46538</v>
      </c>
      <c r="AQ22" s="512" t="s">
        <v>2755</v>
      </c>
      <c r="AV22" s="639"/>
      <c r="AW22" s="515"/>
      <c r="AX22" s="503"/>
      <c r="AY22" s="503"/>
    </row>
    <row r="23" ht="42.75" customHeight="1">
      <c r="A23" s="503"/>
      <c r="B23" s="513"/>
      <c r="C23" s="640" t="s">
        <v>2756</v>
      </c>
      <c r="D23" s="629"/>
      <c r="E23" s="519" t="s">
        <v>2757</v>
      </c>
      <c r="P23" s="638"/>
      <c r="Q23" s="515"/>
      <c r="R23" s="503"/>
      <c r="S23" s="503"/>
      <c r="T23" s="513"/>
      <c r="U23" s="641" t="s">
        <v>2749</v>
      </c>
      <c r="W23" s="519" t="s">
        <v>2758</v>
      </c>
      <c r="AF23" s="629"/>
      <c r="AG23" s="515"/>
      <c r="AH23" s="503"/>
      <c r="AI23" s="513"/>
      <c r="AJ23" s="641" t="s">
        <v>2759</v>
      </c>
      <c r="AL23" s="519" t="s">
        <v>2760</v>
      </c>
      <c r="AV23" s="638"/>
      <c r="AW23" s="515"/>
      <c r="AX23" s="503"/>
      <c r="AY23" s="503"/>
    </row>
    <row r="24" ht="42.75" customHeight="1">
      <c r="A24" s="503"/>
      <c r="B24" s="513"/>
      <c r="C24" s="642" t="s">
        <v>2761</v>
      </c>
      <c r="D24" s="629"/>
      <c r="E24" s="519" t="s">
        <v>2762</v>
      </c>
      <c r="P24" s="638"/>
      <c r="Q24" s="515"/>
      <c r="R24" s="503"/>
      <c r="S24" s="503"/>
      <c r="T24" s="513"/>
      <c r="U24" s="643" t="s">
        <v>2763</v>
      </c>
      <c r="W24" s="519" t="s">
        <v>2764</v>
      </c>
      <c r="AF24" s="629"/>
      <c r="AG24" s="515"/>
      <c r="AH24" s="644"/>
      <c r="AI24" s="513"/>
      <c r="AJ24" s="643" t="s">
        <v>2765</v>
      </c>
      <c r="AL24" s="519" t="s">
        <v>2766</v>
      </c>
      <c r="AV24" s="638"/>
      <c r="AW24" s="515"/>
      <c r="AX24" s="503"/>
      <c r="AY24" s="503"/>
    </row>
    <row r="25" ht="55.5" customHeight="1">
      <c r="A25" s="512"/>
      <c r="B25" s="513"/>
      <c r="C25" s="642" t="s">
        <v>2767</v>
      </c>
      <c r="D25" s="629"/>
      <c r="E25" s="519" t="s">
        <v>2768</v>
      </c>
      <c r="P25" s="638"/>
      <c r="Q25" s="515"/>
      <c r="R25" s="503"/>
      <c r="S25" s="503"/>
      <c r="T25" s="513"/>
      <c r="U25" s="645" t="s">
        <v>2769</v>
      </c>
      <c r="W25" s="519" t="s">
        <v>2770</v>
      </c>
      <c r="AF25" s="629"/>
      <c r="AG25" s="515"/>
      <c r="AH25" s="503"/>
      <c r="AI25" s="513"/>
      <c r="AJ25" s="641" t="s">
        <v>2771</v>
      </c>
      <c r="AL25" s="519" t="s">
        <v>2772</v>
      </c>
      <c r="AV25" s="638"/>
      <c r="AW25" s="515"/>
      <c r="AX25" s="503"/>
      <c r="AY25" s="503"/>
    </row>
    <row r="26" ht="54.0" customHeight="1">
      <c r="A26" s="503"/>
      <c r="B26" s="513"/>
      <c r="C26" s="642" t="s">
        <v>2773</v>
      </c>
      <c r="D26" s="629"/>
      <c r="E26" s="519" t="s">
        <v>2774</v>
      </c>
      <c r="P26" s="638"/>
      <c r="Q26" s="515"/>
      <c r="R26" s="503"/>
      <c r="S26" s="503"/>
      <c r="T26" s="513"/>
      <c r="U26" s="645" t="s">
        <v>2775</v>
      </c>
      <c r="W26" s="519" t="s">
        <v>2776</v>
      </c>
      <c r="AF26" s="629"/>
      <c r="AG26" s="515"/>
      <c r="AH26" s="503"/>
      <c r="AI26" s="513"/>
      <c r="AJ26" s="645" t="s">
        <v>2777</v>
      </c>
      <c r="AL26" s="519" t="s">
        <v>2778</v>
      </c>
      <c r="AV26" s="638"/>
      <c r="AW26" s="515"/>
      <c r="AX26" s="503"/>
      <c r="AY26" s="503"/>
    </row>
    <row r="27" ht="44.25" customHeight="1">
      <c r="A27" s="503"/>
      <c r="B27" s="513"/>
      <c r="C27" s="646" t="s">
        <v>2779</v>
      </c>
      <c r="D27" s="619"/>
      <c r="E27" s="586" t="s">
        <v>2780</v>
      </c>
      <c r="F27" s="618"/>
      <c r="G27" s="618"/>
      <c r="H27" s="618"/>
      <c r="I27" s="618"/>
      <c r="J27" s="618"/>
      <c r="K27" s="618"/>
      <c r="L27" s="618"/>
      <c r="M27" s="618"/>
      <c r="N27" s="618"/>
      <c r="O27" s="618"/>
      <c r="P27" s="647"/>
      <c r="Q27" s="515"/>
      <c r="R27" s="503"/>
      <c r="S27" s="503"/>
      <c r="T27" s="513"/>
      <c r="U27" s="645" t="s">
        <v>2775</v>
      </c>
      <c r="W27" s="519" t="s">
        <v>2776</v>
      </c>
      <c r="AF27" s="629"/>
      <c r="AG27" s="515"/>
      <c r="AH27" s="503"/>
      <c r="AI27" s="513"/>
      <c r="AJ27" s="645" t="s">
        <v>2781</v>
      </c>
      <c r="AL27" s="519" t="s">
        <v>2782</v>
      </c>
      <c r="AV27" s="638"/>
      <c r="AW27" s="515"/>
      <c r="AX27" s="503"/>
      <c r="AY27" s="503"/>
    </row>
    <row r="28" ht="29.25" customHeight="1">
      <c r="A28" s="503"/>
      <c r="B28" s="513"/>
      <c r="C28" s="648"/>
      <c r="E28" s="503"/>
      <c r="F28" s="503"/>
      <c r="G28" s="503"/>
      <c r="H28" s="503"/>
      <c r="I28" s="503"/>
      <c r="J28" s="503"/>
      <c r="K28" s="503"/>
      <c r="L28" s="503"/>
      <c r="M28" s="503"/>
      <c r="N28" s="503"/>
      <c r="O28" s="503"/>
      <c r="P28" s="503"/>
      <c r="Q28" s="515"/>
      <c r="R28" s="503"/>
      <c r="S28" s="503"/>
      <c r="T28" s="513"/>
      <c r="U28" s="649" t="s">
        <v>2783</v>
      </c>
      <c r="V28" s="618"/>
      <c r="W28" s="586" t="s">
        <v>2784</v>
      </c>
      <c r="X28" s="618"/>
      <c r="Y28" s="618"/>
      <c r="Z28" s="618"/>
      <c r="AA28" s="618"/>
      <c r="AB28" s="618"/>
      <c r="AC28" s="618"/>
      <c r="AD28" s="618"/>
      <c r="AE28" s="618"/>
      <c r="AF28" s="619"/>
      <c r="AG28" s="515"/>
      <c r="AH28" s="503"/>
      <c r="AI28" s="513"/>
      <c r="AJ28" s="649" t="s">
        <v>2785</v>
      </c>
      <c r="AK28" s="618"/>
      <c r="AL28" s="586" t="s">
        <v>2786</v>
      </c>
      <c r="AM28" s="618"/>
      <c r="AN28" s="618"/>
      <c r="AO28" s="618"/>
      <c r="AP28" s="618"/>
      <c r="AQ28" s="618"/>
      <c r="AR28" s="618"/>
      <c r="AS28" s="618"/>
      <c r="AT28" s="618"/>
      <c r="AU28" s="618"/>
      <c r="AV28" s="647"/>
      <c r="AW28" s="515"/>
      <c r="AX28" s="503"/>
      <c r="AY28" s="503"/>
    </row>
    <row r="29" ht="18.0" customHeight="1">
      <c r="A29" s="503"/>
      <c r="B29" s="513"/>
      <c r="C29" s="519" t="s">
        <v>2787</v>
      </c>
      <c r="E29" s="503"/>
      <c r="F29" s="503"/>
      <c r="G29" s="503"/>
      <c r="H29" s="503"/>
      <c r="I29" s="503"/>
      <c r="J29" s="503"/>
      <c r="K29" s="503"/>
      <c r="L29" s="503"/>
      <c r="M29" s="503"/>
      <c r="N29" s="503"/>
      <c r="O29" s="503"/>
      <c r="P29" s="503"/>
      <c r="Q29" s="515"/>
      <c r="R29" s="503"/>
      <c r="S29" s="503"/>
      <c r="T29" s="513"/>
      <c r="U29" s="650"/>
      <c r="W29" s="503"/>
      <c r="X29" s="503"/>
      <c r="Y29" s="503"/>
      <c r="Z29" s="503"/>
      <c r="AA29" s="503"/>
      <c r="AB29" s="503"/>
      <c r="AC29" s="503"/>
      <c r="AD29" s="503"/>
      <c r="AE29" s="503"/>
      <c r="AF29" s="503"/>
      <c r="AG29" s="515"/>
      <c r="AH29" s="503"/>
      <c r="AI29" s="513"/>
      <c r="AJ29" s="650"/>
      <c r="AL29" s="503"/>
      <c r="AM29" s="503"/>
      <c r="AN29" s="503"/>
      <c r="AO29" s="503"/>
      <c r="AP29" s="503"/>
      <c r="AQ29" s="503"/>
      <c r="AR29" s="503"/>
      <c r="AS29" s="503"/>
      <c r="AT29" s="503"/>
      <c r="AU29" s="503"/>
      <c r="AV29" s="503"/>
      <c r="AW29" s="515"/>
      <c r="AX29" s="503"/>
      <c r="AY29" s="503"/>
    </row>
    <row r="30" ht="48.0" customHeight="1">
      <c r="A30" s="503"/>
      <c r="B30" s="513"/>
      <c r="C30" s="519" t="s">
        <v>2788</v>
      </c>
      <c r="Q30" s="638"/>
      <c r="R30" s="503"/>
      <c r="S30" s="503"/>
      <c r="T30" s="513"/>
      <c r="U30" s="519" t="s">
        <v>2787</v>
      </c>
      <c r="W30" s="503"/>
      <c r="X30" s="503"/>
      <c r="Y30" s="503"/>
      <c r="Z30" s="503"/>
      <c r="AA30" s="503"/>
      <c r="AB30" s="503"/>
      <c r="AC30" s="503"/>
      <c r="AD30" s="503"/>
      <c r="AE30" s="503"/>
      <c r="AF30" s="503"/>
      <c r="AG30" s="515"/>
      <c r="AH30" s="503"/>
      <c r="AI30" s="513"/>
      <c r="AJ30" s="528" t="s">
        <v>2789</v>
      </c>
      <c r="AN30" s="503"/>
      <c r="AO30" s="503"/>
      <c r="AP30" s="503"/>
      <c r="AQ30" s="503"/>
      <c r="AR30" s="503"/>
      <c r="AS30" s="503"/>
      <c r="AT30" s="503"/>
      <c r="AU30" s="503"/>
      <c r="AV30" s="503"/>
      <c r="AW30" s="515"/>
      <c r="AX30" s="503"/>
      <c r="AY30" s="503"/>
    </row>
    <row r="31" ht="40.5" customHeight="1">
      <c r="A31" s="503"/>
      <c r="B31" s="513"/>
      <c r="C31" s="519" t="s">
        <v>2790</v>
      </c>
      <c r="Q31" s="515"/>
      <c r="R31" s="503"/>
      <c r="S31" s="503"/>
      <c r="T31" s="513"/>
      <c r="U31" s="519" t="s">
        <v>2791</v>
      </c>
      <c r="AG31" s="638"/>
      <c r="AH31" s="503"/>
      <c r="AI31" s="513"/>
      <c r="AJ31" s="519" t="s">
        <v>2792</v>
      </c>
      <c r="AW31" s="638"/>
      <c r="AX31" s="503"/>
      <c r="AY31" s="503"/>
    </row>
    <row r="32" ht="51.75" customHeight="1">
      <c r="A32" s="503"/>
      <c r="B32" s="513"/>
      <c r="C32" s="519" t="s">
        <v>2793</v>
      </c>
      <c r="Q32" s="515"/>
      <c r="R32" s="503"/>
      <c r="S32" s="503"/>
      <c r="T32" s="513"/>
      <c r="U32" s="519" t="s">
        <v>2794</v>
      </c>
      <c r="AG32" s="515"/>
      <c r="AH32" s="503"/>
      <c r="AI32" s="513"/>
      <c r="AJ32" s="519" t="s">
        <v>2795</v>
      </c>
      <c r="AW32" s="515"/>
      <c r="AX32" s="503"/>
      <c r="AY32" s="503"/>
    </row>
    <row r="33" ht="29.25" customHeight="1">
      <c r="A33" s="503"/>
      <c r="B33" s="513"/>
      <c r="C33" s="519" t="s">
        <v>2796</v>
      </c>
      <c r="Q33" s="515"/>
      <c r="R33" s="503"/>
      <c r="S33" s="503"/>
      <c r="T33" s="513"/>
      <c r="U33" s="519" t="s">
        <v>2797</v>
      </c>
      <c r="AG33" s="515"/>
      <c r="AH33" s="503"/>
      <c r="AI33" s="513"/>
      <c r="AJ33" s="519" t="s">
        <v>2798</v>
      </c>
      <c r="AW33" s="515"/>
      <c r="AX33" s="503"/>
      <c r="AY33" s="503"/>
    </row>
    <row r="34" ht="51.75" customHeight="1">
      <c r="A34" s="503"/>
      <c r="B34" s="513"/>
      <c r="C34" s="519" t="s">
        <v>2799</v>
      </c>
      <c r="Q34" s="515"/>
      <c r="R34" s="503"/>
      <c r="S34" s="503"/>
      <c r="T34" s="513"/>
      <c r="U34" s="519" t="s">
        <v>2800</v>
      </c>
      <c r="AG34" s="515"/>
      <c r="AH34" s="503"/>
      <c r="AI34" s="513"/>
      <c r="AJ34" s="519" t="s">
        <v>2801</v>
      </c>
      <c r="AW34" s="515"/>
      <c r="AX34" s="503"/>
      <c r="AY34" s="503"/>
    </row>
    <row r="35" ht="41.25" customHeight="1">
      <c r="A35" s="503"/>
      <c r="B35" s="513"/>
      <c r="C35" s="519" t="s">
        <v>2802</v>
      </c>
      <c r="Q35" s="515"/>
      <c r="R35" s="503"/>
      <c r="S35" s="503"/>
      <c r="T35" s="513"/>
      <c r="U35" s="519" t="s">
        <v>2803</v>
      </c>
      <c r="AG35" s="515"/>
      <c r="AH35" s="503"/>
      <c r="AI35" s="513"/>
      <c r="AJ35" s="519" t="s">
        <v>2804</v>
      </c>
      <c r="AW35" s="515"/>
      <c r="AX35" s="503"/>
      <c r="AY35" s="503"/>
    </row>
    <row r="36" ht="39.75" customHeight="1">
      <c r="A36" s="503"/>
      <c r="B36" s="513"/>
      <c r="C36" s="519" t="s">
        <v>2805</v>
      </c>
      <c r="Q36" s="515"/>
      <c r="R36" s="503"/>
      <c r="S36" s="503"/>
      <c r="T36" s="513"/>
      <c r="U36" s="519" t="s">
        <v>2806</v>
      </c>
      <c r="AG36" s="515"/>
      <c r="AH36" s="503"/>
      <c r="AI36" s="513"/>
      <c r="AJ36" s="519" t="s">
        <v>2807</v>
      </c>
      <c r="AW36" s="515"/>
      <c r="AX36" s="503"/>
      <c r="AY36" s="503"/>
    </row>
    <row r="37" ht="45.75" customHeight="1">
      <c r="A37" s="503"/>
      <c r="B37" s="651"/>
      <c r="C37" s="586" t="s">
        <v>2808</v>
      </c>
      <c r="D37" s="618"/>
      <c r="E37" s="618"/>
      <c r="F37" s="618"/>
      <c r="G37" s="618"/>
      <c r="H37" s="618"/>
      <c r="I37" s="618"/>
      <c r="J37" s="618"/>
      <c r="K37" s="618"/>
      <c r="L37" s="618"/>
      <c r="M37" s="618"/>
      <c r="N37" s="618"/>
      <c r="O37" s="618"/>
      <c r="P37" s="618"/>
      <c r="Q37" s="550"/>
      <c r="R37" s="503"/>
      <c r="S37" s="503"/>
      <c r="T37" s="513"/>
      <c r="U37" s="519" t="s">
        <v>2809</v>
      </c>
      <c r="AG37" s="515"/>
      <c r="AH37" s="503"/>
      <c r="AI37" s="513"/>
      <c r="AJ37" s="519" t="s">
        <v>2810</v>
      </c>
      <c r="AW37" s="515"/>
      <c r="AX37" s="503"/>
      <c r="AY37" s="503"/>
    </row>
    <row r="38" ht="32.25" customHeight="1">
      <c r="A38" s="503"/>
      <c r="B38" s="513"/>
      <c r="C38" s="519" t="s">
        <v>2811</v>
      </c>
      <c r="Q38" s="515"/>
      <c r="R38" s="503"/>
      <c r="S38" s="503"/>
      <c r="T38" s="513"/>
      <c r="U38" s="519" t="s">
        <v>2812</v>
      </c>
      <c r="AG38" s="515"/>
      <c r="AH38" s="503"/>
      <c r="AI38" s="513"/>
      <c r="AJ38" s="519" t="s">
        <v>2813</v>
      </c>
      <c r="AW38" s="515"/>
      <c r="AX38" s="503"/>
      <c r="AY38" s="503"/>
    </row>
    <row r="39" ht="34.5" customHeight="1">
      <c r="A39" s="503"/>
      <c r="B39" s="513"/>
      <c r="C39" s="519" t="s">
        <v>2814</v>
      </c>
      <c r="Q39" s="515"/>
      <c r="R39" s="503"/>
      <c r="S39" s="503"/>
      <c r="T39" s="513"/>
      <c r="U39" s="519" t="s">
        <v>2815</v>
      </c>
      <c r="AC39" s="564"/>
      <c r="AD39" s="564"/>
      <c r="AE39" s="564"/>
      <c r="AF39" s="503"/>
      <c r="AG39" s="515"/>
      <c r="AH39" s="503"/>
      <c r="AI39" s="513"/>
      <c r="AJ39" s="519" t="s">
        <v>2816</v>
      </c>
      <c r="AW39" s="515"/>
      <c r="AX39" s="503"/>
      <c r="AY39" s="503"/>
    </row>
    <row r="40" ht="43.5" customHeight="1">
      <c r="A40" s="503"/>
      <c r="B40" s="513"/>
      <c r="C40" s="519" t="s">
        <v>2817</v>
      </c>
      <c r="Q40" s="515"/>
      <c r="R40" s="503"/>
      <c r="S40" s="503"/>
      <c r="T40" s="513"/>
      <c r="U40" s="519" t="s">
        <v>2818</v>
      </c>
      <c r="AG40" s="515"/>
      <c r="AH40" s="503"/>
      <c r="AI40" s="513"/>
      <c r="AJ40" s="519" t="s">
        <v>2819</v>
      </c>
      <c r="AW40" s="515"/>
      <c r="AX40" s="503"/>
      <c r="AY40" s="503"/>
    </row>
    <row r="41" ht="36.0" customHeight="1">
      <c r="A41" s="503"/>
      <c r="B41" s="513"/>
      <c r="C41" s="519" t="s">
        <v>2820</v>
      </c>
      <c r="Q41" s="652"/>
      <c r="R41" s="503"/>
      <c r="S41" s="503"/>
      <c r="T41" s="513"/>
      <c r="U41" s="519" t="s">
        <v>2821</v>
      </c>
      <c r="AG41" s="515"/>
      <c r="AH41" s="503"/>
      <c r="AI41" s="513"/>
      <c r="AJ41" s="519" t="s">
        <v>2822</v>
      </c>
      <c r="AW41" s="515"/>
      <c r="AX41" s="503"/>
      <c r="AY41" s="503"/>
    </row>
    <row r="42" ht="28.5" customHeight="1">
      <c r="A42" s="503"/>
      <c r="B42" s="513"/>
      <c r="C42" s="519" t="s">
        <v>2823</v>
      </c>
      <c r="Q42" s="652"/>
      <c r="R42" s="503"/>
      <c r="S42" s="503"/>
      <c r="T42" s="513"/>
      <c r="U42" s="519" t="s">
        <v>2824</v>
      </c>
      <c r="AG42" s="652"/>
      <c r="AH42" s="503"/>
      <c r="AI42" s="513"/>
      <c r="AJ42" s="519" t="s">
        <v>2825</v>
      </c>
      <c r="AW42" s="652"/>
      <c r="AX42" s="503"/>
      <c r="AY42" s="503"/>
    </row>
    <row r="43" ht="36.0" customHeight="1">
      <c r="A43" s="503"/>
      <c r="B43" s="513"/>
      <c r="C43" s="519" t="s">
        <v>2826</v>
      </c>
      <c r="Q43" s="652"/>
      <c r="R43" s="503"/>
      <c r="S43" s="503"/>
      <c r="T43" s="513"/>
      <c r="U43" s="519" t="s">
        <v>2827</v>
      </c>
      <c r="AG43" s="652"/>
      <c r="AH43" s="503"/>
      <c r="AI43" s="513"/>
      <c r="AJ43" s="519" t="s">
        <v>2828</v>
      </c>
      <c r="AW43" s="652"/>
      <c r="AX43" s="503"/>
      <c r="AY43" s="503"/>
    </row>
    <row r="44" ht="44.25" customHeight="1">
      <c r="A44" s="503"/>
      <c r="B44" s="513"/>
      <c r="C44" s="519" t="s">
        <v>2829</v>
      </c>
      <c r="Q44" s="515"/>
      <c r="R44" s="503"/>
      <c r="S44" s="503"/>
      <c r="T44" s="513"/>
      <c r="U44" s="519" t="s">
        <v>2830</v>
      </c>
      <c r="AG44" s="652"/>
      <c r="AH44" s="503"/>
      <c r="AI44" s="513"/>
      <c r="AJ44" s="519" t="s">
        <v>2831</v>
      </c>
      <c r="AW44" s="652"/>
      <c r="AX44" s="503"/>
      <c r="AY44" s="503"/>
    </row>
    <row r="45" ht="35.25" customHeight="1">
      <c r="A45" s="512"/>
      <c r="B45" s="513"/>
      <c r="C45" s="653" t="s">
        <v>2832</v>
      </c>
      <c r="Q45" s="515"/>
      <c r="R45" s="503"/>
      <c r="S45" s="503"/>
      <c r="T45" s="513"/>
      <c r="U45" s="503"/>
      <c r="V45" s="503"/>
      <c r="W45" s="503"/>
      <c r="X45" s="503"/>
      <c r="Y45" s="503"/>
      <c r="Z45" s="503"/>
      <c r="AA45" s="503"/>
      <c r="AB45" s="503"/>
      <c r="AC45" s="503"/>
      <c r="AD45" s="503"/>
      <c r="AE45" s="503"/>
      <c r="AF45" s="503"/>
      <c r="AG45" s="515"/>
      <c r="AH45" s="503"/>
      <c r="AI45" s="513"/>
      <c r="AJ45" s="519" t="s">
        <v>2833</v>
      </c>
      <c r="AW45" s="515"/>
      <c r="AX45" s="503"/>
      <c r="AY45" s="503"/>
    </row>
    <row r="46" ht="30.0" customHeight="1">
      <c r="A46" s="512"/>
      <c r="B46" s="513"/>
      <c r="C46" s="654" t="s">
        <v>2834</v>
      </c>
      <c r="Q46" s="515"/>
      <c r="R46" s="503"/>
      <c r="S46" s="503"/>
      <c r="T46" s="513"/>
      <c r="U46" s="503"/>
      <c r="V46" s="503"/>
      <c r="W46" s="503"/>
      <c r="X46" s="503"/>
      <c r="Y46" s="503"/>
      <c r="Z46" s="503"/>
      <c r="AA46" s="503"/>
      <c r="AB46" s="503"/>
      <c r="AC46" s="503"/>
      <c r="AD46" s="503"/>
      <c r="AE46" s="503"/>
      <c r="AF46" s="503"/>
      <c r="AG46" s="515"/>
      <c r="AH46" s="503"/>
      <c r="AI46" s="513"/>
      <c r="AW46" s="515"/>
      <c r="AX46" s="503"/>
      <c r="AY46" s="503"/>
    </row>
    <row r="47" ht="28.5" customHeight="1">
      <c r="A47" s="512"/>
      <c r="B47" s="513"/>
      <c r="C47" s="655"/>
      <c r="Q47" s="515"/>
      <c r="R47" s="503"/>
      <c r="S47" s="503"/>
      <c r="T47" s="513"/>
      <c r="U47" s="503"/>
      <c r="V47" s="503"/>
      <c r="W47" s="503"/>
      <c r="X47" s="503"/>
      <c r="Y47" s="503"/>
      <c r="Z47" s="503"/>
      <c r="AA47" s="503"/>
      <c r="AB47" s="503"/>
      <c r="AC47" s="503"/>
      <c r="AD47" s="503"/>
      <c r="AE47" s="503"/>
      <c r="AF47" s="503"/>
      <c r="AG47" s="515"/>
      <c r="AH47" s="503"/>
      <c r="AI47" s="513"/>
      <c r="AJ47" s="519" t="s">
        <v>2835</v>
      </c>
      <c r="AW47" s="515"/>
      <c r="AX47" s="503"/>
      <c r="AY47" s="503"/>
    </row>
    <row r="48" ht="27.0" customHeight="1">
      <c r="A48" s="503"/>
      <c r="B48" s="513"/>
      <c r="C48" s="518" t="s">
        <v>2836</v>
      </c>
      <c r="Q48" s="515"/>
      <c r="R48" s="503"/>
      <c r="S48" s="503"/>
      <c r="T48" s="513"/>
      <c r="U48" s="518"/>
      <c r="AG48" s="515"/>
      <c r="AH48" s="503"/>
      <c r="AI48" s="513"/>
      <c r="AJ48" s="519" t="s">
        <v>2837</v>
      </c>
      <c r="AW48" s="515"/>
      <c r="AX48" s="503"/>
      <c r="AY48" s="503"/>
    </row>
    <row r="49" ht="14.25" customHeight="1">
      <c r="A49" s="503"/>
      <c r="B49" s="513"/>
      <c r="C49" s="503"/>
      <c r="D49" s="503"/>
      <c r="E49" s="503"/>
      <c r="F49" s="503"/>
      <c r="G49" s="503"/>
      <c r="H49" s="503"/>
      <c r="I49" s="503"/>
      <c r="J49" s="503"/>
      <c r="K49" s="503"/>
      <c r="L49" s="503"/>
      <c r="M49" s="503"/>
      <c r="N49" s="503"/>
      <c r="O49" s="503"/>
      <c r="P49" s="503"/>
      <c r="Q49" s="515"/>
      <c r="R49" s="503"/>
      <c r="S49" s="503"/>
      <c r="T49" s="513"/>
      <c r="U49" s="518" t="s">
        <v>2836</v>
      </c>
      <c r="AG49" s="515"/>
      <c r="AH49" s="503"/>
      <c r="AI49" s="513"/>
      <c r="AJ49" s="518" t="s">
        <v>2838</v>
      </c>
      <c r="AW49" s="515"/>
      <c r="AX49" s="503"/>
      <c r="AY49" s="503"/>
    </row>
    <row r="50" ht="27.0" customHeight="1">
      <c r="A50" s="503"/>
      <c r="B50" s="513"/>
      <c r="C50" s="656" t="s">
        <v>2839</v>
      </c>
      <c r="D50" s="657" t="s">
        <v>2840</v>
      </c>
      <c r="E50" s="532"/>
      <c r="F50" s="658" t="str">
        <f>O2</f>
        <v>조경주</v>
      </c>
      <c r="G50" s="659" t="s">
        <v>2841</v>
      </c>
      <c r="H50" s="569"/>
      <c r="I50" s="523"/>
      <c r="J50" s="523"/>
      <c r="K50" s="523"/>
      <c r="L50" s="532"/>
      <c r="M50" s="660" t="s">
        <v>2717</v>
      </c>
      <c r="N50" s="526"/>
      <c r="O50" s="526"/>
      <c r="P50" s="527"/>
      <c r="Q50" s="515"/>
      <c r="R50" s="503"/>
      <c r="S50" s="503"/>
      <c r="T50" s="513"/>
      <c r="U50" s="503"/>
      <c r="V50" s="503"/>
      <c r="W50" s="503"/>
      <c r="X50" s="503"/>
      <c r="Y50" s="503"/>
      <c r="Z50" s="503"/>
      <c r="AA50" s="503"/>
      <c r="AB50" s="503"/>
      <c r="AC50" s="503"/>
      <c r="AD50" s="503"/>
      <c r="AE50" s="503"/>
      <c r="AF50" s="503"/>
      <c r="AG50" s="515"/>
      <c r="AH50" s="503"/>
      <c r="AI50" s="513"/>
      <c r="AJ50" s="503"/>
      <c r="AK50" s="503"/>
      <c r="AL50" s="503"/>
      <c r="AM50" s="503"/>
      <c r="AN50" s="503"/>
      <c r="AO50" s="503"/>
      <c r="AP50" s="503"/>
      <c r="AQ50" s="503"/>
      <c r="AR50" s="503"/>
      <c r="AS50" s="503"/>
      <c r="AT50" s="503"/>
      <c r="AU50" s="503"/>
      <c r="AV50" s="503"/>
      <c r="AW50" s="515"/>
      <c r="AX50" s="503"/>
      <c r="AY50" s="503"/>
    </row>
    <row r="51" ht="28.5" customHeight="1">
      <c r="A51" s="503"/>
      <c r="B51" s="513"/>
      <c r="C51" s="661"/>
      <c r="D51" s="657" t="s">
        <v>1246</v>
      </c>
      <c r="E51" s="532"/>
      <c r="F51" s="569"/>
      <c r="G51" s="523"/>
      <c r="H51" s="532"/>
      <c r="I51" s="662" t="s">
        <v>1245</v>
      </c>
      <c r="J51" s="569"/>
      <c r="K51" s="523"/>
      <c r="L51" s="532"/>
      <c r="M51" s="663"/>
      <c r="P51" s="629"/>
      <c r="Q51" s="515"/>
      <c r="R51" s="503"/>
      <c r="S51" s="503"/>
      <c r="T51" s="513"/>
      <c r="U51" s="656" t="s">
        <v>2842</v>
      </c>
      <c r="V51" s="657" t="s">
        <v>2840</v>
      </c>
      <c r="W51" s="532"/>
      <c r="X51" s="571" t="str">
        <f>VLOOKUP($O$2,'세입자'!E40:U226,1,0)</f>
        <v>#REF!</v>
      </c>
      <c r="Y51" s="659" t="s">
        <v>2841</v>
      </c>
      <c r="Z51" s="569" t="s">
        <v>2843</v>
      </c>
      <c r="AA51" s="523"/>
      <c r="AB51" s="523"/>
      <c r="AC51" s="523"/>
      <c r="AD51" s="532"/>
      <c r="AE51" s="660" t="s">
        <v>2717</v>
      </c>
      <c r="AF51" s="527"/>
      <c r="AG51" s="515"/>
      <c r="AH51" s="503"/>
      <c r="AI51" s="513"/>
      <c r="AJ51" s="656" t="s">
        <v>2844</v>
      </c>
      <c r="AK51" s="657" t="s">
        <v>2845</v>
      </c>
      <c r="AL51" s="532"/>
      <c r="AM51" s="664" t="str">
        <f t="shared" ref="AM51:AM52" si="4">F50</f>
        <v>조경주</v>
      </c>
      <c r="AN51" s="532"/>
      <c r="AO51" s="659" t="s">
        <v>2698</v>
      </c>
      <c r="AP51" s="569"/>
      <c r="AQ51" s="569"/>
      <c r="AR51" s="569"/>
      <c r="AS51" s="571"/>
      <c r="AT51" s="660" t="s">
        <v>2728</v>
      </c>
      <c r="AU51" s="526"/>
      <c r="AV51" s="527"/>
      <c r="AW51" s="515"/>
      <c r="AX51" s="503"/>
      <c r="AY51" s="503"/>
    </row>
    <row r="52" ht="23.25" customHeight="1">
      <c r="A52" s="503"/>
      <c r="B52" s="513"/>
      <c r="C52" s="665" t="s">
        <v>2846</v>
      </c>
      <c r="D52" s="657" t="s">
        <v>2840</v>
      </c>
      <c r="E52" s="532"/>
      <c r="F52" s="569"/>
      <c r="G52" s="662" t="s">
        <v>2847</v>
      </c>
      <c r="H52" s="571"/>
      <c r="I52" s="659" t="s">
        <v>1246</v>
      </c>
      <c r="J52" s="569"/>
      <c r="K52" s="523"/>
      <c r="L52" s="532"/>
      <c r="M52" s="666"/>
      <c r="N52" s="618"/>
      <c r="O52" s="618"/>
      <c r="P52" s="619"/>
      <c r="Q52" s="515"/>
      <c r="R52" s="503"/>
      <c r="S52" s="503"/>
      <c r="T52" s="513"/>
      <c r="U52" s="661"/>
      <c r="V52" s="657" t="s">
        <v>1246</v>
      </c>
      <c r="W52" s="532"/>
      <c r="X52" s="667" t="str">
        <f>VLOOKUP($O$2,'세입자'!E40:U226,11,0)</f>
        <v>#REF!</v>
      </c>
      <c r="Y52" s="523"/>
      <c r="Z52" s="532"/>
      <c r="AA52" s="662" t="s">
        <v>2848</v>
      </c>
      <c r="AB52" s="667" t="str">
        <f>VLOOKUP($O$2,'세입자'!E40:U226,10,0)</f>
        <v>#REF!</v>
      </c>
      <c r="AC52" s="523"/>
      <c r="AD52" s="532"/>
      <c r="AE52" s="663"/>
      <c r="AF52" s="629"/>
      <c r="AG52" s="515"/>
      <c r="AH52" s="503"/>
      <c r="AI52" s="513"/>
      <c r="AJ52" s="661"/>
      <c r="AK52" s="657" t="s">
        <v>2849</v>
      </c>
      <c r="AL52" s="532"/>
      <c r="AM52" s="569" t="str">
        <f t="shared" si="4"/>
        <v/>
      </c>
      <c r="AN52" s="523"/>
      <c r="AO52" s="532"/>
      <c r="AP52" s="662" t="s">
        <v>2850</v>
      </c>
      <c r="AQ52" s="569" t="str">
        <f>J51</f>
        <v/>
      </c>
      <c r="AR52" s="523"/>
      <c r="AS52" s="532"/>
      <c r="AT52" s="663"/>
      <c r="AV52" s="629"/>
      <c r="AW52" s="515"/>
      <c r="AX52" s="503"/>
      <c r="AY52" s="503"/>
    </row>
    <row r="53" ht="23.25" customHeight="1">
      <c r="A53" s="503"/>
      <c r="B53" s="513"/>
      <c r="C53" s="668" t="s">
        <v>2851</v>
      </c>
      <c r="D53" s="657" t="s">
        <v>2840</v>
      </c>
      <c r="E53" s="532"/>
      <c r="F53" s="569" t="str">
        <f>M15</f>
        <v>양성원</v>
      </c>
      <c r="G53" s="523"/>
      <c r="H53" s="532"/>
      <c r="I53" s="569"/>
      <c r="J53" s="523"/>
      <c r="K53" s="523"/>
      <c r="L53" s="532"/>
      <c r="M53" s="660" t="s">
        <v>2717</v>
      </c>
      <c r="N53" s="526"/>
      <c r="O53" s="526"/>
      <c r="P53" s="527"/>
      <c r="Q53" s="515"/>
      <c r="R53" s="503"/>
      <c r="S53" s="503"/>
      <c r="T53" s="513"/>
      <c r="U53" s="665" t="s">
        <v>2846</v>
      </c>
      <c r="V53" s="657" t="s">
        <v>2840</v>
      </c>
      <c r="W53" s="532"/>
      <c r="X53" s="571"/>
      <c r="Y53" s="659" t="s">
        <v>2847</v>
      </c>
      <c r="Z53" s="571"/>
      <c r="AA53" s="659" t="s">
        <v>1246</v>
      </c>
      <c r="AB53" s="569"/>
      <c r="AC53" s="523"/>
      <c r="AD53" s="532"/>
      <c r="AE53" s="666"/>
      <c r="AF53" s="619"/>
      <c r="AG53" s="515"/>
      <c r="AH53" s="503"/>
      <c r="AI53" s="513"/>
      <c r="AJ53" s="665" t="s">
        <v>2852</v>
      </c>
      <c r="AK53" s="657" t="s">
        <v>2845</v>
      </c>
      <c r="AL53" s="532"/>
      <c r="AM53" s="571"/>
      <c r="AN53" s="659" t="s">
        <v>2853</v>
      </c>
      <c r="AO53" s="571"/>
      <c r="AP53" s="659" t="s">
        <v>2849</v>
      </c>
      <c r="AQ53" s="569"/>
      <c r="AR53" s="523"/>
      <c r="AS53" s="532"/>
      <c r="AT53" s="666"/>
      <c r="AU53" s="618"/>
      <c r="AV53" s="619"/>
      <c r="AW53" s="515"/>
      <c r="AX53" s="503"/>
      <c r="AY53" s="503"/>
    </row>
    <row r="54" ht="23.25" customHeight="1">
      <c r="A54" s="503"/>
      <c r="B54" s="513"/>
      <c r="C54" s="661"/>
      <c r="D54" s="657" t="s">
        <v>1246</v>
      </c>
      <c r="E54" s="532"/>
      <c r="F54" s="669" t="str">
        <f>VLOOKUP($O$2,'입주자'!E5:W1013,18,0)</f>
        <v>010-2681-8498</v>
      </c>
      <c r="G54" s="523"/>
      <c r="H54" s="532"/>
      <c r="I54" s="657" t="s">
        <v>2854</v>
      </c>
      <c r="J54" s="532"/>
      <c r="K54" s="569" t="str">
        <f>VLOOKUP($O$2,'입주자'!E5:W1013,19,0)</f>
        <v>1970-08-10</v>
      </c>
      <c r="L54" s="532"/>
      <c r="M54" s="666"/>
      <c r="N54" s="618"/>
      <c r="O54" s="618"/>
      <c r="P54" s="619"/>
      <c r="Q54" s="515"/>
      <c r="R54" s="503"/>
      <c r="S54" s="503"/>
      <c r="T54" s="513"/>
      <c r="U54" s="668" t="s">
        <v>2855</v>
      </c>
      <c r="V54" s="657" t="s">
        <v>2840</v>
      </c>
      <c r="W54" s="532"/>
      <c r="X54" s="569" t="s">
        <v>33</v>
      </c>
      <c r="Y54" s="539"/>
      <c r="Z54" s="539"/>
      <c r="AA54" s="539"/>
      <c r="AB54" s="539"/>
      <c r="AC54" s="539"/>
      <c r="AD54" s="540"/>
      <c r="AE54" s="660" t="s">
        <v>2717</v>
      </c>
      <c r="AF54" s="527"/>
      <c r="AG54" s="515"/>
      <c r="AH54" s="503"/>
      <c r="AI54" s="513"/>
      <c r="AJ54" s="668" t="s">
        <v>2856</v>
      </c>
      <c r="AK54" s="657" t="s">
        <v>2845</v>
      </c>
      <c r="AL54" s="532"/>
      <c r="AM54" s="569" t="str">
        <f t="shared" ref="AM54:AM55" si="5">F53</f>
        <v>양성원</v>
      </c>
      <c r="AN54" s="523"/>
      <c r="AO54" s="523"/>
      <c r="AP54" s="539"/>
      <c r="AQ54" s="539"/>
      <c r="AR54" s="539"/>
      <c r="AS54" s="540"/>
      <c r="AT54" s="660" t="s">
        <v>2728</v>
      </c>
      <c r="AU54" s="526"/>
      <c r="AV54" s="527"/>
      <c r="AW54" s="515"/>
      <c r="AX54" s="503"/>
      <c r="AY54" s="503"/>
    </row>
    <row r="55" ht="23.25" customHeight="1">
      <c r="A55" s="503"/>
      <c r="B55" s="651"/>
      <c r="C55" s="552"/>
      <c r="D55" s="618"/>
      <c r="E55" s="618"/>
      <c r="F55" s="618"/>
      <c r="G55" s="618"/>
      <c r="H55" s="618"/>
      <c r="I55" s="618"/>
      <c r="J55" s="618"/>
      <c r="K55" s="618"/>
      <c r="L55" s="618"/>
      <c r="M55" s="618"/>
      <c r="N55" s="618"/>
      <c r="O55" s="618"/>
      <c r="P55" s="618"/>
      <c r="Q55" s="550"/>
      <c r="R55" s="503"/>
      <c r="S55" s="503"/>
      <c r="T55" s="513"/>
      <c r="U55" s="661"/>
      <c r="V55" s="657" t="s">
        <v>1246</v>
      </c>
      <c r="W55" s="532"/>
      <c r="X55" s="569" t="s">
        <v>2857</v>
      </c>
      <c r="Y55" s="523"/>
      <c r="Z55" s="532"/>
      <c r="AA55" s="662" t="s">
        <v>2848</v>
      </c>
      <c r="AB55" s="569" t="s">
        <v>2858</v>
      </c>
      <c r="AC55" s="523"/>
      <c r="AD55" s="532"/>
      <c r="AE55" s="666"/>
      <c r="AF55" s="619"/>
      <c r="AG55" s="515"/>
      <c r="AH55" s="503"/>
      <c r="AI55" s="513"/>
      <c r="AJ55" s="661"/>
      <c r="AK55" s="657" t="s">
        <v>2849</v>
      </c>
      <c r="AL55" s="532"/>
      <c r="AM55" s="669" t="str">
        <f t="shared" si="5"/>
        <v>010-2681-8498</v>
      </c>
      <c r="AN55" s="523"/>
      <c r="AO55" s="532"/>
      <c r="AP55" s="662" t="s">
        <v>2850</v>
      </c>
      <c r="AQ55" s="569" t="str">
        <f>J54</f>
        <v/>
      </c>
      <c r="AR55" s="523"/>
      <c r="AS55" s="532"/>
      <c r="AT55" s="666"/>
      <c r="AU55" s="618"/>
      <c r="AV55" s="619"/>
      <c r="AW55" s="515"/>
      <c r="AX55" s="503"/>
      <c r="AY55" s="503"/>
    </row>
    <row r="56" ht="21.75" customHeight="1">
      <c r="A56" s="503"/>
      <c r="B56" s="503"/>
      <c r="C56" s="503"/>
      <c r="D56" s="503"/>
      <c r="E56" s="503"/>
      <c r="F56" s="503"/>
      <c r="G56" s="503"/>
      <c r="H56" s="503"/>
      <c r="I56" s="503"/>
      <c r="J56" s="503"/>
      <c r="K56" s="503"/>
      <c r="L56" s="503"/>
      <c r="M56" s="503"/>
      <c r="N56" s="503"/>
      <c r="O56" s="503"/>
      <c r="P56" s="503"/>
      <c r="Q56" s="503"/>
      <c r="R56" s="503"/>
      <c r="S56" s="503"/>
      <c r="T56" s="651"/>
      <c r="U56" s="549"/>
      <c r="V56" s="549"/>
      <c r="W56" s="549"/>
      <c r="X56" s="549"/>
      <c r="Y56" s="549"/>
      <c r="Z56" s="549"/>
      <c r="AA56" s="549"/>
      <c r="AB56" s="549"/>
      <c r="AC56" s="549"/>
      <c r="AD56" s="549"/>
      <c r="AE56" s="549"/>
      <c r="AF56" s="549"/>
      <c r="AG56" s="550"/>
      <c r="AH56" s="503"/>
      <c r="AI56" s="651"/>
      <c r="AJ56" s="549"/>
      <c r="AK56" s="549"/>
      <c r="AL56" s="549"/>
      <c r="AM56" s="549"/>
      <c r="AN56" s="549"/>
      <c r="AO56" s="549"/>
      <c r="AP56" s="549"/>
      <c r="AQ56" s="549"/>
      <c r="AR56" s="549"/>
      <c r="AS56" s="549"/>
      <c r="AT56" s="549"/>
      <c r="AU56" s="549"/>
      <c r="AV56" s="549"/>
      <c r="AW56" s="550"/>
      <c r="AX56" s="503"/>
      <c r="AY56" s="503"/>
    </row>
    <row r="57" ht="23.25" customHeight="1">
      <c r="A57" s="503"/>
      <c r="B57" s="670"/>
      <c r="C57" s="671"/>
      <c r="D57" s="671"/>
      <c r="E57" s="671"/>
      <c r="F57" s="671"/>
      <c r="G57" s="671"/>
      <c r="H57" s="671"/>
      <c r="I57" s="671"/>
      <c r="J57" s="671"/>
      <c r="K57" s="671"/>
      <c r="L57" s="671"/>
      <c r="M57" s="671"/>
      <c r="N57" s="671"/>
      <c r="O57" s="671"/>
      <c r="P57" s="671"/>
      <c r="Q57" s="672"/>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c r="AP57" s="503"/>
      <c r="AQ57" s="503"/>
      <c r="AR57" s="503"/>
      <c r="AS57" s="503"/>
      <c r="AT57" s="503"/>
      <c r="AU57" s="503"/>
      <c r="AV57" s="503"/>
      <c r="AW57" s="503"/>
      <c r="AX57" s="503"/>
      <c r="AY57" s="503"/>
    </row>
    <row r="58" ht="18.0" customHeight="1">
      <c r="A58" s="503"/>
      <c r="B58" s="673"/>
      <c r="C58" s="674" t="s">
        <v>2859</v>
      </c>
      <c r="Q58" s="675"/>
      <c r="R58" s="503"/>
      <c r="S58" s="503"/>
      <c r="T58" s="503"/>
      <c r="U58" s="519"/>
      <c r="V58" s="519"/>
      <c r="W58" s="519"/>
      <c r="X58" s="519"/>
      <c r="Y58" s="519"/>
      <c r="Z58" s="519"/>
      <c r="AA58" s="519"/>
      <c r="AB58" s="519"/>
      <c r="AC58" s="519"/>
      <c r="AD58" s="519"/>
      <c r="AE58" s="519"/>
      <c r="AF58" s="519"/>
      <c r="AG58" s="503"/>
      <c r="AH58" s="503"/>
      <c r="AI58" s="670"/>
      <c r="AJ58" s="671"/>
      <c r="AK58" s="671"/>
      <c r="AL58" s="671"/>
      <c r="AM58" s="671"/>
      <c r="AN58" s="671"/>
      <c r="AO58" s="671"/>
      <c r="AP58" s="671"/>
      <c r="AQ58" s="671"/>
      <c r="AR58" s="671"/>
      <c r="AS58" s="671"/>
      <c r="AT58" s="671"/>
      <c r="AU58" s="671"/>
      <c r="AV58" s="671"/>
      <c r="AW58" s="672"/>
      <c r="AX58" s="503"/>
      <c r="AY58" s="503"/>
    </row>
    <row r="59" ht="27.0" customHeight="1">
      <c r="A59" s="503"/>
      <c r="B59" s="676"/>
      <c r="C59" s="677" t="s">
        <v>2860</v>
      </c>
      <c r="D59" s="678"/>
      <c r="E59" s="678"/>
      <c r="F59" s="678"/>
      <c r="G59" s="678"/>
      <c r="H59" s="678"/>
      <c r="I59" s="678"/>
      <c r="J59" s="678"/>
      <c r="K59" s="678"/>
      <c r="L59" s="678"/>
      <c r="M59" s="678"/>
      <c r="N59" s="678"/>
      <c r="O59" s="678"/>
      <c r="P59" s="678"/>
      <c r="Q59" s="679"/>
      <c r="R59" s="503"/>
      <c r="S59" s="503"/>
      <c r="T59" s="503"/>
      <c r="U59" s="641" t="s">
        <v>2861</v>
      </c>
      <c r="W59" s="519" t="s">
        <v>2862</v>
      </c>
      <c r="AF59" s="629"/>
      <c r="AG59" s="503"/>
      <c r="AH59" s="503"/>
      <c r="AI59" s="673"/>
      <c r="AJ59" s="674" t="s">
        <v>2863</v>
      </c>
      <c r="AW59" s="675"/>
      <c r="AX59" s="503"/>
      <c r="AY59" s="503"/>
    </row>
    <row r="60" ht="27.0" customHeight="1">
      <c r="A60" s="680"/>
      <c r="B60" s="673"/>
      <c r="C60" s="681" t="s">
        <v>2864</v>
      </c>
      <c r="E60" s="682" t="s">
        <v>2865</v>
      </c>
      <c r="Q60" s="675"/>
      <c r="R60" s="680"/>
      <c r="S60" s="680"/>
      <c r="T60" s="680"/>
      <c r="U60" s="683"/>
      <c r="V60" s="683"/>
      <c r="W60" s="683"/>
      <c r="X60" s="683"/>
      <c r="Y60" s="683"/>
      <c r="Z60" s="683"/>
      <c r="AA60" s="683"/>
      <c r="AB60" s="683"/>
      <c r="AC60" s="683"/>
      <c r="AD60" s="683"/>
      <c r="AE60" s="683"/>
      <c r="AF60" s="683"/>
      <c r="AG60" s="680"/>
      <c r="AH60" s="680"/>
      <c r="AI60" s="676"/>
      <c r="AJ60" s="678"/>
      <c r="AK60" s="678"/>
      <c r="AL60" s="678"/>
      <c r="AM60" s="678"/>
      <c r="AN60" s="678"/>
      <c r="AO60" s="678"/>
      <c r="AP60" s="678"/>
      <c r="AQ60" s="678"/>
      <c r="AR60" s="678"/>
      <c r="AS60" s="678"/>
      <c r="AT60" s="678"/>
      <c r="AU60" s="678"/>
      <c r="AV60" s="678"/>
      <c r="AW60" s="679"/>
      <c r="AX60" s="680"/>
      <c r="AY60" s="680"/>
    </row>
    <row r="61" ht="36.0" customHeight="1">
      <c r="A61" s="503"/>
      <c r="B61" s="673"/>
      <c r="C61" s="681" t="s">
        <v>2866</v>
      </c>
      <c r="E61" s="682" t="s">
        <v>2867</v>
      </c>
      <c r="Q61" s="675"/>
      <c r="R61" s="503"/>
      <c r="S61" s="503"/>
      <c r="T61" s="503"/>
      <c r="U61" s="503"/>
      <c r="V61" s="503"/>
      <c r="W61" s="503"/>
      <c r="X61" s="503"/>
      <c r="Y61" s="503"/>
      <c r="Z61" s="503"/>
      <c r="AA61" s="503"/>
      <c r="AB61" s="503"/>
      <c r="AC61" s="503"/>
      <c r="AD61" s="503"/>
      <c r="AE61" s="503"/>
      <c r="AF61" s="503"/>
      <c r="AG61" s="503"/>
      <c r="AH61" s="503"/>
      <c r="AI61" s="673"/>
      <c r="AJ61" s="681" t="s">
        <v>2868</v>
      </c>
      <c r="AL61" s="682" t="s">
        <v>2869</v>
      </c>
      <c r="AW61" s="675"/>
      <c r="AX61" s="503"/>
      <c r="AY61" s="503"/>
    </row>
    <row r="62" ht="39.75" customHeight="1">
      <c r="A62" s="503"/>
      <c r="B62" s="673"/>
      <c r="C62" s="681" t="s">
        <v>2870</v>
      </c>
      <c r="E62" s="682" t="s">
        <v>2871</v>
      </c>
      <c r="Q62" s="675"/>
      <c r="R62" s="503"/>
      <c r="S62" s="503"/>
      <c r="T62" s="503"/>
      <c r="U62" s="503"/>
      <c r="V62" s="503"/>
      <c r="W62" s="503"/>
      <c r="X62" s="503"/>
      <c r="Y62" s="503"/>
      <c r="Z62" s="503"/>
      <c r="AA62" s="503"/>
      <c r="AB62" s="503"/>
      <c r="AC62" s="503"/>
      <c r="AD62" s="503"/>
      <c r="AE62" s="503"/>
      <c r="AF62" s="503"/>
      <c r="AG62" s="503"/>
      <c r="AH62" s="503"/>
      <c r="AI62" s="673"/>
      <c r="AJ62" s="681" t="s">
        <v>2872</v>
      </c>
      <c r="AL62" s="682" t="s">
        <v>2873</v>
      </c>
      <c r="AW62" s="675"/>
      <c r="AX62" s="503"/>
      <c r="AY62" s="503"/>
    </row>
    <row r="63" ht="39.75" customHeight="1">
      <c r="A63" s="503"/>
      <c r="B63" s="673"/>
      <c r="C63" s="681" t="s">
        <v>2874</v>
      </c>
      <c r="E63" s="682" t="s">
        <v>2875</v>
      </c>
      <c r="Q63" s="675"/>
      <c r="R63" s="503"/>
      <c r="S63" s="503"/>
      <c r="T63" s="503"/>
      <c r="U63" s="641" t="s">
        <v>2876</v>
      </c>
      <c r="W63" s="519" t="s">
        <v>2877</v>
      </c>
      <c r="AF63" s="629"/>
      <c r="AG63" s="503"/>
      <c r="AH63" s="503"/>
      <c r="AI63" s="673"/>
      <c r="AJ63" s="681" t="s">
        <v>2878</v>
      </c>
      <c r="AL63" s="682" t="s">
        <v>2879</v>
      </c>
      <c r="AW63" s="675"/>
      <c r="AX63" s="503"/>
      <c r="AY63" s="503"/>
    </row>
    <row r="64" ht="39.75" customHeight="1">
      <c r="A64" s="503"/>
      <c r="B64" s="673"/>
      <c r="C64" s="681" t="s">
        <v>2880</v>
      </c>
      <c r="E64" s="682" t="s">
        <v>2881</v>
      </c>
      <c r="Q64" s="675"/>
      <c r="R64" s="503"/>
      <c r="S64" s="503"/>
      <c r="T64" s="503"/>
      <c r="U64" s="503"/>
      <c r="V64" s="503"/>
      <c r="W64" s="503"/>
      <c r="X64" s="503"/>
      <c r="Y64" s="503"/>
      <c r="Z64" s="503"/>
      <c r="AA64" s="503"/>
      <c r="AB64" s="503"/>
      <c r="AC64" s="503"/>
      <c r="AD64" s="503"/>
      <c r="AE64" s="503"/>
      <c r="AF64" s="503"/>
      <c r="AG64" s="503"/>
      <c r="AH64" s="503"/>
      <c r="AI64" s="673"/>
      <c r="AJ64" s="681" t="s">
        <v>2882</v>
      </c>
      <c r="AL64" s="682" t="s">
        <v>2883</v>
      </c>
      <c r="AW64" s="675"/>
      <c r="AX64" s="503"/>
      <c r="AY64" s="503"/>
    </row>
    <row r="65" ht="39.75" customHeight="1">
      <c r="A65" s="503"/>
      <c r="B65" s="673"/>
      <c r="C65" s="681" t="s">
        <v>2884</v>
      </c>
      <c r="E65" s="682" t="s">
        <v>2885</v>
      </c>
      <c r="Q65" s="675"/>
      <c r="R65" s="503"/>
      <c r="S65" s="503"/>
      <c r="T65" s="503"/>
      <c r="U65" s="503"/>
      <c r="V65" s="503"/>
      <c r="W65" s="503"/>
      <c r="X65" s="503"/>
      <c r="Y65" s="503"/>
      <c r="Z65" s="503"/>
      <c r="AA65" s="503"/>
      <c r="AB65" s="503"/>
      <c r="AC65" s="503"/>
      <c r="AD65" s="503"/>
      <c r="AE65" s="503"/>
      <c r="AF65" s="503"/>
      <c r="AG65" s="503"/>
      <c r="AH65" s="503"/>
      <c r="AI65" s="673"/>
      <c r="AJ65" s="681" t="s">
        <v>2886</v>
      </c>
      <c r="AL65" s="682" t="s">
        <v>2887</v>
      </c>
      <c r="AW65" s="675"/>
      <c r="AX65" s="503"/>
      <c r="AY65" s="503"/>
    </row>
    <row r="66" ht="39.0" customHeight="1">
      <c r="A66" s="503"/>
      <c r="B66" s="673"/>
      <c r="C66" s="681" t="s">
        <v>2888</v>
      </c>
      <c r="E66" s="682" t="s">
        <v>2889</v>
      </c>
      <c r="Q66" s="675"/>
      <c r="R66" s="503"/>
      <c r="S66" s="503"/>
      <c r="T66" s="503"/>
      <c r="U66" s="503"/>
      <c r="V66" s="503"/>
      <c r="W66" s="503"/>
      <c r="X66" s="503"/>
      <c r="Y66" s="503"/>
      <c r="Z66" s="503"/>
      <c r="AA66" s="503"/>
      <c r="AB66" s="503"/>
      <c r="AC66" s="503"/>
      <c r="AD66" s="503"/>
      <c r="AE66" s="503"/>
      <c r="AF66" s="503"/>
      <c r="AG66" s="503"/>
      <c r="AH66" s="503"/>
      <c r="AI66" s="673"/>
      <c r="AJ66" s="681" t="s">
        <v>2890</v>
      </c>
      <c r="AL66" s="682" t="s">
        <v>2891</v>
      </c>
      <c r="AW66" s="675"/>
      <c r="AX66" s="503"/>
      <c r="AY66" s="503"/>
    </row>
    <row r="67" ht="52.5" customHeight="1">
      <c r="A67" s="503"/>
      <c r="B67" s="673"/>
      <c r="C67" s="681" t="s">
        <v>2892</v>
      </c>
      <c r="E67" s="682" t="s">
        <v>2893</v>
      </c>
      <c r="Q67" s="675"/>
      <c r="R67" s="503"/>
      <c r="S67" s="503"/>
      <c r="T67" s="503"/>
      <c r="U67" s="503"/>
      <c r="V67" s="503"/>
      <c r="W67" s="503"/>
      <c r="X67" s="503"/>
      <c r="Y67" s="503"/>
      <c r="Z67" s="503"/>
      <c r="AA67" s="503"/>
      <c r="AB67" s="503"/>
      <c r="AC67" s="503"/>
      <c r="AD67" s="503"/>
      <c r="AE67" s="503"/>
      <c r="AF67" s="503"/>
      <c r="AG67" s="503"/>
      <c r="AH67" s="503"/>
      <c r="AI67" s="673"/>
      <c r="AJ67" s="681" t="s">
        <v>2894</v>
      </c>
      <c r="AL67" s="682" t="s">
        <v>2895</v>
      </c>
      <c r="AW67" s="675"/>
      <c r="AX67" s="503"/>
      <c r="AY67" s="503"/>
    </row>
    <row r="68" ht="57.0" customHeight="1">
      <c r="A68" s="503"/>
      <c r="B68" s="673"/>
      <c r="C68" s="681" t="s">
        <v>2896</v>
      </c>
      <c r="E68" s="682" t="s">
        <v>2897</v>
      </c>
      <c r="Q68" s="675"/>
      <c r="R68" s="503"/>
      <c r="S68" s="503"/>
      <c r="T68" s="503"/>
      <c r="U68" s="503"/>
      <c r="V68" s="503"/>
      <c r="W68" s="503"/>
      <c r="X68" s="503"/>
      <c r="Y68" s="503"/>
      <c r="Z68" s="503"/>
      <c r="AA68" s="503"/>
      <c r="AB68" s="503"/>
      <c r="AC68" s="503"/>
      <c r="AD68" s="503"/>
      <c r="AE68" s="503"/>
      <c r="AF68" s="503"/>
      <c r="AG68" s="503"/>
      <c r="AH68" s="503"/>
      <c r="AI68" s="673"/>
      <c r="AJ68" s="681" t="s">
        <v>2898</v>
      </c>
      <c r="AL68" s="682" t="s">
        <v>2899</v>
      </c>
      <c r="AW68" s="675"/>
      <c r="AX68" s="503"/>
      <c r="AY68" s="503"/>
    </row>
    <row r="69" ht="33.0" customHeight="1">
      <c r="A69" s="503"/>
      <c r="B69" s="673"/>
      <c r="C69" s="681" t="s">
        <v>2900</v>
      </c>
      <c r="D69" s="681"/>
      <c r="E69" s="682" t="s">
        <v>2901</v>
      </c>
      <c r="P69" s="682"/>
      <c r="Q69" s="675"/>
      <c r="R69" s="503"/>
      <c r="S69" s="503"/>
      <c r="T69" s="503"/>
      <c r="U69" s="503"/>
      <c r="V69" s="503"/>
      <c r="W69" s="503"/>
      <c r="X69" s="503"/>
      <c r="Y69" s="503"/>
      <c r="Z69" s="503"/>
      <c r="AA69" s="503"/>
      <c r="AB69" s="503"/>
      <c r="AC69" s="503"/>
      <c r="AD69" s="503"/>
      <c r="AE69" s="503"/>
      <c r="AF69" s="503"/>
      <c r="AG69" s="503"/>
      <c r="AH69" s="503"/>
      <c r="AI69" s="673"/>
      <c r="AJ69" s="681" t="s">
        <v>2902</v>
      </c>
      <c r="AL69" s="682" t="s">
        <v>2903</v>
      </c>
      <c r="AW69" s="675"/>
      <c r="AX69" s="503"/>
      <c r="AY69" s="503"/>
    </row>
    <row r="70" ht="45.0" customHeight="1">
      <c r="A70" s="503"/>
      <c r="B70" s="673"/>
      <c r="C70" s="681" t="s">
        <v>2904</v>
      </c>
      <c r="E70" s="682" t="s">
        <v>2905</v>
      </c>
      <c r="Q70" s="675"/>
      <c r="R70" s="503"/>
      <c r="S70" s="503"/>
      <c r="T70" s="503"/>
      <c r="U70" s="503"/>
      <c r="V70" s="503"/>
      <c r="W70" s="503"/>
      <c r="X70" s="503"/>
      <c r="Y70" s="503"/>
      <c r="Z70" s="503"/>
      <c r="AA70" s="503"/>
      <c r="AB70" s="503"/>
      <c r="AC70" s="503"/>
      <c r="AD70" s="503"/>
      <c r="AE70" s="503"/>
      <c r="AF70" s="503"/>
      <c r="AG70" s="503"/>
      <c r="AH70" s="503"/>
      <c r="AI70" s="673"/>
      <c r="AJ70" s="681" t="s">
        <v>2906</v>
      </c>
      <c r="AL70" s="682" t="s">
        <v>2907</v>
      </c>
      <c r="AW70" s="675"/>
      <c r="AX70" s="503"/>
      <c r="AY70" s="503"/>
    </row>
    <row r="71" ht="28.5" customHeight="1">
      <c r="A71" s="503"/>
      <c r="B71" s="673"/>
      <c r="C71" s="681" t="s">
        <v>2908</v>
      </c>
      <c r="D71" s="681"/>
      <c r="E71" s="682" t="s">
        <v>2909</v>
      </c>
      <c r="Q71" s="675"/>
      <c r="R71" s="503"/>
      <c r="S71" s="503"/>
      <c r="T71" s="503"/>
      <c r="U71" s="503"/>
      <c r="V71" s="503"/>
      <c r="W71" s="503"/>
      <c r="X71" s="503"/>
      <c r="Y71" s="503"/>
      <c r="Z71" s="503"/>
      <c r="AA71" s="503"/>
      <c r="AB71" s="503"/>
      <c r="AC71" s="503"/>
      <c r="AD71" s="503"/>
      <c r="AE71" s="503"/>
      <c r="AF71" s="503"/>
      <c r="AG71" s="503"/>
      <c r="AH71" s="503"/>
      <c r="AI71" s="673"/>
      <c r="AJ71" s="684" t="s">
        <v>2910</v>
      </c>
      <c r="AV71" s="682"/>
      <c r="AW71" s="675"/>
      <c r="AX71" s="503"/>
      <c r="AY71" s="503"/>
    </row>
    <row r="72" ht="28.5" customHeight="1">
      <c r="A72" s="503"/>
      <c r="B72" s="673"/>
      <c r="C72" s="682"/>
      <c r="E72" s="682"/>
      <c r="Q72" s="675"/>
      <c r="R72" s="503"/>
      <c r="S72" s="503"/>
      <c r="T72" s="503"/>
      <c r="U72" s="503"/>
      <c r="V72" s="503"/>
      <c r="W72" s="503"/>
      <c r="X72" s="503"/>
      <c r="Y72" s="503"/>
      <c r="Z72" s="503"/>
      <c r="AA72" s="503"/>
      <c r="AB72" s="503"/>
      <c r="AC72" s="503"/>
      <c r="AD72" s="503"/>
      <c r="AE72" s="503"/>
      <c r="AF72" s="503"/>
      <c r="AG72" s="503"/>
      <c r="AH72" s="503"/>
      <c r="AI72" s="673"/>
      <c r="AJ72" s="684"/>
      <c r="AK72" s="684"/>
      <c r="AL72" s="684" t="s">
        <v>2911</v>
      </c>
      <c r="AU72" s="684"/>
      <c r="AV72" s="684"/>
      <c r="AW72" s="675"/>
      <c r="AX72" s="503"/>
      <c r="AY72" s="503"/>
    </row>
    <row r="73" ht="27.0" customHeight="1">
      <c r="A73" s="503"/>
      <c r="B73" s="673"/>
      <c r="C73" s="685" t="s">
        <v>2912</v>
      </c>
      <c r="Q73" s="675"/>
      <c r="R73" s="503"/>
      <c r="S73" s="503"/>
      <c r="T73" s="503"/>
      <c r="U73" s="503"/>
      <c r="V73" s="503"/>
      <c r="W73" s="503"/>
      <c r="X73" s="503"/>
      <c r="Y73" s="503"/>
      <c r="Z73" s="503"/>
      <c r="AA73" s="503"/>
      <c r="AB73" s="503"/>
      <c r="AC73" s="503"/>
      <c r="AD73" s="503"/>
      <c r="AE73" s="503"/>
      <c r="AF73" s="503"/>
      <c r="AG73" s="503"/>
      <c r="AH73" s="503"/>
      <c r="AI73" s="673"/>
      <c r="AJ73" s="684"/>
      <c r="AW73" s="675"/>
      <c r="AX73" s="503"/>
      <c r="AY73" s="503"/>
    </row>
    <row r="74" ht="27.0" customHeight="1">
      <c r="A74" s="503"/>
      <c r="B74" s="673"/>
      <c r="C74" s="684" t="s">
        <v>2913</v>
      </c>
      <c r="Q74" s="675"/>
      <c r="R74" s="512"/>
      <c r="S74" s="503"/>
      <c r="T74" s="503"/>
      <c r="U74" s="503"/>
      <c r="V74" s="503"/>
      <c r="W74" s="503"/>
      <c r="X74" s="503"/>
      <c r="Y74" s="503"/>
      <c r="Z74" s="503"/>
      <c r="AA74" s="503"/>
      <c r="AB74" s="503"/>
      <c r="AC74" s="503"/>
      <c r="AD74" s="503"/>
      <c r="AE74" s="503"/>
      <c r="AF74" s="503"/>
      <c r="AG74" s="503"/>
      <c r="AH74" s="503"/>
      <c r="AI74" s="671"/>
      <c r="AJ74" s="671"/>
      <c r="AK74" s="671"/>
      <c r="AL74" s="671"/>
      <c r="AM74" s="671"/>
      <c r="AN74" s="671"/>
      <c r="AO74" s="671"/>
      <c r="AP74" s="671"/>
      <c r="AQ74" s="671"/>
      <c r="AR74" s="671"/>
      <c r="AS74" s="671"/>
      <c r="AT74" s="671"/>
      <c r="AU74" s="671"/>
      <c r="AV74" s="671"/>
      <c r="AW74" s="671"/>
      <c r="AX74" s="503"/>
      <c r="AY74" s="503"/>
    </row>
    <row r="75" ht="14.25" customHeight="1">
      <c r="A75" s="503"/>
      <c r="B75" s="686"/>
      <c r="C75" s="687"/>
      <c r="D75" s="688"/>
      <c r="E75" s="689"/>
      <c r="F75" s="688"/>
      <c r="G75" s="688"/>
      <c r="H75" s="688"/>
      <c r="I75" s="688"/>
      <c r="J75" s="688"/>
      <c r="K75" s="688"/>
      <c r="L75" s="688"/>
      <c r="M75" s="688"/>
      <c r="N75" s="688"/>
      <c r="O75" s="688"/>
      <c r="P75" s="688"/>
      <c r="Q75" s="690"/>
      <c r="R75" s="503"/>
      <c r="S75" s="503"/>
      <c r="T75" s="503"/>
      <c r="U75" s="503"/>
      <c r="V75" s="503"/>
      <c r="W75" s="503"/>
      <c r="X75" s="503"/>
      <c r="Y75" s="503"/>
      <c r="Z75" s="503"/>
      <c r="AA75" s="503"/>
      <c r="AB75" s="503"/>
      <c r="AC75" s="503"/>
      <c r="AD75" s="503"/>
      <c r="AE75" s="503"/>
      <c r="AF75" s="503"/>
      <c r="AG75" s="503"/>
      <c r="AH75" s="503"/>
      <c r="AI75" s="508"/>
      <c r="AJ75" s="508"/>
      <c r="AK75" s="508"/>
      <c r="AL75" s="508"/>
      <c r="AM75" s="508"/>
      <c r="AN75" s="508"/>
      <c r="AO75" s="508"/>
      <c r="AP75" s="508"/>
      <c r="AQ75" s="508"/>
      <c r="AR75" s="508"/>
      <c r="AS75" s="508"/>
      <c r="AT75" s="508"/>
      <c r="AU75" s="508"/>
      <c r="AV75" s="508"/>
      <c r="AW75" s="508"/>
      <c r="AX75" s="503"/>
      <c r="AY75" s="503"/>
    </row>
    <row r="76" ht="22.5" customHeight="1">
      <c r="A76" s="503"/>
      <c r="B76" s="508"/>
      <c r="C76" s="508"/>
      <c r="D76" s="508"/>
      <c r="Q76" s="508"/>
      <c r="R76" s="503"/>
      <c r="S76" s="503"/>
      <c r="T76" s="503"/>
      <c r="U76" s="503"/>
      <c r="V76" s="503"/>
      <c r="W76" s="503"/>
      <c r="X76" s="503"/>
      <c r="Y76" s="503"/>
      <c r="Z76" s="503"/>
      <c r="AA76" s="503"/>
      <c r="AB76" s="503"/>
      <c r="AC76" s="503"/>
      <c r="AD76" s="503"/>
      <c r="AE76" s="503"/>
      <c r="AF76" s="503"/>
      <c r="AG76" s="503"/>
      <c r="AH76" s="503"/>
      <c r="AI76" s="503"/>
      <c r="AJ76" s="503"/>
      <c r="AK76" s="503"/>
      <c r="AL76" s="503"/>
      <c r="AM76" s="503"/>
      <c r="AN76" s="520" t="s">
        <v>2914</v>
      </c>
      <c r="AT76" s="503"/>
      <c r="AU76" s="503"/>
      <c r="AV76" s="503"/>
      <c r="AW76" s="503"/>
      <c r="AX76" s="503"/>
      <c r="AY76" s="503"/>
    </row>
    <row r="77" ht="27.75" customHeight="1">
      <c r="A77" s="503"/>
      <c r="D77" s="691" t="s">
        <v>2915</v>
      </c>
      <c r="P77" s="692"/>
      <c r="Q77" s="692"/>
      <c r="R77" s="503"/>
      <c r="S77" s="503"/>
      <c r="T77" s="503"/>
      <c r="U77" s="503"/>
      <c r="V77" s="503"/>
      <c r="W77" s="503"/>
      <c r="X77" s="503"/>
      <c r="Y77" s="503"/>
      <c r="Z77" s="503"/>
      <c r="AA77" s="503"/>
      <c r="AB77" s="503"/>
      <c r="AC77" s="503"/>
      <c r="AD77" s="503"/>
      <c r="AE77" s="503"/>
      <c r="AF77" s="503"/>
      <c r="AG77" s="503"/>
      <c r="AH77" s="503"/>
      <c r="AI77" s="503"/>
      <c r="AJ77" s="503"/>
      <c r="AK77" s="503"/>
      <c r="AL77" s="503"/>
      <c r="AM77" s="503"/>
      <c r="AN77" s="503"/>
      <c r="AO77" s="503"/>
      <c r="AP77" s="503"/>
      <c r="AQ77" s="503"/>
      <c r="AR77" s="503"/>
      <c r="AS77" s="555" t="s">
        <v>2916</v>
      </c>
      <c r="AT77" s="555"/>
      <c r="AU77" s="503"/>
      <c r="AV77" s="503"/>
      <c r="AW77" s="503"/>
      <c r="AX77" s="503"/>
      <c r="AY77" s="503"/>
    </row>
    <row r="78" ht="27.75" customHeight="1">
      <c r="A78" s="503"/>
      <c r="D78" s="691" t="s">
        <v>1230</v>
      </c>
      <c r="P78" s="692"/>
      <c r="Q78" s="692"/>
      <c r="R78" s="503"/>
      <c r="S78" s="503"/>
      <c r="T78" s="503"/>
      <c r="U78" s="503"/>
      <c r="V78" s="503"/>
      <c r="W78" s="503"/>
      <c r="X78" s="503"/>
      <c r="Y78" s="503"/>
      <c r="Z78" s="503"/>
      <c r="AA78" s="503"/>
      <c r="AB78" s="503"/>
      <c r="AC78" s="503"/>
      <c r="AD78" s="503"/>
      <c r="AE78" s="503"/>
      <c r="AF78" s="503"/>
      <c r="AG78" s="503"/>
      <c r="AH78" s="503"/>
      <c r="AI78" s="503"/>
      <c r="AJ78" s="503"/>
      <c r="AK78" s="503"/>
      <c r="AL78" s="503"/>
      <c r="AM78" s="503"/>
      <c r="AN78" s="503"/>
      <c r="AO78" s="503"/>
      <c r="AP78" s="140"/>
      <c r="AQ78" s="503"/>
      <c r="AR78" s="503"/>
      <c r="AS78" s="555" t="s">
        <v>2917</v>
      </c>
      <c r="AT78" s="503"/>
      <c r="AU78" s="503"/>
      <c r="AV78" s="503"/>
      <c r="AW78" s="503"/>
      <c r="AX78" s="503"/>
      <c r="AY78" s="503"/>
    </row>
    <row r="79" ht="27.75" customHeight="1">
      <c r="A79" s="650"/>
      <c r="B79" s="650"/>
      <c r="C79" s="692"/>
      <c r="D79" s="692"/>
      <c r="E79" s="692"/>
      <c r="R79" s="503"/>
      <c r="S79" s="503"/>
      <c r="T79" s="503"/>
      <c r="U79" s="503"/>
      <c r="V79" s="503"/>
      <c r="W79" s="503"/>
      <c r="X79" s="503"/>
      <c r="Y79" s="503"/>
      <c r="Z79" s="503"/>
      <c r="AA79" s="503"/>
      <c r="AB79" s="503"/>
      <c r="AC79" s="503"/>
      <c r="AD79" s="503"/>
      <c r="AE79" s="503"/>
      <c r="AF79" s="503"/>
      <c r="AG79" s="503"/>
      <c r="AH79" s="503"/>
      <c r="AI79" s="503"/>
      <c r="AJ79" s="503"/>
      <c r="AK79" s="503"/>
      <c r="AL79" s="503"/>
      <c r="AM79" s="503"/>
      <c r="AN79" s="503"/>
      <c r="AO79" s="503"/>
      <c r="AP79" s="140"/>
      <c r="AQ79" s="503"/>
      <c r="AR79" s="503"/>
      <c r="AS79" s="555" t="s">
        <v>2918</v>
      </c>
      <c r="AT79" s="503"/>
      <c r="AU79" s="503"/>
      <c r="AV79" s="503"/>
      <c r="AW79" s="503"/>
      <c r="AX79" s="503"/>
      <c r="AY79" s="503"/>
    </row>
    <row r="80" ht="27.75" customHeight="1">
      <c r="A80" s="650"/>
      <c r="B80" s="650"/>
      <c r="C80" s="692"/>
      <c r="D80" s="692"/>
      <c r="Q80" s="650"/>
      <c r="R80" s="503"/>
      <c r="S80" s="503"/>
      <c r="T80" s="503"/>
      <c r="U80" s="503"/>
      <c r="V80" s="503"/>
      <c r="W80" s="503"/>
      <c r="X80" s="503"/>
      <c r="Y80" s="503"/>
      <c r="Z80" s="503"/>
      <c r="AA80" s="503"/>
      <c r="AB80" s="503"/>
      <c r="AC80" s="503"/>
      <c r="AD80" s="503"/>
      <c r="AE80" s="503"/>
      <c r="AF80" s="503"/>
      <c r="AG80" s="503"/>
      <c r="AH80" s="503"/>
      <c r="AI80" s="503"/>
      <c r="AJ80" s="503"/>
      <c r="AK80" s="503"/>
      <c r="AL80" s="503"/>
      <c r="AM80" s="503"/>
      <c r="AN80" s="503"/>
      <c r="AO80" s="503"/>
      <c r="AP80" s="503"/>
      <c r="AQ80" s="503"/>
      <c r="AR80" s="503"/>
      <c r="AS80" s="555" t="s">
        <v>2919</v>
      </c>
      <c r="AT80" s="503"/>
      <c r="AU80" s="503"/>
      <c r="AV80" s="503"/>
      <c r="AW80" s="503"/>
      <c r="AX80" s="503"/>
      <c r="AY80" s="503"/>
    </row>
    <row r="81" ht="27.75" customHeight="1">
      <c r="A81" s="650"/>
      <c r="B81" s="650"/>
      <c r="C81" s="692"/>
      <c r="D81" s="692"/>
      <c r="Q81" s="650"/>
      <c r="R81" s="503"/>
      <c r="S81" s="503"/>
      <c r="T81" s="503"/>
      <c r="U81" s="503"/>
      <c r="V81" s="503"/>
      <c r="W81" s="503"/>
      <c r="X81" s="503"/>
      <c r="Y81" s="503"/>
      <c r="Z81" s="503"/>
      <c r="AA81" s="503"/>
      <c r="AB81" s="503"/>
      <c r="AC81" s="503"/>
      <c r="AD81" s="503"/>
      <c r="AE81" s="503"/>
      <c r="AF81" s="503"/>
      <c r="AG81" s="503"/>
      <c r="AH81" s="503"/>
      <c r="AI81" s="503"/>
      <c r="AJ81" s="503"/>
      <c r="AK81" s="503"/>
      <c r="AL81" s="503"/>
      <c r="AM81" s="503"/>
      <c r="AN81" s="503"/>
      <c r="AO81" s="503"/>
      <c r="AP81" s="503"/>
      <c r="AQ81" s="503"/>
      <c r="AR81" s="503"/>
      <c r="AS81" s="555" t="s">
        <v>2920</v>
      </c>
      <c r="AT81" s="503"/>
      <c r="AU81" s="503"/>
      <c r="AV81" s="503"/>
      <c r="AW81" s="503"/>
      <c r="AX81" s="503"/>
      <c r="AY81" s="503"/>
    </row>
    <row r="82" ht="27.75" customHeight="1">
      <c r="A82" s="650"/>
      <c r="B82" s="650"/>
      <c r="C82" s="692"/>
      <c r="D82" s="692"/>
      <c r="Q82" s="650"/>
      <c r="R82" s="503"/>
      <c r="S82" s="503"/>
      <c r="T82" s="503"/>
      <c r="U82" s="503"/>
      <c r="V82" s="503"/>
      <c r="W82" s="503"/>
      <c r="X82" s="503"/>
      <c r="Y82" s="503"/>
      <c r="Z82" s="503"/>
      <c r="AA82" s="503"/>
      <c r="AB82" s="503"/>
      <c r="AC82" s="503"/>
      <c r="AD82" s="503"/>
      <c r="AE82" s="503"/>
      <c r="AF82" s="503"/>
      <c r="AG82" s="503"/>
      <c r="AH82" s="503"/>
      <c r="AI82" s="503"/>
      <c r="AJ82" s="503"/>
      <c r="AK82" s="503"/>
      <c r="AL82" s="503"/>
      <c r="AM82" s="503"/>
      <c r="AN82" s="503"/>
      <c r="AO82" s="503"/>
      <c r="AP82" s="503"/>
      <c r="AQ82" s="503"/>
      <c r="AR82" s="503"/>
      <c r="AS82" s="555" t="s">
        <v>2921</v>
      </c>
      <c r="AT82" s="503"/>
      <c r="AU82" s="503"/>
      <c r="AV82" s="503"/>
      <c r="AW82" s="503"/>
      <c r="AX82" s="503"/>
      <c r="AY82" s="503"/>
    </row>
    <row r="83" ht="27.75" customHeight="1">
      <c r="A83" s="650"/>
      <c r="B83" s="650"/>
      <c r="C83" s="692"/>
      <c r="D83" s="692"/>
      <c r="Q83" s="650"/>
      <c r="R83" s="503"/>
      <c r="S83" s="503"/>
      <c r="T83" s="503"/>
      <c r="U83" s="503"/>
      <c r="V83" s="503"/>
      <c r="W83" s="503"/>
      <c r="X83" s="503"/>
      <c r="Y83" s="503"/>
      <c r="Z83" s="503"/>
      <c r="AA83" s="503"/>
      <c r="AB83" s="503"/>
      <c r="AC83" s="503"/>
      <c r="AD83" s="503"/>
      <c r="AE83" s="503"/>
      <c r="AF83" s="503"/>
      <c r="AG83" s="503"/>
      <c r="AH83" s="503"/>
      <c r="AI83" s="503"/>
      <c r="AJ83" s="503"/>
      <c r="AK83" s="503"/>
      <c r="AL83" s="503"/>
      <c r="AM83" s="503"/>
      <c r="AN83" s="503"/>
      <c r="AO83" s="503"/>
      <c r="AP83" s="503"/>
      <c r="AQ83" s="503"/>
      <c r="AR83" s="140"/>
      <c r="AS83" s="555" t="s">
        <v>2922</v>
      </c>
      <c r="AT83" s="503"/>
      <c r="AU83" s="503"/>
      <c r="AV83" s="503"/>
      <c r="AW83" s="503"/>
      <c r="AX83" s="503"/>
      <c r="AY83" s="503"/>
    </row>
    <row r="84" ht="27.75" customHeight="1">
      <c r="A84" s="650"/>
      <c r="B84" s="650"/>
      <c r="C84" s="692"/>
      <c r="D84" s="692"/>
      <c r="Q84" s="650"/>
      <c r="R84" s="503"/>
      <c r="S84" s="503"/>
      <c r="T84" s="503"/>
      <c r="U84" s="503"/>
      <c r="V84" s="503"/>
      <c r="W84" s="503"/>
      <c r="X84" s="503"/>
      <c r="Y84" s="503"/>
      <c r="Z84" s="503"/>
      <c r="AA84" s="503"/>
      <c r="AB84" s="503"/>
      <c r="AC84" s="503"/>
      <c r="AD84" s="503"/>
      <c r="AE84" s="503"/>
      <c r="AF84" s="503"/>
      <c r="AG84" s="503"/>
      <c r="AH84" s="503"/>
      <c r="AI84" s="503"/>
      <c r="AJ84" s="503"/>
      <c r="AK84" s="503"/>
      <c r="AL84" s="503"/>
      <c r="AM84" s="503"/>
      <c r="AN84" s="503"/>
      <c r="AO84" s="503"/>
      <c r="AP84" s="503"/>
      <c r="AQ84" s="503"/>
      <c r="AR84" s="140"/>
      <c r="AS84" s="555" t="s">
        <v>2923</v>
      </c>
      <c r="AT84" s="503"/>
      <c r="AU84" s="503"/>
      <c r="AV84" s="503"/>
      <c r="AW84" s="503"/>
      <c r="AX84" s="503"/>
      <c r="AY84" s="503"/>
    </row>
    <row r="85" ht="27.75" customHeight="1">
      <c r="A85" s="650"/>
      <c r="B85" s="650"/>
      <c r="C85" s="692"/>
      <c r="D85" s="692"/>
      <c r="Q85" s="650"/>
      <c r="R85" s="503"/>
      <c r="S85" s="503"/>
      <c r="T85" s="503"/>
      <c r="U85" s="503"/>
      <c r="V85" s="503"/>
      <c r="W85" s="503"/>
      <c r="X85" s="503"/>
      <c r="Y85" s="503"/>
      <c r="Z85" s="503"/>
      <c r="AA85" s="503"/>
      <c r="AB85" s="503"/>
      <c r="AC85" s="503"/>
      <c r="AD85" s="503"/>
      <c r="AE85" s="503"/>
      <c r="AF85" s="503"/>
      <c r="AG85" s="503"/>
      <c r="AH85" s="503"/>
      <c r="AI85" s="503"/>
      <c r="AJ85" s="503"/>
      <c r="AK85" s="503"/>
      <c r="AL85" s="655" t="s">
        <v>2924</v>
      </c>
      <c r="AT85" s="503"/>
      <c r="AU85" s="503"/>
      <c r="AV85" s="503"/>
      <c r="AW85" s="503"/>
      <c r="AX85" s="503"/>
      <c r="AY85" s="503"/>
    </row>
    <row r="86" ht="18.75" customHeight="1">
      <c r="A86" s="650"/>
      <c r="B86" s="650"/>
      <c r="C86" s="692"/>
      <c r="D86" s="692"/>
      <c r="Q86" s="650"/>
      <c r="R86" s="503"/>
      <c r="S86" s="503"/>
      <c r="T86" s="503"/>
      <c r="U86" s="503"/>
      <c r="V86" s="503"/>
      <c r="W86" s="503"/>
      <c r="X86" s="503"/>
      <c r="Y86" s="503"/>
      <c r="Z86" s="503"/>
      <c r="AA86" s="503"/>
      <c r="AB86" s="503"/>
      <c r="AC86" s="503"/>
      <c r="AD86" s="503"/>
      <c r="AE86" s="503"/>
      <c r="AF86" s="503"/>
      <c r="AG86" s="503"/>
      <c r="AH86" s="503"/>
      <c r="AI86" s="503"/>
      <c r="AJ86" s="503"/>
      <c r="AK86" s="503"/>
      <c r="AL86" s="693" t="s">
        <v>2925</v>
      </c>
      <c r="AT86" s="503"/>
      <c r="AU86" s="503"/>
      <c r="AV86" s="503"/>
      <c r="AW86" s="503"/>
      <c r="AX86" s="503"/>
      <c r="AY86" s="503"/>
    </row>
    <row r="87" ht="36.0" customHeight="1">
      <c r="A87" s="650"/>
      <c r="B87" s="650"/>
      <c r="C87" s="692"/>
      <c r="D87" s="692"/>
      <c r="Q87" s="650"/>
      <c r="R87" s="503"/>
      <c r="S87" s="503"/>
      <c r="T87" s="503"/>
      <c r="U87" s="503"/>
      <c r="V87" s="503"/>
      <c r="W87" s="503"/>
      <c r="X87" s="503"/>
      <c r="Y87" s="503"/>
      <c r="Z87" s="503"/>
      <c r="AA87" s="503"/>
      <c r="AB87" s="503"/>
      <c r="AC87" s="503"/>
      <c r="AD87" s="503"/>
      <c r="AE87" s="503"/>
      <c r="AF87" s="503"/>
      <c r="AG87" s="503"/>
      <c r="AH87" s="503"/>
      <c r="AI87" s="503"/>
      <c r="AJ87" s="503"/>
      <c r="AK87" s="503"/>
      <c r="AL87" s="693" t="s">
        <v>2926</v>
      </c>
      <c r="AT87" s="503"/>
      <c r="AU87" s="503"/>
      <c r="AV87" s="503"/>
      <c r="AW87" s="503"/>
      <c r="AX87" s="503"/>
      <c r="AY87" s="503"/>
    </row>
    <row r="88" ht="18.75" customHeight="1">
      <c r="A88" s="650"/>
      <c r="B88" s="650"/>
      <c r="C88" s="692"/>
      <c r="D88" s="692"/>
      <c r="Q88" s="650"/>
      <c r="R88" s="503"/>
      <c r="S88" s="503"/>
      <c r="T88" s="503"/>
      <c r="U88" s="503"/>
      <c r="V88" s="503"/>
      <c r="W88" s="503"/>
      <c r="X88" s="503"/>
      <c r="Y88" s="503"/>
      <c r="Z88" s="503"/>
      <c r="AA88" s="503"/>
      <c r="AB88" s="503"/>
      <c r="AC88" s="503"/>
      <c r="AD88" s="503"/>
      <c r="AE88" s="503"/>
      <c r="AF88" s="503"/>
      <c r="AG88" s="503"/>
      <c r="AH88" s="503"/>
      <c r="AI88" s="503"/>
      <c r="AJ88" s="503"/>
      <c r="AK88" s="503"/>
      <c r="AL88" s="520" t="s">
        <v>2927</v>
      </c>
      <c r="AT88" s="503"/>
      <c r="AU88" s="503"/>
      <c r="AV88" s="503"/>
      <c r="AW88" s="503"/>
      <c r="AX88" s="503"/>
      <c r="AY88" s="503"/>
    </row>
    <row r="89" ht="18.75" customHeight="1">
      <c r="A89" s="650"/>
      <c r="B89" s="650"/>
      <c r="C89" s="692"/>
      <c r="D89" s="692"/>
      <c r="Q89" s="650"/>
      <c r="R89" s="503"/>
      <c r="S89" s="503"/>
      <c r="T89" s="503"/>
      <c r="U89" s="503"/>
      <c r="V89" s="503"/>
      <c r="W89" s="503"/>
      <c r="X89" s="503"/>
      <c r="Y89" s="503"/>
      <c r="Z89" s="503"/>
      <c r="AA89" s="503"/>
      <c r="AB89" s="503"/>
      <c r="AC89" s="503"/>
      <c r="AD89" s="503"/>
      <c r="AE89" s="503"/>
      <c r="AF89" s="503"/>
      <c r="AG89" s="503"/>
      <c r="AH89" s="503"/>
      <c r="AI89" s="503"/>
      <c r="AJ89" s="503"/>
      <c r="AK89" s="503"/>
      <c r="AL89" s="503"/>
      <c r="AM89" s="503"/>
      <c r="AN89" s="503"/>
      <c r="AO89" s="503"/>
      <c r="AP89" s="693" t="s">
        <v>2928</v>
      </c>
      <c r="AT89" s="503"/>
      <c r="AU89" s="503"/>
      <c r="AV89" s="503"/>
      <c r="AW89" s="503"/>
      <c r="AX89" s="503"/>
      <c r="AY89" s="503"/>
    </row>
    <row r="90" ht="18.75" customHeight="1">
      <c r="A90" s="650"/>
      <c r="B90" s="650"/>
      <c r="C90" s="692"/>
      <c r="D90" s="692"/>
      <c r="Q90" s="650"/>
      <c r="R90" s="503"/>
      <c r="S90" s="503"/>
      <c r="T90" s="503"/>
      <c r="U90" s="503"/>
      <c r="V90" s="503"/>
      <c r="W90" s="503"/>
      <c r="X90" s="503"/>
      <c r="Y90" s="503"/>
      <c r="Z90" s="503"/>
      <c r="AA90" s="503"/>
      <c r="AB90" s="503"/>
      <c r="AC90" s="503"/>
      <c r="AD90" s="503"/>
      <c r="AE90" s="503"/>
      <c r="AF90" s="503"/>
      <c r="AG90" s="503"/>
      <c r="AH90" s="503"/>
      <c r="AI90" s="503"/>
      <c r="AJ90" s="503"/>
      <c r="AK90" s="503"/>
      <c r="AL90" s="503"/>
      <c r="AM90" s="503"/>
      <c r="AN90" s="503"/>
      <c r="AO90" s="503"/>
      <c r="AP90" s="503"/>
      <c r="AQ90" s="503"/>
      <c r="AR90" s="503"/>
      <c r="AS90" s="503"/>
      <c r="AT90" s="503"/>
      <c r="AU90" s="503"/>
      <c r="AV90" s="503"/>
      <c r="AW90" s="503"/>
      <c r="AX90" s="503"/>
      <c r="AY90" s="503"/>
    </row>
    <row r="91" ht="18.75" customHeight="1">
      <c r="A91" s="650"/>
      <c r="B91" s="650"/>
      <c r="C91" s="692"/>
      <c r="D91" s="692"/>
      <c r="Q91" s="650"/>
      <c r="R91" s="503"/>
      <c r="S91" s="503"/>
      <c r="T91" s="503"/>
      <c r="U91" s="503"/>
      <c r="V91" s="503"/>
      <c r="W91" s="503"/>
      <c r="X91" s="503"/>
      <c r="Y91" s="503"/>
      <c r="Z91" s="503"/>
      <c r="AA91" s="503"/>
      <c r="AB91" s="503"/>
      <c r="AC91" s="503"/>
      <c r="AD91" s="503"/>
      <c r="AE91" s="503"/>
      <c r="AF91" s="503"/>
      <c r="AG91" s="503"/>
      <c r="AH91" s="503"/>
      <c r="AI91" s="503"/>
      <c r="AJ91" s="503"/>
      <c r="AK91" s="503"/>
      <c r="AL91" s="503"/>
      <c r="AM91" s="503"/>
      <c r="AN91" s="503"/>
      <c r="AO91" s="503"/>
      <c r="AP91" s="503"/>
      <c r="AQ91" s="503"/>
      <c r="AR91" s="503"/>
      <c r="AS91" s="503"/>
      <c r="AT91" s="503"/>
      <c r="AU91" s="503"/>
      <c r="AV91" s="503"/>
      <c r="AW91" s="503"/>
      <c r="AX91" s="503"/>
      <c r="AY91" s="503"/>
    </row>
    <row r="92" ht="18.75" customHeight="1">
      <c r="A92" s="650"/>
      <c r="B92" s="650"/>
      <c r="C92" s="692"/>
      <c r="D92" s="692"/>
      <c r="Q92" s="650"/>
      <c r="R92" s="503"/>
      <c r="S92" s="503"/>
      <c r="T92" s="503"/>
      <c r="U92" s="503"/>
      <c r="V92" s="503"/>
      <c r="W92" s="503"/>
      <c r="X92" s="503"/>
      <c r="Y92" s="503"/>
      <c r="Z92" s="503"/>
      <c r="AA92" s="503"/>
      <c r="AB92" s="503"/>
      <c r="AC92" s="503"/>
      <c r="AD92" s="503"/>
      <c r="AE92" s="503"/>
      <c r="AF92" s="503"/>
      <c r="AG92" s="503"/>
      <c r="AH92" s="503"/>
      <c r="AI92" s="503"/>
      <c r="AJ92" s="503"/>
      <c r="AK92" s="503"/>
      <c r="AL92" s="503"/>
      <c r="AM92" s="503"/>
      <c r="AN92" s="503"/>
      <c r="AO92" s="503"/>
      <c r="AP92" s="503"/>
      <c r="AQ92" s="503"/>
      <c r="AR92" s="503"/>
      <c r="AS92" s="503"/>
      <c r="AT92" s="503"/>
      <c r="AU92" s="503"/>
      <c r="AV92" s="503"/>
      <c r="AW92" s="503"/>
      <c r="AX92" s="503"/>
      <c r="AY92" s="503"/>
    </row>
    <row r="93" ht="18.75" customHeight="1">
      <c r="A93" s="650"/>
      <c r="B93" s="650"/>
      <c r="C93" s="692"/>
      <c r="D93" s="692"/>
      <c r="Q93" s="650"/>
      <c r="R93" s="503"/>
      <c r="S93" s="503"/>
      <c r="T93" s="503"/>
      <c r="U93" s="503"/>
      <c r="V93" s="503"/>
      <c r="W93" s="503"/>
      <c r="X93" s="503"/>
      <c r="Y93" s="503"/>
      <c r="Z93" s="503"/>
      <c r="AA93" s="503"/>
      <c r="AB93" s="503"/>
      <c r="AC93" s="503"/>
      <c r="AD93" s="503"/>
      <c r="AE93" s="503"/>
      <c r="AF93" s="503"/>
      <c r="AG93" s="503"/>
      <c r="AH93" s="503"/>
      <c r="AI93" s="503"/>
      <c r="AJ93" s="503"/>
      <c r="AK93" s="503"/>
      <c r="AL93" s="503"/>
      <c r="AM93" s="503"/>
      <c r="AN93" s="503"/>
      <c r="AO93" s="503"/>
      <c r="AP93" s="503"/>
      <c r="AQ93" s="503"/>
      <c r="AR93" s="503"/>
      <c r="AS93" s="503"/>
      <c r="AT93" s="503"/>
      <c r="AU93" s="503"/>
      <c r="AV93" s="503"/>
      <c r="AW93" s="503"/>
      <c r="AX93" s="503"/>
      <c r="AY93" s="503"/>
    </row>
    <row r="94" ht="18.75" customHeight="1">
      <c r="A94" s="650"/>
      <c r="B94" s="650"/>
      <c r="C94" s="692"/>
      <c r="D94" s="692"/>
      <c r="Q94" s="650"/>
      <c r="R94" s="503"/>
      <c r="S94" s="503"/>
      <c r="T94" s="503"/>
      <c r="U94" s="503"/>
      <c r="V94" s="503"/>
      <c r="W94" s="503"/>
      <c r="X94" s="503"/>
      <c r="Y94" s="503"/>
      <c r="Z94" s="503"/>
      <c r="AA94" s="503"/>
      <c r="AB94" s="503"/>
      <c r="AC94" s="503"/>
      <c r="AD94" s="503"/>
      <c r="AE94" s="503"/>
      <c r="AF94" s="503"/>
      <c r="AG94" s="503"/>
      <c r="AH94" s="503"/>
      <c r="AI94" s="503"/>
      <c r="AJ94" s="503"/>
      <c r="AK94" s="503"/>
      <c r="AL94" s="503"/>
      <c r="AM94" s="503"/>
      <c r="AN94" s="503"/>
      <c r="AO94" s="503"/>
      <c r="AP94" s="503"/>
      <c r="AQ94" s="503"/>
      <c r="AR94" s="503"/>
      <c r="AS94" s="503"/>
      <c r="AT94" s="503"/>
      <c r="AU94" s="503"/>
      <c r="AV94" s="503"/>
      <c r="AW94" s="503"/>
      <c r="AX94" s="503"/>
      <c r="AY94" s="503"/>
    </row>
    <row r="95" ht="18.75" customHeight="1">
      <c r="A95" s="650"/>
      <c r="B95" s="650"/>
      <c r="C95" s="692"/>
      <c r="D95" s="692"/>
      <c r="Q95" s="650"/>
      <c r="R95" s="503"/>
      <c r="S95" s="503"/>
      <c r="T95" s="503"/>
      <c r="U95" s="503"/>
      <c r="V95" s="503"/>
      <c r="W95" s="503"/>
      <c r="X95" s="503"/>
      <c r="Y95" s="503"/>
      <c r="Z95" s="503"/>
      <c r="AA95" s="503"/>
      <c r="AB95" s="503"/>
      <c r="AC95" s="503"/>
      <c r="AD95" s="503"/>
      <c r="AE95" s="503"/>
      <c r="AF95" s="503"/>
      <c r="AG95" s="503"/>
      <c r="AH95" s="503"/>
      <c r="AI95" s="503"/>
      <c r="AJ95" s="503"/>
      <c r="AK95" s="503"/>
      <c r="AL95" s="503"/>
      <c r="AM95" s="503"/>
      <c r="AN95" s="503"/>
      <c r="AO95" s="503"/>
      <c r="AP95" s="503"/>
      <c r="AQ95" s="503"/>
      <c r="AR95" s="503"/>
      <c r="AS95" s="503"/>
      <c r="AT95" s="503"/>
      <c r="AU95" s="503"/>
      <c r="AV95" s="503"/>
      <c r="AW95" s="503"/>
      <c r="AX95" s="503"/>
      <c r="AY95" s="503"/>
    </row>
    <row r="96" ht="18.75" customHeight="1">
      <c r="A96" s="650"/>
      <c r="B96" s="650"/>
      <c r="C96" s="692"/>
      <c r="D96" s="692"/>
      <c r="Q96" s="650"/>
      <c r="R96" s="503"/>
      <c r="S96" s="503"/>
      <c r="T96" s="503"/>
      <c r="U96" s="503"/>
      <c r="V96" s="503"/>
      <c r="W96" s="503"/>
      <c r="X96" s="503"/>
      <c r="Y96" s="503"/>
      <c r="Z96" s="503"/>
      <c r="AA96" s="503"/>
      <c r="AB96" s="503"/>
      <c r="AC96" s="503"/>
      <c r="AD96" s="503"/>
      <c r="AE96" s="503"/>
      <c r="AF96" s="503"/>
      <c r="AG96" s="503"/>
      <c r="AH96" s="503"/>
      <c r="AI96" s="503"/>
      <c r="AJ96" s="503"/>
      <c r="AK96" s="503"/>
      <c r="AL96" s="503"/>
      <c r="AM96" s="503"/>
      <c r="AN96" s="503"/>
      <c r="AO96" s="503"/>
      <c r="AP96" s="503"/>
      <c r="AQ96" s="503"/>
      <c r="AR96" s="503"/>
      <c r="AS96" s="503"/>
      <c r="AT96" s="503"/>
      <c r="AU96" s="503"/>
      <c r="AV96" s="503"/>
      <c r="AW96" s="503"/>
      <c r="AX96" s="503"/>
      <c r="AY96" s="503"/>
    </row>
    <row r="97" ht="27.0" customHeight="1">
      <c r="A97" s="650"/>
      <c r="B97" s="650"/>
      <c r="C97" s="692"/>
      <c r="D97" s="692"/>
      <c r="Q97" s="650"/>
      <c r="R97" s="503"/>
      <c r="S97" s="503"/>
      <c r="T97" s="503"/>
      <c r="U97" s="503"/>
      <c r="V97" s="503"/>
      <c r="W97" s="503"/>
      <c r="X97" s="503"/>
      <c r="Y97" s="503"/>
      <c r="Z97" s="503"/>
      <c r="AA97" s="503"/>
      <c r="AB97" s="503"/>
      <c r="AC97" s="503"/>
      <c r="AD97" s="503"/>
      <c r="AE97" s="503"/>
      <c r="AF97" s="503"/>
      <c r="AG97" s="503"/>
      <c r="AH97" s="503"/>
      <c r="AI97" s="503"/>
      <c r="AJ97" s="503"/>
      <c r="AK97" s="503"/>
      <c r="AL97" s="503"/>
      <c r="AM97" s="503"/>
      <c r="AN97" s="503"/>
      <c r="AO97" s="503"/>
      <c r="AP97" s="503"/>
      <c r="AQ97" s="503"/>
      <c r="AR97" s="503"/>
      <c r="AS97" s="503"/>
      <c r="AT97" s="503"/>
      <c r="AU97" s="503"/>
      <c r="AV97" s="503"/>
      <c r="AW97" s="503"/>
      <c r="AX97" s="503"/>
      <c r="AY97" s="503"/>
    </row>
    <row r="98" ht="21.75" customHeight="1">
      <c r="A98" s="650"/>
      <c r="B98" s="650"/>
      <c r="C98" s="692"/>
      <c r="D98" s="692"/>
      <c r="Q98" s="650"/>
      <c r="R98" s="650"/>
      <c r="S98" s="650"/>
      <c r="T98" s="650"/>
      <c r="U98" s="650"/>
      <c r="V98" s="650"/>
      <c r="W98" s="650"/>
      <c r="X98" s="650"/>
      <c r="Y98" s="650"/>
      <c r="Z98" s="650"/>
      <c r="AA98" s="650"/>
      <c r="AB98" s="650"/>
      <c r="AC98" s="650"/>
      <c r="AD98" s="650"/>
      <c r="AE98" s="650"/>
      <c r="AF98" s="650"/>
      <c r="AG98" s="650"/>
      <c r="AH98" s="650"/>
      <c r="AI98" s="650"/>
      <c r="AJ98" s="650"/>
      <c r="AK98" s="650"/>
      <c r="AL98" s="650"/>
      <c r="AM98" s="650"/>
      <c r="AN98" s="650"/>
      <c r="AO98" s="650"/>
      <c r="AP98" s="650"/>
      <c r="AQ98" s="650"/>
      <c r="AR98" s="650"/>
      <c r="AS98" s="650"/>
      <c r="AT98" s="650"/>
      <c r="AU98" s="650"/>
      <c r="AV98" s="650"/>
      <c r="AW98" s="650"/>
      <c r="AX98" s="650"/>
      <c r="AY98" s="650"/>
    </row>
    <row r="99" ht="21.75" customHeight="1">
      <c r="A99" s="650"/>
      <c r="B99" s="650"/>
      <c r="C99" s="692"/>
      <c r="D99" s="692"/>
      <c r="Q99" s="650"/>
      <c r="R99" s="650"/>
      <c r="S99" s="650"/>
      <c r="T99" s="650"/>
      <c r="U99" s="650"/>
      <c r="V99" s="650"/>
      <c r="W99" s="650"/>
      <c r="X99" s="650"/>
      <c r="Y99" s="650"/>
      <c r="Z99" s="650"/>
      <c r="AA99" s="650"/>
      <c r="AB99" s="650"/>
      <c r="AC99" s="650"/>
      <c r="AD99" s="650"/>
      <c r="AE99" s="650"/>
      <c r="AF99" s="650"/>
      <c r="AG99" s="650"/>
      <c r="AH99" s="650"/>
      <c r="AI99" s="650"/>
      <c r="AJ99" s="650"/>
      <c r="AK99" s="650"/>
      <c r="AL99" s="650"/>
      <c r="AM99" s="650"/>
      <c r="AN99" s="650"/>
      <c r="AO99" s="650"/>
      <c r="AP99" s="650"/>
      <c r="AQ99" s="650"/>
      <c r="AR99" s="650"/>
      <c r="AS99" s="650"/>
      <c r="AT99" s="650"/>
      <c r="AU99" s="650"/>
      <c r="AV99" s="650"/>
      <c r="AW99" s="650"/>
      <c r="AX99" s="650"/>
      <c r="AY99" s="650"/>
    </row>
    <row r="100" ht="21.75" customHeight="1">
      <c r="A100" s="650"/>
      <c r="B100" s="650"/>
      <c r="C100" s="692"/>
      <c r="D100" s="692"/>
      <c r="Q100" s="650"/>
      <c r="R100" s="650"/>
      <c r="S100" s="650"/>
      <c r="T100" s="650"/>
      <c r="U100" s="650"/>
      <c r="V100" s="650"/>
      <c r="W100" s="650"/>
      <c r="X100" s="650"/>
      <c r="Y100" s="650"/>
      <c r="Z100" s="650"/>
      <c r="AA100" s="650"/>
      <c r="AB100" s="650"/>
      <c r="AC100" s="650"/>
      <c r="AD100" s="650"/>
      <c r="AE100" s="650"/>
      <c r="AF100" s="650"/>
      <c r="AG100" s="650"/>
      <c r="AH100" s="650"/>
      <c r="AI100" s="650"/>
      <c r="AJ100" s="650"/>
      <c r="AK100" s="650"/>
      <c r="AL100" s="650"/>
      <c r="AM100" s="650"/>
      <c r="AN100" s="650"/>
      <c r="AO100" s="650"/>
      <c r="AP100" s="650"/>
      <c r="AQ100" s="650"/>
      <c r="AR100" s="650"/>
      <c r="AS100" s="650"/>
      <c r="AT100" s="650"/>
      <c r="AU100" s="650"/>
      <c r="AV100" s="650"/>
      <c r="AW100" s="650"/>
      <c r="AX100" s="650"/>
      <c r="AY100" s="650"/>
    </row>
    <row r="101" ht="21.75" customHeight="1">
      <c r="A101" s="650"/>
      <c r="B101" s="650"/>
      <c r="C101" s="692"/>
      <c r="D101" s="692"/>
      <c r="Q101" s="650"/>
      <c r="R101" s="650"/>
      <c r="S101" s="650"/>
      <c r="T101" s="650"/>
      <c r="U101" s="650"/>
      <c r="V101" s="650"/>
      <c r="W101" s="650"/>
      <c r="X101" s="650"/>
      <c r="Y101" s="650"/>
      <c r="Z101" s="650"/>
      <c r="AA101" s="650"/>
      <c r="AB101" s="650"/>
      <c r="AC101" s="650"/>
      <c r="AD101" s="650"/>
      <c r="AE101" s="650"/>
      <c r="AF101" s="650"/>
      <c r="AG101" s="650"/>
      <c r="AH101" s="650"/>
      <c r="AI101" s="650"/>
      <c r="AJ101" s="650"/>
      <c r="AK101" s="650"/>
      <c r="AL101" s="650"/>
      <c r="AM101" s="650"/>
      <c r="AN101" s="650"/>
      <c r="AO101" s="650"/>
      <c r="AP101" s="650"/>
      <c r="AQ101" s="650"/>
      <c r="AR101" s="650"/>
      <c r="AS101" s="650"/>
      <c r="AT101" s="650"/>
      <c r="AU101" s="650"/>
      <c r="AV101" s="650"/>
      <c r="AW101" s="650"/>
      <c r="AX101" s="650"/>
      <c r="AY101" s="650"/>
    </row>
    <row r="102" ht="21.75" customHeight="1">
      <c r="A102" s="650"/>
      <c r="B102" s="650"/>
      <c r="C102" s="692"/>
      <c r="D102" s="692"/>
      <c r="Q102" s="650"/>
      <c r="R102" s="650"/>
      <c r="S102" s="650"/>
      <c r="T102" s="650"/>
      <c r="U102" s="650"/>
      <c r="V102" s="650"/>
      <c r="W102" s="650"/>
      <c r="X102" s="650"/>
      <c r="Y102" s="650"/>
      <c r="Z102" s="650"/>
      <c r="AA102" s="650"/>
      <c r="AB102" s="650"/>
      <c r="AC102" s="650"/>
      <c r="AD102" s="650"/>
      <c r="AE102" s="650"/>
      <c r="AF102" s="650"/>
      <c r="AG102" s="650"/>
      <c r="AH102" s="650"/>
      <c r="AI102" s="650"/>
      <c r="AJ102" s="650"/>
      <c r="AK102" s="650"/>
      <c r="AL102" s="650"/>
      <c r="AM102" s="650"/>
      <c r="AN102" s="650"/>
      <c r="AO102" s="650"/>
      <c r="AP102" s="650"/>
      <c r="AQ102" s="650"/>
      <c r="AR102" s="650"/>
      <c r="AS102" s="650"/>
      <c r="AT102" s="650"/>
      <c r="AU102" s="650"/>
      <c r="AV102" s="650"/>
      <c r="AW102" s="650"/>
      <c r="AX102" s="650"/>
      <c r="AY102" s="650"/>
    </row>
    <row r="103" ht="21.75" customHeight="1">
      <c r="A103" s="650"/>
      <c r="B103" s="650"/>
      <c r="C103" s="692"/>
      <c r="D103" s="692"/>
      <c r="Q103" s="650"/>
      <c r="R103" s="650"/>
      <c r="S103" s="650"/>
      <c r="T103" s="650"/>
      <c r="U103" s="650"/>
      <c r="V103" s="650"/>
      <c r="W103" s="650"/>
      <c r="X103" s="650"/>
      <c r="Y103" s="650"/>
      <c r="Z103" s="650"/>
      <c r="AA103" s="650"/>
      <c r="AB103" s="650"/>
      <c r="AC103" s="650"/>
      <c r="AD103" s="650"/>
      <c r="AE103" s="650"/>
      <c r="AF103" s="650"/>
      <c r="AG103" s="650"/>
      <c r="AH103" s="650"/>
      <c r="AI103" s="650"/>
      <c r="AJ103" s="650"/>
      <c r="AK103" s="650"/>
      <c r="AL103" s="650"/>
      <c r="AM103" s="650"/>
      <c r="AN103" s="650"/>
      <c r="AO103" s="650"/>
      <c r="AP103" s="650"/>
      <c r="AQ103" s="650"/>
      <c r="AR103" s="650"/>
      <c r="AS103" s="650"/>
      <c r="AT103" s="650"/>
      <c r="AU103" s="650"/>
      <c r="AV103" s="650"/>
      <c r="AW103" s="650"/>
      <c r="AX103" s="650"/>
      <c r="AY103" s="650"/>
    </row>
    <row r="104" ht="21.75" customHeight="1">
      <c r="A104" s="650"/>
      <c r="B104" s="650"/>
      <c r="C104" s="508"/>
      <c r="D104" s="508"/>
      <c r="E104" s="508"/>
      <c r="F104" s="508"/>
      <c r="G104" s="508"/>
      <c r="H104" s="508"/>
      <c r="I104" s="508"/>
      <c r="J104" s="508"/>
      <c r="K104" s="508"/>
      <c r="L104" s="508"/>
      <c r="M104" s="508"/>
      <c r="N104" s="508"/>
      <c r="O104" s="692"/>
      <c r="P104" s="692"/>
      <c r="Q104" s="650"/>
      <c r="R104" s="650"/>
      <c r="S104" s="650"/>
      <c r="T104" s="650"/>
      <c r="U104" s="650"/>
      <c r="V104" s="650"/>
      <c r="W104" s="650"/>
      <c r="X104" s="650"/>
      <c r="Y104" s="650"/>
      <c r="Z104" s="650"/>
      <c r="AA104" s="650"/>
      <c r="AB104" s="650"/>
      <c r="AC104" s="650"/>
      <c r="AD104" s="650"/>
      <c r="AE104" s="650"/>
      <c r="AF104" s="650"/>
      <c r="AG104" s="650"/>
      <c r="AH104" s="650"/>
      <c r="AI104" s="650"/>
      <c r="AJ104" s="650"/>
      <c r="AK104" s="650"/>
      <c r="AL104" s="650"/>
      <c r="AM104" s="650"/>
      <c r="AN104" s="650"/>
      <c r="AO104" s="650"/>
      <c r="AP104" s="650"/>
      <c r="AQ104" s="650"/>
      <c r="AR104" s="650"/>
      <c r="AS104" s="650"/>
      <c r="AT104" s="650"/>
      <c r="AU104" s="650"/>
      <c r="AV104" s="650"/>
      <c r="AW104" s="650"/>
      <c r="AX104" s="650"/>
      <c r="AY104" s="650"/>
    </row>
    <row r="105" ht="21.75" customHeight="1">
      <c r="A105" s="650"/>
      <c r="B105" s="650"/>
      <c r="C105" s="691"/>
      <c r="O105" s="692"/>
      <c r="P105" s="692"/>
      <c r="Q105" s="650"/>
      <c r="R105" s="650"/>
      <c r="S105" s="650"/>
      <c r="T105" s="650"/>
      <c r="U105" s="650"/>
      <c r="V105" s="650"/>
      <c r="W105" s="650"/>
      <c r="X105" s="650"/>
      <c r="Y105" s="650"/>
      <c r="Z105" s="650"/>
      <c r="AA105" s="650"/>
      <c r="AB105" s="650"/>
      <c r="AC105" s="650"/>
      <c r="AD105" s="650"/>
      <c r="AE105" s="650"/>
      <c r="AF105" s="650"/>
      <c r="AG105" s="650"/>
      <c r="AH105" s="650"/>
      <c r="AI105" s="650"/>
      <c r="AJ105" s="650"/>
      <c r="AK105" s="650"/>
      <c r="AL105" s="650"/>
      <c r="AM105" s="650"/>
      <c r="AN105" s="650"/>
      <c r="AO105" s="650"/>
      <c r="AP105" s="650"/>
      <c r="AQ105" s="650"/>
      <c r="AR105" s="650"/>
      <c r="AS105" s="650"/>
      <c r="AT105" s="650"/>
      <c r="AU105" s="650"/>
      <c r="AV105" s="650"/>
      <c r="AW105" s="650"/>
      <c r="AX105" s="650"/>
      <c r="AY105" s="650"/>
    </row>
    <row r="106" ht="21.75" customHeight="1">
      <c r="A106" s="650"/>
      <c r="B106" s="650"/>
      <c r="Q106" s="650"/>
      <c r="R106" s="650"/>
      <c r="S106" s="650"/>
      <c r="T106" s="650"/>
      <c r="U106" s="650"/>
      <c r="V106" s="650"/>
      <c r="W106" s="650"/>
      <c r="X106" s="650"/>
      <c r="Y106" s="650"/>
      <c r="Z106" s="650"/>
      <c r="AA106" s="650"/>
      <c r="AB106" s="650"/>
      <c r="AC106" s="650"/>
      <c r="AD106" s="650"/>
      <c r="AE106" s="650"/>
      <c r="AF106" s="650"/>
      <c r="AG106" s="650"/>
      <c r="AH106" s="650"/>
      <c r="AI106" s="650"/>
      <c r="AJ106" s="650"/>
      <c r="AK106" s="650"/>
      <c r="AL106" s="650"/>
      <c r="AM106" s="650"/>
      <c r="AN106" s="650"/>
      <c r="AO106" s="650"/>
      <c r="AP106" s="650"/>
      <c r="AQ106" s="650"/>
      <c r="AR106" s="650"/>
      <c r="AS106" s="650"/>
      <c r="AT106" s="650"/>
      <c r="AU106" s="650"/>
      <c r="AV106" s="650"/>
      <c r="AW106" s="650"/>
      <c r="AX106" s="650"/>
      <c r="AY106" s="650"/>
    </row>
    <row r="107" ht="21.75" customHeight="1">
      <c r="A107" s="650"/>
      <c r="B107" s="650"/>
      <c r="Q107" s="650"/>
      <c r="R107" s="650"/>
      <c r="S107" s="650"/>
      <c r="T107" s="650"/>
      <c r="U107" s="650"/>
      <c r="V107" s="650"/>
      <c r="W107" s="650"/>
      <c r="X107" s="650"/>
      <c r="Y107" s="650"/>
      <c r="Z107" s="650"/>
      <c r="AA107" s="650"/>
      <c r="AB107" s="650"/>
      <c r="AC107" s="650"/>
      <c r="AD107" s="650"/>
      <c r="AE107" s="650"/>
      <c r="AF107" s="650"/>
      <c r="AG107" s="650"/>
      <c r="AH107" s="650"/>
      <c r="AI107" s="650"/>
      <c r="AJ107" s="650"/>
      <c r="AK107" s="650"/>
      <c r="AL107" s="650"/>
      <c r="AM107" s="650"/>
      <c r="AN107" s="650"/>
      <c r="AO107" s="650"/>
      <c r="AP107" s="650"/>
      <c r="AQ107" s="650"/>
      <c r="AR107" s="650"/>
      <c r="AS107" s="650"/>
      <c r="AT107" s="650"/>
      <c r="AU107" s="650"/>
      <c r="AV107" s="650"/>
      <c r="AW107" s="650"/>
      <c r="AX107" s="650"/>
      <c r="AY107" s="650"/>
    </row>
    <row r="108" ht="21.75" customHeight="1">
      <c r="A108" s="650"/>
      <c r="B108" s="650"/>
      <c r="Q108" s="650"/>
      <c r="R108" s="650"/>
      <c r="S108" s="650"/>
      <c r="T108" s="650"/>
      <c r="U108" s="650"/>
      <c r="V108" s="650"/>
      <c r="W108" s="650"/>
      <c r="X108" s="650"/>
      <c r="Y108" s="650"/>
      <c r="Z108" s="650"/>
      <c r="AA108" s="650"/>
      <c r="AB108" s="650"/>
      <c r="AC108" s="650"/>
      <c r="AD108" s="650"/>
      <c r="AE108" s="650"/>
      <c r="AF108" s="650"/>
      <c r="AG108" s="650"/>
      <c r="AH108" s="650"/>
      <c r="AI108" s="650"/>
      <c r="AJ108" s="650"/>
      <c r="AK108" s="650"/>
      <c r="AL108" s="650"/>
      <c r="AM108" s="650"/>
      <c r="AN108" s="650"/>
      <c r="AO108" s="650"/>
      <c r="AP108" s="650"/>
      <c r="AQ108" s="650"/>
      <c r="AR108" s="650"/>
      <c r="AS108" s="650"/>
      <c r="AT108" s="650"/>
      <c r="AU108" s="650"/>
      <c r="AV108" s="650"/>
      <c r="AW108" s="650"/>
      <c r="AX108" s="650"/>
      <c r="AY108" s="650"/>
    </row>
    <row r="109" ht="21.75" customHeight="1">
      <c r="A109" s="650"/>
      <c r="B109" s="650"/>
      <c r="C109" s="692"/>
      <c r="D109" s="692"/>
      <c r="Q109" s="650"/>
      <c r="R109" s="650"/>
      <c r="S109" s="650"/>
      <c r="T109" s="650"/>
      <c r="U109" s="650"/>
      <c r="V109" s="650"/>
      <c r="W109" s="650"/>
      <c r="X109" s="650"/>
      <c r="Y109" s="650"/>
      <c r="Z109" s="650"/>
      <c r="AA109" s="650"/>
      <c r="AB109" s="650"/>
      <c r="AC109" s="650"/>
      <c r="AD109" s="650"/>
      <c r="AE109" s="650"/>
      <c r="AF109" s="650"/>
      <c r="AG109" s="650"/>
      <c r="AH109" s="650"/>
      <c r="AI109" s="650"/>
      <c r="AJ109" s="650"/>
      <c r="AK109" s="650"/>
      <c r="AL109" s="650"/>
      <c r="AM109" s="650"/>
      <c r="AN109" s="650"/>
      <c r="AO109" s="650"/>
      <c r="AP109" s="650"/>
      <c r="AQ109" s="650"/>
      <c r="AR109" s="650"/>
      <c r="AS109" s="650"/>
      <c r="AT109" s="650"/>
      <c r="AU109" s="650"/>
      <c r="AV109" s="650"/>
      <c r="AW109" s="650"/>
      <c r="AX109" s="650"/>
      <c r="AY109" s="650"/>
    </row>
    <row r="110" ht="21.75" customHeight="1">
      <c r="A110" s="650"/>
      <c r="B110" s="650"/>
      <c r="C110" s="692"/>
      <c r="D110" s="692"/>
      <c r="Q110" s="650"/>
      <c r="R110" s="650"/>
      <c r="S110" s="650"/>
      <c r="T110" s="650"/>
      <c r="U110" s="650"/>
      <c r="V110" s="650"/>
      <c r="W110" s="650"/>
      <c r="X110" s="650"/>
      <c r="Y110" s="650"/>
      <c r="Z110" s="650"/>
      <c r="AA110" s="650"/>
      <c r="AB110" s="650"/>
      <c r="AC110" s="650"/>
      <c r="AD110" s="650"/>
      <c r="AE110" s="650"/>
      <c r="AF110" s="650"/>
      <c r="AG110" s="650"/>
      <c r="AH110" s="650"/>
      <c r="AI110" s="650"/>
      <c r="AJ110" s="650"/>
      <c r="AK110" s="650"/>
      <c r="AL110" s="650"/>
      <c r="AM110" s="650"/>
      <c r="AN110" s="650"/>
      <c r="AO110" s="650"/>
      <c r="AP110" s="650"/>
      <c r="AQ110" s="650"/>
      <c r="AR110" s="650"/>
      <c r="AS110" s="650"/>
      <c r="AT110" s="650"/>
      <c r="AU110" s="650"/>
      <c r="AV110" s="650"/>
      <c r="AW110" s="650"/>
      <c r="AX110" s="650"/>
      <c r="AY110" s="650"/>
    </row>
    <row r="111" ht="21.75" customHeight="1">
      <c r="A111" s="650"/>
      <c r="B111" s="650"/>
      <c r="C111" s="692"/>
      <c r="D111" s="692"/>
      <c r="Q111" s="650"/>
      <c r="R111" s="650"/>
      <c r="S111" s="650"/>
      <c r="T111" s="650"/>
      <c r="U111" s="650"/>
      <c r="V111" s="650"/>
      <c r="W111" s="650"/>
      <c r="X111" s="650"/>
      <c r="Y111" s="650"/>
      <c r="Z111" s="650"/>
      <c r="AA111" s="650"/>
      <c r="AB111" s="650"/>
      <c r="AC111" s="650"/>
      <c r="AD111" s="650"/>
      <c r="AE111" s="650"/>
      <c r="AF111" s="650"/>
      <c r="AG111" s="650"/>
      <c r="AH111" s="650"/>
      <c r="AI111" s="650"/>
      <c r="AJ111" s="650"/>
      <c r="AK111" s="650"/>
      <c r="AL111" s="650"/>
      <c r="AM111" s="650"/>
      <c r="AN111" s="650"/>
      <c r="AO111" s="650"/>
      <c r="AP111" s="650"/>
      <c r="AQ111" s="650"/>
      <c r="AR111" s="650"/>
      <c r="AS111" s="650"/>
      <c r="AT111" s="650"/>
      <c r="AU111" s="650"/>
      <c r="AV111" s="650"/>
      <c r="AW111" s="650"/>
      <c r="AX111" s="650"/>
      <c r="AY111" s="650"/>
    </row>
    <row r="112" ht="21.75" customHeight="1">
      <c r="A112" s="650"/>
      <c r="B112" s="650"/>
      <c r="C112" s="692"/>
      <c r="D112" s="692"/>
      <c r="Q112" s="650"/>
      <c r="R112" s="650"/>
      <c r="S112" s="650"/>
      <c r="T112" s="650"/>
      <c r="U112" s="650"/>
      <c r="V112" s="650"/>
      <c r="W112" s="650"/>
      <c r="X112" s="650"/>
      <c r="Y112" s="650"/>
      <c r="Z112" s="650"/>
      <c r="AA112" s="650"/>
      <c r="AB112" s="650"/>
      <c r="AC112" s="650"/>
      <c r="AD112" s="650"/>
      <c r="AE112" s="650"/>
      <c r="AF112" s="650"/>
      <c r="AG112" s="650"/>
      <c r="AH112" s="650"/>
      <c r="AI112" s="650"/>
      <c r="AJ112" s="650"/>
      <c r="AK112" s="650"/>
      <c r="AL112" s="650"/>
      <c r="AM112" s="650"/>
      <c r="AN112" s="650"/>
      <c r="AO112" s="650"/>
      <c r="AP112" s="650"/>
      <c r="AQ112" s="650"/>
      <c r="AR112" s="650"/>
      <c r="AS112" s="650"/>
      <c r="AT112" s="650"/>
      <c r="AU112" s="650"/>
      <c r="AV112" s="650"/>
      <c r="AW112" s="650"/>
      <c r="AX112" s="650"/>
      <c r="AY112" s="650"/>
    </row>
    <row r="113" ht="21.75" customHeight="1">
      <c r="A113" s="650"/>
      <c r="B113" s="650"/>
      <c r="C113" s="692"/>
      <c r="D113" s="692"/>
      <c r="Q113" s="650"/>
      <c r="R113" s="650"/>
      <c r="S113" s="650"/>
      <c r="T113" s="650"/>
      <c r="U113" s="650"/>
      <c r="V113" s="650"/>
      <c r="W113" s="650"/>
      <c r="X113" s="650"/>
      <c r="Y113" s="650"/>
      <c r="Z113" s="650"/>
      <c r="AA113" s="650"/>
      <c r="AB113" s="650"/>
      <c r="AC113" s="650"/>
      <c r="AD113" s="650"/>
      <c r="AE113" s="650"/>
      <c r="AF113" s="650"/>
      <c r="AG113" s="650"/>
      <c r="AH113" s="650"/>
      <c r="AI113" s="650"/>
      <c r="AJ113" s="650"/>
      <c r="AK113" s="650"/>
      <c r="AL113" s="650"/>
      <c r="AM113" s="650"/>
      <c r="AN113" s="650"/>
      <c r="AO113" s="650"/>
      <c r="AP113" s="650"/>
      <c r="AQ113" s="650"/>
      <c r="AR113" s="650"/>
      <c r="AS113" s="650"/>
      <c r="AT113" s="650"/>
      <c r="AU113" s="650"/>
      <c r="AV113" s="650"/>
      <c r="AW113" s="650"/>
      <c r="AX113" s="650"/>
      <c r="AY113" s="650"/>
    </row>
    <row r="114" ht="21.75" customHeight="1">
      <c r="A114" s="650"/>
      <c r="B114" s="650"/>
      <c r="C114" s="692"/>
      <c r="D114" s="692"/>
      <c r="Q114" s="650"/>
      <c r="R114" s="650"/>
      <c r="S114" s="650"/>
      <c r="T114" s="650"/>
      <c r="U114" s="650"/>
      <c r="V114" s="650"/>
      <c r="W114" s="650"/>
      <c r="X114" s="650"/>
      <c r="Y114" s="650"/>
      <c r="Z114" s="650"/>
      <c r="AA114" s="650"/>
      <c r="AB114" s="650"/>
      <c r="AC114" s="650"/>
      <c r="AD114" s="650"/>
      <c r="AE114" s="650"/>
      <c r="AF114" s="650"/>
      <c r="AG114" s="650"/>
      <c r="AH114" s="650"/>
      <c r="AI114" s="650"/>
      <c r="AJ114" s="650"/>
      <c r="AK114" s="650"/>
      <c r="AL114" s="650"/>
      <c r="AM114" s="650"/>
      <c r="AN114" s="650"/>
      <c r="AO114" s="650"/>
      <c r="AP114" s="650"/>
      <c r="AQ114" s="650"/>
      <c r="AR114" s="650"/>
      <c r="AS114" s="650"/>
      <c r="AT114" s="650"/>
      <c r="AU114" s="650"/>
      <c r="AV114" s="650"/>
      <c r="AW114" s="650"/>
      <c r="AX114" s="650"/>
      <c r="AY114" s="650"/>
    </row>
    <row r="115" ht="21.75" customHeight="1">
      <c r="A115" s="650"/>
      <c r="B115" s="650"/>
      <c r="C115" s="692"/>
      <c r="D115" s="692"/>
      <c r="Q115" s="650"/>
      <c r="R115" s="650"/>
      <c r="S115" s="650"/>
      <c r="T115" s="650"/>
      <c r="U115" s="650"/>
      <c r="V115" s="650"/>
      <c r="W115" s="650"/>
      <c r="X115" s="650"/>
      <c r="Y115" s="650"/>
      <c r="Z115" s="650"/>
      <c r="AA115" s="650"/>
      <c r="AB115" s="650"/>
      <c r="AC115" s="650"/>
      <c r="AD115" s="650"/>
      <c r="AE115" s="650"/>
      <c r="AF115" s="650"/>
      <c r="AG115" s="650"/>
      <c r="AH115" s="650"/>
      <c r="AI115" s="650"/>
      <c r="AJ115" s="650"/>
      <c r="AK115" s="650"/>
      <c r="AL115" s="650"/>
      <c r="AM115" s="650"/>
      <c r="AN115" s="650"/>
      <c r="AO115" s="650"/>
      <c r="AP115" s="650"/>
      <c r="AQ115" s="650"/>
      <c r="AR115" s="650"/>
      <c r="AS115" s="650"/>
      <c r="AT115" s="650"/>
      <c r="AU115" s="650"/>
      <c r="AV115" s="650"/>
      <c r="AW115" s="650"/>
      <c r="AX115" s="650"/>
      <c r="AY115" s="650"/>
    </row>
    <row r="116" ht="21.75" customHeight="1">
      <c r="A116" s="650"/>
      <c r="B116" s="650"/>
      <c r="C116" s="692"/>
      <c r="D116" s="692"/>
      <c r="Q116" s="650"/>
      <c r="R116" s="650"/>
      <c r="S116" s="650"/>
      <c r="T116" s="650"/>
      <c r="U116" s="650"/>
      <c r="V116" s="650"/>
      <c r="W116" s="650"/>
      <c r="X116" s="650"/>
      <c r="Y116" s="650"/>
      <c r="Z116" s="650"/>
      <c r="AA116" s="650"/>
      <c r="AB116" s="650"/>
      <c r="AC116" s="650"/>
      <c r="AD116" s="650"/>
      <c r="AE116" s="650"/>
      <c r="AF116" s="650"/>
      <c r="AG116" s="650"/>
      <c r="AH116" s="650"/>
      <c r="AI116" s="650"/>
      <c r="AJ116" s="650"/>
      <c r="AK116" s="650"/>
      <c r="AL116" s="650"/>
      <c r="AM116" s="650"/>
      <c r="AN116" s="650"/>
      <c r="AO116" s="650"/>
      <c r="AP116" s="650"/>
      <c r="AQ116" s="650"/>
      <c r="AR116" s="650"/>
      <c r="AS116" s="650"/>
      <c r="AT116" s="650"/>
      <c r="AU116" s="650"/>
      <c r="AV116" s="650"/>
      <c r="AW116" s="650"/>
      <c r="AX116" s="650"/>
      <c r="AY116" s="650"/>
    </row>
    <row r="117" ht="21.75" customHeight="1">
      <c r="A117" s="650"/>
      <c r="B117" s="650"/>
      <c r="C117" s="692"/>
      <c r="D117" s="692"/>
      <c r="Q117" s="650"/>
      <c r="R117" s="650"/>
      <c r="S117" s="650"/>
      <c r="T117" s="650"/>
      <c r="U117" s="650"/>
      <c r="V117" s="650"/>
      <c r="W117" s="650"/>
      <c r="X117" s="650"/>
      <c r="Y117" s="650"/>
      <c r="Z117" s="650"/>
      <c r="AA117" s="650"/>
      <c r="AB117" s="650"/>
      <c r="AC117" s="650"/>
      <c r="AD117" s="650"/>
      <c r="AE117" s="650"/>
      <c r="AF117" s="650"/>
      <c r="AG117" s="650"/>
      <c r="AH117" s="650"/>
      <c r="AI117" s="650"/>
      <c r="AJ117" s="650"/>
      <c r="AK117" s="650"/>
      <c r="AL117" s="650"/>
      <c r="AM117" s="650"/>
      <c r="AN117" s="650"/>
      <c r="AO117" s="650"/>
      <c r="AP117" s="650"/>
      <c r="AQ117" s="650"/>
      <c r="AR117" s="650"/>
      <c r="AS117" s="650"/>
      <c r="AT117" s="650"/>
      <c r="AU117" s="650"/>
      <c r="AV117" s="650"/>
      <c r="AW117" s="650"/>
      <c r="AX117" s="650"/>
      <c r="AY117" s="650"/>
    </row>
    <row r="118" ht="21.75" customHeight="1">
      <c r="A118" s="650"/>
      <c r="B118" s="650"/>
      <c r="C118" s="692"/>
      <c r="D118" s="692"/>
      <c r="Q118" s="650"/>
      <c r="R118" s="650"/>
      <c r="S118" s="650"/>
      <c r="T118" s="650"/>
      <c r="U118" s="650"/>
      <c r="V118" s="650"/>
      <c r="W118" s="650"/>
      <c r="X118" s="650"/>
      <c r="Y118" s="650"/>
      <c r="Z118" s="650"/>
      <c r="AA118" s="650"/>
      <c r="AB118" s="650"/>
      <c r="AC118" s="650"/>
      <c r="AD118" s="650"/>
      <c r="AE118" s="650"/>
      <c r="AF118" s="650"/>
      <c r="AG118" s="650"/>
      <c r="AH118" s="650"/>
      <c r="AI118" s="650"/>
      <c r="AJ118" s="650"/>
      <c r="AK118" s="650"/>
      <c r="AL118" s="650"/>
      <c r="AM118" s="650"/>
      <c r="AN118" s="650"/>
      <c r="AO118" s="650"/>
      <c r="AP118" s="650"/>
      <c r="AQ118" s="650"/>
      <c r="AR118" s="650"/>
      <c r="AS118" s="650"/>
      <c r="AT118" s="650"/>
      <c r="AU118" s="650"/>
      <c r="AV118" s="650"/>
      <c r="AW118" s="650"/>
      <c r="AX118" s="650"/>
      <c r="AY118" s="650"/>
    </row>
    <row r="119" ht="21.75" customHeight="1">
      <c r="A119" s="650"/>
      <c r="B119" s="650"/>
      <c r="C119" s="692"/>
      <c r="D119" s="692"/>
      <c r="Q119" s="650"/>
      <c r="R119" s="650"/>
      <c r="S119" s="650"/>
      <c r="T119" s="650"/>
      <c r="U119" s="650"/>
      <c r="V119" s="650"/>
      <c r="W119" s="650"/>
      <c r="X119" s="650"/>
      <c r="Y119" s="650"/>
      <c r="Z119" s="650"/>
      <c r="AA119" s="650"/>
      <c r="AB119" s="650"/>
      <c r="AC119" s="650"/>
      <c r="AD119" s="650"/>
      <c r="AE119" s="650"/>
      <c r="AF119" s="650"/>
      <c r="AG119" s="650"/>
      <c r="AH119" s="650"/>
      <c r="AI119" s="650"/>
      <c r="AJ119" s="650"/>
      <c r="AK119" s="650"/>
      <c r="AL119" s="650"/>
      <c r="AM119" s="650"/>
      <c r="AN119" s="650"/>
      <c r="AO119" s="650"/>
      <c r="AP119" s="650"/>
      <c r="AQ119" s="650"/>
      <c r="AR119" s="650"/>
      <c r="AS119" s="650"/>
      <c r="AT119" s="650"/>
      <c r="AU119" s="650"/>
      <c r="AV119" s="650"/>
      <c r="AW119" s="650"/>
      <c r="AX119" s="650"/>
      <c r="AY119" s="650"/>
    </row>
    <row r="120" ht="21.75" customHeight="1">
      <c r="A120" s="650"/>
      <c r="B120" s="650"/>
      <c r="C120" s="692"/>
      <c r="D120" s="692"/>
      <c r="Q120" s="650"/>
      <c r="R120" s="650"/>
      <c r="S120" s="650"/>
      <c r="T120" s="650"/>
      <c r="U120" s="650"/>
      <c r="V120" s="650"/>
      <c r="W120" s="650"/>
      <c r="X120" s="650"/>
      <c r="Y120" s="650"/>
      <c r="Z120" s="650"/>
      <c r="AA120" s="650"/>
      <c r="AB120" s="650"/>
      <c r="AC120" s="650"/>
      <c r="AD120" s="650"/>
      <c r="AE120" s="650"/>
      <c r="AF120" s="650"/>
      <c r="AG120" s="650"/>
      <c r="AH120" s="650"/>
      <c r="AI120" s="650"/>
      <c r="AJ120" s="650"/>
      <c r="AK120" s="650"/>
      <c r="AL120" s="650"/>
      <c r="AM120" s="650"/>
      <c r="AN120" s="650"/>
      <c r="AO120" s="650"/>
      <c r="AP120" s="650"/>
      <c r="AQ120" s="650"/>
      <c r="AR120" s="650"/>
      <c r="AS120" s="650"/>
      <c r="AT120" s="650"/>
      <c r="AU120" s="650"/>
      <c r="AV120" s="650"/>
      <c r="AW120" s="650"/>
      <c r="AX120" s="650"/>
      <c r="AY120" s="650"/>
    </row>
    <row r="121" ht="21.75" customHeight="1">
      <c r="A121" s="650"/>
      <c r="B121" s="650"/>
      <c r="C121" s="692"/>
      <c r="D121" s="692"/>
      <c r="Q121" s="650"/>
      <c r="R121" s="650"/>
      <c r="S121" s="650"/>
      <c r="T121" s="650"/>
      <c r="U121" s="650"/>
      <c r="V121" s="650"/>
      <c r="W121" s="650"/>
      <c r="X121" s="650"/>
      <c r="Y121" s="650"/>
      <c r="Z121" s="650"/>
      <c r="AA121" s="650"/>
      <c r="AB121" s="650"/>
      <c r="AC121" s="650"/>
      <c r="AD121" s="650"/>
      <c r="AE121" s="650"/>
      <c r="AF121" s="650"/>
      <c r="AG121" s="650"/>
      <c r="AH121" s="650"/>
      <c r="AI121" s="650"/>
      <c r="AJ121" s="650"/>
      <c r="AK121" s="650"/>
      <c r="AL121" s="650"/>
      <c r="AM121" s="650"/>
      <c r="AN121" s="650"/>
      <c r="AO121" s="650"/>
      <c r="AP121" s="650"/>
      <c r="AQ121" s="650"/>
      <c r="AR121" s="650"/>
      <c r="AS121" s="650"/>
      <c r="AT121" s="650"/>
      <c r="AU121" s="650"/>
      <c r="AV121" s="650"/>
      <c r="AW121" s="650"/>
      <c r="AX121" s="650"/>
      <c r="AY121" s="650"/>
    </row>
    <row r="122" ht="21.75" customHeight="1">
      <c r="A122" s="650"/>
      <c r="B122" s="650"/>
      <c r="C122" s="692"/>
      <c r="D122" s="692"/>
      <c r="Q122" s="650"/>
      <c r="R122" s="650"/>
      <c r="S122" s="650"/>
      <c r="T122" s="650"/>
      <c r="U122" s="650"/>
      <c r="V122" s="650"/>
      <c r="W122" s="650"/>
      <c r="X122" s="650"/>
      <c r="Y122" s="650"/>
      <c r="Z122" s="650"/>
      <c r="AA122" s="650"/>
      <c r="AB122" s="650"/>
      <c r="AC122" s="650"/>
      <c r="AD122" s="650"/>
      <c r="AE122" s="650"/>
      <c r="AF122" s="650"/>
      <c r="AG122" s="650"/>
      <c r="AH122" s="650"/>
      <c r="AI122" s="650"/>
      <c r="AJ122" s="650"/>
      <c r="AK122" s="650"/>
      <c r="AL122" s="650"/>
      <c r="AM122" s="650"/>
      <c r="AN122" s="650"/>
      <c r="AO122" s="650"/>
      <c r="AP122" s="650"/>
      <c r="AQ122" s="650"/>
      <c r="AR122" s="650"/>
      <c r="AS122" s="650"/>
      <c r="AT122" s="650"/>
      <c r="AU122" s="650"/>
      <c r="AV122" s="650"/>
      <c r="AW122" s="650"/>
      <c r="AX122" s="650"/>
      <c r="AY122" s="650"/>
    </row>
    <row r="123" ht="21.75" customHeight="1">
      <c r="A123" s="650"/>
      <c r="B123" s="650"/>
      <c r="C123" s="692"/>
      <c r="D123" s="692"/>
      <c r="Q123" s="650"/>
      <c r="R123" s="650"/>
      <c r="S123" s="650"/>
      <c r="T123" s="650"/>
      <c r="U123" s="650"/>
      <c r="V123" s="650"/>
      <c r="W123" s="650"/>
      <c r="X123" s="650"/>
      <c r="Y123" s="650"/>
      <c r="Z123" s="650"/>
      <c r="AA123" s="650"/>
      <c r="AB123" s="650"/>
      <c r="AC123" s="650"/>
      <c r="AD123" s="650"/>
      <c r="AE123" s="650"/>
      <c r="AF123" s="650"/>
      <c r="AG123" s="650"/>
      <c r="AH123" s="650"/>
      <c r="AI123" s="650"/>
      <c r="AJ123" s="650"/>
      <c r="AK123" s="650"/>
      <c r="AL123" s="650"/>
      <c r="AM123" s="650"/>
      <c r="AN123" s="650"/>
      <c r="AO123" s="650"/>
      <c r="AP123" s="650"/>
      <c r="AQ123" s="650"/>
      <c r="AR123" s="650"/>
      <c r="AS123" s="650"/>
      <c r="AT123" s="650"/>
      <c r="AU123" s="650"/>
      <c r="AV123" s="650"/>
      <c r="AW123" s="650"/>
      <c r="AX123" s="650"/>
      <c r="AY123" s="650"/>
    </row>
    <row r="124" ht="21.75" customHeight="1">
      <c r="A124" s="650"/>
      <c r="B124" s="650"/>
      <c r="C124" s="692"/>
      <c r="D124" s="692"/>
      <c r="Q124" s="650"/>
      <c r="R124" s="650"/>
      <c r="S124" s="650"/>
      <c r="T124" s="650"/>
      <c r="U124" s="650"/>
      <c r="V124" s="650"/>
      <c r="W124" s="650"/>
      <c r="X124" s="650"/>
      <c r="Y124" s="650"/>
      <c r="Z124" s="650"/>
      <c r="AA124" s="650"/>
      <c r="AB124" s="650"/>
      <c r="AC124" s="650"/>
      <c r="AD124" s="650"/>
      <c r="AE124" s="650"/>
      <c r="AF124" s="650"/>
      <c r="AG124" s="650"/>
      <c r="AH124" s="650"/>
      <c r="AI124" s="650"/>
      <c r="AJ124" s="650"/>
      <c r="AK124" s="650"/>
      <c r="AL124" s="650"/>
      <c r="AM124" s="650"/>
      <c r="AN124" s="650"/>
      <c r="AO124" s="650"/>
      <c r="AP124" s="650"/>
      <c r="AQ124" s="650"/>
      <c r="AR124" s="650"/>
      <c r="AS124" s="650"/>
      <c r="AT124" s="650"/>
      <c r="AU124" s="650"/>
      <c r="AV124" s="650"/>
      <c r="AW124" s="650"/>
      <c r="AX124" s="650"/>
      <c r="AY124" s="650"/>
    </row>
    <row r="125" ht="21.75" customHeight="1">
      <c r="A125" s="650"/>
      <c r="B125" s="650"/>
      <c r="C125" s="692"/>
      <c r="D125" s="692"/>
      <c r="Q125" s="650"/>
      <c r="R125" s="650"/>
      <c r="S125" s="650"/>
      <c r="T125" s="650"/>
      <c r="U125" s="650"/>
      <c r="V125" s="650"/>
      <c r="W125" s="650"/>
      <c r="X125" s="650"/>
      <c r="Y125" s="650"/>
      <c r="Z125" s="650"/>
      <c r="AA125" s="650"/>
      <c r="AB125" s="650"/>
      <c r="AC125" s="650"/>
      <c r="AD125" s="650"/>
      <c r="AE125" s="650"/>
      <c r="AF125" s="650"/>
      <c r="AG125" s="650"/>
      <c r="AH125" s="650"/>
      <c r="AI125" s="650"/>
      <c r="AJ125" s="650"/>
      <c r="AK125" s="650"/>
      <c r="AL125" s="650"/>
      <c r="AM125" s="650"/>
      <c r="AN125" s="650"/>
      <c r="AO125" s="650"/>
      <c r="AP125" s="650"/>
      <c r="AQ125" s="650"/>
      <c r="AR125" s="650"/>
      <c r="AS125" s="650"/>
      <c r="AT125" s="650"/>
      <c r="AU125" s="650"/>
      <c r="AV125" s="650"/>
      <c r="AW125" s="650"/>
      <c r="AX125" s="650"/>
      <c r="AY125" s="650"/>
    </row>
    <row r="126" ht="21.75" customHeight="1">
      <c r="A126" s="650"/>
      <c r="B126" s="650"/>
      <c r="C126" s="692"/>
      <c r="D126" s="692"/>
      <c r="Q126" s="650"/>
      <c r="R126" s="650"/>
      <c r="S126" s="650"/>
      <c r="T126" s="650"/>
      <c r="U126" s="650"/>
      <c r="V126" s="650"/>
      <c r="W126" s="650"/>
      <c r="X126" s="650"/>
      <c r="Y126" s="650"/>
      <c r="Z126" s="650"/>
      <c r="AA126" s="650"/>
      <c r="AB126" s="650"/>
      <c r="AC126" s="650"/>
      <c r="AD126" s="650"/>
      <c r="AE126" s="650"/>
      <c r="AF126" s="650"/>
      <c r="AG126" s="650"/>
      <c r="AH126" s="650"/>
      <c r="AI126" s="650"/>
      <c r="AJ126" s="650"/>
      <c r="AK126" s="650"/>
      <c r="AL126" s="650"/>
      <c r="AM126" s="650"/>
      <c r="AN126" s="650"/>
      <c r="AO126" s="650"/>
      <c r="AP126" s="650"/>
      <c r="AQ126" s="650"/>
      <c r="AR126" s="650"/>
      <c r="AS126" s="650"/>
      <c r="AT126" s="650"/>
      <c r="AU126" s="650"/>
      <c r="AV126" s="650"/>
      <c r="AW126" s="650"/>
      <c r="AX126" s="650"/>
      <c r="AY126" s="650"/>
    </row>
    <row r="127" ht="21.75" customHeight="1">
      <c r="A127" s="650"/>
      <c r="B127" s="650"/>
      <c r="C127" s="692"/>
      <c r="D127" s="692"/>
      <c r="Q127" s="650"/>
      <c r="R127" s="650"/>
      <c r="S127" s="650"/>
      <c r="T127" s="650"/>
      <c r="U127" s="650"/>
      <c r="V127" s="650"/>
      <c r="W127" s="650"/>
      <c r="X127" s="650"/>
      <c r="Y127" s="650"/>
      <c r="Z127" s="650"/>
      <c r="AA127" s="650"/>
      <c r="AB127" s="650"/>
      <c r="AC127" s="650"/>
      <c r="AD127" s="650"/>
      <c r="AE127" s="650"/>
      <c r="AF127" s="650"/>
      <c r="AG127" s="650"/>
      <c r="AH127" s="650"/>
      <c r="AI127" s="650"/>
      <c r="AJ127" s="650"/>
      <c r="AK127" s="650"/>
      <c r="AL127" s="650"/>
      <c r="AM127" s="650"/>
      <c r="AN127" s="650"/>
      <c r="AO127" s="650"/>
      <c r="AP127" s="650"/>
      <c r="AQ127" s="650"/>
      <c r="AR127" s="650"/>
      <c r="AS127" s="650"/>
      <c r="AT127" s="650"/>
      <c r="AU127" s="650"/>
      <c r="AV127" s="650"/>
      <c r="AW127" s="650"/>
      <c r="AX127" s="650"/>
      <c r="AY127" s="650"/>
    </row>
    <row r="128" ht="21.75" customHeight="1">
      <c r="A128" s="650"/>
      <c r="B128" s="650"/>
      <c r="C128" s="692"/>
      <c r="D128" s="692"/>
      <c r="Q128" s="650"/>
      <c r="R128" s="650"/>
      <c r="S128" s="650"/>
      <c r="T128" s="650"/>
      <c r="U128" s="650"/>
      <c r="V128" s="650"/>
      <c r="W128" s="650"/>
      <c r="X128" s="650"/>
      <c r="Y128" s="650"/>
      <c r="Z128" s="650"/>
      <c r="AA128" s="650"/>
      <c r="AB128" s="650"/>
      <c r="AC128" s="650"/>
      <c r="AD128" s="650"/>
      <c r="AE128" s="650"/>
      <c r="AF128" s="650"/>
      <c r="AG128" s="650"/>
      <c r="AH128" s="650"/>
      <c r="AI128" s="650"/>
      <c r="AJ128" s="650"/>
      <c r="AK128" s="650"/>
      <c r="AL128" s="650"/>
      <c r="AM128" s="650"/>
      <c r="AN128" s="650"/>
      <c r="AO128" s="650"/>
      <c r="AP128" s="650"/>
      <c r="AQ128" s="650"/>
      <c r="AR128" s="650"/>
      <c r="AS128" s="650"/>
      <c r="AT128" s="650"/>
      <c r="AU128" s="650"/>
      <c r="AV128" s="650"/>
      <c r="AW128" s="650"/>
      <c r="AX128" s="650"/>
      <c r="AY128" s="650"/>
    </row>
    <row r="129" ht="21.75" customHeight="1">
      <c r="A129" s="650"/>
      <c r="B129" s="650"/>
      <c r="C129" s="692"/>
      <c r="D129" s="692"/>
      <c r="Q129" s="650"/>
      <c r="R129" s="650"/>
      <c r="S129" s="650"/>
      <c r="T129" s="650"/>
      <c r="U129" s="650"/>
      <c r="V129" s="650"/>
      <c r="W129" s="650"/>
      <c r="X129" s="650"/>
      <c r="Y129" s="650"/>
      <c r="Z129" s="650"/>
      <c r="AA129" s="650"/>
      <c r="AB129" s="650"/>
      <c r="AC129" s="650"/>
      <c r="AD129" s="650"/>
      <c r="AE129" s="650"/>
      <c r="AF129" s="650"/>
      <c r="AG129" s="650"/>
      <c r="AH129" s="650"/>
      <c r="AI129" s="650"/>
      <c r="AJ129" s="650"/>
      <c r="AK129" s="650"/>
      <c r="AL129" s="650"/>
      <c r="AM129" s="650"/>
      <c r="AN129" s="650"/>
      <c r="AO129" s="650"/>
      <c r="AP129" s="650"/>
      <c r="AQ129" s="650"/>
      <c r="AR129" s="650"/>
      <c r="AS129" s="650"/>
      <c r="AT129" s="650"/>
      <c r="AU129" s="650"/>
      <c r="AV129" s="650"/>
      <c r="AW129" s="650"/>
      <c r="AX129" s="650"/>
      <c r="AY129" s="650"/>
    </row>
    <row r="130" ht="21.75" customHeight="1">
      <c r="A130" s="650"/>
      <c r="B130" s="650"/>
      <c r="C130" s="692"/>
      <c r="D130" s="692"/>
      <c r="Q130" s="650"/>
      <c r="R130" s="650"/>
      <c r="S130" s="650"/>
      <c r="T130" s="650"/>
      <c r="U130" s="650"/>
      <c r="V130" s="650"/>
      <c r="W130" s="650"/>
      <c r="X130" s="650"/>
      <c r="Y130" s="650"/>
      <c r="Z130" s="650"/>
      <c r="AA130" s="650"/>
      <c r="AB130" s="650"/>
      <c r="AC130" s="650"/>
      <c r="AD130" s="650"/>
      <c r="AE130" s="650"/>
      <c r="AF130" s="650"/>
      <c r="AG130" s="650"/>
      <c r="AH130" s="650"/>
      <c r="AI130" s="650"/>
      <c r="AJ130" s="650"/>
      <c r="AK130" s="650"/>
      <c r="AL130" s="650"/>
      <c r="AM130" s="650"/>
      <c r="AN130" s="650"/>
      <c r="AO130" s="650"/>
      <c r="AP130" s="650"/>
      <c r="AQ130" s="650"/>
      <c r="AR130" s="650"/>
      <c r="AS130" s="650"/>
      <c r="AT130" s="650"/>
      <c r="AU130" s="650"/>
      <c r="AV130" s="650"/>
      <c r="AW130" s="650"/>
      <c r="AX130" s="650"/>
      <c r="AY130" s="650"/>
    </row>
    <row r="131" ht="21.75" customHeight="1">
      <c r="A131" s="650"/>
      <c r="B131" s="650"/>
      <c r="C131" s="692"/>
      <c r="D131" s="692"/>
      <c r="Q131" s="650"/>
      <c r="R131" s="650"/>
      <c r="S131" s="650"/>
      <c r="T131" s="650"/>
      <c r="U131" s="650"/>
      <c r="V131" s="650"/>
      <c r="W131" s="650"/>
      <c r="X131" s="650"/>
      <c r="Y131" s="650"/>
      <c r="Z131" s="650"/>
      <c r="AA131" s="650"/>
      <c r="AB131" s="650"/>
      <c r="AC131" s="650"/>
      <c r="AD131" s="650"/>
      <c r="AE131" s="650"/>
      <c r="AF131" s="650"/>
      <c r="AG131" s="650"/>
      <c r="AH131" s="650"/>
      <c r="AI131" s="650"/>
      <c r="AJ131" s="650"/>
      <c r="AK131" s="650"/>
      <c r="AL131" s="650"/>
      <c r="AM131" s="650"/>
      <c r="AN131" s="650"/>
      <c r="AO131" s="650"/>
      <c r="AP131" s="650"/>
      <c r="AQ131" s="650"/>
      <c r="AR131" s="650"/>
      <c r="AS131" s="650"/>
      <c r="AT131" s="650"/>
      <c r="AU131" s="650"/>
      <c r="AV131" s="650"/>
      <c r="AW131" s="650"/>
      <c r="AX131" s="650"/>
      <c r="AY131" s="650"/>
    </row>
    <row r="132" ht="21.75" customHeight="1">
      <c r="A132" s="650"/>
      <c r="B132" s="650"/>
      <c r="C132" s="692"/>
      <c r="D132" s="692"/>
      <c r="Q132" s="650"/>
      <c r="R132" s="650"/>
      <c r="S132" s="650"/>
      <c r="T132" s="650"/>
      <c r="U132" s="650"/>
      <c r="V132" s="650"/>
      <c r="W132" s="650"/>
      <c r="X132" s="650"/>
      <c r="Y132" s="650"/>
      <c r="Z132" s="650"/>
      <c r="AA132" s="650"/>
      <c r="AB132" s="650"/>
      <c r="AC132" s="650"/>
      <c r="AD132" s="650"/>
      <c r="AE132" s="650"/>
      <c r="AF132" s="650"/>
      <c r="AG132" s="650"/>
      <c r="AH132" s="650"/>
      <c r="AI132" s="650"/>
      <c r="AJ132" s="650"/>
      <c r="AK132" s="650"/>
      <c r="AL132" s="650"/>
      <c r="AM132" s="650"/>
      <c r="AN132" s="650"/>
      <c r="AO132" s="650"/>
      <c r="AP132" s="650"/>
      <c r="AQ132" s="650"/>
      <c r="AR132" s="650"/>
      <c r="AS132" s="650"/>
      <c r="AT132" s="650"/>
      <c r="AU132" s="650"/>
      <c r="AV132" s="650"/>
      <c r="AW132" s="650"/>
      <c r="AX132" s="650"/>
      <c r="AY132" s="650"/>
    </row>
    <row r="133" ht="21.75" customHeight="1">
      <c r="A133" s="650"/>
      <c r="B133" s="650"/>
      <c r="C133" s="692"/>
      <c r="D133" s="692"/>
      <c r="Q133" s="650"/>
      <c r="R133" s="650"/>
      <c r="S133" s="650"/>
      <c r="T133" s="650"/>
      <c r="U133" s="650"/>
      <c r="V133" s="650"/>
      <c r="W133" s="650"/>
      <c r="X133" s="650"/>
      <c r="Y133" s="650"/>
      <c r="Z133" s="650"/>
      <c r="AA133" s="650"/>
      <c r="AB133" s="650"/>
      <c r="AC133" s="650"/>
      <c r="AD133" s="650"/>
      <c r="AE133" s="650"/>
      <c r="AF133" s="650"/>
      <c r="AG133" s="650"/>
      <c r="AH133" s="650"/>
      <c r="AI133" s="650"/>
      <c r="AJ133" s="650"/>
      <c r="AK133" s="650"/>
      <c r="AL133" s="650"/>
      <c r="AM133" s="650"/>
      <c r="AN133" s="650"/>
      <c r="AO133" s="650"/>
      <c r="AP133" s="650"/>
      <c r="AQ133" s="650"/>
      <c r="AR133" s="650"/>
      <c r="AS133" s="650"/>
      <c r="AT133" s="650"/>
      <c r="AU133" s="650"/>
      <c r="AV133" s="650"/>
      <c r="AW133" s="650"/>
      <c r="AX133" s="650"/>
      <c r="AY133" s="650"/>
    </row>
    <row r="134" ht="21.75" customHeight="1">
      <c r="A134" s="650"/>
      <c r="B134" s="650"/>
      <c r="C134" s="692"/>
      <c r="D134" s="692"/>
      <c r="Q134" s="650"/>
      <c r="R134" s="650"/>
      <c r="S134" s="650"/>
      <c r="T134" s="650"/>
      <c r="U134" s="650"/>
      <c r="V134" s="650"/>
      <c r="W134" s="650"/>
      <c r="X134" s="650"/>
      <c r="Y134" s="650"/>
      <c r="Z134" s="650"/>
      <c r="AA134" s="650"/>
      <c r="AB134" s="650"/>
      <c r="AC134" s="650"/>
      <c r="AD134" s="650"/>
      <c r="AE134" s="650"/>
      <c r="AF134" s="650"/>
      <c r="AG134" s="650"/>
      <c r="AH134" s="650"/>
      <c r="AI134" s="650"/>
      <c r="AJ134" s="650"/>
      <c r="AK134" s="650"/>
      <c r="AL134" s="650"/>
      <c r="AM134" s="650"/>
      <c r="AN134" s="650"/>
      <c r="AO134" s="650"/>
      <c r="AP134" s="650"/>
      <c r="AQ134" s="650"/>
      <c r="AR134" s="650"/>
      <c r="AS134" s="650"/>
      <c r="AT134" s="650"/>
      <c r="AU134" s="650"/>
      <c r="AV134" s="650"/>
      <c r="AW134" s="650"/>
      <c r="AX134" s="650"/>
      <c r="AY134" s="650"/>
    </row>
    <row r="135" ht="21.75" customHeight="1">
      <c r="A135" s="650"/>
      <c r="B135" s="650"/>
      <c r="C135" s="692"/>
      <c r="D135" s="692"/>
      <c r="Q135" s="650"/>
      <c r="R135" s="650"/>
      <c r="S135" s="650"/>
      <c r="T135" s="650"/>
      <c r="U135" s="650"/>
      <c r="V135" s="650"/>
      <c r="W135" s="650"/>
      <c r="X135" s="650"/>
      <c r="Y135" s="650"/>
      <c r="Z135" s="650"/>
      <c r="AA135" s="650"/>
      <c r="AB135" s="650"/>
      <c r="AC135" s="650"/>
      <c r="AD135" s="650"/>
      <c r="AE135" s="650"/>
      <c r="AF135" s="650"/>
      <c r="AG135" s="650"/>
      <c r="AH135" s="650"/>
      <c r="AI135" s="650"/>
      <c r="AJ135" s="650"/>
      <c r="AK135" s="650"/>
      <c r="AL135" s="650"/>
      <c r="AM135" s="650"/>
      <c r="AN135" s="650"/>
      <c r="AO135" s="650"/>
      <c r="AP135" s="650"/>
      <c r="AQ135" s="650"/>
      <c r="AR135" s="650"/>
      <c r="AS135" s="650"/>
      <c r="AT135" s="650"/>
      <c r="AU135" s="650"/>
      <c r="AV135" s="650"/>
      <c r="AW135" s="650"/>
      <c r="AX135" s="650"/>
      <c r="AY135" s="650"/>
    </row>
    <row r="136" ht="21.75" customHeight="1">
      <c r="A136" s="650"/>
      <c r="B136" s="650"/>
      <c r="C136" s="692"/>
      <c r="D136" s="692"/>
      <c r="Q136" s="650"/>
      <c r="R136" s="650"/>
      <c r="S136" s="650"/>
      <c r="T136" s="650"/>
      <c r="U136" s="650"/>
      <c r="V136" s="650"/>
      <c r="W136" s="650"/>
      <c r="X136" s="650"/>
      <c r="Y136" s="650"/>
      <c r="Z136" s="650"/>
      <c r="AA136" s="650"/>
      <c r="AB136" s="650"/>
      <c r="AC136" s="650"/>
      <c r="AD136" s="650"/>
      <c r="AE136" s="650"/>
      <c r="AF136" s="650"/>
      <c r="AG136" s="650"/>
      <c r="AH136" s="650"/>
      <c r="AI136" s="650"/>
      <c r="AJ136" s="650"/>
      <c r="AK136" s="650"/>
      <c r="AL136" s="650"/>
      <c r="AM136" s="650"/>
      <c r="AN136" s="650"/>
      <c r="AO136" s="650"/>
      <c r="AP136" s="650"/>
      <c r="AQ136" s="650"/>
      <c r="AR136" s="650"/>
      <c r="AS136" s="650"/>
      <c r="AT136" s="650"/>
      <c r="AU136" s="650"/>
      <c r="AV136" s="650"/>
      <c r="AW136" s="650"/>
      <c r="AX136" s="650"/>
      <c r="AY136" s="650"/>
    </row>
    <row r="137" ht="21.75" customHeight="1">
      <c r="A137" s="650"/>
      <c r="B137" s="650"/>
      <c r="C137" s="692"/>
      <c r="D137" s="692"/>
      <c r="Q137" s="650"/>
      <c r="R137" s="650"/>
      <c r="S137" s="650"/>
      <c r="T137" s="650"/>
      <c r="U137" s="650"/>
      <c r="V137" s="650"/>
      <c r="W137" s="650"/>
      <c r="X137" s="650"/>
      <c r="Y137" s="650"/>
      <c r="Z137" s="650"/>
      <c r="AA137" s="650"/>
      <c r="AB137" s="650"/>
      <c r="AC137" s="650"/>
      <c r="AD137" s="650"/>
      <c r="AE137" s="650"/>
      <c r="AF137" s="650"/>
      <c r="AG137" s="650"/>
      <c r="AH137" s="650"/>
      <c r="AI137" s="650"/>
      <c r="AJ137" s="650"/>
      <c r="AK137" s="650"/>
      <c r="AL137" s="650"/>
      <c r="AM137" s="650"/>
      <c r="AN137" s="650"/>
      <c r="AO137" s="650"/>
      <c r="AP137" s="650"/>
      <c r="AQ137" s="650"/>
      <c r="AR137" s="650"/>
      <c r="AS137" s="650"/>
      <c r="AT137" s="650"/>
      <c r="AU137" s="650"/>
      <c r="AV137" s="650"/>
      <c r="AW137" s="650"/>
      <c r="AX137" s="650"/>
      <c r="AY137" s="650"/>
    </row>
    <row r="138" ht="21.75" customHeight="1">
      <c r="A138" s="650"/>
      <c r="B138" s="650"/>
      <c r="C138" s="692"/>
      <c r="D138" s="692"/>
      <c r="Q138" s="650"/>
      <c r="R138" s="650"/>
      <c r="S138" s="650"/>
      <c r="T138" s="650"/>
      <c r="U138" s="650"/>
      <c r="V138" s="650"/>
      <c r="W138" s="650"/>
      <c r="X138" s="650"/>
      <c r="Y138" s="650"/>
      <c r="Z138" s="650"/>
      <c r="AA138" s="650"/>
      <c r="AB138" s="650"/>
      <c r="AC138" s="650"/>
      <c r="AD138" s="650"/>
      <c r="AE138" s="650"/>
      <c r="AF138" s="650"/>
      <c r="AG138" s="650"/>
      <c r="AH138" s="650"/>
      <c r="AI138" s="650"/>
      <c r="AJ138" s="650"/>
      <c r="AK138" s="650"/>
      <c r="AL138" s="650"/>
      <c r="AM138" s="650"/>
      <c r="AN138" s="650"/>
      <c r="AO138" s="650"/>
      <c r="AP138" s="650"/>
      <c r="AQ138" s="650"/>
      <c r="AR138" s="650"/>
      <c r="AS138" s="650"/>
      <c r="AT138" s="650"/>
      <c r="AU138" s="650"/>
      <c r="AV138" s="650"/>
      <c r="AW138" s="650"/>
      <c r="AX138" s="650"/>
      <c r="AY138" s="650"/>
    </row>
    <row r="139" ht="21.75" customHeight="1">
      <c r="A139" s="650"/>
      <c r="B139" s="650"/>
      <c r="C139" s="692"/>
      <c r="D139" s="692"/>
      <c r="Q139" s="650"/>
      <c r="R139" s="650"/>
      <c r="S139" s="650"/>
      <c r="T139" s="650"/>
      <c r="U139" s="650"/>
      <c r="V139" s="650"/>
      <c r="W139" s="650"/>
      <c r="X139" s="650"/>
      <c r="Y139" s="650"/>
      <c r="Z139" s="650"/>
      <c r="AA139" s="650"/>
      <c r="AB139" s="650"/>
      <c r="AC139" s="650"/>
      <c r="AD139" s="650"/>
      <c r="AE139" s="650"/>
      <c r="AF139" s="650"/>
      <c r="AG139" s="650"/>
      <c r="AH139" s="650"/>
      <c r="AI139" s="650"/>
      <c r="AJ139" s="650"/>
      <c r="AK139" s="650"/>
      <c r="AL139" s="650"/>
      <c r="AM139" s="650"/>
      <c r="AN139" s="650"/>
      <c r="AO139" s="650"/>
      <c r="AP139" s="650"/>
      <c r="AQ139" s="650"/>
      <c r="AR139" s="650"/>
      <c r="AS139" s="650"/>
      <c r="AT139" s="650"/>
      <c r="AU139" s="650"/>
      <c r="AV139" s="650"/>
      <c r="AW139" s="650"/>
      <c r="AX139" s="650"/>
      <c r="AY139" s="650"/>
    </row>
    <row r="140" ht="21.75" customHeight="1">
      <c r="A140" s="650"/>
      <c r="B140" s="650"/>
      <c r="C140" s="692"/>
      <c r="D140" s="692"/>
      <c r="Q140" s="650"/>
      <c r="R140" s="650"/>
      <c r="S140" s="650"/>
      <c r="T140" s="650"/>
      <c r="U140" s="650"/>
      <c r="V140" s="650"/>
      <c r="W140" s="650"/>
      <c r="X140" s="650"/>
      <c r="Y140" s="650"/>
      <c r="Z140" s="650"/>
      <c r="AA140" s="650"/>
      <c r="AB140" s="650"/>
      <c r="AC140" s="650"/>
      <c r="AD140" s="650"/>
      <c r="AE140" s="650"/>
      <c r="AF140" s="650"/>
      <c r="AG140" s="650"/>
      <c r="AH140" s="650"/>
      <c r="AI140" s="650"/>
      <c r="AJ140" s="650"/>
      <c r="AK140" s="650"/>
      <c r="AL140" s="650"/>
      <c r="AM140" s="650"/>
      <c r="AN140" s="650"/>
      <c r="AO140" s="650"/>
      <c r="AP140" s="650"/>
      <c r="AQ140" s="650"/>
      <c r="AR140" s="650"/>
      <c r="AS140" s="650"/>
      <c r="AT140" s="650"/>
      <c r="AU140" s="650"/>
      <c r="AV140" s="650"/>
      <c r="AW140" s="650"/>
      <c r="AX140" s="650"/>
      <c r="AY140" s="650"/>
    </row>
    <row r="141" ht="21.75" customHeight="1">
      <c r="A141" s="650"/>
      <c r="B141" s="650"/>
      <c r="C141" s="692"/>
      <c r="D141" s="692"/>
      <c r="Q141" s="650"/>
      <c r="R141" s="650"/>
      <c r="S141" s="650"/>
      <c r="T141" s="650"/>
      <c r="U141" s="650"/>
      <c r="V141" s="650"/>
      <c r="W141" s="650"/>
      <c r="X141" s="650"/>
      <c r="Y141" s="650"/>
      <c r="Z141" s="650"/>
      <c r="AA141" s="650"/>
      <c r="AB141" s="650"/>
      <c r="AC141" s="650"/>
      <c r="AD141" s="650"/>
      <c r="AE141" s="650"/>
      <c r="AF141" s="650"/>
      <c r="AG141" s="650"/>
      <c r="AH141" s="650"/>
      <c r="AI141" s="650"/>
      <c r="AJ141" s="650"/>
      <c r="AK141" s="650"/>
      <c r="AL141" s="650"/>
      <c r="AM141" s="650"/>
      <c r="AN141" s="650"/>
      <c r="AO141" s="650"/>
      <c r="AP141" s="650"/>
      <c r="AQ141" s="650"/>
      <c r="AR141" s="650"/>
      <c r="AS141" s="650"/>
      <c r="AT141" s="650"/>
      <c r="AU141" s="650"/>
      <c r="AV141" s="650"/>
      <c r="AW141" s="650"/>
      <c r="AX141" s="650"/>
      <c r="AY141" s="650"/>
    </row>
    <row r="142" ht="21.75" customHeight="1">
      <c r="A142" s="650"/>
      <c r="B142" s="650"/>
      <c r="C142" s="692"/>
      <c r="D142" s="692"/>
      <c r="Q142" s="650"/>
      <c r="R142" s="650"/>
      <c r="S142" s="650"/>
      <c r="T142" s="650"/>
      <c r="U142" s="650"/>
      <c r="V142" s="650"/>
      <c r="W142" s="650"/>
      <c r="X142" s="650"/>
      <c r="Y142" s="650"/>
      <c r="Z142" s="650"/>
      <c r="AA142" s="650"/>
      <c r="AB142" s="650"/>
      <c r="AC142" s="650"/>
      <c r="AD142" s="650"/>
      <c r="AE142" s="650"/>
      <c r="AF142" s="650"/>
      <c r="AG142" s="650"/>
      <c r="AH142" s="650"/>
      <c r="AI142" s="650"/>
      <c r="AJ142" s="650"/>
      <c r="AK142" s="650"/>
      <c r="AL142" s="650"/>
      <c r="AM142" s="650"/>
      <c r="AN142" s="650"/>
      <c r="AO142" s="650"/>
      <c r="AP142" s="650"/>
      <c r="AQ142" s="650"/>
      <c r="AR142" s="650"/>
      <c r="AS142" s="650"/>
      <c r="AT142" s="650"/>
      <c r="AU142" s="650"/>
      <c r="AV142" s="650"/>
      <c r="AW142" s="650"/>
      <c r="AX142" s="650"/>
      <c r="AY142" s="650"/>
    </row>
    <row r="143" ht="21.75" customHeight="1">
      <c r="A143" s="650"/>
      <c r="B143" s="650"/>
      <c r="C143" s="692"/>
      <c r="D143" s="692"/>
      <c r="Q143" s="650"/>
      <c r="R143" s="650"/>
      <c r="S143" s="650"/>
      <c r="T143" s="650"/>
      <c r="U143" s="650"/>
      <c r="V143" s="650"/>
      <c r="W143" s="650"/>
      <c r="X143" s="650"/>
      <c r="Y143" s="650"/>
      <c r="Z143" s="650"/>
      <c r="AA143" s="650"/>
      <c r="AB143" s="650"/>
      <c r="AC143" s="650"/>
      <c r="AD143" s="650"/>
      <c r="AE143" s="650"/>
      <c r="AF143" s="650"/>
      <c r="AG143" s="650"/>
      <c r="AH143" s="650"/>
      <c r="AI143" s="650"/>
      <c r="AJ143" s="650"/>
      <c r="AK143" s="650"/>
      <c r="AL143" s="650"/>
      <c r="AM143" s="650"/>
      <c r="AN143" s="650"/>
      <c r="AO143" s="650"/>
      <c r="AP143" s="650"/>
      <c r="AQ143" s="650"/>
      <c r="AR143" s="650"/>
      <c r="AS143" s="650"/>
      <c r="AT143" s="650"/>
      <c r="AU143" s="650"/>
      <c r="AV143" s="650"/>
      <c r="AW143" s="650"/>
      <c r="AX143" s="650"/>
      <c r="AY143" s="650"/>
    </row>
    <row r="144" ht="21.75" customHeight="1">
      <c r="A144" s="650"/>
      <c r="B144" s="650"/>
      <c r="C144" s="692"/>
      <c r="D144" s="692"/>
      <c r="Q144" s="650"/>
      <c r="R144" s="650"/>
      <c r="S144" s="650"/>
      <c r="T144" s="650"/>
      <c r="U144" s="650"/>
      <c r="V144" s="650"/>
      <c r="W144" s="650"/>
      <c r="X144" s="650"/>
      <c r="Y144" s="650"/>
      <c r="Z144" s="650"/>
      <c r="AA144" s="650"/>
      <c r="AB144" s="650"/>
      <c r="AC144" s="650"/>
      <c r="AD144" s="650"/>
      <c r="AE144" s="650"/>
      <c r="AF144" s="650"/>
      <c r="AG144" s="650"/>
      <c r="AH144" s="650"/>
      <c r="AI144" s="650"/>
      <c r="AJ144" s="650"/>
      <c r="AK144" s="650"/>
      <c r="AL144" s="650"/>
      <c r="AM144" s="650"/>
      <c r="AN144" s="650"/>
      <c r="AO144" s="650"/>
      <c r="AP144" s="650"/>
      <c r="AQ144" s="650"/>
      <c r="AR144" s="650"/>
      <c r="AS144" s="650"/>
      <c r="AT144" s="650"/>
      <c r="AU144" s="650"/>
      <c r="AV144" s="650"/>
      <c r="AW144" s="650"/>
      <c r="AX144" s="650"/>
      <c r="AY144" s="650"/>
    </row>
    <row r="145" ht="21.75" customHeight="1">
      <c r="A145" s="650"/>
      <c r="B145" s="650"/>
      <c r="C145" s="692"/>
      <c r="D145" s="692"/>
      <c r="Q145" s="650"/>
      <c r="R145" s="650"/>
      <c r="S145" s="650"/>
      <c r="T145" s="650"/>
      <c r="U145" s="650"/>
      <c r="V145" s="650"/>
      <c r="W145" s="650"/>
      <c r="X145" s="650"/>
      <c r="Y145" s="650"/>
      <c r="Z145" s="650"/>
      <c r="AA145" s="650"/>
      <c r="AB145" s="650"/>
      <c r="AC145" s="650"/>
      <c r="AD145" s="650"/>
      <c r="AE145" s="650"/>
      <c r="AF145" s="650"/>
      <c r="AG145" s="650"/>
      <c r="AH145" s="650"/>
      <c r="AI145" s="650"/>
      <c r="AJ145" s="650"/>
      <c r="AK145" s="650"/>
      <c r="AL145" s="650"/>
      <c r="AM145" s="650"/>
      <c r="AN145" s="650"/>
      <c r="AO145" s="650"/>
      <c r="AP145" s="650"/>
      <c r="AQ145" s="650"/>
      <c r="AR145" s="650"/>
      <c r="AS145" s="650"/>
      <c r="AT145" s="650"/>
      <c r="AU145" s="650"/>
      <c r="AV145" s="650"/>
      <c r="AW145" s="650"/>
      <c r="AX145" s="650"/>
      <c r="AY145" s="650"/>
    </row>
    <row r="146" ht="21.75" customHeight="1">
      <c r="A146" s="650"/>
      <c r="B146" s="650"/>
      <c r="C146" s="692"/>
      <c r="D146" s="692"/>
      <c r="Q146" s="650"/>
      <c r="R146" s="650"/>
      <c r="S146" s="650"/>
      <c r="T146" s="650"/>
      <c r="U146" s="650"/>
      <c r="V146" s="650"/>
      <c r="W146" s="650"/>
      <c r="X146" s="650"/>
      <c r="Y146" s="650"/>
      <c r="Z146" s="650"/>
      <c r="AA146" s="650"/>
      <c r="AB146" s="650"/>
      <c r="AC146" s="650"/>
      <c r="AD146" s="650"/>
      <c r="AE146" s="650"/>
      <c r="AF146" s="650"/>
      <c r="AG146" s="650"/>
      <c r="AH146" s="650"/>
      <c r="AI146" s="650"/>
      <c r="AJ146" s="650"/>
      <c r="AK146" s="650"/>
      <c r="AL146" s="650"/>
      <c r="AM146" s="650"/>
      <c r="AN146" s="650"/>
      <c r="AO146" s="650"/>
      <c r="AP146" s="650"/>
      <c r="AQ146" s="650"/>
      <c r="AR146" s="650"/>
      <c r="AS146" s="650"/>
      <c r="AT146" s="650"/>
      <c r="AU146" s="650"/>
      <c r="AV146" s="650"/>
      <c r="AW146" s="650"/>
      <c r="AX146" s="650"/>
      <c r="AY146" s="650"/>
    </row>
    <row r="147" ht="21.75" customHeight="1">
      <c r="A147" s="650"/>
      <c r="B147" s="650"/>
      <c r="C147" s="692"/>
      <c r="D147" s="692"/>
      <c r="Q147" s="650"/>
      <c r="R147" s="650"/>
      <c r="S147" s="650"/>
      <c r="T147" s="650"/>
      <c r="U147" s="650"/>
      <c r="V147" s="650"/>
      <c r="W147" s="650"/>
      <c r="X147" s="650"/>
      <c r="Y147" s="650"/>
      <c r="Z147" s="650"/>
      <c r="AA147" s="650"/>
      <c r="AB147" s="650"/>
      <c r="AC147" s="650"/>
      <c r="AD147" s="650"/>
      <c r="AE147" s="650"/>
      <c r="AF147" s="650"/>
      <c r="AG147" s="650"/>
      <c r="AH147" s="650"/>
      <c r="AI147" s="650"/>
      <c r="AJ147" s="650"/>
      <c r="AK147" s="650"/>
      <c r="AL147" s="650"/>
      <c r="AM147" s="650"/>
      <c r="AN147" s="650"/>
      <c r="AO147" s="650"/>
      <c r="AP147" s="650"/>
      <c r="AQ147" s="650"/>
      <c r="AR147" s="650"/>
      <c r="AS147" s="650"/>
      <c r="AT147" s="650"/>
      <c r="AU147" s="650"/>
      <c r="AV147" s="650"/>
      <c r="AW147" s="650"/>
      <c r="AX147" s="650"/>
      <c r="AY147" s="650"/>
    </row>
    <row r="148" ht="21.75" customHeight="1">
      <c r="A148" s="650"/>
      <c r="B148" s="650"/>
      <c r="C148" s="692"/>
      <c r="D148" s="692"/>
      <c r="Q148" s="650"/>
      <c r="R148" s="650"/>
      <c r="S148" s="650"/>
      <c r="T148" s="650"/>
      <c r="U148" s="650"/>
      <c r="V148" s="650"/>
      <c r="W148" s="650"/>
      <c r="X148" s="650"/>
      <c r="Y148" s="650"/>
      <c r="Z148" s="650"/>
      <c r="AA148" s="650"/>
      <c r="AB148" s="650"/>
      <c r="AC148" s="650"/>
      <c r="AD148" s="650"/>
      <c r="AE148" s="650"/>
      <c r="AF148" s="650"/>
      <c r="AG148" s="650"/>
      <c r="AH148" s="650"/>
      <c r="AI148" s="650"/>
      <c r="AJ148" s="650"/>
      <c r="AK148" s="650"/>
      <c r="AL148" s="650"/>
      <c r="AM148" s="650"/>
      <c r="AN148" s="650"/>
      <c r="AO148" s="650"/>
      <c r="AP148" s="650"/>
      <c r="AQ148" s="650"/>
      <c r="AR148" s="650"/>
      <c r="AS148" s="650"/>
      <c r="AT148" s="650"/>
      <c r="AU148" s="650"/>
      <c r="AV148" s="650"/>
      <c r="AW148" s="650"/>
      <c r="AX148" s="650"/>
      <c r="AY148" s="650"/>
    </row>
    <row r="149" ht="21.75" customHeight="1">
      <c r="A149" s="650"/>
      <c r="B149" s="650"/>
      <c r="C149" s="692"/>
      <c r="D149" s="692"/>
      <c r="Q149" s="650"/>
      <c r="R149" s="650"/>
      <c r="S149" s="650"/>
      <c r="T149" s="650"/>
      <c r="U149" s="650"/>
      <c r="V149" s="650"/>
      <c r="W149" s="650"/>
      <c r="X149" s="650"/>
      <c r="Y149" s="650"/>
      <c r="Z149" s="650"/>
      <c r="AA149" s="650"/>
      <c r="AB149" s="650"/>
      <c r="AC149" s="650"/>
      <c r="AD149" s="650"/>
      <c r="AE149" s="650"/>
      <c r="AF149" s="650"/>
      <c r="AG149" s="650"/>
      <c r="AH149" s="650"/>
      <c r="AI149" s="650"/>
      <c r="AJ149" s="650"/>
      <c r="AK149" s="650"/>
      <c r="AL149" s="650"/>
      <c r="AM149" s="650"/>
      <c r="AN149" s="650"/>
      <c r="AO149" s="650"/>
      <c r="AP149" s="650"/>
      <c r="AQ149" s="650"/>
      <c r="AR149" s="650"/>
      <c r="AS149" s="650"/>
      <c r="AT149" s="650"/>
      <c r="AU149" s="650"/>
      <c r="AV149" s="650"/>
      <c r="AW149" s="650"/>
      <c r="AX149" s="650"/>
      <c r="AY149" s="650"/>
    </row>
    <row r="150" ht="21.75" customHeight="1">
      <c r="A150" s="650"/>
      <c r="B150" s="650"/>
      <c r="C150" s="692"/>
      <c r="D150" s="692"/>
      <c r="Q150" s="650"/>
      <c r="R150" s="650"/>
      <c r="S150" s="650"/>
      <c r="T150" s="650"/>
      <c r="U150" s="650"/>
      <c r="V150" s="650"/>
      <c r="W150" s="650"/>
      <c r="X150" s="650"/>
      <c r="Y150" s="650"/>
      <c r="Z150" s="650"/>
      <c r="AA150" s="650"/>
      <c r="AB150" s="650"/>
      <c r="AC150" s="650"/>
      <c r="AD150" s="650"/>
      <c r="AE150" s="650"/>
      <c r="AF150" s="650"/>
      <c r="AG150" s="650"/>
      <c r="AH150" s="650"/>
      <c r="AI150" s="650"/>
      <c r="AJ150" s="650"/>
      <c r="AK150" s="650"/>
      <c r="AL150" s="650"/>
      <c r="AM150" s="650"/>
      <c r="AN150" s="650"/>
      <c r="AO150" s="650"/>
      <c r="AP150" s="650"/>
      <c r="AQ150" s="650"/>
      <c r="AR150" s="650"/>
      <c r="AS150" s="650"/>
      <c r="AT150" s="650"/>
      <c r="AU150" s="650"/>
      <c r="AV150" s="650"/>
      <c r="AW150" s="650"/>
      <c r="AX150" s="650"/>
      <c r="AY150" s="650"/>
    </row>
    <row r="151" ht="21.75" customHeight="1">
      <c r="A151" s="650"/>
      <c r="B151" s="650"/>
      <c r="C151" s="692"/>
      <c r="D151" s="692"/>
      <c r="Q151" s="650"/>
      <c r="R151" s="650"/>
      <c r="S151" s="650"/>
      <c r="T151" s="650"/>
      <c r="U151" s="650"/>
      <c r="V151" s="650"/>
      <c r="W151" s="650"/>
      <c r="X151" s="650"/>
      <c r="Y151" s="650"/>
      <c r="Z151" s="650"/>
      <c r="AA151" s="650"/>
      <c r="AB151" s="650"/>
      <c r="AC151" s="650"/>
      <c r="AD151" s="650"/>
      <c r="AE151" s="650"/>
      <c r="AF151" s="650"/>
      <c r="AG151" s="650"/>
      <c r="AH151" s="650"/>
      <c r="AI151" s="650"/>
      <c r="AJ151" s="650"/>
      <c r="AK151" s="650"/>
      <c r="AL151" s="650"/>
      <c r="AM151" s="650"/>
      <c r="AN151" s="650"/>
      <c r="AO151" s="650"/>
      <c r="AP151" s="650"/>
      <c r="AQ151" s="650"/>
      <c r="AR151" s="650"/>
      <c r="AS151" s="650"/>
      <c r="AT151" s="650"/>
      <c r="AU151" s="650"/>
      <c r="AV151" s="650"/>
      <c r="AW151" s="650"/>
      <c r="AX151" s="650"/>
      <c r="AY151" s="650"/>
    </row>
    <row r="152" ht="21.75" customHeight="1">
      <c r="A152" s="650"/>
      <c r="B152" s="650"/>
      <c r="C152" s="692"/>
      <c r="D152" s="692"/>
      <c r="Q152" s="650"/>
      <c r="R152" s="650"/>
      <c r="S152" s="650"/>
      <c r="T152" s="650"/>
      <c r="U152" s="650"/>
      <c r="V152" s="650"/>
      <c r="W152" s="650"/>
      <c r="X152" s="650"/>
      <c r="Y152" s="650"/>
      <c r="Z152" s="650"/>
      <c r="AA152" s="650"/>
      <c r="AB152" s="650"/>
      <c r="AC152" s="650"/>
      <c r="AD152" s="650"/>
      <c r="AE152" s="650"/>
      <c r="AF152" s="650"/>
      <c r="AG152" s="650"/>
      <c r="AH152" s="650"/>
      <c r="AI152" s="650"/>
      <c r="AJ152" s="650"/>
      <c r="AK152" s="650"/>
      <c r="AL152" s="650"/>
      <c r="AM152" s="650"/>
      <c r="AN152" s="650"/>
      <c r="AO152" s="650"/>
      <c r="AP152" s="650"/>
      <c r="AQ152" s="650"/>
      <c r="AR152" s="650"/>
      <c r="AS152" s="650"/>
      <c r="AT152" s="650"/>
      <c r="AU152" s="650"/>
      <c r="AV152" s="650"/>
      <c r="AW152" s="650"/>
      <c r="AX152" s="650"/>
      <c r="AY152" s="650"/>
    </row>
    <row r="153" ht="21.75" customHeight="1">
      <c r="A153" s="650"/>
      <c r="B153" s="650"/>
      <c r="C153" s="692"/>
      <c r="D153" s="692"/>
      <c r="Q153" s="650"/>
      <c r="R153" s="650"/>
      <c r="S153" s="650"/>
      <c r="T153" s="650"/>
      <c r="U153" s="650"/>
      <c r="V153" s="650"/>
      <c r="W153" s="650"/>
      <c r="X153" s="650"/>
      <c r="Y153" s="650"/>
      <c r="Z153" s="650"/>
      <c r="AA153" s="650"/>
      <c r="AB153" s="650"/>
      <c r="AC153" s="650"/>
      <c r="AD153" s="650"/>
      <c r="AE153" s="650"/>
      <c r="AF153" s="650"/>
      <c r="AG153" s="650"/>
      <c r="AH153" s="650"/>
      <c r="AI153" s="650"/>
      <c r="AJ153" s="650"/>
      <c r="AK153" s="650"/>
      <c r="AL153" s="650"/>
      <c r="AM153" s="650"/>
      <c r="AN153" s="650"/>
      <c r="AO153" s="650"/>
      <c r="AP153" s="650"/>
      <c r="AQ153" s="650"/>
      <c r="AR153" s="650"/>
      <c r="AS153" s="650"/>
      <c r="AT153" s="650"/>
      <c r="AU153" s="650"/>
      <c r="AV153" s="650"/>
      <c r="AW153" s="650"/>
      <c r="AX153" s="650"/>
      <c r="AY153" s="650"/>
    </row>
    <row r="154" ht="21.75" customHeight="1">
      <c r="A154" s="650"/>
      <c r="B154" s="650"/>
      <c r="C154" s="692"/>
      <c r="D154" s="692"/>
      <c r="Q154" s="650"/>
      <c r="R154" s="650"/>
      <c r="S154" s="650"/>
      <c r="T154" s="650"/>
      <c r="U154" s="650"/>
      <c r="V154" s="650"/>
      <c r="W154" s="650"/>
      <c r="X154" s="650"/>
      <c r="Y154" s="650"/>
      <c r="Z154" s="650"/>
      <c r="AA154" s="650"/>
      <c r="AB154" s="650"/>
      <c r="AC154" s="650"/>
      <c r="AD154" s="650"/>
      <c r="AE154" s="650"/>
      <c r="AF154" s="650"/>
      <c r="AG154" s="650"/>
      <c r="AH154" s="650"/>
      <c r="AI154" s="650"/>
      <c r="AJ154" s="650"/>
      <c r="AK154" s="650"/>
      <c r="AL154" s="650"/>
      <c r="AM154" s="650"/>
      <c r="AN154" s="650"/>
      <c r="AO154" s="650"/>
      <c r="AP154" s="650"/>
      <c r="AQ154" s="650"/>
      <c r="AR154" s="650"/>
      <c r="AS154" s="650"/>
      <c r="AT154" s="650"/>
      <c r="AU154" s="650"/>
      <c r="AV154" s="650"/>
      <c r="AW154" s="650"/>
      <c r="AX154" s="650"/>
      <c r="AY154" s="650"/>
    </row>
    <row r="155" ht="21.75" customHeight="1">
      <c r="A155" s="650"/>
      <c r="B155" s="650"/>
      <c r="C155" s="650"/>
      <c r="D155" s="650"/>
      <c r="E155" s="650"/>
      <c r="F155" s="650"/>
      <c r="G155" s="650"/>
      <c r="H155" s="650"/>
      <c r="I155" s="650"/>
      <c r="J155" s="650"/>
      <c r="K155" s="650"/>
      <c r="L155" s="650"/>
      <c r="M155" s="650"/>
      <c r="N155" s="650"/>
      <c r="O155" s="650"/>
      <c r="P155" s="650"/>
      <c r="Q155" s="650"/>
      <c r="R155" s="650"/>
      <c r="S155" s="650"/>
      <c r="T155" s="650"/>
      <c r="U155" s="650"/>
      <c r="V155" s="650"/>
      <c r="W155" s="650"/>
      <c r="X155" s="650"/>
      <c r="Y155" s="650"/>
      <c r="Z155" s="650"/>
      <c r="AA155" s="650"/>
      <c r="AB155" s="650"/>
      <c r="AC155" s="650"/>
      <c r="AD155" s="650"/>
      <c r="AE155" s="650"/>
      <c r="AF155" s="650"/>
      <c r="AG155" s="650"/>
      <c r="AH155" s="650"/>
      <c r="AI155" s="650"/>
      <c r="AJ155" s="650"/>
      <c r="AK155" s="650"/>
      <c r="AL155" s="650"/>
      <c r="AM155" s="650"/>
      <c r="AN155" s="650"/>
      <c r="AO155" s="650"/>
      <c r="AP155" s="650"/>
      <c r="AQ155" s="650"/>
      <c r="AR155" s="650"/>
      <c r="AS155" s="650"/>
      <c r="AT155" s="650"/>
      <c r="AU155" s="650"/>
      <c r="AV155" s="650"/>
      <c r="AW155" s="650"/>
      <c r="AX155" s="650"/>
      <c r="AY155" s="650"/>
    </row>
    <row r="156" ht="21.75" customHeight="1">
      <c r="A156" s="650"/>
      <c r="B156" s="650"/>
      <c r="C156" s="650"/>
      <c r="D156" s="650"/>
      <c r="E156" s="650"/>
      <c r="F156" s="650"/>
      <c r="G156" s="650"/>
      <c r="H156" s="650"/>
      <c r="I156" s="650"/>
      <c r="J156" s="650"/>
      <c r="K156" s="650"/>
      <c r="L156" s="650"/>
      <c r="M156" s="650"/>
      <c r="N156" s="650"/>
      <c r="O156" s="650"/>
      <c r="P156" s="650"/>
      <c r="Q156" s="650"/>
      <c r="R156" s="650"/>
      <c r="S156" s="650"/>
      <c r="T156" s="650"/>
      <c r="U156" s="650"/>
      <c r="V156" s="650"/>
      <c r="W156" s="650"/>
      <c r="X156" s="650"/>
      <c r="Y156" s="650"/>
      <c r="Z156" s="650"/>
      <c r="AA156" s="650"/>
      <c r="AB156" s="650"/>
      <c r="AC156" s="650"/>
      <c r="AD156" s="650"/>
      <c r="AE156" s="650"/>
      <c r="AF156" s="650"/>
      <c r="AG156" s="650"/>
      <c r="AH156" s="650"/>
      <c r="AI156" s="650"/>
      <c r="AJ156" s="650"/>
      <c r="AK156" s="650"/>
      <c r="AL156" s="650"/>
      <c r="AM156" s="650"/>
      <c r="AN156" s="650"/>
      <c r="AO156" s="650"/>
      <c r="AP156" s="650"/>
      <c r="AQ156" s="650"/>
      <c r="AR156" s="650"/>
      <c r="AS156" s="650"/>
      <c r="AT156" s="650"/>
      <c r="AU156" s="650"/>
      <c r="AV156" s="650"/>
      <c r="AW156" s="650"/>
      <c r="AX156" s="650"/>
      <c r="AY156" s="650"/>
    </row>
    <row r="157" ht="21.75" customHeight="1">
      <c r="A157" s="650"/>
      <c r="B157" s="650"/>
      <c r="C157" s="650"/>
      <c r="D157" s="650"/>
      <c r="E157" s="650"/>
      <c r="F157" s="650"/>
      <c r="G157" s="650"/>
      <c r="H157" s="650"/>
      <c r="I157" s="650"/>
      <c r="J157" s="650"/>
      <c r="K157" s="650"/>
      <c r="L157" s="650"/>
      <c r="M157" s="650"/>
      <c r="N157" s="650"/>
      <c r="O157" s="650"/>
      <c r="P157" s="650"/>
      <c r="Q157" s="650"/>
      <c r="R157" s="650"/>
      <c r="S157" s="650"/>
      <c r="T157" s="650"/>
      <c r="U157" s="650"/>
      <c r="V157" s="650"/>
      <c r="W157" s="650"/>
      <c r="X157" s="650"/>
      <c r="Y157" s="650"/>
      <c r="Z157" s="650"/>
      <c r="AA157" s="650"/>
      <c r="AB157" s="650"/>
      <c r="AC157" s="650"/>
      <c r="AD157" s="650"/>
      <c r="AE157" s="650"/>
      <c r="AF157" s="650"/>
      <c r="AG157" s="650"/>
      <c r="AH157" s="650"/>
      <c r="AI157" s="650"/>
      <c r="AJ157" s="650"/>
      <c r="AK157" s="650"/>
      <c r="AL157" s="650"/>
      <c r="AM157" s="650"/>
      <c r="AN157" s="650"/>
      <c r="AO157" s="650"/>
      <c r="AP157" s="650"/>
      <c r="AQ157" s="650"/>
      <c r="AR157" s="650"/>
      <c r="AS157" s="650"/>
      <c r="AT157" s="650"/>
      <c r="AU157" s="650"/>
      <c r="AV157" s="650"/>
      <c r="AW157" s="650"/>
      <c r="AX157" s="650"/>
      <c r="AY157" s="650"/>
    </row>
    <row r="158" ht="21.75" customHeight="1">
      <c r="A158" s="650"/>
      <c r="B158" s="650"/>
      <c r="C158" s="650"/>
      <c r="D158" s="650"/>
      <c r="E158" s="650"/>
      <c r="F158" s="650"/>
      <c r="G158" s="650"/>
      <c r="H158" s="650"/>
      <c r="I158" s="650"/>
      <c r="J158" s="650"/>
      <c r="K158" s="650"/>
      <c r="L158" s="650"/>
      <c r="M158" s="650"/>
      <c r="N158" s="650"/>
      <c r="O158" s="650"/>
      <c r="P158" s="650"/>
      <c r="Q158" s="650"/>
      <c r="R158" s="650"/>
      <c r="S158" s="650"/>
      <c r="T158" s="650"/>
      <c r="U158" s="650"/>
      <c r="V158" s="650"/>
      <c r="W158" s="650"/>
      <c r="X158" s="650"/>
      <c r="Y158" s="650"/>
      <c r="Z158" s="650"/>
      <c r="AA158" s="650"/>
      <c r="AB158" s="650"/>
      <c r="AC158" s="650"/>
      <c r="AD158" s="650"/>
      <c r="AE158" s="650"/>
      <c r="AF158" s="650"/>
      <c r="AG158" s="650"/>
      <c r="AH158" s="650"/>
      <c r="AI158" s="650"/>
      <c r="AJ158" s="650"/>
      <c r="AK158" s="650"/>
      <c r="AL158" s="650"/>
      <c r="AM158" s="650"/>
      <c r="AN158" s="650"/>
      <c r="AO158" s="650"/>
      <c r="AP158" s="650"/>
      <c r="AQ158" s="650"/>
      <c r="AR158" s="650"/>
      <c r="AS158" s="650"/>
      <c r="AT158" s="650"/>
      <c r="AU158" s="650"/>
      <c r="AV158" s="650"/>
      <c r="AW158" s="650"/>
      <c r="AX158" s="650"/>
      <c r="AY158" s="650"/>
    </row>
    <row r="159" ht="21.75" customHeight="1">
      <c r="A159" s="650"/>
      <c r="B159" s="650"/>
      <c r="C159" s="650"/>
      <c r="D159" s="650"/>
      <c r="E159" s="650"/>
      <c r="F159" s="650"/>
      <c r="G159" s="650"/>
      <c r="H159" s="650"/>
      <c r="I159" s="650"/>
      <c r="J159" s="650"/>
      <c r="K159" s="650"/>
      <c r="L159" s="650"/>
      <c r="M159" s="650"/>
      <c r="N159" s="650"/>
      <c r="O159" s="650"/>
      <c r="P159" s="650"/>
      <c r="Q159" s="650"/>
      <c r="R159" s="650"/>
      <c r="S159" s="650"/>
      <c r="T159" s="650"/>
      <c r="U159" s="650"/>
      <c r="V159" s="650"/>
      <c r="W159" s="650"/>
      <c r="X159" s="650"/>
      <c r="Y159" s="650"/>
      <c r="Z159" s="650"/>
      <c r="AA159" s="650"/>
      <c r="AB159" s="650"/>
      <c r="AC159" s="650"/>
      <c r="AD159" s="650"/>
      <c r="AE159" s="650"/>
      <c r="AF159" s="650"/>
      <c r="AG159" s="650"/>
      <c r="AH159" s="650"/>
      <c r="AI159" s="650"/>
      <c r="AJ159" s="650"/>
      <c r="AK159" s="650"/>
      <c r="AL159" s="650"/>
      <c r="AM159" s="650"/>
      <c r="AN159" s="650"/>
      <c r="AO159" s="650"/>
      <c r="AP159" s="650"/>
      <c r="AQ159" s="650"/>
      <c r="AR159" s="650"/>
      <c r="AS159" s="650"/>
      <c r="AT159" s="650"/>
      <c r="AU159" s="650"/>
      <c r="AV159" s="650"/>
      <c r="AW159" s="650"/>
      <c r="AX159" s="650"/>
      <c r="AY159" s="650"/>
    </row>
    <row r="160" ht="21.75" customHeight="1">
      <c r="A160" s="650"/>
      <c r="B160" s="650"/>
      <c r="C160" s="650"/>
      <c r="D160" s="650"/>
      <c r="E160" s="650"/>
      <c r="F160" s="650"/>
      <c r="G160" s="650"/>
      <c r="H160" s="650"/>
      <c r="I160" s="650"/>
      <c r="J160" s="650"/>
      <c r="K160" s="650"/>
      <c r="L160" s="650"/>
      <c r="M160" s="650"/>
      <c r="N160" s="650"/>
      <c r="O160" s="650"/>
      <c r="P160" s="650"/>
      <c r="Q160" s="650"/>
      <c r="R160" s="650"/>
      <c r="S160" s="650"/>
      <c r="T160" s="650"/>
      <c r="U160" s="650"/>
      <c r="V160" s="650"/>
      <c r="W160" s="650"/>
      <c r="X160" s="650"/>
      <c r="Y160" s="650"/>
      <c r="Z160" s="650"/>
      <c r="AA160" s="650"/>
      <c r="AB160" s="650"/>
      <c r="AC160" s="650"/>
      <c r="AD160" s="650"/>
      <c r="AE160" s="650"/>
      <c r="AF160" s="650"/>
      <c r="AG160" s="650"/>
      <c r="AH160" s="650"/>
      <c r="AI160" s="650"/>
      <c r="AJ160" s="650"/>
      <c r="AK160" s="650"/>
      <c r="AL160" s="650"/>
      <c r="AM160" s="650"/>
      <c r="AN160" s="650"/>
      <c r="AO160" s="650"/>
      <c r="AP160" s="650"/>
      <c r="AQ160" s="650"/>
      <c r="AR160" s="650"/>
      <c r="AS160" s="650"/>
      <c r="AT160" s="650"/>
      <c r="AU160" s="650"/>
      <c r="AV160" s="650"/>
      <c r="AW160" s="650"/>
      <c r="AX160" s="650"/>
      <c r="AY160" s="650"/>
    </row>
    <row r="161" ht="21.75" customHeight="1">
      <c r="A161" s="650"/>
      <c r="B161" s="650"/>
      <c r="C161" s="650"/>
      <c r="D161" s="650"/>
      <c r="E161" s="650"/>
      <c r="F161" s="650"/>
      <c r="G161" s="650"/>
      <c r="H161" s="650"/>
      <c r="I161" s="650"/>
      <c r="J161" s="650"/>
      <c r="K161" s="650"/>
      <c r="L161" s="650"/>
      <c r="M161" s="650"/>
      <c r="N161" s="650"/>
      <c r="O161" s="650"/>
      <c r="P161" s="650"/>
      <c r="Q161" s="650"/>
      <c r="R161" s="650"/>
      <c r="S161" s="650"/>
      <c r="T161" s="650"/>
      <c r="U161" s="650"/>
      <c r="V161" s="650"/>
      <c r="W161" s="650"/>
      <c r="X161" s="650"/>
      <c r="Y161" s="650"/>
      <c r="Z161" s="650"/>
      <c r="AA161" s="650"/>
      <c r="AB161" s="650"/>
      <c r="AC161" s="650"/>
      <c r="AD161" s="650"/>
      <c r="AE161" s="650"/>
      <c r="AF161" s="650"/>
      <c r="AG161" s="650"/>
      <c r="AH161" s="650"/>
      <c r="AI161" s="650"/>
      <c r="AJ161" s="650"/>
      <c r="AK161" s="650"/>
      <c r="AL161" s="650"/>
      <c r="AM161" s="650"/>
      <c r="AN161" s="650"/>
      <c r="AO161" s="650"/>
      <c r="AP161" s="650"/>
      <c r="AQ161" s="650"/>
      <c r="AR161" s="650"/>
      <c r="AS161" s="650"/>
      <c r="AT161" s="650"/>
      <c r="AU161" s="650"/>
      <c r="AV161" s="650"/>
      <c r="AW161" s="650"/>
      <c r="AX161" s="650"/>
      <c r="AY161" s="650"/>
    </row>
    <row r="162" ht="21.75" customHeight="1">
      <c r="A162" s="650"/>
      <c r="B162" s="650"/>
      <c r="C162" s="650"/>
      <c r="D162" s="650"/>
      <c r="E162" s="650"/>
      <c r="F162" s="650"/>
      <c r="G162" s="650"/>
      <c r="H162" s="650"/>
      <c r="I162" s="650"/>
      <c r="J162" s="650"/>
      <c r="K162" s="650"/>
      <c r="L162" s="650"/>
      <c r="M162" s="650"/>
      <c r="N162" s="650"/>
      <c r="O162" s="650"/>
      <c r="P162" s="650"/>
      <c r="Q162" s="650"/>
      <c r="R162" s="650"/>
      <c r="S162" s="650"/>
      <c r="T162" s="650"/>
      <c r="U162" s="650"/>
      <c r="V162" s="650"/>
      <c r="W162" s="650"/>
      <c r="X162" s="650"/>
      <c r="Y162" s="650"/>
      <c r="Z162" s="650"/>
      <c r="AA162" s="650"/>
      <c r="AB162" s="650"/>
      <c r="AC162" s="650"/>
      <c r="AD162" s="650"/>
      <c r="AE162" s="650"/>
      <c r="AF162" s="650"/>
      <c r="AG162" s="650"/>
      <c r="AH162" s="650"/>
      <c r="AI162" s="650"/>
      <c r="AJ162" s="650"/>
      <c r="AK162" s="650"/>
      <c r="AL162" s="650"/>
      <c r="AM162" s="650"/>
      <c r="AN162" s="650"/>
      <c r="AO162" s="650"/>
      <c r="AP162" s="650"/>
      <c r="AQ162" s="650"/>
      <c r="AR162" s="650"/>
      <c r="AS162" s="650"/>
      <c r="AT162" s="650"/>
      <c r="AU162" s="650"/>
      <c r="AV162" s="650"/>
      <c r="AW162" s="650"/>
      <c r="AX162" s="650"/>
      <c r="AY162" s="650"/>
    </row>
    <row r="163" ht="21.75" customHeight="1">
      <c r="A163" s="650"/>
      <c r="B163" s="650"/>
      <c r="C163" s="650"/>
      <c r="D163" s="650"/>
      <c r="E163" s="650"/>
      <c r="F163" s="650"/>
      <c r="G163" s="650"/>
      <c r="H163" s="650"/>
      <c r="I163" s="650"/>
      <c r="J163" s="650"/>
      <c r="K163" s="650"/>
      <c r="L163" s="650"/>
      <c r="M163" s="650"/>
      <c r="N163" s="650"/>
      <c r="O163" s="650"/>
      <c r="P163" s="650"/>
      <c r="Q163" s="650"/>
      <c r="R163" s="650"/>
      <c r="S163" s="650"/>
      <c r="T163" s="650"/>
      <c r="U163" s="650"/>
      <c r="V163" s="650"/>
      <c r="W163" s="650"/>
      <c r="X163" s="650"/>
      <c r="Y163" s="650"/>
      <c r="Z163" s="650"/>
      <c r="AA163" s="650"/>
      <c r="AB163" s="650"/>
      <c r="AC163" s="650"/>
      <c r="AD163" s="650"/>
      <c r="AE163" s="650"/>
      <c r="AF163" s="650"/>
      <c r="AG163" s="650"/>
      <c r="AH163" s="650"/>
      <c r="AI163" s="650"/>
      <c r="AJ163" s="650"/>
      <c r="AK163" s="650"/>
      <c r="AL163" s="650"/>
      <c r="AM163" s="650"/>
      <c r="AN163" s="650"/>
      <c r="AO163" s="650"/>
      <c r="AP163" s="650"/>
      <c r="AQ163" s="650"/>
      <c r="AR163" s="650"/>
      <c r="AS163" s="650"/>
      <c r="AT163" s="650"/>
      <c r="AU163" s="650"/>
      <c r="AV163" s="650"/>
      <c r="AW163" s="650"/>
      <c r="AX163" s="650"/>
      <c r="AY163" s="650"/>
    </row>
    <row r="164" ht="21.75" customHeight="1">
      <c r="A164" s="650"/>
      <c r="B164" s="650"/>
      <c r="C164" s="650"/>
      <c r="D164" s="650"/>
      <c r="E164" s="650"/>
      <c r="F164" s="650"/>
      <c r="G164" s="650"/>
      <c r="H164" s="650"/>
      <c r="I164" s="650"/>
      <c r="J164" s="650"/>
      <c r="K164" s="650"/>
      <c r="L164" s="650"/>
      <c r="M164" s="650"/>
      <c r="N164" s="650"/>
      <c r="O164" s="650"/>
      <c r="P164" s="650"/>
      <c r="Q164" s="650"/>
      <c r="R164" s="650"/>
      <c r="S164" s="650"/>
      <c r="T164" s="650"/>
      <c r="U164" s="650"/>
      <c r="V164" s="650"/>
      <c r="W164" s="650"/>
      <c r="X164" s="650"/>
      <c r="Y164" s="650"/>
      <c r="Z164" s="650"/>
      <c r="AA164" s="650"/>
      <c r="AB164" s="650"/>
      <c r="AC164" s="650"/>
      <c r="AD164" s="650"/>
      <c r="AE164" s="650"/>
      <c r="AF164" s="650"/>
      <c r="AG164" s="650"/>
      <c r="AH164" s="650"/>
      <c r="AI164" s="650"/>
      <c r="AJ164" s="650"/>
      <c r="AK164" s="650"/>
      <c r="AL164" s="650"/>
      <c r="AM164" s="650"/>
      <c r="AN164" s="650"/>
      <c r="AO164" s="650"/>
      <c r="AP164" s="650"/>
      <c r="AQ164" s="650"/>
      <c r="AR164" s="650"/>
      <c r="AS164" s="650"/>
      <c r="AT164" s="650"/>
      <c r="AU164" s="650"/>
      <c r="AV164" s="650"/>
      <c r="AW164" s="650"/>
      <c r="AX164" s="650"/>
      <c r="AY164" s="650"/>
    </row>
    <row r="165" ht="21.75" customHeight="1">
      <c r="A165" s="650"/>
      <c r="B165" s="650"/>
      <c r="C165" s="650"/>
      <c r="D165" s="650"/>
      <c r="E165" s="650"/>
      <c r="F165" s="650"/>
      <c r="G165" s="650"/>
      <c r="H165" s="650"/>
      <c r="I165" s="650"/>
      <c r="J165" s="650"/>
      <c r="K165" s="650"/>
      <c r="L165" s="650"/>
      <c r="M165" s="650"/>
      <c r="N165" s="650"/>
      <c r="O165" s="650"/>
      <c r="P165" s="650"/>
      <c r="Q165" s="650"/>
      <c r="R165" s="650"/>
      <c r="S165" s="650"/>
      <c r="T165" s="650"/>
      <c r="U165" s="650"/>
      <c r="V165" s="650"/>
      <c r="W165" s="650"/>
      <c r="X165" s="650"/>
      <c r="Y165" s="650"/>
      <c r="Z165" s="650"/>
      <c r="AA165" s="650"/>
      <c r="AB165" s="650"/>
      <c r="AC165" s="650"/>
      <c r="AD165" s="650"/>
      <c r="AE165" s="650"/>
      <c r="AF165" s="650"/>
      <c r="AG165" s="650"/>
      <c r="AH165" s="650"/>
      <c r="AI165" s="650"/>
      <c r="AJ165" s="650"/>
      <c r="AK165" s="650"/>
      <c r="AL165" s="650"/>
      <c r="AM165" s="650"/>
      <c r="AN165" s="650"/>
      <c r="AO165" s="650"/>
      <c r="AP165" s="650"/>
      <c r="AQ165" s="650"/>
      <c r="AR165" s="650"/>
      <c r="AS165" s="650"/>
      <c r="AT165" s="650"/>
      <c r="AU165" s="650"/>
      <c r="AV165" s="650"/>
      <c r="AW165" s="650"/>
      <c r="AX165" s="650"/>
      <c r="AY165" s="650"/>
    </row>
    <row r="166" ht="21.75" customHeight="1">
      <c r="A166" s="650"/>
      <c r="B166" s="650"/>
      <c r="C166" s="650"/>
      <c r="D166" s="650"/>
      <c r="E166" s="650"/>
      <c r="F166" s="650"/>
      <c r="G166" s="650"/>
      <c r="H166" s="650"/>
      <c r="I166" s="650"/>
      <c r="J166" s="650"/>
      <c r="K166" s="650"/>
      <c r="L166" s="650"/>
      <c r="M166" s="650"/>
      <c r="N166" s="650"/>
      <c r="O166" s="650"/>
      <c r="P166" s="650"/>
      <c r="Q166" s="650"/>
      <c r="R166" s="650"/>
      <c r="S166" s="650"/>
      <c r="T166" s="650"/>
      <c r="U166" s="650"/>
      <c r="V166" s="650"/>
      <c r="W166" s="650"/>
      <c r="X166" s="650"/>
      <c r="Y166" s="650"/>
      <c r="Z166" s="650"/>
      <c r="AA166" s="650"/>
      <c r="AB166" s="650"/>
      <c r="AC166" s="650"/>
      <c r="AD166" s="650"/>
      <c r="AE166" s="650"/>
      <c r="AF166" s="650"/>
      <c r="AG166" s="650"/>
      <c r="AH166" s="650"/>
      <c r="AI166" s="650"/>
      <c r="AJ166" s="650"/>
      <c r="AK166" s="650"/>
      <c r="AL166" s="650"/>
      <c r="AM166" s="650"/>
      <c r="AN166" s="650"/>
      <c r="AO166" s="650"/>
      <c r="AP166" s="650"/>
      <c r="AQ166" s="650"/>
      <c r="AR166" s="650"/>
      <c r="AS166" s="650"/>
      <c r="AT166" s="650"/>
      <c r="AU166" s="650"/>
      <c r="AV166" s="650"/>
      <c r="AW166" s="650"/>
      <c r="AX166" s="650"/>
      <c r="AY166" s="650"/>
    </row>
    <row r="167" ht="21.75" customHeight="1">
      <c r="A167" s="650"/>
      <c r="B167" s="650"/>
      <c r="C167" s="650"/>
      <c r="D167" s="650"/>
      <c r="E167" s="650"/>
      <c r="F167" s="650"/>
      <c r="G167" s="650"/>
      <c r="H167" s="650"/>
      <c r="I167" s="650"/>
      <c r="J167" s="650"/>
      <c r="K167" s="650"/>
      <c r="L167" s="650"/>
      <c r="M167" s="650"/>
      <c r="N167" s="650"/>
      <c r="O167" s="650"/>
      <c r="P167" s="650"/>
      <c r="Q167" s="650"/>
      <c r="R167" s="650"/>
      <c r="S167" s="650"/>
      <c r="T167" s="650"/>
      <c r="U167" s="650"/>
      <c r="V167" s="650"/>
      <c r="W167" s="650"/>
      <c r="X167" s="650"/>
      <c r="Y167" s="650"/>
      <c r="Z167" s="650"/>
      <c r="AA167" s="650"/>
      <c r="AB167" s="650"/>
      <c r="AC167" s="650"/>
      <c r="AD167" s="650"/>
      <c r="AE167" s="650"/>
      <c r="AF167" s="650"/>
      <c r="AG167" s="650"/>
      <c r="AH167" s="650"/>
      <c r="AI167" s="650"/>
      <c r="AJ167" s="650"/>
      <c r="AK167" s="650"/>
      <c r="AL167" s="650"/>
      <c r="AM167" s="650"/>
      <c r="AN167" s="650"/>
      <c r="AO167" s="650"/>
      <c r="AP167" s="650"/>
      <c r="AQ167" s="650"/>
      <c r="AR167" s="650"/>
      <c r="AS167" s="650"/>
      <c r="AT167" s="650"/>
      <c r="AU167" s="650"/>
      <c r="AV167" s="650"/>
      <c r="AW167" s="650"/>
      <c r="AX167" s="650"/>
      <c r="AY167" s="650"/>
    </row>
    <row r="168" ht="21.75" customHeight="1">
      <c r="A168" s="650"/>
      <c r="B168" s="650"/>
      <c r="C168" s="650"/>
      <c r="D168" s="650"/>
      <c r="E168" s="650"/>
      <c r="F168" s="650"/>
      <c r="G168" s="650"/>
      <c r="H168" s="650"/>
      <c r="I168" s="650"/>
      <c r="J168" s="650"/>
      <c r="K168" s="650"/>
      <c r="L168" s="650"/>
      <c r="M168" s="650"/>
      <c r="N168" s="650"/>
      <c r="O168" s="650"/>
      <c r="P168" s="650"/>
      <c r="Q168" s="650"/>
      <c r="R168" s="650"/>
      <c r="S168" s="650"/>
      <c r="T168" s="650"/>
      <c r="U168" s="650"/>
      <c r="V168" s="650"/>
      <c r="W168" s="650"/>
      <c r="X168" s="650"/>
      <c r="Y168" s="650"/>
      <c r="Z168" s="650"/>
      <c r="AA168" s="650"/>
      <c r="AB168" s="650"/>
      <c r="AC168" s="650"/>
      <c r="AD168" s="650"/>
      <c r="AE168" s="650"/>
      <c r="AF168" s="650"/>
      <c r="AG168" s="650"/>
      <c r="AH168" s="650"/>
      <c r="AI168" s="650"/>
      <c r="AJ168" s="650"/>
      <c r="AK168" s="650"/>
      <c r="AL168" s="650"/>
      <c r="AM168" s="650"/>
      <c r="AN168" s="650"/>
      <c r="AO168" s="650"/>
      <c r="AP168" s="650"/>
      <c r="AQ168" s="650"/>
      <c r="AR168" s="650"/>
      <c r="AS168" s="650"/>
      <c r="AT168" s="650"/>
      <c r="AU168" s="650"/>
      <c r="AV168" s="650"/>
      <c r="AW168" s="650"/>
      <c r="AX168" s="650"/>
      <c r="AY168" s="650"/>
    </row>
    <row r="169" ht="21.75" customHeight="1">
      <c r="A169" s="650"/>
      <c r="B169" s="650"/>
      <c r="C169" s="650"/>
      <c r="D169" s="650"/>
      <c r="E169" s="650"/>
      <c r="F169" s="650"/>
      <c r="G169" s="650"/>
      <c r="H169" s="650"/>
      <c r="I169" s="650"/>
      <c r="J169" s="650"/>
      <c r="K169" s="650"/>
      <c r="L169" s="650"/>
      <c r="M169" s="650"/>
      <c r="N169" s="650"/>
      <c r="O169" s="650"/>
      <c r="P169" s="650"/>
      <c r="Q169" s="650"/>
      <c r="R169" s="650"/>
      <c r="S169" s="650"/>
      <c r="T169" s="650"/>
      <c r="U169" s="650"/>
      <c r="V169" s="650"/>
      <c r="W169" s="650"/>
      <c r="X169" s="650"/>
      <c r="Y169" s="650"/>
      <c r="Z169" s="650"/>
      <c r="AA169" s="650"/>
      <c r="AB169" s="650"/>
      <c r="AC169" s="650"/>
      <c r="AD169" s="650"/>
      <c r="AE169" s="650"/>
      <c r="AF169" s="650"/>
      <c r="AG169" s="650"/>
      <c r="AH169" s="650"/>
      <c r="AI169" s="650"/>
      <c r="AJ169" s="650"/>
      <c r="AK169" s="650"/>
      <c r="AL169" s="650"/>
      <c r="AM169" s="650"/>
      <c r="AN169" s="650"/>
      <c r="AO169" s="650"/>
      <c r="AP169" s="650"/>
      <c r="AQ169" s="650"/>
      <c r="AR169" s="650"/>
      <c r="AS169" s="650"/>
      <c r="AT169" s="650"/>
      <c r="AU169" s="650"/>
      <c r="AV169" s="650"/>
      <c r="AW169" s="650"/>
      <c r="AX169" s="650"/>
      <c r="AY169" s="650"/>
    </row>
    <row r="170" ht="21.75" customHeight="1">
      <c r="A170" s="650"/>
      <c r="B170" s="650"/>
      <c r="C170" s="650"/>
      <c r="D170" s="650"/>
      <c r="E170" s="650"/>
      <c r="F170" s="650"/>
      <c r="G170" s="650"/>
      <c r="H170" s="650"/>
      <c r="I170" s="650"/>
      <c r="J170" s="650"/>
      <c r="K170" s="650"/>
      <c r="L170" s="650"/>
      <c r="M170" s="650"/>
      <c r="N170" s="650"/>
      <c r="O170" s="650"/>
      <c r="P170" s="650"/>
      <c r="Q170" s="650"/>
      <c r="R170" s="650"/>
      <c r="S170" s="650"/>
      <c r="T170" s="650"/>
      <c r="U170" s="650"/>
      <c r="V170" s="650"/>
      <c r="W170" s="650"/>
      <c r="X170" s="650"/>
      <c r="Y170" s="650"/>
      <c r="Z170" s="650"/>
      <c r="AA170" s="650"/>
      <c r="AB170" s="650"/>
      <c r="AC170" s="650"/>
      <c r="AD170" s="650"/>
      <c r="AE170" s="650"/>
      <c r="AF170" s="650"/>
      <c r="AG170" s="650"/>
      <c r="AH170" s="650"/>
      <c r="AI170" s="650"/>
      <c r="AJ170" s="650"/>
      <c r="AK170" s="650"/>
      <c r="AL170" s="650"/>
      <c r="AM170" s="650"/>
      <c r="AN170" s="650"/>
      <c r="AO170" s="650"/>
      <c r="AP170" s="650"/>
      <c r="AQ170" s="650"/>
      <c r="AR170" s="650"/>
      <c r="AS170" s="650"/>
      <c r="AT170" s="650"/>
      <c r="AU170" s="650"/>
      <c r="AV170" s="650"/>
      <c r="AW170" s="650"/>
      <c r="AX170" s="650"/>
      <c r="AY170" s="650"/>
    </row>
    <row r="171" ht="21.75" customHeight="1">
      <c r="A171" s="650"/>
      <c r="B171" s="650"/>
      <c r="C171" s="650"/>
      <c r="D171" s="650"/>
      <c r="E171" s="650"/>
      <c r="F171" s="650"/>
      <c r="G171" s="650"/>
      <c r="H171" s="650"/>
      <c r="I171" s="650"/>
      <c r="J171" s="650"/>
      <c r="K171" s="650"/>
      <c r="L171" s="650"/>
      <c r="M171" s="650"/>
      <c r="N171" s="650"/>
      <c r="O171" s="650"/>
      <c r="P171" s="650"/>
      <c r="Q171" s="650"/>
      <c r="R171" s="650"/>
      <c r="S171" s="650"/>
      <c r="T171" s="650"/>
      <c r="U171" s="650"/>
      <c r="V171" s="650"/>
      <c r="W171" s="650"/>
      <c r="X171" s="650"/>
      <c r="Y171" s="650"/>
      <c r="Z171" s="650"/>
      <c r="AA171" s="650"/>
      <c r="AB171" s="650"/>
      <c r="AC171" s="650"/>
      <c r="AD171" s="650"/>
      <c r="AE171" s="650"/>
      <c r="AF171" s="650"/>
      <c r="AG171" s="650"/>
      <c r="AH171" s="650"/>
      <c r="AI171" s="650"/>
      <c r="AJ171" s="650"/>
      <c r="AK171" s="650"/>
      <c r="AL171" s="650"/>
      <c r="AM171" s="650"/>
      <c r="AN171" s="650"/>
      <c r="AO171" s="650"/>
      <c r="AP171" s="650"/>
      <c r="AQ171" s="650"/>
      <c r="AR171" s="650"/>
      <c r="AS171" s="650"/>
      <c r="AT171" s="650"/>
      <c r="AU171" s="650"/>
      <c r="AV171" s="650"/>
      <c r="AW171" s="650"/>
      <c r="AX171" s="650"/>
      <c r="AY171" s="650"/>
    </row>
    <row r="172" ht="21.75" customHeight="1">
      <c r="A172" s="650"/>
      <c r="B172" s="650"/>
      <c r="C172" s="650"/>
      <c r="D172" s="650"/>
      <c r="E172" s="650"/>
      <c r="F172" s="650"/>
      <c r="G172" s="650"/>
      <c r="H172" s="650"/>
      <c r="I172" s="650"/>
      <c r="J172" s="650"/>
      <c r="K172" s="650"/>
      <c r="L172" s="650"/>
      <c r="M172" s="650"/>
      <c r="N172" s="650"/>
      <c r="O172" s="650"/>
      <c r="P172" s="650"/>
      <c r="Q172" s="650"/>
      <c r="R172" s="650"/>
      <c r="S172" s="650"/>
      <c r="T172" s="650"/>
      <c r="U172" s="650"/>
      <c r="V172" s="650"/>
      <c r="W172" s="650"/>
      <c r="X172" s="650"/>
      <c r="Y172" s="650"/>
      <c r="Z172" s="650"/>
      <c r="AA172" s="650"/>
      <c r="AB172" s="650"/>
      <c r="AC172" s="650"/>
      <c r="AD172" s="650"/>
      <c r="AE172" s="650"/>
      <c r="AF172" s="650"/>
      <c r="AG172" s="650"/>
      <c r="AH172" s="650"/>
      <c r="AI172" s="650"/>
      <c r="AJ172" s="650"/>
      <c r="AK172" s="650"/>
      <c r="AL172" s="650"/>
      <c r="AM172" s="650"/>
      <c r="AN172" s="650"/>
      <c r="AO172" s="650"/>
      <c r="AP172" s="650"/>
      <c r="AQ172" s="650"/>
      <c r="AR172" s="650"/>
      <c r="AS172" s="650"/>
      <c r="AT172" s="650"/>
      <c r="AU172" s="650"/>
      <c r="AV172" s="650"/>
      <c r="AW172" s="650"/>
      <c r="AX172" s="650"/>
      <c r="AY172" s="650"/>
    </row>
    <row r="173" ht="21.75" customHeight="1">
      <c r="A173" s="650"/>
      <c r="B173" s="650"/>
      <c r="C173" s="650"/>
      <c r="D173" s="650"/>
      <c r="E173" s="650"/>
      <c r="F173" s="650"/>
      <c r="G173" s="650"/>
      <c r="H173" s="650"/>
      <c r="I173" s="650"/>
      <c r="J173" s="650"/>
      <c r="K173" s="650"/>
      <c r="L173" s="650"/>
      <c r="M173" s="650"/>
      <c r="N173" s="650"/>
      <c r="O173" s="650"/>
      <c r="P173" s="650"/>
      <c r="Q173" s="650"/>
      <c r="R173" s="650"/>
      <c r="S173" s="650"/>
      <c r="T173" s="650"/>
      <c r="U173" s="650"/>
      <c r="V173" s="650"/>
      <c r="W173" s="650"/>
      <c r="X173" s="650"/>
      <c r="Y173" s="650"/>
      <c r="Z173" s="650"/>
      <c r="AA173" s="650"/>
      <c r="AB173" s="650"/>
      <c r="AC173" s="650"/>
      <c r="AD173" s="650"/>
      <c r="AE173" s="650"/>
      <c r="AF173" s="650"/>
      <c r="AG173" s="650"/>
      <c r="AH173" s="650"/>
      <c r="AI173" s="650"/>
      <c r="AJ173" s="650"/>
      <c r="AK173" s="650"/>
      <c r="AL173" s="650"/>
      <c r="AM173" s="650"/>
      <c r="AN173" s="650"/>
      <c r="AO173" s="650"/>
      <c r="AP173" s="650"/>
      <c r="AQ173" s="650"/>
      <c r="AR173" s="650"/>
      <c r="AS173" s="650"/>
      <c r="AT173" s="650"/>
      <c r="AU173" s="650"/>
      <c r="AV173" s="650"/>
      <c r="AW173" s="650"/>
      <c r="AX173" s="650"/>
      <c r="AY173" s="650"/>
    </row>
    <row r="174" ht="21.75" customHeight="1">
      <c r="A174" s="650"/>
      <c r="B174" s="650"/>
      <c r="C174" s="650"/>
      <c r="D174" s="650"/>
      <c r="E174" s="650"/>
      <c r="F174" s="650"/>
      <c r="G174" s="650"/>
      <c r="H174" s="650"/>
      <c r="I174" s="650"/>
      <c r="J174" s="650"/>
      <c r="K174" s="650"/>
      <c r="L174" s="650"/>
      <c r="M174" s="650"/>
      <c r="N174" s="650"/>
      <c r="O174" s="650"/>
      <c r="P174" s="650"/>
      <c r="Q174" s="650"/>
      <c r="R174" s="650"/>
      <c r="S174" s="650"/>
      <c r="T174" s="650"/>
      <c r="U174" s="650"/>
      <c r="V174" s="650"/>
      <c r="W174" s="650"/>
      <c r="X174" s="650"/>
      <c r="Y174" s="650"/>
      <c r="Z174" s="650"/>
      <c r="AA174" s="650"/>
      <c r="AB174" s="650"/>
      <c r="AC174" s="650"/>
      <c r="AD174" s="650"/>
      <c r="AE174" s="650"/>
      <c r="AF174" s="650"/>
      <c r="AG174" s="650"/>
      <c r="AH174" s="650"/>
      <c r="AI174" s="650"/>
      <c r="AJ174" s="650"/>
      <c r="AK174" s="650"/>
      <c r="AL174" s="650"/>
      <c r="AM174" s="650"/>
      <c r="AN174" s="650"/>
      <c r="AO174" s="650"/>
      <c r="AP174" s="650"/>
      <c r="AQ174" s="650"/>
      <c r="AR174" s="650"/>
      <c r="AS174" s="650"/>
      <c r="AT174" s="650"/>
      <c r="AU174" s="650"/>
      <c r="AV174" s="650"/>
      <c r="AW174" s="650"/>
      <c r="AX174" s="650"/>
      <c r="AY174" s="650"/>
    </row>
    <row r="175" ht="21.75" customHeight="1">
      <c r="A175" s="650"/>
      <c r="B175" s="650"/>
      <c r="C175" s="650"/>
      <c r="D175" s="650"/>
      <c r="E175" s="650"/>
      <c r="F175" s="650"/>
      <c r="G175" s="650"/>
      <c r="H175" s="650"/>
      <c r="I175" s="650"/>
      <c r="J175" s="650"/>
      <c r="K175" s="650"/>
      <c r="L175" s="650"/>
      <c r="M175" s="650"/>
      <c r="N175" s="650"/>
      <c r="O175" s="650"/>
      <c r="P175" s="650"/>
      <c r="Q175" s="650"/>
      <c r="R175" s="650"/>
      <c r="S175" s="650"/>
      <c r="T175" s="650"/>
      <c r="U175" s="650"/>
      <c r="V175" s="650"/>
      <c r="W175" s="650"/>
      <c r="X175" s="650"/>
      <c r="Y175" s="650"/>
      <c r="Z175" s="650"/>
      <c r="AA175" s="650"/>
      <c r="AB175" s="650"/>
      <c r="AC175" s="650"/>
      <c r="AD175" s="650"/>
      <c r="AE175" s="650"/>
      <c r="AF175" s="650"/>
      <c r="AG175" s="650"/>
      <c r="AH175" s="650"/>
      <c r="AI175" s="650"/>
      <c r="AJ175" s="650"/>
      <c r="AK175" s="650"/>
      <c r="AL175" s="650"/>
      <c r="AM175" s="650"/>
      <c r="AN175" s="650"/>
      <c r="AO175" s="650"/>
      <c r="AP175" s="650"/>
      <c r="AQ175" s="650"/>
      <c r="AR175" s="650"/>
      <c r="AS175" s="650"/>
      <c r="AT175" s="650"/>
      <c r="AU175" s="650"/>
      <c r="AV175" s="650"/>
      <c r="AW175" s="650"/>
      <c r="AX175" s="650"/>
      <c r="AY175" s="650"/>
    </row>
    <row r="176" ht="21.75" customHeight="1">
      <c r="A176" s="650"/>
      <c r="B176" s="650"/>
      <c r="C176" s="650"/>
      <c r="D176" s="650"/>
      <c r="E176" s="650"/>
      <c r="F176" s="650"/>
      <c r="G176" s="650"/>
      <c r="H176" s="650"/>
      <c r="I176" s="650"/>
      <c r="J176" s="650"/>
      <c r="K176" s="650"/>
      <c r="L176" s="650"/>
      <c r="M176" s="650"/>
      <c r="N176" s="650"/>
      <c r="O176" s="650"/>
      <c r="P176" s="650"/>
      <c r="Q176" s="650"/>
      <c r="R176" s="650"/>
      <c r="S176" s="650"/>
      <c r="T176" s="650"/>
      <c r="U176" s="650"/>
      <c r="V176" s="650"/>
      <c r="W176" s="650"/>
      <c r="X176" s="650"/>
      <c r="Y176" s="650"/>
      <c r="Z176" s="650"/>
      <c r="AA176" s="650"/>
      <c r="AB176" s="650"/>
      <c r="AC176" s="650"/>
      <c r="AD176" s="650"/>
      <c r="AE176" s="650"/>
      <c r="AF176" s="650"/>
      <c r="AG176" s="650"/>
      <c r="AH176" s="650"/>
      <c r="AI176" s="650"/>
      <c r="AJ176" s="650"/>
      <c r="AK176" s="650"/>
      <c r="AL176" s="650"/>
      <c r="AM176" s="650"/>
      <c r="AN176" s="650"/>
      <c r="AO176" s="650"/>
      <c r="AP176" s="650"/>
      <c r="AQ176" s="650"/>
      <c r="AR176" s="650"/>
      <c r="AS176" s="650"/>
      <c r="AT176" s="650"/>
      <c r="AU176" s="650"/>
      <c r="AV176" s="650"/>
      <c r="AW176" s="650"/>
      <c r="AX176" s="650"/>
      <c r="AY176" s="650"/>
    </row>
    <row r="177" ht="21.75" customHeight="1">
      <c r="A177" s="650"/>
      <c r="B177" s="650"/>
      <c r="C177" s="650"/>
      <c r="D177" s="650"/>
      <c r="E177" s="650"/>
      <c r="F177" s="650"/>
      <c r="G177" s="650"/>
      <c r="H177" s="650"/>
      <c r="I177" s="650"/>
      <c r="J177" s="650"/>
      <c r="K177" s="650"/>
      <c r="L177" s="650"/>
      <c r="M177" s="650"/>
      <c r="N177" s="650"/>
      <c r="O177" s="650"/>
      <c r="P177" s="650"/>
      <c r="Q177" s="650"/>
      <c r="R177" s="650"/>
      <c r="S177" s="650"/>
      <c r="T177" s="650"/>
      <c r="U177" s="650"/>
      <c r="V177" s="650"/>
      <c r="W177" s="650"/>
      <c r="X177" s="650"/>
      <c r="Y177" s="650"/>
      <c r="Z177" s="650"/>
      <c r="AA177" s="650"/>
      <c r="AB177" s="650"/>
      <c r="AC177" s="650"/>
      <c r="AD177" s="650"/>
      <c r="AE177" s="650"/>
      <c r="AF177" s="650"/>
      <c r="AG177" s="650"/>
      <c r="AH177" s="650"/>
      <c r="AI177" s="650"/>
      <c r="AJ177" s="650"/>
      <c r="AK177" s="650"/>
      <c r="AL177" s="650"/>
      <c r="AM177" s="650"/>
      <c r="AN177" s="650"/>
      <c r="AO177" s="650"/>
      <c r="AP177" s="650"/>
      <c r="AQ177" s="650"/>
      <c r="AR177" s="650"/>
      <c r="AS177" s="650"/>
      <c r="AT177" s="650"/>
      <c r="AU177" s="650"/>
      <c r="AV177" s="650"/>
      <c r="AW177" s="650"/>
      <c r="AX177" s="650"/>
      <c r="AY177" s="650"/>
    </row>
    <row r="178" ht="21.75" customHeight="1">
      <c r="A178" s="650"/>
      <c r="B178" s="650"/>
      <c r="C178" s="650"/>
      <c r="D178" s="650"/>
      <c r="E178" s="650"/>
      <c r="F178" s="650"/>
      <c r="G178" s="650"/>
      <c r="H178" s="650"/>
      <c r="I178" s="650"/>
      <c r="J178" s="650"/>
      <c r="K178" s="650"/>
      <c r="L178" s="650"/>
      <c r="M178" s="650"/>
      <c r="N178" s="650"/>
      <c r="O178" s="650"/>
      <c r="P178" s="650"/>
      <c r="Q178" s="650"/>
      <c r="R178" s="650"/>
      <c r="S178" s="650"/>
      <c r="T178" s="650"/>
      <c r="U178" s="650"/>
      <c r="V178" s="650"/>
      <c r="W178" s="650"/>
      <c r="X178" s="650"/>
      <c r="Y178" s="650"/>
      <c r="Z178" s="650"/>
      <c r="AA178" s="650"/>
      <c r="AB178" s="650"/>
      <c r="AC178" s="650"/>
      <c r="AD178" s="650"/>
      <c r="AE178" s="650"/>
      <c r="AF178" s="650"/>
      <c r="AG178" s="650"/>
      <c r="AH178" s="650"/>
      <c r="AI178" s="650"/>
      <c r="AJ178" s="650"/>
      <c r="AK178" s="650"/>
      <c r="AL178" s="650"/>
      <c r="AM178" s="650"/>
      <c r="AN178" s="650"/>
      <c r="AO178" s="650"/>
      <c r="AP178" s="650"/>
      <c r="AQ178" s="650"/>
      <c r="AR178" s="650"/>
      <c r="AS178" s="650"/>
      <c r="AT178" s="650"/>
      <c r="AU178" s="650"/>
      <c r="AV178" s="650"/>
      <c r="AW178" s="650"/>
      <c r="AX178" s="650"/>
      <c r="AY178" s="650"/>
    </row>
    <row r="179" ht="21.75" customHeight="1">
      <c r="A179" s="650"/>
      <c r="B179" s="650"/>
      <c r="C179" s="650"/>
      <c r="D179" s="650"/>
      <c r="E179" s="650"/>
      <c r="F179" s="650"/>
      <c r="G179" s="650"/>
      <c r="H179" s="650"/>
      <c r="I179" s="650"/>
      <c r="J179" s="650"/>
      <c r="K179" s="650"/>
      <c r="L179" s="650"/>
      <c r="M179" s="650"/>
      <c r="N179" s="650"/>
      <c r="O179" s="650"/>
      <c r="P179" s="650"/>
      <c r="Q179" s="650"/>
      <c r="R179" s="650"/>
      <c r="S179" s="650"/>
      <c r="T179" s="650"/>
      <c r="U179" s="650"/>
      <c r="V179" s="650"/>
      <c r="W179" s="650"/>
      <c r="X179" s="650"/>
      <c r="Y179" s="650"/>
      <c r="Z179" s="650"/>
      <c r="AA179" s="650"/>
      <c r="AB179" s="650"/>
      <c r="AC179" s="650"/>
      <c r="AD179" s="650"/>
      <c r="AE179" s="650"/>
      <c r="AF179" s="650"/>
      <c r="AG179" s="650"/>
      <c r="AH179" s="650"/>
      <c r="AI179" s="650"/>
      <c r="AJ179" s="650"/>
      <c r="AK179" s="650"/>
      <c r="AL179" s="650"/>
      <c r="AM179" s="650"/>
      <c r="AN179" s="650"/>
      <c r="AO179" s="650"/>
      <c r="AP179" s="650"/>
      <c r="AQ179" s="650"/>
      <c r="AR179" s="650"/>
      <c r="AS179" s="650"/>
      <c r="AT179" s="650"/>
      <c r="AU179" s="650"/>
      <c r="AV179" s="650"/>
      <c r="AW179" s="650"/>
      <c r="AX179" s="650"/>
      <c r="AY179" s="650"/>
    </row>
    <row r="180" ht="21.75" customHeight="1">
      <c r="A180" s="650"/>
      <c r="B180" s="650"/>
      <c r="C180" s="650"/>
      <c r="D180" s="650"/>
      <c r="E180" s="650"/>
      <c r="F180" s="650"/>
      <c r="G180" s="650"/>
      <c r="H180" s="650"/>
      <c r="I180" s="650"/>
      <c r="J180" s="650"/>
      <c r="K180" s="650"/>
      <c r="L180" s="650"/>
      <c r="M180" s="650"/>
      <c r="N180" s="650"/>
      <c r="O180" s="650"/>
      <c r="P180" s="650"/>
      <c r="Q180" s="650"/>
      <c r="R180" s="650"/>
      <c r="S180" s="650"/>
      <c r="T180" s="650"/>
      <c r="U180" s="650"/>
      <c r="V180" s="650"/>
      <c r="W180" s="650"/>
      <c r="X180" s="650"/>
      <c r="Y180" s="650"/>
      <c r="Z180" s="650"/>
      <c r="AA180" s="650"/>
      <c r="AB180" s="650"/>
      <c r="AC180" s="650"/>
      <c r="AD180" s="650"/>
      <c r="AE180" s="650"/>
      <c r="AF180" s="650"/>
      <c r="AG180" s="650"/>
      <c r="AH180" s="650"/>
      <c r="AI180" s="650"/>
      <c r="AJ180" s="650"/>
      <c r="AK180" s="650"/>
      <c r="AL180" s="650"/>
      <c r="AM180" s="650"/>
      <c r="AN180" s="650"/>
      <c r="AO180" s="650"/>
      <c r="AP180" s="650"/>
      <c r="AQ180" s="650"/>
      <c r="AR180" s="650"/>
      <c r="AS180" s="650"/>
      <c r="AT180" s="650"/>
      <c r="AU180" s="650"/>
      <c r="AV180" s="650"/>
      <c r="AW180" s="650"/>
      <c r="AX180" s="650"/>
      <c r="AY180" s="650"/>
    </row>
    <row r="181" ht="21.75" customHeight="1">
      <c r="A181" s="650"/>
      <c r="B181" s="650"/>
      <c r="C181" s="650"/>
      <c r="D181" s="650"/>
      <c r="E181" s="650"/>
      <c r="F181" s="650"/>
      <c r="G181" s="650"/>
      <c r="H181" s="650"/>
      <c r="I181" s="650"/>
      <c r="J181" s="650"/>
      <c r="K181" s="650"/>
      <c r="L181" s="650"/>
      <c r="M181" s="650"/>
      <c r="N181" s="650"/>
      <c r="O181" s="650"/>
      <c r="P181" s="650"/>
      <c r="Q181" s="650"/>
      <c r="R181" s="650"/>
      <c r="S181" s="650"/>
      <c r="T181" s="650"/>
      <c r="U181" s="650"/>
      <c r="V181" s="650"/>
      <c r="W181" s="650"/>
      <c r="X181" s="650"/>
      <c r="Y181" s="650"/>
      <c r="Z181" s="650"/>
      <c r="AA181" s="650"/>
      <c r="AB181" s="650"/>
      <c r="AC181" s="650"/>
      <c r="AD181" s="650"/>
      <c r="AE181" s="650"/>
      <c r="AF181" s="650"/>
      <c r="AG181" s="650"/>
      <c r="AH181" s="650"/>
      <c r="AI181" s="650"/>
      <c r="AJ181" s="650"/>
      <c r="AK181" s="650"/>
      <c r="AL181" s="650"/>
      <c r="AM181" s="650"/>
      <c r="AN181" s="650"/>
      <c r="AO181" s="650"/>
      <c r="AP181" s="650"/>
      <c r="AQ181" s="650"/>
      <c r="AR181" s="650"/>
      <c r="AS181" s="650"/>
      <c r="AT181" s="650"/>
      <c r="AU181" s="650"/>
      <c r="AV181" s="650"/>
      <c r="AW181" s="650"/>
      <c r="AX181" s="650"/>
      <c r="AY181" s="650"/>
    </row>
    <row r="182" ht="21.75" customHeight="1">
      <c r="A182" s="650"/>
      <c r="B182" s="650"/>
      <c r="C182" s="650"/>
      <c r="D182" s="650"/>
      <c r="E182" s="650"/>
      <c r="F182" s="650"/>
      <c r="G182" s="650"/>
      <c r="H182" s="650"/>
      <c r="I182" s="650"/>
      <c r="J182" s="650"/>
      <c r="K182" s="650"/>
      <c r="L182" s="650"/>
      <c r="M182" s="650"/>
      <c r="N182" s="650"/>
      <c r="O182" s="650"/>
      <c r="P182" s="650"/>
      <c r="Q182" s="650"/>
      <c r="R182" s="650"/>
      <c r="S182" s="650"/>
      <c r="T182" s="650"/>
      <c r="U182" s="650"/>
      <c r="V182" s="650"/>
      <c r="W182" s="650"/>
      <c r="X182" s="650"/>
      <c r="Y182" s="650"/>
      <c r="Z182" s="650"/>
      <c r="AA182" s="650"/>
      <c r="AB182" s="650"/>
      <c r="AC182" s="650"/>
      <c r="AD182" s="650"/>
      <c r="AE182" s="650"/>
      <c r="AF182" s="650"/>
      <c r="AG182" s="650"/>
      <c r="AH182" s="650"/>
      <c r="AI182" s="650"/>
      <c r="AJ182" s="650"/>
      <c r="AK182" s="650"/>
      <c r="AL182" s="650"/>
      <c r="AM182" s="650"/>
      <c r="AN182" s="650"/>
      <c r="AO182" s="650"/>
      <c r="AP182" s="650"/>
      <c r="AQ182" s="650"/>
      <c r="AR182" s="650"/>
      <c r="AS182" s="650"/>
      <c r="AT182" s="650"/>
      <c r="AU182" s="650"/>
      <c r="AV182" s="650"/>
      <c r="AW182" s="650"/>
      <c r="AX182" s="650"/>
      <c r="AY182" s="650"/>
    </row>
    <row r="183" ht="21.75" customHeight="1">
      <c r="A183" s="650"/>
      <c r="B183" s="650"/>
      <c r="C183" s="650"/>
      <c r="D183" s="650"/>
      <c r="E183" s="650"/>
      <c r="F183" s="650"/>
      <c r="G183" s="650"/>
      <c r="H183" s="650"/>
      <c r="I183" s="650"/>
      <c r="J183" s="650"/>
      <c r="K183" s="650"/>
      <c r="L183" s="650"/>
      <c r="M183" s="650"/>
      <c r="N183" s="650"/>
      <c r="O183" s="650"/>
      <c r="P183" s="650"/>
      <c r="Q183" s="650"/>
      <c r="R183" s="650"/>
      <c r="S183" s="650"/>
      <c r="T183" s="650"/>
      <c r="U183" s="650"/>
      <c r="V183" s="650"/>
      <c r="W183" s="650"/>
      <c r="X183" s="650"/>
      <c r="Y183" s="650"/>
      <c r="Z183" s="650"/>
      <c r="AA183" s="650"/>
      <c r="AB183" s="650"/>
      <c r="AC183" s="650"/>
      <c r="AD183" s="650"/>
      <c r="AE183" s="650"/>
      <c r="AF183" s="650"/>
      <c r="AG183" s="650"/>
      <c r="AH183" s="650"/>
      <c r="AI183" s="650"/>
      <c r="AJ183" s="650"/>
      <c r="AK183" s="650"/>
      <c r="AL183" s="650"/>
      <c r="AM183" s="650"/>
      <c r="AN183" s="650"/>
      <c r="AO183" s="650"/>
      <c r="AP183" s="650"/>
      <c r="AQ183" s="650"/>
      <c r="AR183" s="650"/>
      <c r="AS183" s="650"/>
      <c r="AT183" s="650"/>
      <c r="AU183" s="650"/>
      <c r="AV183" s="650"/>
      <c r="AW183" s="650"/>
      <c r="AX183" s="650"/>
      <c r="AY183" s="650"/>
    </row>
    <row r="184" ht="21.75" customHeight="1">
      <c r="A184" s="650"/>
      <c r="B184" s="650"/>
      <c r="C184" s="650"/>
      <c r="D184" s="650"/>
      <c r="E184" s="650"/>
      <c r="F184" s="650"/>
      <c r="G184" s="650"/>
      <c r="H184" s="650"/>
      <c r="I184" s="650"/>
      <c r="J184" s="650"/>
      <c r="K184" s="650"/>
      <c r="L184" s="650"/>
      <c r="M184" s="650"/>
      <c r="N184" s="650"/>
      <c r="O184" s="650"/>
      <c r="P184" s="650"/>
      <c r="Q184" s="650"/>
      <c r="R184" s="650"/>
      <c r="S184" s="650"/>
      <c r="T184" s="650"/>
      <c r="U184" s="650"/>
      <c r="V184" s="650"/>
      <c r="W184" s="650"/>
      <c r="X184" s="650"/>
      <c r="Y184" s="650"/>
      <c r="Z184" s="650"/>
      <c r="AA184" s="650"/>
      <c r="AB184" s="650"/>
      <c r="AC184" s="650"/>
      <c r="AD184" s="650"/>
      <c r="AE184" s="650"/>
      <c r="AF184" s="650"/>
      <c r="AG184" s="650"/>
      <c r="AH184" s="650"/>
      <c r="AI184" s="650"/>
      <c r="AJ184" s="650"/>
      <c r="AK184" s="650"/>
      <c r="AL184" s="650"/>
      <c r="AM184" s="650"/>
      <c r="AN184" s="650"/>
      <c r="AO184" s="650"/>
      <c r="AP184" s="650"/>
      <c r="AQ184" s="650"/>
      <c r="AR184" s="650"/>
      <c r="AS184" s="650"/>
      <c r="AT184" s="650"/>
      <c r="AU184" s="650"/>
      <c r="AV184" s="650"/>
      <c r="AW184" s="650"/>
      <c r="AX184" s="650"/>
      <c r="AY184" s="650"/>
    </row>
    <row r="185" ht="21.75" customHeight="1">
      <c r="A185" s="650"/>
      <c r="B185" s="650"/>
      <c r="C185" s="650"/>
      <c r="D185" s="650"/>
      <c r="E185" s="650"/>
      <c r="F185" s="650"/>
      <c r="G185" s="650"/>
      <c r="H185" s="650"/>
      <c r="I185" s="650"/>
      <c r="J185" s="650"/>
      <c r="K185" s="650"/>
      <c r="L185" s="650"/>
      <c r="M185" s="650"/>
      <c r="N185" s="650"/>
      <c r="O185" s="650"/>
      <c r="P185" s="650"/>
      <c r="Q185" s="650"/>
      <c r="R185" s="650"/>
      <c r="S185" s="650"/>
      <c r="T185" s="650"/>
      <c r="U185" s="650"/>
      <c r="V185" s="650"/>
      <c r="W185" s="650"/>
      <c r="X185" s="650"/>
      <c r="Y185" s="650"/>
      <c r="Z185" s="650"/>
      <c r="AA185" s="650"/>
      <c r="AB185" s="650"/>
      <c r="AC185" s="650"/>
      <c r="AD185" s="650"/>
      <c r="AE185" s="650"/>
      <c r="AF185" s="650"/>
      <c r="AG185" s="650"/>
      <c r="AH185" s="650"/>
      <c r="AI185" s="650"/>
      <c r="AJ185" s="650"/>
      <c r="AK185" s="650"/>
      <c r="AL185" s="650"/>
      <c r="AM185" s="650"/>
      <c r="AN185" s="650"/>
      <c r="AO185" s="650"/>
      <c r="AP185" s="650"/>
      <c r="AQ185" s="650"/>
      <c r="AR185" s="650"/>
      <c r="AS185" s="650"/>
      <c r="AT185" s="650"/>
      <c r="AU185" s="650"/>
      <c r="AV185" s="650"/>
      <c r="AW185" s="650"/>
      <c r="AX185" s="650"/>
      <c r="AY185" s="650"/>
    </row>
    <row r="186" ht="21.75" customHeight="1">
      <c r="A186" s="650"/>
      <c r="B186" s="650"/>
      <c r="C186" s="650"/>
      <c r="D186" s="650"/>
      <c r="E186" s="650"/>
      <c r="F186" s="650"/>
      <c r="G186" s="650"/>
      <c r="H186" s="650"/>
      <c r="I186" s="650"/>
      <c r="J186" s="650"/>
      <c r="K186" s="650"/>
      <c r="L186" s="650"/>
      <c r="M186" s="650"/>
      <c r="N186" s="650"/>
      <c r="O186" s="650"/>
      <c r="P186" s="650"/>
      <c r="Q186" s="650"/>
      <c r="R186" s="650"/>
      <c r="S186" s="650"/>
      <c r="T186" s="650"/>
      <c r="U186" s="650"/>
      <c r="V186" s="650"/>
      <c r="W186" s="650"/>
      <c r="X186" s="650"/>
      <c r="Y186" s="650"/>
      <c r="Z186" s="650"/>
      <c r="AA186" s="650"/>
      <c r="AB186" s="650"/>
      <c r="AC186" s="650"/>
      <c r="AD186" s="650"/>
      <c r="AE186" s="650"/>
      <c r="AF186" s="650"/>
      <c r="AG186" s="650"/>
      <c r="AH186" s="650"/>
      <c r="AI186" s="650"/>
      <c r="AJ186" s="650"/>
      <c r="AK186" s="650"/>
      <c r="AL186" s="650"/>
      <c r="AM186" s="650"/>
      <c r="AN186" s="650"/>
      <c r="AO186" s="650"/>
      <c r="AP186" s="650"/>
      <c r="AQ186" s="650"/>
      <c r="AR186" s="650"/>
      <c r="AS186" s="650"/>
      <c r="AT186" s="650"/>
      <c r="AU186" s="650"/>
      <c r="AV186" s="650"/>
      <c r="AW186" s="650"/>
      <c r="AX186" s="650"/>
      <c r="AY186" s="650"/>
    </row>
    <row r="187" ht="21.75" customHeight="1">
      <c r="A187" s="650"/>
      <c r="B187" s="650"/>
      <c r="C187" s="650"/>
      <c r="D187" s="650"/>
      <c r="E187" s="650"/>
      <c r="F187" s="650"/>
      <c r="G187" s="650"/>
      <c r="H187" s="650"/>
      <c r="I187" s="650"/>
      <c r="J187" s="650"/>
      <c r="K187" s="650"/>
      <c r="L187" s="650"/>
      <c r="M187" s="650"/>
      <c r="N187" s="650"/>
      <c r="O187" s="650"/>
      <c r="P187" s="650"/>
      <c r="Q187" s="650"/>
      <c r="R187" s="650"/>
      <c r="S187" s="650"/>
      <c r="T187" s="650"/>
      <c r="U187" s="650"/>
      <c r="V187" s="650"/>
      <c r="W187" s="650"/>
      <c r="X187" s="650"/>
      <c r="Y187" s="650"/>
      <c r="Z187" s="650"/>
      <c r="AA187" s="650"/>
      <c r="AB187" s="650"/>
      <c r="AC187" s="650"/>
      <c r="AD187" s="650"/>
      <c r="AE187" s="650"/>
      <c r="AF187" s="650"/>
      <c r="AG187" s="650"/>
      <c r="AH187" s="650"/>
      <c r="AI187" s="650"/>
      <c r="AJ187" s="650"/>
      <c r="AK187" s="650"/>
      <c r="AL187" s="650"/>
      <c r="AM187" s="650"/>
      <c r="AN187" s="650"/>
      <c r="AO187" s="650"/>
      <c r="AP187" s="650"/>
      <c r="AQ187" s="650"/>
      <c r="AR187" s="650"/>
      <c r="AS187" s="650"/>
      <c r="AT187" s="650"/>
      <c r="AU187" s="650"/>
      <c r="AV187" s="650"/>
      <c r="AW187" s="650"/>
      <c r="AX187" s="650"/>
      <c r="AY187" s="650"/>
    </row>
    <row r="188" ht="21.75" customHeight="1">
      <c r="A188" s="650"/>
      <c r="B188" s="650"/>
      <c r="C188" s="650"/>
      <c r="D188" s="650"/>
      <c r="E188" s="650"/>
      <c r="F188" s="650"/>
      <c r="G188" s="650"/>
      <c r="H188" s="650"/>
      <c r="I188" s="650"/>
      <c r="J188" s="650"/>
      <c r="K188" s="650"/>
      <c r="L188" s="650"/>
      <c r="M188" s="650"/>
      <c r="N188" s="650"/>
      <c r="O188" s="650"/>
      <c r="P188" s="650"/>
      <c r="Q188" s="650"/>
      <c r="R188" s="650"/>
      <c r="S188" s="650"/>
      <c r="T188" s="650"/>
      <c r="U188" s="650"/>
      <c r="V188" s="650"/>
      <c r="W188" s="650"/>
      <c r="X188" s="650"/>
      <c r="Y188" s="650"/>
      <c r="Z188" s="650"/>
      <c r="AA188" s="650"/>
      <c r="AB188" s="650"/>
      <c r="AC188" s="650"/>
      <c r="AD188" s="650"/>
      <c r="AE188" s="650"/>
      <c r="AF188" s="650"/>
      <c r="AG188" s="650"/>
      <c r="AH188" s="650"/>
      <c r="AI188" s="650"/>
      <c r="AJ188" s="650"/>
      <c r="AK188" s="650"/>
      <c r="AL188" s="650"/>
      <c r="AM188" s="650"/>
      <c r="AN188" s="650"/>
      <c r="AO188" s="650"/>
      <c r="AP188" s="650"/>
      <c r="AQ188" s="650"/>
      <c r="AR188" s="650"/>
      <c r="AS188" s="650"/>
      <c r="AT188" s="650"/>
      <c r="AU188" s="650"/>
      <c r="AV188" s="650"/>
      <c r="AW188" s="650"/>
      <c r="AX188" s="650"/>
      <c r="AY188" s="650"/>
    </row>
    <row r="189" ht="21.75" customHeight="1">
      <c r="A189" s="650"/>
      <c r="B189" s="650"/>
      <c r="C189" s="650"/>
      <c r="D189" s="650"/>
      <c r="E189" s="650"/>
      <c r="F189" s="650"/>
      <c r="G189" s="650"/>
      <c r="H189" s="650"/>
      <c r="I189" s="650"/>
      <c r="J189" s="650"/>
      <c r="K189" s="650"/>
      <c r="L189" s="650"/>
      <c r="M189" s="650"/>
      <c r="N189" s="650"/>
      <c r="O189" s="650"/>
      <c r="P189" s="650"/>
      <c r="Q189" s="650"/>
      <c r="R189" s="650"/>
      <c r="S189" s="650"/>
      <c r="T189" s="650"/>
      <c r="U189" s="650"/>
      <c r="V189" s="650"/>
      <c r="W189" s="650"/>
      <c r="X189" s="650"/>
      <c r="Y189" s="650"/>
      <c r="Z189" s="650"/>
      <c r="AA189" s="650"/>
      <c r="AB189" s="650"/>
      <c r="AC189" s="650"/>
      <c r="AD189" s="650"/>
      <c r="AE189" s="650"/>
      <c r="AF189" s="650"/>
      <c r="AG189" s="650"/>
      <c r="AH189" s="650"/>
      <c r="AI189" s="650"/>
      <c r="AJ189" s="650"/>
      <c r="AK189" s="650"/>
      <c r="AL189" s="650"/>
      <c r="AM189" s="650"/>
      <c r="AN189" s="650"/>
      <c r="AO189" s="650"/>
      <c r="AP189" s="650"/>
      <c r="AQ189" s="650"/>
      <c r="AR189" s="650"/>
      <c r="AS189" s="650"/>
      <c r="AT189" s="650"/>
      <c r="AU189" s="650"/>
      <c r="AV189" s="650"/>
      <c r="AW189" s="650"/>
      <c r="AX189" s="650"/>
      <c r="AY189" s="650"/>
    </row>
    <row r="190" ht="21.75" customHeight="1">
      <c r="A190" s="650"/>
      <c r="B190" s="650"/>
      <c r="C190" s="650"/>
      <c r="D190" s="650"/>
      <c r="E190" s="650"/>
      <c r="F190" s="650"/>
      <c r="G190" s="650"/>
      <c r="H190" s="650"/>
      <c r="I190" s="650"/>
      <c r="J190" s="650"/>
      <c r="K190" s="650"/>
      <c r="L190" s="650"/>
      <c r="M190" s="650"/>
      <c r="N190" s="650"/>
      <c r="O190" s="650"/>
      <c r="P190" s="650"/>
      <c r="Q190" s="650"/>
      <c r="R190" s="650"/>
      <c r="S190" s="650"/>
      <c r="T190" s="650"/>
      <c r="U190" s="650"/>
      <c r="V190" s="650"/>
      <c r="W190" s="650"/>
      <c r="X190" s="650"/>
      <c r="Y190" s="650"/>
      <c r="Z190" s="650"/>
      <c r="AA190" s="650"/>
      <c r="AB190" s="650"/>
      <c r="AC190" s="650"/>
      <c r="AD190" s="650"/>
      <c r="AE190" s="650"/>
      <c r="AF190" s="650"/>
      <c r="AG190" s="650"/>
      <c r="AH190" s="650"/>
      <c r="AI190" s="650"/>
      <c r="AJ190" s="650"/>
      <c r="AK190" s="650"/>
      <c r="AL190" s="650"/>
      <c r="AM190" s="650"/>
      <c r="AN190" s="650"/>
      <c r="AO190" s="650"/>
      <c r="AP190" s="650"/>
      <c r="AQ190" s="650"/>
      <c r="AR190" s="650"/>
      <c r="AS190" s="650"/>
      <c r="AT190" s="650"/>
      <c r="AU190" s="650"/>
      <c r="AV190" s="650"/>
      <c r="AW190" s="650"/>
      <c r="AX190" s="650"/>
      <c r="AY190" s="650"/>
    </row>
    <row r="191" ht="21.75" customHeight="1">
      <c r="A191" s="650"/>
      <c r="B191" s="650"/>
      <c r="C191" s="650"/>
      <c r="D191" s="650"/>
      <c r="E191" s="650"/>
      <c r="F191" s="650"/>
      <c r="G191" s="650"/>
      <c r="H191" s="650"/>
      <c r="I191" s="650"/>
      <c r="J191" s="650"/>
      <c r="K191" s="650"/>
      <c r="L191" s="650"/>
      <c r="M191" s="650"/>
      <c r="N191" s="650"/>
      <c r="O191" s="650"/>
      <c r="P191" s="650"/>
      <c r="Q191" s="650"/>
      <c r="R191" s="650"/>
      <c r="S191" s="650"/>
      <c r="T191" s="650"/>
      <c r="U191" s="650"/>
      <c r="V191" s="650"/>
      <c r="W191" s="650"/>
      <c r="X191" s="650"/>
      <c r="Y191" s="650"/>
      <c r="Z191" s="650"/>
      <c r="AA191" s="650"/>
      <c r="AB191" s="650"/>
      <c r="AC191" s="650"/>
      <c r="AD191" s="650"/>
      <c r="AE191" s="650"/>
      <c r="AF191" s="650"/>
      <c r="AG191" s="650"/>
      <c r="AH191" s="650"/>
      <c r="AI191" s="650"/>
      <c r="AJ191" s="650"/>
      <c r="AK191" s="650"/>
      <c r="AL191" s="650"/>
      <c r="AM191" s="650"/>
      <c r="AN191" s="650"/>
      <c r="AO191" s="650"/>
      <c r="AP191" s="650"/>
      <c r="AQ191" s="650"/>
      <c r="AR191" s="650"/>
      <c r="AS191" s="650"/>
      <c r="AT191" s="650"/>
      <c r="AU191" s="650"/>
      <c r="AV191" s="650"/>
      <c r="AW191" s="650"/>
      <c r="AX191" s="650"/>
      <c r="AY191" s="650"/>
    </row>
    <row r="192" ht="21.75" customHeight="1">
      <c r="A192" s="650"/>
      <c r="B192" s="650"/>
      <c r="C192" s="650"/>
      <c r="D192" s="650"/>
      <c r="E192" s="650"/>
      <c r="F192" s="650"/>
      <c r="G192" s="650"/>
      <c r="H192" s="650"/>
      <c r="I192" s="650"/>
      <c r="J192" s="650"/>
      <c r="K192" s="650"/>
      <c r="L192" s="650"/>
      <c r="M192" s="650"/>
      <c r="N192" s="650"/>
      <c r="O192" s="650"/>
      <c r="P192" s="650"/>
      <c r="Q192" s="650"/>
      <c r="R192" s="650"/>
      <c r="S192" s="650"/>
      <c r="T192" s="650"/>
      <c r="U192" s="650"/>
      <c r="V192" s="650"/>
      <c r="W192" s="650"/>
      <c r="X192" s="650"/>
      <c r="Y192" s="650"/>
      <c r="Z192" s="650"/>
      <c r="AA192" s="650"/>
      <c r="AB192" s="650"/>
      <c r="AC192" s="650"/>
      <c r="AD192" s="650"/>
      <c r="AE192" s="650"/>
      <c r="AF192" s="650"/>
      <c r="AG192" s="650"/>
      <c r="AH192" s="650"/>
      <c r="AI192" s="650"/>
      <c r="AJ192" s="650"/>
      <c r="AK192" s="650"/>
      <c r="AL192" s="650"/>
      <c r="AM192" s="650"/>
      <c r="AN192" s="650"/>
      <c r="AO192" s="650"/>
      <c r="AP192" s="650"/>
      <c r="AQ192" s="650"/>
      <c r="AR192" s="650"/>
      <c r="AS192" s="650"/>
      <c r="AT192" s="650"/>
      <c r="AU192" s="650"/>
      <c r="AV192" s="650"/>
      <c r="AW192" s="650"/>
      <c r="AX192" s="650"/>
      <c r="AY192" s="650"/>
    </row>
    <row r="193" ht="21.75" customHeight="1">
      <c r="A193" s="650"/>
      <c r="B193" s="650"/>
      <c r="C193" s="650"/>
      <c r="D193" s="650"/>
      <c r="E193" s="650"/>
      <c r="F193" s="650"/>
      <c r="G193" s="650"/>
      <c r="H193" s="650"/>
      <c r="I193" s="650"/>
      <c r="J193" s="650"/>
      <c r="K193" s="650"/>
      <c r="L193" s="650"/>
      <c r="M193" s="650"/>
      <c r="N193" s="650"/>
      <c r="O193" s="650"/>
      <c r="P193" s="650"/>
      <c r="Q193" s="650"/>
      <c r="R193" s="650"/>
      <c r="S193" s="650"/>
      <c r="T193" s="650"/>
      <c r="U193" s="650"/>
      <c r="V193" s="650"/>
      <c r="W193" s="650"/>
      <c r="X193" s="650"/>
      <c r="Y193" s="650"/>
      <c r="Z193" s="650"/>
      <c r="AA193" s="650"/>
      <c r="AB193" s="650"/>
      <c r="AC193" s="650"/>
      <c r="AD193" s="650"/>
      <c r="AE193" s="650"/>
      <c r="AF193" s="650"/>
      <c r="AG193" s="650"/>
      <c r="AH193" s="650"/>
      <c r="AI193" s="650"/>
      <c r="AJ193" s="650"/>
      <c r="AK193" s="650"/>
      <c r="AL193" s="650"/>
      <c r="AM193" s="650"/>
      <c r="AN193" s="650"/>
      <c r="AO193" s="650"/>
      <c r="AP193" s="650"/>
      <c r="AQ193" s="650"/>
      <c r="AR193" s="650"/>
      <c r="AS193" s="650"/>
      <c r="AT193" s="650"/>
      <c r="AU193" s="650"/>
      <c r="AV193" s="650"/>
      <c r="AW193" s="650"/>
      <c r="AX193" s="650"/>
      <c r="AY193" s="650"/>
    </row>
    <row r="194" ht="21.75" customHeight="1">
      <c r="A194" s="650"/>
      <c r="B194" s="650"/>
      <c r="C194" s="650"/>
      <c r="D194" s="650"/>
      <c r="E194" s="650"/>
      <c r="F194" s="650"/>
      <c r="G194" s="650"/>
      <c r="H194" s="650"/>
      <c r="I194" s="650"/>
      <c r="J194" s="650"/>
      <c r="K194" s="650"/>
      <c r="L194" s="650"/>
      <c r="M194" s="650"/>
      <c r="N194" s="650"/>
      <c r="O194" s="650"/>
      <c r="P194" s="650"/>
      <c r="Q194" s="650"/>
      <c r="R194" s="650"/>
      <c r="S194" s="650"/>
      <c r="T194" s="650"/>
      <c r="U194" s="650"/>
      <c r="V194" s="650"/>
      <c r="W194" s="650"/>
      <c r="X194" s="650"/>
      <c r="Y194" s="650"/>
      <c r="Z194" s="650"/>
      <c r="AA194" s="650"/>
      <c r="AB194" s="650"/>
      <c r="AC194" s="650"/>
      <c r="AD194" s="650"/>
      <c r="AE194" s="650"/>
      <c r="AF194" s="650"/>
      <c r="AG194" s="650"/>
      <c r="AH194" s="650"/>
      <c r="AI194" s="650"/>
      <c r="AJ194" s="650"/>
      <c r="AK194" s="650"/>
      <c r="AL194" s="650"/>
      <c r="AM194" s="650"/>
      <c r="AN194" s="650"/>
      <c r="AO194" s="650"/>
      <c r="AP194" s="650"/>
      <c r="AQ194" s="650"/>
      <c r="AR194" s="650"/>
      <c r="AS194" s="650"/>
      <c r="AT194" s="650"/>
      <c r="AU194" s="650"/>
      <c r="AV194" s="650"/>
      <c r="AW194" s="650"/>
      <c r="AX194" s="650"/>
      <c r="AY194" s="650"/>
    </row>
    <row r="195" ht="21.75" customHeight="1">
      <c r="A195" s="650"/>
      <c r="B195" s="650"/>
      <c r="C195" s="650"/>
      <c r="D195" s="650"/>
      <c r="E195" s="650"/>
      <c r="F195" s="650"/>
      <c r="G195" s="650"/>
      <c r="H195" s="650"/>
      <c r="I195" s="650"/>
      <c r="J195" s="650"/>
      <c r="K195" s="650"/>
      <c r="L195" s="650"/>
      <c r="M195" s="650"/>
      <c r="N195" s="650"/>
      <c r="O195" s="650"/>
      <c r="P195" s="650"/>
      <c r="Q195" s="650"/>
      <c r="R195" s="650"/>
      <c r="S195" s="650"/>
      <c r="T195" s="650"/>
      <c r="U195" s="650"/>
      <c r="V195" s="650"/>
      <c r="W195" s="650"/>
      <c r="X195" s="650"/>
      <c r="Y195" s="650"/>
      <c r="Z195" s="650"/>
      <c r="AA195" s="650"/>
      <c r="AB195" s="650"/>
      <c r="AC195" s="650"/>
      <c r="AD195" s="650"/>
      <c r="AE195" s="650"/>
      <c r="AF195" s="650"/>
      <c r="AG195" s="650"/>
      <c r="AH195" s="650"/>
      <c r="AI195" s="650"/>
      <c r="AJ195" s="650"/>
      <c r="AK195" s="650"/>
      <c r="AL195" s="650"/>
      <c r="AM195" s="650"/>
      <c r="AN195" s="650"/>
      <c r="AO195" s="650"/>
      <c r="AP195" s="650"/>
      <c r="AQ195" s="650"/>
      <c r="AR195" s="650"/>
      <c r="AS195" s="650"/>
      <c r="AT195" s="650"/>
      <c r="AU195" s="650"/>
      <c r="AV195" s="650"/>
      <c r="AW195" s="650"/>
      <c r="AX195" s="650"/>
      <c r="AY195" s="650"/>
    </row>
    <row r="196" ht="21.75" customHeight="1">
      <c r="A196" s="650"/>
      <c r="B196" s="650"/>
      <c r="C196" s="650"/>
      <c r="D196" s="650"/>
      <c r="E196" s="650"/>
      <c r="F196" s="650"/>
      <c r="G196" s="650"/>
      <c r="H196" s="650"/>
      <c r="I196" s="650"/>
      <c r="J196" s="650"/>
      <c r="K196" s="650"/>
      <c r="L196" s="650"/>
      <c r="M196" s="650"/>
      <c r="N196" s="650"/>
      <c r="O196" s="650"/>
      <c r="P196" s="650"/>
      <c r="Q196" s="650"/>
      <c r="R196" s="650"/>
      <c r="S196" s="650"/>
      <c r="T196" s="650"/>
      <c r="U196" s="650"/>
      <c r="V196" s="650"/>
      <c r="W196" s="650"/>
      <c r="X196" s="650"/>
      <c r="Y196" s="650"/>
      <c r="Z196" s="650"/>
      <c r="AA196" s="650"/>
      <c r="AB196" s="650"/>
      <c r="AC196" s="650"/>
      <c r="AD196" s="650"/>
      <c r="AE196" s="650"/>
      <c r="AF196" s="650"/>
      <c r="AG196" s="650"/>
      <c r="AH196" s="650"/>
      <c r="AI196" s="650"/>
      <c r="AJ196" s="650"/>
      <c r="AK196" s="650"/>
      <c r="AL196" s="650"/>
      <c r="AM196" s="650"/>
      <c r="AN196" s="650"/>
      <c r="AO196" s="650"/>
      <c r="AP196" s="650"/>
      <c r="AQ196" s="650"/>
      <c r="AR196" s="650"/>
      <c r="AS196" s="650"/>
      <c r="AT196" s="650"/>
      <c r="AU196" s="650"/>
      <c r="AV196" s="650"/>
      <c r="AW196" s="650"/>
      <c r="AX196" s="650"/>
      <c r="AY196" s="650"/>
    </row>
    <row r="197" ht="21.75" customHeight="1">
      <c r="A197" s="650"/>
      <c r="B197" s="650"/>
      <c r="C197" s="650"/>
      <c r="D197" s="650"/>
      <c r="E197" s="650"/>
      <c r="F197" s="650"/>
      <c r="G197" s="650"/>
      <c r="H197" s="650"/>
      <c r="I197" s="650"/>
      <c r="J197" s="650"/>
      <c r="K197" s="650"/>
      <c r="L197" s="650"/>
      <c r="M197" s="650"/>
      <c r="N197" s="650"/>
      <c r="O197" s="650"/>
      <c r="P197" s="650"/>
      <c r="Q197" s="650"/>
      <c r="R197" s="650"/>
      <c r="S197" s="650"/>
      <c r="T197" s="650"/>
      <c r="U197" s="650"/>
      <c r="V197" s="650"/>
      <c r="W197" s="650"/>
      <c r="X197" s="650"/>
      <c r="Y197" s="650"/>
      <c r="Z197" s="650"/>
      <c r="AA197" s="650"/>
      <c r="AB197" s="650"/>
      <c r="AC197" s="650"/>
      <c r="AD197" s="650"/>
      <c r="AE197" s="650"/>
      <c r="AF197" s="650"/>
      <c r="AG197" s="650"/>
      <c r="AH197" s="650"/>
      <c r="AI197" s="650"/>
      <c r="AJ197" s="650"/>
      <c r="AK197" s="650"/>
      <c r="AL197" s="650"/>
      <c r="AM197" s="650"/>
      <c r="AN197" s="650"/>
      <c r="AO197" s="650"/>
      <c r="AP197" s="650"/>
      <c r="AQ197" s="650"/>
      <c r="AR197" s="650"/>
      <c r="AS197" s="650"/>
      <c r="AT197" s="650"/>
      <c r="AU197" s="650"/>
      <c r="AV197" s="650"/>
      <c r="AW197" s="650"/>
      <c r="AX197" s="650"/>
      <c r="AY197" s="650"/>
    </row>
    <row r="198" ht="21.75" customHeight="1">
      <c r="A198" s="650"/>
      <c r="B198" s="650"/>
      <c r="C198" s="650"/>
      <c r="D198" s="650"/>
      <c r="E198" s="650"/>
      <c r="F198" s="650"/>
      <c r="G198" s="650"/>
      <c r="H198" s="650"/>
      <c r="I198" s="650"/>
      <c r="J198" s="650"/>
      <c r="K198" s="650"/>
      <c r="L198" s="650"/>
      <c r="M198" s="650"/>
      <c r="N198" s="650"/>
      <c r="O198" s="650"/>
      <c r="P198" s="650"/>
      <c r="Q198" s="650"/>
      <c r="R198" s="650"/>
      <c r="S198" s="650"/>
      <c r="T198" s="650"/>
      <c r="U198" s="650"/>
      <c r="V198" s="650"/>
      <c r="W198" s="650"/>
      <c r="X198" s="650"/>
      <c r="Y198" s="650"/>
      <c r="Z198" s="650"/>
      <c r="AA198" s="650"/>
      <c r="AB198" s="650"/>
      <c r="AC198" s="650"/>
      <c r="AD198" s="650"/>
      <c r="AE198" s="650"/>
      <c r="AF198" s="650"/>
      <c r="AG198" s="650"/>
      <c r="AH198" s="650"/>
      <c r="AI198" s="650"/>
      <c r="AJ198" s="650"/>
      <c r="AK198" s="650"/>
      <c r="AL198" s="650"/>
      <c r="AM198" s="650"/>
      <c r="AN198" s="650"/>
      <c r="AO198" s="650"/>
      <c r="AP198" s="650"/>
      <c r="AQ198" s="650"/>
      <c r="AR198" s="650"/>
      <c r="AS198" s="650"/>
      <c r="AT198" s="650"/>
      <c r="AU198" s="650"/>
      <c r="AV198" s="650"/>
      <c r="AW198" s="650"/>
      <c r="AX198" s="650"/>
      <c r="AY198" s="650"/>
    </row>
    <row r="199" ht="21.75" customHeight="1">
      <c r="A199" s="650"/>
      <c r="B199" s="650"/>
      <c r="C199" s="650"/>
      <c r="D199" s="650"/>
      <c r="E199" s="650"/>
      <c r="F199" s="650"/>
      <c r="G199" s="650"/>
      <c r="H199" s="650"/>
      <c r="I199" s="650"/>
      <c r="J199" s="650"/>
      <c r="K199" s="650"/>
      <c r="L199" s="650"/>
      <c r="M199" s="650"/>
      <c r="N199" s="650"/>
      <c r="O199" s="650"/>
      <c r="P199" s="650"/>
      <c r="Q199" s="650"/>
      <c r="R199" s="650"/>
      <c r="S199" s="650"/>
      <c r="T199" s="650"/>
      <c r="U199" s="650"/>
      <c r="V199" s="650"/>
      <c r="W199" s="650"/>
      <c r="X199" s="650"/>
      <c r="Y199" s="650"/>
      <c r="Z199" s="650"/>
      <c r="AA199" s="650"/>
      <c r="AB199" s="650"/>
      <c r="AC199" s="650"/>
      <c r="AD199" s="650"/>
      <c r="AE199" s="650"/>
      <c r="AF199" s="650"/>
      <c r="AG199" s="650"/>
      <c r="AH199" s="650"/>
      <c r="AI199" s="650"/>
      <c r="AJ199" s="650"/>
      <c r="AK199" s="650"/>
      <c r="AL199" s="650"/>
      <c r="AM199" s="650"/>
      <c r="AN199" s="650"/>
      <c r="AO199" s="650"/>
      <c r="AP199" s="650"/>
      <c r="AQ199" s="650"/>
      <c r="AR199" s="650"/>
      <c r="AS199" s="650"/>
      <c r="AT199" s="650"/>
      <c r="AU199" s="650"/>
      <c r="AV199" s="650"/>
      <c r="AW199" s="650"/>
      <c r="AX199" s="650"/>
      <c r="AY199" s="650"/>
    </row>
    <row r="200" ht="21.75" customHeight="1">
      <c r="A200" s="650"/>
      <c r="B200" s="650"/>
      <c r="C200" s="650"/>
      <c r="D200" s="650"/>
      <c r="E200" s="650"/>
      <c r="F200" s="650"/>
      <c r="G200" s="650"/>
      <c r="H200" s="650"/>
      <c r="I200" s="650"/>
      <c r="J200" s="650"/>
      <c r="K200" s="650"/>
      <c r="L200" s="650"/>
      <c r="M200" s="650"/>
      <c r="N200" s="650"/>
      <c r="O200" s="650"/>
      <c r="P200" s="650"/>
      <c r="Q200" s="650"/>
      <c r="R200" s="650"/>
      <c r="S200" s="650"/>
      <c r="T200" s="650"/>
      <c r="U200" s="650"/>
      <c r="V200" s="650"/>
      <c r="W200" s="650"/>
      <c r="X200" s="650"/>
      <c r="Y200" s="650"/>
      <c r="Z200" s="650"/>
      <c r="AA200" s="650"/>
      <c r="AB200" s="650"/>
      <c r="AC200" s="650"/>
      <c r="AD200" s="650"/>
      <c r="AE200" s="650"/>
      <c r="AF200" s="650"/>
      <c r="AG200" s="650"/>
      <c r="AH200" s="650"/>
      <c r="AI200" s="650"/>
      <c r="AJ200" s="650"/>
      <c r="AK200" s="650"/>
      <c r="AL200" s="650"/>
      <c r="AM200" s="650"/>
      <c r="AN200" s="650"/>
      <c r="AO200" s="650"/>
      <c r="AP200" s="650"/>
      <c r="AQ200" s="650"/>
      <c r="AR200" s="650"/>
      <c r="AS200" s="650"/>
      <c r="AT200" s="650"/>
      <c r="AU200" s="650"/>
      <c r="AV200" s="650"/>
      <c r="AW200" s="650"/>
      <c r="AX200" s="650"/>
      <c r="AY200" s="650"/>
    </row>
    <row r="201" ht="21.75" customHeight="1">
      <c r="A201" s="650"/>
      <c r="B201" s="650"/>
      <c r="C201" s="650"/>
      <c r="D201" s="650"/>
      <c r="E201" s="650"/>
      <c r="F201" s="650"/>
      <c r="G201" s="650"/>
      <c r="H201" s="650"/>
      <c r="I201" s="650"/>
      <c r="J201" s="650"/>
      <c r="K201" s="650"/>
      <c r="L201" s="650"/>
      <c r="M201" s="650"/>
      <c r="N201" s="650"/>
      <c r="O201" s="650"/>
      <c r="P201" s="650"/>
      <c r="Q201" s="650"/>
      <c r="R201" s="650"/>
      <c r="S201" s="650"/>
      <c r="T201" s="650"/>
      <c r="U201" s="650"/>
      <c r="V201" s="650"/>
      <c r="W201" s="650"/>
      <c r="X201" s="650"/>
      <c r="Y201" s="650"/>
      <c r="Z201" s="650"/>
      <c r="AA201" s="650"/>
      <c r="AB201" s="650"/>
      <c r="AC201" s="650"/>
      <c r="AD201" s="650"/>
      <c r="AE201" s="650"/>
      <c r="AF201" s="650"/>
      <c r="AG201" s="650"/>
      <c r="AH201" s="650"/>
      <c r="AI201" s="650"/>
      <c r="AJ201" s="650"/>
      <c r="AK201" s="650"/>
      <c r="AL201" s="650"/>
      <c r="AM201" s="650"/>
      <c r="AN201" s="650"/>
      <c r="AO201" s="650"/>
      <c r="AP201" s="650"/>
      <c r="AQ201" s="650"/>
      <c r="AR201" s="650"/>
      <c r="AS201" s="650"/>
      <c r="AT201" s="650"/>
      <c r="AU201" s="650"/>
      <c r="AV201" s="650"/>
      <c r="AW201" s="650"/>
      <c r="AX201" s="650"/>
      <c r="AY201" s="650"/>
    </row>
    <row r="202" ht="21.75" customHeight="1">
      <c r="A202" s="650"/>
      <c r="B202" s="650"/>
      <c r="C202" s="650"/>
      <c r="D202" s="650"/>
      <c r="E202" s="650"/>
      <c r="F202" s="650"/>
      <c r="G202" s="650"/>
      <c r="H202" s="650"/>
      <c r="I202" s="650"/>
      <c r="J202" s="650"/>
      <c r="K202" s="650"/>
      <c r="L202" s="650"/>
      <c r="M202" s="650"/>
      <c r="N202" s="650"/>
      <c r="O202" s="650"/>
      <c r="P202" s="650"/>
      <c r="Q202" s="650"/>
      <c r="R202" s="650"/>
      <c r="S202" s="650"/>
      <c r="T202" s="650"/>
      <c r="U202" s="650"/>
      <c r="V202" s="650"/>
      <c r="W202" s="650"/>
      <c r="X202" s="650"/>
      <c r="Y202" s="650"/>
      <c r="Z202" s="650"/>
      <c r="AA202" s="650"/>
      <c r="AB202" s="650"/>
      <c r="AC202" s="650"/>
      <c r="AD202" s="650"/>
      <c r="AE202" s="650"/>
      <c r="AF202" s="650"/>
      <c r="AG202" s="650"/>
      <c r="AH202" s="650"/>
      <c r="AI202" s="650"/>
      <c r="AJ202" s="650"/>
      <c r="AK202" s="650"/>
      <c r="AL202" s="650"/>
      <c r="AM202" s="650"/>
      <c r="AN202" s="650"/>
      <c r="AO202" s="650"/>
      <c r="AP202" s="650"/>
      <c r="AQ202" s="650"/>
      <c r="AR202" s="650"/>
      <c r="AS202" s="650"/>
      <c r="AT202" s="650"/>
      <c r="AU202" s="650"/>
      <c r="AV202" s="650"/>
      <c r="AW202" s="650"/>
      <c r="AX202" s="650"/>
      <c r="AY202" s="650"/>
    </row>
    <row r="203" ht="21.75" customHeight="1">
      <c r="A203" s="650"/>
      <c r="B203" s="650"/>
      <c r="C203" s="650"/>
      <c r="D203" s="650"/>
      <c r="E203" s="650"/>
      <c r="F203" s="650"/>
      <c r="G203" s="650"/>
      <c r="H203" s="650"/>
      <c r="I203" s="650"/>
      <c r="J203" s="650"/>
      <c r="K203" s="650"/>
      <c r="L203" s="650"/>
      <c r="M203" s="650"/>
      <c r="N203" s="650"/>
      <c r="O203" s="650"/>
      <c r="P203" s="650"/>
      <c r="Q203" s="650"/>
      <c r="R203" s="650"/>
      <c r="S203" s="650"/>
      <c r="T203" s="650"/>
      <c r="U203" s="650"/>
      <c r="V203" s="650"/>
      <c r="W203" s="650"/>
      <c r="X203" s="650"/>
      <c r="Y203" s="650"/>
      <c r="Z203" s="650"/>
      <c r="AA203" s="650"/>
      <c r="AB203" s="650"/>
      <c r="AC203" s="650"/>
      <c r="AD203" s="650"/>
      <c r="AE203" s="650"/>
      <c r="AF203" s="650"/>
      <c r="AG203" s="650"/>
      <c r="AH203" s="650"/>
      <c r="AI203" s="650"/>
      <c r="AJ203" s="650"/>
      <c r="AK203" s="650"/>
      <c r="AL203" s="650"/>
      <c r="AM203" s="650"/>
      <c r="AN203" s="650"/>
      <c r="AO203" s="650"/>
      <c r="AP203" s="650"/>
      <c r="AQ203" s="650"/>
      <c r="AR203" s="650"/>
      <c r="AS203" s="650"/>
      <c r="AT203" s="650"/>
      <c r="AU203" s="650"/>
      <c r="AV203" s="650"/>
      <c r="AW203" s="650"/>
      <c r="AX203" s="650"/>
      <c r="AY203" s="650"/>
    </row>
    <row r="204" ht="21.75" customHeight="1">
      <c r="A204" s="650"/>
      <c r="B204" s="650"/>
      <c r="C204" s="650"/>
      <c r="D204" s="650"/>
      <c r="E204" s="650"/>
      <c r="F204" s="650"/>
      <c r="G204" s="650"/>
      <c r="H204" s="650"/>
      <c r="I204" s="650"/>
      <c r="J204" s="650"/>
      <c r="K204" s="650"/>
      <c r="L204" s="650"/>
      <c r="M204" s="650"/>
      <c r="N204" s="650"/>
      <c r="O204" s="650"/>
      <c r="P204" s="650"/>
      <c r="Q204" s="650"/>
      <c r="R204" s="650"/>
      <c r="S204" s="650"/>
      <c r="T204" s="650"/>
      <c r="U204" s="650"/>
      <c r="V204" s="650"/>
      <c r="W204" s="650"/>
      <c r="X204" s="650"/>
      <c r="Y204" s="650"/>
      <c r="Z204" s="650"/>
      <c r="AA204" s="650"/>
      <c r="AB204" s="650"/>
      <c r="AC204" s="650"/>
      <c r="AD204" s="650"/>
      <c r="AE204" s="650"/>
      <c r="AF204" s="650"/>
      <c r="AG204" s="650"/>
      <c r="AH204" s="650"/>
      <c r="AI204" s="650"/>
      <c r="AJ204" s="650"/>
      <c r="AK204" s="650"/>
      <c r="AL204" s="650"/>
      <c r="AM204" s="650"/>
      <c r="AN204" s="650"/>
      <c r="AO204" s="650"/>
      <c r="AP204" s="650"/>
      <c r="AQ204" s="650"/>
      <c r="AR204" s="650"/>
      <c r="AS204" s="650"/>
      <c r="AT204" s="650"/>
      <c r="AU204" s="650"/>
      <c r="AV204" s="650"/>
      <c r="AW204" s="650"/>
      <c r="AX204" s="650"/>
      <c r="AY204" s="650"/>
    </row>
    <row r="205" ht="21.75" customHeight="1">
      <c r="A205" s="650"/>
      <c r="B205" s="650"/>
      <c r="C205" s="650"/>
      <c r="D205" s="650"/>
      <c r="E205" s="650"/>
      <c r="F205" s="650"/>
      <c r="G205" s="650"/>
      <c r="H205" s="650"/>
      <c r="I205" s="650"/>
      <c r="J205" s="650"/>
      <c r="K205" s="650"/>
      <c r="L205" s="650"/>
      <c r="M205" s="650"/>
      <c r="N205" s="650"/>
      <c r="O205" s="650"/>
      <c r="P205" s="650"/>
      <c r="Q205" s="650"/>
      <c r="R205" s="650"/>
      <c r="S205" s="650"/>
      <c r="T205" s="650"/>
      <c r="U205" s="650"/>
      <c r="V205" s="650"/>
      <c r="W205" s="650"/>
      <c r="X205" s="650"/>
      <c r="Y205" s="650"/>
      <c r="Z205" s="650"/>
      <c r="AA205" s="650"/>
      <c r="AB205" s="650"/>
      <c r="AC205" s="650"/>
      <c r="AD205" s="650"/>
      <c r="AE205" s="650"/>
      <c r="AF205" s="650"/>
      <c r="AG205" s="650"/>
      <c r="AH205" s="650"/>
      <c r="AI205" s="650"/>
      <c r="AJ205" s="650"/>
      <c r="AK205" s="650"/>
      <c r="AL205" s="650"/>
      <c r="AM205" s="650"/>
      <c r="AN205" s="650"/>
      <c r="AO205" s="650"/>
      <c r="AP205" s="650"/>
      <c r="AQ205" s="650"/>
      <c r="AR205" s="650"/>
      <c r="AS205" s="650"/>
      <c r="AT205" s="650"/>
      <c r="AU205" s="650"/>
      <c r="AV205" s="650"/>
      <c r="AW205" s="650"/>
      <c r="AX205" s="650"/>
      <c r="AY205" s="650"/>
    </row>
    <row r="206" ht="21.75" customHeight="1">
      <c r="A206" s="650"/>
      <c r="B206" s="650"/>
      <c r="C206" s="650"/>
      <c r="D206" s="650"/>
      <c r="E206" s="650"/>
      <c r="F206" s="650"/>
      <c r="G206" s="650"/>
      <c r="H206" s="650"/>
      <c r="I206" s="650"/>
      <c r="J206" s="650"/>
      <c r="K206" s="650"/>
      <c r="L206" s="650"/>
      <c r="M206" s="650"/>
      <c r="N206" s="650"/>
      <c r="O206" s="650"/>
      <c r="P206" s="650"/>
      <c r="Q206" s="650"/>
      <c r="R206" s="650"/>
      <c r="S206" s="650"/>
      <c r="T206" s="650"/>
      <c r="U206" s="650"/>
      <c r="V206" s="650"/>
      <c r="W206" s="650"/>
      <c r="X206" s="650"/>
      <c r="Y206" s="650"/>
      <c r="Z206" s="650"/>
      <c r="AA206" s="650"/>
      <c r="AB206" s="650"/>
      <c r="AC206" s="650"/>
      <c r="AD206" s="650"/>
      <c r="AE206" s="650"/>
      <c r="AF206" s="650"/>
      <c r="AG206" s="650"/>
      <c r="AH206" s="650"/>
      <c r="AI206" s="650"/>
      <c r="AJ206" s="650"/>
      <c r="AK206" s="650"/>
      <c r="AL206" s="650"/>
      <c r="AM206" s="650"/>
      <c r="AN206" s="650"/>
      <c r="AO206" s="650"/>
      <c r="AP206" s="650"/>
      <c r="AQ206" s="650"/>
      <c r="AR206" s="650"/>
      <c r="AS206" s="650"/>
      <c r="AT206" s="650"/>
      <c r="AU206" s="650"/>
      <c r="AV206" s="650"/>
      <c r="AW206" s="650"/>
      <c r="AX206" s="650"/>
      <c r="AY206" s="650"/>
    </row>
    <row r="207" ht="21.75" customHeight="1">
      <c r="A207" s="650"/>
      <c r="B207" s="650"/>
      <c r="C207" s="650"/>
      <c r="D207" s="650"/>
      <c r="E207" s="650"/>
      <c r="F207" s="650"/>
      <c r="G207" s="650"/>
      <c r="H207" s="650"/>
      <c r="I207" s="650"/>
      <c r="J207" s="650"/>
      <c r="K207" s="650"/>
      <c r="L207" s="650"/>
      <c r="M207" s="650"/>
      <c r="N207" s="650"/>
      <c r="O207" s="650"/>
      <c r="P207" s="650"/>
      <c r="Q207" s="650"/>
      <c r="R207" s="650"/>
      <c r="S207" s="650"/>
      <c r="T207" s="650"/>
      <c r="U207" s="650"/>
      <c r="V207" s="650"/>
      <c r="W207" s="650"/>
      <c r="X207" s="650"/>
      <c r="Y207" s="650"/>
      <c r="Z207" s="650"/>
      <c r="AA207" s="650"/>
      <c r="AB207" s="650"/>
      <c r="AC207" s="650"/>
      <c r="AD207" s="650"/>
      <c r="AE207" s="650"/>
      <c r="AF207" s="650"/>
      <c r="AG207" s="650"/>
      <c r="AH207" s="650"/>
      <c r="AI207" s="650"/>
      <c r="AJ207" s="650"/>
      <c r="AK207" s="650"/>
      <c r="AL207" s="650"/>
      <c r="AM207" s="650"/>
      <c r="AN207" s="650"/>
      <c r="AO207" s="650"/>
      <c r="AP207" s="650"/>
      <c r="AQ207" s="650"/>
      <c r="AR207" s="650"/>
      <c r="AS207" s="650"/>
      <c r="AT207" s="650"/>
      <c r="AU207" s="650"/>
      <c r="AV207" s="650"/>
      <c r="AW207" s="650"/>
      <c r="AX207" s="650"/>
      <c r="AY207" s="650"/>
    </row>
    <row r="208" ht="21.75" customHeight="1">
      <c r="A208" s="650"/>
      <c r="B208" s="650"/>
      <c r="C208" s="650"/>
      <c r="D208" s="650"/>
      <c r="E208" s="650"/>
      <c r="F208" s="650"/>
      <c r="G208" s="650"/>
      <c r="H208" s="650"/>
      <c r="I208" s="650"/>
      <c r="J208" s="650"/>
      <c r="K208" s="650"/>
      <c r="L208" s="650"/>
      <c r="M208" s="650"/>
      <c r="N208" s="650"/>
      <c r="O208" s="650"/>
      <c r="P208" s="650"/>
      <c r="Q208" s="650"/>
      <c r="R208" s="650"/>
      <c r="S208" s="650"/>
      <c r="T208" s="650"/>
      <c r="U208" s="650"/>
      <c r="V208" s="650"/>
      <c r="W208" s="650"/>
      <c r="X208" s="650"/>
      <c r="Y208" s="650"/>
      <c r="Z208" s="650"/>
      <c r="AA208" s="650"/>
      <c r="AB208" s="650"/>
      <c r="AC208" s="650"/>
      <c r="AD208" s="650"/>
      <c r="AE208" s="650"/>
      <c r="AF208" s="650"/>
      <c r="AG208" s="650"/>
      <c r="AH208" s="650"/>
      <c r="AI208" s="650"/>
      <c r="AJ208" s="650"/>
      <c r="AK208" s="650"/>
      <c r="AL208" s="650"/>
      <c r="AM208" s="650"/>
      <c r="AN208" s="650"/>
      <c r="AO208" s="650"/>
      <c r="AP208" s="650"/>
      <c r="AQ208" s="650"/>
      <c r="AR208" s="650"/>
      <c r="AS208" s="650"/>
      <c r="AT208" s="650"/>
      <c r="AU208" s="650"/>
      <c r="AV208" s="650"/>
      <c r="AW208" s="650"/>
      <c r="AX208" s="650"/>
      <c r="AY208" s="650"/>
    </row>
    <row r="209" ht="21.75" customHeight="1">
      <c r="A209" s="650"/>
      <c r="B209" s="650"/>
      <c r="C209" s="650"/>
      <c r="D209" s="650"/>
      <c r="E209" s="650"/>
      <c r="F209" s="650"/>
      <c r="G209" s="650"/>
      <c r="H209" s="650"/>
      <c r="I209" s="650"/>
      <c r="J209" s="650"/>
      <c r="K209" s="650"/>
      <c r="L209" s="650"/>
      <c r="M209" s="650"/>
      <c r="N209" s="650"/>
      <c r="O209" s="650"/>
      <c r="P209" s="650"/>
      <c r="Q209" s="650"/>
      <c r="R209" s="650"/>
      <c r="S209" s="650"/>
      <c r="T209" s="650"/>
      <c r="U209" s="650"/>
      <c r="V209" s="650"/>
      <c r="W209" s="650"/>
      <c r="X209" s="650"/>
      <c r="Y209" s="650"/>
      <c r="Z209" s="650"/>
      <c r="AA209" s="650"/>
      <c r="AB209" s="650"/>
      <c r="AC209" s="650"/>
      <c r="AD209" s="650"/>
      <c r="AE209" s="650"/>
      <c r="AF209" s="650"/>
      <c r="AG209" s="650"/>
      <c r="AH209" s="650"/>
      <c r="AI209" s="650"/>
      <c r="AJ209" s="650"/>
      <c r="AK209" s="650"/>
      <c r="AL209" s="650"/>
      <c r="AM209" s="650"/>
      <c r="AN209" s="650"/>
      <c r="AO209" s="650"/>
      <c r="AP209" s="650"/>
      <c r="AQ209" s="650"/>
      <c r="AR209" s="650"/>
      <c r="AS209" s="650"/>
      <c r="AT209" s="650"/>
      <c r="AU209" s="650"/>
      <c r="AV209" s="650"/>
      <c r="AW209" s="650"/>
      <c r="AX209" s="650"/>
      <c r="AY209" s="650"/>
    </row>
    <row r="210" ht="21.75" customHeight="1">
      <c r="A210" s="650"/>
      <c r="B210" s="650"/>
      <c r="C210" s="650"/>
      <c r="D210" s="650"/>
      <c r="E210" s="650"/>
      <c r="F210" s="650"/>
      <c r="G210" s="650"/>
      <c r="H210" s="650"/>
      <c r="I210" s="650"/>
      <c r="J210" s="650"/>
      <c r="K210" s="650"/>
      <c r="L210" s="650"/>
      <c r="M210" s="650"/>
      <c r="N210" s="650"/>
      <c r="O210" s="650"/>
      <c r="P210" s="650"/>
      <c r="Q210" s="650"/>
      <c r="R210" s="650"/>
      <c r="S210" s="650"/>
      <c r="T210" s="650"/>
      <c r="U210" s="650"/>
      <c r="V210" s="650"/>
      <c r="W210" s="650"/>
      <c r="X210" s="650"/>
      <c r="Y210" s="650"/>
      <c r="Z210" s="650"/>
      <c r="AA210" s="650"/>
      <c r="AB210" s="650"/>
      <c r="AC210" s="650"/>
      <c r="AD210" s="650"/>
      <c r="AE210" s="650"/>
      <c r="AF210" s="650"/>
      <c r="AG210" s="650"/>
      <c r="AH210" s="650"/>
      <c r="AI210" s="650"/>
      <c r="AJ210" s="650"/>
      <c r="AK210" s="650"/>
      <c r="AL210" s="650"/>
      <c r="AM210" s="650"/>
      <c r="AN210" s="650"/>
      <c r="AO210" s="650"/>
      <c r="AP210" s="650"/>
      <c r="AQ210" s="650"/>
      <c r="AR210" s="650"/>
      <c r="AS210" s="650"/>
      <c r="AT210" s="650"/>
      <c r="AU210" s="650"/>
      <c r="AV210" s="650"/>
      <c r="AW210" s="650"/>
      <c r="AX210" s="650"/>
      <c r="AY210" s="650"/>
    </row>
    <row r="211" ht="21.75" customHeight="1">
      <c r="A211" s="650"/>
      <c r="B211" s="650"/>
      <c r="C211" s="650"/>
      <c r="D211" s="650"/>
      <c r="E211" s="650"/>
      <c r="F211" s="650"/>
      <c r="G211" s="650"/>
      <c r="H211" s="650"/>
      <c r="I211" s="650"/>
      <c r="J211" s="650"/>
      <c r="K211" s="650"/>
      <c r="L211" s="650"/>
      <c r="M211" s="650"/>
      <c r="N211" s="650"/>
      <c r="O211" s="650"/>
      <c r="P211" s="650"/>
      <c r="Q211" s="650"/>
      <c r="R211" s="650"/>
      <c r="S211" s="650"/>
      <c r="T211" s="650"/>
      <c r="U211" s="650"/>
      <c r="V211" s="650"/>
      <c r="W211" s="650"/>
      <c r="X211" s="650"/>
      <c r="Y211" s="650"/>
      <c r="Z211" s="650"/>
      <c r="AA211" s="650"/>
      <c r="AB211" s="650"/>
      <c r="AC211" s="650"/>
      <c r="AD211" s="650"/>
      <c r="AE211" s="650"/>
      <c r="AF211" s="650"/>
      <c r="AG211" s="650"/>
      <c r="AH211" s="650"/>
      <c r="AI211" s="650"/>
      <c r="AJ211" s="650"/>
      <c r="AK211" s="650"/>
      <c r="AL211" s="650"/>
      <c r="AM211" s="650"/>
      <c r="AN211" s="650"/>
      <c r="AO211" s="650"/>
      <c r="AP211" s="650"/>
      <c r="AQ211" s="650"/>
      <c r="AR211" s="650"/>
      <c r="AS211" s="650"/>
      <c r="AT211" s="650"/>
      <c r="AU211" s="650"/>
      <c r="AV211" s="650"/>
      <c r="AW211" s="650"/>
      <c r="AX211" s="650"/>
      <c r="AY211" s="650"/>
    </row>
    <row r="212" ht="21.75" customHeight="1">
      <c r="A212" s="650"/>
      <c r="B212" s="650"/>
      <c r="C212" s="650"/>
      <c r="D212" s="650"/>
      <c r="E212" s="650"/>
      <c r="F212" s="650"/>
      <c r="G212" s="650"/>
      <c r="H212" s="650"/>
      <c r="I212" s="650"/>
      <c r="J212" s="650"/>
      <c r="K212" s="650"/>
      <c r="L212" s="650"/>
      <c r="M212" s="650"/>
      <c r="N212" s="650"/>
      <c r="O212" s="650"/>
      <c r="P212" s="650"/>
      <c r="Q212" s="650"/>
      <c r="R212" s="650"/>
      <c r="S212" s="650"/>
      <c r="T212" s="650"/>
      <c r="U212" s="650"/>
      <c r="V212" s="650"/>
      <c r="W212" s="650"/>
      <c r="X212" s="650"/>
      <c r="Y212" s="650"/>
      <c r="Z212" s="650"/>
      <c r="AA212" s="650"/>
      <c r="AB212" s="650"/>
      <c r="AC212" s="650"/>
      <c r="AD212" s="650"/>
      <c r="AE212" s="650"/>
      <c r="AF212" s="650"/>
      <c r="AG212" s="650"/>
      <c r="AH212" s="650"/>
      <c r="AI212" s="650"/>
      <c r="AJ212" s="650"/>
      <c r="AK212" s="650"/>
      <c r="AL212" s="650"/>
      <c r="AM212" s="650"/>
      <c r="AN212" s="650"/>
      <c r="AO212" s="650"/>
      <c r="AP212" s="650"/>
      <c r="AQ212" s="650"/>
      <c r="AR212" s="650"/>
      <c r="AS212" s="650"/>
      <c r="AT212" s="650"/>
      <c r="AU212" s="650"/>
      <c r="AV212" s="650"/>
      <c r="AW212" s="650"/>
      <c r="AX212" s="650"/>
      <c r="AY212" s="650"/>
    </row>
    <row r="213" ht="21.75" customHeight="1">
      <c r="A213" s="650"/>
      <c r="B213" s="650"/>
      <c r="C213" s="650"/>
      <c r="D213" s="650"/>
      <c r="E213" s="650"/>
      <c r="F213" s="650"/>
      <c r="G213" s="650"/>
      <c r="H213" s="650"/>
      <c r="I213" s="650"/>
      <c r="J213" s="650"/>
      <c r="K213" s="650"/>
      <c r="L213" s="650"/>
      <c r="M213" s="650"/>
      <c r="N213" s="650"/>
      <c r="O213" s="650"/>
      <c r="P213" s="650"/>
      <c r="Q213" s="650"/>
      <c r="R213" s="650"/>
      <c r="S213" s="650"/>
      <c r="T213" s="650"/>
      <c r="U213" s="650"/>
      <c r="V213" s="650"/>
      <c r="W213" s="650"/>
      <c r="X213" s="650"/>
      <c r="Y213" s="650"/>
      <c r="Z213" s="650"/>
      <c r="AA213" s="650"/>
      <c r="AB213" s="650"/>
      <c r="AC213" s="650"/>
      <c r="AD213" s="650"/>
      <c r="AE213" s="650"/>
      <c r="AF213" s="650"/>
      <c r="AG213" s="650"/>
      <c r="AH213" s="650"/>
      <c r="AI213" s="650"/>
      <c r="AJ213" s="650"/>
      <c r="AK213" s="650"/>
      <c r="AL213" s="650"/>
      <c r="AM213" s="650"/>
      <c r="AN213" s="650"/>
      <c r="AO213" s="650"/>
      <c r="AP213" s="650"/>
      <c r="AQ213" s="650"/>
      <c r="AR213" s="650"/>
      <c r="AS213" s="650"/>
      <c r="AT213" s="650"/>
      <c r="AU213" s="650"/>
      <c r="AV213" s="650"/>
      <c r="AW213" s="650"/>
      <c r="AX213" s="650"/>
      <c r="AY213" s="650"/>
    </row>
    <row r="214" ht="21.75" customHeight="1">
      <c r="A214" s="650"/>
      <c r="B214" s="650"/>
      <c r="C214" s="650"/>
      <c r="D214" s="650"/>
      <c r="E214" s="650"/>
      <c r="F214" s="650"/>
      <c r="G214" s="650"/>
      <c r="H214" s="650"/>
      <c r="I214" s="650"/>
      <c r="J214" s="650"/>
      <c r="K214" s="650"/>
      <c r="L214" s="650"/>
      <c r="M214" s="650"/>
      <c r="N214" s="650"/>
      <c r="O214" s="650"/>
      <c r="P214" s="650"/>
      <c r="Q214" s="650"/>
      <c r="R214" s="650"/>
      <c r="S214" s="650"/>
      <c r="T214" s="650"/>
      <c r="U214" s="650"/>
      <c r="V214" s="650"/>
      <c r="W214" s="650"/>
      <c r="X214" s="650"/>
      <c r="Y214" s="650"/>
      <c r="Z214" s="650"/>
      <c r="AA214" s="650"/>
      <c r="AB214" s="650"/>
      <c r="AC214" s="650"/>
      <c r="AD214" s="650"/>
      <c r="AE214" s="650"/>
      <c r="AF214" s="650"/>
      <c r="AG214" s="650"/>
      <c r="AH214" s="650"/>
      <c r="AI214" s="650"/>
      <c r="AJ214" s="650"/>
      <c r="AK214" s="650"/>
      <c r="AL214" s="650"/>
      <c r="AM214" s="650"/>
      <c r="AN214" s="650"/>
      <c r="AO214" s="650"/>
      <c r="AP214" s="650"/>
      <c r="AQ214" s="650"/>
      <c r="AR214" s="650"/>
      <c r="AS214" s="650"/>
      <c r="AT214" s="650"/>
      <c r="AU214" s="650"/>
      <c r="AV214" s="650"/>
      <c r="AW214" s="650"/>
      <c r="AX214" s="650"/>
      <c r="AY214" s="650"/>
    </row>
    <row r="215" ht="21.75" customHeight="1">
      <c r="A215" s="650"/>
      <c r="B215" s="650"/>
      <c r="C215" s="650"/>
      <c r="D215" s="650"/>
      <c r="E215" s="650"/>
      <c r="F215" s="650"/>
      <c r="G215" s="650"/>
      <c r="H215" s="650"/>
      <c r="I215" s="650"/>
      <c r="J215" s="650"/>
      <c r="K215" s="650"/>
      <c r="L215" s="650"/>
      <c r="M215" s="650"/>
      <c r="N215" s="650"/>
      <c r="O215" s="650"/>
      <c r="P215" s="650"/>
      <c r="Q215" s="650"/>
      <c r="R215" s="650"/>
      <c r="S215" s="650"/>
      <c r="T215" s="650"/>
      <c r="U215" s="650"/>
      <c r="V215" s="650"/>
      <c r="W215" s="650"/>
      <c r="X215" s="650"/>
      <c r="Y215" s="650"/>
      <c r="Z215" s="650"/>
      <c r="AA215" s="650"/>
      <c r="AB215" s="650"/>
      <c r="AC215" s="650"/>
      <c r="AD215" s="650"/>
      <c r="AE215" s="650"/>
      <c r="AF215" s="650"/>
      <c r="AG215" s="650"/>
      <c r="AH215" s="650"/>
      <c r="AI215" s="650"/>
      <c r="AJ215" s="650"/>
      <c r="AK215" s="650"/>
      <c r="AL215" s="650"/>
      <c r="AM215" s="650"/>
      <c r="AN215" s="650"/>
      <c r="AO215" s="650"/>
      <c r="AP215" s="650"/>
      <c r="AQ215" s="650"/>
      <c r="AR215" s="650"/>
      <c r="AS215" s="650"/>
      <c r="AT215" s="650"/>
      <c r="AU215" s="650"/>
      <c r="AV215" s="650"/>
      <c r="AW215" s="650"/>
      <c r="AX215" s="650"/>
      <c r="AY215" s="650"/>
    </row>
    <row r="216" ht="21.75" customHeight="1">
      <c r="A216" s="650"/>
      <c r="B216" s="650"/>
      <c r="C216" s="650"/>
      <c r="D216" s="650"/>
      <c r="E216" s="650"/>
      <c r="F216" s="650"/>
      <c r="G216" s="650"/>
      <c r="H216" s="650"/>
      <c r="I216" s="650"/>
      <c r="J216" s="650"/>
      <c r="K216" s="650"/>
      <c r="L216" s="650"/>
      <c r="M216" s="650"/>
      <c r="N216" s="650"/>
      <c r="O216" s="650"/>
      <c r="P216" s="650"/>
      <c r="Q216" s="650"/>
      <c r="R216" s="650"/>
      <c r="S216" s="650"/>
      <c r="T216" s="650"/>
      <c r="U216" s="650"/>
      <c r="V216" s="650"/>
      <c r="W216" s="650"/>
      <c r="X216" s="650"/>
      <c r="Y216" s="650"/>
      <c r="Z216" s="650"/>
      <c r="AA216" s="650"/>
      <c r="AB216" s="650"/>
      <c r="AC216" s="650"/>
      <c r="AD216" s="650"/>
      <c r="AE216" s="650"/>
      <c r="AF216" s="650"/>
      <c r="AG216" s="650"/>
      <c r="AH216" s="650"/>
      <c r="AI216" s="650"/>
      <c r="AJ216" s="650"/>
      <c r="AK216" s="650"/>
      <c r="AL216" s="650"/>
      <c r="AM216" s="650"/>
      <c r="AN216" s="650"/>
      <c r="AO216" s="650"/>
      <c r="AP216" s="650"/>
      <c r="AQ216" s="650"/>
      <c r="AR216" s="650"/>
      <c r="AS216" s="650"/>
      <c r="AT216" s="650"/>
      <c r="AU216" s="650"/>
      <c r="AV216" s="650"/>
      <c r="AW216" s="650"/>
      <c r="AX216" s="650"/>
      <c r="AY216" s="650"/>
    </row>
    <row r="217" ht="21.75" customHeight="1">
      <c r="A217" s="650"/>
      <c r="B217" s="650"/>
      <c r="C217" s="650"/>
      <c r="D217" s="650"/>
      <c r="E217" s="650"/>
      <c r="F217" s="650"/>
      <c r="G217" s="650"/>
      <c r="H217" s="650"/>
      <c r="I217" s="650"/>
      <c r="J217" s="650"/>
      <c r="K217" s="650"/>
      <c r="L217" s="650"/>
      <c r="M217" s="650"/>
      <c r="N217" s="650"/>
      <c r="O217" s="650"/>
      <c r="P217" s="650"/>
      <c r="Q217" s="650"/>
      <c r="R217" s="650"/>
      <c r="S217" s="650"/>
      <c r="T217" s="650"/>
      <c r="U217" s="650"/>
      <c r="V217" s="650"/>
      <c r="W217" s="650"/>
      <c r="X217" s="650"/>
      <c r="Y217" s="650"/>
      <c r="Z217" s="650"/>
      <c r="AA217" s="650"/>
      <c r="AB217" s="650"/>
      <c r="AC217" s="650"/>
      <c r="AD217" s="650"/>
      <c r="AE217" s="650"/>
      <c r="AF217" s="650"/>
      <c r="AG217" s="650"/>
      <c r="AH217" s="650"/>
      <c r="AI217" s="650"/>
      <c r="AJ217" s="650"/>
      <c r="AK217" s="650"/>
      <c r="AL217" s="650"/>
      <c r="AM217" s="650"/>
      <c r="AN217" s="650"/>
      <c r="AO217" s="650"/>
      <c r="AP217" s="650"/>
      <c r="AQ217" s="650"/>
      <c r="AR217" s="650"/>
      <c r="AS217" s="650"/>
      <c r="AT217" s="650"/>
      <c r="AU217" s="650"/>
      <c r="AV217" s="650"/>
      <c r="AW217" s="650"/>
      <c r="AX217" s="650"/>
      <c r="AY217" s="650"/>
    </row>
    <row r="218" ht="21.75" customHeight="1">
      <c r="A218" s="650"/>
      <c r="B218" s="650"/>
      <c r="C218" s="650"/>
      <c r="D218" s="650"/>
      <c r="E218" s="650"/>
      <c r="F218" s="650"/>
      <c r="G218" s="650"/>
      <c r="H218" s="650"/>
      <c r="I218" s="650"/>
      <c r="J218" s="650"/>
      <c r="K218" s="650"/>
      <c r="L218" s="650"/>
      <c r="M218" s="650"/>
      <c r="N218" s="650"/>
      <c r="O218" s="650"/>
      <c r="P218" s="650"/>
      <c r="Q218" s="650"/>
      <c r="R218" s="650"/>
      <c r="S218" s="650"/>
      <c r="T218" s="650"/>
      <c r="U218" s="650"/>
      <c r="V218" s="650"/>
      <c r="W218" s="650"/>
      <c r="X218" s="650"/>
      <c r="Y218" s="650"/>
      <c r="Z218" s="650"/>
      <c r="AA218" s="650"/>
      <c r="AB218" s="650"/>
      <c r="AC218" s="650"/>
      <c r="AD218" s="650"/>
      <c r="AE218" s="650"/>
      <c r="AF218" s="650"/>
      <c r="AG218" s="650"/>
      <c r="AH218" s="650"/>
      <c r="AI218" s="650"/>
      <c r="AJ218" s="650"/>
      <c r="AK218" s="650"/>
      <c r="AL218" s="650"/>
      <c r="AM218" s="650"/>
      <c r="AN218" s="650"/>
      <c r="AO218" s="650"/>
      <c r="AP218" s="650"/>
      <c r="AQ218" s="650"/>
      <c r="AR218" s="650"/>
      <c r="AS218" s="650"/>
      <c r="AT218" s="650"/>
      <c r="AU218" s="650"/>
      <c r="AV218" s="650"/>
      <c r="AW218" s="650"/>
      <c r="AX218" s="650"/>
      <c r="AY218" s="650"/>
    </row>
    <row r="219" ht="21.75" customHeight="1">
      <c r="A219" s="650"/>
      <c r="B219" s="650"/>
      <c r="C219" s="650"/>
      <c r="D219" s="650"/>
      <c r="E219" s="650"/>
      <c r="F219" s="650"/>
      <c r="G219" s="650"/>
      <c r="H219" s="650"/>
      <c r="I219" s="650"/>
      <c r="J219" s="650"/>
      <c r="K219" s="650"/>
      <c r="L219" s="650"/>
      <c r="M219" s="650"/>
      <c r="N219" s="650"/>
      <c r="O219" s="650"/>
      <c r="P219" s="650"/>
      <c r="Q219" s="650"/>
      <c r="R219" s="650"/>
      <c r="S219" s="650"/>
      <c r="T219" s="650"/>
      <c r="U219" s="650"/>
      <c r="V219" s="650"/>
      <c r="W219" s="650"/>
      <c r="X219" s="650"/>
      <c r="Y219" s="650"/>
      <c r="Z219" s="650"/>
      <c r="AA219" s="650"/>
      <c r="AB219" s="650"/>
      <c r="AC219" s="650"/>
      <c r="AD219" s="650"/>
      <c r="AE219" s="650"/>
      <c r="AF219" s="650"/>
      <c r="AG219" s="650"/>
      <c r="AH219" s="650"/>
      <c r="AI219" s="650"/>
      <c r="AJ219" s="650"/>
      <c r="AK219" s="650"/>
      <c r="AL219" s="650"/>
      <c r="AM219" s="650"/>
      <c r="AN219" s="650"/>
      <c r="AO219" s="650"/>
      <c r="AP219" s="650"/>
      <c r="AQ219" s="650"/>
      <c r="AR219" s="650"/>
      <c r="AS219" s="650"/>
      <c r="AT219" s="650"/>
      <c r="AU219" s="650"/>
      <c r="AV219" s="650"/>
      <c r="AW219" s="650"/>
      <c r="AX219" s="650"/>
      <c r="AY219" s="650"/>
    </row>
    <row r="220" ht="21.75" customHeight="1">
      <c r="A220" s="650"/>
      <c r="B220" s="650"/>
      <c r="C220" s="650"/>
      <c r="D220" s="650"/>
      <c r="E220" s="650"/>
      <c r="F220" s="650"/>
      <c r="G220" s="650"/>
      <c r="H220" s="650"/>
      <c r="I220" s="650"/>
      <c r="J220" s="650"/>
      <c r="K220" s="650"/>
      <c r="L220" s="650"/>
      <c r="M220" s="650"/>
      <c r="N220" s="650"/>
      <c r="O220" s="650"/>
      <c r="P220" s="650"/>
      <c r="Q220" s="650"/>
      <c r="R220" s="650"/>
      <c r="S220" s="650"/>
      <c r="T220" s="650"/>
      <c r="U220" s="650"/>
      <c r="V220" s="650"/>
      <c r="W220" s="650"/>
      <c r="X220" s="650"/>
      <c r="Y220" s="650"/>
      <c r="Z220" s="650"/>
      <c r="AA220" s="650"/>
      <c r="AB220" s="650"/>
      <c r="AC220" s="650"/>
      <c r="AD220" s="650"/>
      <c r="AE220" s="650"/>
      <c r="AF220" s="650"/>
      <c r="AG220" s="650"/>
      <c r="AH220" s="650"/>
      <c r="AI220" s="650"/>
      <c r="AJ220" s="650"/>
      <c r="AK220" s="650"/>
      <c r="AL220" s="650"/>
      <c r="AM220" s="650"/>
      <c r="AN220" s="650"/>
      <c r="AO220" s="650"/>
      <c r="AP220" s="650"/>
      <c r="AQ220" s="650"/>
      <c r="AR220" s="650"/>
      <c r="AS220" s="650"/>
      <c r="AT220" s="650"/>
      <c r="AU220" s="650"/>
      <c r="AV220" s="650"/>
      <c r="AW220" s="650"/>
      <c r="AX220" s="650"/>
      <c r="AY220" s="650"/>
    </row>
    <row r="221" ht="21.75" customHeight="1">
      <c r="A221" s="650"/>
      <c r="B221" s="650"/>
      <c r="C221" s="650"/>
      <c r="D221" s="650"/>
      <c r="E221" s="650"/>
      <c r="F221" s="650"/>
      <c r="G221" s="650"/>
      <c r="H221" s="650"/>
      <c r="I221" s="650"/>
      <c r="J221" s="650"/>
      <c r="K221" s="650"/>
      <c r="L221" s="650"/>
      <c r="M221" s="650"/>
      <c r="N221" s="650"/>
      <c r="O221" s="650"/>
      <c r="P221" s="650"/>
      <c r="Q221" s="650"/>
      <c r="R221" s="650"/>
      <c r="S221" s="650"/>
      <c r="T221" s="650"/>
      <c r="U221" s="650"/>
      <c r="V221" s="650"/>
      <c r="W221" s="650"/>
      <c r="X221" s="650"/>
      <c r="Y221" s="650"/>
      <c r="Z221" s="650"/>
      <c r="AA221" s="650"/>
      <c r="AB221" s="650"/>
      <c r="AC221" s="650"/>
      <c r="AD221" s="650"/>
      <c r="AE221" s="650"/>
      <c r="AF221" s="650"/>
      <c r="AG221" s="650"/>
      <c r="AH221" s="650"/>
      <c r="AI221" s="650"/>
      <c r="AJ221" s="650"/>
      <c r="AK221" s="650"/>
      <c r="AL221" s="650"/>
      <c r="AM221" s="650"/>
      <c r="AN221" s="650"/>
      <c r="AO221" s="650"/>
      <c r="AP221" s="650"/>
      <c r="AQ221" s="650"/>
      <c r="AR221" s="650"/>
      <c r="AS221" s="650"/>
      <c r="AT221" s="650"/>
      <c r="AU221" s="650"/>
      <c r="AV221" s="650"/>
      <c r="AW221" s="650"/>
      <c r="AX221" s="650"/>
      <c r="AY221" s="650"/>
    </row>
    <row r="222" ht="21.75" customHeight="1">
      <c r="A222" s="650"/>
      <c r="B222" s="650"/>
      <c r="C222" s="650"/>
      <c r="D222" s="650"/>
      <c r="E222" s="650"/>
      <c r="F222" s="650"/>
      <c r="G222" s="650"/>
      <c r="H222" s="650"/>
      <c r="I222" s="650"/>
      <c r="J222" s="650"/>
      <c r="K222" s="650"/>
      <c r="L222" s="650"/>
      <c r="M222" s="650"/>
      <c r="N222" s="650"/>
      <c r="O222" s="650"/>
      <c r="P222" s="650"/>
      <c r="Q222" s="650"/>
      <c r="R222" s="650"/>
      <c r="S222" s="650"/>
      <c r="T222" s="650"/>
      <c r="U222" s="650"/>
      <c r="V222" s="650"/>
      <c r="W222" s="650"/>
      <c r="X222" s="650"/>
      <c r="Y222" s="650"/>
      <c r="Z222" s="650"/>
      <c r="AA222" s="650"/>
      <c r="AB222" s="650"/>
      <c r="AC222" s="650"/>
      <c r="AD222" s="650"/>
      <c r="AE222" s="650"/>
      <c r="AF222" s="650"/>
      <c r="AG222" s="650"/>
      <c r="AH222" s="650"/>
      <c r="AI222" s="650"/>
      <c r="AJ222" s="650"/>
      <c r="AK222" s="650"/>
      <c r="AL222" s="650"/>
      <c r="AM222" s="650"/>
      <c r="AN222" s="650"/>
      <c r="AO222" s="650"/>
      <c r="AP222" s="650"/>
      <c r="AQ222" s="650"/>
      <c r="AR222" s="650"/>
      <c r="AS222" s="650"/>
      <c r="AT222" s="650"/>
      <c r="AU222" s="650"/>
      <c r="AV222" s="650"/>
      <c r="AW222" s="650"/>
      <c r="AX222" s="650"/>
      <c r="AY222" s="650"/>
    </row>
    <row r="223" ht="21.75" customHeight="1">
      <c r="A223" s="650"/>
      <c r="B223" s="650"/>
      <c r="C223" s="650"/>
      <c r="D223" s="650"/>
      <c r="E223" s="650"/>
      <c r="F223" s="650"/>
      <c r="G223" s="650"/>
      <c r="H223" s="650"/>
      <c r="I223" s="650"/>
      <c r="J223" s="650"/>
      <c r="K223" s="650"/>
      <c r="L223" s="650"/>
      <c r="M223" s="650"/>
      <c r="N223" s="650"/>
      <c r="O223" s="650"/>
      <c r="P223" s="650"/>
      <c r="Q223" s="650"/>
      <c r="R223" s="650"/>
      <c r="S223" s="650"/>
      <c r="T223" s="650"/>
      <c r="U223" s="650"/>
      <c r="V223" s="650"/>
      <c r="W223" s="650"/>
      <c r="X223" s="650"/>
      <c r="Y223" s="650"/>
      <c r="Z223" s="650"/>
      <c r="AA223" s="650"/>
      <c r="AB223" s="650"/>
      <c r="AC223" s="650"/>
      <c r="AD223" s="650"/>
      <c r="AE223" s="650"/>
      <c r="AF223" s="650"/>
      <c r="AG223" s="650"/>
      <c r="AH223" s="650"/>
      <c r="AI223" s="650"/>
      <c r="AJ223" s="650"/>
      <c r="AK223" s="650"/>
      <c r="AL223" s="650"/>
      <c r="AM223" s="650"/>
      <c r="AN223" s="650"/>
      <c r="AO223" s="650"/>
      <c r="AP223" s="650"/>
      <c r="AQ223" s="650"/>
      <c r="AR223" s="650"/>
      <c r="AS223" s="650"/>
      <c r="AT223" s="650"/>
      <c r="AU223" s="650"/>
      <c r="AV223" s="650"/>
      <c r="AW223" s="650"/>
      <c r="AX223" s="650"/>
      <c r="AY223" s="650"/>
    </row>
    <row r="224" ht="21.75" customHeight="1">
      <c r="A224" s="650"/>
      <c r="B224" s="650"/>
      <c r="C224" s="650"/>
      <c r="D224" s="650"/>
      <c r="E224" s="650"/>
      <c r="F224" s="650"/>
      <c r="G224" s="650"/>
      <c r="H224" s="650"/>
      <c r="I224" s="650"/>
      <c r="J224" s="650"/>
      <c r="K224" s="650"/>
      <c r="L224" s="650"/>
      <c r="M224" s="650"/>
      <c r="N224" s="650"/>
      <c r="O224" s="650"/>
      <c r="P224" s="650"/>
      <c r="Q224" s="650"/>
      <c r="R224" s="650"/>
      <c r="S224" s="650"/>
      <c r="T224" s="650"/>
      <c r="U224" s="650"/>
      <c r="V224" s="650"/>
      <c r="W224" s="650"/>
      <c r="X224" s="650"/>
      <c r="Y224" s="650"/>
      <c r="Z224" s="650"/>
      <c r="AA224" s="650"/>
      <c r="AB224" s="650"/>
      <c r="AC224" s="650"/>
      <c r="AD224" s="650"/>
      <c r="AE224" s="650"/>
      <c r="AF224" s="650"/>
      <c r="AG224" s="650"/>
      <c r="AH224" s="650"/>
      <c r="AI224" s="650"/>
      <c r="AJ224" s="650"/>
      <c r="AK224" s="650"/>
      <c r="AL224" s="650"/>
      <c r="AM224" s="650"/>
      <c r="AN224" s="650"/>
      <c r="AO224" s="650"/>
      <c r="AP224" s="650"/>
      <c r="AQ224" s="650"/>
      <c r="AR224" s="650"/>
      <c r="AS224" s="650"/>
      <c r="AT224" s="650"/>
      <c r="AU224" s="650"/>
      <c r="AV224" s="650"/>
      <c r="AW224" s="650"/>
      <c r="AX224" s="650"/>
      <c r="AY224" s="650"/>
    </row>
    <row r="225" ht="21.75" customHeight="1">
      <c r="A225" s="650"/>
      <c r="B225" s="650"/>
      <c r="C225" s="650"/>
      <c r="D225" s="650"/>
      <c r="E225" s="650"/>
      <c r="F225" s="650"/>
      <c r="G225" s="650"/>
      <c r="H225" s="650"/>
      <c r="I225" s="650"/>
      <c r="J225" s="650"/>
      <c r="K225" s="650"/>
      <c r="L225" s="650"/>
      <c r="M225" s="650"/>
      <c r="N225" s="650"/>
      <c r="O225" s="650"/>
      <c r="P225" s="650"/>
      <c r="Q225" s="650"/>
      <c r="R225" s="650"/>
      <c r="S225" s="650"/>
      <c r="T225" s="650"/>
      <c r="U225" s="650"/>
      <c r="V225" s="650"/>
      <c r="W225" s="650"/>
      <c r="X225" s="650"/>
      <c r="Y225" s="650"/>
      <c r="Z225" s="650"/>
      <c r="AA225" s="650"/>
      <c r="AB225" s="650"/>
      <c r="AC225" s="650"/>
      <c r="AD225" s="650"/>
      <c r="AE225" s="650"/>
      <c r="AF225" s="650"/>
      <c r="AG225" s="650"/>
      <c r="AH225" s="650"/>
      <c r="AI225" s="650"/>
      <c r="AJ225" s="650"/>
      <c r="AK225" s="650"/>
      <c r="AL225" s="650"/>
      <c r="AM225" s="650"/>
      <c r="AN225" s="650"/>
      <c r="AO225" s="650"/>
      <c r="AP225" s="650"/>
      <c r="AQ225" s="650"/>
      <c r="AR225" s="650"/>
      <c r="AS225" s="650"/>
      <c r="AT225" s="650"/>
      <c r="AU225" s="650"/>
      <c r="AV225" s="650"/>
      <c r="AW225" s="650"/>
      <c r="AX225" s="650"/>
      <c r="AY225" s="650"/>
    </row>
    <row r="226" ht="21.75" customHeight="1">
      <c r="A226" s="650"/>
      <c r="B226" s="650"/>
      <c r="C226" s="650"/>
      <c r="D226" s="650"/>
      <c r="E226" s="650"/>
      <c r="F226" s="650"/>
      <c r="G226" s="650"/>
      <c r="H226" s="650"/>
      <c r="I226" s="650"/>
      <c r="J226" s="650"/>
      <c r="K226" s="650"/>
      <c r="L226" s="650"/>
      <c r="M226" s="650"/>
      <c r="N226" s="650"/>
      <c r="O226" s="650"/>
      <c r="P226" s="650"/>
      <c r="Q226" s="650"/>
      <c r="R226" s="650"/>
      <c r="S226" s="650"/>
      <c r="T226" s="650"/>
      <c r="U226" s="650"/>
      <c r="V226" s="650"/>
      <c r="W226" s="650"/>
      <c r="X226" s="650"/>
      <c r="Y226" s="650"/>
      <c r="Z226" s="650"/>
      <c r="AA226" s="650"/>
      <c r="AB226" s="650"/>
      <c r="AC226" s="650"/>
      <c r="AD226" s="650"/>
      <c r="AE226" s="650"/>
      <c r="AF226" s="650"/>
      <c r="AG226" s="650"/>
      <c r="AH226" s="650"/>
      <c r="AI226" s="650"/>
      <c r="AJ226" s="650"/>
      <c r="AK226" s="650"/>
      <c r="AL226" s="650"/>
      <c r="AM226" s="650"/>
      <c r="AN226" s="650"/>
      <c r="AO226" s="650"/>
      <c r="AP226" s="650"/>
      <c r="AQ226" s="650"/>
      <c r="AR226" s="650"/>
      <c r="AS226" s="650"/>
      <c r="AT226" s="650"/>
      <c r="AU226" s="650"/>
      <c r="AV226" s="650"/>
      <c r="AW226" s="650"/>
      <c r="AX226" s="650"/>
      <c r="AY226" s="650"/>
    </row>
    <row r="227" ht="21.75" customHeight="1">
      <c r="A227" s="650"/>
      <c r="B227" s="650"/>
      <c r="C227" s="650"/>
      <c r="D227" s="650"/>
      <c r="E227" s="650"/>
      <c r="F227" s="650"/>
      <c r="G227" s="650"/>
      <c r="H227" s="650"/>
      <c r="I227" s="650"/>
      <c r="J227" s="650"/>
      <c r="K227" s="650"/>
      <c r="L227" s="650"/>
      <c r="M227" s="650"/>
      <c r="N227" s="650"/>
      <c r="O227" s="650"/>
      <c r="P227" s="650"/>
      <c r="Q227" s="650"/>
      <c r="R227" s="650"/>
      <c r="S227" s="650"/>
      <c r="T227" s="650"/>
      <c r="U227" s="650"/>
      <c r="V227" s="650"/>
      <c r="W227" s="650"/>
      <c r="X227" s="650"/>
      <c r="Y227" s="650"/>
      <c r="Z227" s="650"/>
      <c r="AA227" s="650"/>
      <c r="AB227" s="650"/>
      <c r="AC227" s="650"/>
      <c r="AD227" s="650"/>
      <c r="AE227" s="650"/>
      <c r="AF227" s="650"/>
      <c r="AG227" s="650"/>
      <c r="AH227" s="650"/>
      <c r="AI227" s="650"/>
      <c r="AJ227" s="650"/>
      <c r="AK227" s="650"/>
      <c r="AL227" s="650"/>
      <c r="AM227" s="650"/>
      <c r="AN227" s="650"/>
      <c r="AO227" s="650"/>
      <c r="AP227" s="650"/>
      <c r="AQ227" s="650"/>
      <c r="AR227" s="650"/>
      <c r="AS227" s="650"/>
      <c r="AT227" s="650"/>
      <c r="AU227" s="650"/>
      <c r="AV227" s="650"/>
      <c r="AW227" s="650"/>
      <c r="AX227" s="650"/>
      <c r="AY227" s="650"/>
    </row>
    <row r="228" ht="21.75" customHeight="1">
      <c r="A228" s="650"/>
      <c r="B228" s="650"/>
      <c r="C228" s="650"/>
      <c r="D228" s="650"/>
      <c r="E228" s="650"/>
      <c r="F228" s="650"/>
      <c r="G228" s="650"/>
      <c r="H228" s="650"/>
      <c r="I228" s="650"/>
      <c r="J228" s="650"/>
      <c r="K228" s="650"/>
      <c r="L228" s="650"/>
      <c r="M228" s="650"/>
      <c r="N228" s="650"/>
      <c r="O228" s="650"/>
      <c r="P228" s="650"/>
      <c r="Q228" s="650"/>
      <c r="R228" s="650"/>
      <c r="S228" s="650"/>
      <c r="T228" s="650"/>
      <c r="U228" s="650"/>
      <c r="V228" s="650"/>
      <c r="W228" s="650"/>
      <c r="X228" s="650"/>
      <c r="Y228" s="650"/>
      <c r="Z228" s="650"/>
      <c r="AA228" s="650"/>
      <c r="AB228" s="650"/>
      <c r="AC228" s="650"/>
      <c r="AD228" s="650"/>
      <c r="AE228" s="650"/>
      <c r="AF228" s="650"/>
      <c r="AG228" s="650"/>
      <c r="AH228" s="650"/>
      <c r="AI228" s="650"/>
      <c r="AJ228" s="650"/>
      <c r="AK228" s="650"/>
      <c r="AL228" s="650"/>
      <c r="AM228" s="650"/>
      <c r="AN228" s="650"/>
      <c r="AO228" s="650"/>
      <c r="AP228" s="650"/>
      <c r="AQ228" s="650"/>
      <c r="AR228" s="650"/>
      <c r="AS228" s="650"/>
      <c r="AT228" s="650"/>
      <c r="AU228" s="650"/>
      <c r="AV228" s="650"/>
      <c r="AW228" s="650"/>
      <c r="AX228" s="650"/>
      <c r="AY228" s="650"/>
    </row>
    <row r="229" ht="21.75" customHeight="1">
      <c r="A229" s="650"/>
      <c r="B229" s="650"/>
      <c r="C229" s="650"/>
      <c r="D229" s="650"/>
      <c r="E229" s="650"/>
      <c r="F229" s="650"/>
      <c r="G229" s="650"/>
      <c r="H229" s="650"/>
      <c r="I229" s="650"/>
      <c r="J229" s="650"/>
      <c r="K229" s="650"/>
      <c r="L229" s="650"/>
      <c r="M229" s="650"/>
      <c r="N229" s="650"/>
      <c r="O229" s="650"/>
      <c r="P229" s="650"/>
      <c r="Q229" s="650"/>
      <c r="R229" s="650"/>
      <c r="S229" s="650"/>
      <c r="T229" s="650"/>
      <c r="U229" s="650"/>
      <c r="V229" s="650"/>
      <c r="W229" s="650"/>
      <c r="X229" s="650"/>
      <c r="Y229" s="650"/>
      <c r="Z229" s="650"/>
      <c r="AA229" s="650"/>
      <c r="AB229" s="650"/>
      <c r="AC229" s="650"/>
      <c r="AD229" s="650"/>
      <c r="AE229" s="650"/>
      <c r="AF229" s="650"/>
      <c r="AG229" s="650"/>
      <c r="AH229" s="650"/>
      <c r="AI229" s="650"/>
      <c r="AJ229" s="650"/>
      <c r="AK229" s="650"/>
      <c r="AL229" s="650"/>
      <c r="AM229" s="650"/>
      <c r="AN229" s="650"/>
      <c r="AO229" s="650"/>
      <c r="AP229" s="650"/>
      <c r="AQ229" s="650"/>
      <c r="AR229" s="650"/>
      <c r="AS229" s="650"/>
      <c r="AT229" s="650"/>
      <c r="AU229" s="650"/>
      <c r="AV229" s="650"/>
      <c r="AW229" s="650"/>
      <c r="AX229" s="650"/>
      <c r="AY229" s="650"/>
    </row>
    <row r="230" ht="21.75" customHeight="1">
      <c r="A230" s="650"/>
      <c r="B230" s="650"/>
      <c r="C230" s="650"/>
      <c r="D230" s="650"/>
      <c r="E230" s="650"/>
      <c r="F230" s="650"/>
      <c r="G230" s="650"/>
      <c r="H230" s="650"/>
      <c r="I230" s="650"/>
      <c r="J230" s="650"/>
      <c r="K230" s="650"/>
      <c r="L230" s="650"/>
      <c r="M230" s="650"/>
      <c r="N230" s="650"/>
      <c r="O230" s="650"/>
      <c r="P230" s="650"/>
      <c r="Q230" s="650"/>
      <c r="R230" s="650"/>
      <c r="S230" s="650"/>
      <c r="T230" s="650"/>
      <c r="U230" s="650"/>
      <c r="V230" s="650"/>
      <c r="W230" s="650"/>
      <c r="X230" s="650"/>
      <c r="Y230" s="650"/>
      <c r="Z230" s="650"/>
      <c r="AA230" s="650"/>
      <c r="AB230" s="650"/>
      <c r="AC230" s="650"/>
      <c r="AD230" s="650"/>
      <c r="AE230" s="650"/>
      <c r="AF230" s="650"/>
      <c r="AG230" s="650"/>
      <c r="AH230" s="650"/>
      <c r="AI230" s="650"/>
      <c r="AJ230" s="650"/>
      <c r="AK230" s="650"/>
      <c r="AL230" s="650"/>
      <c r="AM230" s="650"/>
      <c r="AN230" s="650"/>
      <c r="AO230" s="650"/>
      <c r="AP230" s="650"/>
      <c r="AQ230" s="650"/>
      <c r="AR230" s="650"/>
      <c r="AS230" s="650"/>
      <c r="AT230" s="650"/>
      <c r="AU230" s="650"/>
      <c r="AV230" s="650"/>
      <c r="AW230" s="650"/>
      <c r="AX230" s="650"/>
      <c r="AY230" s="650"/>
    </row>
    <row r="231" ht="21.75" customHeight="1">
      <c r="A231" s="650"/>
      <c r="B231" s="650"/>
      <c r="C231" s="650"/>
      <c r="D231" s="650"/>
      <c r="E231" s="650"/>
      <c r="F231" s="650"/>
      <c r="G231" s="650"/>
      <c r="H231" s="650"/>
      <c r="I231" s="650"/>
      <c r="J231" s="650"/>
      <c r="K231" s="650"/>
      <c r="L231" s="650"/>
      <c r="M231" s="650"/>
      <c r="N231" s="650"/>
      <c r="O231" s="650"/>
      <c r="P231" s="650"/>
      <c r="Q231" s="650"/>
      <c r="R231" s="650"/>
      <c r="S231" s="650"/>
      <c r="T231" s="650"/>
      <c r="U231" s="650"/>
      <c r="V231" s="650"/>
      <c r="W231" s="650"/>
      <c r="X231" s="650"/>
      <c r="Y231" s="650"/>
      <c r="Z231" s="650"/>
      <c r="AA231" s="650"/>
      <c r="AB231" s="650"/>
      <c r="AC231" s="650"/>
      <c r="AD231" s="650"/>
      <c r="AE231" s="650"/>
      <c r="AF231" s="650"/>
      <c r="AG231" s="650"/>
      <c r="AH231" s="650"/>
      <c r="AI231" s="650"/>
      <c r="AJ231" s="650"/>
      <c r="AK231" s="650"/>
      <c r="AL231" s="650"/>
      <c r="AM231" s="650"/>
      <c r="AN231" s="650"/>
      <c r="AO231" s="650"/>
      <c r="AP231" s="650"/>
      <c r="AQ231" s="650"/>
      <c r="AR231" s="650"/>
      <c r="AS231" s="650"/>
      <c r="AT231" s="650"/>
      <c r="AU231" s="650"/>
      <c r="AV231" s="650"/>
      <c r="AW231" s="650"/>
      <c r="AX231" s="650"/>
      <c r="AY231" s="650"/>
    </row>
    <row r="232" ht="21.75" customHeight="1">
      <c r="A232" s="650"/>
      <c r="B232" s="650"/>
      <c r="C232" s="650"/>
      <c r="D232" s="650"/>
      <c r="E232" s="650"/>
      <c r="F232" s="650"/>
      <c r="G232" s="650"/>
      <c r="H232" s="650"/>
      <c r="I232" s="650"/>
      <c r="J232" s="650"/>
      <c r="K232" s="650"/>
      <c r="L232" s="650"/>
      <c r="M232" s="650"/>
      <c r="N232" s="650"/>
      <c r="O232" s="650"/>
      <c r="P232" s="650"/>
      <c r="Q232" s="650"/>
      <c r="R232" s="650"/>
      <c r="S232" s="650"/>
      <c r="T232" s="650"/>
      <c r="U232" s="650"/>
      <c r="V232" s="650"/>
      <c r="W232" s="650"/>
      <c r="X232" s="650"/>
      <c r="Y232" s="650"/>
      <c r="Z232" s="650"/>
      <c r="AA232" s="650"/>
      <c r="AB232" s="650"/>
      <c r="AC232" s="650"/>
      <c r="AD232" s="650"/>
      <c r="AE232" s="650"/>
      <c r="AF232" s="650"/>
      <c r="AG232" s="650"/>
      <c r="AH232" s="650"/>
      <c r="AI232" s="650"/>
      <c r="AJ232" s="650"/>
      <c r="AK232" s="650"/>
      <c r="AL232" s="650"/>
      <c r="AM232" s="650"/>
      <c r="AN232" s="650"/>
      <c r="AO232" s="650"/>
      <c r="AP232" s="650"/>
      <c r="AQ232" s="650"/>
      <c r="AR232" s="650"/>
      <c r="AS232" s="650"/>
      <c r="AT232" s="650"/>
      <c r="AU232" s="650"/>
      <c r="AV232" s="650"/>
      <c r="AW232" s="650"/>
      <c r="AX232" s="650"/>
      <c r="AY232" s="650"/>
    </row>
    <row r="233" ht="21.75" customHeight="1">
      <c r="A233" s="650"/>
      <c r="B233" s="650"/>
      <c r="C233" s="650"/>
      <c r="D233" s="650"/>
      <c r="E233" s="650"/>
      <c r="F233" s="650"/>
      <c r="G233" s="650"/>
      <c r="H233" s="650"/>
      <c r="I233" s="650"/>
      <c r="J233" s="650"/>
      <c r="K233" s="650"/>
      <c r="L233" s="650"/>
      <c r="M233" s="650"/>
      <c r="N233" s="650"/>
      <c r="O233" s="650"/>
      <c r="P233" s="650"/>
      <c r="Q233" s="650"/>
      <c r="R233" s="650"/>
      <c r="S233" s="650"/>
      <c r="T233" s="650"/>
      <c r="U233" s="650"/>
      <c r="V233" s="650"/>
      <c r="W233" s="650"/>
      <c r="X233" s="650"/>
      <c r="Y233" s="650"/>
      <c r="Z233" s="650"/>
      <c r="AA233" s="650"/>
      <c r="AB233" s="650"/>
      <c r="AC233" s="650"/>
      <c r="AD233" s="650"/>
      <c r="AE233" s="650"/>
      <c r="AF233" s="650"/>
      <c r="AG233" s="650"/>
      <c r="AH233" s="650"/>
      <c r="AI233" s="650"/>
      <c r="AJ233" s="650"/>
      <c r="AK233" s="650"/>
      <c r="AL233" s="650"/>
      <c r="AM233" s="650"/>
      <c r="AN233" s="650"/>
      <c r="AO233" s="650"/>
      <c r="AP233" s="650"/>
      <c r="AQ233" s="650"/>
      <c r="AR233" s="650"/>
      <c r="AS233" s="650"/>
      <c r="AT233" s="650"/>
      <c r="AU233" s="650"/>
      <c r="AV233" s="650"/>
      <c r="AW233" s="650"/>
      <c r="AX233" s="650"/>
      <c r="AY233" s="650"/>
    </row>
    <row r="234" ht="21.75" customHeight="1">
      <c r="A234" s="650"/>
      <c r="B234" s="650"/>
      <c r="C234" s="650"/>
      <c r="D234" s="650"/>
      <c r="E234" s="650"/>
      <c r="F234" s="650"/>
      <c r="G234" s="650"/>
      <c r="H234" s="650"/>
      <c r="I234" s="650"/>
      <c r="J234" s="650"/>
      <c r="K234" s="650"/>
      <c r="L234" s="650"/>
      <c r="M234" s="650"/>
      <c r="N234" s="650"/>
      <c r="O234" s="650"/>
      <c r="P234" s="650"/>
      <c r="Q234" s="650"/>
      <c r="R234" s="650"/>
      <c r="S234" s="650"/>
      <c r="T234" s="650"/>
      <c r="U234" s="650"/>
      <c r="V234" s="650"/>
      <c r="W234" s="650"/>
      <c r="X234" s="650"/>
      <c r="Y234" s="650"/>
      <c r="Z234" s="650"/>
      <c r="AA234" s="650"/>
      <c r="AB234" s="650"/>
      <c r="AC234" s="650"/>
      <c r="AD234" s="650"/>
      <c r="AE234" s="650"/>
      <c r="AF234" s="650"/>
      <c r="AG234" s="650"/>
      <c r="AH234" s="650"/>
      <c r="AI234" s="650"/>
      <c r="AJ234" s="650"/>
      <c r="AK234" s="650"/>
      <c r="AL234" s="650"/>
      <c r="AM234" s="650"/>
      <c r="AN234" s="650"/>
      <c r="AO234" s="650"/>
      <c r="AP234" s="650"/>
      <c r="AQ234" s="650"/>
      <c r="AR234" s="650"/>
      <c r="AS234" s="650"/>
      <c r="AT234" s="650"/>
      <c r="AU234" s="650"/>
      <c r="AV234" s="650"/>
      <c r="AW234" s="650"/>
      <c r="AX234" s="650"/>
      <c r="AY234" s="650"/>
    </row>
    <row r="235" ht="21.75" customHeight="1">
      <c r="A235" s="650"/>
      <c r="B235" s="650"/>
      <c r="C235" s="650"/>
      <c r="D235" s="650"/>
      <c r="E235" s="650"/>
      <c r="F235" s="650"/>
      <c r="G235" s="650"/>
      <c r="H235" s="650"/>
      <c r="I235" s="650"/>
      <c r="J235" s="650"/>
      <c r="K235" s="650"/>
      <c r="L235" s="650"/>
      <c r="M235" s="650"/>
      <c r="N235" s="650"/>
      <c r="O235" s="650"/>
      <c r="P235" s="650"/>
      <c r="Q235" s="650"/>
      <c r="R235" s="650"/>
      <c r="S235" s="650"/>
      <c r="T235" s="650"/>
      <c r="U235" s="650"/>
      <c r="V235" s="650"/>
      <c r="W235" s="650"/>
      <c r="X235" s="650"/>
      <c r="Y235" s="650"/>
      <c r="Z235" s="650"/>
      <c r="AA235" s="650"/>
      <c r="AB235" s="650"/>
      <c r="AC235" s="650"/>
      <c r="AD235" s="650"/>
      <c r="AE235" s="650"/>
      <c r="AF235" s="650"/>
      <c r="AG235" s="650"/>
      <c r="AH235" s="650"/>
      <c r="AI235" s="650"/>
      <c r="AJ235" s="650"/>
      <c r="AK235" s="650"/>
      <c r="AL235" s="650"/>
      <c r="AM235" s="650"/>
      <c r="AN235" s="650"/>
      <c r="AO235" s="650"/>
      <c r="AP235" s="650"/>
      <c r="AQ235" s="650"/>
      <c r="AR235" s="650"/>
      <c r="AS235" s="650"/>
      <c r="AT235" s="650"/>
      <c r="AU235" s="650"/>
      <c r="AV235" s="650"/>
      <c r="AW235" s="650"/>
      <c r="AX235" s="650"/>
      <c r="AY235" s="650"/>
    </row>
    <row r="236" ht="21.75" customHeight="1">
      <c r="A236" s="650"/>
      <c r="B236" s="650"/>
      <c r="C236" s="650"/>
      <c r="D236" s="650"/>
      <c r="E236" s="650"/>
      <c r="F236" s="650"/>
      <c r="G236" s="650"/>
      <c r="H236" s="650"/>
      <c r="I236" s="650"/>
      <c r="J236" s="650"/>
      <c r="K236" s="650"/>
      <c r="L236" s="650"/>
      <c r="M236" s="650"/>
      <c r="N236" s="650"/>
      <c r="O236" s="650"/>
      <c r="P236" s="650"/>
      <c r="Q236" s="650"/>
      <c r="R236" s="650"/>
      <c r="S236" s="650"/>
      <c r="T236" s="650"/>
      <c r="U236" s="650"/>
      <c r="V236" s="650"/>
      <c r="W236" s="650"/>
      <c r="X236" s="650"/>
      <c r="Y236" s="650"/>
      <c r="Z236" s="650"/>
      <c r="AA236" s="650"/>
      <c r="AB236" s="650"/>
      <c r="AC236" s="650"/>
      <c r="AD236" s="650"/>
      <c r="AE236" s="650"/>
      <c r="AF236" s="650"/>
      <c r="AG236" s="650"/>
      <c r="AH236" s="650"/>
      <c r="AI236" s="650"/>
      <c r="AJ236" s="650"/>
      <c r="AK236" s="650"/>
      <c r="AL236" s="650"/>
      <c r="AM236" s="650"/>
      <c r="AN236" s="650"/>
      <c r="AO236" s="650"/>
      <c r="AP236" s="650"/>
      <c r="AQ236" s="650"/>
      <c r="AR236" s="650"/>
      <c r="AS236" s="650"/>
      <c r="AT236" s="650"/>
      <c r="AU236" s="650"/>
      <c r="AV236" s="650"/>
      <c r="AW236" s="650"/>
      <c r="AX236" s="650"/>
      <c r="AY236" s="650"/>
    </row>
    <row r="237" ht="21.75" customHeight="1">
      <c r="A237" s="650"/>
      <c r="B237" s="650"/>
      <c r="C237" s="650"/>
      <c r="D237" s="650"/>
      <c r="E237" s="650"/>
      <c r="F237" s="650"/>
      <c r="G237" s="650"/>
      <c r="H237" s="650"/>
      <c r="I237" s="650"/>
      <c r="J237" s="650"/>
      <c r="K237" s="650"/>
      <c r="L237" s="650"/>
      <c r="M237" s="650"/>
      <c r="N237" s="650"/>
      <c r="O237" s="650"/>
      <c r="P237" s="650"/>
      <c r="Q237" s="650"/>
      <c r="R237" s="650"/>
      <c r="S237" s="650"/>
      <c r="T237" s="650"/>
      <c r="U237" s="650"/>
      <c r="V237" s="650"/>
      <c r="W237" s="650"/>
      <c r="X237" s="650"/>
      <c r="Y237" s="650"/>
      <c r="Z237" s="650"/>
      <c r="AA237" s="650"/>
      <c r="AB237" s="650"/>
      <c r="AC237" s="650"/>
      <c r="AD237" s="650"/>
      <c r="AE237" s="650"/>
      <c r="AF237" s="650"/>
      <c r="AG237" s="650"/>
      <c r="AH237" s="650"/>
      <c r="AI237" s="650"/>
      <c r="AJ237" s="650"/>
      <c r="AK237" s="650"/>
      <c r="AL237" s="650"/>
      <c r="AM237" s="650"/>
      <c r="AN237" s="650"/>
      <c r="AO237" s="650"/>
      <c r="AP237" s="650"/>
      <c r="AQ237" s="650"/>
      <c r="AR237" s="650"/>
      <c r="AS237" s="650"/>
      <c r="AT237" s="650"/>
      <c r="AU237" s="650"/>
      <c r="AV237" s="650"/>
      <c r="AW237" s="650"/>
      <c r="AX237" s="650"/>
      <c r="AY237" s="650"/>
    </row>
    <row r="238" ht="21.75" customHeight="1">
      <c r="A238" s="650"/>
      <c r="B238" s="650"/>
      <c r="C238" s="650"/>
      <c r="D238" s="650"/>
      <c r="E238" s="650"/>
      <c r="F238" s="650"/>
      <c r="G238" s="650"/>
      <c r="H238" s="650"/>
      <c r="I238" s="650"/>
      <c r="J238" s="650"/>
      <c r="K238" s="650"/>
      <c r="L238" s="650"/>
      <c r="M238" s="650"/>
      <c r="N238" s="650"/>
      <c r="O238" s="650"/>
      <c r="P238" s="650"/>
      <c r="Q238" s="650"/>
      <c r="R238" s="650"/>
      <c r="S238" s="650"/>
      <c r="T238" s="650"/>
      <c r="U238" s="650"/>
      <c r="V238" s="650"/>
      <c r="W238" s="650"/>
      <c r="X238" s="650"/>
      <c r="Y238" s="650"/>
      <c r="Z238" s="650"/>
      <c r="AA238" s="650"/>
      <c r="AB238" s="650"/>
      <c r="AC238" s="650"/>
      <c r="AD238" s="650"/>
      <c r="AE238" s="650"/>
      <c r="AF238" s="650"/>
      <c r="AG238" s="650"/>
      <c r="AH238" s="650"/>
      <c r="AI238" s="650"/>
      <c r="AJ238" s="650"/>
      <c r="AK238" s="650"/>
      <c r="AL238" s="650"/>
      <c r="AM238" s="650"/>
      <c r="AN238" s="650"/>
      <c r="AO238" s="650"/>
      <c r="AP238" s="650"/>
      <c r="AQ238" s="650"/>
      <c r="AR238" s="650"/>
      <c r="AS238" s="650"/>
      <c r="AT238" s="650"/>
      <c r="AU238" s="650"/>
      <c r="AV238" s="650"/>
      <c r="AW238" s="650"/>
      <c r="AX238" s="650"/>
      <c r="AY238" s="650"/>
    </row>
    <row r="239" ht="21.75" customHeight="1">
      <c r="A239" s="650"/>
      <c r="B239" s="650"/>
      <c r="C239" s="650"/>
      <c r="D239" s="650"/>
      <c r="E239" s="650"/>
      <c r="F239" s="650"/>
      <c r="G239" s="650"/>
      <c r="H239" s="650"/>
      <c r="I239" s="650"/>
      <c r="J239" s="650"/>
      <c r="K239" s="650"/>
      <c r="L239" s="650"/>
      <c r="M239" s="650"/>
      <c r="N239" s="650"/>
      <c r="O239" s="650"/>
      <c r="P239" s="650"/>
      <c r="Q239" s="650"/>
      <c r="R239" s="650"/>
      <c r="S239" s="650"/>
      <c r="T239" s="650"/>
      <c r="U239" s="650"/>
      <c r="V239" s="650"/>
      <c r="W239" s="650"/>
      <c r="X239" s="650"/>
      <c r="Y239" s="650"/>
      <c r="Z239" s="650"/>
      <c r="AA239" s="650"/>
      <c r="AB239" s="650"/>
      <c r="AC239" s="650"/>
      <c r="AD239" s="650"/>
      <c r="AE239" s="650"/>
      <c r="AF239" s="650"/>
      <c r="AG239" s="650"/>
      <c r="AH239" s="650"/>
      <c r="AI239" s="650"/>
      <c r="AJ239" s="650"/>
      <c r="AK239" s="650"/>
      <c r="AL239" s="650"/>
      <c r="AM239" s="650"/>
      <c r="AN239" s="650"/>
      <c r="AO239" s="650"/>
      <c r="AP239" s="650"/>
      <c r="AQ239" s="650"/>
      <c r="AR239" s="650"/>
      <c r="AS239" s="650"/>
      <c r="AT239" s="650"/>
      <c r="AU239" s="650"/>
      <c r="AV239" s="650"/>
      <c r="AW239" s="650"/>
      <c r="AX239" s="650"/>
      <c r="AY239" s="650"/>
    </row>
    <row r="240" ht="21.75" customHeight="1">
      <c r="A240" s="650"/>
      <c r="B240" s="650"/>
      <c r="C240" s="650"/>
      <c r="D240" s="650"/>
      <c r="E240" s="650"/>
      <c r="F240" s="650"/>
      <c r="G240" s="650"/>
      <c r="H240" s="650"/>
      <c r="I240" s="650"/>
      <c r="J240" s="650"/>
      <c r="K240" s="650"/>
      <c r="L240" s="650"/>
      <c r="M240" s="650"/>
      <c r="N240" s="650"/>
      <c r="O240" s="650"/>
      <c r="P240" s="650"/>
      <c r="Q240" s="650"/>
      <c r="R240" s="650"/>
      <c r="S240" s="650"/>
      <c r="T240" s="650"/>
      <c r="U240" s="650"/>
      <c r="V240" s="650"/>
      <c r="W240" s="650"/>
      <c r="X240" s="650"/>
      <c r="Y240" s="650"/>
      <c r="Z240" s="650"/>
      <c r="AA240" s="650"/>
      <c r="AB240" s="650"/>
      <c r="AC240" s="650"/>
      <c r="AD240" s="650"/>
      <c r="AE240" s="650"/>
      <c r="AF240" s="650"/>
      <c r="AG240" s="650"/>
      <c r="AH240" s="650"/>
      <c r="AI240" s="650"/>
      <c r="AJ240" s="650"/>
      <c r="AK240" s="650"/>
      <c r="AL240" s="650"/>
      <c r="AM240" s="650"/>
      <c r="AN240" s="650"/>
      <c r="AO240" s="650"/>
      <c r="AP240" s="650"/>
      <c r="AQ240" s="650"/>
      <c r="AR240" s="650"/>
      <c r="AS240" s="650"/>
      <c r="AT240" s="650"/>
      <c r="AU240" s="650"/>
      <c r="AV240" s="650"/>
      <c r="AW240" s="650"/>
      <c r="AX240" s="650"/>
      <c r="AY240" s="650"/>
    </row>
    <row r="241" ht="21.75" customHeight="1">
      <c r="A241" s="650"/>
      <c r="B241" s="650"/>
      <c r="C241" s="650"/>
      <c r="D241" s="650"/>
      <c r="E241" s="650"/>
      <c r="F241" s="650"/>
      <c r="G241" s="650"/>
      <c r="H241" s="650"/>
      <c r="I241" s="650"/>
      <c r="J241" s="650"/>
      <c r="K241" s="650"/>
      <c r="L241" s="650"/>
      <c r="M241" s="650"/>
      <c r="N241" s="650"/>
      <c r="O241" s="650"/>
      <c r="P241" s="650"/>
      <c r="Q241" s="650"/>
      <c r="R241" s="650"/>
      <c r="S241" s="650"/>
      <c r="T241" s="650"/>
      <c r="U241" s="650"/>
      <c r="V241" s="650"/>
      <c r="W241" s="650"/>
      <c r="X241" s="650"/>
      <c r="Y241" s="650"/>
      <c r="Z241" s="650"/>
      <c r="AA241" s="650"/>
      <c r="AB241" s="650"/>
      <c r="AC241" s="650"/>
      <c r="AD241" s="650"/>
      <c r="AE241" s="650"/>
      <c r="AF241" s="650"/>
      <c r="AG241" s="650"/>
      <c r="AH241" s="650"/>
      <c r="AI241" s="650"/>
      <c r="AJ241" s="650"/>
      <c r="AK241" s="650"/>
      <c r="AL241" s="650"/>
      <c r="AM241" s="650"/>
      <c r="AN241" s="650"/>
      <c r="AO241" s="650"/>
      <c r="AP241" s="650"/>
      <c r="AQ241" s="650"/>
      <c r="AR241" s="650"/>
      <c r="AS241" s="650"/>
      <c r="AT241" s="650"/>
      <c r="AU241" s="650"/>
      <c r="AV241" s="650"/>
      <c r="AW241" s="650"/>
      <c r="AX241" s="650"/>
      <c r="AY241" s="650"/>
    </row>
    <row r="242" ht="21.75" customHeight="1">
      <c r="A242" s="650"/>
      <c r="B242" s="650"/>
      <c r="C242" s="650"/>
      <c r="D242" s="650"/>
      <c r="E242" s="650"/>
      <c r="F242" s="650"/>
      <c r="G242" s="650"/>
      <c r="H242" s="650"/>
      <c r="I242" s="650"/>
      <c r="J242" s="650"/>
      <c r="K242" s="650"/>
      <c r="L242" s="650"/>
      <c r="M242" s="650"/>
      <c r="N242" s="650"/>
      <c r="O242" s="650"/>
      <c r="P242" s="650"/>
      <c r="Q242" s="650"/>
      <c r="R242" s="650"/>
      <c r="S242" s="650"/>
      <c r="T242" s="650"/>
      <c r="U242" s="650"/>
      <c r="V242" s="650"/>
      <c r="W242" s="650"/>
      <c r="X242" s="650"/>
      <c r="Y242" s="650"/>
      <c r="Z242" s="650"/>
      <c r="AA242" s="650"/>
      <c r="AB242" s="650"/>
      <c r="AC242" s="650"/>
      <c r="AD242" s="650"/>
      <c r="AE242" s="650"/>
      <c r="AF242" s="650"/>
      <c r="AG242" s="650"/>
      <c r="AH242" s="650"/>
      <c r="AI242" s="650"/>
      <c r="AJ242" s="650"/>
      <c r="AK242" s="650"/>
      <c r="AL242" s="650"/>
      <c r="AM242" s="650"/>
      <c r="AN242" s="650"/>
      <c r="AO242" s="650"/>
      <c r="AP242" s="650"/>
      <c r="AQ242" s="650"/>
      <c r="AR242" s="650"/>
      <c r="AS242" s="650"/>
      <c r="AT242" s="650"/>
      <c r="AU242" s="650"/>
      <c r="AV242" s="650"/>
      <c r="AW242" s="650"/>
      <c r="AX242" s="650"/>
      <c r="AY242" s="650"/>
    </row>
    <row r="243" ht="21.75" customHeight="1">
      <c r="A243" s="650"/>
      <c r="B243" s="650"/>
      <c r="C243" s="650"/>
      <c r="D243" s="650"/>
      <c r="E243" s="650"/>
      <c r="F243" s="650"/>
      <c r="G243" s="650"/>
      <c r="H243" s="650"/>
      <c r="I243" s="650"/>
      <c r="J243" s="650"/>
      <c r="K243" s="650"/>
      <c r="L243" s="650"/>
      <c r="M243" s="650"/>
      <c r="N243" s="650"/>
      <c r="O243" s="650"/>
      <c r="P243" s="650"/>
      <c r="Q243" s="650"/>
      <c r="R243" s="650"/>
      <c r="S243" s="650"/>
      <c r="T243" s="650"/>
      <c r="U243" s="650"/>
      <c r="V243" s="650"/>
      <c r="W243" s="650"/>
      <c r="X243" s="650"/>
      <c r="Y243" s="650"/>
      <c r="Z243" s="650"/>
      <c r="AA243" s="650"/>
      <c r="AB243" s="650"/>
      <c r="AC243" s="650"/>
      <c r="AD243" s="650"/>
      <c r="AE243" s="650"/>
      <c r="AF243" s="650"/>
      <c r="AG243" s="650"/>
      <c r="AH243" s="650"/>
      <c r="AI243" s="650"/>
      <c r="AJ243" s="650"/>
      <c r="AK243" s="650"/>
      <c r="AL243" s="650"/>
      <c r="AM243" s="650"/>
      <c r="AN243" s="650"/>
      <c r="AO243" s="650"/>
      <c r="AP243" s="650"/>
      <c r="AQ243" s="650"/>
      <c r="AR243" s="650"/>
      <c r="AS243" s="650"/>
      <c r="AT243" s="650"/>
      <c r="AU243" s="650"/>
      <c r="AV243" s="650"/>
      <c r="AW243" s="650"/>
      <c r="AX243" s="650"/>
      <c r="AY243" s="650"/>
    </row>
    <row r="244" ht="21.75" customHeight="1">
      <c r="A244" s="650"/>
      <c r="B244" s="650"/>
      <c r="C244" s="650"/>
      <c r="D244" s="650"/>
      <c r="E244" s="650"/>
      <c r="F244" s="650"/>
      <c r="G244" s="650"/>
      <c r="H244" s="650"/>
      <c r="I244" s="650"/>
      <c r="J244" s="650"/>
      <c r="K244" s="650"/>
      <c r="L244" s="650"/>
      <c r="M244" s="650"/>
      <c r="N244" s="650"/>
      <c r="O244" s="650"/>
      <c r="P244" s="650"/>
      <c r="Q244" s="650"/>
      <c r="R244" s="650"/>
      <c r="S244" s="650"/>
      <c r="T244" s="650"/>
      <c r="U244" s="650"/>
      <c r="V244" s="650"/>
      <c r="W244" s="650"/>
      <c r="X244" s="650"/>
      <c r="Y244" s="650"/>
      <c r="Z244" s="650"/>
      <c r="AA244" s="650"/>
      <c r="AB244" s="650"/>
      <c r="AC244" s="650"/>
      <c r="AD244" s="650"/>
      <c r="AE244" s="650"/>
      <c r="AF244" s="650"/>
      <c r="AG244" s="650"/>
      <c r="AH244" s="650"/>
      <c r="AI244" s="650"/>
      <c r="AJ244" s="650"/>
      <c r="AK244" s="650"/>
      <c r="AL244" s="650"/>
      <c r="AM244" s="650"/>
      <c r="AN244" s="650"/>
      <c r="AO244" s="650"/>
      <c r="AP244" s="650"/>
      <c r="AQ244" s="650"/>
      <c r="AR244" s="650"/>
      <c r="AS244" s="650"/>
      <c r="AT244" s="650"/>
      <c r="AU244" s="650"/>
      <c r="AV244" s="650"/>
      <c r="AW244" s="650"/>
      <c r="AX244" s="650"/>
      <c r="AY244" s="650"/>
    </row>
    <row r="245" ht="21.75" customHeight="1">
      <c r="A245" s="650"/>
      <c r="B245" s="650"/>
      <c r="C245" s="650"/>
      <c r="D245" s="650"/>
      <c r="E245" s="650"/>
      <c r="F245" s="650"/>
      <c r="G245" s="650"/>
      <c r="H245" s="650"/>
      <c r="I245" s="650"/>
      <c r="J245" s="650"/>
      <c r="K245" s="650"/>
      <c r="L245" s="650"/>
      <c r="M245" s="650"/>
      <c r="N245" s="650"/>
      <c r="O245" s="650"/>
      <c r="P245" s="650"/>
      <c r="Q245" s="650"/>
      <c r="R245" s="650"/>
      <c r="S245" s="650"/>
      <c r="T245" s="650"/>
      <c r="U245" s="650"/>
      <c r="V245" s="650"/>
      <c r="W245" s="650"/>
      <c r="X245" s="650"/>
      <c r="Y245" s="650"/>
      <c r="Z245" s="650"/>
      <c r="AA245" s="650"/>
      <c r="AB245" s="650"/>
      <c r="AC245" s="650"/>
      <c r="AD245" s="650"/>
      <c r="AE245" s="650"/>
      <c r="AF245" s="650"/>
      <c r="AG245" s="650"/>
      <c r="AH245" s="650"/>
      <c r="AI245" s="650"/>
      <c r="AJ245" s="650"/>
      <c r="AK245" s="650"/>
      <c r="AL245" s="650"/>
      <c r="AM245" s="650"/>
      <c r="AN245" s="650"/>
      <c r="AO245" s="650"/>
      <c r="AP245" s="650"/>
      <c r="AQ245" s="650"/>
      <c r="AR245" s="650"/>
      <c r="AS245" s="650"/>
      <c r="AT245" s="650"/>
      <c r="AU245" s="650"/>
      <c r="AV245" s="650"/>
      <c r="AW245" s="650"/>
      <c r="AX245" s="650"/>
      <c r="AY245" s="650"/>
    </row>
    <row r="246" ht="21.75" customHeight="1">
      <c r="A246" s="650"/>
      <c r="B246" s="650"/>
      <c r="C246" s="650"/>
      <c r="D246" s="650"/>
      <c r="E246" s="650"/>
      <c r="F246" s="650"/>
      <c r="G246" s="650"/>
      <c r="H246" s="650"/>
      <c r="I246" s="650"/>
      <c r="J246" s="650"/>
      <c r="K246" s="650"/>
      <c r="L246" s="650"/>
      <c r="M246" s="650"/>
      <c r="N246" s="650"/>
      <c r="O246" s="650"/>
      <c r="P246" s="650"/>
      <c r="Q246" s="650"/>
      <c r="R246" s="650"/>
      <c r="S246" s="650"/>
      <c r="T246" s="650"/>
      <c r="U246" s="650"/>
      <c r="V246" s="650"/>
      <c r="W246" s="650"/>
      <c r="X246" s="650"/>
      <c r="Y246" s="650"/>
      <c r="Z246" s="650"/>
      <c r="AA246" s="650"/>
      <c r="AB246" s="650"/>
      <c r="AC246" s="650"/>
      <c r="AD246" s="650"/>
      <c r="AE246" s="650"/>
      <c r="AF246" s="650"/>
      <c r="AG246" s="650"/>
      <c r="AH246" s="650"/>
      <c r="AI246" s="650"/>
      <c r="AJ246" s="650"/>
      <c r="AK246" s="650"/>
      <c r="AL246" s="650"/>
      <c r="AM246" s="650"/>
      <c r="AN246" s="650"/>
      <c r="AO246" s="650"/>
      <c r="AP246" s="650"/>
      <c r="AQ246" s="650"/>
      <c r="AR246" s="650"/>
      <c r="AS246" s="650"/>
      <c r="AT246" s="650"/>
      <c r="AU246" s="650"/>
      <c r="AV246" s="650"/>
      <c r="AW246" s="650"/>
      <c r="AX246" s="650"/>
      <c r="AY246" s="650"/>
    </row>
    <row r="247" ht="21.75" customHeight="1">
      <c r="A247" s="650"/>
      <c r="B247" s="650"/>
      <c r="C247" s="650"/>
      <c r="D247" s="650"/>
      <c r="E247" s="650"/>
      <c r="F247" s="650"/>
      <c r="G247" s="650"/>
      <c r="H247" s="650"/>
      <c r="I247" s="650"/>
      <c r="J247" s="650"/>
      <c r="K247" s="650"/>
      <c r="L247" s="650"/>
      <c r="M247" s="650"/>
      <c r="N247" s="650"/>
      <c r="O247" s="650"/>
      <c r="P247" s="650"/>
      <c r="Q247" s="650"/>
      <c r="R247" s="650"/>
      <c r="S247" s="650"/>
      <c r="T247" s="650"/>
      <c r="U247" s="650"/>
      <c r="V247" s="650"/>
      <c r="W247" s="650"/>
      <c r="X247" s="650"/>
      <c r="Y247" s="650"/>
      <c r="Z247" s="650"/>
      <c r="AA247" s="650"/>
      <c r="AB247" s="650"/>
      <c r="AC247" s="650"/>
      <c r="AD247" s="650"/>
      <c r="AE247" s="650"/>
      <c r="AF247" s="650"/>
      <c r="AG247" s="650"/>
      <c r="AH247" s="650"/>
      <c r="AI247" s="650"/>
      <c r="AJ247" s="650"/>
      <c r="AK247" s="650"/>
      <c r="AL247" s="650"/>
      <c r="AM247" s="650"/>
      <c r="AN247" s="650"/>
      <c r="AO247" s="650"/>
      <c r="AP247" s="650"/>
      <c r="AQ247" s="650"/>
      <c r="AR247" s="650"/>
      <c r="AS247" s="650"/>
      <c r="AT247" s="650"/>
      <c r="AU247" s="650"/>
      <c r="AV247" s="650"/>
      <c r="AW247" s="650"/>
      <c r="AX247" s="650"/>
      <c r="AY247" s="650"/>
    </row>
    <row r="248" ht="21.75" customHeight="1">
      <c r="A248" s="650"/>
      <c r="B248" s="650"/>
      <c r="C248" s="650"/>
      <c r="D248" s="650"/>
      <c r="E248" s="650"/>
      <c r="F248" s="650"/>
      <c r="G248" s="650"/>
      <c r="H248" s="650"/>
      <c r="I248" s="650"/>
      <c r="J248" s="650"/>
      <c r="K248" s="650"/>
      <c r="L248" s="650"/>
      <c r="M248" s="650"/>
      <c r="N248" s="650"/>
      <c r="O248" s="650"/>
      <c r="P248" s="650"/>
      <c r="Q248" s="650"/>
      <c r="R248" s="650"/>
      <c r="S248" s="650"/>
      <c r="T248" s="650"/>
      <c r="U248" s="650"/>
      <c r="V248" s="650"/>
      <c r="W248" s="650"/>
      <c r="X248" s="650"/>
      <c r="Y248" s="650"/>
      <c r="Z248" s="650"/>
      <c r="AA248" s="650"/>
      <c r="AB248" s="650"/>
      <c r="AC248" s="650"/>
      <c r="AD248" s="650"/>
      <c r="AE248" s="650"/>
      <c r="AF248" s="650"/>
      <c r="AG248" s="650"/>
      <c r="AH248" s="650"/>
      <c r="AI248" s="650"/>
      <c r="AJ248" s="650"/>
      <c r="AK248" s="650"/>
      <c r="AL248" s="650"/>
      <c r="AM248" s="650"/>
      <c r="AN248" s="650"/>
      <c r="AO248" s="650"/>
      <c r="AP248" s="650"/>
      <c r="AQ248" s="650"/>
      <c r="AR248" s="650"/>
      <c r="AS248" s="650"/>
      <c r="AT248" s="650"/>
      <c r="AU248" s="650"/>
      <c r="AV248" s="650"/>
      <c r="AW248" s="650"/>
      <c r="AX248" s="650"/>
      <c r="AY248" s="650"/>
    </row>
    <row r="249" ht="21.75" customHeight="1">
      <c r="A249" s="650"/>
      <c r="B249" s="650"/>
      <c r="C249" s="650"/>
      <c r="D249" s="650"/>
      <c r="E249" s="650"/>
      <c r="F249" s="650"/>
      <c r="G249" s="650"/>
      <c r="H249" s="650"/>
      <c r="I249" s="650"/>
      <c r="J249" s="650"/>
      <c r="K249" s="650"/>
      <c r="L249" s="650"/>
      <c r="M249" s="650"/>
      <c r="N249" s="650"/>
      <c r="O249" s="650"/>
      <c r="P249" s="650"/>
      <c r="Q249" s="650"/>
      <c r="R249" s="650"/>
      <c r="S249" s="650"/>
      <c r="T249" s="650"/>
      <c r="U249" s="650"/>
      <c r="V249" s="650"/>
      <c r="W249" s="650"/>
      <c r="X249" s="650"/>
      <c r="Y249" s="650"/>
      <c r="Z249" s="650"/>
      <c r="AA249" s="650"/>
      <c r="AB249" s="650"/>
      <c r="AC249" s="650"/>
      <c r="AD249" s="650"/>
      <c r="AE249" s="650"/>
      <c r="AF249" s="650"/>
      <c r="AG249" s="650"/>
      <c r="AH249" s="650"/>
      <c r="AI249" s="650"/>
      <c r="AJ249" s="650"/>
      <c r="AK249" s="650"/>
      <c r="AL249" s="650"/>
      <c r="AM249" s="650"/>
      <c r="AN249" s="650"/>
      <c r="AO249" s="650"/>
      <c r="AP249" s="650"/>
      <c r="AQ249" s="650"/>
      <c r="AR249" s="650"/>
      <c r="AS249" s="650"/>
      <c r="AT249" s="650"/>
      <c r="AU249" s="650"/>
      <c r="AV249" s="650"/>
      <c r="AW249" s="650"/>
      <c r="AX249" s="650"/>
      <c r="AY249" s="650"/>
    </row>
    <row r="250" ht="21.75" customHeight="1">
      <c r="A250" s="650"/>
      <c r="B250" s="650"/>
      <c r="C250" s="650"/>
      <c r="D250" s="650"/>
      <c r="E250" s="650"/>
      <c r="F250" s="650"/>
      <c r="G250" s="650"/>
      <c r="H250" s="650"/>
      <c r="I250" s="650"/>
      <c r="J250" s="650"/>
      <c r="K250" s="650"/>
      <c r="L250" s="650"/>
      <c r="M250" s="650"/>
      <c r="N250" s="650"/>
      <c r="O250" s="650"/>
      <c r="P250" s="650"/>
      <c r="Q250" s="650"/>
      <c r="R250" s="650"/>
      <c r="S250" s="650"/>
      <c r="T250" s="650"/>
      <c r="U250" s="650"/>
      <c r="V250" s="650"/>
      <c r="W250" s="650"/>
      <c r="X250" s="650"/>
      <c r="Y250" s="650"/>
      <c r="Z250" s="650"/>
      <c r="AA250" s="650"/>
      <c r="AB250" s="650"/>
      <c r="AC250" s="650"/>
      <c r="AD250" s="650"/>
      <c r="AE250" s="650"/>
      <c r="AF250" s="650"/>
      <c r="AG250" s="650"/>
      <c r="AH250" s="650"/>
      <c r="AI250" s="650"/>
      <c r="AJ250" s="650"/>
      <c r="AK250" s="650"/>
      <c r="AL250" s="650"/>
      <c r="AM250" s="650"/>
      <c r="AN250" s="650"/>
      <c r="AO250" s="650"/>
      <c r="AP250" s="650"/>
      <c r="AQ250" s="650"/>
      <c r="AR250" s="650"/>
      <c r="AS250" s="650"/>
      <c r="AT250" s="650"/>
      <c r="AU250" s="650"/>
      <c r="AV250" s="650"/>
      <c r="AW250" s="650"/>
      <c r="AX250" s="650"/>
      <c r="AY250" s="650"/>
    </row>
    <row r="251" ht="21.75" customHeight="1">
      <c r="A251" s="650"/>
      <c r="B251" s="650"/>
      <c r="C251" s="650"/>
      <c r="D251" s="650"/>
      <c r="E251" s="650"/>
      <c r="F251" s="650"/>
      <c r="G251" s="650"/>
      <c r="H251" s="650"/>
      <c r="I251" s="650"/>
      <c r="J251" s="650"/>
      <c r="K251" s="650"/>
      <c r="L251" s="650"/>
      <c r="M251" s="650"/>
      <c r="N251" s="650"/>
      <c r="O251" s="650"/>
      <c r="P251" s="650"/>
      <c r="Q251" s="650"/>
      <c r="R251" s="650"/>
      <c r="S251" s="650"/>
      <c r="T251" s="650"/>
      <c r="U251" s="650"/>
      <c r="V251" s="650"/>
      <c r="W251" s="650"/>
      <c r="X251" s="650"/>
      <c r="Y251" s="650"/>
      <c r="Z251" s="650"/>
      <c r="AA251" s="650"/>
      <c r="AB251" s="650"/>
      <c r="AC251" s="650"/>
      <c r="AD251" s="650"/>
      <c r="AE251" s="650"/>
      <c r="AF251" s="650"/>
      <c r="AG251" s="650"/>
      <c r="AH251" s="650"/>
      <c r="AI251" s="650"/>
      <c r="AJ251" s="650"/>
      <c r="AK251" s="650"/>
      <c r="AL251" s="650"/>
      <c r="AM251" s="650"/>
      <c r="AN251" s="650"/>
      <c r="AO251" s="650"/>
      <c r="AP251" s="650"/>
      <c r="AQ251" s="650"/>
      <c r="AR251" s="650"/>
      <c r="AS251" s="650"/>
      <c r="AT251" s="650"/>
      <c r="AU251" s="650"/>
      <c r="AV251" s="650"/>
      <c r="AW251" s="650"/>
      <c r="AX251" s="650"/>
      <c r="AY251" s="650"/>
    </row>
    <row r="252" ht="21.75" customHeight="1">
      <c r="A252" s="650"/>
      <c r="B252" s="650"/>
      <c r="C252" s="650"/>
      <c r="D252" s="650"/>
      <c r="E252" s="650"/>
      <c r="F252" s="650"/>
      <c r="G252" s="650"/>
      <c r="H252" s="650"/>
      <c r="I252" s="650"/>
      <c r="J252" s="650"/>
      <c r="K252" s="650"/>
      <c r="L252" s="650"/>
      <c r="M252" s="650"/>
      <c r="N252" s="650"/>
      <c r="O252" s="650"/>
      <c r="P252" s="650"/>
      <c r="Q252" s="650"/>
      <c r="R252" s="650"/>
      <c r="S252" s="650"/>
      <c r="T252" s="650"/>
      <c r="U252" s="650"/>
      <c r="V252" s="650"/>
      <c r="W252" s="650"/>
      <c r="X252" s="650"/>
      <c r="Y252" s="650"/>
      <c r="Z252" s="650"/>
      <c r="AA252" s="650"/>
      <c r="AB252" s="650"/>
      <c r="AC252" s="650"/>
      <c r="AD252" s="650"/>
      <c r="AE252" s="650"/>
      <c r="AF252" s="650"/>
      <c r="AG252" s="650"/>
      <c r="AH252" s="650"/>
      <c r="AI252" s="650"/>
      <c r="AJ252" s="650"/>
      <c r="AK252" s="650"/>
      <c r="AL252" s="650"/>
      <c r="AM252" s="650"/>
      <c r="AN252" s="650"/>
      <c r="AO252" s="650"/>
      <c r="AP252" s="650"/>
      <c r="AQ252" s="650"/>
      <c r="AR252" s="650"/>
      <c r="AS252" s="650"/>
      <c r="AT252" s="650"/>
      <c r="AU252" s="650"/>
      <c r="AV252" s="650"/>
      <c r="AW252" s="650"/>
      <c r="AX252" s="650"/>
      <c r="AY252" s="650"/>
    </row>
    <row r="253" ht="21.75" customHeight="1">
      <c r="A253" s="650"/>
      <c r="B253" s="650"/>
      <c r="C253" s="650"/>
      <c r="D253" s="650"/>
      <c r="E253" s="650"/>
      <c r="F253" s="650"/>
      <c r="G253" s="650"/>
      <c r="H253" s="650"/>
      <c r="I253" s="650"/>
      <c r="J253" s="650"/>
      <c r="K253" s="650"/>
      <c r="L253" s="650"/>
      <c r="M253" s="650"/>
      <c r="N253" s="650"/>
      <c r="O253" s="650"/>
      <c r="P253" s="650"/>
      <c r="Q253" s="650"/>
      <c r="R253" s="650"/>
      <c r="S253" s="650"/>
      <c r="T253" s="650"/>
      <c r="U253" s="650"/>
      <c r="V253" s="650"/>
      <c r="W253" s="650"/>
      <c r="X253" s="650"/>
      <c r="Y253" s="650"/>
      <c r="Z253" s="650"/>
      <c r="AA253" s="650"/>
      <c r="AB253" s="650"/>
      <c r="AC253" s="650"/>
      <c r="AD253" s="650"/>
      <c r="AE253" s="650"/>
      <c r="AF253" s="650"/>
      <c r="AG253" s="650"/>
      <c r="AH253" s="650"/>
      <c r="AI253" s="650"/>
      <c r="AJ253" s="650"/>
      <c r="AK253" s="650"/>
      <c r="AL253" s="650"/>
      <c r="AM253" s="650"/>
      <c r="AN253" s="650"/>
      <c r="AO253" s="650"/>
      <c r="AP253" s="650"/>
      <c r="AQ253" s="650"/>
      <c r="AR253" s="650"/>
      <c r="AS253" s="650"/>
      <c r="AT253" s="650"/>
      <c r="AU253" s="650"/>
      <c r="AV253" s="650"/>
      <c r="AW253" s="650"/>
      <c r="AX253" s="650"/>
      <c r="AY253" s="650"/>
    </row>
    <row r="254" ht="21.75" customHeight="1">
      <c r="A254" s="650"/>
      <c r="B254" s="650"/>
      <c r="C254" s="650"/>
      <c r="D254" s="650"/>
      <c r="E254" s="650"/>
      <c r="F254" s="650"/>
      <c r="G254" s="650"/>
      <c r="H254" s="650"/>
      <c r="I254" s="650"/>
      <c r="J254" s="650"/>
      <c r="K254" s="650"/>
      <c r="L254" s="650"/>
      <c r="M254" s="650"/>
      <c r="N254" s="650"/>
      <c r="O254" s="650"/>
      <c r="P254" s="650"/>
      <c r="Q254" s="650"/>
      <c r="R254" s="650"/>
      <c r="S254" s="650"/>
      <c r="T254" s="650"/>
      <c r="U254" s="650"/>
      <c r="V254" s="650"/>
      <c r="W254" s="650"/>
      <c r="X254" s="650"/>
      <c r="Y254" s="650"/>
      <c r="Z254" s="650"/>
      <c r="AA254" s="650"/>
      <c r="AB254" s="650"/>
      <c r="AC254" s="650"/>
      <c r="AD254" s="650"/>
      <c r="AE254" s="650"/>
      <c r="AF254" s="650"/>
      <c r="AG254" s="650"/>
      <c r="AH254" s="650"/>
      <c r="AI254" s="650"/>
      <c r="AJ254" s="650"/>
      <c r="AK254" s="650"/>
      <c r="AL254" s="650"/>
      <c r="AM254" s="650"/>
      <c r="AN254" s="650"/>
      <c r="AO254" s="650"/>
      <c r="AP254" s="650"/>
      <c r="AQ254" s="650"/>
      <c r="AR254" s="650"/>
      <c r="AS254" s="650"/>
      <c r="AT254" s="650"/>
      <c r="AU254" s="650"/>
      <c r="AV254" s="650"/>
      <c r="AW254" s="650"/>
      <c r="AX254" s="650"/>
      <c r="AY254" s="650"/>
    </row>
    <row r="255" ht="21.75" customHeight="1">
      <c r="A255" s="650"/>
      <c r="B255" s="650"/>
      <c r="C255" s="650"/>
      <c r="D255" s="650"/>
      <c r="E255" s="650"/>
      <c r="F255" s="650"/>
      <c r="G255" s="650"/>
      <c r="H255" s="650"/>
      <c r="I255" s="650"/>
      <c r="J255" s="650"/>
      <c r="K255" s="650"/>
      <c r="L255" s="650"/>
      <c r="M255" s="650"/>
      <c r="N255" s="650"/>
      <c r="O255" s="650"/>
      <c r="P255" s="650"/>
      <c r="Q255" s="650"/>
      <c r="R255" s="650"/>
      <c r="S255" s="650"/>
      <c r="T255" s="650"/>
      <c r="U255" s="650"/>
      <c r="V255" s="650"/>
      <c r="W255" s="650"/>
      <c r="X255" s="650"/>
      <c r="Y255" s="650"/>
      <c r="Z255" s="650"/>
      <c r="AA255" s="650"/>
      <c r="AB255" s="650"/>
      <c r="AC255" s="650"/>
      <c r="AD255" s="650"/>
      <c r="AE255" s="650"/>
      <c r="AF255" s="650"/>
      <c r="AG255" s="650"/>
      <c r="AH255" s="650"/>
      <c r="AI255" s="650"/>
      <c r="AJ255" s="650"/>
      <c r="AK255" s="650"/>
      <c r="AL255" s="650"/>
      <c r="AM255" s="650"/>
      <c r="AN255" s="650"/>
      <c r="AO255" s="650"/>
      <c r="AP255" s="650"/>
      <c r="AQ255" s="650"/>
      <c r="AR255" s="650"/>
      <c r="AS255" s="650"/>
      <c r="AT255" s="650"/>
      <c r="AU255" s="650"/>
      <c r="AV255" s="650"/>
      <c r="AW255" s="650"/>
      <c r="AX255" s="650"/>
      <c r="AY255" s="650"/>
    </row>
    <row r="256" ht="21.75" customHeight="1">
      <c r="A256" s="650"/>
      <c r="B256" s="650"/>
      <c r="C256" s="650"/>
      <c r="D256" s="650"/>
      <c r="E256" s="650"/>
      <c r="F256" s="650"/>
      <c r="G256" s="650"/>
      <c r="H256" s="650"/>
      <c r="I256" s="650"/>
      <c r="J256" s="650"/>
      <c r="K256" s="650"/>
      <c r="L256" s="650"/>
      <c r="M256" s="650"/>
      <c r="N256" s="650"/>
      <c r="O256" s="650"/>
      <c r="P256" s="650"/>
      <c r="Q256" s="650"/>
      <c r="R256" s="650"/>
      <c r="S256" s="650"/>
      <c r="T256" s="650"/>
      <c r="U256" s="650"/>
      <c r="V256" s="650"/>
      <c r="W256" s="650"/>
      <c r="X256" s="650"/>
      <c r="Y256" s="650"/>
      <c r="Z256" s="650"/>
      <c r="AA256" s="650"/>
      <c r="AB256" s="650"/>
      <c r="AC256" s="650"/>
      <c r="AD256" s="650"/>
      <c r="AE256" s="650"/>
      <c r="AF256" s="650"/>
      <c r="AG256" s="650"/>
      <c r="AH256" s="650"/>
      <c r="AI256" s="650"/>
      <c r="AJ256" s="650"/>
      <c r="AK256" s="650"/>
      <c r="AL256" s="650"/>
      <c r="AM256" s="650"/>
      <c r="AN256" s="650"/>
      <c r="AO256" s="650"/>
      <c r="AP256" s="650"/>
      <c r="AQ256" s="650"/>
      <c r="AR256" s="650"/>
      <c r="AS256" s="650"/>
      <c r="AT256" s="650"/>
      <c r="AU256" s="650"/>
      <c r="AV256" s="650"/>
      <c r="AW256" s="650"/>
      <c r="AX256" s="650"/>
      <c r="AY256" s="650"/>
    </row>
    <row r="257" ht="21.75" customHeight="1">
      <c r="A257" s="650"/>
      <c r="B257" s="650"/>
      <c r="C257" s="650"/>
      <c r="D257" s="650"/>
      <c r="E257" s="650"/>
      <c r="F257" s="650"/>
      <c r="G257" s="650"/>
      <c r="H257" s="650"/>
      <c r="I257" s="650"/>
      <c r="J257" s="650"/>
      <c r="K257" s="650"/>
      <c r="L257" s="650"/>
      <c r="M257" s="650"/>
      <c r="N257" s="650"/>
      <c r="O257" s="650"/>
      <c r="P257" s="650"/>
      <c r="Q257" s="650"/>
      <c r="R257" s="650"/>
      <c r="S257" s="650"/>
      <c r="T257" s="650"/>
      <c r="U257" s="650"/>
      <c r="V257" s="650"/>
      <c r="W257" s="650"/>
      <c r="X257" s="650"/>
      <c r="Y257" s="650"/>
      <c r="Z257" s="650"/>
      <c r="AA257" s="650"/>
      <c r="AB257" s="650"/>
      <c r="AC257" s="650"/>
      <c r="AD257" s="650"/>
      <c r="AE257" s="650"/>
      <c r="AF257" s="650"/>
      <c r="AG257" s="650"/>
      <c r="AH257" s="650"/>
      <c r="AI257" s="650"/>
      <c r="AJ257" s="650"/>
      <c r="AK257" s="650"/>
      <c r="AL257" s="650"/>
      <c r="AM257" s="650"/>
      <c r="AN257" s="650"/>
      <c r="AO257" s="650"/>
      <c r="AP257" s="650"/>
      <c r="AQ257" s="650"/>
      <c r="AR257" s="650"/>
      <c r="AS257" s="650"/>
      <c r="AT257" s="650"/>
      <c r="AU257" s="650"/>
      <c r="AV257" s="650"/>
      <c r="AW257" s="650"/>
      <c r="AX257" s="650"/>
      <c r="AY257" s="650"/>
    </row>
    <row r="258" ht="21.75" customHeight="1">
      <c r="A258" s="650"/>
      <c r="B258" s="650"/>
      <c r="C258" s="650"/>
      <c r="D258" s="650"/>
      <c r="E258" s="650"/>
      <c r="F258" s="650"/>
      <c r="G258" s="650"/>
      <c r="H258" s="650"/>
      <c r="I258" s="650"/>
      <c r="J258" s="650"/>
      <c r="K258" s="650"/>
      <c r="L258" s="650"/>
      <c r="M258" s="650"/>
      <c r="N258" s="650"/>
      <c r="O258" s="650"/>
      <c r="P258" s="650"/>
      <c r="Q258" s="650"/>
      <c r="R258" s="650"/>
      <c r="S258" s="650"/>
      <c r="T258" s="650"/>
      <c r="U258" s="650"/>
      <c r="V258" s="650"/>
      <c r="W258" s="650"/>
      <c r="X258" s="650"/>
      <c r="Y258" s="650"/>
      <c r="Z258" s="650"/>
      <c r="AA258" s="650"/>
      <c r="AB258" s="650"/>
      <c r="AC258" s="650"/>
      <c r="AD258" s="650"/>
      <c r="AE258" s="650"/>
      <c r="AF258" s="650"/>
      <c r="AG258" s="650"/>
      <c r="AH258" s="650"/>
      <c r="AI258" s="650"/>
      <c r="AJ258" s="650"/>
      <c r="AK258" s="650"/>
      <c r="AL258" s="650"/>
      <c r="AM258" s="650"/>
      <c r="AN258" s="650"/>
      <c r="AO258" s="650"/>
      <c r="AP258" s="650"/>
      <c r="AQ258" s="650"/>
      <c r="AR258" s="650"/>
      <c r="AS258" s="650"/>
      <c r="AT258" s="650"/>
      <c r="AU258" s="650"/>
      <c r="AV258" s="650"/>
      <c r="AW258" s="650"/>
      <c r="AX258" s="650"/>
      <c r="AY258" s="650"/>
    </row>
    <row r="259" ht="21.75" customHeight="1">
      <c r="A259" s="650"/>
      <c r="B259" s="650"/>
      <c r="C259" s="650"/>
      <c r="D259" s="650"/>
      <c r="E259" s="650"/>
      <c r="F259" s="650"/>
      <c r="G259" s="650"/>
      <c r="H259" s="650"/>
      <c r="I259" s="650"/>
      <c r="J259" s="650"/>
      <c r="K259" s="650"/>
      <c r="L259" s="650"/>
      <c r="M259" s="650"/>
      <c r="N259" s="650"/>
      <c r="O259" s="650"/>
      <c r="P259" s="650"/>
      <c r="Q259" s="650"/>
      <c r="R259" s="650"/>
      <c r="S259" s="650"/>
      <c r="T259" s="650"/>
      <c r="U259" s="650"/>
      <c r="V259" s="650"/>
      <c r="W259" s="650"/>
      <c r="X259" s="650"/>
      <c r="Y259" s="650"/>
      <c r="Z259" s="650"/>
      <c r="AA259" s="650"/>
      <c r="AB259" s="650"/>
      <c r="AC259" s="650"/>
      <c r="AD259" s="650"/>
      <c r="AE259" s="650"/>
      <c r="AF259" s="650"/>
      <c r="AG259" s="650"/>
      <c r="AH259" s="650"/>
      <c r="AI259" s="650"/>
      <c r="AJ259" s="650"/>
      <c r="AK259" s="650"/>
      <c r="AL259" s="650"/>
      <c r="AM259" s="650"/>
      <c r="AN259" s="650"/>
      <c r="AO259" s="650"/>
      <c r="AP259" s="650"/>
      <c r="AQ259" s="650"/>
      <c r="AR259" s="650"/>
      <c r="AS259" s="650"/>
      <c r="AT259" s="650"/>
      <c r="AU259" s="650"/>
      <c r="AV259" s="650"/>
      <c r="AW259" s="650"/>
      <c r="AX259" s="650"/>
      <c r="AY259" s="650"/>
    </row>
    <row r="260" ht="21.75" customHeight="1">
      <c r="A260" s="650"/>
      <c r="B260" s="650"/>
      <c r="C260" s="650"/>
      <c r="D260" s="650"/>
      <c r="E260" s="650"/>
      <c r="F260" s="650"/>
      <c r="G260" s="650"/>
      <c r="H260" s="650"/>
      <c r="I260" s="650"/>
      <c r="J260" s="650"/>
      <c r="K260" s="650"/>
      <c r="L260" s="650"/>
      <c r="M260" s="650"/>
      <c r="N260" s="650"/>
      <c r="O260" s="650"/>
      <c r="P260" s="650"/>
      <c r="Q260" s="650"/>
      <c r="R260" s="650"/>
      <c r="S260" s="650"/>
      <c r="T260" s="650"/>
      <c r="U260" s="650"/>
      <c r="V260" s="650"/>
      <c r="W260" s="650"/>
      <c r="X260" s="650"/>
      <c r="Y260" s="650"/>
      <c r="Z260" s="650"/>
      <c r="AA260" s="650"/>
      <c r="AB260" s="650"/>
      <c r="AC260" s="650"/>
      <c r="AD260" s="650"/>
      <c r="AE260" s="650"/>
      <c r="AF260" s="650"/>
      <c r="AG260" s="650"/>
      <c r="AH260" s="650"/>
      <c r="AI260" s="650"/>
      <c r="AJ260" s="650"/>
      <c r="AK260" s="650"/>
      <c r="AL260" s="650"/>
      <c r="AM260" s="650"/>
      <c r="AN260" s="650"/>
      <c r="AO260" s="650"/>
      <c r="AP260" s="650"/>
      <c r="AQ260" s="650"/>
      <c r="AR260" s="650"/>
      <c r="AS260" s="650"/>
      <c r="AT260" s="650"/>
      <c r="AU260" s="650"/>
      <c r="AV260" s="650"/>
      <c r="AW260" s="650"/>
      <c r="AX260" s="650"/>
      <c r="AY260" s="650"/>
    </row>
    <row r="261" ht="21.75" customHeight="1">
      <c r="A261" s="650"/>
      <c r="B261" s="650"/>
      <c r="C261" s="650"/>
      <c r="D261" s="650"/>
      <c r="E261" s="650"/>
      <c r="F261" s="650"/>
      <c r="G261" s="650"/>
      <c r="H261" s="650"/>
      <c r="I261" s="650"/>
      <c r="J261" s="650"/>
      <c r="K261" s="650"/>
      <c r="L261" s="650"/>
      <c r="M261" s="650"/>
      <c r="N261" s="650"/>
      <c r="O261" s="650"/>
      <c r="P261" s="650"/>
      <c r="Q261" s="650"/>
      <c r="R261" s="650"/>
      <c r="S261" s="650"/>
      <c r="T261" s="650"/>
      <c r="U261" s="650"/>
      <c r="V261" s="650"/>
      <c r="W261" s="650"/>
      <c r="X261" s="650"/>
      <c r="Y261" s="650"/>
      <c r="Z261" s="650"/>
      <c r="AA261" s="650"/>
      <c r="AB261" s="650"/>
      <c r="AC261" s="650"/>
      <c r="AD261" s="650"/>
      <c r="AE261" s="650"/>
      <c r="AF261" s="650"/>
      <c r="AG261" s="650"/>
      <c r="AH261" s="650"/>
      <c r="AI261" s="650"/>
      <c r="AJ261" s="650"/>
      <c r="AK261" s="650"/>
      <c r="AL261" s="650"/>
      <c r="AM261" s="650"/>
      <c r="AN261" s="650"/>
      <c r="AO261" s="650"/>
      <c r="AP261" s="650"/>
      <c r="AQ261" s="650"/>
      <c r="AR261" s="650"/>
      <c r="AS261" s="650"/>
      <c r="AT261" s="650"/>
      <c r="AU261" s="650"/>
      <c r="AV261" s="650"/>
      <c r="AW261" s="650"/>
      <c r="AX261" s="650"/>
      <c r="AY261" s="650"/>
    </row>
    <row r="262" ht="21.75" customHeight="1">
      <c r="A262" s="650"/>
      <c r="B262" s="650"/>
      <c r="C262" s="650"/>
      <c r="D262" s="650"/>
      <c r="E262" s="650"/>
      <c r="F262" s="650"/>
      <c r="G262" s="650"/>
      <c r="H262" s="650"/>
      <c r="I262" s="650"/>
      <c r="J262" s="650"/>
      <c r="K262" s="650"/>
      <c r="L262" s="650"/>
      <c r="M262" s="650"/>
      <c r="N262" s="650"/>
      <c r="O262" s="650"/>
      <c r="P262" s="650"/>
      <c r="Q262" s="650"/>
      <c r="R262" s="650"/>
      <c r="S262" s="650"/>
      <c r="T262" s="650"/>
      <c r="U262" s="650"/>
      <c r="V262" s="650"/>
      <c r="W262" s="650"/>
      <c r="X262" s="650"/>
      <c r="Y262" s="650"/>
      <c r="Z262" s="650"/>
      <c r="AA262" s="650"/>
      <c r="AB262" s="650"/>
      <c r="AC262" s="650"/>
      <c r="AD262" s="650"/>
      <c r="AE262" s="650"/>
      <c r="AF262" s="650"/>
      <c r="AG262" s="650"/>
      <c r="AH262" s="650"/>
      <c r="AI262" s="650"/>
      <c r="AJ262" s="650"/>
      <c r="AK262" s="650"/>
      <c r="AL262" s="650"/>
      <c r="AM262" s="650"/>
      <c r="AN262" s="650"/>
      <c r="AO262" s="650"/>
      <c r="AP262" s="650"/>
      <c r="AQ262" s="650"/>
      <c r="AR262" s="650"/>
      <c r="AS262" s="650"/>
      <c r="AT262" s="650"/>
      <c r="AU262" s="650"/>
      <c r="AV262" s="650"/>
      <c r="AW262" s="650"/>
      <c r="AX262" s="650"/>
      <c r="AY262" s="650"/>
    </row>
    <row r="263" ht="21.75" customHeight="1">
      <c r="A263" s="650"/>
      <c r="B263" s="650"/>
      <c r="C263" s="650"/>
      <c r="D263" s="650"/>
      <c r="E263" s="650"/>
      <c r="F263" s="650"/>
      <c r="G263" s="650"/>
      <c r="H263" s="650"/>
      <c r="I263" s="650"/>
      <c r="J263" s="650"/>
      <c r="K263" s="650"/>
      <c r="L263" s="650"/>
      <c r="M263" s="650"/>
      <c r="N263" s="650"/>
      <c r="O263" s="650"/>
      <c r="P263" s="650"/>
      <c r="Q263" s="650"/>
      <c r="R263" s="650"/>
      <c r="S263" s="650"/>
      <c r="T263" s="650"/>
      <c r="U263" s="650"/>
      <c r="V263" s="650"/>
      <c r="W263" s="650"/>
      <c r="X263" s="650"/>
      <c r="Y263" s="650"/>
      <c r="Z263" s="650"/>
      <c r="AA263" s="650"/>
      <c r="AB263" s="650"/>
      <c r="AC263" s="650"/>
      <c r="AD263" s="650"/>
      <c r="AE263" s="650"/>
      <c r="AF263" s="650"/>
      <c r="AG263" s="650"/>
      <c r="AH263" s="650"/>
      <c r="AI263" s="650"/>
      <c r="AJ263" s="650"/>
      <c r="AK263" s="650"/>
      <c r="AL263" s="650"/>
      <c r="AM263" s="650"/>
      <c r="AN263" s="650"/>
      <c r="AO263" s="650"/>
      <c r="AP263" s="650"/>
      <c r="AQ263" s="650"/>
      <c r="AR263" s="650"/>
      <c r="AS263" s="650"/>
      <c r="AT263" s="650"/>
      <c r="AU263" s="650"/>
      <c r="AV263" s="650"/>
      <c r="AW263" s="650"/>
      <c r="AX263" s="650"/>
      <c r="AY263" s="650"/>
    </row>
    <row r="264" ht="21.75" customHeight="1">
      <c r="A264" s="650"/>
      <c r="B264" s="650"/>
      <c r="C264" s="650"/>
      <c r="D264" s="650"/>
      <c r="E264" s="650"/>
      <c r="F264" s="650"/>
      <c r="G264" s="650"/>
      <c r="H264" s="650"/>
      <c r="I264" s="650"/>
      <c r="J264" s="650"/>
      <c r="K264" s="650"/>
      <c r="L264" s="650"/>
      <c r="M264" s="650"/>
      <c r="N264" s="650"/>
      <c r="O264" s="650"/>
      <c r="P264" s="650"/>
      <c r="Q264" s="650"/>
      <c r="R264" s="650"/>
      <c r="S264" s="650"/>
      <c r="T264" s="650"/>
      <c r="U264" s="650"/>
      <c r="V264" s="650"/>
      <c r="W264" s="650"/>
      <c r="X264" s="650"/>
      <c r="Y264" s="650"/>
      <c r="Z264" s="650"/>
      <c r="AA264" s="650"/>
      <c r="AB264" s="650"/>
      <c r="AC264" s="650"/>
      <c r="AD264" s="650"/>
      <c r="AE264" s="650"/>
      <c r="AF264" s="650"/>
      <c r="AG264" s="650"/>
      <c r="AH264" s="650"/>
      <c r="AI264" s="650"/>
      <c r="AJ264" s="650"/>
      <c r="AK264" s="650"/>
      <c r="AL264" s="650"/>
      <c r="AM264" s="650"/>
      <c r="AN264" s="650"/>
      <c r="AO264" s="650"/>
      <c r="AP264" s="650"/>
      <c r="AQ264" s="650"/>
      <c r="AR264" s="650"/>
      <c r="AS264" s="650"/>
      <c r="AT264" s="650"/>
      <c r="AU264" s="650"/>
      <c r="AV264" s="650"/>
      <c r="AW264" s="650"/>
      <c r="AX264" s="650"/>
      <c r="AY264" s="650"/>
    </row>
    <row r="265" ht="21.75" customHeight="1">
      <c r="A265" s="650"/>
      <c r="B265" s="650"/>
      <c r="C265" s="650"/>
      <c r="D265" s="650"/>
      <c r="E265" s="650"/>
      <c r="F265" s="650"/>
      <c r="G265" s="650"/>
      <c r="H265" s="650"/>
      <c r="I265" s="650"/>
      <c r="J265" s="650"/>
      <c r="K265" s="650"/>
      <c r="L265" s="650"/>
      <c r="M265" s="650"/>
      <c r="N265" s="650"/>
      <c r="O265" s="650"/>
      <c r="P265" s="650"/>
      <c r="Q265" s="650"/>
      <c r="R265" s="650"/>
      <c r="S265" s="650"/>
      <c r="T265" s="650"/>
      <c r="U265" s="650"/>
      <c r="V265" s="650"/>
      <c r="W265" s="650"/>
      <c r="X265" s="650"/>
      <c r="Y265" s="650"/>
      <c r="Z265" s="650"/>
      <c r="AA265" s="650"/>
      <c r="AB265" s="650"/>
      <c r="AC265" s="650"/>
      <c r="AD265" s="650"/>
      <c r="AE265" s="650"/>
      <c r="AF265" s="650"/>
      <c r="AG265" s="650"/>
      <c r="AH265" s="650"/>
      <c r="AI265" s="650"/>
      <c r="AJ265" s="650"/>
      <c r="AK265" s="650"/>
      <c r="AL265" s="650"/>
      <c r="AM265" s="650"/>
      <c r="AN265" s="650"/>
      <c r="AO265" s="650"/>
      <c r="AP265" s="650"/>
      <c r="AQ265" s="650"/>
      <c r="AR265" s="650"/>
      <c r="AS265" s="650"/>
      <c r="AT265" s="650"/>
      <c r="AU265" s="650"/>
      <c r="AV265" s="650"/>
      <c r="AW265" s="650"/>
      <c r="AX265" s="650"/>
      <c r="AY265" s="650"/>
    </row>
    <row r="266" ht="21.75" customHeight="1">
      <c r="A266" s="650"/>
      <c r="B266" s="650"/>
      <c r="C266" s="650"/>
      <c r="D266" s="650"/>
      <c r="E266" s="650"/>
      <c r="F266" s="650"/>
      <c r="G266" s="650"/>
      <c r="H266" s="650"/>
      <c r="I266" s="650"/>
      <c r="J266" s="650"/>
      <c r="K266" s="650"/>
      <c r="L266" s="650"/>
      <c r="M266" s="650"/>
      <c r="N266" s="650"/>
      <c r="O266" s="650"/>
      <c r="P266" s="650"/>
      <c r="Q266" s="650"/>
      <c r="R266" s="650"/>
      <c r="S266" s="650"/>
      <c r="T266" s="650"/>
      <c r="U266" s="650"/>
      <c r="V266" s="650"/>
      <c r="W266" s="650"/>
      <c r="X266" s="650"/>
      <c r="Y266" s="650"/>
      <c r="Z266" s="650"/>
      <c r="AA266" s="650"/>
      <c r="AB266" s="650"/>
      <c r="AC266" s="650"/>
      <c r="AD266" s="650"/>
      <c r="AE266" s="650"/>
      <c r="AF266" s="650"/>
      <c r="AG266" s="650"/>
      <c r="AH266" s="650"/>
      <c r="AI266" s="650"/>
      <c r="AJ266" s="650"/>
      <c r="AK266" s="650"/>
      <c r="AL266" s="650"/>
      <c r="AM266" s="650"/>
      <c r="AN266" s="650"/>
      <c r="AO266" s="650"/>
      <c r="AP266" s="650"/>
      <c r="AQ266" s="650"/>
      <c r="AR266" s="650"/>
      <c r="AS266" s="650"/>
      <c r="AT266" s="650"/>
      <c r="AU266" s="650"/>
      <c r="AV266" s="650"/>
      <c r="AW266" s="650"/>
      <c r="AX266" s="650"/>
      <c r="AY266" s="650"/>
    </row>
    <row r="267" ht="21.75" customHeight="1">
      <c r="A267" s="650"/>
      <c r="B267" s="650"/>
      <c r="C267" s="650"/>
      <c r="D267" s="650"/>
      <c r="E267" s="650"/>
      <c r="F267" s="650"/>
      <c r="G267" s="650"/>
      <c r="H267" s="650"/>
      <c r="I267" s="650"/>
      <c r="J267" s="650"/>
      <c r="K267" s="650"/>
      <c r="L267" s="650"/>
      <c r="M267" s="650"/>
      <c r="N267" s="650"/>
      <c r="O267" s="650"/>
      <c r="P267" s="650"/>
      <c r="Q267" s="650"/>
      <c r="R267" s="650"/>
      <c r="S267" s="650"/>
      <c r="T267" s="650"/>
      <c r="U267" s="650"/>
      <c r="V267" s="650"/>
      <c r="W267" s="650"/>
      <c r="X267" s="650"/>
      <c r="Y267" s="650"/>
      <c r="Z267" s="650"/>
      <c r="AA267" s="650"/>
      <c r="AB267" s="650"/>
      <c r="AC267" s="650"/>
      <c r="AD267" s="650"/>
      <c r="AE267" s="650"/>
      <c r="AF267" s="650"/>
      <c r="AG267" s="650"/>
      <c r="AH267" s="650"/>
      <c r="AI267" s="650"/>
      <c r="AJ267" s="650"/>
      <c r="AK267" s="650"/>
      <c r="AL267" s="650"/>
      <c r="AM267" s="650"/>
      <c r="AN267" s="650"/>
      <c r="AO267" s="650"/>
      <c r="AP267" s="650"/>
      <c r="AQ267" s="650"/>
      <c r="AR267" s="650"/>
      <c r="AS267" s="650"/>
      <c r="AT267" s="650"/>
      <c r="AU267" s="650"/>
      <c r="AV267" s="650"/>
      <c r="AW267" s="650"/>
      <c r="AX267" s="650"/>
      <c r="AY267" s="650"/>
    </row>
    <row r="268" ht="21.75" customHeight="1">
      <c r="A268" s="650"/>
      <c r="B268" s="650"/>
      <c r="C268" s="650"/>
      <c r="D268" s="650"/>
      <c r="E268" s="650"/>
      <c r="F268" s="650"/>
      <c r="G268" s="650"/>
      <c r="H268" s="650"/>
      <c r="I268" s="650"/>
      <c r="J268" s="650"/>
      <c r="K268" s="650"/>
      <c r="L268" s="650"/>
      <c r="M268" s="650"/>
      <c r="N268" s="650"/>
      <c r="O268" s="650"/>
      <c r="P268" s="650"/>
      <c r="Q268" s="650"/>
      <c r="R268" s="650"/>
      <c r="S268" s="650"/>
      <c r="T268" s="650"/>
      <c r="U268" s="650"/>
      <c r="V268" s="650"/>
      <c r="W268" s="650"/>
      <c r="X268" s="650"/>
      <c r="Y268" s="650"/>
      <c r="Z268" s="650"/>
      <c r="AA268" s="650"/>
      <c r="AB268" s="650"/>
      <c r="AC268" s="650"/>
      <c r="AD268" s="650"/>
      <c r="AE268" s="650"/>
      <c r="AF268" s="650"/>
      <c r="AG268" s="650"/>
      <c r="AH268" s="650"/>
      <c r="AI268" s="650"/>
      <c r="AJ268" s="650"/>
      <c r="AK268" s="650"/>
      <c r="AL268" s="650"/>
      <c r="AM268" s="650"/>
      <c r="AN268" s="650"/>
      <c r="AO268" s="650"/>
      <c r="AP268" s="650"/>
      <c r="AQ268" s="650"/>
      <c r="AR268" s="650"/>
      <c r="AS268" s="650"/>
      <c r="AT268" s="650"/>
      <c r="AU268" s="650"/>
      <c r="AV268" s="650"/>
      <c r="AW268" s="650"/>
      <c r="AX268" s="650"/>
      <c r="AY268" s="650"/>
    </row>
    <row r="269" ht="21.75" customHeight="1">
      <c r="A269" s="650"/>
      <c r="B269" s="650"/>
      <c r="C269" s="650"/>
      <c r="D269" s="650"/>
      <c r="E269" s="650"/>
      <c r="F269" s="650"/>
      <c r="G269" s="650"/>
      <c r="H269" s="650"/>
      <c r="I269" s="650"/>
      <c r="J269" s="650"/>
      <c r="K269" s="650"/>
      <c r="L269" s="650"/>
      <c r="M269" s="650"/>
      <c r="N269" s="650"/>
      <c r="O269" s="650"/>
      <c r="P269" s="650"/>
      <c r="Q269" s="650"/>
      <c r="R269" s="650"/>
      <c r="S269" s="650"/>
      <c r="T269" s="650"/>
      <c r="U269" s="650"/>
      <c r="V269" s="650"/>
      <c r="W269" s="650"/>
      <c r="X269" s="650"/>
      <c r="Y269" s="650"/>
      <c r="Z269" s="650"/>
      <c r="AA269" s="650"/>
      <c r="AB269" s="650"/>
      <c r="AC269" s="650"/>
      <c r="AD269" s="650"/>
      <c r="AE269" s="650"/>
      <c r="AF269" s="650"/>
      <c r="AG269" s="650"/>
      <c r="AH269" s="650"/>
      <c r="AI269" s="650"/>
      <c r="AJ269" s="650"/>
      <c r="AK269" s="650"/>
      <c r="AL269" s="650"/>
      <c r="AM269" s="650"/>
      <c r="AN269" s="650"/>
      <c r="AO269" s="650"/>
      <c r="AP269" s="650"/>
      <c r="AQ269" s="650"/>
      <c r="AR269" s="650"/>
      <c r="AS269" s="650"/>
      <c r="AT269" s="650"/>
      <c r="AU269" s="650"/>
      <c r="AV269" s="650"/>
      <c r="AW269" s="650"/>
      <c r="AX269" s="650"/>
      <c r="AY269" s="650"/>
    </row>
    <row r="270" ht="21.75" customHeight="1">
      <c r="A270" s="650"/>
      <c r="B270" s="650"/>
      <c r="C270" s="650"/>
      <c r="D270" s="650"/>
      <c r="E270" s="650"/>
      <c r="F270" s="650"/>
      <c r="G270" s="650"/>
      <c r="H270" s="650"/>
      <c r="I270" s="650"/>
      <c r="J270" s="650"/>
      <c r="K270" s="650"/>
      <c r="L270" s="650"/>
      <c r="M270" s="650"/>
      <c r="N270" s="650"/>
      <c r="O270" s="650"/>
      <c r="P270" s="650"/>
      <c r="Q270" s="650"/>
      <c r="R270" s="650"/>
      <c r="S270" s="650"/>
      <c r="T270" s="650"/>
      <c r="U270" s="650"/>
      <c r="V270" s="650"/>
      <c r="W270" s="650"/>
      <c r="X270" s="650"/>
      <c r="Y270" s="650"/>
      <c r="Z270" s="650"/>
      <c r="AA270" s="650"/>
      <c r="AB270" s="650"/>
      <c r="AC270" s="650"/>
      <c r="AD270" s="650"/>
      <c r="AE270" s="650"/>
      <c r="AF270" s="650"/>
      <c r="AG270" s="650"/>
      <c r="AH270" s="650"/>
      <c r="AI270" s="650"/>
      <c r="AJ270" s="650"/>
      <c r="AK270" s="650"/>
      <c r="AL270" s="650"/>
      <c r="AM270" s="650"/>
      <c r="AN270" s="650"/>
      <c r="AO270" s="650"/>
      <c r="AP270" s="650"/>
      <c r="AQ270" s="650"/>
      <c r="AR270" s="650"/>
      <c r="AS270" s="650"/>
      <c r="AT270" s="650"/>
      <c r="AU270" s="650"/>
      <c r="AV270" s="650"/>
      <c r="AW270" s="650"/>
      <c r="AX270" s="650"/>
      <c r="AY270" s="650"/>
    </row>
    <row r="271" ht="21.75" customHeight="1">
      <c r="A271" s="650"/>
      <c r="B271" s="650"/>
      <c r="C271" s="650"/>
      <c r="D271" s="650"/>
      <c r="E271" s="650"/>
      <c r="F271" s="650"/>
      <c r="G271" s="650"/>
      <c r="H271" s="650"/>
      <c r="I271" s="650"/>
      <c r="J271" s="650"/>
      <c r="K271" s="650"/>
      <c r="L271" s="650"/>
      <c r="M271" s="650"/>
      <c r="N271" s="650"/>
      <c r="O271" s="650"/>
      <c r="P271" s="650"/>
      <c r="Q271" s="650"/>
      <c r="R271" s="650"/>
      <c r="S271" s="650"/>
      <c r="T271" s="650"/>
      <c r="U271" s="650"/>
      <c r="V271" s="650"/>
      <c r="W271" s="650"/>
      <c r="X271" s="650"/>
      <c r="Y271" s="650"/>
      <c r="Z271" s="650"/>
      <c r="AA271" s="650"/>
      <c r="AB271" s="650"/>
      <c r="AC271" s="650"/>
      <c r="AD271" s="650"/>
      <c r="AE271" s="650"/>
      <c r="AF271" s="650"/>
      <c r="AG271" s="650"/>
      <c r="AH271" s="650"/>
      <c r="AI271" s="650"/>
      <c r="AJ271" s="650"/>
      <c r="AK271" s="650"/>
      <c r="AL271" s="650"/>
      <c r="AM271" s="650"/>
      <c r="AN271" s="650"/>
      <c r="AO271" s="650"/>
      <c r="AP271" s="650"/>
      <c r="AQ271" s="650"/>
      <c r="AR271" s="650"/>
      <c r="AS271" s="650"/>
      <c r="AT271" s="650"/>
      <c r="AU271" s="650"/>
      <c r="AV271" s="650"/>
      <c r="AW271" s="650"/>
      <c r="AX271" s="650"/>
      <c r="AY271" s="650"/>
    </row>
    <row r="272" ht="21.75" customHeight="1">
      <c r="A272" s="650"/>
      <c r="B272" s="650"/>
      <c r="C272" s="650"/>
      <c r="D272" s="650"/>
      <c r="E272" s="650"/>
      <c r="F272" s="650"/>
      <c r="G272" s="650"/>
      <c r="H272" s="650"/>
      <c r="I272" s="650"/>
      <c r="J272" s="650"/>
      <c r="K272" s="650"/>
      <c r="L272" s="650"/>
      <c r="M272" s="650"/>
      <c r="N272" s="650"/>
      <c r="O272" s="650"/>
      <c r="P272" s="650"/>
      <c r="Q272" s="650"/>
      <c r="R272" s="650"/>
      <c r="S272" s="650"/>
      <c r="T272" s="650"/>
      <c r="U272" s="650"/>
      <c r="V272" s="650"/>
      <c r="W272" s="650"/>
      <c r="X272" s="650"/>
      <c r="Y272" s="650"/>
      <c r="Z272" s="650"/>
      <c r="AA272" s="650"/>
      <c r="AB272" s="650"/>
      <c r="AC272" s="650"/>
      <c r="AD272" s="650"/>
      <c r="AE272" s="650"/>
      <c r="AF272" s="650"/>
      <c r="AG272" s="650"/>
      <c r="AH272" s="650"/>
      <c r="AI272" s="650"/>
      <c r="AJ272" s="650"/>
      <c r="AK272" s="650"/>
      <c r="AL272" s="650"/>
      <c r="AM272" s="650"/>
      <c r="AN272" s="650"/>
      <c r="AO272" s="650"/>
      <c r="AP272" s="650"/>
      <c r="AQ272" s="650"/>
      <c r="AR272" s="650"/>
      <c r="AS272" s="650"/>
      <c r="AT272" s="650"/>
      <c r="AU272" s="650"/>
      <c r="AV272" s="650"/>
      <c r="AW272" s="650"/>
      <c r="AX272" s="650"/>
      <c r="AY272" s="650"/>
    </row>
    <row r="273" ht="21.75" customHeight="1">
      <c r="A273" s="650"/>
      <c r="B273" s="650"/>
      <c r="C273" s="650"/>
      <c r="D273" s="650"/>
      <c r="E273" s="650"/>
      <c r="F273" s="650"/>
      <c r="G273" s="650"/>
      <c r="H273" s="650"/>
      <c r="I273" s="650"/>
      <c r="J273" s="650"/>
      <c r="K273" s="650"/>
      <c r="L273" s="650"/>
      <c r="M273" s="650"/>
      <c r="N273" s="650"/>
      <c r="O273" s="650"/>
      <c r="P273" s="650"/>
      <c r="Q273" s="650"/>
      <c r="R273" s="650"/>
      <c r="S273" s="650"/>
      <c r="T273" s="650"/>
      <c r="U273" s="650"/>
      <c r="V273" s="650"/>
      <c r="W273" s="650"/>
      <c r="X273" s="650"/>
      <c r="Y273" s="650"/>
      <c r="Z273" s="650"/>
      <c r="AA273" s="650"/>
      <c r="AB273" s="650"/>
      <c r="AC273" s="650"/>
      <c r="AD273" s="650"/>
      <c r="AE273" s="650"/>
      <c r="AF273" s="650"/>
      <c r="AG273" s="650"/>
      <c r="AH273" s="650"/>
      <c r="AI273" s="650"/>
      <c r="AJ273" s="650"/>
      <c r="AK273" s="650"/>
      <c r="AL273" s="650"/>
      <c r="AM273" s="650"/>
      <c r="AN273" s="650"/>
      <c r="AO273" s="650"/>
      <c r="AP273" s="650"/>
      <c r="AQ273" s="650"/>
      <c r="AR273" s="650"/>
      <c r="AS273" s="650"/>
      <c r="AT273" s="650"/>
      <c r="AU273" s="650"/>
      <c r="AV273" s="650"/>
      <c r="AW273" s="650"/>
      <c r="AX273" s="650"/>
      <c r="AY273" s="650"/>
    </row>
    <row r="274" ht="21.75" customHeight="1">
      <c r="A274" s="650"/>
      <c r="B274" s="650"/>
      <c r="C274" s="650"/>
      <c r="D274" s="650"/>
      <c r="E274" s="650"/>
      <c r="F274" s="650"/>
      <c r="G274" s="650"/>
      <c r="H274" s="650"/>
      <c r="I274" s="650"/>
      <c r="J274" s="650"/>
      <c r="K274" s="650"/>
      <c r="L274" s="650"/>
      <c r="M274" s="650"/>
      <c r="N274" s="650"/>
      <c r="O274" s="650"/>
      <c r="P274" s="650"/>
      <c r="Q274" s="650"/>
      <c r="R274" s="650"/>
      <c r="S274" s="650"/>
      <c r="T274" s="650"/>
      <c r="U274" s="650"/>
      <c r="V274" s="650"/>
      <c r="W274" s="650"/>
      <c r="X274" s="650"/>
      <c r="Y274" s="650"/>
      <c r="Z274" s="650"/>
      <c r="AA274" s="650"/>
      <c r="AB274" s="650"/>
      <c r="AC274" s="650"/>
      <c r="AD274" s="650"/>
      <c r="AE274" s="650"/>
      <c r="AF274" s="650"/>
      <c r="AG274" s="650"/>
      <c r="AH274" s="650"/>
      <c r="AI274" s="650"/>
      <c r="AJ274" s="650"/>
      <c r="AK274" s="650"/>
      <c r="AL274" s="650"/>
      <c r="AM274" s="650"/>
      <c r="AN274" s="650"/>
      <c r="AO274" s="650"/>
      <c r="AP274" s="650"/>
      <c r="AQ274" s="650"/>
      <c r="AR274" s="650"/>
      <c r="AS274" s="650"/>
      <c r="AT274" s="650"/>
      <c r="AU274" s="650"/>
      <c r="AV274" s="650"/>
      <c r="AW274" s="650"/>
      <c r="AX274" s="650"/>
      <c r="AY274" s="650"/>
    </row>
    <row r="275" ht="21.75" customHeight="1">
      <c r="A275" s="650"/>
      <c r="B275" s="650"/>
      <c r="C275" s="650"/>
      <c r="D275" s="650"/>
      <c r="E275" s="650"/>
      <c r="F275" s="650"/>
      <c r="G275" s="650"/>
      <c r="H275" s="650"/>
      <c r="I275" s="650"/>
      <c r="J275" s="650"/>
      <c r="K275" s="650"/>
      <c r="L275" s="650"/>
      <c r="M275" s="650"/>
      <c r="N275" s="650"/>
      <c r="O275" s="650"/>
      <c r="P275" s="650"/>
      <c r="Q275" s="650"/>
      <c r="R275" s="650"/>
      <c r="S275" s="650"/>
      <c r="T275" s="650"/>
      <c r="U275" s="650"/>
      <c r="V275" s="650"/>
      <c r="W275" s="650"/>
      <c r="X275" s="650"/>
      <c r="Y275" s="650"/>
      <c r="Z275" s="650"/>
      <c r="AA275" s="650"/>
      <c r="AB275" s="650"/>
      <c r="AC275" s="650"/>
      <c r="AD275" s="650"/>
      <c r="AE275" s="650"/>
      <c r="AF275" s="650"/>
      <c r="AG275" s="650"/>
      <c r="AH275" s="650"/>
      <c r="AI275" s="650"/>
      <c r="AJ275" s="650"/>
      <c r="AK275" s="650"/>
      <c r="AL275" s="650"/>
      <c r="AM275" s="650"/>
      <c r="AN275" s="650"/>
      <c r="AO275" s="650"/>
      <c r="AP275" s="650"/>
      <c r="AQ275" s="650"/>
      <c r="AR275" s="650"/>
      <c r="AS275" s="650"/>
      <c r="AT275" s="650"/>
      <c r="AU275" s="650"/>
      <c r="AV275" s="650"/>
      <c r="AW275" s="650"/>
      <c r="AX275" s="650"/>
      <c r="AY275" s="650"/>
    </row>
    <row r="276" ht="21.75" customHeight="1">
      <c r="A276" s="650"/>
      <c r="B276" s="650"/>
      <c r="C276" s="650"/>
      <c r="D276" s="650"/>
      <c r="E276" s="650"/>
      <c r="F276" s="650"/>
      <c r="G276" s="650"/>
      <c r="H276" s="650"/>
      <c r="I276" s="650"/>
      <c r="J276" s="650"/>
      <c r="K276" s="650"/>
      <c r="L276" s="650"/>
      <c r="M276" s="650"/>
      <c r="N276" s="650"/>
      <c r="O276" s="650"/>
      <c r="P276" s="650"/>
      <c r="Q276" s="650"/>
      <c r="R276" s="650"/>
      <c r="S276" s="650"/>
      <c r="T276" s="650"/>
      <c r="U276" s="650"/>
      <c r="V276" s="650"/>
      <c r="W276" s="650"/>
      <c r="X276" s="650"/>
      <c r="Y276" s="650"/>
      <c r="Z276" s="650"/>
      <c r="AA276" s="650"/>
      <c r="AB276" s="650"/>
      <c r="AC276" s="650"/>
      <c r="AD276" s="650"/>
      <c r="AE276" s="650"/>
      <c r="AF276" s="650"/>
      <c r="AG276" s="650"/>
      <c r="AH276" s="650"/>
      <c r="AI276" s="650"/>
      <c r="AJ276" s="650"/>
      <c r="AK276" s="650"/>
      <c r="AL276" s="650"/>
      <c r="AM276" s="650"/>
      <c r="AN276" s="650"/>
      <c r="AO276" s="650"/>
      <c r="AP276" s="650"/>
      <c r="AQ276" s="650"/>
      <c r="AR276" s="650"/>
      <c r="AS276" s="650"/>
      <c r="AT276" s="650"/>
      <c r="AU276" s="650"/>
      <c r="AV276" s="650"/>
      <c r="AW276" s="650"/>
      <c r="AX276" s="650"/>
      <c r="AY276" s="650"/>
    </row>
    <row r="277" ht="21.75" customHeight="1">
      <c r="A277" s="650"/>
      <c r="B277" s="650"/>
      <c r="C277" s="650"/>
      <c r="D277" s="650"/>
      <c r="E277" s="650"/>
      <c r="F277" s="650"/>
      <c r="G277" s="650"/>
      <c r="H277" s="650"/>
      <c r="I277" s="650"/>
      <c r="J277" s="650"/>
      <c r="K277" s="650"/>
      <c r="L277" s="650"/>
      <c r="M277" s="650"/>
      <c r="N277" s="650"/>
      <c r="O277" s="650"/>
      <c r="P277" s="650"/>
      <c r="Q277" s="650"/>
      <c r="R277" s="650"/>
      <c r="S277" s="650"/>
      <c r="T277" s="650"/>
      <c r="U277" s="650"/>
      <c r="V277" s="650"/>
      <c r="W277" s="650"/>
      <c r="X277" s="650"/>
      <c r="Y277" s="650"/>
      <c r="Z277" s="650"/>
      <c r="AA277" s="650"/>
      <c r="AB277" s="650"/>
      <c r="AC277" s="650"/>
      <c r="AD277" s="650"/>
      <c r="AE277" s="650"/>
      <c r="AF277" s="650"/>
      <c r="AG277" s="650"/>
      <c r="AH277" s="650"/>
      <c r="AI277" s="650"/>
      <c r="AJ277" s="650"/>
      <c r="AK277" s="650"/>
      <c r="AL277" s="650"/>
      <c r="AM277" s="650"/>
      <c r="AN277" s="650"/>
      <c r="AO277" s="650"/>
      <c r="AP277" s="650"/>
      <c r="AQ277" s="650"/>
      <c r="AR277" s="650"/>
      <c r="AS277" s="650"/>
      <c r="AT277" s="650"/>
      <c r="AU277" s="650"/>
      <c r="AV277" s="650"/>
      <c r="AW277" s="650"/>
      <c r="AX277" s="650"/>
      <c r="AY277" s="650"/>
    </row>
    <row r="278" ht="21.75" customHeight="1">
      <c r="A278" s="650"/>
      <c r="B278" s="650"/>
      <c r="C278" s="650"/>
      <c r="D278" s="650"/>
      <c r="E278" s="650"/>
      <c r="F278" s="650"/>
      <c r="G278" s="650"/>
      <c r="H278" s="650"/>
      <c r="I278" s="650"/>
      <c r="J278" s="650"/>
      <c r="K278" s="650"/>
      <c r="L278" s="650"/>
      <c r="M278" s="650"/>
      <c r="N278" s="650"/>
      <c r="O278" s="650"/>
      <c r="P278" s="650"/>
      <c r="Q278" s="650"/>
      <c r="R278" s="650"/>
      <c r="S278" s="650"/>
      <c r="T278" s="650"/>
      <c r="U278" s="650"/>
      <c r="V278" s="650"/>
      <c r="W278" s="650"/>
      <c r="X278" s="650"/>
      <c r="Y278" s="650"/>
      <c r="Z278" s="650"/>
      <c r="AA278" s="650"/>
      <c r="AB278" s="650"/>
      <c r="AC278" s="650"/>
      <c r="AD278" s="650"/>
      <c r="AE278" s="650"/>
      <c r="AF278" s="650"/>
      <c r="AG278" s="650"/>
      <c r="AH278" s="650"/>
      <c r="AI278" s="650"/>
      <c r="AJ278" s="650"/>
      <c r="AK278" s="650"/>
      <c r="AL278" s="650"/>
      <c r="AM278" s="650"/>
      <c r="AN278" s="650"/>
      <c r="AO278" s="650"/>
      <c r="AP278" s="650"/>
      <c r="AQ278" s="650"/>
      <c r="AR278" s="650"/>
      <c r="AS278" s="650"/>
      <c r="AT278" s="650"/>
      <c r="AU278" s="650"/>
      <c r="AV278" s="650"/>
      <c r="AW278" s="650"/>
      <c r="AX278" s="650"/>
      <c r="AY278" s="650"/>
    </row>
    <row r="279" ht="21.75" customHeight="1">
      <c r="A279" s="650"/>
      <c r="B279" s="650"/>
      <c r="C279" s="650"/>
      <c r="D279" s="650"/>
      <c r="E279" s="650"/>
      <c r="F279" s="650"/>
      <c r="G279" s="650"/>
      <c r="H279" s="650"/>
      <c r="I279" s="650"/>
      <c r="J279" s="650"/>
      <c r="K279" s="650"/>
      <c r="L279" s="650"/>
      <c r="M279" s="650"/>
      <c r="N279" s="650"/>
      <c r="O279" s="650"/>
      <c r="P279" s="650"/>
      <c r="Q279" s="650"/>
      <c r="R279" s="650"/>
      <c r="S279" s="650"/>
      <c r="T279" s="650"/>
      <c r="U279" s="650"/>
      <c r="V279" s="650"/>
      <c r="W279" s="650"/>
      <c r="X279" s="650"/>
      <c r="Y279" s="650"/>
      <c r="Z279" s="650"/>
      <c r="AA279" s="650"/>
      <c r="AB279" s="650"/>
      <c r="AC279" s="650"/>
      <c r="AD279" s="650"/>
      <c r="AE279" s="650"/>
      <c r="AF279" s="650"/>
      <c r="AG279" s="650"/>
      <c r="AH279" s="650"/>
      <c r="AI279" s="650"/>
      <c r="AJ279" s="650"/>
      <c r="AK279" s="650"/>
      <c r="AL279" s="650"/>
      <c r="AM279" s="650"/>
      <c r="AN279" s="650"/>
      <c r="AO279" s="650"/>
      <c r="AP279" s="650"/>
      <c r="AQ279" s="650"/>
      <c r="AR279" s="650"/>
      <c r="AS279" s="650"/>
      <c r="AT279" s="650"/>
      <c r="AU279" s="650"/>
      <c r="AV279" s="650"/>
      <c r="AW279" s="650"/>
      <c r="AX279" s="650"/>
      <c r="AY279" s="650"/>
    </row>
    <row r="280" ht="21.75" customHeight="1">
      <c r="A280" s="650"/>
      <c r="B280" s="650"/>
      <c r="C280" s="650"/>
      <c r="D280" s="650"/>
      <c r="E280" s="650"/>
      <c r="F280" s="650"/>
      <c r="G280" s="650"/>
      <c r="H280" s="650"/>
      <c r="I280" s="650"/>
      <c r="J280" s="650"/>
      <c r="K280" s="650"/>
      <c r="L280" s="650"/>
      <c r="M280" s="650"/>
      <c r="N280" s="650"/>
      <c r="O280" s="650"/>
      <c r="P280" s="650"/>
      <c r="Q280" s="650"/>
      <c r="R280" s="650"/>
      <c r="S280" s="650"/>
      <c r="T280" s="650"/>
      <c r="U280" s="650"/>
      <c r="V280" s="650"/>
      <c r="W280" s="650"/>
      <c r="X280" s="650"/>
      <c r="Y280" s="650"/>
      <c r="Z280" s="650"/>
      <c r="AA280" s="650"/>
      <c r="AB280" s="650"/>
      <c r="AC280" s="650"/>
      <c r="AD280" s="650"/>
      <c r="AE280" s="650"/>
      <c r="AF280" s="650"/>
      <c r="AG280" s="650"/>
      <c r="AH280" s="650"/>
      <c r="AI280" s="650"/>
      <c r="AJ280" s="650"/>
      <c r="AK280" s="650"/>
      <c r="AL280" s="650"/>
      <c r="AM280" s="650"/>
      <c r="AN280" s="650"/>
      <c r="AO280" s="650"/>
      <c r="AP280" s="650"/>
      <c r="AQ280" s="650"/>
      <c r="AR280" s="650"/>
      <c r="AS280" s="650"/>
      <c r="AT280" s="650"/>
      <c r="AU280" s="650"/>
      <c r="AV280" s="650"/>
      <c r="AW280" s="650"/>
      <c r="AX280" s="650"/>
      <c r="AY280" s="650"/>
    </row>
    <row r="281" ht="21.75" customHeight="1">
      <c r="A281" s="650"/>
      <c r="B281" s="650"/>
      <c r="C281" s="650"/>
      <c r="D281" s="650"/>
      <c r="E281" s="650"/>
      <c r="F281" s="650"/>
      <c r="G281" s="650"/>
      <c r="H281" s="650"/>
      <c r="I281" s="650"/>
      <c r="J281" s="650"/>
      <c r="K281" s="650"/>
      <c r="L281" s="650"/>
      <c r="M281" s="650"/>
      <c r="N281" s="650"/>
      <c r="O281" s="650"/>
      <c r="P281" s="650"/>
      <c r="Q281" s="650"/>
      <c r="R281" s="650"/>
      <c r="S281" s="650"/>
      <c r="T281" s="650"/>
      <c r="U281" s="650"/>
      <c r="V281" s="650"/>
      <c r="W281" s="650"/>
      <c r="X281" s="650"/>
      <c r="Y281" s="650"/>
      <c r="Z281" s="650"/>
      <c r="AA281" s="650"/>
      <c r="AB281" s="650"/>
      <c r="AC281" s="650"/>
      <c r="AD281" s="650"/>
      <c r="AE281" s="650"/>
      <c r="AF281" s="650"/>
      <c r="AG281" s="650"/>
      <c r="AH281" s="650"/>
      <c r="AI281" s="650"/>
      <c r="AJ281" s="650"/>
      <c r="AK281" s="650"/>
      <c r="AL281" s="650"/>
      <c r="AM281" s="650"/>
      <c r="AN281" s="650"/>
      <c r="AO281" s="650"/>
      <c r="AP281" s="650"/>
      <c r="AQ281" s="650"/>
      <c r="AR281" s="650"/>
      <c r="AS281" s="650"/>
      <c r="AT281" s="650"/>
      <c r="AU281" s="650"/>
      <c r="AV281" s="650"/>
      <c r="AW281" s="650"/>
      <c r="AX281" s="650"/>
      <c r="AY281" s="650"/>
    </row>
    <row r="282" ht="21.75" customHeight="1">
      <c r="A282" s="650"/>
      <c r="B282" s="650"/>
      <c r="C282" s="650"/>
      <c r="D282" s="650"/>
      <c r="E282" s="650"/>
      <c r="F282" s="650"/>
      <c r="G282" s="650"/>
      <c r="H282" s="650"/>
      <c r="I282" s="650"/>
      <c r="J282" s="650"/>
      <c r="K282" s="650"/>
      <c r="L282" s="650"/>
      <c r="M282" s="650"/>
      <c r="N282" s="650"/>
      <c r="O282" s="650"/>
      <c r="P282" s="650"/>
      <c r="Q282" s="650"/>
      <c r="R282" s="650"/>
      <c r="S282" s="650"/>
      <c r="T282" s="650"/>
      <c r="U282" s="650"/>
      <c r="V282" s="650"/>
      <c r="W282" s="650"/>
      <c r="X282" s="650"/>
      <c r="Y282" s="650"/>
      <c r="Z282" s="650"/>
      <c r="AA282" s="650"/>
      <c r="AB282" s="650"/>
      <c r="AC282" s="650"/>
      <c r="AD282" s="650"/>
      <c r="AE282" s="650"/>
      <c r="AF282" s="650"/>
      <c r="AG282" s="650"/>
      <c r="AH282" s="650"/>
      <c r="AI282" s="650"/>
      <c r="AJ282" s="650"/>
      <c r="AK282" s="650"/>
      <c r="AL282" s="650"/>
      <c r="AM282" s="650"/>
      <c r="AN282" s="650"/>
      <c r="AO282" s="650"/>
      <c r="AP282" s="650"/>
      <c r="AQ282" s="650"/>
      <c r="AR282" s="650"/>
      <c r="AS282" s="650"/>
      <c r="AT282" s="650"/>
      <c r="AU282" s="650"/>
      <c r="AV282" s="650"/>
      <c r="AW282" s="650"/>
      <c r="AX282" s="650"/>
      <c r="AY282" s="650"/>
    </row>
    <row r="283" ht="21.75" customHeight="1">
      <c r="A283" s="650"/>
      <c r="B283" s="650"/>
      <c r="C283" s="650"/>
      <c r="D283" s="650"/>
      <c r="E283" s="650"/>
      <c r="F283" s="650"/>
      <c r="G283" s="650"/>
      <c r="H283" s="650"/>
      <c r="I283" s="650"/>
      <c r="J283" s="650"/>
      <c r="K283" s="650"/>
      <c r="L283" s="650"/>
      <c r="M283" s="650"/>
      <c r="N283" s="650"/>
      <c r="O283" s="650"/>
      <c r="P283" s="650"/>
      <c r="Q283" s="650"/>
      <c r="R283" s="650"/>
      <c r="S283" s="650"/>
      <c r="T283" s="650"/>
      <c r="U283" s="650"/>
      <c r="V283" s="650"/>
      <c r="W283" s="650"/>
      <c r="X283" s="650"/>
      <c r="Y283" s="650"/>
      <c r="Z283" s="650"/>
      <c r="AA283" s="650"/>
      <c r="AB283" s="650"/>
      <c r="AC283" s="650"/>
      <c r="AD283" s="650"/>
      <c r="AE283" s="650"/>
      <c r="AF283" s="650"/>
      <c r="AG283" s="650"/>
      <c r="AH283" s="650"/>
      <c r="AI283" s="650"/>
      <c r="AJ283" s="650"/>
      <c r="AK283" s="650"/>
      <c r="AL283" s="650"/>
      <c r="AM283" s="650"/>
      <c r="AN283" s="650"/>
      <c r="AO283" s="650"/>
      <c r="AP283" s="650"/>
      <c r="AQ283" s="650"/>
      <c r="AR283" s="650"/>
      <c r="AS283" s="650"/>
      <c r="AT283" s="650"/>
      <c r="AU283" s="650"/>
      <c r="AV283" s="650"/>
      <c r="AW283" s="650"/>
      <c r="AX283" s="650"/>
      <c r="AY283" s="650"/>
    </row>
    <row r="284" ht="21.75" customHeight="1">
      <c r="A284" s="650"/>
      <c r="B284" s="650"/>
      <c r="C284" s="650"/>
      <c r="D284" s="650"/>
      <c r="E284" s="650"/>
      <c r="F284" s="650"/>
      <c r="G284" s="650"/>
      <c r="H284" s="650"/>
      <c r="I284" s="650"/>
      <c r="J284" s="650"/>
      <c r="K284" s="650"/>
      <c r="L284" s="650"/>
      <c r="M284" s="650"/>
      <c r="N284" s="650"/>
      <c r="O284" s="650"/>
      <c r="P284" s="650"/>
      <c r="Q284" s="650"/>
      <c r="R284" s="650"/>
      <c r="S284" s="650"/>
      <c r="T284" s="650"/>
      <c r="U284" s="650"/>
      <c r="V284" s="650"/>
      <c r="W284" s="650"/>
      <c r="X284" s="650"/>
      <c r="Y284" s="650"/>
      <c r="Z284" s="650"/>
      <c r="AA284" s="650"/>
      <c r="AB284" s="650"/>
      <c r="AC284" s="650"/>
      <c r="AD284" s="650"/>
      <c r="AE284" s="650"/>
      <c r="AF284" s="650"/>
      <c r="AG284" s="650"/>
      <c r="AH284" s="650"/>
      <c r="AI284" s="650"/>
      <c r="AJ284" s="650"/>
      <c r="AK284" s="650"/>
      <c r="AL284" s="650"/>
      <c r="AM284" s="650"/>
      <c r="AN284" s="650"/>
      <c r="AO284" s="650"/>
      <c r="AP284" s="650"/>
      <c r="AQ284" s="650"/>
      <c r="AR284" s="650"/>
      <c r="AS284" s="650"/>
      <c r="AT284" s="650"/>
      <c r="AU284" s="650"/>
      <c r="AV284" s="650"/>
      <c r="AW284" s="650"/>
      <c r="AX284" s="650"/>
      <c r="AY284" s="650"/>
    </row>
    <row r="285" ht="21.75" customHeight="1">
      <c r="A285" s="650"/>
      <c r="B285" s="650"/>
      <c r="C285" s="650"/>
      <c r="D285" s="650"/>
      <c r="E285" s="650"/>
      <c r="F285" s="650"/>
      <c r="G285" s="650"/>
      <c r="H285" s="650"/>
      <c r="I285" s="650"/>
      <c r="J285" s="650"/>
      <c r="K285" s="650"/>
      <c r="L285" s="650"/>
      <c r="M285" s="650"/>
      <c r="N285" s="650"/>
      <c r="O285" s="650"/>
      <c r="P285" s="650"/>
      <c r="Q285" s="650"/>
      <c r="R285" s="650"/>
      <c r="S285" s="650"/>
      <c r="T285" s="650"/>
      <c r="U285" s="650"/>
      <c r="V285" s="650"/>
      <c r="W285" s="650"/>
      <c r="X285" s="650"/>
      <c r="Y285" s="650"/>
      <c r="Z285" s="650"/>
      <c r="AA285" s="650"/>
      <c r="AB285" s="650"/>
      <c r="AC285" s="650"/>
      <c r="AD285" s="650"/>
      <c r="AE285" s="650"/>
      <c r="AF285" s="650"/>
      <c r="AG285" s="650"/>
      <c r="AH285" s="650"/>
      <c r="AI285" s="650"/>
      <c r="AJ285" s="650"/>
      <c r="AK285" s="650"/>
      <c r="AL285" s="650"/>
      <c r="AM285" s="650"/>
      <c r="AN285" s="650"/>
      <c r="AO285" s="650"/>
      <c r="AP285" s="650"/>
      <c r="AQ285" s="650"/>
      <c r="AR285" s="650"/>
      <c r="AS285" s="650"/>
      <c r="AT285" s="650"/>
      <c r="AU285" s="650"/>
      <c r="AV285" s="650"/>
      <c r="AW285" s="650"/>
      <c r="AX285" s="650"/>
      <c r="AY285" s="650"/>
    </row>
    <row r="286" ht="21.75" customHeight="1">
      <c r="A286" s="650"/>
      <c r="B286" s="650"/>
      <c r="C286" s="650"/>
      <c r="D286" s="650"/>
      <c r="E286" s="650"/>
      <c r="F286" s="650"/>
      <c r="G286" s="650"/>
      <c r="H286" s="650"/>
      <c r="I286" s="650"/>
      <c r="J286" s="650"/>
      <c r="K286" s="650"/>
      <c r="L286" s="650"/>
      <c r="M286" s="650"/>
      <c r="N286" s="650"/>
      <c r="O286" s="650"/>
      <c r="P286" s="650"/>
      <c r="Q286" s="650"/>
      <c r="R286" s="650"/>
      <c r="S286" s="650"/>
      <c r="T286" s="650"/>
      <c r="U286" s="650"/>
      <c r="V286" s="650"/>
      <c r="W286" s="650"/>
      <c r="X286" s="650"/>
      <c r="Y286" s="650"/>
      <c r="Z286" s="650"/>
      <c r="AA286" s="650"/>
      <c r="AB286" s="650"/>
      <c r="AC286" s="650"/>
      <c r="AD286" s="650"/>
      <c r="AE286" s="650"/>
      <c r="AF286" s="650"/>
      <c r="AG286" s="650"/>
      <c r="AH286" s="650"/>
      <c r="AI286" s="650"/>
      <c r="AJ286" s="650"/>
      <c r="AK286" s="650"/>
      <c r="AL286" s="650"/>
      <c r="AM286" s="650"/>
      <c r="AN286" s="650"/>
      <c r="AO286" s="650"/>
      <c r="AP286" s="650"/>
      <c r="AQ286" s="650"/>
      <c r="AR286" s="650"/>
      <c r="AS286" s="650"/>
      <c r="AT286" s="650"/>
      <c r="AU286" s="650"/>
      <c r="AV286" s="650"/>
      <c r="AW286" s="650"/>
      <c r="AX286" s="650"/>
      <c r="AY286" s="650"/>
    </row>
    <row r="287" ht="21.75" customHeight="1">
      <c r="A287" s="650"/>
      <c r="B287" s="650"/>
      <c r="C287" s="650"/>
      <c r="D287" s="650"/>
      <c r="E287" s="650"/>
      <c r="F287" s="650"/>
      <c r="G287" s="650"/>
      <c r="H287" s="650"/>
      <c r="I287" s="650"/>
      <c r="J287" s="650"/>
      <c r="K287" s="650"/>
      <c r="L287" s="650"/>
      <c r="M287" s="650"/>
      <c r="N287" s="650"/>
      <c r="O287" s="650"/>
      <c r="P287" s="650"/>
      <c r="Q287" s="650"/>
      <c r="R287" s="650"/>
      <c r="S287" s="650"/>
      <c r="T287" s="650"/>
      <c r="U287" s="650"/>
      <c r="V287" s="650"/>
      <c r="W287" s="650"/>
      <c r="X287" s="650"/>
      <c r="Y287" s="650"/>
      <c r="Z287" s="650"/>
      <c r="AA287" s="650"/>
      <c r="AB287" s="650"/>
      <c r="AC287" s="650"/>
      <c r="AD287" s="650"/>
      <c r="AE287" s="650"/>
      <c r="AF287" s="650"/>
      <c r="AG287" s="650"/>
      <c r="AH287" s="650"/>
      <c r="AI287" s="650"/>
      <c r="AJ287" s="650"/>
      <c r="AK287" s="650"/>
      <c r="AL287" s="650"/>
      <c r="AM287" s="650"/>
      <c r="AN287" s="650"/>
      <c r="AO287" s="650"/>
      <c r="AP287" s="650"/>
      <c r="AQ287" s="650"/>
      <c r="AR287" s="650"/>
      <c r="AS287" s="650"/>
      <c r="AT287" s="650"/>
      <c r="AU287" s="650"/>
      <c r="AV287" s="650"/>
      <c r="AW287" s="650"/>
      <c r="AX287" s="650"/>
      <c r="AY287" s="650"/>
    </row>
    <row r="288" ht="21.75" customHeight="1">
      <c r="A288" s="650"/>
      <c r="B288" s="650"/>
      <c r="C288" s="650"/>
      <c r="D288" s="650"/>
      <c r="E288" s="650"/>
      <c r="F288" s="650"/>
      <c r="G288" s="650"/>
      <c r="H288" s="650"/>
      <c r="I288" s="650"/>
      <c r="J288" s="650"/>
      <c r="K288" s="650"/>
      <c r="L288" s="650"/>
      <c r="M288" s="650"/>
      <c r="N288" s="650"/>
      <c r="O288" s="650"/>
      <c r="P288" s="650"/>
      <c r="Q288" s="650"/>
      <c r="R288" s="650"/>
      <c r="S288" s="650"/>
      <c r="T288" s="650"/>
      <c r="U288" s="650"/>
      <c r="V288" s="650"/>
      <c r="W288" s="650"/>
      <c r="X288" s="650"/>
      <c r="Y288" s="650"/>
      <c r="Z288" s="650"/>
      <c r="AA288" s="650"/>
      <c r="AB288" s="650"/>
      <c r="AC288" s="650"/>
      <c r="AD288" s="650"/>
      <c r="AE288" s="650"/>
      <c r="AF288" s="650"/>
      <c r="AG288" s="650"/>
      <c r="AH288" s="650"/>
      <c r="AI288" s="650"/>
      <c r="AJ288" s="650"/>
      <c r="AK288" s="650"/>
      <c r="AL288" s="650"/>
      <c r="AM288" s="650"/>
      <c r="AN288" s="650"/>
      <c r="AO288" s="650"/>
      <c r="AP288" s="650"/>
      <c r="AQ288" s="650"/>
      <c r="AR288" s="650"/>
      <c r="AS288" s="650"/>
      <c r="AT288" s="650"/>
      <c r="AU288" s="650"/>
      <c r="AV288" s="650"/>
      <c r="AW288" s="650"/>
      <c r="AX288" s="650"/>
      <c r="AY288" s="650"/>
    </row>
    <row r="289" ht="21.75" customHeight="1">
      <c r="A289" s="650"/>
      <c r="B289" s="650"/>
      <c r="C289" s="650"/>
      <c r="D289" s="650"/>
      <c r="E289" s="650"/>
      <c r="F289" s="650"/>
      <c r="G289" s="650"/>
      <c r="H289" s="650"/>
      <c r="I289" s="650"/>
      <c r="J289" s="650"/>
      <c r="K289" s="650"/>
      <c r="L289" s="650"/>
      <c r="M289" s="650"/>
      <c r="N289" s="650"/>
      <c r="O289" s="650"/>
      <c r="P289" s="650"/>
      <c r="Q289" s="650"/>
      <c r="R289" s="650"/>
      <c r="S289" s="650"/>
      <c r="T289" s="650"/>
      <c r="U289" s="650"/>
      <c r="V289" s="650"/>
      <c r="W289" s="650"/>
      <c r="X289" s="650"/>
      <c r="Y289" s="650"/>
      <c r="Z289" s="650"/>
      <c r="AA289" s="650"/>
      <c r="AB289" s="650"/>
      <c r="AC289" s="650"/>
      <c r="AD289" s="650"/>
      <c r="AE289" s="650"/>
      <c r="AF289" s="650"/>
      <c r="AG289" s="650"/>
      <c r="AH289" s="650"/>
      <c r="AI289" s="650"/>
      <c r="AJ289" s="650"/>
      <c r="AK289" s="650"/>
      <c r="AL289" s="650"/>
      <c r="AM289" s="650"/>
      <c r="AN289" s="650"/>
      <c r="AO289" s="650"/>
      <c r="AP289" s="650"/>
      <c r="AQ289" s="650"/>
      <c r="AR289" s="650"/>
      <c r="AS289" s="650"/>
      <c r="AT289" s="650"/>
      <c r="AU289" s="650"/>
      <c r="AV289" s="650"/>
      <c r="AW289" s="650"/>
      <c r="AX289" s="650"/>
      <c r="AY289" s="650"/>
    </row>
    <row r="290" ht="21.75" customHeight="1">
      <c r="A290" s="650"/>
      <c r="B290" s="650"/>
      <c r="C290" s="650"/>
      <c r="D290" s="650"/>
      <c r="E290" s="650"/>
      <c r="F290" s="650"/>
      <c r="G290" s="650"/>
      <c r="H290" s="650"/>
      <c r="I290" s="650"/>
      <c r="J290" s="650"/>
      <c r="K290" s="650"/>
      <c r="L290" s="650"/>
      <c r="M290" s="650"/>
      <c r="N290" s="650"/>
      <c r="O290" s="650"/>
      <c r="P290" s="650"/>
      <c r="Q290" s="650"/>
      <c r="R290" s="650"/>
      <c r="S290" s="650"/>
      <c r="T290" s="650"/>
      <c r="U290" s="650"/>
      <c r="V290" s="650"/>
      <c r="W290" s="650"/>
      <c r="X290" s="650"/>
      <c r="Y290" s="650"/>
      <c r="Z290" s="650"/>
      <c r="AA290" s="650"/>
      <c r="AB290" s="650"/>
      <c r="AC290" s="650"/>
      <c r="AD290" s="650"/>
      <c r="AE290" s="650"/>
      <c r="AF290" s="650"/>
      <c r="AG290" s="650"/>
      <c r="AH290" s="650"/>
      <c r="AI290" s="650"/>
      <c r="AJ290" s="650"/>
      <c r="AK290" s="650"/>
      <c r="AL290" s="650"/>
      <c r="AM290" s="650"/>
      <c r="AN290" s="650"/>
      <c r="AO290" s="650"/>
      <c r="AP290" s="650"/>
      <c r="AQ290" s="650"/>
      <c r="AR290" s="650"/>
      <c r="AS290" s="650"/>
      <c r="AT290" s="650"/>
      <c r="AU290" s="650"/>
      <c r="AV290" s="650"/>
      <c r="AW290" s="650"/>
      <c r="AX290" s="650"/>
      <c r="AY290" s="650"/>
    </row>
    <row r="291" ht="21.75" customHeight="1">
      <c r="A291" s="650"/>
      <c r="B291" s="650"/>
      <c r="C291" s="650"/>
      <c r="D291" s="650"/>
      <c r="E291" s="650"/>
      <c r="F291" s="650"/>
      <c r="G291" s="650"/>
      <c r="H291" s="650"/>
      <c r="I291" s="650"/>
      <c r="J291" s="650"/>
      <c r="K291" s="650"/>
      <c r="L291" s="650"/>
      <c r="M291" s="650"/>
      <c r="N291" s="650"/>
      <c r="O291" s="650"/>
      <c r="P291" s="650"/>
      <c r="Q291" s="650"/>
      <c r="R291" s="650"/>
      <c r="S291" s="650"/>
      <c r="T291" s="650"/>
      <c r="U291" s="650"/>
      <c r="V291" s="650"/>
      <c r="W291" s="650"/>
      <c r="X291" s="650"/>
      <c r="Y291" s="650"/>
      <c r="Z291" s="650"/>
      <c r="AA291" s="650"/>
      <c r="AB291" s="650"/>
      <c r="AC291" s="650"/>
      <c r="AD291" s="650"/>
      <c r="AE291" s="650"/>
      <c r="AF291" s="650"/>
      <c r="AG291" s="650"/>
      <c r="AH291" s="650"/>
      <c r="AI291" s="650"/>
      <c r="AJ291" s="650"/>
      <c r="AK291" s="650"/>
      <c r="AL291" s="650"/>
      <c r="AM291" s="650"/>
      <c r="AN291" s="650"/>
      <c r="AO291" s="650"/>
      <c r="AP291" s="650"/>
      <c r="AQ291" s="650"/>
      <c r="AR291" s="650"/>
      <c r="AS291" s="650"/>
      <c r="AT291" s="650"/>
      <c r="AU291" s="650"/>
      <c r="AV291" s="650"/>
      <c r="AW291" s="650"/>
      <c r="AX291" s="650"/>
      <c r="AY291" s="650"/>
    </row>
    <row r="292" ht="21.75" customHeight="1">
      <c r="A292" s="650"/>
      <c r="B292" s="650"/>
      <c r="C292" s="650"/>
      <c r="D292" s="650"/>
      <c r="E292" s="650"/>
      <c r="F292" s="650"/>
      <c r="G292" s="650"/>
      <c r="H292" s="650"/>
      <c r="I292" s="650"/>
      <c r="J292" s="650"/>
      <c r="K292" s="650"/>
      <c r="L292" s="650"/>
      <c r="M292" s="650"/>
      <c r="N292" s="650"/>
      <c r="O292" s="650"/>
      <c r="P292" s="650"/>
      <c r="Q292" s="650"/>
      <c r="R292" s="650"/>
      <c r="S292" s="650"/>
      <c r="T292" s="650"/>
      <c r="U292" s="650"/>
      <c r="V292" s="650"/>
      <c r="W292" s="650"/>
      <c r="X292" s="650"/>
      <c r="Y292" s="650"/>
      <c r="Z292" s="650"/>
      <c r="AA292" s="650"/>
      <c r="AB292" s="650"/>
      <c r="AC292" s="650"/>
      <c r="AD292" s="650"/>
      <c r="AE292" s="650"/>
      <c r="AF292" s="650"/>
      <c r="AG292" s="650"/>
      <c r="AH292" s="650"/>
      <c r="AI292" s="650"/>
      <c r="AJ292" s="650"/>
      <c r="AK292" s="650"/>
      <c r="AL292" s="650"/>
      <c r="AM292" s="650"/>
      <c r="AN292" s="650"/>
      <c r="AO292" s="650"/>
      <c r="AP292" s="650"/>
      <c r="AQ292" s="650"/>
      <c r="AR292" s="650"/>
      <c r="AS292" s="650"/>
      <c r="AT292" s="650"/>
      <c r="AU292" s="650"/>
      <c r="AV292" s="650"/>
      <c r="AW292" s="650"/>
      <c r="AX292" s="650"/>
      <c r="AY292" s="650"/>
    </row>
    <row r="293" ht="21.75" customHeight="1">
      <c r="A293" s="650"/>
      <c r="B293" s="650"/>
      <c r="C293" s="650"/>
      <c r="D293" s="650"/>
      <c r="E293" s="650"/>
      <c r="F293" s="650"/>
      <c r="G293" s="650"/>
      <c r="H293" s="650"/>
      <c r="I293" s="650"/>
      <c r="J293" s="650"/>
      <c r="K293" s="650"/>
      <c r="L293" s="650"/>
      <c r="M293" s="650"/>
      <c r="N293" s="650"/>
      <c r="O293" s="650"/>
      <c r="P293" s="650"/>
      <c r="Q293" s="650"/>
      <c r="R293" s="650"/>
      <c r="S293" s="650"/>
      <c r="T293" s="650"/>
      <c r="U293" s="650"/>
      <c r="V293" s="650"/>
      <c r="W293" s="650"/>
      <c r="X293" s="650"/>
      <c r="Y293" s="650"/>
      <c r="Z293" s="650"/>
      <c r="AA293" s="650"/>
      <c r="AB293" s="650"/>
      <c r="AC293" s="650"/>
      <c r="AD293" s="650"/>
      <c r="AE293" s="650"/>
      <c r="AF293" s="650"/>
      <c r="AG293" s="650"/>
      <c r="AH293" s="650"/>
      <c r="AI293" s="650"/>
      <c r="AJ293" s="650"/>
      <c r="AK293" s="650"/>
      <c r="AL293" s="650"/>
      <c r="AM293" s="650"/>
      <c r="AN293" s="650"/>
      <c r="AO293" s="650"/>
      <c r="AP293" s="650"/>
      <c r="AQ293" s="650"/>
      <c r="AR293" s="650"/>
      <c r="AS293" s="650"/>
      <c r="AT293" s="650"/>
      <c r="AU293" s="650"/>
      <c r="AV293" s="650"/>
      <c r="AW293" s="650"/>
      <c r="AX293" s="650"/>
      <c r="AY293" s="650"/>
    </row>
    <row r="294" ht="21.75" customHeight="1">
      <c r="A294" s="650"/>
      <c r="B294" s="650"/>
      <c r="C294" s="650"/>
      <c r="D294" s="650"/>
      <c r="E294" s="650"/>
      <c r="F294" s="650"/>
      <c r="G294" s="650"/>
      <c r="H294" s="650"/>
      <c r="I294" s="650"/>
      <c r="J294" s="650"/>
      <c r="K294" s="650"/>
      <c r="L294" s="650"/>
      <c r="M294" s="650"/>
      <c r="N294" s="650"/>
      <c r="O294" s="650"/>
      <c r="P294" s="650"/>
      <c r="Q294" s="650"/>
      <c r="R294" s="650"/>
      <c r="S294" s="650"/>
      <c r="T294" s="650"/>
      <c r="U294" s="650"/>
      <c r="V294" s="650"/>
      <c r="W294" s="650"/>
      <c r="X294" s="650"/>
      <c r="Y294" s="650"/>
      <c r="Z294" s="650"/>
      <c r="AA294" s="650"/>
      <c r="AB294" s="650"/>
      <c r="AC294" s="650"/>
      <c r="AD294" s="650"/>
      <c r="AE294" s="650"/>
      <c r="AF294" s="650"/>
      <c r="AG294" s="650"/>
      <c r="AH294" s="650"/>
      <c r="AI294" s="650"/>
      <c r="AJ294" s="650"/>
      <c r="AK294" s="650"/>
      <c r="AL294" s="650"/>
      <c r="AM294" s="650"/>
      <c r="AN294" s="650"/>
      <c r="AO294" s="650"/>
      <c r="AP294" s="650"/>
      <c r="AQ294" s="650"/>
      <c r="AR294" s="650"/>
      <c r="AS294" s="650"/>
      <c r="AT294" s="650"/>
      <c r="AU294" s="650"/>
      <c r="AV294" s="650"/>
      <c r="AW294" s="650"/>
      <c r="AX294" s="650"/>
      <c r="AY294" s="650"/>
    </row>
    <row r="295" ht="21.75" customHeight="1">
      <c r="A295" s="650"/>
      <c r="B295" s="650"/>
      <c r="C295" s="650"/>
      <c r="D295" s="650"/>
      <c r="E295" s="650"/>
      <c r="F295" s="650"/>
      <c r="G295" s="650"/>
      <c r="H295" s="650"/>
      <c r="I295" s="650"/>
      <c r="J295" s="650"/>
      <c r="K295" s="650"/>
      <c r="L295" s="650"/>
      <c r="M295" s="650"/>
      <c r="N295" s="650"/>
      <c r="O295" s="650"/>
      <c r="P295" s="650"/>
      <c r="Q295" s="650"/>
      <c r="R295" s="650"/>
      <c r="S295" s="650"/>
      <c r="T295" s="650"/>
      <c r="U295" s="650"/>
      <c r="V295" s="650"/>
      <c r="W295" s="650"/>
      <c r="X295" s="650"/>
      <c r="Y295" s="650"/>
      <c r="Z295" s="650"/>
      <c r="AA295" s="650"/>
      <c r="AB295" s="650"/>
      <c r="AC295" s="650"/>
      <c r="AD295" s="650"/>
      <c r="AE295" s="650"/>
      <c r="AF295" s="650"/>
      <c r="AG295" s="650"/>
      <c r="AH295" s="650"/>
      <c r="AI295" s="650"/>
      <c r="AJ295" s="650"/>
      <c r="AK295" s="650"/>
      <c r="AL295" s="650"/>
      <c r="AM295" s="650"/>
      <c r="AN295" s="650"/>
      <c r="AO295" s="650"/>
      <c r="AP295" s="650"/>
      <c r="AQ295" s="650"/>
      <c r="AR295" s="650"/>
      <c r="AS295" s="650"/>
      <c r="AT295" s="650"/>
      <c r="AU295" s="650"/>
      <c r="AV295" s="650"/>
      <c r="AW295" s="650"/>
      <c r="AX295" s="650"/>
      <c r="AY295" s="650"/>
    </row>
    <row r="296" ht="21.75" customHeight="1">
      <c r="A296" s="650"/>
      <c r="B296" s="650"/>
      <c r="C296" s="650"/>
      <c r="D296" s="650"/>
      <c r="E296" s="650"/>
      <c r="F296" s="650"/>
      <c r="G296" s="650"/>
      <c r="H296" s="650"/>
      <c r="I296" s="650"/>
      <c r="J296" s="650"/>
      <c r="K296" s="650"/>
      <c r="L296" s="650"/>
      <c r="M296" s="650"/>
      <c r="N296" s="650"/>
      <c r="O296" s="650"/>
      <c r="P296" s="650"/>
      <c r="Q296" s="650"/>
      <c r="R296" s="650"/>
      <c r="S296" s="650"/>
      <c r="T296" s="650"/>
      <c r="U296" s="650"/>
      <c r="V296" s="650"/>
      <c r="W296" s="650"/>
      <c r="X296" s="650"/>
      <c r="Y296" s="650"/>
      <c r="Z296" s="650"/>
      <c r="AA296" s="650"/>
      <c r="AB296" s="650"/>
      <c r="AC296" s="650"/>
      <c r="AD296" s="650"/>
      <c r="AE296" s="650"/>
      <c r="AF296" s="650"/>
      <c r="AG296" s="650"/>
      <c r="AH296" s="650"/>
      <c r="AI296" s="650"/>
      <c r="AJ296" s="650"/>
      <c r="AK296" s="650"/>
      <c r="AL296" s="650"/>
      <c r="AM296" s="650"/>
      <c r="AN296" s="650"/>
      <c r="AO296" s="650"/>
      <c r="AP296" s="650"/>
      <c r="AQ296" s="650"/>
      <c r="AR296" s="650"/>
      <c r="AS296" s="650"/>
      <c r="AT296" s="650"/>
      <c r="AU296" s="650"/>
      <c r="AV296" s="650"/>
      <c r="AW296" s="650"/>
      <c r="AX296" s="650"/>
      <c r="AY296" s="650"/>
    </row>
    <row r="297" ht="21.75" customHeight="1">
      <c r="A297" s="650"/>
      <c r="B297" s="650"/>
      <c r="C297" s="650"/>
      <c r="D297" s="650"/>
      <c r="E297" s="650"/>
      <c r="F297" s="650"/>
      <c r="G297" s="650"/>
      <c r="H297" s="650"/>
      <c r="I297" s="650"/>
      <c r="J297" s="650"/>
      <c r="K297" s="650"/>
      <c r="L297" s="650"/>
      <c r="M297" s="650"/>
      <c r="N297" s="650"/>
      <c r="O297" s="650"/>
      <c r="P297" s="650"/>
      <c r="Q297" s="650"/>
      <c r="R297" s="650"/>
      <c r="S297" s="650"/>
      <c r="T297" s="650"/>
      <c r="U297" s="650"/>
      <c r="V297" s="650"/>
      <c r="W297" s="650"/>
      <c r="X297" s="650"/>
      <c r="Y297" s="650"/>
      <c r="Z297" s="650"/>
      <c r="AA297" s="650"/>
      <c r="AB297" s="650"/>
      <c r="AC297" s="650"/>
      <c r="AD297" s="650"/>
      <c r="AE297" s="650"/>
      <c r="AF297" s="650"/>
      <c r="AG297" s="650"/>
      <c r="AH297" s="650"/>
      <c r="AI297" s="650"/>
      <c r="AJ297" s="650"/>
      <c r="AK297" s="650"/>
      <c r="AL297" s="650"/>
      <c r="AM297" s="650"/>
      <c r="AN297" s="650"/>
      <c r="AO297" s="650"/>
      <c r="AP297" s="650"/>
      <c r="AQ297" s="650"/>
      <c r="AR297" s="650"/>
      <c r="AS297" s="650"/>
      <c r="AT297" s="650"/>
      <c r="AU297" s="650"/>
      <c r="AV297" s="650"/>
      <c r="AW297" s="650"/>
      <c r="AX297" s="650"/>
      <c r="AY297" s="650"/>
    </row>
    <row r="298" ht="21.75" customHeight="1">
      <c r="A298" s="650"/>
      <c r="B298" s="650"/>
      <c r="C298" s="650"/>
      <c r="D298" s="650"/>
      <c r="E298" s="650"/>
      <c r="F298" s="650"/>
      <c r="G298" s="650"/>
      <c r="H298" s="650"/>
      <c r="I298" s="650"/>
      <c r="J298" s="650"/>
      <c r="K298" s="650"/>
      <c r="L298" s="650"/>
      <c r="M298" s="650"/>
      <c r="N298" s="650"/>
      <c r="O298" s="650"/>
      <c r="P298" s="650"/>
      <c r="Q298" s="650"/>
      <c r="R298" s="650"/>
      <c r="S298" s="650"/>
      <c r="T298" s="650"/>
      <c r="U298" s="650"/>
      <c r="V298" s="650"/>
      <c r="W298" s="650"/>
      <c r="X298" s="650"/>
      <c r="Y298" s="650"/>
      <c r="Z298" s="650"/>
      <c r="AA298" s="650"/>
      <c r="AB298" s="650"/>
      <c r="AC298" s="650"/>
      <c r="AD298" s="650"/>
      <c r="AE298" s="650"/>
      <c r="AF298" s="650"/>
      <c r="AG298" s="650"/>
      <c r="AH298" s="650"/>
      <c r="AI298" s="650"/>
      <c r="AJ298" s="650"/>
      <c r="AK298" s="650"/>
      <c r="AL298" s="650"/>
      <c r="AM298" s="650"/>
      <c r="AN298" s="650"/>
      <c r="AO298" s="650"/>
      <c r="AP298" s="650"/>
      <c r="AQ298" s="650"/>
      <c r="AR298" s="650"/>
      <c r="AS298" s="650"/>
      <c r="AT298" s="650"/>
      <c r="AU298" s="650"/>
      <c r="AV298" s="650"/>
      <c r="AW298" s="650"/>
      <c r="AX298" s="650"/>
      <c r="AY298" s="650"/>
    </row>
    <row r="299" ht="21.75" customHeight="1">
      <c r="A299" s="650"/>
      <c r="B299" s="650"/>
      <c r="C299" s="650"/>
      <c r="D299" s="650"/>
      <c r="E299" s="650"/>
      <c r="F299" s="650"/>
      <c r="G299" s="650"/>
      <c r="H299" s="650"/>
      <c r="I299" s="650"/>
      <c r="J299" s="650"/>
      <c r="K299" s="650"/>
      <c r="L299" s="650"/>
      <c r="M299" s="650"/>
      <c r="N299" s="650"/>
      <c r="O299" s="650"/>
      <c r="P299" s="650"/>
      <c r="Q299" s="650"/>
      <c r="R299" s="650"/>
      <c r="S299" s="650"/>
      <c r="T299" s="650"/>
      <c r="U299" s="650"/>
      <c r="V299" s="650"/>
      <c r="W299" s="650"/>
      <c r="X299" s="650"/>
      <c r="Y299" s="650"/>
      <c r="Z299" s="650"/>
      <c r="AA299" s="650"/>
      <c r="AB299" s="650"/>
      <c r="AC299" s="650"/>
      <c r="AD299" s="650"/>
      <c r="AE299" s="650"/>
      <c r="AF299" s="650"/>
      <c r="AG299" s="650"/>
      <c r="AH299" s="650"/>
      <c r="AI299" s="650"/>
      <c r="AJ299" s="650"/>
      <c r="AK299" s="650"/>
      <c r="AL299" s="650"/>
      <c r="AM299" s="650"/>
      <c r="AN299" s="650"/>
      <c r="AO299" s="650"/>
      <c r="AP299" s="650"/>
      <c r="AQ299" s="650"/>
      <c r="AR299" s="650"/>
      <c r="AS299" s="650"/>
      <c r="AT299" s="650"/>
      <c r="AU299" s="650"/>
      <c r="AV299" s="650"/>
      <c r="AW299" s="650"/>
      <c r="AX299" s="650"/>
      <c r="AY299" s="650"/>
    </row>
    <row r="300" ht="21.75" customHeight="1">
      <c r="A300" s="650"/>
      <c r="B300" s="650"/>
      <c r="C300" s="650"/>
      <c r="D300" s="650"/>
      <c r="E300" s="650"/>
      <c r="F300" s="650"/>
      <c r="G300" s="650"/>
      <c r="H300" s="650"/>
      <c r="I300" s="650"/>
      <c r="J300" s="650"/>
      <c r="K300" s="650"/>
      <c r="L300" s="650"/>
      <c r="M300" s="650"/>
      <c r="N300" s="650"/>
      <c r="O300" s="650"/>
      <c r="P300" s="650"/>
      <c r="Q300" s="650"/>
      <c r="R300" s="650"/>
      <c r="S300" s="650"/>
      <c r="T300" s="650"/>
      <c r="U300" s="650"/>
      <c r="V300" s="650"/>
      <c r="W300" s="650"/>
      <c r="X300" s="650"/>
      <c r="Y300" s="650"/>
      <c r="Z300" s="650"/>
      <c r="AA300" s="650"/>
      <c r="AB300" s="650"/>
      <c r="AC300" s="650"/>
      <c r="AD300" s="650"/>
      <c r="AE300" s="650"/>
      <c r="AF300" s="650"/>
      <c r="AG300" s="650"/>
      <c r="AH300" s="650"/>
      <c r="AI300" s="650"/>
      <c r="AJ300" s="650"/>
      <c r="AK300" s="650"/>
      <c r="AL300" s="650"/>
      <c r="AM300" s="650"/>
      <c r="AN300" s="650"/>
      <c r="AO300" s="650"/>
      <c r="AP300" s="650"/>
      <c r="AQ300" s="650"/>
      <c r="AR300" s="650"/>
      <c r="AS300" s="650"/>
      <c r="AT300" s="650"/>
      <c r="AU300" s="650"/>
      <c r="AV300" s="650"/>
      <c r="AW300" s="650"/>
      <c r="AX300" s="650"/>
      <c r="AY300" s="650"/>
    </row>
    <row r="301" ht="21.75" customHeight="1">
      <c r="A301" s="650"/>
      <c r="B301" s="650"/>
      <c r="C301" s="650"/>
      <c r="D301" s="650"/>
      <c r="E301" s="650"/>
      <c r="F301" s="650"/>
      <c r="G301" s="650"/>
      <c r="H301" s="650"/>
      <c r="I301" s="650"/>
      <c r="J301" s="650"/>
      <c r="K301" s="650"/>
      <c r="L301" s="650"/>
      <c r="M301" s="650"/>
      <c r="N301" s="650"/>
      <c r="O301" s="650"/>
      <c r="P301" s="650"/>
      <c r="Q301" s="650"/>
      <c r="R301" s="650"/>
      <c r="S301" s="650"/>
      <c r="T301" s="650"/>
      <c r="U301" s="650"/>
      <c r="V301" s="650"/>
      <c r="W301" s="650"/>
      <c r="X301" s="650"/>
      <c r="Y301" s="650"/>
      <c r="Z301" s="650"/>
      <c r="AA301" s="650"/>
      <c r="AB301" s="650"/>
      <c r="AC301" s="650"/>
      <c r="AD301" s="650"/>
      <c r="AE301" s="650"/>
      <c r="AF301" s="650"/>
      <c r="AG301" s="650"/>
      <c r="AH301" s="650"/>
      <c r="AI301" s="650"/>
      <c r="AJ301" s="650"/>
      <c r="AK301" s="650"/>
      <c r="AL301" s="650"/>
      <c r="AM301" s="650"/>
      <c r="AN301" s="650"/>
      <c r="AO301" s="650"/>
      <c r="AP301" s="650"/>
      <c r="AQ301" s="650"/>
      <c r="AR301" s="650"/>
      <c r="AS301" s="650"/>
      <c r="AT301" s="650"/>
      <c r="AU301" s="650"/>
      <c r="AV301" s="650"/>
      <c r="AW301" s="650"/>
      <c r="AX301" s="650"/>
      <c r="AY301" s="650"/>
    </row>
    <row r="302" ht="21.75" customHeight="1">
      <c r="A302" s="650"/>
      <c r="B302" s="650"/>
      <c r="C302" s="650"/>
      <c r="D302" s="650"/>
      <c r="E302" s="650"/>
      <c r="F302" s="650"/>
      <c r="G302" s="650"/>
      <c r="H302" s="650"/>
      <c r="I302" s="650"/>
      <c r="J302" s="650"/>
      <c r="K302" s="650"/>
      <c r="L302" s="650"/>
      <c r="M302" s="650"/>
      <c r="N302" s="650"/>
      <c r="O302" s="650"/>
      <c r="P302" s="650"/>
      <c r="Q302" s="650"/>
      <c r="R302" s="650"/>
      <c r="S302" s="650"/>
      <c r="T302" s="650"/>
      <c r="U302" s="650"/>
      <c r="V302" s="650"/>
      <c r="W302" s="650"/>
      <c r="X302" s="650"/>
      <c r="Y302" s="650"/>
      <c r="Z302" s="650"/>
      <c r="AA302" s="650"/>
      <c r="AB302" s="650"/>
      <c r="AC302" s="650"/>
      <c r="AD302" s="650"/>
      <c r="AE302" s="650"/>
      <c r="AF302" s="650"/>
      <c r="AG302" s="650"/>
      <c r="AH302" s="650"/>
      <c r="AI302" s="650"/>
      <c r="AJ302" s="650"/>
      <c r="AK302" s="650"/>
      <c r="AL302" s="650"/>
      <c r="AM302" s="650"/>
      <c r="AN302" s="650"/>
      <c r="AO302" s="650"/>
      <c r="AP302" s="650"/>
      <c r="AQ302" s="650"/>
      <c r="AR302" s="650"/>
      <c r="AS302" s="650"/>
      <c r="AT302" s="650"/>
      <c r="AU302" s="650"/>
      <c r="AV302" s="650"/>
      <c r="AW302" s="650"/>
      <c r="AX302" s="650"/>
      <c r="AY302" s="650"/>
    </row>
    <row r="303" ht="21.75" customHeight="1">
      <c r="A303" s="650"/>
      <c r="B303" s="650"/>
      <c r="C303" s="650"/>
      <c r="D303" s="650"/>
      <c r="E303" s="650"/>
      <c r="F303" s="650"/>
      <c r="G303" s="650"/>
      <c r="H303" s="650"/>
      <c r="I303" s="650"/>
      <c r="J303" s="650"/>
      <c r="K303" s="650"/>
      <c r="L303" s="650"/>
      <c r="M303" s="650"/>
      <c r="N303" s="650"/>
      <c r="O303" s="650"/>
      <c r="P303" s="650"/>
      <c r="Q303" s="650"/>
      <c r="R303" s="650"/>
      <c r="S303" s="650"/>
      <c r="T303" s="650"/>
      <c r="U303" s="650"/>
      <c r="V303" s="650"/>
      <c r="W303" s="650"/>
      <c r="X303" s="650"/>
      <c r="Y303" s="650"/>
      <c r="Z303" s="650"/>
      <c r="AA303" s="650"/>
      <c r="AB303" s="650"/>
      <c r="AC303" s="650"/>
      <c r="AD303" s="650"/>
      <c r="AE303" s="650"/>
      <c r="AF303" s="650"/>
      <c r="AG303" s="650"/>
      <c r="AH303" s="650"/>
      <c r="AI303" s="650"/>
      <c r="AJ303" s="650"/>
      <c r="AK303" s="650"/>
      <c r="AL303" s="650"/>
      <c r="AM303" s="650"/>
      <c r="AN303" s="650"/>
      <c r="AO303" s="650"/>
      <c r="AP303" s="650"/>
      <c r="AQ303" s="650"/>
      <c r="AR303" s="650"/>
      <c r="AS303" s="650"/>
      <c r="AT303" s="650"/>
      <c r="AU303" s="650"/>
      <c r="AV303" s="650"/>
      <c r="AW303" s="650"/>
      <c r="AX303" s="650"/>
      <c r="AY303" s="650"/>
    </row>
    <row r="304" ht="21.75" customHeight="1">
      <c r="A304" s="650"/>
      <c r="B304" s="650"/>
      <c r="C304" s="650"/>
      <c r="D304" s="650"/>
      <c r="E304" s="650"/>
      <c r="F304" s="650"/>
      <c r="G304" s="650"/>
      <c r="H304" s="650"/>
      <c r="I304" s="650"/>
      <c r="J304" s="650"/>
      <c r="K304" s="650"/>
      <c r="L304" s="650"/>
      <c r="M304" s="650"/>
      <c r="N304" s="650"/>
      <c r="O304" s="650"/>
      <c r="P304" s="650"/>
      <c r="Q304" s="650"/>
      <c r="R304" s="650"/>
      <c r="S304" s="650"/>
      <c r="T304" s="650"/>
      <c r="U304" s="650"/>
      <c r="V304" s="650"/>
      <c r="W304" s="650"/>
      <c r="X304" s="650"/>
      <c r="Y304" s="650"/>
      <c r="Z304" s="650"/>
      <c r="AA304" s="650"/>
      <c r="AB304" s="650"/>
      <c r="AC304" s="650"/>
      <c r="AD304" s="650"/>
      <c r="AE304" s="650"/>
      <c r="AF304" s="650"/>
      <c r="AG304" s="650"/>
      <c r="AH304" s="650"/>
      <c r="AI304" s="650"/>
      <c r="AJ304" s="650"/>
      <c r="AK304" s="650"/>
      <c r="AL304" s="650"/>
      <c r="AM304" s="650"/>
      <c r="AN304" s="650"/>
      <c r="AO304" s="650"/>
      <c r="AP304" s="650"/>
      <c r="AQ304" s="650"/>
      <c r="AR304" s="650"/>
      <c r="AS304" s="650"/>
      <c r="AT304" s="650"/>
      <c r="AU304" s="650"/>
      <c r="AV304" s="650"/>
      <c r="AW304" s="650"/>
      <c r="AX304" s="650"/>
      <c r="AY304" s="650"/>
    </row>
    <row r="305" ht="21.75" customHeight="1">
      <c r="A305" s="650"/>
      <c r="B305" s="650"/>
      <c r="C305" s="650"/>
      <c r="D305" s="650"/>
      <c r="E305" s="650"/>
      <c r="F305" s="650"/>
      <c r="G305" s="650"/>
      <c r="H305" s="650"/>
      <c r="I305" s="650"/>
      <c r="J305" s="650"/>
      <c r="K305" s="650"/>
      <c r="L305" s="650"/>
      <c r="M305" s="650"/>
      <c r="N305" s="650"/>
      <c r="O305" s="650"/>
      <c r="P305" s="650"/>
      <c r="Q305" s="650"/>
      <c r="R305" s="650"/>
      <c r="S305" s="650"/>
      <c r="T305" s="650"/>
      <c r="U305" s="650"/>
      <c r="V305" s="650"/>
      <c r="W305" s="650"/>
      <c r="X305" s="650"/>
      <c r="Y305" s="650"/>
      <c r="Z305" s="650"/>
      <c r="AA305" s="650"/>
      <c r="AB305" s="650"/>
      <c r="AC305" s="650"/>
      <c r="AD305" s="650"/>
      <c r="AE305" s="650"/>
      <c r="AF305" s="650"/>
      <c r="AG305" s="650"/>
      <c r="AH305" s="650"/>
      <c r="AI305" s="650"/>
      <c r="AJ305" s="650"/>
      <c r="AK305" s="650"/>
      <c r="AL305" s="650"/>
      <c r="AM305" s="650"/>
      <c r="AN305" s="650"/>
      <c r="AO305" s="650"/>
      <c r="AP305" s="650"/>
      <c r="AQ305" s="650"/>
      <c r="AR305" s="650"/>
      <c r="AS305" s="650"/>
      <c r="AT305" s="650"/>
      <c r="AU305" s="650"/>
      <c r="AV305" s="650"/>
      <c r="AW305" s="650"/>
      <c r="AX305" s="650"/>
      <c r="AY305" s="650"/>
    </row>
    <row r="306" ht="21.75" customHeight="1">
      <c r="A306" s="650"/>
      <c r="B306" s="650"/>
      <c r="C306" s="650"/>
      <c r="D306" s="650"/>
      <c r="E306" s="650"/>
      <c r="F306" s="650"/>
      <c r="G306" s="650"/>
      <c r="H306" s="650"/>
      <c r="I306" s="650"/>
      <c r="J306" s="650"/>
      <c r="K306" s="650"/>
      <c r="L306" s="650"/>
      <c r="M306" s="650"/>
      <c r="N306" s="650"/>
      <c r="O306" s="650"/>
      <c r="P306" s="650"/>
      <c r="Q306" s="650"/>
      <c r="R306" s="650"/>
      <c r="S306" s="650"/>
      <c r="T306" s="650"/>
      <c r="U306" s="650"/>
      <c r="V306" s="650"/>
      <c r="W306" s="650"/>
      <c r="X306" s="650"/>
      <c r="Y306" s="650"/>
      <c r="Z306" s="650"/>
      <c r="AA306" s="650"/>
      <c r="AB306" s="650"/>
      <c r="AC306" s="650"/>
      <c r="AD306" s="650"/>
      <c r="AE306" s="650"/>
      <c r="AF306" s="650"/>
      <c r="AG306" s="650"/>
      <c r="AH306" s="650"/>
      <c r="AI306" s="650"/>
      <c r="AJ306" s="650"/>
      <c r="AK306" s="650"/>
      <c r="AL306" s="650"/>
      <c r="AM306" s="650"/>
      <c r="AN306" s="650"/>
      <c r="AO306" s="650"/>
      <c r="AP306" s="650"/>
      <c r="AQ306" s="650"/>
      <c r="AR306" s="650"/>
      <c r="AS306" s="650"/>
      <c r="AT306" s="650"/>
      <c r="AU306" s="650"/>
      <c r="AV306" s="650"/>
      <c r="AW306" s="650"/>
      <c r="AX306" s="650"/>
      <c r="AY306" s="650"/>
    </row>
    <row r="307" ht="21.75" customHeight="1">
      <c r="A307" s="650"/>
      <c r="B307" s="650"/>
      <c r="C307" s="650"/>
      <c r="D307" s="650"/>
      <c r="E307" s="650"/>
      <c r="F307" s="650"/>
      <c r="G307" s="650"/>
      <c r="H307" s="650"/>
      <c r="I307" s="650"/>
      <c r="J307" s="650"/>
      <c r="K307" s="650"/>
      <c r="L307" s="650"/>
      <c r="M307" s="650"/>
      <c r="N307" s="650"/>
      <c r="O307" s="650"/>
      <c r="P307" s="650"/>
      <c r="Q307" s="650"/>
      <c r="R307" s="650"/>
      <c r="S307" s="650"/>
      <c r="T307" s="650"/>
      <c r="U307" s="650"/>
      <c r="V307" s="650"/>
      <c r="W307" s="650"/>
      <c r="X307" s="650"/>
      <c r="Y307" s="650"/>
      <c r="Z307" s="650"/>
      <c r="AA307" s="650"/>
      <c r="AB307" s="650"/>
      <c r="AC307" s="650"/>
      <c r="AD307" s="650"/>
      <c r="AE307" s="650"/>
      <c r="AF307" s="650"/>
      <c r="AG307" s="650"/>
      <c r="AH307" s="650"/>
      <c r="AI307" s="650"/>
      <c r="AJ307" s="650"/>
      <c r="AK307" s="650"/>
      <c r="AL307" s="650"/>
      <c r="AM307" s="650"/>
      <c r="AN307" s="650"/>
      <c r="AO307" s="650"/>
      <c r="AP307" s="650"/>
      <c r="AQ307" s="650"/>
      <c r="AR307" s="650"/>
      <c r="AS307" s="650"/>
      <c r="AT307" s="650"/>
      <c r="AU307" s="650"/>
      <c r="AV307" s="650"/>
      <c r="AW307" s="650"/>
      <c r="AX307" s="650"/>
      <c r="AY307" s="650"/>
    </row>
    <row r="308" ht="21.75" customHeight="1">
      <c r="A308" s="650"/>
      <c r="B308" s="650"/>
      <c r="C308" s="650"/>
      <c r="D308" s="650"/>
      <c r="E308" s="650"/>
      <c r="F308" s="650"/>
      <c r="G308" s="650"/>
      <c r="H308" s="650"/>
      <c r="I308" s="650"/>
      <c r="J308" s="650"/>
      <c r="K308" s="650"/>
      <c r="L308" s="650"/>
      <c r="M308" s="650"/>
      <c r="N308" s="650"/>
      <c r="O308" s="650"/>
      <c r="P308" s="650"/>
      <c r="Q308" s="650"/>
      <c r="R308" s="650"/>
      <c r="S308" s="650"/>
      <c r="T308" s="650"/>
      <c r="U308" s="650"/>
      <c r="V308" s="650"/>
      <c r="W308" s="650"/>
      <c r="X308" s="650"/>
      <c r="Y308" s="650"/>
      <c r="Z308" s="650"/>
      <c r="AA308" s="650"/>
      <c r="AB308" s="650"/>
      <c r="AC308" s="650"/>
      <c r="AD308" s="650"/>
      <c r="AE308" s="650"/>
      <c r="AF308" s="650"/>
      <c r="AG308" s="650"/>
      <c r="AH308" s="650"/>
      <c r="AI308" s="650"/>
      <c r="AJ308" s="650"/>
      <c r="AK308" s="650"/>
      <c r="AL308" s="650"/>
      <c r="AM308" s="650"/>
      <c r="AN308" s="650"/>
      <c r="AO308" s="650"/>
      <c r="AP308" s="650"/>
      <c r="AQ308" s="650"/>
      <c r="AR308" s="650"/>
      <c r="AS308" s="650"/>
      <c r="AT308" s="650"/>
      <c r="AU308" s="650"/>
      <c r="AV308" s="650"/>
      <c r="AW308" s="650"/>
      <c r="AX308" s="650"/>
      <c r="AY308" s="650"/>
    </row>
    <row r="309" ht="21.75" customHeight="1">
      <c r="A309" s="650"/>
      <c r="B309" s="650"/>
      <c r="C309" s="650"/>
      <c r="D309" s="650"/>
      <c r="E309" s="650"/>
      <c r="F309" s="650"/>
      <c r="G309" s="650"/>
      <c r="H309" s="650"/>
      <c r="I309" s="650"/>
      <c r="J309" s="650"/>
      <c r="K309" s="650"/>
      <c r="L309" s="650"/>
      <c r="M309" s="650"/>
      <c r="N309" s="650"/>
      <c r="O309" s="650"/>
      <c r="P309" s="650"/>
      <c r="Q309" s="650"/>
      <c r="R309" s="650"/>
      <c r="S309" s="650"/>
      <c r="T309" s="650"/>
      <c r="U309" s="650"/>
      <c r="V309" s="650"/>
      <c r="W309" s="650"/>
      <c r="X309" s="650"/>
      <c r="Y309" s="650"/>
      <c r="Z309" s="650"/>
      <c r="AA309" s="650"/>
      <c r="AB309" s="650"/>
      <c r="AC309" s="650"/>
      <c r="AD309" s="650"/>
      <c r="AE309" s="650"/>
      <c r="AF309" s="650"/>
      <c r="AG309" s="650"/>
      <c r="AH309" s="650"/>
      <c r="AI309" s="650"/>
      <c r="AJ309" s="650"/>
      <c r="AK309" s="650"/>
      <c r="AL309" s="650"/>
      <c r="AM309" s="650"/>
      <c r="AN309" s="650"/>
      <c r="AO309" s="650"/>
      <c r="AP309" s="650"/>
      <c r="AQ309" s="650"/>
      <c r="AR309" s="650"/>
      <c r="AS309" s="650"/>
      <c r="AT309" s="650"/>
      <c r="AU309" s="650"/>
      <c r="AV309" s="650"/>
      <c r="AW309" s="650"/>
      <c r="AX309" s="650"/>
      <c r="AY309" s="650"/>
    </row>
    <row r="310" ht="21.75" customHeight="1">
      <c r="A310" s="650"/>
      <c r="B310" s="650"/>
      <c r="C310" s="650"/>
      <c r="D310" s="650"/>
      <c r="E310" s="650"/>
      <c r="F310" s="650"/>
      <c r="G310" s="650"/>
      <c r="H310" s="650"/>
      <c r="I310" s="650"/>
      <c r="J310" s="650"/>
      <c r="K310" s="650"/>
      <c r="L310" s="650"/>
      <c r="M310" s="650"/>
      <c r="N310" s="650"/>
      <c r="O310" s="650"/>
      <c r="P310" s="650"/>
      <c r="Q310" s="650"/>
      <c r="R310" s="650"/>
      <c r="S310" s="650"/>
      <c r="T310" s="650"/>
      <c r="U310" s="650"/>
      <c r="V310" s="650"/>
      <c r="W310" s="650"/>
      <c r="X310" s="650"/>
      <c r="Y310" s="650"/>
      <c r="Z310" s="650"/>
      <c r="AA310" s="650"/>
      <c r="AB310" s="650"/>
      <c r="AC310" s="650"/>
      <c r="AD310" s="650"/>
      <c r="AE310" s="650"/>
      <c r="AF310" s="650"/>
      <c r="AG310" s="650"/>
      <c r="AH310" s="650"/>
      <c r="AI310" s="650"/>
      <c r="AJ310" s="650"/>
      <c r="AK310" s="650"/>
      <c r="AL310" s="650"/>
      <c r="AM310" s="650"/>
      <c r="AN310" s="650"/>
      <c r="AO310" s="650"/>
      <c r="AP310" s="650"/>
      <c r="AQ310" s="650"/>
      <c r="AR310" s="650"/>
      <c r="AS310" s="650"/>
      <c r="AT310" s="650"/>
      <c r="AU310" s="650"/>
      <c r="AV310" s="650"/>
      <c r="AW310" s="650"/>
      <c r="AX310" s="650"/>
      <c r="AY310" s="650"/>
    </row>
    <row r="311" ht="21.75" customHeight="1">
      <c r="A311" s="650"/>
      <c r="B311" s="650"/>
      <c r="C311" s="650"/>
      <c r="D311" s="650"/>
      <c r="E311" s="650"/>
      <c r="F311" s="650"/>
      <c r="G311" s="650"/>
      <c r="H311" s="650"/>
      <c r="I311" s="650"/>
      <c r="J311" s="650"/>
      <c r="K311" s="650"/>
      <c r="L311" s="650"/>
      <c r="M311" s="650"/>
      <c r="N311" s="650"/>
      <c r="O311" s="650"/>
      <c r="P311" s="650"/>
      <c r="Q311" s="650"/>
      <c r="R311" s="650"/>
      <c r="S311" s="650"/>
      <c r="T311" s="650"/>
      <c r="U311" s="650"/>
      <c r="V311" s="650"/>
      <c r="W311" s="650"/>
      <c r="X311" s="650"/>
      <c r="Y311" s="650"/>
      <c r="Z311" s="650"/>
      <c r="AA311" s="650"/>
      <c r="AB311" s="650"/>
      <c r="AC311" s="650"/>
      <c r="AD311" s="650"/>
      <c r="AE311" s="650"/>
      <c r="AF311" s="650"/>
      <c r="AG311" s="650"/>
      <c r="AH311" s="650"/>
      <c r="AI311" s="650"/>
      <c r="AJ311" s="650"/>
      <c r="AK311" s="650"/>
      <c r="AL311" s="650"/>
      <c r="AM311" s="650"/>
      <c r="AN311" s="650"/>
      <c r="AO311" s="650"/>
      <c r="AP311" s="650"/>
      <c r="AQ311" s="650"/>
      <c r="AR311" s="650"/>
      <c r="AS311" s="650"/>
      <c r="AT311" s="650"/>
      <c r="AU311" s="650"/>
      <c r="AV311" s="650"/>
      <c r="AW311" s="650"/>
      <c r="AX311" s="650"/>
      <c r="AY311" s="650"/>
    </row>
    <row r="312" ht="21.75" customHeight="1">
      <c r="A312" s="650"/>
      <c r="B312" s="650"/>
      <c r="C312" s="650"/>
      <c r="D312" s="650"/>
      <c r="E312" s="650"/>
      <c r="F312" s="650"/>
      <c r="G312" s="650"/>
      <c r="H312" s="650"/>
      <c r="I312" s="650"/>
      <c r="J312" s="650"/>
      <c r="K312" s="650"/>
      <c r="L312" s="650"/>
      <c r="M312" s="650"/>
      <c r="N312" s="650"/>
      <c r="O312" s="650"/>
      <c r="P312" s="650"/>
      <c r="Q312" s="650"/>
      <c r="R312" s="650"/>
      <c r="S312" s="650"/>
      <c r="T312" s="650"/>
      <c r="U312" s="650"/>
      <c r="V312" s="650"/>
      <c r="W312" s="650"/>
      <c r="X312" s="650"/>
      <c r="Y312" s="650"/>
      <c r="Z312" s="650"/>
      <c r="AA312" s="650"/>
      <c r="AB312" s="650"/>
      <c r="AC312" s="650"/>
      <c r="AD312" s="650"/>
      <c r="AE312" s="650"/>
      <c r="AF312" s="650"/>
      <c r="AG312" s="650"/>
      <c r="AH312" s="650"/>
      <c r="AI312" s="650"/>
      <c r="AJ312" s="650"/>
      <c r="AK312" s="650"/>
      <c r="AL312" s="650"/>
      <c r="AM312" s="650"/>
      <c r="AN312" s="650"/>
      <c r="AO312" s="650"/>
      <c r="AP312" s="650"/>
      <c r="AQ312" s="650"/>
      <c r="AR312" s="650"/>
      <c r="AS312" s="650"/>
      <c r="AT312" s="650"/>
      <c r="AU312" s="650"/>
      <c r="AV312" s="650"/>
      <c r="AW312" s="650"/>
      <c r="AX312" s="650"/>
      <c r="AY312" s="650"/>
    </row>
    <row r="313" ht="21.75" customHeight="1">
      <c r="A313" s="650"/>
      <c r="B313" s="650"/>
      <c r="C313" s="650"/>
      <c r="D313" s="650"/>
      <c r="E313" s="650"/>
      <c r="F313" s="650"/>
      <c r="G313" s="650"/>
      <c r="H313" s="650"/>
      <c r="I313" s="650"/>
      <c r="J313" s="650"/>
      <c r="K313" s="650"/>
      <c r="L313" s="650"/>
      <c r="M313" s="650"/>
      <c r="N313" s="650"/>
      <c r="O313" s="650"/>
      <c r="P313" s="650"/>
      <c r="Q313" s="650"/>
      <c r="R313" s="650"/>
      <c r="S313" s="650"/>
      <c r="T313" s="650"/>
      <c r="U313" s="650"/>
      <c r="V313" s="650"/>
      <c r="W313" s="650"/>
      <c r="X313" s="650"/>
      <c r="Y313" s="650"/>
      <c r="Z313" s="650"/>
      <c r="AA313" s="650"/>
      <c r="AB313" s="650"/>
      <c r="AC313" s="650"/>
      <c r="AD313" s="650"/>
      <c r="AE313" s="650"/>
      <c r="AF313" s="650"/>
      <c r="AG313" s="650"/>
      <c r="AH313" s="650"/>
      <c r="AI313" s="650"/>
      <c r="AJ313" s="650"/>
      <c r="AK313" s="650"/>
      <c r="AL313" s="650"/>
      <c r="AM313" s="650"/>
      <c r="AN313" s="650"/>
      <c r="AO313" s="650"/>
      <c r="AP313" s="650"/>
      <c r="AQ313" s="650"/>
      <c r="AR313" s="650"/>
      <c r="AS313" s="650"/>
      <c r="AT313" s="650"/>
      <c r="AU313" s="650"/>
      <c r="AV313" s="650"/>
      <c r="AW313" s="650"/>
      <c r="AX313" s="650"/>
      <c r="AY313" s="650"/>
    </row>
    <row r="314" ht="21.75" customHeight="1">
      <c r="A314" s="650"/>
      <c r="B314" s="650"/>
      <c r="C314" s="650"/>
      <c r="D314" s="650"/>
      <c r="E314" s="650"/>
      <c r="F314" s="650"/>
      <c r="G314" s="650"/>
      <c r="H314" s="650"/>
      <c r="I314" s="650"/>
      <c r="J314" s="650"/>
      <c r="K314" s="650"/>
      <c r="L314" s="650"/>
      <c r="M314" s="650"/>
      <c r="N314" s="650"/>
      <c r="O314" s="650"/>
      <c r="P314" s="650"/>
      <c r="Q314" s="650"/>
      <c r="R314" s="650"/>
      <c r="S314" s="650"/>
      <c r="T314" s="650"/>
      <c r="U314" s="650"/>
      <c r="V314" s="650"/>
      <c r="W314" s="650"/>
      <c r="X314" s="650"/>
      <c r="Y314" s="650"/>
      <c r="Z314" s="650"/>
      <c r="AA314" s="650"/>
      <c r="AB314" s="650"/>
      <c r="AC314" s="650"/>
      <c r="AD314" s="650"/>
      <c r="AE314" s="650"/>
      <c r="AF314" s="650"/>
      <c r="AG314" s="650"/>
      <c r="AH314" s="650"/>
      <c r="AI314" s="650"/>
      <c r="AJ314" s="650"/>
      <c r="AK314" s="650"/>
      <c r="AL314" s="650"/>
      <c r="AM314" s="650"/>
      <c r="AN314" s="650"/>
      <c r="AO314" s="650"/>
      <c r="AP314" s="650"/>
      <c r="AQ314" s="650"/>
      <c r="AR314" s="650"/>
      <c r="AS314" s="650"/>
      <c r="AT314" s="650"/>
      <c r="AU314" s="650"/>
      <c r="AV314" s="650"/>
      <c r="AW314" s="650"/>
      <c r="AX314" s="650"/>
      <c r="AY314" s="650"/>
    </row>
    <row r="315" ht="21.75" customHeight="1">
      <c r="A315" s="650"/>
      <c r="B315" s="650"/>
      <c r="C315" s="650"/>
      <c r="D315" s="650"/>
      <c r="E315" s="650"/>
      <c r="F315" s="650"/>
      <c r="G315" s="650"/>
      <c r="H315" s="650"/>
      <c r="I315" s="650"/>
      <c r="J315" s="650"/>
      <c r="K315" s="650"/>
      <c r="L315" s="650"/>
      <c r="M315" s="650"/>
      <c r="N315" s="650"/>
      <c r="O315" s="650"/>
      <c r="P315" s="650"/>
      <c r="Q315" s="650"/>
      <c r="R315" s="650"/>
      <c r="S315" s="650"/>
      <c r="T315" s="650"/>
      <c r="U315" s="650"/>
      <c r="V315" s="650"/>
      <c r="W315" s="650"/>
      <c r="X315" s="650"/>
      <c r="Y315" s="650"/>
      <c r="Z315" s="650"/>
      <c r="AA315" s="650"/>
      <c r="AB315" s="650"/>
      <c r="AC315" s="650"/>
      <c r="AD315" s="650"/>
      <c r="AE315" s="650"/>
      <c r="AF315" s="650"/>
      <c r="AG315" s="650"/>
      <c r="AH315" s="650"/>
      <c r="AI315" s="650"/>
      <c r="AJ315" s="650"/>
      <c r="AK315" s="650"/>
      <c r="AL315" s="650"/>
      <c r="AM315" s="650"/>
      <c r="AN315" s="650"/>
      <c r="AO315" s="650"/>
      <c r="AP315" s="650"/>
      <c r="AQ315" s="650"/>
      <c r="AR315" s="650"/>
      <c r="AS315" s="650"/>
      <c r="AT315" s="650"/>
      <c r="AU315" s="650"/>
      <c r="AV315" s="650"/>
      <c r="AW315" s="650"/>
      <c r="AX315" s="650"/>
      <c r="AY315" s="650"/>
    </row>
    <row r="316" ht="21.75" customHeight="1">
      <c r="A316" s="650"/>
      <c r="B316" s="650"/>
      <c r="C316" s="650"/>
      <c r="D316" s="650"/>
      <c r="E316" s="650"/>
      <c r="F316" s="650"/>
      <c r="G316" s="650"/>
      <c r="H316" s="650"/>
      <c r="I316" s="650"/>
      <c r="J316" s="650"/>
      <c r="K316" s="650"/>
      <c r="L316" s="650"/>
      <c r="M316" s="650"/>
      <c r="N316" s="650"/>
      <c r="O316" s="650"/>
      <c r="P316" s="650"/>
      <c r="Q316" s="650"/>
      <c r="R316" s="650"/>
      <c r="S316" s="650"/>
      <c r="T316" s="650"/>
      <c r="U316" s="650"/>
      <c r="V316" s="650"/>
      <c r="W316" s="650"/>
      <c r="X316" s="650"/>
      <c r="Y316" s="650"/>
      <c r="Z316" s="650"/>
      <c r="AA316" s="650"/>
      <c r="AB316" s="650"/>
      <c r="AC316" s="650"/>
      <c r="AD316" s="650"/>
      <c r="AE316" s="650"/>
      <c r="AF316" s="650"/>
      <c r="AG316" s="650"/>
      <c r="AH316" s="650"/>
      <c r="AI316" s="650"/>
      <c r="AJ316" s="650"/>
      <c r="AK316" s="650"/>
      <c r="AL316" s="650"/>
      <c r="AM316" s="650"/>
      <c r="AN316" s="650"/>
      <c r="AO316" s="650"/>
      <c r="AP316" s="650"/>
      <c r="AQ316" s="650"/>
      <c r="AR316" s="650"/>
      <c r="AS316" s="650"/>
      <c r="AT316" s="650"/>
      <c r="AU316" s="650"/>
      <c r="AV316" s="650"/>
      <c r="AW316" s="650"/>
      <c r="AX316" s="650"/>
      <c r="AY316" s="650"/>
    </row>
    <row r="317" ht="21.75" customHeight="1">
      <c r="A317" s="650"/>
      <c r="B317" s="650"/>
      <c r="C317" s="650"/>
      <c r="D317" s="650"/>
      <c r="E317" s="650"/>
      <c r="F317" s="650"/>
      <c r="G317" s="650"/>
      <c r="H317" s="650"/>
      <c r="I317" s="650"/>
      <c r="J317" s="650"/>
      <c r="K317" s="650"/>
      <c r="L317" s="650"/>
      <c r="M317" s="650"/>
      <c r="N317" s="650"/>
      <c r="O317" s="650"/>
      <c r="P317" s="650"/>
      <c r="Q317" s="650"/>
      <c r="R317" s="650"/>
      <c r="S317" s="650"/>
      <c r="T317" s="650"/>
      <c r="U317" s="650"/>
      <c r="V317" s="650"/>
      <c r="W317" s="650"/>
      <c r="X317" s="650"/>
      <c r="Y317" s="650"/>
      <c r="Z317" s="650"/>
      <c r="AA317" s="650"/>
      <c r="AB317" s="650"/>
      <c r="AC317" s="650"/>
      <c r="AD317" s="650"/>
      <c r="AE317" s="650"/>
      <c r="AF317" s="650"/>
      <c r="AG317" s="650"/>
      <c r="AH317" s="650"/>
      <c r="AI317" s="650"/>
      <c r="AJ317" s="650"/>
      <c r="AK317" s="650"/>
      <c r="AL317" s="650"/>
      <c r="AM317" s="650"/>
      <c r="AN317" s="650"/>
      <c r="AO317" s="650"/>
      <c r="AP317" s="650"/>
      <c r="AQ317" s="650"/>
      <c r="AR317" s="650"/>
      <c r="AS317" s="650"/>
      <c r="AT317" s="650"/>
      <c r="AU317" s="650"/>
      <c r="AV317" s="650"/>
      <c r="AW317" s="650"/>
      <c r="AX317" s="650"/>
      <c r="AY317" s="650"/>
    </row>
    <row r="318" ht="21.75" customHeight="1">
      <c r="A318" s="650"/>
      <c r="B318" s="650"/>
      <c r="C318" s="650"/>
      <c r="D318" s="650"/>
      <c r="E318" s="650"/>
      <c r="F318" s="650"/>
      <c r="G318" s="650"/>
      <c r="H318" s="650"/>
      <c r="I318" s="650"/>
      <c r="J318" s="650"/>
      <c r="K318" s="650"/>
      <c r="L318" s="650"/>
      <c r="M318" s="650"/>
      <c r="N318" s="650"/>
      <c r="O318" s="650"/>
      <c r="P318" s="650"/>
      <c r="Q318" s="650"/>
      <c r="R318" s="650"/>
      <c r="S318" s="650"/>
      <c r="T318" s="650"/>
      <c r="U318" s="650"/>
      <c r="V318" s="650"/>
      <c r="W318" s="650"/>
      <c r="X318" s="650"/>
      <c r="Y318" s="650"/>
      <c r="Z318" s="650"/>
      <c r="AA318" s="650"/>
      <c r="AB318" s="650"/>
      <c r="AC318" s="650"/>
      <c r="AD318" s="650"/>
      <c r="AE318" s="650"/>
      <c r="AF318" s="650"/>
      <c r="AG318" s="650"/>
      <c r="AH318" s="650"/>
      <c r="AI318" s="650"/>
      <c r="AJ318" s="650"/>
      <c r="AK318" s="650"/>
      <c r="AL318" s="650"/>
      <c r="AM318" s="650"/>
      <c r="AN318" s="650"/>
      <c r="AO318" s="650"/>
      <c r="AP318" s="650"/>
      <c r="AQ318" s="650"/>
      <c r="AR318" s="650"/>
      <c r="AS318" s="650"/>
      <c r="AT318" s="650"/>
      <c r="AU318" s="650"/>
      <c r="AV318" s="650"/>
      <c r="AW318" s="650"/>
      <c r="AX318" s="650"/>
      <c r="AY318" s="650"/>
    </row>
    <row r="319" ht="21.75" customHeight="1">
      <c r="A319" s="650"/>
      <c r="B319" s="650"/>
      <c r="C319" s="650"/>
      <c r="D319" s="650"/>
      <c r="E319" s="650"/>
      <c r="F319" s="650"/>
      <c r="G319" s="650"/>
      <c r="H319" s="650"/>
      <c r="I319" s="650"/>
      <c r="J319" s="650"/>
      <c r="K319" s="650"/>
      <c r="L319" s="650"/>
      <c r="M319" s="650"/>
      <c r="N319" s="650"/>
      <c r="O319" s="650"/>
      <c r="P319" s="650"/>
      <c r="Q319" s="650"/>
      <c r="R319" s="650"/>
      <c r="S319" s="650"/>
      <c r="T319" s="650"/>
      <c r="U319" s="650"/>
      <c r="V319" s="650"/>
      <c r="W319" s="650"/>
      <c r="X319" s="650"/>
      <c r="Y319" s="650"/>
      <c r="Z319" s="650"/>
      <c r="AA319" s="650"/>
      <c r="AB319" s="650"/>
      <c r="AC319" s="650"/>
      <c r="AD319" s="650"/>
      <c r="AE319" s="650"/>
      <c r="AF319" s="650"/>
      <c r="AG319" s="650"/>
      <c r="AH319" s="650"/>
      <c r="AI319" s="650"/>
      <c r="AJ319" s="650"/>
      <c r="AK319" s="650"/>
      <c r="AL319" s="650"/>
      <c r="AM319" s="650"/>
      <c r="AN319" s="650"/>
      <c r="AO319" s="650"/>
      <c r="AP319" s="650"/>
      <c r="AQ319" s="650"/>
      <c r="AR319" s="650"/>
      <c r="AS319" s="650"/>
      <c r="AT319" s="650"/>
      <c r="AU319" s="650"/>
      <c r="AV319" s="650"/>
      <c r="AW319" s="650"/>
      <c r="AX319" s="650"/>
      <c r="AY319" s="650"/>
    </row>
    <row r="320" ht="21.75" customHeight="1">
      <c r="A320" s="650"/>
      <c r="B320" s="650"/>
      <c r="C320" s="650"/>
      <c r="D320" s="650"/>
      <c r="E320" s="650"/>
      <c r="F320" s="650"/>
      <c r="G320" s="650"/>
      <c r="H320" s="650"/>
      <c r="I320" s="650"/>
      <c r="J320" s="650"/>
      <c r="K320" s="650"/>
      <c r="L320" s="650"/>
      <c r="M320" s="650"/>
      <c r="N320" s="650"/>
      <c r="O320" s="650"/>
      <c r="P320" s="650"/>
      <c r="Q320" s="650"/>
      <c r="R320" s="650"/>
      <c r="S320" s="650"/>
      <c r="T320" s="650"/>
      <c r="U320" s="650"/>
      <c r="V320" s="650"/>
      <c r="W320" s="650"/>
      <c r="X320" s="650"/>
      <c r="Y320" s="650"/>
      <c r="Z320" s="650"/>
      <c r="AA320" s="650"/>
      <c r="AB320" s="650"/>
      <c r="AC320" s="650"/>
      <c r="AD320" s="650"/>
      <c r="AE320" s="650"/>
      <c r="AF320" s="650"/>
      <c r="AG320" s="650"/>
      <c r="AH320" s="650"/>
      <c r="AI320" s="650"/>
      <c r="AJ320" s="650"/>
      <c r="AK320" s="650"/>
      <c r="AL320" s="650"/>
      <c r="AM320" s="650"/>
      <c r="AN320" s="650"/>
      <c r="AO320" s="650"/>
      <c r="AP320" s="650"/>
      <c r="AQ320" s="650"/>
      <c r="AR320" s="650"/>
      <c r="AS320" s="650"/>
      <c r="AT320" s="650"/>
      <c r="AU320" s="650"/>
      <c r="AV320" s="650"/>
      <c r="AW320" s="650"/>
      <c r="AX320" s="650"/>
      <c r="AY320" s="650"/>
    </row>
    <row r="321" ht="21.75" customHeight="1">
      <c r="A321" s="650"/>
      <c r="B321" s="650"/>
      <c r="C321" s="650"/>
      <c r="D321" s="650"/>
      <c r="E321" s="650"/>
      <c r="F321" s="650"/>
      <c r="G321" s="650"/>
      <c r="H321" s="650"/>
      <c r="I321" s="650"/>
      <c r="J321" s="650"/>
      <c r="K321" s="650"/>
      <c r="L321" s="650"/>
      <c r="M321" s="650"/>
      <c r="N321" s="650"/>
      <c r="O321" s="650"/>
      <c r="P321" s="650"/>
      <c r="Q321" s="650"/>
      <c r="R321" s="650"/>
      <c r="S321" s="650"/>
      <c r="T321" s="650"/>
      <c r="U321" s="650"/>
      <c r="V321" s="650"/>
      <c r="W321" s="650"/>
      <c r="X321" s="650"/>
      <c r="Y321" s="650"/>
      <c r="Z321" s="650"/>
      <c r="AA321" s="650"/>
      <c r="AB321" s="650"/>
      <c r="AC321" s="650"/>
      <c r="AD321" s="650"/>
      <c r="AE321" s="650"/>
      <c r="AF321" s="650"/>
      <c r="AG321" s="650"/>
      <c r="AH321" s="650"/>
      <c r="AI321" s="650"/>
      <c r="AJ321" s="650"/>
      <c r="AK321" s="650"/>
      <c r="AL321" s="650"/>
      <c r="AM321" s="650"/>
      <c r="AN321" s="650"/>
      <c r="AO321" s="650"/>
      <c r="AP321" s="650"/>
      <c r="AQ321" s="650"/>
      <c r="AR321" s="650"/>
      <c r="AS321" s="650"/>
      <c r="AT321" s="650"/>
      <c r="AU321" s="650"/>
      <c r="AV321" s="650"/>
      <c r="AW321" s="650"/>
      <c r="AX321" s="650"/>
      <c r="AY321" s="650"/>
    </row>
    <row r="322" ht="21.75" customHeight="1">
      <c r="A322" s="650"/>
      <c r="B322" s="650"/>
      <c r="C322" s="650"/>
      <c r="D322" s="650"/>
      <c r="E322" s="650"/>
      <c r="F322" s="650"/>
      <c r="G322" s="650"/>
      <c r="H322" s="650"/>
      <c r="I322" s="650"/>
      <c r="J322" s="650"/>
      <c r="K322" s="650"/>
      <c r="L322" s="650"/>
      <c r="M322" s="650"/>
      <c r="N322" s="650"/>
      <c r="O322" s="650"/>
      <c r="P322" s="650"/>
      <c r="Q322" s="650"/>
      <c r="R322" s="650"/>
      <c r="S322" s="650"/>
      <c r="T322" s="650"/>
      <c r="U322" s="650"/>
      <c r="V322" s="650"/>
      <c r="W322" s="650"/>
      <c r="X322" s="650"/>
      <c r="Y322" s="650"/>
      <c r="Z322" s="650"/>
      <c r="AA322" s="650"/>
      <c r="AB322" s="650"/>
      <c r="AC322" s="650"/>
      <c r="AD322" s="650"/>
      <c r="AE322" s="650"/>
      <c r="AF322" s="650"/>
      <c r="AG322" s="650"/>
      <c r="AH322" s="650"/>
      <c r="AI322" s="650"/>
      <c r="AJ322" s="650"/>
      <c r="AK322" s="650"/>
      <c r="AL322" s="650"/>
      <c r="AM322" s="650"/>
      <c r="AN322" s="650"/>
      <c r="AO322" s="650"/>
      <c r="AP322" s="650"/>
      <c r="AQ322" s="650"/>
      <c r="AR322" s="650"/>
      <c r="AS322" s="650"/>
      <c r="AT322" s="650"/>
      <c r="AU322" s="650"/>
      <c r="AV322" s="650"/>
      <c r="AW322" s="650"/>
      <c r="AX322" s="650"/>
      <c r="AY322" s="650"/>
    </row>
    <row r="323" ht="21.75" customHeight="1">
      <c r="A323" s="650"/>
      <c r="B323" s="650"/>
      <c r="C323" s="650"/>
      <c r="D323" s="650"/>
      <c r="E323" s="650"/>
      <c r="F323" s="650"/>
      <c r="G323" s="650"/>
      <c r="H323" s="650"/>
      <c r="I323" s="650"/>
      <c r="J323" s="650"/>
      <c r="K323" s="650"/>
      <c r="L323" s="650"/>
      <c r="M323" s="650"/>
      <c r="N323" s="650"/>
      <c r="O323" s="650"/>
      <c r="P323" s="650"/>
      <c r="Q323" s="650"/>
      <c r="R323" s="650"/>
      <c r="S323" s="650"/>
      <c r="T323" s="650"/>
      <c r="U323" s="650"/>
      <c r="V323" s="650"/>
      <c r="W323" s="650"/>
      <c r="X323" s="650"/>
      <c r="Y323" s="650"/>
      <c r="Z323" s="650"/>
      <c r="AA323" s="650"/>
      <c r="AB323" s="650"/>
      <c r="AC323" s="650"/>
      <c r="AD323" s="650"/>
      <c r="AE323" s="650"/>
      <c r="AF323" s="650"/>
      <c r="AG323" s="650"/>
      <c r="AH323" s="650"/>
      <c r="AI323" s="650"/>
      <c r="AJ323" s="650"/>
      <c r="AK323" s="650"/>
      <c r="AL323" s="650"/>
      <c r="AM323" s="650"/>
      <c r="AN323" s="650"/>
      <c r="AO323" s="650"/>
      <c r="AP323" s="650"/>
      <c r="AQ323" s="650"/>
      <c r="AR323" s="650"/>
      <c r="AS323" s="650"/>
      <c r="AT323" s="650"/>
      <c r="AU323" s="650"/>
      <c r="AV323" s="650"/>
      <c r="AW323" s="650"/>
      <c r="AX323" s="650"/>
      <c r="AY323" s="650"/>
    </row>
    <row r="324" ht="21.75" customHeight="1">
      <c r="A324" s="650"/>
      <c r="B324" s="650"/>
      <c r="C324" s="650"/>
      <c r="D324" s="650"/>
      <c r="E324" s="650"/>
      <c r="F324" s="650"/>
      <c r="G324" s="650"/>
      <c r="H324" s="650"/>
      <c r="I324" s="650"/>
      <c r="J324" s="650"/>
      <c r="K324" s="650"/>
      <c r="L324" s="650"/>
      <c r="M324" s="650"/>
      <c r="N324" s="650"/>
      <c r="O324" s="650"/>
      <c r="P324" s="650"/>
      <c r="Q324" s="650"/>
      <c r="R324" s="650"/>
      <c r="S324" s="650"/>
      <c r="T324" s="650"/>
      <c r="U324" s="650"/>
      <c r="V324" s="650"/>
      <c r="W324" s="650"/>
      <c r="X324" s="650"/>
      <c r="Y324" s="650"/>
      <c r="Z324" s="650"/>
      <c r="AA324" s="650"/>
      <c r="AB324" s="650"/>
      <c r="AC324" s="650"/>
      <c r="AD324" s="650"/>
      <c r="AE324" s="650"/>
      <c r="AF324" s="650"/>
      <c r="AG324" s="650"/>
      <c r="AH324" s="650"/>
      <c r="AI324" s="650"/>
      <c r="AJ324" s="650"/>
      <c r="AK324" s="650"/>
      <c r="AL324" s="650"/>
      <c r="AM324" s="650"/>
      <c r="AN324" s="650"/>
      <c r="AO324" s="650"/>
      <c r="AP324" s="650"/>
      <c r="AQ324" s="650"/>
      <c r="AR324" s="650"/>
      <c r="AS324" s="650"/>
      <c r="AT324" s="650"/>
      <c r="AU324" s="650"/>
      <c r="AV324" s="650"/>
      <c r="AW324" s="650"/>
      <c r="AX324" s="650"/>
      <c r="AY324" s="650"/>
    </row>
    <row r="325" ht="21.75" customHeight="1">
      <c r="A325" s="650"/>
      <c r="B325" s="650"/>
      <c r="C325" s="650"/>
      <c r="D325" s="650"/>
      <c r="E325" s="650"/>
      <c r="F325" s="650"/>
      <c r="G325" s="650"/>
      <c r="H325" s="650"/>
      <c r="I325" s="650"/>
      <c r="J325" s="650"/>
      <c r="K325" s="650"/>
      <c r="L325" s="650"/>
      <c r="M325" s="650"/>
      <c r="N325" s="650"/>
      <c r="O325" s="650"/>
      <c r="P325" s="650"/>
      <c r="Q325" s="650"/>
      <c r="R325" s="650"/>
      <c r="S325" s="650"/>
      <c r="T325" s="650"/>
      <c r="U325" s="650"/>
      <c r="V325" s="650"/>
      <c r="W325" s="650"/>
      <c r="X325" s="650"/>
      <c r="Y325" s="650"/>
      <c r="Z325" s="650"/>
      <c r="AA325" s="650"/>
      <c r="AB325" s="650"/>
      <c r="AC325" s="650"/>
      <c r="AD325" s="650"/>
      <c r="AE325" s="650"/>
      <c r="AF325" s="650"/>
      <c r="AG325" s="650"/>
      <c r="AH325" s="650"/>
      <c r="AI325" s="650"/>
      <c r="AJ325" s="650"/>
      <c r="AK325" s="650"/>
      <c r="AL325" s="650"/>
      <c r="AM325" s="650"/>
      <c r="AN325" s="650"/>
      <c r="AO325" s="650"/>
      <c r="AP325" s="650"/>
      <c r="AQ325" s="650"/>
      <c r="AR325" s="650"/>
      <c r="AS325" s="650"/>
      <c r="AT325" s="650"/>
      <c r="AU325" s="650"/>
      <c r="AV325" s="650"/>
      <c r="AW325" s="650"/>
      <c r="AX325" s="650"/>
      <c r="AY325" s="650"/>
    </row>
    <row r="326" ht="21.75" customHeight="1">
      <c r="A326" s="650"/>
      <c r="B326" s="650"/>
      <c r="C326" s="650"/>
      <c r="D326" s="650"/>
      <c r="E326" s="650"/>
      <c r="F326" s="650"/>
      <c r="G326" s="650"/>
      <c r="H326" s="650"/>
      <c r="I326" s="650"/>
      <c r="J326" s="650"/>
      <c r="K326" s="650"/>
      <c r="L326" s="650"/>
      <c r="M326" s="650"/>
      <c r="N326" s="650"/>
      <c r="O326" s="650"/>
      <c r="P326" s="650"/>
      <c r="Q326" s="650"/>
      <c r="R326" s="650"/>
      <c r="S326" s="650"/>
      <c r="T326" s="650"/>
      <c r="U326" s="650"/>
      <c r="V326" s="650"/>
      <c r="W326" s="650"/>
      <c r="X326" s="650"/>
      <c r="Y326" s="650"/>
      <c r="Z326" s="650"/>
      <c r="AA326" s="650"/>
      <c r="AB326" s="650"/>
      <c r="AC326" s="650"/>
      <c r="AD326" s="650"/>
      <c r="AE326" s="650"/>
      <c r="AF326" s="650"/>
      <c r="AG326" s="650"/>
      <c r="AH326" s="650"/>
      <c r="AI326" s="650"/>
      <c r="AJ326" s="650"/>
      <c r="AK326" s="650"/>
      <c r="AL326" s="650"/>
      <c r="AM326" s="650"/>
      <c r="AN326" s="650"/>
      <c r="AO326" s="650"/>
      <c r="AP326" s="650"/>
      <c r="AQ326" s="650"/>
      <c r="AR326" s="650"/>
      <c r="AS326" s="650"/>
      <c r="AT326" s="650"/>
      <c r="AU326" s="650"/>
      <c r="AV326" s="650"/>
      <c r="AW326" s="650"/>
      <c r="AX326" s="650"/>
      <c r="AY326" s="650"/>
    </row>
    <row r="327" ht="21.75" customHeight="1">
      <c r="A327" s="650"/>
      <c r="B327" s="650"/>
      <c r="C327" s="650"/>
      <c r="D327" s="650"/>
      <c r="E327" s="650"/>
      <c r="F327" s="650"/>
      <c r="G327" s="650"/>
      <c r="H327" s="650"/>
      <c r="I327" s="650"/>
      <c r="J327" s="650"/>
      <c r="K327" s="650"/>
      <c r="L327" s="650"/>
      <c r="M327" s="650"/>
      <c r="N327" s="650"/>
      <c r="O327" s="650"/>
      <c r="P327" s="650"/>
      <c r="Q327" s="650"/>
      <c r="R327" s="650"/>
      <c r="S327" s="650"/>
      <c r="T327" s="650"/>
      <c r="U327" s="650"/>
      <c r="V327" s="650"/>
      <c r="W327" s="650"/>
      <c r="X327" s="650"/>
      <c r="Y327" s="650"/>
      <c r="Z327" s="650"/>
      <c r="AA327" s="650"/>
      <c r="AB327" s="650"/>
      <c r="AC327" s="650"/>
      <c r="AD327" s="650"/>
      <c r="AE327" s="650"/>
      <c r="AF327" s="650"/>
      <c r="AG327" s="650"/>
      <c r="AH327" s="650"/>
      <c r="AI327" s="650"/>
      <c r="AJ327" s="650"/>
      <c r="AK327" s="650"/>
      <c r="AL327" s="650"/>
      <c r="AM327" s="650"/>
      <c r="AN327" s="650"/>
      <c r="AO327" s="650"/>
      <c r="AP327" s="650"/>
      <c r="AQ327" s="650"/>
      <c r="AR327" s="650"/>
      <c r="AS327" s="650"/>
      <c r="AT327" s="650"/>
      <c r="AU327" s="650"/>
      <c r="AV327" s="650"/>
      <c r="AW327" s="650"/>
      <c r="AX327" s="650"/>
      <c r="AY327" s="650"/>
    </row>
    <row r="328" ht="21.75" customHeight="1">
      <c r="A328" s="650"/>
      <c r="B328" s="650"/>
      <c r="C328" s="650"/>
      <c r="D328" s="650"/>
      <c r="E328" s="650"/>
      <c r="F328" s="650"/>
      <c r="G328" s="650"/>
      <c r="H328" s="650"/>
      <c r="I328" s="650"/>
      <c r="J328" s="650"/>
      <c r="K328" s="650"/>
      <c r="L328" s="650"/>
      <c r="M328" s="650"/>
      <c r="N328" s="650"/>
      <c r="O328" s="650"/>
      <c r="P328" s="650"/>
      <c r="Q328" s="650"/>
      <c r="R328" s="650"/>
      <c r="S328" s="650"/>
      <c r="T328" s="650"/>
      <c r="U328" s="650"/>
      <c r="V328" s="650"/>
      <c r="W328" s="650"/>
      <c r="X328" s="650"/>
      <c r="Y328" s="650"/>
      <c r="Z328" s="650"/>
      <c r="AA328" s="650"/>
      <c r="AB328" s="650"/>
      <c r="AC328" s="650"/>
      <c r="AD328" s="650"/>
      <c r="AE328" s="650"/>
      <c r="AF328" s="650"/>
      <c r="AG328" s="650"/>
      <c r="AH328" s="650"/>
      <c r="AI328" s="650"/>
      <c r="AJ328" s="650"/>
      <c r="AK328" s="650"/>
      <c r="AL328" s="650"/>
      <c r="AM328" s="650"/>
      <c r="AN328" s="650"/>
      <c r="AO328" s="650"/>
      <c r="AP328" s="650"/>
      <c r="AQ328" s="650"/>
      <c r="AR328" s="650"/>
      <c r="AS328" s="650"/>
      <c r="AT328" s="650"/>
      <c r="AU328" s="650"/>
      <c r="AV328" s="650"/>
      <c r="AW328" s="650"/>
      <c r="AX328" s="650"/>
      <c r="AY328" s="650"/>
    </row>
    <row r="329" ht="21.75" customHeight="1">
      <c r="A329" s="650"/>
      <c r="B329" s="650"/>
      <c r="C329" s="650"/>
      <c r="D329" s="650"/>
      <c r="E329" s="650"/>
      <c r="F329" s="650"/>
      <c r="G329" s="650"/>
      <c r="H329" s="650"/>
      <c r="I329" s="650"/>
      <c r="J329" s="650"/>
      <c r="K329" s="650"/>
      <c r="L329" s="650"/>
      <c r="M329" s="650"/>
      <c r="N329" s="650"/>
      <c r="O329" s="650"/>
      <c r="P329" s="650"/>
      <c r="Q329" s="650"/>
      <c r="R329" s="650"/>
      <c r="S329" s="650"/>
      <c r="T329" s="650"/>
      <c r="U329" s="650"/>
      <c r="V329" s="650"/>
      <c r="W329" s="650"/>
      <c r="X329" s="650"/>
      <c r="Y329" s="650"/>
      <c r="Z329" s="650"/>
      <c r="AA329" s="650"/>
      <c r="AB329" s="650"/>
      <c r="AC329" s="650"/>
      <c r="AD329" s="650"/>
      <c r="AE329" s="650"/>
      <c r="AF329" s="650"/>
      <c r="AG329" s="650"/>
      <c r="AH329" s="650"/>
      <c r="AI329" s="650"/>
      <c r="AJ329" s="650"/>
      <c r="AK329" s="650"/>
      <c r="AL329" s="650"/>
      <c r="AM329" s="650"/>
      <c r="AN329" s="650"/>
      <c r="AO329" s="650"/>
      <c r="AP329" s="650"/>
      <c r="AQ329" s="650"/>
      <c r="AR329" s="650"/>
      <c r="AS329" s="650"/>
      <c r="AT329" s="650"/>
      <c r="AU329" s="650"/>
      <c r="AV329" s="650"/>
      <c r="AW329" s="650"/>
      <c r="AX329" s="650"/>
      <c r="AY329" s="650"/>
    </row>
    <row r="330" ht="21.75" customHeight="1">
      <c r="A330" s="650"/>
      <c r="B330" s="650"/>
      <c r="C330" s="650"/>
      <c r="D330" s="650"/>
      <c r="E330" s="650"/>
      <c r="F330" s="650"/>
      <c r="G330" s="650"/>
      <c r="H330" s="650"/>
      <c r="I330" s="650"/>
      <c r="J330" s="650"/>
      <c r="K330" s="650"/>
      <c r="L330" s="650"/>
      <c r="M330" s="650"/>
      <c r="N330" s="650"/>
      <c r="O330" s="650"/>
      <c r="P330" s="650"/>
      <c r="Q330" s="650"/>
      <c r="R330" s="650"/>
      <c r="S330" s="650"/>
      <c r="T330" s="650"/>
      <c r="U330" s="650"/>
      <c r="V330" s="650"/>
      <c r="W330" s="650"/>
      <c r="X330" s="650"/>
      <c r="Y330" s="650"/>
      <c r="Z330" s="650"/>
      <c r="AA330" s="650"/>
      <c r="AB330" s="650"/>
      <c r="AC330" s="650"/>
      <c r="AD330" s="650"/>
      <c r="AE330" s="650"/>
      <c r="AF330" s="650"/>
      <c r="AG330" s="650"/>
      <c r="AH330" s="650"/>
      <c r="AI330" s="650"/>
      <c r="AJ330" s="650"/>
      <c r="AK330" s="650"/>
      <c r="AL330" s="650"/>
      <c r="AM330" s="650"/>
      <c r="AN330" s="650"/>
      <c r="AO330" s="650"/>
      <c r="AP330" s="650"/>
      <c r="AQ330" s="650"/>
      <c r="AR330" s="650"/>
      <c r="AS330" s="650"/>
      <c r="AT330" s="650"/>
      <c r="AU330" s="650"/>
      <c r="AV330" s="650"/>
      <c r="AW330" s="650"/>
      <c r="AX330" s="650"/>
      <c r="AY330" s="650"/>
    </row>
    <row r="331" ht="21.75" customHeight="1">
      <c r="A331" s="650"/>
      <c r="B331" s="650"/>
      <c r="C331" s="650"/>
      <c r="D331" s="650"/>
      <c r="E331" s="650"/>
      <c r="F331" s="650"/>
      <c r="G331" s="650"/>
      <c r="H331" s="650"/>
      <c r="I331" s="650"/>
      <c r="J331" s="650"/>
      <c r="K331" s="650"/>
      <c r="L331" s="650"/>
      <c r="M331" s="650"/>
      <c r="N331" s="650"/>
      <c r="O331" s="650"/>
      <c r="P331" s="650"/>
      <c r="Q331" s="650"/>
      <c r="R331" s="650"/>
      <c r="S331" s="650"/>
      <c r="T331" s="650"/>
      <c r="U331" s="650"/>
      <c r="V331" s="650"/>
      <c r="W331" s="650"/>
      <c r="X331" s="650"/>
      <c r="Y331" s="650"/>
      <c r="Z331" s="650"/>
      <c r="AA331" s="650"/>
      <c r="AB331" s="650"/>
      <c r="AC331" s="650"/>
      <c r="AD331" s="650"/>
      <c r="AE331" s="650"/>
      <c r="AF331" s="650"/>
      <c r="AG331" s="650"/>
      <c r="AH331" s="650"/>
      <c r="AI331" s="650"/>
      <c r="AJ331" s="650"/>
      <c r="AK331" s="650"/>
      <c r="AL331" s="650"/>
      <c r="AM331" s="650"/>
      <c r="AN331" s="650"/>
      <c r="AO331" s="650"/>
      <c r="AP331" s="650"/>
      <c r="AQ331" s="650"/>
      <c r="AR331" s="650"/>
      <c r="AS331" s="650"/>
      <c r="AT331" s="650"/>
      <c r="AU331" s="650"/>
      <c r="AV331" s="650"/>
      <c r="AW331" s="650"/>
      <c r="AX331" s="650"/>
      <c r="AY331" s="650"/>
    </row>
    <row r="332" ht="21.75" customHeight="1">
      <c r="A332" s="650"/>
      <c r="B332" s="650"/>
      <c r="C332" s="650"/>
      <c r="D332" s="650"/>
      <c r="E332" s="650"/>
      <c r="F332" s="650"/>
      <c r="G332" s="650"/>
      <c r="H332" s="650"/>
      <c r="I332" s="650"/>
      <c r="J332" s="650"/>
      <c r="K332" s="650"/>
      <c r="L332" s="650"/>
      <c r="M332" s="650"/>
      <c r="N332" s="650"/>
      <c r="O332" s="650"/>
      <c r="P332" s="650"/>
      <c r="Q332" s="650"/>
      <c r="R332" s="650"/>
      <c r="S332" s="650"/>
      <c r="T332" s="650"/>
      <c r="U332" s="650"/>
      <c r="V332" s="650"/>
      <c r="W332" s="650"/>
      <c r="X332" s="650"/>
      <c r="Y332" s="650"/>
      <c r="Z332" s="650"/>
      <c r="AA332" s="650"/>
      <c r="AB332" s="650"/>
      <c r="AC332" s="650"/>
      <c r="AD332" s="650"/>
      <c r="AE332" s="650"/>
      <c r="AF332" s="650"/>
      <c r="AG332" s="650"/>
      <c r="AH332" s="650"/>
      <c r="AI332" s="650"/>
      <c r="AJ332" s="650"/>
      <c r="AK332" s="650"/>
      <c r="AL332" s="650"/>
      <c r="AM332" s="650"/>
      <c r="AN332" s="650"/>
      <c r="AO332" s="650"/>
      <c r="AP332" s="650"/>
      <c r="AQ332" s="650"/>
      <c r="AR332" s="650"/>
      <c r="AS332" s="650"/>
      <c r="AT332" s="650"/>
      <c r="AU332" s="650"/>
      <c r="AV332" s="650"/>
      <c r="AW332" s="650"/>
      <c r="AX332" s="650"/>
      <c r="AY332" s="650"/>
    </row>
    <row r="333" ht="21.75" customHeight="1">
      <c r="A333" s="650"/>
      <c r="B333" s="650"/>
      <c r="C333" s="650"/>
      <c r="D333" s="650"/>
      <c r="E333" s="650"/>
      <c r="F333" s="650"/>
      <c r="G333" s="650"/>
      <c r="H333" s="650"/>
      <c r="I333" s="650"/>
      <c r="J333" s="650"/>
      <c r="K333" s="650"/>
      <c r="L333" s="650"/>
      <c r="M333" s="650"/>
      <c r="N333" s="650"/>
      <c r="O333" s="650"/>
      <c r="P333" s="650"/>
      <c r="Q333" s="650"/>
      <c r="R333" s="650"/>
      <c r="S333" s="650"/>
      <c r="T333" s="650"/>
      <c r="U333" s="650"/>
      <c r="V333" s="650"/>
      <c r="W333" s="650"/>
      <c r="X333" s="650"/>
      <c r="Y333" s="650"/>
      <c r="Z333" s="650"/>
      <c r="AA333" s="650"/>
      <c r="AB333" s="650"/>
      <c r="AC333" s="650"/>
      <c r="AD333" s="650"/>
      <c r="AE333" s="650"/>
      <c r="AF333" s="650"/>
      <c r="AG333" s="650"/>
      <c r="AH333" s="650"/>
      <c r="AI333" s="650"/>
      <c r="AJ333" s="650"/>
      <c r="AK333" s="650"/>
      <c r="AL333" s="650"/>
      <c r="AM333" s="650"/>
      <c r="AN333" s="650"/>
      <c r="AO333" s="650"/>
      <c r="AP333" s="650"/>
      <c r="AQ333" s="650"/>
      <c r="AR333" s="650"/>
      <c r="AS333" s="650"/>
      <c r="AT333" s="650"/>
      <c r="AU333" s="650"/>
      <c r="AV333" s="650"/>
      <c r="AW333" s="650"/>
      <c r="AX333" s="650"/>
      <c r="AY333" s="650"/>
    </row>
    <row r="334" ht="21.75" customHeight="1">
      <c r="A334" s="650"/>
      <c r="B334" s="650"/>
      <c r="C334" s="650"/>
      <c r="D334" s="650"/>
      <c r="E334" s="650"/>
      <c r="F334" s="650"/>
      <c r="G334" s="650"/>
      <c r="H334" s="650"/>
      <c r="I334" s="650"/>
      <c r="J334" s="650"/>
      <c r="K334" s="650"/>
      <c r="L334" s="650"/>
      <c r="M334" s="650"/>
      <c r="N334" s="650"/>
      <c r="O334" s="650"/>
      <c r="P334" s="650"/>
      <c r="Q334" s="650"/>
      <c r="R334" s="650"/>
      <c r="S334" s="650"/>
      <c r="T334" s="650"/>
      <c r="U334" s="650"/>
      <c r="V334" s="650"/>
      <c r="W334" s="650"/>
      <c r="X334" s="650"/>
      <c r="Y334" s="650"/>
      <c r="Z334" s="650"/>
      <c r="AA334" s="650"/>
      <c r="AB334" s="650"/>
      <c r="AC334" s="650"/>
      <c r="AD334" s="650"/>
      <c r="AE334" s="650"/>
      <c r="AF334" s="650"/>
      <c r="AG334" s="650"/>
      <c r="AH334" s="650"/>
      <c r="AI334" s="650"/>
      <c r="AJ334" s="650"/>
      <c r="AK334" s="650"/>
      <c r="AL334" s="650"/>
      <c r="AM334" s="650"/>
      <c r="AN334" s="650"/>
      <c r="AO334" s="650"/>
      <c r="AP334" s="650"/>
      <c r="AQ334" s="650"/>
      <c r="AR334" s="650"/>
      <c r="AS334" s="650"/>
      <c r="AT334" s="650"/>
      <c r="AU334" s="650"/>
      <c r="AV334" s="650"/>
      <c r="AW334" s="650"/>
      <c r="AX334" s="650"/>
      <c r="AY334" s="650"/>
    </row>
    <row r="335" ht="21.75" customHeight="1">
      <c r="A335" s="650"/>
      <c r="B335" s="650"/>
      <c r="C335" s="650"/>
      <c r="D335" s="650"/>
      <c r="E335" s="650"/>
      <c r="F335" s="650"/>
      <c r="G335" s="650"/>
      <c r="H335" s="650"/>
      <c r="I335" s="650"/>
      <c r="J335" s="650"/>
      <c r="K335" s="650"/>
      <c r="L335" s="650"/>
      <c r="M335" s="650"/>
      <c r="N335" s="650"/>
      <c r="O335" s="650"/>
      <c r="P335" s="650"/>
      <c r="Q335" s="650"/>
      <c r="R335" s="650"/>
      <c r="S335" s="650"/>
      <c r="T335" s="650"/>
      <c r="U335" s="650"/>
      <c r="V335" s="650"/>
      <c r="W335" s="650"/>
      <c r="X335" s="650"/>
      <c r="Y335" s="650"/>
      <c r="Z335" s="650"/>
      <c r="AA335" s="650"/>
      <c r="AB335" s="650"/>
      <c r="AC335" s="650"/>
      <c r="AD335" s="650"/>
      <c r="AE335" s="650"/>
      <c r="AF335" s="650"/>
      <c r="AG335" s="650"/>
      <c r="AH335" s="650"/>
      <c r="AI335" s="650"/>
      <c r="AJ335" s="650"/>
      <c r="AK335" s="650"/>
      <c r="AL335" s="650"/>
      <c r="AM335" s="650"/>
      <c r="AN335" s="650"/>
      <c r="AO335" s="650"/>
      <c r="AP335" s="650"/>
      <c r="AQ335" s="650"/>
      <c r="AR335" s="650"/>
      <c r="AS335" s="650"/>
      <c r="AT335" s="650"/>
      <c r="AU335" s="650"/>
      <c r="AV335" s="650"/>
      <c r="AW335" s="650"/>
      <c r="AX335" s="650"/>
      <c r="AY335" s="650"/>
    </row>
    <row r="336" ht="21.75" customHeight="1">
      <c r="A336" s="650"/>
      <c r="B336" s="650"/>
      <c r="C336" s="650"/>
      <c r="D336" s="650"/>
      <c r="E336" s="650"/>
      <c r="F336" s="650"/>
      <c r="G336" s="650"/>
      <c r="H336" s="650"/>
      <c r="I336" s="650"/>
      <c r="J336" s="650"/>
      <c r="K336" s="650"/>
      <c r="L336" s="650"/>
      <c r="M336" s="650"/>
      <c r="N336" s="650"/>
      <c r="O336" s="650"/>
      <c r="P336" s="650"/>
      <c r="Q336" s="650"/>
      <c r="R336" s="650"/>
      <c r="S336" s="650"/>
      <c r="T336" s="650"/>
      <c r="U336" s="650"/>
      <c r="V336" s="650"/>
      <c r="W336" s="650"/>
      <c r="X336" s="650"/>
      <c r="Y336" s="650"/>
      <c r="Z336" s="650"/>
      <c r="AA336" s="650"/>
      <c r="AB336" s="650"/>
      <c r="AC336" s="650"/>
      <c r="AD336" s="650"/>
      <c r="AE336" s="650"/>
      <c r="AF336" s="650"/>
      <c r="AG336" s="650"/>
      <c r="AH336" s="650"/>
      <c r="AI336" s="650"/>
      <c r="AJ336" s="650"/>
      <c r="AK336" s="650"/>
      <c r="AL336" s="650"/>
      <c r="AM336" s="650"/>
      <c r="AN336" s="650"/>
      <c r="AO336" s="650"/>
      <c r="AP336" s="650"/>
      <c r="AQ336" s="650"/>
      <c r="AR336" s="650"/>
      <c r="AS336" s="650"/>
      <c r="AT336" s="650"/>
      <c r="AU336" s="650"/>
      <c r="AV336" s="650"/>
      <c r="AW336" s="650"/>
      <c r="AX336" s="650"/>
      <c r="AY336" s="650"/>
    </row>
    <row r="337" ht="21.75" customHeight="1">
      <c r="A337" s="650"/>
      <c r="B337" s="650"/>
      <c r="C337" s="650"/>
      <c r="D337" s="650"/>
      <c r="E337" s="650"/>
      <c r="F337" s="650"/>
      <c r="G337" s="650"/>
      <c r="H337" s="650"/>
      <c r="I337" s="650"/>
      <c r="J337" s="650"/>
      <c r="K337" s="650"/>
      <c r="L337" s="650"/>
      <c r="M337" s="650"/>
      <c r="N337" s="650"/>
      <c r="O337" s="650"/>
      <c r="P337" s="650"/>
      <c r="Q337" s="650"/>
      <c r="R337" s="650"/>
      <c r="S337" s="650"/>
      <c r="T337" s="650"/>
      <c r="U337" s="650"/>
      <c r="V337" s="650"/>
      <c r="W337" s="650"/>
      <c r="X337" s="650"/>
      <c r="Y337" s="650"/>
      <c r="Z337" s="650"/>
      <c r="AA337" s="650"/>
      <c r="AB337" s="650"/>
      <c r="AC337" s="650"/>
      <c r="AD337" s="650"/>
      <c r="AE337" s="650"/>
      <c r="AF337" s="650"/>
      <c r="AG337" s="650"/>
      <c r="AH337" s="650"/>
      <c r="AI337" s="650"/>
      <c r="AJ337" s="650"/>
      <c r="AK337" s="650"/>
      <c r="AL337" s="650"/>
      <c r="AM337" s="650"/>
      <c r="AN337" s="650"/>
      <c r="AO337" s="650"/>
      <c r="AP337" s="650"/>
      <c r="AQ337" s="650"/>
      <c r="AR337" s="650"/>
      <c r="AS337" s="650"/>
      <c r="AT337" s="650"/>
      <c r="AU337" s="650"/>
      <c r="AV337" s="650"/>
      <c r="AW337" s="650"/>
      <c r="AX337" s="650"/>
      <c r="AY337" s="650"/>
    </row>
    <row r="338" ht="21.75" customHeight="1">
      <c r="A338" s="650"/>
      <c r="B338" s="650"/>
      <c r="C338" s="650"/>
      <c r="D338" s="650"/>
      <c r="E338" s="650"/>
      <c r="F338" s="650"/>
      <c r="G338" s="650"/>
      <c r="H338" s="650"/>
      <c r="I338" s="650"/>
      <c r="J338" s="650"/>
      <c r="K338" s="650"/>
      <c r="L338" s="650"/>
      <c r="M338" s="650"/>
      <c r="N338" s="650"/>
      <c r="O338" s="650"/>
      <c r="P338" s="650"/>
      <c r="Q338" s="650"/>
      <c r="R338" s="650"/>
      <c r="S338" s="650"/>
      <c r="T338" s="650"/>
      <c r="U338" s="650"/>
      <c r="V338" s="650"/>
      <c r="W338" s="650"/>
      <c r="X338" s="650"/>
      <c r="Y338" s="650"/>
      <c r="Z338" s="650"/>
      <c r="AA338" s="650"/>
      <c r="AB338" s="650"/>
      <c r="AC338" s="650"/>
      <c r="AD338" s="650"/>
      <c r="AE338" s="650"/>
      <c r="AF338" s="650"/>
      <c r="AG338" s="650"/>
      <c r="AH338" s="650"/>
      <c r="AI338" s="650"/>
      <c r="AJ338" s="650"/>
      <c r="AK338" s="650"/>
      <c r="AL338" s="650"/>
      <c r="AM338" s="650"/>
      <c r="AN338" s="650"/>
      <c r="AO338" s="650"/>
      <c r="AP338" s="650"/>
      <c r="AQ338" s="650"/>
      <c r="AR338" s="650"/>
      <c r="AS338" s="650"/>
      <c r="AT338" s="650"/>
      <c r="AU338" s="650"/>
      <c r="AV338" s="650"/>
      <c r="AW338" s="650"/>
      <c r="AX338" s="650"/>
      <c r="AY338" s="650"/>
    </row>
    <row r="339" ht="21.75" customHeight="1">
      <c r="A339" s="650"/>
      <c r="B339" s="650"/>
      <c r="C339" s="650"/>
      <c r="D339" s="650"/>
      <c r="E339" s="650"/>
      <c r="F339" s="650"/>
      <c r="G339" s="650"/>
      <c r="H339" s="650"/>
      <c r="I339" s="650"/>
      <c r="J339" s="650"/>
      <c r="K339" s="650"/>
      <c r="L339" s="650"/>
      <c r="M339" s="650"/>
      <c r="N339" s="650"/>
      <c r="O339" s="650"/>
      <c r="P339" s="650"/>
      <c r="Q339" s="650"/>
      <c r="R339" s="650"/>
      <c r="S339" s="650"/>
      <c r="T339" s="650"/>
      <c r="U339" s="650"/>
      <c r="V339" s="650"/>
      <c r="W339" s="650"/>
      <c r="X339" s="650"/>
      <c r="Y339" s="650"/>
      <c r="Z339" s="650"/>
      <c r="AA339" s="650"/>
      <c r="AB339" s="650"/>
      <c r="AC339" s="650"/>
      <c r="AD339" s="650"/>
      <c r="AE339" s="650"/>
      <c r="AF339" s="650"/>
      <c r="AG339" s="650"/>
      <c r="AH339" s="650"/>
      <c r="AI339" s="650"/>
      <c r="AJ339" s="650"/>
      <c r="AK339" s="650"/>
      <c r="AL339" s="650"/>
      <c r="AM339" s="650"/>
      <c r="AN339" s="650"/>
      <c r="AO339" s="650"/>
      <c r="AP339" s="650"/>
      <c r="AQ339" s="650"/>
      <c r="AR339" s="650"/>
      <c r="AS339" s="650"/>
      <c r="AT339" s="650"/>
      <c r="AU339" s="650"/>
      <c r="AV339" s="650"/>
      <c r="AW339" s="650"/>
      <c r="AX339" s="650"/>
      <c r="AY339" s="650"/>
    </row>
    <row r="340" ht="21.75" customHeight="1">
      <c r="A340" s="650"/>
      <c r="B340" s="650"/>
      <c r="C340" s="650"/>
      <c r="D340" s="650"/>
      <c r="E340" s="650"/>
      <c r="F340" s="650"/>
      <c r="G340" s="650"/>
      <c r="H340" s="650"/>
      <c r="I340" s="650"/>
      <c r="J340" s="650"/>
      <c r="K340" s="650"/>
      <c r="L340" s="650"/>
      <c r="M340" s="650"/>
      <c r="N340" s="650"/>
      <c r="O340" s="650"/>
      <c r="P340" s="650"/>
      <c r="Q340" s="650"/>
      <c r="R340" s="650"/>
      <c r="S340" s="650"/>
      <c r="T340" s="650"/>
      <c r="U340" s="650"/>
      <c r="V340" s="650"/>
      <c r="W340" s="650"/>
      <c r="X340" s="650"/>
      <c r="Y340" s="650"/>
      <c r="Z340" s="650"/>
      <c r="AA340" s="650"/>
      <c r="AB340" s="650"/>
      <c r="AC340" s="650"/>
      <c r="AD340" s="650"/>
      <c r="AE340" s="650"/>
      <c r="AF340" s="650"/>
      <c r="AG340" s="650"/>
      <c r="AH340" s="650"/>
      <c r="AI340" s="650"/>
      <c r="AJ340" s="650"/>
      <c r="AK340" s="650"/>
      <c r="AL340" s="650"/>
      <c r="AM340" s="650"/>
      <c r="AN340" s="650"/>
      <c r="AO340" s="650"/>
      <c r="AP340" s="650"/>
      <c r="AQ340" s="650"/>
      <c r="AR340" s="650"/>
      <c r="AS340" s="650"/>
      <c r="AT340" s="650"/>
      <c r="AU340" s="650"/>
      <c r="AV340" s="650"/>
      <c r="AW340" s="650"/>
      <c r="AX340" s="650"/>
      <c r="AY340" s="650"/>
    </row>
    <row r="341" ht="21.75" customHeight="1">
      <c r="A341" s="650"/>
      <c r="B341" s="650"/>
      <c r="C341" s="650"/>
      <c r="D341" s="650"/>
      <c r="E341" s="650"/>
      <c r="F341" s="650"/>
      <c r="G341" s="650"/>
      <c r="H341" s="650"/>
      <c r="I341" s="650"/>
      <c r="J341" s="650"/>
      <c r="K341" s="650"/>
      <c r="L341" s="650"/>
      <c r="M341" s="650"/>
      <c r="N341" s="650"/>
      <c r="O341" s="650"/>
      <c r="P341" s="650"/>
      <c r="Q341" s="650"/>
      <c r="R341" s="650"/>
      <c r="S341" s="650"/>
      <c r="T341" s="650"/>
      <c r="U341" s="650"/>
      <c r="V341" s="650"/>
      <c r="W341" s="650"/>
      <c r="X341" s="650"/>
      <c r="Y341" s="650"/>
      <c r="Z341" s="650"/>
      <c r="AA341" s="650"/>
      <c r="AB341" s="650"/>
      <c r="AC341" s="650"/>
      <c r="AD341" s="650"/>
      <c r="AE341" s="650"/>
      <c r="AF341" s="650"/>
      <c r="AG341" s="650"/>
      <c r="AH341" s="650"/>
      <c r="AI341" s="650"/>
      <c r="AJ341" s="650"/>
      <c r="AK341" s="650"/>
      <c r="AL341" s="650"/>
      <c r="AM341" s="650"/>
      <c r="AN341" s="650"/>
      <c r="AO341" s="650"/>
      <c r="AP341" s="650"/>
      <c r="AQ341" s="650"/>
      <c r="AR341" s="650"/>
      <c r="AS341" s="650"/>
      <c r="AT341" s="650"/>
      <c r="AU341" s="650"/>
      <c r="AV341" s="650"/>
      <c r="AW341" s="650"/>
      <c r="AX341" s="650"/>
      <c r="AY341" s="650"/>
    </row>
    <row r="342" ht="21.75" customHeight="1">
      <c r="A342" s="650"/>
      <c r="B342" s="650"/>
      <c r="C342" s="650"/>
      <c r="D342" s="650"/>
      <c r="E342" s="650"/>
      <c r="F342" s="650"/>
      <c r="G342" s="650"/>
      <c r="H342" s="650"/>
      <c r="I342" s="650"/>
      <c r="J342" s="650"/>
      <c r="K342" s="650"/>
      <c r="L342" s="650"/>
      <c r="M342" s="650"/>
      <c r="N342" s="650"/>
      <c r="O342" s="650"/>
      <c r="P342" s="650"/>
      <c r="Q342" s="650"/>
      <c r="R342" s="650"/>
      <c r="S342" s="650"/>
      <c r="T342" s="650"/>
      <c r="U342" s="650"/>
      <c r="V342" s="650"/>
      <c r="W342" s="650"/>
      <c r="X342" s="650"/>
      <c r="Y342" s="650"/>
      <c r="Z342" s="650"/>
      <c r="AA342" s="650"/>
      <c r="AB342" s="650"/>
      <c r="AC342" s="650"/>
      <c r="AD342" s="650"/>
      <c r="AE342" s="650"/>
      <c r="AF342" s="650"/>
      <c r="AG342" s="650"/>
      <c r="AH342" s="650"/>
      <c r="AI342" s="650"/>
      <c r="AJ342" s="650"/>
      <c r="AK342" s="650"/>
      <c r="AL342" s="650"/>
      <c r="AM342" s="650"/>
      <c r="AN342" s="650"/>
      <c r="AO342" s="650"/>
      <c r="AP342" s="650"/>
      <c r="AQ342" s="650"/>
      <c r="AR342" s="650"/>
      <c r="AS342" s="650"/>
      <c r="AT342" s="650"/>
      <c r="AU342" s="650"/>
      <c r="AV342" s="650"/>
      <c r="AW342" s="650"/>
      <c r="AX342" s="650"/>
      <c r="AY342" s="650"/>
    </row>
    <row r="343" ht="21.75" customHeight="1">
      <c r="A343" s="650"/>
      <c r="B343" s="650"/>
      <c r="C343" s="650"/>
      <c r="D343" s="650"/>
      <c r="E343" s="650"/>
      <c r="F343" s="650"/>
      <c r="G343" s="650"/>
      <c r="H343" s="650"/>
      <c r="I343" s="650"/>
      <c r="J343" s="650"/>
      <c r="K343" s="650"/>
      <c r="L343" s="650"/>
      <c r="M343" s="650"/>
      <c r="N343" s="650"/>
      <c r="O343" s="650"/>
      <c r="P343" s="650"/>
      <c r="Q343" s="650"/>
      <c r="R343" s="650"/>
      <c r="S343" s="650"/>
      <c r="T343" s="650"/>
      <c r="U343" s="650"/>
      <c r="V343" s="650"/>
      <c r="W343" s="650"/>
      <c r="X343" s="650"/>
      <c r="Y343" s="650"/>
      <c r="Z343" s="650"/>
      <c r="AA343" s="650"/>
      <c r="AB343" s="650"/>
      <c r="AC343" s="650"/>
      <c r="AD343" s="650"/>
      <c r="AE343" s="650"/>
      <c r="AF343" s="650"/>
      <c r="AG343" s="650"/>
      <c r="AH343" s="650"/>
      <c r="AI343" s="650"/>
      <c r="AJ343" s="650"/>
      <c r="AK343" s="650"/>
      <c r="AL343" s="650"/>
      <c r="AM343" s="650"/>
      <c r="AN343" s="650"/>
      <c r="AO343" s="650"/>
      <c r="AP343" s="650"/>
      <c r="AQ343" s="650"/>
      <c r="AR343" s="650"/>
      <c r="AS343" s="650"/>
      <c r="AT343" s="650"/>
      <c r="AU343" s="650"/>
      <c r="AV343" s="650"/>
      <c r="AW343" s="650"/>
      <c r="AX343" s="650"/>
      <c r="AY343" s="650"/>
    </row>
    <row r="344" ht="21.75" customHeight="1">
      <c r="A344" s="650"/>
      <c r="B344" s="650"/>
      <c r="C344" s="650"/>
      <c r="D344" s="650"/>
      <c r="E344" s="650"/>
      <c r="F344" s="650"/>
      <c r="G344" s="650"/>
      <c r="H344" s="650"/>
      <c r="I344" s="650"/>
      <c r="J344" s="650"/>
      <c r="K344" s="650"/>
      <c r="L344" s="650"/>
      <c r="M344" s="650"/>
      <c r="N344" s="650"/>
      <c r="O344" s="650"/>
      <c r="P344" s="650"/>
      <c r="Q344" s="650"/>
      <c r="R344" s="650"/>
      <c r="S344" s="650"/>
      <c r="T344" s="650"/>
      <c r="U344" s="650"/>
      <c r="V344" s="650"/>
      <c r="W344" s="650"/>
      <c r="X344" s="650"/>
      <c r="Y344" s="650"/>
      <c r="Z344" s="650"/>
      <c r="AA344" s="650"/>
      <c r="AB344" s="650"/>
      <c r="AC344" s="650"/>
      <c r="AD344" s="650"/>
      <c r="AE344" s="650"/>
      <c r="AF344" s="650"/>
      <c r="AG344" s="650"/>
      <c r="AH344" s="650"/>
      <c r="AI344" s="650"/>
      <c r="AJ344" s="650"/>
      <c r="AK344" s="650"/>
      <c r="AL344" s="650"/>
      <c r="AM344" s="650"/>
      <c r="AN344" s="650"/>
      <c r="AO344" s="650"/>
      <c r="AP344" s="650"/>
      <c r="AQ344" s="650"/>
      <c r="AR344" s="650"/>
      <c r="AS344" s="650"/>
      <c r="AT344" s="650"/>
      <c r="AU344" s="650"/>
      <c r="AV344" s="650"/>
      <c r="AW344" s="650"/>
      <c r="AX344" s="650"/>
      <c r="AY344" s="650"/>
    </row>
    <row r="345" ht="21.75" customHeight="1">
      <c r="A345" s="650"/>
      <c r="B345" s="650"/>
      <c r="C345" s="650"/>
      <c r="D345" s="650"/>
      <c r="E345" s="650"/>
      <c r="F345" s="650"/>
      <c r="G345" s="650"/>
      <c r="H345" s="650"/>
      <c r="I345" s="650"/>
      <c r="J345" s="650"/>
      <c r="K345" s="650"/>
      <c r="L345" s="650"/>
      <c r="M345" s="650"/>
      <c r="N345" s="650"/>
      <c r="O345" s="650"/>
      <c r="P345" s="650"/>
      <c r="Q345" s="650"/>
      <c r="R345" s="650"/>
      <c r="S345" s="650"/>
      <c r="T345" s="650"/>
      <c r="U345" s="650"/>
      <c r="V345" s="650"/>
      <c r="W345" s="650"/>
      <c r="X345" s="650"/>
      <c r="Y345" s="650"/>
      <c r="Z345" s="650"/>
      <c r="AA345" s="650"/>
      <c r="AB345" s="650"/>
      <c r="AC345" s="650"/>
      <c r="AD345" s="650"/>
      <c r="AE345" s="650"/>
      <c r="AF345" s="650"/>
      <c r="AG345" s="650"/>
      <c r="AH345" s="650"/>
      <c r="AI345" s="650"/>
      <c r="AJ345" s="650"/>
      <c r="AK345" s="650"/>
      <c r="AL345" s="650"/>
      <c r="AM345" s="650"/>
      <c r="AN345" s="650"/>
      <c r="AO345" s="650"/>
      <c r="AP345" s="650"/>
      <c r="AQ345" s="650"/>
      <c r="AR345" s="650"/>
      <c r="AS345" s="650"/>
      <c r="AT345" s="650"/>
      <c r="AU345" s="650"/>
      <c r="AV345" s="650"/>
      <c r="AW345" s="650"/>
      <c r="AX345" s="650"/>
      <c r="AY345" s="650"/>
    </row>
    <row r="346" ht="21.75" customHeight="1">
      <c r="A346" s="650"/>
      <c r="B346" s="650"/>
      <c r="C346" s="650"/>
      <c r="D346" s="650"/>
      <c r="E346" s="650"/>
      <c r="F346" s="650"/>
      <c r="G346" s="650"/>
      <c r="H346" s="650"/>
      <c r="I346" s="650"/>
      <c r="J346" s="650"/>
      <c r="K346" s="650"/>
      <c r="L346" s="650"/>
      <c r="M346" s="650"/>
      <c r="N346" s="650"/>
      <c r="O346" s="650"/>
      <c r="P346" s="650"/>
      <c r="Q346" s="650"/>
      <c r="R346" s="650"/>
      <c r="S346" s="650"/>
      <c r="T346" s="650"/>
      <c r="U346" s="650"/>
      <c r="V346" s="650"/>
      <c r="W346" s="650"/>
      <c r="X346" s="650"/>
      <c r="Y346" s="650"/>
      <c r="Z346" s="650"/>
      <c r="AA346" s="650"/>
      <c r="AB346" s="650"/>
      <c r="AC346" s="650"/>
      <c r="AD346" s="650"/>
      <c r="AE346" s="650"/>
      <c r="AF346" s="650"/>
      <c r="AG346" s="650"/>
      <c r="AH346" s="650"/>
      <c r="AI346" s="650"/>
      <c r="AJ346" s="650"/>
      <c r="AK346" s="650"/>
      <c r="AL346" s="650"/>
      <c r="AM346" s="650"/>
      <c r="AN346" s="650"/>
      <c r="AO346" s="650"/>
      <c r="AP346" s="650"/>
      <c r="AQ346" s="650"/>
      <c r="AR346" s="650"/>
      <c r="AS346" s="650"/>
      <c r="AT346" s="650"/>
      <c r="AU346" s="650"/>
      <c r="AV346" s="650"/>
      <c r="AW346" s="650"/>
      <c r="AX346" s="650"/>
      <c r="AY346" s="650"/>
    </row>
    <row r="347" ht="21.75" customHeight="1">
      <c r="A347" s="650"/>
      <c r="B347" s="650"/>
      <c r="C347" s="650"/>
      <c r="D347" s="650"/>
      <c r="E347" s="650"/>
      <c r="F347" s="650"/>
      <c r="G347" s="650"/>
      <c r="H347" s="650"/>
      <c r="I347" s="650"/>
      <c r="J347" s="650"/>
      <c r="K347" s="650"/>
      <c r="L347" s="650"/>
      <c r="M347" s="650"/>
      <c r="N347" s="650"/>
      <c r="O347" s="650"/>
      <c r="P347" s="650"/>
      <c r="Q347" s="650"/>
      <c r="R347" s="650"/>
      <c r="S347" s="650"/>
      <c r="T347" s="650"/>
      <c r="U347" s="650"/>
      <c r="V347" s="650"/>
      <c r="W347" s="650"/>
      <c r="X347" s="650"/>
      <c r="Y347" s="650"/>
      <c r="Z347" s="650"/>
      <c r="AA347" s="650"/>
      <c r="AB347" s="650"/>
      <c r="AC347" s="650"/>
      <c r="AD347" s="650"/>
      <c r="AE347" s="650"/>
      <c r="AF347" s="650"/>
      <c r="AG347" s="650"/>
      <c r="AH347" s="650"/>
      <c r="AI347" s="650"/>
      <c r="AJ347" s="650"/>
      <c r="AK347" s="650"/>
      <c r="AL347" s="650"/>
      <c r="AM347" s="650"/>
      <c r="AN347" s="650"/>
      <c r="AO347" s="650"/>
      <c r="AP347" s="650"/>
      <c r="AQ347" s="650"/>
      <c r="AR347" s="650"/>
      <c r="AS347" s="650"/>
      <c r="AT347" s="650"/>
      <c r="AU347" s="650"/>
      <c r="AV347" s="650"/>
      <c r="AW347" s="650"/>
      <c r="AX347" s="650"/>
      <c r="AY347" s="650"/>
    </row>
    <row r="348" ht="21.75" customHeight="1">
      <c r="A348" s="650"/>
      <c r="B348" s="650"/>
      <c r="C348" s="650"/>
      <c r="D348" s="650"/>
      <c r="E348" s="650"/>
      <c r="F348" s="650"/>
      <c r="G348" s="650"/>
      <c r="H348" s="650"/>
      <c r="I348" s="650"/>
      <c r="J348" s="650"/>
      <c r="K348" s="650"/>
      <c r="L348" s="650"/>
      <c r="M348" s="650"/>
      <c r="N348" s="650"/>
      <c r="O348" s="650"/>
      <c r="P348" s="650"/>
      <c r="Q348" s="650"/>
      <c r="R348" s="650"/>
      <c r="S348" s="650"/>
      <c r="T348" s="650"/>
      <c r="U348" s="650"/>
      <c r="V348" s="650"/>
      <c r="W348" s="650"/>
      <c r="X348" s="650"/>
      <c r="Y348" s="650"/>
      <c r="Z348" s="650"/>
      <c r="AA348" s="650"/>
      <c r="AB348" s="650"/>
      <c r="AC348" s="650"/>
      <c r="AD348" s="650"/>
      <c r="AE348" s="650"/>
      <c r="AF348" s="650"/>
      <c r="AG348" s="650"/>
      <c r="AH348" s="650"/>
      <c r="AI348" s="650"/>
      <c r="AJ348" s="650"/>
      <c r="AK348" s="650"/>
      <c r="AL348" s="650"/>
      <c r="AM348" s="650"/>
      <c r="AN348" s="650"/>
      <c r="AO348" s="650"/>
      <c r="AP348" s="650"/>
      <c r="AQ348" s="650"/>
      <c r="AR348" s="650"/>
      <c r="AS348" s="650"/>
      <c r="AT348" s="650"/>
      <c r="AU348" s="650"/>
      <c r="AV348" s="650"/>
      <c r="AW348" s="650"/>
      <c r="AX348" s="650"/>
      <c r="AY348" s="650"/>
    </row>
    <row r="349" ht="21.75" customHeight="1">
      <c r="A349" s="650"/>
      <c r="B349" s="650"/>
      <c r="C349" s="650"/>
      <c r="D349" s="650"/>
      <c r="E349" s="650"/>
      <c r="F349" s="650"/>
      <c r="G349" s="650"/>
      <c r="H349" s="650"/>
      <c r="I349" s="650"/>
      <c r="J349" s="650"/>
      <c r="K349" s="650"/>
      <c r="L349" s="650"/>
      <c r="M349" s="650"/>
      <c r="N349" s="650"/>
      <c r="O349" s="650"/>
      <c r="P349" s="650"/>
      <c r="Q349" s="650"/>
      <c r="R349" s="650"/>
      <c r="S349" s="650"/>
      <c r="T349" s="650"/>
      <c r="U349" s="650"/>
      <c r="V349" s="650"/>
      <c r="W349" s="650"/>
      <c r="X349" s="650"/>
      <c r="Y349" s="650"/>
      <c r="Z349" s="650"/>
      <c r="AA349" s="650"/>
      <c r="AB349" s="650"/>
      <c r="AC349" s="650"/>
      <c r="AD349" s="650"/>
      <c r="AE349" s="650"/>
      <c r="AF349" s="650"/>
      <c r="AG349" s="650"/>
      <c r="AH349" s="650"/>
      <c r="AI349" s="650"/>
      <c r="AJ349" s="650"/>
      <c r="AK349" s="650"/>
      <c r="AL349" s="650"/>
      <c r="AM349" s="650"/>
      <c r="AN349" s="650"/>
      <c r="AO349" s="650"/>
      <c r="AP349" s="650"/>
      <c r="AQ349" s="650"/>
      <c r="AR349" s="650"/>
      <c r="AS349" s="650"/>
      <c r="AT349" s="650"/>
      <c r="AU349" s="650"/>
      <c r="AV349" s="650"/>
      <c r="AW349" s="650"/>
      <c r="AX349" s="650"/>
      <c r="AY349" s="650"/>
    </row>
    <row r="350" ht="21.75" customHeight="1">
      <c r="A350" s="650"/>
      <c r="B350" s="650"/>
      <c r="C350" s="650"/>
      <c r="D350" s="650"/>
      <c r="E350" s="650"/>
      <c r="F350" s="650"/>
      <c r="G350" s="650"/>
      <c r="H350" s="650"/>
      <c r="I350" s="650"/>
      <c r="J350" s="650"/>
      <c r="K350" s="650"/>
      <c r="L350" s="650"/>
      <c r="M350" s="650"/>
      <c r="N350" s="650"/>
      <c r="O350" s="650"/>
      <c r="P350" s="650"/>
      <c r="Q350" s="650"/>
      <c r="R350" s="650"/>
      <c r="S350" s="650"/>
      <c r="T350" s="650"/>
      <c r="U350" s="650"/>
      <c r="V350" s="650"/>
      <c r="W350" s="650"/>
      <c r="X350" s="650"/>
      <c r="Y350" s="650"/>
      <c r="Z350" s="650"/>
      <c r="AA350" s="650"/>
      <c r="AB350" s="650"/>
      <c r="AC350" s="650"/>
      <c r="AD350" s="650"/>
      <c r="AE350" s="650"/>
      <c r="AF350" s="650"/>
      <c r="AG350" s="650"/>
      <c r="AH350" s="650"/>
      <c r="AI350" s="650"/>
      <c r="AJ350" s="650"/>
      <c r="AK350" s="650"/>
      <c r="AL350" s="650"/>
      <c r="AM350" s="650"/>
      <c r="AN350" s="650"/>
      <c r="AO350" s="650"/>
      <c r="AP350" s="650"/>
      <c r="AQ350" s="650"/>
      <c r="AR350" s="650"/>
      <c r="AS350" s="650"/>
      <c r="AT350" s="650"/>
      <c r="AU350" s="650"/>
      <c r="AV350" s="650"/>
      <c r="AW350" s="650"/>
      <c r="AX350" s="650"/>
      <c r="AY350" s="650"/>
    </row>
    <row r="351" ht="21.75" customHeight="1">
      <c r="A351" s="650"/>
      <c r="B351" s="650"/>
      <c r="C351" s="650"/>
      <c r="D351" s="650"/>
      <c r="E351" s="650"/>
      <c r="F351" s="650"/>
      <c r="G351" s="650"/>
      <c r="H351" s="650"/>
      <c r="I351" s="650"/>
      <c r="J351" s="650"/>
      <c r="K351" s="650"/>
      <c r="L351" s="650"/>
      <c r="M351" s="650"/>
      <c r="N351" s="650"/>
      <c r="O351" s="650"/>
      <c r="P351" s="650"/>
      <c r="Q351" s="650"/>
      <c r="R351" s="650"/>
      <c r="S351" s="650"/>
      <c r="T351" s="650"/>
      <c r="U351" s="650"/>
      <c r="V351" s="650"/>
      <c r="W351" s="650"/>
      <c r="X351" s="650"/>
      <c r="Y351" s="650"/>
      <c r="Z351" s="650"/>
      <c r="AA351" s="650"/>
      <c r="AB351" s="650"/>
      <c r="AC351" s="650"/>
      <c r="AD351" s="650"/>
      <c r="AE351" s="650"/>
      <c r="AF351" s="650"/>
      <c r="AG351" s="650"/>
      <c r="AH351" s="650"/>
      <c r="AI351" s="650"/>
      <c r="AJ351" s="650"/>
      <c r="AK351" s="650"/>
      <c r="AL351" s="650"/>
      <c r="AM351" s="650"/>
      <c r="AN351" s="650"/>
      <c r="AO351" s="650"/>
      <c r="AP351" s="650"/>
      <c r="AQ351" s="650"/>
      <c r="AR351" s="650"/>
      <c r="AS351" s="650"/>
      <c r="AT351" s="650"/>
      <c r="AU351" s="650"/>
      <c r="AV351" s="650"/>
      <c r="AW351" s="650"/>
      <c r="AX351" s="650"/>
      <c r="AY351" s="650"/>
    </row>
    <row r="352" ht="21.75" customHeight="1">
      <c r="A352" s="650"/>
      <c r="B352" s="650"/>
      <c r="C352" s="650"/>
      <c r="D352" s="650"/>
      <c r="E352" s="650"/>
      <c r="F352" s="650"/>
      <c r="G352" s="650"/>
      <c r="H352" s="650"/>
      <c r="I352" s="650"/>
      <c r="J352" s="650"/>
      <c r="K352" s="650"/>
      <c r="L352" s="650"/>
      <c r="M352" s="650"/>
      <c r="N352" s="650"/>
      <c r="O352" s="650"/>
      <c r="P352" s="650"/>
      <c r="Q352" s="650"/>
      <c r="R352" s="650"/>
      <c r="S352" s="650"/>
      <c r="T352" s="650"/>
      <c r="U352" s="650"/>
      <c r="V352" s="650"/>
      <c r="W352" s="650"/>
      <c r="X352" s="650"/>
      <c r="Y352" s="650"/>
      <c r="Z352" s="650"/>
      <c r="AA352" s="650"/>
      <c r="AB352" s="650"/>
      <c r="AC352" s="650"/>
      <c r="AD352" s="650"/>
      <c r="AE352" s="650"/>
      <c r="AF352" s="650"/>
      <c r="AG352" s="650"/>
      <c r="AH352" s="650"/>
      <c r="AI352" s="650"/>
      <c r="AJ352" s="650"/>
      <c r="AK352" s="650"/>
      <c r="AL352" s="650"/>
      <c r="AM352" s="650"/>
      <c r="AN352" s="650"/>
      <c r="AO352" s="650"/>
      <c r="AP352" s="650"/>
      <c r="AQ352" s="650"/>
      <c r="AR352" s="650"/>
      <c r="AS352" s="650"/>
      <c r="AT352" s="650"/>
      <c r="AU352" s="650"/>
      <c r="AV352" s="650"/>
      <c r="AW352" s="650"/>
      <c r="AX352" s="650"/>
      <c r="AY352" s="650"/>
    </row>
    <row r="353" ht="21.75" customHeight="1">
      <c r="A353" s="650"/>
      <c r="B353" s="650"/>
      <c r="C353" s="650"/>
      <c r="D353" s="650"/>
      <c r="E353" s="650"/>
      <c r="F353" s="650"/>
      <c r="G353" s="650"/>
      <c r="H353" s="650"/>
      <c r="I353" s="650"/>
      <c r="J353" s="650"/>
      <c r="K353" s="650"/>
      <c r="L353" s="650"/>
      <c r="M353" s="650"/>
      <c r="N353" s="650"/>
      <c r="O353" s="650"/>
      <c r="P353" s="650"/>
      <c r="Q353" s="650"/>
      <c r="R353" s="650"/>
      <c r="S353" s="650"/>
      <c r="T353" s="650"/>
      <c r="U353" s="650"/>
      <c r="V353" s="650"/>
      <c r="W353" s="650"/>
      <c r="X353" s="650"/>
      <c r="Y353" s="650"/>
      <c r="Z353" s="650"/>
      <c r="AA353" s="650"/>
      <c r="AB353" s="650"/>
      <c r="AC353" s="650"/>
      <c r="AD353" s="650"/>
      <c r="AE353" s="650"/>
      <c r="AF353" s="650"/>
      <c r="AG353" s="650"/>
      <c r="AH353" s="650"/>
      <c r="AI353" s="650"/>
      <c r="AJ353" s="650"/>
      <c r="AK353" s="650"/>
      <c r="AL353" s="650"/>
      <c r="AM353" s="650"/>
      <c r="AN353" s="650"/>
      <c r="AO353" s="650"/>
      <c r="AP353" s="650"/>
      <c r="AQ353" s="650"/>
      <c r="AR353" s="650"/>
      <c r="AS353" s="650"/>
      <c r="AT353" s="650"/>
      <c r="AU353" s="650"/>
      <c r="AV353" s="650"/>
      <c r="AW353" s="650"/>
      <c r="AX353" s="650"/>
      <c r="AY353" s="650"/>
    </row>
    <row r="354" ht="21.75" customHeight="1">
      <c r="A354" s="650"/>
      <c r="B354" s="650"/>
      <c r="C354" s="650"/>
      <c r="D354" s="650"/>
      <c r="E354" s="650"/>
      <c r="F354" s="650"/>
      <c r="G354" s="650"/>
      <c r="H354" s="650"/>
      <c r="I354" s="650"/>
      <c r="J354" s="650"/>
      <c r="K354" s="650"/>
      <c r="L354" s="650"/>
      <c r="M354" s="650"/>
      <c r="N354" s="650"/>
      <c r="O354" s="650"/>
      <c r="P354" s="650"/>
      <c r="Q354" s="650"/>
      <c r="R354" s="650"/>
      <c r="S354" s="650"/>
      <c r="T354" s="650"/>
      <c r="U354" s="650"/>
      <c r="V354" s="650"/>
      <c r="W354" s="650"/>
      <c r="X354" s="650"/>
      <c r="Y354" s="650"/>
      <c r="Z354" s="650"/>
      <c r="AA354" s="650"/>
      <c r="AB354" s="650"/>
      <c r="AC354" s="650"/>
      <c r="AD354" s="650"/>
      <c r="AE354" s="650"/>
      <c r="AF354" s="650"/>
      <c r="AG354" s="650"/>
      <c r="AH354" s="650"/>
      <c r="AI354" s="650"/>
      <c r="AJ354" s="650"/>
      <c r="AK354" s="650"/>
      <c r="AL354" s="650"/>
      <c r="AM354" s="650"/>
      <c r="AN354" s="650"/>
      <c r="AO354" s="650"/>
      <c r="AP354" s="650"/>
      <c r="AQ354" s="650"/>
      <c r="AR354" s="650"/>
      <c r="AS354" s="650"/>
      <c r="AT354" s="650"/>
      <c r="AU354" s="650"/>
      <c r="AV354" s="650"/>
      <c r="AW354" s="650"/>
      <c r="AX354" s="650"/>
      <c r="AY354" s="650"/>
    </row>
    <row r="355" ht="21.75" customHeight="1">
      <c r="A355" s="650"/>
      <c r="B355" s="650"/>
      <c r="C355" s="650"/>
      <c r="D355" s="650"/>
      <c r="E355" s="650"/>
      <c r="F355" s="650"/>
      <c r="G355" s="650"/>
      <c r="H355" s="650"/>
      <c r="I355" s="650"/>
      <c r="J355" s="650"/>
      <c r="K355" s="650"/>
      <c r="L355" s="650"/>
      <c r="M355" s="650"/>
      <c r="N355" s="650"/>
      <c r="O355" s="650"/>
      <c r="P355" s="650"/>
      <c r="Q355" s="650"/>
      <c r="R355" s="650"/>
      <c r="S355" s="650"/>
      <c r="T355" s="650"/>
      <c r="U355" s="650"/>
      <c r="V355" s="650"/>
      <c r="W355" s="650"/>
      <c r="X355" s="650"/>
      <c r="Y355" s="650"/>
      <c r="Z355" s="650"/>
      <c r="AA355" s="650"/>
      <c r="AB355" s="650"/>
      <c r="AC355" s="650"/>
      <c r="AD355" s="650"/>
      <c r="AE355" s="650"/>
      <c r="AF355" s="650"/>
      <c r="AG355" s="650"/>
      <c r="AH355" s="650"/>
      <c r="AI355" s="650"/>
      <c r="AJ355" s="650"/>
      <c r="AK355" s="650"/>
      <c r="AL355" s="650"/>
      <c r="AM355" s="650"/>
      <c r="AN355" s="650"/>
      <c r="AO355" s="650"/>
      <c r="AP355" s="650"/>
      <c r="AQ355" s="650"/>
      <c r="AR355" s="650"/>
      <c r="AS355" s="650"/>
      <c r="AT355" s="650"/>
      <c r="AU355" s="650"/>
      <c r="AV355" s="650"/>
      <c r="AW355" s="650"/>
      <c r="AX355" s="650"/>
      <c r="AY355" s="650"/>
    </row>
    <row r="356" ht="21.75" customHeight="1">
      <c r="A356" s="650"/>
      <c r="B356" s="650"/>
      <c r="C356" s="650"/>
      <c r="D356" s="650"/>
      <c r="E356" s="650"/>
      <c r="F356" s="650"/>
      <c r="G356" s="650"/>
      <c r="H356" s="650"/>
      <c r="I356" s="650"/>
      <c r="J356" s="650"/>
      <c r="K356" s="650"/>
      <c r="L356" s="650"/>
      <c r="M356" s="650"/>
      <c r="N356" s="650"/>
      <c r="O356" s="650"/>
      <c r="P356" s="650"/>
      <c r="Q356" s="650"/>
      <c r="R356" s="650"/>
      <c r="S356" s="650"/>
      <c r="T356" s="650"/>
      <c r="U356" s="650"/>
      <c r="V356" s="650"/>
      <c r="W356" s="650"/>
      <c r="X356" s="650"/>
      <c r="Y356" s="650"/>
      <c r="Z356" s="650"/>
      <c r="AA356" s="650"/>
      <c r="AB356" s="650"/>
      <c r="AC356" s="650"/>
      <c r="AD356" s="650"/>
      <c r="AE356" s="650"/>
      <c r="AF356" s="650"/>
      <c r="AG356" s="650"/>
      <c r="AH356" s="650"/>
      <c r="AI356" s="650"/>
      <c r="AJ356" s="650"/>
      <c r="AK356" s="650"/>
      <c r="AL356" s="650"/>
      <c r="AM356" s="650"/>
      <c r="AN356" s="650"/>
      <c r="AO356" s="650"/>
      <c r="AP356" s="650"/>
      <c r="AQ356" s="650"/>
      <c r="AR356" s="650"/>
      <c r="AS356" s="650"/>
      <c r="AT356" s="650"/>
      <c r="AU356" s="650"/>
      <c r="AV356" s="650"/>
      <c r="AW356" s="650"/>
      <c r="AX356" s="650"/>
      <c r="AY356" s="650"/>
    </row>
    <row r="357" ht="21.75" customHeight="1">
      <c r="A357" s="650"/>
      <c r="B357" s="650"/>
      <c r="C357" s="650"/>
      <c r="D357" s="650"/>
      <c r="E357" s="650"/>
      <c r="F357" s="650"/>
      <c r="G357" s="650"/>
      <c r="H357" s="650"/>
      <c r="I357" s="650"/>
      <c r="J357" s="650"/>
      <c r="K357" s="650"/>
      <c r="L357" s="650"/>
      <c r="M357" s="650"/>
      <c r="N357" s="650"/>
      <c r="O357" s="650"/>
      <c r="P357" s="650"/>
      <c r="Q357" s="650"/>
      <c r="R357" s="650"/>
      <c r="S357" s="650"/>
      <c r="T357" s="650"/>
      <c r="U357" s="650"/>
      <c r="V357" s="650"/>
      <c r="W357" s="650"/>
      <c r="X357" s="650"/>
      <c r="Y357" s="650"/>
      <c r="Z357" s="650"/>
      <c r="AA357" s="650"/>
      <c r="AB357" s="650"/>
      <c r="AC357" s="650"/>
      <c r="AD357" s="650"/>
      <c r="AE357" s="650"/>
      <c r="AF357" s="650"/>
      <c r="AG357" s="650"/>
      <c r="AH357" s="650"/>
      <c r="AI357" s="650"/>
      <c r="AJ357" s="650"/>
      <c r="AK357" s="650"/>
      <c r="AL357" s="650"/>
      <c r="AM357" s="650"/>
      <c r="AN357" s="650"/>
      <c r="AO357" s="650"/>
      <c r="AP357" s="650"/>
      <c r="AQ357" s="650"/>
      <c r="AR357" s="650"/>
      <c r="AS357" s="650"/>
      <c r="AT357" s="650"/>
      <c r="AU357" s="650"/>
      <c r="AV357" s="650"/>
      <c r="AW357" s="650"/>
      <c r="AX357" s="650"/>
      <c r="AY357" s="650"/>
    </row>
    <row r="358" ht="21.75" customHeight="1">
      <c r="A358" s="650"/>
      <c r="B358" s="650"/>
      <c r="C358" s="650"/>
      <c r="D358" s="650"/>
      <c r="E358" s="650"/>
      <c r="F358" s="650"/>
      <c r="G358" s="650"/>
      <c r="H358" s="650"/>
      <c r="I358" s="650"/>
      <c r="J358" s="650"/>
      <c r="K358" s="650"/>
      <c r="L358" s="650"/>
      <c r="M358" s="650"/>
      <c r="N358" s="650"/>
      <c r="O358" s="650"/>
      <c r="P358" s="650"/>
      <c r="Q358" s="650"/>
      <c r="R358" s="650"/>
      <c r="S358" s="650"/>
      <c r="T358" s="650"/>
      <c r="U358" s="650"/>
      <c r="V358" s="650"/>
      <c r="W358" s="650"/>
      <c r="X358" s="650"/>
      <c r="Y358" s="650"/>
      <c r="Z358" s="650"/>
      <c r="AA358" s="650"/>
      <c r="AB358" s="650"/>
      <c r="AC358" s="650"/>
      <c r="AD358" s="650"/>
      <c r="AE358" s="650"/>
      <c r="AF358" s="650"/>
      <c r="AG358" s="650"/>
      <c r="AH358" s="650"/>
      <c r="AI358" s="650"/>
      <c r="AJ358" s="650"/>
      <c r="AK358" s="650"/>
      <c r="AL358" s="650"/>
      <c r="AM358" s="650"/>
      <c r="AN358" s="650"/>
      <c r="AO358" s="650"/>
      <c r="AP358" s="650"/>
      <c r="AQ358" s="650"/>
      <c r="AR358" s="650"/>
      <c r="AS358" s="650"/>
      <c r="AT358" s="650"/>
      <c r="AU358" s="650"/>
      <c r="AV358" s="650"/>
      <c r="AW358" s="650"/>
      <c r="AX358" s="650"/>
      <c r="AY358" s="650"/>
    </row>
    <row r="359" ht="21.75" customHeight="1">
      <c r="A359" s="650"/>
      <c r="B359" s="650"/>
      <c r="C359" s="650"/>
      <c r="D359" s="650"/>
      <c r="E359" s="650"/>
      <c r="F359" s="650"/>
      <c r="G359" s="650"/>
      <c r="H359" s="650"/>
      <c r="I359" s="650"/>
      <c r="J359" s="650"/>
      <c r="K359" s="650"/>
      <c r="L359" s="650"/>
      <c r="M359" s="650"/>
      <c r="N359" s="650"/>
      <c r="O359" s="650"/>
      <c r="P359" s="650"/>
      <c r="Q359" s="650"/>
      <c r="R359" s="650"/>
      <c r="S359" s="650"/>
      <c r="T359" s="650"/>
      <c r="U359" s="650"/>
      <c r="V359" s="650"/>
      <c r="W359" s="650"/>
      <c r="X359" s="650"/>
      <c r="Y359" s="650"/>
      <c r="Z359" s="650"/>
      <c r="AA359" s="650"/>
      <c r="AB359" s="650"/>
      <c r="AC359" s="650"/>
      <c r="AD359" s="650"/>
      <c r="AE359" s="650"/>
      <c r="AF359" s="650"/>
      <c r="AG359" s="650"/>
      <c r="AH359" s="650"/>
      <c r="AI359" s="650"/>
      <c r="AJ359" s="650"/>
      <c r="AK359" s="650"/>
      <c r="AL359" s="650"/>
      <c r="AM359" s="650"/>
      <c r="AN359" s="650"/>
      <c r="AO359" s="650"/>
      <c r="AP359" s="650"/>
      <c r="AQ359" s="650"/>
      <c r="AR359" s="650"/>
      <c r="AS359" s="650"/>
      <c r="AT359" s="650"/>
      <c r="AU359" s="650"/>
      <c r="AV359" s="650"/>
      <c r="AW359" s="650"/>
      <c r="AX359" s="650"/>
      <c r="AY359" s="650"/>
    </row>
    <row r="360" ht="21.75" customHeight="1">
      <c r="A360" s="650"/>
      <c r="B360" s="650"/>
      <c r="C360" s="650"/>
      <c r="D360" s="650"/>
      <c r="E360" s="650"/>
      <c r="F360" s="650"/>
      <c r="G360" s="650"/>
      <c r="H360" s="650"/>
      <c r="I360" s="650"/>
      <c r="J360" s="650"/>
      <c r="K360" s="650"/>
      <c r="L360" s="650"/>
      <c r="M360" s="650"/>
      <c r="N360" s="650"/>
      <c r="O360" s="650"/>
      <c r="P360" s="650"/>
      <c r="Q360" s="650"/>
      <c r="R360" s="650"/>
      <c r="S360" s="650"/>
      <c r="T360" s="650"/>
      <c r="U360" s="650"/>
      <c r="V360" s="650"/>
      <c r="W360" s="650"/>
      <c r="X360" s="650"/>
      <c r="Y360" s="650"/>
      <c r="Z360" s="650"/>
      <c r="AA360" s="650"/>
      <c r="AB360" s="650"/>
      <c r="AC360" s="650"/>
      <c r="AD360" s="650"/>
      <c r="AE360" s="650"/>
      <c r="AF360" s="650"/>
      <c r="AG360" s="650"/>
      <c r="AH360" s="650"/>
      <c r="AI360" s="650"/>
      <c r="AJ360" s="650"/>
      <c r="AK360" s="650"/>
      <c r="AL360" s="650"/>
      <c r="AM360" s="650"/>
      <c r="AN360" s="650"/>
      <c r="AO360" s="650"/>
      <c r="AP360" s="650"/>
      <c r="AQ360" s="650"/>
      <c r="AR360" s="650"/>
      <c r="AS360" s="650"/>
      <c r="AT360" s="650"/>
      <c r="AU360" s="650"/>
      <c r="AV360" s="650"/>
      <c r="AW360" s="650"/>
      <c r="AX360" s="650"/>
      <c r="AY360" s="650"/>
    </row>
    <row r="361" ht="21.75" customHeight="1">
      <c r="A361" s="650"/>
      <c r="B361" s="650"/>
      <c r="C361" s="650"/>
      <c r="D361" s="650"/>
      <c r="E361" s="650"/>
      <c r="F361" s="650"/>
      <c r="G361" s="650"/>
      <c r="H361" s="650"/>
      <c r="I361" s="650"/>
      <c r="J361" s="650"/>
      <c r="K361" s="650"/>
      <c r="L361" s="650"/>
      <c r="M361" s="650"/>
      <c r="N361" s="650"/>
      <c r="O361" s="650"/>
      <c r="P361" s="650"/>
      <c r="Q361" s="650"/>
      <c r="R361" s="650"/>
      <c r="S361" s="650"/>
      <c r="T361" s="650"/>
      <c r="U361" s="650"/>
      <c r="V361" s="650"/>
      <c r="W361" s="650"/>
      <c r="X361" s="650"/>
      <c r="Y361" s="650"/>
      <c r="Z361" s="650"/>
      <c r="AA361" s="650"/>
      <c r="AB361" s="650"/>
      <c r="AC361" s="650"/>
      <c r="AD361" s="650"/>
      <c r="AE361" s="650"/>
      <c r="AF361" s="650"/>
      <c r="AG361" s="650"/>
      <c r="AH361" s="650"/>
      <c r="AI361" s="650"/>
      <c r="AJ361" s="650"/>
      <c r="AK361" s="650"/>
      <c r="AL361" s="650"/>
      <c r="AM361" s="650"/>
      <c r="AN361" s="650"/>
      <c r="AO361" s="650"/>
      <c r="AP361" s="650"/>
      <c r="AQ361" s="650"/>
      <c r="AR361" s="650"/>
      <c r="AS361" s="650"/>
      <c r="AT361" s="650"/>
      <c r="AU361" s="650"/>
      <c r="AV361" s="650"/>
      <c r="AW361" s="650"/>
      <c r="AX361" s="650"/>
      <c r="AY361" s="650"/>
    </row>
    <row r="362" ht="21.75" customHeight="1">
      <c r="A362" s="650"/>
      <c r="B362" s="650"/>
      <c r="C362" s="650"/>
      <c r="D362" s="650"/>
      <c r="E362" s="650"/>
      <c r="F362" s="650"/>
      <c r="G362" s="650"/>
      <c r="H362" s="650"/>
      <c r="I362" s="650"/>
      <c r="J362" s="650"/>
      <c r="K362" s="650"/>
      <c r="L362" s="650"/>
      <c r="M362" s="650"/>
      <c r="N362" s="650"/>
      <c r="O362" s="650"/>
      <c r="P362" s="650"/>
      <c r="Q362" s="650"/>
      <c r="R362" s="650"/>
      <c r="S362" s="650"/>
      <c r="T362" s="650"/>
      <c r="U362" s="650"/>
      <c r="V362" s="650"/>
      <c r="W362" s="650"/>
      <c r="X362" s="650"/>
      <c r="Y362" s="650"/>
      <c r="Z362" s="650"/>
      <c r="AA362" s="650"/>
      <c r="AB362" s="650"/>
      <c r="AC362" s="650"/>
      <c r="AD362" s="650"/>
      <c r="AE362" s="650"/>
      <c r="AF362" s="650"/>
      <c r="AG362" s="650"/>
      <c r="AH362" s="650"/>
      <c r="AI362" s="650"/>
      <c r="AJ362" s="650"/>
      <c r="AK362" s="650"/>
      <c r="AL362" s="650"/>
      <c r="AM362" s="650"/>
      <c r="AN362" s="650"/>
      <c r="AO362" s="650"/>
      <c r="AP362" s="650"/>
      <c r="AQ362" s="650"/>
      <c r="AR362" s="650"/>
      <c r="AS362" s="650"/>
      <c r="AT362" s="650"/>
      <c r="AU362" s="650"/>
      <c r="AV362" s="650"/>
      <c r="AW362" s="650"/>
      <c r="AX362" s="650"/>
      <c r="AY362" s="650"/>
    </row>
    <row r="363" ht="21.75" customHeight="1">
      <c r="A363" s="650"/>
      <c r="B363" s="650"/>
      <c r="C363" s="650"/>
      <c r="D363" s="650"/>
      <c r="E363" s="650"/>
      <c r="F363" s="650"/>
      <c r="G363" s="650"/>
      <c r="H363" s="650"/>
      <c r="I363" s="650"/>
      <c r="J363" s="650"/>
      <c r="K363" s="650"/>
      <c r="L363" s="650"/>
      <c r="M363" s="650"/>
      <c r="N363" s="650"/>
      <c r="O363" s="650"/>
      <c r="P363" s="650"/>
      <c r="Q363" s="650"/>
      <c r="R363" s="650"/>
      <c r="S363" s="650"/>
      <c r="T363" s="650"/>
      <c r="U363" s="650"/>
      <c r="V363" s="650"/>
      <c r="W363" s="650"/>
      <c r="X363" s="650"/>
      <c r="Y363" s="650"/>
      <c r="Z363" s="650"/>
      <c r="AA363" s="650"/>
      <c r="AB363" s="650"/>
      <c r="AC363" s="650"/>
      <c r="AD363" s="650"/>
      <c r="AE363" s="650"/>
      <c r="AF363" s="650"/>
      <c r="AG363" s="650"/>
      <c r="AH363" s="650"/>
      <c r="AI363" s="650"/>
      <c r="AJ363" s="650"/>
      <c r="AK363" s="650"/>
      <c r="AL363" s="650"/>
      <c r="AM363" s="650"/>
      <c r="AN363" s="650"/>
      <c r="AO363" s="650"/>
      <c r="AP363" s="650"/>
      <c r="AQ363" s="650"/>
      <c r="AR363" s="650"/>
      <c r="AS363" s="650"/>
      <c r="AT363" s="650"/>
      <c r="AU363" s="650"/>
      <c r="AV363" s="650"/>
      <c r="AW363" s="650"/>
      <c r="AX363" s="650"/>
      <c r="AY363" s="650"/>
    </row>
    <row r="364" ht="21.75" customHeight="1">
      <c r="A364" s="650"/>
      <c r="B364" s="650"/>
      <c r="C364" s="650"/>
      <c r="D364" s="650"/>
      <c r="E364" s="650"/>
      <c r="F364" s="650"/>
      <c r="G364" s="650"/>
      <c r="H364" s="650"/>
      <c r="I364" s="650"/>
      <c r="J364" s="650"/>
      <c r="K364" s="650"/>
      <c r="L364" s="650"/>
      <c r="M364" s="650"/>
      <c r="N364" s="650"/>
      <c r="O364" s="650"/>
      <c r="P364" s="650"/>
      <c r="Q364" s="650"/>
      <c r="R364" s="650"/>
      <c r="S364" s="650"/>
      <c r="T364" s="650"/>
      <c r="U364" s="650"/>
      <c r="V364" s="650"/>
      <c r="W364" s="650"/>
      <c r="X364" s="650"/>
      <c r="Y364" s="650"/>
      <c r="Z364" s="650"/>
      <c r="AA364" s="650"/>
      <c r="AB364" s="650"/>
      <c r="AC364" s="650"/>
      <c r="AD364" s="650"/>
      <c r="AE364" s="650"/>
      <c r="AF364" s="650"/>
      <c r="AG364" s="650"/>
      <c r="AH364" s="650"/>
      <c r="AI364" s="650"/>
      <c r="AJ364" s="650"/>
      <c r="AK364" s="650"/>
      <c r="AL364" s="650"/>
      <c r="AM364" s="650"/>
      <c r="AN364" s="650"/>
      <c r="AO364" s="650"/>
      <c r="AP364" s="650"/>
      <c r="AQ364" s="650"/>
      <c r="AR364" s="650"/>
      <c r="AS364" s="650"/>
      <c r="AT364" s="650"/>
      <c r="AU364" s="650"/>
      <c r="AV364" s="650"/>
      <c r="AW364" s="650"/>
      <c r="AX364" s="650"/>
      <c r="AY364" s="650"/>
    </row>
    <row r="365" ht="21.75" customHeight="1">
      <c r="A365" s="650"/>
      <c r="B365" s="650"/>
      <c r="C365" s="650"/>
      <c r="D365" s="650"/>
      <c r="E365" s="650"/>
      <c r="F365" s="650"/>
      <c r="G365" s="650"/>
      <c r="H365" s="650"/>
      <c r="I365" s="650"/>
      <c r="J365" s="650"/>
      <c r="K365" s="650"/>
      <c r="L365" s="650"/>
      <c r="M365" s="650"/>
      <c r="N365" s="650"/>
      <c r="O365" s="650"/>
      <c r="P365" s="650"/>
      <c r="Q365" s="650"/>
      <c r="R365" s="650"/>
      <c r="S365" s="650"/>
      <c r="T365" s="650"/>
      <c r="U365" s="650"/>
      <c r="V365" s="650"/>
      <c r="W365" s="650"/>
      <c r="X365" s="650"/>
      <c r="Y365" s="650"/>
      <c r="Z365" s="650"/>
      <c r="AA365" s="650"/>
      <c r="AB365" s="650"/>
      <c r="AC365" s="650"/>
      <c r="AD365" s="650"/>
      <c r="AE365" s="650"/>
      <c r="AF365" s="650"/>
      <c r="AG365" s="650"/>
      <c r="AH365" s="650"/>
      <c r="AI365" s="650"/>
      <c r="AJ365" s="650"/>
      <c r="AK365" s="650"/>
      <c r="AL365" s="650"/>
      <c r="AM365" s="650"/>
      <c r="AN365" s="650"/>
      <c r="AO365" s="650"/>
      <c r="AP365" s="650"/>
      <c r="AQ365" s="650"/>
      <c r="AR365" s="650"/>
      <c r="AS365" s="650"/>
      <c r="AT365" s="650"/>
      <c r="AU365" s="650"/>
      <c r="AV365" s="650"/>
      <c r="AW365" s="650"/>
      <c r="AX365" s="650"/>
      <c r="AY365" s="650"/>
    </row>
    <row r="366" ht="21.75" customHeight="1">
      <c r="A366" s="650"/>
      <c r="B366" s="650"/>
      <c r="C366" s="650"/>
      <c r="D366" s="650"/>
      <c r="E366" s="650"/>
      <c r="F366" s="650"/>
      <c r="G366" s="650"/>
      <c r="H366" s="650"/>
      <c r="I366" s="650"/>
      <c r="J366" s="650"/>
      <c r="K366" s="650"/>
      <c r="L366" s="650"/>
      <c r="M366" s="650"/>
      <c r="N366" s="650"/>
      <c r="O366" s="650"/>
      <c r="P366" s="650"/>
      <c r="Q366" s="650"/>
      <c r="R366" s="650"/>
      <c r="S366" s="650"/>
      <c r="T366" s="650"/>
      <c r="U366" s="650"/>
      <c r="V366" s="650"/>
      <c r="W366" s="650"/>
      <c r="X366" s="650"/>
      <c r="Y366" s="650"/>
      <c r="Z366" s="650"/>
      <c r="AA366" s="650"/>
      <c r="AB366" s="650"/>
      <c r="AC366" s="650"/>
      <c r="AD366" s="650"/>
      <c r="AE366" s="650"/>
      <c r="AF366" s="650"/>
      <c r="AG366" s="650"/>
      <c r="AH366" s="650"/>
      <c r="AI366" s="650"/>
      <c r="AJ366" s="650"/>
      <c r="AK366" s="650"/>
      <c r="AL366" s="650"/>
      <c r="AM366" s="650"/>
      <c r="AN366" s="650"/>
      <c r="AO366" s="650"/>
      <c r="AP366" s="650"/>
      <c r="AQ366" s="650"/>
      <c r="AR366" s="650"/>
      <c r="AS366" s="650"/>
      <c r="AT366" s="650"/>
      <c r="AU366" s="650"/>
      <c r="AV366" s="650"/>
      <c r="AW366" s="650"/>
      <c r="AX366" s="650"/>
      <c r="AY366" s="650"/>
    </row>
    <row r="367" ht="21.75" customHeight="1">
      <c r="A367" s="650"/>
      <c r="B367" s="650"/>
      <c r="C367" s="650"/>
      <c r="D367" s="650"/>
      <c r="E367" s="650"/>
      <c r="F367" s="650"/>
      <c r="G367" s="650"/>
      <c r="H367" s="650"/>
      <c r="I367" s="650"/>
      <c r="J367" s="650"/>
      <c r="K367" s="650"/>
      <c r="L367" s="650"/>
      <c r="M367" s="650"/>
      <c r="N367" s="650"/>
      <c r="O367" s="650"/>
      <c r="P367" s="650"/>
      <c r="Q367" s="650"/>
      <c r="R367" s="650"/>
      <c r="S367" s="650"/>
      <c r="T367" s="650"/>
      <c r="U367" s="650"/>
      <c r="V367" s="650"/>
      <c r="W367" s="650"/>
      <c r="X367" s="650"/>
      <c r="Y367" s="650"/>
      <c r="Z367" s="650"/>
      <c r="AA367" s="650"/>
      <c r="AB367" s="650"/>
      <c r="AC367" s="650"/>
      <c r="AD367" s="650"/>
      <c r="AE367" s="650"/>
      <c r="AF367" s="650"/>
      <c r="AG367" s="650"/>
      <c r="AH367" s="650"/>
      <c r="AI367" s="650"/>
      <c r="AJ367" s="650"/>
      <c r="AK367" s="650"/>
      <c r="AL367" s="650"/>
      <c r="AM367" s="650"/>
      <c r="AN367" s="650"/>
      <c r="AO367" s="650"/>
      <c r="AP367" s="650"/>
      <c r="AQ367" s="650"/>
      <c r="AR367" s="650"/>
      <c r="AS367" s="650"/>
      <c r="AT367" s="650"/>
      <c r="AU367" s="650"/>
      <c r="AV367" s="650"/>
      <c r="AW367" s="650"/>
      <c r="AX367" s="650"/>
      <c r="AY367" s="650"/>
    </row>
    <row r="368" ht="21.75" customHeight="1">
      <c r="A368" s="650"/>
      <c r="B368" s="650"/>
      <c r="C368" s="650"/>
      <c r="D368" s="650"/>
      <c r="E368" s="650"/>
      <c r="F368" s="650"/>
      <c r="G368" s="650"/>
      <c r="H368" s="650"/>
      <c r="I368" s="650"/>
      <c r="J368" s="650"/>
      <c r="K368" s="650"/>
      <c r="L368" s="650"/>
      <c r="M368" s="650"/>
      <c r="N368" s="650"/>
      <c r="O368" s="650"/>
      <c r="P368" s="650"/>
      <c r="Q368" s="650"/>
      <c r="R368" s="650"/>
      <c r="S368" s="650"/>
      <c r="T368" s="650"/>
      <c r="U368" s="650"/>
      <c r="V368" s="650"/>
      <c r="W368" s="650"/>
      <c r="X368" s="650"/>
      <c r="Y368" s="650"/>
      <c r="Z368" s="650"/>
      <c r="AA368" s="650"/>
      <c r="AB368" s="650"/>
      <c r="AC368" s="650"/>
      <c r="AD368" s="650"/>
      <c r="AE368" s="650"/>
      <c r="AF368" s="650"/>
      <c r="AG368" s="650"/>
      <c r="AH368" s="650"/>
      <c r="AI368" s="650"/>
      <c r="AJ368" s="650"/>
      <c r="AK368" s="650"/>
      <c r="AL368" s="650"/>
      <c r="AM368" s="650"/>
      <c r="AN368" s="650"/>
      <c r="AO368" s="650"/>
      <c r="AP368" s="650"/>
      <c r="AQ368" s="650"/>
      <c r="AR368" s="650"/>
      <c r="AS368" s="650"/>
      <c r="AT368" s="650"/>
      <c r="AU368" s="650"/>
      <c r="AV368" s="650"/>
      <c r="AW368" s="650"/>
      <c r="AX368" s="650"/>
      <c r="AY368" s="650"/>
    </row>
    <row r="369" ht="21.75" customHeight="1">
      <c r="A369" s="650"/>
      <c r="B369" s="650"/>
      <c r="C369" s="650"/>
      <c r="D369" s="650"/>
      <c r="E369" s="650"/>
      <c r="F369" s="650"/>
      <c r="G369" s="650"/>
      <c r="H369" s="650"/>
      <c r="I369" s="650"/>
      <c r="J369" s="650"/>
      <c r="K369" s="650"/>
      <c r="L369" s="650"/>
      <c r="M369" s="650"/>
      <c r="N369" s="650"/>
      <c r="O369" s="650"/>
      <c r="P369" s="650"/>
      <c r="Q369" s="650"/>
      <c r="R369" s="650"/>
      <c r="S369" s="650"/>
      <c r="T369" s="650"/>
      <c r="U369" s="650"/>
      <c r="V369" s="650"/>
      <c r="W369" s="650"/>
      <c r="X369" s="650"/>
      <c r="Y369" s="650"/>
      <c r="Z369" s="650"/>
      <c r="AA369" s="650"/>
      <c r="AB369" s="650"/>
      <c r="AC369" s="650"/>
      <c r="AD369" s="650"/>
      <c r="AE369" s="650"/>
      <c r="AF369" s="650"/>
      <c r="AG369" s="650"/>
      <c r="AH369" s="650"/>
      <c r="AI369" s="650"/>
      <c r="AJ369" s="650"/>
      <c r="AK369" s="650"/>
      <c r="AL369" s="650"/>
      <c r="AM369" s="650"/>
      <c r="AN369" s="650"/>
      <c r="AO369" s="650"/>
      <c r="AP369" s="650"/>
      <c r="AQ369" s="650"/>
      <c r="AR369" s="650"/>
      <c r="AS369" s="650"/>
      <c r="AT369" s="650"/>
      <c r="AU369" s="650"/>
      <c r="AV369" s="650"/>
      <c r="AW369" s="650"/>
      <c r="AX369" s="650"/>
      <c r="AY369" s="650"/>
    </row>
    <row r="370" ht="21.75" customHeight="1">
      <c r="A370" s="650"/>
      <c r="B370" s="650"/>
      <c r="C370" s="650"/>
      <c r="D370" s="650"/>
      <c r="E370" s="650"/>
      <c r="F370" s="650"/>
      <c r="G370" s="650"/>
      <c r="H370" s="650"/>
      <c r="I370" s="650"/>
      <c r="J370" s="650"/>
      <c r="K370" s="650"/>
      <c r="L370" s="650"/>
      <c r="M370" s="650"/>
      <c r="N370" s="650"/>
      <c r="O370" s="650"/>
      <c r="P370" s="650"/>
      <c r="Q370" s="650"/>
      <c r="R370" s="650"/>
      <c r="S370" s="650"/>
      <c r="T370" s="650"/>
      <c r="U370" s="650"/>
      <c r="V370" s="650"/>
      <c r="W370" s="650"/>
      <c r="X370" s="650"/>
      <c r="Y370" s="650"/>
      <c r="Z370" s="650"/>
      <c r="AA370" s="650"/>
      <c r="AB370" s="650"/>
      <c r="AC370" s="650"/>
      <c r="AD370" s="650"/>
      <c r="AE370" s="650"/>
      <c r="AF370" s="650"/>
      <c r="AG370" s="650"/>
      <c r="AH370" s="650"/>
      <c r="AI370" s="650"/>
      <c r="AJ370" s="650"/>
      <c r="AK370" s="650"/>
      <c r="AL370" s="650"/>
      <c r="AM370" s="650"/>
      <c r="AN370" s="650"/>
      <c r="AO370" s="650"/>
      <c r="AP370" s="650"/>
      <c r="AQ370" s="650"/>
      <c r="AR370" s="650"/>
      <c r="AS370" s="650"/>
      <c r="AT370" s="650"/>
      <c r="AU370" s="650"/>
      <c r="AV370" s="650"/>
      <c r="AW370" s="650"/>
      <c r="AX370" s="650"/>
      <c r="AY370" s="650"/>
    </row>
    <row r="371" ht="21.75" customHeight="1">
      <c r="A371" s="650"/>
      <c r="B371" s="650"/>
      <c r="C371" s="650"/>
      <c r="D371" s="650"/>
      <c r="E371" s="650"/>
      <c r="F371" s="650"/>
      <c r="G371" s="650"/>
      <c r="H371" s="650"/>
      <c r="I371" s="650"/>
      <c r="J371" s="650"/>
      <c r="K371" s="650"/>
      <c r="L371" s="650"/>
      <c r="M371" s="650"/>
      <c r="N371" s="650"/>
      <c r="O371" s="650"/>
      <c r="P371" s="650"/>
      <c r="Q371" s="650"/>
      <c r="R371" s="650"/>
      <c r="S371" s="650"/>
      <c r="T371" s="650"/>
      <c r="U371" s="650"/>
      <c r="V371" s="650"/>
      <c r="W371" s="650"/>
      <c r="X371" s="650"/>
      <c r="Y371" s="650"/>
      <c r="Z371" s="650"/>
      <c r="AA371" s="650"/>
      <c r="AB371" s="650"/>
      <c r="AC371" s="650"/>
      <c r="AD371" s="650"/>
      <c r="AE371" s="650"/>
      <c r="AF371" s="650"/>
      <c r="AG371" s="650"/>
      <c r="AH371" s="650"/>
      <c r="AI371" s="650"/>
      <c r="AJ371" s="650"/>
      <c r="AK371" s="650"/>
      <c r="AL371" s="650"/>
      <c r="AM371" s="650"/>
      <c r="AN371" s="650"/>
      <c r="AO371" s="650"/>
      <c r="AP371" s="650"/>
      <c r="AQ371" s="650"/>
      <c r="AR371" s="650"/>
      <c r="AS371" s="650"/>
      <c r="AT371" s="650"/>
      <c r="AU371" s="650"/>
      <c r="AV371" s="650"/>
      <c r="AW371" s="650"/>
      <c r="AX371" s="650"/>
      <c r="AY371" s="650"/>
    </row>
    <row r="372" ht="21.75" customHeight="1">
      <c r="A372" s="650"/>
      <c r="B372" s="650"/>
      <c r="C372" s="650"/>
      <c r="D372" s="650"/>
      <c r="E372" s="650"/>
      <c r="F372" s="650"/>
      <c r="G372" s="650"/>
      <c r="H372" s="650"/>
      <c r="I372" s="650"/>
      <c r="J372" s="650"/>
      <c r="K372" s="650"/>
      <c r="L372" s="650"/>
      <c r="M372" s="650"/>
      <c r="N372" s="650"/>
      <c r="O372" s="650"/>
      <c r="P372" s="650"/>
      <c r="Q372" s="650"/>
      <c r="R372" s="650"/>
      <c r="S372" s="650"/>
      <c r="T372" s="650"/>
      <c r="U372" s="650"/>
      <c r="V372" s="650"/>
      <c r="W372" s="650"/>
      <c r="X372" s="650"/>
      <c r="Y372" s="650"/>
      <c r="Z372" s="650"/>
      <c r="AA372" s="650"/>
      <c r="AB372" s="650"/>
      <c r="AC372" s="650"/>
      <c r="AD372" s="650"/>
      <c r="AE372" s="650"/>
      <c r="AF372" s="650"/>
      <c r="AG372" s="650"/>
      <c r="AH372" s="650"/>
      <c r="AI372" s="650"/>
      <c r="AJ372" s="650"/>
      <c r="AK372" s="650"/>
      <c r="AL372" s="650"/>
      <c r="AM372" s="650"/>
      <c r="AN372" s="650"/>
      <c r="AO372" s="650"/>
      <c r="AP372" s="650"/>
      <c r="AQ372" s="650"/>
      <c r="AR372" s="650"/>
      <c r="AS372" s="650"/>
      <c r="AT372" s="650"/>
      <c r="AU372" s="650"/>
      <c r="AV372" s="650"/>
      <c r="AW372" s="650"/>
      <c r="AX372" s="650"/>
      <c r="AY372" s="650"/>
    </row>
    <row r="373" ht="21.75" customHeight="1">
      <c r="A373" s="650"/>
      <c r="B373" s="650"/>
      <c r="C373" s="650"/>
      <c r="D373" s="650"/>
      <c r="E373" s="650"/>
      <c r="F373" s="650"/>
      <c r="G373" s="650"/>
      <c r="H373" s="650"/>
      <c r="I373" s="650"/>
      <c r="J373" s="650"/>
      <c r="K373" s="650"/>
      <c r="L373" s="650"/>
      <c r="M373" s="650"/>
      <c r="N373" s="650"/>
      <c r="O373" s="650"/>
      <c r="P373" s="650"/>
      <c r="Q373" s="650"/>
      <c r="R373" s="650"/>
      <c r="S373" s="650"/>
      <c r="T373" s="650"/>
      <c r="U373" s="650"/>
      <c r="V373" s="650"/>
      <c r="W373" s="650"/>
      <c r="X373" s="650"/>
      <c r="Y373" s="650"/>
      <c r="Z373" s="650"/>
      <c r="AA373" s="650"/>
      <c r="AB373" s="650"/>
      <c r="AC373" s="650"/>
      <c r="AD373" s="650"/>
      <c r="AE373" s="650"/>
      <c r="AF373" s="650"/>
      <c r="AG373" s="650"/>
      <c r="AH373" s="650"/>
      <c r="AI373" s="650"/>
      <c r="AJ373" s="650"/>
      <c r="AK373" s="650"/>
      <c r="AL373" s="650"/>
      <c r="AM373" s="650"/>
      <c r="AN373" s="650"/>
      <c r="AO373" s="650"/>
      <c r="AP373" s="650"/>
      <c r="AQ373" s="650"/>
      <c r="AR373" s="650"/>
      <c r="AS373" s="650"/>
      <c r="AT373" s="650"/>
      <c r="AU373" s="650"/>
      <c r="AV373" s="650"/>
      <c r="AW373" s="650"/>
      <c r="AX373" s="650"/>
      <c r="AY373" s="650"/>
    </row>
    <row r="374" ht="21.75" customHeight="1">
      <c r="A374" s="650"/>
      <c r="B374" s="650"/>
      <c r="C374" s="650"/>
      <c r="D374" s="650"/>
      <c r="E374" s="650"/>
      <c r="F374" s="650"/>
      <c r="G374" s="650"/>
      <c r="H374" s="650"/>
      <c r="I374" s="650"/>
      <c r="J374" s="650"/>
      <c r="K374" s="650"/>
      <c r="L374" s="650"/>
      <c r="M374" s="650"/>
      <c r="N374" s="650"/>
      <c r="O374" s="650"/>
      <c r="P374" s="650"/>
      <c r="Q374" s="650"/>
      <c r="R374" s="650"/>
      <c r="S374" s="650"/>
      <c r="T374" s="650"/>
      <c r="U374" s="650"/>
      <c r="V374" s="650"/>
      <c r="W374" s="650"/>
      <c r="X374" s="650"/>
      <c r="Y374" s="650"/>
      <c r="Z374" s="650"/>
      <c r="AA374" s="650"/>
      <c r="AB374" s="650"/>
      <c r="AC374" s="650"/>
      <c r="AD374" s="650"/>
      <c r="AE374" s="650"/>
      <c r="AF374" s="650"/>
      <c r="AG374" s="650"/>
      <c r="AH374" s="650"/>
      <c r="AI374" s="650"/>
      <c r="AJ374" s="650"/>
      <c r="AK374" s="650"/>
      <c r="AL374" s="650"/>
      <c r="AM374" s="650"/>
      <c r="AN374" s="650"/>
      <c r="AO374" s="650"/>
      <c r="AP374" s="650"/>
      <c r="AQ374" s="650"/>
      <c r="AR374" s="650"/>
      <c r="AS374" s="650"/>
      <c r="AT374" s="650"/>
      <c r="AU374" s="650"/>
      <c r="AV374" s="650"/>
      <c r="AW374" s="650"/>
      <c r="AX374" s="650"/>
      <c r="AY374" s="650"/>
    </row>
    <row r="375" ht="21.75" customHeight="1">
      <c r="A375" s="650"/>
      <c r="B375" s="650"/>
      <c r="C375" s="650"/>
      <c r="D375" s="650"/>
      <c r="E375" s="650"/>
      <c r="F375" s="650"/>
      <c r="G375" s="650"/>
      <c r="H375" s="650"/>
      <c r="I375" s="650"/>
      <c r="J375" s="650"/>
      <c r="K375" s="650"/>
      <c r="L375" s="650"/>
      <c r="M375" s="650"/>
      <c r="N375" s="650"/>
      <c r="O375" s="650"/>
      <c r="P375" s="650"/>
      <c r="Q375" s="650"/>
      <c r="R375" s="650"/>
      <c r="S375" s="650"/>
      <c r="T375" s="650"/>
      <c r="U375" s="650"/>
      <c r="V375" s="650"/>
      <c r="W375" s="650"/>
      <c r="X375" s="650"/>
      <c r="Y375" s="650"/>
      <c r="Z375" s="650"/>
      <c r="AA375" s="650"/>
      <c r="AB375" s="650"/>
      <c r="AC375" s="650"/>
      <c r="AD375" s="650"/>
      <c r="AE375" s="650"/>
      <c r="AF375" s="650"/>
      <c r="AG375" s="650"/>
      <c r="AH375" s="650"/>
      <c r="AI375" s="650"/>
      <c r="AJ375" s="650"/>
      <c r="AK375" s="650"/>
      <c r="AL375" s="650"/>
      <c r="AM375" s="650"/>
      <c r="AN375" s="650"/>
      <c r="AO375" s="650"/>
      <c r="AP375" s="650"/>
      <c r="AQ375" s="650"/>
      <c r="AR375" s="650"/>
      <c r="AS375" s="650"/>
      <c r="AT375" s="650"/>
      <c r="AU375" s="650"/>
      <c r="AV375" s="650"/>
      <c r="AW375" s="650"/>
      <c r="AX375" s="650"/>
      <c r="AY375" s="650"/>
    </row>
    <row r="376" ht="21.75" customHeight="1">
      <c r="A376" s="650"/>
      <c r="B376" s="650"/>
      <c r="C376" s="650"/>
      <c r="D376" s="650"/>
      <c r="E376" s="650"/>
      <c r="F376" s="650"/>
      <c r="G376" s="650"/>
      <c r="H376" s="650"/>
      <c r="I376" s="650"/>
      <c r="J376" s="650"/>
      <c r="K376" s="650"/>
      <c r="L376" s="650"/>
      <c r="M376" s="650"/>
      <c r="N376" s="650"/>
      <c r="O376" s="650"/>
      <c r="P376" s="650"/>
      <c r="Q376" s="650"/>
      <c r="R376" s="650"/>
      <c r="S376" s="650"/>
      <c r="T376" s="650"/>
      <c r="U376" s="650"/>
      <c r="V376" s="650"/>
      <c r="W376" s="650"/>
      <c r="X376" s="650"/>
      <c r="Y376" s="650"/>
      <c r="Z376" s="650"/>
      <c r="AA376" s="650"/>
      <c r="AB376" s="650"/>
      <c r="AC376" s="650"/>
      <c r="AD376" s="650"/>
      <c r="AE376" s="650"/>
      <c r="AF376" s="650"/>
      <c r="AG376" s="650"/>
      <c r="AH376" s="650"/>
      <c r="AI376" s="650"/>
      <c r="AJ376" s="650"/>
      <c r="AK376" s="650"/>
      <c r="AL376" s="650"/>
      <c r="AM376" s="650"/>
      <c r="AN376" s="650"/>
      <c r="AO376" s="650"/>
      <c r="AP376" s="650"/>
      <c r="AQ376" s="650"/>
      <c r="AR376" s="650"/>
      <c r="AS376" s="650"/>
      <c r="AT376" s="650"/>
      <c r="AU376" s="650"/>
      <c r="AV376" s="650"/>
      <c r="AW376" s="650"/>
      <c r="AX376" s="650"/>
      <c r="AY376" s="650"/>
    </row>
    <row r="377" ht="21.75" customHeight="1">
      <c r="A377" s="650"/>
      <c r="B377" s="650"/>
      <c r="C377" s="650"/>
      <c r="D377" s="650"/>
      <c r="E377" s="650"/>
      <c r="F377" s="650"/>
      <c r="G377" s="650"/>
      <c r="H377" s="650"/>
      <c r="I377" s="650"/>
      <c r="J377" s="650"/>
      <c r="K377" s="650"/>
      <c r="L377" s="650"/>
      <c r="M377" s="650"/>
      <c r="N377" s="650"/>
      <c r="O377" s="650"/>
      <c r="P377" s="650"/>
      <c r="Q377" s="650"/>
      <c r="R377" s="650"/>
      <c r="S377" s="650"/>
      <c r="T377" s="650"/>
      <c r="U377" s="650"/>
      <c r="V377" s="650"/>
      <c r="W377" s="650"/>
      <c r="X377" s="650"/>
      <c r="Y377" s="650"/>
      <c r="Z377" s="650"/>
      <c r="AA377" s="650"/>
      <c r="AB377" s="650"/>
      <c r="AC377" s="650"/>
      <c r="AD377" s="650"/>
      <c r="AE377" s="650"/>
      <c r="AF377" s="650"/>
      <c r="AG377" s="650"/>
      <c r="AH377" s="650"/>
      <c r="AI377" s="650"/>
      <c r="AJ377" s="650"/>
      <c r="AK377" s="650"/>
      <c r="AL377" s="650"/>
      <c r="AM377" s="650"/>
      <c r="AN377" s="650"/>
      <c r="AO377" s="650"/>
      <c r="AP377" s="650"/>
      <c r="AQ377" s="650"/>
      <c r="AR377" s="650"/>
      <c r="AS377" s="650"/>
      <c r="AT377" s="650"/>
      <c r="AU377" s="650"/>
      <c r="AV377" s="650"/>
      <c r="AW377" s="650"/>
      <c r="AX377" s="650"/>
      <c r="AY377" s="650"/>
    </row>
    <row r="378" ht="21.75" customHeight="1">
      <c r="A378" s="650"/>
      <c r="B378" s="650"/>
      <c r="C378" s="650"/>
      <c r="D378" s="650"/>
      <c r="E378" s="650"/>
      <c r="F378" s="650"/>
      <c r="G378" s="650"/>
      <c r="H378" s="650"/>
      <c r="I378" s="650"/>
      <c r="J378" s="650"/>
      <c r="K378" s="650"/>
      <c r="L378" s="650"/>
      <c r="M378" s="650"/>
      <c r="N378" s="650"/>
      <c r="O378" s="650"/>
      <c r="P378" s="650"/>
      <c r="Q378" s="650"/>
      <c r="R378" s="650"/>
      <c r="S378" s="650"/>
      <c r="T378" s="650"/>
      <c r="U378" s="650"/>
      <c r="V378" s="650"/>
      <c r="W378" s="650"/>
      <c r="X378" s="650"/>
      <c r="Y378" s="650"/>
      <c r="Z378" s="650"/>
      <c r="AA378" s="650"/>
      <c r="AB378" s="650"/>
      <c r="AC378" s="650"/>
      <c r="AD378" s="650"/>
      <c r="AE378" s="650"/>
      <c r="AF378" s="650"/>
      <c r="AG378" s="650"/>
      <c r="AH378" s="650"/>
      <c r="AI378" s="650"/>
      <c r="AJ378" s="650"/>
      <c r="AK378" s="650"/>
      <c r="AL378" s="650"/>
      <c r="AM378" s="650"/>
      <c r="AN378" s="650"/>
      <c r="AO378" s="650"/>
      <c r="AP378" s="650"/>
      <c r="AQ378" s="650"/>
      <c r="AR378" s="650"/>
      <c r="AS378" s="650"/>
      <c r="AT378" s="650"/>
      <c r="AU378" s="650"/>
      <c r="AV378" s="650"/>
      <c r="AW378" s="650"/>
      <c r="AX378" s="650"/>
      <c r="AY378" s="650"/>
    </row>
    <row r="379" ht="21.75" customHeight="1">
      <c r="A379" s="650"/>
      <c r="B379" s="650"/>
      <c r="C379" s="650"/>
      <c r="D379" s="650"/>
      <c r="E379" s="650"/>
      <c r="F379" s="650"/>
      <c r="G379" s="650"/>
      <c r="H379" s="650"/>
      <c r="I379" s="650"/>
      <c r="J379" s="650"/>
      <c r="K379" s="650"/>
      <c r="L379" s="650"/>
      <c r="M379" s="650"/>
      <c r="N379" s="650"/>
      <c r="O379" s="650"/>
      <c r="P379" s="650"/>
      <c r="Q379" s="650"/>
      <c r="R379" s="650"/>
      <c r="S379" s="650"/>
      <c r="T379" s="650"/>
      <c r="U379" s="650"/>
      <c r="V379" s="650"/>
      <c r="W379" s="650"/>
      <c r="X379" s="650"/>
      <c r="Y379" s="650"/>
      <c r="Z379" s="650"/>
      <c r="AA379" s="650"/>
      <c r="AB379" s="650"/>
      <c r="AC379" s="650"/>
      <c r="AD379" s="650"/>
      <c r="AE379" s="650"/>
      <c r="AF379" s="650"/>
      <c r="AG379" s="650"/>
      <c r="AH379" s="650"/>
      <c r="AI379" s="650"/>
      <c r="AJ379" s="650"/>
      <c r="AK379" s="650"/>
      <c r="AL379" s="650"/>
      <c r="AM379" s="650"/>
      <c r="AN379" s="650"/>
      <c r="AO379" s="650"/>
      <c r="AP379" s="650"/>
      <c r="AQ379" s="650"/>
      <c r="AR379" s="650"/>
      <c r="AS379" s="650"/>
      <c r="AT379" s="650"/>
      <c r="AU379" s="650"/>
      <c r="AV379" s="650"/>
      <c r="AW379" s="650"/>
      <c r="AX379" s="650"/>
      <c r="AY379" s="650"/>
    </row>
    <row r="380" ht="21.75" customHeight="1">
      <c r="A380" s="650"/>
      <c r="B380" s="650"/>
      <c r="C380" s="650"/>
      <c r="D380" s="650"/>
      <c r="E380" s="650"/>
      <c r="F380" s="650"/>
      <c r="G380" s="650"/>
      <c r="H380" s="650"/>
      <c r="I380" s="650"/>
      <c r="J380" s="650"/>
      <c r="K380" s="650"/>
      <c r="L380" s="650"/>
      <c r="M380" s="650"/>
      <c r="N380" s="650"/>
      <c r="O380" s="650"/>
      <c r="P380" s="650"/>
      <c r="Q380" s="650"/>
      <c r="R380" s="650"/>
      <c r="S380" s="650"/>
      <c r="T380" s="650"/>
      <c r="U380" s="650"/>
      <c r="V380" s="650"/>
      <c r="W380" s="650"/>
      <c r="X380" s="650"/>
      <c r="Y380" s="650"/>
      <c r="Z380" s="650"/>
      <c r="AA380" s="650"/>
      <c r="AB380" s="650"/>
      <c r="AC380" s="650"/>
      <c r="AD380" s="650"/>
      <c r="AE380" s="650"/>
      <c r="AF380" s="650"/>
      <c r="AG380" s="650"/>
      <c r="AH380" s="650"/>
      <c r="AI380" s="650"/>
      <c r="AJ380" s="650"/>
      <c r="AK380" s="650"/>
      <c r="AL380" s="650"/>
      <c r="AM380" s="650"/>
      <c r="AN380" s="650"/>
      <c r="AO380" s="650"/>
      <c r="AP380" s="650"/>
      <c r="AQ380" s="650"/>
      <c r="AR380" s="650"/>
      <c r="AS380" s="650"/>
      <c r="AT380" s="650"/>
      <c r="AU380" s="650"/>
      <c r="AV380" s="650"/>
      <c r="AW380" s="650"/>
      <c r="AX380" s="650"/>
      <c r="AY380" s="650"/>
    </row>
    <row r="381" ht="21.75" customHeight="1">
      <c r="A381" s="650"/>
      <c r="B381" s="650"/>
      <c r="C381" s="650"/>
      <c r="D381" s="650"/>
      <c r="E381" s="650"/>
      <c r="F381" s="650"/>
      <c r="G381" s="650"/>
      <c r="H381" s="650"/>
      <c r="I381" s="650"/>
      <c r="J381" s="650"/>
      <c r="K381" s="650"/>
      <c r="L381" s="650"/>
      <c r="M381" s="650"/>
      <c r="N381" s="650"/>
      <c r="O381" s="650"/>
      <c r="P381" s="650"/>
      <c r="Q381" s="650"/>
      <c r="R381" s="650"/>
      <c r="S381" s="650"/>
      <c r="T381" s="650"/>
      <c r="U381" s="650"/>
      <c r="V381" s="650"/>
      <c r="W381" s="650"/>
      <c r="X381" s="650"/>
      <c r="Y381" s="650"/>
      <c r="Z381" s="650"/>
      <c r="AA381" s="650"/>
      <c r="AB381" s="650"/>
      <c r="AC381" s="650"/>
      <c r="AD381" s="650"/>
      <c r="AE381" s="650"/>
      <c r="AF381" s="650"/>
      <c r="AG381" s="650"/>
      <c r="AH381" s="650"/>
      <c r="AI381" s="650"/>
      <c r="AJ381" s="650"/>
      <c r="AK381" s="650"/>
      <c r="AL381" s="650"/>
      <c r="AM381" s="650"/>
      <c r="AN381" s="650"/>
      <c r="AO381" s="650"/>
      <c r="AP381" s="650"/>
      <c r="AQ381" s="650"/>
      <c r="AR381" s="650"/>
      <c r="AS381" s="650"/>
      <c r="AT381" s="650"/>
      <c r="AU381" s="650"/>
      <c r="AV381" s="650"/>
      <c r="AW381" s="650"/>
      <c r="AX381" s="650"/>
      <c r="AY381" s="650"/>
    </row>
    <row r="382" ht="21.75" customHeight="1">
      <c r="A382" s="650"/>
      <c r="B382" s="650"/>
      <c r="C382" s="650"/>
      <c r="D382" s="650"/>
      <c r="E382" s="650"/>
      <c r="F382" s="650"/>
      <c r="G382" s="650"/>
      <c r="H382" s="650"/>
      <c r="I382" s="650"/>
      <c r="J382" s="650"/>
      <c r="K382" s="650"/>
      <c r="L382" s="650"/>
      <c r="M382" s="650"/>
      <c r="N382" s="650"/>
      <c r="O382" s="650"/>
      <c r="P382" s="650"/>
      <c r="Q382" s="650"/>
      <c r="R382" s="650"/>
      <c r="S382" s="650"/>
      <c r="T382" s="650"/>
      <c r="U382" s="650"/>
      <c r="V382" s="650"/>
      <c r="W382" s="650"/>
      <c r="X382" s="650"/>
      <c r="Y382" s="650"/>
      <c r="Z382" s="650"/>
      <c r="AA382" s="650"/>
      <c r="AB382" s="650"/>
      <c r="AC382" s="650"/>
      <c r="AD382" s="650"/>
      <c r="AE382" s="650"/>
      <c r="AF382" s="650"/>
      <c r="AG382" s="650"/>
      <c r="AH382" s="650"/>
      <c r="AI382" s="650"/>
      <c r="AJ382" s="650"/>
      <c r="AK382" s="650"/>
      <c r="AL382" s="650"/>
      <c r="AM382" s="650"/>
      <c r="AN382" s="650"/>
      <c r="AO382" s="650"/>
      <c r="AP382" s="650"/>
      <c r="AQ382" s="650"/>
      <c r="AR382" s="650"/>
      <c r="AS382" s="650"/>
      <c r="AT382" s="650"/>
      <c r="AU382" s="650"/>
      <c r="AV382" s="650"/>
      <c r="AW382" s="650"/>
      <c r="AX382" s="650"/>
      <c r="AY382" s="650"/>
    </row>
    <row r="383" ht="21.75" customHeight="1">
      <c r="A383" s="650"/>
      <c r="B383" s="650"/>
      <c r="C383" s="650"/>
      <c r="D383" s="650"/>
      <c r="E383" s="650"/>
      <c r="F383" s="650"/>
      <c r="G383" s="650"/>
      <c r="H383" s="650"/>
      <c r="I383" s="650"/>
      <c r="J383" s="650"/>
      <c r="K383" s="650"/>
      <c r="L383" s="650"/>
      <c r="M383" s="650"/>
      <c r="N383" s="650"/>
      <c r="O383" s="650"/>
      <c r="P383" s="650"/>
      <c r="Q383" s="650"/>
      <c r="R383" s="650"/>
      <c r="S383" s="650"/>
      <c r="T383" s="650"/>
      <c r="U383" s="650"/>
      <c r="V383" s="650"/>
      <c r="W383" s="650"/>
      <c r="X383" s="650"/>
      <c r="Y383" s="650"/>
      <c r="Z383" s="650"/>
      <c r="AA383" s="650"/>
      <c r="AB383" s="650"/>
      <c r="AC383" s="650"/>
      <c r="AD383" s="650"/>
      <c r="AE383" s="650"/>
      <c r="AF383" s="650"/>
      <c r="AG383" s="650"/>
      <c r="AH383" s="650"/>
      <c r="AI383" s="650"/>
      <c r="AJ383" s="650"/>
      <c r="AK383" s="650"/>
      <c r="AL383" s="650"/>
      <c r="AM383" s="650"/>
      <c r="AN383" s="650"/>
      <c r="AO383" s="650"/>
      <c r="AP383" s="650"/>
      <c r="AQ383" s="650"/>
      <c r="AR383" s="650"/>
      <c r="AS383" s="650"/>
      <c r="AT383" s="650"/>
      <c r="AU383" s="650"/>
      <c r="AV383" s="650"/>
      <c r="AW383" s="650"/>
      <c r="AX383" s="650"/>
      <c r="AY383" s="650"/>
    </row>
    <row r="384" ht="21.75" customHeight="1">
      <c r="A384" s="650"/>
      <c r="B384" s="650"/>
      <c r="C384" s="650"/>
      <c r="D384" s="650"/>
      <c r="E384" s="650"/>
      <c r="F384" s="650"/>
      <c r="G384" s="650"/>
      <c r="H384" s="650"/>
      <c r="I384" s="650"/>
      <c r="J384" s="650"/>
      <c r="K384" s="650"/>
      <c r="L384" s="650"/>
      <c r="M384" s="650"/>
      <c r="N384" s="650"/>
      <c r="O384" s="650"/>
      <c r="P384" s="650"/>
      <c r="Q384" s="650"/>
      <c r="R384" s="650"/>
      <c r="S384" s="650"/>
      <c r="T384" s="650"/>
      <c r="U384" s="650"/>
      <c r="V384" s="650"/>
      <c r="W384" s="650"/>
      <c r="X384" s="650"/>
      <c r="Y384" s="650"/>
      <c r="Z384" s="650"/>
      <c r="AA384" s="650"/>
      <c r="AB384" s="650"/>
      <c r="AC384" s="650"/>
      <c r="AD384" s="650"/>
      <c r="AE384" s="650"/>
      <c r="AF384" s="650"/>
      <c r="AG384" s="650"/>
      <c r="AH384" s="650"/>
      <c r="AI384" s="650"/>
      <c r="AJ384" s="650"/>
      <c r="AK384" s="650"/>
      <c r="AL384" s="650"/>
      <c r="AM384" s="650"/>
      <c r="AN384" s="650"/>
      <c r="AO384" s="650"/>
      <c r="AP384" s="650"/>
      <c r="AQ384" s="650"/>
      <c r="AR384" s="650"/>
      <c r="AS384" s="650"/>
      <c r="AT384" s="650"/>
      <c r="AU384" s="650"/>
      <c r="AV384" s="650"/>
      <c r="AW384" s="650"/>
      <c r="AX384" s="650"/>
      <c r="AY384" s="650"/>
    </row>
    <row r="385" ht="21.75" customHeight="1">
      <c r="A385" s="650"/>
      <c r="B385" s="650"/>
      <c r="C385" s="650"/>
      <c r="D385" s="650"/>
      <c r="E385" s="650"/>
      <c r="F385" s="650"/>
      <c r="G385" s="650"/>
      <c r="H385" s="650"/>
      <c r="I385" s="650"/>
      <c r="J385" s="650"/>
      <c r="K385" s="650"/>
      <c r="L385" s="650"/>
      <c r="M385" s="650"/>
      <c r="N385" s="650"/>
      <c r="O385" s="650"/>
      <c r="P385" s="650"/>
      <c r="Q385" s="650"/>
      <c r="R385" s="650"/>
      <c r="S385" s="650"/>
      <c r="T385" s="650"/>
      <c r="U385" s="650"/>
      <c r="V385" s="650"/>
      <c r="W385" s="650"/>
      <c r="X385" s="650"/>
      <c r="Y385" s="650"/>
      <c r="Z385" s="650"/>
      <c r="AA385" s="650"/>
      <c r="AB385" s="650"/>
      <c r="AC385" s="650"/>
      <c r="AD385" s="650"/>
      <c r="AE385" s="650"/>
      <c r="AF385" s="650"/>
      <c r="AG385" s="650"/>
      <c r="AH385" s="650"/>
      <c r="AI385" s="650"/>
      <c r="AJ385" s="650"/>
      <c r="AK385" s="650"/>
      <c r="AL385" s="650"/>
      <c r="AM385" s="650"/>
      <c r="AN385" s="650"/>
      <c r="AO385" s="650"/>
      <c r="AP385" s="650"/>
      <c r="AQ385" s="650"/>
      <c r="AR385" s="650"/>
      <c r="AS385" s="650"/>
      <c r="AT385" s="650"/>
      <c r="AU385" s="650"/>
      <c r="AV385" s="650"/>
      <c r="AW385" s="650"/>
      <c r="AX385" s="650"/>
      <c r="AY385" s="650"/>
    </row>
    <row r="386" ht="21.75" customHeight="1">
      <c r="A386" s="650"/>
      <c r="B386" s="650"/>
      <c r="C386" s="650"/>
      <c r="D386" s="650"/>
      <c r="E386" s="650"/>
      <c r="F386" s="650"/>
      <c r="G386" s="650"/>
      <c r="H386" s="650"/>
      <c r="I386" s="650"/>
      <c r="J386" s="650"/>
      <c r="K386" s="650"/>
      <c r="L386" s="650"/>
      <c r="M386" s="650"/>
      <c r="N386" s="650"/>
      <c r="O386" s="650"/>
      <c r="P386" s="650"/>
      <c r="Q386" s="650"/>
      <c r="R386" s="650"/>
      <c r="S386" s="650"/>
      <c r="T386" s="650"/>
      <c r="U386" s="650"/>
      <c r="V386" s="650"/>
      <c r="W386" s="650"/>
      <c r="X386" s="650"/>
      <c r="Y386" s="650"/>
      <c r="Z386" s="650"/>
      <c r="AA386" s="650"/>
      <c r="AB386" s="650"/>
      <c r="AC386" s="650"/>
      <c r="AD386" s="650"/>
      <c r="AE386" s="650"/>
      <c r="AF386" s="650"/>
      <c r="AG386" s="650"/>
      <c r="AH386" s="650"/>
      <c r="AI386" s="650"/>
      <c r="AJ386" s="650"/>
      <c r="AK386" s="650"/>
      <c r="AL386" s="650"/>
      <c r="AM386" s="650"/>
      <c r="AN386" s="650"/>
      <c r="AO386" s="650"/>
      <c r="AP386" s="650"/>
      <c r="AQ386" s="650"/>
      <c r="AR386" s="650"/>
      <c r="AS386" s="650"/>
      <c r="AT386" s="650"/>
      <c r="AU386" s="650"/>
      <c r="AV386" s="650"/>
      <c r="AW386" s="650"/>
      <c r="AX386" s="650"/>
      <c r="AY386" s="650"/>
    </row>
    <row r="387" ht="21.75" customHeight="1">
      <c r="A387" s="650"/>
      <c r="B387" s="650"/>
      <c r="C387" s="650"/>
      <c r="D387" s="650"/>
      <c r="E387" s="650"/>
      <c r="F387" s="650"/>
      <c r="G387" s="650"/>
      <c r="H387" s="650"/>
      <c r="I387" s="650"/>
      <c r="J387" s="650"/>
      <c r="K387" s="650"/>
      <c r="L387" s="650"/>
      <c r="M387" s="650"/>
      <c r="N387" s="650"/>
      <c r="O387" s="650"/>
      <c r="P387" s="650"/>
      <c r="Q387" s="650"/>
      <c r="R387" s="650"/>
      <c r="S387" s="650"/>
      <c r="T387" s="650"/>
      <c r="U387" s="650"/>
      <c r="V387" s="650"/>
      <c r="W387" s="650"/>
      <c r="X387" s="650"/>
      <c r="Y387" s="650"/>
      <c r="Z387" s="650"/>
      <c r="AA387" s="650"/>
      <c r="AB387" s="650"/>
      <c r="AC387" s="650"/>
      <c r="AD387" s="650"/>
      <c r="AE387" s="650"/>
      <c r="AF387" s="650"/>
      <c r="AG387" s="650"/>
      <c r="AH387" s="650"/>
      <c r="AI387" s="650"/>
      <c r="AJ387" s="650"/>
      <c r="AK387" s="650"/>
      <c r="AL387" s="650"/>
      <c r="AM387" s="650"/>
      <c r="AN387" s="650"/>
      <c r="AO387" s="650"/>
      <c r="AP387" s="650"/>
      <c r="AQ387" s="650"/>
      <c r="AR387" s="650"/>
      <c r="AS387" s="650"/>
      <c r="AT387" s="650"/>
      <c r="AU387" s="650"/>
      <c r="AV387" s="650"/>
      <c r="AW387" s="650"/>
      <c r="AX387" s="650"/>
      <c r="AY387" s="650"/>
    </row>
    <row r="388" ht="21.75" customHeight="1">
      <c r="A388" s="650"/>
      <c r="B388" s="650"/>
      <c r="C388" s="650"/>
      <c r="D388" s="650"/>
      <c r="E388" s="650"/>
      <c r="F388" s="650"/>
      <c r="G388" s="650"/>
      <c r="H388" s="650"/>
      <c r="I388" s="650"/>
      <c r="J388" s="650"/>
      <c r="K388" s="650"/>
      <c r="L388" s="650"/>
      <c r="M388" s="650"/>
      <c r="N388" s="650"/>
      <c r="O388" s="650"/>
      <c r="P388" s="650"/>
      <c r="Q388" s="650"/>
      <c r="R388" s="650"/>
      <c r="S388" s="650"/>
      <c r="T388" s="650"/>
      <c r="U388" s="650"/>
      <c r="V388" s="650"/>
      <c r="W388" s="650"/>
      <c r="X388" s="650"/>
      <c r="Y388" s="650"/>
      <c r="Z388" s="650"/>
      <c r="AA388" s="650"/>
      <c r="AB388" s="650"/>
      <c r="AC388" s="650"/>
      <c r="AD388" s="650"/>
      <c r="AE388" s="650"/>
      <c r="AF388" s="650"/>
      <c r="AG388" s="650"/>
      <c r="AH388" s="650"/>
      <c r="AI388" s="650"/>
      <c r="AJ388" s="650"/>
      <c r="AK388" s="650"/>
      <c r="AL388" s="650"/>
      <c r="AM388" s="650"/>
      <c r="AN388" s="650"/>
      <c r="AO388" s="650"/>
      <c r="AP388" s="650"/>
      <c r="AQ388" s="650"/>
      <c r="AR388" s="650"/>
      <c r="AS388" s="650"/>
      <c r="AT388" s="650"/>
      <c r="AU388" s="650"/>
      <c r="AV388" s="650"/>
      <c r="AW388" s="650"/>
      <c r="AX388" s="650"/>
      <c r="AY388" s="650"/>
    </row>
    <row r="389" ht="21.75" customHeight="1">
      <c r="A389" s="650"/>
      <c r="B389" s="650"/>
      <c r="C389" s="650"/>
      <c r="D389" s="650"/>
      <c r="E389" s="650"/>
      <c r="F389" s="650"/>
      <c r="G389" s="650"/>
      <c r="H389" s="650"/>
      <c r="I389" s="650"/>
      <c r="J389" s="650"/>
      <c r="K389" s="650"/>
      <c r="L389" s="650"/>
      <c r="M389" s="650"/>
      <c r="N389" s="650"/>
      <c r="O389" s="650"/>
      <c r="P389" s="650"/>
      <c r="Q389" s="650"/>
      <c r="R389" s="650"/>
      <c r="S389" s="650"/>
      <c r="T389" s="650"/>
      <c r="U389" s="650"/>
      <c r="V389" s="650"/>
      <c r="W389" s="650"/>
      <c r="X389" s="650"/>
      <c r="Y389" s="650"/>
      <c r="Z389" s="650"/>
      <c r="AA389" s="650"/>
      <c r="AB389" s="650"/>
      <c r="AC389" s="650"/>
      <c r="AD389" s="650"/>
      <c r="AE389" s="650"/>
      <c r="AF389" s="650"/>
      <c r="AG389" s="650"/>
      <c r="AH389" s="650"/>
      <c r="AI389" s="650"/>
      <c r="AJ389" s="650"/>
      <c r="AK389" s="650"/>
      <c r="AL389" s="650"/>
      <c r="AM389" s="650"/>
      <c r="AN389" s="650"/>
      <c r="AO389" s="650"/>
      <c r="AP389" s="650"/>
      <c r="AQ389" s="650"/>
      <c r="AR389" s="650"/>
      <c r="AS389" s="650"/>
      <c r="AT389" s="650"/>
      <c r="AU389" s="650"/>
      <c r="AV389" s="650"/>
      <c r="AW389" s="650"/>
      <c r="AX389" s="650"/>
      <c r="AY389" s="650"/>
    </row>
    <row r="390" ht="21.75" customHeight="1">
      <c r="A390" s="650"/>
      <c r="B390" s="650"/>
      <c r="C390" s="650"/>
      <c r="D390" s="650"/>
      <c r="E390" s="650"/>
      <c r="F390" s="650"/>
      <c r="G390" s="650"/>
      <c r="H390" s="650"/>
      <c r="I390" s="650"/>
      <c r="J390" s="650"/>
      <c r="K390" s="650"/>
      <c r="L390" s="650"/>
      <c r="M390" s="650"/>
      <c r="N390" s="650"/>
      <c r="O390" s="650"/>
      <c r="P390" s="650"/>
      <c r="Q390" s="650"/>
      <c r="R390" s="650"/>
      <c r="S390" s="650"/>
      <c r="T390" s="650"/>
      <c r="U390" s="650"/>
      <c r="V390" s="650"/>
      <c r="W390" s="650"/>
      <c r="X390" s="650"/>
      <c r="Y390" s="650"/>
      <c r="Z390" s="650"/>
      <c r="AA390" s="650"/>
      <c r="AB390" s="650"/>
      <c r="AC390" s="650"/>
      <c r="AD390" s="650"/>
      <c r="AE390" s="650"/>
      <c r="AF390" s="650"/>
      <c r="AG390" s="650"/>
      <c r="AH390" s="650"/>
      <c r="AI390" s="650"/>
      <c r="AJ390" s="650"/>
      <c r="AK390" s="650"/>
      <c r="AL390" s="650"/>
      <c r="AM390" s="650"/>
      <c r="AN390" s="650"/>
      <c r="AO390" s="650"/>
      <c r="AP390" s="650"/>
      <c r="AQ390" s="650"/>
      <c r="AR390" s="650"/>
      <c r="AS390" s="650"/>
      <c r="AT390" s="650"/>
      <c r="AU390" s="650"/>
      <c r="AV390" s="650"/>
      <c r="AW390" s="650"/>
      <c r="AX390" s="650"/>
      <c r="AY390" s="650"/>
    </row>
    <row r="391" ht="21.75" customHeight="1">
      <c r="A391" s="650"/>
      <c r="B391" s="650"/>
      <c r="C391" s="650"/>
      <c r="D391" s="650"/>
      <c r="E391" s="650"/>
      <c r="F391" s="650"/>
      <c r="G391" s="650"/>
      <c r="H391" s="650"/>
      <c r="I391" s="650"/>
      <c r="J391" s="650"/>
      <c r="K391" s="650"/>
      <c r="L391" s="650"/>
      <c r="M391" s="650"/>
      <c r="N391" s="650"/>
      <c r="O391" s="650"/>
      <c r="P391" s="650"/>
      <c r="Q391" s="650"/>
      <c r="R391" s="650"/>
      <c r="S391" s="650"/>
      <c r="T391" s="650"/>
      <c r="U391" s="650"/>
      <c r="V391" s="650"/>
      <c r="W391" s="650"/>
      <c r="X391" s="650"/>
      <c r="Y391" s="650"/>
      <c r="Z391" s="650"/>
      <c r="AA391" s="650"/>
      <c r="AB391" s="650"/>
      <c r="AC391" s="650"/>
      <c r="AD391" s="650"/>
      <c r="AE391" s="650"/>
      <c r="AF391" s="650"/>
      <c r="AG391" s="650"/>
      <c r="AH391" s="650"/>
      <c r="AI391" s="650"/>
      <c r="AJ391" s="650"/>
      <c r="AK391" s="650"/>
      <c r="AL391" s="650"/>
      <c r="AM391" s="650"/>
      <c r="AN391" s="650"/>
      <c r="AO391" s="650"/>
      <c r="AP391" s="650"/>
      <c r="AQ391" s="650"/>
      <c r="AR391" s="650"/>
      <c r="AS391" s="650"/>
      <c r="AT391" s="650"/>
      <c r="AU391" s="650"/>
      <c r="AV391" s="650"/>
      <c r="AW391" s="650"/>
      <c r="AX391" s="650"/>
      <c r="AY391" s="650"/>
    </row>
    <row r="392" ht="21.75" customHeight="1">
      <c r="A392" s="650"/>
      <c r="B392" s="650"/>
      <c r="C392" s="650"/>
      <c r="D392" s="650"/>
      <c r="E392" s="650"/>
      <c r="F392" s="650"/>
      <c r="G392" s="650"/>
      <c r="H392" s="650"/>
      <c r="I392" s="650"/>
      <c r="J392" s="650"/>
      <c r="K392" s="650"/>
      <c r="L392" s="650"/>
      <c r="M392" s="650"/>
      <c r="N392" s="650"/>
      <c r="O392" s="650"/>
      <c r="P392" s="650"/>
      <c r="Q392" s="650"/>
      <c r="R392" s="650"/>
      <c r="S392" s="650"/>
      <c r="T392" s="650"/>
      <c r="U392" s="650"/>
      <c r="V392" s="650"/>
      <c r="W392" s="650"/>
      <c r="X392" s="650"/>
      <c r="Y392" s="650"/>
      <c r="Z392" s="650"/>
      <c r="AA392" s="650"/>
      <c r="AB392" s="650"/>
      <c r="AC392" s="650"/>
      <c r="AD392" s="650"/>
      <c r="AE392" s="650"/>
      <c r="AF392" s="650"/>
      <c r="AG392" s="650"/>
      <c r="AH392" s="650"/>
      <c r="AI392" s="650"/>
      <c r="AJ392" s="650"/>
      <c r="AK392" s="650"/>
      <c r="AL392" s="650"/>
      <c r="AM392" s="650"/>
      <c r="AN392" s="650"/>
      <c r="AO392" s="650"/>
      <c r="AP392" s="650"/>
      <c r="AQ392" s="650"/>
      <c r="AR392" s="650"/>
      <c r="AS392" s="650"/>
      <c r="AT392" s="650"/>
      <c r="AU392" s="650"/>
      <c r="AV392" s="650"/>
      <c r="AW392" s="650"/>
      <c r="AX392" s="650"/>
      <c r="AY392" s="650"/>
    </row>
    <row r="393" ht="21.75" customHeight="1">
      <c r="A393" s="650"/>
      <c r="B393" s="650"/>
      <c r="C393" s="650"/>
      <c r="D393" s="650"/>
      <c r="E393" s="650"/>
      <c r="F393" s="650"/>
      <c r="G393" s="650"/>
      <c r="H393" s="650"/>
      <c r="I393" s="650"/>
      <c r="J393" s="650"/>
      <c r="K393" s="650"/>
      <c r="L393" s="650"/>
      <c r="M393" s="650"/>
      <c r="N393" s="650"/>
      <c r="O393" s="650"/>
      <c r="P393" s="650"/>
      <c r="Q393" s="650"/>
      <c r="R393" s="650"/>
      <c r="S393" s="650"/>
      <c r="T393" s="650"/>
      <c r="U393" s="650"/>
      <c r="V393" s="650"/>
      <c r="W393" s="650"/>
      <c r="X393" s="650"/>
      <c r="Y393" s="650"/>
      <c r="Z393" s="650"/>
      <c r="AA393" s="650"/>
      <c r="AB393" s="650"/>
      <c r="AC393" s="650"/>
      <c r="AD393" s="650"/>
      <c r="AE393" s="650"/>
      <c r="AF393" s="650"/>
      <c r="AG393" s="650"/>
      <c r="AH393" s="650"/>
      <c r="AI393" s="650"/>
      <c r="AJ393" s="650"/>
      <c r="AK393" s="650"/>
      <c r="AL393" s="650"/>
      <c r="AM393" s="650"/>
      <c r="AN393" s="650"/>
      <c r="AO393" s="650"/>
      <c r="AP393" s="650"/>
      <c r="AQ393" s="650"/>
      <c r="AR393" s="650"/>
      <c r="AS393" s="650"/>
      <c r="AT393" s="650"/>
      <c r="AU393" s="650"/>
      <c r="AV393" s="650"/>
      <c r="AW393" s="650"/>
      <c r="AX393" s="650"/>
      <c r="AY393" s="650"/>
    </row>
    <row r="394" ht="21.75" customHeight="1">
      <c r="A394" s="650"/>
      <c r="B394" s="650"/>
      <c r="C394" s="650"/>
      <c r="D394" s="650"/>
      <c r="E394" s="650"/>
      <c r="F394" s="650"/>
      <c r="G394" s="650"/>
      <c r="H394" s="650"/>
      <c r="I394" s="650"/>
      <c r="J394" s="650"/>
      <c r="K394" s="650"/>
      <c r="L394" s="650"/>
      <c r="M394" s="650"/>
      <c r="N394" s="650"/>
      <c r="O394" s="650"/>
      <c r="P394" s="650"/>
      <c r="Q394" s="650"/>
      <c r="R394" s="650"/>
      <c r="S394" s="650"/>
      <c r="T394" s="650"/>
      <c r="U394" s="650"/>
      <c r="V394" s="650"/>
      <c r="W394" s="650"/>
      <c r="X394" s="650"/>
      <c r="Y394" s="650"/>
      <c r="Z394" s="650"/>
      <c r="AA394" s="650"/>
      <c r="AB394" s="650"/>
      <c r="AC394" s="650"/>
      <c r="AD394" s="650"/>
      <c r="AE394" s="650"/>
      <c r="AF394" s="650"/>
      <c r="AG394" s="650"/>
      <c r="AH394" s="650"/>
      <c r="AI394" s="650"/>
      <c r="AJ394" s="650"/>
      <c r="AK394" s="650"/>
      <c r="AL394" s="650"/>
      <c r="AM394" s="650"/>
      <c r="AN394" s="650"/>
      <c r="AO394" s="650"/>
      <c r="AP394" s="650"/>
      <c r="AQ394" s="650"/>
      <c r="AR394" s="650"/>
      <c r="AS394" s="650"/>
      <c r="AT394" s="650"/>
      <c r="AU394" s="650"/>
      <c r="AV394" s="650"/>
      <c r="AW394" s="650"/>
      <c r="AX394" s="650"/>
      <c r="AY394" s="650"/>
    </row>
    <row r="395" ht="21.75" customHeight="1">
      <c r="A395" s="650"/>
      <c r="B395" s="650"/>
      <c r="C395" s="650"/>
      <c r="D395" s="650"/>
      <c r="E395" s="650"/>
      <c r="F395" s="650"/>
      <c r="G395" s="650"/>
      <c r="H395" s="650"/>
      <c r="I395" s="650"/>
      <c r="J395" s="650"/>
      <c r="K395" s="650"/>
      <c r="L395" s="650"/>
      <c r="M395" s="650"/>
      <c r="N395" s="650"/>
      <c r="O395" s="650"/>
      <c r="P395" s="650"/>
      <c r="Q395" s="650"/>
      <c r="R395" s="650"/>
      <c r="S395" s="650"/>
      <c r="T395" s="650"/>
      <c r="U395" s="650"/>
      <c r="V395" s="650"/>
      <c r="W395" s="650"/>
      <c r="X395" s="650"/>
      <c r="Y395" s="650"/>
      <c r="Z395" s="650"/>
      <c r="AA395" s="650"/>
      <c r="AB395" s="650"/>
      <c r="AC395" s="650"/>
      <c r="AD395" s="650"/>
      <c r="AE395" s="650"/>
      <c r="AF395" s="650"/>
      <c r="AG395" s="650"/>
      <c r="AH395" s="650"/>
      <c r="AI395" s="650"/>
      <c r="AJ395" s="650"/>
      <c r="AK395" s="650"/>
      <c r="AL395" s="650"/>
      <c r="AM395" s="650"/>
      <c r="AN395" s="650"/>
      <c r="AO395" s="650"/>
      <c r="AP395" s="650"/>
      <c r="AQ395" s="650"/>
      <c r="AR395" s="650"/>
      <c r="AS395" s="650"/>
      <c r="AT395" s="650"/>
      <c r="AU395" s="650"/>
      <c r="AV395" s="650"/>
      <c r="AW395" s="650"/>
      <c r="AX395" s="650"/>
      <c r="AY395" s="650"/>
    </row>
    <row r="396" ht="21.75" customHeight="1">
      <c r="A396" s="650"/>
      <c r="B396" s="650"/>
      <c r="C396" s="650"/>
      <c r="D396" s="650"/>
      <c r="E396" s="650"/>
      <c r="F396" s="650"/>
      <c r="G396" s="650"/>
      <c r="H396" s="650"/>
      <c r="I396" s="650"/>
      <c r="J396" s="650"/>
      <c r="K396" s="650"/>
      <c r="L396" s="650"/>
      <c r="M396" s="650"/>
      <c r="N396" s="650"/>
      <c r="O396" s="650"/>
      <c r="P396" s="650"/>
      <c r="Q396" s="650"/>
      <c r="R396" s="650"/>
      <c r="S396" s="650"/>
      <c r="T396" s="650"/>
      <c r="U396" s="650"/>
      <c r="V396" s="650"/>
      <c r="W396" s="650"/>
      <c r="X396" s="650"/>
      <c r="Y396" s="650"/>
      <c r="Z396" s="650"/>
      <c r="AA396" s="650"/>
      <c r="AB396" s="650"/>
      <c r="AC396" s="650"/>
      <c r="AD396" s="650"/>
      <c r="AE396" s="650"/>
      <c r="AF396" s="650"/>
      <c r="AG396" s="650"/>
      <c r="AH396" s="650"/>
      <c r="AI396" s="650"/>
      <c r="AJ396" s="650"/>
      <c r="AK396" s="650"/>
      <c r="AL396" s="650"/>
      <c r="AM396" s="650"/>
      <c r="AN396" s="650"/>
      <c r="AO396" s="650"/>
      <c r="AP396" s="650"/>
      <c r="AQ396" s="650"/>
      <c r="AR396" s="650"/>
      <c r="AS396" s="650"/>
      <c r="AT396" s="650"/>
      <c r="AU396" s="650"/>
      <c r="AV396" s="650"/>
      <c r="AW396" s="650"/>
      <c r="AX396" s="650"/>
      <c r="AY396" s="650"/>
    </row>
    <row r="397" ht="21.75" customHeight="1">
      <c r="A397" s="650"/>
      <c r="B397" s="650"/>
      <c r="C397" s="650"/>
      <c r="D397" s="650"/>
      <c r="E397" s="650"/>
      <c r="F397" s="650"/>
      <c r="G397" s="650"/>
      <c r="H397" s="650"/>
      <c r="I397" s="650"/>
      <c r="J397" s="650"/>
      <c r="K397" s="650"/>
      <c r="L397" s="650"/>
      <c r="M397" s="650"/>
      <c r="N397" s="650"/>
      <c r="O397" s="650"/>
      <c r="P397" s="650"/>
      <c r="Q397" s="650"/>
      <c r="R397" s="650"/>
      <c r="S397" s="650"/>
      <c r="T397" s="650"/>
      <c r="U397" s="650"/>
      <c r="V397" s="650"/>
      <c r="W397" s="650"/>
      <c r="X397" s="650"/>
      <c r="Y397" s="650"/>
      <c r="Z397" s="650"/>
      <c r="AA397" s="650"/>
      <c r="AB397" s="650"/>
      <c r="AC397" s="650"/>
      <c r="AD397" s="650"/>
      <c r="AE397" s="650"/>
      <c r="AF397" s="650"/>
      <c r="AG397" s="650"/>
      <c r="AH397" s="650"/>
      <c r="AI397" s="650"/>
      <c r="AJ397" s="650"/>
      <c r="AK397" s="650"/>
      <c r="AL397" s="650"/>
      <c r="AM397" s="650"/>
      <c r="AN397" s="650"/>
      <c r="AO397" s="650"/>
      <c r="AP397" s="650"/>
      <c r="AQ397" s="650"/>
      <c r="AR397" s="650"/>
      <c r="AS397" s="650"/>
      <c r="AT397" s="650"/>
      <c r="AU397" s="650"/>
      <c r="AV397" s="650"/>
      <c r="AW397" s="650"/>
      <c r="AX397" s="650"/>
      <c r="AY397" s="650"/>
    </row>
    <row r="398" ht="21.75" customHeight="1">
      <c r="A398" s="650"/>
      <c r="B398" s="650"/>
      <c r="C398" s="650"/>
      <c r="D398" s="650"/>
      <c r="E398" s="650"/>
      <c r="F398" s="650"/>
      <c r="G398" s="650"/>
      <c r="H398" s="650"/>
      <c r="I398" s="650"/>
      <c r="J398" s="650"/>
      <c r="K398" s="650"/>
      <c r="L398" s="650"/>
      <c r="M398" s="650"/>
      <c r="N398" s="650"/>
      <c r="O398" s="650"/>
      <c r="P398" s="650"/>
      <c r="Q398" s="650"/>
      <c r="R398" s="650"/>
      <c r="S398" s="650"/>
      <c r="T398" s="650"/>
      <c r="U398" s="650"/>
      <c r="V398" s="650"/>
      <c r="W398" s="650"/>
      <c r="X398" s="650"/>
      <c r="Y398" s="650"/>
      <c r="Z398" s="650"/>
      <c r="AA398" s="650"/>
      <c r="AB398" s="650"/>
      <c r="AC398" s="650"/>
      <c r="AD398" s="650"/>
      <c r="AE398" s="650"/>
      <c r="AF398" s="650"/>
      <c r="AG398" s="650"/>
      <c r="AH398" s="650"/>
      <c r="AI398" s="650"/>
      <c r="AJ398" s="650"/>
      <c r="AK398" s="650"/>
      <c r="AL398" s="650"/>
      <c r="AM398" s="650"/>
      <c r="AN398" s="650"/>
      <c r="AO398" s="650"/>
      <c r="AP398" s="650"/>
      <c r="AQ398" s="650"/>
      <c r="AR398" s="650"/>
      <c r="AS398" s="650"/>
      <c r="AT398" s="650"/>
      <c r="AU398" s="650"/>
      <c r="AV398" s="650"/>
      <c r="AW398" s="650"/>
      <c r="AX398" s="650"/>
      <c r="AY398" s="650"/>
    </row>
    <row r="399" ht="21.75" customHeight="1">
      <c r="A399" s="650"/>
      <c r="B399" s="650"/>
      <c r="C399" s="650"/>
      <c r="D399" s="650"/>
      <c r="E399" s="650"/>
      <c r="F399" s="650"/>
      <c r="G399" s="650"/>
      <c r="H399" s="650"/>
      <c r="I399" s="650"/>
      <c r="J399" s="650"/>
      <c r="K399" s="650"/>
      <c r="L399" s="650"/>
      <c r="M399" s="650"/>
      <c r="N399" s="650"/>
      <c r="O399" s="650"/>
      <c r="P399" s="650"/>
      <c r="Q399" s="650"/>
      <c r="R399" s="650"/>
      <c r="S399" s="650"/>
      <c r="T399" s="650"/>
      <c r="U399" s="650"/>
      <c r="V399" s="650"/>
      <c r="W399" s="650"/>
      <c r="X399" s="650"/>
      <c r="Y399" s="650"/>
      <c r="Z399" s="650"/>
      <c r="AA399" s="650"/>
      <c r="AB399" s="650"/>
      <c r="AC399" s="650"/>
      <c r="AD399" s="650"/>
      <c r="AE399" s="650"/>
      <c r="AF399" s="650"/>
      <c r="AG399" s="650"/>
      <c r="AH399" s="650"/>
      <c r="AI399" s="650"/>
      <c r="AJ399" s="650"/>
      <c r="AK399" s="650"/>
      <c r="AL399" s="650"/>
      <c r="AM399" s="650"/>
      <c r="AN399" s="650"/>
      <c r="AO399" s="650"/>
      <c r="AP399" s="650"/>
      <c r="AQ399" s="650"/>
      <c r="AR399" s="650"/>
      <c r="AS399" s="650"/>
      <c r="AT399" s="650"/>
      <c r="AU399" s="650"/>
      <c r="AV399" s="650"/>
      <c r="AW399" s="650"/>
      <c r="AX399" s="650"/>
      <c r="AY399" s="650"/>
    </row>
    <row r="400" ht="21.75" customHeight="1">
      <c r="A400" s="650"/>
      <c r="B400" s="650"/>
      <c r="C400" s="650"/>
      <c r="D400" s="650"/>
      <c r="E400" s="650"/>
      <c r="F400" s="650"/>
      <c r="G400" s="650"/>
      <c r="H400" s="650"/>
      <c r="I400" s="650"/>
      <c r="J400" s="650"/>
      <c r="K400" s="650"/>
      <c r="L400" s="650"/>
      <c r="M400" s="650"/>
      <c r="N400" s="650"/>
      <c r="O400" s="650"/>
      <c r="P400" s="650"/>
      <c r="Q400" s="650"/>
      <c r="R400" s="650"/>
      <c r="S400" s="650"/>
      <c r="T400" s="650"/>
      <c r="U400" s="650"/>
      <c r="V400" s="650"/>
      <c r="W400" s="650"/>
      <c r="X400" s="650"/>
      <c r="Y400" s="650"/>
      <c r="Z400" s="650"/>
      <c r="AA400" s="650"/>
      <c r="AB400" s="650"/>
      <c r="AC400" s="650"/>
      <c r="AD400" s="650"/>
      <c r="AE400" s="650"/>
      <c r="AF400" s="650"/>
      <c r="AG400" s="650"/>
      <c r="AH400" s="650"/>
      <c r="AI400" s="650"/>
      <c r="AJ400" s="650"/>
      <c r="AK400" s="650"/>
      <c r="AL400" s="650"/>
      <c r="AM400" s="650"/>
      <c r="AN400" s="650"/>
      <c r="AO400" s="650"/>
      <c r="AP400" s="650"/>
      <c r="AQ400" s="650"/>
      <c r="AR400" s="650"/>
      <c r="AS400" s="650"/>
      <c r="AT400" s="650"/>
      <c r="AU400" s="650"/>
      <c r="AV400" s="650"/>
      <c r="AW400" s="650"/>
      <c r="AX400" s="650"/>
      <c r="AY400" s="650"/>
    </row>
    <row r="401" ht="21.75" customHeight="1">
      <c r="A401" s="650"/>
      <c r="B401" s="650"/>
      <c r="C401" s="650"/>
      <c r="D401" s="650"/>
      <c r="E401" s="650"/>
      <c r="F401" s="650"/>
      <c r="G401" s="650"/>
      <c r="H401" s="650"/>
      <c r="I401" s="650"/>
      <c r="J401" s="650"/>
      <c r="K401" s="650"/>
      <c r="L401" s="650"/>
      <c r="M401" s="650"/>
      <c r="N401" s="650"/>
      <c r="O401" s="650"/>
      <c r="P401" s="650"/>
      <c r="Q401" s="650"/>
      <c r="R401" s="650"/>
      <c r="S401" s="650"/>
      <c r="T401" s="650"/>
      <c r="U401" s="650"/>
      <c r="V401" s="650"/>
      <c r="W401" s="650"/>
      <c r="X401" s="650"/>
      <c r="Y401" s="650"/>
      <c r="Z401" s="650"/>
      <c r="AA401" s="650"/>
      <c r="AB401" s="650"/>
      <c r="AC401" s="650"/>
      <c r="AD401" s="650"/>
      <c r="AE401" s="650"/>
      <c r="AF401" s="650"/>
      <c r="AG401" s="650"/>
      <c r="AH401" s="650"/>
      <c r="AI401" s="650"/>
      <c r="AJ401" s="650"/>
      <c r="AK401" s="650"/>
      <c r="AL401" s="650"/>
      <c r="AM401" s="650"/>
      <c r="AN401" s="650"/>
      <c r="AO401" s="650"/>
      <c r="AP401" s="650"/>
      <c r="AQ401" s="650"/>
      <c r="AR401" s="650"/>
      <c r="AS401" s="650"/>
      <c r="AT401" s="650"/>
      <c r="AU401" s="650"/>
      <c r="AV401" s="650"/>
      <c r="AW401" s="650"/>
      <c r="AX401" s="650"/>
      <c r="AY401" s="650"/>
    </row>
    <row r="402" ht="21.75" customHeight="1">
      <c r="A402" s="650"/>
      <c r="B402" s="650"/>
      <c r="C402" s="650"/>
      <c r="D402" s="650"/>
      <c r="E402" s="650"/>
      <c r="F402" s="650"/>
      <c r="G402" s="650"/>
      <c r="H402" s="650"/>
      <c r="I402" s="650"/>
      <c r="J402" s="650"/>
      <c r="K402" s="650"/>
      <c r="L402" s="650"/>
      <c r="M402" s="650"/>
      <c r="N402" s="650"/>
      <c r="O402" s="650"/>
      <c r="P402" s="650"/>
      <c r="Q402" s="650"/>
      <c r="R402" s="650"/>
      <c r="S402" s="650"/>
      <c r="T402" s="650"/>
      <c r="U402" s="650"/>
      <c r="V402" s="650"/>
      <c r="W402" s="650"/>
      <c r="X402" s="650"/>
      <c r="Y402" s="650"/>
      <c r="Z402" s="650"/>
      <c r="AA402" s="650"/>
      <c r="AB402" s="650"/>
      <c r="AC402" s="650"/>
      <c r="AD402" s="650"/>
      <c r="AE402" s="650"/>
      <c r="AF402" s="650"/>
      <c r="AG402" s="650"/>
      <c r="AH402" s="650"/>
      <c r="AI402" s="650"/>
      <c r="AJ402" s="650"/>
      <c r="AK402" s="650"/>
      <c r="AL402" s="650"/>
      <c r="AM402" s="650"/>
      <c r="AN402" s="650"/>
      <c r="AO402" s="650"/>
      <c r="AP402" s="650"/>
      <c r="AQ402" s="650"/>
      <c r="AR402" s="650"/>
      <c r="AS402" s="650"/>
      <c r="AT402" s="650"/>
      <c r="AU402" s="650"/>
      <c r="AV402" s="650"/>
      <c r="AW402" s="650"/>
      <c r="AX402" s="650"/>
      <c r="AY402" s="650"/>
    </row>
    <row r="403" ht="21.75" customHeight="1">
      <c r="A403" s="650"/>
      <c r="B403" s="650"/>
      <c r="C403" s="650"/>
      <c r="D403" s="650"/>
      <c r="E403" s="650"/>
      <c r="F403" s="650"/>
      <c r="G403" s="650"/>
      <c r="H403" s="650"/>
      <c r="I403" s="650"/>
      <c r="J403" s="650"/>
      <c r="K403" s="650"/>
      <c r="L403" s="650"/>
      <c r="M403" s="650"/>
      <c r="N403" s="650"/>
      <c r="O403" s="650"/>
      <c r="P403" s="650"/>
      <c r="Q403" s="650"/>
      <c r="R403" s="650"/>
      <c r="S403" s="650"/>
      <c r="T403" s="650"/>
      <c r="U403" s="650"/>
      <c r="V403" s="650"/>
      <c r="W403" s="650"/>
      <c r="X403" s="650"/>
      <c r="Y403" s="650"/>
      <c r="Z403" s="650"/>
      <c r="AA403" s="650"/>
      <c r="AB403" s="650"/>
      <c r="AC403" s="650"/>
      <c r="AD403" s="650"/>
      <c r="AE403" s="650"/>
      <c r="AF403" s="650"/>
      <c r="AG403" s="650"/>
      <c r="AH403" s="650"/>
      <c r="AI403" s="650"/>
      <c r="AJ403" s="650"/>
      <c r="AK403" s="650"/>
      <c r="AL403" s="650"/>
      <c r="AM403" s="650"/>
      <c r="AN403" s="650"/>
      <c r="AO403" s="650"/>
      <c r="AP403" s="650"/>
      <c r="AQ403" s="650"/>
      <c r="AR403" s="650"/>
      <c r="AS403" s="650"/>
      <c r="AT403" s="650"/>
      <c r="AU403" s="650"/>
      <c r="AV403" s="650"/>
      <c r="AW403" s="650"/>
      <c r="AX403" s="650"/>
      <c r="AY403" s="650"/>
    </row>
    <row r="404" ht="21.75" customHeight="1">
      <c r="A404" s="650"/>
      <c r="B404" s="650"/>
      <c r="C404" s="650"/>
      <c r="D404" s="650"/>
      <c r="E404" s="650"/>
      <c r="F404" s="650"/>
      <c r="G404" s="650"/>
      <c r="H404" s="650"/>
      <c r="I404" s="650"/>
      <c r="J404" s="650"/>
      <c r="K404" s="650"/>
      <c r="L404" s="650"/>
      <c r="M404" s="650"/>
      <c r="N404" s="650"/>
      <c r="O404" s="650"/>
      <c r="P404" s="650"/>
      <c r="Q404" s="650"/>
      <c r="R404" s="650"/>
      <c r="S404" s="650"/>
      <c r="T404" s="650"/>
      <c r="U404" s="650"/>
      <c r="V404" s="650"/>
      <c r="W404" s="650"/>
      <c r="X404" s="650"/>
      <c r="Y404" s="650"/>
      <c r="Z404" s="650"/>
      <c r="AA404" s="650"/>
      <c r="AB404" s="650"/>
      <c r="AC404" s="650"/>
      <c r="AD404" s="650"/>
      <c r="AE404" s="650"/>
      <c r="AF404" s="650"/>
      <c r="AG404" s="650"/>
      <c r="AH404" s="650"/>
      <c r="AI404" s="650"/>
      <c r="AJ404" s="650"/>
      <c r="AK404" s="650"/>
      <c r="AL404" s="650"/>
      <c r="AM404" s="650"/>
      <c r="AN404" s="650"/>
      <c r="AO404" s="650"/>
      <c r="AP404" s="650"/>
      <c r="AQ404" s="650"/>
      <c r="AR404" s="650"/>
      <c r="AS404" s="650"/>
      <c r="AT404" s="650"/>
      <c r="AU404" s="650"/>
      <c r="AV404" s="650"/>
      <c r="AW404" s="650"/>
      <c r="AX404" s="650"/>
      <c r="AY404" s="650"/>
    </row>
    <row r="405" ht="21.75" customHeight="1">
      <c r="A405" s="650"/>
      <c r="B405" s="650"/>
      <c r="C405" s="650"/>
      <c r="D405" s="650"/>
      <c r="E405" s="650"/>
      <c r="F405" s="650"/>
      <c r="G405" s="650"/>
      <c r="H405" s="650"/>
      <c r="I405" s="650"/>
      <c r="J405" s="650"/>
      <c r="K405" s="650"/>
      <c r="L405" s="650"/>
      <c r="M405" s="650"/>
      <c r="N405" s="650"/>
      <c r="O405" s="650"/>
      <c r="P405" s="650"/>
      <c r="Q405" s="650"/>
      <c r="R405" s="650"/>
      <c r="S405" s="650"/>
      <c r="T405" s="650"/>
      <c r="U405" s="650"/>
      <c r="V405" s="650"/>
      <c r="W405" s="650"/>
      <c r="X405" s="650"/>
      <c r="Y405" s="650"/>
      <c r="Z405" s="650"/>
      <c r="AA405" s="650"/>
      <c r="AB405" s="650"/>
      <c r="AC405" s="650"/>
      <c r="AD405" s="650"/>
      <c r="AE405" s="650"/>
      <c r="AF405" s="650"/>
      <c r="AG405" s="650"/>
      <c r="AH405" s="650"/>
      <c r="AI405" s="650"/>
      <c r="AJ405" s="650"/>
      <c r="AK405" s="650"/>
      <c r="AL405" s="650"/>
      <c r="AM405" s="650"/>
      <c r="AN405" s="650"/>
      <c r="AO405" s="650"/>
      <c r="AP405" s="650"/>
      <c r="AQ405" s="650"/>
      <c r="AR405" s="650"/>
      <c r="AS405" s="650"/>
      <c r="AT405" s="650"/>
      <c r="AU405" s="650"/>
      <c r="AV405" s="650"/>
      <c r="AW405" s="650"/>
      <c r="AX405" s="650"/>
      <c r="AY405" s="650"/>
    </row>
    <row r="406" ht="21.75" customHeight="1">
      <c r="A406" s="650"/>
      <c r="B406" s="650"/>
      <c r="C406" s="650"/>
      <c r="D406" s="650"/>
      <c r="E406" s="650"/>
      <c r="F406" s="650"/>
      <c r="G406" s="650"/>
      <c r="H406" s="650"/>
      <c r="I406" s="650"/>
      <c r="J406" s="650"/>
      <c r="K406" s="650"/>
      <c r="L406" s="650"/>
      <c r="M406" s="650"/>
      <c r="N406" s="650"/>
      <c r="O406" s="650"/>
      <c r="P406" s="650"/>
      <c r="Q406" s="650"/>
      <c r="R406" s="650"/>
      <c r="S406" s="650"/>
      <c r="T406" s="650"/>
      <c r="U406" s="650"/>
      <c r="V406" s="650"/>
      <c r="W406" s="650"/>
      <c r="X406" s="650"/>
      <c r="Y406" s="650"/>
      <c r="Z406" s="650"/>
      <c r="AA406" s="650"/>
      <c r="AB406" s="650"/>
      <c r="AC406" s="650"/>
      <c r="AD406" s="650"/>
      <c r="AE406" s="650"/>
      <c r="AF406" s="650"/>
      <c r="AG406" s="650"/>
      <c r="AH406" s="650"/>
      <c r="AI406" s="650"/>
      <c r="AJ406" s="650"/>
      <c r="AK406" s="650"/>
      <c r="AL406" s="650"/>
      <c r="AM406" s="650"/>
      <c r="AN406" s="650"/>
      <c r="AO406" s="650"/>
      <c r="AP406" s="650"/>
      <c r="AQ406" s="650"/>
      <c r="AR406" s="650"/>
      <c r="AS406" s="650"/>
      <c r="AT406" s="650"/>
      <c r="AU406" s="650"/>
      <c r="AV406" s="650"/>
      <c r="AW406" s="650"/>
      <c r="AX406" s="650"/>
      <c r="AY406" s="650"/>
    </row>
    <row r="407" ht="21.75" customHeight="1">
      <c r="A407" s="650"/>
      <c r="B407" s="650"/>
      <c r="C407" s="650"/>
      <c r="D407" s="650"/>
      <c r="E407" s="650"/>
      <c r="F407" s="650"/>
      <c r="G407" s="650"/>
      <c r="H407" s="650"/>
      <c r="I407" s="650"/>
      <c r="J407" s="650"/>
      <c r="K407" s="650"/>
      <c r="L407" s="650"/>
      <c r="M407" s="650"/>
      <c r="N407" s="650"/>
      <c r="O407" s="650"/>
      <c r="P407" s="650"/>
      <c r="Q407" s="650"/>
      <c r="R407" s="650"/>
      <c r="S407" s="650"/>
      <c r="T407" s="650"/>
      <c r="U407" s="650"/>
      <c r="V407" s="650"/>
      <c r="W407" s="650"/>
      <c r="X407" s="650"/>
      <c r="Y407" s="650"/>
      <c r="Z407" s="650"/>
      <c r="AA407" s="650"/>
      <c r="AB407" s="650"/>
      <c r="AC407" s="650"/>
      <c r="AD407" s="650"/>
      <c r="AE407" s="650"/>
      <c r="AF407" s="650"/>
      <c r="AG407" s="650"/>
      <c r="AH407" s="650"/>
      <c r="AI407" s="650"/>
      <c r="AJ407" s="650"/>
      <c r="AK407" s="650"/>
      <c r="AL407" s="650"/>
      <c r="AM407" s="650"/>
      <c r="AN407" s="650"/>
      <c r="AO407" s="650"/>
      <c r="AP407" s="650"/>
      <c r="AQ407" s="650"/>
      <c r="AR407" s="650"/>
      <c r="AS407" s="650"/>
      <c r="AT407" s="650"/>
      <c r="AU407" s="650"/>
      <c r="AV407" s="650"/>
      <c r="AW407" s="650"/>
      <c r="AX407" s="650"/>
      <c r="AY407" s="650"/>
    </row>
    <row r="408" ht="21.75" customHeight="1">
      <c r="A408" s="650"/>
      <c r="B408" s="650"/>
      <c r="C408" s="650"/>
      <c r="D408" s="650"/>
      <c r="E408" s="650"/>
      <c r="F408" s="650"/>
      <c r="G408" s="650"/>
      <c r="H408" s="650"/>
      <c r="I408" s="650"/>
      <c r="J408" s="650"/>
      <c r="K408" s="650"/>
      <c r="L408" s="650"/>
      <c r="M408" s="650"/>
      <c r="N408" s="650"/>
      <c r="O408" s="650"/>
      <c r="P408" s="650"/>
      <c r="Q408" s="650"/>
      <c r="R408" s="650"/>
      <c r="S408" s="650"/>
      <c r="T408" s="650"/>
      <c r="U408" s="650"/>
      <c r="V408" s="650"/>
      <c r="W408" s="650"/>
      <c r="X408" s="650"/>
      <c r="Y408" s="650"/>
      <c r="Z408" s="650"/>
      <c r="AA408" s="650"/>
      <c r="AB408" s="650"/>
      <c r="AC408" s="650"/>
      <c r="AD408" s="650"/>
      <c r="AE408" s="650"/>
      <c r="AF408" s="650"/>
      <c r="AG408" s="650"/>
      <c r="AH408" s="650"/>
      <c r="AI408" s="650"/>
      <c r="AJ408" s="650"/>
      <c r="AK408" s="650"/>
      <c r="AL408" s="650"/>
      <c r="AM408" s="650"/>
      <c r="AN408" s="650"/>
      <c r="AO408" s="650"/>
      <c r="AP408" s="650"/>
      <c r="AQ408" s="650"/>
      <c r="AR408" s="650"/>
      <c r="AS408" s="650"/>
      <c r="AT408" s="650"/>
      <c r="AU408" s="650"/>
      <c r="AV408" s="650"/>
      <c r="AW408" s="650"/>
      <c r="AX408" s="650"/>
      <c r="AY408" s="650"/>
    </row>
    <row r="409" ht="21.75" customHeight="1">
      <c r="A409" s="650"/>
      <c r="B409" s="650"/>
      <c r="C409" s="650"/>
      <c r="D409" s="650"/>
      <c r="E409" s="650"/>
      <c r="F409" s="650"/>
      <c r="G409" s="650"/>
      <c r="H409" s="650"/>
      <c r="I409" s="650"/>
      <c r="J409" s="650"/>
      <c r="K409" s="650"/>
      <c r="L409" s="650"/>
      <c r="M409" s="650"/>
      <c r="N409" s="650"/>
      <c r="O409" s="650"/>
      <c r="P409" s="650"/>
      <c r="Q409" s="650"/>
      <c r="R409" s="650"/>
      <c r="S409" s="650"/>
      <c r="T409" s="650"/>
      <c r="U409" s="650"/>
      <c r="V409" s="650"/>
      <c r="W409" s="650"/>
      <c r="X409" s="650"/>
      <c r="Y409" s="650"/>
      <c r="Z409" s="650"/>
      <c r="AA409" s="650"/>
      <c r="AB409" s="650"/>
      <c r="AC409" s="650"/>
      <c r="AD409" s="650"/>
      <c r="AE409" s="650"/>
      <c r="AF409" s="650"/>
      <c r="AG409" s="650"/>
      <c r="AH409" s="650"/>
      <c r="AI409" s="650"/>
      <c r="AJ409" s="650"/>
      <c r="AK409" s="650"/>
      <c r="AL409" s="650"/>
      <c r="AM409" s="650"/>
      <c r="AN409" s="650"/>
      <c r="AO409" s="650"/>
      <c r="AP409" s="650"/>
      <c r="AQ409" s="650"/>
      <c r="AR409" s="650"/>
      <c r="AS409" s="650"/>
      <c r="AT409" s="650"/>
      <c r="AU409" s="650"/>
      <c r="AV409" s="650"/>
      <c r="AW409" s="650"/>
      <c r="AX409" s="650"/>
      <c r="AY409" s="650"/>
    </row>
    <row r="410" ht="21.75" customHeight="1">
      <c r="A410" s="650"/>
      <c r="B410" s="650"/>
      <c r="C410" s="650"/>
      <c r="D410" s="650"/>
      <c r="E410" s="650"/>
      <c r="F410" s="650"/>
      <c r="G410" s="650"/>
      <c r="H410" s="650"/>
      <c r="I410" s="650"/>
      <c r="J410" s="650"/>
      <c r="K410" s="650"/>
      <c r="L410" s="650"/>
      <c r="M410" s="650"/>
      <c r="N410" s="650"/>
      <c r="O410" s="650"/>
      <c r="P410" s="650"/>
      <c r="Q410" s="650"/>
      <c r="R410" s="650"/>
      <c r="S410" s="650"/>
      <c r="T410" s="650"/>
      <c r="U410" s="650"/>
      <c r="V410" s="650"/>
      <c r="W410" s="650"/>
      <c r="X410" s="650"/>
      <c r="Y410" s="650"/>
      <c r="Z410" s="650"/>
      <c r="AA410" s="650"/>
      <c r="AB410" s="650"/>
      <c r="AC410" s="650"/>
      <c r="AD410" s="650"/>
      <c r="AE410" s="650"/>
      <c r="AF410" s="650"/>
      <c r="AG410" s="650"/>
      <c r="AH410" s="650"/>
      <c r="AI410" s="650"/>
      <c r="AJ410" s="650"/>
      <c r="AK410" s="650"/>
      <c r="AL410" s="650"/>
      <c r="AM410" s="650"/>
      <c r="AN410" s="650"/>
      <c r="AO410" s="650"/>
      <c r="AP410" s="650"/>
      <c r="AQ410" s="650"/>
      <c r="AR410" s="650"/>
      <c r="AS410" s="650"/>
      <c r="AT410" s="650"/>
      <c r="AU410" s="650"/>
      <c r="AV410" s="650"/>
      <c r="AW410" s="650"/>
      <c r="AX410" s="650"/>
      <c r="AY410" s="650"/>
    </row>
    <row r="411" ht="21.75" customHeight="1">
      <c r="A411" s="650"/>
      <c r="B411" s="650"/>
      <c r="C411" s="650"/>
      <c r="D411" s="650"/>
      <c r="E411" s="650"/>
      <c r="F411" s="650"/>
      <c r="G411" s="650"/>
      <c r="H411" s="650"/>
      <c r="I411" s="650"/>
      <c r="J411" s="650"/>
      <c r="K411" s="650"/>
      <c r="L411" s="650"/>
      <c r="M411" s="650"/>
      <c r="N411" s="650"/>
      <c r="O411" s="650"/>
      <c r="P411" s="650"/>
      <c r="Q411" s="650"/>
      <c r="R411" s="650"/>
      <c r="S411" s="650"/>
      <c r="T411" s="650"/>
      <c r="U411" s="650"/>
      <c r="V411" s="650"/>
      <c r="W411" s="650"/>
      <c r="X411" s="650"/>
      <c r="Y411" s="650"/>
      <c r="Z411" s="650"/>
      <c r="AA411" s="650"/>
      <c r="AB411" s="650"/>
      <c r="AC411" s="650"/>
      <c r="AD411" s="650"/>
      <c r="AE411" s="650"/>
      <c r="AF411" s="650"/>
      <c r="AG411" s="650"/>
      <c r="AH411" s="650"/>
      <c r="AI411" s="650"/>
      <c r="AJ411" s="650"/>
      <c r="AK411" s="650"/>
      <c r="AL411" s="650"/>
      <c r="AM411" s="650"/>
      <c r="AN411" s="650"/>
      <c r="AO411" s="650"/>
      <c r="AP411" s="650"/>
      <c r="AQ411" s="650"/>
      <c r="AR411" s="650"/>
      <c r="AS411" s="650"/>
      <c r="AT411" s="650"/>
      <c r="AU411" s="650"/>
      <c r="AV411" s="650"/>
      <c r="AW411" s="650"/>
      <c r="AX411" s="650"/>
      <c r="AY411" s="650"/>
    </row>
    <row r="412" ht="21.75" customHeight="1">
      <c r="A412" s="650"/>
      <c r="B412" s="650"/>
      <c r="C412" s="650"/>
      <c r="D412" s="650"/>
      <c r="E412" s="650"/>
      <c r="F412" s="650"/>
      <c r="G412" s="650"/>
      <c r="H412" s="650"/>
      <c r="I412" s="650"/>
      <c r="J412" s="650"/>
      <c r="K412" s="650"/>
      <c r="L412" s="650"/>
      <c r="M412" s="650"/>
      <c r="N412" s="650"/>
      <c r="O412" s="650"/>
      <c r="P412" s="650"/>
      <c r="Q412" s="650"/>
      <c r="R412" s="650"/>
      <c r="S412" s="650"/>
      <c r="T412" s="650"/>
      <c r="U412" s="650"/>
      <c r="V412" s="650"/>
      <c r="W412" s="650"/>
      <c r="X412" s="650"/>
      <c r="Y412" s="650"/>
      <c r="Z412" s="650"/>
      <c r="AA412" s="650"/>
      <c r="AB412" s="650"/>
      <c r="AC412" s="650"/>
      <c r="AD412" s="650"/>
      <c r="AE412" s="650"/>
      <c r="AF412" s="650"/>
      <c r="AG412" s="650"/>
      <c r="AH412" s="650"/>
      <c r="AI412" s="650"/>
      <c r="AJ412" s="650"/>
      <c r="AK412" s="650"/>
      <c r="AL412" s="650"/>
      <c r="AM412" s="650"/>
      <c r="AN412" s="650"/>
      <c r="AO412" s="650"/>
      <c r="AP412" s="650"/>
      <c r="AQ412" s="650"/>
      <c r="AR412" s="650"/>
      <c r="AS412" s="650"/>
      <c r="AT412" s="650"/>
      <c r="AU412" s="650"/>
      <c r="AV412" s="650"/>
      <c r="AW412" s="650"/>
      <c r="AX412" s="650"/>
      <c r="AY412" s="650"/>
    </row>
    <row r="413" ht="21.75" customHeight="1">
      <c r="A413" s="650"/>
      <c r="B413" s="650"/>
      <c r="C413" s="650"/>
      <c r="D413" s="650"/>
      <c r="E413" s="650"/>
      <c r="F413" s="650"/>
      <c r="G413" s="650"/>
      <c r="H413" s="650"/>
      <c r="I413" s="650"/>
      <c r="J413" s="650"/>
      <c r="K413" s="650"/>
      <c r="L413" s="650"/>
      <c r="M413" s="650"/>
      <c r="N413" s="650"/>
      <c r="O413" s="650"/>
      <c r="P413" s="650"/>
      <c r="Q413" s="650"/>
      <c r="R413" s="650"/>
      <c r="S413" s="650"/>
      <c r="T413" s="650"/>
      <c r="U413" s="650"/>
      <c r="V413" s="650"/>
      <c r="W413" s="650"/>
      <c r="X413" s="650"/>
      <c r="Y413" s="650"/>
      <c r="Z413" s="650"/>
      <c r="AA413" s="650"/>
      <c r="AB413" s="650"/>
      <c r="AC413" s="650"/>
      <c r="AD413" s="650"/>
      <c r="AE413" s="650"/>
      <c r="AF413" s="650"/>
      <c r="AG413" s="650"/>
      <c r="AH413" s="650"/>
      <c r="AI413" s="650"/>
      <c r="AJ413" s="650"/>
      <c r="AK413" s="650"/>
      <c r="AL413" s="650"/>
      <c r="AM413" s="650"/>
      <c r="AN413" s="650"/>
      <c r="AO413" s="650"/>
      <c r="AP413" s="650"/>
      <c r="AQ413" s="650"/>
      <c r="AR413" s="650"/>
      <c r="AS413" s="650"/>
      <c r="AT413" s="650"/>
      <c r="AU413" s="650"/>
      <c r="AV413" s="650"/>
      <c r="AW413" s="650"/>
      <c r="AX413" s="650"/>
      <c r="AY413" s="650"/>
    </row>
    <row r="414" ht="21.75" customHeight="1">
      <c r="A414" s="650"/>
      <c r="B414" s="650"/>
      <c r="C414" s="650"/>
      <c r="D414" s="650"/>
      <c r="E414" s="650"/>
      <c r="F414" s="650"/>
      <c r="G414" s="650"/>
      <c r="H414" s="650"/>
      <c r="I414" s="650"/>
      <c r="J414" s="650"/>
      <c r="K414" s="650"/>
      <c r="L414" s="650"/>
      <c r="M414" s="650"/>
      <c r="N414" s="650"/>
      <c r="O414" s="650"/>
      <c r="P414" s="650"/>
      <c r="Q414" s="650"/>
      <c r="R414" s="650"/>
      <c r="S414" s="650"/>
      <c r="T414" s="650"/>
      <c r="U414" s="650"/>
      <c r="V414" s="650"/>
      <c r="W414" s="650"/>
      <c r="X414" s="650"/>
      <c r="Y414" s="650"/>
      <c r="Z414" s="650"/>
      <c r="AA414" s="650"/>
      <c r="AB414" s="650"/>
      <c r="AC414" s="650"/>
      <c r="AD414" s="650"/>
      <c r="AE414" s="650"/>
      <c r="AF414" s="650"/>
      <c r="AG414" s="650"/>
      <c r="AH414" s="650"/>
      <c r="AI414" s="650"/>
      <c r="AJ414" s="650"/>
      <c r="AK414" s="650"/>
      <c r="AL414" s="650"/>
      <c r="AM414" s="650"/>
      <c r="AN414" s="650"/>
      <c r="AO414" s="650"/>
      <c r="AP414" s="650"/>
      <c r="AQ414" s="650"/>
      <c r="AR414" s="650"/>
      <c r="AS414" s="650"/>
      <c r="AT414" s="650"/>
      <c r="AU414" s="650"/>
      <c r="AV414" s="650"/>
      <c r="AW414" s="650"/>
      <c r="AX414" s="650"/>
      <c r="AY414" s="650"/>
    </row>
    <row r="415" ht="21.75" customHeight="1">
      <c r="A415" s="650"/>
      <c r="B415" s="650"/>
      <c r="C415" s="650"/>
      <c r="D415" s="650"/>
      <c r="E415" s="650"/>
      <c r="F415" s="650"/>
      <c r="G415" s="650"/>
      <c r="H415" s="650"/>
      <c r="I415" s="650"/>
      <c r="J415" s="650"/>
      <c r="K415" s="650"/>
      <c r="L415" s="650"/>
      <c r="M415" s="650"/>
      <c r="N415" s="650"/>
      <c r="O415" s="650"/>
      <c r="P415" s="650"/>
      <c r="Q415" s="650"/>
      <c r="R415" s="650"/>
      <c r="S415" s="650"/>
      <c r="T415" s="650"/>
      <c r="U415" s="650"/>
      <c r="V415" s="650"/>
      <c r="W415" s="650"/>
      <c r="X415" s="650"/>
      <c r="Y415" s="650"/>
      <c r="Z415" s="650"/>
      <c r="AA415" s="650"/>
      <c r="AB415" s="650"/>
      <c r="AC415" s="650"/>
      <c r="AD415" s="650"/>
      <c r="AE415" s="650"/>
      <c r="AF415" s="650"/>
      <c r="AG415" s="650"/>
      <c r="AH415" s="650"/>
      <c r="AI415" s="650"/>
      <c r="AJ415" s="650"/>
      <c r="AK415" s="650"/>
      <c r="AL415" s="650"/>
      <c r="AM415" s="650"/>
      <c r="AN415" s="650"/>
      <c r="AO415" s="650"/>
      <c r="AP415" s="650"/>
      <c r="AQ415" s="650"/>
      <c r="AR415" s="650"/>
      <c r="AS415" s="650"/>
      <c r="AT415" s="650"/>
      <c r="AU415" s="650"/>
      <c r="AV415" s="650"/>
      <c r="AW415" s="650"/>
      <c r="AX415" s="650"/>
      <c r="AY415" s="650"/>
    </row>
    <row r="416" ht="21.75" customHeight="1">
      <c r="A416" s="650"/>
      <c r="B416" s="650"/>
      <c r="C416" s="650"/>
      <c r="D416" s="650"/>
      <c r="E416" s="650"/>
      <c r="F416" s="650"/>
      <c r="G416" s="650"/>
      <c r="H416" s="650"/>
      <c r="I416" s="650"/>
      <c r="J416" s="650"/>
      <c r="K416" s="650"/>
      <c r="L416" s="650"/>
      <c r="M416" s="650"/>
      <c r="N416" s="650"/>
      <c r="O416" s="650"/>
      <c r="P416" s="650"/>
      <c r="Q416" s="650"/>
      <c r="R416" s="650"/>
      <c r="S416" s="650"/>
      <c r="T416" s="650"/>
      <c r="U416" s="650"/>
      <c r="V416" s="650"/>
      <c r="W416" s="650"/>
      <c r="X416" s="650"/>
      <c r="Y416" s="650"/>
      <c r="Z416" s="650"/>
      <c r="AA416" s="650"/>
      <c r="AB416" s="650"/>
      <c r="AC416" s="650"/>
      <c r="AD416" s="650"/>
      <c r="AE416" s="650"/>
      <c r="AF416" s="650"/>
      <c r="AG416" s="650"/>
      <c r="AH416" s="650"/>
      <c r="AI416" s="650"/>
      <c r="AJ416" s="650"/>
      <c r="AK416" s="650"/>
      <c r="AL416" s="650"/>
      <c r="AM416" s="650"/>
      <c r="AN416" s="650"/>
      <c r="AO416" s="650"/>
      <c r="AP416" s="650"/>
      <c r="AQ416" s="650"/>
      <c r="AR416" s="650"/>
      <c r="AS416" s="650"/>
      <c r="AT416" s="650"/>
      <c r="AU416" s="650"/>
      <c r="AV416" s="650"/>
      <c r="AW416" s="650"/>
      <c r="AX416" s="650"/>
      <c r="AY416" s="650"/>
    </row>
    <row r="417" ht="21.75" customHeight="1">
      <c r="A417" s="650"/>
      <c r="B417" s="650"/>
      <c r="C417" s="650"/>
      <c r="D417" s="650"/>
      <c r="E417" s="650"/>
      <c r="F417" s="650"/>
      <c r="G417" s="650"/>
      <c r="H417" s="650"/>
      <c r="I417" s="650"/>
      <c r="J417" s="650"/>
      <c r="K417" s="650"/>
      <c r="L417" s="650"/>
      <c r="M417" s="650"/>
      <c r="N417" s="650"/>
      <c r="O417" s="650"/>
      <c r="P417" s="650"/>
      <c r="Q417" s="650"/>
      <c r="R417" s="650"/>
      <c r="S417" s="650"/>
      <c r="T417" s="650"/>
      <c r="U417" s="650"/>
      <c r="V417" s="650"/>
      <c r="W417" s="650"/>
      <c r="X417" s="650"/>
      <c r="Y417" s="650"/>
      <c r="Z417" s="650"/>
      <c r="AA417" s="650"/>
      <c r="AB417" s="650"/>
      <c r="AC417" s="650"/>
      <c r="AD417" s="650"/>
      <c r="AE417" s="650"/>
      <c r="AF417" s="650"/>
      <c r="AG417" s="650"/>
      <c r="AH417" s="650"/>
      <c r="AI417" s="650"/>
      <c r="AJ417" s="650"/>
      <c r="AK417" s="650"/>
      <c r="AL417" s="650"/>
      <c r="AM417" s="650"/>
      <c r="AN417" s="650"/>
      <c r="AO417" s="650"/>
      <c r="AP417" s="650"/>
      <c r="AQ417" s="650"/>
      <c r="AR417" s="650"/>
      <c r="AS417" s="650"/>
      <c r="AT417" s="650"/>
      <c r="AU417" s="650"/>
      <c r="AV417" s="650"/>
      <c r="AW417" s="650"/>
      <c r="AX417" s="650"/>
      <c r="AY417" s="650"/>
    </row>
    <row r="418" ht="21.75" customHeight="1">
      <c r="A418" s="650"/>
      <c r="B418" s="650"/>
      <c r="C418" s="650"/>
      <c r="D418" s="650"/>
      <c r="E418" s="650"/>
      <c r="F418" s="650"/>
      <c r="G418" s="650"/>
      <c r="H418" s="650"/>
      <c r="I418" s="650"/>
      <c r="J418" s="650"/>
      <c r="K418" s="650"/>
      <c r="L418" s="650"/>
      <c r="M418" s="650"/>
      <c r="N418" s="650"/>
      <c r="O418" s="650"/>
      <c r="P418" s="650"/>
      <c r="Q418" s="650"/>
      <c r="R418" s="650"/>
      <c r="S418" s="650"/>
      <c r="T418" s="650"/>
      <c r="U418" s="650"/>
      <c r="V418" s="650"/>
      <c r="W418" s="650"/>
      <c r="X418" s="650"/>
      <c r="Y418" s="650"/>
      <c r="Z418" s="650"/>
      <c r="AA418" s="650"/>
      <c r="AB418" s="650"/>
      <c r="AC418" s="650"/>
      <c r="AD418" s="650"/>
      <c r="AE418" s="650"/>
      <c r="AF418" s="650"/>
      <c r="AG418" s="650"/>
      <c r="AH418" s="650"/>
      <c r="AI418" s="650"/>
      <c r="AJ418" s="650"/>
      <c r="AK418" s="650"/>
      <c r="AL418" s="650"/>
      <c r="AM418" s="650"/>
      <c r="AN418" s="650"/>
      <c r="AO418" s="650"/>
      <c r="AP418" s="650"/>
      <c r="AQ418" s="650"/>
      <c r="AR418" s="650"/>
      <c r="AS418" s="650"/>
      <c r="AT418" s="650"/>
      <c r="AU418" s="650"/>
      <c r="AV418" s="650"/>
      <c r="AW418" s="650"/>
      <c r="AX418" s="650"/>
      <c r="AY418" s="650"/>
    </row>
    <row r="419" ht="21.75" customHeight="1">
      <c r="A419" s="650"/>
      <c r="B419" s="650"/>
      <c r="C419" s="650"/>
      <c r="D419" s="650"/>
      <c r="E419" s="650"/>
      <c r="F419" s="650"/>
      <c r="G419" s="650"/>
      <c r="H419" s="650"/>
      <c r="I419" s="650"/>
      <c r="J419" s="650"/>
      <c r="K419" s="650"/>
      <c r="L419" s="650"/>
      <c r="M419" s="650"/>
      <c r="N419" s="650"/>
      <c r="O419" s="650"/>
      <c r="P419" s="650"/>
      <c r="Q419" s="650"/>
      <c r="R419" s="650"/>
      <c r="S419" s="650"/>
      <c r="T419" s="650"/>
      <c r="U419" s="650"/>
      <c r="V419" s="650"/>
      <c r="W419" s="650"/>
      <c r="X419" s="650"/>
      <c r="Y419" s="650"/>
      <c r="Z419" s="650"/>
      <c r="AA419" s="650"/>
      <c r="AB419" s="650"/>
      <c r="AC419" s="650"/>
      <c r="AD419" s="650"/>
      <c r="AE419" s="650"/>
      <c r="AF419" s="650"/>
      <c r="AG419" s="650"/>
      <c r="AH419" s="650"/>
      <c r="AI419" s="650"/>
      <c r="AJ419" s="650"/>
      <c r="AK419" s="650"/>
      <c r="AL419" s="650"/>
      <c r="AM419" s="650"/>
      <c r="AN419" s="650"/>
      <c r="AO419" s="650"/>
      <c r="AP419" s="650"/>
      <c r="AQ419" s="650"/>
      <c r="AR419" s="650"/>
      <c r="AS419" s="650"/>
      <c r="AT419" s="650"/>
      <c r="AU419" s="650"/>
      <c r="AV419" s="650"/>
      <c r="AW419" s="650"/>
      <c r="AX419" s="650"/>
      <c r="AY419" s="650"/>
    </row>
    <row r="420" ht="21.75" customHeight="1">
      <c r="A420" s="650"/>
      <c r="B420" s="650"/>
      <c r="C420" s="650"/>
      <c r="D420" s="650"/>
      <c r="E420" s="650"/>
      <c r="F420" s="650"/>
      <c r="G420" s="650"/>
      <c r="H420" s="650"/>
      <c r="I420" s="650"/>
      <c r="J420" s="650"/>
      <c r="K420" s="650"/>
      <c r="L420" s="650"/>
      <c r="M420" s="650"/>
      <c r="N420" s="650"/>
      <c r="O420" s="650"/>
      <c r="P420" s="650"/>
      <c r="Q420" s="650"/>
      <c r="R420" s="650"/>
      <c r="S420" s="650"/>
      <c r="T420" s="650"/>
      <c r="U420" s="650"/>
      <c r="V420" s="650"/>
      <c r="W420" s="650"/>
      <c r="X420" s="650"/>
      <c r="Y420" s="650"/>
      <c r="Z420" s="650"/>
      <c r="AA420" s="650"/>
      <c r="AB420" s="650"/>
      <c r="AC420" s="650"/>
      <c r="AD420" s="650"/>
      <c r="AE420" s="650"/>
      <c r="AF420" s="650"/>
      <c r="AG420" s="650"/>
      <c r="AH420" s="650"/>
      <c r="AI420" s="650"/>
      <c r="AJ420" s="650"/>
      <c r="AK420" s="650"/>
      <c r="AL420" s="650"/>
      <c r="AM420" s="650"/>
      <c r="AN420" s="650"/>
      <c r="AO420" s="650"/>
      <c r="AP420" s="650"/>
      <c r="AQ420" s="650"/>
      <c r="AR420" s="650"/>
      <c r="AS420" s="650"/>
      <c r="AT420" s="650"/>
      <c r="AU420" s="650"/>
      <c r="AV420" s="650"/>
      <c r="AW420" s="650"/>
      <c r="AX420" s="650"/>
      <c r="AY420" s="650"/>
    </row>
    <row r="421" ht="21.75" customHeight="1">
      <c r="A421" s="650"/>
      <c r="B421" s="650"/>
      <c r="C421" s="650"/>
      <c r="D421" s="650"/>
      <c r="E421" s="650"/>
      <c r="F421" s="650"/>
      <c r="G421" s="650"/>
      <c r="H421" s="650"/>
      <c r="I421" s="650"/>
      <c r="J421" s="650"/>
      <c r="K421" s="650"/>
      <c r="L421" s="650"/>
      <c r="M421" s="650"/>
      <c r="N421" s="650"/>
      <c r="O421" s="650"/>
      <c r="P421" s="650"/>
      <c r="Q421" s="650"/>
      <c r="R421" s="650"/>
      <c r="S421" s="650"/>
      <c r="T421" s="650"/>
      <c r="U421" s="650"/>
      <c r="V421" s="650"/>
      <c r="W421" s="650"/>
      <c r="X421" s="650"/>
      <c r="Y421" s="650"/>
      <c r="Z421" s="650"/>
      <c r="AA421" s="650"/>
      <c r="AB421" s="650"/>
      <c r="AC421" s="650"/>
      <c r="AD421" s="650"/>
      <c r="AE421" s="650"/>
      <c r="AF421" s="650"/>
      <c r="AG421" s="650"/>
      <c r="AH421" s="650"/>
      <c r="AI421" s="650"/>
      <c r="AJ421" s="650"/>
      <c r="AK421" s="650"/>
      <c r="AL421" s="650"/>
      <c r="AM421" s="650"/>
      <c r="AN421" s="650"/>
      <c r="AO421" s="650"/>
      <c r="AP421" s="650"/>
      <c r="AQ421" s="650"/>
      <c r="AR421" s="650"/>
      <c r="AS421" s="650"/>
      <c r="AT421" s="650"/>
      <c r="AU421" s="650"/>
      <c r="AV421" s="650"/>
      <c r="AW421" s="650"/>
      <c r="AX421" s="650"/>
      <c r="AY421" s="650"/>
    </row>
    <row r="422" ht="21.75" customHeight="1">
      <c r="A422" s="650"/>
      <c r="B422" s="650"/>
      <c r="C422" s="650"/>
      <c r="D422" s="650"/>
      <c r="E422" s="650"/>
      <c r="F422" s="650"/>
      <c r="G422" s="650"/>
      <c r="H422" s="650"/>
      <c r="I422" s="650"/>
      <c r="J422" s="650"/>
      <c r="K422" s="650"/>
      <c r="L422" s="650"/>
      <c r="M422" s="650"/>
      <c r="N422" s="650"/>
      <c r="O422" s="650"/>
      <c r="P422" s="650"/>
      <c r="Q422" s="650"/>
      <c r="R422" s="650"/>
      <c r="S422" s="650"/>
      <c r="T422" s="650"/>
      <c r="U422" s="650"/>
      <c r="V422" s="650"/>
      <c r="W422" s="650"/>
      <c r="X422" s="650"/>
      <c r="Y422" s="650"/>
      <c r="Z422" s="650"/>
      <c r="AA422" s="650"/>
      <c r="AB422" s="650"/>
      <c r="AC422" s="650"/>
      <c r="AD422" s="650"/>
      <c r="AE422" s="650"/>
      <c r="AF422" s="650"/>
      <c r="AG422" s="650"/>
      <c r="AH422" s="650"/>
      <c r="AI422" s="650"/>
      <c r="AJ422" s="650"/>
      <c r="AK422" s="650"/>
      <c r="AL422" s="650"/>
      <c r="AM422" s="650"/>
      <c r="AN422" s="650"/>
      <c r="AO422" s="650"/>
      <c r="AP422" s="650"/>
      <c r="AQ422" s="650"/>
      <c r="AR422" s="650"/>
      <c r="AS422" s="650"/>
      <c r="AT422" s="650"/>
      <c r="AU422" s="650"/>
      <c r="AV422" s="650"/>
      <c r="AW422" s="650"/>
      <c r="AX422" s="650"/>
      <c r="AY422" s="650"/>
    </row>
    <row r="423" ht="21.75" customHeight="1">
      <c r="A423" s="650"/>
      <c r="B423" s="650"/>
      <c r="C423" s="650"/>
      <c r="D423" s="650"/>
      <c r="E423" s="650"/>
      <c r="F423" s="650"/>
      <c r="G423" s="650"/>
      <c r="H423" s="650"/>
      <c r="I423" s="650"/>
      <c r="J423" s="650"/>
      <c r="K423" s="650"/>
      <c r="L423" s="650"/>
      <c r="M423" s="650"/>
      <c r="N423" s="650"/>
      <c r="O423" s="650"/>
      <c r="P423" s="650"/>
      <c r="Q423" s="650"/>
      <c r="R423" s="650"/>
      <c r="S423" s="650"/>
      <c r="T423" s="650"/>
      <c r="U423" s="650"/>
      <c r="V423" s="650"/>
      <c r="W423" s="650"/>
      <c r="X423" s="650"/>
      <c r="Y423" s="650"/>
      <c r="Z423" s="650"/>
      <c r="AA423" s="650"/>
      <c r="AB423" s="650"/>
      <c r="AC423" s="650"/>
      <c r="AD423" s="650"/>
      <c r="AE423" s="650"/>
      <c r="AF423" s="650"/>
      <c r="AG423" s="650"/>
      <c r="AH423" s="650"/>
      <c r="AI423" s="650"/>
      <c r="AJ423" s="650"/>
      <c r="AK423" s="650"/>
      <c r="AL423" s="650"/>
      <c r="AM423" s="650"/>
      <c r="AN423" s="650"/>
      <c r="AO423" s="650"/>
      <c r="AP423" s="650"/>
      <c r="AQ423" s="650"/>
      <c r="AR423" s="650"/>
      <c r="AS423" s="650"/>
      <c r="AT423" s="650"/>
      <c r="AU423" s="650"/>
      <c r="AV423" s="650"/>
      <c r="AW423" s="650"/>
      <c r="AX423" s="650"/>
      <c r="AY423" s="650"/>
    </row>
    <row r="424" ht="21.75" customHeight="1">
      <c r="A424" s="650"/>
      <c r="B424" s="650"/>
      <c r="C424" s="650"/>
      <c r="D424" s="650"/>
      <c r="E424" s="650"/>
      <c r="F424" s="650"/>
      <c r="G424" s="650"/>
      <c r="H424" s="650"/>
      <c r="I424" s="650"/>
      <c r="J424" s="650"/>
      <c r="K424" s="650"/>
      <c r="L424" s="650"/>
      <c r="M424" s="650"/>
      <c r="N424" s="650"/>
      <c r="O424" s="650"/>
      <c r="P424" s="650"/>
      <c r="Q424" s="650"/>
      <c r="R424" s="650"/>
      <c r="S424" s="650"/>
      <c r="T424" s="650"/>
      <c r="U424" s="650"/>
      <c r="V424" s="650"/>
      <c r="W424" s="650"/>
      <c r="X424" s="650"/>
      <c r="Y424" s="650"/>
      <c r="Z424" s="650"/>
      <c r="AA424" s="650"/>
      <c r="AB424" s="650"/>
      <c r="AC424" s="650"/>
      <c r="AD424" s="650"/>
      <c r="AE424" s="650"/>
      <c r="AF424" s="650"/>
      <c r="AG424" s="650"/>
      <c r="AH424" s="650"/>
      <c r="AI424" s="650"/>
      <c r="AJ424" s="650"/>
      <c r="AK424" s="650"/>
      <c r="AL424" s="650"/>
      <c r="AM424" s="650"/>
      <c r="AN424" s="650"/>
      <c r="AO424" s="650"/>
      <c r="AP424" s="650"/>
      <c r="AQ424" s="650"/>
      <c r="AR424" s="650"/>
      <c r="AS424" s="650"/>
      <c r="AT424" s="650"/>
      <c r="AU424" s="650"/>
      <c r="AV424" s="650"/>
      <c r="AW424" s="650"/>
      <c r="AX424" s="650"/>
      <c r="AY424" s="650"/>
    </row>
    <row r="425" ht="21.75" customHeight="1">
      <c r="A425" s="650"/>
      <c r="B425" s="650"/>
      <c r="C425" s="650"/>
      <c r="D425" s="650"/>
      <c r="E425" s="650"/>
      <c r="F425" s="650"/>
      <c r="G425" s="650"/>
      <c r="H425" s="650"/>
      <c r="I425" s="650"/>
      <c r="J425" s="650"/>
      <c r="K425" s="650"/>
      <c r="L425" s="650"/>
      <c r="M425" s="650"/>
      <c r="N425" s="650"/>
      <c r="O425" s="650"/>
      <c r="P425" s="650"/>
      <c r="Q425" s="650"/>
      <c r="R425" s="650"/>
      <c r="S425" s="650"/>
      <c r="T425" s="650"/>
      <c r="U425" s="650"/>
      <c r="V425" s="650"/>
      <c r="W425" s="650"/>
      <c r="X425" s="650"/>
      <c r="Y425" s="650"/>
      <c r="Z425" s="650"/>
      <c r="AA425" s="650"/>
      <c r="AB425" s="650"/>
      <c r="AC425" s="650"/>
      <c r="AD425" s="650"/>
      <c r="AE425" s="650"/>
      <c r="AF425" s="650"/>
      <c r="AG425" s="650"/>
      <c r="AH425" s="650"/>
      <c r="AI425" s="650"/>
      <c r="AJ425" s="650"/>
      <c r="AK425" s="650"/>
      <c r="AL425" s="650"/>
      <c r="AM425" s="650"/>
      <c r="AN425" s="650"/>
      <c r="AO425" s="650"/>
      <c r="AP425" s="650"/>
      <c r="AQ425" s="650"/>
      <c r="AR425" s="650"/>
      <c r="AS425" s="650"/>
      <c r="AT425" s="650"/>
      <c r="AU425" s="650"/>
      <c r="AV425" s="650"/>
      <c r="AW425" s="650"/>
      <c r="AX425" s="650"/>
      <c r="AY425" s="650"/>
    </row>
    <row r="426" ht="21.75" customHeight="1">
      <c r="A426" s="650"/>
      <c r="B426" s="650"/>
      <c r="C426" s="650"/>
      <c r="D426" s="650"/>
      <c r="E426" s="650"/>
      <c r="F426" s="650"/>
      <c r="G426" s="650"/>
      <c r="H426" s="650"/>
      <c r="I426" s="650"/>
      <c r="J426" s="650"/>
      <c r="K426" s="650"/>
      <c r="L426" s="650"/>
      <c r="M426" s="650"/>
      <c r="N426" s="650"/>
      <c r="O426" s="650"/>
      <c r="P426" s="650"/>
      <c r="Q426" s="650"/>
      <c r="R426" s="650"/>
      <c r="S426" s="650"/>
      <c r="T426" s="650"/>
      <c r="U426" s="650"/>
      <c r="V426" s="650"/>
      <c r="W426" s="650"/>
      <c r="X426" s="650"/>
      <c r="Y426" s="650"/>
      <c r="Z426" s="650"/>
      <c r="AA426" s="650"/>
      <c r="AB426" s="650"/>
      <c r="AC426" s="650"/>
      <c r="AD426" s="650"/>
      <c r="AE426" s="650"/>
      <c r="AF426" s="650"/>
      <c r="AG426" s="650"/>
      <c r="AH426" s="650"/>
      <c r="AI426" s="650"/>
      <c r="AJ426" s="650"/>
      <c r="AK426" s="650"/>
      <c r="AL426" s="650"/>
      <c r="AM426" s="650"/>
      <c r="AN426" s="650"/>
      <c r="AO426" s="650"/>
      <c r="AP426" s="650"/>
      <c r="AQ426" s="650"/>
      <c r="AR426" s="650"/>
      <c r="AS426" s="650"/>
      <c r="AT426" s="650"/>
      <c r="AU426" s="650"/>
      <c r="AV426" s="650"/>
      <c r="AW426" s="650"/>
      <c r="AX426" s="650"/>
      <c r="AY426" s="650"/>
    </row>
    <row r="427" ht="21.75" customHeight="1">
      <c r="A427" s="650"/>
      <c r="B427" s="650"/>
      <c r="C427" s="650"/>
      <c r="D427" s="650"/>
      <c r="E427" s="650"/>
      <c r="F427" s="650"/>
      <c r="G427" s="650"/>
      <c r="H427" s="650"/>
      <c r="I427" s="650"/>
      <c r="J427" s="650"/>
      <c r="K427" s="650"/>
      <c r="L427" s="650"/>
      <c r="M427" s="650"/>
      <c r="N427" s="650"/>
      <c r="O427" s="650"/>
      <c r="P427" s="650"/>
      <c r="Q427" s="650"/>
      <c r="R427" s="650"/>
      <c r="S427" s="650"/>
      <c r="T427" s="650"/>
      <c r="U427" s="650"/>
      <c r="V427" s="650"/>
      <c r="W427" s="650"/>
      <c r="X427" s="650"/>
      <c r="Y427" s="650"/>
      <c r="Z427" s="650"/>
      <c r="AA427" s="650"/>
      <c r="AB427" s="650"/>
      <c r="AC427" s="650"/>
      <c r="AD427" s="650"/>
      <c r="AE427" s="650"/>
      <c r="AF427" s="650"/>
      <c r="AG427" s="650"/>
      <c r="AH427" s="650"/>
      <c r="AI427" s="650"/>
      <c r="AJ427" s="650"/>
      <c r="AK427" s="650"/>
      <c r="AL427" s="650"/>
      <c r="AM427" s="650"/>
      <c r="AN427" s="650"/>
      <c r="AO427" s="650"/>
      <c r="AP427" s="650"/>
      <c r="AQ427" s="650"/>
      <c r="AR427" s="650"/>
      <c r="AS427" s="650"/>
      <c r="AT427" s="650"/>
      <c r="AU427" s="650"/>
      <c r="AV427" s="650"/>
      <c r="AW427" s="650"/>
      <c r="AX427" s="650"/>
      <c r="AY427" s="650"/>
    </row>
    <row r="428" ht="21.75" customHeight="1">
      <c r="A428" s="650"/>
      <c r="B428" s="650"/>
      <c r="C428" s="650"/>
      <c r="D428" s="650"/>
      <c r="E428" s="650"/>
      <c r="F428" s="650"/>
      <c r="G428" s="650"/>
      <c r="H428" s="650"/>
      <c r="I428" s="650"/>
      <c r="J428" s="650"/>
      <c r="K428" s="650"/>
      <c r="L428" s="650"/>
      <c r="M428" s="650"/>
      <c r="N428" s="650"/>
      <c r="O428" s="650"/>
      <c r="P428" s="650"/>
      <c r="Q428" s="650"/>
      <c r="R428" s="650"/>
      <c r="S428" s="650"/>
      <c r="T428" s="650"/>
      <c r="U428" s="650"/>
      <c r="V428" s="650"/>
      <c r="W428" s="650"/>
      <c r="X428" s="650"/>
      <c r="Y428" s="650"/>
      <c r="Z428" s="650"/>
      <c r="AA428" s="650"/>
      <c r="AB428" s="650"/>
      <c r="AC428" s="650"/>
      <c r="AD428" s="650"/>
      <c r="AE428" s="650"/>
      <c r="AF428" s="650"/>
      <c r="AG428" s="650"/>
      <c r="AH428" s="650"/>
      <c r="AI428" s="650"/>
      <c r="AJ428" s="650"/>
      <c r="AK428" s="650"/>
      <c r="AL428" s="650"/>
      <c r="AM428" s="650"/>
      <c r="AN428" s="650"/>
      <c r="AO428" s="650"/>
      <c r="AP428" s="650"/>
      <c r="AQ428" s="650"/>
      <c r="AR428" s="650"/>
      <c r="AS428" s="650"/>
      <c r="AT428" s="650"/>
      <c r="AU428" s="650"/>
      <c r="AV428" s="650"/>
      <c r="AW428" s="650"/>
      <c r="AX428" s="650"/>
      <c r="AY428" s="650"/>
    </row>
    <row r="429" ht="21.75" customHeight="1">
      <c r="A429" s="650"/>
      <c r="B429" s="650"/>
      <c r="C429" s="650"/>
      <c r="D429" s="650"/>
      <c r="E429" s="650"/>
      <c r="F429" s="650"/>
      <c r="G429" s="650"/>
      <c r="H429" s="650"/>
      <c r="I429" s="650"/>
      <c r="J429" s="650"/>
      <c r="K429" s="650"/>
      <c r="L429" s="650"/>
      <c r="M429" s="650"/>
      <c r="N429" s="650"/>
      <c r="O429" s="650"/>
      <c r="P429" s="650"/>
      <c r="Q429" s="650"/>
      <c r="R429" s="650"/>
      <c r="S429" s="650"/>
      <c r="T429" s="650"/>
      <c r="U429" s="650"/>
      <c r="V429" s="650"/>
      <c r="W429" s="650"/>
      <c r="X429" s="650"/>
      <c r="Y429" s="650"/>
      <c r="Z429" s="650"/>
      <c r="AA429" s="650"/>
      <c r="AB429" s="650"/>
      <c r="AC429" s="650"/>
      <c r="AD429" s="650"/>
      <c r="AE429" s="650"/>
      <c r="AF429" s="650"/>
      <c r="AG429" s="650"/>
      <c r="AH429" s="650"/>
      <c r="AI429" s="650"/>
      <c r="AJ429" s="650"/>
      <c r="AK429" s="650"/>
      <c r="AL429" s="650"/>
      <c r="AM429" s="650"/>
      <c r="AN429" s="650"/>
      <c r="AO429" s="650"/>
      <c r="AP429" s="650"/>
      <c r="AQ429" s="650"/>
      <c r="AR429" s="650"/>
      <c r="AS429" s="650"/>
      <c r="AT429" s="650"/>
      <c r="AU429" s="650"/>
      <c r="AV429" s="650"/>
      <c r="AW429" s="650"/>
      <c r="AX429" s="650"/>
      <c r="AY429" s="650"/>
    </row>
    <row r="430" ht="21.75" customHeight="1">
      <c r="A430" s="650"/>
      <c r="B430" s="650"/>
      <c r="C430" s="650"/>
      <c r="D430" s="650"/>
      <c r="E430" s="650"/>
      <c r="F430" s="650"/>
      <c r="G430" s="650"/>
      <c r="H430" s="650"/>
      <c r="I430" s="650"/>
      <c r="J430" s="650"/>
      <c r="K430" s="650"/>
      <c r="L430" s="650"/>
      <c r="M430" s="650"/>
      <c r="N430" s="650"/>
      <c r="O430" s="650"/>
      <c r="P430" s="650"/>
      <c r="Q430" s="650"/>
      <c r="R430" s="650"/>
      <c r="S430" s="650"/>
      <c r="T430" s="650"/>
      <c r="U430" s="650"/>
      <c r="V430" s="650"/>
      <c r="W430" s="650"/>
      <c r="X430" s="650"/>
      <c r="Y430" s="650"/>
      <c r="Z430" s="650"/>
      <c r="AA430" s="650"/>
      <c r="AB430" s="650"/>
      <c r="AC430" s="650"/>
      <c r="AD430" s="650"/>
      <c r="AE430" s="650"/>
      <c r="AF430" s="650"/>
      <c r="AG430" s="650"/>
      <c r="AH430" s="650"/>
      <c r="AI430" s="650"/>
      <c r="AJ430" s="650"/>
      <c r="AK430" s="650"/>
      <c r="AL430" s="650"/>
      <c r="AM430" s="650"/>
      <c r="AN430" s="650"/>
      <c r="AO430" s="650"/>
      <c r="AP430" s="650"/>
      <c r="AQ430" s="650"/>
      <c r="AR430" s="650"/>
      <c r="AS430" s="650"/>
      <c r="AT430" s="650"/>
      <c r="AU430" s="650"/>
      <c r="AV430" s="650"/>
      <c r="AW430" s="650"/>
      <c r="AX430" s="650"/>
      <c r="AY430" s="650"/>
    </row>
    <row r="431" ht="21.75" customHeight="1">
      <c r="A431" s="650"/>
      <c r="B431" s="650"/>
      <c r="C431" s="650"/>
      <c r="D431" s="650"/>
      <c r="E431" s="650"/>
      <c r="F431" s="650"/>
      <c r="G431" s="650"/>
      <c r="H431" s="650"/>
      <c r="I431" s="650"/>
      <c r="J431" s="650"/>
      <c r="K431" s="650"/>
      <c r="L431" s="650"/>
      <c r="M431" s="650"/>
      <c r="N431" s="650"/>
      <c r="O431" s="650"/>
      <c r="P431" s="650"/>
      <c r="Q431" s="650"/>
      <c r="R431" s="650"/>
      <c r="S431" s="650"/>
      <c r="T431" s="650"/>
      <c r="U431" s="650"/>
      <c r="V431" s="650"/>
      <c r="W431" s="650"/>
      <c r="X431" s="650"/>
      <c r="Y431" s="650"/>
      <c r="Z431" s="650"/>
      <c r="AA431" s="650"/>
      <c r="AB431" s="650"/>
      <c r="AC431" s="650"/>
      <c r="AD431" s="650"/>
      <c r="AE431" s="650"/>
      <c r="AF431" s="650"/>
      <c r="AG431" s="650"/>
      <c r="AH431" s="650"/>
      <c r="AI431" s="650"/>
      <c r="AJ431" s="650"/>
      <c r="AK431" s="650"/>
      <c r="AL431" s="650"/>
      <c r="AM431" s="650"/>
      <c r="AN431" s="650"/>
      <c r="AO431" s="650"/>
      <c r="AP431" s="650"/>
      <c r="AQ431" s="650"/>
      <c r="AR431" s="650"/>
      <c r="AS431" s="650"/>
      <c r="AT431" s="650"/>
      <c r="AU431" s="650"/>
      <c r="AV431" s="650"/>
      <c r="AW431" s="650"/>
      <c r="AX431" s="650"/>
      <c r="AY431" s="650"/>
    </row>
    <row r="432" ht="21.75" customHeight="1">
      <c r="A432" s="650"/>
      <c r="B432" s="650"/>
      <c r="C432" s="650"/>
      <c r="D432" s="650"/>
      <c r="E432" s="650"/>
      <c r="F432" s="650"/>
      <c r="G432" s="650"/>
      <c r="H432" s="650"/>
      <c r="I432" s="650"/>
      <c r="J432" s="650"/>
      <c r="K432" s="650"/>
      <c r="L432" s="650"/>
      <c r="M432" s="650"/>
      <c r="N432" s="650"/>
      <c r="O432" s="650"/>
      <c r="P432" s="650"/>
      <c r="Q432" s="650"/>
      <c r="R432" s="650"/>
      <c r="S432" s="650"/>
      <c r="T432" s="650"/>
      <c r="U432" s="650"/>
      <c r="V432" s="650"/>
      <c r="W432" s="650"/>
      <c r="X432" s="650"/>
      <c r="Y432" s="650"/>
      <c r="Z432" s="650"/>
      <c r="AA432" s="650"/>
      <c r="AB432" s="650"/>
      <c r="AC432" s="650"/>
      <c r="AD432" s="650"/>
      <c r="AE432" s="650"/>
      <c r="AF432" s="650"/>
      <c r="AG432" s="650"/>
      <c r="AH432" s="650"/>
      <c r="AI432" s="650"/>
      <c r="AJ432" s="650"/>
      <c r="AK432" s="650"/>
      <c r="AL432" s="650"/>
      <c r="AM432" s="650"/>
      <c r="AN432" s="650"/>
      <c r="AO432" s="650"/>
      <c r="AP432" s="650"/>
      <c r="AQ432" s="650"/>
      <c r="AR432" s="650"/>
      <c r="AS432" s="650"/>
      <c r="AT432" s="650"/>
      <c r="AU432" s="650"/>
      <c r="AV432" s="650"/>
      <c r="AW432" s="650"/>
      <c r="AX432" s="650"/>
      <c r="AY432" s="650"/>
    </row>
    <row r="433" ht="21.75" customHeight="1">
      <c r="A433" s="650"/>
      <c r="B433" s="650"/>
      <c r="C433" s="650"/>
      <c r="D433" s="650"/>
      <c r="E433" s="650"/>
      <c r="F433" s="650"/>
      <c r="G433" s="650"/>
      <c r="H433" s="650"/>
      <c r="I433" s="650"/>
      <c r="J433" s="650"/>
      <c r="K433" s="650"/>
      <c r="L433" s="650"/>
      <c r="M433" s="650"/>
      <c r="N433" s="650"/>
      <c r="O433" s="650"/>
      <c r="P433" s="650"/>
      <c r="Q433" s="650"/>
      <c r="R433" s="650"/>
      <c r="S433" s="650"/>
      <c r="T433" s="650"/>
      <c r="U433" s="650"/>
      <c r="V433" s="650"/>
      <c r="W433" s="650"/>
      <c r="X433" s="650"/>
      <c r="Y433" s="650"/>
      <c r="Z433" s="650"/>
      <c r="AA433" s="650"/>
      <c r="AB433" s="650"/>
      <c r="AC433" s="650"/>
      <c r="AD433" s="650"/>
      <c r="AE433" s="650"/>
      <c r="AF433" s="650"/>
      <c r="AG433" s="650"/>
      <c r="AH433" s="650"/>
      <c r="AI433" s="650"/>
      <c r="AJ433" s="650"/>
      <c r="AK433" s="650"/>
      <c r="AL433" s="650"/>
      <c r="AM433" s="650"/>
      <c r="AN433" s="650"/>
      <c r="AO433" s="650"/>
      <c r="AP433" s="650"/>
      <c r="AQ433" s="650"/>
      <c r="AR433" s="650"/>
      <c r="AS433" s="650"/>
      <c r="AT433" s="650"/>
      <c r="AU433" s="650"/>
      <c r="AV433" s="650"/>
      <c r="AW433" s="650"/>
      <c r="AX433" s="650"/>
      <c r="AY433" s="650"/>
    </row>
    <row r="434" ht="21.75" customHeight="1">
      <c r="A434" s="650"/>
      <c r="B434" s="650"/>
      <c r="C434" s="650"/>
      <c r="D434" s="650"/>
      <c r="E434" s="650"/>
      <c r="F434" s="650"/>
      <c r="G434" s="650"/>
      <c r="H434" s="650"/>
      <c r="I434" s="650"/>
      <c r="J434" s="650"/>
      <c r="K434" s="650"/>
      <c r="L434" s="650"/>
      <c r="M434" s="650"/>
      <c r="N434" s="650"/>
      <c r="O434" s="650"/>
      <c r="P434" s="650"/>
      <c r="Q434" s="650"/>
      <c r="R434" s="650"/>
      <c r="S434" s="650"/>
      <c r="T434" s="650"/>
      <c r="U434" s="650"/>
      <c r="V434" s="650"/>
      <c r="W434" s="650"/>
      <c r="X434" s="650"/>
      <c r="Y434" s="650"/>
      <c r="Z434" s="650"/>
      <c r="AA434" s="650"/>
      <c r="AB434" s="650"/>
      <c r="AC434" s="650"/>
      <c r="AD434" s="650"/>
      <c r="AE434" s="650"/>
      <c r="AF434" s="650"/>
      <c r="AG434" s="650"/>
      <c r="AH434" s="650"/>
      <c r="AI434" s="650"/>
      <c r="AJ434" s="650"/>
      <c r="AK434" s="650"/>
      <c r="AL434" s="650"/>
      <c r="AM434" s="650"/>
      <c r="AN434" s="650"/>
      <c r="AO434" s="650"/>
      <c r="AP434" s="650"/>
      <c r="AQ434" s="650"/>
      <c r="AR434" s="650"/>
      <c r="AS434" s="650"/>
      <c r="AT434" s="650"/>
      <c r="AU434" s="650"/>
      <c r="AV434" s="650"/>
      <c r="AW434" s="650"/>
      <c r="AX434" s="650"/>
      <c r="AY434" s="650"/>
    </row>
    <row r="435" ht="21.75" customHeight="1">
      <c r="A435" s="650"/>
      <c r="B435" s="650"/>
      <c r="C435" s="650"/>
      <c r="D435" s="650"/>
      <c r="E435" s="650"/>
      <c r="F435" s="650"/>
      <c r="G435" s="650"/>
      <c r="H435" s="650"/>
      <c r="I435" s="650"/>
      <c r="J435" s="650"/>
      <c r="K435" s="650"/>
      <c r="L435" s="650"/>
      <c r="M435" s="650"/>
      <c r="N435" s="650"/>
      <c r="O435" s="650"/>
      <c r="P435" s="650"/>
      <c r="Q435" s="650"/>
      <c r="R435" s="650"/>
      <c r="S435" s="650"/>
      <c r="T435" s="650"/>
      <c r="U435" s="650"/>
      <c r="V435" s="650"/>
      <c r="W435" s="650"/>
      <c r="X435" s="650"/>
      <c r="Y435" s="650"/>
      <c r="Z435" s="650"/>
      <c r="AA435" s="650"/>
      <c r="AB435" s="650"/>
      <c r="AC435" s="650"/>
      <c r="AD435" s="650"/>
      <c r="AE435" s="650"/>
      <c r="AF435" s="650"/>
      <c r="AG435" s="650"/>
      <c r="AH435" s="650"/>
      <c r="AI435" s="650"/>
      <c r="AJ435" s="650"/>
      <c r="AK435" s="650"/>
      <c r="AL435" s="650"/>
      <c r="AM435" s="650"/>
      <c r="AN435" s="650"/>
      <c r="AO435" s="650"/>
      <c r="AP435" s="650"/>
      <c r="AQ435" s="650"/>
      <c r="AR435" s="650"/>
      <c r="AS435" s="650"/>
      <c r="AT435" s="650"/>
      <c r="AU435" s="650"/>
      <c r="AV435" s="650"/>
      <c r="AW435" s="650"/>
      <c r="AX435" s="650"/>
      <c r="AY435" s="650"/>
    </row>
    <row r="436" ht="21.75" customHeight="1">
      <c r="A436" s="650"/>
      <c r="B436" s="650"/>
      <c r="C436" s="650"/>
      <c r="D436" s="650"/>
      <c r="E436" s="650"/>
      <c r="F436" s="650"/>
      <c r="G436" s="650"/>
      <c r="H436" s="650"/>
      <c r="I436" s="650"/>
      <c r="J436" s="650"/>
      <c r="K436" s="650"/>
      <c r="L436" s="650"/>
      <c r="M436" s="650"/>
      <c r="N436" s="650"/>
      <c r="O436" s="650"/>
      <c r="P436" s="650"/>
      <c r="Q436" s="650"/>
      <c r="R436" s="650"/>
      <c r="S436" s="650"/>
      <c r="T436" s="650"/>
      <c r="U436" s="650"/>
      <c r="V436" s="650"/>
      <c r="W436" s="650"/>
      <c r="X436" s="650"/>
      <c r="Y436" s="650"/>
      <c r="Z436" s="650"/>
      <c r="AA436" s="650"/>
      <c r="AB436" s="650"/>
      <c r="AC436" s="650"/>
      <c r="AD436" s="650"/>
      <c r="AE436" s="650"/>
      <c r="AF436" s="650"/>
      <c r="AG436" s="650"/>
      <c r="AH436" s="650"/>
      <c r="AI436" s="650"/>
      <c r="AJ436" s="650"/>
      <c r="AK436" s="650"/>
      <c r="AL436" s="650"/>
      <c r="AM436" s="650"/>
      <c r="AN436" s="650"/>
      <c r="AO436" s="650"/>
      <c r="AP436" s="650"/>
      <c r="AQ436" s="650"/>
      <c r="AR436" s="650"/>
      <c r="AS436" s="650"/>
      <c r="AT436" s="650"/>
      <c r="AU436" s="650"/>
      <c r="AV436" s="650"/>
      <c r="AW436" s="650"/>
      <c r="AX436" s="650"/>
      <c r="AY436" s="650"/>
    </row>
    <row r="437" ht="21.75" customHeight="1">
      <c r="A437" s="650"/>
      <c r="B437" s="650"/>
      <c r="C437" s="650"/>
      <c r="D437" s="650"/>
      <c r="E437" s="650"/>
      <c r="F437" s="650"/>
      <c r="G437" s="650"/>
      <c r="H437" s="650"/>
      <c r="I437" s="650"/>
      <c r="J437" s="650"/>
      <c r="K437" s="650"/>
      <c r="L437" s="650"/>
      <c r="M437" s="650"/>
      <c r="N437" s="650"/>
      <c r="O437" s="650"/>
      <c r="P437" s="650"/>
      <c r="Q437" s="650"/>
      <c r="R437" s="650"/>
      <c r="S437" s="650"/>
      <c r="T437" s="650"/>
      <c r="U437" s="650"/>
      <c r="V437" s="650"/>
      <c r="W437" s="650"/>
      <c r="X437" s="650"/>
      <c r="Y437" s="650"/>
      <c r="Z437" s="650"/>
      <c r="AA437" s="650"/>
      <c r="AB437" s="650"/>
      <c r="AC437" s="650"/>
      <c r="AD437" s="650"/>
      <c r="AE437" s="650"/>
      <c r="AF437" s="650"/>
      <c r="AG437" s="650"/>
      <c r="AH437" s="650"/>
      <c r="AI437" s="650"/>
      <c r="AJ437" s="650"/>
      <c r="AK437" s="650"/>
      <c r="AL437" s="650"/>
      <c r="AM437" s="650"/>
      <c r="AN437" s="650"/>
      <c r="AO437" s="650"/>
      <c r="AP437" s="650"/>
      <c r="AQ437" s="650"/>
      <c r="AR437" s="650"/>
      <c r="AS437" s="650"/>
      <c r="AT437" s="650"/>
      <c r="AU437" s="650"/>
      <c r="AV437" s="650"/>
      <c r="AW437" s="650"/>
      <c r="AX437" s="650"/>
      <c r="AY437" s="650"/>
    </row>
    <row r="438" ht="21.75" customHeight="1">
      <c r="A438" s="650"/>
      <c r="B438" s="650"/>
      <c r="C438" s="650"/>
      <c r="D438" s="650"/>
      <c r="E438" s="650"/>
      <c r="F438" s="650"/>
      <c r="G438" s="650"/>
      <c r="H438" s="650"/>
      <c r="I438" s="650"/>
      <c r="J438" s="650"/>
      <c r="K438" s="650"/>
      <c r="L438" s="650"/>
      <c r="M438" s="650"/>
      <c r="N438" s="650"/>
      <c r="O438" s="650"/>
      <c r="P438" s="650"/>
      <c r="Q438" s="650"/>
      <c r="R438" s="650"/>
      <c r="S438" s="650"/>
      <c r="T438" s="650"/>
      <c r="U438" s="650"/>
      <c r="V438" s="650"/>
      <c r="W438" s="650"/>
      <c r="X438" s="650"/>
      <c r="Y438" s="650"/>
      <c r="Z438" s="650"/>
      <c r="AA438" s="650"/>
      <c r="AB438" s="650"/>
      <c r="AC438" s="650"/>
      <c r="AD438" s="650"/>
      <c r="AE438" s="650"/>
      <c r="AF438" s="650"/>
      <c r="AG438" s="650"/>
      <c r="AH438" s="650"/>
      <c r="AI438" s="650"/>
      <c r="AJ438" s="650"/>
      <c r="AK438" s="650"/>
      <c r="AL438" s="650"/>
      <c r="AM438" s="650"/>
      <c r="AN438" s="650"/>
      <c r="AO438" s="650"/>
      <c r="AP438" s="650"/>
      <c r="AQ438" s="650"/>
      <c r="AR438" s="650"/>
      <c r="AS438" s="650"/>
      <c r="AT438" s="650"/>
      <c r="AU438" s="650"/>
      <c r="AV438" s="650"/>
      <c r="AW438" s="650"/>
      <c r="AX438" s="650"/>
      <c r="AY438" s="650"/>
    </row>
    <row r="439" ht="21.75" customHeight="1">
      <c r="A439" s="650"/>
      <c r="B439" s="650"/>
      <c r="C439" s="650"/>
      <c r="D439" s="650"/>
      <c r="E439" s="650"/>
      <c r="F439" s="650"/>
      <c r="G439" s="650"/>
      <c r="H439" s="650"/>
      <c r="I439" s="650"/>
      <c r="J439" s="650"/>
      <c r="K439" s="650"/>
      <c r="L439" s="650"/>
      <c r="M439" s="650"/>
      <c r="N439" s="650"/>
      <c r="O439" s="650"/>
      <c r="P439" s="650"/>
      <c r="Q439" s="650"/>
      <c r="R439" s="650"/>
      <c r="S439" s="650"/>
      <c r="T439" s="650"/>
      <c r="U439" s="650"/>
      <c r="V439" s="650"/>
      <c r="W439" s="650"/>
      <c r="X439" s="650"/>
      <c r="Y439" s="650"/>
      <c r="Z439" s="650"/>
      <c r="AA439" s="650"/>
      <c r="AB439" s="650"/>
      <c r="AC439" s="650"/>
      <c r="AD439" s="650"/>
      <c r="AE439" s="650"/>
      <c r="AF439" s="650"/>
      <c r="AG439" s="650"/>
      <c r="AH439" s="650"/>
      <c r="AI439" s="650"/>
      <c r="AJ439" s="650"/>
      <c r="AK439" s="650"/>
      <c r="AL439" s="650"/>
      <c r="AM439" s="650"/>
      <c r="AN439" s="650"/>
      <c r="AO439" s="650"/>
      <c r="AP439" s="650"/>
      <c r="AQ439" s="650"/>
      <c r="AR439" s="650"/>
      <c r="AS439" s="650"/>
      <c r="AT439" s="650"/>
      <c r="AU439" s="650"/>
      <c r="AV439" s="650"/>
      <c r="AW439" s="650"/>
      <c r="AX439" s="650"/>
      <c r="AY439" s="650"/>
    </row>
    <row r="440" ht="21.75" customHeight="1">
      <c r="A440" s="650"/>
      <c r="B440" s="650"/>
      <c r="C440" s="650"/>
      <c r="D440" s="650"/>
      <c r="E440" s="650"/>
      <c r="F440" s="650"/>
      <c r="G440" s="650"/>
      <c r="H440" s="650"/>
      <c r="I440" s="650"/>
      <c r="J440" s="650"/>
      <c r="K440" s="650"/>
      <c r="L440" s="650"/>
      <c r="M440" s="650"/>
      <c r="N440" s="650"/>
      <c r="O440" s="650"/>
      <c r="P440" s="650"/>
      <c r="Q440" s="650"/>
      <c r="R440" s="650"/>
      <c r="S440" s="650"/>
      <c r="T440" s="650"/>
      <c r="U440" s="650"/>
      <c r="V440" s="650"/>
      <c r="W440" s="650"/>
      <c r="X440" s="650"/>
      <c r="Y440" s="650"/>
      <c r="Z440" s="650"/>
      <c r="AA440" s="650"/>
      <c r="AB440" s="650"/>
      <c r="AC440" s="650"/>
      <c r="AD440" s="650"/>
      <c r="AE440" s="650"/>
      <c r="AF440" s="650"/>
      <c r="AG440" s="650"/>
      <c r="AH440" s="650"/>
      <c r="AI440" s="650"/>
      <c r="AJ440" s="650"/>
      <c r="AK440" s="650"/>
      <c r="AL440" s="650"/>
      <c r="AM440" s="650"/>
      <c r="AN440" s="650"/>
      <c r="AO440" s="650"/>
      <c r="AP440" s="650"/>
      <c r="AQ440" s="650"/>
      <c r="AR440" s="650"/>
      <c r="AS440" s="650"/>
      <c r="AT440" s="650"/>
      <c r="AU440" s="650"/>
      <c r="AV440" s="650"/>
      <c r="AW440" s="650"/>
      <c r="AX440" s="650"/>
      <c r="AY440" s="650"/>
    </row>
    <row r="441" ht="21.75" customHeight="1">
      <c r="A441" s="650"/>
      <c r="B441" s="650"/>
      <c r="C441" s="650"/>
      <c r="D441" s="650"/>
      <c r="E441" s="650"/>
      <c r="F441" s="650"/>
      <c r="G441" s="650"/>
      <c r="H441" s="650"/>
      <c r="I441" s="650"/>
      <c r="J441" s="650"/>
      <c r="K441" s="650"/>
      <c r="L441" s="650"/>
      <c r="M441" s="650"/>
      <c r="N441" s="650"/>
      <c r="O441" s="650"/>
      <c r="P441" s="650"/>
      <c r="Q441" s="650"/>
      <c r="R441" s="650"/>
      <c r="S441" s="650"/>
      <c r="T441" s="650"/>
      <c r="U441" s="650"/>
      <c r="V441" s="650"/>
      <c r="W441" s="650"/>
      <c r="X441" s="650"/>
      <c r="Y441" s="650"/>
      <c r="Z441" s="650"/>
      <c r="AA441" s="650"/>
      <c r="AB441" s="650"/>
      <c r="AC441" s="650"/>
      <c r="AD441" s="650"/>
      <c r="AE441" s="650"/>
      <c r="AF441" s="650"/>
      <c r="AG441" s="650"/>
      <c r="AH441" s="650"/>
      <c r="AI441" s="650"/>
      <c r="AJ441" s="650"/>
      <c r="AK441" s="650"/>
      <c r="AL441" s="650"/>
      <c r="AM441" s="650"/>
      <c r="AN441" s="650"/>
      <c r="AO441" s="650"/>
      <c r="AP441" s="650"/>
      <c r="AQ441" s="650"/>
      <c r="AR441" s="650"/>
      <c r="AS441" s="650"/>
      <c r="AT441" s="650"/>
      <c r="AU441" s="650"/>
      <c r="AV441" s="650"/>
      <c r="AW441" s="650"/>
      <c r="AX441" s="650"/>
      <c r="AY441" s="650"/>
    </row>
    <row r="442" ht="21.75" customHeight="1">
      <c r="A442" s="650"/>
      <c r="B442" s="650"/>
      <c r="C442" s="650"/>
      <c r="D442" s="650"/>
      <c r="E442" s="650"/>
      <c r="F442" s="650"/>
      <c r="G442" s="650"/>
      <c r="H442" s="650"/>
      <c r="I442" s="650"/>
      <c r="J442" s="650"/>
      <c r="K442" s="650"/>
      <c r="L442" s="650"/>
      <c r="M442" s="650"/>
      <c r="N442" s="650"/>
      <c r="O442" s="650"/>
      <c r="P442" s="650"/>
      <c r="Q442" s="650"/>
      <c r="R442" s="650"/>
      <c r="S442" s="650"/>
      <c r="T442" s="650"/>
      <c r="U442" s="650"/>
      <c r="V442" s="650"/>
      <c r="W442" s="650"/>
      <c r="X442" s="650"/>
      <c r="Y442" s="650"/>
      <c r="Z442" s="650"/>
      <c r="AA442" s="650"/>
      <c r="AB442" s="650"/>
      <c r="AC442" s="650"/>
      <c r="AD442" s="650"/>
      <c r="AE442" s="650"/>
      <c r="AF442" s="650"/>
      <c r="AG442" s="650"/>
      <c r="AH442" s="650"/>
      <c r="AI442" s="650"/>
      <c r="AJ442" s="650"/>
      <c r="AK442" s="650"/>
      <c r="AL442" s="650"/>
      <c r="AM442" s="650"/>
      <c r="AN442" s="650"/>
      <c r="AO442" s="650"/>
      <c r="AP442" s="650"/>
      <c r="AQ442" s="650"/>
      <c r="AR442" s="650"/>
      <c r="AS442" s="650"/>
      <c r="AT442" s="650"/>
      <c r="AU442" s="650"/>
      <c r="AV442" s="650"/>
      <c r="AW442" s="650"/>
      <c r="AX442" s="650"/>
      <c r="AY442" s="650"/>
    </row>
    <row r="443" ht="21.75" customHeight="1">
      <c r="A443" s="650"/>
      <c r="B443" s="650"/>
      <c r="C443" s="650"/>
      <c r="D443" s="650"/>
      <c r="E443" s="650"/>
      <c r="F443" s="650"/>
      <c r="G443" s="650"/>
      <c r="H443" s="650"/>
      <c r="I443" s="650"/>
      <c r="J443" s="650"/>
      <c r="K443" s="650"/>
      <c r="L443" s="650"/>
      <c r="M443" s="650"/>
      <c r="N443" s="650"/>
      <c r="O443" s="650"/>
      <c r="P443" s="650"/>
      <c r="Q443" s="650"/>
      <c r="R443" s="650"/>
      <c r="S443" s="650"/>
      <c r="T443" s="650"/>
      <c r="U443" s="650"/>
      <c r="V443" s="650"/>
      <c r="W443" s="650"/>
      <c r="X443" s="650"/>
      <c r="Y443" s="650"/>
      <c r="Z443" s="650"/>
      <c r="AA443" s="650"/>
      <c r="AB443" s="650"/>
      <c r="AC443" s="650"/>
      <c r="AD443" s="650"/>
      <c r="AE443" s="650"/>
      <c r="AF443" s="650"/>
      <c r="AG443" s="650"/>
      <c r="AH443" s="650"/>
      <c r="AI443" s="650"/>
      <c r="AJ443" s="650"/>
      <c r="AK443" s="650"/>
      <c r="AL443" s="650"/>
      <c r="AM443" s="650"/>
      <c r="AN443" s="650"/>
      <c r="AO443" s="650"/>
      <c r="AP443" s="650"/>
      <c r="AQ443" s="650"/>
      <c r="AR443" s="650"/>
      <c r="AS443" s="650"/>
      <c r="AT443" s="650"/>
      <c r="AU443" s="650"/>
      <c r="AV443" s="650"/>
      <c r="AW443" s="650"/>
      <c r="AX443" s="650"/>
      <c r="AY443" s="650"/>
    </row>
    <row r="444" ht="21.75" customHeight="1">
      <c r="A444" s="650"/>
      <c r="B444" s="650"/>
      <c r="C444" s="650"/>
      <c r="D444" s="650"/>
      <c r="E444" s="650"/>
      <c r="F444" s="650"/>
      <c r="G444" s="650"/>
      <c r="H444" s="650"/>
      <c r="I444" s="650"/>
      <c r="J444" s="650"/>
      <c r="K444" s="650"/>
      <c r="L444" s="650"/>
      <c r="M444" s="650"/>
      <c r="N444" s="650"/>
      <c r="O444" s="650"/>
      <c r="P444" s="650"/>
      <c r="Q444" s="650"/>
      <c r="R444" s="650"/>
      <c r="S444" s="650"/>
      <c r="T444" s="650"/>
      <c r="U444" s="650"/>
      <c r="V444" s="650"/>
      <c r="W444" s="650"/>
      <c r="X444" s="650"/>
      <c r="Y444" s="650"/>
      <c r="Z444" s="650"/>
      <c r="AA444" s="650"/>
      <c r="AB444" s="650"/>
      <c r="AC444" s="650"/>
      <c r="AD444" s="650"/>
      <c r="AE444" s="650"/>
      <c r="AF444" s="650"/>
      <c r="AG444" s="650"/>
      <c r="AH444" s="650"/>
      <c r="AI444" s="650"/>
      <c r="AJ444" s="650"/>
      <c r="AK444" s="650"/>
      <c r="AL444" s="650"/>
      <c r="AM444" s="650"/>
      <c r="AN444" s="650"/>
      <c r="AO444" s="650"/>
      <c r="AP444" s="650"/>
      <c r="AQ444" s="650"/>
      <c r="AR444" s="650"/>
      <c r="AS444" s="650"/>
      <c r="AT444" s="650"/>
      <c r="AU444" s="650"/>
      <c r="AV444" s="650"/>
      <c r="AW444" s="650"/>
      <c r="AX444" s="650"/>
      <c r="AY444" s="650"/>
    </row>
    <row r="445" ht="21.75" customHeight="1">
      <c r="A445" s="650"/>
      <c r="B445" s="650"/>
      <c r="C445" s="650"/>
      <c r="D445" s="650"/>
      <c r="E445" s="650"/>
      <c r="F445" s="650"/>
      <c r="G445" s="650"/>
      <c r="H445" s="650"/>
      <c r="I445" s="650"/>
      <c r="J445" s="650"/>
      <c r="K445" s="650"/>
      <c r="L445" s="650"/>
      <c r="M445" s="650"/>
      <c r="N445" s="650"/>
      <c r="O445" s="650"/>
      <c r="P445" s="650"/>
      <c r="Q445" s="650"/>
      <c r="R445" s="650"/>
      <c r="S445" s="650"/>
      <c r="T445" s="650"/>
      <c r="U445" s="650"/>
      <c r="V445" s="650"/>
      <c r="W445" s="650"/>
      <c r="X445" s="650"/>
      <c r="Y445" s="650"/>
      <c r="Z445" s="650"/>
      <c r="AA445" s="650"/>
      <c r="AB445" s="650"/>
      <c r="AC445" s="650"/>
      <c r="AD445" s="650"/>
      <c r="AE445" s="650"/>
      <c r="AF445" s="650"/>
      <c r="AG445" s="650"/>
      <c r="AH445" s="650"/>
      <c r="AI445" s="650"/>
      <c r="AJ445" s="650"/>
      <c r="AK445" s="650"/>
      <c r="AL445" s="650"/>
      <c r="AM445" s="650"/>
      <c r="AN445" s="650"/>
      <c r="AO445" s="650"/>
      <c r="AP445" s="650"/>
      <c r="AQ445" s="650"/>
      <c r="AR445" s="650"/>
      <c r="AS445" s="650"/>
      <c r="AT445" s="650"/>
      <c r="AU445" s="650"/>
      <c r="AV445" s="650"/>
      <c r="AW445" s="650"/>
      <c r="AX445" s="650"/>
      <c r="AY445" s="650"/>
    </row>
    <row r="446" ht="21.75" customHeight="1">
      <c r="A446" s="650"/>
      <c r="B446" s="650"/>
      <c r="C446" s="650"/>
      <c r="D446" s="650"/>
      <c r="E446" s="650"/>
      <c r="F446" s="650"/>
      <c r="G446" s="650"/>
      <c r="H446" s="650"/>
      <c r="I446" s="650"/>
      <c r="J446" s="650"/>
      <c r="K446" s="650"/>
      <c r="L446" s="650"/>
      <c r="M446" s="650"/>
      <c r="N446" s="650"/>
      <c r="O446" s="650"/>
      <c r="P446" s="650"/>
      <c r="Q446" s="650"/>
      <c r="R446" s="650"/>
      <c r="S446" s="650"/>
      <c r="T446" s="650"/>
      <c r="U446" s="650"/>
      <c r="V446" s="650"/>
      <c r="W446" s="650"/>
      <c r="X446" s="650"/>
      <c r="Y446" s="650"/>
      <c r="Z446" s="650"/>
      <c r="AA446" s="650"/>
      <c r="AB446" s="650"/>
      <c r="AC446" s="650"/>
      <c r="AD446" s="650"/>
      <c r="AE446" s="650"/>
      <c r="AF446" s="650"/>
      <c r="AG446" s="650"/>
      <c r="AH446" s="650"/>
      <c r="AI446" s="650"/>
      <c r="AJ446" s="650"/>
      <c r="AK446" s="650"/>
      <c r="AL446" s="650"/>
      <c r="AM446" s="650"/>
      <c r="AN446" s="650"/>
      <c r="AO446" s="650"/>
      <c r="AP446" s="650"/>
      <c r="AQ446" s="650"/>
      <c r="AR446" s="650"/>
      <c r="AS446" s="650"/>
      <c r="AT446" s="650"/>
      <c r="AU446" s="650"/>
      <c r="AV446" s="650"/>
      <c r="AW446" s="650"/>
      <c r="AX446" s="650"/>
      <c r="AY446" s="650"/>
    </row>
    <row r="447" ht="21.75" customHeight="1">
      <c r="A447" s="650"/>
      <c r="B447" s="650"/>
      <c r="C447" s="650"/>
      <c r="D447" s="650"/>
      <c r="E447" s="650"/>
      <c r="F447" s="650"/>
      <c r="G447" s="650"/>
      <c r="H447" s="650"/>
      <c r="I447" s="650"/>
      <c r="J447" s="650"/>
      <c r="K447" s="650"/>
      <c r="L447" s="650"/>
      <c r="M447" s="650"/>
      <c r="N447" s="650"/>
      <c r="O447" s="650"/>
      <c r="P447" s="650"/>
      <c r="Q447" s="650"/>
      <c r="R447" s="650"/>
      <c r="S447" s="650"/>
      <c r="T447" s="650"/>
      <c r="U447" s="650"/>
      <c r="V447" s="650"/>
      <c r="W447" s="650"/>
      <c r="X447" s="650"/>
      <c r="Y447" s="650"/>
      <c r="Z447" s="650"/>
      <c r="AA447" s="650"/>
      <c r="AB447" s="650"/>
      <c r="AC447" s="650"/>
      <c r="AD447" s="650"/>
      <c r="AE447" s="650"/>
      <c r="AF447" s="650"/>
      <c r="AG447" s="650"/>
      <c r="AH447" s="650"/>
      <c r="AI447" s="650"/>
      <c r="AJ447" s="650"/>
      <c r="AK447" s="650"/>
      <c r="AL447" s="650"/>
      <c r="AM447" s="650"/>
      <c r="AN447" s="650"/>
      <c r="AO447" s="650"/>
      <c r="AP447" s="650"/>
      <c r="AQ447" s="650"/>
      <c r="AR447" s="650"/>
      <c r="AS447" s="650"/>
      <c r="AT447" s="650"/>
      <c r="AU447" s="650"/>
      <c r="AV447" s="650"/>
      <c r="AW447" s="650"/>
      <c r="AX447" s="650"/>
      <c r="AY447" s="650"/>
    </row>
    <row r="448" ht="21.75" customHeight="1">
      <c r="A448" s="650"/>
      <c r="B448" s="650"/>
      <c r="C448" s="650"/>
      <c r="D448" s="650"/>
      <c r="E448" s="650"/>
      <c r="F448" s="650"/>
      <c r="G448" s="650"/>
      <c r="H448" s="650"/>
      <c r="I448" s="650"/>
      <c r="J448" s="650"/>
      <c r="K448" s="650"/>
      <c r="L448" s="650"/>
      <c r="M448" s="650"/>
      <c r="N448" s="650"/>
      <c r="O448" s="650"/>
      <c r="P448" s="650"/>
      <c r="Q448" s="650"/>
      <c r="R448" s="650"/>
      <c r="S448" s="650"/>
      <c r="T448" s="650"/>
      <c r="U448" s="650"/>
      <c r="V448" s="650"/>
      <c r="W448" s="650"/>
      <c r="X448" s="650"/>
      <c r="Y448" s="650"/>
      <c r="Z448" s="650"/>
      <c r="AA448" s="650"/>
      <c r="AB448" s="650"/>
      <c r="AC448" s="650"/>
      <c r="AD448" s="650"/>
      <c r="AE448" s="650"/>
      <c r="AF448" s="650"/>
      <c r="AG448" s="650"/>
      <c r="AH448" s="650"/>
      <c r="AI448" s="650"/>
      <c r="AJ448" s="650"/>
      <c r="AK448" s="650"/>
      <c r="AL448" s="650"/>
      <c r="AM448" s="650"/>
      <c r="AN448" s="650"/>
      <c r="AO448" s="650"/>
      <c r="AP448" s="650"/>
      <c r="AQ448" s="650"/>
      <c r="AR448" s="650"/>
      <c r="AS448" s="650"/>
      <c r="AT448" s="650"/>
      <c r="AU448" s="650"/>
      <c r="AV448" s="650"/>
      <c r="AW448" s="650"/>
      <c r="AX448" s="650"/>
      <c r="AY448" s="650"/>
    </row>
    <row r="449" ht="21.75" customHeight="1">
      <c r="A449" s="650"/>
      <c r="B449" s="650"/>
      <c r="C449" s="650"/>
      <c r="D449" s="650"/>
      <c r="E449" s="650"/>
      <c r="F449" s="650"/>
      <c r="G449" s="650"/>
      <c r="H449" s="650"/>
      <c r="I449" s="650"/>
      <c r="J449" s="650"/>
      <c r="K449" s="650"/>
      <c r="L449" s="650"/>
      <c r="M449" s="650"/>
      <c r="N449" s="650"/>
      <c r="O449" s="650"/>
      <c r="P449" s="650"/>
      <c r="Q449" s="650"/>
      <c r="R449" s="650"/>
      <c r="S449" s="650"/>
      <c r="T449" s="650"/>
      <c r="U449" s="650"/>
      <c r="V449" s="650"/>
      <c r="W449" s="650"/>
      <c r="X449" s="650"/>
      <c r="Y449" s="650"/>
      <c r="Z449" s="650"/>
      <c r="AA449" s="650"/>
      <c r="AB449" s="650"/>
      <c r="AC449" s="650"/>
      <c r="AD449" s="650"/>
      <c r="AE449" s="650"/>
      <c r="AF449" s="650"/>
      <c r="AG449" s="650"/>
      <c r="AH449" s="650"/>
      <c r="AI449" s="650"/>
      <c r="AJ449" s="650"/>
      <c r="AK449" s="650"/>
      <c r="AL449" s="650"/>
      <c r="AM449" s="650"/>
      <c r="AN449" s="650"/>
      <c r="AO449" s="650"/>
      <c r="AP449" s="650"/>
      <c r="AQ449" s="650"/>
      <c r="AR449" s="650"/>
      <c r="AS449" s="650"/>
      <c r="AT449" s="650"/>
      <c r="AU449" s="650"/>
      <c r="AV449" s="650"/>
      <c r="AW449" s="650"/>
      <c r="AX449" s="650"/>
      <c r="AY449" s="650"/>
    </row>
    <row r="450" ht="21.75" customHeight="1">
      <c r="A450" s="650"/>
      <c r="B450" s="650"/>
      <c r="C450" s="650"/>
      <c r="D450" s="650"/>
      <c r="E450" s="650"/>
      <c r="F450" s="650"/>
      <c r="G450" s="650"/>
      <c r="H450" s="650"/>
      <c r="I450" s="650"/>
      <c r="J450" s="650"/>
      <c r="K450" s="650"/>
      <c r="L450" s="650"/>
      <c r="M450" s="650"/>
      <c r="N450" s="650"/>
      <c r="O450" s="650"/>
      <c r="P450" s="650"/>
      <c r="Q450" s="650"/>
      <c r="R450" s="650"/>
      <c r="S450" s="650"/>
      <c r="T450" s="650"/>
      <c r="U450" s="650"/>
      <c r="V450" s="650"/>
      <c r="W450" s="650"/>
      <c r="X450" s="650"/>
      <c r="Y450" s="650"/>
      <c r="Z450" s="650"/>
      <c r="AA450" s="650"/>
      <c r="AB450" s="650"/>
      <c r="AC450" s="650"/>
      <c r="AD450" s="650"/>
      <c r="AE450" s="650"/>
      <c r="AF450" s="650"/>
      <c r="AG450" s="650"/>
      <c r="AH450" s="650"/>
      <c r="AI450" s="650"/>
      <c r="AJ450" s="650"/>
      <c r="AK450" s="650"/>
      <c r="AL450" s="650"/>
      <c r="AM450" s="650"/>
      <c r="AN450" s="650"/>
      <c r="AO450" s="650"/>
      <c r="AP450" s="650"/>
      <c r="AQ450" s="650"/>
      <c r="AR450" s="650"/>
      <c r="AS450" s="650"/>
      <c r="AT450" s="650"/>
      <c r="AU450" s="650"/>
      <c r="AV450" s="650"/>
      <c r="AW450" s="650"/>
      <c r="AX450" s="650"/>
      <c r="AY450" s="650"/>
    </row>
    <row r="451" ht="21.75" customHeight="1">
      <c r="A451" s="650"/>
      <c r="B451" s="650"/>
      <c r="C451" s="650"/>
      <c r="D451" s="650"/>
      <c r="E451" s="650"/>
      <c r="F451" s="650"/>
      <c r="G451" s="650"/>
      <c r="H451" s="650"/>
      <c r="I451" s="650"/>
      <c r="J451" s="650"/>
      <c r="K451" s="650"/>
      <c r="L451" s="650"/>
      <c r="M451" s="650"/>
      <c r="N451" s="650"/>
      <c r="O451" s="650"/>
      <c r="P451" s="650"/>
      <c r="Q451" s="650"/>
      <c r="R451" s="650"/>
      <c r="S451" s="650"/>
      <c r="T451" s="650"/>
      <c r="U451" s="650"/>
      <c r="V451" s="650"/>
      <c r="W451" s="650"/>
      <c r="X451" s="650"/>
      <c r="Y451" s="650"/>
      <c r="Z451" s="650"/>
      <c r="AA451" s="650"/>
      <c r="AB451" s="650"/>
      <c r="AC451" s="650"/>
      <c r="AD451" s="650"/>
      <c r="AE451" s="650"/>
      <c r="AF451" s="650"/>
      <c r="AG451" s="650"/>
      <c r="AH451" s="650"/>
      <c r="AI451" s="650"/>
      <c r="AJ451" s="650"/>
      <c r="AK451" s="650"/>
      <c r="AL451" s="650"/>
      <c r="AM451" s="650"/>
      <c r="AN451" s="650"/>
      <c r="AO451" s="650"/>
      <c r="AP451" s="650"/>
      <c r="AQ451" s="650"/>
      <c r="AR451" s="650"/>
      <c r="AS451" s="650"/>
      <c r="AT451" s="650"/>
      <c r="AU451" s="650"/>
      <c r="AV451" s="650"/>
      <c r="AW451" s="650"/>
      <c r="AX451" s="650"/>
      <c r="AY451" s="650"/>
    </row>
    <row r="452" ht="21.75" customHeight="1">
      <c r="A452" s="650"/>
      <c r="B452" s="650"/>
      <c r="C452" s="650"/>
      <c r="D452" s="650"/>
      <c r="E452" s="650"/>
      <c r="F452" s="650"/>
      <c r="G452" s="650"/>
      <c r="H452" s="650"/>
      <c r="I452" s="650"/>
      <c r="J452" s="650"/>
      <c r="K452" s="650"/>
      <c r="L452" s="650"/>
      <c r="M452" s="650"/>
      <c r="N452" s="650"/>
      <c r="O452" s="650"/>
      <c r="P452" s="650"/>
      <c r="Q452" s="650"/>
      <c r="R452" s="650"/>
      <c r="S452" s="650"/>
      <c r="T452" s="650"/>
      <c r="U452" s="650"/>
      <c r="V452" s="650"/>
      <c r="W452" s="650"/>
      <c r="X452" s="650"/>
      <c r="Y452" s="650"/>
      <c r="Z452" s="650"/>
      <c r="AA452" s="650"/>
      <c r="AB452" s="650"/>
      <c r="AC452" s="650"/>
      <c r="AD452" s="650"/>
      <c r="AE452" s="650"/>
      <c r="AF452" s="650"/>
      <c r="AG452" s="650"/>
      <c r="AH452" s="650"/>
      <c r="AI452" s="650"/>
      <c r="AJ452" s="650"/>
      <c r="AK452" s="650"/>
      <c r="AL452" s="650"/>
      <c r="AM452" s="650"/>
      <c r="AN452" s="650"/>
      <c r="AO452" s="650"/>
      <c r="AP452" s="650"/>
      <c r="AQ452" s="650"/>
      <c r="AR452" s="650"/>
      <c r="AS452" s="650"/>
      <c r="AT452" s="650"/>
      <c r="AU452" s="650"/>
      <c r="AV452" s="650"/>
      <c r="AW452" s="650"/>
      <c r="AX452" s="650"/>
      <c r="AY452" s="650"/>
    </row>
    <row r="453" ht="21.75" customHeight="1">
      <c r="A453" s="650"/>
      <c r="B453" s="650"/>
      <c r="C453" s="650"/>
      <c r="D453" s="650"/>
      <c r="E453" s="650"/>
      <c r="F453" s="650"/>
      <c r="G453" s="650"/>
      <c r="H453" s="650"/>
      <c r="I453" s="650"/>
      <c r="J453" s="650"/>
      <c r="K453" s="650"/>
      <c r="L453" s="650"/>
      <c r="M453" s="650"/>
      <c r="N453" s="650"/>
      <c r="O453" s="650"/>
      <c r="P453" s="650"/>
      <c r="Q453" s="650"/>
      <c r="R453" s="650"/>
      <c r="S453" s="650"/>
      <c r="T453" s="650"/>
      <c r="U453" s="650"/>
      <c r="V453" s="650"/>
      <c r="W453" s="650"/>
      <c r="X453" s="650"/>
      <c r="Y453" s="650"/>
      <c r="Z453" s="650"/>
      <c r="AA453" s="650"/>
      <c r="AB453" s="650"/>
      <c r="AC453" s="650"/>
      <c r="AD453" s="650"/>
      <c r="AE453" s="650"/>
      <c r="AF453" s="650"/>
      <c r="AG453" s="650"/>
      <c r="AH453" s="650"/>
      <c r="AI453" s="650"/>
      <c r="AJ453" s="650"/>
      <c r="AK453" s="650"/>
      <c r="AL453" s="650"/>
      <c r="AM453" s="650"/>
      <c r="AN453" s="650"/>
      <c r="AO453" s="650"/>
      <c r="AP453" s="650"/>
      <c r="AQ453" s="650"/>
      <c r="AR453" s="650"/>
      <c r="AS453" s="650"/>
      <c r="AT453" s="650"/>
      <c r="AU453" s="650"/>
      <c r="AV453" s="650"/>
      <c r="AW453" s="650"/>
      <c r="AX453" s="650"/>
      <c r="AY453" s="650"/>
    </row>
    <row r="454" ht="21.75" customHeight="1">
      <c r="A454" s="650"/>
      <c r="B454" s="650"/>
      <c r="C454" s="650"/>
      <c r="D454" s="650"/>
      <c r="E454" s="650"/>
      <c r="F454" s="650"/>
      <c r="G454" s="650"/>
      <c r="H454" s="650"/>
      <c r="I454" s="650"/>
      <c r="J454" s="650"/>
      <c r="K454" s="650"/>
      <c r="L454" s="650"/>
      <c r="M454" s="650"/>
      <c r="N454" s="650"/>
      <c r="O454" s="650"/>
      <c r="P454" s="650"/>
      <c r="Q454" s="650"/>
      <c r="R454" s="650"/>
      <c r="S454" s="650"/>
      <c r="T454" s="650"/>
      <c r="U454" s="650"/>
      <c r="V454" s="650"/>
      <c r="W454" s="650"/>
      <c r="X454" s="650"/>
      <c r="Y454" s="650"/>
      <c r="Z454" s="650"/>
      <c r="AA454" s="650"/>
      <c r="AB454" s="650"/>
      <c r="AC454" s="650"/>
      <c r="AD454" s="650"/>
      <c r="AE454" s="650"/>
      <c r="AF454" s="650"/>
      <c r="AG454" s="650"/>
      <c r="AH454" s="650"/>
      <c r="AI454" s="650"/>
      <c r="AJ454" s="650"/>
      <c r="AK454" s="650"/>
      <c r="AL454" s="650"/>
      <c r="AM454" s="650"/>
      <c r="AN454" s="650"/>
      <c r="AO454" s="650"/>
      <c r="AP454" s="650"/>
      <c r="AQ454" s="650"/>
      <c r="AR454" s="650"/>
      <c r="AS454" s="650"/>
      <c r="AT454" s="650"/>
      <c r="AU454" s="650"/>
      <c r="AV454" s="650"/>
      <c r="AW454" s="650"/>
      <c r="AX454" s="650"/>
      <c r="AY454" s="650"/>
    </row>
    <row r="455" ht="21.75" customHeight="1">
      <c r="A455" s="650"/>
      <c r="B455" s="650"/>
      <c r="C455" s="650"/>
      <c r="D455" s="650"/>
      <c r="E455" s="650"/>
      <c r="F455" s="650"/>
      <c r="G455" s="650"/>
      <c r="H455" s="650"/>
      <c r="I455" s="650"/>
      <c r="J455" s="650"/>
      <c r="K455" s="650"/>
      <c r="L455" s="650"/>
      <c r="M455" s="650"/>
      <c r="N455" s="650"/>
      <c r="O455" s="650"/>
      <c r="P455" s="650"/>
      <c r="Q455" s="650"/>
      <c r="R455" s="650"/>
      <c r="S455" s="650"/>
      <c r="T455" s="650"/>
      <c r="U455" s="650"/>
      <c r="V455" s="650"/>
      <c r="W455" s="650"/>
      <c r="X455" s="650"/>
      <c r="Y455" s="650"/>
      <c r="Z455" s="650"/>
      <c r="AA455" s="650"/>
      <c r="AB455" s="650"/>
      <c r="AC455" s="650"/>
      <c r="AD455" s="650"/>
      <c r="AE455" s="650"/>
      <c r="AF455" s="650"/>
      <c r="AG455" s="650"/>
      <c r="AH455" s="650"/>
      <c r="AI455" s="650"/>
      <c r="AJ455" s="650"/>
      <c r="AK455" s="650"/>
      <c r="AL455" s="650"/>
      <c r="AM455" s="650"/>
      <c r="AN455" s="650"/>
      <c r="AO455" s="650"/>
      <c r="AP455" s="650"/>
      <c r="AQ455" s="650"/>
      <c r="AR455" s="650"/>
      <c r="AS455" s="650"/>
      <c r="AT455" s="650"/>
      <c r="AU455" s="650"/>
      <c r="AV455" s="650"/>
      <c r="AW455" s="650"/>
      <c r="AX455" s="650"/>
      <c r="AY455" s="650"/>
    </row>
    <row r="456" ht="21.75" customHeight="1">
      <c r="A456" s="650"/>
      <c r="B456" s="650"/>
      <c r="C456" s="650"/>
      <c r="D456" s="650"/>
      <c r="E456" s="650"/>
      <c r="F456" s="650"/>
      <c r="G456" s="650"/>
      <c r="H456" s="650"/>
      <c r="I456" s="650"/>
      <c r="J456" s="650"/>
      <c r="K456" s="650"/>
      <c r="L456" s="650"/>
      <c r="M456" s="650"/>
      <c r="N456" s="650"/>
      <c r="O456" s="650"/>
      <c r="P456" s="650"/>
      <c r="Q456" s="650"/>
      <c r="R456" s="650"/>
      <c r="S456" s="650"/>
      <c r="T456" s="650"/>
      <c r="U456" s="650"/>
      <c r="V456" s="650"/>
      <c r="W456" s="650"/>
      <c r="X456" s="650"/>
      <c r="Y456" s="650"/>
      <c r="Z456" s="650"/>
      <c r="AA456" s="650"/>
      <c r="AB456" s="650"/>
      <c r="AC456" s="650"/>
      <c r="AD456" s="650"/>
      <c r="AE456" s="650"/>
      <c r="AF456" s="650"/>
      <c r="AG456" s="650"/>
      <c r="AH456" s="650"/>
      <c r="AI456" s="650"/>
      <c r="AJ456" s="650"/>
      <c r="AK456" s="650"/>
      <c r="AL456" s="650"/>
      <c r="AM456" s="650"/>
      <c r="AN456" s="650"/>
      <c r="AO456" s="650"/>
      <c r="AP456" s="650"/>
      <c r="AQ456" s="650"/>
      <c r="AR456" s="650"/>
      <c r="AS456" s="650"/>
      <c r="AT456" s="650"/>
      <c r="AU456" s="650"/>
      <c r="AV456" s="650"/>
      <c r="AW456" s="650"/>
      <c r="AX456" s="650"/>
      <c r="AY456" s="650"/>
    </row>
    <row r="457" ht="21.75" customHeight="1">
      <c r="A457" s="650"/>
      <c r="B457" s="650"/>
      <c r="C457" s="650"/>
      <c r="D457" s="650"/>
      <c r="E457" s="650"/>
      <c r="F457" s="650"/>
      <c r="G457" s="650"/>
      <c r="H457" s="650"/>
      <c r="I457" s="650"/>
      <c r="J457" s="650"/>
      <c r="K457" s="650"/>
      <c r="L457" s="650"/>
      <c r="M457" s="650"/>
      <c r="N457" s="650"/>
      <c r="O457" s="650"/>
      <c r="P457" s="650"/>
      <c r="Q457" s="650"/>
      <c r="R457" s="650"/>
      <c r="S457" s="650"/>
      <c r="T457" s="650"/>
      <c r="U457" s="650"/>
      <c r="V457" s="650"/>
      <c r="W457" s="650"/>
      <c r="X457" s="650"/>
      <c r="Y457" s="650"/>
      <c r="Z457" s="650"/>
      <c r="AA457" s="650"/>
      <c r="AB457" s="650"/>
      <c r="AC457" s="650"/>
      <c r="AD457" s="650"/>
      <c r="AE457" s="650"/>
      <c r="AF457" s="650"/>
      <c r="AG457" s="650"/>
      <c r="AH457" s="650"/>
      <c r="AI457" s="650"/>
      <c r="AJ457" s="650"/>
      <c r="AK457" s="650"/>
      <c r="AL457" s="650"/>
      <c r="AM457" s="650"/>
      <c r="AN457" s="650"/>
      <c r="AO457" s="650"/>
      <c r="AP457" s="650"/>
      <c r="AQ457" s="650"/>
      <c r="AR457" s="650"/>
      <c r="AS457" s="650"/>
      <c r="AT457" s="650"/>
      <c r="AU457" s="650"/>
      <c r="AV457" s="650"/>
      <c r="AW457" s="650"/>
      <c r="AX457" s="650"/>
      <c r="AY457" s="650"/>
    </row>
    <row r="458" ht="21.75" customHeight="1">
      <c r="A458" s="650"/>
      <c r="B458" s="650"/>
      <c r="C458" s="650"/>
      <c r="D458" s="650"/>
      <c r="E458" s="650"/>
      <c r="F458" s="650"/>
      <c r="G458" s="650"/>
      <c r="H458" s="650"/>
      <c r="I458" s="650"/>
      <c r="J458" s="650"/>
      <c r="K458" s="650"/>
      <c r="L458" s="650"/>
      <c r="M458" s="650"/>
      <c r="N458" s="650"/>
      <c r="O458" s="650"/>
      <c r="P458" s="650"/>
      <c r="Q458" s="650"/>
      <c r="R458" s="650"/>
      <c r="S458" s="650"/>
      <c r="T458" s="650"/>
      <c r="U458" s="650"/>
      <c r="V458" s="650"/>
      <c r="W458" s="650"/>
      <c r="X458" s="650"/>
      <c r="Y458" s="650"/>
      <c r="Z458" s="650"/>
      <c r="AA458" s="650"/>
      <c r="AB458" s="650"/>
      <c r="AC458" s="650"/>
      <c r="AD458" s="650"/>
      <c r="AE458" s="650"/>
      <c r="AF458" s="650"/>
      <c r="AG458" s="650"/>
      <c r="AH458" s="650"/>
      <c r="AI458" s="650"/>
      <c r="AJ458" s="650"/>
      <c r="AK458" s="650"/>
      <c r="AL458" s="650"/>
      <c r="AM458" s="650"/>
      <c r="AN458" s="650"/>
      <c r="AO458" s="650"/>
      <c r="AP458" s="650"/>
      <c r="AQ458" s="650"/>
      <c r="AR458" s="650"/>
      <c r="AS458" s="650"/>
      <c r="AT458" s="650"/>
      <c r="AU458" s="650"/>
      <c r="AV458" s="650"/>
      <c r="AW458" s="650"/>
      <c r="AX458" s="650"/>
      <c r="AY458" s="650"/>
    </row>
    <row r="459" ht="21.75" customHeight="1">
      <c r="A459" s="650"/>
      <c r="B459" s="650"/>
      <c r="C459" s="650"/>
      <c r="D459" s="650"/>
      <c r="E459" s="650"/>
      <c r="F459" s="650"/>
      <c r="G459" s="650"/>
      <c r="H459" s="650"/>
      <c r="I459" s="650"/>
      <c r="J459" s="650"/>
      <c r="K459" s="650"/>
      <c r="L459" s="650"/>
      <c r="M459" s="650"/>
      <c r="N459" s="650"/>
      <c r="O459" s="650"/>
      <c r="P459" s="650"/>
      <c r="Q459" s="650"/>
      <c r="R459" s="650"/>
      <c r="S459" s="650"/>
      <c r="T459" s="650"/>
      <c r="U459" s="650"/>
      <c r="V459" s="650"/>
      <c r="W459" s="650"/>
      <c r="X459" s="650"/>
      <c r="Y459" s="650"/>
      <c r="Z459" s="650"/>
      <c r="AA459" s="650"/>
      <c r="AB459" s="650"/>
      <c r="AC459" s="650"/>
      <c r="AD459" s="650"/>
      <c r="AE459" s="650"/>
      <c r="AF459" s="650"/>
      <c r="AG459" s="650"/>
      <c r="AH459" s="650"/>
      <c r="AI459" s="650"/>
      <c r="AJ459" s="650"/>
      <c r="AK459" s="650"/>
      <c r="AL459" s="650"/>
      <c r="AM459" s="650"/>
      <c r="AN459" s="650"/>
      <c r="AO459" s="650"/>
      <c r="AP459" s="650"/>
      <c r="AQ459" s="650"/>
      <c r="AR459" s="650"/>
      <c r="AS459" s="650"/>
      <c r="AT459" s="650"/>
      <c r="AU459" s="650"/>
      <c r="AV459" s="650"/>
      <c r="AW459" s="650"/>
      <c r="AX459" s="650"/>
      <c r="AY459" s="650"/>
    </row>
    <row r="460" ht="21.75" customHeight="1">
      <c r="A460" s="650"/>
      <c r="B460" s="650"/>
      <c r="C460" s="650"/>
      <c r="D460" s="650"/>
      <c r="E460" s="650"/>
      <c r="F460" s="650"/>
      <c r="G460" s="650"/>
      <c r="H460" s="650"/>
      <c r="I460" s="650"/>
      <c r="J460" s="650"/>
      <c r="K460" s="650"/>
      <c r="L460" s="650"/>
      <c r="M460" s="650"/>
      <c r="N460" s="650"/>
      <c r="O460" s="650"/>
      <c r="P460" s="650"/>
      <c r="Q460" s="650"/>
      <c r="R460" s="650"/>
      <c r="S460" s="650"/>
      <c r="T460" s="650"/>
      <c r="U460" s="650"/>
      <c r="V460" s="650"/>
      <c r="W460" s="650"/>
      <c r="X460" s="650"/>
      <c r="Y460" s="650"/>
      <c r="Z460" s="650"/>
      <c r="AA460" s="650"/>
      <c r="AB460" s="650"/>
      <c r="AC460" s="650"/>
      <c r="AD460" s="650"/>
      <c r="AE460" s="650"/>
      <c r="AF460" s="650"/>
      <c r="AG460" s="650"/>
      <c r="AH460" s="650"/>
      <c r="AI460" s="650"/>
      <c r="AJ460" s="650"/>
      <c r="AK460" s="650"/>
      <c r="AL460" s="650"/>
      <c r="AM460" s="650"/>
      <c r="AN460" s="650"/>
      <c r="AO460" s="650"/>
      <c r="AP460" s="650"/>
      <c r="AQ460" s="650"/>
      <c r="AR460" s="650"/>
      <c r="AS460" s="650"/>
      <c r="AT460" s="650"/>
      <c r="AU460" s="650"/>
      <c r="AV460" s="650"/>
      <c r="AW460" s="650"/>
      <c r="AX460" s="650"/>
      <c r="AY460" s="650"/>
    </row>
    <row r="461" ht="21.75" customHeight="1">
      <c r="A461" s="650"/>
      <c r="B461" s="650"/>
      <c r="C461" s="650"/>
      <c r="D461" s="650"/>
      <c r="E461" s="650"/>
      <c r="F461" s="650"/>
      <c r="G461" s="650"/>
      <c r="H461" s="650"/>
      <c r="I461" s="650"/>
      <c r="J461" s="650"/>
      <c r="K461" s="650"/>
      <c r="L461" s="650"/>
      <c r="M461" s="650"/>
      <c r="N461" s="650"/>
      <c r="O461" s="650"/>
      <c r="P461" s="650"/>
      <c r="Q461" s="650"/>
      <c r="R461" s="650"/>
      <c r="S461" s="650"/>
      <c r="T461" s="650"/>
      <c r="U461" s="650"/>
      <c r="V461" s="650"/>
      <c r="W461" s="650"/>
      <c r="X461" s="650"/>
      <c r="Y461" s="650"/>
      <c r="Z461" s="650"/>
      <c r="AA461" s="650"/>
      <c r="AB461" s="650"/>
      <c r="AC461" s="650"/>
      <c r="AD461" s="650"/>
      <c r="AE461" s="650"/>
      <c r="AF461" s="650"/>
      <c r="AG461" s="650"/>
      <c r="AH461" s="650"/>
      <c r="AI461" s="650"/>
      <c r="AJ461" s="650"/>
      <c r="AK461" s="650"/>
      <c r="AL461" s="650"/>
      <c r="AM461" s="650"/>
      <c r="AN461" s="650"/>
      <c r="AO461" s="650"/>
      <c r="AP461" s="650"/>
      <c r="AQ461" s="650"/>
      <c r="AR461" s="650"/>
      <c r="AS461" s="650"/>
      <c r="AT461" s="650"/>
      <c r="AU461" s="650"/>
      <c r="AV461" s="650"/>
      <c r="AW461" s="650"/>
      <c r="AX461" s="650"/>
      <c r="AY461" s="650"/>
    </row>
    <row r="462" ht="21.75" customHeight="1">
      <c r="A462" s="650"/>
      <c r="B462" s="650"/>
      <c r="C462" s="650"/>
      <c r="D462" s="650"/>
      <c r="E462" s="650"/>
      <c r="F462" s="650"/>
      <c r="G462" s="650"/>
      <c r="H462" s="650"/>
      <c r="I462" s="650"/>
      <c r="J462" s="650"/>
      <c r="K462" s="650"/>
      <c r="L462" s="650"/>
      <c r="M462" s="650"/>
      <c r="N462" s="650"/>
      <c r="O462" s="650"/>
      <c r="P462" s="650"/>
      <c r="Q462" s="650"/>
      <c r="R462" s="650"/>
      <c r="S462" s="650"/>
      <c r="T462" s="650"/>
      <c r="U462" s="650"/>
      <c r="V462" s="650"/>
      <c r="W462" s="650"/>
      <c r="X462" s="650"/>
      <c r="Y462" s="650"/>
      <c r="Z462" s="650"/>
      <c r="AA462" s="650"/>
      <c r="AB462" s="650"/>
      <c r="AC462" s="650"/>
      <c r="AD462" s="650"/>
      <c r="AE462" s="650"/>
      <c r="AF462" s="650"/>
      <c r="AG462" s="650"/>
      <c r="AH462" s="650"/>
      <c r="AI462" s="650"/>
      <c r="AJ462" s="650"/>
      <c r="AK462" s="650"/>
      <c r="AL462" s="650"/>
      <c r="AM462" s="650"/>
      <c r="AN462" s="650"/>
      <c r="AO462" s="650"/>
      <c r="AP462" s="650"/>
      <c r="AQ462" s="650"/>
      <c r="AR462" s="650"/>
      <c r="AS462" s="650"/>
      <c r="AT462" s="650"/>
      <c r="AU462" s="650"/>
      <c r="AV462" s="650"/>
      <c r="AW462" s="650"/>
      <c r="AX462" s="650"/>
      <c r="AY462" s="650"/>
    </row>
    <row r="463" ht="21.75" customHeight="1">
      <c r="A463" s="650"/>
      <c r="B463" s="650"/>
      <c r="C463" s="650"/>
      <c r="D463" s="650"/>
      <c r="E463" s="650"/>
      <c r="F463" s="650"/>
      <c r="G463" s="650"/>
      <c r="H463" s="650"/>
      <c r="I463" s="650"/>
      <c r="J463" s="650"/>
      <c r="K463" s="650"/>
      <c r="L463" s="650"/>
      <c r="M463" s="650"/>
      <c r="N463" s="650"/>
      <c r="O463" s="650"/>
      <c r="P463" s="650"/>
      <c r="Q463" s="650"/>
      <c r="R463" s="650"/>
      <c r="S463" s="650"/>
      <c r="T463" s="650"/>
      <c r="U463" s="650"/>
      <c r="V463" s="650"/>
      <c r="W463" s="650"/>
      <c r="X463" s="650"/>
      <c r="Y463" s="650"/>
      <c r="Z463" s="650"/>
      <c r="AA463" s="650"/>
      <c r="AB463" s="650"/>
      <c r="AC463" s="650"/>
      <c r="AD463" s="650"/>
      <c r="AE463" s="650"/>
      <c r="AF463" s="650"/>
      <c r="AG463" s="650"/>
      <c r="AH463" s="650"/>
      <c r="AI463" s="650"/>
      <c r="AJ463" s="650"/>
      <c r="AK463" s="650"/>
      <c r="AL463" s="650"/>
      <c r="AM463" s="650"/>
      <c r="AN463" s="650"/>
      <c r="AO463" s="650"/>
      <c r="AP463" s="650"/>
      <c r="AQ463" s="650"/>
      <c r="AR463" s="650"/>
      <c r="AS463" s="650"/>
      <c r="AT463" s="650"/>
      <c r="AU463" s="650"/>
      <c r="AV463" s="650"/>
      <c r="AW463" s="650"/>
      <c r="AX463" s="650"/>
      <c r="AY463" s="650"/>
    </row>
    <row r="464" ht="21.75" customHeight="1">
      <c r="A464" s="650"/>
      <c r="B464" s="650"/>
      <c r="C464" s="650"/>
      <c r="D464" s="650"/>
      <c r="E464" s="650"/>
      <c r="F464" s="650"/>
      <c r="G464" s="650"/>
      <c r="H464" s="650"/>
      <c r="I464" s="650"/>
      <c r="J464" s="650"/>
      <c r="K464" s="650"/>
      <c r="L464" s="650"/>
      <c r="M464" s="650"/>
      <c r="N464" s="650"/>
      <c r="O464" s="650"/>
      <c r="P464" s="650"/>
      <c r="Q464" s="650"/>
      <c r="R464" s="650"/>
      <c r="S464" s="650"/>
      <c r="T464" s="650"/>
      <c r="U464" s="650"/>
      <c r="V464" s="650"/>
      <c r="W464" s="650"/>
      <c r="X464" s="650"/>
      <c r="Y464" s="650"/>
      <c r="Z464" s="650"/>
      <c r="AA464" s="650"/>
      <c r="AB464" s="650"/>
      <c r="AC464" s="650"/>
      <c r="AD464" s="650"/>
      <c r="AE464" s="650"/>
      <c r="AF464" s="650"/>
      <c r="AG464" s="650"/>
      <c r="AH464" s="650"/>
      <c r="AI464" s="650"/>
      <c r="AJ464" s="650"/>
      <c r="AK464" s="650"/>
      <c r="AL464" s="650"/>
      <c r="AM464" s="650"/>
      <c r="AN464" s="650"/>
      <c r="AO464" s="650"/>
      <c r="AP464" s="650"/>
      <c r="AQ464" s="650"/>
      <c r="AR464" s="650"/>
      <c r="AS464" s="650"/>
      <c r="AT464" s="650"/>
      <c r="AU464" s="650"/>
      <c r="AV464" s="650"/>
      <c r="AW464" s="650"/>
      <c r="AX464" s="650"/>
      <c r="AY464" s="650"/>
    </row>
    <row r="465" ht="21.75" customHeight="1">
      <c r="A465" s="650"/>
      <c r="B465" s="650"/>
      <c r="C465" s="650"/>
      <c r="D465" s="650"/>
      <c r="E465" s="650"/>
      <c r="F465" s="650"/>
      <c r="G465" s="650"/>
      <c r="H465" s="650"/>
      <c r="I465" s="650"/>
      <c r="J465" s="650"/>
      <c r="K465" s="650"/>
      <c r="L465" s="650"/>
      <c r="M465" s="650"/>
      <c r="N465" s="650"/>
      <c r="O465" s="650"/>
      <c r="P465" s="650"/>
      <c r="Q465" s="650"/>
      <c r="R465" s="650"/>
      <c r="S465" s="650"/>
      <c r="T465" s="650"/>
      <c r="U465" s="650"/>
      <c r="V465" s="650"/>
      <c r="W465" s="650"/>
      <c r="X465" s="650"/>
      <c r="Y465" s="650"/>
      <c r="Z465" s="650"/>
      <c r="AA465" s="650"/>
      <c r="AB465" s="650"/>
      <c r="AC465" s="650"/>
      <c r="AD465" s="650"/>
      <c r="AE465" s="650"/>
      <c r="AF465" s="650"/>
      <c r="AG465" s="650"/>
      <c r="AH465" s="650"/>
      <c r="AI465" s="650"/>
      <c r="AJ465" s="650"/>
      <c r="AK465" s="650"/>
      <c r="AL465" s="650"/>
      <c r="AM465" s="650"/>
      <c r="AN465" s="650"/>
      <c r="AO465" s="650"/>
      <c r="AP465" s="650"/>
      <c r="AQ465" s="650"/>
      <c r="AR465" s="650"/>
      <c r="AS465" s="650"/>
      <c r="AT465" s="650"/>
      <c r="AU465" s="650"/>
      <c r="AV465" s="650"/>
      <c r="AW465" s="650"/>
      <c r="AX465" s="650"/>
      <c r="AY465" s="650"/>
    </row>
    <row r="466" ht="21.75" customHeight="1">
      <c r="A466" s="650"/>
      <c r="B466" s="650"/>
      <c r="C466" s="650"/>
      <c r="D466" s="650"/>
      <c r="E466" s="650"/>
      <c r="F466" s="650"/>
      <c r="G466" s="650"/>
      <c r="H466" s="650"/>
      <c r="I466" s="650"/>
      <c r="J466" s="650"/>
      <c r="K466" s="650"/>
      <c r="L466" s="650"/>
      <c r="M466" s="650"/>
      <c r="N466" s="650"/>
      <c r="O466" s="650"/>
      <c r="P466" s="650"/>
      <c r="Q466" s="650"/>
      <c r="R466" s="650"/>
      <c r="S466" s="650"/>
      <c r="T466" s="650"/>
      <c r="U466" s="650"/>
      <c r="V466" s="650"/>
      <c r="W466" s="650"/>
      <c r="X466" s="650"/>
      <c r="Y466" s="650"/>
      <c r="Z466" s="650"/>
      <c r="AA466" s="650"/>
      <c r="AB466" s="650"/>
      <c r="AC466" s="650"/>
      <c r="AD466" s="650"/>
      <c r="AE466" s="650"/>
      <c r="AF466" s="650"/>
      <c r="AG466" s="650"/>
      <c r="AH466" s="650"/>
      <c r="AI466" s="650"/>
      <c r="AJ466" s="650"/>
      <c r="AK466" s="650"/>
      <c r="AL466" s="650"/>
      <c r="AM466" s="650"/>
      <c r="AN466" s="650"/>
      <c r="AO466" s="650"/>
      <c r="AP466" s="650"/>
      <c r="AQ466" s="650"/>
      <c r="AR466" s="650"/>
      <c r="AS466" s="650"/>
      <c r="AT466" s="650"/>
      <c r="AU466" s="650"/>
      <c r="AV466" s="650"/>
      <c r="AW466" s="650"/>
      <c r="AX466" s="650"/>
      <c r="AY466" s="650"/>
    </row>
    <row r="467" ht="21.75" customHeight="1">
      <c r="A467" s="650"/>
      <c r="B467" s="650"/>
      <c r="C467" s="650"/>
      <c r="D467" s="650"/>
      <c r="E467" s="650"/>
      <c r="F467" s="650"/>
      <c r="G467" s="650"/>
      <c r="H467" s="650"/>
      <c r="I467" s="650"/>
      <c r="J467" s="650"/>
      <c r="K467" s="650"/>
      <c r="L467" s="650"/>
      <c r="M467" s="650"/>
      <c r="N467" s="650"/>
      <c r="O467" s="650"/>
      <c r="P467" s="650"/>
      <c r="Q467" s="650"/>
      <c r="R467" s="650"/>
      <c r="S467" s="650"/>
      <c r="T467" s="650"/>
      <c r="U467" s="650"/>
      <c r="V467" s="650"/>
      <c r="W467" s="650"/>
      <c r="X467" s="650"/>
      <c r="Y467" s="650"/>
      <c r="Z467" s="650"/>
      <c r="AA467" s="650"/>
      <c r="AB467" s="650"/>
      <c r="AC467" s="650"/>
      <c r="AD467" s="650"/>
      <c r="AE467" s="650"/>
      <c r="AF467" s="650"/>
      <c r="AG467" s="650"/>
      <c r="AH467" s="650"/>
      <c r="AI467" s="650"/>
      <c r="AJ467" s="650"/>
      <c r="AK467" s="650"/>
      <c r="AL467" s="650"/>
      <c r="AM467" s="650"/>
      <c r="AN467" s="650"/>
      <c r="AO467" s="650"/>
      <c r="AP467" s="650"/>
      <c r="AQ467" s="650"/>
      <c r="AR467" s="650"/>
      <c r="AS467" s="650"/>
      <c r="AT467" s="650"/>
      <c r="AU467" s="650"/>
      <c r="AV467" s="650"/>
      <c r="AW467" s="650"/>
      <c r="AX467" s="650"/>
      <c r="AY467" s="650"/>
    </row>
    <row r="468" ht="21.75" customHeight="1">
      <c r="A468" s="650"/>
      <c r="B468" s="650"/>
      <c r="C468" s="650"/>
      <c r="D468" s="650"/>
      <c r="E468" s="650"/>
      <c r="F468" s="650"/>
      <c r="G468" s="650"/>
      <c r="H468" s="650"/>
      <c r="I468" s="650"/>
      <c r="J468" s="650"/>
      <c r="K468" s="650"/>
      <c r="L468" s="650"/>
      <c r="M468" s="650"/>
      <c r="N468" s="650"/>
      <c r="O468" s="650"/>
      <c r="P468" s="650"/>
      <c r="Q468" s="650"/>
      <c r="R468" s="650"/>
      <c r="S468" s="650"/>
      <c r="T468" s="650"/>
      <c r="U468" s="650"/>
      <c r="V468" s="650"/>
      <c r="W468" s="650"/>
      <c r="X468" s="650"/>
      <c r="Y468" s="650"/>
      <c r="Z468" s="650"/>
      <c r="AA468" s="650"/>
      <c r="AB468" s="650"/>
      <c r="AC468" s="650"/>
      <c r="AD468" s="650"/>
      <c r="AE468" s="650"/>
      <c r="AF468" s="650"/>
      <c r="AG468" s="650"/>
      <c r="AH468" s="650"/>
      <c r="AI468" s="650"/>
      <c r="AJ468" s="650"/>
      <c r="AK468" s="650"/>
      <c r="AL468" s="650"/>
      <c r="AM468" s="650"/>
      <c r="AN468" s="650"/>
      <c r="AO468" s="650"/>
      <c r="AP468" s="650"/>
      <c r="AQ468" s="650"/>
      <c r="AR468" s="650"/>
      <c r="AS468" s="650"/>
      <c r="AT468" s="650"/>
      <c r="AU468" s="650"/>
      <c r="AV468" s="650"/>
      <c r="AW468" s="650"/>
      <c r="AX468" s="650"/>
      <c r="AY468" s="650"/>
    </row>
    <row r="469" ht="21.75" customHeight="1">
      <c r="A469" s="650"/>
      <c r="B469" s="650"/>
      <c r="C469" s="650"/>
      <c r="D469" s="650"/>
      <c r="E469" s="650"/>
      <c r="F469" s="650"/>
      <c r="G469" s="650"/>
      <c r="H469" s="650"/>
      <c r="I469" s="650"/>
      <c r="J469" s="650"/>
      <c r="K469" s="650"/>
      <c r="L469" s="650"/>
      <c r="M469" s="650"/>
      <c r="N469" s="650"/>
      <c r="O469" s="650"/>
      <c r="P469" s="650"/>
      <c r="Q469" s="650"/>
      <c r="R469" s="650"/>
      <c r="S469" s="650"/>
      <c r="T469" s="650"/>
      <c r="U469" s="650"/>
      <c r="V469" s="650"/>
      <c r="W469" s="650"/>
      <c r="X469" s="650"/>
      <c r="Y469" s="650"/>
      <c r="Z469" s="650"/>
      <c r="AA469" s="650"/>
      <c r="AB469" s="650"/>
      <c r="AC469" s="650"/>
      <c r="AD469" s="650"/>
      <c r="AE469" s="650"/>
      <c r="AF469" s="650"/>
      <c r="AG469" s="650"/>
      <c r="AH469" s="650"/>
      <c r="AI469" s="650"/>
      <c r="AJ469" s="650"/>
      <c r="AK469" s="650"/>
      <c r="AL469" s="650"/>
      <c r="AM469" s="650"/>
      <c r="AN469" s="650"/>
      <c r="AO469" s="650"/>
      <c r="AP469" s="650"/>
      <c r="AQ469" s="650"/>
      <c r="AR469" s="650"/>
      <c r="AS469" s="650"/>
      <c r="AT469" s="650"/>
      <c r="AU469" s="650"/>
      <c r="AV469" s="650"/>
      <c r="AW469" s="650"/>
      <c r="AX469" s="650"/>
      <c r="AY469" s="650"/>
    </row>
    <row r="470" ht="21.75" customHeight="1">
      <c r="A470" s="650"/>
      <c r="B470" s="650"/>
      <c r="C470" s="650"/>
      <c r="D470" s="650"/>
      <c r="E470" s="650"/>
      <c r="F470" s="650"/>
      <c r="G470" s="650"/>
      <c r="H470" s="650"/>
      <c r="I470" s="650"/>
      <c r="J470" s="650"/>
      <c r="K470" s="650"/>
      <c r="L470" s="650"/>
      <c r="M470" s="650"/>
      <c r="N470" s="650"/>
      <c r="O470" s="650"/>
      <c r="P470" s="650"/>
      <c r="Q470" s="650"/>
      <c r="R470" s="650"/>
      <c r="S470" s="650"/>
      <c r="T470" s="650"/>
      <c r="U470" s="650"/>
      <c r="V470" s="650"/>
      <c r="W470" s="650"/>
      <c r="X470" s="650"/>
      <c r="Y470" s="650"/>
      <c r="Z470" s="650"/>
      <c r="AA470" s="650"/>
      <c r="AB470" s="650"/>
      <c r="AC470" s="650"/>
      <c r="AD470" s="650"/>
      <c r="AE470" s="650"/>
      <c r="AF470" s="650"/>
      <c r="AG470" s="650"/>
      <c r="AH470" s="650"/>
      <c r="AI470" s="650"/>
      <c r="AJ470" s="650"/>
      <c r="AK470" s="650"/>
      <c r="AL470" s="650"/>
      <c r="AM470" s="650"/>
      <c r="AN470" s="650"/>
      <c r="AO470" s="650"/>
      <c r="AP470" s="650"/>
      <c r="AQ470" s="650"/>
      <c r="AR470" s="650"/>
      <c r="AS470" s="650"/>
      <c r="AT470" s="650"/>
      <c r="AU470" s="650"/>
      <c r="AV470" s="650"/>
      <c r="AW470" s="650"/>
      <c r="AX470" s="650"/>
      <c r="AY470" s="650"/>
    </row>
    <row r="471" ht="21.75" customHeight="1">
      <c r="A471" s="650"/>
      <c r="B471" s="650"/>
      <c r="C471" s="650"/>
      <c r="D471" s="650"/>
      <c r="E471" s="650"/>
      <c r="F471" s="650"/>
      <c r="G471" s="650"/>
      <c r="H471" s="650"/>
      <c r="I471" s="650"/>
      <c r="J471" s="650"/>
      <c r="K471" s="650"/>
      <c r="L471" s="650"/>
      <c r="M471" s="650"/>
      <c r="N471" s="650"/>
      <c r="O471" s="650"/>
      <c r="P471" s="650"/>
      <c r="Q471" s="650"/>
      <c r="R471" s="650"/>
      <c r="S471" s="650"/>
      <c r="T471" s="650"/>
      <c r="U471" s="650"/>
      <c r="V471" s="650"/>
      <c r="W471" s="650"/>
      <c r="X471" s="650"/>
      <c r="Y471" s="650"/>
      <c r="Z471" s="650"/>
      <c r="AA471" s="650"/>
      <c r="AB471" s="650"/>
      <c r="AC471" s="650"/>
      <c r="AD471" s="650"/>
      <c r="AE471" s="650"/>
      <c r="AF471" s="650"/>
      <c r="AG471" s="650"/>
      <c r="AH471" s="650"/>
      <c r="AI471" s="650"/>
      <c r="AJ471" s="650"/>
      <c r="AK471" s="650"/>
      <c r="AL471" s="650"/>
      <c r="AM471" s="650"/>
      <c r="AN471" s="650"/>
      <c r="AO471" s="650"/>
      <c r="AP471" s="650"/>
      <c r="AQ471" s="650"/>
      <c r="AR471" s="650"/>
      <c r="AS471" s="650"/>
      <c r="AT471" s="650"/>
      <c r="AU471" s="650"/>
      <c r="AV471" s="650"/>
      <c r="AW471" s="650"/>
      <c r="AX471" s="650"/>
      <c r="AY471" s="650"/>
    </row>
    <row r="472" ht="21.75" customHeight="1">
      <c r="A472" s="650"/>
      <c r="B472" s="650"/>
      <c r="C472" s="650"/>
      <c r="D472" s="650"/>
      <c r="E472" s="650"/>
      <c r="F472" s="650"/>
      <c r="G472" s="650"/>
      <c r="H472" s="650"/>
      <c r="I472" s="650"/>
      <c r="J472" s="650"/>
      <c r="K472" s="650"/>
      <c r="L472" s="650"/>
      <c r="M472" s="650"/>
      <c r="N472" s="650"/>
      <c r="O472" s="650"/>
      <c r="P472" s="650"/>
      <c r="Q472" s="650"/>
      <c r="R472" s="650"/>
      <c r="S472" s="650"/>
      <c r="T472" s="650"/>
      <c r="U472" s="650"/>
      <c r="V472" s="650"/>
      <c r="W472" s="650"/>
      <c r="X472" s="650"/>
      <c r="Y472" s="650"/>
      <c r="Z472" s="650"/>
      <c r="AA472" s="650"/>
      <c r="AB472" s="650"/>
      <c r="AC472" s="650"/>
      <c r="AD472" s="650"/>
      <c r="AE472" s="650"/>
      <c r="AF472" s="650"/>
      <c r="AG472" s="650"/>
      <c r="AH472" s="650"/>
      <c r="AI472" s="650"/>
      <c r="AJ472" s="650"/>
      <c r="AK472" s="650"/>
      <c r="AL472" s="650"/>
      <c r="AM472" s="650"/>
      <c r="AN472" s="650"/>
      <c r="AO472" s="650"/>
      <c r="AP472" s="650"/>
      <c r="AQ472" s="650"/>
      <c r="AR472" s="650"/>
      <c r="AS472" s="650"/>
      <c r="AT472" s="650"/>
      <c r="AU472" s="650"/>
      <c r="AV472" s="650"/>
      <c r="AW472" s="650"/>
      <c r="AX472" s="650"/>
      <c r="AY472" s="650"/>
    </row>
    <row r="473" ht="21.75" customHeight="1">
      <c r="A473" s="650"/>
      <c r="B473" s="650"/>
      <c r="C473" s="650"/>
      <c r="D473" s="650"/>
      <c r="E473" s="650"/>
      <c r="F473" s="650"/>
      <c r="G473" s="650"/>
      <c r="H473" s="650"/>
      <c r="I473" s="650"/>
      <c r="J473" s="650"/>
      <c r="K473" s="650"/>
      <c r="L473" s="650"/>
      <c r="M473" s="650"/>
      <c r="N473" s="650"/>
      <c r="O473" s="650"/>
      <c r="P473" s="650"/>
      <c r="Q473" s="650"/>
      <c r="R473" s="650"/>
      <c r="S473" s="650"/>
      <c r="T473" s="650"/>
      <c r="U473" s="650"/>
      <c r="V473" s="650"/>
      <c r="W473" s="650"/>
      <c r="X473" s="650"/>
      <c r="Y473" s="650"/>
      <c r="Z473" s="650"/>
      <c r="AA473" s="650"/>
      <c r="AB473" s="650"/>
      <c r="AC473" s="650"/>
      <c r="AD473" s="650"/>
      <c r="AE473" s="650"/>
      <c r="AF473" s="650"/>
      <c r="AG473" s="650"/>
      <c r="AH473" s="650"/>
      <c r="AI473" s="650"/>
      <c r="AJ473" s="650"/>
      <c r="AK473" s="650"/>
      <c r="AL473" s="650"/>
      <c r="AM473" s="650"/>
      <c r="AN473" s="650"/>
      <c r="AO473" s="650"/>
      <c r="AP473" s="650"/>
      <c r="AQ473" s="650"/>
      <c r="AR473" s="650"/>
      <c r="AS473" s="650"/>
      <c r="AT473" s="650"/>
      <c r="AU473" s="650"/>
      <c r="AV473" s="650"/>
      <c r="AW473" s="650"/>
      <c r="AX473" s="650"/>
      <c r="AY473" s="650"/>
    </row>
    <row r="474" ht="21.75" customHeight="1">
      <c r="A474" s="650"/>
      <c r="B474" s="650"/>
      <c r="C474" s="650"/>
      <c r="D474" s="650"/>
      <c r="E474" s="650"/>
      <c r="F474" s="650"/>
      <c r="G474" s="650"/>
      <c r="H474" s="650"/>
      <c r="I474" s="650"/>
      <c r="J474" s="650"/>
      <c r="K474" s="650"/>
      <c r="L474" s="650"/>
      <c r="M474" s="650"/>
      <c r="N474" s="650"/>
      <c r="O474" s="650"/>
      <c r="P474" s="650"/>
      <c r="Q474" s="650"/>
      <c r="R474" s="650"/>
      <c r="S474" s="650"/>
      <c r="T474" s="650"/>
      <c r="U474" s="650"/>
      <c r="V474" s="650"/>
      <c r="W474" s="650"/>
      <c r="X474" s="650"/>
      <c r="Y474" s="650"/>
      <c r="Z474" s="650"/>
      <c r="AA474" s="650"/>
      <c r="AB474" s="650"/>
      <c r="AC474" s="650"/>
      <c r="AD474" s="650"/>
      <c r="AE474" s="650"/>
      <c r="AF474" s="650"/>
      <c r="AG474" s="650"/>
      <c r="AH474" s="650"/>
      <c r="AI474" s="650"/>
      <c r="AJ474" s="650"/>
      <c r="AK474" s="650"/>
      <c r="AL474" s="650"/>
      <c r="AM474" s="650"/>
      <c r="AN474" s="650"/>
      <c r="AO474" s="650"/>
      <c r="AP474" s="650"/>
      <c r="AQ474" s="650"/>
      <c r="AR474" s="650"/>
      <c r="AS474" s="650"/>
      <c r="AT474" s="650"/>
      <c r="AU474" s="650"/>
      <c r="AV474" s="650"/>
      <c r="AW474" s="650"/>
      <c r="AX474" s="650"/>
      <c r="AY474" s="650"/>
    </row>
    <row r="475" ht="21.75" customHeight="1">
      <c r="A475" s="650"/>
      <c r="B475" s="650"/>
      <c r="C475" s="650"/>
      <c r="D475" s="650"/>
      <c r="E475" s="650"/>
      <c r="F475" s="650"/>
      <c r="G475" s="650"/>
      <c r="H475" s="650"/>
      <c r="I475" s="650"/>
      <c r="J475" s="650"/>
      <c r="K475" s="650"/>
      <c r="L475" s="650"/>
      <c r="M475" s="650"/>
      <c r="N475" s="650"/>
      <c r="O475" s="650"/>
      <c r="P475" s="650"/>
      <c r="Q475" s="650"/>
      <c r="R475" s="650"/>
      <c r="S475" s="650"/>
      <c r="T475" s="650"/>
      <c r="U475" s="650"/>
      <c r="V475" s="650"/>
      <c r="W475" s="650"/>
      <c r="X475" s="650"/>
      <c r="Y475" s="650"/>
      <c r="Z475" s="650"/>
      <c r="AA475" s="650"/>
      <c r="AB475" s="650"/>
      <c r="AC475" s="650"/>
      <c r="AD475" s="650"/>
      <c r="AE475" s="650"/>
      <c r="AF475" s="650"/>
      <c r="AG475" s="650"/>
      <c r="AH475" s="650"/>
      <c r="AI475" s="650"/>
      <c r="AJ475" s="650"/>
      <c r="AK475" s="650"/>
      <c r="AL475" s="650"/>
      <c r="AM475" s="650"/>
      <c r="AN475" s="650"/>
      <c r="AO475" s="650"/>
      <c r="AP475" s="650"/>
      <c r="AQ475" s="650"/>
      <c r="AR475" s="650"/>
      <c r="AS475" s="650"/>
      <c r="AT475" s="650"/>
      <c r="AU475" s="650"/>
      <c r="AV475" s="650"/>
      <c r="AW475" s="650"/>
      <c r="AX475" s="650"/>
      <c r="AY475" s="650"/>
    </row>
    <row r="476" ht="21.75" customHeight="1">
      <c r="A476" s="650"/>
      <c r="B476" s="650"/>
      <c r="C476" s="650"/>
      <c r="D476" s="650"/>
      <c r="E476" s="650"/>
      <c r="F476" s="650"/>
      <c r="G476" s="650"/>
      <c r="H476" s="650"/>
      <c r="I476" s="650"/>
      <c r="J476" s="650"/>
      <c r="K476" s="650"/>
      <c r="L476" s="650"/>
      <c r="M476" s="650"/>
      <c r="N476" s="650"/>
      <c r="O476" s="650"/>
      <c r="P476" s="650"/>
      <c r="Q476" s="650"/>
      <c r="R476" s="650"/>
      <c r="S476" s="650"/>
      <c r="T476" s="650"/>
      <c r="U476" s="650"/>
      <c r="V476" s="650"/>
      <c r="W476" s="650"/>
      <c r="X476" s="650"/>
      <c r="Y476" s="650"/>
      <c r="Z476" s="650"/>
      <c r="AA476" s="650"/>
      <c r="AB476" s="650"/>
      <c r="AC476" s="650"/>
      <c r="AD476" s="650"/>
      <c r="AE476" s="650"/>
      <c r="AF476" s="650"/>
      <c r="AG476" s="650"/>
      <c r="AH476" s="650"/>
      <c r="AI476" s="650"/>
      <c r="AJ476" s="650"/>
      <c r="AK476" s="650"/>
      <c r="AL476" s="650"/>
      <c r="AM476" s="650"/>
      <c r="AN476" s="650"/>
      <c r="AO476" s="650"/>
      <c r="AP476" s="650"/>
      <c r="AQ476" s="650"/>
      <c r="AR476" s="650"/>
      <c r="AS476" s="650"/>
      <c r="AT476" s="650"/>
      <c r="AU476" s="650"/>
      <c r="AV476" s="650"/>
      <c r="AW476" s="650"/>
      <c r="AX476" s="650"/>
      <c r="AY476" s="650"/>
    </row>
    <row r="477" ht="21.75" customHeight="1">
      <c r="A477" s="650"/>
      <c r="B477" s="650"/>
      <c r="C477" s="650"/>
      <c r="D477" s="650"/>
      <c r="E477" s="650"/>
      <c r="F477" s="650"/>
      <c r="G477" s="650"/>
      <c r="H477" s="650"/>
      <c r="I477" s="650"/>
      <c r="J477" s="650"/>
      <c r="K477" s="650"/>
      <c r="L477" s="650"/>
      <c r="M477" s="650"/>
      <c r="N477" s="650"/>
      <c r="O477" s="650"/>
      <c r="P477" s="650"/>
      <c r="Q477" s="650"/>
      <c r="R477" s="650"/>
      <c r="S477" s="650"/>
      <c r="T477" s="650"/>
      <c r="U477" s="650"/>
      <c r="V477" s="650"/>
      <c r="W477" s="650"/>
      <c r="X477" s="650"/>
      <c r="Y477" s="650"/>
      <c r="Z477" s="650"/>
      <c r="AA477" s="650"/>
      <c r="AB477" s="650"/>
      <c r="AC477" s="650"/>
      <c r="AD477" s="650"/>
      <c r="AE477" s="650"/>
      <c r="AF477" s="650"/>
      <c r="AG477" s="650"/>
      <c r="AH477" s="650"/>
      <c r="AI477" s="650"/>
      <c r="AJ477" s="650"/>
      <c r="AK477" s="650"/>
      <c r="AL477" s="650"/>
      <c r="AM477" s="650"/>
      <c r="AN477" s="650"/>
      <c r="AO477" s="650"/>
      <c r="AP477" s="650"/>
      <c r="AQ477" s="650"/>
      <c r="AR477" s="650"/>
      <c r="AS477" s="650"/>
      <c r="AT477" s="650"/>
      <c r="AU477" s="650"/>
      <c r="AV477" s="650"/>
      <c r="AW477" s="650"/>
      <c r="AX477" s="650"/>
      <c r="AY477" s="650"/>
    </row>
    <row r="478" ht="21.75" customHeight="1">
      <c r="A478" s="650"/>
      <c r="B478" s="650"/>
      <c r="C478" s="650"/>
      <c r="D478" s="650"/>
      <c r="E478" s="650"/>
      <c r="F478" s="650"/>
      <c r="G478" s="650"/>
      <c r="H478" s="650"/>
      <c r="I478" s="650"/>
      <c r="J478" s="650"/>
      <c r="K478" s="650"/>
      <c r="L478" s="650"/>
      <c r="M478" s="650"/>
      <c r="N478" s="650"/>
      <c r="O478" s="650"/>
      <c r="P478" s="650"/>
      <c r="Q478" s="650"/>
      <c r="R478" s="650"/>
      <c r="S478" s="650"/>
      <c r="T478" s="650"/>
      <c r="U478" s="650"/>
      <c r="V478" s="650"/>
      <c r="W478" s="650"/>
      <c r="X478" s="650"/>
      <c r="Y478" s="650"/>
      <c r="Z478" s="650"/>
      <c r="AA478" s="650"/>
      <c r="AB478" s="650"/>
      <c r="AC478" s="650"/>
      <c r="AD478" s="650"/>
      <c r="AE478" s="650"/>
      <c r="AF478" s="650"/>
      <c r="AG478" s="650"/>
      <c r="AH478" s="650"/>
      <c r="AI478" s="650"/>
      <c r="AJ478" s="650"/>
      <c r="AK478" s="650"/>
      <c r="AL478" s="650"/>
      <c r="AM478" s="650"/>
      <c r="AN478" s="650"/>
      <c r="AO478" s="650"/>
      <c r="AP478" s="650"/>
      <c r="AQ478" s="650"/>
      <c r="AR478" s="650"/>
      <c r="AS478" s="650"/>
      <c r="AT478" s="650"/>
      <c r="AU478" s="650"/>
      <c r="AV478" s="650"/>
      <c r="AW478" s="650"/>
      <c r="AX478" s="650"/>
      <c r="AY478" s="650"/>
    </row>
    <row r="479" ht="21.75" customHeight="1">
      <c r="A479" s="650"/>
      <c r="B479" s="650"/>
      <c r="C479" s="650"/>
      <c r="D479" s="650"/>
      <c r="E479" s="650"/>
      <c r="F479" s="650"/>
      <c r="G479" s="650"/>
      <c r="H479" s="650"/>
      <c r="I479" s="650"/>
      <c r="J479" s="650"/>
      <c r="K479" s="650"/>
      <c r="L479" s="650"/>
      <c r="M479" s="650"/>
      <c r="N479" s="650"/>
      <c r="O479" s="650"/>
      <c r="P479" s="650"/>
      <c r="Q479" s="650"/>
      <c r="R479" s="650"/>
      <c r="S479" s="650"/>
      <c r="T479" s="650"/>
      <c r="U479" s="650"/>
      <c r="V479" s="650"/>
      <c r="W479" s="650"/>
      <c r="X479" s="650"/>
      <c r="Y479" s="650"/>
      <c r="Z479" s="650"/>
      <c r="AA479" s="650"/>
      <c r="AB479" s="650"/>
      <c r="AC479" s="650"/>
      <c r="AD479" s="650"/>
      <c r="AE479" s="650"/>
      <c r="AF479" s="650"/>
      <c r="AG479" s="650"/>
      <c r="AH479" s="650"/>
      <c r="AI479" s="650"/>
      <c r="AJ479" s="650"/>
      <c r="AK479" s="650"/>
      <c r="AL479" s="650"/>
      <c r="AM479" s="650"/>
      <c r="AN479" s="650"/>
      <c r="AO479" s="650"/>
      <c r="AP479" s="650"/>
      <c r="AQ479" s="650"/>
      <c r="AR479" s="650"/>
      <c r="AS479" s="650"/>
      <c r="AT479" s="650"/>
      <c r="AU479" s="650"/>
      <c r="AV479" s="650"/>
      <c r="AW479" s="650"/>
      <c r="AX479" s="650"/>
      <c r="AY479" s="650"/>
    </row>
    <row r="480" ht="21.75" customHeight="1">
      <c r="A480" s="650"/>
      <c r="B480" s="650"/>
      <c r="C480" s="650"/>
      <c r="D480" s="650"/>
      <c r="E480" s="650"/>
      <c r="F480" s="650"/>
      <c r="G480" s="650"/>
      <c r="H480" s="650"/>
      <c r="I480" s="650"/>
      <c r="J480" s="650"/>
      <c r="K480" s="650"/>
      <c r="L480" s="650"/>
      <c r="M480" s="650"/>
      <c r="N480" s="650"/>
      <c r="O480" s="650"/>
      <c r="P480" s="650"/>
      <c r="Q480" s="650"/>
      <c r="R480" s="650"/>
      <c r="S480" s="650"/>
      <c r="T480" s="650"/>
      <c r="U480" s="650"/>
      <c r="V480" s="650"/>
      <c r="W480" s="650"/>
      <c r="X480" s="650"/>
      <c r="Y480" s="650"/>
      <c r="Z480" s="650"/>
      <c r="AA480" s="650"/>
      <c r="AB480" s="650"/>
      <c r="AC480" s="650"/>
      <c r="AD480" s="650"/>
      <c r="AE480" s="650"/>
      <c r="AF480" s="650"/>
      <c r="AG480" s="650"/>
      <c r="AH480" s="650"/>
      <c r="AI480" s="650"/>
      <c r="AJ480" s="650"/>
      <c r="AK480" s="650"/>
      <c r="AL480" s="650"/>
      <c r="AM480" s="650"/>
      <c r="AN480" s="650"/>
      <c r="AO480" s="650"/>
      <c r="AP480" s="650"/>
      <c r="AQ480" s="650"/>
      <c r="AR480" s="650"/>
      <c r="AS480" s="650"/>
      <c r="AT480" s="650"/>
      <c r="AU480" s="650"/>
      <c r="AV480" s="650"/>
      <c r="AW480" s="650"/>
      <c r="AX480" s="650"/>
      <c r="AY480" s="650"/>
    </row>
    <row r="481" ht="21.75" customHeight="1">
      <c r="A481" s="650"/>
      <c r="B481" s="650"/>
      <c r="C481" s="650"/>
      <c r="D481" s="650"/>
      <c r="E481" s="650"/>
      <c r="F481" s="650"/>
      <c r="G481" s="650"/>
      <c r="H481" s="650"/>
      <c r="I481" s="650"/>
      <c r="J481" s="650"/>
      <c r="K481" s="650"/>
      <c r="L481" s="650"/>
      <c r="M481" s="650"/>
      <c r="N481" s="650"/>
      <c r="O481" s="650"/>
      <c r="P481" s="650"/>
      <c r="Q481" s="650"/>
      <c r="R481" s="650"/>
      <c r="S481" s="650"/>
      <c r="T481" s="650"/>
      <c r="U481" s="650"/>
      <c r="V481" s="650"/>
      <c r="W481" s="650"/>
      <c r="X481" s="650"/>
      <c r="Y481" s="650"/>
      <c r="Z481" s="650"/>
      <c r="AA481" s="650"/>
      <c r="AB481" s="650"/>
      <c r="AC481" s="650"/>
      <c r="AD481" s="650"/>
      <c r="AE481" s="650"/>
      <c r="AF481" s="650"/>
      <c r="AG481" s="650"/>
      <c r="AH481" s="650"/>
      <c r="AI481" s="650"/>
      <c r="AJ481" s="650"/>
      <c r="AK481" s="650"/>
      <c r="AL481" s="650"/>
      <c r="AM481" s="650"/>
      <c r="AN481" s="650"/>
      <c r="AO481" s="650"/>
      <c r="AP481" s="650"/>
      <c r="AQ481" s="650"/>
      <c r="AR481" s="650"/>
      <c r="AS481" s="650"/>
      <c r="AT481" s="650"/>
      <c r="AU481" s="650"/>
      <c r="AV481" s="650"/>
      <c r="AW481" s="650"/>
      <c r="AX481" s="650"/>
      <c r="AY481" s="650"/>
    </row>
    <row r="482" ht="21.75" customHeight="1">
      <c r="A482" s="650"/>
      <c r="B482" s="650"/>
      <c r="C482" s="650"/>
      <c r="D482" s="650"/>
      <c r="E482" s="650"/>
      <c r="F482" s="650"/>
      <c r="G482" s="650"/>
      <c r="H482" s="650"/>
      <c r="I482" s="650"/>
      <c r="J482" s="650"/>
      <c r="K482" s="650"/>
      <c r="L482" s="650"/>
      <c r="M482" s="650"/>
      <c r="N482" s="650"/>
      <c r="O482" s="650"/>
      <c r="P482" s="650"/>
      <c r="Q482" s="650"/>
      <c r="R482" s="650"/>
      <c r="S482" s="650"/>
      <c r="T482" s="650"/>
      <c r="U482" s="650"/>
      <c r="V482" s="650"/>
      <c r="W482" s="650"/>
      <c r="X482" s="650"/>
      <c r="Y482" s="650"/>
      <c r="Z482" s="650"/>
      <c r="AA482" s="650"/>
      <c r="AB482" s="650"/>
      <c r="AC482" s="650"/>
      <c r="AD482" s="650"/>
      <c r="AE482" s="650"/>
      <c r="AF482" s="650"/>
      <c r="AG482" s="650"/>
      <c r="AH482" s="650"/>
      <c r="AI482" s="650"/>
      <c r="AJ482" s="650"/>
      <c r="AK482" s="650"/>
      <c r="AL482" s="650"/>
      <c r="AM482" s="650"/>
      <c r="AN482" s="650"/>
      <c r="AO482" s="650"/>
      <c r="AP482" s="650"/>
      <c r="AQ482" s="650"/>
      <c r="AR482" s="650"/>
      <c r="AS482" s="650"/>
      <c r="AT482" s="650"/>
      <c r="AU482" s="650"/>
      <c r="AV482" s="650"/>
      <c r="AW482" s="650"/>
      <c r="AX482" s="650"/>
      <c r="AY482" s="650"/>
    </row>
    <row r="483" ht="21.75" customHeight="1">
      <c r="A483" s="650"/>
      <c r="B483" s="650"/>
      <c r="C483" s="650"/>
      <c r="D483" s="650"/>
      <c r="E483" s="650"/>
      <c r="F483" s="650"/>
      <c r="G483" s="650"/>
      <c r="H483" s="650"/>
      <c r="I483" s="650"/>
      <c r="J483" s="650"/>
      <c r="K483" s="650"/>
      <c r="L483" s="650"/>
      <c r="M483" s="650"/>
      <c r="N483" s="650"/>
      <c r="O483" s="650"/>
      <c r="P483" s="650"/>
      <c r="Q483" s="650"/>
      <c r="R483" s="650"/>
      <c r="S483" s="650"/>
      <c r="T483" s="650"/>
      <c r="U483" s="650"/>
      <c r="V483" s="650"/>
      <c r="W483" s="650"/>
      <c r="X483" s="650"/>
      <c r="Y483" s="650"/>
      <c r="Z483" s="650"/>
      <c r="AA483" s="650"/>
      <c r="AB483" s="650"/>
      <c r="AC483" s="650"/>
      <c r="AD483" s="650"/>
      <c r="AE483" s="650"/>
      <c r="AF483" s="650"/>
      <c r="AG483" s="650"/>
      <c r="AH483" s="650"/>
      <c r="AI483" s="650"/>
      <c r="AJ483" s="650"/>
      <c r="AK483" s="650"/>
      <c r="AL483" s="650"/>
      <c r="AM483" s="650"/>
      <c r="AN483" s="650"/>
      <c r="AO483" s="650"/>
      <c r="AP483" s="650"/>
      <c r="AQ483" s="650"/>
      <c r="AR483" s="650"/>
      <c r="AS483" s="650"/>
      <c r="AT483" s="650"/>
      <c r="AU483" s="650"/>
      <c r="AV483" s="650"/>
      <c r="AW483" s="650"/>
      <c r="AX483" s="650"/>
      <c r="AY483" s="650"/>
    </row>
    <row r="484" ht="21.75" customHeight="1">
      <c r="A484" s="650"/>
      <c r="B484" s="650"/>
      <c r="C484" s="650"/>
      <c r="D484" s="650"/>
      <c r="E484" s="650"/>
      <c r="F484" s="650"/>
      <c r="G484" s="650"/>
      <c r="H484" s="650"/>
      <c r="I484" s="650"/>
      <c r="J484" s="650"/>
      <c r="K484" s="650"/>
      <c r="L484" s="650"/>
      <c r="M484" s="650"/>
      <c r="N484" s="650"/>
      <c r="O484" s="650"/>
      <c r="P484" s="650"/>
      <c r="Q484" s="650"/>
      <c r="R484" s="650"/>
      <c r="S484" s="650"/>
      <c r="T484" s="650"/>
      <c r="U484" s="650"/>
      <c r="V484" s="650"/>
      <c r="W484" s="650"/>
      <c r="X484" s="650"/>
      <c r="Y484" s="650"/>
      <c r="Z484" s="650"/>
      <c r="AA484" s="650"/>
      <c r="AB484" s="650"/>
      <c r="AC484" s="650"/>
      <c r="AD484" s="650"/>
      <c r="AE484" s="650"/>
      <c r="AF484" s="650"/>
      <c r="AG484" s="650"/>
      <c r="AH484" s="650"/>
      <c r="AI484" s="650"/>
      <c r="AJ484" s="650"/>
      <c r="AK484" s="650"/>
      <c r="AL484" s="650"/>
      <c r="AM484" s="650"/>
      <c r="AN484" s="650"/>
      <c r="AO484" s="650"/>
      <c r="AP484" s="650"/>
      <c r="AQ484" s="650"/>
      <c r="AR484" s="650"/>
      <c r="AS484" s="650"/>
      <c r="AT484" s="650"/>
      <c r="AU484" s="650"/>
      <c r="AV484" s="650"/>
      <c r="AW484" s="650"/>
      <c r="AX484" s="650"/>
      <c r="AY484" s="650"/>
    </row>
    <row r="485" ht="21.75" customHeight="1">
      <c r="A485" s="650"/>
      <c r="B485" s="650"/>
      <c r="C485" s="650"/>
      <c r="D485" s="650"/>
      <c r="E485" s="650"/>
      <c r="F485" s="650"/>
      <c r="G485" s="650"/>
      <c r="H485" s="650"/>
      <c r="I485" s="650"/>
      <c r="J485" s="650"/>
      <c r="K485" s="650"/>
      <c r="L485" s="650"/>
      <c r="M485" s="650"/>
      <c r="N485" s="650"/>
      <c r="O485" s="650"/>
      <c r="P485" s="650"/>
      <c r="Q485" s="650"/>
      <c r="R485" s="650"/>
      <c r="S485" s="650"/>
      <c r="T485" s="650"/>
      <c r="U485" s="650"/>
      <c r="V485" s="650"/>
      <c r="W485" s="650"/>
      <c r="X485" s="650"/>
      <c r="Y485" s="650"/>
      <c r="Z485" s="650"/>
      <c r="AA485" s="650"/>
      <c r="AB485" s="650"/>
      <c r="AC485" s="650"/>
      <c r="AD485" s="650"/>
      <c r="AE485" s="650"/>
      <c r="AF485" s="650"/>
      <c r="AG485" s="650"/>
      <c r="AH485" s="650"/>
      <c r="AI485" s="650"/>
      <c r="AJ485" s="650"/>
      <c r="AK485" s="650"/>
      <c r="AL485" s="650"/>
      <c r="AM485" s="650"/>
      <c r="AN485" s="650"/>
      <c r="AO485" s="650"/>
      <c r="AP485" s="650"/>
      <c r="AQ485" s="650"/>
      <c r="AR485" s="650"/>
      <c r="AS485" s="650"/>
      <c r="AT485" s="650"/>
      <c r="AU485" s="650"/>
      <c r="AV485" s="650"/>
      <c r="AW485" s="650"/>
      <c r="AX485" s="650"/>
      <c r="AY485" s="650"/>
    </row>
    <row r="486" ht="21.75" customHeight="1">
      <c r="A486" s="650"/>
      <c r="B486" s="650"/>
      <c r="C486" s="650"/>
      <c r="D486" s="650"/>
      <c r="E486" s="650"/>
      <c r="F486" s="650"/>
      <c r="G486" s="650"/>
      <c r="H486" s="650"/>
      <c r="I486" s="650"/>
      <c r="J486" s="650"/>
      <c r="K486" s="650"/>
      <c r="L486" s="650"/>
      <c r="M486" s="650"/>
      <c r="N486" s="650"/>
      <c r="O486" s="650"/>
      <c r="P486" s="650"/>
      <c r="Q486" s="650"/>
      <c r="R486" s="650"/>
      <c r="S486" s="650"/>
      <c r="T486" s="650"/>
      <c r="U486" s="650"/>
      <c r="V486" s="650"/>
      <c r="W486" s="650"/>
      <c r="X486" s="650"/>
      <c r="Y486" s="650"/>
      <c r="Z486" s="650"/>
      <c r="AA486" s="650"/>
      <c r="AB486" s="650"/>
      <c r="AC486" s="650"/>
      <c r="AD486" s="650"/>
      <c r="AE486" s="650"/>
      <c r="AF486" s="650"/>
      <c r="AG486" s="650"/>
      <c r="AH486" s="650"/>
      <c r="AI486" s="650"/>
      <c r="AJ486" s="650"/>
      <c r="AK486" s="650"/>
      <c r="AL486" s="650"/>
      <c r="AM486" s="650"/>
      <c r="AN486" s="650"/>
      <c r="AO486" s="650"/>
      <c r="AP486" s="650"/>
      <c r="AQ486" s="650"/>
      <c r="AR486" s="650"/>
      <c r="AS486" s="650"/>
      <c r="AT486" s="650"/>
      <c r="AU486" s="650"/>
      <c r="AV486" s="650"/>
      <c r="AW486" s="650"/>
      <c r="AX486" s="650"/>
      <c r="AY486" s="650"/>
    </row>
    <row r="487" ht="21.75" customHeight="1">
      <c r="A487" s="650"/>
      <c r="B487" s="650"/>
      <c r="C487" s="650"/>
      <c r="D487" s="650"/>
      <c r="E487" s="650"/>
      <c r="F487" s="650"/>
      <c r="G487" s="650"/>
      <c r="H487" s="650"/>
      <c r="I487" s="650"/>
      <c r="J487" s="650"/>
      <c r="K487" s="650"/>
      <c r="L487" s="650"/>
      <c r="M487" s="650"/>
      <c r="N487" s="650"/>
      <c r="O487" s="650"/>
      <c r="P487" s="650"/>
      <c r="Q487" s="650"/>
      <c r="R487" s="650"/>
      <c r="S487" s="650"/>
      <c r="T487" s="650"/>
      <c r="U487" s="650"/>
      <c r="V487" s="650"/>
      <c r="W487" s="650"/>
      <c r="X487" s="650"/>
      <c r="Y487" s="650"/>
      <c r="Z487" s="650"/>
      <c r="AA487" s="650"/>
      <c r="AB487" s="650"/>
      <c r="AC487" s="650"/>
      <c r="AD487" s="650"/>
      <c r="AE487" s="650"/>
      <c r="AF487" s="650"/>
      <c r="AG487" s="650"/>
      <c r="AH487" s="650"/>
      <c r="AI487" s="650"/>
      <c r="AJ487" s="650"/>
      <c r="AK487" s="650"/>
      <c r="AL487" s="650"/>
      <c r="AM487" s="650"/>
      <c r="AN487" s="650"/>
      <c r="AO487" s="650"/>
      <c r="AP487" s="650"/>
      <c r="AQ487" s="650"/>
      <c r="AR487" s="650"/>
      <c r="AS487" s="650"/>
      <c r="AT487" s="650"/>
      <c r="AU487" s="650"/>
      <c r="AV487" s="650"/>
      <c r="AW487" s="650"/>
      <c r="AX487" s="650"/>
      <c r="AY487" s="650"/>
    </row>
    <row r="488" ht="21.75" customHeight="1">
      <c r="A488" s="650"/>
      <c r="B488" s="650"/>
      <c r="C488" s="650"/>
      <c r="D488" s="650"/>
      <c r="E488" s="650"/>
      <c r="F488" s="650"/>
      <c r="G488" s="650"/>
      <c r="H488" s="650"/>
      <c r="I488" s="650"/>
      <c r="J488" s="650"/>
      <c r="K488" s="650"/>
      <c r="L488" s="650"/>
      <c r="M488" s="650"/>
      <c r="N488" s="650"/>
      <c r="O488" s="650"/>
      <c r="P488" s="650"/>
      <c r="Q488" s="650"/>
      <c r="R488" s="650"/>
      <c r="S488" s="650"/>
      <c r="T488" s="650"/>
      <c r="U488" s="650"/>
      <c r="V488" s="650"/>
      <c r="W488" s="650"/>
      <c r="X488" s="650"/>
      <c r="Y488" s="650"/>
      <c r="Z488" s="650"/>
      <c r="AA488" s="650"/>
      <c r="AB488" s="650"/>
      <c r="AC488" s="650"/>
      <c r="AD488" s="650"/>
      <c r="AE488" s="650"/>
      <c r="AF488" s="650"/>
      <c r="AG488" s="650"/>
      <c r="AH488" s="650"/>
      <c r="AI488" s="650"/>
      <c r="AJ488" s="650"/>
      <c r="AK488" s="650"/>
      <c r="AL488" s="650"/>
      <c r="AM488" s="650"/>
      <c r="AN488" s="650"/>
      <c r="AO488" s="650"/>
      <c r="AP488" s="650"/>
      <c r="AQ488" s="650"/>
      <c r="AR488" s="650"/>
      <c r="AS488" s="650"/>
      <c r="AT488" s="650"/>
      <c r="AU488" s="650"/>
      <c r="AV488" s="650"/>
      <c r="AW488" s="650"/>
      <c r="AX488" s="650"/>
      <c r="AY488" s="650"/>
    </row>
    <row r="489" ht="21.75" customHeight="1">
      <c r="A489" s="650"/>
      <c r="B489" s="650"/>
      <c r="C489" s="650"/>
      <c r="D489" s="650"/>
      <c r="E489" s="650"/>
      <c r="F489" s="650"/>
      <c r="G489" s="650"/>
      <c r="H489" s="650"/>
      <c r="I489" s="650"/>
      <c r="J489" s="650"/>
      <c r="K489" s="650"/>
      <c r="L489" s="650"/>
      <c r="M489" s="650"/>
      <c r="N489" s="650"/>
      <c r="O489" s="650"/>
      <c r="P489" s="650"/>
      <c r="Q489" s="650"/>
      <c r="R489" s="650"/>
      <c r="S489" s="650"/>
      <c r="T489" s="650"/>
      <c r="U489" s="650"/>
      <c r="V489" s="650"/>
      <c r="W489" s="650"/>
      <c r="X489" s="650"/>
      <c r="Y489" s="650"/>
      <c r="Z489" s="650"/>
      <c r="AA489" s="650"/>
      <c r="AB489" s="650"/>
      <c r="AC489" s="650"/>
      <c r="AD489" s="650"/>
      <c r="AE489" s="650"/>
      <c r="AF489" s="650"/>
      <c r="AG489" s="650"/>
      <c r="AH489" s="650"/>
      <c r="AI489" s="650"/>
      <c r="AJ489" s="650"/>
      <c r="AK489" s="650"/>
      <c r="AL489" s="650"/>
      <c r="AM489" s="650"/>
      <c r="AN489" s="650"/>
      <c r="AO489" s="650"/>
      <c r="AP489" s="650"/>
      <c r="AQ489" s="650"/>
      <c r="AR489" s="650"/>
      <c r="AS489" s="650"/>
      <c r="AT489" s="650"/>
      <c r="AU489" s="650"/>
      <c r="AV489" s="650"/>
      <c r="AW489" s="650"/>
      <c r="AX489" s="650"/>
      <c r="AY489" s="650"/>
    </row>
    <row r="490" ht="21.75" customHeight="1">
      <c r="A490" s="650"/>
      <c r="B490" s="650"/>
      <c r="C490" s="650"/>
      <c r="D490" s="650"/>
      <c r="E490" s="650"/>
      <c r="F490" s="650"/>
      <c r="G490" s="650"/>
      <c r="H490" s="650"/>
      <c r="I490" s="650"/>
      <c r="J490" s="650"/>
      <c r="K490" s="650"/>
      <c r="L490" s="650"/>
      <c r="M490" s="650"/>
      <c r="N490" s="650"/>
      <c r="O490" s="650"/>
      <c r="P490" s="650"/>
      <c r="Q490" s="650"/>
      <c r="R490" s="650"/>
      <c r="S490" s="650"/>
      <c r="T490" s="650"/>
      <c r="U490" s="650"/>
      <c r="V490" s="650"/>
      <c r="W490" s="650"/>
      <c r="X490" s="650"/>
      <c r="Y490" s="650"/>
      <c r="Z490" s="650"/>
      <c r="AA490" s="650"/>
      <c r="AB490" s="650"/>
      <c r="AC490" s="650"/>
      <c r="AD490" s="650"/>
      <c r="AE490" s="650"/>
      <c r="AF490" s="650"/>
      <c r="AG490" s="650"/>
      <c r="AH490" s="650"/>
      <c r="AI490" s="650"/>
      <c r="AJ490" s="650"/>
      <c r="AK490" s="650"/>
      <c r="AL490" s="650"/>
      <c r="AM490" s="650"/>
      <c r="AN490" s="650"/>
      <c r="AO490" s="650"/>
      <c r="AP490" s="650"/>
      <c r="AQ490" s="650"/>
      <c r="AR490" s="650"/>
      <c r="AS490" s="650"/>
      <c r="AT490" s="650"/>
      <c r="AU490" s="650"/>
      <c r="AV490" s="650"/>
      <c r="AW490" s="650"/>
      <c r="AX490" s="650"/>
      <c r="AY490" s="650"/>
    </row>
    <row r="491" ht="21.75" customHeight="1">
      <c r="A491" s="650"/>
      <c r="B491" s="650"/>
      <c r="C491" s="650"/>
      <c r="D491" s="650"/>
      <c r="E491" s="650"/>
      <c r="F491" s="650"/>
      <c r="G491" s="650"/>
      <c r="H491" s="650"/>
      <c r="I491" s="650"/>
      <c r="J491" s="650"/>
      <c r="K491" s="650"/>
      <c r="L491" s="650"/>
      <c r="M491" s="650"/>
      <c r="N491" s="650"/>
      <c r="O491" s="650"/>
      <c r="P491" s="650"/>
      <c r="Q491" s="650"/>
      <c r="R491" s="650"/>
      <c r="S491" s="650"/>
      <c r="T491" s="650"/>
      <c r="U491" s="650"/>
      <c r="V491" s="650"/>
      <c r="W491" s="650"/>
      <c r="X491" s="650"/>
      <c r="Y491" s="650"/>
      <c r="Z491" s="650"/>
      <c r="AA491" s="650"/>
      <c r="AB491" s="650"/>
      <c r="AC491" s="650"/>
      <c r="AD491" s="650"/>
      <c r="AE491" s="650"/>
      <c r="AF491" s="650"/>
      <c r="AG491" s="650"/>
      <c r="AH491" s="650"/>
      <c r="AI491" s="650"/>
      <c r="AJ491" s="650"/>
      <c r="AK491" s="650"/>
      <c r="AL491" s="650"/>
      <c r="AM491" s="650"/>
      <c r="AN491" s="650"/>
      <c r="AO491" s="650"/>
      <c r="AP491" s="650"/>
      <c r="AQ491" s="650"/>
      <c r="AR491" s="650"/>
      <c r="AS491" s="650"/>
      <c r="AT491" s="650"/>
      <c r="AU491" s="650"/>
      <c r="AV491" s="650"/>
      <c r="AW491" s="650"/>
      <c r="AX491" s="650"/>
      <c r="AY491" s="650"/>
    </row>
    <row r="492" ht="21.75" customHeight="1">
      <c r="A492" s="650"/>
      <c r="B492" s="650"/>
      <c r="C492" s="650"/>
      <c r="D492" s="650"/>
      <c r="E492" s="650"/>
      <c r="F492" s="650"/>
      <c r="G492" s="650"/>
      <c r="H492" s="650"/>
      <c r="I492" s="650"/>
      <c r="J492" s="650"/>
      <c r="K492" s="650"/>
      <c r="L492" s="650"/>
      <c r="M492" s="650"/>
      <c r="N492" s="650"/>
      <c r="O492" s="650"/>
      <c r="P492" s="650"/>
      <c r="Q492" s="650"/>
      <c r="R492" s="650"/>
      <c r="S492" s="650"/>
      <c r="T492" s="650"/>
      <c r="U492" s="650"/>
      <c r="V492" s="650"/>
      <c r="W492" s="650"/>
      <c r="X492" s="650"/>
      <c r="Y492" s="650"/>
      <c r="Z492" s="650"/>
      <c r="AA492" s="650"/>
      <c r="AB492" s="650"/>
      <c r="AC492" s="650"/>
      <c r="AD492" s="650"/>
      <c r="AE492" s="650"/>
      <c r="AF492" s="650"/>
      <c r="AG492" s="650"/>
      <c r="AH492" s="650"/>
      <c r="AI492" s="650"/>
      <c r="AJ492" s="650"/>
      <c r="AK492" s="650"/>
      <c r="AL492" s="650"/>
      <c r="AM492" s="650"/>
      <c r="AN492" s="650"/>
      <c r="AO492" s="650"/>
      <c r="AP492" s="650"/>
      <c r="AQ492" s="650"/>
      <c r="AR492" s="650"/>
      <c r="AS492" s="650"/>
      <c r="AT492" s="650"/>
      <c r="AU492" s="650"/>
      <c r="AV492" s="650"/>
      <c r="AW492" s="650"/>
      <c r="AX492" s="650"/>
      <c r="AY492" s="650"/>
    </row>
    <row r="493" ht="21.75" customHeight="1">
      <c r="A493" s="650"/>
      <c r="B493" s="650"/>
      <c r="C493" s="650"/>
      <c r="D493" s="650"/>
      <c r="E493" s="650"/>
      <c r="F493" s="650"/>
      <c r="G493" s="650"/>
      <c r="H493" s="650"/>
      <c r="I493" s="650"/>
      <c r="J493" s="650"/>
      <c r="K493" s="650"/>
      <c r="L493" s="650"/>
      <c r="M493" s="650"/>
      <c r="N493" s="650"/>
      <c r="O493" s="650"/>
      <c r="P493" s="650"/>
      <c r="Q493" s="650"/>
      <c r="R493" s="650"/>
      <c r="S493" s="650"/>
      <c r="T493" s="650"/>
      <c r="U493" s="650"/>
      <c r="V493" s="650"/>
      <c r="W493" s="650"/>
      <c r="X493" s="650"/>
      <c r="Y493" s="650"/>
      <c r="Z493" s="650"/>
      <c r="AA493" s="650"/>
      <c r="AB493" s="650"/>
      <c r="AC493" s="650"/>
      <c r="AD493" s="650"/>
      <c r="AE493" s="650"/>
      <c r="AF493" s="650"/>
      <c r="AG493" s="650"/>
      <c r="AH493" s="650"/>
      <c r="AI493" s="650"/>
      <c r="AJ493" s="650"/>
      <c r="AK493" s="650"/>
      <c r="AL493" s="650"/>
      <c r="AM493" s="650"/>
      <c r="AN493" s="650"/>
      <c r="AO493" s="650"/>
      <c r="AP493" s="650"/>
      <c r="AQ493" s="650"/>
      <c r="AR493" s="650"/>
      <c r="AS493" s="650"/>
      <c r="AT493" s="650"/>
      <c r="AU493" s="650"/>
      <c r="AV493" s="650"/>
      <c r="AW493" s="650"/>
      <c r="AX493" s="650"/>
      <c r="AY493" s="650"/>
    </row>
    <row r="494" ht="21.75" customHeight="1">
      <c r="A494" s="650"/>
      <c r="B494" s="650"/>
      <c r="C494" s="650"/>
      <c r="D494" s="650"/>
      <c r="E494" s="650"/>
      <c r="F494" s="650"/>
      <c r="G494" s="650"/>
      <c r="H494" s="650"/>
      <c r="I494" s="650"/>
      <c r="J494" s="650"/>
      <c r="K494" s="650"/>
      <c r="L494" s="650"/>
      <c r="M494" s="650"/>
      <c r="N494" s="650"/>
      <c r="O494" s="650"/>
      <c r="P494" s="650"/>
      <c r="Q494" s="650"/>
      <c r="R494" s="650"/>
      <c r="S494" s="650"/>
      <c r="T494" s="650"/>
      <c r="U494" s="650"/>
      <c r="V494" s="650"/>
      <c r="W494" s="650"/>
      <c r="X494" s="650"/>
      <c r="Y494" s="650"/>
      <c r="Z494" s="650"/>
      <c r="AA494" s="650"/>
      <c r="AB494" s="650"/>
      <c r="AC494" s="650"/>
      <c r="AD494" s="650"/>
      <c r="AE494" s="650"/>
      <c r="AF494" s="650"/>
      <c r="AG494" s="650"/>
      <c r="AH494" s="650"/>
      <c r="AI494" s="650"/>
      <c r="AJ494" s="650"/>
      <c r="AK494" s="650"/>
      <c r="AL494" s="650"/>
      <c r="AM494" s="650"/>
      <c r="AN494" s="650"/>
      <c r="AO494" s="650"/>
      <c r="AP494" s="650"/>
      <c r="AQ494" s="650"/>
      <c r="AR494" s="650"/>
      <c r="AS494" s="650"/>
      <c r="AT494" s="650"/>
      <c r="AU494" s="650"/>
      <c r="AV494" s="650"/>
      <c r="AW494" s="650"/>
      <c r="AX494" s="650"/>
      <c r="AY494" s="650"/>
    </row>
    <row r="495" ht="21.75" customHeight="1">
      <c r="A495" s="650"/>
      <c r="B495" s="650"/>
      <c r="C495" s="650"/>
      <c r="D495" s="650"/>
      <c r="E495" s="650"/>
      <c r="F495" s="650"/>
      <c r="G495" s="650"/>
      <c r="H495" s="650"/>
      <c r="I495" s="650"/>
      <c r="J495" s="650"/>
      <c r="K495" s="650"/>
      <c r="L495" s="650"/>
      <c r="M495" s="650"/>
      <c r="N495" s="650"/>
      <c r="O495" s="650"/>
      <c r="P495" s="650"/>
      <c r="Q495" s="650"/>
      <c r="R495" s="650"/>
      <c r="S495" s="650"/>
      <c r="T495" s="650"/>
      <c r="U495" s="650"/>
      <c r="V495" s="650"/>
      <c r="W495" s="650"/>
      <c r="X495" s="650"/>
      <c r="Y495" s="650"/>
      <c r="Z495" s="650"/>
      <c r="AA495" s="650"/>
      <c r="AB495" s="650"/>
      <c r="AC495" s="650"/>
      <c r="AD495" s="650"/>
      <c r="AE495" s="650"/>
      <c r="AF495" s="650"/>
      <c r="AG495" s="650"/>
      <c r="AH495" s="650"/>
      <c r="AI495" s="650"/>
      <c r="AJ495" s="650"/>
      <c r="AK495" s="650"/>
      <c r="AL495" s="650"/>
      <c r="AM495" s="650"/>
      <c r="AN495" s="650"/>
      <c r="AO495" s="650"/>
      <c r="AP495" s="650"/>
      <c r="AQ495" s="650"/>
      <c r="AR495" s="650"/>
      <c r="AS495" s="650"/>
      <c r="AT495" s="650"/>
      <c r="AU495" s="650"/>
      <c r="AV495" s="650"/>
      <c r="AW495" s="650"/>
      <c r="AX495" s="650"/>
      <c r="AY495" s="650"/>
    </row>
    <row r="496" ht="21.75" customHeight="1">
      <c r="A496" s="650"/>
      <c r="B496" s="650"/>
      <c r="C496" s="650"/>
      <c r="D496" s="650"/>
      <c r="E496" s="650"/>
      <c r="F496" s="650"/>
      <c r="G496" s="650"/>
      <c r="H496" s="650"/>
      <c r="I496" s="650"/>
      <c r="J496" s="650"/>
      <c r="K496" s="650"/>
      <c r="L496" s="650"/>
      <c r="M496" s="650"/>
      <c r="N496" s="650"/>
      <c r="O496" s="650"/>
      <c r="P496" s="650"/>
      <c r="Q496" s="650"/>
      <c r="R496" s="650"/>
      <c r="S496" s="650"/>
      <c r="T496" s="650"/>
      <c r="U496" s="650"/>
      <c r="V496" s="650"/>
      <c r="W496" s="650"/>
      <c r="X496" s="650"/>
      <c r="Y496" s="650"/>
      <c r="Z496" s="650"/>
      <c r="AA496" s="650"/>
      <c r="AB496" s="650"/>
      <c r="AC496" s="650"/>
      <c r="AD496" s="650"/>
      <c r="AE496" s="650"/>
      <c r="AF496" s="650"/>
      <c r="AG496" s="650"/>
      <c r="AH496" s="650"/>
      <c r="AI496" s="650"/>
      <c r="AJ496" s="650"/>
      <c r="AK496" s="650"/>
      <c r="AL496" s="650"/>
      <c r="AM496" s="650"/>
      <c r="AN496" s="650"/>
      <c r="AO496" s="650"/>
      <c r="AP496" s="650"/>
      <c r="AQ496" s="650"/>
      <c r="AR496" s="650"/>
      <c r="AS496" s="650"/>
      <c r="AT496" s="650"/>
      <c r="AU496" s="650"/>
      <c r="AV496" s="650"/>
      <c r="AW496" s="650"/>
      <c r="AX496" s="650"/>
      <c r="AY496" s="650"/>
    </row>
    <row r="497" ht="21.75" customHeight="1">
      <c r="A497" s="650"/>
      <c r="B497" s="650"/>
      <c r="C497" s="650"/>
      <c r="D497" s="650"/>
      <c r="E497" s="650"/>
      <c r="F497" s="650"/>
      <c r="G497" s="650"/>
      <c r="H497" s="650"/>
      <c r="I497" s="650"/>
      <c r="J497" s="650"/>
      <c r="K497" s="650"/>
      <c r="L497" s="650"/>
      <c r="M497" s="650"/>
      <c r="N497" s="650"/>
      <c r="O497" s="650"/>
      <c r="P497" s="650"/>
      <c r="Q497" s="650"/>
      <c r="R497" s="650"/>
      <c r="S497" s="650"/>
      <c r="T497" s="650"/>
      <c r="U497" s="650"/>
      <c r="V497" s="650"/>
      <c r="W497" s="650"/>
      <c r="X497" s="650"/>
      <c r="Y497" s="650"/>
      <c r="Z497" s="650"/>
      <c r="AA497" s="650"/>
      <c r="AB497" s="650"/>
      <c r="AC497" s="650"/>
      <c r="AD497" s="650"/>
      <c r="AE497" s="650"/>
      <c r="AF497" s="650"/>
      <c r="AG497" s="650"/>
      <c r="AH497" s="650"/>
      <c r="AI497" s="650"/>
      <c r="AJ497" s="650"/>
      <c r="AK497" s="650"/>
      <c r="AL497" s="650"/>
      <c r="AM497" s="650"/>
      <c r="AN497" s="650"/>
      <c r="AO497" s="650"/>
      <c r="AP497" s="650"/>
      <c r="AQ497" s="650"/>
      <c r="AR497" s="650"/>
      <c r="AS497" s="650"/>
      <c r="AT497" s="650"/>
      <c r="AU497" s="650"/>
      <c r="AV497" s="650"/>
      <c r="AW497" s="650"/>
      <c r="AX497" s="650"/>
      <c r="AY497" s="650"/>
    </row>
    <row r="498" ht="21.75" customHeight="1">
      <c r="A498" s="650"/>
      <c r="B498" s="650"/>
      <c r="C498" s="650"/>
      <c r="D498" s="650"/>
      <c r="E498" s="650"/>
      <c r="F498" s="650"/>
      <c r="G498" s="650"/>
      <c r="H498" s="650"/>
      <c r="I498" s="650"/>
      <c r="J498" s="650"/>
      <c r="K498" s="650"/>
      <c r="L498" s="650"/>
      <c r="M498" s="650"/>
      <c r="N498" s="650"/>
      <c r="O498" s="650"/>
      <c r="P498" s="650"/>
      <c r="Q498" s="650"/>
      <c r="R498" s="650"/>
      <c r="S498" s="650"/>
      <c r="T498" s="650"/>
      <c r="U498" s="650"/>
      <c r="V498" s="650"/>
      <c r="W498" s="650"/>
      <c r="X498" s="650"/>
      <c r="Y498" s="650"/>
      <c r="Z498" s="650"/>
      <c r="AA498" s="650"/>
      <c r="AB498" s="650"/>
      <c r="AC498" s="650"/>
      <c r="AD498" s="650"/>
      <c r="AE498" s="650"/>
      <c r="AF498" s="650"/>
      <c r="AG498" s="650"/>
      <c r="AH498" s="650"/>
      <c r="AI498" s="650"/>
      <c r="AJ498" s="650"/>
      <c r="AK498" s="650"/>
      <c r="AL498" s="650"/>
      <c r="AM498" s="650"/>
      <c r="AN498" s="650"/>
      <c r="AO498" s="650"/>
      <c r="AP498" s="650"/>
      <c r="AQ498" s="650"/>
      <c r="AR498" s="650"/>
      <c r="AS498" s="650"/>
      <c r="AT498" s="650"/>
      <c r="AU498" s="650"/>
      <c r="AV498" s="650"/>
      <c r="AW498" s="650"/>
      <c r="AX498" s="650"/>
      <c r="AY498" s="650"/>
    </row>
    <row r="499" ht="21.75" customHeight="1">
      <c r="A499" s="650"/>
      <c r="B499" s="650"/>
      <c r="C499" s="650"/>
      <c r="D499" s="650"/>
      <c r="E499" s="650"/>
      <c r="F499" s="650"/>
      <c r="G499" s="650"/>
      <c r="H499" s="650"/>
      <c r="I499" s="650"/>
      <c r="J499" s="650"/>
      <c r="K499" s="650"/>
      <c r="L499" s="650"/>
      <c r="M499" s="650"/>
      <c r="N499" s="650"/>
      <c r="O499" s="650"/>
      <c r="P499" s="650"/>
      <c r="Q499" s="650"/>
      <c r="R499" s="650"/>
      <c r="S499" s="650"/>
      <c r="T499" s="650"/>
      <c r="U499" s="650"/>
      <c r="V499" s="650"/>
      <c r="W499" s="650"/>
      <c r="X499" s="650"/>
      <c r="Y499" s="650"/>
      <c r="Z499" s="650"/>
      <c r="AA499" s="650"/>
      <c r="AB499" s="650"/>
      <c r="AC499" s="650"/>
      <c r="AD499" s="650"/>
      <c r="AE499" s="650"/>
      <c r="AF499" s="650"/>
      <c r="AG499" s="650"/>
      <c r="AH499" s="650"/>
      <c r="AI499" s="650"/>
      <c r="AJ499" s="650"/>
      <c r="AK499" s="650"/>
      <c r="AL499" s="650"/>
      <c r="AM499" s="650"/>
      <c r="AN499" s="650"/>
      <c r="AO499" s="650"/>
      <c r="AP499" s="650"/>
      <c r="AQ499" s="650"/>
      <c r="AR499" s="650"/>
      <c r="AS499" s="650"/>
      <c r="AT499" s="650"/>
      <c r="AU499" s="650"/>
      <c r="AV499" s="650"/>
      <c r="AW499" s="650"/>
      <c r="AX499" s="650"/>
      <c r="AY499" s="650"/>
    </row>
    <row r="500" ht="21.75" customHeight="1">
      <c r="A500" s="650"/>
      <c r="B500" s="650"/>
      <c r="C500" s="650"/>
      <c r="D500" s="650"/>
      <c r="E500" s="650"/>
      <c r="F500" s="650"/>
      <c r="G500" s="650"/>
      <c r="H500" s="650"/>
      <c r="I500" s="650"/>
      <c r="J500" s="650"/>
      <c r="K500" s="650"/>
      <c r="L500" s="650"/>
      <c r="M500" s="650"/>
      <c r="N500" s="650"/>
      <c r="O500" s="650"/>
      <c r="P500" s="650"/>
      <c r="Q500" s="650"/>
      <c r="R500" s="650"/>
      <c r="S500" s="650"/>
      <c r="T500" s="650"/>
      <c r="U500" s="650"/>
      <c r="V500" s="650"/>
      <c r="W500" s="650"/>
      <c r="X500" s="650"/>
      <c r="Y500" s="650"/>
      <c r="Z500" s="650"/>
      <c r="AA500" s="650"/>
      <c r="AB500" s="650"/>
      <c r="AC500" s="650"/>
      <c r="AD500" s="650"/>
      <c r="AE500" s="650"/>
      <c r="AF500" s="650"/>
      <c r="AG500" s="650"/>
      <c r="AH500" s="650"/>
      <c r="AI500" s="650"/>
      <c r="AJ500" s="650"/>
      <c r="AK500" s="650"/>
      <c r="AL500" s="650"/>
      <c r="AM500" s="650"/>
      <c r="AN500" s="650"/>
      <c r="AO500" s="650"/>
      <c r="AP500" s="650"/>
      <c r="AQ500" s="650"/>
      <c r="AR500" s="650"/>
      <c r="AS500" s="650"/>
      <c r="AT500" s="650"/>
      <c r="AU500" s="650"/>
      <c r="AV500" s="650"/>
      <c r="AW500" s="650"/>
      <c r="AX500" s="650"/>
      <c r="AY500" s="650"/>
    </row>
    <row r="501" ht="21.75" customHeight="1">
      <c r="A501" s="650"/>
      <c r="B501" s="650"/>
      <c r="C501" s="650"/>
      <c r="D501" s="650"/>
      <c r="E501" s="650"/>
      <c r="F501" s="650"/>
      <c r="G501" s="650"/>
      <c r="H501" s="650"/>
      <c r="I501" s="650"/>
      <c r="J501" s="650"/>
      <c r="K501" s="650"/>
      <c r="L501" s="650"/>
      <c r="M501" s="650"/>
      <c r="N501" s="650"/>
      <c r="O501" s="650"/>
      <c r="P501" s="650"/>
      <c r="Q501" s="650"/>
      <c r="R501" s="650"/>
      <c r="S501" s="650"/>
      <c r="T501" s="650"/>
      <c r="U501" s="650"/>
      <c r="V501" s="650"/>
      <c r="W501" s="650"/>
      <c r="X501" s="650"/>
      <c r="Y501" s="650"/>
      <c r="Z501" s="650"/>
      <c r="AA501" s="650"/>
      <c r="AB501" s="650"/>
      <c r="AC501" s="650"/>
      <c r="AD501" s="650"/>
      <c r="AE501" s="650"/>
      <c r="AF501" s="650"/>
      <c r="AG501" s="650"/>
      <c r="AH501" s="650"/>
      <c r="AI501" s="650"/>
      <c r="AJ501" s="650"/>
      <c r="AK501" s="650"/>
      <c r="AL501" s="650"/>
      <c r="AM501" s="650"/>
      <c r="AN501" s="650"/>
      <c r="AO501" s="650"/>
      <c r="AP501" s="650"/>
      <c r="AQ501" s="650"/>
      <c r="AR501" s="650"/>
      <c r="AS501" s="650"/>
      <c r="AT501" s="650"/>
      <c r="AU501" s="650"/>
      <c r="AV501" s="650"/>
      <c r="AW501" s="650"/>
      <c r="AX501" s="650"/>
      <c r="AY501" s="650"/>
    </row>
    <row r="502" ht="21.75" customHeight="1">
      <c r="A502" s="650"/>
      <c r="B502" s="650"/>
      <c r="C502" s="650"/>
      <c r="D502" s="650"/>
      <c r="E502" s="650"/>
      <c r="F502" s="650"/>
      <c r="G502" s="650"/>
      <c r="H502" s="650"/>
      <c r="I502" s="650"/>
      <c r="J502" s="650"/>
      <c r="K502" s="650"/>
      <c r="L502" s="650"/>
      <c r="M502" s="650"/>
      <c r="N502" s="650"/>
      <c r="O502" s="650"/>
      <c r="P502" s="650"/>
      <c r="Q502" s="650"/>
      <c r="R502" s="650"/>
      <c r="S502" s="650"/>
      <c r="T502" s="650"/>
      <c r="U502" s="650"/>
      <c r="V502" s="650"/>
      <c r="W502" s="650"/>
      <c r="X502" s="650"/>
      <c r="Y502" s="650"/>
      <c r="Z502" s="650"/>
      <c r="AA502" s="650"/>
      <c r="AB502" s="650"/>
      <c r="AC502" s="650"/>
      <c r="AD502" s="650"/>
      <c r="AE502" s="650"/>
      <c r="AF502" s="650"/>
      <c r="AG502" s="650"/>
      <c r="AH502" s="650"/>
      <c r="AI502" s="650"/>
      <c r="AJ502" s="650"/>
      <c r="AK502" s="650"/>
      <c r="AL502" s="650"/>
      <c r="AM502" s="650"/>
      <c r="AN502" s="650"/>
      <c r="AO502" s="650"/>
      <c r="AP502" s="650"/>
      <c r="AQ502" s="650"/>
      <c r="AR502" s="650"/>
      <c r="AS502" s="650"/>
      <c r="AT502" s="650"/>
      <c r="AU502" s="650"/>
      <c r="AV502" s="650"/>
      <c r="AW502" s="650"/>
      <c r="AX502" s="650"/>
      <c r="AY502" s="650"/>
    </row>
    <row r="503" ht="21.75" customHeight="1">
      <c r="A503" s="650"/>
      <c r="B503" s="650"/>
      <c r="C503" s="650"/>
      <c r="D503" s="650"/>
      <c r="E503" s="650"/>
      <c r="F503" s="650"/>
      <c r="G503" s="650"/>
      <c r="H503" s="650"/>
      <c r="I503" s="650"/>
      <c r="J503" s="650"/>
      <c r="K503" s="650"/>
      <c r="L503" s="650"/>
      <c r="M503" s="650"/>
      <c r="N503" s="650"/>
      <c r="O503" s="650"/>
      <c r="P503" s="650"/>
      <c r="Q503" s="650"/>
      <c r="R503" s="650"/>
      <c r="S503" s="650"/>
      <c r="T503" s="650"/>
      <c r="U503" s="650"/>
      <c r="V503" s="650"/>
      <c r="W503" s="650"/>
      <c r="X503" s="650"/>
      <c r="Y503" s="650"/>
      <c r="Z503" s="650"/>
      <c r="AA503" s="650"/>
      <c r="AB503" s="650"/>
      <c r="AC503" s="650"/>
      <c r="AD503" s="650"/>
      <c r="AE503" s="650"/>
      <c r="AF503" s="650"/>
      <c r="AG503" s="650"/>
      <c r="AH503" s="650"/>
      <c r="AI503" s="650"/>
      <c r="AJ503" s="650"/>
      <c r="AK503" s="650"/>
      <c r="AL503" s="650"/>
      <c r="AM503" s="650"/>
      <c r="AN503" s="650"/>
      <c r="AO503" s="650"/>
      <c r="AP503" s="650"/>
      <c r="AQ503" s="650"/>
      <c r="AR503" s="650"/>
      <c r="AS503" s="650"/>
      <c r="AT503" s="650"/>
      <c r="AU503" s="650"/>
      <c r="AV503" s="650"/>
      <c r="AW503" s="650"/>
      <c r="AX503" s="650"/>
      <c r="AY503" s="650"/>
    </row>
    <row r="504" ht="21.75" customHeight="1">
      <c r="A504" s="650"/>
      <c r="B504" s="650"/>
      <c r="C504" s="650"/>
      <c r="D504" s="650"/>
      <c r="E504" s="650"/>
      <c r="F504" s="650"/>
      <c r="G504" s="650"/>
      <c r="H504" s="650"/>
      <c r="I504" s="650"/>
      <c r="J504" s="650"/>
      <c r="K504" s="650"/>
      <c r="L504" s="650"/>
      <c r="M504" s="650"/>
      <c r="N504" s="650"/>
      <c r="O504" s="650"/>
      <c r="P504" s="650"/>
      <c r="Q504" s="650"/>
      <c r="R504" s="650"/>
      <c r="S504" s="650"/>
      <c r="T504" s="650"/>
      <c r="U504" s="650"/>
      <c r="V504" s="650"/>
      <c r="W504" s="650"/>
      <c r="X504" s="650"/>
      <c r="Y504" s="650"/>
      <c r="Z504" s="650"/>
      <c r="AA504" s="650"/>
      <c r="AB504" s="650"/>
      <c r="AC504" s="650"/>
      <c r="AD504" s="650"/>
      <c r="AE504" s="650"/>
      <c r="AF504" s="650"/>
      <c r="AG504" s="650"/>
      <c r="AH504" s="650"/>
      <c r="AI504" s="650"/>
      <c r="AJ504" s="650"/>
      <c r="AK504" s="650"/>
      <c r="AL504" s="650"/>
      <c r="AM504" s="650"/>
      <c r="AN504" s="650"/>
      <c r="AO504" s="650"/>
      <c r="AP504" s="650"/>
      <c r="AQ504" s="650"/>
      <c r="AR504" s="650"/>
      <c r="AS504" s="650"/>
      <c r="AT504" s="650"/>
      <c r="AU504" s="650"/>
      <c r="AV504" s="650"/>
      <c r="AW504" s="650"/>
      <c r="AX504" s="650"/>
      <c r="AY504" s="650"/>
    </row>
    <row r="505" ht="21.75" customHeight="1">
      <c r="A505" s="650"/>
      <c r="B505" s="650"/>
      <c r="C505" s="650"/>
      <c r="D505" s="650"/>
      <c r="E505" s="650"/>
      <c r="F505" s="650"/>
      <c r="G505" s="650"/>
      <c r="H505" s="650"/>
      <c r="I505" s="650"/>
      <c r="J505" s="650"/>
      <c r="K505" s="650"/>
      <c r="L505" s="650"/>
      <c r="M505" s="650"/>
      <c r="N505" s="650"/>
      <c r="O505" s="650"/>
      <c r="P505" s="650"/>
      <c r="Q505" s="650"/>
      <c r="R505" s="650"/>
      <c r="S505" s="650"/>
      <c r="T505" s="650"/>
      <c r="U505" s="650"/>
      <c r="V505" s="650"/>
      <c r="W505" s="650"/>
      <c r="X505" s="650"/>
      <c r="Y505" s="650"/>
      <c r="Z505" s="650"/>
      <c r="AA505" s="650"/>
      <c r="AB505" s="650"/>
      <c r="AC505" s="650"/>
      <c r="AD505" s="650"/>
      <c r="AE505" s="650"/>
      <c r="AF505" s="650"/>
      <c r="AG505" s="650"/>
      <c r="AH505" s="650"/>
      <c r="AI505" s="650"/>
      <c r="AJ505" s="650"/>
      <c r="AK505" s="650"/>
      <c r="AL505" s="650"/>
      <c r="AM505" s="650"/>
      <c r="AN505" s="650"/>
      <c r="AO505" s="650"/>
      <c r="AP505" s="650"/>
      <c r="AQ505" s="650"/>
      <c r="AR505" s="650"/>
      <c r="AS505" s="650"/>
      <c r="AT505" s="650"/>
      <c r="AU505" s="650"/>
      <c r="AV505" s="650"/>
      <c r="AW505" s="650"/>
      <c r="AX505" s="650"/>
      <c r="AY505" s="650"/>
    </row>
    <row r="506" ht="21.75" customHeight="1">
      <c r="A506" s="650"/>
      <c r="B506" s="650"/>
      <c r="C506" s="650"/>
      <c r="D506" s="650"/>
      <c r="E506" s="650"/>
      <c r="F506" s="650"/>
      <c r="G506" s="650"/>
      <c r="H506" s="650"/>
      <c r="I506" s="650"/>
      <c r="J506" s="650"/>
      <c r="K506" s="650"/>
      <c r="L506" s="650"/>
      <c r="M506" s="650"/>
      <c r="N506" s="650"/>
      <c r="O506" s="650"/>
      <c r="P506" s="650"/>
      <c r="Q506" s="650"/>
      <c r="R506" s="650"/>
      <c r="S506" s="650"/>
      <c r="T506" s="650"/>
      <c r="U506" s="650"/>
      <c r="V506" s="650"/>
      <c r="W506" s="650"/>
      <c r="X506" s="650"/>
      <c r="Y506" s="650"/>
      <c r="Z506" s="650"/>
      <c r="AA506" s="650"/>
      <c r="AB506" s="650"/>
      <c r="AC506" s="650"/>
      <c r="AD506" s="650"/>
      <c r="AE506" s="650"/>
      <c r="AF506" s="650"/>
      <c r="AG506" s="650"/>
      <c r="AH506" s="650"/>
      <c r="AI506" s="650"/>
      <c r="AJ506" s="650"/>
      <c r="AK506" s="650"/>
      <c r="AL506" s="650"/>
      <c r="AM506" s="650"/>
      <c r="AN506" s="650"/>
      <c r="AO506" s="650"/>
      <c r="AP506" s="650"/>
      <c r="AQ506" s="650"/>
      <c r="AR506" s="650"/>
      <c r="AS506" s="650"/>
      <c r="AT506" s="650"/>
      <c r="AU506" s="650"/>
      <c r="AV506" s="650"/>
      <c r="AW506" s="650"/>
      <c r="AX506" s="650"/>
      <c r="AY506" s="650"/>
    </row>
    <row r="507" ht="21.75" customHeight="1">
      <c r="A507" s="650"/>
      <c r="B507" s="650"/>
      <c r="C507" s="650"/>
      <c r="D507" s="650"/>
      <c r="E507" s="650"/>
      <c r="F507" s="650"/>
      <c r="G507" s="650"/>
      <c r="H507" s="650"/>
      <c r="I507" s="650"/>
      <c r="J507" s="650"/>
      <c r="K507" s="650"/>
      <c r="L507" s="650"/>
      <c r="M507" s="650"/>
      <c r="N507" s="650"/>
      <c r="O507" s="650"/>
      <c r="P507" s="650"/>
      <c r="Q507" s="650"/>
      <c r="R507" s="650"/>
      <c r="S507" s="650"/>
      <c r="T507" s="650"/>
      <c r="U507" s="650"/>
      <c r="V507" s="650"/>
      <c r="W507" s="650"/>
      <c r="X507" s="650"/>
      <c r="Y507" s="650"/>
      <c r="Z507" s="650"/>
      <c r="AA507" s="650"/>
      <c r="AB507" s="650"/>
      <c r="AC507" s="650"/>
      <c r="AD507" s="650"/>
      <c r="AE507" s="650"/>
      <c r="AF507" s="650"/>
      <c r="AG507" s="650"/>
      <c r="AH507" s="650"/>
      <c r="AI507" s="650"/>
      <c r="AJ507" s="650"/>
      <c r="AK507" s="650"/>
      <c r="AL507" s="650"/>
      <c r="AM507" s="650"/>
      <c r="AN507" s="650"/>
      <c r="AO507" s="650"/>
      <c r="AP507" s="650"/>
      <c r="AQ507" s="650"/>
      <c r="AR507" s="650"/>
      <c r="AS507" s="650"/>
      <c r="AT507" s="650"/>
      <c r="AU507" s="650"/>
      <c r="AV507" s="650"/>
      <c r="AW507" s="650"/>
      <c r="AX507" s="650"/>
      <c r="AY507" s="650"/>
    </row>
    <row r="508" ht="21.75" customHeight="1">
      <c r="A508" s="650"/>
      <c r="B508" s="650"/>
      <c r="C508" s="650"/>
      <c r="D508" s="650"/>
      <c r="E508" s="650"/>
      <c r="F508" s="650"/>
      <c r="G508" s="650"/>
      <c r="H508" s="650"/>
      <c r="I508" s="650"/>
      <c r="J508" s="650"/>
      <c r="K508" s="650"/>
      <c r="L508" s="650"/>
      <c r="M508" s="650"/>
      <c r="N508" s="650"/>
      <c r="O508" s="650"/>
      <c r="P508" s="650"/>
      <c r="Q508" s="650"/>
      <c r="R508" s="650"/>
      <c r="S508" s="650"/>
      <c r="T508" s="650"/>
      <c r="U508" s="650"/>
      <c r="V508" s="650"/>
      <c r="W508" s="650"/>
      <c r="X508" s="650"/>
      <c r="Y508" s="650"/>
      <c r="Z508" s="650"/>
      <c r="AA508" s="650"/>
      <c r="AB508" s="650"/>
      <c r="AC508" s="650"/>
      <c r="AD508" s="650"/>
      <c r="AE508" s="650"/>
      <c r="AF508" s="650"/>
      <c r="AG508" s="650"/>
      <c r="AH508" s="650"/>
      <c r="AI508" s="650"/>
      <c r="AJ508" s="650"/>
      <c r="AK508" s="650"/>
      <c r="AL508" s="650"/>
      <c r="AM508" s="650"/>
      <c r="AN508" s="650"/>
      <c r="AO508" s="650"/>
      <c r="AP508" s="650"/>
      <c r="AQ508" s="650"/>
      <c r="AR508" s="650"/>
      <c r="AS508" s="650"/>
      <c r="AT508" s="650"/>
      <c r="AU508" s="650"/>
      <c r="AV508" s="650"/>
      <c r="AW508" s="650"/>
      <c r="AX508" s="650"/>
      <c r="AY508" s="650"/>
    </row>
    <row r="509" ht="21.75" customHeight="1">
      <c r="A509" s="650"/>
      <c r="B509" s="650"/>
      <c r="C509" s="650"/>
      <c r="D509" s="650"/>
      <c r="E509" s="650"/>
      <c r="F509" s="650"/>
      <c r="G509" s="650"/>
      <c r="H509" s="650"/>
      <c r="I509" s="650"/>
      <c r="J509" s="650"/>
      <c r="K509" s="650"/>
      <c r="L509" s="650"/>
      <c r="M509" s="650"/>
      <c r="N509" s="650"/>
      <c r="O509" s="650"/>
      <c r="P509" s="650"/>
      <c r="Q509" s="650"/>
      <c r="R509" s="650"/>
      <c r="S509" s="650"/>
      <c r="T509" s="650"/>
      <c r="U509" s="650"/>
      <c r="V509" s="650"/>
      <c r="W509" s="650"/>
      <c r="X509" s="650"/>
      <c r="Y509" s="650"/>
      <c r="Z509" s="650"/>
      <c r="AA509" s="650"/>
      <c r="AB509" s="650"/>
      <c r="AC509" s="650"/>
      <c r="AD509" s="650"/>
      <c r="AE509" s="650"/>
      <c r="AF509" s="650"/>
      <c r="AG509" s="650"/>
      <c r="AH509" s="650"/>
      <c r="AI509" s="650"/>
      <c r="AJ509" s="650"/>
      <c r="AK509" s="650"/>
      <c r="AL509" s="650"/>
      <c r="AM509" s="650"/>
      <c r="AN509" s="650"/>
      <c r="AO509" s="650"/>
      <c r="AP509" s="650"/>
      <c r="AQ509" s="650"/>
      <c r="AR509" s="650"/>
      <c r="AS509" s="650"/>
      <c r="AT509" s="650"/>
      <c r="AU509" s="650"/>
      <c r="AV509" s="650"/>
      <c r="AW509" s="650"/>
      <c r="AX509" s="650"/>
      <c r="AY509" s="650"/>
    </row>
    <row r="510" ht="21.75" customHeight="1">
      <c r="A510" s="650"/>
      <c r="B510" s="650"/>
      <c r="C510" s="650"/>
      <c r="D510" s="650"/>
      <c r="E510" s="650"/>
      <c r="F510" s="650"/>
      <c r="G510" s="650"/>
      <c r="H510" s="650"/>
      <c r="I510" s="650"/>
      <c r="J510" s="650"/>
      <c r="K510" s="650"/>
      <c r="L510" s="650"/>
      <c r="M510" s="650"/>
      <c r="N510" s="650"/>
      <c r="O510" s="650"/>
      <c r="P510" s="650"/>
      <c r="Q510" s="650"/>
      <c r="R510" s="650"/>
      <c r="S510" s="650"/>
      <c r="T510" s="650"/>
      <c r="U510" s="650"/>
      <c r="V510" s="650"/>
      <c r="W510" s="650"/>
      <c r="X510" s="650"/>
      <c r="Y510" s="650"/>
      <c r="Z510" s="650"/>
      <c r="AA510" s="650"/>
      <c r="AB510" s="650"/>
      <c r="AC510" s="650"/>
      <c r="AD510" s="650"/>
      <c r="AE510" s="650"/>
      <c r="AF510" s="650"/>
      <c r="AG510" s="650"/>
      <c r="AH510" s="650"/>
      <c r="AI510" s="650"/>
      <c r="AJ510" s="650"/>
      <c r="AK510" s="650"/>
      <c r="AL510" s="650"/>
      <c r="AM510" s="650"/>
      <c r="AN510" s="650"/>
      <c r="AO510" s="650"/>
      <c r="AP510" s="650"/>
      <c r="AQ510" s="650"/>
      <c r="AR510" s="650"/>
      <c r="AS510" s="650"/>
      <c r="AT510" s="650"/>
      <c r="AU510" s="650"/>
      <c r="AV510" s="650"/>
      <c r="AW510" s="650"/>
      <c r="AX510" s="650"/>
      <c r="AY510" s="650"/>
    </row>
    <row r="511" ht="21.75" customHeight="1">
      <c r="A511" s="650"/>
      <c r="B511" s="650"/>
      <c r="C511" s="650"/>
      <c r="D511" s="650"/>
      <c r="E511" s="650"/>
      <c r="F511" s="650"/>
      <c r="G511" s="650"/>
      <c r="H511" s="650"/>
      <c r="I511" s="650"/>
      <c r="J511" s="650"/>
      <c r="K511" s="650"/>
      <c r="L511" s="650"/>
      <c r="M511" s="650"/>
      <c r="N511" s="650"/>
      <c r="O511" s="650"/>
      <c r="P511" s="650"/>
      <c r="Q511" s="650"/>
      <c r="R511" s="650"/>
      <c r="S511" s="650"/>
      <c r="T511" s="650"/>
      <c r="U511" s="650"/>
      <c r="V511" s="650"/>
      <c r="W511" s="650"/>
      <c r="X511" s="650"/>
      <c r="Y511" s="650"/>
      <c r="Z511" s="650"/>
      <c r="AA511" s="650"/>
      <c r="AB511" s="650"/>
      <c r="AC511" s="650"/>
      <c r="AD511" s="650"/>
      <c r="AE511" s="650"/>
      <c r="AF511" s="650"/>
      <c r="AG511" s="650"/>
      <c r="AH511" s="650"/>
      <c r="AI511" s="650"/>
      <c r="AJ511" s="650"/>
      <c r="AK511" s="650"/>
      <c r="AL511" s="650"/>
      <c r="AM511" s="650"/>
      <c r="AN511" s="650"/>
      <c r="AO511" s="650"/>
      <c r="AP511" s="650"/>
      <c r="AQ511" s="650"/>
      <c r="AR511" s="650"/>
      <c r="AS511" s="650"/>
      <c r="AT511" s="650"/>
      <c r="AU511" s="650"/>
      <c r="AV511" s="650"/>
      <c r="AW511" s="650"/>
      <c r="AX511" s="650"/>
      <c r="AY511" s="650"/>
    </row>
    <row r="512" ht="21.75" customHeight="1">
      <c r="A512" s="650"/>
      <c r="B512" s="650"/>
      <c r="C512" s="650"/>
      <c r="D512" s="650"/>
      <c r="E512" s="650"/>
      <c r="F512" s="650"/>
      <c r="G512" s="650"/>
      <c r="H512" s="650"/>
      <c r="I512" s="650"/>
      <c r="J512" s="650"/>
      <c r="K512" s="650"/>
      <c r="L512" s="650"/>
      <c r="M512" s="650"/>
      <c r="N512" s="650"/>
      <c r="O512" s="650"/>
      <c r="P512" s="650"/>
      <c r="Q512" s="650"/>
      <c r="R512" s="650"/>
      <c r="S512" s="650"/>
      <c r="T512" s="650"/>
      <c r="U512" s="650"/>
      <c r="V512" s="650"/>
      <c r="W512" s="650"/>
      <c r="X512" s="650"/>
      <c r="Y512" s="650"/>
      <c r="Z512" s="650"/>
      <c r="AA512" s="650"/>
      <c r="AB512" s="650"/>
      <c r="AC512" s="650"/>
      <c r="AD512" s="650"/>
      <c r="AE512" s="650"/>
      <c r="AF512" s="650"/>
      <c r="AG512" s="650"/>
      <c r="AH512" s="650"/>
      <c r="AI512" s="650"/>
      <c r="AJ512" s="650"/>
      <c r="AK512" s="650"/>
      <c r="AL512" s="650"/>
      <c r="AM512" s="650"/>
      <c r="AN512" s="650"/>
      <c r="AO512" s="650"/>
      <c r="AP512" s="650"/>
      <c r="AQ512" s="650"/>
      <c r="AR512" s="650"/>
      <c r="AS512" s="650"/>
      <c r="AT512" s="650"/>
      <c r="AU512" s="650"/>
      <c r="AV512" s="650"/>
      <c r="AW512" s="650"/>
      <c r="AX512" s="650"/>
      <c r="AY512" s="650"/>
    </row>
    <row r="513" ht="21.75" customHeight="1">
      <c r="A513" s="650"/>
      <c r="B513" s="650"/>
      <c r="C513" s="650"/>
      <c r="D513" s="650"/>
      <c r="E513" s="650"/>
      <c r="F513" s="650"/>
      <c r="G513" s="650"/>
      <c r="H513" s="650"/>
      <c r="I513" s="650"/>
      <c r="J513" s="650"/>
      <c r="K513" s="650"/>
      <c r="L513" s="650"/>
      <c r="M513" s="650"/>
      <c r="N513" s="650"/>
      <c r="O513" s="650"/>
      <c r="P513" s="650"/>
      <c r="Q513" s="650"/>
      <c r="R513" s="650"/>
      <c r="S513" s="650"/>
      <c r="T513" s="650"/>
      <c r="U513" s="650"/>
      <c r="V513" s="650"/>
      <c r="W513" s="650"/>
      <c r="X513" s="650"/>
      <c r="Y513" s="650"/>
      <c r="Z513" s="650"/>
      <c r="AA513" s="650"/>
      <c r="AB513" s="650"/>
      <c r="AC513" s="650"/>
      <c r="AD513" s="650"/>
      <c r="AE513" s="650"/>
      <c r="AF513" s="650"/>
      <c r="AG513" s="650"/>
      <c r="AH513" s="650"/>
      <c r="AI513" s="650"/>
      <c r="AJ513" s="650"/>
      <c r="AK513" s="650"/>
      <c r="AL513" s="650"/>
      <c r="AM513" s="650"/>
      <c r="AN513" s="650"/>
      <c r="AO513" s="650"/>
      <c r="AP513" s="650"/>
      <c r="AQ513" s="650"/>
      <c r="AR513" s="650"/>
      <c r="AS513" s="650"/>
      <c r="AT513" s="650"/>
      <c r="AU513" s="650"/>
      <c r="AV513" s="650"/>
      <c r="AW513" s="650"/>
      <c r="AX513" s="650"/>
      <c r="AY513" s="650"/>
    </row>
    <row r="514" ht="21.75" customHeight="1">
      <c r="A514" s="650"/>
      <c r="B514" s="650"/>
      <c r="C514" s="650"/>
      <c r="D514" s="650"/>
      <c r="E514" s="650"/>
      <c r="F514" s="650"/>
      <c r="G514" s="650"/>
      <c r="H514" s="650"/>
      <c r="I514" s="650"/>
      <c r="J514" s="650"/>
      <c r="K514" s="650"/>
      <c r="L514" s="650"/>
      <c r="M514" s="650"/>
      <c r="N514" s="650"/>
      <c r="O514" s="650"/>
      <c r="P514" s="650"/>
      <c r="Q514" s="650"/>
      <c r="R514" s="650"/>
      <c r="S514" s="650"/>
      <c r="T514" s="650"/>
      <c r="U514" s="650"/>
      <c r="V514" s="650"/>
      <c r="W514" s="650"/>
      <c r="X514" s="650"/>
      <c r="Y514" s="650"/>
      <c r="Z514" s="650"/>
      <c r="AA514" s="650"/>
      <c r="AB514" s="650"/>
      <c r="AC514" s="650"/>
      <c r="AD514" s="650"/>
      <c r="AE514" s="650"/>
      <c r="AF514" s="650"/>
      <c r="AG514" s="650"/>
      <c r="AH514" s="650"/>
      <c r="AI514" s="650"/>
      <c r="AJ514" s="650"/>
      <c r="AK514" s="650"/>
      <c r="AL514" s="650"/>
      <c r="AM514" s="650"/>
      <c r="AN514" s="650"/>
      <c r="AO514" s="650"/>
      <c r="AP514" s="650"/>
      <c r="AQ514" s="650"/>
      <c r="AR514" s="650"/>
      <c r="AS514" s="650"/>
      <c r="AT514" s="650"/>
      <c r="AU514" s="650"/>
      <c r="AV514" s="650"/>
      <c r="AW514" s="650"/>
      <c r="AX514" s="650"/>
      <c r="AY514" s="650"/>
    </row>
    <row r="515" ht="21.75" customHeight="1">
      <c r="A515" s="650"/>
      <c r="B515" s="650"/>
      <c r="C515" s="650"/>
      <c r="D515" s="650"/>
      <c r="E515" s="650"/>
      <c r="F515" s="650"/>
      <c r="G515" s="650"/>
      <c r="H515" s="650"/>
      <c r="I515" s="650"/>
      <c r="J515" s="650"/>
      <c r="K515" s="650"/>
      <c r="L515" s="650"/>
      <c r="M515" s="650"/>
      <c r="N515" s="650"/>
      <c r="O515" s="650"/>
      <c r="P515" s="650"/>
      <c r="Q515" s="650"/>
      <c r="R515" s="650"/>
      <c r="S515" s="650"/>
      <c r="T515" s="650"/>
      <c r="U515" s="650"/>
      <c r="V515" s="650"/>
      <c r="W515" s="650"/>
      <c r="X515" s="650"/>
      <c r="Y515" s="650"/>
      <c r="Z515" s="650"/>
      <c r="AA515" s="650"/>
      <c r="AB515" s="650"/>
      <c r="AC515" s="650"/>
      <c r="AD515" s="650"/>
      <c r="AE515" s="650"/>
      <c r="AF515" s="650"/>
      <c r="AG515" s="650"/>
      <c r="AH515" s="650"/>
      <c r="AI515" s="650"/>
      <c r="AJ515" s="650"/>
      <c r="AK515" s="650"/>
      <c r="AL515" s="650"/>
      <c r="AM515" s="650"/>
      <c r="AN515" s="650"/>
      <c r="AO515" s="650"/>
      <c r="AP515" s="650"/>
      <c r="AQ515" s="650"/>
      <c r="AR515" s="650"/>
      <c r="AS515" s="650"/>
      <c r="AT515" s="650"/>
      <c r="AU515" s="650"/>
      <c r="AV515" s="650"/>
      <c r="AW515" s="650"/>
      <c r="AX515" s="650"/>
      <c r="AY515" s="650"/>
    </row>
    <row r="516" ht="21.75" customHeight="1">
      <c r="A516" s="650"/>
      <c r="B516" s="650"/>
      <c r="C516" s="650"/>
      <c r="D516" s="650"/>
      <c r="E516" s="650"/>
      <c r="F516" s="650"/>
      <c r="G516" s="650"/>
      <c r="H516" s="650"/>
      <c r="I516" s="650"/>
      <c r="J516" s="650"/>
      <c r="K516" s="650"/>
      <c r="L516" s="650"/>
      <c r="M516" s="650"/>
      <c r="N516" s="650"/>
      <c r="O516" s="650"/>
      <c r="P516" s="650"/>
      <c r="Q516" s="650"/>
      <c r="R516" s="650"/>
      <c r="S516" s="650"/>
      <c r="T516" s="650"/>
      <c r="U516" s="650"/>
      <c r="V516" s="650"/>
      <c r="W516" s="650"/>
      <c r="X516" s="650"/>
      <c r="Y516" s="650"/>
      <c r="Z516" s="650"/>
      <c r="AA516" s="650"/>
      <c r="AB516" s="650"/>
      <c r="AC516" s="650"/>
      <c r="AD516" s="650"/>
      <c r="AE516" s="650"/>
      <c r="AF516" s="650"/>
      <c r="AG516" s="650"/>
      <c r="AH516" s="650"/>
      <c r="AI516" s="650"/>
      <c r="AJ516" s="650"/>
      <c r="AK516" s="650"/>
      <c r="AL516" s="650"/>
      <c r="AM516" s="650"/>
      <c r="AN516" s="650"/>
      <c r="AO516" s="650"/>
      <c r="AP516" s="650"/>
      <c r="AQ516" s="650"/>
      <c r="AR516" s="650"/>
      <c r="AS516" s="650"/>
      <c r="AT516" s="650"/>
      <c r="AU516" s="650"/>
      <c r="AV516" s="650"/>
      <c r="AW516" s="650"/>
      <c r="AX516" s="650"/>
      <c r="AY516" s="650"/>
    </row>
    <row r="517" ht="21.75" customHeight="1">
      <c r="A517" s="650"/>
      <c r="B517" s="650"/>
      <c r="C517" s="650"/>
      <c r="D517" s="650"/>
      <c r="E517" s="650"/>
      <c r="F517" s="650"/>
      <c r="G517" s="650"/>
      <c r="H517" s="650"/>
      <c r="I517" s="650"/>
      <c r="J517" s="650"/>
      <c r="K517" s="650"/>
      <c r="L517" s="650"/>
      <c r="M517" s="650"/>
      <c r="N517" s="650"/>
      <c r="O517" s="650"/>
      <c r="P517" s="650"/>
      <c r="Q517" s="650"/>
      <c r="R517" s="650"/>
      <c r="S517" s="650"/>
      <c r="T517" s="650"/>
      <c r="U517" s="650"/>
      <c r="V517" s="650"/>
      <c r="W517" s="650"/>
      <c r="X517" s="650"/>
      <c r="Y517" s="650"/>
      <c r="Z517" s="650"/>
      <c r="AA517" s="650"/>
      <c r="AB517" s="650"/>
      <c r="AC517" s="650"/>
      <c r="AD517" s="650"/>
      <c r="AE517" s="650"/>
      <c r="AF517" s="650"/>
      <c r="AG517" s="650"/>
      <c r="AH517" s="650"/>
      <c r="AI517" s="650"/>
      <c r="AJ517" s="650"/>
      <c r="AK517" s="650"/>
      <c r="AL517" s="650"/>
      <c r="AM517" s="650"/>
      <c r="AN517" s="650"/>
      <c r="AO517" s="650"/>
      <c r="AP517" s="650"/>
      <c r="AQ517" s="650"/>
      <c r="AR517" s="650"/>
      <c r="AS517" s="650"/>
      <c r="AT517" s="650"/>
      <c r="AU517" s="650"/>
      <c r="AV517" s="650"/>
      <c r="AW517" s="650"/>
      <c r="AX517" s="650"/>
      <c r="AY517" s="650"/>
    </row>
    <row r="518" ht="21.75" customHeight="1">
      <c r="A518" s="650"/>
      <c r="B518" s="650"/>
      <c r="C518" s="650"/>
      <c r="D518" s="650"/>
      <c r="E518" s="650"/>
      <c r="F518" s="650"/>
      <c r="G518" s="650"/>
      <c r="H518" s="650"/>
      <c r="I518" s="650"/>
      <c r="J518" s="650"/>
      <c r="K518" s="650"/>
      <c r="L518" s="650"/>
      <c r="M518" s="650"/>
      <c r="N518" s="650"/>
      <c r="O518" s="650"/>
      <c r="P518" s="650"/>
      <c r="Q518" s="650"/>
      <c r="R518" s="650"/>
      <c r="S518" s="650"/>
      <c r="T518" s="650"/>
      <c r="U518" s="650"/>
      <c r="V518" s="650"/>
      <c r="W518" s="650"/>
      <c r="X518" s="650"/>
      <c r="Y518" s="650"/>
      <c r="Z518" s="650"/>
      <c r="AA518" s="650"/>
      <c r="AB518" s="650"/>
      <c r="AC518" s="650"/>
      <c r="AD518" s="650"/>
      <c r="AE518" s="650"/>
      <c r="AF518" s="650"/>
      <c r="AG518" s="650"/>
      <c r="AH518" s="650"/>
      <c r="AI518" s="650"/>
      <c r="AJ518" s="650"/>
      <c r="AK518" s="650"/>
      <c r="AL518" s="650"/>
      <c r="AM518" s="650"/>
      <c r="AN518" s="650"/>
      <c r="AO518" s="650"/>
      <c r="AP518" s="650"/>
      <c r="AQ518" s="650"/>
      <c r="AR518" s="650"/>
      <c r="AS518" s="650"/>
      <c r="AT518" s="650"/>
      <c r="AU518" s="650"/>
      <c r="AV518" s="650"/>
      <c r="AW518" s="650"/>
      <c r="AX518" s="650"/>
      <c r="AY518" s="650"/>
    </row>
    <row r="519" ht="21.75" customHeight="1">
      <c r="A519" s="650"/>
      <c r="B519" s="650"/>
      <c r="C519" s="650"/>
      <c r="D519" s="650"/>
      <c r="E519" s="650"/>
      <c r="F519" s="650"/>
      <c r="G519" s="650"/>
      <c r="H519" s="650"/>
      <c r="I519" s="650"/>
      <c r="J519" s="650"/>
      <c r="K519" s="650"/>
      <c r="L519" s="650"/>
      <c r="M519" s="650"/>
      <c r="N519" s="650"/>
      <c r="O519" s="650"/>
      <c r="P519" s="650"/>
      <c r="Q519" s="650"/>
      <c r="R519" s="650"/>
      <c r="S519" s="650"/>
      <c r="T519" s="650"/>
      <c r="U519" s="650"/>
      <c r="V519" s="650"/>
      <c r="W519" s="650"/>
      <c r="X519" s="650"/>
      <c r="Y519" s="650"/>
      <c r="Z519" s="650"/>
      <c r="AA519" s="650"/>
      <c r="AB519" s="650"/>
      <c r="AC519" s="650"/>
      <c r="AD519" s="650"/>
      <c r="AE519" s="650"/>
      <c r="AF519" s="650"/>
      <c r="AG519" s="650"/>
      <c r="AH519" s="650"/>
      <c r="AI519" s="650"/>
      <c r="AJ519" s="650"/>
      <c r="AK519" s="650"/>
      <c r="AL519" s="650"/>
      <c r="AM519" s="650"/>
      <c r="AN519" s="650"/>
      <c r="AO519" s="650"/>
      <c r="AP519" s="650"/>
      <c r="AQ519" s="650"/>
      <c r="AR519" s="650"/>
      <c r="AS519" s="650"/>
      <c r="AT519" s="650"/>
      <c r="AU519" s="650"/>
      <c r="AV519" s="650"/>
      <c r="AW519" s="650"/>
      <c r="AX519" s="650"/>
      <c r="AY519" s="650"/>
    </row>
    <row r="520" ht="21.75" customHeight="1">
      <c r="A520" s="650"/>
      <c r="B520" s="650"/>
      <c r="C520" s="650"/>
      <c r="D520" s="650"/>
      <c r="E520" s="650"/>
      <c r="F520" s="650"/>
      <c r="G520" s="650"/>
      <c r="H520" s="650"/>
      <c r="I520" s="650"/>
      <c r="J520" s="650"/>
      <c r="K520" s="650"/>
      <c r="L520" s="650"/>
      <c r="M520" s="650"/>
      <c r="N520" s="650"/>
      <c r="O520" s="650"/>
      <c r="P520" s="650"/>
      <c r="Q520" s="650"/>
      <c r="R520" s="650"/>
      <c r="S520" s="650"/>
      <c r="T520" s="650"/>
      <c r="U520" s="650"/>
      <c r="V520" s="650"/>
      <c r="W520" s="650"/>
      <c r="X520" s="650"/>
      <c r="Y520" s="650"/>
      <c r="Z520" s="650"/>
      <c r="AA520" s="650"/>
      <c r="AB520" s="650"/>
      <c r="AC520" s="650"/>
      <c r="AD520" s="650"/>
      <c r="AE520" s="650"/>
      <c r="AF520" s="650"/>
      <c r="AG520" s="650"/>
      <c r="AH520" s="650"/>
      <c r="AI520" s="650"/>
      <c r="AJ520" s="650"/>
      <c r="AK520" s="650"/>
      <c r="AL520" s="650"/>
      <c r="AM520" s="650"/>
      <c r="AN520" s="650"/>
      <c r="AO520" s="650"/>
      <c r="AP520" s="650"/>
      <c r="AQ520" s="650"/>
      <c r="AR520" s="650"/>
      <c r="AS520" s="650"/>
      <c r="AT520" s="650"/>
      <c r="AU520" s="650"/>
      <c r="AV520" s="650"/>
      <c r="AW520" s="650"/>
      <c r="AX520" s="650"/>
      <c r="AY520" s="650"/>
    </row>
    <row r="521" ht="21.75" customHeight="1">
      <c r="A521" s="650"/>
      <c r="B521" s="650"/>
      <c r="C521" s="650"/>
      <c r="D521" s="650"/>
      <c r="E521" s="650"/>
      <c r="F521" s="650"/>
      <c r="G521" s="650"/>
      <c r="H521" s="650"/>
      <c r="I521" s="650"/>
      <c r="J521" s="650"/>
      <c r="K521" s="650"/>
      <c r="L521" s="650"/>
      <c r="M521" s="650"/>
      <c r="N521" s="650"/>
      <c r="O521" s="650"/>
      <c r="P521" s="650"/>
      <c r="Q521" s="650"/>
      <c r="R521" s="650"/>
      <c r="S521" s="650"/>
      <c r="T521" s="650"/>
      <c r="U521" s="650"/>
      <c r="V521" s="650"/>
      <c r="W521" s="650"/>
      <c r="X521" s="650"/>
      <c r="Y521" s="650"/>
      <c r="Z521" s="650"/>
      <c r="AA521" s="650"/>
      <c r="AB521" s="650"/>
      <c r="AC521" s="650"/>
      <c r="AD521" s="650"/>
      <c r="AE521" s="650"/>
      <c r="AF521" s="650"/>
      <c r="AG521" s="650"/>
      <c r="AH521" s="650"/>
      <c r="AI521" s="650"/>
      <c r="AJ521" s="650"/>
      <c r="AK521" s="650"/>
      <c r="AL521" s="650"/>
      <c r="AM521" s="650"/>
      <c r="AN521" s="650"/>
      <c r="AO521" s="650"/>
      <c r="AP521" s="650"/>
      <c r="AQ521" s="650"/>
      <c r="AR521" s="650"/>
      <c r="AS521" s="650"/>
      <c r="AT521" s="650"/>
      <c r="AU521" s="650"/>
      <c r="AV521" s="650"/>
      <c r="AW521" s="650"/>
      <c r="AX521" s="650"/>
      <c r="AY521" s="650"/>
    </row>
    <row r="522" ht="21.75" customHeight="1">
      <c r="A522" s="650"/>
      <c r="B522" s="650"/>
      <c r="C522" s="650"/>
      <c r="D522" s="650"/>
      <c r="E522" s="650"/>
      <c r="F522" s="650"/>
      <c r="G522" s="650"/>
      <c r="H522" s="650"/>
      <c r="I522" s="650"/>
      <c r="J522" s="650"/>
      <c r="K522" s="650"/>
      <c r="L522" s="650"/>
      <c r="M522" s="650"/>
      <c r="N522" s="650"/>
      <c r="O522" s="650"/>
      <c r="P522" s="650"/>
      <c r="Q522" s="650"/>
      <c r="R522" s="650"/>
      <c r="S522" s="650"/>
      <c r="T522" s="650"/>
      <c r="U522" s="650"/>
      <c r="V522" s="650"/>
      <c r="W522" s="650"/>
      <c r="X522" s="650"/>
      <c r="Y522" s="650"/>
      <c r="Z522" s="650"/>
      <c r="AA522" s="650"/>
      <c r="AB522" s="650"/>
      <c r="AC522" s="650"/>
      <c r="AD522" s="650"/>
      <c r="AE522" s="650"/>
      <c r="AF522" s="650"/>
      <c r="AG522" s="650"/>
      <c r="AH522" s="650"/>
      <c r="AI522" s="650"/>
      <c r="AJ522" s="650"/>
      <c r="AK522" s="650"/>
      <c r="AL522" s="650"/>
      <c r="AM522" s="650"/>
      <c r="AN522" s="650"/>
      <c r="AO522" s="650"/>
      <c r="AP522" s="650"/>
      <c r="AQ522" s="650"/>
      <c r="AR522" s="650"/>
      <c r="AS522" s="650"/>
      <c r="AT522" s="650"/>
      <c r="AU522" s="650"/>
      <c r="AV522" s="650"/>
      <c r="AW522" s="650"/>
      <c r="AX522" s="650"/>
      <c r="AY522" s="650"/>
    </row>
    <row r="523" ht="21.75" customHeight="1">
      <c r="A523" s="650"/>
      <c r="B523" s="650"/>
      <c r="C523" s="650"/>
      <c r="D523" s="650"/>
      <c r="E523" s="650"/>
      <c r="F523" s="650"/>
      <c r="G523" s="650"/>
      <c r="H523" s="650"/>
      <c r="I523" s="650"/>
      <c r="J523" s="650"/>
      <c r="K523" s="650"/>
      <c r="L523" s="650"/>
      <c r="M523" s="650"/>
      <c r="N523" s="650"/>
      <c r="O523" s="650"/>
      <c r="P523" s="650"/>
      <c r="Q523" s="650"/>
      <c r="R523" s="650"/>
      <c r="S523" s="650"/>
      <c r="T523" s="650"/>
      <c r="U523" s="650"/>
      <c r="V523" s="650"/>
      <c r="W523" s="650"/>
      <c r="X523" s="650"/>
      <c r="Y523" s="650"/>
      <c r="Z523" s="650"/>
      <c r="AA523" s="650"/>
      <c r="AB523" s="650"/>
      <c r="AC523" s="650"/>
      <c r="AD523" s="650"/>
      <c r="AE523" s="650"/>
      <c r="AF523" s="650"/>
      <c r="AG523" s="650"/>
      <c r="AH523" s="650"/>
      <c r="AI523" s="650"/>
      <c r="AJ523" s="650"/>
      <c r="AK523" s="650"/>
      <c r="AL523" s="650"/>
      <c r="AM523" s="650"/>
      <c r="AN523" s="650"/>
      <c r="AO523" s="650"/>
      <c r="AP523" s="650"/>
      <c r="AQ523" s="650"/>
      <c r="AR523" s="650"/>
      <c r="AS523" s="650"/>
      <c r="AT523" s="650"/>
      <c r="AU523" s="650"/>
      <c r="AV523" s="650"/>
      <c r="AW523" s="650"/>
      <c r="AX523" s="650"/>
      <c r="AY523" s="650"/>
    </row>
    <row r="524" ht="21.75" customHeight="1">
      <c r="A524" s="650"/>
      <c r="B524" s="650"/>
      <c r="C524" s="650"/>
      <c r="D524" s="650"/>
      <c r="E524" s="650"/>
      <c r="F524" s="650"/>
      <c r="G524" s="650"/>
      <c r="H524" s="650"/>
      <c r="I524" s="650"/>
      <c r="J524" s="650"/>
      <c r="K524" s="650"/>
      <c r="L524" s="650"/>
      <c r="M524" s="650"/>
      <c r="N524" s="650"/>
      <c r="O524" s="650"/>
      <c r="P524" s="650"/>
      <c r="Q524" s="650"/>
      <c r="R524" s="650"/>
      <c r="S524" s="650"/>
      <c r="T524" s="650"/>
      <c r="U524" s="650"/>
      <c r="V524" s="650"/>
      <c r="W524" s="650"/>
      <c r="X524" s="650"/>
      <c r="Y524" s="650"/>
      <c r="Z524" s="650"/>
      <c r="AA524" s="650"/>
      <c r="AB524" s="650"/>
      <c r="AC524" s="650"/>
      <c r="AD524" s="650"/>
      <c r="AE524" s="650"/>
      <c r="AF524" s="650"/>
      <c r="AG524" s="650"/>
      <c r="AH524" s="650"/>
      <c r="AI524" s="650"/>
      <c r="AJ524" s="650"/>
      <c r="AK524" s="650"/>
      <c r="AL524" s="650"/>
      <c r="AM524" s="650"/>
      <c r="AN524" s="650"/>
      <c r="AO524" s="650"/>
      <c r="AP524" s="650"/>
      <c r="AQ524" s="650"/>
      <c r="AR524" s="650"/>
      <c r="AS524" s="650"/>
      <c r="AT524" s="650"/>
      <c r="AU524" s="650"/>
      <c r="AV524" s="650"/>
      <c r="AW524" s="650"/>
      <c r="AX524" s="650"/>
      <c r="AY524" s="650"/>
    </row>
    <row r="525" ht="21.75" customHeight="1">
      <c r="A525" s="650"/>
      <c r="B525" s="650"/>
      <c r="C525" s="650"/>
      <c r="D525" s="650"/>
      <c r="E525" s="650"/>
      <c r="F525" s="650"/>
      <c r="G525" s="650"/>
      <c r="H525" s="650"/>
      <c r="I525" s="650"/>
      <c r="J525" s="650"/>
      <c r="K525" s="650"/>
      <c r="L525" s="650"/>
      <c r="M525" s="650"/>
      <c r="N525" s="650"/>
      <c r="O525" s="650"/>
      <c r="P525" s="650"/>
      <c r="Q525" s="650"/>
      <c r="R525" s="650"/>
      <c r="S525" s="650"/>
      <c r="T525" s="650"/>
      <c r="U525" s="650"/>
      <c r="V525" s="650"/>
      <c r="W525" s="650"/>
      <c r="X525" s="650"/>
      <c r="Y525" s="650"/>
      <c r="Z525" s="650"/>
      <c r="AA525" s="650"/>
      <c r="AB525" s="650"/>
      <c r="AC525" s="650"/>
      <c r="AD525" s="650"/>
      <c r="AE525" s="650"/>
      <c r="AF525" s="650"/>
      <c r="AG525" s="650"/>
      <c r="AH525" s="650"/>
      <c r="AI525" s="650"/>
      <c r="AJ525" s="650"/>
      <c r="AK525" s="650"/>
      <c r="AL525" s="650"/>
      <c r="AM525" s="650"/>
      <c r="AN525" s="650"/>
      <c r="AO525" s="650"/>
      <c r="AP525" s="650"/>
      <c r="AQ525" s="650"/>
      <c r="AR525" s="650"/>
      <c r="AS525" s="650"/>
      <c r="AT525" s="650"/>
      <c r="AU525" s="650"/>
      <c r="AV525" s="650"/>
      <c r="AW525" s="650"/>
      <c r="AX525" s="650"/>
      <c r="AY525" s="650"/>
    </row>
    <row r="526" ht="21.75" customHeight="1">
      <c r="A526" s="650"/>
      <c r="B526" s="650"/>
      <c r="C526" s="650"/>
      <c r="D526" s="650"/>
      <c r="E526" s="650"/>
      <c r="F526" s="650"/>
      <c r="G526" s="650"/>
      <c r="H526" s="650"/>
      <c r="I526" s="650"/>
      <c r="J526" s="650"/>
      <c r="K526" s="650"/>
      <c r="L526" s="650"/>
      <c r="M526" s="650"/>
      <c r="N526" s="650"/>
      <c r="O526" s="650"/>
      <c r="P526" s="650"/>
      <c r="Q526" s="650"/>
      <c r="R526" s="650"/>
      <c r="S526" s="650"/>
      <c r="T526" s="650"/>
      <c r="U526" s="650"/>
      <c r="V526" s="650"/>
      <c r="W526" s="650"/>
      <c r="X526" s="650"/>
      <c r="Y526" s="650"/>
      <c r="Z526" s="650"/>
      <c r="AA526" s="650"/>
      <c r="AB526" s="650"/>
      <c r="AC526" s="650"/>
      <c r="AD526" s="650"/>
      <c r="AE526" s="650"/>
      <c r="AF526" s="650"/>
      <c r="AG526" s="650"/>
      <c r="AH526" s="650"/>
      <c r="AI526" s="650"/>
      <c r="AJ526" s="650"/>
      <c r="AK526" s="650"/>
      <c r="AL526" s="650"/>
      <c r="AM526" s="650"/>
      <c r="AN526" s="650"/>
      <c r="AO526" s="650"/>
      <c r="AP526" s="650"/>
      <c r="AQ526" s="650"/>
      <c r="AR526" s="650"/>
      <c r="AS526" s="650"/>
      <c r="AT526" s="650"/>
      <c r="AU526" s="650"/>
      <c r="AV526" s="650"/>
      <c r="AW526" s="650"/>
      <c r="AX526" s="650"/>
      <c r="AY526" s="650"/>
    </row>
    <row r="527" ht="21.75" customHeight="1">
      <c r="A527" s="650"/>
      <c r="B527" s="650"/>
      <c r="C527" s="650"/>
      <c r="D527" s="650"/>
      <c r="E527" s="650"/>
      <c r="F527" s="650"/>
      <c r="G527" s="650"/>
      <c r="H527" s="650"/>
      <c r="I527" s="650"/>
      <c r="J527" s="650"/>
      <c r="K527" s="650"/>
      <c r="L527" s="650"/>
      <c r="M527" s="650"/>
      <c r="N527" s="650"/>
      <c r="O527" s="650"/>
      <c r="P527" s="650"/>
      <c r="Q527" s="650"/>
      <c r="R527" s="650"/>
      <c r="S527" s="650"/>
      <c r="T527" s="650"/>
      <c r="U527" s="650"/>
      <c r="V527" s="650"/>
      <c r="W527" s="650"/>
      <c r="X527" s="650"/>
      <c r="Y527" s="650"/>
      <c r="Z527" s="650"/>
      <c r="AA527" s="650"/>
      <c r="AB527" s="650"/>
      <c r="AC527" s="650"/>
      <c r="AD527" s="650"/>
      <c r="AE527" s="650"/>
      <c r="AF527" s="650"/>
      <c r="AG527" s="650"/>
      <c r="AH527" s="650"/>
      <c r="AI527" s="650"/>
      <c r="AJ527" s="650"/>
      <c r="AK527" s="650"/>
      <c r="AL527" s="650"/>
      <c r="AM527" s="650"/>
      <c r="AN527" s="650"/>
      <c r="AO527" s="650"/>
      <c r="AP527" s="650"/>
      <c r="AQ527" s="650"/>
      <c r="AR527" s="650"/>
      <c r="AS527" s="650"/>
      <c r="AT527" s="650"/>
      <c r="AU527" s="650"/>
      <c r="AV527" s="650"/>
      <c r="AW527" s="650"/>
      <c r="AX527" s="650"/>
      <c r="AY527" s="650"/>
    </row>
    <row r="528" ht="21.75" customHeight="1">
      <c r="A528" s="650"/>
      <c r="B528" s="650"/>
      <c r="C528" s="650"/>
      <c r="D528" s="650"/>
      <c r="E528" s="650"/>
      <c r="F528" s="650"/>
      <c r="G528" s="650"/>
      <c r="H528" s="650"/>
      <c r="I528" s="650"/>
      <c r="J528" s="650"/>
      <c r="K528" s="650"/>
      <c r="L528" s="650"/>
      <c r="M528" s="650"/>
      <c r="N528" s="650"/>
      <c r="O528" s="650"/>
      <c r="P528" s="650"/>
      <c r="Q528" s="650"/>
      <c r="R528" s="650"/>
      <c r="S528" s="650"/>
      <c r="T528" s="650"/>
      <c r="U528" s="650"/>
      <c r="V528" s="650"/>
      <c r="W528" s="650"/>
      <c r="X528" s="650"/>
      <c r="Y528" s="650"/>
      <c r="Z528" s="650"/>
      <c r="AA528" s="650"/>
      <c r="AB528" s="650"/>
      <c r="AC528" s="650"/>
      <c r="AD528" s="650"/>
      <c r="AE528" s="650"/>
      <c r="AF528" s="650"/>
      <c r="AG528" s="650"/>
      <c r="AH528" s="650"/>
      <c r="AI528" s="650"/>
      <c r="AJ528" s="650"/>
      <c r="AK528" s="650"/>
      <c r="AL528" s="650"/>
      <c r="AM528" s="650"/>
      <c r="AN528" s="650"/>
      <c r="AO528" s="650"/>
      <c r="AP528" s="650"/>
      <c r="AQ528" s="650"/>
      <c r="AR528" s="650"/>
      <c r="AS528" s="650"/>
      <c r="AT528" s="650"/>
      <c r="AU528" s="650"/>
      <c r="AV528" s="650"/>
      <c r="AW528" s="650"/>
      <c r="AX528" s="650"/>
      <c r="AY528" s="650"/>
    </row>
    <row r="529" ht="21.75" customHeight="1">
      <c r="A529" s="650"/>
      <c r="B529" s="650"/>
      <c r="C529" s="650"/>
      <c r="D529" s="650"/>
      <c r="E529" s="650"/>
      <c r="F529" s="650"/>
      <c r="G529" s="650"/>
      <c r="H529" s="650"/>
      <c r="I529" s="650"/>
      <c r="J529" s="650"/>
      <c r="K529" s="650"/>
      <c r="L529" s="650"/>
      <c r="M529" s="650"/>
      <c r="N529" s="650"/>
      <c r="O529" s="650"/>
      <c r="P529" s="650"/>
      <c r="Q529" s="650"/>
      <c r="R529" s="650"/>
      <c r="S529" s="650"/>
      <c r="T529" s="650"/>
      <c r="U529" s="650"/>
      <c r="V529" s="650"/>
      <c r="W529" s="650"/>
      <c r="X529" s="650"/>
      <c r="Y529" s="650"/>
      <c r="Z529" s="650"/>
      <c r="AA529" s="650"/>
      <c r="AB529" s="650"/>
      <c r="AC529" s="650"/>
      <c r="AD529" s="650"/>
      <c r="AE529" s="650"/>
      <c r="AF529" s="650"/>
      <c r="AG529" s="650"/>
      <c r="AH529" s="650"/>
      <c r="AI529" s="650"/>
      <c r="AJ529" s="650"/>
      <c r="AK529" s="650"/>
      <c r="AL529" s="650"/>
      <c r="AM529" s="650"/>
      <c r="AN529" s="650"/>
      <c r="AO529" s="650"/>
      <c r="AP529" s="650"/>
      <c r="AQ529" s="650"/>
      <c r="AR529" s="650"/>
      <c r="AS529" s="650"/>
      <c r="AT529" s="650"/>
      <c r="AU529" s="650"/>
      <c r="AV529" s="650"/>
      <c r="AW529" s="650"/>
      <c r="AX529" s="650"/>
      <c r="AY529" s="650"/>
    </row>
    <row r="530" ht="21.75" customHeight="1">
      <c r="A530" s="650"/>
      <c r="B530" s="650"/>
      <c r="C530" s="650"/>
      <c r="D530" s="650"/>
      <c r="E530" s="650"/>
      <c r="F530" s="650"/>
      <c r="G530" s="650"/>
      <c r="H530" s="650"/>
      <c r="I530" s="650"/>
      <c r="J530" s="650"/>
      <c r="K530" s="650"/>
      <c r="L530" s="650"/>
      <c r="M530" s="650"/>
      <c r="N530" s="650"/>
      <c r="O530" s="650"/>
      <c r="P530" s="650"/>
      <c r="Q530" s="650"/>
      <c r="R530" s="650"/>
      <c r="S530" s="650"/>
      <c r="T530" s="650"/>
      <c r="U530" s="650"/>
      <c r="V530" s="650"/>
      <c r="W530" s="650"/>
      <c r="X530" s="650"/>
      <c r="Y530" s="650"/>
      <c r="Z530" s="650"/>
      <c r="AA530" s="650"/>
      <c r="AB530" s="650"/>
      <c r="AC530" s="650"/>
      <c r="AD530" s="650"/>
      <c r="AE530" s="650"/>
      <c r="AF530" s="650"/>
      <c r="AG530" s="650"/>
      <c r="AH530" s="650"/>
      <c r="AI530" s="650"/>
      <c r="AJ530" s="650"/>
      <c r="AK530" s="650"/>
      <c r="AL530" s="650"/>
      <c r="AM530" s="650"/>
      <c r="AN530" s="650"/>
      <c r="AO530" s="650"/>
      <c r="AP530" s="650"/>
      <c r="AQ530" s="650"/>
      <c r="AR530" s="650"/>
      <c r="AS530" s="650"/>
      <c r="AT530" s="650"/>
      <c r="AU530" s="650"/>
      <c r="AV530" s="650"/>
      <c r="AW530" s="650"/>
      <c r="AX530" s="650"/>
      <c r="AY530" s="650"/>
    </row>
    <row r="531" ht="21.75" customHeight="1">
      <c r="A531" s="650"/>
      <c r="B531" s="650"/>
      <c r="C531" s="650"/>
      <c r="D531" s="650"/>
      <c r="E531" s="650"/>
      <c r="F531" s="650"/>
      <c r="G531" s="650"/>
      <c r="H531" s="650"/>
      <c r="I531" s="650"/>
      <c r="J531" s="650"/>
      <c r="K531" s="650"/>
      <c r="L531" s="650"/>
      <c r="M531" s="650"/>
      <c r="N531" s="650"/>
      <c r="O531" s="650"/>
      <c r="P531" s="650"/>
      <c r="Q531" s="650"/>
      <c r="R531" s="650"/>
      <c r="S531" s="650"/>
      <c r="T531" s="650"/>
      <c r="U531" s="650"/>
      <c r="V531" s="650"/>
      <c r="W531" s="650"/>
      <c r="X531" s="650"/>
      <c r="Y531" s="650"/>
      <c r="Z531" s="650"/>
      <c r="AA531" s="650"/>
      <c r="AB531" s="650"/>
      <c r="AC531" s="650"/>
      <c r="AD531" s="650"/>
      <c r="AE531" s="650"/>
      <c r="AF531" s="650"/>
      <c r="AG531" s="650"/>
      <c r="AH531" s="650"/>
      <c r="AI531" s="650"/>
      <c r="AJ531" s="650"/>
      <c r="AK531" s="650"/>
      <c r="AL531" s="650"/>
      <c r="AM531" s="650"/>
      <c r="AN531" s="650"/>
      <c r="AO531" s="650"/>
      <c r="AP531" s="650"/>
      <c r="AQ531" s="650"/>
      <c r="AR531" s="650"/>
      <c r="AS531" s="650"/>
      <c r="AT531" s="650"/>
      <c r="AU531" s="650"/>
      <c r="AV531" s="650"/>
      <c r="AW531" s="650"/>
      <c r="AX531" s="650"/>
      <c r="AY531" s="650"/>
    </row>
    <row r="532" ht="21.75" customHeight="1">
      <c r="A532" s="650"/>
      <c r="B532" s="650"/>
      <c r="C532" s="650"/>
      <c r="D532" s="650"/>
      <c r="E532" s="650"/>
      <c r="F532" s="650"/>
      <c r="G532" s="650"/>
      <c r="H532" s="650"/>
      <c r="I532" s="650"/>
      <c r="J532" s="650"/>
      <c r="K532" s="650"/>
      <c r="L532" s="650"/>
      <c r="M532" s="650"/>
      <c r="N532" s="650"/>
      <c r="O532" s="650"/>
      <c r="P532" s="650"/>
      <c r="Q532" s="650"/>
      <c r="R532" s="650"/>
      <c r="S532" s="650"/>
      <c r="T532" s="650"/>
      <c r="U532" s="650"/>
      <c r="V532" s="650"/>
      <c r="W532" s="650"/>
      <c r="X532" s="650"/>
      <c r="Y532" s="650"/>
      <c r="Z532" s="650"/>
      <c r="AA532" s="650"/>
      <c r="AB532" s="650"/>
      <c r="AC532" s="650"/>
      <c r="AD532" s="650"/>
      <c r="AE532" s="650"/>
      <c r="AF532" s="650"/>
      <c r="AG532" s="650"/>
      <c r="AH532" s="650"/>
      <c r="AI532" s="650"/>
      <c r="AJ532" s="650"/>
      <c r="AK532" s="650"/>
      <c r="AL532" s="650"/>
      <c r="AM532" s="650"/>
      <c r="AN532" s="650"/>
      <c r="AO532" s="650"/>
      <c r="AP532" s="650"/>
      <c r="AQ532" s="650"/>
      <c r="AR532" s="650"/>
      <c r="AS532" s="650"/>
      <c r="AT532" s="650"/>
      <c r="AU532" s="650"/>
      <c r="AV532" s="650"/>
      <c r="AW532" s="650"/>
      <c r="AX532" s="650"/>
      <c r="AY532" s="650"/>
    </row>
    <row r="533" ht="21.75" customHeight="1">
      <c r="A533" s="650"/>
      <c r="B533" s="650"/>
      <c r="C533" s="650"/>
      <c r="D533" s="650"/>
      <c r="E533" s="650"/>
      <c r="F533" s="650"/>
      <c r="G533" s="650"/>
      <c r="H533" s="650"/>
      <c r="I533" s="650"/>
      <c r="J533" s="650"/>
      <c r="K533" s="650"/>
      <c r="L533" s="650"/>
      <c r="M533" s="650"/>
      <c r="N533" s="650"/>
      <c r="O533" s="650"/>
      <c r="P533" s="650"/>
      <c r="Q533" s="650"/>
      <c r="R533" s="650"/>
      <c r="S533" s="650"/>
      <c r="T533" s="650"/>
      <c r="U533" s="650"/>
      <c r="V533" s="650"/>
      <c r="W533" s="650"/>
      <c r="X533" s="650"/>
      <c r="Y533" s="650"/>
      <c r="Z533" s="650"/>
      <c r="AA533" s="650"/>
      <c r="AB533" s="650"/>
      <c r="AC533" s="650"/>
      <c r="AD533" s="650"/>
      <c r="AE533" s="650"/>
      <c r="AF533" s="650"/>
      <c r="AG533" s="650"/>
      <c r="AH533" s="650"/>
      <c r="AI533" s="650"/>
      <c r="AJ533" s="650"/>
      <c r="AK533" s="650"/>
      <c r="AL533" s="650"/>
      <c r="AM533" s="650"/>
      <c r="AN533" s="650"/>
      <c r="AO533" s="650"/>
      <c r="AP533" s="650"/>
      <c r="AQ533" s="650"/>
      <c r="AR533" s="650"/>
      <c r="AS533" s="650"/>
      <c r="AT533" s="650"/>
      <c r="AU533" s="650"/>
      <c r="AV533" s="650"/>
      <c r="AW533" s="650"/>
      <c r="AX533" s="650"/>
      <c r="AY533" s="650"/>
    </row>
    <row r="534" ht="21.75" customHeight="1">
      <c r="A534" s="650"/>
      <c r="B534" s="650"/>
      <c r="C534" s="650"/>
      <c r="D534" s="650"/>
      <c r="E534" s="650"/>
      <c r="F534" s="650"/>
      <c r="G534" s="650"/>
      <c r="H534" s="650"/>
      <c r="I534" s="650"/>
      <c r="J534" s="650"/>
      <c r="K534" s="650"/>
      <c r="L534" s="650"/>
      <c r="M534" s="650"/>
      <c r="N534" s="650"/>
      <c r="O534" s="650"/>
      <c r="P534" s="650"/>
      <c r="Q534" s="650"/>
      <c r="R534" s="650"/>
      <c r="S534" s="650"/>
      <c r="T534" s="650"/>
      <c r="U534" s="650"/>
      <c r="V534" s="650"/>
      <c r="W534" s="650"/>
      <c r="X534" s="650"/>
      <c r="Y534" s="650"/>
      <c r="Z534" s="650"/>
      <c r="AA534" s="650"/>
      <c r="AB534" s="650"/>
      <c r="AC534" s="650"/>
      <c r="AD534" s="650"/>
      <c r="AE534" s="650"/>
      <c r="AF534" s="650"/>
      <c r="AG534" s="650"/>
      <c r="AH534" s="650"/>
      <c r="AI534" s="650"/>
      <c r="AJ534" s="650"/>
      <c r="AK534" s="650"/>
      <c r="AL534" s="650"/>
      <c r="AM534" s="650"/>
      <c r="AN534" s="650"/>
      <c r="AO534" s="650"/>
      <c r="AP534" s="650"/>
      <c r="AQ534" s="650"/>
      <c r="AR534" s="650"/>
      <c r="AS534" s="650"/>
      <c r="AT534" s="650"/>
      <c r="AU534" s="650"/>
      <c r="AV534" s="650"/>
      <c r="AW534" s="650"/>
      <c r="AX534" s="650"/>
      <c r="AY534" s="650"/>
    </row>
    <row r="535" ht="21.75" customHeight="1">
      <c r="A535" s="650"/>
      <c r="B535" s="650"/>
      <c r="C535" s="650"/>
      <c r="D535" s="650"/>
      <c r="E535" s="650"/>
      <c r="F535" s="650"/>
      <c r="G535" s="650"/>
      <c r="H535" s="650"/>
      <c r="I535" s="650"/>
      <c r="J535" s="650"/>
      <c r="K535" s="650"/>
      <c r="L535" s="650"/>
      <c r="M535" s="650"/>
      <c r="N535" s="650"/>
      <c r="O535" s="650"/>
      <c r="P535" s="650"/>
      <c r="Q535" s="650"/>
      <c r="R535" s="650"/>
      <c r="S535" s="650"/>
      <c r="T535" s="650"/>
      <c r="U535" s="650"/>
      <c r="V535" s="650"/>
      <c r="W535" s="650"/>
      <c r="X535" s="650"/>
      <c r="Y535" s="650"/>
      <c r="Z535" s="650"/>
      <c r="AA535" s="650"/>
      <c r="AB535" s="650"/>
      <c r="AC535" s="650"/>
      <c r="AD535" s="650"/>
      <c r="AE535" s="650"/>
      <c r="AF535" s="650"/>
      <c r="AG535" s="650"/>
      <c r="AH535" s="650"/>
      <c r="AI535" s="650"/>
      <c r="AJ535" s="650"/>
      <c r="AK535" s="650"/>
      <c r="AL535" s="650"/>
      <c r="AM535" s="650"/>
      <c r="AN535" s="650"/>
      <c r="AO535" s="650"/>
      <c r="AP535" s="650"/>
      <c r="AQ535" s="650"/>
      <c r="AR535" s="650"/>
      <c r="AS535" s="650"/>
      <c r="AT535" s="650"/>
      <c r="AU535" s="650"/>
      <c r="AV535" s="650"/>
      <c r="AW535" s="650"/>
      <c r="AX535" s="650"/>
      <c r="AY535" s="650"/>
    </row>
    <row r="536" ht="21.75" customHeight="1">
      <c r="A536" s="650"/>
      <c r="B536" s="650"/>
      <c r="C536" s="650"/>
      <c r="D536" s="650"/>
      <c r="E536" s="650"/>
      <c r="F536" s="650"/>
      <c r="G536" s="650"/>
      <c r="H536" s="650"/>
      <c r="I536" s="650"/>
      <c r="J536" s="650"/>
      <c r="K536" s="650"/>
      <c r="L536" s="650"/>
      <c r="M536" s="650"/>
      <c r="N536" s="650"/>
      <c r="O536" s="650"/>
      <c r="P536" s="650"/>
      <c r="Q536" s="650"/>
      <c r="R536" s="650"/>
      <c r="S536" s="650"/>
      <c r="T536" s="650"/>
      <c r="U536" s="650"/>
      <c r="V536" s="650"/>
      <c r="W536" s="650"/>
      <c r="X536" s="650"/>
      <c r="Y536" s="650"/>
      <c r="Z536" s="650"/>
      <c r="AA536" s="650"/>
      <c r="AB536" s="650"/>
      <c r="AC536" s="650"/>
      <c r="AD536" s="650"/>
      <c r="AE536" s="650"/>
      <c r="AF536" s="650"/>
      <c r="AG536" s="650"/>
      <c r="AH536" s="650"/>
      <c r="AI536" s="650"/>
      <c r="AJ536" s="650"/>
      <c r="AK536" s="650"/>
      <c r="AL536" s="650"/>
      <c r="AM536" s="650"/>
      <c r="AN536" s="650"/>
      <c r="AO536" s="650"/>
      <c r="AP536" s="650"/>
      <c r="AQ536" s="650"/>
      <c r="AR536" s="650"/>
      <c r="AS536" s="650"/>
      <c r="AT536" s="650"/>
      <c r="AU536" s="650"/>
      <c r="AV536" s="650"/>
      <c r="AW536" s="650"/>
      <c r="AX536" s="650"/>
      <c r="AY536" s="650"/>
    </row>
    <row r="537" ht="21.75" customHeight="1">
      <c r="A537" s="650"/>
      <c r="B537" s="650"/>
      <c r="C537" s="650"/>
      <c r="D537" s="650"/>
      <c r="E537" s="650"/>
      <c r="F537" s="650"/>
      <c r="G537" s="650"/>
      <c r="H537" s="650"/>
      <c r="I537" s="650"/>
      <c r="J537" s="650"/>
      <c r="K537" s="650"/>
      <c r="L537" s="650"/>
      <c r="M537" s="650"/>
      <c r="N537" s="650"/>
      <c r="O537" s="650"/>
      <c r="P537" s="650"/>
      <c r="Q537" s="650"/>
      <c r="R537" s="650"/>
      <c r="S537" s="650"/>
      <c r="T537" s="650"/>
      <c r="U537" s="650"/>
      <c r="V537" s="650"/>
      <c r="W537" s="650"/>
      <c r="X537" s="650"/>
      <c r="Y537" s="650"/>
      <c r="Z537" s="650"/>
      <c r="AA537" s="650"/>
      <c r="AB537" s="650"/>
      <c r="AC537" s="650"/>
      <c r="AD537" s="650"/>
      <c r="AE537" s="650"/>
      <c r="AF537" s="650"/>
      <c r="AG537" s="650"/>
      <c r="AH537" s="650"/>
      <c r="AI537" s="650"/>
      <c r="AJ537" s="650"/>
      <c r="AK537" s="650"/>
      <c r="AL537" s="650"/>
      <c r="AM537" s="650"/>
      <c r="AN537" s="650"/>
      <c r="AO537" s="650"/>
      <c r="AP537" s="650"/>
      <c r="AQ537" s="650"/>
      <c r="AR537" s="650"/>
      <c r="AS537" s="650"/>
      <c r="AT537" s="650"/>
      <c r="AU537" s="650"/>
      <c r="AV537" s="650"/>
      <c r="AW537" s="650"/>
      <c r="AX537" s="650"/>
      <c r="AY537" s="650"/>
    </row>
    <row r="538" ht="21.75" customHeight="1">
      <c r="A538" s="650"/>
      <c r="B538" s="650"/>
      <c r="C538" s="650"/>
      <c r="D538" s="650"/>
      <c r="E538" s="650"/>
      <c r="F538" s="650"/>
      <c r="G538" s="650"/>
      <c r="H538" s="650"/>
      <c r="I538" s="650"/>
      <c r="J538" s="650"/>
      <c r="K538" s="650"/>
      <c r="L538" s="650"/>
      <c r="M538" s="650"/>
      <c r="N538" s="650"/>
      <c r="O538" s="650"/>
      <c r="P538" s="650"/>
      <c r="Q538" s="650"/>
      <c r="R538" s="650"/>
      <c r="S538" s="650"/>
      <c r="T538" s="650"/>
      <c r="U538" s="650"/>
      <c r="V538" s="650"/>
      <c r="W538" s="650"/>
      <c r="X538" s="650"/>
      <c r="Y538" s="650"/>
      <c r="Z538" s="650"/>
      <c r="AA538" s="650"/>
      <c r="AB538" s="650"/>
      <c r="AC538" s="650"/>
      <c r="AD538" s="650"/>
      <c r="AE538" s="650"/>
      <c r="AF538" s="650"/>
      <c r="AG538" s="650"/>
      <c r="AH538" s="650"/>
      <c r="AI538" s="650"/>
      <c r="AJ538" s="650"/>
      <c r="AK538" s="650"/>
      <c r="AL538" s="650"/>
      <c r="AM538" s="650"/>
      <c r="AN538" s="650"/>
      <c r="AO538" s="650"/>
      <c r="AP538" s="650"/>
      <c r="AQ538" s="650"/>
      <c r="AR538" s="650"/>
      <c r="AS538" s="650"/>
      <c r="AT538" s="650"/>
      <c r="AU538" s="650"/>
      <c r="AV538" s="650"/>
      <c r="AW538" s="650"/>
      <c r="AX538" s="650"/>
      <c r="AY538" s="650"/>
    </row>
    <row r="539" ht="21.75" customHeight="1">
      <c r="A539" s="650"/>
      <c r="B539" s="650"/>
      <c r="C539" s="650"/>
      <c r="D539" s="650"/>
      <c r="E539" s="650"/>
      <c r="F539" s="650"/>
      <c r="G539" s="650"/>
      <c r="H539" s="650"/>
      <c r="I539" s="650"/>
      <c r="J539" s="650"/>
      <c r="K539" s="650"/>
      <c r="L539" s="650"/>
      <c r="M539" s="650"/>
      <c r="N539" s="650"/>
      <c r="O539" s="650"/>
      <c r="P539" s="650"/>
      <c r="Q539" s="650"/>
      <c r="R539" s="650"/>
      <c r="S539" s="650"/>
      <c r="T539" s="650"/>
      <c r="U539" s="650"/>
      <c r="V539" s="650"/>
      <c r="W539" s="650"/>
      <c r="X539" s="650"/>
      <c r="Y539" s="650"/>
      <c r="Z539" s="650"/>
      <c r="AA539" s="650"/>
      <c r="AB539" s="650"/>
      <c r="AC539" s="650"/>
      <c r="AD539" s="650"/>
      <c r="AE539" s="650"/>
      <c r="AF539" s="650"/>
      <c r="AG539" s="650"/>
      <c r="AH539" s="650"/>
      <c r="AI539" s="650"/>
      <c r="AJ539" s="650"/>
      <c r="AK539" s="650"/>
      <c r="AL539" s="650"/>
      <c r="AM539" s="650"/>
      <c r="AN539" s="650"/>
      <c r="AO539" s="650"/>
      <c r="AP539" s="650"/>
      <c r="AQ539" s="650"/>
      <c r="AR539" s="650"/>
      <c r="AS539" s="650"/>
      <c r="AT539" s="650"/>
      <c r="AU539" s="650"/>
      <c r="AV539" s="650"/>
      <c r="AW539" s="650"/>
      <c r="AX539" s="650"/>
      <c r="AY539" s="650"/>
    </row>
    <row r="540" ht="21.75" customHeight="1">
      <c r="A540" s="650"/>
      <c r="B540" s="650"/>
      <c r="C540" s="650"/>
      <c r="D540" s="650"/>
      <c r="E540" s="650"/>
      <c r="F540" s="650"/>
      <c r="G540" s="650"/>
      <c r="H540" s="650"/>
      <c r="I540" s="650"/>
      <c r="J540" s="650"/>
      <c r="K540" s="650"/>
      <c r="L540" s="650"/>
      <c r="M540" s="650"/>
      <c r="N540" s="650"/>
      <c r="O540" s="650"/>
      <c r="P540" s="650"/>
      <c r="Q540" s="650"/>
      <c r="R540" s="650"/>
      <c r="S540" s="650"/>
      <c r="T540" s="650"/>
      <c r="U540" s="650"/>
      <c r="V540" s="650"/>
      <c r="W540" s="650"/>
      <c r="X540" s="650"/>
      <c r="Y540" s="650"/>
      <c r="Z540" s="650"/>
      <c r="AA540" s="650"/>
      <c r="AB540" s="650"/>
      <c r="AC540" s="650"/>
      <c r="AD540" s="650"/>
      <c r="AE540" s="650"/>
      <c r="AF540" s="650"/>
      <c r="AG540" s="650"/>
      <c r="AH540" s="650"/>
      <c r="AI540" s="650"/>
      <c r="AJ540" s="650"/>
      <c r="AK540" s="650"/>
      <c r="AL540" s="650"/>
      <c r="AM540" s="650"/>
      <c r="AN540" s="650"/>
      <c r="AO540" s="650"/>
      <c r="AP540" s="650"/>
      <c r="AQ540" s="650"/>
      <c r="AR540" s="650"/>
      <c r="AS540" s="650"/>
      <c r="AT540" s="650"/>
      <c r="AU540" s="650"/>
      <c r="AV540" s="650"/>
      <c r="AW540" s="650"/>
      <c r="AX540" s="650"/>
      <c r="AY540" s="650"/>
    </row>
    <row r="541" ht="21.75" customHeight="1">
      <c r="A541" s="650"/>
      <c r="B541" s="650"/>
      <c r="C541" s="650"/>
      <c r="D541" s="650"/>
      <c r="E541" s="650"/>
      <c r="F541" s="650"/>
      <c r="G541" s="650"/>
      <c r="H541" s="650"/>
      <c r="I541" s="650"/>
      <c r="J541" s="650"/>
      <c r="K541" s="650"/>
      <c r="L541" s="650"/>
      <c r="M541" s="650"/>
      <c r="N541" s="650"/>
      <c r="O541" s="650"/>
      <c r="P541" s="650"/>
      <c r="Q541" s="650"/>
      <c r="R541" s="650"/>
      <c r="S541" s="650"/>
      <c r="T541" s="650"/>
      <c r="U541" s="650"/>
      <c r="V541" s="650"/>
      <c r="W541" s="650"/>
      <c r="X541" s="650"/>
      <c r="Y541" s="650"/>
      <c r="Z541" s="650"/>
      <c r="AA541" s="650"/>
      <c r="AB541" s="650"/>
      <c r="AC541" s="650"/>
      <c r="AD541" s="650"/>
      <c r="AE541" s="650"/>
      <c r="AF541" s="650"/>
      <c r="AG541" s="650"/>
      <c r="AH541" s="650"/>
      <c r="AI541" s="650"/>
      <c r="AJ541" s="650"/>
      <c r="AK541" s="650"/>
      <c r="AL541" s="650"/>
      <c r="AM541" s="650"/>
      <c r="AN541" s="650"/>
      <c r="AO541" s="650"/>
      <c r="AP541" s="650"/>
      <c r="AQ541" s="650"/>
      <c r="AR541" s="650"/>
      <c r="AS541" s="650"/>
      <c r="AT541" s="650"/>
      <c r="AU541" s="650"/>
      <c r="AV541" s="650"/>
      <c r="AW541" s="650"/>
      <c r="AX541" s="650"/>
      <c r="AY541" s="650"/>
    </row>
    <row r="542" ht="21.75" customHeight="1">
      <c r="A542" s="650"/>
      <c r="B542" s="650"/>
      <c r="C542" s="650"/>
      <c r="D542" s="650"/>
      <c r="E542" s="650"/>
      <c r="F542" s="650"/>
      <c r="G542" s="650"/>
      <c r="H542" s="650"/>
      <c r="I542" s="650"/>
      <c r="J542" s="650"/>
      <c r="K542" s="650"/>
      <c r="L542" s="650"/>
      <c r="M542" s="650"/>
      <c r="N542" s="650"/>
      <c r="O542" s="650"/>
      <c r="P542" s="650"/>
      <c r="Q542" s="650"/>
      <c r="R542" s="650"/>
      <c r="S542" s="650"/>
      <c r="T542" s="650"/>
      <c r="U542" s="650"/>
      <c r="V542" s="650"/>
      <c r="W542" s="650"/>
      <c r="X542" s="650"/>
      <c r="Y542" s="650"/>
      <c r="Z542" s="650"/>
      <c r="AA542" s="650"/>
      <c r="AB542" s="650"/>
      <c r="AC542" s="650"/>
      <c r="AD542" s="650"/>
      <c r="AE542" s="650"/>
      <c r="AF542" s="650"/>
      <c r="AG542" s="650"/>
      <c r="AH542" s="650"/>
      <c r="AI542" s="650"/>
      <c r="AJ542" s="650"/>
      <c r="AK542" s="650"/>
      <c r="AL542" s="650"/>
      <c r="AM542" s="650"/>
      <c r="AN542" s="650"/>
      <c r="AO542" s="650"/>
      <c r="AP542" s="650"/>
      <c r="AQ542" s="650"/>
      <c r="AR542" s="650"/>
      <c r="AS542" s="650"/>
      <c r="AT542" s="650"/>
      <c r="AU542" s="650"/>
      <c r="AV542" s="650"/>
      <c r="AW542" s="650"/>
      <c r="AX542" s="650"/>
      <c r="AY542" s="650"/>
    </row>
    <row r="543" ht="21.75" customHeight="1">
      <c r="A543" s="650"/>
      <c r="B543" s="650"/>
      <c r="C543" s="650"/>
      <c r="D543" s="650"/>
      <c r="E543" s="650"/>
      <c r="F543" s="650"/>
      <c r="G543" s="650"/>
      <c r="H543" s="650"/>
      <c r="I543" s="650"/>
      <c r="J543" s="650"/>
      <c r="K543" s="650"/>
      <c r="L543" s="650"/>
      <c r="M543" s="650"/>
      <c r="N543" s="650"/>
      <c r="O543" s="650"/>
      <c r="P543" s="650"/>
      <c r="Q543" s="650"/>
      <c r="R543" s="650"/>
      <c r="S543" s="650"/>
      <c r="T543" s="650"/>
      <c r="U543" s="650"/>
      <c r="V543" s="650"/>
      <c r="W543" s="650"/>
      <c r="X543" s="650"/>
      <c r="Y543" s="650"/>
      <c r="Z543" s="650"/>
      <c r="AA543" s="650"/>
      <c r="AB543" s="650"/>
      <c r="AC543" s="650"/>
      <c r="AD543" s="650"/>
      <c r="AE543" s="650"/>
      <c r="AF543" s="650"/>
      <c r="AG543" s="650"/>
      <c r="AH543" s="650"/>
      <c r="AI543" s="650"/>
      <c r="AJ543" s="650"/>
      <c r="AK543" s="650"/>
      <c r="AL543" s="650"/>
      <c r="AM543" s="650"/>
      <c r="AN543" s="650"/>
      <c r="AO543" s="650"/>
      <c r="AP543" s="650"/>
      <c r="AQ543" s="650"/>
      <c r="AR543" s="650"/>
      <c r="AS543" s="650"/>
      <c r="AT543" s="650"/>
      <c r="AU543" s="650"/>
      <c r="AV543" s="650"/>
      <c r="AW543" s="650"/>
      <c r="AX543" s="650"/>
      <c r="AY543" s="650"/>
    </row>
    <row r="544" ht="21.75" customHeight="1">
      <c r="A544" s="650"/>
      <c r="B544" s="650"/>
      <c r="C544" s="650"/>
      <c r="D544" s="650"/>
      <c r="E544" s="650"/>
      <c r="F544" s="650"/>
      <c r="G544" s="650"/>
      <c r="H544" s="650"/>
      <c r="I544" s="650"/>
      <c r="J544" s="650"/>
      <c r="K544" s="650"/>
      <c r="L544" s="650"/>
      <c r="M544" s="650"/>
      <c r="N544" s="650"/>
      <c r="O544" s="650"/>
      <c r="P544" s="650"/>
      <c r="Q544" s="650"/>
      <c r="R544" s="650"/>
      <c r="S544" s="650"/>
      <c r="T544" s="650"/>
      <c r="U544" s="650"/>
      <c r="V544" s="650"/>
      <c r="W544" s="650"/>
      <c r="X544" s="650"/>
      <c r="Y544" s="650"/>
      <c r="Z544" s="650"/>
      <c r="AA544" s="650"/>
      <c r="AB544" s="650"/>
      <c r="AC544" s="650"/>
      <c r="AD544" s="650"/>
      <c r="AE544" s="650"/>
      <c r="AF544" s="650"/>
      <c r="AG544" s="650"/>
      <c r="AH544" s="650"/>
      <c r="AI544" s="650"/>
      <c r="AJ544" s="650"/>
      <c r="AK544" s="650"/>
      <c r="AL544" s="650"/>
      <c r="AM544" s="650"/>
      <c r="AN544" s="650"/>
      <c r="AO544" s="650"/>
      <c r="AP544" s="650"/>
      <c r="AQ544" s="650"/>
      <c r="AR544" s="650"/>
      <c r="AS544" s="650"/>
      <c r="AT544" s="650"/>
      <c r="AU544" s="650"/>
      <c r="AV544" s="650"/>
      <c r="AW544" s="650"/>
      <c r="AX544" s="650"/>
      <c r="AY544" s="650"/>
    </row>
    <row r="545" ht="21.75" customHeight="1">
      <c r="A545" s="650"/>
      <c r="B545" s="650"/>
      <c r="C545" s="650"/>
      <c r="D545" s="650"/>
      <c r="E545" s="650"/>
      <c r="F545" s="650"/>
      <c r="G545" s="650"/>
      <c r="H545" s="650"/>
      <c r="I545" s="650"/>
      <c r="J545" s="650"/>
      <c r="K545" s="650"/>
      <c r="L545" s="650"/>
      <c r="M545" s="650"/>
      <c r="N545" s="650"/>
      <c r="O545" s="650"/>
      <c r="P545" s="650"/>
      <c r="Q545" s="650"/>
      <c r="R545" s="650"/>
      <c r="S545" s="650"/>
      <c r="T545" s="650"/>
      <c r="U545" s="650"/>
      <c r="V545" s="650"/>
      <c r="W545" s="650"/>
      <c r="X545" s="650"/>
      <c r="Y545" s="650"/>
      <c r="Z545" s="650"/>
      <c r="AA545" s="650"/>
      <c r="AB545" s="650"/>
      <c r="AC545" s="650"/>
      <c r="AD545" s="650"/>
      <c r="AE545" s="650"/>
      <c r="AF545" s="650"/>
      <c r="AG545" s="650"/>
      <c r="AH545" s="650"/>
      <c r="AI545" s="650"/>
      <c r="AJ545" s="650"/>
      <c r="AK545" s="650"/>
      <c r="AL545" s="650"/>
      <c r="AM545" s="650"/>
      <c r="AN545" s="650"/>
      <c r="AO545" s="650"/>
      <c r="AP545" s="650"/>
      <c r="AQ545" s="650"/>
      <c r="AR545" s="650"/>
      <c r="AS545" s="650"/>
      <c r="AT545" s="650"/>
      <c r="AU545" s="650"/>
      <c r="AV545" s="650"/>
      <c r="AW545" s="650"/>
      <c r="AX545" s="650"/>
      <c r="AY545" s="650"/>
    </row>
    <row r="546" ht="21.75" customHeight="1">
      <c r="A546" s="650"/>
      <c r="B546" s="650"/>
      <c r="C546" s="650"/>
      <c r="D546" s="650"/>
      <c r="E546" s="650"/>
      <c r="F546" s="650"/>
      <c r="G546" s="650"/>
      <c r="H546" s="650"/>
      <c r="I546" s="650"/>
      <c r="J546" s="650"/>
      <c r="K546" s="650"/>
      <c r="L546" s="650"/>
      <c r="M546" s="650"/>
      <c r="N546" s="650"/>
      <c r="O546" s="650"/>
      <c r="P546" s="650"/>
      <c r="Q546" s="650"/>
      <c r="R546" s="650"/>
      <c r="S546" s="650"/>
      <c r="T546" s="650"/>
      <c r="U546" s="650"/>
      <c r="V546" s="650"/>
      <c r="W546" s="650"/>
      <c r="X546" s="650"/>
      <c r="Y546" s="650"/>
      <c r="Z546" s="650"/>
      <c r="AA546" s="650"/>
      <c r="AB546" s="650"/>
      <c r="AC546" s="650"/>
      <c r="AD546" s="650"/>
      <c r="AE546" s="650"/>
      <c r="AF546" s="650"/>
      <c r="AG546" s="650"/>
      <c r="AH546" s="650"/>
      <c r="AI546" s="650"/>
      <c r="AJ546" s="650"/>
      <c r="AK546" s="650"/>
      <c r="AL546" s="650"/>
      <c r="AM546" s="650"/>
      <c r="AN546" s="650"/>
      <c r="AO546" s="650"/>
      <c r="AP546" s="650"/>
      <c r="AQ546" s="650"/>
      <c r="AR546" s="650"/>
      <c r="AS546" s="650"/>
      <c r="AT546" s="650"/>
      <c r="AU546" s="650"/>
      <c r="AV546" s="650"/>
      <c r="AW546" s="650"/>
      <c r="AX546" s="650"/>
      <c r="AY546" s="650"/>
    </row>
    <row r="547" ht="21.75" customHeight="1">
      <c r="A547" s="650"/>
      <c r="B547" s="650"/>
      <c r="C547" s="650"/>
      <c r="D547" s="650"/>
      <c r="E547" s="650"/>
      <c r="F547" s="650"/>
      <c r="G547" s="650"/>
      <c r="H547" s="650"/>
      <c r="I547" s="650"/>
      <c r="J547" s="650"/>
      <c r="K547" s="650"/>
      <c r="L547" s="650"/>
      <c r="M547" s="650"/>
      <c r="N547" s="650"/>
      <c r="O547" s="650"/>
      <c r="P547" s="650"/>
      <c r="Q547" s="650"/>
      <c r="R547" s="650"/>
      <c r="S547" s="650"/>
      <c r="T547" s="650"/>
      <c r="U547" s="650"/>
      <c r="V547" s="650"/>
      <c r="W547" s="650"/>
      <c r="X547" s="650"/>
      <c r="Y547" s="650"/>
      <c r="Z547" s="650"/>
      <c r="AA547" s="650"/>
      <c r="AB547" s="650"/>
      <c r="AC547" s="650"/>
      <c r="AD547" s="650"/>
      <c r="AE547" s="650"/>
      <c r="AF547" s="650"/>
      <c r="AG547" s="650"/>
      <c r="AH547" s="650"/>
      <c r="AI547" s="650"/>
      <c r="AJ547" s="650"/>
      <c r="AK547" s="650"/>
      <c r="AL547" s="650"/>
      <c r="AM547" s="650"/>
      <c r="AN547" s="650"/>
      <c r="AO547" s="650"/>
      <c r="AP547" s="650"/>
      <c r="AQ547" s="650"/>
      <c r="AR547" s="650"/>
      <c r="AS547" s="650"/>
      <c r="AT547" s="650"/>
      <c r="AU547" s="650"/>
      <c r="AV547" s="650"/>
      <c r="AW547" s="650"/>
      <c r="AX547" s="650"/>
      <c r="AY547" s="650"/>
    </row>
    <row r="548" ht="21.75" customHeight="1">
      <c r="A548" s="650"/>
      <c r="B548" s="650"/>
      <c r="C548" s="650"/>
      <c r="D548" s="650"/>
      <c r="E548" s="650"/>
      <c r="F548" s="650"/>
      <c r="G548" s="650"/>
      <c r="H548" s="650"/>
      <c r="I548" s="650"/>
      <c r="J548" s="650"/>
      <c r="K548" s="650"/>
      <c r="L548" s="650"/>
      <c r="M548" s="650"/>
      <c r="N548" s="650"/>
      <c r="O548" s="650"/>
      <c r="P548" s="650"/>
      <c r="Q548" s="650"/>
      <c r="R548" s="650"/>
      <c r="S548" s="650"/>
      <c r="T548" s="650"/>
      <c r="U548" s="650"/>
      <c r="V548" s="650"/>
      <c r="W548" s="650"/>
      <c r="X548" s="650"/>
      <c r="Y548" s="650"/>
      <c r="Z548" s="650"/>
      <c r="AA548" s="650"/>
      <c r="AB548" s="650"/>
      <c r="AC548" s="650"/>
      <c r="AD548" s="650"/>
      <c r="AE548" s="650"/>
      <c r="AF548" s="650"/>
      <c r="AG548" s="650"/>
      <c r="AH548" s="650"/>
      <c r="AI548" s="650"/>
      <c r="AJ548" s="650"/>
      <c r="AK548" s="650"/>
      <c r="AL548" s="650"/>
      <c r="AM548" s="650"/>
      <c r="AN548" s="650"/>
      <c r="AO548" s="650"/>
      <c r="AP548" s="650"/>
      <c r="AQ548" s="650"/>
      <c r="AR548" s="650"/>
      <c r="AS548" s="650"/>
      <c r="AT548" s="650"/>
      <c r="AU548" s="650"/>
      <c r="AV548" s="650"/>
      <c r="AW548" s="650"/>
      <c r="AX548" s="650"/>
      <c r="AY548" s="650"/>
    </row>
    <row r="549" ht="21.75" customHeight="1">
      <c r="A549" s="650"/>
      <c r="B549" s="650"/>
      <c r="C549" s="650"/>
      <c r="D549" s="650"/>
      <c r="E549" s="650"/>
      <c r="F549" s="650"/>
      <c r="G549" s="650"/>
      <c r="H549" s="650"/>
      <c r="I549" s="650"/>
      <c r="J549" s="650"/>
      <c r="K549" s="650"/>
      <c r="L549" s="650"/>
      <c r="M549" s="650"/>
      <c r="N549" s="650"/>
      <c r="O549" s="650"/>
      <c r="P549" s="650"/>
      <c r="Q549" s="650"/>
      <c r="R549" s="650"/>
      <c r="S549" s="650"/>
      <c r="T549" s="650"/>
      <c r="U549" s="650"/>
      <c r="V549" s="650"/>
      <c r="W549" s="650"/>
      <c r="X549" s="650"/>
      <c r="Y549" s="650"/>
      <c r="Z549" s="650"/>
      <c r="AA549" s="650"/>
      <c r="AB549" s="650"/>
      <c r="AC549" s="650"/>
      <c r="AD549" s="650"/>
      <c r="AE549" s="650"/>
      <c r="AF549" s="650"/>
      <c r="AG549" s="650"/>
      <c r="AH549" s="650"/>
      <c r="AI549" s="650"/>
      <c r="AJ549" s="650"/>
      <c r="AK549" s="650"/>
      <c r="AL549" s="650"/>
      <c r="AM549" s="650"/>
      <c r="AN549" s="650"/>
      <c r="AO549" s="650"/>
      <c r="AP549" s="650"/>
      <c r="AQ549" s="650"/>
      <c r="AR549" s="650"/>
      <c r="AS549" s="650"/>
      <c r="AT549" s="650"/>
      <c r="AU549" s="650"/>
      <c r="AV549" s="650"/>
      <c r="AW549" s="650"/>
      <c r="AX549" s="650"/>
      <c r="AY549" s="650"/>
    </row>
    <row r="550" ht="21.75" customHeight="1">
      <c r="A550" s="650"/>
      <c r="B550" s="650"/>
      <c r="C550" s="650"/>
      <c r="D550" s="650"/>
      <c r="E550" s="650"/>
      <c r="F550" s="650"/>
      <c r="G550" s="650"/>
      <c r="H550" s="650"/>
      <c r="I550" s="650"/>
      <c r="J550" s="650"/>
      <c r="K550" s="650"/>
      <c r="L550" s="650"/>
      <c r="M550" s="650"/>
      <c r="N550" s="650"/>
      <c r="O550" s="650"/>
      <c r="P550" s="650"/>
      <c r="Q550" s="650"/>
      <c r="R550" s="650"/>
      <c r="S550" s="650"/>
      <c r="T550" s="650"/>
      <c r="U550" s="650"/>
      <c r="V550" s="650"/>
      <c r="W550" s="650"/>
      <c r="X550" s="650"/>
      <c r="Y550" s="650"/>
      <c r="Z550" s="650"/>
      <c r="AA550" s="650"/>
      <c r="AB550" s="650"/>
      <c r="AC550" s="650"/>
      <c r="AD550" s="650"/>
      <c r="AE550" s="650"/>
      <c r="AF550" s="650"/>
      <c r="AG550" s="650"/>
      <c r="AH550" s="650"/>
      <c r="AI550" s="650"/>
      <c r="AJ550" s="650"/>
      <c r="AK550" s="650"/>
      <c r="AL550" s="650"/>
      <c r="AM550" s="650"/>
      <c r="AN550" s="650"/>
      <c r="AO550" s="650"/>
      <c r="AP550" s="650"/>
      <c r="AQ550" s="650"/>
      <c r="AR550" s="650"/>
      <c r="AS550" s="650"/>
      <c r="AT550" s="650"/>
      <c r="AU550" s="650"/>
      <c r="AV550" s="650"/>
      <c r="AW550" s="650"/>
      <c r="AX550" s="650"/>
      <c r="AY550" s="650"/>
    </row>
    <row r="551" ht="21.75" customHeight="1">
      <c r="A551" s="650"/>
      <c r="B551" s="650"/>
      <c r="C551" s="650"/>
      <c r="D551" s="650"/>
      <c r="E551" s="650"/>
      <c r="F551" s="650"/>
      <c r="G551" s="650"/>
      <c r="H551" s="650"/>
      <c r="I551" s="650"/>
      <c r="J551" s="650"/>
      <c r="K551" s="650"/>
      <c r="L551" s="650"/>
      <c r="M551" s="650"/>
      <c r="N551" s="650"/>
      <c r="O551" s="650"/>
      <c r="P551" s="650"/>
      <c r="Q551" s="650"/>
      <c r="R551" s="650"/>
      <c r="S551" s="650"/>
      <c r="T551" s="650"/>
      <c r="U551" s="650"/>
      <c r="V551" s="650"/>
      <c r="W551" s="650"/>
      <c r="X551" s="650"/>
      <c r="Y551" s="650"/>
      <c r="Z551" s="650"/>
      <c r="AA551" s="650"/>
      <c r="AB551" s="650"/>
      <c r="AC551" s="650"/>
      <c r="AD551" s="650"/>
      <c r="AE551" s="650"/>
      <c r="AF551" s="650"/>
      <c r="AG551" s="650"/>
      <c r="AH551" s="650"/>
      <c r="AI551" s="650"/>
      <c r="AJ551" s="650"/>
      <c r="AK551" s="650"/>
      <c r="AL551" s="650"/>
      <c r="AM551" s="650"/>
      <c r="AN551" s="650"/>
      <c r="AO551" s="650"/>
      <c r="AP551" s="650"/>
      <c r="AQ551" s="650"/>
      <c r="AR551" s="650"/>
      <c r="AS551" s="650"/>
      <c r="AT551" s="650"/>
      <c r="AU551" s="650"/>
      <c r="AV551" s="650"/>
      <c r="AW551" s="650"/>
      <c r="AX551" s="650"/>
      <c r="AY551" s="650"/>
    </row>
    <row r="552" ht="21.75" customHeight="1">
      <c r="A552" s="650"/>
      <c r="B552" s="650"/>
      <c r="C552" s="650"/>
      <c r="D552" s="650"/>
      <c r="E552" s="650"/>
      <c r="F552" s="650"/>
      <c r="G552" s="650"/>
      <c r="H552" s="650"/>
      <c r="I552" s="650"/>
      <c r="J552" s="650"/>
      <c r="K552" s="650"/>
      <c r="L552" s="650"/>
      <c r="M552" s="650"/>
      <c r="N552" s="650"/>
      <c r="O552" s="650"/>
      <c r="P552" s="650"/>
      <c r="Q552" s="650"/>
      <c r="R552" s="650"/>
      <c r="S552" s="650"/>
      <c r="T552" s="650"/>
      <c r="U552" s="650"/>
      <c r="V552" s="650"/>
      <c r="W552" s="650"/>
      <c r="X552" s="650"/>
      <c r="Y552" s="650"/>
      <c r="Z552" s="650"/>
      <c r="AA552" s="650"/>
      <c r="AB552" s="650"/>
      <c r="AC552" s="650"/>
      <c r="AD552" s="650"/>
      <c r="AE552" s="650"/>
      <c r="AF552" s="650"/>
      <c r="AG552" s="650"/>
      <c r="AH552" s="650"/>
      <c r="AI552" s="650"/>
      <c r="AJ552" s="650"/>
      <c r="AK552" s="650"/>
      <c r="AL552" s="650"/>
      <c r="AM552" s="650"/>
      <c r="AN552" s="650"/>
      <c r="AO552" s="650"/>
      <c r="AP552" s="650"/>
      <c r="AQ552" s="650"/>
      <c r="AR552" s="650"/>
      <c r="AS552" s="650"/>
      <c r="AT552" s="650"/>
      <c r="AU552" s="650"/>
      <c r="AV552" s="650"/>
      <c r="AW552" s="650"/>
      <c r="AX552" s="650"/>
      <c r="AY552" s="650"/>
    </row>
    <row r="553" ht="21.75" customHeight="1">
      <c r="A553" s="650"/>
      <c r="B553" s="650"/>
      <c r="C553" s="650"/>
      <c r="D553" s="650"/>
      <c r="E553" s="650"/>
      <c r="F553" s="650"/>
      <c r="G553" s="650"/>
      <c r="H553" s="650"/>
      <c r="I553" s="650"/>
      <c r="J553" s="650"/>
      <c r="K553" s="650"/>
      <c r="L553" s="650"/>
      <c r="M553" s="650"/>
      <c r="N553" s="650"/>
      <c r="O553" s="650"/>
      <c r="P553" s="650"/>
      <c r="Q553" s="650"/>
      <c r="R553" s="650"/>
      <c r="S553" s="650"/>
      <c r="T553" s="650"/>
      <c r="U553" s="650"/>
      <c r="V553" s="650"/>
      <c r="W553" s="650"/>
      <c r="X553" s="650"/>
      <c r="Y553" s="650"/>
      <c r="Z553" s="650"/>
      <c r="AA553" s="650"/>
      <c r="AB553" s="650"/>
      <c r="AC553" s="650"/>
      <c r="AD553" s="650"/>
      <c r="AE553" s="650"/>
      <c r="AF553" s="650"/>
      <c r="AG553" s="650"/>
      <c r="AH553" s="650"/>
      <c r="AI553" s="650"/>
      <c r="AJ553" s="650"/>
      <c r="AK553" s="650"/>
      <c r="AL553" s="650"/>
      <c r="AM553" s="650"/>
      <c r="AN553" s="650"/>
      <c r="AO553" s="650"/>
      <c r="AP553" s="650"/>
      <c r="AQ553" s="650"/>
      <c r="AR553" s="650"/>
      <c r="AS553" s="650"/>
      <c r="AT553" s="650"/>
      <c r="AU553" s="650"/>
      <c r="AV553" s="650"/>
      <c r="AW553" s="650"/>
      <c r="AX553" s="650"/>
      <c r="AY553" s="650"/>
    </row>
    <row r="554" ht="21.75" customHeight="1">
      <c r="A554" s="650"/>
      <c r="B554" s="650"/>
      <c r="C554" s="650"/>
      <c r="D554" s="650"/>
      <c r="E554" s="650"/>
      <c r="F554" s="650"/>
      <c r="G554" s="650"/>
      <c r="H554" s="650"/>
      <c r="I554" s="650"/>
      <c r="J554" s="650"/>
      <c r="K554" s="650"/>
      <c r="L554" s="650"/>
      <c r="M554" s="650"/>
      <c r="N554" s="650"/>
      <c r="O554" s="650"/>
      <c r="P554" s="650"/>
      <c r="Q554" s="650"/>
      <c r="R554" s="650"/>
      <c r="S554" s="650"/>
      <c r="T554" s="650"/>
      <c r="U554" s="650"/>
      <c r="V554" s="650"/>
      <c r="W554" s="650"/>
      <c r="X554" s="650"/>
      <c r="Y554" s="650"/>
      <c r="Z554" s="650"/>
      <c r="AA554" s="650"/>
      <c r="AB554" s="650"/>
      <c r="AC554" s="650"/>
      <c r="AD554" s="650"/>
      <c r="AE554" s="650"/>
      <c r="AF554" s="650"/>
      <c r="AG554" s="650"/>
      <c r="AH554" s="650"/>
      <c r="AI554" s="650"/>
      <c r="AJ554" s="650"/>
      <c r="AK554" s="650"/>
      <c r="AL554" s="650"/>
      <c r="AM554" s="650"/>
      <c r="AN554" s="650"/>
      <c r="AO554" s="650"/>
      <c r="AP554" s="650"/>
      <c r="AQ554" s="650"/>
      <c r="AR554" s="650"/>
      <c r="AS554" s="650"/>
      <c r="AT554" s="650"/>
      <c r="AU554" s="650"/>
      <c r="AV554" s="650"/>
      <c r="AW554" s="650"/>
      <c r="AX554" s="650"/>
      <c r="AY554" s="650"/>
    </row>
    <row r="555" ht="21.75" customHeight="1">
      <c r="A555" s="650"/>
      <c r="B555" s="650"/>
      <c r="C555" s="650"/>
      <c r="D555" s="650"/>
      <c r="E555" s="650"/>
      <c r="F555" s="650"/>
      <c r="G555" s="650"/>
      <c r="H555" s="650"/>
      <c r="I555" s="650"/>
      <c r="J555" s="650"/>
      <c r="K555" s="650"/>
      <c r="L555" s="650"/>
      <c r="M555" s="650"/>
      <c r="N555" s="650"/>
      <c r="O555" s="650"/>
      <c r="P555" s="650"/>
      <c r="Q555" s="650"/>
      <c r="R555" s="650"/>
      <c r="S555" s="650"/>
      <c r="T555" s="650"/>
      <c r="U555" s="650"/>
      <c r="V555" s="650"/>
      <c r="W555" s="650"/>
      <c r="X555" s="650"/>
      <c r="Y555" s="650"/>
      <c r="Z555" s="650"/>
      <c r="AA555" s="650"/>
      <c r="AB555" s="650"/>
      <c r="AC555" s="650"/>
      <c r="AD555" s="650"/>
      <c r="AE555" s="650"/>
      <c r="AF555" s="650"/>
      <c r="AG555" s="650"/>
      <c r="AH555" s="650"/>
      <c r="AI555" s="650"/>
      <c r="AJ555" s="650"/>
      <c r="AK555" s="650"/>
      <c r="AL555" s="650"/>
      <c r="AM555" s="650"/>
      <c r="AN555" s="650"/>
      <c r="AO555" s="650"/>
      <c r="AP555" s="650"/>
      <c r="AQ555" s="650"/>
      <c r="AR555" s="650"/>
      <c r="AS555" s="650"/>
      <c r="AT555" s="650"/>
      <c r="AU555" s="650"/>
      <c r="AV555" s="650"/>
      <c r="AW555" s="650"/>
      <c r="AX555" s="650"/>
      <c r="AY555" s="650"/>
    </row>
    <row r="556" ht="21.75" customHeight="1">
      <c r="A556" s="650"/>
      <c r="B556" s="650"/>
      <c r="C556" s="650"/>
      <c r="D556" s="650"/>
      <c r="E556" s="650"/>
      <c r="F556" s="650"/>
      <c r="G556" s="650"/>
      <c r="H556" s="650"/>
      <c r="I556" s="650"/>
      <c r="J556" s="650"/>
      <c r="K556" s="650"/>
      <c r="L556" s="650"/>
      <c r="M556" s="650"/>
      <c r="N556" s="650"/>
      <c r="O556" s="650"/>
      <c r="P556" s="650"/>
      <c r="Q556" s="650"/>
      <c r="R556" s="650"/>
      <c r="S556" s="650"/>
      <c r="T556" s="650"/>
      <c r="U556" s="650"/>
      <c r="V556" s="650"/>
      <c r="W556" s="650"/>
      <c r="X556" s="650"/>
      <c r="Y556" s="650"/>
      <c r="Z556" s="650"/>
      <c r="AA556" s="650"/>
      <c r="AB556" s="650"/>
      <c r="AC556" s="650"/>
      <c r="AD556" s="650"/>
      <c r="AE556" s="650"/>
      <c r="AF556" s="650"/>
      <c r="AG556" s="650"/>
      <c r="AH556" s="650"/>
      <c r="AI556" s="650"/>
      <c r="AJ556" s="650"/>
      <c r="AK556" s="650"/>
      <c r="AL556" s="650"/>
      <c r="AM556" s="650"/>
      <c r="AN556" s="650"/>
      <c r="AO556" s="650"/>
      <c r="AP556" s="650"/>
      <c r="AQ556" s="650"/>
      <c r="AR556" s="650"/>
      <c r="AS556" s="650"/>
      <c r="AT556" s="650"/>
      <c r="AU556" s="650"/>
      <c r="AV556" s="650"/>
      <c r="AW556" s="650"/>
      <c r="AX556" s="650"/>
      <c r="AY556" s="650"/>
    </row>
    <row r="557" ht="21.75" customHeight="1">
      <c r="A557" s="650"/>
      <c r="B557" s="650"/>
      <c r="C557" s="650"/>
      <c r="D557" s="650"/>
      <c r="E557" s="650"/>
      <c r="F557" s="650"/>
      <c r="G557" s="650"/>
      <c r="H557" s="650"/>
      <c r="I557" s="650"/>
      <c r="J557" s="650"/>
      <c r="K557" s="650"/>
      <c r="L557" s="650"/>
      <c r="M557" s="650"/>
      <c r="N557" s="650"/>
      <c r="O557" s="650"/>
      <c r="P557" s="650"/>
      <c r="Q557" s="650"/>
      <c r="R557" s="650"/>
      <c r="S557" s="650"/>
      <c r="T557" s="650"/>
      <c r="U557" s="650"/>
      <c r="V557" s="650"/>
      <c r="W557" s="650"/>
      <c r="X557" s="650"/>
      <c r="Y557" s="650"/>
      <c r="Z557" s="650"/>
      <c r="AA557" s="650"/>
      <c r="AB557" s="650"/>
      <c r="AC557" s="650"/>
      <c r="AD557" s="650"/>
      <c r="AE557" s="650"/>
      <c r="AF557" s="650"/>
      <c r="AG557" s="650"/>
      <c r="AH557" s="650"/>
      <c r="AI557" s="650"/>
      <c r="AJ557" s="650"/>
      <c r="AK557" s="650"/>
      <c r="AL557" s="650"/>
      <c r="AM557" s="650"/>
      <c r="AN557" s="650"/>
      <c r="AO557" s="650"/>
      <c r="AP557" s="650"/>
      <c r="AQ557" s="650"/>
      <c r="AR557" s="650"/>
      <c r="AS557" s="650"/>
      <c r="AT557" s="650"/>
      <c r="AU557" s="650"/>
      <c r="AV557" s="650"/>
      <c r="AW557" s="650"/>
      <c r="AX557" s="650"/>
      <c r="AY557" s="650"/>
    </row>
    <row r="558" ht="21.75" customHeight="1">
      <c r="A558" s="650"/>
      <c r="B558" s="650"/>
      <c r="C558" s="650"/>
      <c r="D558" s="650"/>
      <c r="E558" s="650"/>
      <c r="F558" s="650"/>
      <c r="G558" s="650"/>
      <c r="H558" s="650"/>
      <c r="I558" s="650"/>
      <c r="J558" s="650"/>
      <c r="K558" s="650"/>
      <c r="L558" s="650"/>
      <c r="M558" s="650"/>
      <c r="N558" s="650"/>
      <c r="O558" s="650"/>
      <c r="P558" s="650"/>
      <c r="Q558" s="650"/>
      <c r="R558" s="650"/>
      <c r="S558" s="650"/>
      <c r="T558" s="650"/>
      <c r="U558" s="650"/>
      <c r="V558" s="650"/>
      <c r="W558" s="650"/>
      <c r="X558" s="650"/>
      <c r="Y558" s="650"/>
      <c r="Z558" s="650"/>
      <c r="AA558" s="650"/>
      <c r="AB558" s="650"/>
      <c r="AC558" s="650"/>
      <c r="AD558" s="650"/>
      <c r="AE558" s="650"/>
      <c r="AF558" s="650"/>
      <c r="AG558" s="650"/>
      <c r="AH558" s="650"/>
      <c r="AI558" s="650"/>
      <c r="AJ558" s="650"/>
      <c r="AK558" s="650"/>
      <c r="AL558" s="650"/>
      <c r="AM558" s="650"/>
      <c r="AN558" s="650"/>
      <c r="AO558" s="650"/>
      <c r="AP558" s="650"/>
      <c r="AQ558" s="650"/>
      <c r="AR558" s="650"/>
      <c r="AS558" s="650"/>
      <c r="AT558" s="650"/>
      <c r="AU558" s="650"/>
      <c r="AV558" s="650"/>
      <c r="AW558" s="650"/>
      <c r="AX558" s="650"/>
      <c r="AY558" s="650"/>
    </row>
    <row r="559" ht="21.75" customHeight="1">
      <c r="A559" s="650"/>
      <c r="B559" s="650"/>
      <c r="C559" s="650"/>
      <c r="D559" s="650"/>
      <c r="E559" s="650"/>
      <c r="F559" s="650"/>
      <c r="G559" s="650"/>
      <c r="H559" s="650"/>
      <c r="I559" s="650"/>
      <c r="J559" s="650"/>
      <c r="K559" s="650"/>
      <c r="L559" s="650"/>
      <c r="M559" s="650"/>
      <c r="N559" s="650"/>
      <c r="O559" s="650"/>
      <c r="P559" s="650"/>
      <c r="Q559" s="650"/>
      <c r="R559" s="650"/>
      <c r="S559" s="650"/>
      <c r="T559" s="650"/>
      <c r="U559" s="650"/>
      <c r="V559" s="650"/>
      <c r="W559" s="650"/>
      <c r="X559" s="650"/>
      <c r="Y559" s="650"/>
      <c r="Z559" s="650"/>
      <c r="AA559" s="650"/>
      <c r="AB559" s="650"/>
      <c r="AC559" s="650"/>
      <c r="AD559" s="650"/>
      <c r="AE559" s="650"/>
      <c r="AF559" s="650"/>
      <c r="AG559" s="650"/>
      <c r="AH559" s="650"/>
      <c r="AI559" s="650"/>
      <c r="AJ559" s="650"/>
      <c r="AK559" s="650"/>
      <c r="AL559" s="650"/>
      <c r="AM559" s="650"/>
      <c r="AN559" s="650"/>
      <c r="AO559" s="650"/>
      <c r="AP559" s="650"/>
      <c r="AQ559" s="650"/>
      <c r="AR559" s="650"/>
      <c r="AS559" s="650"/>
      <c r="AT559" s="650"/>
      <c r="AU559" s="650"/>
      <c r="AV559" s="650"/>
      <c r="AW559" s="650"/>
      <c r="AX559" s="650"/>
      <c r="AY559" s="650"/>
    </row>
    <row r="560" ht="21.75" customHeight="1">
      <c r="A560" s="650"/>
      <c r="B560" s="650"/>
      <c r="C560" s="650"/>
      <c r="D560" s="650"/>
      <c r="E560" s="650"/>
      <c r="F560" s="650"/>
      <c r="G560" s="650"/>
      <c r="H560" s="650"/>
      <c r="I560" s="650"/>
      <c r="J560" s="650"/>
      <c r="K560" s="650"/>
      <c r="L560" s="650"/>
      <c r="M560" s="650"/>
      <c r="N560" s="650"/>
      <c r="O560" s="650"/>
      <c r="P560" s="650"/>
      <c r="Q560" s="650"/>
      <c r="R560" s="650"/>
      <c r="S560" s="650"/>
      <c r="T560" s="650"/>
      <c r="U560" s="650"/>
      <c r="V560" s="650"/>
      <c r="W560" s="650"/>
      <c r="X560" s="650"/>
      <c r="Y560" s="650"/>
      <c r="Z560" s="650"/>
      <c r="AA560" s="650"/>
      <c r="AB560" s="650"/>
      <c r="AC560" s="650"/>
      <c r="AD560" s="650"/>
      <c r="AE560" s="650"/>
      <c r="AF560" s="650"/>
      <c r="AG560" s="650"/>
      <c r="AH560" s="650"/>
      <c r="AI560" s="650"/>
      <c r="AJ560" s="650"/>
      <c r="AK560" s="650"/>
      <c r="AL560" s="650"/>
      <c r="AM560" s="650"/>
      <c r="AN560" s="650"/>
      <c r="AO560" s="650"/>
      <c r="AP560" s="650"/>
      <c r="AQ560" s="650"/>
      <c r="AR560" s="650"/>
      <c r="AS560" s="650"/>
      <c r="AT560" s="650"/>
      <c r="AU560" s="650"/>
      <c r="AV560" s="650"/>
      <c r="AW560" s="650"/>
      <c r="AX560" s="650"/>
      <c r="AY560" s="650"/>
    </row>
    <row r="561" ht="21.75" customHeight="1">
      <c r="A561" s="650"/>
      <c r="B561" s="650"/>
      <c r="C561" s="650"/>
      <c r="D561" s="650"/>
      <c r="E561" s="650"/>
      <c r="F561" s="650"/>
      <c r="G561" s="650"/>
      <c r="H561" s="650"/>
      <c r="I561" s="650"/>
      <c r="J561" s="650"/>
      <c r="K561" s="650"/>
      <c r="L561" s="650"/>
      <c r="M561" s="650"/>
      <c r="N561" s="650"/>
      <c r="O561" s="650"/>
      <c r="P561" s="650"/>
      <c r="Q561" s="650"/>
      <c r="R561" s="650"/>
      <c r="S561" s="650"/>
      <c r="T561" s="650"/>
      <c r="U561" s="650"/>
      <c r="V561" s="650"/>
      <c r="W561" s="650"/>
      <c r="X561" s="650"/>
      <c r="Y561" s="650"/>
      <c r="Z561" s="650"/>
      <c r="AA561" s="650"/>
      <c r="AB561" s="650"/>
      <c r="AC561" s="650"/>
      <c r="AD561" s="650"/>
      <c r="AE561" s="650"/>
      <c r="AF561" s="650"/>
      <c r="AG561" s="650"/>
      <c r="AH561" s="650"/>
      <c r="AI561" s="650"/>
      <c r="AJ561" s="650"/>
      <c r="AK561" s="650"/>
      <c r="AL561" s="650"/>
      <c r="AM561" s="650"/>
      <c r="AN561" s="650"/>
      <c r="AO561" s="650"/>
      <c r="AP561" s="650"/>
      <c r="AQ561" s="650"/>
      <c r="AR561" s="650"/>
      <c r="AS561" s="650"/>
      <c r="AT561" s="650"/>
      <c r="AU561" s="650"/>
      <c r="AV561" s="650"/>
      <c r="AW561" s="650"/>
      <c r="AX561" s="650"/>
      <c r="AY561" s="650"/>
    </row>
    <row r="562" ht="21.75" customHeight="1">
      <c r="A562" s="650"/>
      <c r="B562" s="650"/>
      <c r="C562" s="650"/>
      <c r="D562" s="650"/>
      <c r="E562" s="650"/>
      <c r="F562" s="650"/>
      <c r="G562" s="650"/>
      <c r="H562" s="650"/>
      <c r="I562" s="650"/>
      <c r="J562" s="650"/>
      <c r="K562" s="650"/>
      <c r="L562" s="650"/>
      <c r="M562" s="650"/>
      <c r="N562" s="650"/>
      <c r="O562" s="650"/>
      <c r="P562" s="650"/>
      <c r="Q562" s="650"/>
      <c r="R562" s="650"/>
      <c r="S562" s="650"/>
      <c r="T562" s="650"/>
      <c r="U562" s="650"/>
      <c r="V562" s="650"/>
      <c r="W562" s="650"/>
      <c r="X562" s="650"/>
      <c r="Y562" s="650"/>
      <c r="Z562" s="650"/>
      <c r="AA562" s="650"/>
      <c r="AB562" s="650"/>
      <c r="AC562" s="650"/>
      <c r="AD562" s="650"/>
      <c r="AE562" s="650"/>
      <c r="AF562" s="650"/>
      <c r="AG562" s="650"/>
      <c r="AH562" s="650"/>
      <c r="AI562" s="650"/>
      <c r="AJ562" s="650"/>
      <c r="AK562" s="650"/>
      <c r="AL562" s="650"/>
      <c r="AM562" s="650"/>
      <c r="AN562" s="650"/>
      <c r="AO562" s="650"/>
      <c r="AP562" s="650"/>
      <c r="AQ562" s="650"/>
      <c r="AR562" s="650"/>
      <c r="AS562" s="650"/>
      <c r="AT562" s="650"/>
      <c r="AU562" s="650"/>
      <c r="AV562" s="650"/>
      <c r="AW562" s="650"/>
      <c r="AX562" s="650"/>
      <c r="AY562" s="650"/>
    </row>
    <row r="563" ht="21.75" customHeight="1">
      <c r="A563" s="650"/>
      <c r="B563" s="650"/>
      <c r="C563" s="650"/>
      <c r="D563" s="650"/>
      <c r="E563" s="650"/>
      <c r="F563" s="650"/>
      <c r="G563" s="650"/>
      <c r="H563" s="650"/>
      <c r="I563" s="650"/>
      <c r="J563" s="650"/>
      <c r="K563" s="650"/>
      <c r="L563" s="650"/>
      <c r="M563" s="650"/>
      <c r="N563" s="650"/>
      <c r="O563" s="650"/>
      <c r="P563" s="650"/>
      <c r="Q563" s="650"/>
      <c r="R563" s="650"/>
      <c r="S563" s="650"/>
      <c r="T563" s="650"/>
      <c r="U563" s="650"/>
      <c r="V563" s="650"/>
      <c r="W563" s="650"/>
      <c r="X563" s="650"/>
      <c r="Y563" s="650"/>
      <c r="Z563" s="650"/>
      <c r="AA563" s="650"/>
      <c r="AB563" s="650"/>
      <c r="AC563" s="650"/>
      <c r="AD563" s="650"/>
      <c r="AE563" s="650"/>
      <c r="AF563" s="650"/>
      <c r="AG563" s="650"/>
      <c r="AH563" s="650"/>
      <c r="AI563" s="650"/>
      <c r="AJ563" s="650"/>
      <c r="AK563" s="650"/>
      <c r="AL563" s="650"/>
      <c r="AM563" s="650"/>
      <c r="AN563" s="650"/>
      <c r="AO563" s="650"/>
      <c r="AP563" s="650"/>
      <c r="AQ563" s="650"/>
      <c r="AR563" s="650"/>
      <c r="AS563" s="650"/>
      <c r="AT563" s="650"/>
      <c r="AU563" s="650"/>
      <c r="AV563" s="650"/>
      <c r="AW563" s="650"/>
      <c r="AX563" s="650"/>
      <c r="AY563" s="650"/>
    </row>
    <row r="564" ht="21.75" customHeight="1">
      <c r="A564" s="650"/>
      <c r="B564" s="650"/>
      <c r="C564" s="650"/>
      <c r="D564" s="650"/>
      <c r="E564" s="650"/>
      <c r="F564" s="650"/>
      <c r="G564" s="650"/>
      <c r="H564" s="650"/>
      <c r="I564" s="650"/>
      <c r="J564" s="650"/>
      <c r="K564" s="650"/>
      <c r="L564" s="650"/>
      <c r="M564" s="650"/>
      <c r="N564" s="650"/>
      <c r="O564" s="650"/>
      <c r="P564" s="650"/>
      <c r="Q564" s="650"/>
      <c r="R564" s="650"/>
      <c r="S564" s="650"/>
      <c r="T564" s="650"/>
      <c r="U564" s="650"/>
      <c r="V564" s="650"/>
      <c r="W564" s="650"/>
      <c r="X564" s="650"/>
      <c r="Y564" s="650"/>
      <c r="Z564" s="650"/>
      <c r="AA564" s="650"/>
      <c r="AB564" s="650"/>
      <c r="AC564" s="650"/>
      <c r="AD564" s="650"/>
      <c r="AE564" s="650"/>
      <c r="AF564" s="650"/>
      <c r="AG564" s="650"/>
      <c r="AH564" s="650"/>
      <c r="AI564" s="650"/>
      <c r="AJ564" s="650"/>
      <c r="AK564" s="650"/>
      <c r="AL564" s="650"/>
      <c r="AM564" s="650"/>
      <c r="AN564" s="650"/>
      <c r="AO564" s="650"/>
      <c r="AP564" s="650"/>
      <c r="AQ564" s="650"/>
      <c r="AR564" s="650"/>
      <c r="AS564" s="650"/>
      <c r="AT564" s="650"/>
      <c r="AU564" s="650"/>
      <c r="AV564" s="650"/>
      <c r="AW564" s="650"/>
      <c r="AX564" s="650"/>
      <c r="AY564" s="650"/>
    </row>
    <row r="565" ht="21.75" customHeight="1">
      <c r="A565" s="650"/>
      <c r="B565" s="650"/>
      <c r="C565" s="650"/>
      <c r="D565" s="650"/>
      <c r="E565" s="650"/>
      <c r="F565" s="650"/>
      <c r="G565" s="650"/>
      <c r="H565" s="650"/>
      <c r="I565" s="650"/>
      <c r="J565" s="650"/>
      <c r="K565" s="650"/>
      <c r="L565" s="650"/>
      <c r="M565" s="650"/>
      <c r="N565" s="650"/>
      <c r="O565" s="650"/>
      <c r="P565" s="650"/>
      <c r="Q565" s="650"/>
      <c r="R565" s="650"/>
      <c r="S565" s="650"/>
      <c r="T565" s="650"/>
      <c r="U565" s="650"/>
      <c r="V565" s="650"/>
      <c r="W565" s="650"/>
      <c r="X565" s="650"/>
      <c r="Y565" s="650"/>
      <c r="Z565" s="650"/>
      <c r="AA565" s="650"/>
      <c r="AB565" s="650"/>
      <c r="AC565" s="650"/>
      <c r="AD565" s="650"/>
      <c r="AE565" s="650"/>
      <c r="AF565" s="650"/>
      <c r="AG565" s="650"/>
      <c r="AH565" s="650"/>
      <c r="AI565" s="650"/>
      <c r="AJ565" s="650"/>
      <c r="AK565" s="650"/>
      <c r="AL565" s="650"/>
      <c r="AM565" s="650"/>
      <c r="AN565" s="650"/>
      <c r="AO565" s="650"/>
      <c r="AP565" s="650"/>
      <c r="AQ565" s="650"/>
      <c r="AR565" s="650"/>
      <c r="AS565" s="650"/>
      <c r="AT565" s="650"/>
      <c r="AU565" s="650"/>
      <c r="AV565" s="650"/>
      <c r="AW565" s="650"/>
      <c r="AX565" s="650"/>
      <c r="AY565" s="650"/>
    </row>
    <row r="566" ht="21.75" customHeight="1">
      <c r="A566" s="650"/>
      <c r="B566" s="650"/>
      <c r="C566" s="650"/>
      <c r="D566" s="650"/>
      <c r="E566" s="650"/>
      <c r="F566" s="650"/>
      <c r="G566" s="650"/>
      <c r="H566" s="650"/>
      <c r="I566" s="650"/>
      <c r="J566" s="650"/>
      <c r="K566" s="650"/>
      <c r="L566" s="650"/>
      <c r="M566" s="650"/>
      <c r="N566" s="650"/>
      <c r="O566" s="650"/>
      <c r="P566" s="650"/>
      <c r="Q566" s="650"/>
      <c r="R566" s="650"/>
      <c r="S566" s="650"/>
      <c r="T566" s="650"/>
      <c r="U566" s="650"/>
      <c r="V566" s="650"/>
      <c r="W566" s="650"/>
      <c r="X566" s="650"/>
      <c r="Y566" s="650"/>
      <c r="Z566" s="650"/>
      <c r="AA566" s="650"/>
      <c r="AB566" s="650"/>
      <c r="AC566" s="650"/>
      <c r="AD566" s="650"/>
      <c r="AE566" s="650"/>
      <c r="AF566" s="650"/>
      <c r="AG566" s="650"/>
      <c r="AH566" s="650"/>
      <c r="AI566" s="650"/>
      <c r="AJ566" s="650"/>
      <c r="AK566" s="650"/>
      <c r="AL566" s="650"/>
      <c r="AM566" s="650"/>
      <c r="AN566" s="650"/>
      <c r="AO566" s="650"/>
      <c r="AP566" s="650"/>
      <c r="AQ566" s="650"/>
      <c r="AR566" s="650"/>
      <c r="AS566" s="650"/>
      <c r="AT566" s="650"/>
      <c r="AU566" s="650"/>
      <c r="AV566" s="650"/>
      <c r="AW566" s="650"/>
      <c r="AX566" s="650"/>
      <c r="AY566" s="650"/>
    </row>
    <row r="567" ht="21.75" customHeight="1">
      <c r="A567" s="650"/>
      <c r="B567" s="650"/>
      <c r="C567" s="650"/>
      <c r="D567" s="650"/>
      <c r="E567" s="650"/>
      <c r="F567" s="650"/>
      <c r="G567" s="650"/>
      <c r="H567" s="650"/>
      <c r="I567" s="650"/>
      <c r="J567" s="650"/>
      <c r="K567" s="650"/>
      <c r="L567" s="650"/>
      <c r="M567" s="650"/>
      <c r="N567" s="650"/>
      <c r="O567" s="650"/>
      <c r="P567" s="650"/>
      <c r="Q567" s="650"/>
      <c r="R567" s="650"/>
      <c r="S567" s="650"/>
      <c r="T567" s="650"/>
      <c r="U567" s="650"/>
      <c r="V567" s="650"/>
      <c r="W567" s="650"/>
      <c r="X567" s="650"/>
      <c r="Y567" s="650"/>
      <c r="Z567" s="650"/>
      <c r="AA567" s="650"/>
      <c r="AB567" s="650"/>
      <c r="AC567" s="650"/>
      <c r="AD567" s="650"/>
      <c r="AE567" s="650"/>
      <c r="AF567" s="650"/>
      <c r="AG567" s="650"/>
      <c r="AH567" s="650"/>
      <c r="AI567" s="650"/>
      <c r="AJ567" s="650"/>
      <c r="AK567" s="650"/>
      <c r="AL567" s="650"/>
      <c r="AM567" s="650"/>
      <c r="AN567" s="650"/>
      <c r="AO567" s="650"/>
      <c r="AP567" s="650"/>
      <c r="AQ567" s="650"/>
      <c r="AR567" s="650"/>
      <c r="AS567" s="650"/>
      <c r="AT567" s="650"/>
      <c r="AU567" s="650"/>
      <c r="AV567" s="650"/>
      <c r="AW567" s="650"/>
      <c r="AX567" s="650"/>
      <c r="AY567" s="650"/>
    </row>
    <row r="568" ht="21.75" customHeight="1">
      <c r="A568" s="650"/>
      <c r="B568" s="650"/>
      <c r="C568" s="650"/>
      <c r="D568" s="650"/>
      <c r="E568" s="650"/>
      <c r="F568" s="650"/>
      <c r="G568" s="650"/>
      <c r="H568" s="650"/>
      <c r="I568" s="650"/>
      <c r="J568" s="650"/>
      <c r="K568" s="650"/>
      <c r="L568" s="650"/>
      <c r="M568" s="650"/>
      <c r="N568" s="650"/>
      <c r="O568" s="650"/>
      <c r="P568" s="650"/>
      <c r="Q568" s="650"/>
      <c r="R568" s="650"/>
      <c r="S568" s="650"/>
      <c r="T568" s="650"/>
      <c r="U568" s="650"/>
      <c r="V568" s="650"/>
      <c r="W568" s="650"/>
      <c r="X568" s="650"/>
      <c r="Y568" s="650"/>
      <c r="Z568" s="650"/>
      <c r="AA568" s="650"/>
      <c r="AB568" s="650"/>
      <c r="AC568" s="650"/>
      <c r="AD568" s="650"/>
      <c r="AE568" s="650"/>
      <c r="AF568" s="650"/>
      <c r="AG568" s="650"/>
      <c r="AH568" s="650"/>
      <c r="AI568" s="650"/>
      <c r="AJ568" s="650"/>
      <c r="AK568" s="650"/>
      <c r="AL568" s="650"/>
      <c r="AM568" s="650"/>
      <c r="AN568" s="650"/>
      <c r="AO568" s="650"/>
      <c r="AP568" s="650"/>
      <c r="AQ568" s="650"/>
      <c r="AR568" s="650"/>
      <c r="AS568" s="650"/>
      <c r="AT568" s="650"/>
      <c r="AU568" s="650"/>
      <c r="AV568" s="650"/>
      <c r="AW568" s="650"/>
      <c r="AX568" s="650"/>
      <c r="AY568" s="650"/>
    </row>
    <row r="569" ht="21.75" customHeight="1">
      <c r="A569" s="650"/>
      <c r="B569" s="650"/>
      <c r="C569" s="650"/>
      <c r="D569" s="650"/>
      <c r="E569" s="650"/>
      <c r="F569" s="650"/>
      <c r="G569" s="650"/>
      <c r="H569" s="650"/>
      <c r="I569" s="650"/>
      <c r="J569" s="650"/>
      <c r="K569" s="650"/>
      <c r="L569" s="650"/>
      <c r="M569" s="650"/>
      <c r="N569" s="650"/>
      <c r="O569" s="650"/>
      <c r="P569" s="650"/>
      <c r="Q569" s="650"/>
      <c r="R569" s="650"/>
      <c r="S569" s="650"/>
      <c r="T569" s="650"/>
      <c r="U569" s="650"/>
      <c r="V569" s="650"/>
      <c r="W569" s="650"/>
      <c r="X569" s="650"/>
      <c r="Y569" s="650"/>
      <c r="Z569" s="650"/>
      <c r="AA569" s="650"/>
      <c r="AB569" s="650"/>
      <c r="AC569" s="650"/>
      <c r="AD569" s="650"/>
      <c r="AE569" s="650"/>
      <c r="AF569" s="650"/>
      <c r="AG569" s="650"/>
      <c r="AH569" s="650"/>
      <c r="AI569" s="650"/>
      <c r="AJ569" s="650"/>
      <c r="AK569" s="650"/>
      <c r="AL569" s="650"/>
      <c r="AM569" s="650"/>
      <c r="AN569" s="650"/>
      <c r="AO569" s="650"/>
      <c r="AP569" s="650"/>
      <c r="AQ569" s="650"/>
      <c r="AR569" s="650"/>
      <c r="AS569" s="650"/>
      <c r="AT569" s="650"/>
      <c r="AU569" s="650"/>
      <c r="AV569" s="650"/>
      <c r="AW569" s="650"/>
      <c r="AX569" s="650"/>
      <c r="AY569" s="650"/>
    </row>
    <row r="570" ht="21.75" customHeight="1">
      <c r="A570" s="650"/>
      <c r="B570" s="650"/>
      <c r="C570" s="650"/>
      <c r="D570" s="650"/>
      <c r="E570" s="650"/>
      <c r="F570" s="650"/>
      <c r="G570" s="650"/>
      <c r="H570" s="650"/>
      <c r="I570" s="650"/>
      <c r="J570" s="650"/>
      <c r="K570" s="650"/>
      <c r="L570" s="650"/>
      <c r="M570" s="650"/>
      <c r="N570" s="650"/>
      <c r="O570" s="650"/>
      <c r="P570" s="650"/>
      <c r="Q570" s="650"/>
      <c r="R570" s="650"/>
      <c r="S570" s="650"/>
      <c r="T570" s="650"/>
      <c r="U570" s="650"/>
      <c r="V570" s="650"/>
      <c r="W570" s="650"/>
      <c r="X570" s="650"/>
      <c r="Y570" s="650"/>
      <c r="Z570" s="650"/>
      <c r="AA570" s="650"/>
      <c r="AB570" s="650"/>
      <c r="AC570" s="650"/>
      <c r="AD570" s="650"/>
      <c r="AE570" s="650"/>
      <c r="AF570" s="650"/>
      <c r="AG570" s="650"/>
      <c r="AH570" s="650"/>
      <c r="AI570" s="650"/>
      <c r="AJ570" s="650"/>
      <c r="AK570" s="650"/>
      <c r="AL570" s="650"/>
      <c r="AM570" s="650"/>
      <c r="AN570" s="650"/>
      <c r="AO570" s="650"/>
      <c r="AP570" s="650"/>
      <c r="AQ570" s="650"/>
      <c r="AR570" s="650"/>
      <c r="AS570" s="650"/>
      <c r="AT570" s="650"/>
      <c r="AU570" s="650"/>
      <c r="AV570" s="650"/>
      <c r="AW570" s="650"/>
      <c r="AX570" s="650"/>
      <c r="AY570" s="650"/>
    </row>
    <row r="571" ht="21.75" customHeight="1">
      <c r="A571" s="650"/>
      <c r="B571" s="650"/>
      <c r="C571" s="650"/>
      <c r="D571" s="650"/>
      <c r="E571" s="650"/>
      <c r="F571" s="650"/>
      <c r="G571" s="650"/>
      <c r="H571" s="650"/>
      <c r="I571" s="650"/>
      <c r="J571" s="650"/>
      <c r="K571" s="650"/>
      <c r="L571" s="650"/>
      <c r="M571" s="650"/>
      <c r="N571" s="650"/>
      <c r="O571" s="650"/>
      <c r="P571" s="650"/>
      <c r="Q571" s="650"/>
      <c r="R571" s="650"/>
      <c r="S571" s="650"/>
      <c r="T571" s="650"/>
      <c r="U571" s="650"/>
      <c r="V571" s="650"/>
      <c r="W571" s="650"/>
      <c r="X571" s="650"/>
      <c r="Y571" s="650"/>
      <c r="Z571" s="650"/>
      <c r="AA571" s="650"/>
      <c r="AB571" s="650"/>
      <c r="AC571" s="650"/>
      <c r="AD571" s="650"/>
      <c r="AE571" s="650"/>
      <c r="AF571" s="650"/>
      <c r="AG571" s="650"/>
      <c r="AH571" s="650"/>
      <c r="AI571" s="650"/>
      <c r="AJ571" s="650"/>
      <c r="AK571" s="650"/>
      <c r="AL571" s="650"/>
      <c r="AM571" s="650"/>
      <c r="AN571" s="650"/>
      <c r="AO571" s="650"/>
      <c r="AP571" s="650"/>
      <c r="AQ571" s="650"/>
      <c r="AR571" s="650"/>
      <c r="AS571" s="650"/>
      <c r="AT571" s="650"/>
      <c r="AU571" s="650"/>
      <c r="AV571" s="650"/>
      <c r="AW571" s="650"/>
      <c r="AX571" s="650"/>
      <c r="AY571" s="650"/>
    </row>
    <row r="572" ht="21.75" customHeight="1">
      <c r="A572" s="650"/>
      <c r="B572" s="650"/>
      <c r="C572" s="650"/>
      <c r="D572" s="650"/>
      <c r="E572" s="650"/>
      <c r="F572" s="650"/>
      <c r="G572" s="650"/>
      <c r="H572" s="650"/>
      <c r="I572" s="650"/>
      <c r="J572" s="650"/>
      <c r="K572" s="650"/>
      <c r="L572" s="650"/>
      <c r="M572" s="650"/>
      <c r="N572" s="650"/>
      <c r="O572" s="650"/>
      <c r="P572" s="650"/>
      <c r="Q572" s="650"/>
      <c r="R572" s="650"/>
      <c r="S572" s="650"/>
      <c r="T572" s="650"/>
      <c r="U572" s="650"/>
      <c r="V572" s="650"/>
      <c r="W572" s="650"/>
      <c r="X572" s="650"/>
      <c r="Y572" s="650"/>
      <c r="Z572" s="650"/>
      <c r="AA572" s="650"/>
      <c r="AB572" s="650"/>
      <c r="AC572" s="650"/>
      <c r="AD572" s="650"/>
      <c r="AE572" s="650"/>
      <c r="AF572" s="650"/>
      <c r="AG572" s="650"/>
      <c r="AH572" s="650"/>
      <c r="AI572" s="650"/>
      <c r="AJ572" s="650"/>
      <c r="AK572" s="650"/>
      <c r="AL572" s="650"/>
      <c r="AM572" s="650"/>
      <c r="AN572" s="650"/>
      <c r="AO572" s="650"/>
      <c r="AP572" s="650"/>
      <c r="AQ572" s="650"/>
      <c r="AR572" s="650"/>
      <c r="AS572" s="650"/>
      <c r="AT572" s="650"/>
      <c r="AU572" s="650"/>
      <c r="AV572" s="650"/>
      <c r="AW572" s="650"/>
      <c r="AX572" s="650"/>
      <c r="AY572" s="650"/>
    </row>
    <row r="573" ht="21.75" customHeight="1">
      <c r="A573" s="650"/>
      <c r="B573" s="650"/>
      <c r="C573" s="650"/>
      <c r="D573" s="650"/>
      <c r="E573" s="650"/>
      <c r="F573" s="650"/>
      <c r="G573" s="650"/>
      <c r="H573" s="650"/>
      <c r="I573" s="650"/>
      <c r="J573" s="650"/>
      <c r="K573" s="650"/>
      <c r="L573" s="650"/>
      <c r="M573" s="650"/>
      <c r="N573" s="650"/>
      <c r="O573" s="650"/>
      <c r="P573" s="650"/>
      <c r="Q573" s="650"/>
      <c r="R573" s="650"/>
      <c r="S573" s="650"/>
      <c r="T573" s="650"/>
      <c r="U573" s="650"/>
      <c r="V573" s="650"/>
      <c r="W573" s="650"/>
      <c r="X573" s="650"/>
      <c r="Y573" s="650"/>
      <c r="Z573" s="650"/>
      <c r="AA573" s="650"/>
      <c r="AB573" s="650"/>
      <c r="AC573" s="650"/>
      <c r="AD573" s="650"/>
      <c r="AE573" s="650"/>
      <c r="AF573" s="650"/>
      <c r="AG573" s="650"/>
      <c r="AH573" s="650"/>
      <c r="AI573" s="650"/>
      <c r="AJ573" s="650"/>
      <c r="AK573" s="650"/>
      <c r="AL573" s="650"/>
      <c r="AM573" s="650"/>
      <c r="AN573" s="650"/>
      <c r="AO573" s="650"/>
      <c r="AP573" s="650"/>
      <c r="AQ573" s="650"/>
      <c r="AR573" s="650"/>
      <c r="AS573" s="650"/>
      <c r="AT573" s="650"/>
      <c r="AU573" s="650"/>
      <c r="AV573" s="650"/>
      <c r="AW573" s="650"/>
      <c r="AX573" s="650"/>
      <c r="AY573" s="650"/>
    </row>
    <row r="574" ht="21.75" customHeight="1">
      <c r="A574" s="650"/>
      <c r="B574" s="650"/>
      <c r="C574" s="650"/>
      <c r="D574" s="650"/>
      <c r="E574" s="650"/>
      <c r="F574" s="650"/>
      <c r="G574" s="650"/>
      <c r="H574" s="650"/>
      <c r="I574" s="650"/>
      <c r="J574" s="650"/>
      <c r="K574" s="650"/>
      <c r="L574" s="650"/>
      <c r="M574" s="650"/>
      <c r="N574" s="650"/>
      <c r="O574" s="650"/>
      <c r="P574" s="650"/>
      <c r="Q574" s="650"/>
      <c r="R574" s="650"/>
      <c r="S574" s="650"/>
      <c r="T574" s="650"/>
      <c r="U574" s="650"/>
      <c r="V574" s="650"/>
      <c r="W574" s="650"/>
      <c r="X574" s="650"/>
      <c r="Y574" s="650"/>
      <c r="Z574" s="650"/>
      <c r="AA574" s="650"/>
      <c r="AB574" s="650"/>
      <c r="AC574" s="650"/>
      <c r="AD574" s="650"/>
      <c r="AE574" s="650"/>
      <c r="AF574" s="650"/>
      <c r="AG574" s="650"/>
      <c r="AH574" s="650"/>
      <c r="AI574" s="650"/>
      <c r="AJ574" s="650"/>
      <c r="AK574" s="650"/>
      <c r="AL574" s="650"/>
      <c r="AM574" s="650"/>
      <c r="AN574" s="650"/>
      <c r="AO574" s="650"/>
      <c r="AP574" s="650"/>
      <c r="AQ574" s="650"/>
      <c r="AR574" s="650"/>
      <c r="AS574" s="650"/>
      <c r="AT574" s="650"/>
      <c r="AU574" s="650"/>
      <c r="AV574" s="650"/>
      <c r="AW574" s="650"/>
      <c r="AX574" s="650"/>
      <c r="AY574" s="650"/>
    </row>
    <row r="575" ht="21.75" customHeight="1">
      <c r="A575" s="650"/>
      <c r="B575" s="650"/>
      <c r="C575" s="650"/>
      <c r="D575" s="650"/>
      <c r="E575" s="650"/>
      <c r="F575" s="650"/>
      <c r="G575" s="650"/>
      <c r="H575" s="650"/>
      <c r="I575" s="650"/>
      <c r="J575" s="650"/>
      <c r="K575" s="650"/>
      <c r="L575" s="650"/>
      <c r="M575" s="650"/>
      <c r="N575" s="650"/>
      <c r="O575" s="650"/>
      <c r="P575" s="650"/>
      <c r="Q575" s="650"/>
      <c r="R575" s="650"/>
      <c r="S575" s="650"/>
      <c r="T575" s="650"/>
      <c r="U575" s="650"/>
      <c r="V575" s="650"/>
      <c r="W575" s="650"/>
      <c r="X575" s="650"/>
      <c r="Y575" s="650"/>
      <c r="Z575" s="650"/>
      <c r="AA575" s="650"/>
      <c r="AB575" s="650"/>
      <c r="AC575" s="650"/>
      <c r="AD575" s="650"/>
      <c r="AE575" s="650"/>
      <c r="AF575" s="650"/>
      <c r="AG575" s="650"/>
      <c r="AH575" s="650"/>
      <c r="AI575" s="650"/>
      <c r="AJ575" s="650"/>
      <c r="AK575" s="650"/>
      <c r="AL575" s="650"/>
      <c r="AM575" s="650"/>
      <c r="AN575" s="650"/>
      <c r="AO575" s="650"/>
      <c r="AP575" s="650"/>
      <c r="AQ575" s="650"/>
      <c r="AR575" s="650"/>
      <c r="AS575" s="650"/>
      <c r="AT575" s="650"/>
      <c r="AU575" s="650"/>
      <c r="AV575" s="650"/>
      <c r="AW575" s="650"/>
      <c r="AX575" s="650"/>
      <c r="AY575" s="650"/>
    </row>
    <row r="576" ht="21.75" customHeight="1">
      <c r="A576" s="650"/>
      <c r="B576" s="650"/>
      <c r="C576" s="650"/>
      <c r="D576" s="650"/>
      <c r="E576" s="650"/>
      <c r="F576" s="650"/>
      <c r="G576" s="650"/>
      <c r="H576" s="650"/>
      <c r="I576" s="650"/>
      <c r="J576" s="650"/>
      <c r="K576" s="650"/>
      <c r="L576" s="650"/>
      <c r="M576" s="650"/>
      <c r="N576" s="650"/>
      <c r="O576" s="650"/>
      <c r="P576" s="650"/>
      <c r="Q576" s="650"/>
      <c r="R576" s="650"/>
      <c r="S576" s="650"/>
      <c r="T576" s="650"/>
      <c r="U576" s="650"/>
      <c r="V576" s="650"/>
      <c r="W576" s="650"/>
      <c r="X576" s="650"/>
      <c r="Y576" s="650"/>
      <c r="Z576" s="650"/>
      <c r="AA576" s="650"/>
      <c r="AB576" s="650"/>
      <c r="AC576" s="650"/>
      <c r="AD576" s="650"/>
      <c r="AE576" s="650"/>
      <c r="AF576" s="650"/>
      <c r="AG576" s="650"/>
      <c r="AH576" s="650"/>
      <c r="AI576" s="650"/>
      <c r="AJ576" s="650"/>
      <c r="AK576" s="650"/>
      <c r="AL576" s="650"/>
      <c r="AM576" s="650"/>
      <c r="AN576" s="650"/>
      <c r="AO576" s="650"/>
      <c r="AP576" s="650"/>
      <c r="AQ576" s="650"/>
      <c r="AR576" s="650"/>
      <c r="AS576" s="650"/>
      <c r="AT576" s="650"/>
      <c r="AU576" s="650"/>
      <c r="AV576" s="650"/>
      <c r="AW576" s="650"/>
      <c r="AX576" s="650"/>
      <c r="AY576" s="650"/>
    </row>
    <row r="577" ht="21.75" customHeight="1">
      <c r="A577" s="650"/>
      <c r="B577" s="650"/>
      <c r="C577" s="650"/>
      <c r="D577" s="650"/>
      <c r="E577" s="650"/>
      <c r="F577" s="650"/>
      <c r="G577" s="650"/>
      <c r="H577" s="650"/>
      <c r="I577" s="650"/>
      <c r="J577" s="650"/>
      <c r="K577" s="650"/>
      <c r="L577" s="650"/>
      <c r="M577" s="650"/>
      <c r="N577" s="650"/>
      <c r="O577" s="650"/>
      <c r="P577" s="650"/>
      <c r="Q577" s="650"/>
      <c r="R577" s="650"/>
      <c r="S577" s="650"/>
      <c r="T577" s="650"/>
      <c r="U577" s="650"/>
      <c r="V577" s="650"/>
      <c r="W577" s="650"/>
      <c r="X577" s="650"/>
      <c r="Y577" s="650"/>
      <c r="Z577" s="650"/>
      <c r="AA577" s="650"/>
      <c r="AB577" s="650"/>
      <c r="AC577" s="650"/>
      <c r="AD577" s="650"/>
      <c r="AE577" s="650"/>
      <c r="AF577" s="650"/>
      <c r="AG577" s="650"/>
      <c r="AH577" s="650"/>
      <c r="AI577" s="650"/>
      <c r="AJ577" s="650"/>
      <c r="AK577" s="650"/>
      <c r="AL577" s="650"/>
      <c r="AM577" s="650"/>
      <c r="AN577" s="650"/>
      <c r="AO577" s="650"/>
      <c r="AP577" s="650"/>
      <c r="AQ577" s="650"/>
      <c r="AR577" s="650"/>
      <c r="AS577" s="650"/>
      <c r="AT577" s="650"/>
      <c r="AU577" s="650"/>
      <c r="AV577" s="650"/>
      <c r="AW577" s="650"/>
      <c r="AX577" s="650"/>
      <c r="AY577" s="650"/>
    </row>
    <row r="578" ht="21.75" customHeight="1">
      <c r="A578" s="650"/>
      <c r="B578" s="650"/>
      <c r="C578" s="650"/>
      <c r="D578" s="650"/>
      <c r="E578" s="650"/>
      <c r="F578" s="650"/>
      <c r="G578" s="650"/>
      <c r="H578" s="650"/>
      <c r="I578" s="650"/>
      <c r="J578" s="650"/>
      <c r="K578" s="650"/>
      <c r="L578" s="650"/>
      <c r="M578" s="650"/>
      <c r="N578" s="650"/>
      <c r="O578" s="650"/>
      <c r="P578" s="650"/>
      <c r="Q578" s="650"/>
      <c r="R578" s="650"/>
      <c r="S578" s="650"/>
      <c r="T578" s="650"/>
      <c r="U578" s="650"/>
      <c r="V578" s="650"/>
      <c r="W578" s="650"/>
      <c r="X578" s="650"/>
      <c r="Y578" s="650"/>
      <c r="Z578" s="650"/>
      <c r="AA578" s="650"/>
      <c r="AB578" s="650"/>
      <c r="AC578" s="650"/>
      <c r="AD578" s="650"/>
      <c r="AE578" s="650"/>
      <c r="AF578" s="650"/>
      <c r="AG578" s="650"/>
      <c r="AH578" s="650"/>
      <c r="AI578" s="650"/>
      <c r="AJ578" s="650"/>
      <c r="AK578" s="650"/>
      <c r="AL578" s="650"/>
      <c r="AM578" s="650"/>
      <c r="AN578" s="650"/>
      <c r="AO578" s="650"/>
      <c r="AP578" s="650"/>
      <c r="AQ578" s="650"/>
      <c r="AR578" s="650"/>
      <c r="AS578" s="650"/>
      <c r="AT578" s="650"/>
      <c r="AU578" s="650"/>
      <c r="AV578" s="650"/>
      <c r="AW578" s="650"/>
      <c r="AX578" s="650"/>
      <c r="AY578" s="650"/>
    </row>
    <row r="579" ht="21.75" customHeight="1">
      <c r="A579" s="650"/>
      <c r="B579" s="650"/>
      <c r="C579" s="650"/>
      <c r="D579" s="650"/>
      <c r="E579" s="650"/>
      <c r="F579" s="650"/>
      <c r="G579" s="650"/>
      <c r="H579" s="650"/>
      <c r="I579" s="650"/>
      <c r="J579" s="650"/>
      <c r="K579" s="650"/>
      <c r="L579" s="650"/>
      <c r="M579" s="650"/>
      <c r="N579" s="650"/>
      <c r="O579" s="650"/>
      <c r="P579" s="650"/>
      <c r="Q579" s="650"/>
      <c r="R579" s="650"/>
      <c r="S579" s="650"/>
      <c r="T579" s="650"/>
      <c r="U579" s="650"/>
      <c r="V579" s="650"/>
      <c r="W579" s="650"/>
      <c r="X579" s="650"/>
      <c r="Y579" s="650"/>
      <c r="Z579" s="650"/>
      <c r="AA579" s="650"/>
      <c r="AB579" s="650"/>
      <c r="AC579" s="650"/>
      <c r="AD579" s="650"/>
      <c r="AE579" s="650"/>
      <c r="AF579" s="650"/>
      <c r="AG579" s="650"/>
      <c r="AH579" s="650"/>
      <c r="AI579" s="650"/>
      <c r="AJ579" s="650"/>
      <c r="AK579" s="650"/>
      <c r="AL579" s="650"/>
      <c r="AM579" s="650"/>
      <c r="AN579" s="650"/>
      <c r="AO579" s="650"/>
      <c r="AP579" s="650"/>
      <c r="AQ579" s="650"/>
      <c r="AR579" s="650"/>
      <c r="AS579" s="650"/>
      <c r="AT579" s="650"/>
      <c r="AU579" s="650"/>
      <c r="AV579" s="650"/>
      <c r="AW579" s="650"/>
      <c r="AX579" s="650"/>
      <c r="AY579" s="650"/>
    </row>
    <row r="580" ht="21.75" customHeight="1">
      <c r="A580" s="650"/>
      <c r="B580" s="650"/>
      <c r="C580" s="650"/>
      <c r="D580" s="650"/>
      <c r="E580" s="650"/>
      <c r="F580" s="650"/>
      <c r="G580" s="650"/>
      <c r="H580" s="650"/>
      <c r="I580" s="650"/>
      <c r="J580" s="650"/>
      <c r="K580" s="650"/>
      <c r="L580" s="650"/>
      <c r="M580" s="650"/>
      <c r="N580" s="650"/>
      <c r="O580" s="650"/>
      <c r="P580" s="650"/>
      <c r="Q580" s="650"/>
      <c r="R580" s="650"/>
      <c r="S580" s="650"/>
      <c r="T580" s="650"/>
      <c r="U580" s="650"/>
      <c r="V580" s="650"/>
      <c r="W580" s="650"/>
      <c r="X580" s="650"/>
      <c r="Y580" s="650"/>
      <c r="Z580" s="650"/>
      <c r="AA580" s="650"/>
      <c r="AB580" s="650"/>
      <c r="AC580" s="650"/>
      <c r="AD580" s="650"/>
      <c r="AE580" s="650"/>
      <c r="AF580" s="650"/>
      <c r="AG580" s="650"/>
      <c r="AH580" s="650"/>
      <c r="AI580" s="650"/>
      <c r="AJ580" s="650"/>
      <c r="AK580" s="650"/>
      <c r="AL580" s="650"/>
      <c r="AM580" s="650"/>
      <c r="AN580" s="650"/>
      <c r="AO580" s="650"/>
      <c r="AP580" s="650"/>
      <c r="AQ580" s="650"/>
      <c r="AR580" s="650"/>
      <c r="AS580" s="650"/>
      <c r="AT580" s="650"/>
      <c r="AU580" s="650"/>
      <c r="AV580" s="650"/>
      <c r="AW580" s="650"/>
      <c r="AX580" s="650"/>
      <c r="AY580" s="650"/>
    </row>
    <row r="581" ht="21.75" customHeight="1">
      <c r="A581" s="650"/>
      <c r="B581" s="650"/>
      <c r="C581" s="650"/>
      <c r="D581" s="650"/>
      <c r="E581" s="650"/>
      <c r="F581" s="650"/>
      <c r="G581" s="650"/>
      <c r="H581" s="650"/>
      <c r="I581" s="650"/>
      <c r="J581" s="650"/>
      <c r="K581" s="650"/>
      <c r="L581" s="650"/>
      <c r="M581" s="650"/>
      <c r="N581" s="650"/>
      <c r="O581" s="650"/>
      <c r="P581" s="650"/>
      <c r="Q581" s="650"/>
      <c r="R581" s="650"/>
      <c r="S581" s="650"/>
      <c r="T581" s="650"/>
      <c r="U581" s="650"/>
      <c r="V581" s="650"/>
      <c r="W581" s="650"/>
      <c r="X581" s="650"/>
      <c r="Y581" s="650"/>
      <c r="Z581" s="650"/>
      <c r="AA581" s="650"/>
      <c r="AB581" s="650"/>
      <c r="AC581" s="650"/>
      <c r="AD581" s="650"/>
      <c r="AE581" s="650"/>
      <c r="AF581" s="650"/>
      <c r="AG581" s="650"/>
      <c r="AH581" s="650"/>
      <c r="AI581" s="650"/>
      <c r="AJ581" s="650"/>
      <c r="AK581" s="650"/>
      <c r="AL581" s="650"/>
      <c r="AM581" s="650"/>
      <c r="AN581" s="650"/>
      <c r="AO581" s="650"/>
      <c r="AP581" s="650"/>
      <c r="AQ581" s="650"/>
      <c r="AR581" s="650"/>
      <c r="AS581" s="650"/>
      <c r="AT581" s="650"/>
      <c r="AU581" s="650"/>
      <c r="AV581" s="650"/>
      <c r="AW581" s="650"/>
      <c r="AX581" s="650"/>
      <c r="AY581" s="650"/>
    </row>
    <row r="582" ht="21.75" customHeight="1">
      <c r="A582" s="650"/>
      <c r="B582" s="650"/>
      <c r="C582" s="650"/>
      <c r="D582" s="650"/>
      <c r="E582" s="650"/>
      <c r="F582" s="650"/>
      <c r="G582" s="650"/>
      <c r="H582" s="650"/>
      <c r="I582" s="650"/>
      <c r="J582" s="650"/>
      <c r="K582" s="650"/>
      <c r="L582" s="650"/>
      <c r="M582" s="650"/>
      <c r="N582" s="650"/>
      <c r="O582" s="650"/>
      <c r="P582" s="650"/>
      <c r="Q582" s="650"/>
      <c r="R582" s="650"/>
      <c r="S582" s="650"/>
      <c r="T582" s="650"/>
      <c r="U582" s="650"/>
      <c r="V582" s="650"/>
      <c r="W582" s="650"/>
      <c r="X582" s="650"/>
      <c r="Y582" s="650"/>
      <c r="Z582" s="650"/>
      <c r="AA582" s="650"/>
      <c r="AB582" s="650"/>
      <c r="AC582" s="650"/>
      <c r="AD582" s="650"/>
      <c r="AE582" s="650"/>
      <c r="AF582" s="650"/>
      <c r="AG582" s="650"/>
      <c r="AH582" s="650"/>
      <c r="AI582" s="650"/>
      <c r="AJ582" s="650"/>
      <c r="AK582" s="650"/>
      <c r="AL582" s="650"/>
      <c r="AM582" s="650"/>
      <c r="AN582" s="650"/>
      <c r="AO582" s="650"/>
      <c r="AP582" s="650"/>
      <c r="AQ582" s="650"/>
      <c r="AR582" s="650"/>
      <c r="AS582" s="650"/>
      <c r="AT582" s="650"/>
      <c r="AU582" s="650"/>
      <c r="AV582" s="650"/>
      <c r="AW582" s="650"/>
      <c r="AX582" s="650"/>
      <c r="AY582" s="650"/>
    </row>
    <row r="583" ht="21.75" customHeight="1">
      <c r="A583" s="650"/>
      <c r="B583" s="650"/>
      <c r="C583" s="650"/>
      <c r="D583" s="650"/>
      <c r="E583" s="650"/>
      <c r="F583" s="650"/>
      <c r="G583" s="650"/>
      <c r="H583" s="650"/>
      <c r="I583" s="650"/>
      <c r="J583" s="650"/>
      <c r="K583" s="650"/>
      <c r="L583" s="650"/>
      <c r="M583" s="650"/>
      <c r="N583" s="650"/>
      <c r="O583" s="650"/>
      <c r="P583" s="650"/>
      <c r="Q583" s="650"/>
      <c r="R583" s="650"/>
      <c r="S583" s="650"/>
      <c r="T583" s="650"/>
      <c r="U583" s="650"/>
      <c r="V583" s="650"/>
      <c r="W583" s="650"/>
      <c r="X583" s="650"/>
      <c r="Y583" s="650"/>
      <c r="Z583" s="650"/>
      <c r="AA583" s="650"/>
      <c r="AB583" s="650"/>
      <c r="AC583" s="650"/>
      <c r="AD583" s="650"/>
      <c r="AE583" s="650"/>
      <c r="AF583" s="650"/>
      <c r="AG583" s="650"/>
      <c r="AH583" s="650"/>
      <c r="AI583" s="650"/>
      <c r="AJ583" s="650"/>
      <c r="AK583" s="650"/>
      <c r="AL583" s="650"/>
      <c r="AM583" s="650"/>
      <c r="AN583" s="650"/>
      <c r="AO583" s="650"/>
      <c r="AP583" s="650"/>
      <c r="AQ583" s="650"/>
      <c r="AR583" s="650"/>
      <c r="AS583" s="650"/>
      <c r="AT583" s="650"/>
      <c r="AU583" s="650"/>
      <c r="AV583" s="650"/>
      <c r="AW583" s="650"/>
      <c r="AX583" s="650"/>
      <c r="AY583" s="650"/>
    </row>
    <row r="584" ht="21.75" customHeight="1">
      <c r="A584" s="650"/>
      <c r="B584" s="650"/>
      <c r="C584" s="650"/>
      <c r="D584" s="650"/>
      <c r="E584" s="650"/>
      <c r="F584" s="650"/>
      <c r="G584" s="650"/>
      <c r="H584" s="650"/>
      <c r="I584" s="650"/>
      <c r="J584" s="650"/>
      <c r="K584" s="650"/>
      <c r="L584" s="650"/>
      <c r="M584" s="650"/>
      <c r="N584" s="650"/>
      <c r="O584" s="650"/>
      <c r="P584" s="650"/>
      <c r="Q584" s="650"/>
      <c r="R584" s="650"/>
      <c r="S584" s="650"/>
      <c r="T584" s="650"/>
      <c r="U584" s="650"/>
      <c r="V584" s="650"/>
      <c r="W584" s="650"/>
      <c r="X584" s="650"/>
      <c r="Y584" s="650"/>
      <c r="Z584" s="650"/>
      <c r="AA584" s="650"/>
      <c r="AB584" s="650"/>
      <c r="AC584" s="650"/>
      <c r="AD584" s="650"/>
      <c r="AE584" s="650"/>
      <c r="AF584" s="650"/>
      <c r="AG584" s="650"/>
      <c r="AH584" s="650"/>
      <c r="AI584" s="650"/>
      <c r="AJ584" s="650"/>
      <c r="AK584" s="650"/>
      <c r="AL584" s="650"/>
      <c r="AM584" s="650"/>
      <c r="AN584" s="650"/>
      <c r="AO584" s="650"/>
      <c r="AP584" s="650"/>
      <c r="AQ584" s="650"/>
      <c r="AR584" s="650"/>
      <c r="AS584" s="650"/>
      <c r="AT584" s="650"/>
      <c r="AU584" s="650"/>
      <c r="AV584" s="650"/>
      <c r="AW584" s="650"/>
      <c r="AX584" s="650"/>
      <c r="AY584" s="650"/>
    </row>
    <row r="585" ht="21.75" customHeight="1">
      <c r="A585" s="650"/>
      <c r="B585" s="650"/>
      <c r="C585" s="650"/>
      <c r="D585" s="650"/>
      <c r="E585" s="650"/>
      <c r="F585" s="650"/>
      <c r="G585" s="650"/>
      <c r="H585" s="650"/>
      <c r="I585" s="650"/>
      <c r="J585" s="650"/>
      <c r="K585" s="650"/>
      <c r="L585" s="650"/>
      <c r="M585" s="650"/>
      <c r="N585" s="650"/>
      <c r="O585" s="650"/>
      <c r="P585" s="650"/>
      <c r="Q585" s="650"/>
      <c r="R585" s="650"/>
      <c r="S585" s="650"/>
      <c r="T585" s="650"/>
      <c r="U585" s="650"/>
      <c r="V585" s="650"/>
      <c r="W585" s="650"/>
      <c r="X585" s="650"/>
      <c r="Y585" s="650"/>
      <c r="Z585" s="650"/>
      <c r="AA585" s="650"/>
      <c r="AB585" s="650"/>
      <c r="AC585" s="650"/>
      <c r="AD585" s="650"/>
      <c r="AE585" s="650"/>
      <c r="AF585" s="650"/>
      <c r="AG585" s="650"/>
      <c r="AH585" s="650"/>
      <c r="AI585" s="650"/>
      <c r="AJ585" s="650"/>
      <c r="AK585" s="650"/>
      <c r="AL585" s="650"/>
      <c r="AM585" s="650"/>
      <c r="AN585" s="650"/>
      <c r="AO585" s="650"/>
      <c r="AP585" s="650"/>
      <c r="AQ585" s="650"/>
      <c r="AR585" s="650"/>
      <c r="AS585" s="650"/>
      <c r="AT585" s="650"/>
      <c r="AU585" s="650"/>
      <c r="AV585" s="650"/>
      <c r="AW585" s="650"/>
      <c r="AX585" s="650"/>
      <c r="AY585" s="650"/>
    </row>
    <row r="586" ht="21.75" customHeight="1">
      <c r="A586" s="650"/>
      <c r="B586" s="650"/>
      <c r="C586" s="650"/>
      <c r="D586" s="650"/>
      <c r="E586" s="650"/>
      <c r="F586" s="650"/>
      <c r="G586" s="650"/>
      <c r="H586" s="650"/>
      <c r="I586" s="650"/>
      <c r="J586" s="650"/>
      <c r="K586" s="650"/>
      <c r="L586" s="650"/>
      <c r="M586" s="650"/>
      <c r="N586" s="650"/>
      <c r="O586" s="650"/>
      <c r="P586" s="650"/>
      <c r="Q586" s="650"/>
      <c r="R586" s="650"/>
      <c r="S586" s="650"/>
      <c r="T586" s="650"/>
      <c r="U586" s="650"/>
      <c r="V586" s="650"/>
      <c r="W586" s="650"/>
      <c r="X586" s="650"/>
      <c r="Y586" s="650"/>
      <c r="Z586" s="650"/>
      <c r="AA586" s="650"/>
      <c r="AB586" s="650"/>
      <c r="AC586" s="650"/>
      <c r="AD586" s="650"/>
      <c r="AE586" s="650"/>
      <c r="AF586" s="650"/>
      <c r="AG586" s="650"/>
      <c r="AH586" s="650"/>
      <c r="AI586" s="650"/>
      <c r="AJ586" s="650"/>
      <c r="AK586" s="650"/>
      <c r="AL586" s="650"/>
      <c r="AM586" s="650"/>
      <c r="AN586" s="650"/>
      <c r="AO586" s="650"/>
      <c r="AP586" s="650"/>
      <c r="AQ586" s="650"/>
      <c r="AR586" s="650"/>
      <c r="AS586" s="650"/>
      <c r="AT586" s="650"/>
      <c r="AU586" s="650"/>
      <c r="AV586" s="650"/>
      <c r="AW586" s="650"/>
      <c r="AX586" s="650"/>
      <c r="AY586" s="650"/>
    </row>
    <row r="587" ht="21.75" customHeight="1">
      <c r="A587" s="650"/>
      <c r="B587" s="650"/>
      <c r="C587" s="650"/>
      <c r="D587" s="650"/>
      <c r="E587" s="650"/>
      <c r="F587" s="650"/>
      <c r="G587" s="650"/>
      <c r="H587" s="650"/>
      <c r="I587" s="650"/>
      <c r="J587" s="650"/>
      <c r="K587" s="650"/>
      <c r="L587" s="650"/>
      <c r="M587" s="650"/>
      <c r="N587" s="650"/>
      <c r="O587" s="650"/>
      <c r="P587" s="650"/>
      <c r="Q587" s="650"/>
      <c r="R587" s="650"/>
      <c r="S587" s="650"/>
      <c r="T587" s="650"/>
      <c r="U587" s="650"/>
      <c r="V587" s="650"/>
      <c r="W587" s="650"/>
      <c r="X587" s="650"/>
      <c r="Y587" s="650"/>
      <c r="Z587" s="650"/>
      <c r="AA587" s="650"/>
      <c r="AB587" s="650"/>
      <c r="AC587" s="650"/>
      <c r="AD587" s="650"/>
      <c r="AE587" s="650"/>
      <c r="AF587" s="650"/>
      <c r="AG587" s="650"/>
      <c r="AH587" s="650"/>
      <c r="AI587" s="650"/>
      <c r="AJ587" s="650"/>
      <c r="AK587" s="650"/>
      <c r="AL587" s="650"/>
      <c r="AM587" s="650"/>
      <c r="AN587" s="650"/>
      <c r="AO587" s="650"/>
      <c r="AP587" s="650"/>
      <c r="AQ587" s="650"/>
      <c r="AR587" s="650"/>
      <c r="AS587" s="650"/>
      <c r="AT587" s="650"/>
      <c r="AU587" s="650"/>
      <c r="AV587" s="650"/>
      <c r="AW587" s="650"/>
      <c r="AX587" s="650"/>
      <c r="AY587" s="650"/>
    </row>
    <row r="588" ht="21.75" customHeight="1">
      <c r="A588" s="650"/>
      <c r="B588" s="650"/>
      <c r="C588" s="650"/>
      <c r="D588" s="650"/>
      <c r="E588" s="650"/>
      <c r="F588" s="650"/>
      <c r="G588" s="650"/>
      <c r="H588" s="650"/>
      <c r="I588" s="650"/>
      <c r="J588" s="650"/>
      <c r="K588" s="650"/>
      <c r="L588" s="650"/>
      <c r="M588" s="650"/>
      <c r="N588" s="650"/>
      <c r="O588" s="650"/>
      <c r="P588" s="650"/>
      <c r="Q588" s="650"/>
      <c r="R588" s="650"/>
      <c r="S588" s="650"/>
      <c r="T588" s="650"/>
      <c r="U588" s="650"/>
      <c r="V588" s="650"/>
      <c r="W588" s="650"/>
      <c r="X588" s="650"/>
      <c r="Y588" s="650"/>
      <c r="Z588" s="650"/>
      <c r="AA588" s="650"/>
      <c r="AB588" s="650"/>
      <c r="AC588" s="650"/>
      <c r="AD588" s="650"/>
      <c r="AE588" s="650"/>
      <c r="AF588" s="650"/>
      <c r="AG588" s="650"/>
      <c r="AH588" s="650"/>
      <c r="AI588" s="650"/>
      <c r="AJ588" s="650"/>
      <c r="AK588" s="650"/>
      <c r="AL588" s="650"/>
      <c r="AM588" s="650"/>
      <c r="AN588" s="650"/>
      <c r="AO588" s="650"/>
      <c r="AP588" s="650"/>
      <c r="AQ588" s="650"/>
      <c r="AR588" s="650"/>
      <c r="AS588" s="650"/>
      <c r="AT588" s="650"/>
      <c r="AU588" s="650"/>
      <c r="AV588" s="650"/>
      <c r="AW588" s="650"/>
      <c r="AX588" s="650"/>
      <c r="AY588" s="650"/>
    </row>
    <row r="589" ht="21.75" customHeight="1">
      <c r="A589" s="650"/>
      <c r="B589" s="650"/>
      <c r="C589" s="650"/>
      <c r="D589" s="650"/>
      <c r="E589" s="650"/>
      <c r="F589" s="650"/>
      <c r="G589" s="650"/>
      <c r="H589" s="650"/>
      <c r="I589" s="650"/>
      <c r="J589" s="650"/>
      <c r="K589" s="650"/>
      <c r="L589" s="650"/>
      <c r="M589" s="650"/>
      <c r="N589" s="650"/>
      <c r="O589" s="650"/>
      <c r="P589" s="650"/>
      <c r="Q589" s="650"/>
      <c r="R589" s="650"/>
      <c r="S589" s="650"/>
      <c r="T589" s="650"/>
      <c r="U589" s="650"/>
      <c r="V589" s="650"/>
      <c r="W589" s="650"/>
      <c r="X589" s="650"/>
      <c r="Y589" s="650"/>
      <c r="Z589" s="650"/>
      <c r="AA589" s="650"/>
      <c r="AB589" s="650"/>
      <c r="AC589" s="650"/>
      <c r="AD589" s="650"/>
      <c r="AE589" s="650"/>
      <c r="AF589" s="650"/>
      <c r="AG589" s="650"/>
      <c r="AH589" s="650"/>
      <c r="AI589" s="650"/>
      <c r="AJ589" s="650"/>
      <c r="AK589" s="650"/>
      <c r="AL589" s="650"/>
      <c r="AM589" s="650"/>
      <c r="AN589" s="650"/>
      <c r="AO589" s="650"/>
      <c r="AP589" s="650"/>
      <c r="AQ589" s="650"/>
      <c r="AR589" s="650"/>
      <c r="AS589" s="650"/>
      <c r="AT589" s="650"/>
      <c r="AU589" s="650"/>
      <c r="AV589" s="650"/>
      <c r="AW589" s="650"/>
      <c r="AX589" s="650"/>
      <c r="AY589" s="650"/>
    </row>
    <row r="590" ht="21.75" customHeight="1">
      <c r="A590" s="650"/>
      <c r="B590" s="650"/>
      <c r="C590" s="650"/>
      <c r="D590" s="650"/>
      <c r="E590" s="650"/>
      <c r="F590" s="650"/>
      <c r="G590" s="650"/>
      <c r="H590" s="650"/>
      <c r="I590" s="650"/>
      <c r="J590" s="650"/>
      <c r="K590" s="650"/>
      <c r="L590" s="650"/>
      <c r="M590" s="650"/>
      <c r="N590" s="650"/>
      <c r="O590" s="650"/>
      <c r="P590" s="650"/>
      <c r="Q590" s="650"/>
      <c r="R590" s="650"/>
      <c r="S590" s="650"/>
      <c r="T590" s="650"/>
      <c r="U590" s="650"/>
      <c r="V590" s="650"/>
      <c r="W590" s="650"/>
      <c r="X590" s="650"/>
      <c r="Y590" s="650"/>
      <c r="Z590" s="650"/>
      <c r="AA590" s="650"/>
      <c r="AB590" s="650"/>
      <c r="AC590" s="650"/>
      <c r="AD590" s="650"/>
      <c r="AE590" s="650"/>
      <c r="AF590" s="650"/>
      <c r="AG590" s="650"/>
      <c r="AH590" s="650"/>
      <c r="AI590" s="650"/>
      <c r="AJ590" s="650"/>
      <c r="AK590" s="650"/>
      <c r="AL590" s="650"/>
      <c r="AM590" s="650"/>
      <c r="AN590" s="650"/>
      <c r="AO590" s="650"/>
      <c r="AP590" s="650"/>
      <c r="AQ590" s="650"/>
      <c r="AR590" s="650"/>
      <c r="AS590" s="650"/>
      <c r="AT590" s="650"/>
      <c r="AU590" s="650"/>
      <c r="AV590" s="650"/>
      <c r="AW590" s="650"/>
      <c r="AX590" s="650"/>
      <c r="AY590" s="650"/>
    </row>
    <row r="591" ht="21.75" customHeight="1">
      <c r="A591" s="650"/>
      <c r="B591" s="650"/>
      <c r="C591" s="650"/>
      <c r="D591" s="650"/>
      <c r="E591" s="650"/>
      <c r="F591" s="650"/>
      <c r="G591" s="650"/>
      <c r="H591" s="650"/>
      <c r="I591" s="650"/>
      <c r="J591" s="650"/>
      <c r="K591" s="650"/>
      <c r="L591" s="650"/>
      <c r="M591" s="650"/>
      <c r="N591" s="650"/>
      <c r="O591" s="650"/>
      <c r="P591" s="650"/>
      <c r="Q591" s="650"/>
      <c r="R591" s="650"/>
      <c r="S591" s="650"/>
      <c r="T591" s="650"/>
      <c r="U591" s="650"/>
      <c r="V591" s="650"/>
      <c r="W591" s="650"/>
      <c r="X591" s="650"/>
      <c r="Y591" s="650"/>
      <c r="Z591" s="650"/>
      <c r="AA591" s="650"/>
      <c r="AB591" s="650"/>
      <c r="AC591" s="650"/>
      <c r="AD591" s="650"/>
      <c r="AE591" s="650"/>
      <c r="AF591" s="650"/>
      <c r="AG591" s="650"/>
      <c r="AH591" s="650"/>
      <c r="AI591" s="650"/>
      <c r="AJ591" s="650"/>
      <c r="AK591" s="650"/>
      <c r="AL591" s="650"/>
      <c r="AM591" s="650"/>
      <c r="AN591" s="650"/>
      <c r="AO591" s="650"/>
      <c r="AP591" s="650"/>
      <c r="AQ591" s="650"/>
      <c r="AR591" s="650"/>
      <c r="AS591" s="650"/>
      <c r="AT591" s="650"/>
      <c r="AU591" s="650"/>
      <c r="AV591" s="650"/>
      <c r="AW591" s="650"/>
      <c r="AX591" s="650"/>
      <c r="AY591" s="650"/>
    </row>
    <row r="592" ht="21.75" customHeight="1">
      <c r="A592" s="650"/>
      <c r="B592" s="650"/>
      <c r="C592" s="650"/>
      <c r="D592" s="650"/>
      <c r="E592" s="650"/>
      <c r="F592" s="650"/>
      <c r="G592" s="650"/>
      <c r="H592" s="650"/>
      <c r="I592" s="650"/>
      <c r="J592" s="650"/>
      <c r="K592" s="650"/>
      <c r="L592" s="650"/>
      <c r="M592" s="650"/>
      <c r="N592" s="650"/>
      <c r="O592" s="650"/>
      <c r="P592" s="650"/>
      <c r="Q592" s="650"/>
      <c r="R592" s="650"/>
      <c r="S592" s="650"/>
      <c r="T592" s="650"/>
      <c r="U592" s="650"/>
      <c r="V592" s="650"/>
      <c r="W592" s="650"/>
      <c r="X592" s="650"/>
      <c r="Y592" s="650"/>
      <c r="Z592" s="650"/>
      <c r="AA592" s="650"/>
      <c r="AB592" s="650"/>
      <c r="AC592" s="650"/>
      <c r="AD592" s="650"/>
      <c r="AE592" s="650"/>
      <c r="AF592" s="650"/>
      <c r="AG592" s="650"/>
      <c r="AH592" s="650"/>
      <c r="AI592" s="650"/>
      <c r="AJ592" s="650"/>
      <c r="AK592" s="650"/>
      <c r="AL592" s="650"/>
      <c r="AM592" s="650"/>
      <c r="AN592" s="650"/>
      <c r="AO592" s="650"/>
      <c r="AP592" s="650"/>
      <c r="AQ592" s="650"/>
      <c r="AR592" s="650"/>
      <c r="AS592" s="650"/>
      <c r="AT592" s="650"/>
      <c r="AU592" s="650"/>
      <c r="AV592" s="650"/>
      <c r="AW592" s="650"/>
      <c r="AX592" s="650"/>
      <c r="AY592" s="650"/>
    </row>
    <row r="593" ht="21.75" customHeight="1">
      <c r="A593" s="650"/>
      <c r="B593" s="650"/>
      <c r="C593" s="650"/>
      <c r="D593" s="650"/>
      <c r="E593" s="650"/>
      <c r="F593" s="650"/>
      <c r="G593" s="650"/>
      <c r="H593" s="650"/>
      <c r="I593" s="650"/>
      <c r="J593" s="650"/>
      <c r="K593" s="650"/>
      <c r="L593" s="650"/>
      <c r="M593" s="650"/>
      <c r="N593" s="650"/>
      <c r="O593" s="650"/>
      <c r="P593" s="650"/>
      <c r="Q593" s="650"/>
      <c r="R593" s="650"/>
      <c r="S593" s="650"/>
      <c r="T593" s="650"/>
      <c r="U593" s="650"/>
      <c r="V593" s="650"/>
      <c r="W593" s="650"/>
      <c r="X593" s="650"/>
      <c r="Y593" s="650"/>
      <c r="Z593" s="650"/>
      <c r="AA593" s="650"/>
      <c r="AB593" s="650"/>
      <c r="AC593" s="650"/>
      <c r="AD593" s="650"/>
      <c r="AE593" s="650"/>
      <c r="AF593" s="650"/>
      <c r="AG593" s="650"/>
      <c r="AH593" s="650"/>
      <c r="AI593" s="650"/>
      <c r="AJ593" s="650"/>
      <c r="AK593" s="650"/>
      <c r="AL593" s="650"/>
      <c r="AM593" s="650"/>
      <c r="AN593" s="650"/>
      <c r="AO593" s="650"/>
      <c r="AP593" s="650"/>
      <c r="AQ593" s="650"/>
      <c r="AR593" s="650"/>
      <c r="AS593" s="650"/>
      <c r="AT593" s="650"/>
      <c r="AU593" s="650"/>
      <c r="AV593" s="650"/>
      <c r="AW593" s="650"/>
      <c r="AX593" s="650"/>
      <c r="AY593" s="650"/>
    </row>
    <row r="594" ht="21.75" customHeight="1">
      <c r="A594" s="650"/>
      <c r="B594" s="650"/>
      <c r="C594" s="650"/>
      <c r="D594" s="650"/>
      <c r="E594" s="650"/>
      <c r="F594" s="650"/>
      <c r="G594" s="650"/>
      <c r="H594" s="650"/>
      <c r="I594" s="650"/>
      <c r="J594" s="650"/>
      <c r="K594" s="650"/>
      <c r="L594" s="650"/>
      <c r="M594" s="650"/>
      <c r="N594" s="650"/>
      <c r="O594" s="650"/>
      <c r="P594" s="650"/>
      <c r="Q594" s="650"/>
      <c r="R594" s="650"/>
      <c r="S594" s="650"/>
      <c r="T594" s="650"/>
      <c r="U594" s="650"/>
      <c r="V594" s="650"/>
      <c r="W594" s="650"/>
      <c r="X594" s="650"/>
      <c r="Y594" s="650"/>
      <c r="Z594" s="650"/>
      <c r="AA594" s="650"/>
      <c r="AB594" s="650"/>
      <c r="AC594" s="650"/>
      <c r="AD594" s="650"/>
      <c r="AE594" s="650"/>
      <c r="AF594" s="650"/>
      <c r="AG594" s="650"/>
      <c r="AH594" s="650"/>
      <c r="AI594" s="650"/>
      <c r="AJ594" s="650"/>
      <c r="AK594" s="650"/>
      <c r="AL594" s="650"/>
      <c r="AM594" s="650"/>
      <c r="AN594" s="650"/>
      <c r="AO594" s="650"/>
      <c r="AP594" s="650"/>
      <c r="AQ594" s="650"/>
      <c r="AR594" s="650"/>
      <c r="AS594" s="650"/>
      <c r="AT594" s="650"/>
      <c r="AU594" s="650"/>
      <c r="AV594" s="650"/>
      <c r="AW594" s="650"/>
      <c r="AX594" s="650"/>
      <c r="AY594" s="650"/>
    </row>
    <row r="595" ht="21.75" customHeight="1">
      <c r="A595" s="650"/>
      <c r="B595" s="650"/>
      <c r="C595" s="650"/>
      <c r="D595" s="650"/>
      <c r="E595" s="650"/>
      <c r="F595" s="650"/>
      <c r="G595" s="650"/>
      <c r="H595" s="650"/>
      <c r="I595" s="650"/>
      <c r="J595" s="650"/>
      <c r="K595" s="650"/>
      <c r="L595" s="650"/>
      <c r="M595" s="650"/>
      <c r="N595" s="650"/>
      <c r="O595" s="650"/>
      <c r="P595" s="650"/>
      <c r="Q595" s="650"/>
      <c r="R595" s="650"/>
      <c r="S595" s="650"/>
      <c r="T595" s="650"/>
      <c r="U595" s="650"/>
      <c r="V595" s="650"/>
      <c r="W595" s="650"/>
      <c r="X595" s="650"/>
      <c r="Y595" s="650"/>
      <c r="Z595" s="650"/>
      <c r="AA595" s="650"/>
      <c r="AB595" s="650"/>
      <c r="AC595" s="650"/>
      <c r="AD595" s="650"/>
      <c r="AE595" s="650"/>
      <c r="AF595" s="650"/>
      <c r="AG595" s="650"/>
      <c r="AH595" s="650"/>
      <c r="AI595" s="650"/>
      <c r="AJ595" s="650"/>
      <c r="AK595" s="650"/>
      <c r="AL595" s="650"/>
      <c r="AM595" s="650"/>
      <c r="AN595" s="650"/>
      <c r="AO595" s="650"/>
      <c r="AP595" s="650"/>
      <c r="AQ595" s="650"/>
      <c r="AR595" s="650"/>
      <c r="AS595" s="650"/>
      <c r="AT595" s="650"/>
      <c r="AU595" s="650"/>
      <c r="AV595" s="650"/>
      <c r="AW595" s="650"/>
      <c r="AX595" s="650"/>
      <c r="AY595" s="650"/>
    </row>
    <row r="596" ht="21.75" customHeight="1">
      <c r="A596" s="650"/>
      <c r="B596" s="650"/>
      <c r="C596" s="650"/>
      <c r="D596" s="650"/>
      <c r="E596" s="650"/>
      <c r="F596" s="650"/>
      <c r="G596" s="650"/>
      <c r="H596" s="650"/>
      <c r="I596" s="650"/>
      <c r="J596" s="650"/>
      <c r="K596" s="650"/>
      <c r="L596" s="650"/>
      <c r="M596" s="650"/>
      <c r="N596" s="650"/>
      <c r="O596" s="650"/>
      <c r="P596" s="650"/>
      <c r="Q596" s="650"/>
      <c r="R596" s="650"/>
      <c r="S596" s="650"/>
      <c r="T596" s="650"/>
      <c r="U596" s="650"/>
      <c r="V596" s="650"/>
      <c r="W596" s="650"/>
      <c r="X596" s="650"/>
      <c r="Y596" s="650"/>
      <c r="Z596" s="650"/>
      <c r="AA596" s="650"/>
      <c r="AB596" s="650"/>
      <c r="AC596" s="650"/>
      <c r="AD596" s="650"/>
      <c r="AE596" s="650"/>
      <c r="AF596" s="650"/>
      <c r="AG596" s="650"/>
      <c r="AH596" s="650"/>
      <c r="AI596" s="650"/>
      <c r="AJ596" s="650"/>
      <c r="AK596" s="650"/>
      <c r="AL596" s="650"/>
      <c r="AM596" s="650"/>
      <c r="AN596" s="650"/>
      <c r="AO596" s="650"/>
      <c r="AP596" s="650"/>
      <c r="AQ596" s="650"/>
      <c r="AR596" s="650"/>
      <c r="AS596" s="650"/>
      <c r="AT596" s="650"/>
      <c r="AU596" s="650"/>
      <c r="AV596" s="650"/>
      <c r="AW596" s="650"/>
      <c r="AX596" s="650"/>
      <c r="AY596" s="650"/>
    </row>
    <row r="597" ht="21.75" customHeight="1">
      <c r="A597" s="650"/>
      <c r="B597" s="650"/>
      <c r="C597" s="650"/>
      <c r="D597" s="650"/>
      <c r="E597" s="650"/>
      <c r="F597" s="650"/>
      <c r="G597" s="650"/>
      <c r="H597" s="650"/>
      <c r="I597" s="650"/>
      <c r="J597" s="650"/>
      <c r="K597" s="650"/>
      <c r="L597" s="650"/>
      <c r="M597" s="650"/>
      <c r="N597" s="650"/>
      <c r="O597" s="650"/>
      <c r="P597" s="650"/>
      <c r="Q597" s="650"/>
      <c r="R597" s="650"/>
      <c r="S597" s="650"/>
      <c r="T597" s="650"/>
      <c r="U597" s="650"/>
      <c r="V597" s="650"/>
      <c r="W597" s="650"/>
      <c r="X597" s="650"/>
      <c r="Y597" s="650"/>
      <c r="Z597" s="650"/>
      <c r="AA597" s="650"/>
      <c r="AB597" s="650"/>
      <c r="AC597" s="650"/>
      <c r="AD597" s="650"/>
      <c r="AE597" s="650"/>
      <c r="AF597" s="650"/>
      <c r="AG597" s="650"/>
      <c r="AH597" s="650"/>
      <c r="AI597" s="650"/>
      <c r="AJ597" s="650"/>
      <c r="AK597" s="650"/>
      <c r="AL597" s="650"/>
      <c r="AM597" s="650"/>
      <c r="AN597" s="650"/>
      <c r="AO597" s="650"/>
      <c r="AP597" s="650"/>
      <c r="AQ597" s="650"/>
      <c r="AR597" s="650"/>
      <c r="AS597" s="650"/>
      <c r="AT597" s="650"/>
      <c r="AU597" s="650"/>
      <c r="AV597" s="650"/>
      <c r="AW597" s="650"/>
      <c r="AX597" s="650"/>
      <c r="AY597" s="650"/>
    </row>
    <row r="598" ht="21.75" customHeight="1">
      <c r="A598" s="650"/>
      <c r="B598" s="650"/>
      <c r="C598" s="650"/>
      <c r="D598" s="650"/>
      <c r="E598" s="650"/>
      <c r="F598" s="650"/>
      <c r="G598" s="650"/>
      <c r="H598" s="650"/>
      <c r="I598" s="650"/>
      <c r="J598" s="650"/>
      <c r="K598" s="650"/>
      <c r="L598" s="650"/>
      <c r="M598" s="650"/>
      <c r="N598" s="650"/>
      <c r="O598" s="650"/>
      <c r="P598" s="650"/>
      <c r="Q598" s="650"/>
      <c r="R598" s="650"/>
      <c r="S598" s="650"/>
      <c r="T598" s="650"/>
      <c r="U598" s="650"/>
      <c r="V598" s="650"/>
      <c r="W598" s="650"/>
      <c r="X598" s="650"/>
      <c r="Y598" s="650"/>
      <c r="Z598" s="650"/>
      <c r="AA598" s="650"/>
      <c r="AB598" s="650"/>
      <c r="AC598" s="650"/>
      <c r="AD598" s="650"/>
      <c r="AE598" s="650"/>
      <c r="AF598" s="650"/>
      <c r="AG598" s="650"/>
      <c r="AH598" s="650"/>
      <c r="AI598" s="650"/>
      <c r="AJ598" s="650"/>
      <c r="AK598" s="650"/>
      <c r="AL598" s="650"/>
      <c r="AM598" s="650"/>
      <c r="AN598" s="650"/>
      <c r="AO598" s="650"/>
      <c r="AP598" s="650"/>
      <c r="AQ598" s="650"/>
      <c r="AR598" s="650"/>
      <c r="AS598" s="650"/>
      <c r="AT598" s="650"/>
      <c r="AU598" s="650"/>
      <c r="AV598" s="650"/>
      <c r="AW598" s="650"/>
      <c r="AX598" s="650"/>
      <c r="AY598" s="650"/>
    </row>
    <row r="599" ht="21.75" customHeight="1">
      <c r="A599" s="650"/>
      <c r="B599" s="650"/>
      <c r="C599" s="650"/>
      <c r="D599" s="650"/>
      <c r="E599" s="650"/>
      <c r="F599" s="650"/>
      <c r="G599" s="650"/>
      <c r="H599" s="650"/>
      <c r="I599" s="650"/>
      <c r="J599" s="650"/>
      <c r="K599" s="650"/>
      <c r="L599" s="650"/>
      <c r="M599" s="650"/>
      <c r="N599" s="650"/>
      <c r="O599" s="650"/>
      <c r="P599" s="650"/>
      <c r="Q599" s="650"/>
      <c r="R599" s="650"/>
      <c r="S599" s="650"/>
      <c r="T599" s="650"/>
      <c r="U599" s="650"/>
      <c r="V599" s="650"/>
      <c r="W599" s="650"/>
      <c r="X599" s="650"/>
      <c r="Y599" s="650"/>
      <c r="Z599" s="650"/>
      <c r="AA599" s="650"/>
      <c r="AB599" s="650"/>
      <c r="AC599" s="650"/>
      <c r="AD599" s="650"/>
      <c r="AE599" s="650"/>
      <c r="AF599" s="650"/>
      <c r="AG599" s="650"/>
      <c r="AH599" s="650"/>
      <c r="AI599" s="650"/>
      <c r="AJ599" s="650"/>
      <c r="AK599" s="650"/>
      <c r="AL599" s="650"/>
      <c r="AM599" s="650"/>
      <c r="AN599" s="650"/>
      <c r="AO599" s="650"/>
      <c r="AP599" s="650"/>
      <c r="AQ599" s="650"/>
      <c r="AR599" s="650"/>
      <c r="AS599" s="650"/>
      <c r="AT599" s="650"/>
      <c r="AU599" s="650"/>
      <c r="AV599" s="650"/>
      <c r="AW599" s="650"/>
      <c r="AX599" s="650"/>
      <c r="AY599" s="650"/>
    </row>
    <row r="600" ht="21.75" customHeight="1">
      <c r="A600" s="650"/>
      <c r="B600" s="650"/>
      <c r="C600" s="650"/>
      <c r="D600" s="650"/>
      <c r="E600" s="650"/>
      <c r="F600" s="650"/>
      <c r="G600" s="650"/>
      <c r="H600" s="650"/>
      <c r="I600" s="650"/>
      <c r="J600" s="650"/>
      <c r="K600" s="650"/>
      <c r="L600" s="650"/>
      <c r="M600" s="650"/>
      <c r="N600" s="650"/>
      <c r="O600" s="650"/>
      <c r="P600" s="650"/>
      <c r="Q600" s="650"/>
      <c r="R600" s="650"/>
      <c r="S600" s="650"/>
      <c r="T600" s="650"/>
      <c r="U600" s="650"/>
      <c r="V600" s="650"/>
      <c r="W600" s="650"/>
      <c r="X600" s="650"/>
      <c r="Y600" s="650"/>
      <c r="Z600" s="650"/>
      <c r="AA600" s="650"/>
      <c r="AB600" s="650"/>
      <c r="AC600" s="650"/>
      <c r="AD600" s="650"/>
      <c r="AE600" s="650"/>
      <c r="AF600" s="650"/>
      <c r="AG600" s="650"/>
      <c r="AH600" s="650"/>
      <c r="AI600" s="650"/>
      <c r="AJ600" s="650"/>
      <c r="AK600" s="650"/>
      <c r="AL600" s="650"/>
      <c r="AM600" s="650"/>
      <c r="AN600" s="650"/>
      <c r="AO600" s="650"/>
      <c r="AP600" s="650"/>
      <c r="AQ600" s="650"/>
      <c r="AR600" s="650"/>
      <c r="AS600" s="650"/>
      <c r="AT600" s="650"/>
      <c r="AU600" s="650"/>
      <c r="AV600" s="650"/>
      <c r="AW600" s="650"/>
      <c r="AX600" s="650"/>
      <c r="AY600" s="650"/>
    </row>
    <row r="601" ht="21.75" customHeight="1">
      <c r="A601" s="650"/>
      <c r="B601" s="650"/>
      <c r="C601" s="650"/>
      <c r="D601" s="650"/>
      <c r="E601" s="650"/>
      <c r="F601" s="650"/>
      <c r="G601" s="650"/>
      <c r="H601" s="650"/>
      <c r="I601" s="650"/>
      <c r="J601" s="650"/>
      <c r="K601" s="650"/>
      <c r="L601" s="650"/>
      <c r="M601" s="650"/>
      <c r="N601" s="650"/>
      <c r="O601" s="650"/>
      <c r="P601" s="650"/>
      <c r="Q601" s="650"/>
      <c r="R601" s="650"/>
      <c r="S601" s="650"/>
      <c r="T601" s="650"/>
      <c r="U601" s="650"/>
      <c r="V601" s="650"/>
      <c r="W601" s="650"/>
      <c r="X601" s="650"/>
      <c r="Y601" s="650"/>
      <c r="Z601" s="650"/>
      <c r="AA601" s="650"/>
      <c r="AB601" s="650"/>
      <c r="AC601" s="650"/>
      <c r="AD601" s="650"/>
      <c r="AE601" s="650"/>
      <c r="AF601" s="650"/>
      <c r="AG601" s="650"/>
      <c r="AH601" s="650"/>
      <c r="AI601" s="650"/>
      <c r="AJ601" s="650"/>
      <c r="AK601" s="650"/>
      <c r="AL601" s="650"/>
      <c r="AM601" s="650"/>
      <c r="AN601" s="650"/>
      <c r="AO601" s="650"/>
      <c r="AP601" s="650"/>
      <c r="AQ601" s="650"/>
      <c r="AR601" s="650"/>
      <c r="AS601" s="650"/>
      <c r="AT601" s="650"/>
      <c r="AU601" s="650"/>
      <c r="AV601" s="650"/>
      <c r="AW601" s="650"/>
      <c r="AX601" s="650"/>
      <c r="AY601" s="650"/>
    </row>
    <row r="602" ht="21.75" customHeight="1">
      <c r="A602" s="650"/>
      <c r="B602" s="650"/>
      <c r="C602" s="650"/>
      <c r="D602" s="650"/>
      <c r="E602" s="650"/>
      <c r="F602" s="650"/>
      <c r="G602" s="650"/>
      <c r="H602" s="650"/>
      <c r="I602" s="650"/>
      <c r="J602" s="650"/>
      <c r="K602" s="650"/>
      <c r="L602" s="650"/>
      <c r="M602" s="650"/>
      <c r="N602" s="650"/>
      <c r="O602" s="650"/>
      <c r="P602" s="650"/>
      <c r="Q602" s="650"/>
      <c r="R602" s="650"/>
      <c r="S602" s="650"/>
      <c r="T602" s="650"/>
      <c r="U602" s="650"/>
      <c r="V602" s="650"/>
      <c r="W602" s="650"/>
      <c r="X602" s="650"/>
      <c r="Y602" s="650"/>
      <c r="Z602" s="650"/>
      <c r="AA602" s="650"/>
      <c r="AB602" s="650"/>
      <c r="AC602" s="650"/>
      <c r="AD602" s="650"/>
      <c r="AE602" s="650"/>
      <c r="AF602" s="650"/>
      <c r="AG602" s="650"/>
      <c r="AH602" s="650"/>
      <c r="AI602" s="650"/>
      <c r="AJ602" s="650"/>
      <c r="AK602" s="650"/>
      <c r="AL602" s="650"/>
      <c r="AM602" s="650"/>
      <c r="AN602" s="650"/>
      <c r="AO602" s="650"/>
      <c r="AP602" s="650"/>
      <c r="AQ602" s="650"/>
      <c r="AR602" s="650"/>
      <c r="AS602" s="650"/>
      <c r="AT602" s="650"/>
      <c r="AU602" s="650"/>
      <c r="AV602" s="650"/>
      <c r="AW602" s="650"/>
      <c r="AX602" s="650"/>
      <c r="AY602" s="650"/>
    </row>
    <row r="603" ht="21.75" customHeight="1">
      <c r="A603" s="650"/>
      <c r="B603" s="650"/>
      <c r="C603" s="650"/>
      <c r="D603" s="650"/>
      <c r="E603" s="650"/>
      <c r="F603" s="650"/>
      <c r="G603" s="650"/>
      <c r="H603" s="650"/>
      <c r="I603" s="650"/>
      <c r="J603" s="650"/>
      <c r="K603" s="650"/>
      <c r="L603" s="650"/>
      <c r="M603" s="650"/>
      <c r="N603" s="650"/>
      <c r="O603" s="650"/>
      <c r="P603" s="650"/>
      <c r="Q603" s="650"/>
      <c r="R603" s="650"/>
      <c r="S603" s="650"/>
      <c r="T603" s="650"/>
      <c r="U603" s="650"/>
      <c r="V603" s="650"/>
      <c r="W603" s="650"/>
      <c r="X603" s="650"/>
      <c r="Y603" s="650"/>
      <c r="Z603" s="650"/>
      <c r="AA603" s="650"/>
      <c r="AB603" s="650"/>
      <c r="AC603" s="650"/>
      <c r="AD603" s="650"/>
      <c r="AE603" s="650"/>
      <c r="AF603" s="650"/>
      <c r="AG603" s="650"/>
      <c r="AH603" s="650"/>
      <c r="AI603" s="650"/>
      <c r="AJ603" s="650"/>
      <c r="AK603" s="650"/>
      <c r="AL603" s="650"/>
      <c r="AM603" s="650"/>
      <c r="AN603" s="650"/>
      <c r="AO603" s="650"/>
      <c r="AP603" s="650"/>
      <c r="AQ603" s="650"/>
      <c r="AR603" s="650"/>
      <c r="AS603" s="650"/>
      <c r="AT603" s="650"/>
      <c r="AU603" s="650"/>
      <c r="AV603" s="650"/>
      <c r="AW603" s="650"/>
      <c r="AX603" s="650"/>
      <c r="AY603" s="650"/>
    </row>
    <row r="604" ht="21.75" customHeight="1">
      <c r="A604" s="650"/>
      <c r="B604" s="650"/>
      <c r="C604" s="650"/>
      <c r="D604" s="650"/>
      <c r="E604" s="650"/>
      <c r="F604" s="650"/>
      <c r="G604" s="650"/>
      <c r="H604" s="650"/>
      <c r="I604" s="650"/>
      <c r="J604" s="650"/>
      <c r="K604" s="650"/>
      <c r="L604" s="650"/>
      <c r="M604" s="650"/>
      <c r="N604" s="650"/>
      <c r="O604" s="650"/>
      <c r="P604" s="650"/>
      <c r="Q604" s="650"/>
      <c r="R604" s="650"/>
      <c r="S604" s="650"/>
      <c r="T604" s="650"/>
      <c r="U604" s="650"/>
      <c r="V604" s="650"/>
      <c r="W604" s="650"/>
      <c r="X604" s="650"/>
      <c r="Y604" s="650"/>
      <c r="Z604" s="650"/>
      <c r="AA604" s="650"/>
      <c r="AB604" s="650"/>
      <c r="AC604" s="650"/>
      <c r="AD604" s="650"/>
      <c r="AE604" s="650"/>
      <c r="AF604" s="650"/>
      <c r="AG604" s="650"/>
      <c r="AH604" s="650"/>
      <c r="AI604" s="650"/>
      <c r="AJ604" s="650"/>
      <c r="AK604" s="650"/>
      <c r="AL604" s="650"/>
      <c r="AM604" s="650"/>
      <c r="AN604" s="650"/>
      <c r="AO604" s="650"/>
      <c r="AP604" s="650"/>
      <c r="AQ604" s="650"/>
      <c r="AR604" s="650"/>
      <c r="AS604" s="650"/>
      <c r="AT604" s="650"/>
      <c r="AU604" s="650"/>
      <c r="AV604" s="650"/>
      <c r="AW604" s="650"/>
      <c r="AX604" s="650"/>
      <c r="AY604" s="650"/>
    </row>
    <row r="605" ht="21.75" customHeight="1">
      <c r="A605" s="650"/>
      <c r="B605" s="650"/>
      <c r="C605" s="650"/>
      <c r="D605" s="650"/>
      <c r="E605" s="650"/>
      <c r="F605" s="650"/>
      <c r="G605" s="650"/>
      <c r="H605" s="650"/>
      <c r="I605" s="650"/>
      <c r="J605" s="650"/>
      <c r="K605" s="650"/>
      <c r="L605" s="650"/>
      <c r="M605" s="650"/>
      <c r="N605" s="650"/>
      <c r="O605" s="650"/>
      <c r="P605" s="650"/>
      <c r="Q605" s="650"/>
      <c r="R605" s="650"/>
      <c r="S605" s="650"/>
      <c r="T605" s="650"/>
      <c r="U605" s="650"/>
      <c r="V605" s="650"/>
      <c r="W605" s="650"/>
      <c r="X605" s="650"/>
      <c r="Y605" s="650"/>
      <c r="Z605" s="650"/>
      <c r="AA605" s="650"/>
      <c r="AB605" s="650"/>
      <c r="AC605" s="650"/>
      <c r="AD605" s="650"/>
      <c r="AE605" s="650"/>
      <c r="AF605" s="650"/>
      <c r="AG605" s="650"/>
      <c r="AH605" s="650"/>
      <c r="AI605" s="650"/>
      <c r="AJ605" s="650"/>
      <c r="AK605" s="650"/>
      <c r="AL605" s="650"/>
      <c r="AM605" s="650"/>
      <c r="AN605" s="650"/>
      <c r="AO605" s="650"/>
      <c r="AP605" s="650"/>
      <c r="AQ605" s="650"/>
      <c r="AR605" s="650"/>
      <c r="AS605" s="650"/>
      <c r="AT605" s="650"/>
      <c r="AU605" s="650"/>
      <c r="AV605" s="650"/>
      <c r="AW605" s="650"/>
      <c r="AX605" s="650"/>
      <c r="AY605" s="650"/>
    </row>
    <row r="606" ht="21.75" customHeight="1">
      <c r="A606" s="650"/>
      <c r="B606" s="650"/>
      <c r="C606" s="650"/>
      <c r="D606" s="650"/>
      <c r="E606" s="650"/>
      <c r="F606" s="650"/>
      <c r="G606" s="650"/>
      <c r="H606" s="650"/>
      <c r="I606" s="650"/>
      <c r="J606" s="650"/>
      <c r="K606" s="650"/>
      <c r="L606" s="650"/>
      <c r="M606" s="650"/>
      <c r="N606" s="650"/>
      <c r="O606" s="650"/>
      <c r="P606" s="650"/>
      <c r="Q606" s="650"/>
      <c r="R606" s="650"/>
      <c r="S606" s="650"/>
      <c r="T606" s="650"/>
      <c r="U606" s="650"/>
      <c r="V606" s="650"/>
      <c r="W606" s="650"/>
      <c r="X606" s="650"/>
      <c r="Y606" s="650"/>
      <c r="Z606" s="650"/>
      <c r="AA606" s="650"/>
      <c r="AB606" s="650"/>
      <c r="AC606" s="650"/>
      <c r="AD606" s="650"/>
      <c r="AE606" s="650"/>
      <c r="AF606" s="650"/>
      <c r="AG606" s="650"/>
      <c r="AH606" s="650"/>
      <c r="AI606" s="650"/>
      <c r="AJ606" s="650"/>
      <c r="AK606" s="650"/>
      <c r="AL606" s="650"/>
      <c r="AM606" s="650"/>
      <c r="AN606" s="650"/>
      <c r="AO606" s="650"/>
      <c r="AP606" s="650"/>
      <c r="AQ606" s="650"/>
      <c r="AR606" s="650"/>
      <c r="AS606" s="650"/>
      <c r="AT606" s="650"/>
      <c r="AU606" s="650"/>
      <c r="AV606" s="650"/>
      <c r="AW606" s="650"/>
      <c r="AX606" s="650"/>
      <c r="AY606" s="650"/>
    </row>
    <row r="607" ht="21.75" customHeight="1">
      <c r="A607" s="650"/>
      <c r="B607" s="650"/>
      <c r="C607" s="650"/>
      <c r="D607" s="650"/>
      <c r="E607" s="650"/>
      <c r="F607" s="650"/>
      <c r="G607" s="650"/>
      <c r="H607" s="650"/>
      <c r="I607" s="650"/>
      <c r="J607" s="650"/>
      <c r="K607" s="650"/>
      <c r="L607" s="650"/>
      <c r="M607" s="650"/>
      <c r="N607" s="650"/>
      <c r="O607" s="650"/>
      <c r="P607" s="650"/>
      <c r="Q607" s="650"/>
      <c r="R607" s="650"/>
      <c r="S607" s="650"/>
      <c r="T607" s="650"/>
      <c r="U607" s="650"/>
      <c r="V607" s="650"/>
      <c r="W607" s="650"/>
      <c r="X607" s="650"/>
      <c r="Y607" s="650"/>
      <c r="Z607" s="650"/>
      <c r="AA607" s="650"/>
      <c r="AB607" s="650"/>
      <c r="AC607" s="650"/>
      <c r="AD607" s="650"/>
      <c r="AE607" s="650"/>
      <c r="AF607" s="650"/>
      <c r="AG607" s="650"/>
      <c r="AH607" s="650"/>
      <c r="AI607" s="650"/>
      <c r="AJ607" s="650"/>
      <c r="AK607" s="650"/>
      <c r="AL607" s="650"/>
      <c r="AM607" s="650"/>
      <c r="AN607" s="650"/>
      <c r="AO607" s="650"/>
      <c r="AP607" s="650"/>
      <c r="AQ607" s="650"/>
      <c r="AR607" s="650"/>
      <c r="AS607" s="650"/>
      <c r="AT607" s="650"/>
      <c r="AU607" s="650"/>
      <c r="AV607" s="650"/>
      <c r="AW607" s="650"/>
      <c r="AX607" s="650"/>
      <c r="AY607" s="650"/>
    </row>
    <row r="608" ht="21.75" customHeight="1">
      <c r="A608" s="650"/>
      <c r="B608" s="650"/>
      <c r="C608" s="650"/>
      <c r="D608" s="650"/>
      <c r="E608" s="650"/>
      <c r="F608" s="650"/>
      <c r="G608" s="650"/>
      <c r="H608" s="650"/>
      <c r="I608" s="650"/>
      <c r="J608" s="650"/>
      <c r="K608" s="650"/>
      <c r="L608" s="650"/>
      <c r="M608" s="650"/>
      <c r="N608" s="650"/>
      <c r="O608" s="650"/>
      <c r="P608" s="650"/>
      <c r="Q608" s="650"/>
      <c r="R608" s="650"/>
      <c r="S608" s="650"/>
      <c r="T608" s="650"/>
      <c r="U608" s="650"/>
      <c r="V608" s="650"/>
      <c r="W608" s="650"/>
      <c r="X608" s="650"/>
      <c r="Y608" s="650"/>
      <c r="Z608" s="650"/>
      <c r="AA608" s="650"/>
      <c r="AB608" s="650"/>
      <c r="AC608" s="650"/>
      <c r="AD608" s="650"/>
      <c r="AE608" s="650"/>
      <c r="AF608" s="650"/>
      <c r="AG608" s="650"/>
      <c r="AH608" s="650"/>
      <c r="AI608" s="650"/>
      <c r="AJ608" s="650"/>
      <c r="AK608" s="650"/>
      <c r="AL608" s="650"/>
      <c r="AM608" s="650"/>
      <c r="AN608" s="650"/>
      <c r="AO608" s="650"/>
      <c r="AP608" s="650"/>
      <c r="AQ608" s="650"/>
      <c r="AR608" s="650"/>
      <c r="AS608" s="650"/>
      <c r="AT608" s="650"/>
      <c r="AU608" s="650"/>
      <c r="AV608" s="650"/>
      <c r="AW608" s="650"/>
      <c r="AX608" s="650"/>
      <c r="AY608" s="650"/>
    </row>
    <row r="609" ht="21.75" customHeight="1">
      <c r="A609" s="650"/>
      <c r="B609" s="650"/>
      <c r="C609" s="650"/>
      <c r="D609" s="650"/>
      <c r="E609" s="650"/>
      <c r="F609" s="650"/>
      <c r="G609" s="650"/>
      <c r="H609" s="650"/>
      <c r="I609" s="650"/>
      <c r="J609" s="650"/>
      <c r="K609" s="650"/>
      <c r="L609" s="650"/>
      <c r="M609" s="650"/>
      <c r="N609" s="650"/>
      <c r="O609" s="650"/>
      <c r="P609" s="650"/>
      <c r="Q609" s="650"/>
      <c r="R609" s="650"/>
      <c r="S609" s="650"/>
      <c r="T609" s="650"/>
      <c r="U609" s="650"/>
      <c r="V609" s="650"/>
      <c r="W609" s="650"/>
      <c r="X609" s="650"/>
      <c r="Y609" s="650"/>
      <c r="Z609" s="650"/>
      <c r="AA609" s="650"/>
      <c r="AB609" s="650"/>
      <c r="AC609" s="650"/>
      <c r="AD609" s="650"/>
      <c r="AE609" s="650"/>
      <c r="AF609" s="650"/>
      <c r="AG609" s="650"/>
      <c r="AH609" s="650"/>
      <c r="AI609" s="650"/>
      <c r="AJ609" s="650"/>
      <c r="AK609" s="650"/>
      <c r="AL609" s="650"/>
      <c r="AM609" s="650"/>
      <c r="AN609" s="650"/>
      <c r="AO609" s="650"/>
      <c r="AP609" s="650"/>
      <c r="AQ609" s="650"/>
      <c r="AR609" s="650"/>
      <c r="AS609" s="650"/>
      <c r="AT609" s="650"/>
      <c r="AU609" s="650"/>
      <c r="AV609" s="650"/>
      <c r="AW609" s="650"/>
      <c r="AX609" s="650"/>
      <c r="AY609" s="650"/>
    </row>
    <row r="610" ht="21.75" customHeight="1">
      <c r="A610" s="650"/>
      <c r="B610" s="650"/>
      <c r="C610" s="650"/>
      <c r="D610" s="650"/>
      <c r="E610" s="650"/>
      <c r="F610" s="650"/>
      <c r="G610" s="650"/>
      <c r="H610" s="650"/>
      <c r="I610" s="650"/>
      <c r="J610" s="650"/>
      <c r="K610" s="650"/>
      <c r="L610" s="650"/>
      <c r="M610" s="650"/>
      <c r="N610" s="650"/>
      <c r="O610" s="650"/>
      <c r="P610" s="650"/>
      <c r="Q610" s="650"/>
      <c r="R610" s="650"/>
      <c r="S610" s="650"/>
      <c r="T610" s="650"/>
      <c r="U610" s="650"/>
      <c r="V610" s="650"/>
      <c r="W610" s="650"/>
      <c r="X610" s="650"/>
      <c r="Y610" s="650"/>
      <c r="Z610" s="650"/>
      <c r="AA610" s="650"/>
      <c r="AB610" s="650"/>
      <c r="AC610" s="650"/>
      <c r="AD610" s="650"/>
      <c r="AE610" s="650"/>
      <c r="AF610" s="650"/>
      <c r="AG610" s="650"/>
      <c r="AH610" s="650"/>
      <c r="AI610" s="650"/>
      <c r="AJ610" s="650"/>
      <c r="AK610" s="650"/>
      <c r="AL610" s="650"/>
      <c r="AM610" s="650"/>
      <c r="AN610" s="650"/>
      <c r="AO610" s="650"/>
      <c r="AP610" s="650"/>
      <c r="AQ610" s="650"/>
      <c r="AR610" s="650"/>
      <c r="AS610" s="650"/>
      <c r="AT610" s="650"/>
      <c r="AU610" s="650"/>
      <c r="AV610" s="650"/>
      <c r="AW610" s="650"/>
      <c r="AX610" s="650"/>
      <c r="AY610" s="650"/>
    </row>
    <row r="611" ht="21.75" customHeight="1">
      <c r="A611" s="650"/>
      <c r="B611" s="650"/>
      <c r="C611" s="650"/>
      <c r="D611" s="650"/>
      <c r="E611" s="650"/>
      <c r="F611" s="650"/>
      <c r="G611" s="650"/>
      <c r="H611" s="650"/>
      <c r="I611" s="650"/>
      <c r="J611" s="650"/>
      <c r="K611" s="650"/>
      <c r="L611" s="650"/>
      <c r="M611" s="650"/>
      <c r="N611" s="650"/>
      <c r="O611" s="650"/>
      <c r="P611" s="650"/>
      <c r="Q611" s="650"/>
      <c r="R611" s="650"/>
      <c r="S611" s="650"/>
      <c r="T611" s="650"/>
      <c r="U611" s="650"/>
      <c r="V611" s="650"/>
      <c r="W611" s="650"/>
      <c r="X611" s="650"/>
      <c r="Y611" s="650"/>
      <c r="Z611" s="650"/>
      <c r="AA611" s="650"/>
      <c r="AB611" s="650"/>
      <c r="AC611" s="650"/>
      <c r="AD611" s="650"/>
      <c r="AE611" s="650"/>
      <c r="AF611" s="650"/>
      <c r="AG611" s="650"/>
      <c r="AH611" s="650"/>
      <c r="AI611" s="650"/>
      <c r="AJ611" s="650"/>
      <c r="AK611" s="650"/>
      <c r="AL611" s="650"/>
      <c r="AM611" s="650"/>
      <c r="AN611" s="650"/>
      <c r="AO611" s="650"/>
      <c r="AP611" s="650"/>
      <c r="AQ611" s="650"/>
      <c r="AR611" s="650"/>
      <c r="AS611" s="650"/>
      <c r="AT611" s="650"/>
      <c r="AU611" s="650"/>
      <c r="AV611" s="650"/>
      <c r="AW611" s="650"/>
      <c r="AX611" s="650"/>
      <c r="AY611" s="650"/>
    </row>
    <row r="612" ht="21.75" customHeight="1">
      <c r="A612" s="650"/>
      <c r="B612" s="650"/>
      <c r="C612" s="650"/>
      <c r="D612" s="650"/>
      <c r="E612" s="650"/>
      <c r="F612" s="650"/>
      <c r="G612" s="650"/>
      <c r="H612" s="650"/>
      <c r="I612" s="650"/>
      <c r="J612" s="650"/>
      <c r="K612" s="650"/>
      <c r="L612" s="650"/>
      <c r="M612" s="650"/>
      <c r="N612" s="650"/>
      <c r="O612" s="650"/>
      <c r="P612" s="650"/>
      <c r="Q612" s="650"/>
      <c r="R612" s="650"/>
      <c r="S612" s="650"/>
      <c r="T612" s="650"/>
      <c r="U612" s="650"/>
      <c r="V612" s="650"/>
      <c r="W612" s="650"/>
      <c r="X612" s="650"/>
      <c r="Y612" s="650"/>
      <c r="Z612" s="650"/>
      <c r="AA612" s="650"/>
      <c r="AB612" s="650"/>
      <c r="AC612" s="650"/>
      <c r="AD612" s="650"/>
      <c r="AE612" s="650"/>
      <c r="AF612" s="650"/>
      <c r="AG612" s="650"/>
      <c r="AH612" s="650"/>
      <c r="AI612" s="650"/>
      <c r="AJ612" s="650"/>
      <c r="AK612" s="650"/>
      <c r="AL612" s="650"/>
      <c r="AM612" s="650"/>
      <c r="AN612" s="650"/>
      <c r="AO612" s="650"/>
      <c r="AP612" s="650"/>
      <c r="AQ612" s="650"/>
      <c r="AR612" s="650"/>
      <c r="AS612" s="650"/>
      <c r="AT612" s="650"/>
      <c r="AU612" s="650"/>
      <c r="AV612" s="650"/>
      <c r="AW612" s="650"/>
      <c r="AX612" s="650"/>
      <c r="AY612" s="650"/>
    </row>
    <row r="613" ht="21.75" customHeight="1">
      <c r="A613" s="650"/>
      <c r="B613" s="650"/>
      <c r="C613" s="650"/>
      <c r="D613" s="650"/>
      <c r="E613" s="650"/>
      <c r="F613" s="650"/>
      <c r="G613" s="650"/>
      <c r="H613" s="650"/>
      <c r="I613" s="650"/>
      <c r="J613" s="650"/>
      <c r="K613" s="650"/>
      <c r="L613" s="650"/>
      <c r="M613" s="650"/>
      <c r="N613" s="650"/>
      <c r="O613" s="650"/>
      <c r="P613" s="650"/>
      <c r="Q613" s="650"/>
      <c r="R613" s="650"/>
      <c r="S613" s="650"/>
      <c r="T613" s="650"/>
      <c r="U613" s="650"/>
      <c r="V613" s="650"/>
      <c r="W613" s="650"/>
      <c r="X613" s="650"/>
      <c r="Y613" s="650"/>
      <c r="Z613" s="650"/>
      <c r="AA613" s="650"/>
      <c r="AB613" s="650"/>
      <c r="AC613" s="650"/>
      <c r="AD613" s="650"/>
      <c r="AE613" s="650"/>
      <c r="AF613" s="650"/>
      <c r="AG613" s="650"/>
      <c r="AH613" s="650"/>
      <c r="AI613" s="650"/>
      <c r="AJ613" s="650"/>
      <c r="AK613" s="650"/>
      <c r="AL613" s="650"/>
      <c r="AM613" s="650"/>
      <c r="AN613" s="650"/>
      <c r="AO613" s="650"/>
      <c r="AP613" s="650"/>
      <c r="AQ613" s="650"/>
      <c r="AR613" s="650"/>
      <c r="AS613" s="650"/>
      <c r="AT613" s="650"/>
      <c r="AU613" s="650"/>
      <c r="AV613" s="650"/>
      <c r="AW613" s="650"/>
      <c r="AX613" s="650"/>
      <c r="AY613" s="650"/>
    </row>
    <row r="614" ht="21.75" customHeight="1">
      <c r="A614" s="650"/>
      <c r="B614" s="650"/>
      <c r="C614" s="650"/>
      <c r="D614" s="650"/>
      <c r="E614" s="650"/>
      <c r="F614" s="650"/>
      <c r="G614" s="650"/>
      <c r="H614" s="650"/>
      <c r="I614" s="650"/>
      <c r="J614" s="650"/>
      <c r="K614" s="650"/>
      <c r="L614" s="650"/>
      <c r="M614" s="650"/>
      <c r="N614" s="650"/>
      <c r="O614" s="650"/>
      <c r="P614" s="650"/>
      <c r="Q614" s="650"/>
      <c r="R614" s="650"/>
      <c r="S614" s="650"/>
      <c r="T614" s="650"/>
      <c r="U614" s="650"/>
      <c r="V614" s="650"/>
      <c r="W614" s="650"/>
      <c r="X614" s="650"/>
      <c r="Y614" s="650"/>
      <c r="Z614" s="650"/>
      <c r="AA614" s="650"/>
      <c r="AB614" s="650"/>
      <c r="AC614" s="650"/>
      <c r="AD614" s="650"/>
      <c r="AE614" s="650"/>
      <c r="AF614" s="650"/>
      <c r="AG614" s="650"/>
      <c r="AH614" s="650"/>
      <c r="AI614" s="650"/>
      <c r="AJ614" s="650"/>
      <c r="AK614" s="650"/>
      <c r="AL614" s="650"/>
      <c r="AM614" s="650"/>
      <c r="AN614" s="650"/>
      <c r="AO614" s="650"/>
      <c r="AP614" s="650"/>
      <c r="AQ614" s="650"/>
      <c r="AR614" s="650"/>
      <c r="AS614" s="650"/>
      <c r="AT614" s="650"/>
      <c r="AU614" s="650"/>
      <c r="AV614" s="650"/>
      <c r="AW614" s="650"/>
      <c r="AX614" s="650"/>
      <c r="AY614" s="650"/>
    </row>
    <row r="615" ht="21.75" customHeight="1">
      <c r="A615" s="650"/>
      <c r="B615" s="650"/>
      <c r="C615" s="650"/>
      <c r="D615" s="650"/>
      <c r="E615" s="650"/>
      <c r="F615" s="650"/>
      <c r="G615" s="650"/>
      <c r="H615" s="650"/>
      <c r="I615" s="650"/>
      <c r="J615" s="650"/>
      <c r="K615" s="650"/>
      <c r="L615" s="650"/>
      <c r="M615" s="650"/>
      <c r="N615" s="650"/>
      <c r="O615" s="650"/>
      <c r="P615" s="650"/>
      <c r="Q615" s="650"/>
      <c r="R615" s="650"/>
      <c r="S615" s="650"/>
      <c r="T615" s="650"/>
      <c r="U615" s="650"/>
      <c r="V615" s="650"/>
      <c r="W615" s="650"/>
      <c r="X615" s="650"/>
      <c r="Y615" s="650"/>
      <c r="Z615" s="650"/>
      <c r="AA615" s="650"/>
      <c r="AB615" s="650"/>
      <c r="AC615" s="650"/>
      <c r="AD615" s="650"/>
      <c r="AE615" s="650"/>
      <c r="AF615" s="650"/>
      <c r="AG615" s="650"/>
      <c r="AH615" s="650"/>
      <c r="AI615" s="650"/>
      <c r="AJ615" s="650"/>
      <c r="AK615" s="650"/>
      <c r="AL615" s="650"/>
      <c r="AM615" s="650"/>
      <c r="AN615" s="650"/>
      <c r="AO615" s="650"/>
      <c r="AP615" s="650"/>
      <c r="AQ615" s="650"/>
      <c r="AR615" s="650"/>
      <c r="AS615" s="650"/>
      <c r="AT615" s="650"/>
      <c r="AU615" s="650"/>
      <c r="AV615" s="650"/>
      <c r="AW615" s="650"/>
      <c r="AX615" s="650"/>
      <c r="AY615" s="650"/>
    </row>
    <row r="616" ht="21.75" customHeight="1">
      <c r="A616" s="650"/>
      <c r="B616" s="650"/>
      <c r="C616" s="650"/>
      <c r="D616" s="650"/>
      <c r="E616" s="650"/>
      <c r="F616" s="650"/>
      <c r="G616" s="650"/>
      <c r="H616" s="650"/>
      <c r="I616" s="650"/>
      <c r="J616" s="650"/>
      <c r="K616" s="650"/>
      <c r="L616" s="650"/>
      <c r="M616" s="650"/>
      <c r="N616" s="650"/>
      <c r="O616" s="650"/>
      <c r="P616" s="650"/>
      <c r="Q616" s="650"/>
      <c r="R616" s="650"/>
      <c r="S616" s="650"/>
      <c r="T616" s="650"/>
      <c r="U616" s="650"/>
      <c r="V616" s="650"/>
      <c r="W616" s="650"/>
      <c r="X616" s="650"/>
      <c r="Y616" s="650"/>
      <c r="Z616" s="650"/>
      <c r="AA616" s="650"/>
      <c r="AB616" s="650"/>
      <c r="AC616" s="650"/>
      <c r="AD616" s="650"/>
      <c r="AE616" s="650"/>
      <c r="AF616" s="650"/>
      <c r="AG616" s="650"/>
      <c r="AH616" s="650"/>
      <c r="AI616" s="650"/>
      <c r="AJ616" s="650"/>
      <c r="AK616" s="650"/>
      <c r="AL616" s="650"/>
      <c r="AM616" s="650"/>
      <c r="AN616" s="650"/>
      <c r="AO616" s="650"/>
      <c r="AP616" s="650"/>
      <c r="AQ616" s="650"/>
      <c r="AR616" s="650"/>
      <c r="AS616" s="650"/>
      <c r="AT616" s="650"/>
      <c r="AU616" s="650"/>
      <c r="AV616" s="650"/>
      <c r="AW616" s="650"/>
      <c r="AX616" s="650"/>
      <c r="AY616" s="650"/>
    </row>
    <row r="617" ht="21.75" customHeight="1">
      <c r="A617" s="650"/>
      <c r="B617" s="650"/>
      <c r="C617" s="650"/>
      <c r="D617" s="650"/>
      <c r="E617" s="650"/>
      <c r="F617" s="650"/>
      <c r="G617" s="650"/>
      <c r="H617" s="650"/>
      <c r="I617" s="650"/>
      <c r="J617" s="650"/>
      <c r="K617" s="650"/>
      <c r="L617" s="650"/>
      <c r="M617" s="650"/>
      <c r="N617" s="650"/>
      <c r="O617" s="650"/>
      <c r="P617" s="650"/>
      <c r="Q617" s="650"/>
      <c r="R617" s="650"/>
      <c r="S617" s="650"/>
      <c r="T617" s="650"/>
      <c r="U617" s="650"/>
      <c r="V617" s="650"/>
      <c r="W617" s="650"/>
      <c r="X617" s="650"/>
      <c r="Y617" s="650"/>
      <c r="Z617" s="650"/>
      <c r="AA617" s="650"/>
      <c r="AB617" s="650"/>
      <c r="AC617" s="650"/>
      <c r="AD617" s="650"/>
      <c r="AE617" s="650"/>
      <c r="AF617" s="650"/>
      <c r="AG617" s="650"/>
      <c r="AH617" s="650"/>
      <c r="AI617" s="650"/>
      <c r="AJ617" s="650"/>
      <c r="AK617" s="650"/>
      <c r="AL617" s="650"/>
      <c r="AM617" s="650"/>
      <c r="AN617" s="650"/>
      <c r="AO617" s="650"/>
      <c r="AP617" s="650"/>
      <c r="AQ617" s="650"/>
      <c r="AR617" s="650"/>
      <c r="AS617" s="650"/>
      <c r="AT617" s="650"/>
      <c r="AU617" s="650"/>
      <c r="AV617" s="650"/>
      <c r="AW617" s="650"/>
      <c r="AX617" s="650"/>
      <c r="AY617" s="650"/>
    </row>
    <row r="618" ht="21.75" customHeight="1">
      <c r="A618" s="650"/>
      <c r="B618" s="650"/>
      <c r="C618" s="650"/>
      <c r="D618" s="650"/>
      <c r="E618" s="650"/>
      <c r="F618" s="650"/>
      <c r="G618" s="650"/>
      <c r="H618" s="650"/>
      <c r="I618" s="650"/>
      <c r="J618" s="650"/>
      <c r="K618" s="650"/>
      <c r="L618" s="650"/>
      <c r="M618" s="650"/>
      <c r="N618" s="650"/>
      <c r="O618" s="650"/>
      <c r="P618" s="650"/>
      <c r="Q618" s="650"/>
      <c r="R618" s="650"/>
      <c r="S618" s="650"/>
      <c r="T618" s="650"/>
      <c r="U618" s="650"/>
      <c r="V618" s="650"/>
      <c r="W618" s="650"/>
      <c r="X618" s="650"/>
      <c r="Y618" s="650"/>
      <c r="Z618" s="650"/>
      <c r="AA618" s="650"/>
      <c r="AB618" s="650"/>
      <c r="AC618" s="650"/>
      <c r="AD618" s="650"/>
      <c r="AE618" s="650"/>
      <c r="AF618" s="650"/>
      <c r="AG618" s="650"/>
      <c r="AH618" s="650"/>
      <c r="AI618" s="650"/>
      <c r="AJ618" s="650"/>
      <c r="AK618" s="650"/>
      <c r="AL618" s="650"/>
      <c r="AM618" s="650"/>
      <c r="AN618" s="650"/>
      <c r="AO618" s="650"/>
      <c r="AP618" s="650"/>
      <c r="AQ618" s="650"/>
      <c r="AR618" s="650"/>
      <c r="AS618" s="650"/>
      <c r="AT618" s="650"/>
      <c r="AU618" s="650"/>
      <c r="AV618" s="650"/>
      <c r="AW618" s="650"/>
      <c r="AX618" s="650"/>
      <c r="AY618" s="650"/>
    </row>
    <row r="619" ht="21.75" customHeight="1">
      <c r="A619" s="650"/>
      <c r="B619" s="650"/>
      <c r="C619" s="650"/>
      <c r="D619" s="650"/>
      <c r="E619" s="650"/>
      <c r="F619" s="650"/>
      <c r="G619" s="650"/>
      <c r="H619" s="650"/>
      <c r="I619" s="650"/>
      <c r="J619" s="650"/>
      <c r="K619" s="650"/>
      <c r="L619" s="650"/>
      <c r="M619" s="650"/>
      <c r="N619" s="650"/>
      <c r="O619" s="650"/>
      <c r="P619" s="650"/>
      <c r="Q619" s="650"/>
      <c r="R619" s="650"/>
      <c r="S619" s="650"/>
      <c r="T619" s="650"/>
      <c r="U619" s="650"/>
      <c r="V619" s="650"/>
      <c r="W619" s="650"/>
      <c r="X619" s="650"/>
      <c r="Y619" s="650"/>
      <c r="Z619" s="650"/>
      <c r="AA619" s="650"/>
      <c r="AB619" s="650"/>
      <c r="AC619" s="650"/>
      <c r="AD619" s="650"/>
      <c r="AE619" s="650"/>
      <c r="AF619" s="650"/>
      <c r="AG619" s="650"/>
      <c r="AH619" s="650"/>
      <c r="AI619" s="650"/>
      <c r="AJ619" s="650"/>
      <c r="AK619" s="650"/>
      <c r="AL619" s="650"/>
      <c r="AM619" s="650"/>
      <c r="AN619" s="650"/>
      <c r="AO619" s="650"/>
      <c r="AP619" s="650"/>
      <c r="AQ619" s="650"/>
      <c r="AR619" s="650"/>
      <c r="AS619" s="650"/>
      <c r="AT619" s="650"/>
      <c r="AU619" s="650"/>
      <c r="AV619" s="650"/>
      <c r="AW619" s="650"/>
      <c r="AX619" s="650"/>
      <c r="AY619" s="650"/>
    </row>
    <row r="620" ht="21.75" customHeight="1">
      <c r="A620" s="650"/>
      <c r="B620" s="650"/>
      <c r="C620" s="650"/>
      <c r="D620" s="650"/>
      <c r="E620" s="650"/>
      <c r="F620" s="650"/>
      <c r="G620" s="650"/>
      <c r="H620" s="650"/>
      <c r="I620" s="650"/>
      <c r="J620" s="650"/>
      <c r="K620" s="650"/>
      <c r="L620" s="650"/>
      <c r="M620" s="650"/>
      <c r="N620" s="650"/>
      <c r="O620" s="650"/>
      <c r="P620" s="650"/>
      <c r="Q620" s="650"/>
      <c r="R620" s="650"/>
      <c r="S620" s="650"/>
      <c r="T620" s="650"/>
      <c r="U620" s="650"/>
      <c r="V620" s="650"/>
      <c r="W620" s="650"/>
      <c r="X620" s="650"/>
      <c r="Y620" s="650"/>
      <c r="Z620" s="650"/>
      <c r="AA620" s="650"/>
      <c r="AB620" s="650"/>
      <c r="AC620" s="650"/>
      <c r="AD620" s="650"/>
      <c r="AE620" s="650"/>
      <c r="AF620" s="650"/>
      <c r="AG620" s="650"/>
      <c r="AH620" s="650"/>
      <c r="AI620" s="650"/>
      <c r="AJ620" s="650"/>
      <c r="AK620" s="650"/>
      <c r="AL620" s="650"/>
      <c r="AM620" s="650"/>
      <c r="AN620" s="650"/>
      <c r="AO620" s="650"/>
      <c r="AP620" s="650"/>
      <c r="AQ620" s="650"/>
      <c r="AR620" s="650"/>
      <c r="AS620" s="650"/>
      <c r="AT620" s="650"/>
      <c r="AU620" s="650"/>
      <c r="AV620" s="650"/>
      <c r="AW620" s="650"/>
      <c r="AX620" s="650"/>
      <c r="AY620" s="650"/>
    </row>
    <row r="621" ht="21.75" customHeight="1">
      <c r="A621" s="650"/>
      <c r="B621" s="650"/>
      <c r="C621" s="650"/>
      <c r="D621" s="650"/>
      <c r="E621" s="650"/>
      <c r="F621" s="650"/>
      <c r="G621" s="650"/>
      <c r="H621" s="650"/>
      <c r="I621" s="650"/>
      <c r="J621" s="650"/>
      <c r="K621" s="650"/>
      <c r="L621" s="650"/>
      <c r="M621" s="650"/>
      <c r="N621" s="650"/>
      <c r="O621" s="650"/>
      <c r="P621" s="650"/>
      <c r="Q621" s="650"/>
      <c r="R621" s="650"/>
      <c r="S621" s="650"/>
      <c r="T621" s="650"/>
      <c r="U621" s="650"/>
      <c r="V621" s="650"/>
      <c r="W621" s="650"/>
      <c r="X621" s="650"/>
      <c r="Y621" s="650"/>
      <c r="Z621" s="650"/>
      <c r="AA621" s="650"/>
      <c r="AB621" s="650"/>
      <c r="AC621" s="650"/>
      <c r="AD621" s="650"/>
      <c r="AE621" s="650"/>
      <c r="AF621" s="650"/>
      <c r="AG621" s="650"/>
      <c r="AH621" s="650"/>
      <c r="AI621" s="650"/>
      <c r="AJ621" s="650"/>
      <c r="AK621" s="650"/>
      <c r="AL621" s="650"/>
      <c r="AM621" s="650"/>
      <c r="AN621" s="650"/>
      <c r="AO621" s="650"/>
      <c r="AP621" s="650"/>
      <c r="AQ621" s="650"/>
      <c r="AR621" s="650"/>
      <c r="AS621" s="650"/>
      <c r="AT621" s="650"/>
      <c r="AU621" s="650"/>
      <c r="AV621" s="650"/>
      <c r="AW621" s="650"/>
      <c r="AX621" s="650"/>
      <c r="AY621" s="650"/>
    </row>
    <row r="622" ht="21.75" customHeight="1">
      <c r="A622" s="650"/>
      <c r="B622" s="650"/>
      <c r="C622" s="650"/>
      <c r="D622" s="650"/>
      <c r="E622" s="650"/>
      <c r="F622" s="650"/>
      <c r="G622" s="650"/>
      <c r="H622" s="650"/>
      <c r="I622" s="650"/>
      <c r="J622" s="650"/>
      <c r="K622" s="650"/>
      <c r="L622" s="650"/>
      <c r="M622" s="650"/>
      <c r="N622" s="650"/>
      <c r="O622" s="650"/>
      <c r="P622" s="650"/>
      <c r="Q622" s="650"/>
      <c r="R622" s="650"/>
      <c r="S622" s="650"/>
      <c r="T622" s="650"/>
      <c r="U622" s="650"/>
      <c r="V622" s="650"/>
      <c r="W622" s="650"/>
      <c r="X622" s="650"/>
      <c r="Y622" s="650"/>
      <c r="Z622" s="650"/>
      <c r="AA622" s="650"/>
      <c r="AB622" s="650"/>
      <c r="AC622" s="650"/>
      <c r="AD622" s="650"/>
      <c r="AE622" s="650"/>
      <c r="AF622" s="650"/>
      <c r="AG622" s="650"/>
      <c r="AH622" s="650"/>
      <c r="AI622" s="650"/>
      <c r="AJ622" s="650"/>
      <c r="AK622" s="650"/>
      <c r="AL622" s="650"/>
      <c r="AM622" s="650"/>
      <c r="AN622" s="650"/>
      <c r="AO622" s="650"/>
      <c r="AP622" s="650"/>
      <c r="AQ622" s="650"/>
      <c r="AR622" s="650"/>
      <c r="AS622" s="650"/>
      <c r="AT622" s="650"/>
      <c r="AU622" s="650"/>
      <c r="AV622" s="650"/>
      <c r="AW622" s="650"/>
      <c r="AX622" s="650"/>
      <c r="AY622" s="650"/>
    </row>
    <row r="623" ht="21.75" customHeight="1">
      <c r="A623" s="650"/>
      <c r="B623" s="650"/>
      <c r="C623" s="650"/>
      <c r="D623" s="650"/>
      <c r="E623" s="650"/>
      <c r="F623" s="650"/>
      <c r="G623" s="650"/>
      <c r="H623" s="650"/>
      <c r="I623" s="650"/>
      <c r="J623" s="650"/>
      <c r="K623" s="650"/>
      <c r="L623" s="650"/>
      <c r="M623" s="650"/>
      <c r="N623" s="650"/>
      <c r="O623" s="650"/>
      <c r="P623" s="650"/>
      <c r="Q623" s="650"/>
      <c r="R623" s="650"/>
      <c r="S623" s="650"/>
      <c r="T623" s="650"/>
      <c r="U623" s="650"/>
      <c r="V623" s="650"/>
      <c r="W623" s="650"/>
      <c r="X623" s="650"/>
      <c r="Y623" s="650"/>
      <c r="Z623" s="650"/>
      <c r="AA623" s="650"/>
      <c r="AB623" s="650"/>
      <c r="AC623" s="650"/>
      <c r="AD623" s="650"/>
      <c r="AE623" s="650"/>
      <c r="AF623" s="650"/>
      <c r="AG623" s="650"/>
      <c r="AH623" s="650"/>
      <c r="AI623" s="650"/>
      <c r="AJ623" s="650"/>
      <c r="AK623" s="650"/>
      <c r="AL623" s="650"/>
      <c r="AM623" s="650"/>
      <c r="AN623" s="650"/>
      <c r="AO623" s="650"/>
      <c r="AP623" s="650"/>
      <c r="AQ623" s="650"/>
      <c r="AR623" s="650"/>
      <c r="AS623" s="650"/>
      <c r="AT623" s="650"/>
      <c r="AU623" s="650"/>
      <c r="AV623" s="650"/>
      <c r="AW623" s="650"/>
      <c r="AX623" s="650"/>
      <c r="AY623" s="650"/>
    </row>
    <row r="624" ht="21.75" customHeight="1">
      <c r="A624" s="650"/>
      <c r="B624" s="650"/>
      <c r="C624" s="650"/>
      <c r="D624" s="650"/>
      <c r="E624" s="650"/>
      <c r="F624" s="650"/>
      <c r="G624" s="650"/>
      <c r="H624" s="650"/>
      <c r="I624" s="650"/>
      <c r="J624" s="650"/>
      <c r="K624" s="650"/>
      <c r="L624" s="650"/>
      <c r="M624" s="650"/>
      <c r="N624" s="650"/>
      <c r="O624" s="650"/>
      <c r="P624" s="650"/>
      <c r="Q624" s="650"/>
      <c r="R624" s="650"/>
      <c r="S624" s="650"/>
      <c r="T624" s="650"/>
      <c r="U624" s="650"/>
      <c r="V624" s="650"/>
      <c r="W624" s="650"/>
      <c r="X624" s="650"/>
      <c r="Y624" s="650"/>
      <c r="Z624" s="650"/>
      <c r="AA624" s="650"/>
      <c r="AB624" s="650"/>
      <c r="AC624" s="650"/>
      <c r="AD624" s="650"/>
      <c r="AE624" s="650"/>
      <c r="AF624" s="650"/>
      <c r="AG624" s="650"/>
      <c r="AH624" s="650"/>
      <c r="AI624" s="650"/>
      <c r="AJ624" s="650"/>
      <c r="AK624" s="650"/>
      <c r="AL624" s="650"/>
      <c r="AM624" s="650"/>
      <c r="AN624" s="650"/>
      <c r="AO624" s="650"/>
      <c r="AP624" s="650"/>
      <c r="AQ624" s="650"/>
      <c r="AR624" s="650"/>
      <c r="AS624" s="650"/>
      <c r="AT624" s="650"/>
      <c r="AU624" s="650"/>
      <c r="AV624" s="650"/>
      <c r="AW624" s="650"/>
      <c r="AX624" s="650"/>
      <c r="AY624" s="650"/>
    </row>
    <row r="625" ht="21.75" customHeight="1">
      <c r="A625" s="650"/>
      <c r="B625" s="650"/>
      <c r="C625" s="650"/>
      <c r="D625" s="650"/>
      <c r="E625" s="650"/>
      <c r="F625" s="650"/>
      <c r="G625" s="650"/>
      <c r="H625" s="650"/>
      <c r="I625" s="650"/>
      <c r="J625" s="650"/>
      <c r="K625" s="650"/>
      <c r="L625" s="650"/>
      <c r="M625" s="650"/>
      <c r="N625" s="650"/>
      <c r="O625" s="650"/>
      <c r="P625" s="650"/>
      <c r="Q625" s="650"/>
      <c r="R625" s="650"/>
      <c r="S625" s="650"/>
      <c r="T625" s="650"/>
      <c r="U625" s="650"/>
      <c r="V625" s="650"/>
      <c r="W625" s="650"/>
      <c r="X625" s="650"/>
      <c r="Y625" s="650"/>
      <c r="Z625" s="650"/>
      <c r="AA625" s="650"/>
      <c r="AB625" s="650"/>
      <c r="AC625" s="650"/>
      <c r="AD625" s="650"/>
      <c r="AE625" s="650"/>
      <c r="AF625" s="650"/>
      <c r="AG625" s="650"/>
      <c r="AH625" s="650"/>
      <c r="AI625" s="650"/>
      <c r="AJ625" s="650"/>
      <c r="AK625" s="650"/>
      <c r="AL625" s="650"/>
      <c r="AM625" s="650"/>
      <c r="AN625" s="650"/>
      <c r="AO625" s="650"/>
      <c r="AP625" s="650"/>
      <c r="AQ625" s="650"/>
      <c r="AR625" s="650"/>
      <c r="AS625" s="650"/>
      <c r="AT625" s="650"/>
      <c r="AU625" s="650"/>
      <c r="AV625" s="650"/>
      <c r="AW625" s="650"/>
      <c r="AX625" s="650"/>
      <c r="AY625" s="650"/>
    </row>
    <row r="626" ht="21.75" customHeight="1">
      <c r="A626" s="650"/>
      <c r="B626" s="650"/>
      <c r="C626" s="650"/>
      <c r="D626" s="650"/>
      <c r="E626" s="650"/>
      <c r="F626" s="650"/>
      <c r="G626" s="650"/>
      <c r="H626" s="650"/>
      <c r="I626" s="650"/>
      <c r="J626" s="650"/>
      <c r="K626" s="650"/>
      <c r="L626" s="650"/>
      <c r="M626" s="650"/>
      <c r="N626" s="650"/>
      <c r="O626" s="650"/>
      <c r="P626" s="650"/>
      <c r="Q626" s="650"/>
      <c r="R626" s="650"/>
      <c r="S626" s="650"/>
      <c r="T626" s="650"/>
      <c r="U626" s="650"/>
      <c r="V626" s="650"/>
      <c r="W626" s="650"/>
      <c r="X626" s="650"/>
      <c r="Y626" s="650"/>
      <c r="Z626" s="650"/>
      <c r="AA626" s="650"/>
      <c r="AB626" s="650"/>
      <c r="AC626" s="650"/>
      <c r="AD626" s="650"/>
      <c r="AE626" s="650"/>
      <c r="AF626" s="650"/>
      <c r="AG626" s="650"/>
      <c r="AH626" s="650"/>
      <c r="AI626" s="650"/>
      <c r="AJ626" s="650"/>
      <c r="AK626" s="650"/>
      <c r="AL626" s="650"/>
      <c r="AM626" s="650"/>
      <c r="AN626" s="650"/>
      <c r="AO626" s="650"/>
      <c r="AP626" s="650"/>
      <c r="AQ626" s="650"/>
      <c r="AR626" s="650"/>
      <c r="AS626" s="650"/>
      <c r="AT626" s="650"/>
      <c r="AU626" s="650"/>
      <c r="AV626" s="650"/>
      <c r="AW626" s="650"/>
      <c r="AX626" s="650"/>
      <c r="AY626" s="650"/>
    </row>
    <row r="627" ht="21.75" customHeight="1">
      <c r="A627" s="650"/>
      <c r="B627" s="650"/>
      <c r="C627" s="650"/>
      <c r="D627" s="650"/>
      <c r="E627" s="650"/>
      <c r="F627" s="650"/>
      <c r="G627" s="650"/>
      <c r="H627" s="650"/>
      <c r="I627" s="650"/>
      <c r="J627" s="650"/>
      <c r="K627" s="650"/>
      <c r="L627" s="650"/>
      <c r="M627" s="650"/>
      <c r="N627" s="650"/>
      <c r="O627" s="650"/>
      <c r="P627" s="650"/>
      <c r="Q627" s="650"/>
      <c r="R627" s="650"/>
      <c r="S627" s="650"/>
      <c r="T627" s="650"/>
      <c r="U627" s="650"/>
      <c r="V627" s="650"/>
      <c r="W627" s="650"/>
      <c r="X627" s="650"/>
      <c r="Y627" s="650"/>
      <c r="Z627" s="650"/>
      <c r="AA627" s="650"/>
      <c r="AB627" s="650"/>
      <c r="AC627" s="650"/>
      <c r="AD627" s="650"/>
      <c r="AE627" s="650"/>
      <c r="AF627" s="650"/>
      <c r="AG627" s="650"/>
      <c r="AH627" s="650"/>
      <c r="AI627" s="650"/>
      <c r="AJ627" s="650"/>
      <c r="AK627" s="650"/>
      <c r="AL627" s="650"/>
      <c r="AM627" s="650"/>
      <c r="AN627" s="650"/>
      <c r="AO627" s="650"/>
      <c r="AP627" s="650"/>
      <c r="AQ627" s="650"/>
      <c r="AR627" s="650"/>
      <c r="AS627" s="650"/>
      <c r="AT627" s="650"/>
      <c r="AU627" s="650"/>
      <c r="AV627" s="650"/>
      <c r="AW627" s="650"/>
      <c r="AX627" s="650"/>
      <c r="AY627" s="650"/>
    </row>
    <row r="628" ht="21.75" customHeight="1">
      <c r="A628" s="650"/>
      <c r="B628" s="650"/>
      <c r="C628" s="650"/>
      <c r="D628" s="650"/>
      <c r="E628" s="650"/>
      <c r="F628" s="650"/>
      <c r="G628" s="650"/>
      <c r="H628" s="650"/>
      <c r="I628" s="650"/>
      <c r="J628" s="650"/>
      <c r="K628" s="650"/>
      <c r="L628" s="650"/>
      <c r="M628" s="650"/>
      <c r="N628" s="650"/>
      <c r="O628" s="650"/>
      <c r="P628" s="650"/>
      <c r="Q628" s="650"/>
      <c r="R628" s="650"/>
      <c r="S628" s="650"/>
      <c r="T628" s="650"/>
      <c r="U628" s="650"/>
      <c r="V628" s="650"/>
      <c r="W628" s="650"/>
      <c r="X628" s="650"/>
      <c r="Y628" s="650"/>
      <c r="Z628" s="650"/>
      <c r="AA628" s="650"/>
      <c r="AB628" s="650"/>
      <c r="AC628" s="650"/>
      <c r="AD628" s="650"/>
      <c r="AE628" s="650"/>
      <c r="AF628" s="650"/>
      <c r="AG628" s="650"/>
      <c r="AH628" s="650"/>
      <c r="AI628" s="650"/>
      <c r="AJ628" s="650"/>
      <c r="AK628" s="650"/>
      <c r="AL628" s="650"/>
      <c r="AM628" s="650"/>
      <c r="AN628" s="650"/>
      <c r="AO628" s="650"/>
      <c r="AP628" s="650"/>
      <c r="AQ628" s="650"/>
      <c r="AR628" s="650"/>
      <c r="AS628" s="650"/>
      <c r="AT628" s="650"/>
      <c r="AU628" s="650"/>
      <c r="AV628" s="650"/>
      <c r="AW628" s="650"/>
      <c r="AX628" s="650"/>
      <c r="AY628" s="650"/>
    </row>
    <row r="629" ht="21.75" customHeight="1">
      <c r="A629" s="650"/>
      <c r="B629" s="650"/>
      <c r="C629" s="650"/>
      <c r="D629" s="650"/>
      <c r="E629" s="650"/>
      <c r="F629" s="650"/>
      <c r="G629" s="650"/>
      <c r="H629" s="650"/>
      <c r="I629" s="650"/>
      <c r="J629" s="650"/>
      <c r="K629" s="650"/>
      <c r="L629" s="650"/>
      <c r="M629" s="650"/>
      <c r="N629" s="650"/>
      <c r="O629" s="650"/>
      <c r="P629" s="650"/>
      <c r="Q629" s="650"/>
      <c r="R629" s="650"/>
      <c r="S629" s="650"/>
      <c r="T629" s="650"/>
      <c r="U629" s="650"/>
      <c r="V629" s="650"/>
      <c r="W629" s="650"/>
      <c r="X629" s="650"/>
      <c r="Y629" s="650"/>
      <c r="Z629" s="650"/>
      <c r="AA629" s="650"/>
      <c r="AB629" s="650"/>
      <c r="AC629" s="650"/>
      <c r="AD629" s="650"/>
      <c r="AE629" s="650"/>
      <c r="AF629" s="650"/>
      <c r="AG629" s="650"/>
      <c r="AH629" s="650"/>
      <c r="AI629" s="650"/>
      <c r="AJ629" s="650"/>
      <c r="AK629" s="650"/>
      <c r="AL629" s="650"/>
      <c r="AM629" s="650"/>
      <c r="AN629" s="650"/>
      <c r="AO629" s="650"/>
      <c r="AP629" s="650"/>
      <c r="AQ629" s="650"/>
      <c r="AR629" s="650"/>
      <c r="AS629" s="650"/>
      <c r="AT629" s="650"/>
      <c r="AU629" s="650"/>
      <c r="AV629" s="650"/>
      <c r="AW629" s="650"/>
      <c r="AX629" s="650"/>
      <c r="AY629" s="650"/>
    </row>
    <row r="630" ht="21.75" customHeight="1">
      <c r="A630" s="650"/>
      <c r="B630" s="650"/>
      <c r="C630" s="650"/>
      <c r="D630" s="650"/>
      <c r="E630" s="650"/>
      <c r="F630" s="650"/>
      <c r="G630" s="650"/>
      <c r="H630" s="650"/>
      <c r="I630" s="650"/>
      <c r="J630" s="650"/>
      <c r="K630" s="650"/>
      <c r="L630" s="650"/>
      <c r="M630" s="650"/>
      <c r="N630" s="650"/>
      <c r="O630" s="650"/>
      <c r="P630" s="650"/>
      <c r="Q630" s="650"/>
      <c r="R630" s="650"/>
      <c r="S630" s="650"/>
      <c r="T630" s="650"/>
      <c r="U630" s="650"/>
      <c r="V630" s="650"/>
      <c r="W630" s="650"/>
      <c r="X630" s="650"/>
      <c r="Y630" s="650"/>
      <c r="Z630" s="650"/>
      <c r="AA630" s="650"/>
      <c r="AB630" s="650"/>
      <c r="AC630" s="650"/>
      <c r="AD630" s="650"/>
      <c r="AE630" s="650"/>
      <c r="AF630" s="650"/>
      <c r="AG630" s="650"/>
      <c r="AH630" s="650"/>
      <c r="AI630" s="650"/>
      <c r="AJ630" s="650"/>
      <c r="AK630" s="650"/>
      <c r="AL630" s="650"/>
      <c r="AM630" s="650"/>
      <c r="AN630" s="650"/>
      <c r="AO630" s="650"/>
      <c r="AP630" s="650"/>
      <c r="AQ630" s="650"/>
      <c r="AR630" s="650"/>
      <c r="AS630" s="650"/>
      <c r="AT630" s="650"/>
      <c r="AU630" s="650"/>
      <c r="AV630" s="650"/>
      <c r="AW630" s="650"/>
      <c r="AX630" s="650"/>
      <c r="AY630" s="650"/>
    </row>
    <row r="631" ht="21.75" customHeight="1">
      <c r="A631" s="650"/>
      <c r="B631" s="650"/>
      <c r="C631" s="650"/>
      <c r="D631" s="650"/>
      <c r="E631" s="650"/>
      <c r="F631" s="650"/>
      <c r="G631" s="650"/>
      <c r="H631" s="650"/>
      <c r="I631" s="650"/>
      <c r="J631" s="650"/>
      <c r="K631" s="650"/>
      <c r="L631" s="650"/>
      <c r="M631" s="650"/>
      <c r="N631" s="650"/>
      <c r="O631" s="650"/>
      <c r="P631" s="650"/>
      <c r="Q631" s="650"/>
      <c r="R631" s="650"/>
      <c r="S631" s="650"/>
      <c r="T631" s="650"/>
      <c r="U631" s="650"/>
      <c r="V631" s="650"/>
      <c r="W631" s="650"/>
      <c r="X631" s="650"/>
      <c r="Y631" s="650"/>
      <c r="Z631" s="650"/>
      <c r="AA631" s="650"/>
      <c r="AB631" s="650"/>
      <c r="AC631" s="650"/>
      <c r="AD631" s="650"/>
      <c r="AE631" s="650"/>
      <c r="AF631" s="650"/>
      <c r="AG631" s="650"/>
      <c r="AH631" s="650"/>
      <c r="AI631" s="650"/>
      <c r="AJ631" s="650"/>
      <c r="AK631" s="650"/>
      <c r="AL631" s="650"/>
      <c r="AM631" s="650"/>
      <c r="AN631" s="650"/>
      <c r="AO631" s="650"/>
      <c r="AP631" s="650"/>
      <c r="AQ631" s="650"/>
      <c r="AR631" s="650"/>
      <c r="AS631" s="650"/>
      <c r="AT631" s="650"/>
      <c r="AU631" s="650"/>
      <c r="AV631" s="650"/>
      <c r="AW631" s="650"/>
      <c r="AX631" s="650"/>
      <c r="AY631" s="650"/>
    </row>
    <row r="632" ht="21.75" customHeight="1">
      <c r="A632" s="650"/>
      <c r="B632" s="650"/>
      <c r="C632" s="650"/>
      <c r="D632" s="650"/>
      <c r="E632" s="650"/>
      <c r="F632" s="650"/>
      <c r="G632" s="650"/>
      <c r="H632" s="650"/>
      <c r="I632" s="650"/>
      <c r="J632" s="650"/>
      <c r="K632" s="650"/>
      <c r="L632" s="650"/>
      <c r="M632" s="650"/>
      <c r="N632" s="650"/>
      <c r="O632" s="650"/>
      <c r="P632" s="650"/>
      <c r="Q632" s="650"/>
      <c r="R632" s="650"/>
      <c r="S632" s="650"/>
      <c r="T632" s="650"/>
      <c r="U632" s="650"/>
      <c r="V632" s="650"/>
      <c r="W632" s="650"/>
      <c r="X632" s="650"/>
      <c r="Y632" s="650"/>
      <c r="Z632" s="650"/>
      <c r="AA632" s="650"/>
      <c r="AB632" s="650"/>
      <c r="AC632" s="650"/>
      <c r="AD632" s="650"/>
      <c r="AE632" s="650"/>
      <c r="AF632" s="650"/>
      <c r="AG632" s="650"/>
      <c r="AH632" s="650"/>
      <c r="AI632" s="650"/>
      <c r="AJ632" s="650"/>
      <c r="AK632" s="650"/>
      <c r="AL632" s="650"/>
      <c r="AM632" s="650"/>
      <c r="AN632" s="650"/>
      <c r="AO632" s="650"/>
      <c r="AP632" s="650"/>
      <c r="AQ632" s="650"/>
      <c r="AR632" s="650"/>
      <c r="AS632" s="650"/>
      <c r="AT632" s="650"/>
      <c r="AU632" s="650"/>
      <c r="AV632" s="650"/>
      <c r="AW632" s="650"/>
      <c r="AX632" s="650"/>
      <c r="AY632" s="650"/>
    </row>
    <row r="633" ht="21.75" customHeight="1">
      <c r="A633" s="650"/>
      <c r="B633" s="650"/>
      <c r="C633" s="650"/>
      <c r="D633" s="650"/>
      <c r="E633" s="650"/>
      <c r="F633" s="650"/>
      <c r="G633" s="650"/>
      <c r="H633" s="650"/>
      <c r="I633" s="650"/>
      <c r="J633" s="650"/>
      <c r="K633" s="650"/>
      <c r="L633" s="650"/>
      <c r="M633" s="650"/>
      <c r="N633" s="650"/>
      <c r="O633" s="650"/>
      <c r="P633" s="650"/>
      <c r="Q633" s="650"/>
      <c r="R633" s="650"/>
      <c r="S633" s="650"/>
      <c r="T633" s="650"/>
      <c r="U633" s="650"/>
      <c r="V633" s="650"/>
      <c r="W633" s="650"/>
      <c r="X633" s="650"/>
      <c r="Y633" s="650"/>
      <c r="Z633" s="650"/>
      <c r="AA633" s="650"/>
      <c r="AB633" s="650"/>
      <c r="AC633" s="650"/>
      <c r="AD633" s="650"/>
      <c r="AE633" s="650"/>
      <c r="AF633" s="650"/>
      <c r="AG633" s="650"/>
      <c r="AH633" s="650"/>
      <c r="AI633" s="650"/>
      <c r="AJ633" s="650"/>
      <c r="AK633" s="650"/>
      <c r="AL633" s="650"/>
      <c r="AM633" s="650"/>
      <c r="AN633" s="650"/>
      <c r="AO633" s="650"/>
      <c r="AP633" s="650"/>
      <c r="AQ633" s="650"/>
      <c r="AR633" s="650"/>
      <c r="AS633" s="650"/>
      <c r="AT633" s="650"/>
      <c r="AU633" s="650"/>
      <c r="AV633" s="650"/>
      <c r="AW633" s="650"/>
      <c r="AX633" s="650"/>
      <c r="AY633" s="650"/>
    </row>
    <row r="634" ht="21.75" customHeight="1">
      <c r="A634" s="650"/>
      <c r="B634" s="650"/>
      <c r="C634" s="650"/>
      <c r="D634" s="650"/>
      <c r="E634" s="650"/>
      <c r="F634" s="650"/>
      <c r="G634" s="650"/>
      <c r="H634" s="650"/>
      <c r="I634" s="650"/>
      <c r="J634" s="650"/>
      <c r="K634" s="650"/>
      <c r="L634" s="650"/>
      <c r="M634" s="650"/>
      <c r="N634" s="650"/>
      <c r="O634" s="650"/>
      <c r="P634" s="650"/>
      <c r="Q634" s="650"/>
      <c r="R634" s="650"/>
      <c r="S634" s="650"/>
      <c r="T634" s="650"/>
      <c r="U634" s="650"/>
      <c r="V634" s="650"/>
      <c r="W634" s="650"/>
      <c r="X634" s="650"/>
      <c r="Y634" s="650"/>
      <c r="Z634" s="650"/>
      <c r="AA634" s="650"/>
      <c r="AB634" s="650"/>
      <c r="AC634" s="650"/>
      <c r="AD634" s="650"/>
      <c r="AE634" s="650"/>
      <c r="AF634" s="650"/>
      <c r="AG634" s="650"/>
      <c r="AH634" s="650"/>
      <c r="AI634" s="650"/>
      <c r="AJ634" s="650"/>
      <c r="AK634" s="650"/>
      <c r="AL634" s="650"/>
      <c r="AM634" s="650"/>
      <c r="AN634" s="650"/>
      <c r="AO634" s="650"/>
      <c r="AP634" s="650"/>
      <c r="AQ634" s="650"/>
      <c r="AR634" s="650"/>
      <c r="AS634" s="650"/>
      <c r="AT634" s="650"/>
      <c r="AU634" s="650"/>
      <c r="AV634" s="650"/>
      <c r="AW634" s="650"/>
      <c r="AX634" s="650"/>
      <c r="AY634" s="650"/>
    </row>
    <row r="635" ht="21.75" customHeight="1">
      <c r="A635" s="650"/>
      <c r="B635" s="650"/>
      <c r="C635" s="650"/>
      <c r="D635" s="650"/>
      <c r="E635" s="650"/>
      <c r="F635" s="650"/>
      <c r="G635" s="650"/>
      <c r="H635" s="650"/>
      <c r="I635" s="650"/>
      <c r="J635" s="650"/>
      <c r="K635" s="650"/>
      <c r="L635" s="650"/>
      <c r="M635" s="650"/>
      <c r="N635" s="650"/>
      <c r="O635" s="650"/>
      <c r="P635" s="650"/>
      <c r="Q635" s="650"/>
      <c r="R635" s="650"/>
      <c r="S635" s="650"/>
      <c r="T635" s="650"/>
      <c r="U635" s="650"/>
      <c r="V635" s="650"/>
      <c r="W635" s="650"/>
      <c r="X635" s="650"/>
      <c r="Y635" s="650"/>
      <c r="Z635" s="650"/>
      <c r="AA635" s="650"/>
      <c r="AB635" s="650"/>
      <c r="AC635" s="650"/>
      <c r="AD635" s="650"/>
      <c r="AE635" s="650"/>
      <c r="AF635" s="650"/>
      <c r="AG635" s="650"/>
      <c r="AH635" s="650"/>
      <c r="AI635" s="650"/>
      <c r="AJ635" s="650"/>
      <c r="AK635" s="650"/>
      <c r="AL635" s="650"/>
      <c r="AM635" s="650"/>
      <c r="AN635" s="650"/>
      <c r="AO635" s="650"/>
      <c r="AP635" s="650"/>
      <c r="AQ635" s="650"/>
      <c r="AR635" s="650"/>
      <c r="AS635" s="650"/>
      <c r="AT635" s="650"/>
      <c r="AU635" s="650"/>
      <c r="AV635" s="650"/>
      <c r="AW635" s="650"/>
      <c r="AX635" s="650"/>
      <c r="AY635" s="650"/>
    </row>
    <row r="636" ht="21.75" customHeight="1">
      <c r="A636" s="650"/>
      <c r="B636" s="650"/>
      <c r="C636" s="650"/>
      <c r="D636" s="650"/>
      <c r="E636" s="650"/>
      <c r="F636" s="650"/>
      <c r="G636" s="650"/>
      <c r="H636" s="650"/>
      <c r="I636" s="650"/>
      <c r="J636" s="650"/>
      <c r="K636" s="650"/>
      <c r="L636" s="650"/>
      <c r="M636" s="650"/>
      <c r="N636" s="650"/>
      <c r="O636" s="650"/>
      <c r="P636" s="650"/>
      <c r="Q636" s="650"/>
      <c r="R636" s="650"/>
      <c r="S636" s="650"/>
      <c r="T636" s="650"/>
      <c r="U636" s="650"/>
      <c r="V636" s="650"/>
      <c r="W636" s="650"/>
      <c r="X636" s="650"/>
      <c r="Y636" s="650"/>
      <c r="Z636" s="650"/>
      <c r="AA636" s="650"/>
      <c r="AB636" s="650"/>
      <c r="AC636" s="650"/>
      <c r="AD636" s="650"/>
      <c r="AE636" s="650"/>
      <c r="AF636" s="650"/>
      <c r="AG636" s="650"/>
      <c r="AH636" s="650"/>
      <c r="AI636" s="650"/>
      <c r="AJ636" s="650"/>
      <c r="AK636" s="650"/>
      <c r="AL636" s="650"/>
      <c r="AM636" s="650"/>
      <c r="AN636" s="650"/>
      <c r="AO636" s="650"/>
      <c r="AP636" s="650"/>
      <c r="AQ636" s="650"/>
      <c r="AR636" s="650"/>
      <c r="AS636" s="650"/>
      <c r="AT636" s="650"/>
      <c r="AU636" s="650"/>
      <c r="AV636" s="650"/>
      <c r="AW636" s="650"/>
      <c r="AX636" s="650"/>
      <c r="AY636" s="650"/>
    </row>
    <row r="637" ht="21.75" customHeight="1">
      <c r="A637" s="650"/>
      <c r="B637" s="650"/>
      <c r="C637" s="650"/>
      <c r="D637" s="650"/>
      <c r="E637" s="650"/>
      <c r="F637" s="650"/>
      <c r="G637" s="650"/>
      <c r="H637" s="650"/>
      <c r="I637" s="650"/>
      <c r="J637" s="650"/>
      <c r="K637" s="650"/>
      <c r="L637" s="650"/>
      <c r="M637" s="650"/>
      <c r="N637" s="650"/>
      <c r="O637" s="650"/>
      <c r="P637" s="650"/>
      <c r="Q637" s="650"/>
      <c r="R637" s="650"/>
      <c r="S637" s="650"/>
      <c r="T637" s="650"/>
      <c r="U637" s="650"/>
      <c r="V637" s="650"/>
      <c r="W637" s="650"/>
      <c r="X637" s="650"/>
      <c r="Y637" s="650"/>
      <c r="Z637" s="650"/>
      <c r="AA637" s="650"/>
      <c r="AB637" s="650"/>
      <c r="AC637" s="650"/>
      <c r="AD637" s="650"/>
      <c r="AE637" s="650"/>
      <c r="AF637" s="650"/>
      <c r="AG637" s="650"/>
      <c r="AH637" s="650"/>
      <c r="AI637" s="650"/>
      <c r="AJ637" s="650"/>
      <c r="AK637" s="650"/>
      <c r="AL637" s="650"/>
      <c r="AM637" s="650"/>
      <c r="AN637" s="650"/>
      <c r="AO637" s="650"/>
      <c r="AP637" s="650"/>
      <c r="AQ637" s="650"/>
      <c r="AR637" s="650"/>
      <c r="AS637" s="650"/>
      <c r="AT637" s="650"/>
      <c r="AU637" s="650"/>
      <c r="AV637" s="650"/>
      <c r="AW637" s="650"/>
      <c r="AX637" s="650"/>
      <c r="AY637" s="650"/>
    </row>
    <row r="638" ht="21.75" customHeight="1">
      <c r="A638" s="650"/>
      <c r="B638" s="650"/>
      <c r="C638" s="650"/>
      <c r="D638" s="650"/>
      <c r="E638" s="650"/>
      <c r="F638" s="650"/>
      <c r="G638" s="650"/>
      <c r="H638" s="650"/>
      <c r="I638" s="650"/>
      <c r="J638" s="650"/>
      <c r="K638" s="650"/>
      <c r="L638" s="650"/>
      <c r="M638" s="650"/>
      <c r="N638" s="650"/>
      <c r="O638" s="650"/>
      <c r="P638" s="650"/>
      <c r="Q638" s="650"/>
      <c r="R638" s="650"/>
      <c r="S638" s="650"/>
      <c r="T638" s="650"/>
      <c r="U638" s="650"/>
      <c r="V638" s="650"/>
      <c r="W638" s="650"/>
      <c r="X638" s="650"/>
      <c r="Y638" s="650"/>
      <c r="Z638" s="650"/>
      <c r="AA638" s="650"/>
      <c r="AB638" s="650"/>
      <c r="AC638" s="650"/>
      <c r="AD638" s="650"/>
      <c r="AE638" s="650"/>
      <c r="AF638" s="650"/>
      <c r="AG638" s="650"/>
      <c r="AH638" s="650"/>
      <c r="AI638" s="650"/>
      <c r="AJ638" s="650"/>
      <c r="AK638" s="650"/>
      <c r="AL638" s="650"/>
      <c r="AM638" s="650"/>
      <c r="AN638" s="650"/>
      <c r="AO638" s="650"/>
      <c r="AP638" s="650"/>
      <c r="AQ638" s="650"/>
      <c r="AR638" s="650"/>
      <c r="AS638" s="650"/>
      <c r="AT638" s="650"/>
      <c r="AU638" s="650"/>
      <c r="AV638" s="650"/>
      <c r="AW638" s="650"/>
      <c r="AX638" s="650"/>
      <c r="AY638" s="650"/>
    </row>
    <row r="639" ht="21.75" customHeight="1">
      <c r="A639" s="650"/>
      <c r="B639" s="650"/>
      <c r="C639" s="650"/>
      <c r="D639" s="650"/>
      <c r="E639" s="650"/>
      <c r="F639" s="650"/>
      <c r="G639" s="650"/>
      <c r="H639" s="650"/>
      <c r="I639" s="650"/>
      <c r="J639" s="650"/>
      <c r="K639" s="650"/>
      <c r="L639" s="650"/>
      <c r="M639" s="650"/>
      <c r="N639" s="650"/>
      <c r="O639" s="650"/>
      <c r="P639" s="650"/>
      <c r="Q639" s="650"/>
      <c r="R639" s="650"/>
      <c r="S639" s="650"/>
      <c r="T639" s="650"/>
      <c r="U639" s="650"/>
      <c r="V639" s="650"/>
      <c r="W639" s="650"/>
      <c r="X639" s="650"/>
      <c r="Y639" s="650"/>
      <c r="Z639" s="650"/>
      <c r="AA639" s="650"/>
      <c r="AB639" s="650"/>
      <c r="AC639" s="650"/>
      <c r="AD639" s="650"/>
      <c r="AE639" s="650"/>
      <c r="AF639" s="650"/>
      <c r="AG639" s="650"/>
      <c r="AH639" s="650"/>
      <c r="AI639" s="650"/>
      <c r="AJ639" s="650"/>
      <c r="AK639" s="650"/>
      <c r="AL639" s="650"/>
      <c r="AM639" s="650"/>
      <c r="AN639" s="650"/>
      <c r="AO639" s="650"/>
      <c r="AP639" s="650"/>
      <c r="AQ639" s="650"/>
      <c r="AR639" s="650"/>
      <c r="AS639" s="650"/>
      <c r="AT639" s="650"/>
      <c r="AU639" s="650"/>
      <c r="AV639" s="650"/>
      <c r="AW639" s="650"/>
      <c r="AX639" s="650"/>
      <c r="AY639" s="650"/>
    </row>
    <row r="640" ht="21.75" customHeight="1">
      <c r="A640" s="650"/>
      <c r="B640" s="650"/>
      <c r="C640" s="650"/>
      <c r="D640" s="650"/>
      <c r="E640" s="650"/>
      <c r="F640" s="650"/>
      <c r="G640" s="650"/>
      <c r="H640" s="650"/>
      <c r="I640" s="650"/>
      <c r="J640" s="650"/>
      <c r="K640" s="650"/>
      <c r="L640" s="650"/>
      <c r="M640" s="650"/>
      <c r="N640" s="650"/>
      <c r="O640" s="650"/>
      <c r="P640" s="650"/>
      <c r="Q640" s="650"/>
      <c r="R640" s="650"/>
      <c r="S640" s="650"/>
      <c r="T640" s="650"/>
      <c r="U640" s="650"/>
      <c r="V640" s="650"/>
      <c r="W640" s="650"/>
      <c r="X640" s="650"/>
      <c r="Y640" s="650"/>
      <c r="Z640" s="650"/>
      <c r="AA640" s="650"/>
      <c r="AB640" s="650"/>
      <c r="AC640" s="650"/>
      <c r="AD640" s="650"/>
      <c r="AE640" s="650"/>
      <c r="AF640" s="650"/>
      <c r="AG640" s="650"/>
      <c r="AH640" s="650"/>
      <c r="AI640" s="650"/>
      <c r="AJ640" s="650"/>
      <c r="AK640" s="650"/>
      <c r="AL640" s="650"/>
      <c r="AM640" s="650"/>
      <c r="AN640" s="650"/>
      <c r="AO640" s="650"/>
      <c r="AP640" s="650"/>
      <c r="AQ640" s="650"/>
      <c r="AR640" s="650"/>
      <c r="AS640" s="650"/>
      <c r="AT640" s="650"/>
      <c r="AU640" s="650"/>
      <c r="AV640" s="650"/>
      <c r="AW640" s="650"/>
      <c r="AX640" s="650"/>
      <c r="AY640" s="650"/>
    </row>
    <row r="641" ht="21.75" customHeight="1">
      <c r="A641" s="650"/>
      <c r="B641" s="650"/>
      <c r="C641" s="650"/>
      <c r="D641" s="650"/>
      <c r="E641" s="650"/>
      <c r="F641" s="650"/>
      <c r="G641" s="650"/>
      <c r="H641" s="650"/>
      <c r="I641" s="650"/>
      <c r="J641" s="650"/>
      <c r="K641" s="650"/>
      <c r="L641" s="650"/>
      <c r="M641" s="650"/>
      <c r="N641" s="650"/>
      <c r="O641" s="650"/>
      <c r="P641" s="650"/>
      <c r="Q641" s="650"/>
      <c r="R641" s="650"/>
      <c r="S641" s="650"/>
      <c r="T641" s="650"/>
      <c r="U641" s="650"/>
      <c r="V641" s="650"/>
      <c r="W641" s="650"/>
      <c r="X641" s="650"/>
      <c r="Y641" s="650"/>
      <c r="Z641" s="650"/>
      <c r="AA641" s="650"/>
      <c r="AB641" s="650"/>
      <c r="AC641" s="650"/>
      <c r="AD641" s="650"/>
      <c r="AE641" s="650"/>
      <c r="AF641" s="650"/>
      <c r="AG641" s="650"/>
      <c r="AH641" s="650"/>
      <c r="AI641" s="650"/>
      <c r="AJ641" s="650"/>
      <c r="AK641" s="650"/>
      <c r="AL641" s="650"/>
      <c r="AM641" s="650"/>
      <c r="AN641" s="650"/>
      <c r="AO641" s="650"/>
      <c r="AP641" s="650"/>
      <c r="AQ641" s="650"/>
      <c r="AR641" s="650"/>
      <c r="AS641" s="650"/>
      <c r="AT641" s="650"/>
      <c r="AU641" s="650"/>
      <c r="AV641" s="650"/>
      <c r="AW641" s="650"/>
      <c r="AX641" s="650"/>
      <c r="AY641" s="650"/>
    </row>
    <row r="642" ht="21.75" customHeight="1">
      <c r="A642" s="650"/>
      <c r="B642" s="650"/>
      <c r="C642" s="650"/>
      <c r="D642" s="650"/>
      <c r="E642" s="650"/>
      <c r="F642" s="650"/>
      <c r="G642" s="650"/>
      <c r="H642" s="650"/>
      <c r="I642" s="650"/>
      <c r="J642" s="650"/>
      <c r="K642" s="650"/>
      <c r="L642" s="650"/>
      <c r="M642" s="650"/>
      <c r="N642" s="650"/>
      <c r="O642" s="650"/>
      <c r="P642" s="650"/>
      <c r="Q642" s="650"/>
      <c r="R642" s="650"/>
      <c r="S642" s="650"/>
      <c r="T642" s="650"/>
      <c r="U642" s="650"/>
      <c r="V642" s="650"/>
      <c r="W642" s="650"/>
      <c r="X642" s="650"/>
      <c r="Y642" s="650"/>
      <c r="Z642" s="650"/>
      <c r="AA642" s="650"/>
      <c r="AB642" s="650"/>
      <c r="AC642" s="650"/>
      <c r="AD642" s="650"/>
      <c r="AE642" s="650"/>
      <c r="AF642" s="650"/>
      <c r="AG642" s="650"/>
      <c r="AH642" s="650"/>
      <c r="AI642" s="650"/>
      <c r="AJ642" s="650"/>
      <c r="AK642" s="650"/>
      <c r="AL642" s="650"/>
      <c r="AM642" s="650"/>
      <c r="AN642" s="650"/>
      <c r="AO642" s="650"/>
      <c r="AP642" s="650"/>
      <c r="AQ642" s="650"/>
      <c r="AR642" s="650"/>
      <c r="AS642" s="650"/>
      <c r="AT642" s="650"/>
      <c r="AU642" s="650"/>
      <c r="AV642" s="650"/>
      <c r="AW642" s="650"/>
      <c r="AX642" s="650"/>
      <c r="AY642" s="650"/>
    </row>
    <row r="643" ht="21.75" customHeight="1">
      <c r="A643" s="650"/>
      <c r="B643" s="650"/>
      <c r="C643" s="650"/>
      <c r="D643" s="650"/>
      <c r="E643" s="650"/>
      <c r="F643" s="650"/>
      <c r="G643" s="650"/>
      <c r="H643" s="650"/>
      <c r="I643" s="650"/>
      <c r="J643" s="650"/>
      <c r="K643" s="650"/>
      <c r="L643" s="650"/>
      <c r="M643" s="650"/>
      <c r="N643" s="650"/>
      <c r="O643" s="650"/>
      <c r="P643" s="650"/>
      <c r="Q643" s="650"/>
      <c r="R643" s="650"/>
      <c r="S643" s="650"/>
      <c r="T643" s="650"/>
      <c r="U643" s="650"/>
      <c r="V643" s="650"/>
      <c r="W643" s="650"/>
      <c r="X643" s="650"/>
      <c r="Y643" s="650"/>
      <c r="Z643" s="650"/>
      <c r="AA643" s="650"/>
      <c r="AB643" s="650"/>
      <c r="AC643" s="650"/>
      <c r="AD643" s="650"/>
      <c r="AE643" s="650"/>
      <c r="AF643" s="650"/>
      <c r="AG643" s="650"/>
      <c r="AH643" s="650"/>
      <c r="AI643" s="650"/>
      <c r="AJ643" s="650"/>
      <c r="AK643" s="650"/>
      <c r="AL643" s="650"/>
      <c r="AM643" s="650"/>
      <c r="AN643" s="650"/>
      <c r="AO643" s="650"/>
      <c r="AP643" s="650"/>
      <c r="AQ643" s="650"/>
      <c r="AR643" s="650"/>
      <c r="AS643" s="650"/>
      <c r="AT643" s="650"/>
      <c r="AU643" s="650"/>
      <c r="AV643" s="650"/>
      <c r="AW643" s="650"/>
      <c r="AX643" s="650"/>
      <c r="AY643" s="650"/>
    </row>
    <row r="644" ht="21.75" customHeight="1">
      <c r="A644" s="650"/>
      <c r="B644" s="650"/>
      <c r="C644" s="650"/>
      <c r="D644" s="650"/>
      <c r="E644" s="650"/>
      <c r="F644" s="650"/>
      <c r="G644" s="650"/>
      <c r="H644" s="650"/>
      <c r="I644" s="650"/>
      <c r="J644" s="650"/>
      <c r="K644" s="650"/>
      <c r="L644" s="650"/>
      <c r="M644" s="650"/>
      <c r="N644" s="650"/>
      <c r="O644" s="650"/>
      <c r="P644" s="650"/>
      <c r="Q644" s="650"/>
      <c r="R644" s="650"/>
      <c r="S644" s="650"/>
      <c r="T644" s="650"/>
      <c r="U644" s="650"/>
      <c r="V644" s="650"/>
      <c r="W644" s="650"/>
      <c r="X644" s="650"/>
      <c r="Y644" s="650"/>
      <c r="Z644" s="650"/>
      <c r="AA644" s="650"/>
      <c r="AB644" s="650"/>
      <c r="AC644" s="650"/>
      <c r="AD644" s="650"/>
      <c r="AE644" s="650"/>
      <c r="AF644" s="650"/>
      <c r="AG644" s="650"/>
      <c r="AH644" s="650"/>
      <c r="AI644" s="650"/>
      <c r="AJ644" s="650"/>
      <c r="AK644" s="650"/>
      <c r="AL644" s="650"/>
      <c r="AM644" s="650"/>
      <c r="AN644" s="650"/>
      <c r="AO644" s="650"/>
      <c r="AP644" s="650"/>
      <c r="AQ644" s="650"/>
      <c r="AR644" s="650"/>
      <c r="AS644" s="650"/>
      <c r="AT644" s="650"/>
      <c r="AU644" s="650"/>
      <c r="AV644" s="650"/>
      <c r="AW644" s="650"/>
      <c r="AX644" s="650"/>
      <c r="AY644" s="650"/>
    </row>
    <row r="645" ht="21.75" customHeight="1">
      <c r="A645" s="650"/>
      <c r="B645" s="650"/>
      <c r="C645" s="650"/>
      <c r="D645" s="650"/>
      <c r="E645" s="650"/>
      <c r="F645" s="650"/>
      <c r="G645" s="650"/>
      <c r="H645" s="650"/>
      <c r="I645" s="650"/>
      <c r="J645" s="650"/>
      <c r="K645" s="650"/>
      <c r="L645" s="650"/>
      <c r="M645" s="650"/>
      <c r="N645" s="650"/>
      <c r="O645" s="650"/>
      <c r="P645" s="650"/>
      <c r="Q645" s="650"/>
      <c r="R645" s="650"/>
      <c r="S645" s="650"/>
      <c r="T645" s="650"/>
      <c r="U645" s="650"/>
      <c r="V645" s="650"/>
      <c r="W645" s="650"/>
      <c r="X645" s="650"/>
      <c r="Y645" s="650"/>
      <c r="Z645" s="650"/>
      <c r="AA645" s="650"/>
      <c r="AB645" s="650"/>
      <c r="AC645" s="650"/>
      <c r="AD645" s="650"/>
      <c r="AE645" s="650"/>
      <c r="AF645" s="650"/>
      <c r="AG645" s="650"/>
      <c r="AH645" s="650"/>
      <c r="AI645" s="650"/>
      <c r="AJ645" s="650"/>
      <c r="AK645" s="650"/>
      <c r="AL645" s="650"/>
      <c r="AM645" s="650"/>
      <c r="AN645" s="650"/>
      <c r="AO645" s="650"/>
      <c r="AP645" s="650"/>
      <c r="AQ645" s="650"/>
      <c r="AR645" s="650"/>
      <c r="AS645" s="650"/>
      <c r="AT645" s="650"/>
      <c r="AU645" s="650"/>
      <c r="AV645" s="650"/>
      <c r="AW645" s="650"/>
      <c r="AX645" s="650"/>
      <c r="AY645" s="650"/>
    </row>
    <row r="646" ht="21.75" customHeight="1">
      <c r="A646" s="650"/>
      <c r="B646" s="650"/>
      <c r="C646" s="650"/>
      <c r="D646" s="650"/>
      <c r="E646" s="650"/>
      <c r="F646" s="650"/>
      <c r="G646" s="650"/>
      <c r="H646" s="650"/>
      <c r="I646" s="650"/>
      <c r="J646" s="650"/>
      <c r="K646" s="650"/>
      <c r="L646" s="650"/>
      <c r="M646" s="650"/>
      <c r="N646" s="650"/>
      <c r="O646" s="650"/>
      <c r="P646" s="650"/>
      <c r="Q646" s="650"/>
      <c r="R646" s="650"/>
      <c r="S646" s="650"/>
      <c r="T646" s="650"/>
      <c r="U646" s="650"/>
      <c r="V646" s="650"/>
      <c r="W646" s="650"/>
      <c r="X646" s="650"/>
      <c r="Y646" s="650"/>
      <c r="Z646" s="650"/>
      <c r="AA646" s="650"/>
      <c r="AB646" s="650"/>
      <c r="AC646" s="650"/>
      <c r="AD646" s="650"/>
      <c r="AE646" s="650"/>
      <c r="AF646" s="650"/>
      <c r="AG646" s="650"/>
      <c r="AH646" s="650"/>
      <c r="AI646" s="650"/>
      <c r="AJ646" s="650"/>
      <c r="AK646" s="650"/>
      <c r="AL646" s="650"/>
      <c r="AM646" s="650"/>
      <c r="AN646" s="650"/>
      <c r="AO646" s="650"/>
      <c r="AP646" s="650"/>
      <c r="AQ646" s="650"/>
      <c r="AR646" s="650"/>
      <c r="AS646" s="650"/>
      <c r="AT646" s="650"/>
      <c r="AU646" s="650"/>
      <c r="AV646" s="650"/>
      <c r="AW646" s="650"/>
      <c r="AX646" s="650"/>
      <c r="AY646" s="650"/>
    </row>
    <row r="647" ht="21.75" customHeight="1">
      <c r="A647" s="650"/>
      <c r="B647" s="650"/>
      <c r="C647" s="650"/>
      <c r="D647" s="650"/>
      <c r="E647" s="650"/>
      <c r="F647" s="650"/>
      <c r="G647" s="650"/>
      <c r="H647" s="650"/>
      <c r="I647" s="650"/>
      <c r="J647" s="650"/>
      <c r="K647" s="650"/>
      <c r="L647" s="650"/>
      <c r="M647" s="650"/>
      <c r="N647" s="650"/>
      <c r="O647" s="650"/>
      <c r="P647" s="650"/>
      <c r="Q647" s="650"/>
      <c r="R647" s="650"/>
      <c r="S647" s="650"/>
      <c r="T647" s="650"/>
      <c r="U647" s="650"/>
      <c r="V647" s="650"/>
      <c r="W647" s="650"/>
      <c r="X647" s="650"/>
      <c r="Y647" s="650"/>
      <c r="Z647" s="650"/>
      <c r="AA647" s="650"/>
      <c r="AB647" s="650"/>
      <c r="AC647" s="650"/>
      <c r="AD647" s="650"/>
      <c r="AE647" s="650"/>
      <c r="AF647" s="650"/>
      <c r="AG647" s="650"/>
      <c r="AH647" s="650"/>
      <c r="AI647" s="650"/>
      <c r="AJ647" s="650"/>
      <c r="AK647" s="650"/>
      <c r="AL647" s="650"/>
      <c r="AM647" s="650"/>
      <c r="AN647" s="650"/>
      <c r="AO647" s="650"/>
      <c r="AP647" s="650"/>
      <c r="AQ647" s="650"/>
      <c r="AR647" s="650"/>
      <c r="AS647" s="650"/>
      <c r="AT647" s="650"/>
      <c r="AU647" s="650"/>
      <c r="AV647" s="650"/>
      <c r="AW647" s="650"/>
      <c r="AX647" s="650"/>
      <c r="AY647" s="650"/>
    </row>
    <row r="648" ht="21.75" customHeight="1">
      <c r="A648" s="650"/>
      <c r="B648" s="650"/>
      <c r="C648" s="650"/>
      <c r="D648" s="650"/>
      <c r="E648" s="650"/>
      <c r="F648" s="650"/>
      <c r="G648" s="650"/>
      <c r="H648" s="650"/>
      <c r="I648" s="650"/>
      <c r="J648" s="650"/>
      <c r="K648" s="650"/>
      <c r="L648" s="650"/>
      <c r="M648" s="650"/>
      <c r="N648" s="650"/>
      <c r="O648" s="650"/>
      <c r="P648" s="650"/>
      <c r="Q648" s="650"/>
      <c r="R648" s="650"/>
      <c r="S648" s="650"/>
      <c r="T648" s="650"/>
      <c r="U648" s="650"/>
      <c r="V648" s="650"/>
      <c r="W648" s="650"/>
      <c r="X648" s="650"/>
      <c r="Y648" s="650"/>
      <c r="Z648" s="650"/>
      <c r="AA648" s="650"/>
      <c r="AB648" s="650"/>
      <c r="AC648" s="650"/>
      <c r="AD648" s="650"/>
      <c r="AE648" s="650"/>
      <c r="AF648" s="650"/>
      <c r="AG648" s="650"/>
      <c r="AH648" s="650"/>
      <c r="AI648" s="650"/>
      <c r="AJ648" s="650"/>
      <c r="AK648" s="650"/>
      <c r="AL648" s="650"/>
      <c r="AM648" s="650"/>
      <c r="AN648" s="650"/>
      <c r="AO648" s="650"/>
      <c r="AP648" s="650"/>
      <c r="AQ648" s="650"/>
      <c r="AR648" s="650"/>
      <c r="AS648" s="650"/>
      <c r="AT648" s="650"/>
      <c r="AU648" s="650"/>
      <c r="AV648" s="650"/>
      <c r="AW648" s="650"/>
      <c r="AX648" s="650"/>
      <c r="AY648" s="650"/>
    </row>
    <row r="649" ht="21.75" customHeight="1">
      <c r="A649" s="650"/>
      <c r="B649" s="650"/>
      <c r="C649" s="650"/>
      <c r="D649" s="650"/>
      <c r="E649" s="650"/>
      <c r="F649" s="650"/>
      <c r="G649" s="650"/>
      <c r="H649" s="650"/>
      <c r="I649" s="650"/>
      <c r="J649" s="650"/>
      <c r="K649" s="650"/>
      <c r="L649" s="650"/>
      <c r="M649" s="650"/>
      <c r="N649" s="650"/>
      <c r="O649" s="650"/>
      <c r="P649" s="650"/>
      <c r="Q649" s="650"/>
      <c r="R649" s="650"/>
      <c r="S649" s="650"/>
      <c r="T649" s="650"/>
      <c r="U649" s="650"/>
      <c r="V649" s="650"/>
      <c r="W649" s="650"/>
      <c r="X649" s="650"/>
      <c r="Y649" s="650"/>
      <c r="Z649" s="650"/>
      <c r="AA649" s="650"/>
      <c r="AB649" s="650"/>
      <c r="AC649" s="650"/>
      <c r="AD649" s="650"/>
      <c r="AE649" s="650"/>
      <c r="AF649" s="650"/>
      <c r="AG649" s="650"/>
      <c r="AH649" s="650"/>
      <c r="AI649" s="650"/>
      <c r="AJ649" s="650"/>
      <c r="AK649" s="650"/>
      <c r="AL649" s="650"/>
      <c r="AM649" s="650"/>
      <c r="AN649" s="650"/>
      <c r="AO649" s="650"/>
      <c r="AP649" s="650"/>
      <c r="AQ649" s="650"/>
      <c r="AR649" s="650"/>
      <c r="AS649" s="650"/>
      <c r="AT649" s="650"/>
      <c r="AU649" s="650"/>
      <c r="AV649" s="650"/>
      <c r="AW649" s="650"/>
      <c r="AX649" s="650"/>
      <c r="AY649" s="650"/>
    </row>
    <row r="650" ht="21.75" customHeight="1">
      <c r="A650" s="650"/>
      <c r="B650" s="650"/>
      <c r="C650" s="650"/>
      <c r="D650" s="650"/>
      <c r="E650" s="650"/>
      <c r="F650" s="650"/>
      <c r="G650" s="650"/>
      <c r="H650" s="650"/>
      <c r="I650" s="650"/>
      <c r="J650" s="650"/>
      <c r="K650" s="650"/>
      <c r="L650" s="650"/>
      <c r="M650" s="650"/>
      <c r="N650" s="650"/>
      <c r="O650" s="650"/>
      <c r="P650" s="650"/>
      <c r="Q650" s="650"/>
      <c r="R650" s="650"/>
      <c r="S650" s="650"/>
      <c r="T650" s="650"/>
      <c r="U650" s="650"/>
      <c r="V650" s="650"/>
      <c r="W650" s="650"/>
      <c r="X650" s="650"/>
      <c r="Y650" s="650"/>
      <c r="Z650" s="650"/>
      <c r="AA650" s="650"/>
      <c r="AB650" s="650"/>
      <c r="AC650" s="650"/>
      <c r="AD650" s="650"/>
      <c r="AE650" s="650"/>
      <c r="AF650" s="650"/>
      <c r="AG650" s="650"/>
      <c r="AH650" s="650"/>
      <c r="AI650" s="650"/>
      <c r="AJ650" s="650"/>
      <c r="AK650" s="650"/>
      <c r="AL650" s="650"/>
      <c r="AM650" s="650"/>
      <c r="AN650" s="650"/>
      <c r="AO650" s="650"/>
      <c r="AP650" s="650"/>
      <c r="AQ650" s="650"/>
      <c r="AR650" s="650"/>
      <c r="AS650" s="650"/>
      <c r="AT650" s="650"/>
      <c r="AU650" s="650"/>
      <c r="AV650" s="650"/>
      <c r="AW650" s="650"/>
      <c r="AX650" s="650"/>
      <c r="AY650" s="650"/>
    </row>
    <row r="651" ht="21.75" customHeight="1">
      <c r="A651" s="650"/>
      <c r="B651" s="650"/>
      <c r="C651" s="650"/>
      <c r="D651" s="650"/>
      <c r="E651" s="650"/>
      <c r="F651" s="650"/>
      <c r="G651" s="650"/>
      <c r="H651" s="650"/>
      <c r="I651" s="650"/>
      <c r="J651" s="650"/>
      <c r="K651" s="650"/>
      <c r="L651" s="650"/>
      <c r="M651" s="650"/>
      <c r="N651" s="650"/>
      <c r="O651" s="650"/>
      <c r="P651" s="650"/>
      <c r="Q651" s="650"/>
      <c r="R651" s="650"/>
      <c r="S651" s="650"/>
      <c r="T651" s="650"/>
      <c r="U651" s="650"/>
      <c r="V651" s="650"/>
      <c r="W651" s="650"/>
      <c r="X651" s="650"/>
      <c r="Y651" s="650"/>
      <c r="Z651" s="650"/>
      <c r="AA651" s="650"/>
      <c r="AB651" s="650"/>
      <c r="AC651" s="650"/>
      <c r="AD651" s="650"/>
      <c r="AE651" s="650"/>
      <c r="AF651" s="650"/>
      <c r="AG651" s="650"/>
      <c r="AH651" s="650"/>
      <c r="AI651" s="650"/>
      <c r="AJ651" s="650"/>
      <c r="AK651" s="650"/>
      <c r="AL651" s="650"/>
      <c r="AM651" s="650"/>
      <c r="AN651" s="650"/>
      <c r="AO651" s="650"/>
      <c r="AP651" s="650"/>
      <c r="AQ651" s="650"/>
      <c r="AR651" s="650"/>
      <c r="AS651" s="650"/>
      <c r="AT651" s="650"/>
      <c r="AU651" s="650"/>
      <c r="AV651" s="650"/>
      <c r="AW651" s="650"/>
      <c r="AX651" s="650"/>
      <c r="AY651" s="650"/>
    </row>
    <row r="652" ht="21.75" customHeight="1">
      <c r="A652" s="650"/>
      <c r="B652" s="650"/>
      <c r="C652" s="650"/>
      <c r="D652" s="650"/>
      <c r="E652" s="650"/>
      <c r="F652" s="650"/>
      <c r="G652" s="650"/>
      <c r="H652" s="650"/>
      <c r="I652" s="650"/>
      <c r="J652" s="650"/>
      <c r="K652" s="650"/>
      <c r="L652" s="650"/>
      <c r="M652" s="650"/>
      <c r="N652" s="650"/>
      <c r="O652" s="650"/>
      <c r="P652" s="650"/>
      <c r="Q652" s="650"/>
      <c r="R652" s="650"/>
      <c r="S652" s="650"/>
      <c r="T652" s="650"/>
      <c r="U652" s="650"/>
      <c r="V652" s="650"/>
      <c r="W652" s="650"/>
      <c r="X652" s="650"/>
      <c r="Y652" s="650"/>
      <c r="Z652" s="650"/>
      <c r="AA652" s="650"/>
      <c r="AB652" s="650"/>
      <c r="AC652" s="650"/>
      <c r="AD652" s="650"/>
      <c r="AE652" s="650"/>
      <c r="AF652" s="650"/>
      <c r="AG652" s="650"/>
      <c r="AH652" s="650"/>
      <c r="AI652" s="650"/>
      <c r="AJ652" s="650"/>
      <c r="AK652" s="650"/>
      <c r="AL652" s="650"/>
      <c r="AM652" s="650"/>
      <c r="AN652" s="650"/>
      <c r="AO652" s="650"/>
      <c r="AP652" s="650"/>
      <c r="AQ652" s="650"/>
      <c r="AR652" s="650"/>
      <c r="AS652" s="650"/>
      <c r="AT652" s="650"/>
      <c r="AU652" s="650"/>
      <c r="AV652" s="650"/>
      <c r="AW652" s="650"/>
      <c r="AX652" s="650"/>
      <c r="AY652" s="650"/>
    </row>
    <row r="653" ht="21.75" customHeight="1">
      <c r="A653" s="650"/>
      <c r="B653" s="650"/>
      <c r="C653" s="650"/>
      <c r="D653" s="650"/>
      <c r="E653" s="650"/>
      <c r="F653" s="650"/>
      <c r="G653" s="650"/>
      <c r="H653" s="650"/>
      <c r="I653" s="650"/>
      <c r="J653" s="650"/>
      <c r="K653" s="650"/>
      <c r="L653" s="650"/>
      <c r="M653" s="650"/>
      <c r="N653" s="650"/>
      <c r="O653" s="650"/>
      <c r="P653" s="650"/>
      <c r="Q653" s="650"/>
      <c r="R653" s="650"/>
      <c r="S653" s="650"/>
      <c r="T653" s="650"/>
      <c r="U653" s="650"/>
      <c r="V653" s="650"/>
      <c r="W653" s="650"/>
      <c r="X653" s="650"/>
      <c r="Y653" s="650"/>
      <c r="Z653" s="650"/>
      <c r="AA653" s="650"/>
      <c r="AB653" s="650"/>
      <c r="AC653" s="650"/>
      <c r="AD653" s="650"/>
      <c r="AE653" s="650"/>
      <c r="AF653" s="650"/>
      <c r="AG653" s="650"/>
      <c r="AH653" s="650"/>
      <c r="AI653" s="650"/>
      <c r="AJ653" s="650"/>
      <c r="AK653" s="650"/>
      <c r="AL653" s="650"/>
      <c r="AM653" s="650"/>
      <c r="AN653" s="650"/>
      <c r="AO653" s="650"/>
      <c r="AP653" s="650"/>
      <c r="AQ653" s="650"/>
      <c r="AR653" s="650"/>
      <c r="AS653" s="650"/>
      <c r="AT653" s="650"/>
      <c r="AU653" s="650"/>
      <c r="AV653" s="650"/>
      <c r="AW653" s="650"/>
      <c r="AX653" s="650"/>
      <c r="AY653" s="650"/>
    </row>
    <row r="654" ht="21.75" customHeight="1">
      <c r="A654" s="650"/>
      <c r="B654" s="650"/>
      <c r="C654" s="650"/>
      <c r="D654" s="650"/>
      <c r="E654" s="650"/>
      <c r="F654" s="650"/>
      <c r="G654" s="650"/>
      <c r="H654" s="650"/>
      <c r="I654" s="650"/>
      <c r="J654" s="650"/>
      <c r="K654" s="650"/>
      <c r="L654" s="650"/>
      <c r="M654" s="650"/>
      <c r="N654" s="650"/>
      <c r="O654" s="650"/>
      <c r="P654" s="650"/>
      <c r="Q654" s="650"/>
      <c r="R654" s="650"/>
      <c r="S654" s="650"/>
      <c r="T654" s="650"/>
      <c r="U654" s="650"/>
      <c r="V654" s="650"/>
      <c r="W654" s="650"/>
      <c r="X654" s="650"/>
      <c r="Y654" s="650"/>
      <c r="Z654" s="650"/>
      <c r="AA654" s="650"/>
      <c r="AB654" s="650"/>
      <c r="AC654" s="650"/>
      <c r="AD654" s="650"/>
      <c r="AE654" s="650"/>
      <c r="AF654" s="650"/>
      <c r="AG654" s="650"/>
      <c r="AH654" s="650"/>
      <c r="AI654" s="650"/>
      <c r="AJ654" s="650"/>
      <c r="AK654" s="650"/>
      <c r="AL654" s="650"/>
      <c r="AM654" s="650"/>
      <c r="AN654" s="650"/>
      <c r="AO654" s="650"/>
      <c r="AP654" s="650"/>
      <c r="AQ654" s="650"/>
      <c r="AR654" s="650"/>
      <c r="AS654" s="650"/>
      <c r="AT654" s="650"/>
      <c r="AU654" s="650"/>
      <c r="AV654" s="650"/>
      <c r="AW654" s="650"/>
      <c r="AX654" s="650"/>
      <c r="AY654" s="650"/>
    </row>
    <row r="655" ht="21.75" customHeight="1">
      <c r="A655" s="650"/>
      <c r="B655" s="650"/>
      <c r="C655" s="650"/>
      <c r="D655" s="650"/>
      <c r="E655" s="650"/>
      <c r="F655" s="650"/>
      <c r="G655" s="650"/>
      <c r="H655" s="650"/>
      <c r="I655" s="650"/>
      <c r="J655" s="650"/>
      <c r="K655" s="650"/>
      <c r="L655" s="650"/>
      <c r="M655" s="650"/>
      <c r="N655" s="650"/>
      <c r="O655" s="650"/>
      <c r="P655" s="650"/>
      <c r="Q655" s="650"/>
      <c r="R655" s="650"/>
      <c r="S655" s="650"/>
      <c r="T655" s="650"/>
      <c r="U655" s="650"/>
      <c r="V655" s="650"/>
      <c r="W655" s="650"/>
      <c r="X655" s="650"/>
      <c r="Y655" s="650"/>
      <c r="Z655" s="650"/>
      <c r="AA655" s="650"/>
      <c r="AB655" s="650"/>
      <c r="AC655" s="650"/>
      <c r="AD655" s="650"/>
      <c r="AE655" s="650"/>
      <c r="AF655" s="650"/>
      <c r="AG655" s="650"/>
      <c r="AH655" s="650"/>
      <c r="AI655" s="650"/>
      <c r="AJ655" s="650"/>
      <c r="AK655" s="650"/>
      <c r="AL655" s="650"/>
      <c r="AM655" s="650"/>
      <c r="AN655" s="650"/>
      <c r="AO655" s="650"/>
      <c r="AP655" s="650"/>
      <c r="AQ655" s="650"/>
      <c r="AR655" s="650"/>
      <c r="AS655" s="650"/>
      <c r="AT655" s="650"/>
      <c r="AU655" s="650"/>
      <c r="AV655" s="650"/>
      <c r="AW655" s="650"/>
      <c r="AX655" s="650"/>
      <c r="AY655" s="650"/>
    </row>
    <row r="656" ht="21.75" customHeight="1">
      <c r="A656" s="650"/>
      <c r="B656" s="650"/>
      <c r="C656" s="650"/>
      <c r="D656" s="650"/>
      <c r="E656" s="650"/>
      <c r="F656" s="650"/>
      <c r="G656" s="650"/>
      <c r="H656" s="650"/>
      <c r="I656" s="650"/>
      <c r="J656" s="650"/>
      <c r="K656" s="650"/>
      <c r="L656" s="650"/>
      <c r="M656" s="650"/>
      <c r="N656" s="650"/>
      <c r="O656" s="650"/>
      <c r="P656" s="650"/>
      <c r="Q656" s="650"/>
      <c r="R656" s="650"/>
      <c r="S656" s="650"/>
      <c r="T656" s="650"/>
      <c r="U656" s="650"/>
      <c r="V656" s="650"/>
      <c r="W656" s="650"/>
      <c r="X656" s="650"/>
      <c r="Y656" s="650"/>
      <c r="Z656" s="650"/>
      <c r="AA656" s="650"/>
      <c r="AB656" s="650"/>
      <c r="AC656" s="650"/>
      <c r="AD656" s="650"/>
      <c r="AE656" s="650"/>
      <c r="AF656" s="650"/>
      <c r="AG656" s="650"/>
      <c r="AH656" s="650"/>
      <c r="AI656" s="650"/>
      <c r="AJ656" s="650"/>
      <c r="AK656" s="650"/>
      <c r="AL656" s="650"/>
      <c r="AM656" s="650"/>
      <c r="AN656" s="650"/>
      <c r="AO656" s="650"/>
      <c r="AP656" s="650"/>
      <c r="AQ656" s="650"/>
      <c r="AR656" s="650"/>
      <c r="AS656" s="650"/>
      <c r="AT656" s="650"/>
      <c r="AU656" s="650"/>
      <c r="AV656" s="650"/>
      <c r="AW656" s="650"/>
      <c r="AX656" s="650"/>
      <c r="AY656" s="650"/>
    </row>
    <row r="657" ht="21.75" customHeight="1">
      <c r="A657" s="650"/>
      <c r="B657" s="650"/>
      <c r="C657" s="650"/>
      <c r="D657" s="650"/>
      <c r="E657" s="650"/>
      <c r="F657" s="650"/>
      <c r="G657" s="650"/>
      <c r="H657" s="650"/>
      <c r="I657" s="650"/>
      <c r="J657" s="650"/>
      <c r="K657" s="650"/>
      <c r="L657" s="650"/>
      <c r="M657" s="650"/>
      <c r="N657" s="650"/>
      <c r="O657" s="650"/>
      <c r="P657" s="650"/>
      <c r="Q657" s="650"/>
      <c r="R657" s="650"/>
      <c r="S657" s="650"/>
      <c r="T657" s="650"/>
      <c r="U657" s="650"/>
      <c r="V657" s="650"/>
      <c r="W657" s="650"/>
      <c r="X657" s="650"/>
      <c r="Y657" s="650"/>
      <c r="Z657" s="650"/>
      <c r="AA657" s="650"/>
      <c r="AB657" s="650"/>
      <c r="AC657" s="650"/>
      <c r="AD657" s="650"/>
      <c r="AE657" s="650"/>
      <c r="AF657" s="650"/>
      <c r="AG657" s="650"/>
      <c r="AH657" s="650"/>
      <c r="AI657" s="650"/>
      <c r="AJ657" s="650"/>
      <c r="AK657" s="650"/>
      <c r="AL657" s="650"/>
      <c r="AM657" s="650"/>
      <c r="AN657" s="650"/>
      <c r="AO657" s="650"/>
      <c r="AP657" s="650"/>
      <c r="AQ657" s="650"/>
      <c r="AR657" s="650"/>
      <c r="AS657" s="650"/>
      <c r="AT657" s="650"/>
      <c r="AU657" s="650"/>
      <c r="AV657" s="650"/>
      <c r="AW657" s="650"/>
      <c r="AX657" s="650"/>
      <c r="AY657" s="650"/>
    </row>
    <row r="658" ht="21.75" customHeight="1">
      <c r="A658" s="650"/>
      <c r="B658" s="650"/>
      <c r="C658" s="650"/>
      <c r="D658" s="650"/>
      <c r="E658" s="650"/>
      <c r="F658" s="650"/>
      <c r="G658" s="650"/>
      <c r="H658" s="650"/>
      <c r="I658" s="650"/>
      <c r="J658" s="650"/>
      <c r="K658" s="650"/>
      <c r="L658" s="650"/>
      <c r="M658" s="650"/>
      <c r="N658" s="650"/>
      <c r="O658" s="650"/>
      <c r="P658" s="650"/>
      <c r="Q658" s="650"/>
      <c r="R658" s="650"/>
      <c r="S658" s="650"/>
      <c r="T658" s="650"/>
      <c r="U658" s="650"/>
      <c r="V658" s="650"/>
      <c r="W658" s="650"/>
      <c r="X658" s="650"/>
      <c r="Y658" s="650"/>
      <c r="Z658" s="650"/>
      <c r="AA658" s="650"/>
      <c r="AB658" s="650"/>
      <c r="AC658" s="650"/>
      <c r="AD658" s="650"/>
      <c r="AE658" s="650"/>
      <c r="AF658" s="650"/>
      <c r="AG658" s="650"/>
      <c r="AH658" s="650"/>
      <c r="AI658" s="650"/>
      <c r="AJ658" s="650"/>
      <c r="AK658" s="650"/>
      <c r="AL658" s="650"/>
      <c r="AM658" s="650"/>
      <c r="AN658" s="650"/>
      <c r="AO658" s="650"/>
      <c r="AP658" s="650"/>
      <c r="AQ658" s="650"/>
      <c r="AR658" s="650"/>
      <c r="AS658" s="650"/>
      <c r="AT658" s="650"/>
      <c r="AU658" s="650"/>
      <c r="AV658" s="650"/>
      <c r="AW658" s="650"/>
      <c r="AX658" s="650"/>
      <c r="AY658" s="650"/>
    </row>
    <row r="659" ht="21.75" customHeight="1">
      <c r="A659" s="650"/>
      <c r="B659" s="650"/>
      <c r="C659" s="650"/>
      <c r="D659" s="650"/>
      <c r="E659" s="650"/>
      <c r="F659" s="650"/>
      <c r="G659" s="650"/>
      <c r="H659" s="650"/>
      <c r="I659" s="650"/>
      <c r="J659" s="650"/>
      <c r="K659" s="650"/>
      <c r="L659" s="650"/>
      <c r="M659" s="650"/>
      <c r="N659" s="650"/>
      <c r="O659" s="650"/>
      <c r="P659" s="650"/>
      <c r="Q659" s="650"/>
      <c r="R659" s="650"/>
      <c r="S659" s="650"/>
      <c r="T659" s="650"/>
      <c r="U659" s="650"/>
      <c r="V659" s="650"/>
      <c r="W659" s="650"/>
      <c r="X659" s="650"/>
      <c r="Y659" s="650"/>
      <c r="Z659" s="650"/>
      <c r="AA659" s="650"/>
      <c r="AB659" s="650"/>
      <c r="AC659" s="650"/>
      <c r="AD659" s="650"/>
      <c r="AE659" s="650"/>
      <c r="AF659" s="650"/>
      <c r="AG659" s="650"/>
      <c r="AH659" s="650"/>
      <c r="AI659" s="650"/>
      <c r="AJ659" s="650"/>
      <c r="AK659" s="650"/>
      <c r="AL659" s="650"/>
      <c r="AM659" s="650"/>
      <c r="AN659" s="650"/>
      <c r="AO659" s="650"/>
      <c r="AP659" s="650"/>
      <c r="AQ659" s="650"/>
      <c r="AR659" s="650"/>
      <c r="AS659" s="650"/>
      <c r="AT659" s="650"/>
      <c r="AU659" s="650"/>
      <c r="AV659" s="650"/>
      <c r="AW659" s="650"/>
      <c r="AX659" s="650"/>
      <c r="AY659" s="650"/>
    </row>
    <row r="660" ht="21.75" customHeight="1">
      <c r="A660" s="650"/>
      <c r="B660" s="650"/>
      <c r="C660" s="650"/>
      <c r="D660" s="650"/>
      <c r="E660" s="650"/>
      <c r="F660" s="650"/>
      <c r="G660" s="650"/>
      <c r="H660" s="650"/>
      <c r="I660" s="650"/>
      <c r="J660" s="650"/>
      <c r="K660" s="650"/>
      <c r="L660" s="650"/>
      <c r="M660" s="650"/>
      <c r="N660" s="650"/>
      <c r="O660" s="650"/>
      <c r="P660" s="650"/>
      <c r="Q660" s="650"/>
      <c r="R660" s="650"/>
      <c r="S660" s="650"/>
      <c r="T660" s="650"/>
      <c r="U660" s="650"/>
      <c r="V660" s="650"/>
      <c r="W660" s="650"/>
      <c r="X660" s="650"/>
      <c r="Y660" s="650"/>
      <c r="Z660" s="650"/>
      <c r="AA660" s="650"/>
      <c r="AB660" s="650"/>
      <c r="AC660" s="650"/>
      <c r="AD660" s="650"/>
      <c r="AE660" s="650"/>
      <c r="AF660" s="650"/>
      <c r="AG660" s="650"/>
      <c r="AH660" s="650"/>
      <c r="AI660" s="650"/>
      <c r="AJ660" s="650"/>
      <c r="AK660" s="650"/>
      <c r="AL660" s="650"/>
      <c r="AM660" s="650"/>
      <c r="AN660" s="650"/>
      <c r="AO660" s="650"/>
      <c r="AP660" s="650"/>
      <c r="AQ660" s="650"/>
      <c r="AR660" s="650"/>
      <c r="AS660" s="650"/>
      <c r="AT660" s="650"/>
      <c r="AU660" s="650"/>
      <c r="AV660" s="650"/>
      <c r="AW660" s="650"/>
      <c r="AX660" s="650"/>
      <c r="AY660" s="650"/>
    </row>
    <row r="661" ht="21.75" customHeight="1">
      <c r="A661" s="650"/>
      <c r="B661" s="650"/>
      <c r="C661" s="650"/>
      <c r="D661" s="650"/>
      <c r="E661" s="650"/>
      <c r="F661" s="650"/>
      <c r="G661" s="650"/>
      <c r="H661" s="650"/>
      <c r="I661" s="650"/>
      <c r="J661" s="650"/>
      <c r="K661" s="650"/>
      <c r="L661" s="650"/>
      <c r="M661" s="650"/>
      <c r="N661" s="650"/>
      <c r="O661" s="650"/>
      <c r="P661" s="650"/>
      <c r="Q661" s="650"/>
      <c r="R661" s="650"/>
      <c r="S661" s="650"/>
      <c r="T661" s="650"/>
      <c r="U661" s="650"/>
      <c r="V661" s="650"/>
      <c r="W661" s="650"/>
      <c r="X661" s="650"/>
      <c r="Y661" s="650"/>
      <c r="Z661" s="650"/>
      <c r="AA661" s="650"/>
      <c r="AB661" s="650"/>
      <c r="AC661" s="650"/>
      <c r="AD661" s="650"/>
      <c r="AE661" s="650"/>
      <c r="AF661" s="650"/>
      <c r="AG661" s="650"/>
      <c r="AH661" s="650"/>
      <c r="AI661" s="650"/>
      <c r="AJ661" s="650"/>
      <c r="AK661" s="650"/>
      <c r="AL661" s="650"/>
      <c r="AM661" s="650"/>
      <c r="AN661" s="650"/>
      <c r="AO661" s="650"/>
      <c r="AP661" s="650"/>
      <c r="AQ661" s="650"/>
      <c r="AR661" s="650"/>
      <c r="AS661" s="650"/>
      <c r="AT661" s="650"/>
      <c r="AU661" s="650"/>
      <c r="AV661" s="650"/>
      <c r="AW661" s="650"/>
      <c r="AX661" s="650"/>
      <c r="AY661" s="650"/>
    </row>
    <row r="662" ht="21.75" customHeight="1">
      <c r="A662" s="650"/>
      <c r="B662" s="650"/>
      <c r="C662" s="650"/>
      <c r="D662" s="650"/>
      <c r="E662" s="650"/>
      <c r="F662" s="650"/>
      <c r="G662" s="650"/>
      <c r="H662" s="650"/>
      <c r="I662" s="650"/>
      <c r="J662" s="650"/>
      <c r="K662" s="650"/>
      <c r="L662" s="650"/>
      <c r="M662" s="650"/>
      <c r="N662" s="650"/>
      <c r="O662" s="650"/>
      <c r="P662" s="650"/>
      <c r="Q662" s="650"/>
      <c r="R662" s="650"/>
      <c r="S662" s="650"/>
      <c r="T662" s="650"/>
      <c r="U662" s="650"/>
      <c r="V662" s="650"/>
      <c r="W662" s="650"/>
      <c r="X662" s="650"/>
      <c r="Y662" s="650"/>
      <c r="Z662" s="650"/>
      <c r="AA662" s="650"/>
      <c r="AB662" s="650"/>
      <c r="AC662" s="650"/>
      <c r="AD662" s="650"/>
      <c r="AE662" s="650"/>
      <c r="AF662" s="650"/>
      <c r="AG662" s="650"/>
      <c r="AH662" s="650"/>
      <c r="AI662" s="650"/>
      <c r="AJ662" s="650"/>
      <c r="AK662" s="650"/>
      <c r="AL662" s="650"/>
      <c r="AM662" s="650"/>
      <c r="AN662" s="650"/>
      <c r="AO662" s="650"/>
      <c r="AP662" s="650"/>
      <c r="AQ662" s="650"/>
      <c r="AR662" s="650"/>
      <c r="AS662" s="650"/>
      <c r="AT662" s="650"/>
      <c r="AU662" s="650"/>
      <c r="AV662" s="650"/>
      <c r="AW662" s="650"/>
      <c r="AX662" s="650"/>
      <c r="AY662" s="650"/>
    </row>
    <row r="663" ht="21.75" customHeight="1">
      <c r="A663" s="650"/>
      <c r="B663" s="650"/>
      <c r="C663" s="650"/>
      <c r="D663" s="650"/>
      <c r="E663" s="650"/>
      <c r="F663" s="650"/>
      <c r="G663" s="650"/>
      <c r="H663" s="650"/>
      <c r="I663" s="650"/>
      <c r="J663" s="650"/>
      <c r="K663" s="650"/>
      <c r="L663" s="650"/>
      <c r="M663" s="650"/>
      <c r="N663" s="650"/>
      <c r="O663" s="650"/>
      <c r="P663" s="650"/>
      <c r="Q663" s="650"/>
      <c r="R663" s="650"/>
      <c r="S663" s="650"/>
      <c r="T663" s="650"/>
      <c r="U663" s="650"/>
      <c r="V663" s="650"/>
      <c r="W663" s="650"/>
      <c r="X663" s="650"/>
      <c r="Y663" s="650"/>
      <c r="Z663" s="650"/>
      <c r="AA663" s="650"/>
      <c r="AB663" s="650"/>
      <c r="AC663" s="650"/>
      <c r="AD663" s="650"/>
      <c r="AE663" s="650"/>
      <c r="AF663" s="650"/>
      <c r="AG663" s="650"/>
      <c r="AH663" s="650"/>
      <c r="AI663" s="650"/>
      <c r="AJ663" s="650"/>
      <c r="AK663" s="650"/>
      <c r="AL663" s="650"/>
      <c r="AM663" s="650"/>
      <c r="AN663" s="650"/>
      <c r="AO663" s="650"/>
      <c r="AP663" s="650"/>
      <c r="AQ663" s="650"/>
      <c r="AR663" s="650"/>
      <c r="AS663" s="650"/>
      <c r="AT663" s="650"/>
      <c r="AU663" s="650"/>
      <c r="AV663" s="650"/>
      <c r="AW663" s="650"/>
      <c r="AX663" s="650"/>
      <c r="AY663" s="650"/>
    </row>
    <row r="664" ht="21.75" customHeight="1">
      <c r="A664" s="650"/>
      <c r="B664" s="650"/>
      <c r="C664" s="650"/>
      <c r="D664" s="650"/>
      <c r="E664" s="650"/>
      <c r="F664" s="650"/>
      <c r="G664" s="650"/>
      <c r="H664" s="650"/>
      <c r="I664" s="650"/>
      <c r="J664" s="650"/>
      <c r="K664" s="650"/>
      <c r="L664" s="650"/>
      <c r="M664" s="650"/>
      <c r="N664" s="650"/>
      <c r="O664" s="650"/>
      <c r="P664" s="650"/>
      <c r="Q664" s="650"/>
      <c r="R664" s="650"/>
      <c r="S664" s="650"/>
      <c r="T664" s="650"/>
      <c r="U664" s="650"/>
      <c r="V664" s="650"/>
      <c r="W664" s="650"/>
      <c r="X664" s="650"/>
      <c r="Y664" s="650"/>
      <c r="Z664" s="650"/>
      <c r="AA664" s="650"/>
      <c r="AB664" s="650"/>
      <c r="AC664" s="650"/>
      <c r="AD664" s="650"/>
      <c r="AE664" s="650"/>
      <c r="AF664" s="650"/>
      <c r="AG664" s="650"/>
      <c r="AH664" s="650"/>
      <c r="AI664" s="650"/>
      <c r="AJ664" s="650"/>
      <c r="AK664" s="650"/>
      <c r="AL664" s="650"/>
      <c r="AM664" s="650"/>
      <c r="AN664" s="650"/>
      <c r="AO664" s="650"/>
      <c r="AP664" s="650"/>
      <c r="AQ664" s="650"/>
      <c r="AR664" s="650"/>
      <c r="AS664" s="650"/>
      <c r="AT664" s="650"/>
      <c r="AU664" s="650"/>
      <c r="AV664" s="650"/>
      <c r="AW664" s="650"/>
      <c r="AX664" s="650"/>
      <c r="AY664" s="650"/>
    </row>
    <row r="665" ht="21.75" customHeight="1">
      <c r="A665" s="650"/>
      <c r="B665" s="650"/>
      <c r="C665" s="650"/>
      <c r="D665" s="650"/>
      <c r="E665" s="650"/>
      <c r="F665" s="650"/>
      <c r="G665" s="650"/>
      <c r="H665" s="650"/>
      <c r="I665" s="650"/>
      <c r="J665" s="650"/>
      <c r="K665" s="650"/>
      <c r="L665" s="650"/>
      <c r="M665" s="650"/>
      <c r="N665" s="650"/>
      <c r="O665" s="650"/>
      <c r="P665" s="650"/>
      <c r="Q665" s="650"/>
      <c r="R665" s="650"/>
      <c r="S665" s="650"/>
      <c r="T665" s="650"/>
      <c r="U665" s="650"/>
      <c r="V665" s="650"/>
      <c r="W665" s="650"/>
      <c r="X665" s="650"/>
      <c r="Y665" s="650"/>
      <c r="Z665" s="650"/>
      <c r="AA665" s="650"/>
      <c r="AB665" s="650"/>
      <c r="AC665" s="650"/>
      <c r="AD665" s="650"/>
      <c r="AE665" s="650"/>
      <c r="AF665" s="650"/>
      <c r="AG665" s="650"/>
      <c r="AH665" s="650"/>
      <c r="AI665" s="650"/>
      <c r="AJ665" s="650"/>
      <c r="AK665" s="650"/>
      <c r="AL665" s="650"/>
      <c r="AM665" s="650"/>
      <c r="AN665" s="650"/>
      <c r="AO665" s="650"/>
      <c r="AP665" s="650"/>
      <c r="AQ665" s="650"/>
      <c r="AR665" s="650"/>
      <c r="AS665" s="650"/>
      <c r="AT665" s="650"/>
      <c r="AU665" s="650"/>
      <c r="AV665" s="650"/>
      <c r="AW665" s="650"/>
      <c r="AX665" s="650"/>
      <c r="AY665" s="650"/>
    </row>
    <row r="666" ht="21.75" customHeight="1">
      <c r="A666" s="650"/>
      <c r="B666" s="650"/>
      <c r="C666" s="650"/>
      <c r="D666" s="650"/>
      <c r="E666" s="650"/>
      <c r="F666" s="650"/>
      <c r="G666" s="650"/>
      <c r="H666" s="650"/>
      <c r="I666" s="650"/>
      <c r="J666" s="650"/>
      <c r="K666" s="650"/>
      <c r="L666" s="650"/>
      <c r="M666" s="650"/>
      <c r="N666" s="650"/>
      <c r="O666" s="650"/>
      <c r="P666" s="650"/>
      <c r="Q666" s="650"/>
      <c r="R666" s="650"/>
      <c r="S666" s="650"/>
      <c r="T666" s="650"/>
      <c r="U666" s="650"/>
      <c r="V666" s="650"/>
      <c r="W666" s="650"/>
      <c r="X666" s="650"/>
      <c r="Y666" s="650"/>
      <c r="Z666" s="650"/>
      <c r="AA666" s="650"/>
      <c r="AB666" s="650"/>
      <c r="AC666" s="650"/>
      <c r="AD666" s="650"/>
      <c r="AE666" s="650"/>
      <c r="AF666" s="650"/>
      <c r="AG666" s="650"/>
      <c r="AH666" s="650"/>
      <c r="AI666" s="650"/>
      <c r="AJ666" s="650"/>
      <c r="AK666" s="650"/>
      <c r="AL666" s="650"/>
      <c r="AM666" s="650"/>
      <c r="AN666" s="650"/>
      <c r="AO666" s="650"/>
      <c r="AP666" s="650"/>
      <c r="AQ666" s="650"/>
      <c r="AR666" s="650"/>
      <c r="AS666" s="650"/>
      <c r="AT666" s="650"/>
      <c r="AU666" s="650"/>
      <c r="AV666" s="650"/>
      <c r="AW666" s="650"/>
      <c r="AX666" s="650"/>
      <c r="AY666" s="650"/>
    </row>
    <row r="667" ht="21.75" customHeight="1">
      <c r="A667" s="650"/>
      <c r="B667" s="650"/>
      <c r="C667" s="650"/>
      <c r="D667" s="650"/>
      <c r="E667" s="650"/>
      <c r="F667" s="650"/>
      <c r="G667" s="650"/>
      <c r="H667" s="650"/>
      <c r="I667" s="650"/>
      <c r="J667" s="650"/>
      <c r="K667" s="650"/>
      <c r="L667" s="650"/>
      <c r="M667" s="650"/>
      <c r="N667" s="650"/>
      <c r="O667" s="650"/>
      <c r="P667" s="650"/>
      <c r="Q667" s="650"/>
      <c r="R667" s="650"/>
      <c r="S667" s="650"/>
      <c r="T667" s="650"/>
      <c r="U667" s="650"/>
      <c r="V667" s="650"/>
      <c r="W667" s="650"/>
      <c r="X667" s="650"/>
      <c r="Y667" s="650"/>
      <c r="Z667" s="650"/>
      <c r="AA667" s="650"/>
      <c r="AB667" s="650"/>
      <c r="AC667" s="650"/>
      <c r="AD667" s="650"/>
      <c r="AE667" s="650"/>
      <c r="AF667" s="650"/>
      <c r="AG667" s="650"/>
      <c r="AH667" s="650"/>
      <c r="AI667" s="650"/>
      <c r="AJ667" s="650"/>
      <c r="AK667" s="650"/>
      <c r="AL667" s="650"/>
      <c r="AM667" s="650"/>
      <c r="AN667" s="650"/>
      <c r="AO667" s="650"/>
      <c r="AP667" s="650"/>
      <c r="AQ667" s="650"/>
      <c r="AR667" s="650"/>
      <c r="AS667" s="650"/>
      <c r="AT667" s="650"/>
      <c r="AU667" s="650"/>
      <c r="AV667" s="650"/>
      <c r="AW667" s="650"/>
      <c r="AX667" s="650"/>
      <c r="AY667" s="650"/>
    </row>
    <row r="668" ht="21.75" customHeight="1">
      <c r="A668" s="650"/>
      <c r="B668" s="650"/>
      <c r="C668" s="650"/>
      <c r="D668" s="650"/>
      <c r="E668" s="650"/>
      <c r="F668" s="650"/>
      <c r="G668" s="650"/>
      <c r="H668" s="650"/>
      <c r="I668" s="650"/>
      <c r="J668" s="650"/>
      <c r="K668" s="650"/>
      <c r="L668" s="650"/>
      <c r="M668" s="650"/>
      <c r="N668" s="650"/>
      <c r="O668" s="650"/>
      <c r="P668" s="650"/>
      <c r="Q668" s="650"/>
      <c r="R668" s="650"/>
      <c r="S668" s="650"/>
      <c r="T668" s="650"/>
      <c r="U668" s="650"/>
      <c r="V668" s="650"/>
      <c r="W668" s="650"/>
      <c r="X668" s="650"/>
      <c r="Y668" s="650"/>
      <c r="Z668" s="650"/>
      <c r="AA668" s="650"/>
      <c r="AB668" s="650"/>
      <c r="AC668" s="650"/>
      <c r="AD668" s="650"/>
      <c r="AE668" s="650"/>
      <c r="AF668" s="650"/>
      <c r="AG668" s="650"/>
      <c r="AH668" s="650"/>
      <c r="AI668" s="650"/>
      <c r="AJ668" s="650"/>
      <c r="AK668" s="650"/>
      <c r="AL668" s="650"/>
      <c r="AM668" s="650"/>
      <c r="AN668" s="650"/>
      <c r="AO668" s="650"/>
      <c r="AP668" s="650"/>
      <c r="AQ668" s="650"/>
      <c r="AR668" s="650"/>
      <c r="AS668" s="650"/>
      <c r="AT668" s="650"/>
      <c r="AU668" s="650"/>
      <c r="AV668" s="650"/>
      <c r="AW668" s="650"/>
      <c r="AX668" s="650"/>
      <c r="AY668" s="650"/>
    </row>
    <row r="669" ht="21.75" customHeight="1">
      <c r="A669" s="650"/>
      <c r="B669" s="650"/>
      <c r="C669" s="650"/>
      <c r="D669" s="650"/>
      <c r="E669" s="650"/>
      <c r="F669" s="650"/>
      <c r="G669" s="650"/>
      <c r="H669" s="650"/>
      <c r="I669" s="650"/>
      <c r="J669" s="650"/>
      <c r="K669" s="650"/>
      <c r="L669" s="650"/>
      <c r="M669" s="650"/>
      <c r="N669" s="650"/>
      <c r="O669" s="650"/>
      <c r="P669" s="650"/>
      <c r="Q669" s="650"/>
      <c r="R669" s="650"/>
      <c r="S669" s="650"/>
      <c r="T669" s="650"/>
      <c r="U669" s="650"/>
      <c r="V669" s="650"/>
      <c r="W669" s="650"/>
      <c r="X669" s="650"/>
      <c r="Y669" s="650"/>
      <c r="Z669" s="650"/>
      <c r="AA669" s="650"/>
      <c r="AB669" s="650"/>
      <c r="AC669" s="650"/>
      <c r="AD669" s="650"/>
      <c r="AE669" s="650"/>
      <c r="AF669" s="650"/>
      <c r="AG669" s="650"/>
      <c r="AH669" s="650"/>
      <c r="AI669" s="650"/>
      <c r="AJ669" s="650"/>
      <c r="AK669" s="650"/>
      <c r="AL669" s="650"/>
      <c r="AM669" s="650"/>
      <c r="AN669" s="650"/>
      <c r="AO669" s="650"/>
      <c r="AP669" s="650"/>
      <c r="AQ669" s="650"/>
      <c r="AR669" s="650"/>
      <c r="AS669" s="650"/>
      <c r="AT669" s="650"/>
      <c r="AU669" s="650"/>
      <c r="AV669" s="650"/>
      <c r="AW669" s="650"/>
      <c r="AX669" s="650"/>
      <c r="AY669" s="650"/>
    </row>
    <row r="670" ht="21.75" customHeight="1">
      <c r="A670" s="650"/>
      <c r="B670" s="650"/>
      <c r="C670" s="650"/>
      <c r="D670" s="650"/>
      <c r="E670" s="650"/>
      <c r="F670" s="650"/>
      <c r="G670" s="650"/>
      <c r="H670" s="650"/>
      <c r="I670" s="650"/>
      <c r="J670" s="650"/>
      <c r="K670" s="650"/>
      <c r="L670" s="650"/>
      <c r="M670" s="650"/>
      <c r="N670" s="650"/>
      <c r="O670" s="650"/>
      <c r="P670" s="650"/>
      <c r="Q670" s="650"/>
      <c r="R670" s="650"/>
      <c r="S670" s="650"/>
      <c r="T670" s="650"/>
      <c r="U670" s="650"/>
      <c r="V670" s="650"/>
      <c r="W670" s="650"/>
      <c r="X670" s="650"/>
      <c r="Y670" s="650"/>
      <c r="Z670" s="650"/>
      <c r="AA670" s="650"/>
      <c r="AB670" s="650"/>
      <c r="AC670" s="650"/>
      <c r="AD670" s="650"/>
      <c r="AE670" s="650"/>
      <c r="AF670" s="650"/>
      <c r="AG670" s="650"/>
      <c r="AH670" s="650"/>
      <c r="AI670" s="650"/>
      <c r="AJ670" s="650"/>
      <c r="AK670" s="650"/>
      <c r="AL670" s="650"/>
      <c r="AM670" s="650"/>
      <c r="AN670" s="650"/>
      <c r="AO670" s="650"/>
      <c r="AP670" s="650"/>
      <c r="AQ670" s="650"/>
      <c r="AR670" s="650"/>
      <c r="AS670" s="650"/>
      <c r="AT670" s="650"/>
      <c r="AU670" s="650"/>
      <c r="AV670" s="650"/>
      <c r="AW670" s="650"/>
      <c r="AX670" s="650"/>
      <c r="AY670" s="650"/>
    </row>
    <row r="671" ht="21.75" customHeight="1">
      <c r="A671" s="650"/>
      <c r="B671" s="650"/>
      <c r="C671" s="650"/>
      <c r="D671" s="650"/>
      <c r="E671" s="650"/>
      <c r="F671" s="650"/>
      <c r="G671" s="650"/>
      <c r="H671" s="650"/>
      <c r="I671" s="650"/>
      <c r="J671" s="650"/>
      <c r="K671" s="650"/>
      <c r="L671" s="650"/>
      <c r="M671" s="650"/>
      <c r="N671" s="650"/>
      <c r="O671" s="650"/>
      <c r="P671" s="650"/>
      <c r="Q671" s="650"/>
      <c r="R671" s="650"/>
      <c r="S671" s="650"/>
      <c r="T671" s="650"/>
      <c r="U671" s="650"/>
      <c r="V671" s="650"/>
      <c r="W671" s="650"/>
      <c r="X671" s="650"/>
      <c r="Y671" s="650"/>
      <c r="Z671" s="650"/>
      <c r="AA671" s="650"/>
      <c r="AB671" s="650"/>
      <c r="AC671" s="650"/>
      <c r="AD671" s="650"/>
      <c r="AE671" s="650"/>
      <c r="AF671" s="650"/>
      <c r="AG671" s="650"/>
      <c r="AH671" s="650"/>
      <c r="AI671" s="650"/>
      <c r="AJ671" s="650"/>
      <c r="AK671" s="650"/>
      <c r="AL671" s="650"/>
      <c r="AM671" s="650"/>
      <c r="AN671" s="650"/>
      <c r="AO671" s="650"/>
      <c r="AP671" s="650"/>
      <c r="AQ671" s="650"/>
      <c r="AR671" s="650"/>
      <c r="AS671" s="650"/>
      <c r="AT671" s="650"/>
      <c r="AU671" s="650"/>
      <c r="AV671" s="650"/>
      <c r="AW671" s="650"/>
      <c r="AX671" s="650"/>
      <c r="AY671" s="650"/>
    </row>
    <row r="672" ht="21.75" customHeight="1">
      <c r="A672" s="650"/>
      <c r="B672" s="650"/>
      <c r="C672" s="650"/>
      <c r="D672" s="650"/>
      <c r="E672" s="650"/>
      <c r="F672" s="650"/>
      <c r="G672" s="650"/>
      <c r="H672" s="650"/>
      <c r="I672" s="650"/>
      <c r="J672" s="650"/>
      <c r="K672" s="650"/>
      <c r="L672" s="650"/>
      <c r="M672" s="650"/>
      <c r="N672" s="650"/>
      <c r="O672" s="650"/>
      <c r="P672" s="650"/>
      <c r="Q672" s="650"/>
      <c r="R672" s="650"/>
      <c r="S672" s="650"/>
      <c r="T672" s="650"/>
      <c r="U672" s="650"/>
      <c r="V672" s="650"/>
      <c r="W672" s="650"/>
      <c r="X672" s="650"/>
      <c r="Y672" s="650"/>
      <c r="Z672" s="650"/>
      <c r="AA672" s="650"/>
      <c r="AB672" s="650"/>
      <c r="AC672" s="650"/>
      <c r="AD672" s="650"/>
      <c r="AE672" s="650"/>
      <c r="AF672" s="650"/>
      <c r="AG672" s="650"/>
      <c r="AH672" s="650"/>
      <c r="AI672" s="650"/>
      <c r="AJ672" s="650"/>
      <c r="AK672" s="650"/>
      <c r="AL672" s="650"/>
      <c r="AM672" s="650"/>
      <c r="AN672" s="650"/>
      <c r="AO672" s="650"/>
      <c r="AP672" s="650"/>
      <c r="AQ672" s="650"/>
      <c r="AR672" s="650"/>
      <c r="AS672" s="650"/>
      <c r="AT672" s="650"/>
      <c r="AU672" s="650"/>
      <c r="AV672" s="650"/>
      <c r="AW672" s="650"/>
      <c r="AX672" s="650"/>
      <c r="AY672" s="650"/>
    </row>
    <row r="673" ht="21.75" customHeight="1">
      <c r="A673" s="650"/>
      <c r="B673" s="650"/>
      <c r="C673" s="650"/>
      <c r="D673" s="650"/>
      <c r="E673" s="650"/>
      <c r="F673" s="650"/>
      <c r="G673" s="650"/>
      <c r="H673" s="650"/>
      <c r="I673" s="650"/>
      <c r="J673" s="650"/>
      <c r="K673" s="650"/>
      <c r="L673" s="650"/>
      <c r="M673" s="650"/>
      <c r="N673" s="650"/>
      <c r="O673" s="650"/>
      <c r="P673" s="650"/>
      <c r="Q673" s="650"/>
      <c r="R673" s="650"/>
      <c r="S673" s="650"/>
      <c r="T673" s="650"/>
      <c r="U673" s="650"/>
      <c r="V673" s="650"/>
      <c r="W673" s="650"/>
      <c r="X673" s="650"/>
      <c r="Y673" s="650"/>
      <c r="Z673" s="650"/>
      <c r="AA673" s="650"/>
      <c r="AB673" s="650"/>
      <c r="AC673" s="650"/>
      <c r="AD673" s="650"/>
      <c r="AE673" s="650"/>
      <c r="AF673" s="650"/>
      <c r="AG673" s="650"/>
      <c r="AH673" s="650"/>
      <c r="AI673" s="650"/>
      <c r="AJ673" s="650"/>
      <c r="AK673" s="650"/>
      <c r="AL673" s="650"/>
      <c r="AM673" s="650"/>
      <c r="AN673" s="650"/>
      <c r="AO673" s="650"/>
      <c r="AP673" s="650"/>
      <c r="AQ673" s="650"/>
      <c r="AR673" s="650"/>
      <c r="AS673" s="650"/>
      <c r="AT673" s="650"/>
      <c r="AU673" s="650"/>
      <c r="AV673" s="650"/>
      <c r="AW673" s="650"/>
      <c r="AX673" s="650"/>
      <c r="AY673" s="650"/>
    </row>
    <row r="674" ht="21.75" customHeight="1">
      <c r="A674" s="650"/>
      <c r="B674" s="650"/>
      <c r="C674" s="650"/>
      <c r="D674" s="650"/>
      <c r="E674" s="650"/>
      <c r="F674" s="650"/>
      <c r="G674" s="650"/>
      <c r="H674" s="650"/>
      <c r="I674" s="650"/>
      <c r="J674" s="650"/>
      <c r="K674" s="650"/>
      <c r="L674" s="650"/>
      <c r="M674" s="650"/>
      <c r="N674" s="650"/>
      <c r="O674" s="650"/>
      <c r="P674" s="650"/>
      <c r="Q674" s="650"/>
      <c r="R674" s="650"/>
      <c r="S674" s="650"/>
      <c r="T674" s="650"/>
      <c r="U674" s="650"/>
      <c r="V674" s="650"/>
      <c r="W674" s="650"/>
      <c r="X674" s="650"/>
      <c r="Y674" s="650"/>
      <c r="Z674" s="650"/>
      <c r="AA674" s="650"/>
      <c r="AB674" s="650"/>
      <c r="AC674" s="650"/>
      <c r="AD674" s="650"/>
      <c r="AE674" s="650"/>
      <c r="AF674" s="650"/>
      <c r="AG674" s="650"/>
      <c r="AH674" s="650"/>
      <c r="AI674" s="650"/>
      <c r="AJ674" s="650"/>
      <c r="AK674" s="650"/>
      <c r="AL674" s="650"/>
      <c r="AM674" s="650"/>
      <c r="AN674" s="650"/>
      <c r="AO674" s="650"/>
      <c r="AP674" s="650"/>
      <c r="AQ674" s="650"/>
      <c r="AR674" s="650"/>
      <c r="AS674" s="650"/>
      <c r="AT674" s="650"/>
      <c r="AU674" s="650"/>
      <c r="AV674" s="650"/>
      <c r="AW674" s="650"/>
      <c r="AX674" s="650"/>
      <c r="AY674" s="650"/>
    </row>
    <row r="675" ht="21.75" customHeight="1">
      <c r="A675" s="650"/>
      <c r="B675" s="650"/>
      <c r="C675" s="650"/>
      <c r="D675" s="650"/>
      <c r="E675" s="650"/>
      <c r="F675" s="650"/>
      <c r="G675" s="650"/>
      <c r="H675" s="650"/>
      <c r="I675" s="650"/>
      <c r="J675" s="650"/>
      <c r="K675" s="650"/>
      <c r="L675" s="650"/>
      <c r="M675" s="650"/>
      <c r="N675" s="650"/>
      <c r="O675" s="650"/>
      <c r="P675" s="650"/>
      <c r="Q675" s="650"/>
      <c r="R675" s="650"/>
      <c r="S675" s="650"/>
      <c r="T675" s="650"/>
      <c r="U675" s="650"/>
      <c r="V675" s="650"/>
      <c r="W675" s="650"/>
      <c r="X675" s="650"/>
      <c r="Y675" s="650"/>
      <c r="Z675" s="650"/>
      <c r="AA675" s="650"/>
      <c r="AB675" s="650"/>
      <c r="AC675" s="650"/>
      <c r="AD675" s="650"/>
      <c r="AE675" s="650"/>
      <c r="AF675" s="650"/>
      <c r="AG675" s="650"/>
      <c r="AH675" s="650"/>
      <c r="AI675" s="650"/>
      <c r="AJ675" s="650"/>
      <c r="AK675" s="650"/>
      <c r="AL675" s="650"/>
      <c r="AM675" s="650"/>
      <c r="AN675" s="650"/>
      <c r="AO675" s="650"/>
      <c r="AP675" s="650"/>
      <c r="AQ675" s="650"/>
      <c r="AR675" s="650"/>
      <c r="AS675" s="650"/>
      <c r="AT675" s="650"/>
      <c r="AU675" s="650"/>
      <c r="AV675" s="650"/>
      <c r="AW675" s="650"/>
      <c r="AX675" s="650"/>
      <c r="AY675" s="650"/>
    </row>
    <row r="676" ht="21.75" customHeight="1">
      <c r="A676" s="650"/>
      <c r="B676" s="650"/>
      <c r="C676" s="650"/>
      <c r="D676" s="650"/>
      <c r="E676" s="650"/>
      <c r="F676" s="650"/>
      <c r="G676" s="650"/>
      <c r="H676" s="650"/>
      <c r="I676" s="650"/>
      <c r="J676" s="650"/>
      <c r="K676" s="650"/>
      <c r="L676" s="650"/>
      <c r="M676" s="650"/>
      <c r="N676" s="650"/>
      <c r="O676" s="650"/>
      <c r="P676" s="650"/>
      <c r="Q676" s="650"/>
      <c r="R676" s="650"/>
      <c r="S676" s="650"/>
      <c r="T676" s="650"/>
      <c r="U676" s="650"/>
      <c r="V676" s="650"/>
      <c r="W676" s="650"/>
      <c r="X676" s="650"/>
      <c r="Y676" s="650"/>
      <c r="Z676" s="650"/>
      <c r="AA676" s="650"/>
      <c r="AB676" s="650"/>
      <c r="AC676" s="650"/>
      <c r="AD676" s="650"/>
      <c r="AE676" s="650"/>
      <c r="AF676" s="650"/>
      <c r="AG676" s="650"/>
      <c r="AH676" s="650"/>
      <c r="AI676" s="650"/>
      <c r="AJ676" s="650"/>
      <c r="AK676" s="650"/>
      <c r="AL676" s="650"/>
      <c r="AM676" s="650"/>
      <c r="AN676" s="650"/>
      <c r="AO676" s="650"/>
      <c r="AP676" s="650"/>
      <c r="AQ676" s="650"/>
      <c r="AR676" s="650"/>
      <c r="AS676" s="650"/>
      <c r="AT676" s="650"/>
      <c r="AU676" s="650"/>
      <c r="AV676" s="650"/>
      <c r="AW676" s="650"/>
      <c r="AX676" s="650"/>
      <c r="AY676" s="650"/>
    </row>
    <row r="677" ht="21.75" customHeight="1">
      <c r="A677" s="650"/>
      <c r="B677" s="650"/>
      <c r="C677" s="650"/>
      <c r="D677" s="650"/>
      <c r="E677" s="650"/>
      <c r="F677" s="650"/>
      <c r="G677" s="650"/>
      <c r="H677" s="650"/>
      <c r="I677" s="650"/>
      <c r="J677" s="650"/>
      <c r="K677" s="650"/>
      <c r="L677" s="650"/>
      <c r="M677" s="650"/>
      <c r="N677" s="650"/>
      <c r="O677" s="650"/>
      <c r="P677" s="650"/>
      <c r="Q677" s="650"/>
      <c r="R677" s="650"/>
      <c r="S677" s="650"/>
      <c r="T677" s="650"/>
      <c r="U677" s="650"/>
      <c r="V677" s="650"/>
      <c r="W677" s="650"/>
      <c r="X677" s="650"/>
      <c r="Y677" s="650"/>
      <c r="Z677" s="650"/>
      <c r="AA677" s="650"/>
      <c r="AB677" s="650"/>
      <c r="AC677" s="650"/>
      <c r="AD677" s="650"/>
      <c r="AE677" s="650"/>
      <c r="AF677" s="650"/>
      <c r="AG677" s="650"/>
      <c r="AH677" s="650"/>
      <c r="AI677" s="650"/>
      <c r="AJ677" s="650"/>
      <c r="AK677" s="650"/>
      <c r="AL677" s="650"/>
      <c r="AM677" s="650"/>
      <c r="AN677" s="650"/>
      <c r="AO677" s="650"/>
      <c r="AP677" s="650"/>
      <c r="AQ677" s="650"/>
      <c r="AR677" s="650"/>
      <c r="AS677" s="650"/>
      <c r="AT677" s="650"/>
      <c r="AU677" s="650"/>
      <c r="AV677" s="650"/>
      <c r="AW677" s="650"/>
      <c r="AX677" s="650"/>
      <c r="AY677" s="650"/>
    </row>
    <row r="678" ht="21.75" customHeight="1">
      <c r="A678" s="650"/>
      <c r="B678" s="650"/>
      <c r="C678" s="650"/>
      <c r="D678" s="650"/>
      <c r="E678" s="650"/>
      <c r="F678" s="650"/>
      <c r="G678" s="650"/>
      <c r="H678" s="650"/>
      <c r="I678" s="650"/>
      <c r="J678" s="650"/>
      <c r="K678" s="650"/>
      <c r="L678" s="650"/>
      <c r="M678" s="650"/>
      <c r="N678" s="650"/>
      <c r="O678" s="650"/>
      <c r="P678" s="650"/>
      <c r="Q678" s="650"/>
      <c r="R678" s="650"/>
      <c r="S678" s="650"/>
      <c r="T678" s="650"/>
      <c r="U678" s="650"/>
      <c r="V678" s="650"/>
      <c r="W678" s="650"/>
      <c r="X678" s="650"/>
      <c r="Y678" s="650"/>
      <c r="Z678" s="650"/>
      <c r="AA678" s="650"/>
      <c r="AB678" s="650"/>
      <c r="AC678" s="650"/>
      <c r="AD678" s="650"/>
      <c r="AE678" s="650"/>
      <c r="AF678" s="650"/>
      <c r="AG678" s="650"/>
      <c r="AH678" s="650"/>
      <c r="AI678" s="650"/>
      <c r="AJ678" s="650"/>
      <c r="AK678" s="650"/>
      <c r="AL678" s="650"/>
      <c r="AM678" s="650"/>
      <c r="AN678" s="650"/>
      <c r="AO678" s="650"/>
      <c r="AP678" s="650"/>
      <c r="AQ678" s="650"/>
      <c r="AR678" s="650"/>
      <c r="AS678" s="650"/>
      <c r="AT678" s="650"/>
      <c r="AU678" s="650"/>
      <c r="AV678" s="650"/>
      <c r="AW678" s="650"/>
      <c r="AX678" s="650"/>
      <c r="AY678" s="650"/>
    </row>
    <row r="679" ht="21.75" customHeight="1">
      <c r="A679" s="650"/>
      <c r="B679" s="650"/>
      <c r="C679" s="650"/>
      <c r="D679" s="650"/>
      <c r="E679" s="650"/>
      <c r="F679" s="650"/>
      <c r="G679" s="650"/>
      <c r="H679" s="650"/>
      <c r="I679" s="650"/>
      <c r="J679" s="650"/>
      <c r="K679" s="650"/>
      <c r="L679" s="650"/>
      <c r="M679" s="650"/>
      <c r="N679" s="650"/>
      <c r="O679" s="650"/>
      <c r="P679" s="650"/>
      <c r="Q679" s="650"/>
      <c r="R679" s="650"/>
      <c r="S679" s="650"/>
      <c r="T679" s="650"/>
      <c r="U679" s="650"/>
      <c r="V679" s="650"/>
      <c r="W679" s="650"/>
      <c r="X679" s="650"/>
      <c r="Y679" s="650"/>
      <c r="Z679" s="650"/>
      <c r="AA679" s="650"/>
      <c r="AB679" s="650"/>
      <c r="AC679" s="650"/>
      <c r="AD679" s="650"/>
      <c r="AE679" s="650"/>
      <c r="AF679" s="650"/>
      <c r="AG679" s="650"/>
      <c r="AH679" s="650"/>
      <c r="AI679" s="650"/>
      <c r="AJ679" s="650"/>
      <c r="AK679" s="650"/>
      <c r="AL679" s="650"/>
      <c r="AM679" s="650"/>
      <c r="AN679" s="650"/>
      <c r="AO679" s="650"/>
      <c r="AP679" s="650"/>
      <c r="AQ679" s="650"/>
      <c r="AR679" s="650"/>
      <c r="AS679" s="650"/>
      <c r="AT679" s="650"/>
      <c r="AU679" s="650"/>
      <c r="AV679" s="650"/>
      <c r="AW679" s="650"/>
      <c r="AX679" s="650"/>
      <c r="AY679" s="650"/>
    </row>
    <row r="680" ht="21.75" customHeight="1">
      <c r="A680" s="650"/>
      <c r="B680" s="650"/>
      <c r="C680" s="650"/>
      <c r="D680" s="650"/>
      <c r="E680" s="650"/>
      <c r="F680" s="650"/>
      <c r="G680" s="650"/>
      <c r="H680" s="650"/>
      <c r="I680" s="650"/>
      <c r="J680" s="650"/>
      <c r="K680" s="650"/>
      <c r="L680" s="650"/>
      <c r="M680" s="650"/>
      <c r="N680" s="650"/>
      <c r="O680" s="650"/>
      <c r="P680" s="650"/>
      <c r="Q680" s="650"/>
      <c r="R680" s="650"/>
      <c r="S680" s="650"/>
      <c r="T680" s="650"/>
      <c r="U680" s="650"/>
      <c r="V680" s="650"/>
      <c r="W680" s="650"/>
      <c r="X680" s="650"/>
      <c r="Y680" s="650"/>
      <c r="Z680" s="650"/>
      <c r="AA680" s="650"/>
      <c r="AB680" s="650"/>
      <c r="AC680" s="650"/>
      <c r="AD680" s="650"/>
      <c r="AE680" s="650"/>
      <c r="AF680" s="650"/>
      <c r="AG680" s="650"/>
      <c r="AH680" s="650"/>
      <c r="AI680" s="650"/>
      <c r="AJ680" s="650"/>
      <c r="AK680" s="650"/>
      <c r="AL680" s="650"/>
      <c r="AM680" s="650"/>
      <c r="AN680" s="650"/>
      <c r="AO680" s="650"/>
      <c r="AP680" s="650"/>
      <c r="AQ680" s="650"/>
      <c r="AR680" s="650"/>
      <c r="AS680" s="650"/>
      <c r="AT680" s="650"/>
      <c r="AU680" s="650"/>
      <c r="AV680" s="650"/>
      <c r="AW680" s="650"/>
      <c r="AX680" s="650"/>
      <c r="AY680" s="650"/>
    </row>
    <row r="681" ht="21.75" customHeight="1">
      <c r="A681" s="650"/>
      <c r="B681" s="650"/>
      <c r="C681" s="650"/>
      <c r="D681" s="650"/>
      <c r="E681" s="650"/>
      <c r="F681" s="650"/>
      <c r="G681" s="650"/>
      <c r="H681" s="650"/>
      <c r="I681" s="650"/>
      <c r="J681" s="650"/>
      <c r="K681" s="650"/>
      <c r="L681" s="650"/>
      <c r="M681" s="650"/>
      <c r="N681" s="650"/>
      <c r="O681" s="650"/>
      <c r="P681" s="650"/>
      <c r="Q681" s="650"/>
      <c r="R681" s="650"/>
      <c r="S681" s="650"/>
      <c r="T681" s="650"/>
      <c r="U681" s="650"/>
      <c r="V681" s="650"/>
      <c r="W681" s="650"/>
      <c r="X681" s="650"/>
      <c r="Y681" s="650"/>
      <c r="Z681" s="650"/>
      <c r="AA681" s="650"/>
      <c r="AB681" s="650"/>
      <c r="AC681" s="650"/>
      <c r="AD681" s="650"/>
      <c r="AE681" s="650"/>
      <c r="AF681" s="650"/>
      <c r="AG681" s="650"/>
      <c r="AH681" s="650"/>
      <c r="AI681" s="650"/>
      <c r="AJ681" s="650"/>
      <c r="AK681" s="650"/>
      <c r="AL681" s="650"/>
      <c r="AM681" s="650"/>
      <c r="AN681" s="650"/>
      <c r="AO681" s="650"/>
      <c r="AP681" s="650"/>
      <c r="AQ681" s="650"/>
      <c r="AR681" s="650"/>
      <c r="AS681" s="650"/>
      <c r="AT681" s="650"/>
      <c r="AU681" s="650"/>
      <c r="AV681" s="650"/>
      <c r="AW681" s="650"/>
      <c r="AX681" s="650"/>
      <c r="AY681" s="650"/>
    </row>
    <row r="682" ht="21.75" customHeight="1">
      <c r="A682" s="650"/>
      <c r="B682" s="650"/>
      <c r="C682" s="650"/>
      <c r="D682" s="650"/>
      <c r="E682" s="650"/>
      <c r="F682" s="650"/>
      <c r="G682" s="650"/>
      <c r="H682" s="650"/>
      <c r="I682" s="650"/>
      <c r="J682" s="650"/>
      <c r="K682" s="650"/>
      <c r="L682" s="650"/>
      <c r="M682" s="650"/>
      <c r="N682" s="650"/>
      <c r="O682" s="650"/>
      <c r="P682" s="650"/>
      <c r="Q682" s="650"/>
      <c r="R682" s="650"/>
      <c r="S682" s="650"/>
      <c r="T682" s="650"/>
      <c r="U682" s="650"/>
      <c r="V682" s="650"/>
      <c r="W682" s="650"/>
      <c r="X682" s="650"/>
      <c r="Y682" s="650"/>
      <c r="Z682" s="650"/>
      <c r="AA682" s="650"/>
      <c r="AB682" s="650"/>
      <c r="AC682" s="650"/>
      <c r="AD682" s="650"/>
      <c r="AE682" s="650"/>
      <c r="AF682" s="650"/>
      <c r="AG682" s="650"/>
      <c r="AH682" s="650"/>
      <c r="AI682" s="650"/>
      <c r="AJ682" s="650"/>
      <c r="AK682" s="650"/>
      <c r="AL682" s="650"/>
      <c r="AM682" s="650"/>
      <c r="AN682" s="650"/>
      <c r="AO682" s="650"/>
      <c r="AP682" s="650"/>
      <c r="AQ682" s="650"/>
      <c r="AR682" s="650"/>
      <c r="AS682" s="650"/>
      <c r="AT682" s="650"/>
      <c r="AU682" s="650"/>
      <c r="AV682" s="650"/>
      <c r="AW682" s="650"/>
      <c r="AX682" s="650"/>
      <c r="AY682" s="650"/>
    </row>
    <row r="683" ht="21.75" customHeight="1">
      <c r="A683" s="650"/>
      <c r="B683" s="650"/>
      <c r="C683" s="650"/>
      <c r="D683" s="650"/>
      <c r="E683" s="650"/>
      <c r="F683" s="650"/>
      <c r="G683" s="650"/>
      <c r="H683" s="650"/>
      <c r="I683" s="650"/>
      <c r="J683" s="650"/>
      <c r="K683" s="650"/>
      <c r="L683" s="650"/>
      <c r="M683" s="650"/>
      <c r="N683" s="650"/>
      <c r="O683" s="650"/>
      <c r="P683" s="650"/>
      <c r="Q683" s="650"/>
      <c r="R683" s="650"/>
      <c r="S683" s="650"/>
      <c r="T683" s="650"/>
      <c r="U683" s="650"/>
      <c r="V683" s="650"/>
      <c r="W683" s="650"/>
      <c r="X683" s="650"/>
      <c r="Y683" s="650"/>
      <c r="Z683" s="650"/>
      <c r="AA683" s="650"/>
      <c r="AB683" s="650"/>
      <c r="AC683" s="650"/>
      <c r="AD683" s="650"/>
      <c r="AE683" s="650"/>
      <c r="AF683" s="650"/>
      <c r="AG683" s="650"/>
      <c r="AH683" s="650"/>
      <c r="AI683" s="650"/>
      <c r="AJ683" s="650"/>
      <c r="AK683" s="650"/>
      <c r="AL683" s="650"/>
      <c r="AM683" s="650"/>
      <c r="AN683" s="650"/>
      <c r="AO683" s="650"/>
      <c r="AP683" s="650"/>
      <c r="AQ683" s="650"/>
      <c r="AR683" s="650"/>
      <c r="AS683" s="650"/>
      <c r="AT683" s="650"/>
      <c r="AU683" s="650"/>
      <c r="AV683" s="650"/>
      <c r="AW683" s="650"/>
      <c r="AX683" s="650"/>
      <c r="AY683" s="650"/>
    </row>
    <row r="684" ht="21.75" customHeight="1">
      <c r="A684" s="650"/>
      <c r="B684" s="650"/>
      <c r="C684" s="650"/>
      <c r="D684" s="650"/>
      <c r="E684" s="650"/>
      <c r="F684" s="650"/>
      <c r="G684" s="650"/>
      <c r="H684" s="650"/>
      <c r="I684" s="650"/>
      <c r="J684" s="650"/>
      <c r="K684" s="650"/>
      <c r="L684" s="650"/>
      <c r="M684" s="650"/>
      <c r="N684" s="650"/>
      <c r="O684" s="650"/>
      <c r="P684" s="650"/>
      <c r="Q684" s="650"/>
      <c r="R684" s="650"/>
      <c r="S684" s="650"/>
      <c r="T684" s="650"/>
      <c r="U684" s="650"/>
      <c r="V684" s="650"/>
      <c r="W684" s="650"/>
      <c r="X684" s="650"/>
      <c r="Y684" s="650"/>
      <c r="Z684" s="650"/>
      <c r="AA684" s="650"/>
      <c r="AB684" s="650"/>
      <c r="AC684" s="650"/>
      <c r="AD684" s="650"/>
      <c r="AE684" s="650"/>
      <c r="AF684" s="650"/>
      <c r="AG684" s="650"/>
      <c r="AH684" s="650"/>
      <c r="AI684" s="650"/>
      <c r="AJ684" s="650"/>
      <c r="AK684" s="650"/>
      <c r="AL684" s="650"/>
      <c r="AM684" s="650"/>
      <c r="AN684" s="650"/>
      <c r="AO684" s="650"/>
      <c r="AP684" s="650"/>
      <c r="AQ684" s="650"/>
      <c r="AR684" s="650"/>
      <c r="AS684" s="650"/>
      <c r="AT684" s="650"/>
      <c r="AU684" s="650"/>
      <c r="AV684" s="650"/>
      <c r="AW684" s="650"/>
      <c r="AX684" s="650"/>
      <c r="AY684" s="650"/>
    </row>
    <row r="685" ht="21.75" customHeight="1">
      <c r="A685" s="650"/>
      <c r="B685" s="650"/>
      <c r="C685" s="650"/>
      <c r="D685" s="650"/>
      <c r="E685" s="650"/>
      <c r="F685" s="650"/>
      <c r="G685" s="650"/>
      <c r="H685" s="650"/>
      <c r="I685" s="650"/>
      <c r="J685" s="650"/>
      <c r="K685" s="650"/>
      <c r="L685" s="650"/>
      <c r="M685" s="650"/>
      <c r="N685" s="650"/>
      <c r="O685" s="650"/>
      <c r="P685" s="650"/>
      <c r="Q685" s="650"/>
      <c r="R685" s="650"/>
      <c r="S685" s="650"/>
      <c r="T685" s="650"/>
      <c r="U685" s="650"/>
      <c r="V685" s="650"/>
      <c r="W685" s="650"/>
      <c r="X685" s="650"/>
      <c r="Y685" s="650"/>
      <c r="Z685" s="650"/>
      <c r="AA685" s="650"/>
      <c r="AB685" s="650"/>
      <c r="AC685" s="650"/>
      <c r="AD685" s="650"/>
      <c r="AE685" s="650"/>
      <c r="AF685" s="650"/>
      <c r="AG685" s="650"/>
      <c r="AH685" s="650"/>
      <c r="AI685" s="650"/>
      <c r="AJ685" s="650"/>
      <c r="AK685" s="650"/>
      <c r="AL685" s="650"/>
      <c r="AM685" s="650"/>
      <c r="AN685" s="650"/>
      <c r="AO685" s="650"/>
      <c r="AP685" s="650"/>
      <c r="AQ685" s="650"/>
      <c r="AR685" s="650"/>
      <c r="AS685" s="650"/>
      <c r="AT685" s="650"/>
      <c r="AU685" s="650"/>
      <c r="AV685" s="650"/>
      <c r="AW685" s="650"/>
      <c r="AX685" s="650"/>
      <c r="AY685" s="650"/>
    </row>
    <row r="686" ht="21.75" customHeight="1">
      <c r="A686" s="650"/>
      <c r="B686" s="650"/>
      <c r="C686" s="650"/>
      <c r="D686" s="650"/>
      <c r="E686" s="650"/>
      <c r="F686" s="650"/>
      <c r="G686" s="650"/>
      <c r="H686" s="650"/>
      <c r="I686" s="650"/>
      <c r="J686" s="650"/>
      <c r="K686" s="650"/>
      <c r="L686" s="650"/>
      <c r="M686" s="650"/>
      <c r="N686" s="650"/>
      <c r="O686" s="650"/>
      <c r="P686" s="650"/>
      <c r="Q686" s="650"/>
      <c r="R686" s="650"/>
      <c r="S686" s="650"/>
      <c r="T686" s="650"/>
      <c r="U686" s="650"/>
      <c r="V686" s="650"/>
      <c r="W686" s="650"/>
      <c r="X686" s="650"/>
      <c r="Y686" s="650"/>
      <c r="Z686" s="650"/>
      <c r="AA686" s="650"/>
      <c r="AB686" s="650"/>
      <c r="AC686" s="650"/>
      <c r="AD686" s="650"/>
      <c r="AE686" s="650"/>
      <c r="AF686" s="650"/>
      <c r="AG686" s="650"/>
      <c r="AH686" s="650"/>
      <c r="AI686" s="650"/>
      <c r="AJ686" s="650"/>
      <c r="AK686" s="650"/>
      <c r="AL686" s="650"/>
      <c r="AM686" s="650"/>
      <c r="AN686" s="650"/>
      <c r="AO686" s="650"/>
      <c r="AP686" s="650"/>
      <c r="AQ686" s="650"/>
      <c r="AR686" s="650"/>
      <c r="AS686" s="650"/>
      <c r="AT686" s="650"/>
      <c r="AU686" s="650"/>
      <c r="AV686" s="650"/>
      <c r="AW686" s="650"/>
      <c r="AX686" s="650"/>
      <c r="AY686" s="650"/>
    </row>
    <row r="687" ht="21.75" customHeight="1">
      <c r="A687" s="650"/>
      <c r="B687" s="650"/>
      <c r="C687" s="650"/>
      <c r="D687" s="650"/>
      <c r="E687" s="650"/>
      <c r="F687" s="650"/>
      <c r="G687" s="650"/>
      <c r="H687" s="650"/>
      <c r="I687" s="650"/>
      <c r="J687" s="650"/>
      <c r="K687" s="650"/>
      <c r="L687" s="650"/>
      <c r="M687" s="650"/>
      <c r="N687" s="650"/>
      <c r="O687" s="650"/>
      <c r="P687" s="650"/>
      <c r="Q687" s="650"/>
      <c r="R687" s="650"/>
      <c r="S687" s="650"/>
      <c r="T687" s="650"/>
      <c r="U687" s="650"/>
      <c r="V687" s="650"/>
      <c r="W687" s="650"/>
      <c r="X687" s="650"/>
      <c r="Y687" s="650"/>
      <c r="Z687" s="650"/>
      <c r="AA687" s="650"/>
      <c r="AB687" s="650"/>
      <c r="AC687" s="650"/>
      <c r="AD687" s="650"/>
      <c r="AE687" s="650"/>
      <c r="AF687" s="650"/>
      <c r="AG687" s="650"/>
      <c r="AH687" s="650"/>
      <c r="AI687" s="650"/>
      <c r="AJ687" s="650"/>
      <c r="AK687" s="650"/>
      <c r="AL687" s="650"/>
      <c r="AM687" s="650"/>
      <c r="AN687" s="650"/>
      <c r="AO687" s="650"/>
      <c r="AP687" s="650"/>
      <c r="AQ687" s="650"/>
      <c r="AR687" s="650"/>
      <c r="AS687" s="650"/>
      <c r="AT687" s="650"/>
      <c r="AU687" s="650"/>
      <c r="AV687" s="650"/>
      <c r="AW687" s="650"/>
      <c r="AX687" s="650"/>
      <c r="AY687" s="650"/>
    </row>
    <row r="688" ht="21.75" customHeight="1">
      <c r="A688" s="650"/>
      <c r="B688" s="650"/>
      <c r="C688" s="650"/>
      <c r="D688" s="650"/>
      <c r="E688" s="650"/>
      <c r="F688" s="650"/>
      <c r="G688" s="650"/>
      <c r="H688" s="650"/>
      <c r="I688" s="650"/>
      <c r="J688" s="650"/>
      <c r="K688" s="650"/>
      <c r="L688" s="650"/>
      <c r="M688" s="650"/>
      <c r="N688" s="650"/>
      <c r="O688" s="650"/>
      <c r="P688" s="650"/>
      <c r="Q688" s="650"/>
      <c r="R688" s="650"/>
      <c r="S688" s="650"/>
      <c r="T688" s="650"/>
      <c r="U688" s="650"/>
      <c r="V688" s="650"/>
      <c r="W688" s="650"/>
      <c r="X688" s="650"/>
      <c r="Y688" s="650"/>
      <c r="Z688" s="650"/>
      <c r="AA688" s="650"/>
      <c r="AB688" s="650"/>
      <c r="AC688" s="650"/>
      <c r="AD688" s="650"/>
      <c r="AE688" s="650"/>
      <c r="AF688" s="650"/>
      <c r="AG688" s="650"/>
      <c r="AH688" s="650"/>
      <c r="AI688" s="650"/>
      <c r="AJ688" s="650"/>
      <c r="AK688" s="650"/>
      <c r="AL688" s="650"/>
      <c r="AM688" s="650"/>
      <c r="AN688" s="650"/>
      <c r="AO688" s="650"/>
      <c r="AP688" s="650"/>
      <c r="AQ688" s="650"/>
      <c r="AR688" s="650"/>
      <c r="AS688" s="650"/>
      <c r="AT688" s="650"/>
      <c r="AU688" s="650"/>
      <c r="AV688" s="650"/>
      <c r="AW688" s="650"/>
      <c r="AX688" s="650"/>
      <c r="AY688" s="650"/>
    </row>
    <row r="689" ht="21.75" customHeight="1">
      <c r="A689" s="650"/>
      <c r="B689" s="650"/>
      <c r="C689" s="650"/>
      <c r="D689" s="650"/>
      <c r="E689" s="650"/>
      <c r="F689" s="650"/>
      <c r="G689" s="650"/>
      <c r="H689" s="650"/>
      <c r="I689" s="650"/>
      <c r="J689" s="650"/>
      <c r="K689" s="650"/>
      <c r="L689" s="650"/>
      <c r="M689" s="650"/>
      <c r="N689" s="650"/>
      <c r="O689" s="650"/>
      <c r="P689" s="650"/>
      <c r="Q689" s="650"/>
      <c r="R689" s="650"/>
      <c r="S689" s="650"/>
      <c r="T689" s="650"/>
      <c r="U689" s="650"/>
      <c r="V689" s="650"/>
      <c r="W689" s="650"/>
      <c r="X689" s="650"/>
      <c r="Y689" s="650"/>
      <c r="Z689" s="650"/>
      <c r="AA689" s="650"/>
      <c r="AB689" s="650"/>
      <c r="AC689" s="650"/>
      <c r="AD689" s="650"/>
      <c r="AE689" s="650"/>
      <c r="AF689" s="650"/>
      <c r="AG689" s="650"/>
      <c r="AH689" s="650"/>
      <c r="AI689" s="650"/>
      <c r="AJ689" s="650"/>
      <c r="AK689" s="650"/>
      <c r="AL689" s="650"/>
      <c r="AM689" s="650"/>
      <c r="AN689" s="650"/>
      <c r="AO689" s="650"/>
      <c r="AP689" s="650"/>
      <c r="AQ689" s="650"/>
      <c r="AR689" s="650"/>
      <c r="AS689" s="650"/>
      <c r="AT689" s="650"/>
      <c r="AU689" s="650"/>
      <c r="AV689" s="650"/>
      <c r="AW689" s="650"/>
      <c r="AX689" s="650"/>
      <c r="AY689" s="650"/>
    </row>
    <row r="690" ht="21.75" customHeight="1">
      <c r="A690" s="650"/>
      <c r="B690" s="650"/>
      <c r="C690" s="650"/>
      <c r="D690" s="650"/>
      <c r="E690" s="650"/>
      <c r="F690" s="650"/>
      <c r="G690" s="650"/>
      <c r="H690" s="650"/>
      <c r="I690" s="650"/>
      <c r="J690" s="650"/>
      <c r="K690" s="650"/>
      <c r="L690" s="650"/>
      <c r="M690" s="650"/>
      <c r="N690" s="650"/>
      <c r="O690" s="650"/>
      <c r="P690" s="650"/>
      <c r="Q690" s="650"/>
      <c r="R690" s="650"/>
      <c r="S690" s="650"/>
      <c r="T690" s="650"/>
      <c r="U690" s="650"/>
      <c r="V690" s="650"/>
      <c r="W690" s="650"/>
      <c r="X690" s="650"/>
      <c r="Y690" s="650"/>
      <c r="Z690" s="650"/>
      <c r="AA690" s="650"/>
      <c r="AB690" s="650"/>
      <c r="AC690" s="650"/>
      <c r="AD690" s="650"/>
      <c r="AE690" s="650"/>
      <c r="AF690" s="650"/>
      <c r="AG690" s="650"/>
      <c r="AH690" s="650"/>
      <c r="AI690" s="650"/>
      <c r="AJ690" s="650"/>
      <c r="AK690" s="650"/>
      <c r="AL690" s="650"/>
      <c r="AM690" s="650"/>
      <c r="AN690" s="650"/>
      <c r="AO690" s="650"/>
      <c r="AP690" s="650"/>
      <c r="AQ690" s="650"/>
      <c r="AR690" s="650"/>
      <c r="AS690" s="650"/>
      <c r="AT690" s="650"/>
      <c r="AU690" s="650"/>
      <c r="AV690" s="650"/>
      <c r="AW690" s="650"/>
      <c r="AX690" s="650"/>
      <c r="AY690" s="650"/>
    </row>
    <row r="691" ht="21.75" customHeight="1">
      <c r="A691" s="650"/>
      <c r="B691" s="650"/>
      <c r="C691" s="650"/>
      <c r="D691" s="650"/>
      <c r="E691" s="650"/>
      <c r="F691" s="650"/>
      <c r="G691" s="650"/>
      <c r="H691" s="650"/>
      <c r="I691" s="650"/>
      <c r="J691" s="650"/>
      <c r="K691" s="650"/>
      <c r="L691" s="650"/>
      <c r="M691" s="650"/>
      <c r="N691" s="650"/>
      <c r="O691" s="650"/>
      <c r="P691" s="650"/>
      <c r="Q691" s="650"/>
      <c r="R691" s="650"/>
      <c r="S691" s="650"/>
      <c r="T691" s="650"/>
      <c r="U691" s="650"/>
      <c r="V691" s="650"/>
      <c r="W691" s="650"/>
      <c r="X691" s="650"/>
      <c r="Y691" s="650"/>
      <c r="Z691" s="650"/>
      <c r="AA691" s="650"/>
      <c r="AB691" s="650"/>
      <c r="AC691" s="650"/>
      <c r="AD691" s="650"/>
      <c r="AE691" s="650"/>
      <c r="AF691" s="650"/>
      <c r="AG691" s="650"/>
      <c r="AH691" s="650"/>
      <c r="AI691" s="650"/>
      <c r="AJ691" s="650"/>
      <c r="AK691" s="650"/>
      <c r="AL691" s="650"/>
      <c r="AM691" s="650"/>
      <c r="AN691" s="650"/>
      <c r="AO691" s="650"/>
      <c r="AP691" s="650"/>
      <c r="AQ691" s="650"/>
      <c r="AR691" s="650"/>
      <c r="AS691" s="650"/>
      <c r="AT691" s="650"/>
      <c r="AU691" s="650"/>
      <c r="AV691" s="650"/>
      <c r="AW691" s="650"/>
      <c r="AX691" s="650"/>
      <c r="AY691" s="650"/>
    </row>
    <row r="692" ht="21.75" customHeight="1">
      <c r="A692" s="650"/>
      <c r="B692" s="650"/>
      <c r="C692" s="650"/>
      <c r="D692" s="650"/>
      <c r="E692" s="650"/>
      <c r="F692" s="650"/>
      <c r="G692" s="650"/>
      <c r="H692" s="650"/>
      <c r="I692" s="650"/>
      <c r="J692" s="650"/>
      <c r="K692" s="650"/>
      <c r="L692" s="650"/>
      <c r="M692" s="650"/>
      <c r="N692" s="650"/>
      <c r="O692" s="650"/>
      <c r="P692" s="650"/>
      <c r="Q692" s="650"/>
      <c r="R692" s="650"/>
      <c r="S692" s="650"/>
      <c r="T692" s="650"/>
      <c r="U692" s="650"/>
      <c r="V692" s="650"/>
      <c r="W692" s="650"/>
      <c r="X692" s="650"/>
      <c r="Y692" s="650"/>
      <c r="Z692" s="650"/>
      <c r="AA692" s="650"/>
      <c r="AB692" s="650"/>
      <c r="AC692" s="650"/>
      <c r="AD692" s="650"/>
      <c r="AE692" s="650"/>
      <c r="AF692" s="650"/>
      <c r="AG692" s="650"/>
      <c r="AH692" s="650"/>
      <c r="AI692" s="650"/>
      <c r="AJ692" s="650"/>
      <c r="AK692" s="650"/>
      <c r="AL692" s="650"/>
      <c r="AM692" s="650"/>
      <c r="AN692" s="650"/>
      <c r="AO692" s="650"/>
      <c r="AP692" s="650"/>
      <c r="AQ692" s="650"/>
      <c r="AR692" s="650"/>
      <c r="AS692" s="650"/>
      <c r="AT692" s="650"/>
      <c r="AU692" s="650"/>
      <c r="AV692" s="650"/>
      <c r="AW692" s="650"/>
      <c r="AX692" s="650"/>
      <c r="AY692" s="650"/>
    </row>
    <row r="693" ht="21.75" customHeight="1">
      <c r="A693" s="650"/>
      <c r="B693" s="650"/>
      <c r="C693" s="650"/>
      <c r="D693" s="650"/>
      <c r="E693" s="650"/>
      <c r="F693" s="650"/>
      <c r="G693" s="650"/>
      <c r="H693" s="650"/>
      <c r="I693" s="650"/>
      <c r="J693" s="650"/>
      <c r="K693" s="650"/>
      <c r="L693" s="650"/>
      <c r="M693" s="650"/>
      <c r="N693" s="650"/>
      <c r="O693" s="650"/>
      <c r="P693" s="650"/>
      <c r="Q693" s="650"/>
      <c r="R693" s="650"/>
      <c r="S693" s="650"/>
      <c r="T693" s="650"/>
      <c r="U693" s="650"/>
      <c r="V693" s="650"/>
      <c r="W693" s="650"/>
      <c r="X693" s="650"/>
      <c r="Y693" s="650"/>
      <c r="Z693" s="650"/>
      <c r="AA693" s="650"/>
      <c r="AB693" s="650"/>
      <c r="AC693" s="650"/>
      <c r="AD693" s="650"/>
      <c r="AE693" s="650"/>
      <c r="AF693" s="650"/>
      <c r="AG693" s="650"/>
      <c r="AH693" s="650"/>
      <c r="AI693" s="650"/>
      <c r="AJ693" s="650"/>
      <c r="AK693" s="650"/>
      <c r="AL693" s="650"/>
      <c r="AM693" s="650"/>
      <c r="AN693" s="650"/>
      <c r="AO693" s="650"/>
      <c r="AP693" s="650"/>
      <c r="AQ693" s="650"/>
      <c r="AR693" s="650"/>
      <c r="AS693" s="650"/>
      <c r="AT693" s="650"/>
      <c r="AU693" s="650"/>
      <c r="AV693" s="650"/>
      <c r="AW693" s="650"/>
      <c r="AX693" s="650"/>
      <c r="AY693" s="650"/>
    </row>
    <row r="694" ht="21.75" customHeight="1">
      <c r="A694" s="650"/>
      <c r="B694" s="650"/>
      <c r="C694" s="650"/>
      <c r="D694" s="650"/>
      <c r="E694" s="650"/>
      <c r="F694" s="650"/>
      <c r="G694" s="650"/>
      <c r="H694" s="650"/>
      <c r="I694" s="650"/>
      <c r="J694" s="650"/>
      <c r="K694" s="650"/>
      <c r="L694" s="650"/>
      <c r="M694" s="650"/>
      <c r="N694" s="650"/>
      <c r="O694" s="650"/>
      <c r="P694" s="650"/>
      <c r="Q694" s="650"/>
      <c r="R694" s="650"/>
      <c r="S694" s="650"/>
      <c r="T694" s="650"/>
      <c r="U694" s="650"/>
      <c r="V694" s="650"/>
      <c r="W694" s="650"/>
      <c r="X694" s="650"/>
      <c r="Y694" s="650"/>
      <c r="Z694" s="650"/>
      <c r="AA694" s="650"/>
      <c r="AB694" s="650"/>
      <c r="AC694" s="650"/>
      <c r="AD694" s="650"/>
      <c r="AE694" s="650"/>
      <c r="AF694" s="650"/>
      <c r="AG694" s="650"/>
      <c r="AH694" s="650"/>
      <c r="AI694" s="650"/>
      <c r="AJ694" s="650"/>
      <c r="AK694" s="650"/>
      <c r="AL694" s="650"/>
      <c r="AM694" s="650"/>
      <c r="AN694" s="650"/>
      <c r="AO694" s="650"/>
      <c r="AP694" s="650"/>
      <c r="AQ694" s="650"/>
      <c r="AR694" s="650"/>
      <c r="AS694" s="650"/>
      <c r="AT694" s="650"/>
      <c r="AU694" s="650"/>
      <c r="AV694" s="650"/>
      <c r="AW694" s="650"/>
      <c r="AX694" s="650"/>
      <c r="AY694" s="650"/>
    </row>
    <row r="695" ht="21.75" customHeight="1">
      <c r="A695" s="650"/>
      <c r="B695" s="650"/>
      <c r="C695" s="650"/>
      <c r="D695" s="650"/>
      <c r="E695" s="650"/>
      <c r="F695" s="650"/>
      <c r="G695" s="650"/>
      <c r="H695" s="650"/>
      <c r="I695" s="650"/>
      <c r="J695" s="650"/>
      <c r="K695" s="650"/>
      <c r="L695" s="650"/>
      <c r="M695" s="650"/>
      <c r="N695" s="650"/>
      <c r="O695" s="650"/>
      <c r="P695" s="650"/>
      <c r="Q695" s="650"/>
      <c r="R695" s="650"/>
      <c r="S695" s="650"/>
      <c r="T695" s="650"/>
      <c r="U695" s="650"/>
      <c r="V695" s="650"/>
      <c r="W695" s="650"/>
      <c r="X695" s="650"/>
      <c r="Y695" s="650"/>
      <c r="Z695" s="650"/>
      <c r="AA695" s="650"/>
      <c r="AB695" s="650"/>
      <c r="AC695" s="650"/>
      <c r="AD695" s="650"/>
      <c r="AE695" s="650"/>
      <c r="AF695" s="650"/>
      <c r="AG695" s="650"/>
      <c r="AH695" s="650"/>
      <c r="AI695" s="650"/>
      <c r="AJ695" s="650"/>
      <c r="AK695" s="650"/>
      <c r="AL695" s="650"/>
      <c r="AM695" s="650"/>
      <c r="AN695" s="650"/>
      <c r="AO695" s="650"/>
      <c r="AP695" s="650"/>
      <c r="AQ695" s="650"/>
      <c r="AR695" s="650"/>
      <c r="AS695" s="650"/>
      <c r="AT695" s="650"/>
      <c r="AU695" s="650"/>
      <c r="AV695" s="650"/>
      <c r="AW695" s="650"/>
      <c r="AX695" s="650"/>
      <c r="AY695" s="650"/>
    </row>
    <row r="696" ht="21.75" customHeight="1">
      <c r="A696" s="650"/>
      <c r="B696" s="650"/>
      <c r="C696" s="650"/>
      <c r="D696" s="650"/>
      <c r="E696" s="650"/>
      <c r="F696" s="650"/>
      <c r="G696" s="650"/>
      <c r="H696" s="650"/>
      <c r="I696" s="650"/>
      <c r="J696" s="650"/>
      <c r="K696" s="650"/>
      <c r="L696" s="650"/>
      <c r="M696" s="650"/>
      <c r="N696" s="650"/>
      <c r="O696" s="650"/>
      <c r="P696" s="650"/>
      <c r="Q696" s="650"/>
      <c r="R696" s="650"/>
      <c r="S696" s="650"/>
      <c r="T696" s="650"/>
      <c r="U696" s="650"/>
      <c r="V696" s="650"/>
      <c r="W696" s="650"/>
      <c r="X696" s="650"/>
      <c r="Y696" s="650"/>
      <c r="Z696" s="650"/>
      <c r="AA696" s="650"/>
      <c r="AB696" s="650"/>
      <c r="AC696" s="650"/>
      <c r="AD696" s="650"/>
      <c r="AE696" s="650"/>
      <c r="AF696" s="650"/>
      <c r="AG696" s="650"/>
      <c r="AH696" s="650"/>
      <c r="AI696" s="650"/>
      <c r="AJ696" s="650"/>
      <c r="AK696" s="650"/>
      <c r="AL696" s="650"/>
      <c r="AM696" s="650"/>
      <c r="AN696" s="650"/>
      <c r="AO696" s="650"/>
      <c r="AP696" s="650"/>
      <c r="AQ696" s="650"/>
      <c r="AR696" s="650"/>
      <c r="AS696" s="650"/>
      <c r="AT696" s="650"/>
      <c r="AU696" s="650"/>
      <c r="AV696" s="650"/>
      <c r="AW696" s="650"/>
      <c r="AX696" s="650"/>
      <c r="AY696" s="650"/>
    </row>
    <row r="697" ht="21.75" customHeight="1">
      <c r="A697" s="650"/>
      <c r="B697" s="650"/>
      <c r="C697" s="650"/>
      <c r="D697" s="650"/>
      <c r="E697" s="650"/>
      <c r="F697" s="650"/>
      <c r="G697" s="650"/>
      <c r="H697" s="650"/>
      <c r="I697" s="650"/>
      <c r="J697" s="650"/>
      <c r="K697" s="650"/>
      <c r="L697" s="650"/>
      <c r="M697" s="650"/>
      <c r="N697" s="650"/>
      <c r="O697" s="650"/>
      <c r="P697" s="650"/>
      <c r="Q697" s="650"/>
      <c r="R697" s="650"/>
      <c r="S697" s="650"/>
      <c r="T697" s="650"/>
      <c r="U697" s="650"/>
      <c r="V697" s="650"/>
      <c r="W697" s="650"/>
      <c r="X697" s="650"/>
      <c r="Y697" s="650"/>
      <c r="Z697" s="650"/>
      <c r="AA697" s="650"/>
      <c r="AB697" s="650"/>
      <c r="AC697" s="650"/>
      <c r="AD697" s="650"/>
      <c r="AE697" s="650"/>
      <c r="AF697" s="650"/>
      <c r="AG697" s="650"/>
      <c r="AH697" s="650"/>
      <c r="AI697" s="650"/>
      <c r="AJ697" s="650"/>
      <c r="AK697" s="650"/>
      <c r="AL697" s="650"/>
      <c r="AM697" s="650"/>
      <c r="AN697" s="650"/>
      <c r="AO697" s="650"/>
      <c r="AP697" s="650"/>
      <c r="AQ697" s="650"/>
      <c r="AR697" s="650"/>
      <c r="AS697" s="650"/>
      <c r="AT697" s="650"/>
      <c r="AU697" s="650"/>
      <c r="AV697" s="650"/>
      <c r="AW697" s="650"/>
      <c r="AX697" s="650"/>
      <c r="AY697" s="650"/>
    </row>
    <row r="698" ht="21.75" customHeight="1">
      <c r="A698" s="650"/>
      <c r="B698" s="650"/>
      <c r="C698" s="650"/>
      <c r="D698" s="650"/>
      <c r="E698" s="650"/>
      <c r="F698" s="650"/>
      <c r="G698" s="650"/>
      <c r="H698" s="650"/>
      <c r="I698" s="650"/>
      <c r="J698" s="650"/>
      <c r="K698" s="650"/>
      <c r="L698" s="650"/>
      <c r="M698" s="650"/>
      <c r="N698" s="650"/>
      <c r="O698" s="650"/>
      <c r="P698" s="650"/>
      <c r="Q698" s="650"/>
      <c r="R698" s="650"/>
      <c r="S698" s="650"/>
      <c r="T698" s="650"/>
      <c r="U698" s="650"/>
      <c r="V698" s="650"/>
      <c r="W698" s="650"/>
      <c r="X698" s="650"/>
      <c r="Y698" s="650"/>
      <c r="Z698" s="650"/>
      <c r="AA698" s="650"/>
      <c r="AB698" s="650"/>
      <c r="AC698" s="650"/>
      <c r="AD698" s="650"/>
      <c r="AE698" s="650"/>
      <c r="AF698" s="650"/>
      <c r="AG698" s="650"/>
      <c r="AH698" s="650"/>
      <c r="AI698" s="650"/>
      <c r="AJ698" s="650"/>
      <c r="AK698" s="650"/>
      <c r="AL698" s="650"/>
      <c r="AM698" s="650"/>
      <c r="AN698" s="650"/>
      <c r="AO698" s="650"/>
      <c r="AP698" s="650"/>
      <c r="AQ698" s="650"/>
      <c r="AR698" s="650"/>
      <c r="AS698" s="650"/>
      <c r="AT698" s="650"/>
      <c r="AU698" s="650"/>
      <c r="AV698" s="650"/>
      <c r="AW698" s="650"/>
      <c r="AX698" s="650"/>
      <c r="AY698" s="650"/>
    </row>
    <row r="699" ht="21.75" customHeight="1">
      <c r="A699" s="650"/>
      <c r="B699" s="650"/>
      <c r="C699" s="650"/>
      <c r="D699" s="650"/>
      <c r="E699" s="650"/>
      <c r="F699" s="650"/>
      <c r="G699" s="650"/>
      <c r="H699" s="650"/>
      <c r="I699" s="650"/>
      <c r="J699" s="650"/>
      <c r="K699" s="650"/>
      <c r="L699" s="650"/>
      <c r="M699" s="650"/>
      <c r="N699" s="650"/>
      <c r="O699" s="650"/>
      <c r="P699" s="650"/>
      <c r="Q699" s="650"/>
      <c r="R699" s="650"/>
      <c r="S699" s="650"/>
      <c r="T699" s="650"/>
      <c r="U699" s="650"/>
      <c r="V699" s="650"/>
      <c r="W699" s="650"/>
      <c r="X699" s="650"/>
      <c r="Y699" s="650"/>
      <c r="Z699" s="650"/>
      <c r="AA699" s="650"/>
      <c r="AB699" s="650"/>
      <c r="AC699" s="650"/>
      <c r="AD699" s="650"/>
      <c r="AE699" s="650"/>
      <c r="AF699" s="650"/>
      <c r="AG699" s="650"/>
      <c r="AH699" s="650"/>
      <c r="AI699" s="650"/>
      <c r="AJ699" s="650"/>
      <c r="AK699" s="650"/>
      <c r="AL699" s="650"/>
      <c r="AM699" s="650"/>
      <c r="AN699" s="650"/>
      <c r="AO699" s="650"/>
      <c r="AP699" s="650"/>
      <c r="AQ699" s="650"/>
      <c r="AR699" s="650"/>
      <c r="AS699" s="650"/>
      <c r="AT699" s="650"/>
      <c r="AU699" s="650"/>
      <c r="AV699" s="650"/>
      <c r="AW699" s="650"/>
      <c r="AX699" s="650"/>
      <c r="AY699" s="650"/>
    </row>
    <row r="700" ht="21.75" customHeight="1">
      <c r="A700" s="650"/>
      <c r="B700" s="650"/>
      <c r="C700" s="650"/>
      <c r="D700" s="650"/>
      <c r="E700" s="650"/>
      <c r="F700" s="650"/>
      <c r="G700" s="650"/>
      <c r="H700" s="650"/>
      <c r="I700" s="650"/>
      <c r="J700" s="650"/>
      <c r="K700" s="650"/>
      <c r="L700" s="650"/>
      <c r="M700" s="650"/>
      <c r="N700" s="650"/>
      <c r="O700" s="650"/>
      <c r="P700" s="650"/>
      <c r="Q700" s="650"/>
      <c r="R700" s="650"/>
      <c r="S700" s="650"/>
      <c r="T700" s="650"/>
      <c r="U700" s="650"/>
      <c r="V700" s="650"/>
      <c r="W700" s="650"/>
      <c r="X700" s="650"/>
      <c r="Y700" s="650"/>
      <c r="Z700" s="650"/>
      <c r="AA700" s="650"/>
      <c r="AB700" s="650"/>
      <c r="AC700" s="650"/>
      <c r="AD700" s="650"/>
      <c r="AE700" s="650"/>
      <c r="AF700" s="650"/>
      <c r="AG700" s="650"/>
      <c r="AH700" s="650"/>
      <c r="AI700" s="650"/>
      <c r="AJ700" s="650"/>
      <c r="AK700" s="650"/>
      <c r="AL700" s="650"/>
      <c r="AM700" s="650"/>
      <c r="AN700" s="650"/>
      <c r="AO700" s="650"/>
      <c r="AP700" s="650"/>
      <c r="AQ700" s="650"/>
      <c r="AR700" s="650"/>
      <c r="AS700" s="650"/>
      <c r="AT700" s="650"/>
      <c r="AU700" s="650"/>
      <c r="AV700" s="650"/>
      <c r="AW700" s="650"/>
      <c r="AX700" s="650"/>
      <c r="AY700" s="650"/>
    </row>
    <row r="701" ht="21.75" customHeight="1">
      <c r="A701" s="650"/>
      <c r="B701" s="650"/>
      <c r="C701" s="650"/>
      <c r="D701" s="650"/>
      <c r="E701" s="650"/>
      <c r="F701" s="650"/>
      <c r="G701" s="650"/>
      <c r="H701" s="650"/>
      <c r="I701" s="650"/>
      <c r="J701" s="650"/>
      <c r="K701" s="650"/>
      <c r="L701" s="650"/>
      <c r="M701" s="650"/>
      <c r="N701" s="650"/>
      <c r="O701" s="650"/>
      <c r="P701" s="650"/>
      <c r="Q701" s="650"/>
      <c r="R701" s="650"/>
      <c r="S701" s="650"/>
      <c r="T701" s="650"/>
      <c r="U701" s="650"/>
      <c r="V701" s="650"/>
      <c r="W701" s="650"/>
      <c r="X701" s="650"/>
      <c r="Y701" s="650"/>
      <c r="Z701" s="650"/>
      <c r="AA701" s="650"/>
      <c r="AB701" s="650"/>
      <c r="AC701" s="650"/>
      <c r="AD701" s="650"/>
      <c r="AE701" s="650"/>
      <c r="AF701" s="650"/>
      <c r="AG701" s="650"/>
      <c r="AH701" s="650"/>
      <c r="AI701" s="650"/>
      <c r="AJ701" s="650"/>
      <c r="AK701" s="650"/>
      <c r="AL701" s="650"/>
      <c r="AM701" s="650"/>
      <c r="AN701" s="650"/>
      <c r="AO701" s="650"/>
      <c r="AP701" s="650"/>
      <c r="AQ701" s="650"/>
      <c r="AR701" s="650"/>
      <c r="AS701" s="650"/>
      <c r="AT701" s="650"/>
      <c r="AU701" s="650"/>
      <c r="AV701" s="650"/>
      <c r="AW701" s="650"/>
      <c r="AX701" s="650"/>
      <c r="AY701" s="650"/>
    </row>
    <row r="702" ht="21.75" customHeight="1">
      <c r="A702" s="650"/>
      <c r="B702" s="650"/>
      <c r="C702" s="650"/>
      <c r="D702" s="650"/>
      <c r="E702" s="650"/>
      <c r="F702" s="650"/>
      <c r="G702" s="650"/>
      <c r="H702" s="650"/>
      <c r="I702" s="650"/>
      <c r="J702" s="650"/>
      <c r="K702" s="650"/>
      <c r="L702" s="650"/>
      <c r="M702" s="650"/>
      <c r="N702" s="650"/>
      <c r="O702" s="650"/>
      <c r="P702" s="650"/>
      <c r="Q702" s="650"/>
      <c r="R702" s="650"/>
      <c r="S702" s="650"/>
      <c r="T702" s="650"/>
      <c r="U702" s="650"/>
      <c r="V702" s="650"/>
      <c r="W702" s="650"/>
      <c r="X702" s="650"/>
      <c r="Y702" s="650"/>
      <c r="Z702" s="650"/>
      <c r="AA702" s="650"/>
      <c r="AB702" s="650"/>
      <c r="AC702" s="650"/>
      <c r="AD702" s="650"/>
      <c r="AE702" s="650"/>
      <c r="AF702" s="650"/>
      <c r="AG702" s="650"/>
      <c r="AH702" s="650"/>
      <c r="AI702" s="650"/>
      <c r="AJ702" s="650"/>
      <c r="AK702" s="650"/>
      <c r="AL702" s="650"/>
      <c r="AM702" s="650"/>
      <c r="AN702" s="650"/>
      <c r="AO702" s="650"/>
      <c r="AP702" s="650"/>
      <c r="AQ702" s="650"/>
      <c r="AR702" s="650"/>
      <c r="AS702" s="650"/>
      <c r="AT702" s="650"/>
      <c r="AU702" s="650"/>
      <c r="AV702" s="650"/>
      <c r="AW702" s="650"/>
      <c r="AX702" s="650"/>
      <c r="AY702" s="650"/>
    </row>
    <row r="703" ht="21.75" customHeight="1">
      <c r="A703" s="650"/>
      <c r="B703" s="650"/>
      <c r="C703" s="650"/>
      <c r="D703" s="650"/>
      <c r="E703" s="650"/>
      <c r="F703" s="650"/>
      <c r="G703" s="650"/>
      <c r="H703" s="650"/>
      <c r="I703" s="650"/>
      <c r="J703" s="650"/>
      <c r="K703" s="650"/>
      <c r="L703" s="650"/>
      <c r="M703" s="650"/>
      <c r="N703" s="650"/>
      <c r="O703" s="650"/>
      <c r="P703" s="650"/>
      <c r="Q703" s="650"/>
      <c r="R703" s="650"/>
      <c r="S703" s="650"/>
      <c r="T703" s="650"/>
      <c r="U703" s="650"/>
      <c r="V703" s="650"/>
      <c r="W703" s="650"/>
      <c r="X703" s="650"/>
      <c r="Y703" s="650"/>
      <c r="Z703" s="650"/>
      <c r="AA703" s="650"/>
      <c r="AB703" s="650"/>
      <c r="AC703" s="650"/>
      <c r="AD703" s="650"/>
      <c r="AE703" s="650"/>
      <c r="AF703" s="650"/>
      <c r="AG703" s="650"/>
      <c r="AH703" s="650"/>
      <c r="AI703" s="650"/>
      <c r="AJ703" s="650"/>
      <c r="AK703" s="650"/>
      <c r="AL703" s="650"/>
      <c r="AM703" s="650"/>
      <c r="AN703" s="650"/>
      <c r="AO703" s="650"/>
      <c r="AP703" s="650"/>
      <c r="AQ703" s="650"/>
      <c r="AR703" s="650"/>
      <c r="AS703" s="650"/>
      <c r="AT703" s="650"/>
      <c r="AU703" s="650"/>
      <c r="AV703" s="650"/>
      <c r="AW703" s="650"/>
      <c r="AX703" s="650"/>
      <c r="AY703" s="650"/>
    </row>
    <row r="704" ht="21.75" customHeight="1">
      <c r="A704" s="650"/>
      <c r="B704" s="650"/>
      <c r="C704" s="650"/>
      <c r="D704" s="650"/>
      <c r="E704" s="650"/>
      <c r="F704" s="650"/>
      <c r="G704" s="650"/>
      <c r="H704" s="650"/>
      <c r="I704" s="650"/>
      <c r="J704" s="650"/>
      <c r="K704" s="650"/>
      <c r="L704" s="650"/>
      <c r="M704" s="650"/>
      <c r="N704" s="650"/>
      <c r="O704" s="650"/>
      <c r="P704" s="650"/>
      <c r="Q704" s="650"/>
      <c r="R704" s="650"/>
      <c r="S704" s="650"/>
      <c r="T704" s="650"/>
      <c r="U704" s="650"/>
      <c r="V704" s="650"/>
      <c r="W704" s="650"/>
      <c r="X704" s="650"/>
      <c r="Y704" s="650"/>
      <c r="Z704" s="650"/>
      <c r="AA704" s="650"/>
      <c r="AB704" s="650"/>
      <c r="AC704" s="650"/>
      <c r="AD704" s="650"/>
      <c r="AE704" s="650"/>
      <c r="AF704" s="650"/>
      <c r="AG704" s="650"/>
      <c r="AH704" s="650"/>
      <c r="AI704" s="650"/>
      <c r="AJ704" s="650"/>
      <c r="AK704" s="650"/>
      <c r="AL704" s="650"/>
      <c r="AM704" s="650"/>
      <c r="AN704" s="650"/>
      <c r="AO704" s="650"/>
      <c r="AP704" s="650"/>
      <c r="AQ704" s="650"/>
      <c r="AR704" s="650"/>
      <c r="AS704" s="650"/>
      <c r="AT704" s="650"/>
      <c r="AU704" s="650"/>
      <c r="AV704" s="650"/>
      <c r="AW704" s="650"/>
      <c r="AX704" s="650"/>
      <c r="AY704" s="650"/>
    </row>
    <row r="705" ht="21.75" customHeight="1">
      <c r="A705" s="650"/>
      <c r="B705" s="650"/>
      <c r="C705" s="650"/>
      <c r="D705" s="650"/>
      <c r="E705" s="650"/>
      <c r="F705" s="650"/>
      <c r="G705" s="650"/>
      <c r="H705" s="650"/>
      <c r="I705" s="650"/>
      <c r="J705" s="650"/>
      <c r="K705" s="650"/>
      <c r="L705" s="650"/>
      <c r="M705" s="650"/>
      <c r="N705" s="650"/>
      <c r="O705" s="650"/>
      <c r="P705" s="650"/>
      <c r="Q705" s="650"/>
      <c r="R705" s="650"/>
      <c r="S705" s="650"/>
      <c r="T705" s="650"/>
      <c r="U705" s="650"/>
      <c r="V705" s="650"/>
      <c r="W705" s="650"/>
      <c r="X705" s="650"/>
      <c r="Y705" s="650"/>
      <c r="Z705" s="650"/>
      <c r="AA705" s="650"/>
      <c r="AB705" s="650"/>
      <c r="AC705" s="650"/>
      <c r="AD705" s="650"/>
      <c r="AE705" s="650"/>
      <c r="AF705" s="650"/>
      <c r="AG705" s="650"/>
      <c r="AH705" s="650"/>
      <c r="AI705" s="650"/>
      <c r="AJ705" s="650"/>
      <c r="AK705" s="650"/>
      <c r="AL705" s="650"/>
      <c r="AM705" s="650"/>
      <c r="AN705" s="650"/>
      <c r="AO705" s="650"/>
      <c r="AP705" s="650"/>
      <c r="AQ705" s="650"/>
      <c r="AR705" s="650"/>
      <c r="AS705" s="650"/>
      <c r="AT705" s="650"/>
      <c r="AU705" s="650"/>
      <c r="AV705" s="650"/>
      <c r="AW705" s="650"/>
      <c r="AX705" s="650"/>
      <c r="AY705" s="650"/>
    </row>
    <row r="706" ht="21.75" customHeight="1">
      <c r="A706" s="650"/>
      <c r="B706" s="650"/>
      <c r="C706" s="650"/>
      <c r="D706" s="650"/>
      <c r="E706" s="650"/>
      <c r="F706" s="650"/>
      <c r="G706" s="650"/>
      <c r="H706" s="650"/>
      <c r="I706" s="650"/>
      <c r="J706" s="650"/>
      <c r="K706" s="650"/>
      <c r="L706" s="650"/>
      <c r="M706" s="650"/>
      <c r="N706" s="650"/>
      <c r="O706" s="650"/>
      <c r="P706" s="650"/>
      <c r="Q706" s="650"/>
      <c r="R706" s="650"/>
      <c r="S706" s="650"/>
      <c r="T706" s="650"/>
      <c r="U706" s="650"/>
      <c r="V706" s="650"/>
      <c r="W706" s="650"/>
      <c r="X706" s="650"/>
      <c r="Y706" s="650"/>
      <c r="Z706" s="650"/>
      <c r="AA706" s="650"/>
      <c r="AB706" s="650"/>
      <c r="AC706" s="650"/>
      <c r="AD706" s="650"/>
      <c r="AE706" s="650"/>
      <c r="AF706" s="650"/>
      <c r="AG706" s="650"/>
      <c r="AH706" s="650"/>
      <c r="AI706" s="650"/>
      <c r="AJ706" s="650"/>
      <c r="AK706" s="650"/>
      <c r="AL706" s="650"/>
      <c r="AM706" s="650"/>
      <c r="AN706" s="650"/>
      <c r="AO706" s="650"/>
      <c r="AP706" s="650"/>
      <c r="AQ706" s="650"/>
      <c r="AR706" s="650"/>
      <c r="AS706" s="650"/>
      <c r="AT706" s="650"/>
      <c r="AU706" s="650"/>
      <c r="AV706" s="650"/>
      <c r="AW706" s="650"/>
      <c r="AX706" s="650"/>
      <c r="AY706" s="650"/>
    </row>
    <row r="707" ht="21.75" customHeight="1">
      <c r="A707" s="650"/>
      <c r="B707" s="650"/>
      <c r="C707" s="650"/>
      <c r="D707" s="650"/>
      <c r="E707" s="650"/>
      <c r="F707" s="650"/>
      <c r="G707" s="650"/>
      <c r="H707" s="650"/>
      <c r="I707" s="650"/>
      <c r="J707" s="650"/>
      <c r="K707" s="650"/>
      <c r="L707" s="650"/>
      <c r="M707" s="650"/>
      <c r="N707" s="650"/>
      <c r="O707" s="650"/>
      <c r="P707" s="650"/>
      <c r="Q707" s="650"/>
      <c r="R707" s="650"/>
      <c r="S707" s="650"/>
      <c r="T707" s="650"/>
      <c r="U707" s="650"/>
      <c r="V707" s="650"/>
      <c r="W707" s="650"/>
      <c r="X707" s="650"/>
      <c r="Y707" s="650"/>
      <c r="Z707" s="650"/>
      <c r="AA707" s="650"/>
      <c r="AB707" s="650"/>
      <c r="AC707" s="650"/>
      <c r="AD707" s="650"/>
      <c r="AE707" s="650"/>
      <c r="AF707" s="650"/>
      <c r="AG707" s="650"/>
      <c r="AH707" s="650"/>
      <c r="AI707" s="650"/>
      <c r="AJ707" s="650"/>
      <c r="AK707" s="650"/>
      <c r="AL707" s="650"/>
      <c r="AM707" s="650"/>
      <c r="AN707" s="650"/>
      <c r="AO707" s="650"/>
      <c r="AP707" s="650"/>
      <c r="AQ707" s="650"/>
      <c r="AR707" s="650"/>
      <c r="AS707" s="650"/>
      <c r="AT707" s="650"/>
      <c r="AU707" s="650"/>
      <c r="AV707" s="650"/>
      <c r="AW707" s="650"/>
      <c r="AX707" s="650"/>
      <c r="AY707" s="650"/>
    </row>
    <row r="708" ht="21.75" customHeight="1">
      <c r="A708" s="650"/>
      <c r="B708" s="650"/>
      <c r="C708" s="650"/>
      <c r="D708" s="650"/>
      <c r="E708" s="650"/>
      <c r="F708" s="650"/>
      <c r="G708" s="650"/>
      <c r="H708" s="650"/>
      <c r="I708" s="650"/>
      <c r="J708" s="650"/>
      <c r="K708" s="650"/>
      <c r="L708" s="650"/>
      <c r="M708" s="650"/>
      <c r="N708" s="650"/>
      <c r="O708" s="650"/>
      <c r="P708" s="650"/>
      <c r="Q708" s="650"/>
      <c r="R708" s="650"/>
      <c r="S708" s="650"/>
      <c r="T708" s="650"/>
      <c r="U708" s="650"/>
      <c r="V708" s="650"/>
      <c r="W708" s="650"/>
      <c r="X708" s="650"/>
      <c r="Y708" s="650"/>
      <c r="Z708" s="650"/>
      <c r="AA708" s="650"/>
      <c r="AB708" s="650"/>
      <c r="AC708" s="650"/>
      <c r="AD708" s="650"/>
      <c r="AE708" s="650"/>
      <c r="AF708" s="650"/>
      <c r="AG708" s="650"/>
      <c r="AH708" s="650"/>
      <c r="AI708" s="650"/>
      <c r="AJ708" s="650"/>
      <c r="AK708" s="650"/>
      <c r="AL708" s="650"/>
      <c r="AM708" s="650"/>
      <c r="AN708" s="650"/>
      <c r="AO708" s="650"/>
      <c r="AP708" s="650"/>
      <c r="AQ708" s="650"/>
      <c r="AR708" s="650"/>
      <c r="AS708" s="650"/>
      <c r="AT708" s="650"/>
      <c r="AU708" s="650"/>
      <c r="AV708" s="650"/>
      <c r="AW708" s="650"/>
      <c r="AX708" s="650"/>
      <c r="AY708" s="650"/>
    </row>
    <row r="709" ht="21.75" customHeight="1">
      <c r="A709" s="650"/>
      <c r="B709" s="650"/>
      <c r="C709" s="650"/>
      <c r="D709" s="650"/>
      <c r="E709" s="650"/>
      <c r="F709" s="650"/>
      <c r="G709" s="650"/>
      <c r="H709" s="650"/>
      <c r="I709" s="650"/>
      <c r="J709" s="650"/>
      <c r="K709" s="650"/>
      <c r="L709" s="650"/>
      <c r="M709" s="650"/>
      <c r="N709" s="650"/>
      <c r="O709" s="650"/>
      <c r="P709" s="650"/>
      <c r="Q709" s="650"/>
      <c r="R709" s="650"/>
      <c r="S709" s="650"/>
      <c r="T709" s="650"/>
      <c r="U709" s="650"/>
      <c r="V709" s="650"/>
      <c r="W709" s="650"/>
      <c r="X709" s="650"/>
      <c r="Y709" s="650"/>
      <c r="Z709" s="650"/>
      <c r="AA709" s="650"/>
      <c r="AB709" s="650"/>
      <c r="AC709" s="650"/>
      <c r="AD709" s="650"/>
      <c r="AE709" s="650"/>
      <c r="AF709" s="650"/>
      <c r="AG709" s="650"/>
      <c r="AH709" s="650"/>
      <c r="AI709" s="650"/>
      <c r="AJ709" s="650"/>
      <c r="AK709" s="650"/>
      <c r="AL709" s="650"/>
      <c r="AM709" s="650"/>
      <c r="AN709" s="650"/>
      <c r="AO709" s="650"/>
      <c r="AP709" s="650"/>
      <c r="AQ709" s="650"/>
      <c r="AR709" s="650"/>
      <c r="AS709" s="650"/>
      <c r="AT709" s="650"/>
      <c r="AU709" s="650"/>
      <c r="AV709" s="650"/>
      <c r="AW709" s="650"/>
      <c r="AX709" s="650"/>
      <c r="AY709" s="650"/>
    </row>
    <row r="710" ht="21.75" customHeight="1">
      <c r="A710" s="650"/>
      <c r="B710" s="650"/>
      <c r="C710" s="650"/>
      <c r="D710" s="650"/>
      <c r="E710" s="650"/>
      <c r="F710" s="650"/>
      <c r="G710" s="650"/>
      <c r="H710" s="650"/>
      <c r="I710" s="650"/>
      <c r="J710" s="650"/>
      <c r="K710" s="650"/>
      <c r="L710" s="650"/>
      <c r="M710" s="650"/>
      <c r="N710" s="650"/>
      <c r="O710" s="650"/>
      <c r="P710" s="650"/>
      <c r="Q710" s="650"/>
      <c r="R710" s="650"/>
      <c r="S710" s="650"/>
      <c r="T710" s="650"/>
      <c r="U710" s="650"/>
      <c r="V710" s="650"/>
      <c r="W710" s="650"/>
      <c r="X710" s="650"/>
      <c r="Y710" s="650"/>
      <c r="Z710" s="650"/>
      <c r="AA710" s="650"/>
      <c r="AB710" s="650"/>
      <c r="AC710" s="650"/>
      <c r="AD710" s="650"/>
      <c r="AE710" s="650"/>
      <c r="AF710" s="650"/>
      <c r="AG710" s="650"/>
      <c r="AH710" s="650"/>
      <c r="AI710" s="650"/>
      <c r="AJ710" s="650"/>
      <c r="AK710" s="650"/>
      <c r="AL710" s="650"/>
      <c r="AM710" s="650"/>
      <c r="AN710" s="650"/>
      <c r="AO710" s="650"/>
      <c r="AP710" s="650"/>
      <c r="AQ710" s="650"/>
      <c r="AR710" s="650"/>
      <c r="AS710" s="650"/>
      <c r="AT710" s="650"/>
      <c r="AU710" s="650"/>
      <c r="AV710" s="650"/>
      <c r="AW710" s="650"/>
      <c r="AX710" s="650"/>
      <c r="AY710" s="650"/>
    </row>
    <row r="711" ht="21.75" customHeight="1">
      <c r="A711" s="650"/>
      <c r="B711" s="650"/>
      <c r="C711" s="650"/>
      <c r="D711" s="650"/>
      <c r="E711" s="650"/>
      <c r="F711" s="650"/>
      <c r="G711" s="650"/>
      <c r="H711" s="650"/>
      <c r="I711" s="650"/>
      <c r="J711" s="650"/>
      <c r="K711" s="650"/>
      <c r="L711" s="650"/>
      <c r="M711" s="650"/>
      <c r="N711" s="650"/>
      <c r="O711" s="650"/>
      <c r="P711" s="650"/>
      <c r="Q711" s="650"/>
      <c r="R711" s="650"/>
      <c r="S711" s="650"/>
      <c r="T711" s="650"/>
      <c r="U711" s="650"/>
      <c r="V711" s="650"/>
      <c r="W711" s="650"/>
      <c r="X711" s="650"/>
      <c r="Y711" s="650"/>
      <c r="Z711" s="650"/>
      <c r="AA711" s="650"/>
      <c r="AB711" s="650"/>
      <c r="AC711" s="650"/>
      <c r="AD711" s="650"/>
      <c r="AE711" s="650"/>
      <c r="AF711" s="650"/>
      <c r="AG711" s="650"/>
      <c r="AH711" s="650"/>
      <c r="AI711" s="650"/>
      <c r="AJ711" s="650"/>
      <c r="AK711" s="650"/>
      <c r="AL711" s="650"/>
      <c r="AM711" s="650"/>
      <c r="AN711" s="650"/>
      <c r="AO711" s="650"/>
      <c r="AP711" s="650"/>
      <c r="AQ711" s="650"/>
      <c r="AR711" s="650"/>
      <c r="AS711" s="650"/>
      <c r="AT711" s="650"/>
      <c r="AU711" s="650"/>
      <c r="AV711" s="650"/>
      <c r="AW711" s="650"/>
      <c r="AX711" s="650"/>
      <c r="AY711" s="650"/>
    </row>
    <row r="712" ht="21.75" customHeight="1">
      <c r="A712" s="650"/>
      <c r="B712" s="650"/>
      <c r="C712" s="650"/>
      <c r="D712" s="650"/>
      <c r="E712" s="650"/>
      <c r="F712" s="650"/>
      <c r="G712" s="650"/>
      <c r="H712" s="650"/>
      <c r="I712" s="650"/>
      <c r="J712" s="650"/>
      <c r="K712" s="650"/>
      <c r="L712" s="650"/>
      <c r="M712" s="650"/>
      <c r="N712" s="650"/>
      <c r="O712" s="650"/>
      <c r="P712" s="650"/>
      <c r="Q712" s="650"/>
      <c r="R712" s="650"/>
      <c r="S712" s="650"/>
      <c r="T712" s="650"/>
      <c r="U712" s="650"/>
      <c r="V712" s="650"/>
      <c r="W712" s="650"/>
      <c r="X712" s="650"/>
      <c r="Y712" s="650"/>
      <c r="Z712" s="650"/>
      <c r="AA712" s="650"/>
      <c r="AB712" s="650"/>
      <c r="AC712" s="650"/>
      <c r="AD712" s="650"/>
      <c r="AE712" s="650"/>
      <c r="AF712" s="650"/>
      <c r="AG712" s="650"/>
      <c r="AH712" s="650"/>
      <c r="AI712" s="650"/>
      <c r="AJ712" s="650"/>
      <c r="AK712" s="650"/>
      <c r="AL712" s="650"/>
      <c r="AM712" s="650"/>
      <c r="AN712" s="650"/>
      <c r="AO712" s="650"/>
      <c r="AP712" s="650"/>
      <c r="AQ712" s="650"/>
      <c r="AR712" s="650"/>
      <c r="AS712" s="650"/>
      <c r="AT712" s="650"/>
      <c r="AU712" s="650"/>
      <c r="AV712" s="650"/>
      <c r="AW712" s="650"/>
      <c r="AX712" s="650"/>
      <c r="AY712" s="650"/>
    </row>
    <row r="713" ht="21.75" customHeight="1">
      <c r="A713" s="650"/>
      <c r="B713" s="650"/>
      <c r="C713" s="650"/>
      <c r="D713" s="650"/>
      <c r="E713" s="650"/>
      <c r="F713" s="650"/>
      <c r="G713" s="650"/>
      <c r="H713" s="650"/>
      <c r="I713" s="650"/>
      <c r="J713" s="650"/>
      <c r="K713" s="650"/>
      <c r="L713" s="650"/>
      <c r="M713" s="650"/>
      <c r="N713" s="650"/>
      <c r="O713" s="650"/>
      <c r="P713" s="650"/>
      <c r="Q713" s="650"/>
      <c r="R713" s="650"/>
      <c r="S713" s="650"/>
      <c r="T713" s="650"/>
      <c r="U713" s="650"/>
      <c r="V713" s="650"/>
      <c r="W713" s="650"/>
      <c r="X713" s="650"/>
      <c r="Y713" s="650"/>
      <c r="Z713" s="650"/>
      <c r="AA713" s="650"/>
      <c r="AB713" s="650"/>
      <c r="AC713" s="650"/>
      <c r="AD713" s="650"/>
      <c r="AE713" s="650"/>
      <c r="AF713" s="650"/>
      <c r="AG713" s="650"/>
      <c r="AH713" s="650"/>
      <c r="AI713" s="650"/>
      <c r="AJ713" s="650"/>
      <c r="AK713" s="650"/>
      <c r="AL713" s="650"/>
      <c r="AM713" s="650"/>
      <c r="AN713" s="650"/>
      <c r="AO713" s="650"/>
      <c r="AP713" s="650"/>
      <c r="AQ713" s="650"/>
      <c r="AR713" s="650"/>
      <c r="AS713" s="650"/>
      <c r="AT713" s="650"/>
      <c r="AU713" s="650"/>
      <c r="AV713" s="650"/>
      <c r="AW713" s="650"/>
      <c r="AX713" s="650"/>
      <c r="AY713" s="650"/>
    </row>
    <row r="714" ht="21.75" customHeight="1">
      <c r="A714" s="650"/>
      <c r="B714" s="650"/>
      <c r="C714" s="650"/>
      <c r="D714" s="650"/>
      <c r="E714" s="650"/>
      <c r="F714" s="650"/>
      <c r="G714" s="650"/>
      <c r="H714" s="650"/>
      <c r="I714" s="650"/>
      <c r="J714" s="650"/>
      <c r="K714" s="650"/>
      <c r="L714" s="650"/>
      <c r="M714" s="650"/>
      <c r="N714" s="650"/>
      <c r="O714" s="650"/>
      <c r="P714" s="650"/>
      <c r="Q714" s="650"/>
      <c r="R714" s="650"/>
      <c r="S714" s="650"/>
      <c r="T714" s="650"/>
      <c r="U714" s="650"/>
      <c r="V714" s="650"/>
      <c r="W714" s="650"/>
      <c r="X714" s="650"/>
      <c r="Y714" s="650"/>
      <c r="Z714" s="650"/>
      <c r="AA714" s="650"/>
      <c r="AB714" s="650"/>
      <c r="AC714" s="650"/>
      <c r="AD714" s="650"/>
      <c r="AE714" s="650"/>
      <c r="AF714" s="650"/>
      <c r="AG714" s="650"/>
      <c r="AH714" s="650"/>
      <c r="AI714" s="650"/>
      <c r="AJ714" s="650"/>
      <c r="AK714" s="650"/>
      <c r="AL714" s="650"/>
      <c r="AM714" s="650"/>
      <c r="AN714" s="650"/>
      <c r="AO714" s="650"/>
      <c r="AP714" s="650"/>
      <c r="AQ714" s="650"/>
      <c r="AR714" s="650"/>
      <c r="AS714" s="650"/>
      <c r="AT714" s="650"/>
      <c r="AU714" s="650"/>
      <c r="AV714" s="650"/>
      <c r="AW714" s="650"/>
      <c r="AX714" s="650"/>
      <c r="AY714" s="650"/>
    </row>
    <row r="715" ht="21.75" customHeight="1">
      <c r="A715" s="650"/>
      <c r="B715" s="650"/>
      <c r="C715" s="650"/>
      <c r="D715" s="650"/>
      <c r="E715" s="650"/>
      <c r="F715" s="650"/>
      <c r="G715" s="650"/>
      <c r="H715" s="650"/>
      <c r="I715" s="650"/>
      <c r="J715" s="650"/>
      <c r="K715" s="650"/>
      <c r="L715" s="650"/>
      <c r="M715" s="650"/>
      <c r="N715" s="650"/>
      <c r="O715" s="650"/>
      <c r="P715" s="650"/>
      <c r="Q715" s="650"/>
      <c r="R715" s="650"/>
      <c r="S715" s="650"/>
      <c r="T715" s="650"/>
      <c r="U715" s="650"/>
      <c r="V715" s="650"/>
      <c r="W715" s="650"/>
      <c r="X715" s="650"/>
      <c r="Y715" s="650"/>
      <c r="Z715" s="650"/>
      <c r="AA715" s="650"/>
      <c r="AB715" s="650"/>
      <c r="AC715" s="650"/>
      <c r="AD715" s="650"/>
      <c r="AE715" s="650"/>
      <c r="AF715" s="650"/>
      <c r="AG715" s="650"/>
      <c r="AH715" s="650"/>
      <c r="AI715" s="650"/>
      <c r="AJ715" s="650"/>
      <c r="AK715" s="650"/>
      <c r="AL715" s="650"/>
      <c r="AM715" s="650"/>
      <c r="AN715" s="650"/>
      <c r="AO715" s="650"/>
      <c r="AP715" s="650"/>
      <c r="AQ715" s="650"/>
      <c r="AR715" s="650"/>
      <c r="AS715" s="650"/>
      <c r="AT715" s="650"/>
      <c r="AU715" s="650"/>
      <c r="AV715" s="650"/>
      <c r="AW715" s="650"/>
      <c r="AX715" s="650"/>
      <c r="AY715" s="650"/>
    </row>
    <row r="716" ht="21.75" customHeight="1">
      <c r="A716" s="650"/>
      <c r="B716" s="650"/>
      <c r="C716" s="650"/>
      <c r="D716" s="650"/>
      <c r="E716" s="650"/>
      <c r="F716" s="650"/>
      <c r="G716" s="650"/>
      <c r="H716" s="650"/>
      <c r="I716" s="650"/>
      <c r="J716" s="650"/>
      <c r="K716" s="650"/>
      <c r="L716" s="650"/>
      <c r="M716" s="650"/>
      <c r="N716" s="650"/>
      <c r="O716" s="650"/>
      <c r="P716" s="650"/>
      <c r="Q716" s="650"/>
      <c r="R716" s="650"/>
      <c r="S716" s="650"/>
      <c r="T716" s="650"/>
      <c r="U716" s="650"/>
      <c r="V716" s="650"/>
      <c r="W716" s="650"/>
      <c r="X716" s="650"/>
      <c r="Y716" s="650"/>
      <c r="Z716" s="650"/>
      <c r="AA716" s="650"/>
      <c r="AB716" s="650"/>
      <c r="AC716" s="650"/>
      <c r="AD716" s="650"/>
      <c r="AE716" s="650"/>
      <c r="AF716" s="650"/>
      <c r="AG716" s="650"/>
      <c r="AH716" s="650"/>
      <c r="AI716" s="650"/>
      <c r="AJ716" s="650"/>
      <c r="AK716" s="650"/>
      <c r="AL716" s="650"/>
      <c r="AM716" s="650"/>
      <c r="AN716" s="650"/>
      <c r="AO716" s="650"/>
      <c r="AP716" s="650"/>
      <c r="AQ716" s="650"/>
      <c r="AR716" s="650"/>
      <c r="AS716" s="650"/>
      <c r="AT716" s="650"/>
      <c r="AU716" s="650"/>
      <c r="AV716" s="650"/>
      <c r="AW716" s="650"/>
      <c r="AX716" s="650"/>
      <c r="AY716" s="650"/>
    </row>
    <row r="717" ht="21.75" customHeight="1">
      <c r="A717" s="650"/>
      <c r="B717" s="650"/>
      <c r="C717" s="650"/>
      <c r="D717" s="650"/>
      <c r="E717" s="650"/>
      <c r="F717" s="650"/>
      <c r="G717" s="650"/>
      <c r="H717" s="650"/>
      <c r="I717" s="650"/>
      <c r="J717" s="650"/>
      <c r="K717" s="650"/>
      <c r="L717" s="650"/>
      <c r="M717" s="650"/>
      <c r="N717" s="650"/>
      <c r="O717" s="650"/>
      <c r="P717" s="650"/>
      <c r="Q717" s="650"/>
      <c r="R717" s="650"/>
      <c r="S717" s="650"/>
      <c r="T717" s="650"/>
      <c r="U717" s="650"/>
      <c r="V717" s="650"/>
      <c r="W717" s="650"/>
      <c r="X717" s="650"/>
      <c r="Y717" s="650"/>
      <c r="Z717" s="650"/>
      <c r="AA717" s="650"/>
      <c r="AB717" s="650"/>
      <c r="AC717" s="650"/>
      <c r="AD717" s="650"/>
      <c r="AE717" s="650"/>
      <c r="AF717" s="650"/>
      <c r="AG717" s="650"/>
      <c r="AH717" s="650"/>
      <c r="AI717" s="650"/>
      <c r="AJ717" s="650"/>
      <c r="AK717" s="650"/>
      <c r="AL717" s="650"/>
      <c r="AM717" s="650"/>
      <c r="AN717" s="650"/>
      <c r="AO717" s="650"/>
      <c r="AP717" s="650"/>
      <c r="AQ717" s="650"/>
      <c r="AR717" s="650"/>
      <c r="AS717" s="650"/>
      <c r="AT717" s="650"/>
      <c r="AU717" s="650"/>
      <c r="AV717" s="650"/>
      <c r="AW717" s="650"/>
      <c r="AX717" s="650"/>
      <c r="AY717" s="650"/>
    </row>
    <row r="718" ht="21.75" customHeight="1">
      <c r="A718" s="650"/>
      <c r="B718" s="650"/>
      <c r="C718" s="650"/>
      <c r="D718" s="650"/>
      <c r="E718" s="650"/>
      <c r="F718" s="650"/>
      <c r="G718" s="650"/>
      <c r="H718" s="650"/>
      <c r="I718" s="650"/>
      <c r="J718" s="650"/>
      <c r="K718" s="650"/>
      <c r="L718" s="650"/>
      <c r="M718" s="650"/>
      <c r="N718" s="650"/>
      <c r="O718" s="650"/>
      <c r="P718" s="650"/>
      <c r="Q718" s="650"/>
      <c r="R718" s="650"/>
      <c r="S718" s="650"/>
      <c r="T718" s="650"/>
      <c r="U718" s="650"/>
      <c r="V718" s="650"/>
      <c r="W718" s="650"/>
      <c r="X718" s="650"/>
      <c r="Y718" s="650"/>
      <c r="Z718" s="650"/>
      <c r="AA718" s="650"/>
      <c r="AB718" s="650"/>
      <c r="AC718" s="650"/>
      <c r="AD718" s="650"/>
      <c r="AE718" s="650"/>
      <c r="AF718" s="650"/>
      <c r="AG718" s="650"/>
      <c r="AH718" s="650"/>
      <c r="AI718" s="650"/>
      <c r="AJ718" s="650"/>
      <c r="AK718" s="650"/>
      <c r="AL718" s="650"/>
      <c r="AM718" s="650"/>
      <c r="AN718" s="650"/>
      <c r="AO718" s="650"/>
      <c r="AP718" s="650"/>
      <c r="AQ718" s="650"/>
      <c r="AR718" s="650"/>
      <c r="AS718" s="650"/>
      <c r="AT718" s="650"/>
      <c r="AU718" s="650"/>
      <c r="AV718" s="650"/>
      <c r="AW718" s="650"/>
      <c r="AX718" s="650"/>
      <c r="AY718" s="650"/>
    </row>
    <row r="719" ht="21.75" customHeight="1">
      <c r="A719" s="650"/>
      <c r="B719" s="650"/>
      <c r="C719" s="650"/>
      <c r="D719" s="650"/>
      <c r="E719" s="650"/>
      <c r="F719" s="650"/>
      <c r="G719" s="650"/>
      <c r="H719" s="650"/>
      <c r="I719" s="650"/>
      <c r="J719" s="650"/>
      <c r="K719" s="650"/>
      <c r="L719" s="650"/>
      <c r="M719" s="650"/>
      <c r="N719" s="650"/>
      <c r="O719" s="650"/>
      <c r="P719" s="650"/>
      <c r="Q719" s="650"/>
      <c r="R719" s="650"/>
      <c r="S719" s="650"/>
      <c r="T719" s="650"/>
      <c r="U719" s="650"/>
      <c r="V719" s="650"/>
      <c r="W719" s="650"/>
      <c r="X719" s="650"/>
      <c r="Y719" s="650"/>
      <c r="Z719" s="650"/>
      <c r="AA719" s="650"/>
      <c r="AB719" s="650"/>
      <c r="AC719" s="650"/>
      <c r="AD719" s="650"/>
      <c r="AE719" s="650"/>
      <c r="AF719" s="650"/>
      <c r="AG719" s="650"/>
      <c r="AH719" s="650"/>
      <c r="AI719" s="650"/>
      <c r="AJ719" s="650"/>
      <c r="AK719" s="650"/>
      <c r="AL719" s="650"/>
      <c r="AM719" s="650"/>
      <c r="AN719" s="650"/>
      <c r="AO719" s="650"/>
      <c r="AP719" s="650"/>
      <c r="AQ719" s="650"/>
      <c r="AR719" s="650"/>
      <c r="AS719" s="650"/>
      <c r="AT719" s="650"/>
      <c r="AU719" s="650"/>
      <c r="AV719" s="650"/>
      <c r="AW719" s="650"/>
      <c r="AX719" s="650"/>
      <c r="AY719" s="650"/>
    </row>
    <row r="720" ht="21.75" customHeight="1">
      <c r="A720" s="650"/>
      <c r="B720" s="650"/>
      <c r="C720" s="650"/>
      <c r="D720" s="650"/>
      <c r="E720" s="650"/>
      <c r="F720" s="650"/>
      <c r="G720" s="650"/>
      <c r="H720" s="650"/>
      <c r="I720" s="650"/>
      <c r="J720" s="650"/>
      <c r="K720" s="650"/>
      <c r="L720" s="650"/>
      <c r="M720" s="650"/>
      <c r="N720" s="650"/>
      <c r="O720" s="650"/>
      <c r="P720" s="650"/>
      <c r="Q720" s="650"/>
      <c r="R720" s="650"/>
      <c r="S720" s="650"/>
      <c r="T720" s="650"/>
      <c r="U720" s="650"/>
      <c r="V720" s="650"/>
      <c r="W720" s="650"/>
      <c r="X720" s="650"/>
      <c r="Y720" s="650"/>
      <c r="Z720" s="650"/>
      <c r="AA720" s="650"/>
      <c r="AB720" s="650"/>
      <c r="AC720" s="650"/>
      <c r="AD720" s="650"/>
      <c r="AE720" s="650"/>
      <c r="AF720" s="650"/>
      <c r="AG720" s="650"/>
      <c r="AH720" s="650"/>
      <c r="AI720" s="650"/>
      <c r="AJ720" s="650"/>
      <c r="AK720" s="650"/>
      <c r="AL720" s="650"/>
      <c r="AM720" s="650"/>
      <c r="AN720" s="650"/>
      <c r="AO720" s="650"/>
      <c r="AP720" s="650"/>
      <c r="AQ720" s="650"/>
      <c r="AR720" s="650"/>
      <c r="AS720" s="650"/>
      <c r="AT720" s="650"/>
      <c r="AU720" s="650"/>
      <c r="AV720" s="650"/>
      <c r="AW720" s="650"/>
      <c r="AX720" s="650"/>
      <c r="AY720" s="650"/>
    </row>
    <row r="721" ht="21.75" customHeight="1">
      <c r="A721" s="650"/>
      <c r="B721" s="650"/>
      <c r="C721" s="650"/>
      <c r="D721" s="650"/>
      <c r="E721" s="650"/>
      <c r="F721" s="650"/>
      <c r="G721" s="650"/>
      <c r="H721" s="650"/>
      <c r="I721" s="650"/>
      <c r="J721" s="650"/>
      <c r="K721" s="650"/>
      <c r="L721" s="650"/>
      <c r="M721" s="650"/>
      <c r="N721" s="650"/>
      <c r="O721" s="650"/>
      <c r="P721" s="650"/>
      <c r="Q721" s="650"/>
      <c r="R721" s="650"/>
      <c r="S721" s="650"/>
      <c r="T721" s="650"/>
      <c r="U721" s="650"/>
      <c r="V721" s="650"/>
      <c r="W721" s="650"/>
      <c r="X721" s="650"/>
      <c r="Y721" s="650"/>
      <c r="Z721" s="650"/>
      <c r="AA721" s="650"/>
      <c r="AB721" s="650"/>
      <c r="AC721" s="650"/>
      <c r="AD721" s="650"/>
      <c r="AE721" s="650"/>
      <c r="AF721" s="650"/>
      <c r="AG721" s="650"/>
      <c r="AH721" s="650"/>
      <c r="AI721" s="650"/>
      <c r="AJ721" s="650"/>
      <c r="AK721" s="650"/>
      <c r="AL721" s="650"/>
      <c r="AM721" s="650"/>
      <c r="AN721" s="650"/>
      <c r="AO721" s="650"/>
      <c r="AP721" s="650"/>
      <c r="AQ721" s="650"/>
      <c r="AR721" s="650"/>
      <c r="AS721" s="650"/>
      <c r="AT721" s="650"/>
      <c r="AU721" s="650"/>
      <c r="AV721" s="650"/>
      <c r="AW721" s="650"/>
      <c r="AX721" s="650"/>
      <c r="AY721" s="650"/>
    </row>
    <row r="722" ht="21.75" customHeight="1">
      <c r="A722" s="650"/>
      <c r="B722" s="650"/>
      <c r="C722" s="650"/>
      <c r="D722" s="650"/>
      <c r="E722" s="650"/>
      <c r="F722" s="650"/>
      <c r="G722" s="650"/>
      <c r="H722" s="650"/>
      <c r="I722" s="650"/>
      <c r="J722" s="650"/>
      <c r="K722" s="650"/>
      <c r="L722" s="650"/>
      <c r="M722" s="650"/>
      <c r="N722" s="650"/>
      <c r="O722" s="650"/>
      <c r="P722" s="650"/>
      <c r="Q722" s="650"/>
      <c r="R722" s="650"/>
      <c r="S722" s="650"/>
      <c r="T722" s="650"/>
      <c r="U722" s="650"/>
      <c r="V722" s="650"/>
      <c r="W722" s="650"/>
      <c r="X722" s="650"/>
      <c r="Y722" s="650"/>
      <c r="Z722" s="650"/>
      <c r="AA722" s="650"/>
      <c r="AB722" s="650"/>
      <c r="AC722" s="650"/>
      <c r="AD722" s="650"/>
      <c r="AE722" s="650"/>
      <c r="AF722" s="650"/>
      <c r="AG722" s="650"/>
      <c r="AH722" s="650"/>
      <c r="AI722" s="650"/>
      <c r="AJ722" s="650"/>
      <c r="AK722" s="650"/>
      <c r="AL722" s="650"/>
      <c r="AM722" s="650"/>
      <c r="AN722" s="650"/>
      <c r="AO722" s="650"/>
      <c r="AP722" s="650"/>
      <c r="AQ722" s="650"/>
      <c r="AR722" s="650"/>
      <c r="AS722" s="650"/>
      <c r="AT722" s="650"/>
      <c r="AU722" s="650"/>
      <c r="AV722" s="650"/>
      <c r="AW722" s="650"/>
      <c r="AX722" s="650"/>
      <c r="AY722" s="650"/>
    </row>
    <row r="723" ht="21.75" customHeight="1">
      <c r="A723" s="650"/>
      <c r="B723" s="650"/>
      <c r="C723" s="650"/>
      <c r="D723" s="650"/>
      <c r="E723" s="650"/>
      <c r="F723" s="650"/>
      <c r="G723" s="650"/>
      <c r="H723" s="650"/>
      <c r="I723" s="650"/>
      <c r="J723" s="650"/>
      <c r="K723" s="650"/>
      <c r="L723" s="650"/>
      <c r="M723" s="650"/>
      <c r="N723" s="650"/>
      <c r="O723" s="650"/>
      <c r="P723" s="650"/>
      <c r="Q723" s="650"/>
      <c r="R723" s="650"/>
      <c r="S723" s="650"/>
      <c r="T723" s="650"/>
      <c r="U723" s="650"/>
      <c r="V723" s="650"/>
      <c r="W723" s="650"/>
      <c r="X723" s="650"/>
      <c r="Y723" s="650"/>
      <c r="Z723" s="650"/>
      <c r="AA723" s="650"/>
      <c r="AB723" s="650"/>
      <c r="AC723" s="650"/>
      <c r="AD723" s="650"/>
      <c r="AE723" s="650"/>
      <c r="AF723" s="650"/>
      <c r="AG723" s="650"/>
      <c r="AH723" s="650"/>
      <c r="AI723" s="650"/>
      <c r="AJ723" s="650"/>
      <c r="AK723" s="650"/>
      <c r="AL723" s="650"/>
      <c r="AM723" s="650"/>
      <c r="AN723" s="650"/>
      <c r="AO723" s="650"/>
      <c r="AP723" s="650"/>
      <c r="AQ723" s="650"/>
      <c r="AR723" s="650"/>
      <c r="AS723" s="650"/>
      <c r="AT723" s="650"/>
      <c r="AU723" s="650"/>
      <c r="AV723" s="650"/>
      <c r="AW723" s="650"/>
      <c r="AX723" s="650"/>
      <c r="AY723" s="650"/>
    </row>
    <row r="724" ht="21.75" customHeight="1">
      <c r="A724" s="650"/>
      <c r="B724" s="650"/>
      <c r="C724" s="650"/>
      <c r="D724" s="650"/>
      <c r="E724" s="650"/>
      <c r="F724" s="650"/>
      <c r="G724" s="650"/>
      <c r="H724" s="650"/>
      <c r="I724" s="650"/>
      <c r="J724" s="650"/>
      <c r="K724" s="650"/>
      <c r="L724" s="650"/>
      <c r="M724" s="650"/>
      <c r="N724" s="650"/>
      <c r="O724" s="650"/>
      <c r="P724" s="650"/>
      <c r="Q724" s="650"/>
      <c r="R724" s="650"/>
      <c r="S724" s="650"/>
      <c r="T724" s="650"/>
      <c r="U724" s="650"/>
      <c r="V724" s="650"/>
      <c r="W724" s="650"/>
      <c r="X724" s="650"/>
      <c r="Y724" s="650"/>
      <c r="Z724" s="650"/>
      <c r="AA724" s="650"/>
      <c r="AB724" s="650"/>
      <c r="AC724" s="650"/>
      <c r="AD724" s="650"/>
      <c r="AE724" s="650"/>
      <c r="AF724" s="650"/>
      <c r="AG724" s="650"/>
      <c r="AH724" s="650"/>
      <c r="AI724" s="650"/>
      <c r="AJ724" s="650"/>
      <c r="AK724" s="650"/>
      <c r="AL724" s="650"/>
      <c r="AM724" s="650"/>
      <c r="AN724" s="650"/>
      <c r="AO724" s="650"/>
      <c r="AP724" s="650"/>
      <c r="AQ724" s="650"/>
      <c r="AR724" s="650"/>
      <c r="AS724" s="650"/>
      <c r="AT724" s="650"/>
      <c r="AU724" s="650"/>
      <c r="AV724" s="650"/>
      <c r="AW724" s="650"/>
      <c r="AX724" s="650"/>
      <c r="AY724" s="650"/>
    </row>
    <row r="725" ht="21.75" customHeight="1">
      <c r="A725" s="650"/>
      <c r="B725" s="650"/>
      <c r="C725" s="650"/>
      <c r="D725" s="650"/>
      <c r="E725" s="650"/>
      <c r="F725" s="650"/>
      <c r="G725" s="650"/>
      <c r="H725" s="650"/>
      <c r="I725" s="650"/>
      <c r="J725" s="650"/>
      <c r="K725" s="650"/>
      <c r="L725" s="650"/>
      <c r="M725" s="650"/>
      <c r="N725" s="650"/>
      <c r="O725" s="650"/>
      <c r="P725" s="650"/>
      <c r="Q725" s="650"/>
      <c r="R725" s="650"/>
      <c r="S725" s="650"/>
      <c r="T725" s="650"/>
      <c r="U725" s="650"/>
      <c r="V725" s="650"/>
      <c r="W725" s="650"/>
      <c r="X725" s="650"/>
      <c r="Y725" s="650"/>
      <c r="Z725" s="650"/>
      <c r="AA725" s="650"/>
      <c r="AB725" s="650"/>
      <c r="AC725" s="650"/>
      <c r="AD725" s="650"/>
      <c r="AE725" s="650"/>
      <c r="AF725" s="650"/>
      <c r="AG725" s="650"/>
      <c r="AH725" s="650"/>
      <c r="AI725" s="650"/>
      <c r="AJ725" s="650"/>
      <c r="AK725" s="650"/>
      <c r="AL725" s="650"/>
      <c r="AM725" s="650"/>
      <c r="AN725" s="650"/>
      <c r="AO725" s="650"/>
      <c r="AP725" s="650"/>
      <c r="AQ725" s="650"/>
      <c r="AR725" s="650"/>
      <c r="AS725" s="650"/>
      <c r="AT725" s="650"/>
      <c r="AU725" s="650"/>
      <c r="AV725" s="650"/>
      <c r="AW725" s="650"/>
      <c r="AX725" s="650"/>
      <c r="AY725" s="650"/>
    </row>
    <row r="726" ht="21.75" customHeight="1">
      <c r="A726" s="650"/>
      <c r="B726" s="650"/>
      <c r="C726" s="650"/>
      <c r="D726" s="650"/>
      <c r="E726" s="650"/>
      <c r="F726" s="650"/>
      <c r="G726" s="650"/>
      <c r="H726" s="650"/>
      <c r="I726" s="650"/>
      <c r="J726" s="650"/>
      <c r="K726" s="650"/>
      <c r="L726" s="650"/>
      <c r="M726" s="650"/>
      <c r="N726" s="650"/>
      <c r="O726" s="650"/>
      <c r="P726" s="650"/>
      <c r="Q726" s="650"/>
      <c r="R726" s="650"/>
      <c r="S726" s="650"/>
      <c r="T726" s="650"/>
      <c r="U726" s="650"/>
      <c r="V726" s="650"/>
      <c r="W726" s="650"/>
      <c r="X726" s="650"/>
      <c r="Y726" s="650"/>
      <c r="Z726" s="650"/>
      <c r="AA726" s="650"/>
      <c r="AB726" s="650"/>
      <c r="AC726" s="650"/>
      <c r="AD726" s="650"/>
      <c r="AE726" s="650"/>
      <c r="AF726" s="650"/>
      <c r="AG726" s="650"/>
      <c r="AH726" s="650"/>
      <c r="AI726" s="650"/>
      <c r="AJ726" s="650"/>
      <c r="AK726" s="650"/>
      <c r="AL726" s="650"/>
      <c r="AM726" s="650"/>
      <c r="AN726" s="650"/>
      <c r="AO726" s="650"/>
      <c r="AP726" s="650"/>
      <c r="AQ726" s="650"/>
      <c r="AR726" s="650"/>
      <c r="AS726" s="650"/>
      <c r="AT726" s="650"/>
      <c r="AU726" s="650"/>
      <c r="AV726" s="650"/>
      <c r="AW726" s="650"/>
      <c r="AX726" s="650"/>
      <c r="AY726" s="650"/>
    </row>
    <row r="727" ht="21.75" customHeight="1">
      <c r="A727" s="650"/>
      <c r="B727" s="650"/>
      <c r="C727" s="650"/>
      <c r="D727" s="650"/>
      <c r="E727" s="650"/>
      <c r="F727" s="650"/>
      <c r="G727" s="650"/>
      <c r="H727" s="650"/>
      <c r="I727" s="650"/>
      <c r="J727" s="650"/>
      <c r="K727" s="650"/>
      <c r="L727" s="650"/>
      <c r="M727" s="650"/>
      <c r="N727" s="650"/>
      <c r="O727" s="650"/>
      <c r="P727" s="650"/>
      <c r="Q727" s="650"/>
      <c r="R727" s="650"/>
      <c r="S727" s="650"/>
      <c r="T727" s="650"/>
      <c r="U727" s="650"/>
      <c r="V727" s="650"/>
      <c r="W727" s="650"/>
      <c r="X727" s="650"/>
      <c r="Y727" s="650"/>
      <c r="Z727" s="650"/>
      <c r="AA727" s="650"/>
      <c r="AB727" s="650"/>
      <c r="AC727" s="650"/>
      <c r="AD727" s="650"/>
      <c r="AE727" s="650"/>
      <c r="AF727" s="650"/>
      <c r="AG727" s="650"/>
      <c r="AH727" s="650"/>
      <c r="AI727" s="650"/>
      <c r="AJ727" s="650"/>
      <c r="AK727" s="650"/>
      <c r="AL727" s="650"/>
      <c r="AM727" s="650"/>
      <c r="AN727" s="650"/>
      <c r="AO727" s="650"/>
      <c r="AP727" s="650"/>
      <c r="AQ727" s="650"/>
      <c r="AR727" s="650"/>
      <c r="AS727" s="650"/>
      <c r="AT727" s="650"/>
      <c r="AU727" s="650"/>
      <c r="AV727" s="650"/>
      <c r="AW727" s="650"/>
      <c r="AX727" s="650"/>
      <c r="AY727" s="650"/>
    </row>
    <row r="728" ht="21.75" customHeight="1">
      <c r="A728" s="650"/>
      <c r="B728" s="650"/>
      <c r="C728" s="650"/>
      <c r="D728" s="650"/>
      <c r="E728" s="650"/>
      <c r="F728" s="650"/>
      <c r="G728" s="650"/>
      <c r="H728" s="650"/>
      <c r="I728" s="650"/>
      <c r="J728" s="650"/>
      <c r="K728" s="650"/>
      <c r="L728" s="650"/>
      <c r="M728" s="650"/>
      <c r="N728" s="650"/>
      <c r="O728" s="650"/>
      <c r="P728" s="650"/>
      <c r="Q728" s="650"/>
      <c r="R728" s="650"/>
      <c r="S728" s="650"/>
      <c r="T728" s="650"/>
      <c r="U728" s="650"/>
      <c r="V728" s="650"/>
      <c r="W728" s="650"/>
      <c r="X728" s="650"/>
      <c r="Y728" s="650"/>
      <c r="Z728" s="650"/>
      <c r="AA728" s="650"/>
      <c r="AB728" s="650"/>
      <c r="AC728" s="650"/>
      <c r="AD728" s="650"/>
      <c r="AE728" s="650"/>
      <c r="AF728" s="650"/>
      <c r="AG728" s="650"/>
      <c r="AH728" s="650"/>
      <c r="AI728" s="650"/>
      <c r="AJ728" s="650"/>
      <c r="AK728" s="650"/>
      <c r="AL728" s="650"/>
      <c r="AM728" s="650"/>
      <c r="AN728" s="650"/>
      <c r="AO728" s="650"/>
      <c r="AP728" s="650"/>
      <c r="AQ728" s="650"/>
      <c r="AR728" s="650"/>
      <c r="AS728" s="650"/>
      <c r="AT728" s="650"/>
      <c r="AU728" s="650"/>
      <c r="AV728" s="650"/>
      <c r="AW728" s="650"/>
      <c r="AX728" s="650"/>
      <c r="AY728" s="650"/>
    </row>
    <row r="729" ht="21.75" customHeight="1">
      <c r="A729" s="650"/>
      <c r="B729" s="650"/>
      <c r="C729" s="650"/>
      <c r="D729" s="650"/>
      <c r="E729" s="650"/>
      <c r="F729" s="650"/>
      <c r="G729" s="650"/>
      <c r="H729" s="650"/>
      <c r="I729" s="650"/>
      <c r="J729" s="650"/>
      <c r="K729" s="650"/>
      <c r="L729" s="650"/>
      <c r="M729" s="650"/>
      <c r="N729" s="650"/>
      <c r="O729" s="650"/>
      <c r="P729" s="650"/>
      <c r="Q729" s="650"/>
      <c r="R729" s="650"/>
      <c r="S729" s="650"/>
      <c r="T729" s="650"/>
      <c r="U729" s="650"/>
      <c r="V729" s="650"/>
      <c r="W729" s="650"/>
      <c r="X729" s="650"/>
      <c r="Y729" s="650"/>
      <c r="Z729" s="650"/>
      <c r="AA729" s="650"/>
      <c r="AB729" s="650"/>
      <c r="AC729" s="650"/>
      <c r="AD729" s="650"/>
      <c r="AE729" s="650"/>
      <c r="AF729" s="650"/>
      <c r="AG729" s="650"/>
      <c r="AH729" s="650"/>
      <c r="AI729" s="650"/>
      <c r="AJ729" s="650"/>
      <c r="AK729" s="650"/>
      <c r="AL729" s="650"/>
      <c r="AM729" s="650"/>
      <c r="AN729" s="650"/>
      <c r="AO729" s="650"/>
      <c r="AP729" s="650"/>
      <c r="AQ729" s="650"/>
      <c r="AR729" s="650"/>
      <c r="AS729" s="650"/>
      <c r="AT729" s="650"/>
      <c r="AU729" s="650"/>
      <c r="AV729" s="650"/>
      <c r="AW729" s="650"/>
      <c r="AX729" s="650"/>
      <c r="AY729" s="650"/>
    </row>
    <row r="730" ht="21.75" customHeight="1">
      <c r="A730" s="650"/>
      <c r="B730" s="650"/>
      <c r="C730" s="650"/>
      <c r="D730" s="650"/>
      <c r="E730" s="650"/>
      <c r="F730" s="650"/>
      <c r="G730" s="650"/>
      <c r="H730" s="650"/>
      <c r="I730" s="650"/>
      <c r="J730" s="650"/>
      <c r="K730" s="650"/>
      <c r="L730" s="650"/>
      <c r="M730" s="650"/>
      <c r="N730" s="650"/>
      <c r="O730" s="650"/>
      <c r="P730" s="650"/>
      <c r="Q730" s="650"/>
      <c r="R730" s="650"/>
      <c r="S730" s="650"/>
      <c r="T730" s="650"/>
      <c r="U730" s="650"/>
      <c r="V730" s="650"/>
      <c r="W730" s="650"/>
      <c r="X730" s="650"/>
      <c r="Y730" s="650"/>
      <c r="Z730" s="650"/>
      <c r="AA730" s="650"/>
      <c r="AB730" s="650"/>
      <c r="AC730" s="650"/>
      <c r="AD730" s="650"/>
      <c r="AE730" s="650"/>
      <c r="AF730" s="650"/>
      <c r="AG730" s="650"/>
      <c r="AH730" s="650"/>
      <c r="AI730" s="650"/>
      <c r="AJ730" s="650"/>
      <c r="AK730" s="650"/>
      <c r="AL730" s="650"/>
      <c r="AM730" s="650"/>
      <c r="AN730" s="650"/>
      <c r="AO730" s="650"/>
      <c r="AP730" s="650"/>
      <c r="AQ730" s="650"/>
      <c r="AR730" s="650"/>
      <c r="AS730" s="650"/>
      <c r="AT730" s="650"/>
      <c r="AU730" s="650"/>
      <c r="AV730" s="650"/>
      <c r="AW730" s="650"/>
      <c r="AX730" s="650"/>
      <c r="AY730" s="650"/>
    </row>
    <row r="731" ht="21.75" customHeight="1">
      <c r="A731" s="650"/>
      <c r="B731" s="650"/>
      <c r="C731" s="650"/>
      <c r="D731" s="650"/>
      <c r="E731" s="650"/>
      <c r="F731" s="650"/>
      <c r="G731" s="650"/>
      <c r="H731" s="650"/>
      <c r="I731" s="650"/>
      <c r="J731" s="650"/>
      <c r="K731" s="650"/>
      <c r="L731" s="650"/>
      <c r="M731" s="650"/>
      <c r="N731" s="650"/>
      <c r="O731" s="650"/>
      <c r="P731" s="650"/>
      <c r="Q731" s="650"/>
      <c r="R731" s="650"/>
      <c r="S731" s="650"/>
      <c r="T731" s="650"/>
      <c r="U731" s="650"/>
      <c r="V731" s="650"/>
      <c r="W731" s="650"/>
      <c r="X731" s="650"/>
      <c r="Y731" s="650"/>
      <c r="Z731" s="650"/>
      <c r="AA731" s="650"/>
      <c r="AB731" s="650"/>
      <c r="AC731" s="650"/>
      <c r="AD731" s="650"/>
      <c r="AE731" s="650"/>
      <c r="AF731" s="650"/>
      <c r="AG731" s="650"/>
      <c r="AH731" s="650"/>
      <c r="AI731" s="650"/>
      <c r="AJ731" s="650"/>
      <c r="AK731" s="650"/>
      <c r="AL731" s="650"/>
      <c r="AM731" s="650"/>
      <c r="AN731" s="650"/>
      <c r="AO731" s="650"/>
      <c r="AP731" s="650"/>
      <c r="AQ731" s="650"/>
      <c r="AR731" s="650"/>
      <c r="AS731" s="650"/>
      <c r="AT731" s="650"/>
      <c r="AU731" s="650"/>
      <c r="AV731" s="650"/>
      <c r="AW731" s="650"/>
      <c r="AX731" s="650"/>
      <c r="AY731" s="650"/>
    </row>
    <row r="732" ht="21.75" customHeight="1">
      <c r="A732" s="650"/>
      <c r="B732" s="650"/>
      <c r="C732" s="650"/>
      <c r="D732" s="650"/>
      <c r="E732" s="650"/>
      <c r="F732" s="650"/>
      <c r="G732" s="650"/>
      <c r="H732" s="650"/>
      <c r="I732" s="650"/>
      <c r="J732" s="650"/>
      <c r="K732" s="650"/>
      <c r="L732" s="650"/>
      <c r="M732" s="650"/>
      <c r="N732" s="650"/>
      <c r="O732" s="650"/>
      <c r="P732" s="650"/>
      <c r="Q732" s="650"/>
      <c r="R732" s="650"/>
      <c r="S732" s="650"/>
      <c r="T732" s="650"/>
      <c r="U732" s="650"/>
      <c r="V732" s="650"/>
      <c r="W732" s="650"/>
      <c r="X732" s="650"/>
      <c r="Y732" s="650"/>
      <c r="Z732" s="650"/>
      <c r="AA732" s="650"/>
      <c r="AB732" s="650"/>
      <c r="AC732" s="650"/>
      <c r="AD732" s="650"/>
      <c r="AE732" s="650"/>
      <c r="AF732" s="650"/>
      <c r="AG732" s="650"/>
      <c r="AH732" s="650"/>
      <c r="AI732" s="650"/>
      <c r="AJ732" s="650"/>
      <c r="AK732" s="650"/>
      <c r="AL732" s="650"/>
      <c r="AM732" s="650"/>
      <c r="AN732" s="650"/>
      <c r="AO732" s="650"/>
      <c r="AP732" s="650"/>
      <c r="AQ732" s="650"/>
      <c r="AR732" s="650"/>
      <c r="AS732" s="650"/>
      <c r="AT732" s="650"/>
      <c r="AU732" s="650"/>
      <c r="AV732" s="650"/>
      <c r="AW732" s="650"/>
      <c r="AX732" s="650"/>
      <c r="AY732" s="650"/>
    </row>
    <row r="733" ht="21.75" customHeight="1">
      <c r="A733" s="650"/>
      <c r="B733" s="650"/>
      <c r="C733" s="650"/>
      <c r="D733" s="650"/>
      <c r="E733" s="650"/>
      <c r="F733" s="650"/>
      <c r="G733" s="650"/>
      <c r="H733" s="650"/>
      <c r="I733" s="650"/>
      <c r="J733" s="650"/>
      <c r="K733" s="650"/>
      <c r="L733" s="650"/>
      <c r="M733" s="650"/>
      <c r="N733" s="650"/>
      <c r="O733" s="650"/>
      <c r="P733" s="650"/>
      <c r="Q733" s="650"/>
      <c r="R733" s="650"/>
      <c r="S733" s="650"/>
      <c r="T733" s="650"/>
      <c r="U733" s="650"/>
      <c r="V733" s="650"/>
      <c r="W733" s="650"/>
      <c r="X733" s="650"/>
      <c r="Y733" s="650"/>
      <c r="Z733" s="650"/>
      <c r="AA733" s="650"/>
      <c r="AB733" s="650"/>
      <c r="AC733" s="650"/>
      <c r="AD733" s="650"/>
      <c r="AE733" s="650"/>
      <c r="AF733" s="650"/>
      <c r="AG733" s="650"/>
      <c r="AH733" s="650"/>
      <c r="AI733" s="650"/>
      <c r="AJ733" s="650"/>
      <c r="AK733" s="650"/>
      <c r="AL733" s="650"/>
      <c r="AM733" s="650"/>
      <c r="AN733" s="650"/>
      <c r="AO733" s="650"/>
      <c r="AP733" s="650"/>
      <c r="AQ733" s="650"/>
      <c r="AR733" s="650"/>
      <c r="AS733" s="650"/>
      <c r="AT733" s="650"/>
      <c r="AU733" s="650"/>
      <c r="AV733" s="650"/>
      <c r="AW733" s="650"/>
      <c r="AX733" s="650"/>
      <c r="AY733" s="650"/>
    </row>
    <row r="734" ht="21.75" customHeight="1">
      <c r="A734" s="650"/>
      <c r="B734" s="650"/>
      <c r="C734" s="650"/>
      <c r="D734" s="650"/>
      <c r="E734" s="650"/>
      <c r="F734" s="650"/>
      <c r="G734" s="650"/>
      <c r="H734" s="650"/>
      <c r="I734" s="650"/>
      <c r="J734" s="650"/>
      <c r="K734" s="650"/>
      <c r="L734" s="650"/>
      <c r="M734" s="650"/>
      <c r="N734" s="650"/>
      <c r="O734" s="650"/>
      <c r="P734" s="650"/>
      <c r="Q734" s="650"/>
      <c r="R734" s="650"/>
      <c r="S734" s="650"/>
      <c r="T734" s="650"/>
      <c r="U734" s="650"/>
      <c r="V734" s="650"/>
      <c r="W734" s="650"/>
      <c r="X734" s="650"/>
      <c r="Y734" s="650"/>
      <c r="Z734" s="650"/>
      <c r="AA734" s="650"/>
      <c r="AB734" s="650"/>
      <c r="AC734" s="650"/>
      <c r="AD734" s="650"/>
      <c r="AE734" s="650"/>
      <c r="AF734" s="650"/>
      <c r="AG734" s="650"/>
      <c r="AH734" s="650"/>
      <c r="AI734" s="650"/>
      <c r="AJ734" s="650"/>
      <c r="AK734" s="650"/>
      <c r="AL734" s="650"/>
      <c r="AM734" s="650"/>
      <c r="AN734" s="650"/>
      <c r="AO734" s="650"/>
      <c r="AP734" s="650"/>
      <c r="AQ734" s="650"/>
      <c r="AR734" s="650"/>
      <c r="AS734" s="650"/>
      <c r="AT734" s="650"/>
      <c r="AU734" s="650"/>
      <c r="AV734" s="650"/>
      <c r="AW734" s="650"/>
      <c r="AX734" s="650"/>
      <c r="AY734" s="650"/>
    </row>
    <row r="735" ht="21.75" customHeight="1">
      <c r="A735" s="650"/>
      <c r="B735" s="650"/>
      <c r="C735" s="650"/>
      <c r="D735" s="650"/>
      <c r="E735" s="650"/>
      <c r="F735" s="650"/>
      <c r="G735" s="650"/>
      <c r="H735" s="650"/>
      <c r="I735" s="650"/>
      <c r="J735" s="650"/>
      <c r="K735" s="650"/>
      <c r="L735" s="650"/>
      <c r="M735" s="650"/>
      <c r="N735" s="650"/>
      <c r="O735" s="650"/>
      <c r="P735" s="650"/>
      <c r="Q735" s="650"/>
      <c r="R735" s="650"/>
      <c r="S735" s="650"/>
      <c r="T735" s="650"/>
      <c r="U735" s="650"/>
      <c r="V735" s="650"/>
      <c r="W735" s="650"/>
      <c r="X735" s="650"/>
      <c r="Y735" s="650"/>
      <c r="Z735" s="650"/>
      <c r="AA735" s="650"/>
      <c r="AB735" s="650"/>
      <c r="AC735" s="650"/>
      <c r="AD735" s="650"/>
      <c r="AE735" s="650"/>
      <c r="AF735" s="650"/>
      <c r="AG735" s="650"/>
      <c r="AH735" s="650"/>
      <c r="AI735" s="650"/>
      <c r="AJ735" s="650"/>
      <c r="AK735" s="650"/>
      <c r="AL735" s="650"/>
      <c r="AM735" s="650"/>
      <c r="AN735" s="650"/>
      <c r="AO735" s="650"/>
      <c r="AP735" s="650"/>
      <c r="AQ735" s="650"/>
      <c r="AR735" s="650"/>
      <c r="AS735" s="650"/>
      <c r="AT735" s="650"/>
      <c r="AU735" s="650"/>
      <c r="AV735" s="650"/>
      <c r="AW735" s="650"/>
      <c r="AX735" s="650"/>
      <c r="AY735" s="650"/>
    </row>
    <row r="736" ht="21.75" customHeight="1">
      <c r="A736" s="650"/>
      <c r="B736" s="650"/>
      <c r="C736" s="650"/>
      <c r="D736" s="650"/>
      <c r="E736" s="650"/>
      <c r="F736" s="650"/>
      <c r="G736" s="650"/>
      <c r="H736" s="650"/>
      <c r="I736" s="650"/>
      <c r="J736" s="650"/>
      <c r="K736" s="650"/>
      <c r="L736" s="650"/>
      <c r="M736" s="650"/>
      <c r="N736" s="650"/>
      <c r="O736" s="650"/>
      <c r="P736" s="650"/>
      <c r="Q736" s="650"/>
      <c r="R736" s="650"/>
      <c r="S736" s="650"/>
      <c r="T736" s="650"/>
      <c r="U736" s="650"/>
      <c r="V736" s="650"/>
      <c r="W736" s="650"/>
      <c r="X736" s="650"/>
      <c r="Y736" s="650"/>
      <c r="Z736" s="650"/>
      <c r="AA736" s="650"/>
      <c r="AB736" s="650"/>
      <c r="AC736" s="650"/>
      <c r="AD736" s="650"/>
      <c r="AE736" s="650"/>
      <c r="AF736" s="650"/>
      <c r="AG736" s="650"/>
      <c r="AH736" s="650"/>
      <c r="AI736" s="650"/>
      <c r="AJ736" s="650"/>
      <c r="AK736" s="650"/>
      <c r="AL736" s="650"/>
      <c r="AM736" s="650"/>
      <c r="AN736" s="650"/>
      <c r="AO736" s="650"/>
      <c r="AP736" s="650"/>
      <c r="AQ736" s="650"/>
      <c r="AR736" s="650"/>
      <c r="AS736" s="650"/>
      <c r="AT736" s="650"/>
      <c r="AU736" s="650"/>
      <c r="AV736" s="650"/>
      <c r="AW736" s="650"/>
      <c r="AX736" s="650"/>
      <c r="AY736" s="650"/>
    </row>
    <row r="737" ht="21.75" customHeight="1">
      <c r="A737" s="650"/>
      <c r="B737" s="650"/>
      <c r="C737" s="650"/>
      <c r="D737" s="650"/>
      <c r="E737" s="650"/>
      <c r="F737" s="650"/>
      <c r="G737" s="650"/>
      <c r="H737" s="650"/>
      <c r="I737" s="650"/>
      <c r="J737" s="650"/>
      <c r="K737" s="650"/>
      <c r="L737" s="650"/>
      <c r="M737" s="650"/>
      <c r="N737" s="650"/>
      <c r="O737" s="650"/>
      <c r="P737" s="650"/>
      <c r="Q737" s="650"/>
      <c r="R737" s="650"/>
      <c r="S737" s="650"/>
      <c r="T737" s="650"/>
      <c r="U737" s="650"/>
      <c r="V737" s="650"/>
      <c r="W737" s="650"/>
      <c r="X737" s="650"/>
      <c r="Y737" s="650"/>
      <c r="Z737" s="650"/>
      <c r="AA737" s="650"/>
      <c r="AB737" s="650"/>
      <c r="AC737" s="650"/>
      <c r="AD737" s="650"/>
      <c r="AE737" s="650"/>
      <c r="AF737" s="650"/>
      <c r="AG737" s="650"/>
      <c r="AH737" s="650"/>
      <c r="AI737" s="650"/>
      <c r="AJ737" s="650"/>
      <c r="AK737" s="650"/>
      <c r="AL737" s="650"/>
      <c r="AM737" s="650"/>
      <c r="AN737" s="650"/>
      <c r="AO737" s="650"/>
      <c r="AP737" s="650"/>
      <c r="AQ737" s="650"/>
      <c r="AR737" s="650"/>
      <c r="AS737" s="650"/>
      <c r="AT737" s="650"/>
      <c r="AU737" s="650"/>
      <c r="AV737" s="650"/>
      <c r="AW737" s="650"/>
      <c r="AX737" s="650"/>
      <c r="AY737" s="650"/>
    </row>
    <row r="738" ht="21.75" customHeight="1">
      <c r="A738" s="650"/>
      <c r="B738" s="650"/>
      <c r="C738" s="650"/>
      <c r="D738" s="650"/>
      <c r="E738" s="650"/>
      <c r="F738" s="650"/>
      <c r="G738" s="650"/>
      <c r="H738" s="650"/>
      <c r="I738" s="650"/>
      <c r="J738" s="650"/>
      <c r="K738" s="650"/>
      <c r="L738" s="650"/>
      <c r="M738" s="650"/>
      <c r="N738" s="650"/>
      <c r="O738" s="650"/>
      <c r="P738" s="650"/>
      <c r="Q738" s="650"/>
      <c r="R738" s="650"/>
      <c r="S738" s="650"/>
      <c r="T738" s="650"/>
      <c r="U738" s="650"/>
      <c r="V738" s="650"/>
      <c r="W738" s="650"/>
      <c r="X738" s="650"/>
      <c r="Y738" s="650"/>
      <c r="Z738" s="650"/>
      <c r="AA738" s="650"/>
      <c r="AB738" s="650"/>
      <c r="AC738" s="650"/>
      <c r="AD738" s="650"/>
      <c r="AE738" s="650"/>
      <c r="AF738" s="650"/>
      <c r="AG738" s="650"/>
      <c r="AH738" s="650"/>
      <c r="AI738" s="650"/>
      <c r="AJ738" s="650"/>
      <c r="AK738" s="650"/>
      <c r="AL738" s="650"/>
      <c r="AM738" s="650"/>
      <c r="AN738" s="650"/>
      <c r="AO738" s="650"/>
      <c r="AP738" s="650"/>
      <c r="AQ738" s="650"/>
      <c r="AR738" s="650"/>
      <c r="AS738" s="650"/>
      <c r="AT738" s="650"/>
      <c r="AU738" s="650"/>
      <c r="AV738" s="650"/>
      <c r="AW738" s="650"/>
      <c r="AX738" s="650"/>
      <c r="AY738" s="650"/>
    </row>
    <row r="739" ht="21.75" customHeight="1">
      <c r="A739" s="650"/>
      <c r="B739" s="650"/>
      <c r="C739" s="650"/>
      <c r="D739" s="650"/>
      <c r="E739" s="650"/>
      <c r="F739" s="650"/>
      <c r="G739" s="650"/>
      <c r="H739" s="650"/>
      <c r="I739" s="650"/>
      <c r="J739" s="650"/>
      <c r="K739" s="650"/>
      <c r="L739" s="650"/>
      <c r="M739" s="650"/>
      <c r="N739" s="650"/>
      <c r="O739" s="650"/>
      <c r="P739" s="650"/>
      <c r="Q739" s="650"/>
      <c r="R739" s="650"/>
      <c r="S739" s="650"/>
      <c r="T739" s="650"/>
      <c r="U739" s="650"/>
      <c r="V739" s="650"/>
      <c r="W739" s="650"/>
      <c r="X739" s="650"/>
      <c r="Y739" s="650"/>
      <c r="Z739" s="650"/>
      <c r="AA739" s="650"/>
      <c r="AB739" s="650"/>
      <c r="AC739" s="650"/>
      <c r="AD739" s="650"/>
      <c r="AE739" s="650"/>
      <c r="AF739" s="650"/>
      <c r="AG739" s="650"/>
      <c r="AH739" s="650"/>
      <c r="AI739" s="650"/>
      <c r="AJ739" s="650"/>
      <c r="AK739" s="650"/>
      <c r="AL739" s="650"/>
      <c r="AM739" s="650"/>
      <c r="AN739" s="650"/>
      <c r="AO739" s="650"/>
      <c r="AP739" s="650"/>
      <c r="AQ739" s="650"/>
      <c r="AR739" s="650"/>
      <c r="AS739" s="650"/>
      <c r="AT739" s="650"/>
      <c r="AU739" s="650"/>
      <c r="AV739" s="650"/>
      <c r="AW739" s="650"/>
      <c r="AX739" s="650"/>
      <c r="AY739" s="650"/>
    </row>
    <row r="740" ht="21.75" customHeight="1">
      <c r="A740" s="650"/>
      <c r="B740" s="650"/>
      <c r="C740" s="650"/>
      <c r="D740" s="650"/>
      <c r="E740" s="650"/>
      <c r="F740" s="650"/>
      <c r="G740" s="650"/>
      <c r="H740" s="650"/>
      <c r="I740" s="650"/>
      <c r="J740" s="650"/>
      <c r="K740" s="650"/>
      <c r="L740" s="650"/>
      <c r="M740" s="650"/>
      <c r="N740" s="650"/>
      <c r="O740" s="650"/>
      <c r="P740" s="650"/>
      <c r="Q740" s="650"/>
      <c r="R740" s="650"/>
      <c r="S740" s="650"/>
      <c r="T740" s="650"/>
      <c r="U740" s="650"/>
      <c r="V740" s="650"/>
      <c r="W740" s="650"/>
      <c r="X740" s="650"/>
      <c r="Y740" s="650"/>
      <c r="Z740" s="650"/>
      <c r="AA740" s="650"/>
      <c r="AB740" s="650"/>
      <c r="AC740" s="650"/>
      <c r="AD740" s="650"/>
      <c r="AE740" s="650"/>
      <c r="AF740" s="650"/>
      <c r="AG740" s="650"/>
      <c r="AH740" s="650"/>
      <c r="AI740" s="650"/>
      <c r="AJ740" s="650"/>
      <c r="AK740" s="650"/>
      <c r="AL740" s="650"/>
      <c r="AM740" s="650"/>
      <c r="AN740" s="650"/>
      <c r="AO740" s="650"/>
      <c r="AP740" s="650"/>
      <c r="AQ740" s="650"/>
      <c r="AR740" s="650"/>
      <c r="AS740" s="650"/>
      <c r="AT740" s="650"/>
      <c r="AU740" s="650"/>
      <c r="AV740" s="650"/>
      <c r="AW740" s="650"/>
      <c r="AX740" s="650"/>
      <c r="AY740" s="650"/>
    </row>
    <row r="741" ht="21.75" customHeight="1">
      <c r="A741" s="650"/>
      <c r="B741" s="650"/>
      <c r="C741" s="650"/>
      <c r="D741" s="650"/>
      <c r="E741" s="650"/>
      <c r="F741" s="650"/>
      <c r="G741" s="650"/>
      <c r="H741" s="650"/>
      <c r="I741" s="650"/>
      <c r="J741" s="650"/>
      <c r="K741" s="650"/>
      <c r="L741" s="650"/>
      <c r="M741" s="650"/>
      <c r="N741" s="650"/>
      <c r="O741" s="650"/>
      <c r="P741" s="650"/>
      <c r="Q741" s="650"/>
      <c r="R741" s="650"/>
      <c r="S741" s="650"/>
      <c r="T741" s="650"/>
      <c r="U741" s="650"/>
      <c r="V741" s="650"/>
      <c r="W741" s="650"/>
      <c r="X741" s="650"/>
      <c r="Y741" s="650"/>
      <c r="Z741" s="650"/>
      <c r="AA741" s="650"/>
      <c r="AB741" s="650"/>
      <c r="AC741" s="650"/>
      <c r="AD741" s="650"/>
      <c r="AE741" s="650"/>
      <c r="AF741" s="650"/>
      <c r="AG741" s="650"/>
      <c r="AH741" s="650"/>
      <c r="AI741" s="650"/>
      <c r="AJ741" s="650"/>
      <c r="AK741" s="650"/>
      <c r="AL741" s="650"/>
      <c r="AM741" s="650"/>
      <c r="AN741" s="650"/>
      <c r="AO741" s="650"/>
      <c r="AP741" s="650"/>
      <c r="AQ741" s="650"/>
      <c r="AR741" s="650"/>
      <c r="AS741" s="650"/>
      <c r="AT741" s="650"/>
      <c r="AU741" s="650"/>
      <c r="AV741" s="650"/>
      <c r="AW741" s="650"/>
      <c r="AX741" s="650"/>
      <c r="AY741" s="650"/>
    </row>
    <row r="742" ht="21.75" customHeight="1">
      <c r="A742" s="650"/>
      <c r="B742" s="650"/>
      <c r="C742" s="650"/>
      <c r="D742" s="650"/>
      <c r="E742" s="650"/>
      <c r="F742" s="650"/>
      <c r="G742" s="650"/>
      <c r="H742" s="650"/>
      <c r="I742" s="650"/>
      <c r="J742" s="650"/>
      <c r="K742" s="650"/>
      <c r="L742" s="650"/>
      <c r="M742" s="650"/>
      <c r="N742" s="650"/>
      <c r="O742" s="650"/>
      <c r="P742" s="650"/>
      <c r="Q742" s="650"/>
      <c r="R742" s="650"/>
      <c r="S742" s="650"/>
      <c r="T742" s="650"/>
      <c r="U742" s="650"/>
      <c r="V742" s="650"/>
      <c r="W742" s="650"/>
      <c r="X742" s="650"/>
      <c r="Y742" s="650"/>
      <c r="Z742" s="650"/>
      <c r="AA742" s="650"/>
      <c r="AB742" s="650"/>
      <c r="AC742" s="650"/>
      <c r="AD742" s="650"/>
      <c r="AE742" s="650"/>
      <c r="AF742" s="650"/>
      <c r="AG742" s="650"/>
      <c r="AH742" s="650"/>
      <c r="AI742" s="650"/>
      <c r="AJ742" s="650"/>
      <c r="AK742" s="650"/>
      <c r="AL742" s="650"/>
      <c r="AM742" s="650"/>
      <c r="AN742" s="650"/>
      <c r="AO742" s="650"/>
      <c r="AP742" s="650"/>
      <c r="AQ742" s="650"/>
      <c r="AR742" s="650"/>
      <c r="AS742" s="650"/>
      <c r="AT742" s="650"/>
      <c r="AU742" s="650"/>
      <c r="AV742" s="650"/>
      <c r="AW742" s="650"/>
      <c r="AX742" s="650"/>
      <c r="AY742" s="650"/>
    </row>
    <row r="743" ht="21.75" customHeight="1">
      <c r="A743" s="650"/>
      <c r="B743" s="650"/>
      <c r="C743" s="650"/>
      <c r="D743" s="650"/>
      <c r="E743" s="650"/>
      <c r="F743" s="650"/>
      <c r="G743" s="650"/>
      <c r="H743" s="650"/>
      <c r="I743" s="650"/>
      <c r="J743" s="650"/>
      <c r="K743" s="650"/>
      <c r="L743" s="650"/>
      <c r="M743" s="650"/>
      <c r="N743" s="650"/>
      <c r="O743" s="650"/>
      <c r="P743" s="650"/>
      <c r="Q743" s="650"/>
      <c r="R743" s="650"/>
      <c r="S743" s="650"/>
      <c r="T743" s="650"/>
      <c r="U743" s="650"/>
      <c r="V743" s="650"/>
      <c r="W743" s="650"/>
      <c r="X743" s="650"/>
      <c r="Y743" s="650"/>
      <c r="Z743" s="650"/>
      <c r="AA743" s="650"/>
      <c r="AB743" s="650"/>
      <c r="AC743" s="650"/>
      <c r="AD743" s="650"/>
      <c r="AE743" s="650"/>
      <c r="AF743" s="650"/>
      <c r="AG743" s="650"/>
      <c r="AH743" s="650"/>
      <c r="AI743" s="650"/>
      <c r="AJ743" s="650"/>
      <c r="AK743" s="650"/>
      <c r="AL743" s="650"/>
      <c r="AM743" s="650"/>
      <c r="AN743" s="650"/>
      <c r="AO743" s="650"/>
      <c r="AP743" s="650"/>
      <c r="AQ743" s="650"/>
      <c r="AR743" s="650"/>
      <c r="AS743" s="650"/>
      <c r="AT743" s="650"/>
      <c r="AU743" s="650"/>
      <c r="AV743" s="650"/>
      <c r="AW743" s="650"/>
      <c r="AX743" s="650"/>
      <c r="AY743" s="650"/>
    </row>
    <row r="744" ht="21.75" customHeight="1">
      <c r="A744" s="650"/>
      <c r="B744" s="650"/>
      <c r="C744" s="650"/>
      <c r="D744" s="650"/>
      <c r="E744" s="650"/>
      <c r="F744" s="650"/>
      <c r="G744" s="650"/>
      <c r="H744" s="650"/>
      <c r="I744" s="650"/>
      <c r="J744" s="650"/>
      <c r="K744" s="650"/>
      <c r="L744" s="650"/>
      <c r="M744" s="650"/>
      <c r="N744" s="650"/>
      <c r="O744" s="650"/>
      <c r="P744" s="650"/>
      <c r="Q744" s="650"/>
      <c r="R744" s="650"/>
      <c r="S744" s="650"/>
      <c r="T744" s="650"/>
      <c r="U744" s="650"/>
      <c r="V744" s="650"/>
      <c r="W744" s="650"/>
      <c r="X744" s="650"/>
      <c r="Y744" s="650"/>
      <c r="Z744" s="650"/>
      <c r="AA744" s="650"/>
      <c r="AB744" s="650"/>
      <c r="AC744" s="650"/>
      <c r="AD744" s="650"/>
      <c r="AE744" s="650"/>
      <c r="AF744" s="650"/>
      <c r="AG744" s="650"/>
      <c r="AH744" s="650"/>
      <c r="AI744" s="650"/>
      <c r="AJ744" s="650"/>
      <c r="AK744" s="650"/>
      <c r="AL744" s="650"/>
      <c r="AM744" s="650"/>
      <c r="AN744" s="650"/>
      <c r="AO744" s="650"/>
      <c r="AP744" s="650"/>
      <c r="AQ744" s="650"/>
      <c r="AR744" s="650"/>
      <c r="AS744" s="650"/>
      <c r="AT744" s="650"/>
      <c r="AU744" s="650"/>
      <c r="AV744" s="650"/>
      <c r="AW744" s="650"/>
      <c r="AX744" s="650"/>
      <c r="AY744" s="650"/>
    </row>
    <row r="745" ht="21.75" customHeight="1">
      <c r="A745" s="650"/>
      <c r="B745" s="650"/>
      <c r="C745" s="650"/>
      <c r="D745" s="650"/>
      <c r="E745" s="650"/>
      <c r="F745" s="650"/>
      <c r="G745" s="650"/>
      <c r="H745" s="650"/>
      <c r="I745" s="650"/>
      <c r="J745" s="650"/>
      <c r="K745" s="650"/>
      <c r="L745" s="650"/>
      <c r="M745" s="650"/>
      <c r="N745" s="650"/>
      <c r="O745" s="650"/>
      <c r="P745" s="650"/>
      <c r="Q745" s="650"/>
      <c r="R745" s="650"/>
      <c r="S745" s="650"/>
      <c r="T745" s="650"/>
      <c r="U745" s="650"/>
      <c r="V745" s="650"/>
      <c r="W745" s="650"/>
      <c r="X745" s="650"/>
      <c r="Y745" s="650"/>
      <c r="Z745" s="650"/>
      <c r="AA745" s="650"/>
      <c r="AB745" s="650"/>
      <c r="AC745" s="650"/>
      <c r="AD745" s="650"/>
      <c r="AE745" s="650"/>
      <c r="AF745" s="650"/>
      <c r="AG745" s="650"/>
      <c r="AH745" s="650"/>
      <c r="AI745" s="650"/>
      <c r="AJ745" s="650"/>
      <c r="AK745" s="650"/>
      <c r="AL745" s="650"/>
      <c r="AM745" s="650"/>
      <c r="AN745" s="650"/>
      <c r="AO745" s="650"/>
      <c r="AP745" s="650"/>
      <c r="AQ745" s="650"/>
      <c r="AR745" s="650"/>
      <c r="AS745" s="650"/>
      <c r="AT745" s="650"/>
      <c r="AU745" s="650"/>
      <c r="AV745" s="650"/>
      <c r="AW745" s="650"/>
      <c r="AX745" s="650"/>
      <c r="AY745" s="650"/>
    </row>
    <row r="746" ht="21.75" customHeight="1">
      <c r="A746" s="650"/>
      <c r="B746" s="650"/>
      <c r="C746" s="650"/>
      <c r="D746" s="650"/>
      <c r="E746" s="650"/>
      <c r="F746" s="650"/>
      <c r="G746" s="650"/>
      <c r="H746" s="650"/>
      <c r="I746" s="650"/>
      <c r="J746" s="650"/>
      <c r="K746" s="650"/>
      <c r="L746" s="650"/>
      <c r="M746" s="650"/>
      <c r="N746" s="650"/>
      <c r="O746" s="650"/>
      <c r="P746" s="650"/>
      <c r="Q746" s="650"/>
      <c r="R746" s="650"/>
      <c r="S746" s="650"/>
      <c r="T746" s="650"/>
      <c r="U746" s="650"/>
      <c r="V746" s="650"/>
      <c r="W746" s="650"/>
      <c r="X746" s="650"/>
      <c r="Y746" s="650"/>
      <c r="Z746" s="650"/>
      <c r="AA746" s="650"/>
      <c r="AB746" s="650"/>
      <c r="AC746" s="650"/>
      <c r="AD746" s="650"/>
      <c r="AE746" s="650"/>
      <c r="AF746" s="650"/>
      <c r="AG746" s="650"/>
      <c r="AH746" s="650"/>
      <c r="AI746" s="650"/>
      <c r="AJ746" s="650"/>
      <c r="AK746" s="650"/>
      <c r="AL746" s="650"/>
      <c r="AM746" s="650"/>
      <c r="AN746" s="650"/>
      <c r="AO746" s="650"/>
      <c r="AP746" s="650"/>
      <c r="AQ746" s="650"/>
      <c r="AR746" s="650"/>
      <c r="AS746" s="650"/>
      <c r="AT746" s="650"/>
      <c r="AU746" s="650"/>
      <c r="AV746" s="650"/>
      <c r="AW746" s="650"/>
      <c r="AX746" s="650"/>
      <c r="AY746" s="650"/>
    </row>
    <row r="747" ht="21.75" customHeight="1">
      <c r="A747" s="650"/>
      <c r="B747" s="650"/>
      <c r="C747" s="650"/>
      <c r="D747" s="650"/>
      <c r="E747" s="650"/>
      <c r="F747" s="650"/>
      <c r="G747" s="650"/>
      <c r="H747" s="650"/>
      <c r="I747" s="650"/>
      <c r="J747" s="650"/>
      <c r="K747" s="650"/>
      <c r="L747" s="650"/>
      <c r="M747" s="650"/>
      <c r="N747" s="650"/>
      <c r="O747" s="650"/>
      <c r="P747" s="650"/>
      <c r="Q747" s="650"/>
      <c r="R747" s="650"/>
      <c r="S747" s="650"/>
      <c r="T747" s="650"/>
      <c r="U747" s="650"/>
      <c r="V747" s="650"/>
      <c r="W747" s="650"/>
      <c r="X747" s="650"/>
      <c r="Y747" s="650"/>
      <c r="Z747" s="650"/>
      <c r="AA747" s="650"/>
      <c r="AB747" s="650"/>
      <c r="AC747" s="650"/>
      <c r="AD747" s="650"/>
      <c r="AE747" s="650"/>
      <c r="AF747" s="650"/>
      <c r="AG747" s="650"/>
      <c r="AH747" s="650"/>
      <c r="AI747" s="650"/>
      <c r="AJ747" s="650"/>
      <c r="AK747" s="650"/>
      <c r="AL747" s="650"/>
      <c r="AM747" s="650"/>
      <c r="AN747" s="650"/>
      <c r="AO747" s="650"/>
      <c r="AP747" s="650"/>
      <c r="AQ747" s="650"/>
      <c r="AR747" s="650"/>
      <c r="AS747" s="650"/>
      <c r="AT747" s="650"/>
      <c r="AU747" s="650"/>
      <c r="AV747" s="650"/>
      <c r="AW747" s="650"/>
      <c r="AX747" s="650"/>
      <c r="AY747" s="650"/>
    </row>
    <row r="748" ht="21.75" customHeight="1">
      <c r="A748" s="650"/>
      <c r="B748" s="650"/>
      <c r="C748" s="650"/>
      <c r="D748" s="650"/>
      <c r="E748" s="650"/>
      <c r="F748" s="650"/>
      <c r="G748" s="650"/>
      <c r="H748" s="650"/>
      <c r="I748" s="650"/>
      <c r="J748" s="650"/>
      <c r="K748" s="650"/>
      <c r="L748" s="650"/>
      <c r="M748" s="650"/>
      <c r="N748" s="650"/>
      <c r="O748" s="650"/>
      <c r="P748" s="650"/>
      <c r="Q748" s="650"/>
      <c r="R748" s="650"/>
      <c r="S748" s="650"/>
      <c r="T748" s="650"/>
      <c r="U748" s="650"/>
      <c r="V748" s="650"/>
      <c r="W748" s="650"/>
      <c r="X748" s="650"/>
      <c r="Y748" s="650"/>
      <c r="Z748" s="650"/>
      <c r="AA748" s="650"/>
      <c r="AB748" s="650"/>
      <c r="AC748" s="650"/>
      <c r="AD748" s="650"/>
      <c r="AE748" s="650"/>
      <c r="AF748" s="650"/>
      <c r="AG748" s="650"/>
      <c r="AH748" s="650"/>
      <c r="AI748" s="650"/>
      <c r="AJ748" s="650"/>
      <c r="AK748" s="650"/>
      <c r="AL748" s="650"/>
      <c r="AM748" s="650"/>
      <c r="AN748" s="650"/>
      <c r="AO748" s="650"/>
      <c r="AP748" s="650"/>
      <c r="AQ748" s="650"/>
      <c r="AR748" s="650"/>
      <c r="AS748" s="650"/>
      <c r="AT748" s="650"/>
      <c r="AU748" s="650"/>
      <c r="AV748" s="650"/>
      <c r="AW748" s="650"/>
      <c r="AX748" s="650"/>
      <c r="AY748" s="650"/>
    </row>
    <row r="749" ht="21.75" customHeight="1">
      <c r="A749" s="650"/>
      <c r="B749" s="650"/>
      <c r="C749" s="650"/>
      <c r="D749" s="650"/>
      <c r="E749" s="650"/>
      <c r="F749" s="650"/>
      <c r="G749" s="650"/>
      <c r="H749" s="650"/>
      <c r="I749" s="650"/>
      <c r="J749" s="650"/>
      <c r="K749" s="650"/>
      <c r="L749" s="650"/>
      <c r="M749" s="650"/>
      <c r="N749" s="650"/>
      <c r="O749" s="650"/>
      <c r="P749" s="650"/>
      <c r="Q749" s="650"/>
      <c r="R749" s="650"/>
      <c r="S749" s="650"/>
      <c r="T749" s="650"/>
      <c r="U749" s="650"/>
      <c r="V749" s="650"/>
      <c r="W749" s="650"/>
      <c r="X749" s="650"/>
      <c r="Y749" s="650"/>
      <c r="Z749" s="650"/>
      <c r="AA749" s="650"/>
      <c r="AB749" s="650"/>
      <c r="AC749" s="650"/>
      <c r="AD749" s="650"/>
      <c r="AE749" s="650"/>
      <c r="AF749" s="650"/>
      <c r="AG749" s="650"/>
      <c r="AH749" s="650"/>
      <c r="AI749" s="650"/>
      <c r="AJ749" s="650"/>
      <c r="AK749" s="650"/>
      <c r="AL749" s="650"/>
      <c r="AM749" s="650"/>
      <c r="AN749" s="650"/>
      <c r="AO749" s="650"/>
      <c r="AP749" s="650"/>
      <c r="AQ749" s="650"/>
      <c r="AR749" s="650"/>
      <c r="AS749" s="650"/>
      <c r="AT749" s="650"/>
      <c r="AU749" s="650"/>
      <c r="AV749" s="650"/>
      <c r="AW749" s="650"/>
      <c r="AX749" s="650"/>
      <c r="AY749" s="650"/>
    </row>
    <row r="750" ht="21.75" customHeight="1">
      <c r="A750" s="650"/>
      <c r="B750" s="650"/>
      <c r="C750" s="650"/>
      <c r="D750" s="650"/>
      <c r="E750" s="650"/>
      <c r="F750" s="650"/>
      <c r="G750" s="650"/>
      <c r="H750" s="650"/>
      <c r="I750" s="650"/>
      <c r="J750" s="650"/>
      <c r="K750" s="650"/>
      <c r="L750" s="650"/>
      <c r="M750" s="650"/>
      <c r="N750" s="650"/>
      <c r="O750" s="650"/>
      <c r="P750" s="650"/>
      <c r="Q750" s="650"/>
      <c r="R750" s="650"/>
      <c r="S750" s="650"/>
      <c r="T750" s="650"/>
      <c r="U750" s="650"/>
      <c r="V750" s="650"/>
      <c r="W750" s="650"/>
      <c r="X750" s="650"/>
      <c r="Y750" s="650"/>
      <c r="Z750" s="650"/>
      <c r="AA750" s="650"/>
      <c r="AB750" s="650"/>
      <c r="AC750" s="650"/>
      <c r="AD750" s="650"/>
      <c r="AE750" s="650"/>
      <c r="AF750" s="650"/>
      <c r="AG750" s="650"/>
      <c r="AH750" s="650"/>
      <c r="AI750" s="650"/>
      <c r="AJ750" s="650"/>
      <c r="AK750" s="650"/>
      <c r="AL750" s="650"/>
      <c r="AM750" s="650"/>
      <c r="AN750" s="650"/>
      <c r="AO750" s="650"/>
      <c r="AP750" s="650"/>
      <c r="AQ750" s="650"/>
      <c r="AR750" s="650"/>
      <c r="AS750" s="650"/>
      <c r="AT750" s="650"/>
      <c r="AU750" s="650"/>
      <c r="AV750" s="650"/>
      <c r="AW750" s="650"/>
      <c r="AX750" s="650"/>
      <c r="AY750" s="650"/>
    </row>
    <row r="751" ht="21.75" customHeight="1">
      <c r="A751" s="650"/>
      <c r="B751" s="650"/>
      <c r="C751" s="650"/>
      <c r="D751" s="650"/>
      <c r="E751" s="650"/>
      <c r="F751" s="650"/>
      <c r="G751" s="650"/>
      <c r="H751" s="650"/>
      <c r="I751" s="650"/>
      <c r="J751" s="650"/>
      <c r="K751" s="650"/>
      <c r="L751" s="650"/>
      <c r="M751" s="650"/>
      <c r="N751" s="650"/>
      <c r="O751" s="650"/>
      <c r="P751" s="650"/>
      <c r="Q751" s="650"/>
      <c r="R751" s="650"/>
      <c r="S751" s="650"/>
      <c r="T751" s="650"/>
      <c r="U751" s="650"/>
      <c r="V751" s="650"/>
      <c r="W751" s="650"/>
      <c r="X751" s="650"/>
      <c r="Y751" s="650"/>
      <c r="Z751" s="650"/>
      <c r="AA751" s="650"/>
      <c r="AB751" s="650"/>
      <c r="AC751" s="650"/>
      <c r="AD751" s="650"/>
      <c r="AE751" s="650"/>
      <c r="AF751" s="650"/>
      <c r="AG751" s="650"/>
      <c r="AH751" s="650"/>
      <c r="AI751" s="650"/>
      <c r="AJ751" s="650"/>
      <c r="AK751" s="650"/>
      <c r="AL751" s="650"/>
      <c r="AM751" s="650"/>
      <c r="AN751" s="650"/>
      <c r="AO751" s="650"/>
      <c r="AP751" s="650"/>
      <c r="AQ751" s="650"/>
      <c r="AR751" s="650"/>
      <c r="AS751" s="650"/>
      <c r="AT751" s="650"/>
      <c r="AU751" s="650"/>
      <c r="AV751" s="650"/>
      <c r="AW751" s="650"/>
      <c r="AX751" s="650"/>
      <c r="AY751" s="650"/>
    </row>
    <row r="752" ht="21.75" customHeight="1">
      <c r="A752" s="650"/>
      <c r="B752" s="650"/>
      <c r="C752" s="650"/>
      <c r="D752" s="650"/>
      <c r="E752" s="650"/>
      <c r="F752" s="650"/>
      <c r="G752" s="650"/>
      <c r="H752" s="650"/>
      <c r="I752" s="650"/>
      <c r="J752" s="650"/>
      <c r="K752" s="650"/>
      <c r="L752" s="650"/>
      <c r="M752" s="650"/>
      <c r="N752" s="650"/>
      <c r="O752" s="650"/>
      <c r="P752" s="650"/>
      <c r="Q752" s="650"/>
      <c r="R752" s="650"/>
      <c r="S752" s="650"/>
      <c r="T752" s="650"/>
      <c r="U752" s="650"/>
      <c r="V752" s="650"/>
      <c r="W752" s="650"/>
      <c r="X752" s="650"/>
      <c r="Y752" s="650"/>
      <c r="Z752" s="650"/>
      <c r="AA752" s="650"/>
      <c r="AB752" s="650"/>
      <c r="AC752" s="650"/>
      <c r="AD752" s="650"/>
      <c r="AE752" s="650"/>
      <c r="AF752" s="650"/>
      <c r="AG752" s="650"/>
      <c r="AH752" s="650"/>
      <c r="AI752" s="650"/>
      <c r="AJ752" s="650"/>
      <c r="AK752" s="650"/>
      <c r="AL752" s="650"/>
      <c r="AM752" s="650"/>
      <c r="AN752" s="650"/>
      <c r="AO752" s="650"/>
      <c r="AP752" s="650"/>
      <c r="AQ752" s="650"/>
      <c r="AR752" s="650"/>
      <c r="AS752" s="650"/>
      <c r="AT752" s="650"/>
      <c r="AU752" s="650"/>
      <c r="AV752" s="650"/>
      <c r="AW752" s="650"/>
      <c r="AX752" s="650"/>
      <c r="AY752" s="650"/>
    </row>
    <row r="753" ht="21.75" customHeight="1">
      <c r="A753" s="650"/>
      <c r="B753" s="650"/>
      <c r="C753" s="650"/>
      <c r="D753" s="650"/>
      <c r="E753" s="650"/>
      <c r="F753" s="650"/>
      <c r="G753" s="650"/>
      <c r="H753" s="650"/>
      <c r="I753" s="650"/>
      <c r="J753" s="650"/>
      <c r="K753" s="650"/>
      <c r="L753" s="650"/>
      <c r="M753" s="650"/>
      <c r="N753" s="650"/>
      <c r="O753" s="650"/>
      <c r="P753" s="650"/>
      <c r="Q753" s="650"/>
      <c r="R753" s="650"/>
      <c r="S753" s="650"/>
      <c r="T753" s="650"/>
      <c r="U753" s="650"/>
      <c r="V753" s="650"/>
      <c r="W753" s="650"/>
      <c r="X753" s="650"/>
      <c r="Y753" s="650"/>
      <c r="Z753" s="650"/>
      <c r="AA753" s="650"/>
      <c r="AB753" s="650"/>
      <c r="AC753" s="650"/>
      <c r="AD753" s="650"/>
      <c r="AE753" s="650"/>
      <c r="AF753" s="650"/>
      <c r="AG753" s="650"/>
      <c r="AH753" s="650"/>
      <c r="AI753" s="650"/>
      <c r="AJ753" s="650"/>
      <c r="AK753" s="650"/>
      <c r="AL753" s="650"/>
      <c r="AM753" s="650"/>
      <c r="AN753" s="650"/>
      <c r="AO753" s="650"/>
      <c r="AP753" s="650"/>
      <c r="AQ753" s="650"/>
      <c r="AR753" s="650"/>
      <c r="AS753" s="650"/>
      <c r="AT753" s="650"/>
      <c r="AU753" s="650"/>
      <c r="AV753" s="650"/>
      <c r="AW753" s="650"/>
      <c r="AX753" s="650"/>
      <c r="AY753" s="650"/>
    </row>
    <row r="754" ht="21.75" customHeight="1">
      <c r="A754" s="650"/>
      <c r="B754" s="650"/>
      <c r="C754" s="650"/>
      <c r="D754" s="650"/>
      <c r="E754" s="650"/>
      <c r="F754" s="650"/>
      <c r="G754" s="650"/>
      <c r="H754" s="650"/>
      <c r="I754" s="650"/>
      <c r="J754" s="650"/>
      <c r="K754" s="650"/>
      <c r="L754" s="650"/>
      <c r="M754" s="650"/>
      <c r="N754" s="650"/>
      <c r="O754" s="650"/>
      <c r="P754" s="650"/>
      <c r="Q754" s="650"/>
      <c r="R754" s="650"/>
      <c r="S754" s="650"/>
      <c r="T754" s="650"/>
      <c r="U754" s="650"/>
      <c r="V754" s="650"/>
      <c r="W754" s="650"/>
      <c r="X754" s="650"/>
      <c r="Y754" s="650"/>
      <c r="Z754" s="650"/>
      <c r="AA754" s="650"/>
      <c r="AB754" s="650"/>
      <c r="AC754" s="650"/>
      <c r="AD754" s="650"/>
      <c r="AE754" s="650"/>
      <c r="AF754" s="650"/>
      <c r="AG754" s="650"/>
      <c r="AH754" s="650"/>
      <c r="AI754" s="650"/>
      <c r="AJ754" s="650"/>
      <c r="AK754" s="650"/>
      <c r="AL754" s="650"/>
      <c r="AM754" s="650"/>
      <c r="AN754" s="650"/>
      <c r="AO754" s="650"/>
      <c r="AP754" s="650"/>
      <c r="AQ754" s="650"/>
      <c r="AR754" s="650"/>
      <c r="AS754" s="650"/>
      <c r="AT754" s="650"/>
      <c r="AU754" s="650"/>
      <c r="AV754" s="650"/>
      <c r="AW754" s="650"/>
      <c r="AX754" s="650"/>
      <c r="AY754" s="650"/>
    </row>
    <row r="755" ht="21.75" customHeight="1">
      <c r="A755" s="650"/>
      <c r="B755" s="650"/>
      <c r="C755" s="650"/>
      <c r="D755" s="650"/>
      <c r="E755" s="650"/>
      <c r="F755" s="650"/>
      <c r="G755" s="650"/>
      <c r="H755" s="650"/>
      <c r="I755" s="650"/>
      <c r="J755" s="650"/>
      <c r="K755" s="650"/>
      <c r="L755" s="650"/>
      <c r="M755" s="650"/>
      <c r="N755" s="650"/>
      <c r="O755" s="650"/>
      <c r="P755" s="650"/>
      <c r="Q755" s="650"/>
      <c r="R755" s="650"/>
      <c r="S755" s="650"/>
      <c r="T755" s="650"/>
      <c r="U755" s="650"/>
      <c r="V755" s="650"/>
      <c r="W755" s="650"/>
      <c r="X755" s="650"/>
      <c r="Y755" s="650"/>
      <c r="Z755" s="650"/>
      <c r="AA755" s="650"/>
      <c r="AB755" s="650"/>
      <c r="AC755" s="650"/>
      <c r="AD755" s="650"/>
      <c r="AE755" s="650"/>
      <c r="AF755" s="650"/>
      <c r="AG755" s="650"/>
      <c r="AH755" s="650"/>
      <c r="AI755" s="650"/>
      <c r="AJ755" s="650"/>
      <c r="AK755" s="650"/>
      <c r="AL755" s="650"/>
      <c r="AM755" s="650"/>
      <c r="AN755" s="650"/>
      <c r="AO755" s="650"/>
      <c r="AP755" s="650"/>
      <c r="AQ755" s="650"/>
      <c r="AR755" s="650"/>
      <c r="AS755" s="650"/>
      <c r="AT755" s="650"/>
      <c r="AU755" s="650"/>
      <c r="AV755" s="650"/>
      <c r="AW755" s="650"/>
      <c r="AX755" s="650"/>
      <c r="AY755" s="650"/>
    </row>
    <row r="756" ht="21.75" customHeight="1">
      <c r="A756" s="650"/>
      <c r="B756" s="650"/>
      <c r="C756" s="650"/>
      <c r="D756" s="650"/>
      <c r="E756" s="650"/>
      <c r="F756" s="650"/>
      <c r="G756" s="650"/>
      <c r="H756" s="650"/>
      <c r="I756" s="650"/>
      <c r="J756" s="650"/>
      <c r="K756" s="650"/>
      <c r="L756" s="650"/>
      <c r="M756" s="650"/>
      <c r="N756" s="650"/>
      <c r="O756" s="650"/>
      <c r="P756" s="650"/>
      <c r="Q756" s="650"/>
      <c r="R756" s="650"/>
      <c r="S756" s="650"/>
      <c r="T756" s="650"/>
      <c r="U756" s="650"/>
      <c r="V756" s="650"/>
      <c r="W756" s="650"/>
      <c r="X756" s="650"/>
      <c r="Y756" s="650"/>
      <c r="Z756" s="650"/>
      <c r="AA756" s="650"/>
      <c r="AB756" s="650"/>
      <c r="AC756" s="650"/>
      <c r="AD756" s="650"/>
      <c r="AE756" s="650"/>
      <c r="AF756" s="650"/>
      <c r="AG756" s="650"/>
      <c r="AH756" s="650"/>
      <c r="AI756" s="650"/>
      <c r="AJ756" s="650"/>
      <c r="AK756" s="650"/>
      <c r="AL756" s="650"/>
      <c r="AM756" s="650"/>
      <c r="AN756" s="650"/>
      <c r="AO756" s="650"/>
      <c r="AP756" s="650"/>
      <c r="AQ756" s="650"/>
      <c r="AR756" s="650"/>
      <c r="AS756" s="650"/>
      <c r="AT756" s="650"/>
      <c r="AU756" s="650"/>
      <c r="AV756" s="650"/>
      <c r="AW756" s="650"/>
      <c r="AX756" s="650"/>
      <c r="AY756" s="650"/>
    </row>
    <row r="757" ht="21.75" customHeight="1">
      <c r="A757" s="650"/>
      <c r="B757" s="650"/>
      <c r="C757" s="650"/>
      <c r="D757" s="650"/>
      <c r="E757" s="650"/>
      <c r="F757" s="650"/>
      <c r="G757" s="650"/>
      <c r="H757" s="650"/>
      <c r="I757" s="650"/>
      <c r="J757" s="650"/>
      <c r="K757" s="650"/>
      <c r="L757" s="650"/>
      <c r="M757" s="650"/>
      <c r="N757" s="650"/>
      <c r="O757" s="650"/>
      <c r="P757" s="650"/>
      <c r="Q757" s="650"/>
      <c r="R757" s="650"/>
      <c r="S757" s="650"/>
      <c r="T757" s="650"/>
      <c r="U757" s="650"/>
      <c r="V757" s="650"/>
      <c r="W757" s="650"/>
      <c r="X757" s="650"/>
      <c r="Y757" s="650"/>
      <c r="Z757" s="650"/>
      <c r="AA757" s="650"/>
      <c r="AB757" s="650"/>
      <c r="AC757" s="650"/>
      <c r="AD757" s="650"/>
      <c r="AE757" s="650"/>
      <c r="AF757" s="650"/>
      <c r="AG757" s="650"/>
      <c r="AH757" s="650"/>
      <c r="AI757" s="650"/>
      <c r="AJ757" s="650"/>
      <c r="AK757" s="650"/>
      <c r="AL757" s="650"/>
      <c r="AM757" s="650"/>
      <c r="AN757" s="650"/>
      <c r="AO757" s="650"/>
      <c r="AP757" s="650"/>
      <c r="AQ757" s="650"/>
      <c r="AR757" s="650"/>
      <c r="AS757" s="650"/>
      <c r="AT757" s="650"/>
      <c r="AU757" s="650"/>
      <c r="AV757" s="650"/>
      <c r="AW757" s="650"/>
      <c r="AX757" s="650"/>
      <c r="AY757" s="650"/>
    </row>
    <row r="758" ht="21.75" customHeight="1">
      <c r="A758" s="650"/>
      <c r="B758" s="650"/>
      <c r="C758" s="650"/>
      <c r="D758" s="650"/>
      <c r="E758" s="650"/>
      <c r="F758" s="650"/>
      <c r="G758" s="650"/>
      <c r="H758" s="650"/>
      <c r="I758" s="650"/>
      <c r="J758" s="650"/>
      <c r="K758" s="650"/>
      <c r="L758" s="650"/>
      <c r="M758" s="650"/>
      <c r="N758" s="650"/>
      <c r="O758" s="650"/>
      <c r="P758" s="650"/>
      <c r="Q758" s="650"/>
      <c r="R758" s="650"/>
      <c r="S758" s="650"/>
      <c r="T758" s="650"/>
      <c r="U758" s="650"/>
      <c r="V758" s="650"/>
      <c r="W758" s="650"/>
      <c r="X758" s="650"/>
      <c r="Y758" s="650"/>
      <c r="Z758" s="650"/>
      <c r="AA758" s="650"/>
      <c r="AB758" s="650"/>
      <c r="AC758" s="650"/>
      <c r="AD758" s="650"/>
      <c r="AE758" s="650"/>
      <c r="AF758" s="650"/>
      <c r="AG758" s="650"/>
      <c r="AH758" s="650"/>
      <c r="AI758" s="650"/>
      <c r="AJ758" s="650"/>
      <c r="AK758" s="650"/>
      <c r="AL758" s="650"/>
      <c r="AM758" s="650"/>
      <c r="AN758" s="650"/>
      <c r="AO758" s="650"/>
      <c r="AP758" s="650"/>
      <c r="AQ758" s="650"/>
      <c r="AR758" s="650"/>
      <c r="AS758" s="650"/>
      <c r="AT758" s="650"/>
      <c r="AU758" s="650"/>
      <c r="AV758" s="650"/>
      <c r="AW758" s="650"/>
      <c r="AX758" s="650"/>
      <c r="AY758" s="650"/>
    </row>
    <row r="759" ht="21.75" customHeight="1">
      <c r="A759" s="650"/>
      <c r="B759" s="650"/>
      <c r="C759" s="650"/>
      <c r="D759" s="650"/>
      <c r="E759" s="650"/>
      <c r="F759" s="650"/>
      <c r="G759" s="650"/>
      <c r="H759" s="650"/>
      <c r="I759" s="650"/>
      <c r="J759" s="650"/>
      <c r="K759" s="650"/>
      <c r="L759" s="650"/>
      <c r="M759" s="650"/>
      <c r="N759" s="650"/>
      <c r="O759" s="650"/>
      <c r="P759" s="650"/>
      <c r="Q759" s="650"/>
      <c r="R759" s="650"/>
      <c r="S759" s="650"/>
      <c r="T759" s="650"/>
      <c r="U759" s="650"/>
      <c r="V759" s="650"/>
      <c r="W759" s="650"/>
      <c r="X759" s="650"/>
      <c r="Y759" s="650"/>
      <c r="Z759" s="650"/>
      <c r="AA759" s="650"/>
      <c r="AB759" s="650"/>
      <c r="AC759" s="650"/>
      <c r="AD759" s="650"/>
      <c r="AE759" s="650"/>
      <c r="AF759" s="650"/>
      <c r="AG759" s="650"/>
      <c r="AH759" s="650"/>
      <c r="AI759" s="650"/>
      <c r="AJ759" s="650"/>
      <c r="AK759" s="650"/>
      <c r="AL759" s="650"/>
      <c r="AM759" s="650"/>
      <c r="AN759" s="650"/>
      <c r="AO759" s="650"/>
      <c r="AP759" s="650"/>
      <c r="AQ759" s="650"/>
      <c r="AR759" s="650"/>
      <c r="AS759" s="650"/>
      <c r="AT759" s="650"/>
      <c r="AU759" s="650"/>
      <c r="AV759" s="650"/>
      <c r="AW759" s="650"/>
      <c r="AX759" s="650"/>
      <c r="AY759" s="650"/>
    </row>
    <row r="760" ht="21.75" customHeight="1">
      <c r="A760" s="650"/>
      <c r="B760" s="650"/>
      <c r="C760" s="650"/>
      <c r="D760" s="650"/>
      <c r="E760" s="650"/>
      <c r="F760" s="650"/>
      <c r="G760" s="650"/>
      <c r="H760" s="650"/>
      <c r="I760" s="650"/>
      <c r="J760" s="650"/>
      <c r="K760" s="650"/>
      <c r="L760" s="650"/>
      <c r="M760" s="650"/>
      <c r="N760" s="650"/>
      <c r="O760" s="650"/>
      <c r="P760" s="650"/>
      <c r="Q760" s="650"/>
      <c r="R760" s="650"/>
      <c r="S760" s="650"/>
      <c r="T760" s="650"/>
      <c r="U760" s="650"/>
      <c r="V760" s="650"/>
      <c r="W760" s="650"/>
      <c r="X760" s="650"/>
      <c r="Y760" s="650"/>
      <c r="Z760" s="650"/>
      <c r="AA760" s="650"/>
      <c r="AB760" s="650"/>
      <c r="AC760" s="650"/>
      <c r="AD760" s="650"/>
      <c r="AE760" s="650"/>
      <c r="AF760" s="650"/>
      <c r="AG760" s="650"/>
      <c r="AH760" s="650"/>
      <c r="AI760" s="650"/>
      <c r="AJ760" s="650"/>
      <c r="AK760" s="650"/>
      <c r="AL760" s="650"/>
      <c r="AM760" s="650"/>
      <c r="AN760" s="650"/>
      <c r="AO760" s="650"/>
      <c r="AP760" s="650"/>
      <c r="AQ760" s="650"/>
      <c r="AR760" s="650"/>
      <c r="AS760" s="650"/>
      <c r="AT760" s="650"/>
      <c r="AU760" s="650"/>
      <c r="AV760" s="650"/>
      <c r="AW760" s="650"/>
      <c r="AX760" s="650"/>
      <c r="AY760" s="650"/>
    </row>
    <row r="761" ht="21.75" customHeight="1">
      <c r="A761" s="650"/>
      <c r="B761" s="650"/>
      <c r="C761" s="650"/>
      <c r="D761" s="650"/>
      <c r="E761" s="650"/>
      <c r="F761" s="650"/>
      <c r="G761" s="650"/>
      <c r="H761" s="650"/>
      <c r="I761" s="650"/>
      <c r="J761" s="650"/>
      <c r="K761" s="650"/>
      <c r="L761" s="650"/>
      <c r="M761" s="650"/>
      <c r="N761" s="650"/>
      <c r="O761" s="650"/>
      <c r="P761" s="650"/>
      <c r="Q761" s="650"/>
      <c r="R761" s="650"/>
      <c r="S761" s="650"/>
      <c r="T761" s="650"/>
      <c r="U761" s="650"/>
      <c r="V761" s="650"/>
      <c r="W761" s="650"/>
      <c r="X761" s="650"/>
      <c r="Y761" s="650"/>
      <c r="Z761" s="650"/>
      <c r="AA761" s="650"/>
      <c r="AB761" s="650"/>
      <c r="AC761" s="650"/>
      <c r="AD761" s="650"/>
      <c r="AE761" s="650"/>
      <c r="AF761" s="650"/>
      <c r="AG761" s="650"/>
      <c r="AH761" s="650"/>
      <c r="AI761" s="650"/>
      <c r="AJ761" s="650"/>
      <c r="AK761" s="650"/>
      <c r="AL761" s="650"/>
      <c r="AM761" s="650"/>
      <c r="AN761" s="650"/>
      <c r="AO761" s="650"/>
      <c r="AP761" s="650"/>
      <c r="AQ761" s="650"/>
      <c r="AR761" s="650"/>
      <c r="AS761" s="650"/>
      <c r="AT761" s="650"/>
      <c r="AU761" s="650"/>
      <c r="AV761" s="650"/>
      <c r="AW761" s="650"/>
      <c r="AX761" s="650"/>
      <c r="AY761" s="650"/>
    </row>
    <row r="762" ht="21.75" customHeight="1">
      <c r="A762" s="650"/>
      <c r="B762" s="650"/>
      <c r="C762" s="650"/>
      <c r="D762" s="650"/>
      <c r="E762" s="650"/>
      <c r="F762" s="650"/>
      <c r="G762" s="650"/>
      <c r="H762" s="650"/>
      <c r="I762" s="650"/>
      <c r="J762" s="650"/>
      <c r="K762" s="650"/>
      <c r="L762" s="650"/>
      <c r="M762" s="650"/>
      <c r="N762" s="650"/>
      <c r="O762" s="650"/>
      <c r="P762" s="650"/>
      <c r="Q762" s="650"/>
      <c r="R762" s="650"/>
      <c r="S762" s="650"/>
      <c r="T762" s="650"/>
      <c r="U762" s="650"/>
      <c r="V762" s="650"/>
      <c r="W762" s="650"/>
      <c r="X762" s="650"/>
      <c r="Y762" s="650"/>
      <c r="Z762" s="650"/>
      <c r="AA762" s="650"/>
      <c r="AB762" s="650"/>
      <c r="AC762" s="650"/>
      <c r="AD762" s="650"/>
      <c r="AE762" s="650"/>
      <c r="AF762" s="650"/>
      <c r="AG762" s="650"/>
      <c r="AH762" s="650"/>
      <c r="AI762" s="650"/>
      <c r="AJ762" s="650"/>
      <c r="AK762" s="650"/>
      <c r="AL762" s="650"/>
      <c r="AM762" s="650"/>
      <c r="AN762" s="650"/>
      <c r="AO762" s="650"/>
      <c r="AP762" s="650"/>
      <c r="AQ762" s="650"/>
      <c r="AR762" s="650"/>
      <c r="AS762" s="650"/>
      <c r="AT762" s="650"/>
      <c r="AU762" s="650"/>
      <c r="AV762" s="650"/>
      <c r="AW762" s="650"/>
      <c r="AX762" s="650"/>
      <c r="AY762" s="650"/>
    </row>
    <row r="763" ht="21.75" customHeight="1">
      <c r="A763" s="650"/>
      <c r="B763" s="650"/>
      <c r="C763" s="650"/>
      <c r="D763" s="650"/>
      <c r="E763" s="650"/>
      <c r="F763" s="650"/>
      <c r="G763" s="650"/>
      <c r="H763" s="650"/>
      <c r="I763" s="650"/>
      <c r="J763" s="650"/>
      <c r="K763" s="650"/>
      <c r="L763" s="650"/>
      <c r="M763" s="650"/>
      <c r="N763" s="650"/>
      <c r="O763" s="650"/>
      <c r="P763" s="650"/>
      <c r="Q763" s="650"/>
      <c r="R763" s="650"/>
      <c r="S763" s="650"/>
      <c r="T763" s="650"/>
      <c r="U763" s="650"/>
      <c r="V763" s="650"/>
      <c r="W763" s="650"/>
      <c r="X763" s="650"/>
      <c r="Y763" s="650"/>
      <c r="Z763" s="650"/>
      <c r="AA763" s="650"/>
      <c r="AB763" s="650"/>
      <c r="AC763" s="650"/>
      <c r="AD763" s="650"/>
      <c r="AE763" s="650"/>
      <c r="AF763" s="650"/>
      <c r="AG763" s="650"/>
      <c r="AH763" s="650"/>
      <c r="AI763" s="650"/>
      <c r="AJ763" s="650"/>
      <c r="AK763" s="650"/>
      <c r="AL763" s="650"/>
      <c r="AM763" s="650"/>
      <c r="AN763" s="650"/>
      <c r="AO763" s="650"/>
      <c r="AP763" s="650"/>
      <c r="AQ763" s="650"/>
      <c r="AR763" s="650"/>
      <c r="AS763" s="650"/>
      <c r="AT763" s="650"/>
      <c r="AU763" s="650"/>
      <c r="AV763" s="650"/>
      <c r="AW763" s="650"/>
      <c r="AX763" s="650"/>
      <c r="AY763" s="650"/>
    </row>
    <row r="764" ht="21.75" customHeight="1">
      <c r="A764" s="650"/>
      <c r="B764" s="650"/>
      <c r="C764" s="650"/>
      <c r="D764" s="650"/>
      <c r="E764" s="650"/>
      <c r="F764" s="650"/>
      <c r="G764" s="650"/>
      <c r="H764" s="650"/>
      <c r="I764" s="650"/>
      <c r="J764" s="650"/>
      <c r="K764" s="650"/>
      <c r="L764" s="650"/>
      <c r="M764" s="650"/>
      <c r="N764" s="650"/>
      <c r="O764" s="650"/>
      <c r="P764" s="650"/>
      <c r="Q764" s="650"/>
      <c r="R764" s="650"/>
      <c r="S764" s="650"/>
      <c r="T764" s="650"/>
      <c r="U764" s="650"/>
      <c r="V764" s="650"/>
      <c r="W764" s="650"/>
      <c r="X764" s="650"/>
      <c r="Y764" s="650"/>
      <c r="Z764" s="650"/>
      <c r="AA764" s="650"/>
      <c r="AB764" s="650"/>
      <c r="AC764" s="650"/>
      <c r="AD764" s="650"/>
      <c r="AE764" s="650"/>
      <c r="AF764" s="650"/>
      <c r="AG764" s="650"/>
      <c r="AH764" s="650"/>
      <c r="AI764" s="650"/>
      <c r="AJ764" s="650"/>
      <c r="AK764" s="650"/>
      <c r="AL764" s="650"/>
      <c r="AM764" s="650"/>
      <c r="AN764" s="650"/>
      <c r="AO764" s="650"/>
      <c r="AP764" s="650"/>
      <c r="AQ764" s="650"/>
      <c r="AR764" s="650"/>
      <c r="AS764" s="650"/>
      <c r="AT764" s="650"/>
      <c r="AU764" s="650"/>
      <c r="AV764" s="650"/>
      <c r="AW764" s="650"/>
      <c r="AX764" s="650"/>
      <c r="AY764" s="650"/>
    </row>
    <row r="765" ht="21.75" customHeight="1">
      <c r="A765" s="650"/>
      <c r="B765" s="650"/>
      <c r="C765" s="650"/>
      <c r="D765" s="650"/>
      <c r="E765" s="650"/>
      <c r="F765" s="650"/>
      <c r="G765" s="650"/>
      <c r="H765" s="650"/>
      <c r="I765" s="650"/>
      <c r="J765" s="650"/>
      <c r="K765" s="650"/>
      <c r="L765" s="650"/>
      <c r="M765" s="650"/>
      <c r="N765" s="650"/>
      <c r="O765" s="650"/>
      <c r="P765" s="650"/>
      <c r="Q765" s="650"/>
      <c r="R765" s="650"/>
      <c r="S765" s="650"/>
      <c r="T765" s="650"/>
      <c r="U765" s="650"/>
      <c r="V765" s="650"/>
      <c r="W765" s="650"/>
      <c r="X765" s="650"/>
      <c r="Y765" s="650"/>
      <c r="Z765" s="650"/>
      <c r="AA765" s="650"/>
      <c r="AB765" s="650"/>
      <c r="AC765" s="650"/>
      <c r="AD765" s="650"/>
      <c r="AE765" s="650"/>
      <c r="AF765" s="650"/>
      <c r="AG765" s="650"/>
      <c r="AH765" s="650"/>
      <c r="AI765" s="650"/>
      <c r="AJ765" s="650"/>
      <c r="AK765" s="650"/>
      <c r="AL765" s="650"/>
      <c r="AM765" s="650"/>
      <c r="AN765" s="650"/>
      <c r="AO765" s="650"/>
      <c r="AP765" s="650"/>
      <c r="AQ765" s="650"/>
      <c r="AR765" s="650"/>
      <c r="AS765" s="650"/>
      <c r="AT765" s="650"/>
      <c r="AU765" s="650"/>
      <c r="AV765" s="650"/>
      <c r="AW765" s="650"/>
      <c r="AX765" s="650"/>
      <c r="AY765" s="650"/>
    </row>
    <row r="766" ht="21.75" customHeight="1">
      <c r="A766" s="650"/>
      <c r="B766" s="650"/>
      <c r="C766" s="650"/>
      <c r="D766" s="650"/>
      <c r="E766" s="650"/>
      <c r="F766" s="650"/>
      <c r="G766" s="650"/>
      <c r="H766" s="650"/>
      <c r="I766" s="650"/>
      <c r="J766" s="650"/>
      <c r="K766" s="650"/>
      <c r="L766" s="650"/>
      <c r="M766" s="650"/>
      <c r="N766" s="650"/>
      <c r="O766" s="650"/>
      <c r="P766" s="650"/>
      <c r="Q766" s="650"/>
      <c r="R766" s="650"/>
      <c r="S766" s="650"/>
      <c r="T766" s="650"/>
      <c r="U766" s="650"/>
      <c r="V766" s="650"/>
      <c r="W766" s="650"/>
      <c r="X766" s="650"/>
      <c r="Y766" s="650"/>
      <c r="Z766" s="650"/>
      <c r="AA766" s="650"/>
      <c r="AB766" s="650"/>
      <c r="AC766" s="650"/>
      <c r="AD766" s="650"/>
      <c r="AE766" s="650"/>
      <c r="AF766" s="650"/>
      <c r="AG766" s="650"/>
      <c r="AH766" s="650"/>
      <c r="AI766" s="650"/>
      <c r="AJ766" s="650"/>
      <c r="AK766" s="650"/>
      <c r="AL766" s="650"/>
      <c r="AM766" s="650"/>
      <c r="AN766" s="650"/>
      <c r="AO766" s="650"/>
      <c r="AP766" s="650"/>
      <c r="AQ766" s="650"/>
      <c r="AR766" s="650"/>
      <c r="AS766" s="650"/>
      <c r="AT766" s="650"/>
      <c r="AU766" s="650"/>
      <c r="AV766" s="650"/>
      <c r="AW766" s="650"/>
      <c r="AX766" s="650"/>
      <c r="AY766" s="650"/>
    </row>
    <row r="767" ht="21.75" customHeight="1">
      <c r="A767" s="650"/>
      <c r="B767" s="650"/>
      <c r="C767" s="650"/>
      <c r="D767" s="650"/>
      <c r="E767" s="650"/>
      <c r="F767" s="650"/>
      <c r="G767" s="650"/>
      <c r="H767" s="650"/>
      <c r="I767" s="650"/>
      <c r="J767" s="650"/>
      <c r="K767" s="650"/>
      <c r="L767" s="650"/>
      <c r="M767" s="650"/>
      <c r="N767" s="650"/>
      <c r="O767" s="650"/>
      <c r="P767" s="650"/>
      <c r="Q767" s="650"/>
      <c r="R767" s="650"/>
      <c r="S767" s="650"/>
      <c r="T767" s="650"/>
      <c r="U767" s="650"/>
      <c r="V767" s="650"/>
      <c r="W767" s="650"/>
      <c r="X767" s="650"/>
      <c r="Y767" s="650"/>
      <c r="Z767" s="650"/>
      <c r="AA767" s="650"/>
      <c r="AB767" s="650"/>
      <c r="AC767" s="650"/>
      <c r="AD767" s="650"/>
      <c r="AE767" s="650"/>
      <c r="AF767" s="650"/>
      <c r="AG767" s="650"/>
      <c r="AH767" s="650"/>
      <c r="AI767" s="650"/>
      <c r="AJ767" s="650"/>
      <c r="AK767" s="650"/>
      <c r="AL767" s="650"/>
      <c r="AM767" s="650"/>
      <c r="AN767" s="650"/>
      <c r="AO767" s="650"/>
      <c r="AP767" s="650"/>
      <c r="AQ767" s="650"/>
      <c r="AR767" s="650"/>
      <c r="AS767" s="650"/>
      <c r="AT767" s="650"/>
      <c r="AU767" s="650"/>
      <c r="AV767" s="650"/>
      <c r="AW767" s="650"/>
      <c r="AX767" s="650"/>
      <c r="AY767" s="650"/>
    </row>
    <row r="768" ht="21.75" customHeight="1">
      <c r="A768" s="650"/>
      <c r="B768" s="650"/>
      <c r="C768" s="650"/>
      <c r="D768" s="650"/>
      <c r="E768" s="650"/>
      <c r="F768" s="650"/>
      <c r="G768" s="650"/>
      <c r="H768" s="650"/>
      <c r="I768" s="650"/>
      <c r="J768" s="650"/>
      <c r="K768" s="650"/>
      <c r="L768" s="650"/>
      <c r="M768" s="650"/>
      <c r="N768" s="650"/>
      <c r="O768" s="650"/>
      <c r="P768" s="650"/>
      <c r="Q768" s="650"/>
      <c r="R768" s="650"/>
      <c r="S768" s="650"/>
      <c r="T768" s="650"/>
      <c r="U768" s="650"/>
      <c r="V768" s="650"/>
      <c r="W768" s="650"/>
      <c r="X768" s="650"/>
      <c r="Y768" s="650"/>
      <c r="Z768" s="650"/>
      <c r="AA768" s="650"/>
      <c r="AB768" s="650"/>
      <c r="AC768" s="650"/>
      <c r="AD768" s="650"/>
      <c r="AE768" s="650"/>
      <c r="AF768" s="650"/>
      <c r="AG768" s="650"/>
      <c r="AH768" s="650"/>
      <c r="AI768" s="650"/>
      <c r="AJ768" s="650"/>
      <c r="AK768" s="650"/>
      <c r="AL768" s="650"/>
      <c r="AM768" s="650"/>
      <c r="AN768" s="650"/>
      <c r="AO768" s="650"/>
      <c r="AP768" s="650"/>
      <c r="AQ768" s="650"/>
      <c r="AR768" s="650"/>
      <c r="AS768" s="650"/>
      <c r="AT768" s="650"/>
      <c r="AU768" s="650"/>
      <c r="AV768" s="650"/>
      <c r="AW768" s="650"/>
      <c r="AX768" s="650"/>
      <c r="AY768" s="650"/>
    </row>
    <row r="769" ht="21.75" customHeight="1">
      <c r="A769" s="650"/>
      <c r="B769" s="650"/>
      <c r="C769" s="650"/>
      <c r="D769" s="650"/>
      <c r="E769" s="650"/>
      <c r="F769" s="650"/>
      <c r="G769" s="650"/>
      <c r="H769" s="650"/>
      <c r="I769" s="650"/>
      <c r="J769" s="650"/>
      <c r="K769" s="650"/>
      <c r="L769" s="650"/>
      <c r="M769" s="650"/>
      <c r="N769" s="650"/>
      <c r="O769" s="650"/>
      <c r="P769" s="650"/>
      <c r="Q769" s="650"/>
      <c r="R769" s="650"/>
      <c r="S769" s="650"/>
      <c r="T769" s="650"/>
      <c r="U769" s="650"/>
      <c r="V769" s="650"/>
      <c r="W769" s="650"/>
      <c r="X769" s="650"/>
      <c r="Y769" s="650"/>
      <c r="Z769" s="650"/>
      <c r="AA769" s="650"/>
      <c r="AB769" s="650"/>
      <c r="AC769" s="650"/>
      <c r="AD769" s="650"/>
      <c r="AE769" s="650"/>
      <c r="AF769" s="650"/>
      <c r="AG769" s="650"/>
      <c r="AH769" s="650"/>
      <c r="AI769" s="650"/>
      <c r="AJ769" s="650"/>
      <c r="AK769" s="650"/>
      <c r="AL769" s="650"/>
      <c r="AM769" s="650"/>
      <c r="AN769" s="650"/>
      <c r="AO769" s="650"/>
      <c r="AP769" s="650"/>
      <c r="AQ769" s="650"/>
      <c r="AR769" s="650"/>
      <c r="AS769" s="650"/>
      <c r="AT769" s="650"/>
      <c r="AU769" s="650"/>
      <c r="AV769" s="650"/>
      <c r="AW769" s="650"/>
      <c r="AX769" s="650"/>
      <c r="AY769" s="650"/>
    </row>
    <row r="770" ht="21.75" customHeight="1">
      <c r="A770" s="650"/>
      <c r="B770" s="650"/>
      <c r="C770" s="650"/>
      <c r="D770" s="650"/>
      <c r="E770" s="650"/>
      <c r="F770" s="650"/>
      <c r="G770" s="650"/>
      <c r="H770" s="650"/>
      <c r="I770" s="650"/>
      <c r="J770" s="650"/>
      <c r="K770" s="650"/>
      <c r="L770" s="650"/>
      <c r="M770" s="650"/>
      <c r="N770" s="650"/>
      <c r="O770" s="650"/>
      <c r="P770" s="650"/>
      <c r="Q770" s="650"/>
      <c r="R770" s="650"/>
      <c r="S770" s="650"/>
      <c r="T770" s="650"/>
      <c r="U770" s="650"/>
      <c r="V770" s="650"/>
      <c r="W770" s="650"/>
      <c r="X770" s="650"/>
      <c r="Y770" s="650"/>
      <c r="Z770" s="650"/>
      <c r="AA770" s="650"/>
      <c r="AB770" s="650"/>
      <c r="AC770" s="650"/>
      <c r="AD770" s="650"/>
      <c r="AE770" s="650"/>
      <c r="AF770" s="650"/>
      <c r="AG770" s="650"/>
      <c r="AH770" s="650"/>
      <c r="AI770" s="650"/>
      <c r="AJ770" s="650"/>
      <c r="AK770" s="650"/>
      <c r="AL770" s="650"/>
      <c r="AM770" s="650"/>
      <c r="AN770" s="650"/>
      <c r="AO770" s="650"/>
      <c r="AP770" s="650"/>
      <c r="AQ770" s="650"/>
      <c r="AR770" s="650"/>
      <c r="AS770" s="650"/>
      <c r="AT770" s="650"/>
      <c r="AU770" s="650"/>
      <c r="AV770" s="650"/>
      <c r="AW770" s="650"/>
      <c r="AX770" s="650"/>
      <c r="AY770" s="650"/>
    </row>
    <row r="771" ht="21.75" customHeight="1">
      <c r="A771" s="650"/>
      <c r="B771" s="650"/>
      <c r="C771" s="650"/>
      <c r="D771" s="650"/>
      <c r="E771" s="650"/>
      <c r="F771" s="650"/>
      <c r="G771" s="650"/>
      <c r="H771" s="650"/>
      <c r="I771" s="650"/>
      <c r="J771" s="650"/>
      <c r="K771" s="650"/>
      <c r="L771" s="650"/>
      <c r="M771" s="650"/>
      <c r="N771" s="650"/>
      <c r="O771" s="650"/>
      <c r="P771" s="650"/>
      <c r="Q771" s="650"/>
      <c r="R771" s="650"/>
      <c r="S771" s="650"/>
      <c r="T771" s="650"/>
      <c r="U771" s="650"/>
      <c r="V771" s="650"/>
      <c r="W771" s="650"/>
      <c r="X771" s="650"/>
      <c r="Y771" s="650"/>
      <c r="Z771" s="650"/>
      <c r="AA771" s="650"/>
      <c r="AB771" s="650"/>
      <c r="AC771" s="650"/>
      <c r="AD771" s="650"/>
      <c r="AE771" s="650"/>
      <c r="AF771" s="650"/>
      <c r="AG771" s="650"/>
      <c r="AH771" s="650"/>
      <c r="AI771" s="650"/>
      <c r="AJ771" s="650"/>
      <c r="AK771" s="650"/>
      <c r="AL771" s="650"/>
      <c r="AM771" s="650"/>
      <c r="AN771" s="650"/>
      <c r="AO771" s="650"/>
      <c r="AP771" s="650"/>
      <c r="AQ771" s="650"/>
      <c r="AR771" s="650"/>
      <c r="AS771" s="650"/>
      <c r="AT771" s="650"/>
      <c r="AU771" s="650"/>
      <c r="AV771" s="650"/>
      <c r="AW771" s="650"/>
      <c r="AX771" s="650"/>
      <c r="AY771" s="650"/>
    </row>
    <row r="772" ht="21.75" customHeight="1">
      <c r="A772" s="650"/>
      <c r="B772" s="650"/>
      <c r="C772" s="650"/>
      <c r="D772" s="650"/>
      <c r="E772" s="650"/>
      <c r="F772" s="650"/>
      <c r="G772" s="650"/>
      <c r="H772" s="650"/>
      <c r="I772" s="650"/>
      <c r="J772" s="650"/>
      <c r="K772" s="650"/>
      <c r="L772" s="650"/>
      <c r="M772" s="650"/>
      <c r="N772" s="650"/>
      <c r="O772" s="650"/>
      <c r="P772" s="650"/>
      <c r="Q772" s="650"/>
      <c r="R772" s="650"/>
      <c r="S772" s="650"/>
      <c r="T772" s="650"/>
      <c r="U772" s="650"/>
      <c r="V772" s="650"/>
      <c r="W772" s="650"/>
      <c r="X772" s="650"/>
      <c r="Y772" s="650"/>
      <c r="Z772" s="650"/>
      <c r="AA772" s="650"/>
      <c r="AB772" s="650"/>
      <c r="AC772" s="650"/>
      <c r="AD772" s="650"/>
      <c r="AE772" s="650"/>
      <c r="AF772" s="650"/>
      <c r="AG772" s="650"/>
      <c r="AH772" s="650"/>
      <c r="AI772" s="650"/>
      <c r="AJ772" s="650"/>
      <c r="AK772" s="650"/>
      <c r="AL772" s="650"/>
      <c r="AM772" s="650"/>
      <c r="AN772" s="650"/>
      <c r="AO772" s="650"/>
      <c r="AP772" s="650"/>
      <c r="AQ772" s="650"/>
      <c r="AR772" s="650"/>
      <c r="AS772" s="650"/>
      <c r="AT772" s="650"/>
      <c r="AU772" s="650"/>
      <c r="AV772" s="650"/>
      <c r="AW772" s="650"/>
      <c r="AX772" s="650"/>
      <c r="AY772" s="650"/>
    </row>
    <row r="773" ht="21.75" customHeight="1">
      <c r="A773" s="650"/>
      <c r="B773" s="650"/>
      <c r="C773" s="650"/>
      <c r="D773" s="650"/>
      <c r="E773" s="650"/>
      <c r="F773" s="650"/>
      <c r="G773" s="650"/>
      <c r="H773" s="650"/>
      <c r="I773" s="650"/>
      <c r="J773" s="650"/>
      <c r="K773" s="650"/>
      <c r="L773" s="650"/>
      <c r="M773" s="650"/>
      <c r="N773" s="650"/>
      <c r="O773" s="650"/>
      <c r="P773" s="650"/>
      <c r="Q773" s="650"/>
      <c r="R773" s="650"/>
      <c r="S773" s="650"/>
      <c r="T773" s="650"/>
      <c r="U773" s="650"/>
      <c r="V773" s="650"/>
      <c r="W773" s="650"/>
      <c r="X773" s="650"/>
      <c r="Y773" s="650"/>
      <c r="Z773" s="650"/>
      <c r="AA773" s="650"/>
      <c r="AB773" s="650"/>
      <c r="AC773" s="650"/>
      <c r="AD773" s="650"/>
      <c r="AE773" s="650"/>
      <c r="AF773" s="650"/>
      <c r="AG773" s="650"/>
      <c r="AH773" s="650"/>
      <c r="AI773" s="650"/>
      <c r="AJ773" s="650"/>
      <c r="AK773" s="650"/>
      <c r="AL773" s="650"/>
      <c r="AM773" s="650"/>
      <c r="AN773" s="650"/>
      <c r="AO773" s="650"/>
      <c r="AP773" s="650"/>
      <c r="AQ773" s="650"/>
      <c r="AR773" s="650"/>
      <c r="AS773" s="650"/>
      <c r="AT773" s="650"/>
      <c r="AU773" s="650"/>
      <c r="AV773" s="650"/>
      <c r="AW773" s="650"/>
      <c r="AX773" s="650"/>
      <c r="AY773" s="650"/>
    </row>
    <row r="774" ht="21.75" customHeight="1">
      <c r="A774" s="650"/>
      <c r="B774" s="650"/>
      <c r="C774" s="650"/>
      <c r="D774" s="650"/>
      <c r="E774" s="650"/>
      <c r="F774" s="650"/>
      <c r="G774" s="650"/>
      <c r="H774" s="650"/>
      <c r="I774" s="650"/>
      <c r="J774" s="650"/>
      <c r="K774" s="650"/>
      <c r="L774" s="650"/>
      <c r="M774" s="650"/>
      <c r="N774" s="650"/>
      <c r="O774" s="650"/>
      <c r="P774" s="650"/>
      <c r="Q774" s="650"/>
      <c r="R774" s="650"/>
      <c r="S774" s="650"/>
      <c r="T774" s="650"/>
      <c r="U774" s="650"/>
      <c r="V774" s="650"/>
      <c r="W774" s="650"/>
      <c r="X774" s="650"/>
      <c r="Y774" s="650"/>
      <c r="Z774" s="650"/>
      <c r="AA774" s="650"/>
      <c r="AB774" s="650"/>
      <c r="AC774" s="650"/>
      <c r="AD774" s="650"/>
      <c r="AE774" s="650"/>
      <c r="AF774" s="650"/>
      <c r="AG774" s="650"/>
      <c r="AH774" s="650"/>
      <c r="AI774" s="650"/>
      <c r="AJ774" s="650"/>
      <c r="AK774" s="650"/>
      <c r="AL774" s="650"/>
      <c r="AM774" s="650"/>
      <c r="AN774" s="650"/>
      <c r="AO774" s="650"/>
      <c r="AP774" s="650"/>
      <c r="AQ774" s="650"/>
      <c r="AR774" s="650"/>
      <c r="AS774" s="650"/>
      <c r="AT774" s="650"/>
      <c r="AU774" s="650"/>
      <c r="AV774" s="650"/>
      <c r="AW774" s="650"/>
      <c r="AX774" s="650"/>
      <c r="AY774" s="650"/>
    </row>
    <row r="775" ht="21.75" customHeight="1">
      <c r="A775" s="650"/>
      <c r="B775" s="650"/>
      <c r="C775" s="650"/>
      <c r="D775" s="650"/>
      <c r="E775" s="650"/>
      <c r="F775" s="650"/>
      <c r="G775" s="650"/>
      <c r="H775" s="650"/>
      <c r="I775" s="650"/>
      <c r="J775" s="650"/>
      <c r="K775" s="650"/>
      <c r="L775" s="650"/>
      <c r="M775" s="650"/>
      <c r="N775" s="650"/>
      <c r="O775" s="650"/>
      <c r="P775" s="650"/>
      <c r="Q775" s="650"/>
      <c r="R775" s="650"/>
      <c r="S775" s="650"/>
      <c r="T775" s="650"/>
      <c r="U775" s="650"/>
      <c r="V775" s="650"/>
      <c r="W775" s="650"/>
      <c r="X775" s="650"/>
      <c r="Y775" s="650"/>
      <c r="Z775" s="650"/>
      <c r="AA775" s="650"/>
      <c r="AB775" s="650"/>
      <c r="AC775" s="650"/>
      <c r="AD775" s="650"/>
      <c r="AE775" s="650"/>
      <c r="AF775" s="650"/>
      <c r="AG775" s="650"/>
      <c r="AH775" s="650"/>
      <c r="AI775" s="650"/>
      <c r="AJ775" s="650"/>
      <c r="AK775" s="650"/>
      <c r="AL775" s="650"/>
      <c r="AM775" s="650"/>
      <c r="AN775" s="650"/>
      <c r="AO775" s="650"/>
      <c r="AP775" s="650"/>
      <c r="AQ775" s="650"/>
      <c r="AR775" s="650"/>
      <c r="AS775" s="650"/>
      <c r="AT775" s="650"/>
      <c r="AU775" s="650"/>
      <c r="AV775" s="650"/>
      <c r="AW775" s="650"/>
      <c r="AX775" s="650"/>
      <c r="AY775" s="650"/>
    </row>
    <row r="776" ht="21.75" customHeight="1">
      <c r="A776" s="650"/>
      <c r="B776" s="650"/>
      <c r="C776" s="650"/>
      <c r="D776" s="650"/>
      <c r="E776" s="650"/>
      <c r="F776" s="650"/>
      <c r="G776" s="650"/>
      <c r="H776" s="650"/>
      <c r="I776" s="650"/>
      <c r="J776" s="650"/>
      <c r="K776" s="650"/>
      <c r="L776" s="650"/>
      <c r="M776" s="650"/>
      <c r="N776" s="650"/>
      <c r="O776" s="650"/>
      <c r="P776" s="650"/>
      <c r="Q776" s="650"/>
      <c r="R776" s="650"/>
      <c r="S776" s="650"/>
      <c r="T776" s="650"/>
      <c r="U776" s="650"/>
      <c r="V776" s="650"/>
      <c r="W776" s="650"/>
      <c r="X776" s="650"/>
      <c r="Y776" s="650"/>
      <c r="Z776" s="650"/>
      <c r="AA776" s="650"/>
      <c r="AB776" s="650"/>
      <c r="AC776" s="650"/>
      <c r="AD776" s="650"/>
      <c r="AE776" s="650"/>
      <c r="AF776" s="650"/>
      <c r="AG776" s="650"/>
      <c r="AH776" s="650"/>
      <c r="AI776" s="650"/>
      <c r="AJ776" s="650"/>
      <c r="AK776" s="650"/>
      <c r="AL776" s="650"/>
      <c r="AM776" s="650"/>
      <c r="AN776" s="650"/>
      <c r="AO776" s="650"/>
      <c r="AP776" s="650"/>
      <c r="AQ776" s="650"/>
      <c r="AR776" s="650"/>
      <c r="AS776" s="650"/>
      <c r="AT776" s="650"/>
      <c r="AU776" s="650"/>
      <c r="AV776" s="650"/>
      <c r="AW776" s="650"/>
      <c r="AX776" s="650"/>
      <c r="AY776" s="650"/>
    </row>
    <row r="777" ht="21.75" customHeight="1">
      <c r="A777" s="650"/>
      <c r="B777" s="650"/>
      <c r="C777" s="650"/>
      <c r="D777" s="650"/>
      <c r="E777" s="650"/>
      <c r="F777" s="650"/>
      <c r="G777" s="650"/>
      <c r="H777" s="650"/>
      <c r="I777" s="650"/>
      <c r="J777" s="650"/>
      <c r="K777" s="650"/>
      <c r="L777" s="650"/>
      <c r="M777" s="650"/>
      <c r="N777" s="650"/>
      <c r="O777" s="650"/>
      <c r="P777" s="650"/>
      <c r="Q777" s="650"/>
      <c r="R777" s="650"/>
      <c r="S777" s="650"/>
      <c r="T777" s="650"/>
      <c r="U777" s="650"/>
      <c r="V777" s="650"/>
      <c r="W777" s="650"/>
      <c r="X777" s="650"/>
      <c r="Y777" s="650"/>
      <c r="Z777" s="650"/>
      <c r="AA777" s="650"/>
      <c r="AB777" s="650"/>
      <c r="AC777" s="650"/>
      <c r="AD777" s="650"/>
      <c r="AE777" s="650"/>
      <c r="AF777" s="650"/>
      <c r="AG777" s="650"/>
      <c r="AH777" s="650"/>
      <c r="AI777" s="650"/>
      <c r="AJ777" s="650"/>
      <c r="AK777" s="650"/>
      <c r="AL777" s="650"/>
      <c r="AM777" s="650"/>
      <c r="AN777" s="650"/>
      <c r="AO777" s="650"/>
      <c r="AP777" s="650"/>
      <c r="AQ777" s="650"/>
      <c r="AR777" s="650"/>
      <c r="AS777" s="650"/>
      <c r="AT777" s="650"/>
      <c r="AU777" s="650"/>
      <c r="AV777" s="650"/>
      <c r="AW777" s="650"/>
      <c r="AX777" s="650"/>
      <c r="AY777" s="650"/>
    </row>
    <row r="778" ht="21.75" customHeight="1">
      <c r="A778" s="650"/>
      <c r="B778" s="650"/>
      <c r="C778" s="650"/>
      <c r="D778" s="650"/>
      <c r="E778" s="650"/>
      <c r="F778" s="650"/>
      <c r="G778" s="650"/>
      <c r="H778" s="650"/>
      <c r="I778" s="650"/>
      <c r="J778" s="650"/>
      <c r="K778" s="650"/>
      <c r="L778" s="650"/>
      <c r="M778" s="650"/>
      <c r="N778" s="650"/>
      <c r="O778" s="650"/>
      <c r="P778" s="650"/>
      <c r="Q778" s="650"/>
      <c r="R778" s="650"/>
      <c r="S778" s="650"/>
      <c r="T778" s="650"/>
      <c r="U778" s="650"/>
      <c r="V778" s="650"/>
      <c r="W778" s="650"/>
      <c r="X778" s="650"/>
      <c r="Y778" s="650"/>
      <c r="Z778" s="650"/>
      <c r="AA778" s="650"/>
      <c r="AB778" s="650"/>
      <c r="AC778" s="650"/>
      <c r="AD778" s="650"/>
      <c r="AE778" s="650"/>
      <c r="AF778" s="650"/>
      <c r="AG778" s="650"/>
      <c r="AH778" s="650"/>
      <c r="AI778" s="650"/>
      <c r="AJ778" s="650"/>
      <c r="AK778" s="650"/>
      <c r="AL778" s="650"/>
      <c r="AM778" s="650"/>
      <c r="AN778" s="650"/>
      <c r="AO778" s="650"/>
      <c r="AP778" s="650"/>
      <c r="AQ778" s="650"/>
      <c r="AR778" s="650"/>
      <c r="AS778" s="650"/>
      <c r="AT778" s="650"/>
      <c r="AU778" s="650"/>
      <c r="AV778" s="650"/>
      <c r="AW778" s="650"/>
      <c r="AX778" s="650"/>
      <c r="AY778" s="650"/>
    </row>
    <row r="779" ht="21.75" customHeight="1">
      <c r="A779" s="650"/>
      <c r="B779" s="650"/>
      <c r="C779" s="650"/>
      <c r="D779" s="650"/>
      <c r="E779" s="650"/>
      <c r="F779" s="650"/>
      <c r="G779" s="650"/>
      <c r="H779" s="650"/>
      <c r="I779" s="650"/>
      <c r="J779" s="650"/>
      <c r="K779" s="650"/>
      <c r="L779" s="650"/>
      <c r="M779" s="650"/>
      <c r="N779" s="650"/>
      <c r="O779" s="650"/>
      <c r="P779" s="650"/>
      <c r="Q779" s="650"/>
      <c r="R779" s="650"/>
      <c r="S779" s="650"/>
      <c r="T779" s="650"/>
      <c r="U779" s="650"/>
      <c r="V779" s="650"/>
      <c r="W779" s="650"/>
      <c r="X779" s="650"/>
      <c r="Y779" s="650"/>
      <c r="Z779" s="650"/>
      <c r="AA779" s="650"/>
      <c r="AB779" s="650"/>
      <c r="AC779" s="650"/>
      <c r="AD779" s="650"/>
      <c r="AE779" s="650"/>
      <c r="AF779" s="650"/>
      <c r="AG779" s="650"/>
      <c r="AH779" s="650"/>
      <c r="AI779" s="650"/>
      <c r="AJ779" s="650"/>
      <c r="AK779" s="650"/>
      <c r="AL779" s="650"/>
      <c r="AM779" s="650"/>
      <c r="AN779" s="650"/>
      <c r="AO779" s="650"/>
      <c r="AP779" s="650"/>
      <c r="AQ779" s="650"/>
      <c r="AR779" s="650"/>
      <c r="AS779" s="650"/>
      <c r="AT779" s="650"/>
      <c r="AU779" s="650"/>
      <c r="AV779" s="650"/>
      <c r="AW779" s="650"/>
      <c r="AX779" s="650"/>
      <c r="AY779" s="650"/>
    </row>
    <row r="780" ht="21.75" customHeight="1">
      <c r="A780" s="650"/>
      <c r="B780" s="650"/>
      <c r="C780" s="650"/>
      <c r="D780" s="650"/>
      <c r="E780" s="650"/>
      <c r="F780" s="650"/>
      <c r="G780" s="650"/>
      <c r="H780" s="650"/>
      <c r="I780" s="650"/>
      <c r="J780" s="650"/>
      <c r="K780" s="650"/>
      <c r="L780" s="650"/>
      <c r="M780" s="650"/>
      <c r="N780" s="650"/>
      <c r="O780" s="650"/>
      <c r="P780" s="650"/>
      <c r="Q780" s="650"/>
      <c r="R780" s="650"/>
      <c r="S780" s="650"/>
      <c r="T780" s="650"/>
      <c r="U780" s="650"/>
      <c r="V780" s="650"/>
      <c r="W780" s="650"/>
      <c r="X780" s="650"/>
      <c r="Y780" s="650"/>
      <c r="Z780" s="650"/>
      <c r="AA780" s="650"/>
      <c r="AB780" s="650"/>
      <c r="AC780" s="650"/>
      <c r="AD780" s="650"/>
      <c r="AE780" s="650"/>
      <c r="AF780" s="650"/>
      <c r="AG780" s="650"/>
      <c r="AH780" s="650"/>
      <c r="AI780" s="650"/>
      <c r="AJ780" s="650"/>
      <c r="AK780" s="650"/>
      <c r="AL780" s="650"/>
      <c r="AM780" s="650"/>
      <c r="AN780" s="650"/>
      <c r="AO780" s="650"/>
      <c r="AP780" s="650"/>
      <c r="AQ780" s="650"/>
      <c r="AR780" s="650"/>
      <c r="AS780" s="650"/>
      <c r="AT780" s="650"/>
      <c r="AU780" s="650"/>
      <c r="AV780" s="650"/>
      <c r="AW780" s="650"/>
      <c r="AX780" s="650"/>
      <c r="AY780" s="650"/>
    </row>
    <row r="781" ht="21.75" customHeight="1">
      <c r="A781" s="650"/>
      <c r="B781" s="650"/>
      <c r="C781" s="650"/>
      <c r="D781" s="650"/>
      <c r="E781" s="650"/>
      <c r="F781" s="650"/>
      <c r="G781" s="650"/>
      <c r="H781" s="650"/>
      <c r="I781" s="650"/>
      <c r="J781" s="650"/>
      <c r="K781" s="650"/>
      <c r="L781" s="650"/>
      <c r="M781" s="650"/>
      <c r="N781" s="650"/>
      <c r="O781" s="650"/>
      <c r="P781" s="650"/>
      <c r="Q781" s="650"/>
      <c r="R781" s="650"/>
      <c r="S781" s="650"/>
      <c r="T781" s="650"/>
      <c r="U781" s="650"/>
      <c r="V781" s="650"/>
      <c r="W781" s="650"/>
      <c r="X781" s="650"/>
      <c r="Y781" s="650"/>
      <c r="Z781" s="650"/>
      <c r="AA781" s="650"/>
      <c r="AB781" s="650"/>
      <c r="AC781" s="650"/>
      <c r="AD781" s="650"/>
      <c r="AE781" s="650"/>
      <c r="AF781" s="650"/>
      <c r="AG781" s="650"/>
      <c r="AH781" s="650"/>
      <c r="AI781" s="650"/>
      <c r="AJ781" s="650"/>
      <c r="AK781" s="650"/>
      <c r="AL781" s="650"/>
      <c r="AM781" s="650"/>
      <c r="AN781" s="650"/>
      <c r="AO781" s="650"/>
      <c r="AP781" s="650"/>
      <c r="AQ781" s="650"/>
      <c r="AR781" s="650"/>
      <c r="AS781" s="650"/>
      <c r="AT781" s="650"/>
      <c r="AU781" s="650"/>
      <c r="AV781" s="650"/>
      <c r="AW781" s="650"/>
      <c r="AX781" s="650"/>
      <c r="AY781" s="650"/>
    </row>
    <row r="782" ht="21.75" customHeight="1">
      <c r="A782" s="650"/>
      <c r="B782" s="650"/>
      <c r="C782" s="650"/>
      <c r="D782" s="650"/>
      <c r="E782" s="650"/>
      <c r="F782" s="650"/>
      <c r="G782" s="650"/>
      <c r="H782" s="650"/>
      <c r="I782" s="650"/>
      <c r="J782" s="650"/>
      <c r="K782" s="650"/>
      <c r="L782" s="650"/>
      <c r="M782" s="650"/>
      <c r="N782" s="650"/>
      <c r="O782" s="650"/>
      <c r="P782" s="650"/>
      <c r="Q782" s="650"/>
      <c r="R782" s="650"/>
      <c r="S782" s="650"/>
      <c r="T782" s="650"/>
      <c r="U782" s="650"/>
      <c r="V782" s="650"/>
      <c r="W782" s="650"/>
      <c r="X782" s="650"/>
      <c r="Y782" s="650"/>
      <c r="Z782" s="650"/>
      <c r="AA782" s="650"/>
      <c r="AB782" s="650"/>
      <c r="AC782" s="650"/>
      <c r="AD782" s="650"/>
      <c r="AE782" s="650"/>
      <c r="AF782" s="650"/>
      <c r="AG782" s="650"/>
      <c r="AH782" s="650"/>
      <c r="AI782" s="650"/>
      <c r="AJ782" s="650"/>
      <c r="AK782" s="650"/>
      <c r="AL782" s="650"/>
      <c r="AM782" s="650"/>
      <c r="AN782" s="650"/>
      <c r="AO782" s="650"/>
      <c r="AP782" s="650"/>
      <c r="AQ782" s="650"/>
      <c r="AR782" s="650"/>
      <c r="AS782" s="650"/>
      <c r="AT782" s="650"/>
      <c r="AU782" s="650"/>
      <c r="AV782" s="650"/>
      <c r="AW782" s="650"/>
      <c r="AX782" s="650"/>
      <c r="AY782" s="650"/>
    </row>
    <row r="783" ht="21.75" customHeight="1">
      <c r="A783" s="650"/>
      <c r="B783" s="650"/>
      <c r="C783" s="650"/>
      <c r="D783" s="650"/>
      <c r="E783" s="650"/>
      <c r="F783" s="650"/>
      <c r="G783" s="650"/>
      <c r="H783" s="650"/>
      <c r="I783" s="650"/>
      <c r="J783" s="650"/>
      <c r="K783" s="650"/>
      <c r="L783" s="650"/>
      <c r="M783" s="650"/>
      <c r="N783" s="650"/>
      <c r="O783" s="650"/>
      <c r="P783" s="650"/>
      <c r="Q783" s="650"/>
      <c r="R783" s="650"/>
      <c r="S783" s="650"/>
      <c r="T783" s="650"/>
      <c r="U783" s="650"/>
      <c r="V783" s="650"/>
      <c r="W783" s="650"/>
      <c r="X783" s="650"/>
      <c r="Y783" s="650"/>
      <c r="Z783" s="650"/>
      <c r="AA783" s="650"/>
      <c r="AB783" s="650"/>
      <c r="AC783" s="650"/>
      <c r="AD783" s="650"/>
      <c r="AE783" s="650"/>
      <c r="AF783" s="650"/>
      <c r="AG783" s="650"/>
      <c r="AH783" s="650"/>
      <c r="AI783" s="650"/>
      <c r="AJ783" s="650"/>
      <c r="AK783" s="650"/>
      <c r="AL783" s="650"/>
      <c r="AM783" s="650"/>
      <c r="AN783" s="650"/>
      <c r="AO783" s="650"/>
      <c r="AP783" s="650"/>
      <c r="AQ783" s="650"/>
      <c r="AR783" s="650"/>
      <c r="AS783" s="650"/>
      <c r="AT783" s="650"/>
      <c r="AU783" s="650"/>
      <c r="AV783" s="650"/>
      <c r="AW783" s="650"/>
      <c r="AX783" s="650"/>
      <c r="AY783" s="650"/>
    </row>
    <row r="784" ht="21.75" customHeight="1">
      <c r="A784" s="650"/>
      <c r="B784" s="650"/>
      <c r="C784" s="650"/>
      <c r="D784" s="650"/>
      <c r="E784" s="650"/>
      <c r="F784" s="650"/>
      <c r="G784" s="650"/>
      <c r="H784" s="650"/>
      <c r="I784" s="650"/>
      <c r="J784" s="650"/>
      <c r="K784" s="650"/>
      <c r="L784" s="650"/>
      <c r="M784" s="650"/>
      <c r="N784" s="650"/>
      <c r="O784" s="650"/>
      <c r="P784" s="650"/>
      <c r="Q784" s="650"/>
      <c r="R784" s="650"/>
      <c r="S784" s="650"/>
      <c r="T784" s="650"/>
      <c r="U784" s="650"/>
      <c r="V784" s="650"/>
      <c r="W784" s="650"/>
      <c r="X784" s="650"/>
      <c r="Y784" s="650"/>
      <c r="Z784" s="650"/>
      <c r="AA784" s="650"/>
      <c r="AB784" s="650"/>
      <c r="AC784" s="650"/>
      <c r="AD784" s="650"/>
      <c r="AE784" s="650"/>
      <c r="AF784" s="650"/>
      <c r="AG784" s="650"/>
      <c r="AH784" s="650"/>
      <c r="AI784" s="650"/>
      <c r="AJ784" s="650"/>
      <c r="AK784" s="650"/>
      <c r="AL784" s="650"/>
      <c r="AM784" s="650"/>
      <c r="AN784" s="650"/>
      <c r="AO784" s="650"/>
      <c r="AP784" s="650"/>
      <c r="AQ784" s="650"/>
      <c r="AR784" s="650"/>
      <c r="AS784" s="650"/>
      <c r="AT784" s="650"/>
      <c r="AU784" s="650"/>
      <c r="AV784" s="650"/>
      <c r="AW784" s="650"/>
      <c r="AX784" s="650"/>
      <c r="AY784" s="650"/>
    </row>
    <row r="785" ht="21.75" customHeight="1">
      <c r="A785" s="650"/>
      <c r="B785" s="650"/>
      <c r="C785" s="650"/>
      <c r="D785" s="650"/>
      <c r="E785" s="650"/>
      <c r="F785" s="650"/>
      <c r="G785" s="650"/>
      <c r="H785" s="650"/>
      <c r="I785" s="650"/>
      <c r="J785" s="650"/>
      <c r="K785" s="650"/>
      <c r="L785" s="650"/>
      <c r="M785" s="650"/>
      <c r="N785" s="650"/>
      <c r="O785" s="650"/>
      <c r="P785" s="650"/>
      <c r="Q785" s="650"/>
      <c r="R785" s="650"/>
      <c r="S785" s="650"/>
      <c r="T785" s="650"/>
      <c r="U785" s="650"/>
      <c r="V785" s="650"/>
      <c r="W785" s="650"/>
      <c r="X785" s="650"/>
      <c r="Y785" s="650"/>
      <c r="Z785" s="650"/>
      <c r="AA785" s="650"/>
      <c r="AB785" s="650"/>
      <c r="AC785" s="650"/>
      <c r="AD785" s="650"/>
      <c r="AE785" s="650"/>
      <c r="AF785" s="650"/>
      <c r="AG785" s="650"/>
      <c r="AH785" s="650"/>
      <c r="AI785" s="650"/>
      <c r="AJ785" s="650"/>
      <c r="AK785" s="650"/>
      <c r="AL785" s="650"/>
      <c r="AM785" s="650"/>
      <c r="AN785" s="650"/>
      <c r="AO785" s="650"/>
      <c r="AP785" s="650"/>
      <c r="AQ785" s="650"/>
      <c r="AR785" s="650"/>
      <c r="AS785" s="650"/>
      <c r="AT785" s="650"/>
      <c r="AU785" s="650"/>
      <c r="AV785" s="650"/>
      <c r="AW785" s="650"/>
      <c r="AX785" s="650"/>
      <c r="AY785" s="650"/>
    </row>
    <row r="786" ht="21.75" customHeight="1">
      <c r="A786" s="650"/>
      <c r="B786" s="650"/>
      <c r="C786" s="650"/>
      <c r="D786" s="650"/>
      <c r="E786" s="650"/>
      <c r="F786" s="650"/>
      <c r="G786" s="650"/>
      <c r="H786" s="650"/>
      <c r="I786" s="650"/>
      <c r="J786" s="650"/>
      <c r="K786" s="650"/>
      <c r="L786" s="650"/>
      <c r="M786" s="650"/>
      <c r="N786" s="650"/>
      <c r="O786" s="650"/>
      <c r="P786" s="650"/>
      <c r="Q786" s="650"/>
      <c r="R786" s="650"/>
      <c r="S786" s="650"/>
      <c r="T786" s="650"/>
      <c r="U786" s="650"/>
      <c r="V786" s="650"/>
      <c r="W786" s="650"/>
      <c r="X786" s="650"/>
      <c r="Y786" s="650"/>
      <c r="Z786" s="650"/>
      <c r="AA786" s="650"/>
      <c r="AB786" s="650"/>
      <c r="AC786" s="650"/>
      <c r="AD786" s="650"/>
      <c r="AE786" s="650"/>
      <c r="AF786" s="650"/>
      <c r="AG786" s="650"/>
      <c r="AH786" s="650"/>
      <c r="AI786" s="650"/>
      <c r="AJ786" s="650"/>
      <c r="AK786" s="650"/>
      <c r="AL786" s="650"/>
      <c r="AM786" s="650"/>
      <c r="AN786" s="650"/>
      <c r="AO786" s="650"/>
      <c r="AP786" s="650"/>
      <c r="AQ786" s="650"/>
      <c r="AR786" s="650"/>
      <c r="AS786" s="650"/>
      <c r="AT786" s="650"/>
      <c r="AU786" s="650"/>
      <c r="AV786" s="650"/>
      <c r="AW786" s="650"/>
      <c r="AX786" s="650"/>
      <c r="AY786" s="650"/>
    </row>
    <row r="787" ht="21.75" customHeight="1">
      <c r="A787" s="650"/>
      <c r="B787" s="650"/>
      <c r="C787" s="650"/>
      <c r="D787" s="650"/>
      <c r="E787" s="650"/>
      <c r="F787" s="650"/>
      <c r="G787" s="650"/>
      <c r="H787" s="650"/>
      <c r="I787" s="650"/>
      <c r="J787" s="650"/>
      <c r="K787" s="650"/>
      <c r="L787" s="650"/>
      <c r="M787" s="650"/>
      <c r="N787" s="650"/>
      <c r="O787" s="650"/>
      <c r="P787" s="650"/>
      <c r="Q787" s="650"/>
      <c r="R787" s="650"/>
      <c r="S787" s="650"/>
      <c r="T787" s="650"/>
      <c r="U787" s="650"/>
      <c r="V787" s="650"/>
      <c r="W787" s="650"/>
      <c r="X787" s="650"/>
      <c r="Y787" s="650"/>
      <c r="Z787" s="650"/>
      <c r="AA787" s="650"/>
      <c r="AB787" s="650"/>
      <c r="AC787" s="650"/>
      <c r="AD787" s="650"/>
      <c r="AE787" s="650"/>
      <c r="AF787" s="650"/>
      <c r="AG787" s="650"/>
      <c r="AH787" s="650"/>
      <c r="AI787" s="650"/>
      <c r="AJ787" s="650"/>
      <c r="AK787" s="650"/>
      <c r="AL787" s="650"/>
      <c r="AM787" s="650"/>
      <c r="AN787" s="650"/>
      <c r="AO787" s="650"/>
      <c r="AP787" s="650"/>
      <c r="AQ787" s="650"/>
      <c r="AR787" s="650"/>
      <c r="AS787" s="650"/>
      <c r="AT787" s="650"/>
      <c r="AU787" s="650"/>
      <c r="AV787" s="650"/>
      <c r="AW787" s="650"/>
      <c r="AX787" s="650"/>
      <c r="AY787" s="650"/>
    </row>
    <row r="788" ht="21.75" customHeight="1">
      <c r="A788" s="650"/>
      <c r="B788" s="650"/>
      <c r="C788" s="650"/>
      <c r="D788" s="650"/>
      <c r="E788" s="650"/>
      <c r="F788" s="650"/>
      <c r="G788" s="650"/>
      <c r="H788" s="650"/>
      <c r="I788" s="650"/>
      <c r="J788" s="650"/>
      <c r="K788" s="650"/>
      <c r="L788" s="650"/>
      <c r="M788" s="650"/>
      <c r="N788" s="650"/>
      <c r="O788" s="650"/>
      <c r="P788" s="650"/>
      <c r="Q788" s="650"/>
      <c r="R788" s="650"/>
      <c r="S788" s="650"/>
      <c r="T788" s="650"/>
      <c r="U788" s="650"/>
      <c r="V788" s="650"/>
      <c r="W788" s="650"/>
      <c r="X788" s="650"/>
      <c r="Y788" s="650"/>
      <c r="Z788" s="650"/>
      <c r="AA788" s="650"/>
      <c r="AB788" s="650"/>
      <c r="AC788" s="650"/>
      <c r="AD788" s="650"/>
      <c r="AE788" s="650"/>
      <c r="AF788" s="650"/>
      <c r="AG788" s="650"/>
      <c r="AH788" s="650"/>
      <c r="AI788" s="650"/>
      <c r="AJ788" s="650"/>
      <c r="AK788" s="650"/>
      <c r="AL788" s="650"/>
      <c r="AM788" s="650"/>
      <c r="AN788" s="650"/>
      <c r="AO788" s="650"/>
      <c r="AP788" s="650"/>
      <c r="AQ788" s="650"/>
      <c r="AR788" s="650"/>
      <c r="AS788" s="650"/>
      <c r="AT788" s="650"/>
      <c r="AU788" s="650"/>
      <c r="AV788" s="650"/>
      <c r="AW788" s="650"/>
      <c r="AX788" s="650"/>
      <c r="AY788" s="650"/>
    </row>
    <row r="789" ht="21.75" customHeight="1">
      <c r="A789" s="650"/>
      <c r="B789" s="650"/>
      <c r="C789" s="650"/>
      <c r="D789" s="650"/>
      <c r="E789" s="650"/>
      <c r="F789" s="650"/>
      <c r="G789" s="650"/>
      <c r="H789" s="650"/>
      <c r="I789" s="650"/>
      <c r="J789" s="650"/>
      <c r="K789" s="650"/>
      <c r="L789" s="650"/>
      <c r="M789" s="650"/>
      <c r="N789" s="650"/>
      <c r="O789" s="650"/>
      <c r="P789" s="650"/>
      <c r="Q789" s="650"/>
      <c r="R789" s="650"/>
      <c r="S789" s="650"/>
      <c r="T789" s="650"/>
      <c r="U789" s="650"/>
      <c r="V789" s="650"/>
      <c r="W789" s="650"/>
      <c r="X789" s="650"/>
      <c r="Y789" s="650"/>
      <c r="Z789" s="650"/>
      <c r="AA789" s="650"/>
      <c r="AB789" s="650"/>
      <c r="AC789" s="650"/>
      <c r="AD789" s="650"/>
      <c r="AE789" s="650"/>
      <c r="AF789" s="650"/>
      <c r="AG789" s="650"/>
      <c r="AH789" s="650"/>
      <c r="AI789" s="650"/>
      <c r="AJ789" s="650"/>
      <c r="AK789" s="650"/>
      <c r="AL789" s="650"/>
      <c r="AM789" s="650"/>
      <c r="AN789" s="650"/>
      <c r="AO789" s="650"/>
      <c r="AP789" s="650"/>
      <c r="AQ789" s="650"/>
      <c r="AR789" s="650"/>
      <c r="AS789" s="650"/>
      <c r="AT789" s="650"/>
      <c r="AU789" s="650"/>
      <c r="AV789" s="650"/>
      <c r="AW789" s="650"/>
      <c r="AX789" s="650"/>
      <c r="AY789" s="650"/>
    </row>
    <row r="790" ht="21.75" customHeight="1">
      <c r="A790" s="650"/>
      <c r="B790" s="650"/>
      <c r="C790" s="650"/>
      <c r="D790" s="650"/>
      <c r="E790" s="650"/>
      <c r="F790" s="650"/>
      <c r="G790" s="650"/>
      <c r="H790" s="650"/>
      <c r="I790" s="650"/>
      <c r="J790" s="650"/>
      <c r="K790" s="650"/>
      <c r="L790" s="650"/>
      <c r="M790" s="650"/>
      <c r="N790" s="650"/>
      <c r="O790" s="650"/>
      <c r="P790" s="650"/>
      <c r="Q790" s="650"/>
      <c r="R790" s="650"/>
      <c r="S790" s="650"/>
      <c r="T790" s="650"/>
      <c r="U790" s="650"/>
      <c r="V790" s="650"/>
      <c r="W790" s="650"/>
      <c r="X790" s="650"/>
      <c r="Y790" s="650"/>
      <c r="Z790" s="650"/>
      <c r="AA790" s="650"/>
      <c r="AB790" s="650"/>
      <c r="AC790" s="650"/>
      <c r="AD790" s="650"/>
      <c r="AE790" s="650"/>
      <c r="AF790" s="650"/>
      <c r="AG790" s="650"/>
      <c r="AH790" s="650"/>
      <c r="AI790" s="650"/>
      <c r="AJ790" s="650"/>
      <c r="AK790" s="650"/>
      <c r="AL790" s="650"/>
      <c r="AM790" s="650"/>
      <c r="AN790" s="650"/>
      <c r="AO790" s="650"/>
      <c r="AP790" s="650"/>
      <c r="AQ790" s="650"/>
      <c r="AR790" s="650"/>
      <c r="AS790" s="650"/>
      <c r="AT790" s="650"/>
      <c r="AU790" s="650"/>
      <c r="AV790" s="650"/>
      <c r="AW790" s="650"/>
      <c r="AX790" s="650"/>
      <c r="AY790" s="650"/>
    </row>
    <row r="791" ht="21.75" customHeight="1">
      <c r="A791" s="650"/>
      <c r="B791" s="650"/>
      <c r="C791" s="650"/>
      <c r="D791" s="650"/>
      <c r="E791" s="650"/>
      <c r="F791" s="650"/>
      <c r="G791" s="650"/>
      <c r="H791" s="650"/>
      <c r="I791" s="650"/>
      <c r="J791" s="650"/>
      <c r="K791" s="650"/>
      <c r="L791" s="650"/>
      <c r="M791" s="650"/>
      <c r="N791" s="650"/>
      <c r="O791" s="650"/>
      <c r="P791" s="650"/>
      <c r="Q791" s="650"/>
      <c r="R791" s="650"/>
      <c r="S791" s="650"/>
      <c r="T791" s="650"/>
      <c r="U791" s="650"/>
      <c r="V791" s="650"/>
      <c r="W791" s="650"/>
      <c r="X791" s="650"/>
      <c r="Y791" s="650"/>
      <c r="Z791" s="650"/>
      <c r="AA791" s="650"/>
      <c r="AB791" s="650"/>
      <c r="AC791" s="650"/>
      <c r="AD791" s="650"/>
      <c r="AE791" s="650"/>
      <c r="AF791" s="650"/>
      <c r="AG791" s="650"/>
      <c r="AH791" s="650"/>
      <c r="AI791" s="650"/>
      <c r="AJ791" s="650"/>
      <c r="AK791" s="650"/>
      <c r="AL791" s="650"/>
      <c r="AM791" s="650"/>
      <c r="AN791" s="650"/>
      <c r="AO791" s="650"/>
      <c r="AP791" s="650"/>
      <c r="AQ791" s="650"/>
      <c r="AR791" s="650"/>
      <c r="AS791" s="650"/>
      <c r="AT791" s="650"/>
      <c r="AU791" s="650"/>
      <c r="AV791" s="650"/>
      <c r="AW791" s="650"/>
      <c r="AX791" s="650"/>
      <c r="AY791" s="650"/>
    </row>
    <row r="792" ht="21.75" customHeight="1">
      <c r="A792" s="650"/>
      <c r="B792" s="650"/>
      <c r="C792" s="650"/>
      <c r="D792" s="650"/>
      <c r="E792" s="650"/>
      <c r="F792" s="650"/>
      <c r="G792" s="650"/>
      <c r="H792" s="650"/>
      <c r="I792" s="650"/>
      <c r="J792" s="650"/>
      <c r="K792" s="650"/>
      <c r="L792" s="650"/>
      <c r="M792" s="650"/>
      <c r="N792" s="650"/>
      <c r="O792" s="650"/>
      <c r="P792" s="650"/>
      <c r="Q792" s="650"/>
      <c r="R792" s="650"/>
      <c r="S792" s="650"/>
      <c r="T792" s="650"/>
      <c r="U792" s="650"/>
      <c r="V792" s="650"/>
      <c r="W792" s="650"/>
      <c r="X792" s="650"/>
      <c r="Y792" s="650"/>
      <c r="Z792" s="650"/>
      <c r="AA792" s="650"/>
      <c r="AB792" s="650"/>
      <c r="AC792" s="650"/>
      <c r="AD792" s="650"/>
      <c r="AE792" s="650"/>
      <c r="AF792" s="650"/>
      <c r="AG792" s="650"/>
      <c r="AH792" s="650"/>
      <c r="AI792" s="650"/>
      <c r="AJ792" s="650"/>
      <c r="AK792" s="650"/>
      <c r="AL792" s="650"/>
      <c r="AM792" s="650"/>
      <c r="AN792" s="650"/>
      <c r="AO792" s="650"/>
      <c r="AP792" s="650"/>
      <c r="AQ792" s="650"/>
      <c r="AR792" s="650"/>
      <c r="AS792" s="650"/>
      <c r="AT792" s="650"/>
      <c r="AU792" s="650"/>
      <c r="AV792" s="650"/>
      <c r="AW792" s="650"/>
      <c r="AX792" s="650"/>
      <c r="AY792" s="650"/>
    </row>
    <row r="793" ht="21.75" customHeight="1">
      <c r="A793" s="650"/>
      <c r="B793" s="650"/>
      <c r="C793" s="650"/>
      <c r="D793" s="650"/>
      <c r="E793" s="650"/>
      <c r="F793" s="650"/>
      <c r="G793" s="650"/>
      <c r="H793" s="650"/>
      <c r="I793" s="650"/>
      <c r="J793" s="650"/>
      <c r="K793" s="650"/>
      <c r="L793" s="650"/>
      <c r="M793" s="650"/>
      <c r="N793" s="650"/>
      <c r="O793" s="650"/>
      <c r="P793" s="650"/>
      <c r="Q793" s="650"/>
      <c r="R793" s="650"/>
      <c r="S793" s="650"/>
      <c r="T793" s="650"/>
      <c r="U793" s="650"/>
      <c r="V793" s="650"/>
      <c r="W793" s="650"/>
      <c r="X793" s="650"/>
      <c r="Y793" s="650"/>
      <c r="Z793" s="650"/>
      <c r="AA793" s="650"/>
      <c r="AB793" s="650"/>
      <c r="AC793" s="650"/>
      <c r="AD793" s="650"/>
      <c r="AE793" s="650"/>
      <c r="AF793" s="650"/>
      <c r="AG793" s="650"/>
      <c r="AH793" s="650"/>
      <c r="AI793" s="650"/>
      <c r="AJ793" s="650"/>
      <c r="AK793" s="650"/>
      <c r="AL793" s="650"/>
      <c r="AM793" s="650"/>
      <c r="AN793" s="650"/>
      <c r="AO793" s="650"/>
      <c r="AP793" s="650"/>
      <c r="AQ793" s="650"/>
      <c r="AR793" s="650"/>
      <c r="AS793" s="650"/>
      <c r="AT793" s="650"/>
      <c r="AU793" s="650"/>
      <c r="AV793" s="650"/>
      <c r="AW793" s="650"/>
      <c r="AX793" s="650"/>
      <c r="AY793" s="650"/>
    </row>
    <row r="794" ht="21.75" customHeight="1">
      <c r="A794" s="650"/>
      <c r="B794" s="650"/>
      <c r="C794" s="650"/>
      <c r="D794" s="650"/>
      <c r="E794" s="650"/>
      <c r="F794" s="650"/>
      <c r="G794" s="650"/>
      <c r="H794" s="650"/>
      <c r="I794" s="650"/>
      <c r="J794" s="650"/>
      <c r="K794" s="650"/>
      <c r="L794" s="650"/>
      <c r="M794" s="650"/>
      <c r="N794" s="650"/>
      <c r="O794" s="650"/>
      <c r="P794" s="650"/>
      <c r="Q794" s="650"/>
      <c r="R794" s="650"/>
      <c r="S794" s="650"/>
      <c r="T794" s="650"/>
      <c r="U794" s="650"/>
      <c r="V794" s="650"/>
      <c r="W794" s="650"/>
      <c r="X794" s="650"/>
      <c r="Y794" s="650"/>
      <c r="Z794" s="650"/>
      <c r="AA794" s="650"/>
      <c r="AB794" s="650"/>
      <c r="AC794" s="650"/>
      <c r="AD794" s="650"/>
      <c r="AE794" s="650"/>
      <c r="AF794" s="650"/>
      <c r="AG794" s="650"/>
      <c r="AH794" s="650"/>
      <c r="AI794" s="650"/>
      <c r="AJ794" s="650"/>
      <c r="AK794" s="650"/>
      <c r="AL794" s="650"/>
      <c r="AM794" s="650"/>
      <c r="AN794" s="650"/>
      <c r="AO794" s="650"/>
      <c r="AP794" s="650"/>
      <c r="AQ794" s="650"/>
      <c r="AR794" s="650"/>
      <c r="AS794" s="650"/>
      <c r="AT794" s="650"/>
      <c r="AU794" s="650"/>
      <c r="AV794" s="650"/>
      <c r="AW794" s="650"/>
      <c r="AX794" s="650"/>
      <c r="AY794" s="650"/>
    </row>
    <row r="795" ht="21.75" customHeight="1">
      <c r="A795" s="650"/>
      <c r="B795" s="650"/>
      <c r="C795" s="650"/>
      <c r="D795" s="650"/>
      <c r="E795" s="650"/>
      <c r="F795" s="650"/>
      <c r="G795" s="650"/>
      <c r="H795" s="650"/>
      <c r="I795" s="650"/>
      <c r="J795" s="650"/>
      <c r="K795" s="650"/>
      <c r="L795" s="650"/>
      <c r="M795" s="650"/>
      <c r="N795" s="650"/>
      <c r="O795" s="650"/>
      <c r="P795" s="650"/>
      <c r="Q795" s="650"/>
      <c r="R795" s="650"/>
      <c r="S795" s="650"/>
      <c r="T795" s="650"/>
      <c r="U795" s="650"/>
      <c r="V795" s="650"/>
      <c r="W795" s="650"/>
      <c r="X795" s="650"/>
      <c r="Y795" s="650"/>
      <c r="Z795" s="650"/>
      <c r="AA795" s="650"/>
      <c r="AB795" s="650"/>
      <c r="AC795" s="650"/>
      <c r="AD795" s="650"/>
      <c r="AE795" s="650"/>
      <c r="AF795" s="650"/>
      <c r="AG795" s="650"/>
      <c r="AH795" s="650"/>
      <c r="AI795" s="650"/>
      <c r="AJ795" s="650"/>
      <c r="AK795" s="650"/>
      <c r="AL795" s="650"/>
      <c r="AM795" s="650"/>
      <c r="AN795" s="650"/>
      <c r="AO795" s="650"/>
      <c r="AP795" s="650"/>
      <c r="AQ795" s="650"/>
      <c r="AR795" s="650"/>
      <c r="AS795" s="650"/>
      <c r="AT795" s="650"/>
      <c r="AU795" s="650"/>
      <c r="AV795" s="650"/>
      <c r="AW795" s="650"/>
      <c r="AX795" s="650"/>
      <c r="AY795" s="650"/>
    </row>
    <row r="796" ht="21.75" customHeight="1">
      <c r="A796" s="650"/>
      <c r="B796" s="650"/>
      <c r="C796" s="650"/>
      <c r="D796" s="650"/>
      <c r="E796" s="650"/>
      <c r="F796" s="650"/>
      <c r="G796" s="650"/>
      <c r="H796" s="650"/>
      <c r="I796" s="650"/>
      <c r="J796" s="650"/>
      <c r="K796" s="650"/>
      <c r="L796" s="650"/>
      <c r="M796" s="650"/>
      <c r="N796" s="650"/>
      <c r="O796" s="650"/>
      <c r="P796" s="650"/>
      <c r="Q796" s="650"/>
      <c r="R796" s="650"/>
      <c r="S796" s="650"/>
      <c r="T796" s="650"/>
      <c r="U796" s="650"/>
      <c r="V796" s="650"/>
      <c r="W796" s="650"/>
      <c r="X796" s="650"/>
      <c r="Y796" s="650"/>
      <c r="Z796" s="650"/>
      <c r="AA796" s="650"/>
      <c r="AB796" s="650"/>
      <c r="AC796" s="650"/>
      <c r="AD796" s="650"/>
      <c r="AE796" s="650"/>
      <c r="AF796" s="650"/>
      <c r="AG796" s="650"/>
      <c r="AH796" s="650"/>
      <c r="AI796" s="650"/>
      <c r="AJ796" s="650"/>
      <c r="AK796" s="650"/>
      <c r="AL796" s="650"/>
      <c r="AM796" s="650"/>
      <c r="AN796" s="650"/>
      <c r="AO796" s="650"/>
      <c r="AP796" s="650"/>
      <c r="AQ796" s="650"/>
      <c r="AR796" s="650"/>
      <c r="AS796" s="650"/>
      <c r="AT796" s="650"/>
      <c r="AU796" s="650"/>
      <c r="AV796" s="650"/>
      <c r="AW796" s="650"/>
      <c r="AX796" s="650"/>
      <c r="AY796" s="650"/>
    </row>
    <row r="797" ht="21.75" customHeight="1">
      <c r="A797" s="650"/>
      <c r="B797" s="650"/>
      <c r="C797" s="650"/>
      <c r="D797" s="650"/>
      <c r="E797" s="650"/>
      <c r="F797" s="650"/>
      <c r="G797" s="650"/>
      <c r="H797" s="650"/>
      <c r="I797" s="650"/>
      <c r="J797" s="650"/>
      <c r="K797" s="650"/>
      <c r="L797" s="650"/>
      <c r="M797" s="650"/>
      <c r="N797" s="650"/>
      <c r="O797" s="650"/>
      <c r="P797" s="650"/>
      <c r="Q797" s="650"/>
      <c r="R797" s="650"/>
      <c r="S797" s="650"/>
      <c r="T797" s="650"/>
      <c r="U797" s="650"/>
      <c r="V797" s="650"/>
      <c r="W797" s="650"/>
      <c r="X797" s="650"/>
      <c r="Y797" s="650"/>
      <c r="Z797" s="650"/>
      <c r="AA797" s="650"/>
      <c r="AB797" s="650"/>
      <c r="AC797" s="650"/>
      <c r="AD797" s="650"/>
      <c r="AE797" s="650"/>
      <c r="AF797" s="650"/>
      <c r="AG797" s="650"/>
      <c r="AH797" s="650"/>
      <c r="AI797" s="650"/>
      <c r="AJ797" s="650"/>
      <c r="AK797" s="650"/>
      <c r="AL797" s="650"/>
      <c r="AM797" s="650"/>
      <c r="AN797" s="650"/>
      <c r="AO797" s="650"/>
      <c r="AP797" s="650"/>
      <c r="AQ797" s="650"/>
      <c r="AR797" s="650"/>
      <c r="AS797" s="650"/>
      <c r="AT797" s="650"/>
      <c r="AU797" s="650"/>
      <c r="AV797" s="650"/>
      <c r="AW797" s="650"/>
      <c r="AX797" s="650"/>
      <c r="AY797" s="650"/>
    </row>
    <row r="798" ht="21.75" customHeight="1">
      <c r="A798" s="650"/>
      <c r="B798" s="650"/>
      <c r="C798" s="650"/>
      <c r="D798" s="650"/>
      <c r="E798" s="650"/>
      <c r="F798" s="650"/>
      <c r="G798" s="650"/>
      <c r="H798" s="650"/>
      <c r="I798" s="650"/>
      <c r="J798" s="650"/>
      <c r="K798" s="650"/>
      <c r="L798" s="650"/>
      <c r="M798" s="650"/>
      <c r="N798" s="650"/>
      <c r="O798" s="650"/>
      <c r="P798" s="650"/>
      <c r="Q798" s="650"/>
      <c r="R798" s="650"/>
      <c r="S798" s="650"/>
      <c r="T798" s="650"/>
      <c r="U798" s="650"/>
      <c r="V798" s="650"/>
      <c r="W798" s="650"/>
      <c r="X798" s="650"/>
      <c r="Y798" s="650"/>
      <c r="Z798" s="650"/>
      <c r="AA798" s="650"/>
      <c r="AB798" s="650"/>
      <c r="AC798" s="650"/>
      <c r="AD798" s="650"/>
      <c r="AE798" s="650"/>
      <c r="AF798" s="650"/>
      <c r="AG798" s="650"/>
      <c r="AH798" s="650"/>
      <c r="AI798" s="650"/>
      <c r="AJ798" s="650"/>
      <c r="AK798" s="650"/>
      <c r="AL798" s="650"/>
      <c r="AM798" s="650"/>
      <c r="AN798" s="650"/>
      <c r="AO798" s="650"/>
      <c r="AP798" s="650"/>
      <c r="AQ798" s="650"/>
      <c r="AR798" s="650"/>
      <c r="AS798" s="650"/>
      <c r="AT798" s="650"/>
      <c r="AU798" s="650"/>
      <c r="AV798" s="650"/>
      <c r="AW798" s="650"/>
      <c r="AX798" s="650"/>
      <c r="AY798" s="650"/>
    </row>
    <row r="799" ht="21.75" customHeight="1">
      <c r="A799" s="650"/>
      <c r="B799" s="650"/>
      <c r="C799" s="650"/>
      <c r="D799" s="650"/>
      <c r="E799" s="650"/>
      <c r="F799" s="650"/>
      <c r="G799" s="650"/>
      <c r="H799" s="650"/>
      <c r="I799" s="650"/>
      <c r="J799" s="650"/>
      <c r="K799" s="650"/>
      <c r="L799" s="650"/>
      <c r="M799" s="650"/>
      <c r="N799" s="650"/>
      <c r="O799" s="650"/>
      <c r="P799" s="650"/>
      <c r="Q799" s="650"/>
      <c r="R799" s="650"/>
      <c r="S799" s="650"/>
      <c r="T799" s="650"/>
      <c r="U799" s="650"/>
      <c r="V799" s="650"/>
      <c r="W799" s="650"/>
      <c r="X799" s="650"/>
      <c r="Y799" s="650"/>
      <c r="Z799" s="650"/>
      <c r="AA799" s="650"/>
      <c r="AB799" s="650"/>
      <c r="AC799" s="650"/>
      <c r="AD799" s="650"/>
      <c r="AE799" s="650"/>
      <c r="AF799" s="650"/>
      <c r="AG799" s="650"/>
      <c r="AH799" s="650"/>
      <c r="AI799" s="650"/>
      <c r="AJ799" s="650"/>
      <c r="AK799" s="650"/>
      <c r="AL799" s="650"/>
      <c r="AM799" s="650"/>
      <c r="AN799" s="650"/>
      <c r="AO799" s="650"/>
      <c r="AP799" s="650"/>
      <c r="AQ799" s="650"/>
      <c r="AR799" s="650"/>
      <c r="AS799" s="650"/>
      <c r="AT799" s="650"/>
      <c r="AU799" s="650"/>
      <c r="AV799" s="650"/>
      <c r="AW799" s="650"/>
      <c r="AX799" s="650"/>
      <c r="AY799" s="650"/>
    </row>
    <row r="800" ht="21.75" customHeight="1">
      <c r="A800" s="650"/>
      <c r="B800" s="650"/>
      <c r="C800" s="650"/>
      <c r="D800" s="650"/>
      <c r="E800" s="650"/>
      <c r="F800" s="650"/>
      <c r="G800" s="650"/>
      <c r="H800" s="650"/>
      <c r="I800" s="650"/>
      <c r="J800" s="650"/>
      <c r="K800" s="650"/>
      <c r="L800" s="650"/>
      <c r="M800" s="650"/>
      <c r="N800" s="650"/>
      <c r="O800" s="650"/>
      <c r="P800" s="650"/>
      <c r="Q800" s="650"/>
      <c r="R800" s="650"/>
      <c r="S800" s="650"/>
      <c r="T800" s="650"/>
      <c r="U800" s="650"/>
      <c r="V800" s="650"/>
      <c r="W800" s="650"/>
      <c r="X800" s="650"/>
      <c r="Y800" s="650"/>
      <c r="Z800" s="650"/>
      <c r="AA800" s="650"/>
      <c r="AB800" s="650"/>
      <c r="AC800" s="650"/>
      <c r="AD800" s="650"/>
      <c r="AE800" s="650"/>
      <c r="AF800" s="650"/>
      <c r="AG800" s="650"/>
      <c r="AH800" s="650"/>
      <c r="AI800" s="650"/>
      <c r="AJ800" s="650"/>
      <c r="AK800" s="650"/>
      <c r="AL800" s="650"/>
      <c r="AM800" s="650"/>
      <c r="AN800" s="650"/>
      <c r="AO800" s="650"/>
      <c r="AP800" s="650"/>
      <c r="AQ800" s="650"/>
      <c r="AR800" s="650"/>
      <c r="AS800" s="650"/>
      <c r="AT800" s="650"/>
      <c r="AU800" s="650"/>
      <c r="AV800" s="650"/>
      <c r="AW800" s="650"/>
      <c r="AX800" s="650"/>
      <c r="AY800" s="650"/>
    </row>
    <row r="801" ht="21.75" customHeight="1">
      <c r="A801" s="650"/>
      <c r="B801" s="650"/>
      <c r="C801" s="650"/>
      <c r="D801" s="650"/>
      <c r="E801" s="650"/>
      <c r="F801" s="650"/>
      <c r="G801" s="650"/>
      <c r="H801" s="650"/>
      <c r="I801" s="650"/>
      <c r="J801" s="650"/>
      <c r="K801" s="650"/>
      <c r="L801" s="650"/>
      <c r="M801" s="650"/>
      <c r="N801" s="650"/>
      <c r="O801" s="650"/>
      <c r="P801" s="650"/>
      <c r="Q801" s="650"/>
      <c r="R801" s="650"/>
      <c r="S801" s="650"/>
      <c r="T801" s="650"/>
      <c r="U801" s="650"/>
      <c r="V801" s="650"/>
      <c r="W801" s="650"/>
      <c r="X801" s="650"/>
      <c r="Y801" s="650"/>
      <c r="Z801" s="650"/>
      <c r="AA801" s="650"/>
      <c r="AB801" s="650"/>
      <c r="AC801" s="650"/>
      <c r="AD801" s="650"/>
      <c r="AE801" s="650"/>
      <c r="AF801" s="650"/>
      <c r="AG801" s="650"/>
      <c r="AH801" s="650"/>
      <c r="AI801" s="650"/>
      <c r="AJ801" s="650"/>
      <c r="AK801" s="650"/>
      <c r="AL801" s="650"/>
      <c r="AM801" s="650"/>
      <c r="AN801" s="650"/>
      <c r="AO801" s="650"/>
      <c r="AP801" s="650"/>
      <c r="AQ801" s="650"/>
      <c r="AR801" s="650"/>
      <c r="AS801" s="650"/>
      <c r="AT801" s="650"/>
      <c r="AU801" s="650"/>
      <c r="AV801" s="650"/>
      <c r="AW801" s="650"/>
      <c r="AX801" s="650"/>
      <c r="AY801" s="650"/>
    </row>
    <row r="802" ht="21.75" customHeight="1">
      <c r="A802" s="650"/>
      <c r="B802" s="650"/>
      <c r="C802" s="650"/>
      <c r="D802" s="650"/>
      <c r="E802" s="650"/>
      <c r="F802" s="650"/>
      <c r="G802" s="650"/>
      <c r="H802" s="650"/>
      <c r="I802" s="650"/>
      <c r="J802" s="650"/>
      <c r="K802" s="650"/>
      <c r="L802" s="650"/>
      <c r="M802" s="650"/>
      <c r="N802" s="650"/>
      <c r="O802" s="650"/>
      <c r="P802" s="650"/>
      <c r="Q802" s="650"/>
      <c r="R802" s="650"/>
      <c r="S802" s="650"/>
      <c r="T802" s="650"/>
      <c r="U802" s="650"/>
      <c r="V802" s="650"/>
      <c r="W802" s="650"/>
      <c r="X802" s="650"/>
      <c r="Y802" s="650"/>
      <c r="Z802" s="650"/>
      <c r="AA802" s="650"/>
      <c r="AB802" s="650"/>
      <c r="AC802" s="650"/>
      <c r="AD802" s="650"/>
      <c r="AE802" s="650"/>
      <c r="AF802" s="650"/>
      <c r="AG802" s="650"/>
      <c r="AH802" s="650"/>
      <c r="AI802" s="650"/>
      <c r="AJ802" s="650"/>
      <c r="AK802" s="650"/>
      <c r="AL802" s="650"/>
      <c r="AM802" s="650"/>
      <c r="AN802" s="650"/>
      <c r="AO802" s="650"/>
      <c r="AP802" s="650"/>
      <c r="AQ802" s="650"/>
      <c r="AR802" s="650"/>
      <c r="AS802" s="650"/>
      <c r="AT802" s="650"/>
      <c r="AU802" s="650"/>
      <c r="AV802" s="650"/>
      <c r="AW802" s="650"/>
      <c r="AX802" s="650"/>
      <c r="AY802" s="650"/>
    </row>
    <row r="803" ht="21.75" customHeight="1">
      <c r="A803" s="650"/>
      <c r="B803" s="650"/>
      <c r="C803" s="650"/>
      <c r="D803" s="650"/>
      <c r="E803" s="650"/>
      <c r="F803" s="650"/>
      <c r="G803" s="650"/>
      <c r="H803" s="650"/>
      <c r="I803" s="650"/>
      <c r="J803" s="650"/>
      <c r="K803" s="650"/>
      <c r="L803" s="650"/>
      <c r="M803" s="650"/>
      <c r="N803" s="650"/>
      <c r="O803" s="650"/>
      <c r="P803" s="650"/>
      <c r="Q803" s="650"/>
      <c r="R803" s="650"/>
      <c r="S803" s="650"/>
      <c r="T803" s="650"/>
      <c r="U803" s="650"/>
      <c r="V803" s="650"/>
      <c r="W803" s="650"/>
      <c r="X803" s="650"/>
      <c r="Y803" s="650"/>
      <c r="Z803" s="650"/>
      <c r="AA803" s="650"/>
      <c r="AB803" s="650"/>
      <c r="AC803" s="650"/>
      <c r="AD803" s="650"/>
      <c r="AE803" s="650"/>
      <c r="AF803" s="650"/>
      <c r="AG803" s="650"/>
      <c r="AH803" s="650"/>
      <c r="AI803" s="650"/>
      <c r="AJ803" s="650"/>
      <c r="AK803" s="650"/>
      <c r="AL803" s="650"/>
      <c r="AM803" s="650"/>
      <c r="AN803" s="650"/>
      <c r="AO803" s="650"/>
      <c r="AP803" s="650"/>
      <c r="AQ803" s="650"/>
      <c r="AR803" s="650"/>
      <c r="AS803" s="650"/>
      <c r="AT803" s="650"/>
      <c r="AU803" s="650"/>
      <c r="AV803" s="650"/>
      <c r="AW803" s="650"/>
      <c r="AX803" s="650"/>
      <c r="AY803" s="650"/>
    </row>
    <row r="804" ht="21.75" customHeight="1">
      <c r="A804" s="650"/>
      <c r="B804" s="650"/>
      <c r="C804" s="650"/>
      <c r="D804" s="650"/>
      <c r="E804" s="650"/>
      <c r="F804" s="650"/>
      <c r="G804" s="650"/>
      <c r="H804" s="650"/>
      <c r="I804" s="650"/>
      <c r="J804" s="650"/>
      <c r="K804" s="650"/>
      <c r="L804" s="650"/>
      <c r="M804" s="650"/>
      <c r="N804" s="650"/>
      <c r="O804" s="650"/>
      <c r="P804" s="650"/>
      <c r="Q804" s="650"/>
      <c r="R804" s="650"/>
      <c r="S804" s="650"/>
      <c r="T804" s="650"/>
      <c r="U804" s="650"/>
      <c r="V804" s="650"/>
      <c r="W804" s="650"/>
      <c r="X804" s="650"/>
      <c r="Y804" s="650"/>
      <c r="Z804" s="650"/>
      <c r="AA804" s="650"/>
      <c r="AB804" s="650"/>
      <c r="AC804" s="650"/>
      <c r="AD804" s="650"/>
      <c r="AE804" s="650"/>
      <c r="AF804" s="650"/>
      <c r="AG804" s="650"/>
      <c r="AH804" s="650"/>
      <c r="AI804" s="650"/>
      <c r="AJ804" s="650"/>
      <c r="AK804" s="650"/>
      <c r="AL804" s="650"/>
      <c r="AM804" s="650"/>
      <c r="AN804" s="650"/>
      <c r="AO804" s="650"/>
      <c r="AP804" s="650"/>
      <c r="AQ804" s="650"/>
      <c r="AR804" s="650"/>
      <c r="AS804" s="650"/>
      <c r="AT804" s="650"/>
      <c r="AU804" s="650"/>
      <c r="AV804" s="650"/>
      <c r="AW804" s="650"/>
      <c r="AX804" s="650"/>
      <c r="AY804" s="650"/>
    </row>
    <row r="805" ht="21.75" customHeight="1">
      <c r="A805" s="650"/>
      <c r="B805" s="650"/>
      <c r="C805" s="650"/>
      <c r="D805" s="650"/>
      <c r="E805" s="650"/>
      <c r="F805" s="650"/>
      <c r="G805" s="650"/>
      <c r="H805" s="650"/>
      <c r="I805" s="650"/>
      <c r="J805" s="650"/>
      <c r="K805" s="650"/>
      <c r="L805" s="650"/>
      <c r="M805" s="650"/>
      <c r="N805" s="650"/>
      <c r="O805" s="650"/>
      <c r="P805" s="650"/>
      <c r="Q805" s="650"/>
      <c r="R805" s="650"/>
      <c r="S805" s="650"/>
      <c r="T805" s="650"/>
      <c r="U805" s="650"/>
      <c r="V805" s="650"/>
      <c r="W805" s="650"/>
      <c r="X805" s="650"/>
      <c r="Y805" s="650"/>
      <c r="Z805" s="650"/>
      <c r="AA805" s="650"/>
      <c r="AB805" s="650"/>
      <c r="AC805" s="650"/>
      <c r="AD805" s="650"/>
      <c r="AE805" s="650"/>
      <c r="AF805" s="650"/>
      <c r="AG805" s="650"/>
      <c r="AH805" s="650"/>
      <c r="AI805" s="650"/>
      <c r="AJ805" s="650"/>
      <c r="AK805" s="650"/>
      <c r="AL805" s="650"/>
      <c r="AM805" s="650"/>
      <c r="AN805" s="650"/>
      <c r="AO805" s="650"/>
      <c r="AP805" s="650"/>
      <c r="AQ805" s="650"/>
      <c r="AR805" s="650"/>
      <c r="AS805" s="650"/>
      <c r="AT805" s="650"/>
      <c r="AU805" s="650"/>
      <c r="AV805" s="650"/>
      <c r="AW805" s="650"/>
      <c r="AX805" s="650"/>
      <c r="AY805" s="650"/>
    </row>
    <row r="806" ht="21.75" customHeight="1">
      <c r="A806" s="650"/>
      <c r="B806" s="650"/>
      <c r="C806" s="650"/>
      <c r="D806" s="650"/>
      <c r="E806" s="650"/>
      <c r="F806" s="650"/>
      <c r="G806" s="650"/>
      <c r="H806" s="650"/>
      <c r="I806" s="650"/>
      <c r="J806" s="650"/>
      <c r="K806" s="650"/>
      <c r="L806" s="650"/>
      <c r="M806" s="650"/>
      <c r="N806" s="650"/>
      <c r="O806" s="650"/>
      <c r="P806" s="650"/>
      <c r="Q806" s="650"/>
      <c r="R806" s="650"/>
      <c r="S806" s="650"/>
      <c r="T806" s="650"/>
      <c r="U806" s="650"/>
      <c r="V806" s="650"/>
      <c r="W806" s="650"/>
      <c r="X806" s="650"/>
      <c r="Y806" s="650"/>
      <c r="Z806" s="650"/>
      <c r="AA806" s="650"/>
      <c r="AB806" s="650"/>
      <c r="AC806" s="650"/>
      <c r="AD806" s="650"/>
      <c r="AE806" s="650"/>
      <c r="AF806" s="650"/>
      <c r="AG806" s="650"/>
      <c r="AH806" s="650"/>
      <c r="AI806" s="650"/>
      <c r="AJ806" s="650"/>
      <c r="AK806" s="650"/>
      <c r="AL806" s="650"/>
      <c r="AM806" s="650"/>
      <c r="AN806" s="650"/>
      <c r="AO806" s="650"/>
      <c r="AP806" s="650"/>
      <c r="AQ806" s="650"/>
      <c r="AR806" s="650"/>
      <c r="AS806" s="650"/>
      <c r="AT806" s="650"/>
      <c r="AU806" s="650"/>
      <c r="AV806" s="650"/>
      <c r="AW806" s="650"/>
      <c r="AX806" s="650"/>
      <c r="AY806" s="650"/>
    </row>
    <row r="807" ht="21.75" customHeight="1">
      <c r="A807" s="650"/>
      <c r="B807" s="650"/>
      <c r="C807" s="650"/>
      <c r="D807" s="650"/>
      <c r="E807" s="650"/>
      <c r="F807" s="650"/>
      <c r="G807" s="650"/>
      <c r="H807" s="650"/>
      <c r="I807" s="650"/>
      <c r="J807" s="650"/>
      <c r="K807" s="650"/>
      <c r="L807" s="650"/>
      <c r="M807" s="650"/>
      <c r="N807" s="650"/>
      <c r="O807" s="650"/>
      <c r="P807" s="650"/>
      <c r="Q807" s="650"/>
      <c r="R807" s="650"/>
      <c r="S807" s="650"/>
      <c r="T807" s="650"/>
      <c r="U807" s="650"/>
      <c r="V807" s="650"/>
      <c r="W807" s="650"/>
      <c r="X807" s="650"/>
      <c r="Y807" s="650"/>
      <c r="Z807" s="650"/>
      <c r="AA807" s="650"/>
      <c r="AB807" s="650"/>
      <c r="AC807" s="650"/>
      <c r="AD807" s="650"/>
      <c r="AE807" s="650"/>
      <c r="AF807" s="650"/>
      <c r="AG807" s="650"/>
      <c r="AH807" s="650"/>
      <c r="AI807" s="650"/>
      <c r="AJ807" s="650"/>
      <c r="AK807" s="650"/>
      <c r="AL807" s="650"/>
      <c r="AM807" s="650"/>
      <c r="AN807" s="650"/>
      <c r="AO807" s="650"/>
      <c r="AP807" s="650"/>
      <c r="AQ807" s="650"/>
      <c r="AR807" s="650"/>
      <c r="AS807" s="650"/>
      <c r="AT807" s="650"/>
      <c r="AU807" s="650"/>
      <c r="AV807" s="650"/>
      <c r="AW807" s="650"/>
      <c r="AX807" s="650"/>
      <c r="AY807" s="650"/>
    </row>
    <row r="808" ht="21.75" customHeight="1">
      <c r="A808" s="650"/>
      <c r="B808" s="650"/>
      <c r="C808" s="650"/>
      <c r="D808" s="650"/>
      <c r="E808" s="650"/>
      <c r="F808" s="650"/>
      <c r="G808" s="650"/>
      <c r="H808" s="650"/>
      <c r="I808" s="650"/>
      <c r="J808" s="650"/>
      <c r="K808" s="650"/>
      <c r="L808" s="650"/>
      <c r="M808" s="650"/>
      <c r="N808" s="650"/>
      <c r="O808" s="650"/>
      <c r="P808" s="650"/>
      <c r="Q808" s="650"/>
      <c r="R808" s="650"/>
      <c r="S808" s="650"/>
      <c r="T808" s="650"/>
      <c r="U808" s="650"/>
      <c r="V808" s="650"/>
      <c r="W808" s="650"/>
      <c r="X808" s="650"/>
      <c r="Y808" s="650"/>
      <c r="Z808" s="650"/>
      <c r="AA808" s="650"/>
      <c r="AB808" s="650"/>
      <c r="AC808" s="650"/>
      <c r="AD808" s="650"/>
      <c r="AE808" s="650"/>
      <c r="AF808" s="650"/>
      <c r="AG808" s="650"/>
      <c r="AH808" s="650"/>
      <c r="AI808" s="650"/>
      <c r="AJ808" s="650"/>
      <c r="AK808" s="650"/>
      <c r="AL808" s="650"/>
      <c r="AM808" s="650"/>
      <c r="AN808" s="650"/>
      <c r="AO808" s="650"/>
      <c r="AP808" s="650"/>
      <c r="AQ808" s="650"/>
      <c r="AR808" s="650"/>
      <c r="AS808" s="650"/>
      <c r="AT808" s="650"/>
      <c r="AU808" s="650"/>
      <c r="AV808" s="650"/>
      <c r="AW808" s="650"/>
      <c r="AX808" s="650"/>
      <c r="AY808" s="650"/>
    </row>
    <row r="809" ht="21.75" customHeight="1">
      <c r="A809" s="650"/>
      <c r="B809" s="650"/>
      <c r="C809" s="650"/>
      <c r="D809" s="650"/>
      <c r="E809" s="650"/>
      <c r="F809" s="650"/>
      <c r="G809" s="650"/>
      <c r="H809" s="650"/>
      <c r="I809" s="650"/>
      <c r="J809" s="650"/>
      <c r="K809" s="650"/>
      <c r="L809" s="650"/>
      <c r="M809" s="650"/>
      <c r="N809" s="650"/>
      <c r="O809" s="650"/>
      <c r="P809" s="650"/>
      <c r="Q809" s="650"/>
      <c r="R809" s="650"/>
      <c r="S809" s="650"/>
      <c r="T809" s="650"/>
      <c r="U809" s="650"/>
      <c r="V809" s="650"/>
      <c r="W809" s="650"/>
      <c r="X809" s="650"/>
      <c r="Y809" s="650"/>
      <c r="Z809" s="650"/>
      <c r="AA809" s="650"/>
      <c r="AB809" s="650"/>
      <c r="AC809" s="650"/>
      <c r="AD809" s="650"/>
      <c r="AE809" s="650"/>
      <c r="AF809" s="650"/>
      <c r="AG809" s="650"/>
      <c r="AH809" s="650"/>
      <c r="AI809" s="650"/>
      <c r="AJ809" s="650"/>
      <c r="AK809" s="650"/>
      <c r="AL809" s="650"/>
      <c r="AM809" s="650"/>
      <c r="AN809" s="650"/>
      <c r="AO809" s="650"/>
      <c r="AP809" s="650"/>
      <c r="AQ809" s="650"/>
      <c r="AR809" s="650"/>
      <c r="AS809" s="650"/>
      <c r="AT809" s="650"/>
      <c r="AU809" s="650"/>
      <c r="AV809" s="650"/>
      <c r="AW809" s="650"/>
      <c r="AX809" s="650"/>
      <c r="AY809" s="650"/>
    </row>
    <row r="810" ht="21.75" customHeight="1">
      <c r="A810" s="650"/>
      <c r="B810" s="650"/>
      <c r="C810" s="650"/>
      <c r="D810" s="650"/>
      <c r="E810" s="650"/>
      <c r="F810" s="650"/>
      <c r="G810" s="650"/>
      <c r="H810" s="650"/>
      <c r="I810" s="650"/>
      <c r="J810" s="650"/>
      <c r="K810" s="650"/>
      <c r="L810" s="650"/>
      <c r="M810" s="650"/>
      <c r="N810" s="650"/>
      <c r="O810" s="650"/>
      <c r="P810" s="650"/>
      <c r="Q810" s="650"/>
      <c r="R810" s="650"/>
      <c r="S810" s="650"/>
      <c r="T810" s="650"/>
      <c r="U810" s="650"/>
      <c r="V810" s="650"/>
      <c r="W810" s="650"/>
      <c r="X810" s="650"/>
      <c r="Y810" s="650"/>
      <c r="Z810" s="650"/>
      <c r="AA810" s="650"/>
      <c r="AB810" s="650"/>
      <c r="AC810" s="650"/>
      <c r="AD810" s="650"/>
      <c r="AE810" s="650"/>
      <c r="AF810" s="650"/>
      <c r="AG810" s="650"/>
      <c r="AH810" s="650"/>
      <c r="AI810" s="650"/>
      <c r="AJ810" s="650"/>
      <c r="AK810" s="650"/>
      <c r="AL810" s="650"/>
      <c r="AM810" s="650"/>
      <c r="AN810" s="650"/>
      <c r="AO810" s="650"/>
      <c r="AP810" s="650"/>
      <c r="AQ810" s="650"/>
      <c r="AR810" s="650"/>
      <c r="AS810" s="650"/>
      <c r="AT810" s="650"/>
      <c r="AU810" s="650"/>
      <c r="AV810" s="650"/>
      <c r="AW810" s="650"/>
      <c r="AX810" s="650"/>
      <c r="AY810" s="650"/>
    </row>
    <row r="811" ht="21.75" customHeight="1">
      <c r="A811" s="650"/>
      <c r="B811" s="650"/>
      <c r="C811" s="650"/>
      <c r="D811" s="650"/>
      <c r="E811" s="650"/>
      <c r="F811" s="650"/>
      <c r="G811" s="650"/>
      <c r="H811" s="650"/>
      <c r="I811" s="650"/>
      <c r="J811" s="650"/>
      <c r="K811" s="650"/>
      <c r="L811" s="650"/>
      <c r="M811" s="650"/>
      <c r="N811" s="650"/>
      <c r="O811" s="650"/>
      <c r="P811" s="650"/>
      <c r="Q811" s="650"/>
      <c r="R811" s="650"/>
      <c r="S811" s="650"/>
      <c r="T811" s="650"/>
      <c r="U811" s="650"/>
      <c r="V811" s="650"/>
      <c r="W811" s="650"/>
      <c r="X811" s="650"/>
      <c r="Y811" s="650"/>
      <c r="Z811" s="650"/>
      <c r="AA811" s="650"/>
      <c r="AB811" s="650"/>
      <c r="AC811" s="650"/>
      <c r="AD811" s="650"/>
      <c r="AE811" s="650"/>
      <c r="AF811" s="650"/>
      <c r="AG811" s="650"/>
      <c r="AH811" s="650"/>
      <c r="AI811" s="650"/>
      <c r="AJ811" s="650"/>
      <c r="AK811" s="650"/>
      <c r="AL811" s="650"/>
      <c r="AM811" s="650"/>
      <c r="AN811" s="650"/>
      <c r="AO811" s="650"/>
      <c r="AP811" s="650"/>
      <c r="AQ811" s="650"/>
      <c r="AR811" s="650"/>
      <c r="AS811" s="650"/>
      <c r="AT811" s="650"/>
      <c r="AU811" s="650"/>
      <c r="AV811" s="650"/>
      <c r="AW811" s="650"/>
      <c r="AX811" s="650"/>
      <c r="AY811" s="650"/>
    </row>
    <row r="812" ht="21.75" customHeight="1">
      <c r="A812" s="650"/>
      <c r="B812" s="650"/>
      <c r="C812" s="650"/>
      <c r="D812" s="650"/>
      <c r="E812" s="650"/>
      <c r="F812" s="650"/>
      <c r="G812" s="650"/>
      <c r="H812" s="650"/>
      <c r="I812" s="650"/>
      <c r="J812" s="650"/>
      <c r="K812" s="650"/>
      <c r="L812" s="650"/>
      <c r="M812" s="650"/>
      <c r="N812" s="650"/>
      <c r="O812" s="650"/>
      <c r="P812" s="650"/>
      <c r="Q812" s="650"/>
      <c r="R812" s="650"/>
      <c r="S812" s="650"/>
      <c r="T812" s="650"/>
      <c r="U812" s="650"/>
      <c r="V812" s="650"/>
      <c r="W812" s="650"/>
      <c r="X812" s="650"/>
      <c r="Y812" s="650"/>
      <c r="Z812" s="650"/>
      <c r="AA812" s="650"/>
      <c r="AB812" s="650"/>
      <c r="AC812" s="650"/>
      <c r="AD812" s="650"/>
      <c r="AE812" s="650"/>
      <c r="AF812" s="650"/>
      <c r="AG812" s="650"/>
      <c r="AH812" s="650"/>
      <c r="AI812" s="650"/>
      <c r="AJ812" s="650"/>
      <c r="AK812" s="650"/>
      <c r="AL812" s="650"/>
      <c r="AM812" s="650"/>
      <c r="AN812" s="650"/>
      <c r="AO812" s="650"/>
      <c r="AP812" s="650"/>
      <c r="AQ812" s="650"/>
      <c r="AR812" s="650"/>
      <c r="AS812" s="650"/>
      <c r="AT812" s="650"/>
      <c r="AU812" s="650"/>
      <c r="AV812" s="650"/>
      <c r="AW812" s="650"/>
      <c r="AX812" s="650"/>
      <c r="AY812" s="650"/>
    </row>
    <row r="813" ht="21.75" customHeight="1">
      <c r="A813" s="650"/>
      <c r="B813" s="650"/>
      <c r="C813" s="650"/>
      <c r="D813" s="650"/>
      <c r="E813" s="650"/>
      <c r="F813" s="650"/>
      <c r="G813" s="650"/>
      <c r="H813" s="650"/>
      <c r="I813" s="650"/>
      <c r="J813" s="650"/>
      <c r="K813" s="650"/>
      <c r="L813" s="650"/>
      <c r="M813" s="650"/>
      <c r="N813" s="650"/>
      <c r="O813" s="650"/>
      <c r="P813" s="650"/>
      <c r="Q813" s="650"/>
      <c r="R813" s="650"/>
      <c r="S813" s="650"/>
      <c r="T813" s="650"/>
      <c r="U813" s="650"/>
      <c r="V813" s="650"/>
      <c r="W813" s="650"/>
      <c r="X813" s="650"/>
      <c r="Y813" s="650"/>
      <c r="Z813" s="650"/>
      <c r="AA813" s="650"/>
      <c r="AB813" s="650"/>
      <c r="AC813" s="650"/>
      <c r="AD813" s="650"/>
      <c r="AE813" s="650"/>
      <c r="AF813" s="650"/>
      <c r="AG813" s="650"/>
      <c r="AH813" s="650"/>
      <c r="AI813" s="650"/>
      <c r="AJ813" s="650"/>
      <c r="AK813" s="650"/>
      <c r="AL813" s="650"/>
      <c r="AM813" s="650"/>
      <c r="AN813" s="650"/>
      <c r="AO813" s="650"/>
      <c r="AP813" s="650"/>
      <c r="AQ813" s="650"/>
      <c r="AR813" s="650"/>
      <c r="AS813" s="650"/>
      <c r="AT813" s="650"/>
      <c r="AU813" s="650"/>
      <c r="AV813" s="650"/>
      <c r="AW813" s="650"/>
      <c r="AX813" s="650"/>
      <c r="AY813" s="650"/>
    </row>
    <row r="814" ht="21.75" customHeight="1">
      <c r="A814" s="650"/>
      <c r="B814" s="650"/>
      <c r="C814" s="650"/>
      <c r="D814" s="650"/>
      <c r="E814" s="650"/>
      <c r="F814" s="650"/>
      <c r="G814" s="650"/>
      <c r="H814" s="650"/>
      <c r="I814" s="650"/>
      <c r="J814" s="650"/>
      <c r="K814" s="650"/>
      <c r="L814" s="650"/>
      <c r="M814" s="650"/>
      <c r="N814" s="650"/>
      <c r="O814" s="650"/>
      <c r="P814" s="650"/>
      <c r="Q814" s="650"/>
      <c r="R814" s="650"/>
      <c r="S814" s="650"/>
      <c r="T814" s="650"/>
      <c r="U814" s="650"/>
      <c r="V814" s="650"/>
      <c r="W814" s="650"/>
      <c r="X814" s="650"/>
      <c r="Y814" s="650"/>
      <c r="Z814" s="650"/>
      <c r="AA814" s="650"/>
      <c r="AB814" s="650"/>
      <c r="AC814" s="650"/>
      <c r="AD814" s="650"/>
      <c r="AE814" s="650"/>
      <c r="AF814" s="650"/>
      <c r="AG814" s="650"/>
      <c r="AH814" s="650"/>
      <c r="AI814" s="650"/>
      <c r="AJ814" s="650"/>
      <c r="AK814" s="650"/>
      <c r="AL814" s="650"/>
      <c r="AM814" s="650"/>
      <c r="AN814" s="650"/>
      <c r="AO814" s="650"/>
      <c r="AP814" s="650"/>
      <c r="AQ814" s="650"/>
      <c r="AR814" s="650"/>
      <c r="AS814" s="650"/>
      <c r="AT814" s="650"/>
      <c r="AU814" s="650"/>
      <c r="AV814" s="650"/>
      <c r="AW814" s="650"/>
      <c r="AX814" s="650"/>
      <c r="AY814" s="650"/>
    </row>
    <row r="815" ht="21.75" customHeight="1">
      <c r="A815" s="650"/>
      <c r="B815" s="650"/>
      <c r="C815" s="650"/>
      <c r="D815" s="650"/>
      <c r="E815" s="650"/>
      <c r="F815" s="650"/>
      <c r="G815" s="650"/>
      <c r="H815" s="650"/>
      <c r="I815" s="650"/>
      <c r="J815" s="650"/>
      <c r="K815" s="650"/>
      <c r="L815" s="650"/>
      <c r="M815" s="650"/>
      <c r="N815" s="650"/>
      <c r="O815" s="650"/>
      <c r="P815" s="650"/>
      <c r="Q815" s="650"/>
      <c r="R815" s="650"/>
      <c r="S815" s="650"/>
      <c r="T815" s="650"/>
      <c r="U815" s="650"/>
      <c r="V815" s="650"/>
      <c r="W815" s="650"/>
      <c r="X815" s="650"/>
      <c r="Y815" s="650"/>
      <c r="Z815" s="650"/>
      <c r="AA815" s="650"/>
      <c r="AB815" s="650"/>
      <c r="AC815" s="650"/>
      <c r="AD815" s="650"/>
      <c r="AE815" s="650"/>
      <c r="AF815" s="650"/>
      <c r="AG815" s="650"/>
      <c r="AH815" s="650"/>
      <c r="AI815" s="650"/>
      <c r="AJ815" s="650"/>
      <c r="AK815" s="650"/>
      <c r="AL815" s="650"/>
      <c r="AM815" s="650"/>
      <c r="AN815" s="650"/>
      <c r="AO815" s="650"/>
      <c r="AP815" s="650"/>
      <c r="AQ815" s="650"/>
      <c r="AR815" s="650"/>
      <c r="AS815" s="650"/>
      <c r="AT815" s="650"/>
      <c r="AU815" s="650"/>
      <c r="AV815" s="650"/>
      <c r="AW815" s="650"/>
      <c r="AX815" s="650"/>
      <c r="AY815" s="650"/>
    </row>
    <row r="816" ht="21.75" customHeight="1">
      <c r="A816" s="650"/>
      <c r="B816" s="650"/>
      <c r="C816" s="650"/>
      <c r="D816" s="650"/>
      <c r="E816" s="650"/>
      <c r="F816" s="650"/>
      <c r="G816" s="650"/>
      <c r="H816" s="650"/>
      <c r="I816" s="650"/>
      <c r="J816" s="650"/>
      <c r="K816" s="650"/>
      <c r="L816" s="650"/>
      <c r="M816" s="650"/>
      <c r="N816" s="650"/>
      <c r="O816" s="650"/>
      <c r="P816" s="650"/>
      <c r="Q816" s="650"/>
      <c r="R816" s="650"/>
      <c r="S816" s="650"/>
      <c r="T816" s="650"/>
      <c r="U816" s="650"/>
      <c r="V816" s="650"/>
      <c r="W816" s="650"/>
      <c r="X816" s="650"/>
      <c r="Y816" s="650"/>
      <c r="Z816" s="650"/>
      <c r="AA816" s="650"/>
      <c r="AB816" s="650"/>
      <c r="AC816" s="650"/>
      <c r="AD816" s="650"/>
      <c r="AE816" s="650"/>
      <c r="AF816" s="650"/>
      <c r="AG816" s="650"/>
      <c r="AH816" s="650"/>
      <c r="AI816" s="650"/>
      <c r="AJ816" s="650"/>
      <c r="AK816" s="650"/>
      <c r="AL816" s="650"/>
      <c r="AM816" s="650"/>
      <c r="AN816" s="650"/>
      <c r="AO816" s="650"/>
      <c r="AP816" s="650"/>
      <c r="AQ816" s="650"/>
      <c r="AR816" s="650"/>
      <c r="AS816" s="650"/>
      <c r="AT816" s="650"/>
      <c r="AU816" s="650"/>
      <c r="AV816" s="650"/>
      <c r="AW816" s="650"/>
      <c r="AX816" s="650"/>
      <c r="AY816" s="650"/>
    </row>
    <row r="817" ht="21.75" customHeight="1">
      <c r="A817" s="650"/>
      <c r="B817" s="650"/>
      <c r="C817" s="650"/>
      <c r="D817" s="650"/>
      <c r="E817" s="650"/>
      <c r="F817" s="650"/>
      <c r="G817" s="650"/>
      <c r="H817" s="650"/>
      <c r="I817" s="650"/>
      <c r="J817" s="650"/>
      <c r="K817" s="650"/>
      <c r="L817" s="650"/>
      <c r="M817" s="650"/>
      <c r="N817" s="650"/>
      <c r="O817" s="650"/>
      <c r="P817" s="650"/>
      <c r="Q817" s="650"/>
      <c r="R817" s="650"/>
      <c r="S817" s="650"/>
      <c r="T817" s="650"/>
      <c r="U817" s="650"/>
      <c r="V817" s="650"/>
      <c r="W817" s="650"/>
      <c r="X817" s="650"/>
      <c r="Y817" s="650"/>
      <c r="Z817" s="650"/>
      <c r="AA817" s="650"/>
      <c r="AB817" s="650"/>
      <c r="AC817" s="650"/>
      <c r="AD817" s="650"/>
      <c r="AE817" s="650"/>
      <c r="AF817" s="650"/>
      <c r="AG817" s="650"/>
      <c r="AH817" s="650"/>
      <c r="AI817" s="650"/>
      <c r="AJ817" s="650"/>
      <c r="AK817" s="650"/>
      <c r="AL817" s="650"/>
      <c r="AM817" s="650"/>
      <c r="AN817" s="650"/>
      <c r="AO817" s="650"/>
      <c r="AP817" s="650"/>
      <c r="AQ817" s="650"/>
      <c r="AR817" s="650"/>
      <c r="AS817" s="650"/>
      <c r="AT817" s="650"/>
      <c r="AU817" s="650"/>
      <c r="AV817" s="650"/>
      <c r="AW817" s="650"/>
      <c r="AX817" s="650"/>
      <c r="AY817" s="650"/>
    </row>
    <row r="818" ht="21.75" customHeight="1">
      <c r="A818" s="650"/>
      <c r="B818" s="650"/>
      <c r="C818" s="650"/>
      <c r="D818" s="650"/>
      <c r="E818" s="650"/>
      <c r="F818" s="650"/>
      <c r="G818" s="650"/>
      <c r="H818" s="650"/>
      <c r="I818" s="650"/>
      <c r="J818" s="650"/>
      <c r="K818" s="650"/>
      <c r="L818" s="650"/>
      <c r="M818" s="650"/>
      <c r="N818" s="650"/>
      <c r="O818" s="650"/>
      <c r="P818" s="650"/>
      <c r="Q818" s="650"/>
      <c r="R818" s="650"/>
      <c r="S818" s="650"/>
      <c r="T818" s="650"/>
      <c r="U818" s="650"/>
      <c r="V818" s="650"/>
      <c r="W818" s="650"/>
      <c r="X818" s="650"/>
      <c r="Y818" s="650"/>
      <c r="Z818" s="650"/>
      <c r="AA818" s="650"/>
      <c r="AB818" s="650"/>
      <c r="AC818" s="650"/>
      <c r="AD818" s="650"/>
      <c r="AE818" s="650"/>
      <c r="AF818" s="650"/>
      <c r="AG818" s="650"/>
      <c r="AH818" s="650"/>
      <c r="AI818" s="650"/>
      <c r="AJ818" s="650"/>
      <c r="AK818" s="650"/>
      <c r="AL818" s="650"/>
      <c r="AM818" s="650"/>
      <c r="AN818" s="650"/>
      <c r="AO818" s="650"/>
      <c r="AP818" s="650"/>
      <c r="AQ818" s="650"/>
      <c r="AR818" s="650"/>
      <c r="AS818" s="650"/>
      <c r="AT818" s="650"/>
      <c r="AU818" s="650"/>
      <c r="AV818" s="650"/>
      <c r="AW818" s="650"/>
      <c r="AX818" s="650"/>
      <c r="AY818" s="650"/>
    </row>
    <row r="819" ht="21.75" customHeight="1">
      <c r="A819" s="650"/>
      <c r="B819" s="650"/>
      <c r="C819" s="650"/>
      <c r="D819" s="650"/>
      <c r="E819" s="650"/>
      <c r="F819" s="650"/>
      <c r="G819" s="650"/>
      <c r="H819" s="650"/>
      <c r="I819" s="650"/>
      <c r="J819" s="650"/>
      <c r="K819" s="650"/>
      <c r="L819" s="650"/>
      <c r="M819" s="650"/>
      <c r="N819" s="650"/>
      <c r="O819" s="650"/>
      <c r="P819" s="650"/>
      <c r="Q819" s="650"/>
      <c r="R819" s="650"/>
      <c r="S819" s="650"/>
      <c r="T819" s="650"/>
      <c r="U819" s="650"/>
      <c r="V819" s="650"/>
      <c r="W819" s="650"/>
      <c r="X819" s="650"/>
      <c r="Y819" s="650"/>
      <c r="Z819" s="650"/>
      <c r="AA819" s="650"/>
      <c r="AB819" s="650"/>
      <c r="AC819" s="650"/>
      <c r="AD819" s="650"/>
      <c r="AE819" s="650"/>
      <c r="AF819" s="650"/>
      <c r="AG819" s="650"/>
      <c r="AH819" s="650"/>
      <c r="AI819" s="650"/>
      <c r="AJ819" s="650"/>
      <c r="AK819" s="650"/>
      <c r="AL819" s="650"/>
      <c r="AM819" s="650"/>
      <c r="AN819" s="650"/>
      <c r="AO819" s="650"/>
      <c r="AP819" s="650"/>
      <c r="AQ819" s="650"/>
      <c r="AR819" s="650"/>
      <c r="AS819" s="650"/>
      <c r="AT819" s="650"/>
      <c r="AU819" s="650"/>
      <c r="AV819" s="650"/>
      <c r="AW819" s="650"/>
      <c r="AX819" s="650"/>
      <c r="AY819" s="650"/>
    </row>
    <row r="820" ht="21.75" customHeight="1">
      <c r="A820" s="650"/>
      <c r="B820" s="650"/>
      <c r="C820" s="650"/>
      <c r="D820" s="650"/>
      <c r="E820" s="650"/>
      <c r="F820" s="650"/>
      <c r="G820" s="650"/>
      <c r="H820" s="650"/>
      <c r="I820" s="650"/>
      <c r="J820" s="650"/>
      <c r="K820" s="650"/>
      <c r="L820" s="650"/>
      <c r="M820" s="650"/>
      <c r="N820" s="650"/>
      <c r="O820" s="650"/>
      <c r="P820" s="650"/>
      <c r="Q820" s="650"/>
      <c r="R820" s="650"/>
      <c r="S820" s="650"/>
      <c r="T820" s="650"/>
      <c r="U820" s="650"/>
      <c r="V820" s="650"/>
      <c r="W820" s="650"/>
      <c r="X820" s="650"/>
      <c r="Y820" s="650"/>
      <c r="Z820" s="650"/>
      <c r="AA820" s="650"/>
      <c r="AB820" s="650"/>
      <c r="AC820" s="650"/>
      <c r="AD820" s="650"/>
      <c r="AE820" s="650"/>
      <c r="AF820" s="650"/>
      <c r="AG820" s="650"/>
      <c r="AH820" s="650"/>
      <c r="AI820" s="650"/>
      <c r="AJ820" s="650"/>
      <c r="AK820" s="650"/>
      <c r="AL820" s="650"/>
      <c r="AM820" s="650"/>
      <c r="AN820" s="650"/>
      <c r="AO820" s="650"/>
      <c r="AP820" s="650"/>
      <c r="AQ820" s="650"/>
      <c r="AR820" s="650"/>
      <c r="AS820" s="650"/>
      <c r="AT820" s="650"/>
      <c r="AU820" s="650"/>
      <c r="AV820" s="650"/>
      <c r="AW820" s="650"/>
      <c r="AX820" s="650"/>
      <c r="AY820" s="650"/>
    </row>
    <row r="821" ht="21.75" customHeight="1">
      <c r="A821" s="650"/>
      <c r="B821" s="650"/>
      <c r="C821" s="650"/>
      <c r="D821" s="650"/>
      <c r="E821" s="650"/>
      <c r="F821" s="650"/>
      <c r="G821" s="650"/>
      <c r="H821" s="650"/>
      <c r="I821" s="650"/>
      <c r="J821" s="650"/>
      <c r="K821" s="650"/>
      <c r="L821" s="650"/>
      <c r="M821" s="650"/>
      <c r="N821" s="650"/>
      <c r="O821" s="650"/>
      <c r="P821" s="650"/>
      <c r="Q821" s="650"/>
      <c r="R821" s="650"/>
      <c r="S821" s="650"/>
      <c r="T821" s="650"/>
      <c r="U821" s="650"/>
      <c r="V821" s="650"/>
      <c r="W821" s="650"/>
      <c r="X821" s="650"/>
      <c r="Y821" s="650"/>
      <c r="Z821" s="650"/>
      <c r="AA821" s="650"/>
      <c r="AB821" s="650"/>
      <c r="AC821" s="650"/>
      <c r="AD821" s="650"/>
      <c r="AE821" s="650"/>
      <c r="AF821" s="650"/>
      <c r="AG821" s="650"/>
      <c r="AH821" s="650"/>
      <c r="AI821" s="650"/>
      <c r="AJ821" s="650"/>
      <c r="AK821" s="650"/>
      <c r="AL821" s="650"/>
      <c r="AM821" s="650"/>
      <c r="AN821" s="650"/>
      <c r="AO821" s="650"/>
      <c r="AP821" s="650"/>
      <c r="AQ821" s="650"/>
      <c r="AR821" s="650"/>
      <c r="AS821" s="650"/>
      <c r="AT821" s="650"/>
      <c r="AU821" s="650"/>
      <c r="AV821" s="650"/>
      <c r="AW821" s="650"/>
      <c r="AX821" s="650"/>
      <c r="AY821" s="650"/>
    </row>
    <row r="822" ht="21.75" customHeight="1">
      <c r="A822" s="650"/>
      <c r="B822" s="650"/>
      <c r="C822" s="650"/>
      <c r="D822" s="650"/>
      <c r="E822" s="650"/>
      <c r="F822" s="650"/>
      <c r="G822" s="650"/>
      <c r="H822" s="650"/>
      <c r="I822" s="650"/>
      <c r="J822" s="650"/>
      <c r="K822" s="650"/>
      <c r="L822" s="650"/>
      <c r="M822" s="650"/>
      <c r="N822" s="650"/>
      <c r="O822" s="650"/>
      <c r="P822" s="650"/>
      <c r="Q822" s="650"/>
      <c r="R822" s="650"/>
      <c r="S822" s="650"/>
      <c r="T822" s="650"/>
      <c r="U822" s="650"/>
      <c r="V822" s="650"/>
      <c r="W822" s="650"/>
      <c r="X822" s="650"/>
      <c r="Y822" s="650"/>
      <c r="Z822" s="650"/>
      <c r="AA822" s="650"/>
      <c r="AB822" s="650"/>
      <c r="AC822" s="650"/>
      <c r="AD822" s="650"/>
      <c r="AE822" s="650"/>
      <c r="AF822" s="650"/>
      <c r="AG822" s="650"/>
      <c r="AH822" s="650"/>
      <c r="AI822" s="650"/>
      <c r="AJ822" s="650"/>
      <c r="AK822" s="650"/>
      <c r="AL822" s="650"/>
      <c r="AM822" s="650"/>
      <c r="AN822" s="650"/>
      <c r="AO822" s="650"/>
      <c r="AP822" s="650"/>
      <c r="AQ822" s="650"/>
      <c r="AR822" s="650"/>
      <c r="AS822" s="650"/>
      <c r="AT822" s="650"/>
      <c r="AU822" s="650"/>
      <c r="AV822" s="650"/>
      <c r="AW822" s="650"/>
      <c r="AX822" s="650"/>
      <c r="AY822" s="650"/>
    </row>
    <row r="823" ht="21.75" customHeight="1">
      <c r="A823" s="650"/>
      <c r="B823" s="650"/>
      <c r="C823" s="650"/>
      <c r="D823" s="650"/>
      <c r="E823" s="650"/>
      <c r="F823" s="650"/>
      <c r="G823" s="650"/>
      <c r="H823" s="650"/>
      <c r="I823" s="650"/>
      <c r="J823" s="650"/>
      <c r="K823" s="650"/>
      <c r="L823" s="650"/>
      <c r="M823" s="650"/>
      <c r="N823" s="650"/>
      <c r="O823" s="650"/>
      <c r="P823" s="650"/>
      <c r="Q823" s="650"/>
      <c r="R823" s="650"/>
      <c r="S823" s="650"/>
      <c r="T823" s="650"/>
      <c r="U823" s="650"/>
      <c r="V823" s="650"/>
      <c r="W823" s="650"/>
      <c r="X823" s="650"/>
      <c r="Y823" s="650"/>
      <c r="Z823" s="650"/>
      <c r="AA823" s="650"/>
      <c r="AB823" s="650"/>
      <c r="AC823" s="650"/>
      <c r="AD823" s="650"/>
      <c r="AE823" s="650"/>
      <c r="AF823" s="650"/>
      <c r="AG823" s="650"/>
      <c r="AH823" s="650"/>
      <c r="AI823" s="650"/>
      <c r="AJ823" s="650"/>
      <c r="AK823" s="650"/>
      <c r="AL823" s="650"/>
      <c r="AM823" s="650"/>
      <c r="AN823" s="650"/>
      <c r="AO823" s="650"/>
      <c r="AP823" s="650"/>
      <c r="AQ823" s="650"/>
      <c r="AR823" s="650"/>
      <c r="AS823" s="650"/>
      <c r="AT823" s="650"/>
      <c r="AU823" s="650"/>
      <c r="AV823" s="650"/>
      <c r="AW823" s="650"/>
      <c r="AX823" s="650"/>
      <c r="AY823" s="650"/>
    </row>
    <row r="824" ht="21.75" customHeight="1">
      <c r="A824" s="650"/>
      <c r="B824" s="650"/>
      <c r="C824" s="650"/>
      <c r="D824" s="650"/>
      <c r="E824" s="650"/>
      <c r="F824" s="650"/>
      <c r="G824" s="650"/>
      <c r="H824" s="650"/>
      <c r="I824" s="650"/>
      <c r="J824" s="650"/>
      <c r="K824" s="650"/>
      <c r="L824" s="650"/>
      <c r="M824" s="650"/>
      <c r="N824" s="650"/>
      <c r="O824" s="650"/>
      <c r="P824" s="650"/>
      <c r="Q824" s="650"/>
      <c r="R824" s="650"/>
      <c r="S824" s="650"/>
      <c r="T824" s="650"/>
      <c r="U824" s="650"/>
      <c r="V824" s="650"/>
      <c r="W824" s="650"/>
      <c r="X824" s="650"/>
      <c r="Y824" s="650"/>
      <c r="Z824" s="650"/>
      <c r="AA824" s="650"/>
      <c r="AB824" s="650"/>
      <c r="AC824" s="650"/>
      <c r="AD824" s="650"/>
      <c r="AE824" s="650"/>
      <c r="AF824" s="650"/>
      <c r="AG824" s="650"/>
      <c r="AH824" s="650"/>
      <c r="AI824" s="650"/>
      <c r="AJ824" s="650"/>
      <c r="AK824" s="650"/>
      <c r="AL824" s="650"/>
      <c r="AM824" s="650"/>
      <c r="AN824" s="650"/>
      <c r="AO824" s="650"/>
      <c r="AP824" s="650"/>
      <c r="AQ824" s="650"/>
      <c r="AR824" s="650"/>
      <c r="AS824" s="650"/>
      <c r="AT824" s="650"/>
      <c r="AU824" s="650"/>
      <c r="AV824" s="650"/>
      <c r="AW824" s="650"/>
      <c r="AX824" s="650"/>
      <c r="AY824" s="650"/>
    </row>
    <row r="825" ht="21.75" customHeight="1">
      <c r="A825" s="650"/>
      <c r="B825" s="650"/>
      <c r="C825" s="650"/>
      <c r="D825" s="650"/>
      <c r="E825" s="650"/>
      <c r="F825" s="650"/>
      <c r="G825" s="650"/>
      <c r="H825" s="650"/>
      <c r="I825" s="650"/>
      <c r="J825" s="650"/>
      <c r="K825" s="650"/>
      <c r="L825" s="650"/>
      <c r="M825" s="650"/>
      <c r="N825" s="650"/>
      <c r="O825" s="650"/>
      <c r="P825" s="650"/>
      <c r="Q825" s="650"/>
      <c r="R825" s="650"/>
      <c r="S825" s="650"/>
      <c r="T825" s="650"/>
      <c r="U825" s="650"/>
      <c r="V825" s="650"/>
      <c r="W825" s="650"/>
      <c r="X825" s="650"/>
      <c r="Y825" s="650"/>
      <c r="Z825" s="650"/>
      <c r="AA825" s="650"/>
      <c r="AB825" s="650"/>
      <c r="AC825" s="650"/>
      <c r="AD825" s="650"/>
      <c r="AE825" s="650"/>
      <c r="AF825" s="650"/>
      <c r="AG825" s="650"/>
      <c r="AH825" s="650"/>
      <c r="AI825" s="650"/>
      <c r="AJ825" s="650"/>
      <c r="AK825" s="650"/>
      <c r="AL825" s="650"/>
      <c r="AM825" s="650"/>
      <c r="AN825" s="650"/>
      <c r="AO825" s="650"/>
      <c r="AP825" s="650"/>
      <c r="AQ825" s="650"/>
      <c r="AR825" s="650"/>
      <c r="AS825" s="650"/>
      <c r="AT825" s="650"/>
      <c r="AU825" s="650"/>
      <c r="AV825" s="650"/>
      <c r="AW825" s="650"/>
      <c r="AX825" s="650"/>
      <c r="AY825" s="650"/>
    </row>
    <row r="826" ht="21.75" customHeight="1">
      <c r="A826" s="650"/>
      <c r="B826" s="650"/>
      <c r="C826" s="650"/>
      <c r="D826" s="650"/>
      <c r="E826" s="650"/>
      <c r="F826" s="650"/>
      <c r="G826" s="650"/>
      <c r="H826" s="650"/>
      <c r="I826" s="650"/>
      <c r="J826" s="650"/>
      <c r="K826" s="650"/>
      <c r="L826" s="650"/>
      <c r="M826" s="650"/>
      <c r="N826" s="650"/>
      <c r="O826" s="650"/>
      <c r="P826" s="650"/>
      <c r="Q826" s="650"/>
      <c r="R826" s="650"/>
      <c r="S826" s="650"/>
      <c r="T826" s="650"/>
      <c r="U826" s="650"/>
      <c r="V826" s="650"/>
      <c r="W826" s="650"/>
      <c r="X826" s="650"/>
      <c r="Y826" s="650"/>
      <c r="Z826" s="650"/>
      <c r="AA826" s="650"/>
      <c r="AB826" s="650"/>
      <c r="AC826" s="650"/>
      <c r="AD826" s="650"/>
      <c r="AE826" s="650"/>
      <c r="AF826" s="650"/>
      <c r="AG826" s="650"/>
      <c r="AH826" s="650"/>
      <c r="AI826" s="650"/>
      <c r="AJ826" s="650"/>
      <c r="AK826" s="650"/>
      <c r="AL826" s="650"/>
      <c r="AM826" s="650"/>
      <c r="AN826" s="650"/>
      <c r="AO826" s="650"/>
      <c r="AP826" s="650"/>
      <c r="AQ826" s="650"/>
      <c r="AR826" s="650"/>
      <c r="AS826" s="650"/>
      <c r="AT826" s="650"/>
      <c r="AU826" s="650"/>
      <c r="AV826" s="650"/>
      <c r="AW826" s="650"/>
      <c r="AX826" s="650"/>
      <c r="AY826" s="650"/>
    </row>
    <row r="827" ht="21.75" customHeight="1">
      <c r="A827" s="650"/>
      <c r="B827" s="650"/>
      <c r="C827" s="650"/>
      <c r="D827" s="650"/>
      <c r="E827" s="650"/>
      <c r="F827" s="650"/>
      <c r="G827" s="650"/>
      <c r="H827" s="650"/>
      <c r="I827" s="650"/>
      <c r="J827" s="650"/>
      <c r="K827" s="650"/>
      <c r="L827" s="650"/>
      <c r="M827" s="650"/>
      <c r="N827" s="650"/>
      <c r="O827" s="650"/>
      <c r="P827" s="650"/>
      <c r="Q827" s="650"/>
      <c r="R827" s="650"/>
      <c r="S827" s="650"/>
      <c r="T827" s="650"/>
      <c r="U827" s="650"/>
      <c r="V827" s="650"/>
      <c r="W827" s="650"/>
      <c r="X827" s="650"/>
      <c r="Y827" s="650"/>
      <c r="Z827" s="650"/>
      <c r="AA827" s="650"/>
      <c r="AB827" s="650"/>
      <c r="AC827" s="650"/>
      <c r="AD827" s="650"/>
      <c r="AE827" s="650"/>
      <c r="AF827" s="650"/>
      <c r="AG827" s="650"/>
      <c r="AH827" s="650"/>
      <c r="AI827" s="650"/>
      <c r="AJ827" s="650"/>
      <c r="AK827" s="650"/>
      <c r="AL827" s="650"/>
      <c r="AM827" s="650"/>
      <c r="AN827" s="650"/>
      <c r="AO827" s="650"/>
      <c r="AP827" s="650"/>
      <c r="AQ827" s="650"/>
      <c r="AR827" s="650"/>
      <c r="AS827" s="650"/>
      <c r="AT827" s="650"/>
      <c r="AU827" s="650"/>
      <c r="AV827" s="650"/>
      <c r="AW827" s="650"/>
      <c r="AX827" s="650"/>
      <c r="AY827" s="650"/>
    </row>
    <row r="828" ht="21.75" customHeight="1">
      <c r="A828" s="650"/>
      <c r="B828" s="650"/>
      <c r="C828" s="650"/>
      <c r="D828" s="650"/>
      <c r="E828" s="650"/>
      <c r="F828" s="650"/>
      <c r="G828" s="650"/>
      <c r="H828" s="650"/>
      <c r="I828" s="650"/>
      <c r="J828" s="650"/>
      <c r="K828" s="650"/>
      <c r="L828" s="650"/>
      <c r="M828" s="650"/>
      <c r="N828" s="650"/>
      <c r="O828" s="650"/>
      <c r="P828" s="650"/>
      <c r="Q828" s="650"/>
      <c r="R828" s="650"/>
      <c r="S828" s="650"/>
      <c r="T828" s="650"/>
      <c r="U828" s="650"/>
      <c r="V828" s="650"/>
      <c r="W828" s="650"/>
      <c r="X828" s="650"/>
      <c r="Y828" s="650"/>
      <c r="Z828" s="650"/>
      <c r="AA828" s="650"/>
      <c r="AB828" s="650"/>
      <c r="AC828" s="650"/>
      <c r="AD828" s="650"/>
      <c r="AE828" s="650"/>
      <c r="AF828" s="650"/>
      <c r="AG828" s="650"/>
      <c r="AH828" s="650"/>
      <c r="AI828" s="650"/>
      <c r="AJ828" s="650"/>
      <c r="AK828" s="650"/>
      <c r="AL828" s="650"/>
      <c r="AM828" s="650"/>
      <c r="AN828" s="650"/>
      <c r="AO828" s="650"/>
      <c r="AP828" s="650"/>
      <c r="AQ828" s="650"/>
      <c r="AR828" s="650"/>
      <c r="AS828" s="650"/>
      <c r="AT828" s="650"/>
      <c r="AU828" s="650"/>
      <c r="AV828" s="650"/>
      <c r="AW828" s="650"/>
      <c r="AX828" s="650"/>
      <c r="AY828" s="650"/>
    </row>
    <row r="829" ht="21.75" customHeight="1">
      <c r="A829" s="650"/>
      <c r="B829" s="650"/>
      <c r="C829" s="650"/>
      <c r="D829" s="650"/>
      <c r="E829" s="650"/>
      <c r="F829" s="650"/>
      <c r="G829" s="650"/>
      <c r="H829" s="650"/>
      <c r="I829" s="650"/>
      <c r="J829" s="650"/>
      <c r="K829" s="650"/>
      <c r="L829" s="650"/>
      <c r="M829" s="650"/>
      <c r="N829" s="650"/>
      <c r="O829" s="650"/>
      <c r="P829" s="650"/>
      <c r="Q829" s="650"/>
      <c r="R829" s="650"/>
      <c r="S829" s="650"/>
      <c r="T829" s="650"/>
      <c r="U829" s="650"/>
      <c r="V829" s="650"/>
      <c r="W829" s="650"/>
      <c r="X829" s="650"/>
      <c r="Y829" s="650"/>
      <c r="Z829" s="650"/>
      <c r="AA829" s="650"/>
      <c r="AB829" s="650"/>
      <c r="AC829" s="650"/>
      <c r="AD829" s="650"/>
      <c r="AE829" s="650"/>
      <c r="AF829" s="650"/>
      <c r="AG829" s="650"/>
      <c r="AH829" s="650"/>
      <c r="AI829" s="650"/>
      <c r="AJ829" s="650"/>
      <c r="AK829" s="650"/>
      <c r="AL829" s="650"/>
      <c r="AM829" s="650"/>
      <c r="AN829" s="650"/>
      <c r="AO829" s="650"/>
      <c r="AP829" s="650"/>
      <c r="AQ829" s="650"/>
      <c r="AR829" s="650"/>
      <c r="AS829" s="650"/>
      <c r="AT829" s="650"/>
      <c r="AU829" s="650"/>
      <c r="AV829" s="650"/>
      <c r="AW829" s="650"/>
      <c r="AX829" s="650"/>
      <c r="AY829" s="650"/>
    </row>
    <row r="830" ht="21.75" customHeight="1">
      <c r="A830" s="650"/>
      <c r="B830" s="650"/>
      <c r="C830" s="650"/>
      <c r="D830" s="650"/>
      <c r="E830" s="650"/>
      <c r="F830" s="650"/>
      <c r="G830" s="650"/>
      <c r="H830" s="650"/>
      <c r="I830" s="650"/>
      <c r="J830" s="650"/>
      <c r="K830" s="650"/>
      <c r="L830" s="650"/>
      <c r="M830" s="650"/>
      <c r="N830" s="650"/>
      <c r="O830" s="650"/>
      <c r="P830" s="650"/>
      <c r="Q830" s="650"/>
      <c r="R830" s="650"/>
      <c r="S830" s="650"/>
      <c r="T830" s="650"/>
      <c r="U830" s="650"/>
      <c r="V830" s="650"/>
      <c r="W830" s="650"/>
      <c r="X830" s="650"/>
      <c r="Y830" s="650"/>
      <c r="Z830" s="650"/>
      <c r="AA830" s="650"/>
      <c r="AB830" s="650"/>
      <c r="AC830" s="650"/>
      <c r="AD830" s="650"/>
      <c r="AE830" s="650"/>
      <c r="AF830" s="650"/>
      <c r="AG830" s="650"/>
      <c r="AH830" s="650"/>
      <c r="AI830" s="650"/>
      <c r="AJ830" s="650"/>
      <c r="AK830" s="650"/>
      <c r="AL830" s="650"/>
      <c r="AM830" s="650"/>
      <c r="AN830" s="650"/>
      <c r="AO830" s="650"/>
      <c r="AP830" s="650"/>
      <c r="AQ830" s="650"/>
      <c r="AR830" s="650"/>
      <c r="AS830" s="650"/>
      <c r="AT830" s="650"/>
      <c r="AU830" s="650"/>
      <c r="AV830" s="650"/>
      <c r="AW830" s="650"/>
      <c r="AX830" s="650"/>
      <c r="AY830" s="650"/>
    </row>
    <row r="831" ht="21.75" customHeight="1">
      <c r="A831" s="650"/>
      <c r="B831" s="650"/>
      <c r="C831" s="650"/>
      <c r="D831" s="650"/>
      <c r="E831" s="650"/>
      <c r="F831" s="650"/>
      <c r="G831" s="650"/>
      <c r="H831" s="650"/>
      <c r="I831" s="650"/>
      <c r="J831" s="650"/>
      <c r="K831" s="650"/>
      <c r="L831" s="650"/>
      <c r="M831" s="650"/>
      <c r="N831" s="650"/>
      <c r="O831" s="650"/>
      <c r="P831" s="650"/>
      <c r="Q831" s="650"/>
      <c r="R831" s="650"/>
      <c r="S831" s="650"/>
      <c r="T831" s="650"/>
      <c r="U831" s="650"/>
      <c r="V831" s="650"/>
      <c r="W831" s="650"/>
      <c r="X831" s="650"/>
      <c r="Y831" s="650"/>
      <c r="Z831" s="650"/>
      <c r="AA831" s="650"/>
      <c r="AB831" s="650"/>
      <c r="AC831" s="650"/>
      <c r="AD831" s="650"/>
      <c r="AE831" s="650"/>
      <c r="AF831" s="650"/>
      <c r="AG831" s="650"/>
      <c r="AH831" s="650"/>
      <c r="AI831" s="650"/>
      <c r="AJ831" s="650"/>
      <c r="AK831" s="650"/>
      <c r="AL831" s="650"/>
      <c r="AM831" s="650"/>
      <c r="AN831" s="650"/>
      <c r="AO831" s="650"/>
      <c r="AP831" s="650"/>
      <c r="AQ831" s="650"/>
      <c r="AR831" s="650"/>
      <c r="AS831" s="650"/>
      <c r="AT831" s="650"/>
      <c r="AU831" s="650"/>
      <c r="AV831" s="650"/>
      <c r="AW831" s="650"/>
      <c r="AX831" s="650"/>
      <c r="AY831" s="650"/>
    </row>
    <row r="832" ht="21.75" customHeight="1">
      <c r="A832" s="650"/>
      <c r="B832" s="650"/>
      <c r="C832" s="650"/>
      <c r="D832" s="650"/>
      <c r="E832" s="650"/>
      <c r="F832" s="650"/>
      <c r="G832" s="650"/>
      <c r="H832" s="650"/>
      <c r="I832" s="650"/>
      <c r="J832" s="650"/>
      <c r="K832" s="650"/>
      <c r="L832" s="650"/>
      <c r="M832" s="650"/>
      <c r="N832" s="650"/>
      <c r="O832" s="650"/>
      <c r="P832" s="650"/>
      <c r="Q832" s="650"/>
      <c r="R832" s="650"/>
      <c r="S832" s="650"/>
      <c r="T832" s="650"/>
      <c r="U832" s="650"/>
      <c r="V832" s="650"/>
      <c r="W832" s="650"/>
      <c r="X832" s="650"/>
      <c r="Y832" s="650"/>
      <c r="Z832" s="650"/>
      <c r="AA832" s="650"/>
      <c r="AB832" s="650"/>
      <c r="AC832" s="650"/>
      <c r="AD832" s="650"/>
      <c r="AE832" s="650"/>
      <c r="AF832" s="650"/>
      <c r="AG832" s="650"/>
      <c r="AH832" s="650"/>
      <c r="AI832" s="650"/>
      <c r="AJ832" s="650"/>
      <c r="AK832" s="650"/>
      <c r="AL832" s="650"/>
      <c r="AM832" s="650"/>
      <c r="AN832" s="650"/>
      <c r="AO832" s="650"/>
      <c r="AP832" s="650"/>
      <c r="AQ832" s="650"/>
      <c r="AR832" s="650"/>
      <c r="AS832" s="650"/>
      <c r="AT832" s="650"/>
      <c r="AU832" s="650"/>
      <c r="AV832" s="650"/>
      <c r="AW832" s="650"/>
      <c r="AX832" s="650"/>
      <c r="AY832" s="650"/>
    </row>
    <row r="833" ht="21.75" customHeight="1">
      <c r="A833" s="650"/>
      <c r="B833" s="650"/>
      <c r="C833" s="650"/>
      <c r="D833" s="650"/>
      <c r="E833" s="650"/>
      <c r="F833" s="650"/>
      <c r="G833" s="650"/>
      <c r="H833" s="650"/>
      <c r="I833" s="650"/>
      <c r="J833" s="650"/>
      <c r="K833" s="650"/>
      <c r="L833" s="650"/>
      <c r="M833" s="650"/>
      <c r="N833" s="650"/>
      <c r="O833" s="650"/>
      <c r="P833" s="650"/>
      <c r="Q833" s="650"/>
      <c r="R833" s="650"/>
      <c r="S833" s="650"/>
      <c r="T833" s="650"/>
      <c r="U833" s="650"/>
      <c r="V833" s="650"/>
      <c r="W833" s="650"/>
      <c r="X833" s="650"/>
      <c r="Y833" s="650"/>
      <c r="Z833" s="650"/>
      <c r="AA833" s="650"/>
      <c r="AB833" s="650"/>
      <c r="AC833" s="650"/>
      <c r="AD833" s="650"/>
      <c r="AE833" s="650"/>
      <c r="AF833" s="650"/>
      <c r="AG833" s="650"/>
      <c r="AH833" s="650"/>
      <c r="AI833" s="650"/>
      <c r="AJ833" s="650"/>
      <c r="AK833" s="650"/>
      <c r="AL833" s="650"/>
      <c r="AM833" s="650"/>
      <c r="AN833" s="650"/>
      <c r="AO833" s="650"/>
      <c r="AP833" s="650"/>
      <c r="AQ833" s="650"/>
      <c r="AR833" s="650"/>
      <c r="AS833" s="650"/>
      <c r="AT833" s="650"/>
      <c r="AU833" s="650"/>
      <c r="AV833" s="650"/>
      <c r="AW833" s="650"/>
      <c r="AX833" s="650"/>
      <c r="AY833" s="650"/>
    </row>
    <row r="834" ht="21.75" customHeight="1">
      <c r="A834" s="650"/>
      <c r="B834" s="650"/>
      <c r="C834" s="650"/>
      <c r="D834" s="650"/>
      <c r="E834" s="650"/>
      <c r="F834" s="650"/>
      <c r="G834" s="650"/>
      <c r="H834" s="650"/>
      <c r="I834" s="650"/>
      <c r="J834" s="650"/>
      <c r="K834" s="650"/>
      <c r="L834" s="650"/>
      <c r="M834" s="650"/>
      <c r="N834" s="650"/>
      <c r="O834" s="650"/>
      <c r="P834" s="650"/>
      <c r="Q834" s="650"/>
      <c r="R834" s="650"/>
      <c r="S834" s="650"/>
      <c r="T834" s="650"/>
      <c r="U834" s="650"/>
      <c r="V834" s="650"/>
      <c r="W834" s="650"/>
      <c r="X834" s="650"/>
      <c r="Y834" s="650"/>
      <c r="Z834" s="650"/>
      <c r="AA834" s="650"/>
      <c r="AB834" s="650"/>
      <c r="AC834" s="650"/>
      <c r="AD834" s="650"/>
      <c r="AE834" s="650"/>
      <c r="AF834" s="650"/>
      <c r="AG834" s="650"/>
      <c r="AH834" s="650"/>
      <c r="AI834" s="650"/>
      <c r="AJ834" s="650"/>
      <c r="AK834" s="650"/>
      <c r="AL834" s="650"/>
      <c r="AM834" s="650"/>
      <c r="AN834" s="650"/>
      <c r="AO834" s="650"/>
      <c r="AP834" s="650"/>
      <c r="AQ834" s="650"/>
      <c r="AR834" s="650"/>
      <c r="AS834" s="650"/>
      <c r="AT834" s="650"/>
      <c r="AU834" s="650"/>
      <c r="AV834" s="650"/>
      <c r="AW834" s="650"/>
      <c r="AX834" s="650"/>
      <c r="AY834" s="650"/>
    </row>
    <row r="835" ht="21.75" customHeight="1">
      <c r="A835" s="650"/>
      <c r="B835" s="650"/>
      <c r="C835" s="650"/>
      <c r="D835" s="650"/>
      <c r="E835" s="650"/>
      <c r="F835" s="650"/>
      <c r="G835" s="650"/>
      <c r="H835" s="650"/>
      <c r="I835" s="650"/>
      <c r="J835" s="650"/>
      <c r="K835" s="650"/>
      <c r="L835" s="650"/>
      <c r="M835" s="650"/>
      <c r="N835" s="650"/>
      <c r="O835" s="650"/>
      <c r="P835" s="650"/>
      <c r="Q835" s="650"/>
      <c r="R835" s="650"/>
      <c r="S835" s="650"/>
      <c r="T835" s="650"/>
      <c r="U835" s="650"/>
      <c r="V835" s="650"/>
      <c r="W835" s="650"/>
      <c r="X835" s="650"/>
      <c r="Y835" s="650"/>
      <c r="Z835" s="650"/>
      <c r="AA835" s="650"/>
      <c r="AB835" s="650"/>
      <c r="AC835" s="650"/>
      <c r="AD835" s="650"/>
      <c r="AE835" s="650"/>
      <c r="AF835" s="650"/>
      <c r="AG835" s="650"/>
      <c r="AH835" s="650"/>
      <c r="AI835" s="650"/>
      <c r="AJ835" s="650"/>
      <c r="AK835" s="650"/>
      <c r="AL835" s="650"/>
      <c r="AM835" s="650"/>
      <c r="AN835" s="650"/>
      <c r="AO835" s="650"/>
      <c r="AP835" s="650"/>
      <c r="AQ835" s="650"/>
      <c r="AR835" s="650"/>
      <c r="AS835" s="650"/>
      <c r="AT835" s="650"/>
      <c r="AU835" s="650"/>
      <c r="AV835" s="650"/>
      <c r="AW835" s="650"/>
      <c r="AX835" s="650"/>
      <c r="AY835" s="650"/>
    </row>
    <row r="836" ht="21.75" customHeight="1">
      <c r="A836" s="650"/>
      <c r="B836" s="650"/>
      <c r="C836" s="650"/>
      <c r="D836" s="650"/>
      <c r="E836" s="650"/>
      <c r="F836" s="650"/>
      <c r="G836" s="650"/>
      <c r="H836" s="650"/>
      <c r="I836" s="650"/>
      <c r="J836" s="650"/>
      <c r="K836" s="650"/>
      <c r="L836" s="650"/>
      <c r="M836" s="650"/>
      <c r="N836" s="650"/>
      <c r="O836" s="650"/>
      <c r="P836" s="650"/>
      <c r="Q836" s="650"/>
      <c r="R836" s="650"/>
      <c r="S836" s="650"/>
      <c r="T836" s="650"/>
      <c r="U836" s="650"/>
      <c r="V836" s="650"/>
      <c r="W836" s="650"/>
      <c r="X836" s="650"/>
      <c r="Y836" s="650"/>
      <c r="Z836" s="650"/>
      <c r="AA836" s="650"/>
      <c r="AB836" s="650"/>
      <c r="AC836" s="650"/>
      <c r="AD836" s="650"/>
      <c r="AE836" s="650"/>
      <c r="AF836" s="650"/>
      <c r="AG836" s="650"/>
      <c r="AH836" s="650"/>
      <c r="AI836" s="650"/>
      <c r="AJ836" s="650"/>
      <c r="AK836" s="650"/>
      <c r="AL836" s="650"/>
      <c r="AM836" s="650"/>
      <c r="AN836" s="650"/>
      <c r="AO836" s="650"/>
      <c r="AP836" s="650"/>
      <c r="AQ836" s="650"/>
      <c r="AR836" s="650"/>
      <c r="AS836" s="650"/>
      <c r="AT836" s="650"/>
      <c r="AU836" s="650"/>
      <c r="AV836" s="650"/>
      <c r="AW836" s="650"/>
      <c r="AX836" s="650"/>
      <c r="AY836" s="650"/>
    </row>
    <row r="837" ht="21.75" customHeight="1">
      <c r="A837" s="650"/>
      <c r="B837" s="650"/>
      <c r="C837" s="650"/>
      <c r="D837" s="650"/>
      <c r="E837" s="650"/>
      <c r="F837" s="650"/>
      <c r="G837" s="650"/>
      <c r="H837" s="650"/>
      <c r="I837" s="650"/>
      <c r="J837" s="650"/>
      <c r="K837" s="650"/>
      <c r="L837" s="650"/>
      <c r="M837" s="650"/>
      <c r="N837" s="650"/>
      <c r="O837" s="650"/>
      <c r="P837" s="650"/>
      <c r="Q837" s="650"/>
      <c r="R837" s="650"/>
      <c r="S837" s="650"/>
      <c r="T837" s="650"/>
      <c r="U837" s="650"/>
      <c r="V837" s="650"/>
      <c r="W837" s="650"/>
      <c r="X837" s="650"/>
      <c r="Y837" s="650"/>
      <c r="Z837" s="650"/>
      <c r="AA837" s="650"/>
      <c r="AB837" s="650"/>
      <c r="AC837" s="650"/>
      <c r="AD837" s="650"/>
      <c r="AE837" s="650"/>
      <c r="AF837" s="650"/>
      <c r="AG837" s="650"/>
      <c r="AH837" s="650"/>
      <c r="AI837" s="650"/>
      <c r="AJ837" s="650"/>
      <c r="AK837" s="650"/>
      <c r="AL837" s="650"/>
      <c r="AM837" s="650"/>
      <c r="AN837" s="650"/>
      <c r="AO837" s="650"/>
      <c r="AP837" s="650"/>
      <c r="AQ837" s="650"/>
      <c r="AR837" s="650"/>
      <c r="AS837" s="650"/>
      <c r="AT837" s="650"/>
      <c r="AU837" s="650"/>
      <c r="AV837" s="650"/>
      <c r="AW837" s="650"/>
      <c r="AX837" s="650"/>
      <c r="AY837" s="650"/>
    </row>
    <row r="838" ht="21.75" customHeight="1">
      <c r="A838" s="650"/>
      <c r="B838" s="650"/>
      <c r="C838" s="650"/>
      <c r="D838" s="650"/>
      <c r="E838" s="650"/>
      <c r="F838" s="650"/>
      <c r="G838" s="650"/>
      <c r="H838" s="650"/>
      <c r="I838" s="650"/>
      <c r="J838" s="650"/>
      <c r="K838" s="650"/>
      <c r="L838" s="650"/>
      <c r="M838" s="650"/>
      <c r="N838" s="650"/>
      <c r="O838" s="650"/>
      <c r="P838" s="650"/>
      <c r="Q838" s="650"/>
      <c r="R838" s="650"/>
      <c r="S838" s="650"/>
      <c r="T838" s="650"/>
      <c r="U838" s="650"/>
      <c r="V838" s="650"/>
      <c r="W838" s="650"/>
      <c r="X838" s="650"/>
      <c r="Y838" s="650"/>
      <c r="Z838" s="650"/>
      <c r="AA838" s="650"/>
      <c r="AB838" s="650"/>
      <c r="AC838" s="650"/>
      <c r="AD838" s="650"/>
      <c r="AE838" s="650"/>
      <c r="AF838" s="650"/>
      <c r="AG838" s="650"/>
      <c r="AH838" s="650"/>
      <c r="AI838" s="650"/>
      <c r="AJ838" s="650"/>
      <c r="AK838" s="650"/>
      <c r="AL838" s="650"/>
      <c r="AM838" s="650"/>
      <c r="AN838" s="650"/>
      <c r="AO838" s="650"/>
      <c r="AP838" s="650"/>
      <c r="AQ838" s="650"/>
      <c r="AR838" s="650"/>
      <c r="AS838" s="650"/>
      <c r="AT838" s="650"/>
      <c r="AU838" s="650"/>
      <c r="AV838" s="650"/>
      <c r="AW838" s="650"/>
      <c r="AX838" s="650"/>
      <c r="AY838" s="650"/>
    </row>
    <row r="839" ht="21.75" customHeight="1">
      <c r="A839" s="650"/>
      <c r="B839" s="650"/>
      <c r="C839" s="650"/>
      <c r="D839" s="650"/>
      <c r="E839" s="650"/>
      <c r="F839" s="650"/>
      <c r="G839" s="650"/>
      <c r="H839" s="650"/>
      <c r="I839" s="650"/>
      <c r="J839" s="650"/>
      <c r="K839" s="650"/>
      <c r="L839" s="650"/>
      <c r="M839" s="650"/>
      <c r="N839" s="650"/>
      <c r="O839" s="650"/>
      <c r="P839" s="650"/>
      <c r="Q839" s="650"/>
      <c r="R839" s="650"/>
      <c r="S839" s="650"/>
      <c r="T839" s="650"/>
      <c r="U839" s="650"/>
      <c r="V839" s="650"/>
      <c r="W839" s="650"/>
      <c r="X839" s="650"/>
      <c r="Y839" s="650"/>
      <c r="Z839" s="650"/>
      <c r="AA839" s="650"/>
      <c r="AB839" s="650"/>
      <c r="AC839" s="650"/>
      <c r="AD839" s="650"/>
      <c r="AE839" s="650"/>
      <c r="AF839" s="650"/>
      <c r="AG839" s="650"/>
      <c r="AH839" s="650"/>
      <c r="AI839" s="650"/>
      <c r="AJ839" s="650"/>
      <c r="AK839" s="650"/>
      <c r="AL839" s="650"/>
      <c r="AM839" s="650"/>
      <c r="AN839" s="650"/>
      <c r="AO839" s="650"/>
      <c r="AP839" s="650"/>
      <c r="AQ839" s="650"/>
      <c r="AR839" s="650"/>
      <c r="AS839" s="650"/>
      <c r="AT839" s="650"/>
      <c r="AU839" s="650"/>
      <c r="AV839" s="650"/>
      <c r="AW839" s="650"/>
      <c r="AX839" s="650"/>
      <c r="AY839" s="650"/>
    </row>
    <row r="840" ht="21.75" customHeight="1">
      <c r="A840" s="650"/>
      <c r="B840" s="650"/>
      <c r="C840" s="650"/>
      <c r="D840" s="650"/>
      <c r="E840" s="650"/>
      <c r="F840" s="650"/>
      <c r="G840" s="650"/>
      <c r="H840" s="650"/>
      <c r="I840" s="650"/>
      <c r="J840" s="650"/>
      <c r="K840" s="650"/>
      <c r="L840" s="650"/>
      <c r="M840" s="650"/>
      <c r="N840" s="650"/>
      <c r="O840" s="650"/>
      <c r="P840" s="650"/>
      <c r="Q840" s="650"/>
      <c r="R840" s="650"/>
      <c r="S840" s="650"/>
      <c r="T840" s="650"/>
      <c r="U840" s="650"/>
      <c r="V840" s="650"/>
      <c r="W840" s="650"/>
      <c r="X840" s="650"/>
      <c r="Y840" s="650"/>
      <c r="Z840" s="650"/>
      <c r="AA840" s="650"/>
      <c r="AB840" s="650"/>
      <c r="AC840" s="650"/>
      <c r="AD840" s="650"/>
      <c r="AE840" s="650"/>
      <c r="AF840" s="650"/>
      <c r="AG840" s="650"/>
      <c r="AH840" s="650"/>
      <c r="AI840" s="650"/>
      <c r="AJ840" s="650"/>
      <c r="AK840" s="650"/>
      <c r="AL840" s="650"/>
      <c r="AM840" s="650"/>
      <c r="AN840" s="650"/>
      <c r="AO840" s="650"/>
      <c r="AP840" s="650"/>
      <c r="AQ840" s="650"/>
      <c r="AR840" s="650"/>
      <c r="AS840" s="650"/>
      <c r="AT840" s="650"/>
      <c r="AU840" s="650"/>
      <c r="AV840" s="650"/>
      <c r="AW840" s="650"/>
      <c r="AX840" s="650"/>
      <c r="AY840" s="650"/>
    </row>
    <row r="841" ht="21.75" customHeight="1">
      <c r="A841" s="650"/>
      <c r="B841" s="650"/>
      <c r="C841" s="650"/>
      <c r="D841" s="650"/>
      <c r="E841" s="650"/>
      <c r="F841" s="650"/>
      <c r="G841" s="650"/>
      <c r="H841" s="650"/>
      <c r="I841" s="650"/>
      <c r="J841" s="650"/>
      <c r="K841" s="650"/>
      <c r="L841" s="650"/>
      <c r="M841" s="650"/>
      <c r="N841" s="650"/>
      <c r="O841" s="650"/>
      <c r="P841" s="650"/>
      <c r="Q841" s="650"/>
      <c r="R841" s="650"/>
      <c r="S841" s="650"/>
      <c r="T841" s="650"/>
      <c r="U841" s="650"/>
      <c r="V841" s="650"/>
      <c r="W841" s="650"/>
      <c r="X841" s="650"/>
      <c r="Y841" s="650"/>
      <c r="Z841" s="650"/>
      <c r="AA841" s="650"/>
      <c r="AB841" s="650"/>
      <c r="AC841" s="650"/>
      <c r="AD841" s="650"/>
      <c r="AE841" s="650"/>
      <c r="AF841" s="650"/>
      <c r="AG841" s="650"/>
      <c r="AH841" s="650"/>
      <c r="AI841" s="650"/>
      <c r="AJ841" s="650"/>
      <c r="AK841" s="650"/>
      <c r="AL841" s="650"/>
      <c r="AM841" s="650"/>
      <c r="AN841" s="650"/>
      <c r="AO841" s="650"/>
      <c r="AP841" s="650"/>
      <c r="AQ841" s="650"/>
      <c r="AR841" s="650"/>
      <c r="AS841" s="650"/>
      <c r="AT841" s="650"/>
      <c r="AU841" s="650"/>
      <c r="AV841" s="650"/>
      <c r="AW841" s="650"/>
      <c r="AX841" s="650"/>
      <c r="AY841" s="650"/>
    </row>
    <row r="842" ht="21.75" customHeight="1">
      <c r="A842" s="650"/>
      <c r="B842" s="650"/>
      <c r="C842" s="650"/>
      <c r="D842" s="650"/>
      <c r="E842" s="650"/>
      <c r="F842" s="650"/>
      <c r="G842" s="650"/>
      <c r="H842" s="650"/>
      <c r="I842" s="650"/>
      <c r="J842" s="650"/>
      <c r="K842" s="650"/>
      <c r="L842" s="650"/>
      <c r="M842" s="650"/>
      <c r="N842" s="650"/>
      <c r="O842" s="650"/>
      <c r="P842" s="650"/>
      <c r="Q842" s="650"/>
      <c r="R842" s="650"/>
      <c r="S842" s="650"/>
      <c r="T842" s="650"/>
      <c r="U842" s="650"/>
      <c r="V842" s="650"/>
      <c r="W842" s="650"/>
      <c r="X842" s="650"/>
      <c r="Y842" s="650"/>
      <c r="Z842" s="650"/>
      <c r="AA842" s="650"/>
      <c r="AB842" s="650"/>
      <c r="AC842" s="650"/>
      <c r="AD842" s="650"/>
      <c r="AE842" s="650"/>
      <c r="AF842" s="650"/>
      <c r="AG842" s="650"/>
      <c r="AH842" s="650"/>
      <c r="AI842" s="650"/>
      <c r="AJ842" s="650"/>
      <c r="AK842" s="650"/>
      <c r="AL842" s="650"/>
      <c r="AM842" s="650"/>
      <c r="AN842" s="650"/>
      <c r="AO842" s="650"/>
      <c r="AP842" s="650"/>
      <c r="AQ842" s="650"/>
      <c r="AR842" s="650"/>
      <c r="AS842" s="650"/>
      <c r="AT842" s="650"/>
      <c r="AU842" s="650"/>
      <c r="AV842" s="650"/>
      <c r="AW842" s="650"/>
      <c r="AX842" s="650"/>
      <c r="AY842" s="650"/>
    </row>
    <row r="843" ht="21.75" customHeight="1">
      <c r="A843" s="650"/>
      <c r="B843" s="650"/>
      <c r="C843" s="650"/>
      <c r="D843" s="650"/>
      <c r="E843" s="650"/>
      <c r="F843" s="650"/>
      <c r="G843" s="650"/>
      <c r="H843" s="650"/>
      <c r="I843" s="650"/>
      <c r="J843" s="650"/>
      <c r="K843" s="650"/>
      <c r="L843" s="650"/>
      <c r="M843" s="650"/>
      <c r="N843" s="650"/>
      <c r="O843" s="650"/>
      <c r="P843" s="650"/>
      <c r="Q843" s="650"/>
      <c r="R843" s="650"/>
      <c r="S843" s="650"/>
      <c r="T843" s="650"/>
      <c r="U843" s="650"/>
      <c r="V843" s="650"/>
      <c r="W843" s="650"/>
      <c r="X843" s="650"/>
      <c r="Y843" s="650"/>
      <c r="Z843" s="650"/>
      <c r="AA843" s="650"/>
      <c r="AB843" s="650"/>
      <c r="AC843" s="650"/>
      <c r="AD843" s="650"/>
      <c r="AE843" s="650"/>
      <c r="AF843" s="650"/>
      <c r="AG843" s="650"/>
      <c r="AH843" s="650"/>
      <c r="AI843" s="650"/>
      <c r="AJ843" s="650"/>
      <c r="AK843" s="650"/>
      <c r="AL843" s="650"/>
      <c r="AM843" s="650"/>
      <c r="AN843" s="650"/>
      <c r="AO843" s="650"/>
      <c r="AP843" s="650"/>
      <c r="AQ843" s="650"/>
      <c r="AR843" s="650"/>
      <c r="AS843" s="650"/>
      <c r="AT843" s="650"/>
      <c r="AU843" s="650"/>
      <c r="AV843" s="650"/>
      <c r="AW843" s="650"/>
      <c r="AX843" s="650"/>
      <c r="AY843" s="650"/>
    </row>
    <row r="844" ht="21.75" customHeight="1">
      <c r="A844" s="650"/>
      <c r="B844" s="650"/>
      <c r="C844" s="650"/>
      <c r="D844" s="650"/>
      <c r="E844" s="650"/>
      <c r="F844" s="650"/>
      <c r="G844" s="650"/>
      <c r="H844" s="650"/>
      <c r="I844" s="650"/>
      <c r="J844" s="650"/>
      <c r="K844" s="650"/>
      <c r="L844" s="650"/>
      <c r="M844" s="650"/>
      <c r="N844" s="650"/>
      <c r="O844" s="650"/>
      <c r="P844" s="650"/>
      <c r="Q844" s="650"/>
      <c r="R844" s="650"/>
      <c r="S844" s="650"/>
      <c r="T844" s="650"/>
      <c r="U844" s="650"/>
      <c r="V844" s="650"/>
      <c r="W844" s="650"/>
      <c r="X844" s="650"/>
      <c r="Y844" s="650"/>
      <c r="Z844" s="650"/>
      <c r="AA844" s="650"/>
      <c r="AB844" s="650"/>
      <c r="AC844" s="650"/>
      <c r="AD844" s="650"/>
      <c r="AE844" s="650"/>
      <c r="AF844" s="650"/>
      <c r="AG844" s="650"/>
      <c r="AH844" s="650"/>
      <c r="AI844" s="650"/>
      <c r="AJ844" s="650"/>
      <c r="AK844" s="650"/>
      <c r="AL844" s="650"/>
      <c r="AM844" s="650"/>
      <c r="AN844" s="650"/>
      <c r="AO844" s="650"/>
      <c r="AP844" s="650"/>
      <c r="AQ844" s="650"/>
      <c r="AR844" s="650"/>
      <c r="AS844" s="650"/>
      <c r="AT844" s="650"/>
      <c r="AU844" s="650"/>
      <c r="AV844" s="650"/>
      <c r="AW844" s="650"/>
      <c r="AX844" s="650"/>
      <c r="AY844" s="650"/>
    </row>
    <row r="845" ht="21.75" customHeight="1">
      <c r="A845" s="650"/>
      <c r="B845" s="650"/>
      <c r="C845" s="650"/>
      <c r="D845" s="650"/>
      <c r="E845" s="650"/>
      <c r="F845" s="650"/>
      <c r="G845" s="650"/>
      <c r="H845" s="650"/>
      <c r="I845" s="650"/>
      <c r="J845" s="650"/>
      <c r="K845" s="650"/>
      <c r="L845" s="650"/>
      <c r="M845" s="650"/>
      <c r="N845" s="650"/>
      <c r="O845" s="650"/>
      <c r="P845" s="650"/>
      <c r="Q845" s="650"/>
      <c r="R845" s="650"/>
      <c r="S845" s="650"/>
      <c r="T845" s="650"/>
      <c r="U845" s="650"/>
      <c r="V845" s="650"/>
      <c r="W845" s="650"/>
      <c r="X845" s="650"/>
      <c r="Y845" s="650"/>
      <c r="Z845" s="650"/>
      <c r="AA845" s="650"/>
      <c r="AB845" s="650"/>
      <c r="AC845" s="650"/>
      <c r="AD845" s="650"/>
      <c r="AE845" s="650"/>
      <c r="AF845" s="650"/>
      <c r="AG845" s="650"/>
      <c r="AH845" s="650"/>
      <c r="AI845" s="650"/>
      <c r="AJ845" s="650"/>
      <c r="AK845" s="650"/>
      <c r="AL845" s="650"/>
      <c r="AM845" s="650"/>
      <c r="AN845" s="650"/>
      <c r="AO845" s="650"/>
      <c r="AP845" s="650"/>
      <c r="AQ845" s="650"/>
      <c r="AR845" s="650"/>
      <c r="AS845" s="650"/>
      <c r="AT845" s="650"/>
      <c r="AU845" s="650"/>
      <c r="AV845" s="650"/>
      <c r="AW845" s="650"/>
      <c r="AX845" s="650"/>
      <c r="AY845" s="650"/>
    </row>
    <row r="846" ht="21.75" customHeight="1">
      <c r="A846" s="650"/>
      <c r="B846" s="650"/>
      <c r="C846" s="650"/>
      <c r="D846" s="650"/>
      <c r="E846" s="650"/>
      <c r="F846" s="650"/>
      <c r="G846" s="650"/>
      <c r="H846" s="650"/>
      <c r="I846" s="650"/>
      <c r="J846" s="650"/>
      <c r="K846" s="650"/>
      <c r="L846" s="650"/>
      <c r="M846" s="650"/>
      <c r="N846" s="650"/>
      <c r="O846" s="650"/>
      <c r="P846" s="650"/>
      <c r="Q846" s="650"/>
      <c r="R846" s="650"/>
      <c r="S846" s="650"/>
      <c r="T846" s="650"/>
      <c r="U846" s="650"/>
      <c r="V846" s="650"/>
      <c r="W846" s="650"/>
      <c r="X846" s="650"/>
      <c r="Y846" s="650"/>
      <c r="Z846" s="650"/>
      <c r="AA846" s="650"/>
      <c r="AB846" s="650"/>
      <c r="AC846" s="650"/>
      <c r="AD846" s="650"/>
      <c r="AE846" s="650"/>
      <c r="AF846" s="650"/>
      <c r="AG846" s="650"/>
      <c r="AH846" s="650"/>
      <c r="AI846" s="650"/>
      <c r="AJ846" s="650"/>
      <c r="AK846" s="650"/>
      <c r="AL846" s="650"/>
      <c r="AM846" s="650"/>
      <c r="AN846" s="650"/>
      <c r="AO846" s="650"/>
      <c r="AP846" s="650"/>
      <c r="AQ846" s="650"/>
      <c r="AR846" s="650"/>
      <c r="AS846" s="650"/>
      <c r="AT846" s="650"/>
      <c r="AU846" s="650"/>
      <c r="AV846" s="650"/>
      <c r="AW846" s="650"/>
      <c r="AX846" s="650"/>
      <c r="AY846" s="650"/>
    </row>
    <row r="847" ht="21.75" customHeight="1">
      <c r="A847" s="650"/>
      <c r="B847" s="650"/>
      <c r="C847" s="650"/>
      <c r="D847" s="650"/>
      <c r="E847" s="650"/>
      <c r="F847" s="650"/>
      <c r="G847" s="650"/>
      <c r="H847" s="650"/>
      <c r="I847" s="650"/>
      <c r="J847" s="650"/>
      <c r="K847" s="650"/>
      <c r="L847" s="650"/>
      <c r="M847" s="650"/>
      <c r="N847" s="650"/>
      <c r="O847" s="650"/>
      <c r="P847" s="650"/>
      <c r="Q847" s="650"/>
      <c r="R847" s="650"/>
      <c r="S847" s="650"/>
      <c r="T847" s="650"/>
      <c r="U847" s="650"/>
      <c r="V847" s="650"/>
      <c r="W847" s="650"/>
      <c r="X847" s="650"/>
      <c r="Y847" s="650"/>
      <c r="Z847" s="650"/>
      <c r="AA847" s="650"/>
      <c r="AB847" s="650"/>
      <c r="AC847" s="650"/>
      <c r="AD847" s="650"/>
      <c r="AE847" s="650"/>
      <c r="AF847" s="650"/>
      <c r="AG847" s="650"/>
      <c r="AH847" s="650"/>
      <c r="AI847" s="650"/>
      <c r="AJ847" s="650"/>
      <c r="AK847" s="650"/>
      <c r="AL847" s="650"/>
      <c r="AM847" s="650"/>
      <c r="AN847" s="650"/>
      <c r="AO847" s="650"/>
      <c r="AP847" s="650"/>
      <c r="AQ847" s="650"/>
      <c r="AR847" s="650"/>
      <c r="AS847" s="650"/>
      <c r="AT847" s="650"/>
      <c r="AU847" s="650"/>
      <c r="AV847" s="650"/>
      <c r="AW847" s="650"/>
      <c r="AX847" s="650"/>
      <c r="AY847" s="650"/>
    </row>
    <row r="848" ht="21.75" customHeight="1">
      <c r="A848" s="650"/>
      <c r="B848" s="650"/>
      <c r="C848" s="650"/>
      <c r="D848" s="650"/>
      <c r="E848" s="650"/>
      <c r="F848" s="650"/>
      <c r="G848" s="650"/>
      <c r="H848" s="650"/>
      <c r="I848" s="650"/>
      <c r="J848" s="650"/>
      <c r="K848" s="650"/>
      <c r="L848" s="650"/>
      <c r="M848" s="650"/>
      <c r="N848" s="650"/>
      <c r="O848" s="650"/>
      <c r="P848" s="650"/>
      <c r="Q848" s="650"/>
      <c r="R848" s="650"/>
      <c r="S848" s="650"/>
      <c r="T848" s="650"/>
      <c r="U848" s="650"/>
      <c r="V848" s="650"/>
      <c r="W848" s="650"/>
      <c r="X848" s="650"/>
      <c r="Y848" s="650"/>
      <c r="Z848" s="650"/>
      <c r="AA848" s="650"/>
      <c r="AB848" s="650"/>
      <c r="AC848" s="650"/>
      <c r="AD848" s="650"/>
      <c r="AE848" s="650"/>
      <c r="AF848" s="650"/>
      <c r="AG848" s="650"/>
      <c r="AH848" s="650"/>
      <c r="AI848" s="650"/>
      <c r="AJ848" s="650"/>
      <c r="AK848" s="650"/>
      <c r="AL848" s="650"/>
      <c r="AM848" s="650"/>
      <c r="AN848" s="650"/>
      <c r="AO848" s="650"/>
      <c r="AP848" s="650"/>
      <c r="AQ848" s="650"/>
      <c r="AR848" s="650"/>
      <c r="AS848" s="650"/>
      <c r="AT848" s="650"/>
      <c r="AU848" s="650"/>
      <c r="AV848" s="650"/>
      <c r="AW848" s="650"/>
      <c r="AX848" s="650"/>
      <c r="AY848" s="650"/>
    </row>
    <row r="849" ht="21.75" customHeight="1">
      <c r="A849" s="650"/>
      <c r="B849" s="650"/>
      <c r="C849" s="650"/>
      <c r="D849" s="650"/>
      <c r="E849" s="650"/>
      <c r="F849" s="650"/>
      <c r="G849" s="650"/>
      <c r="H849" s="650"/>
      <c r="I849" s="650"/>
      <c r="J849" s="650"/>
      <c r="K849" s="650"/>
      <c r="L849" s="650"/>
      <c r="M849" s="650"/>
      <c r="N849" s="650"/>
      <c r="O849" s="650"/>
      <c r="P849" s="650"/>
      <c r="Q849" s="650"/>
      <c r="R849" s="650"/>
      <c r="S849" s="650"/>
      <c r="T849" s="650"/>
      <c r="U849" s="650"/>
      <c r="V849" s="650"/>
      <c r="W849" s="650"/>
      <c r="X849" s="650"/>
      <c r="Y849" s="650"/>
      <c r="Z849" s="650"/>
      <c r="AA849" s="650"/>
      <c r="AB849" s="650"/>
      <c r="AC849" s="650"/>
      <c r="AD849" s="650"/>
      <c r="AE849" s="650"/>
      <c r="AF849" s="650"/>
      <c r="AG849" s="650"/>
      <c r="AH849" s="650"/>
      <c r="AI849" s="650"/>
      <c r="AJ849" s="650"/>
      <c r="AK849" s="650"/>
      <c r="AL849" s="650"/>
      <c r="AM849" s="650"/>
      <c r="AN849" s="650"/>
      <c r="AO849" s="650"/>
      <c r="AP849" s="650"/>
      <c r="AQ849" s="650"/>
      <c r="AR849" s="650"/>
      <c r="AS849" s="650"/>
      <c r="AT849" s="650"/>
      <c r="AU849" s="650"/>
      <c r="AV849" s="650"/>
      <c r="AW849" s="650"/>
      <c r="AX849" s="650"/>
      <c r="AY849" s="650"/>
    </row>
    <row r="850" ht="21.75" customHeight="1">
      <c r="A850" s="650"/>
      <c r="B850" s="650"/>
      <c r="C850" s="650"/>
      <c r="D850" s="650"/>
      <c r="E850" s="650"/>
      <c r="F850" s="650"/>
      <c r="G850" s="650"/>
      <c r="H850" s="650"/>
      <c r="I850" s="650"/>
      <c r="J850" s="650"/>
      <c r="K850" s="650"/>
      <c r="L850" s="650"/>
      <c r="M850" s="650"/>
      <c r="N850" s="650"/>
      <c r="O850" s="650"/>
      <c r="P850" s="650"/>
      <c r="Q850" s="650"/>
      <c r="R850" s="650"/>
      <c r="S850" s="650"/>
      <c r="T850" s="650"/>
      <c r="U850" s="650"/>
      <c r="V850" s="650"/>
      <c r="W850" s="650"/>
      <c r="X850" s="650"/>
      <c r="Y850" s="650"/>
      <c r="Z850" s="650"/>
      <c r="AA850" s="650"/>
      <c r="AB850" s="650"/>
      <c r="AC850" s="650"/>
      <c r="AD850" s="650"/>
      <c r="AE850" s="650"/>
      <c r="AF850" s="650"/>
      <c r="AG850" s="650"/>
      <c r="AH850" s="650"/>
      <c r="AI850" s="650"/>
      <c r="AJ850" s="650"/>
      <c r="AK850" s="650"/>
      <c r="AL850" s="650"/>
      <c r="AM850" s="650"/>
      <c r="AN850" s="650"/>
      <c r="AO850" s="650"/>
      <c r="AP850" s="650"/>
      <c r="AQ850" s="650"/>
      <c r="AR850" s="650"/>
      <c r="AS850" s="650"/>
      <c r="AT850" s="650"/>
      <c r="AU850" s="650"/>
      <c r="AV850" s="650"/>
      <c r="AW850" s="650"/>
      <c r="AX850" s="650"/>
      <c r="AY850" s="650"/>
    </row>
    <row r="851" ht="21.75" customHeight="1">
      <c r="A851" s="650"/>
      <c r="B851" s="650"/>
      <c r="C851" s="650"/>
      <c r="D851" s="650"/>
      <c r="E851" s="650"/>
      <c r="F851" s="650"/>
      <c r="G851" s="650"/>
      <c r="H851" s="650"/>
      <c r="I851" s="650"/>
      <c r="J851" s="650"/>
      <c r="K851" s="650"/>
      <c r="L851" s="650"/>
      <c r="M851" s="650"/>
      <c r="N851" s="650"/>
      <c r="O851" s="650"/>
      <c r="P851" s="650"/>
      <c r="Q851" s="650"/>
      <c r="R851" s="650"/>
      <c r="S851" s="650"/>
      <c r="T851" s="650"/>
      <c r="U851" s="650"/>
      <c r="V851" s="650"/>
      <c r="W851" s="650"/>
      <c r="X851" s="650"/>
      <c r="Y851" s="650"/>
      <c r="Z851" s="650"/>
      <c r="AA851" s="650"/>
      <c r="AB851" s="650"/>
      <c r="AC851" s="650"/>
      <c r="AD851" s="650"/>
      <c r="AE851" s="650"/>
      <c r="AF851" s="650"/>
      <c r="AG851" s="650"/>
      <c r="AH851" s="650"/>
      <c r="AI851" s="650"/>
      <c r="AJ851" s="650"/>
      <c r="AK851" s="650"/>
      <c r="AL851" s="650"/>
      <c r="AM851" s="650"/>
      <c r="AN851" s="650"/>
      <c r="AO851" s="650"/>
      <c r="AP851" s="650"/>
      <c r="AQ851" s="650"/>
      <c r="AR851" s="650"/>
      <c r="AS851" s="650"/>
      <c r="AT851" s="650"/>
      <c r="AU851" s="650"/>
      <c r="AV851" s="650"/>
      <c r="AW851" s="650"/>
      <c r="AX851" s="650"/>
      <c r="AY851" s="650"/>
    </row>
    <row r="852" ht="21.75" customHeight="1">
      <c r="A852" s="650"/>
      <c r="B852" s="650"/>
      <c r="C852" s="650"/>
      <c r="D852" s="650"/>
      <c r="E852" s="650"/>
      <c r="F852" s="650"/>
      <c r="G852" s="650"/>
      <c r="H852" s="650"/>
      <c r="I852" s="650"/>
      <c r="J852" s="650"/>
      <c r="K852" s="650"/>
      <c r="L852" s="650"/>
      <c r="M852" s="650"/>
      <c r="N852" s="650"/>
      <c r="O852" s="650"/>
      <c r="P852" s="650"/>
      <c r="Q852" s="650"/>
      <c r="R852" s="650"/>
      <c r="S852" s="650"/>
      <c r="T852" s="650"/>
      <c r="U852" s="650"/>
      <c r="V852" s="650"/>
      <c r="W852" s="650"/>
      <c r="X852" s="650"/>
      <c r="Y852" s="650"/>
      <c r="Z852" s="650"/>
      <c r="AA852" s="650"/>
      <c r="AB852" s="650"/>
      <c r="AC852" s="650"/>
      <c r="AD852" s="650"/>
      <c r="AE852" s="650"/>
      <c r="AF852" s="650"/>
      <c r="AG852" s="650"/>
      <c r="AH852" s="650"/>
      <c r="AI852" s="650"/>
      <c r="AJ852" s="650"/>
      <c r="AK852" s="650"/>
      <c r="AL852" s="650"/>
      <c r="AM852" s="650"/>
      <c r="AN852" s="650"/>
      <c r="AO852" s="650"/>
      <c r="AP852" s="650"/>
      <c r="AQ852" s="650"/>
      <c r="AR852" s="650"/>
      <c r="AS852" s="650"/>
      <c r="AT852" s="650"/>
      <c r="AU852" s="650"/>
      <c r="AV852" s="650"/>
      <c r="AW852" s="650"/>
      <c r="AX852" s="650"/>
      <c r="AY852" s="650"/>
    </row>
    <row r="853" ht="21.75" customHeight="1">
      <c r="A853" s="650"/>
      <c r="B853" s="650"/>
      <c r="C853" s="650"/>
      <c r="D853" s="650"/>
      <c r="E853" s="650"/>
      <c r="F853" s="650"/>
      <c r="G853" s="650"/>
      <c r="H853" s="650"/>
      <c r="I853" s="650"/>
      <c r="J853" s="650"/>
      <c r="K853" s="650"/>
      <c r="L853" s="650"/>
      <c r="M853" s="650"/>
      <c r="N853" s="650"/>
      <c r="O853" s="650"/>
      <c r="P853" s="650"/>
      <c r="Q853" s="650"/>
      <c r="R853" s="650"/>
      <c r="S853" s="650"/>
      <c r="T853" s="650"/>
      <c r="U853" s="650"/>
      <c r="V853" s="650"/>
      <c r="W853" s="650"/>
      <c r="X853" s="650"/>
      <c r="Y853" s="650"/>
      <c r="Z853" s="650"/>
      <c r="AA853" s="650"/>
      <c r="AB853" s="650"/>
      <c r="AC853" s="650"/>
      <c r="AD853" s="650"/>
      <c r="AE853" s="650"/>
      <c r="AF853" s="650"/>
      <c r="AG853" s="650"/>
      <c r="AH853" s="650"/>
      <c r="AI853" s="650"/>
      <c r="AJ853" s="650"/>
      <c r="AK853" s="650"/>
      <c r="AL853" s="650"/>
      <c r="AM853" s="650"/>
      <c r="AN853" s="650"/>
      <c r="AO853" s="650"/>
      <c r="AP853" s="650"/>
      <c r="AQ853" s="650"/>
      <c r="AR853" s="650"/>
      <c r="AS853" s="650"/>
      <c r="AT853" s="650"/>
      <c r="AU853" s="650"/>
      <c r="AV853" s="650"/>
      <c r="AW853" s="650"/>
      <c r="AX853" s="650"/>
      <c r="AY853" s="650"/>
    </row>
    <row r="854" ht="21.75" customHeight="1">
      <c r="A854" s="650"/>
      <c r="B854" s="650"/>
      <c r="C854" s="650"/>
      <c r="D854" s="650"/>
      <c r="E854" s="650"/>
      <c r="F854" s="650"/>
      <c r="G854" s="650"/>
      <c r="H854" s="650"/>
      <c r="I854" s="650"/>
      <c r="J854" s="650"/>
      <c r="K854" s="650"/>
      <c r="L854" s="650"/>
      <c r="M854" s="650"/>
      <c r="N854" s="650"/>
      <c r="O854" s="650"/>
      <c r="P854" s="650"/>
      <c r="Q854" s="650"/>
      <c r="R854" s="650"/>
      <c r="S854" s="650"/>
      <c r="T854" s="650"/>
      <c r="U854" s="650"/>
      <c r="V854" s="650"/>
      <c r="W854" s="650"/>
      <c r="X854" s="650"/>
      <c r="Y854" s="650"/>
      <c r="Z854" s="650"/>
      <c r="AA854" s="650"/>
      <c r="AB854" s="650"/>
      <c r="AC854" s="650"/>
      <c r="AD854" s="650"/>
      <c r="AE854" s="650"/>
      <c r="AF854" s="650"/>
      <c r="AG854" s="650"/>
      <c r="AH854" s="650"/>
      <c r="AI854" s="650"/>
      <c r="AJ854" s="650"/>
      <c r="AK854" s="650"/>
      <c r="AL854" s="650"/>
      <c r="AM854" s="650"/>
      <c r="AN854" s="650"/>
      <c r="AO854" s="650"/>
      <c r="AP854" s="650"/>
      <c r="AQ854" s="650"/>
      <c r="AR854" s="650"/>
      <c r="AS854" s="650"/>
      <c r="AT854" s="650"/>
      <c r="AU854" s="650"/>
      <c r="AV854" s="650"/>
      <c r="AW854" s="650"/>
      <c r="AX854" s="650"/>
      <c r="AY854" s="650"/>
    </row>
    <row r="855" ht="21.75" customHeight="1">
      <c r="A855" s="650"/>
      <c r="B855" s="650"/>
      <c r="C855" s="650"/>
      <c r="D855" s="650"/>
      <c r="E855" s="650"/>
      <c r="F855" s="650"/>
      <c r="G855" s="650"/>
      <c r="H855" s="650"/>
      <c r="I855" s="650"/>
      <c r="J855" s="650"/>
      <c r="K855" s="650"/>
      <c r="L855" s="650"/>
      <c r="M855" s="650"/>
      <c r="N855" s="650"/>
      <c r="O855" s="650"/>
      <c r="P855" s="650"/>
      <c r="Q855" s="650"/>
      <c r="R855" s="650"/>
      <c r="S855" s="650"/>
      <c r="T855" s="650"/>
      <c r="U855" s="650"/>
      <c r="V855" s="650"/>
      <c r="W855" s="650"/>
      <c r="X855" s="650"/>
      <c r="Y855" s="650"/>
      <c r="Z855" s="650"/>
      <c r="AA855" s="650"/>
      <c r="AB855" s="650"/>
      <c r="AC855" s="650"/>
      <c r="AD855" s="650"/>
      <c r="AE855" s="650"/>
      <c r="AF855" s="650"/>
      <c r="AG855" s="650"/>
      <c r="AH855" s="650"/>
      <c r="AI855" s="650"/>
      <c r="AJ855" s="650"/>
      <c r="AK855" s="650"/>
      <c r="AL855" s="650"/>
      <c r="AM855" s="650"/>
      <c r="AN855" s="650"/>
      <c r="AO855" s="650"/>
      <c r="AP855" s="650"/>
      <c r="AQ855" s="650"/>
      <c r="AR855" s="650"/>
      <c r="AS855" s="650"/>
      <c r="AT855" s="650"/>
      <c r="AU855" s="650"/>
      <c r="AV855" s="650"/>
      <c r="AW855" s="650"/>
      <c r="AX855" s="650"/>
      <c r="AY855" s="650"/>
    </row>
    <row r="856" ht="21.75" customHeight="1">
      <c r="A856" s="650"/>
      <c r="B856" s="650"/>
      <c r="C856" s="650"/>
      <c r="D856" s="650"/>
      <c r="E856" s="650"/>
      <c r="F856" s="650"/>
      <c r="G856" s="650"/>
      <c r="H856" s="650"/>
      <c r="I856" s="650"/>
      <c r="J856" s="650"/>
      <c r="K856" s="650"/>
      <c r="L856" s="650"/>
      <c r="M856" s="650"/>
      <c r="N856" s="650"/>
      <c r="O856" s="650"/>
      <c r="P856" s="650"/>
      <c r="Q856" s="650"/>
      <c r="R856" s="650"/>
      <c r="S856" s="650"/>
      <c r="T856" s="650"/>
      <c r="U856" s="650"/>
      <c r="V856" s="650"/>
      <c r="W856" s="650"/>
      <c r="X856" s="650"/>
      <c r="Y856" s="650"/>
      <c r="Z856" s="650"/>
      <c r="AA856" s="650"/>
      <c r="AB856" s="650"/>
      <c r="AC856" s="650"/>
      <c r="AD856" s="650"/>
      <c r="AE856" s="650"/>
      <c r="AF856" s="650"/>
      <c r="AG856" s="650"/>
      <c r="AH856" s="650"/>
      <c r="AI856" s="650"/>
      <c r="AJ856" s="650"/>
      <c r="AK856" s="650"/>
      <c r="AL856" s="650"/>
      <c r="AM856" s="650"/>
      <c r="AN856" s="650"/>
      <c r="AO856" s="650"/>
      <c r="AP856" s="650"/>
      <c r="AQ856" s="650"/>
      <c r="AR856" s="650"/>
      <c r="AS856" s="650"/>
      <c r="AT856" s="650"/>
      <c r="AU856" s="650"/>
      <c r="AV856" s="650"/>
      <c r="AW856" s="650"/>
      <c r="AX856" s="650"/>
      <c r="AY856" s="650"/>
    </row>
    <row r="857" ht="21.75" customHeight="1">
      <c r="A857" s="650"/>
      <c r="B857" s="650"/>
      <c r="C857" s="650"/>
      <c r="D857" s="650"/>
      <c r="E857" s="650"/>
      <c r="F857" s="650"/>
      <c r="G857" s="650"/>
      <c r="H857" s="650"/>
      <c r="I857" s="650"/>
      <c r="J857" s="650"/>
      <c r="K857" s="650"/>
      <c r="L857" s="650"/>
      <c r="M857" s="650"/>
      <c r="N857" s="650"/>
      <c r="O857" s="650"/>
      <c r="P857" s="650"/>
      <c r="Q857" s="650"/>
      <c r="R857" s="650"/>
      <c r="S857" s="650"/>
      <c r="T857" s="650"/>
      <c r="U857" s="650"/>
      <c r="V857" s="650"/>
      <c r="W857" s="650"/>
      <c r="X857" s="650"/>
      <c r="Y857" s="650"/>
      <c r="Z857" s="650"/>
      <c r="AA857" s="650"/>
      <c r="AB857" s="650"/>
      <c r="AC857" s="650"/>
      <c r="AD857" s="650"/>
      <c r="AE857" s="650"/>
      <c r="AF857" s="650"/>
      <c r="AG857" s="650"/>
      <c r="AH857" s="650"/>
      <c r="AI857" s="650"/>
      <c r="AJ857" s="650"/>
      <c r="AK857" s="650"/>
      <c r="AL857" s="650"/>
      <c r="AM857" s="650"/>
      <c r="AN857" s="650"/>
      <c r="AO857" s="650"/>
      <c r="AP857" s="650"/>
      <c r="AQ857" s="650"/>
      <c r="AR857" s="650"/>
      <c r="AS857" s="650"/>
      <c r="AT857" s="650"/>
      <c r="AU857" s="650"/>
      <c r="AV857" s="650"/>
      <c r="AW857" s="650"/>
      <c r="AX857" s="650"/>
      <c r="AY857" s="650"/>
    </row>
    <row r="858" ht="21.75" customHeight="1">
      <c r="A858" s="650"/>
      <c r="B858" s="650"/>
      <c r="C858" s="650"/>
      <c r="D858" s="650"/>
      <c r="E858" s="650"/>
      <c r="F858" s="650"/>
      <c r="G858" s="650"/>
      <c r="H858" s="650"/>
      <c r="I858" s="650"/>
      <c r="J858" s="650"/>
      <c r="K858" s="650"/>
      <c r="L858" s="650"/>
      <c r="M858" s="650"/>
      <c r="N858" s="650"/>
      <c r="O858" s="650"/>
      <c r="P858" s="650"/>
      <c r="Q858" s="650"/>
      <c r="R858" s="650"/>
      <c r="S858" s="650"/>
      <c r="T858" s="650"/>
      <c r="U858" s="650"/>
      <c r="V858" s="650"/>
      <c r="W858" s="650"/>
      <c r="X858" s="650"/>
      <c r="Y858" s="650"/>
      <c r="Z858" s="650"/>
      <c r="AA858" s="650"/>
      <c r="AB858" s="650"/>
      <c r="AC858" s="650"/>
      <c r="AD858" s="650"/>
      <c r="AE858" s="650"/>
      <c r="AF858" s="650"/>
      <c r="AG858" s="650"/>
      <c r="AH858" s="650"/>
      <c r="AI858" s="650"/>
      <c r="AJ858" s="650"/>
      <c r="AK858" s="650"/>
      <c r="AL858" s="650"/>
      <c r="AM858" s="650"/>
      <c r="AN858" s="650"/>
      <c r="AO858" s="650"/>
      <c r="AP858" s="650"/>
      <c r="AQ858" s="650"/>
      <c r="AR858" s="650"/>
      <c r="AS858" s="650"/>
      <c r="AT858" s="650"/>
      <c r="AU858" s="650"/>
      <c r="AV858" s="650"/>
      <c r="AW858" s="650"/>
      <c r="AX858" s="650"/>
      <c r="AY858" s="650"/>
    </row>
    <row r="859" ht="21.75" customHeight="1">
      <c r="A859" s="650"/>
      <c r="B859" s="650"/>
      <c r="C859" s="650"/>
      <c r="D859" s="650"/>
      <c r="E859" s="650"/>
      <c r="F859" s="650"/>
      <c r="G859" s="650"/>
      <c r="H859" s="650"/>
      <c r="I859" s="650"/>
      <c r="J859" s="650"/>
      <c r="K859" s="650"/>
      <c r="L859" s="650"/>
      <c r="M859" s="650"/>
      <c r="N859" s="650"/>
      <c r="O859" s="650"/>
      <c r="P859" s="650"/>
      <c r="Q859" s="650"/>
      <c r="R859" s="650"/>
      <c r="S859" s="650"/>
      <c r="T859" s="650"/>
      <c r="U859" s="650"/>
      <c r="V859" s="650"/>
      <c r="W859" s="650"/>
      <c r="X859" s="650"/>
      <c r="Y859" s="650"/>
      <c r="Z859" s="650"/>
      <c r="AA859" s="650"/>
      <c r="AB859" s="650"/>
      <c r="AC859" s="650"/>
      <c r="AD859" s="650"/>
      <c r="AE859" s="650"/>
      <c r="AF859" s="650"/>
      <c r="AG859" s="650"/>
      <c r="AH859" s="650"/>
      <c r="AI859" s="650"/>
      <c r="AJ859" s="650"/>
      <c r="AK859" s="650"/>
      <c r="AL859" s="650"/>
      <c r="AM859" s="650"/>
      <c r="AN859" s="650"/>
      <c r="AO859" s="650"/>
      <c r="AP859" s="650"/>
      <c r="AQ859" s="650"/>
      <c r="AR859" s="650"/>
      <c r="AS859" s="650"/>
      <c r="AT859" s="650"/>
      <c r="AU859" s="650"/>
      <c r="AV859" s="650"/>
      <c r="AW859" s="650"/>
      <c r="AX859" s="650"/>
      <c r="AY859" s="650"/>
    </row>
    <row r="860" ht="21.75" customHeight="1">
      <c r="A860" s="650"/>
      <c r="B860" s="650"/>
      <c r="C860" s="650"/>
      <c r="D860" s="650"/>
      <c r="E860" s="650"/>
      <c r="F860" s="650"/>
      <c r="G860" s="650"/>
      <c r="H860" s="650"/>
      <c r="I860" s="650"/>
      <c r="J860" s="650"/>
      <c r="K860" s="650"/>
      <c r="L860" s="650"/>
      <c r="M860" s="650"/>
      <c r="N860" s="650"/>
      <c r="O860" s="650"/>
      <c r="P860" s="650"/>
      <c r="Q860" s="650"/>
      <c r="R860" s="650"/>
      <c r="S860" s="650"/>
      <c r="T860" s="650"/>
      <c r="U860" s="650"/>
      <c r="V860" s="650"/>
      <c r="W860" s="650"/>
      <c r="X860" s="650"/>
      <c r="Y860" s="650"/>
      <c r="Z860" s="650"/>
      <c r="AA860" s="650"/>
      <c r="AB860" s="650"/>
      <c r="AC860" s="650"/>
      <c r="AD860" s="650"/>
      <c r="AE860" s="650"/>
      <c r="AF860" s="650"/>
      <c r="AG860" s="650"/>
      <c r="AH860" s="650"/>
      <c r="AI860" s="650"/>
      <c r="AJ860" s="650"/>
      <c r="AK860" s="650"/>
      <c r="AL860" s="650"/>
      <c r="AM860" s="650"/>
      <c r="AN860" s="650"/>
      <c r="AO860" s="650"/>
      <c r="AP860" s="650"/>
      <c r="AQ860" s="650"/>
      <c r="AR860" s="650"/>
      <c r="AS860" s="650"/>
      <c r="AT860" s="650"/>
      <c r="AU860" s="650"/>
      <c r="AV860" s="650"/>
      <c r="AW860" s="650"/>
      <c r="AX860" s="650"/>
      <c r="AY860" s="650"/>
    </row>
    <row r="861" ht="21.75" customHeight="1">
      <c r="A861" s="650"/>
      <c r="B861" s="650"/>
      <c r="C861" s="650"/>
      <c r="D861" s="650"/>
      <c r="E861" s="650"/>
      <c r="F861" s="650"/>
      <c r="G861" s="650"/>
      <c r="H861" s="650"/>
      <c r="I861" s="650"/>
      <c r="J861" s="650"/>
      <c r="K861" s="650"/>
      <c r="L861" s="650"/>
      <c r="M861" s="650"/>
      <c r="N861" s="650"/>
      <c r="O861" s="650"/>
      <c r="P861" s="650"/>
      <c r="Q861" s="650"/>
      <c r="R861" s="650"/>
      <c r="S861" s="650"/>
      <c r="T861" s="650"/>
      <c r="U861" s="650"/>
      <c r="V861" s="650"/>
      <c r="W861" s="650"/>
      <c r="X861" s="650"/>
      <c r="Y861" s="650"/>
      <c r="Z861" s="650"/>
      <c r="AA861" s="650"/>
      <c r="AB861" s="650"/>
      <c r="AC861" s="650"/>
      <c r="AD861" s="650"/>
      <c r="AE861" s="650"/>
      <c r="AF861" s="650"/>
      <c r="AG861" s="650"/>
      <c r="AH861" s="650"/>
      <c r="AI861" s="650"/>
      <c r="AJ861" s="650"/>
      <c r="AK861" s="650"/>
      <c r="AL861" s="650"/>
      <c r="AM861" s="650"/>
      <c r="AN861" s="650"/>
      <c r="AO861" s="650"/>
      <c r="AP861" s="650"/>
      <c r="AQ861" s="650"/>
      <c r="AR861" s="650"/>
      <c r="AS861" s="650"/>
      <c r="AT861" s="650"/>
      <c r="AU861" s="650"/>
      <c r="AV861" s="650"/>
      <c r="AW861" s="650"/>
      <c r="AX861" s="650"/>
      <c r="AY861" s="650"/>
    </row>
    <row r="862" ht="21.75" customHeight="1">
      <c r="A862" s="650"/>
      <c r="B862" s="650"/>
      <c r="C862" s="650"/>
      <c r="D862" s="650"/>
      <c r="E862" s="650"/>
      <c r="F862" s="650"/>
      <c r="G862" s="650"/>
      <c r="H862" s="650"/>
      <c r="I862" s="650"/>
      <c r="J862" s="650"/>
      <c r="K862" s="650"/>
      <c r="L862" s="650"/>
      <c r="M862" s="650"/>
      <c r="N862" s="650"/>
      <c r="O862" s="650"/>
      <c r="P862" s="650"/>
      <c r="Q862" s="650"/>
      <c r="R862" s="650"/>
      <c r="S862" s="650"/>
      <c r="T862" s="650"/>
      <c r="U862" s="650"/>
      <c r="V862" s="650"/>
      <c r="W862" s="650"/>
      <c r="X862" s="650"/>
      <c r="Y862" s="650"/>
      <c r="Z862" s="650"/>
      <c r="AA862" s="650"/>
      <c r="AB862" s="650"/>
      <c r="AC862" s="650"/>
      <c r="AD862" s="650"/>
      <c r="AE862" s="650"/>
      <c r="AF862" s="650"/>
      <c r="AG862" s="650"/>
      <c r="AH862" s="650"/>
      <c r="AI862" s="650"/>
      <c r="AJ862" s="650"/>
      <c r="AK862" s="650"/>
      <c r="AL862" s="650"/>
      <c r="AM862" s="650"/>
      <c r="AN862" s="650"/>
      <c r="AO862" s="650"/>
      <c r="AP862" s="650"/>
      <c r="AQ862" s="650"/>
      <c r="AR862" s="650"/>
      <c r="AS862" s="650"/>
      <c r="AT862" s="650"/>
      <c r="AU862" s="650"/>
      <c r="AV862" s="650"/>
      <c r="AW862" s="650"/>
      <c r="AX862" s="650"/>
      <c r="AY862" s="650"/>
    </row>
    <row r="863" ht="21.75" customHeight="1">
      <c r="A863" s="650"/>
      <c r="B863" s="650"/>
      <c r="C863" s="650"/>
      <c r="D863" s="650"/>
      <c r="E863" s="650"/>
      <c r="F863" s="650"/>
      <c r="G863" s="650"/>
      <c r="H863" s="650"/>
      <c r="I863" s="650"/>
      <c r="J863" s="650"/>
      <c r="K863" s="650"/>
      <c r="L863" s="650"/>
      <c r="M863" s="650"/>
      <c r="N863" s="650"/>
      <c r="O863" s="650"/>
      <c r="P863" s="650"/>
      <c r="Q863" s="650"/>
      <c r="R863" s="650"/>
      <c r="S863" s="650"/>
      <c r="T863" s="650"/>
      <c r="U863" s="650"/>
      <c r="V863" s="650"/>
      <c r="W863" s="650"/>
      <c r="X863" s="650"/>
      <c r="Y863" s="650"/>
      <c r="Z863" s="650"/>
      <c r="AA863" s="650"/>
      <c r="AB863" s="650"/>
      <c r="AC863" s="650"/>
      <c r="AD863" s="650"/>
      <c r="AE863" s="650"/>
      <c r="AF863" s="650"/>
      <c r="AG863" s="650"/>
      <c r="AH863" s="650"/>
      <c r="AI863" s="650"/>
      <c r="AJ863" s="650"/>
      <c r="AK863" s="650"/>
      <c r="AL863" s="650"/>
      <c r="AM863" s="650"/>
      <c r="AN863" s="650"/>
      <c r="AO863" s="650"/>
      <c r="AP863" s="650"/>
      <c r="AQ863" s="650"/>
      <c r="AR863" s="650"/>
      <c r="AS863" s="650"/>
      <c r="AT863" s="650"/>
      <c r="AU863" s="650"/>
      <c r="AV863" s="650"/>
      <c r="AW863" s="650"/>
      <c r="AX863" s="650"/>
      <c r="AY863" s="650"/>
    </row>
    <row r="864" ht="21.75" customHeight="1">
      <c r="A864" s="650"/>
      <c r="B864" s="650"/>
      <c r="C864" s="650"/>
      <c r="D864" s="650"/>
      <c r="E864" s="650"/>
      <c r="F864" s="650"/>
      <c r="G864" s="650"/>
      <c r="H864" s="650"/>
      <c r="I864" s="650"/>
      <c r="J864" s="650"/>
      <c r="K864" s="650"/>
      <c r="L864" s="650"/>
      <c r="M864" s="650"/>
      <c r="N864" s="650"/>
      <c r="O864" s="650"/>
      <c r="P864" s="650"/>
      <c r="Q864" s="650"/>
      <c r="R864" s="650"/>
      <c r="S864" s="650"/>
      <c r="T864" s="650"/>
      <c r="U864" s="650"/>
      <c r="V864" s="650"/>
      <c r="W864" s="650"/>
      <c r="X864" s="650"/>
      <c r="Y864" s="650"/>
      <c r="Z864" s="650"/>
      <c r="AA864" s="650"/>
      <c r="AB864" s="650"/>
      <c r="AC864" s="650"/>
      <c r="AD864" s="650"/>
      <c r="AE864" s="650"/>
      <c r="AF864" s="650"/>
      <c r="AG864" s="650"/>
      <c r="AH864" s="650"/>
      <c r="AI864" s="650"/>
      <c r="AJ864" s="650"/>
      <c r="AK864" s="650"/>
      <c r="AL864" s="650"/>
      <c r="AM864" s="650"/>
      <c r="AN864" s="650"/>
      <c r="AO864" s="650"/>
      <c r="AP864" s="650"/>
      <c r="AQ864" s="650"/>
      <c r="AR864" s="650"/>
      <c r="AS864" s="650"/>
      <c r="AT864" s="650"/>
      <c r="AU864" s="650"/>
      <c r="AV864" s="650"/>
      <c r="AW864" s="650"/>
      <c r="AX864" s="650"/>
      <c r="AY864" s="650"/>
    </row>
    <row r="865" ht="21.75" customHeight="1">
      <c r="A865" s="650"/>
      <c r="B865" s="650"/>
      <c r="C865" s="650"/>
      <c r="D865" s="650"/>
      <c r="E865" s="650"/>
      <c r="F865" s="650"/>
      <c r="G865" s="650"/>
      <c r="H865" s="650"/>
      <c r="I865" s="650"/>
      <c r="J865" s="650"/>
      <c r="K865" s="650"/>
      <c r="L865" s="650"/>
      <c r="M865" s="650"/>
      <c r="N865" s="650"/>
      <c r="O865" s="650"/>
      <c r="P865" s="650"/>
      <c r="Q865" s="650"/>
      <c r="R865" s="650"/>
      <c r="S865" s="650"/>
      <c r="T865" s="650"/>
      <c r="U865" s="650"/>
      <c r="V865" s="650"/>
      <c r="W865" s="650"/>
      <c r="X865" s="650"/>
      <c r="Y865" s="650"/>
      <c r="Z865" s="650"/>
      <c r="AA865" s="650"/>
      <c r="AB865" s="650"/>
      <c r="AC865" s="650"/>
      <c r="AD865" s="650"/>
      <c r="AE865" s="650"/>
      <c r="AF865" s="650"/>
      <c r="AG865" s="650"/>
      <c r="AH865" s="650"/>
      <c r="AI865" s="650"/>
      <c r="AJ865" s="650"/>
      <c r="AK865" s="650"/>
      <c r="AL865" s="650"/>
      <c r="AM865" s="650"/>
      <c r="AN865" s="650"/>
      <c r="AO865" s="650"/>
      <c r="AP865" s="650"/>
      <c r="AQ865" s="650"/>
      <c r="AR865" s="650"/>
      <c r="AS865" s="650"/>
      <c r="AT865" s="650"/>
      <c r="AU865" s="650"/>
      <c r="AV865" s="650"/>
      <c r="AW865" s="650"/>
      <c r="AX865" s="650"/>
      <c r="AY865" s="650"/>
    </row>
    <row r="866" ht="21.75" customHeight="1">
      <c r="A866" s="650"/>
      <c r="B866" s="650"/>
      <c r="C866" s="650"/>
      <c r="D866" s="650"/>
      <c r="E866" s="650"/>
      <c r="F866" s="650"/>
      <c r="G866" s="650"/>
      <c r="H866" s="650"/>
      <c r="I866" s="650"/>
      <c r="J866" s="650"/>
      <c r="K866" s="650"/>
      <c r="L866" s="650"/>
      <c r="M866" s="650"/>
      <c r="N866" s="650"/>
      <c r="O866" s="650"/>
      <c r="P866" s="650"/>
      <c r="Q866" s="650"/>
      <c r="R866" s="650"/>
      <c r="S866" s="650"/>
      <c r="T866" s="650"/>
      <c r="U866" s="650"/>
      <c r="V866" s="650"/>
      <c r="W866" s="650"/>
      <c r="X866" s="650"/>
      <c r="Y866" s="650"/>
      <c r="Z866" s="650"/>
      <c r="AA866" s="650"/>
      <c r="AB866" s="650"/>
      <c r="AC866" s="650"/>
      <c r="AD866" s="650"/>
      <c r="AE866" s="650"/>
      <c r="AF866" s="650"/>
      <c r="AG866" s="650"/>
      <c r="AH866" s="650"/>
      <c r="AI866" s="650"/>
      <c r="AJ866" s="650"/>
      <c r="AK866" s="650"/>
      <c r="AL866" s="650"/>
      <c r="AM866" s="650"/>
      <c r="AN866" s="650"/>
      <c r="AO866" s="650"/>
      <c r="AP866" s="650"/>
      <c r="AQ866" s="650"/>
      <c r="AR866" s="650"/>
      <c r="AS866" s="650"/>
      <c r="AT866" s="650"/>
      <c r="AU866" s="650"/>
      <c r="AV866" s="650"/>
      <c r="AW866" s="650"/>
      <c r="AX866" s="650"/>
      <c r="AY866" s="650"/>
    </row>
    <row r="867" ht="21.75" customHeight="1">
      <c r="A867" s="650"/>
      <c r="B867" s="650"/>
      <c r="C867" s="650"/>
      <c r="D867" s="650"/>
      <c r="E867" s="650"/>
      <c r="F867" s="650"/>
      <c r="G867" s="650"/>
      <c r="H867" s="650"/>
      <c r="I867" s="650"/>
      <c r="J867" s="650"/>
      <c r="K867" s="650"/>
      <c r="L867" s="650"/>
      <c r="M867" s="650"/>
      <c r="N867" s="650"/>
      <c r="O867" s="650"/>
      <c r="P867" s="650"/>
      <c r="Q867" s="650"/>
      <c r="R867" s="650"/>
      <c r="S867" s="650"/>
      <c r="T867" s="650"/>
      <c r="U867" s="650"/>
      <c r="V867" s="650"/>
      <c r="W867" s="650"/>
      <c r="X867" s="650"/>
      <c r="Y867" s="650"/>
      <c r="Z867" s="650"/>
      <c r="AA867" s="650"/>
      <c r="AB867" s="650"/>
      <c r="AC867" s="650"/>
      <c r="AD867" s="650"/>
      <c r="AE867" s="650"/>
      <c r="AF867" s="650"/>
      <c r="AG867" s="650"/>
      <c r="AH867" s="650"/>
      <c r="AI867" s="650"/>
      <c r="AJ867" s="650"/>
      <c r="AK867" s="650"/>
      <c r="AL867" s="650"/>
      <c r="AM867" s="650"/>
      <c r="AN867" s="650"/>
      <c r="AO867" s="650"/>
      <c r="AP867" s="650"/>
      <c r="AQ867" s="650"/>
      <c r="AR867" s="650"/>
      <c r="AS867" s="650"/>
      <c r="AT867" s="650"/>
      <c r="AU867" s="650"/>
      <c r="AV867" s="650"/>
      <c r="AW867" s="650"/>
      <c r="AX867" s="650"/>
      <c r="AY867" s="650"/>
    </row>
    <row r="868" ht="21.75" customHeight="1">
      <c r="A868" s="650"/>
      <c r="B868" s="650"/>
      <c r="C868" s="650"/>
      <c r="D868" s="650"/>
      <c r="E868" s="650"/>
      <c r="F868" s="650"/>
      <c r="G868" s="650"/>
      <c r="H868" s="650"/>
      <c r="I868" s="650"/>
      <c r="J868" s="650"/>
      <c r="K868" s="650"/>
      <c r="L868" s="650"/>
      <c r="M868" s="650"/>
      <c r="N868" s="650"/>
      <c r="O868" s="650"/>
      <c r="P868" s="650"/>
      <c r="Q868" s="650"/>
      <c r="R868" s="650"/>
      <c r="S868" s="650"/>
      <c r="T868" s="650"/>
      <c r="U868" s="650"/>
      <c r="V868" s="650"/>
      <c r="W868" s="650"/>
      <c r="X868" s="650"/>
      <c r="Y868" s="650"/>
      <c r="Z868" s="650"/>
      <c r="AA868" s="650"/>
      <c r="AB868" s="650"/>
      <c r="AC868" s="650"/>
      <c r="AD868" s="650"/>
      <c r="AE868" s="650"/>
      <c r="AF868" s="650"/>
      <c r="AG868" s="650"/>
      <c r="AH868" s="650"/>
      <c r="AI868" s="650"/>
      <c r="AJ868" s="650"/>
      <c r="AK868" s="650"/>
      <c r="AL868" s="650"/>
      <c r="AM868" s="650"/>
      <c r="AN868" s="650"/>
      <c r="AO868" s="650"/>
      <c r="AP868" s="650"/>
      <c r="AQ868" s="650"/>
      <c r="AR868" s="650"/>
      <c r="AS868" s="650"/>
      <c r="AT868" s="650"/>
      <c r="AU868" s="650"/>
      <c r="AV868" s="650"/>
      <c r="AW868" s="650"/>
      <c r="AX868" s="650"/>
      <c r="AY868" s="650"/>
    </row>
    <row r="869" ht="21.75" customHeight="1">
      <c r="A869" s="650"/>
      <c r="B869" s="650"/>
      <c r="C869" s="650"/>
      <c r="D869" s="650"/>
      <c r="E869" s="650"/>
      <c r="F869" s="650"/>
      <c r="G869" s="650"/>
      <c r="H869" s="650"/>
      <c r="I869" s="650"/>
      <c r="J869" s="650"/>
      <c r="K869" s="650"/>
      <c r="L869" s="650"/>
      <c r="M869" s="650"/>
      <c r="N869" s="650"/>
      <c r="O869" s="650"/>
      <c r="P869" s="650"/>
      <c r="Q869" s="650"/>
      <c r="R869" s="650"/>
      <c r="S869" s="650"/>
      <c r="T869" s="650"/>
      <c r="U869" s="650"/>
      <c r="V869" s="650"/>
      <c r="W869" s="650"/>
      <c r="X869" s="650"/>
      <c r="Y869" s="650"/>
      <c r="Z869" s="650"/>
      <c r="AA869" s="650"/>
      <c r="AB869" s="650"/>
      <c r="AC869" s="650"/>
      <c r="AD869" s="650"/>
      <c r="AE869" s="650"/>
      <c r="AF869" s="650"/>
      <c r="AG869" s="650"/>
      <c r="AH869" s="650"/>
      <c r="AI869" s="650"/>
      <c r="AJ869" s="650"/>
      <c r="AK869" s="650"/>
      <c r="AL869" s="650"/>
      <c r="AM869" s="650"/>
      <c r="AN869" s="650"/>
      <c r="AO869" s="650"/>
      <c r="AP869" s="650"/>
      <c r="AQ869" s="650"/>
      <c r="AR869" s="650"/>
      <c r="AS869" s="650"/>
      <c r="AT869" s="650"/>
      <c r="AU869" s="650"/>
      <c r="AV869" s="650"/>
      <c r="AW869" s="650"/>
      <c r="AX869" s="650"/>
      <c r="AY869" s="650"/>
    </row>
    <row r="870" ht="21.75" customHeight="1">
      <c r="A870" s="650"/>
      <c r="B870" s="650"/>
      <c r="C870" s="650"/>
      <c r="D870" s="650"/>
      <c r="E870" s="650"/>
      <c r="F870" s="650"/>
      <c r="G870" s="650"/>
      <c r="H870" s="650"/>
      <c r="I870" s="650"/>
      <c r="J870" s="650"/>
      <c r="K870" s="650"/>
      <c r="L870" s="650"/>
      <c r="M870" s="650"/>
      <c r="N870" s="650"/>
      <c r="O870" s="650"/>
      <c r="P870" s="650"/>
      <c r="Q870" s="650"/>
      <c r="R870" s="650"/>
      <c r="S870" s="650"/>
      <c r="T870" s="650"/>
      <c r="U870" s="650"/>
      <c r="V870" s="650"/>
      <c r="W870" s="650"/>
      <c r="X870" s="650"/>
      <c r="Y870" s="650"/>
      <c r="Z870" s="650"/>
      <c r="AA870" s="650"/>
      <c r="AB870" s="650"/>
      <c r="AC870" s="650"/>
      <c r="AD870" s="650"/>
      <c r="AE870" s="650"/>
      <c r="AF870" s="650"/>
      <c r="AG870" s="650"/>
      <c r="AH870" s="650"/>
      <c r="AI870" s="650"/>
      <c r="AJ870" s="650"/>
      <c r="AK870" s="650"/>
      <c r="AL870" s="650"/>
      <c r="AM870" s="650"/>
      <c r="AN870" s="650"/>
      <c r="AO870" s="650"/>
      <c r="AP870" s="650"/>
      <c r="AQ870" s="650"/>
      <c r="AR870" s="650"/>
      <c r="AS870" s="650"/>
      <c r="AT870" s="650"/>
      <c r="AU870" s="650"/>
      <c r="AV870" s="650"/>
      <c r="AW870" s="650"/>
      <c r="AX870" s="650"/>
      <c r="AY870" s="650"/>
    </row>
    <row r="871" ht="21.75" customHeight="1">
      <c r="A871" s="650"/>
      <c r="B871" s="650"/>
      <c r="C871" s="650"/>
      <c r="D871" s="650"/>
      <c r="E871" s="650"/>
      <c r="F871" s="650"/>
      <c r="G871" s="650"/>
      <c r="H871" s="650"/>
      <c r="I871" s="650"/>
      <c r="J871" s="650"/>
      <c r="K871" s="650"/>
      <c r="L871" s="650"/>
      <c r="M871" s="650"/>
      <c r="N871" s="650"/>
      <c r="O871" s="650"/>
      <c r="P871" s="650"/>
      <c r="Q871" s="650"/>
      <c r="R871" s="650"/>
      <c r="S871" s="650"/>
      <c r="T871" s="650"/>
      <c r="U871" s="650"/>
      <c r="V871" s="650"/>
      <c r="W871" s="650"/>
      <c r="X871" s="650"/>
      <c r="Y871" s="650"/>
      <c r="Z871" s="650"/>
      <c r="AA871" s="650"/>
      <c r="AB871" s="650"/>
      <c r="AC871" s="650"/>
      <c r="AD871" s="650"/>
      <c r="AE871" s="650"/>
      <c r="AF871" s="650"/>
      <c r="AG871" s="650"/>
      <c r="AH871" s="650"/>
      <c r="AI871" s="650"/>
      <c r="AJ871" s="650"/>
      <c r="AK871" s="650"/>
      <c r="AL871" s="650"/>
      <c r="AM871" s="650"/>
      <c r="AN871" s="650"/>
      <c r="AO871" s="650"/>
      <c r="AP871" s="650"/>
      <c r="AQ871" s="650"/>
      <c r="AR871" s="650"/>
      <c r="AS871" s="650"/>
      <c r="AT871" s="650"/>
      <c r="AU871" s="650"/>
      <c r="AV871" s="650"/>
      <c r="AW871" s="650"/>
      <c r="AX871" s="650"/>
      <c r="AY871" s="650"/>
    </row>
    <row r="872" ht="21.75" customHeight="1">
      <c r="A872" s="650"/>
      <c r="B872" s="650"/>
      <c r="C872" s="650"/>
      <c r="D872" s="650"/>
      <c r="E872" s="650"/>
      <c r="F872" s="650"/>
      <c r="G872" s="650"/>
      <c r="H872" s="650"/>
      <c r="I872" s="650"/>
      <c r="J872" s="650"/>
      <c r="K872" s="650"/>
      <c r="L872" s="650"/>
      <c r="M872" s="650"/>
      <c r="N872" s="650"/>
      <c r="O872" s="650"/>
      <c r="P872" s="650"/>
      <c r="Q872" s="650"/>
      <c r="R872" s="650"/>
      <c r="S872" s="650"/>
      <c r="T872" s="650"/>
      <c r="U872" s="650"/>
      <c r="V872" s="650"/>
      <c r="W872" s="650"/>
      <c r="X872" s="650"/>
      <c r="Y872" s="650"/>
      <c r="Z872" s="650"/>
      <c r="AA872" s="650"/>
      <c r="AB872" s="650"/>
      <c r="AC872" s="650"/>
      <c r="AD872" s="650"/>
      <c r="AE872" s="650"/>
      <c r="AF872" s="650"/>
      <c r="AG872" s="650"/>
      <c r="AH872" s="650"/>
      <c r="AI872" s="650"/>
      <c r="AJ872" s="650"/>
      <c r="AK872" s="650"/>
      <c r="AL872" s="650"/>
      <c r="AM872" s="650"/>
      <c r="AN872" s="650"/>
      <c r="AO872" s="650"/>
      <c r="AP872" s="650"/>
      <c r="AQ872" s="650"/>
      <c r="AR872" s="650"/>
      <c r="AS872" s="650"/>
      <c r="AT872" s="650"/>
      <c r="AU872" s="650"/>
      <c r="AV872" s="650"/>
      <c r="AW872" s="650"/>
      <c r="AX872" s="650"/>
      <c r="AY872" s="650"/>
    </row>
    <row r="873" ht="21.75" customHeight="1">
      <c r="A873" s="650"/>
      <c r="B873" s="650"/>
      <c r="C873" s="650"/>
      <c r="D873" s="650"/>
      <c r="E873" s="650"/>
      <c r="F873" s="650"/>
      <c r="G873" s="650"/>
      <c r="H873" s="650"/>
      <c r="I873" s="650"/>
      <c r="J873" s="650"/>
      <c r="K873" s="650"/>
      <c r="L873" s="650"/>
      <c r="M873" s="650"/>
      <c r="N873" s="650"/>
      <c r="O873" s="650"/>
      <c r="P873" s="650"/>
      <c r="Q873" s="650"/>
      <c r="R873" s="650"/>
      <c r="S873" s="650"/>
      <c r="T873" s="650"/>
      <c r="U873" s="650"/>
      <c r="V873" s="650"/>
      <c r="W873" s="650"/>
      <c r="X873" s="650"/>
      <c r="Y873" s="650"/>
      <c r="Z873" s="650"/>
      <c r="AA873" s="650"/>
      <c r="AB873" s="650"/>
      <c r="AC873" s="650"/>
      <c r="AD873" s="650"/>
      <c r="AE873" s="650"/>
      <c r="AF873" s="650"/>
      <c r="AG873" s="650"/>
      <c r="AH873" s="650"/>
      <c r="AI873" s="650"/>
      <c r="AJ873" s="650"/>
      <c r="AK873" s="650"/>
      <c r="AL873" s="650"/>
      <c r="AM873" s="650"/>
      <c r="AN873" s="650"/>
      <c r="AO873" s="650"/>
      <c r="AP873" s="650"/>
      <c r="AQ873" s="650"/>
      <c r="AR873" s="650"/>
      <c r="AS873" s="650"/>
      <c r="AT873" s="650"/>
      <c r="AU873" s="650"/>
      <c r="AV873" s="650"/>
      <c r="AW873" s="650"/>
      <c r="AX873" s="650"/>
      <c r="AY873" s="650"/>
    </row>
    <row r="874" ht="21.75" customHeight="1">
      <c r="A874" s="650"/>
      <c r="B874" s="650"/>
      <c r="C874" s="650"/>
      <c r="D874" s="650"/>
      <c r="E874" s="650"/>
      <c r="F874" s="650"/>
      <c r="G874" s="650"/>
      <c r="H874" s="650"/>
      <c r="I874" s="650"/>
      <c r="J874" s="650"/>
      <c r="K874" s="650"/>
      <c r="L874" s="650"/>
      <c r="M874" s="650"/>
      <c r="N874" s="650"/>
      <c r="O874" s="650"/>
      <c r="P874" s="650"/>
      <c r="Q874" s="650"/>
      <c r="R874" s="650"/>
      <c r="S874" s="650"/>
      <c r="T874" s="650"/>
      <c r="U874" s="650"/>
      <c r="V874" s="650"/>
      <c r="W874" s="650"/>
      <c r="X874" s="650"/>
      <c r="Y874" s="650"/>
      <c r="Z874" s="650"/>
      <c r="AA874" s="650"/>
      <c r="AB874" s="650"/>
      <c r="AC874" s="650"/>
      <c r="AD874" s="650"/>
      <c r="AE874" s="650"/>
      <c r="AF874" s="650"/>
      <c r="AG874" s="650"/>
      <c r="AH874" s="650"/>
      <c r="AI874" s="650"/>
      <c r="AJ874" s="650"/>
      <c r="AK874" s="650"/>
      <c r="AL874" s="650"/>
      <c r="AM874" s="650"/>
      <c r="AN874" s="650"/>
      <c r="AO874" s="650"/>
      <c r="AP874" s="650"/>
      <c r="AQ874" s="650"/>
      <c r="AR874" s="650"/>
      <c r="AS874" s="650"/>
      <c r="AT874" s="650"/>
      <c r="AU874" s="650"/>
      <c r="AV874" s="650"/>
      <c r="AW874" s="650"/>
      <c r="AX874" s="650"/>
      <c r="AY874" s="650"/>
    </row>
    <row r="875" ht="21.75" customHeight="1">
      <c r="A875" s="650"/>
      <c r="B875" s="650"/>
      <c r="C875" s="650"/>
      <c r="D875" s="650"/>
      <c r="E875" s="650"/>
      <c r="F875" s="650"/>
      <c r="G875" s="650"/>
      <c r="H875" s="650"/>
      <c r="I875" s="650"/>
      <c r="J875" s="650"/>
      <c r="K875" s="650"/>
      <c r="L875" s="650"/>
      <c r="M875" s="650"/>
      <c r="N875" s="650"/>
      <c r="O875" s="650"/>
      <c r="P875" s="650"/>
      <c r="Q875" s="650"/>
      <c r="R875" s="650"/>
      <c r="S875" s="650"/>
      <c r="T875" s="650"/>
      <c r="U875" s="650"/>
      <c r="V875" s="650"/>
      <c r="W875" s="650"/>
      <c r="X875" s="650"/>
      <c r="Y875" s="650"/>
      <c r="Z875" s="650"/>
      <c r="AA875" s="650"/>
      <c r="AB875" s="650"/>
      <c r="AC875" s="650"/>
      <c r="AD875" s="650"/>
      <c r="AE875" s="650"/>
      <c r="AF875" s="650"/>
      <c r="AG875" s="650"/>
      <c r="AH875" s="650"/>
      <c r="AI875" s="650"/>
      <c r="AJ875" s="650"/>
      <c r="AK875" s="650"/>
      <c r="AL875" s="650"/>
      <c r="AM875" s="650"/>
      <c r="AN875" s="650"/>
      <c r="AO875" s="650"/>
      <c r="AP875" s="650"/>
      <c r="AQ875" s="650"/>
      <c r="AR875" s="650"/>
      <c r="AS875" s="650"/>
      <c r="AT875" s="650"/>
      <c r="AU875" s="650"/>
      <c r="AV875" s="650"/>
      <c r="AW875" s="650"/>
      <c r="AX875" s="650"/>
      <c r="AY875" s="650"/>
    </row>
    <row r="876" ht="21.75" customHeight="1">
      <c r="A876" s="650"/>
      <c r="B876" s="650"/>
      <c r="C876" s="650"/>
      <c r="D876" s="650"/>
      <c r="E876" s="650"/>
      <c r="F876" s="650"/>
      <c r="G876" s="650"/>
      <c r="H876" s="650"/>
      <c r="I876" s="650"/>
      <c r="J876" s="650"/>
      <c r="K876" s="650"/>
      <c r="L876" s="650"/>
      <c r="M876" s="650"/>
      <c r="N876" s="650"/>
      <c r="O876" s="650"/>
      <c r="P876" s="650"/>
      <c r="Q876" s="650"/>
      <c r="R876" s="650"/>
      <c r="S876" s="650"/>
      <c r="T876" s="650"/>
      <c r="U876" s="650"/>
      <c r="V876" s="650"/>
      <c r="W876" s="650"/>
      <c r="X876" s="650"/>
      <c r="Y876" s="650"/>
      <c r="Z876" s="650"/>
      <c r="AA876" s="650"/>
      <c r="AB876" s="650"/>
      <c r="AC876" s="650"/>
      <c r="AD876" s="650"/>
      <c r="AE876" s="650"/>
      <c r="AF876" s="650"/>
      <c r="AG876" s="650"/>
      <c r="AH876" s="650"/>
      <c r="AI876" s="650"/>
      <c r="AJ876" s="650"/>
      <c r="AK876" s="650"/>
      <c r="AL876" s="650"/>
      <c r="AM876" s="650"/>
      <c r="AN876" s="650"/>
      <c r="AO876" s="650"/>
      <c r="AP876" s="650"/>
      <c r="AQ876" s="650"/>
      <c r="AR876" s="650"/>
      <c r="AS876" s="650"/>
      <c r="AT876" s="650"/>
      <c r="AU876" s="650"/>
      <c r="AV876" s="650"/>
      <c r="AW876" s="650"/>
      <c r="AX876" s="650"/>
      <c r="AY876" s="650"/>
    </row>
    <row r="877" ht="21.75" customHeight="1">
      <c r="A877" s="650"/>
      <c r="B877" s="650"/>
      <c r="C877" s="650"/>
      <c r="D877" s="650"/>
      <c r="E877" s="650"/>
      <c r="F877" s="650"/>
      <c r="G877" s="650"/>
      <c r="H877" s="650"/>
      <c r="I877" s="650"/>
      <c r="J877" s="650"/>
      <c r="K877" s="650"/>
      <c r="L877" s="650"/>
      <c r="M877" s="650"/>
      <c r="N877" s="650"/>
      <c r="O877" s="650"/>
      <c r="P877" s="650"/>
      <c r="Q877" s="650"/>
      <c r="R877" s="650"/>
      <c r="S877" s="650"/>
      <c r="T877" s="650"/>
      <c r="U877" s="650"/>
      <c r="V877" s="650"/>
      <c r="W877" s="650"/>
      <c r="X877" s="650"/>
      <c r="Y877" s="650"/>
      <c r="Z877" s="650"/>
      <c r="AA877" s="650"/>
      <c r="AB877" s="650"/>
      <c r="AC877" s="650"/>
      <c r="AD877" s="650"/>
      <c r="AE877" s="650"/>
      <c r="AF877" s="650"/>
      <c r="AG877" s="650"/>
      <c r="AH877" s="650"/>
      <c r="AI877" s="650"/>
      <c r="AJ877" s="650"/>
      <c r="AK877" s="650"/>
      <c r="AL877" s="650"/>
      <c r="AM877" s="650"/>
      <c r="AN877" s="650"/>
      <c r="AO877" s="650"/>
      <c r="AP877" s="650"/>
      <c r="AQ877" s="650"/>
      <c r="AR877" s="650"/>
      <c r="AS877" s="650"/>
      <c r="AT877" s="650"/>
      <c r="AU877" s="650"/>
      <c r="AV877" s="650"/>
      <c r="AW877" s="650"/>
      <c r="AX877" s="650"/>
      <c r="AY877" s="650"/>
    </row>
    <row r="878" ht="21.75" customHeight="1">
      <c r="A878" s="650"/>
      <c r="B878" s="650"/>
      <c r="C878" s="650"/>
      <c r="D878" s="650"/>
      <c r="E878" s="650"/>
      <c r="F878" s="650"/>
      <c r="G878" s="650"/>
      <c r="H878" s="650"/>
      <c r="I878" s="650"/>
      <c r="J878" s="650"/>
      <c r="K878" s="650"/>
      <c r="L878" s="650"/>
      <c r="M878" s="650"/>
      <c r="N878" s="650"/>
      <c r="O878" s="650"/>
      <c r="P878" s="650"/>
      <c r="Q878" s="650"/>
      <c r="R878" s="650"/>
      <c r="S878" s="650"/>
      <c r="T878" s="650"/>
      <c r="U878" s="650"/>
      <c r="V878" s="650"/>
      <c r="W878" s="650"/>
      <c r="X878" s="650"/>
      <c r="Y878" s="650"/>
      <c r="Z878" s="650"/>
      <c r="AA878" s="650"/>
      <c r="AB878" s="650"/>
      <c r="AC878" s="650"/>
      <c r="AD878" s="650"/>
      <c r="AE878" s="650"/>
      <c r="AF878" s="650"/>
      <c r="AG878" s="650"/>
      <c r="AH878" s="650"/>
      <c r="AI878" s="650"/>
      <c r="AJ878" s="650"/>
      <c r="AK878" s="650"/>
      <c r="AL878" s="650"/>
      <c r="AM878" s="650"/>
      <c r="AN878" s="650"/>
      <c r="AO878" s="650"/>
      <c r="AP878" s="650"/>
      <c r="AQ878" s="650"/>
      <c r="AR878" s="650"/>
      <c r="AS878" s="650"/>
      <c r="AT878" s="650"/>
      <c r="AU878" s="650"/>
      <c r="AV878" s="650"/>
      <c r="AW878" s="650"/>
      <c r="AX878" s="650"/>
      <c r="AY878" s="650"/>
    </row>
    <row r="879" ht="21.75" customHeight="1">
      <c r="A879" s="650"/>
      <c r="B879" s="650"/>
      <c r="C879" s="650"/>
      <c r="D879" s="650"/>
      <c r="E879" s="650"/>
      <c r="F879" s="650"/>
      <c r="G879" s="650"/>
      <c r="H879" s="650"/>
      <c r="I879" s="650"/>
      <c r="J879" s="650"/>
      <c r="K879" s="650"/>
      <c r="L879" s="650"/>
      <c r="M879" s="650"/>
      <c r="N879" s="650"/>
      <c r="O879" s="650"/>
      <c r="P879" s="650"/>
      <c r="Q879" s="650"/>
      <c r="R879" s="650"/>
      <c r="S879" s="650"/>
      <c r="T879" s="650"/>
      <c r="U879" s="650"/>
      <c r="V879" s="650"/>
      <c r="W879" s="650"/>
      <c r="X879" s="650"/>
      <c r="Y879" s="650"/>
      <c r="Z879" s="650"/>
      <c r="AA879" s="650"/>
      <c r="AB879" s="650"/>
      <c r="AC879" s="650"/>
      <c r="AD879" s="650"/>
      <c r="AE879" s="650"/>
      <c r="AF879" s="650"/>
      <c r="AG879" s="650"/>
      <c r="AH879" s="650"/>
      <c r="AI879" s="650"/>
      <c r="AJ879" s="650"/>
      <c r="AK879" s="650"/>
      <c r="AL879" s="650"/>
      <c r="AM879" s="650"/>
      <c r="AN879" s="650"/>
      <c r="AO879" s="650"/>
      <c r="AP879" s="650"/>
      <c r="AQ879" s="650"/>
      <c r="AR879" s="650"/>
      <c r="AS879" s="650"/>
      <c r="AT879" s="650"/>
      <c r="AU879" s="650"/>
      <c r="AV879" s="650"/>
      <c r="AW879" s="650"/>
      <c r="AX879" s="650"/>
      <c r="AY879" s="650"/>
    </row>
    <row r="880" ht="21.75" customHeight="1">
      <c r="A880" s="650"/>
      <c r="B880" s="650"/>
      <c r="C880" s="650"/>
      <c r="D880" s="650"/>
      <c r="E880" s="650"/>
      <c r="F880" s="650"/>
      <c r="G880" s="650"/>
      <c r="H880" s="650"/>
      <c r="I880" s="650"/>
      <c r="J880" s="650"/>
      <c r="K880" s="650"/>
      <c r="L880" s="650"/>
      <c r="M880" s="650"/>
      <c r="N880" s="650"/>
      <c r="O880" s="650"/>
      <c r="P880" s="650"/>
      <c r="Q880" s="650"/>
      <c r="R880" s="650"/>
      <c r="S880" s="650"/>
      <c r="T880" s="650"/>
      <c r="U880" s="650"/>
      <c r="V880" s="650"/>
      <c r="W880" s="650"/>
      <c r="X880" s="650"/>
      <c r="Y880" s="650"/>
      <c r="Z880" s="650"/>
      <c r="AA880" s="650"/>
      <c r="AB880" s="650"/>
      <c r="AC880" s="650"/>
      <c r="AD880" s="650"/>
      <c r="AE880" s="650"/>
      <c r="AF880" s="650"/>
      <c r="AG880" s="650"/>
      <c r="AH880" s="650"/>
      <c r="AI880" s="650"/>
      <c r="AJ880" s="650"/>
      <c r="AK880" s="650"/>
      <c r="AL880" s="650"/>
      <c r="AM880" s="650"/>
      <c r="AN880" s="650"/>
      <c r="AO880" s="650"/>
      <c r="AP880" s="650"/>
      <c r="AQ880" s="650"/>
      <c r="AR880" s="650"/>
      <c r="AS880" s="650"/>
      <c r="AT880" s="650"/>
      <c r="AU880" s="650"/>
      <c r="AV880" s="650"/>
      <c r="AW880" s="650"/>
      <c r="AX880" s="650"/>
      <c r="AY880" s="650"/>
    </row>
    <row r="881" ht="21.75" customHeight="1">
      <c r="A881" s="650"/>
      <c r="B881" s="650"/>
      <c r="C881" s="650"/>
      <c r="D881" s="650"/>
      <c r="E881" s="650"/>
      <c r="F881" s="650"/>
      <c r="G881" s="650"/>
      <c r="H881" s="650"/>
      <c r="I881" s="650"/>
      <c r="J881" s="650"/>
      <c r="K881" s="650"/>
      <c r="L881" s="650"/>
      <c r="M881" s="650"/>
      <c r="N881" s="650"/>
      <c r="O881" s="650"/>
      <c r="P881" s="650"/>
      <c r="Q881" s="650"/>
      <c r="R881" s="650"/>
      <c r="S881" s="650"/>
      <c r="T881" s="650"/>
      <c r="U881" s="650"/>
      <c r="V881" s="650"/>
      <c r="W881" s="650"/>
      <c r="X881" s="650"/>
      <c r="Y881" s="650"/>
      <c r="Z881" s="650"/>
      <c r="AA881" s="650"/>
      <c r="AB881" s="650"/>
      <c r="AC881" s="650"/>
      <c r="AD881" s="650"/>
      <c r="AE881" s="650"/>
      <c r="AF881" s="650"/>
      <c r="AG881" s="650"/>
      <c r="AH881" s="650"/>
      <c r="AI881" s="650"/>
      <c r="AJ881" s="650"/>
      <c r="AK881" s="650"/>
      <c r="AL881" s="650"/>
      <c r="AM881" s="650"/>
      <c r="AN881" s="650"/>
      <c r="AO881" s="650"/>
      <c r="AP881" s="650"/>
      <c r="AQ881" s="650"/>
      <c r="AR881" s="650"/>
      <c r="AS881" s="650"/>
      <c r="AT881" s="650"/>
      <c r="AU881" s="650"/>
      <c r="AV881" s="650"/>
      <c r="AW881" s="650"/>
      <c r="AX881" s="650"/>
      <c r="AY881" s="650"/>
    </row>
    <row r="882" ht="21.75" customHeight="1">
      <c r="A882" s="650"/>
      <c r="B882" s="650"/>
      <c r="C882" s="650"/>
      <c r="D882" s="650"/>
      <c r="E882" s="650"/>
      <c r="F882" s="650"/>
      <c r="G882" s="650"/>
      <c r="H882" s="650"/>
      <c r="I882" s="650"/>
      <c r="J882" s="650"/>
      <c r="K882" s="650"/>
      <c r="L882" s="650"/>
      <c r="M882" s="650"/>
      <c r="N882" s="650"/>
      <c r="O882" s="650"/>
      <c r="P882" s="650"/>
      <c r="Q882" s="650"/>
      <c r="R882" s="650"/>
      <c r="S882" s="650"/>
      <c r="T882" s="650"/>
      <c r="U882" s="650"/>
      <c r="V882" s="650"/>
      <c r="W882" s="650"/>
      <c r="X882" s="650"/>
      <c r="Y882" s="650"/>
      <c r="Z882" s="650"/>
      <c r="AA882" s="650"/>
      <c r="AB882" s="650"/>
      <c r="AC882" s="650"/>
      <c r="AD882" s="650"/>
      <c r="AE882" s="650"/>
      <c r="AF882" s="650"/>
      <c r="AG882" s="650"/>
      <c r="AH882" s="650"/>
      <c r="AI882" s="650"/>
      <c r="AJ882" s="650"/>
      <c r="AK882" s="650"/>
      <c r="AL882" s="650"/>
      <c r="AM882" s="650"/>
      <c r="AN882" s="650"/>
      <c r="AO882" s="650"/>
      <c r="AP882" s="650"/>
      <c r="AQ882" s="650"/>
      <c r="AR882" s="650"/>
      <c r="AS882" s="650"/>
      <c r="AT882" s="650"/>
      <c r="AU882" s="650"/>
      <c r="AV882" s="650"/>
      <c r="AW882" s="650"/>
      <c r="AX882" s="650"/>
      <c r="AY882" s="650"/>
    </row>
    <row r="883" ht="21.75" customHeight="1">
      <c r="A883" s="650"/>
      <c r="B883" s="650"/>
      <c r="C883" s="650"/>
      <c r="D883" s="650"/>
      <c r="E883" s="650"/>
      <c r="F883" s="650"/>
      <c r="G883" s="650"/>
      <c r="H883" s="650"/>
      <c r="I883" s="650"/>
      <c r="J883" s="650"/>
      <c r="K883" s="650"/>
      <c r="L883" s="650"/>
      <c r="M883" s="650"/>
      <c r="N883" s="650"/>
      <c r="O883" s="650"/>
      <c r="P883" s="650"/>
      <c r="Q883" s="650"/>
      <c r="R883" s="650"/>
      <c r="S883" s="650"/>
      <c r="T883" s="650"/>
      <c r="U883" s="650"/>
      <c r="V883" s="650"/>
      <c r="W883" s="650"/>
      <c r="X883" s="650"/>
      <c r="Y883" s="650"/>
      <c r="Z883" s="650"/>
      <c r="AA883" s="650"/>
      <c r="AB883" s="650"/>
      <c r="AC883" s="650"/>
      <c r="AD883" s="650"/>
      <c r="AE883" s="650"/>
      <c r="AF883" s="650"/>
      <c r="AG883" s="650"/>
      <c r="AH883" s="650"/>
      <c r="AI883" s="650"/>
      <c r="AJ883" s="650"/>
      <c r="AK883" s="650"/>
      <c r="AL883" s="650"/>
      <c r="AM883" s="650"/>
      <c r="AN883" s="650"/>
      <c r="AO883" s="650"/>
      <c r="AP883" s="650"/>
      <c r="AQ883" s="650"/>
      <c r="AR883" s="650"/>
      <c r="AS883" s="650"/>
      <c r="AT883" s="650"/>
      <c r="AU883" s="650"/>
      <c r="AV883" s="650"/>
      <c r="AW883" s="650"/>
      <c r="AX883" s="650"/>
      <c r="AY883" s="650"/>
    </row>
    <row r="884" ht="21.75" customHeight="1">
      <c r="A884" s="650"/>
      <c r="B884" s="650"/>
      <c r="C884" s="650"/>
      <c r="D884" s="650"/>
      <c r="E884" s="650"/>
      <c r="F884" s="650"/>
      <c r="G884" s="650"/>
      <c r="H884" s="650"/>
      <c r="I884" s="650"/>
      <c r="J884" s="650"/>
      <c r="K884" s="650"/>
      <c r="L884" s="650"/>
      <c r="M884" s="650"/>
      <c r="N884" s="650"/>
      <c r="O884" s="650"/>
      <c r="P884" s="650"/>
      <c r="Q884" s="650"/>
      <c r="R884" s="650"/>
      <c r="S884" s="650"/>
      <c r="T884" s="650"/>
      <c r="U884" s="650"/>
      <c r="V884" s="650"/>
      <c r="W884" s="650"/>
      <c r="X884" s="650"/>
      <c r="Y884" s="650"/>
      <c r="Z884" s="650"/>
      <c r="AA884" s="650"/>
      <c r="AB884" s="650"/>
      <c r="AC884" s="650"/>
      <c r="AD884" s="650"/>
      <c r="AE884" s="650"/>
      <c r="AF884" s="650"/>
      <c r="AG884" s="650"/>
      <c r="AH884" s="650"/>
      <c r="AI884" s="650"/>
      <c r="AJ884" s="650"/>
      <c r="AK884" s="650"/>
      <c r="AL884" s="650"/>
      <c r="AM884" s="650"/>
      <c r="AN884" s="650"/>
      <c r="AO884" s="650"/>
      <c r="AP884" s="650"/>
      <c r="AQ884" s="650"/>
      <c r="AR884" s="650"/>
      <c r="AS884" s="650"/>
      <c r="AT884" s="650"/>
      <c r="AU884" s="650"/>
      <c r="AV884" s="650"/>
      <c r="AW884" s="650"/>
      <c r="AX884" s="650"/>
      <c r="AY884" s="650"/>
    </row>
    <row r="885" ht="21.75" customHeight="1">
      <c r="A885" s="650"/>
      <c r="B885" s="650"/>
      <c r="C885" s="650"/>
      <c r="D885" s="650"/>
      <c r="E885" s="650"/>
      <c r="F885" s="650"/>
      <c r="G885" s="650"/>
      <c r="H885" s="650"/>
      <c r="I885" s="650"/>
      <c r="J885" s="650"/>
      <c r="K885" s="650"/>
      <c r="L885" s="650"/>
      <c r="M885" s="650"/>
      <c r="N885" s="650"/>
      <c r="O885" s="650"/>
      <c r="P885" s="650"/>
      <c r="Q885" s="650"/>
      <c r="R885" s="650"/>
      <c r="S885" s="650"/>
      <c r="T885" s="650"/>
      <c r="U885" s="650"/>
      <c r="V885" s="650"/>
      <c r="W885" s="650"/>
      <c r="X885" s="650"/>
      <c r="Y885" s="650"/>
      <c r="Z885" s="650"/>
      <c r="AA885" s="650"/>
      <c r="AB885" s="650"/>
      <c r="AC885" s="650"/>
      <c r="AD885" s="650"/>
      <c r="AE885" s="650"/>
      <c r="AF885" s="650"/>
      <c r="AG885" s="650"/>
      <c r="AH885" s="650"/>
      <c r="AI885" s="650"/>
      <c r="AJ885" s="650"/>
      <c r="AK885" s="650"/>
      <c r="AL885" s="650"/>
      <c r="AM885" s="650"/>
      <c r="AN885" s="650"/>
      <c r="AO885" s="650"/>
      <c r="AP885" s="650"/>
      <c r="AQ885" s="650"/>
      <c r="AR885" s="650"/>
      <c r="AS885" s="650"/>
      <c r="AT885" s="650"/>
      <c r="AU885" s="650"/>
      <c r="AV885" s="650"/>
      <c r="AW885" s="650"/>
      <c r="AX885" s="650"/>
      <c r="AY885" s="650"/>
    </row>
    <row r="886" ht="21.75" customHeight="1">
      <c r="A886" s="650"/>
      <c r="B886" s="650"/>
      <c r="C886" s="650"/>
      <c r="D886" s="650"/>
      <c r="E886" s="650"/>
      <c r="F886" s="650"/>
      <c r="G886" s="650"/>
      <c r="H886" s="650"/>
      <c r="I886" s="650"/>
      <c r="J886" s="650"/>
      <c r="K886" s="650"/>
      <c r="L886" s="650"/>
      <c r="M886" s="650"/>
      <c r="N886" s="650"/>
      <c r="O886" s="650"/>
      <c r="P886" s="650"/>
      <c r="Q886" s="650"/>
      <c r="R886" s="650"/>
      <c r="S886" s="650"/>
      <c r="T886" s="650"/>
      <c r="U886" s="650"/>
      <c r="V886" s="650"/>
      <c r="W886" s="650"/>
      <c r="X886" s="650"/>
      <c r="Y886" s="650"/>
      <c r="Z886" s="650"/>
      <c r="AA886" s="650"/>
      <c r="AB886" s="650"/>
      <c r="AC886" s="650"/>
      <c r="AD886" s="650"/>
      <c r="AE886" s="650"/>
      <c r="AF886" s="650"/>
      <c r="AG886" s="650"/>
      <c r="AH886" s="650"/>
      <c r="AI886" s="650"/>
      <c r="AJ886" s="650"/>
      <c r="AK886" s="650"/>
      <c r="AL886" s="650"/>
      <c r="AM886" s="650"/>
      <c r="AN886" s="650"/>
      <c r="AO886" s="650"/>
      <c r="AP886" s="650"/>
      <c r="AQ886" s="650"/>
      <c r="AR886" s="650"/>
      <c r="AS886" s="650"/>
      <c r="AT886" s="650"/>
      <c r="AU886" s="650"/>
      <c r="AV886" s="650"/>
      <c r="AW886" s="650"/>
      <c r="AX886" s="650"/>
      <c r="AY886" s="650"/>
    </row>
    <row r="887" ht="21.75" customHeight="1">
      <c r="A887" s="650"/>
      <c r="B887" s="650"/>
      <c r="C887" s="650"/>
      <c r="D887" s="650"/>
      <c r="E887" s="650"/>
      <c r="F887" s="650"/>
      <c r="G887" s="650"/>
      <c r="H887" s="650"/>
      <c r="I887" s="650"/>
      <c r="J887" s="650"/>
      <c r="K887" s="650"/>
      <c r="L887" s="650"/>
      <c r="M887" s="650"/>
      <c r="N887" s="650"/>
      <c r="O887" s="650"/>
      <c r="P887" s="650"/>
      <c r="Q887" s="650"/>
      <c r="R887" s="650"/>
      <c r="S887" s="650"/>
      <c r="T887" s="650"/>
      <c r="U887" s="650"/>
      <c r="V887" s="650"/>
      <c r="W887" s="650"/>
      <c r="X887" s="650"/>
      <c r="Y887" s="650"/>
      <c r="Z887" s="650"/>
      <c r="AA887" s="650"/>
      <c r="AB887" s="650"/>
      <c r="AC887" s="650"/>
      <c r="AD887" s="650"/>
      <c r="AE887" s="650"/>
      <c r="AF887" s="650"/>
      <c r="AG887" s="650"/>
      <c r="AH887" s="650"/>
      <c r="AI887" s="650"/>
      <c r="AJ887" s="650"/>
      <c r="AK887" s="650"/>
      <c r="AL887" s="650"/>
      <c r="AM887" s="650"/>
      <c r="AN887" s="650"/>
      <c r="AO887" s="650"/>
      <c r="AP887" s="650"/>
      <c r="AQ887" s="650"/>
      <c r="AR887" s="650"/>
      <c r="AS887" s="650"/>
      <c r="AT887" s="650"/>
      <c r="AU887" s="650"/>
      <c r="AV887" s="650"/>
      <c r="AW887" s="650"/>
      <c r="AX887" s="650"/>
      <c r="AY887" s="650"/>
    </row>
    <row r="888" ht="21.75" customHeight="1">
      <c r="A888" s="650"/>
      <c r="B888" s="650"/>
      <c r="C888" s="650"/>
      <c r="D888" s="650"/>
      <c r="E888" s="650"/>
      <c r="F888" s="650"/>
      <c r="G888" s="650"/>
      <c r="H888" s="650"/>
      <c r="I888" s="650"/>
      <c r="J888" s="650"/>
      <c r="K888" s="650"/>
      <c r="L888" s="650"/>
      <c r="M888" s="650"/>
      <c r="N888" s="650"/>
      <c r="O888" s="650"/>
      <c r="P888" s="650"/>
      <c r="Q888" s="650"/>
      <c r="R888" s="650"/>
      <c r="S888" s="650"/>
      <c r="T888" s="650"/>
      <c r="U888" s="650"/>
      <c r="V888" s="650"/>
      <c r="W888" s="650"/>
      <c r="X888" s="650"/>
      <c r="Y888" s="650"/>
      <c r="Z888" s="650"/>
      <c r="AA888" s="650"/>
      <c r="AB888" s="650"/>
      <c r="AC888" s="650"/>
      <c r="AD888" s="650"/>
      <c r="AE888" s="650"/>
      <c r="AF888" s="650"/>
      <c r="AG888" s="650"/>
      <c r="AH888" s="650"/>
      <c r="AI888" s="650"/>
      <c r="AJ888" s="650"/>
      <c r="AK888" s="650"/>
      <c r="AL888" s="650"/>
      <c r="AM888" s="650"/>
      <c r="AN888" s="650"/>
      <c r="AO888" s="650"/>
      <c r="AP888" s="650"/>
      <c r="AQ888" s="650"/>
      <c r="AR888" s="650"/>
      <c r="AS888" s="650"/>
      <c r="AT888" s="650"/>
      <c r="AU888" s="650"/>
      <c r="AV888" s="650"/>
      <c r="AW888" s="650"/>
      <c r="AX888" s="650"/>
      <c r="AY888" s="650"/>
    </row>
    <row r="889" ht="21.75" customHeight="1">
      <c r="A889" s="650"/>
      <c r="B889" s="650"/>
      <c r="C889" s="650"/>
      <c r="D889" s="650"/>
      <c r="E889" s="650"/>
      <c r="F889" s="650"/>
      <c r="G889" s="650"/>
      <c r="H889" s="650"/>
      <c r="I889" s="650"/>
      <c r="J889" s="650"/>
      <c r="K889" s="650"/>
      <c r="L889" s="650"/>
      <c r="M889" s="650"/>
      <c r="N889" s="650"/>
      <c r="O889" s="650"/>
      <c r="P889" s="650"/>
      <c r="Q889" s="650"/>
      <c r="R889" s="650"/>
      <c r="S889" s="650"/>
      <c r="T889" s="650"/>
      <c r="U889" s="650"/>
      <c r="V889" s="650"/>
      <c r="W889" s="650"/>
      <c r="X889" s="650"/>
      <c r="Y889" s="650"/>
      <c r="Z889" s="650"/>
      <c r="AA889" s="650"/>
      <c r="AB889" s="650"/>
      <c r="AC889" s="650"/>
      <c r="AD889" s="650"/>
      <c r="AE889" s="650"/>
      <c r="AF889" s="650"/>
      <c r="AG889" s="650"/>
      <c r="AH889" s="650"/>
      <c r="AI889" s="650"/>
      <c r="AJ889" s="650"/>
      <c r="AK889" s="650"/>
      <c r="AL889" s="650"/>
      <c r="AM889" s="650"/>
      <c r="AN889" s="650"/>
      <c r="AO889" s="650"/>
      <c r="AP889" s="650"/>
      <c r="AQ889" s="650"/>
      <c r="AR889" s="650"/>
      <c r="AS889" s="650"/>
      <c r="AT889" s="650"/>
      <c r="AU889" s="650"/>
      <c r="AV889" s="650"/>
      <c r="AW889" s="650"/>
      <c r="AX889" s="650"/>
      <c r="AY889" s="650"/>
    </row>
    <row r="890" ht="21.75" customHeight="1">
      <c r="A890" s="650"/>
      <c r="B890" s="650"/>
      <c r="C890" s="650"/>
      <c r="D890" s="650"/>
      <c r="E890" s="650"/>
      <c r="F890" s="650"/>
      <c r="G890" s="650"/>
      <c r="H890" s="650"/>
      <c r="I890" s="650"/>
      <c r="J890" s="650"/>
      <c r="K890" s="650"/>
      <c r="L890" s="650"/>
      <c r="M890" s="650"/>
      <c r="N890" s="650"/>
      <c r="O890" s="650"/>
      <c r="P890" s="650"/>
      <c r="Q890" s="650"/>
      <c r="R890" s="650"/>
      <c r="S890" s="650"/>
      <c r="T890" s="650"/>
      <c r="U890" s="650"/>
      <c r="V890" s="650"/>
      <c r="W890" s="650"/>
      <c r="X890" s="650"/>
      <c r="Y890" s="650"/>
      <c r="Z890" s="650"/>
      <c r="AA890" s="650"/>
      <c r="AB890" s="650"/>
      <c r="AC890" s="650"/>
      <c r="AD890" s="650"/>
      <c r="AE890" s="650"/>
      <c r="AF890" s="650"/>
      <c r="AG890" s="650"/>
      <c r="AH890" s="650"/>
      <c r="AI890" s="650"/>
      <c r="AJ890" s="650"/>
      <c r="AK890" s="650"/>
      <c r="AL890" s="650"/>
      <c r="AM890" s="650"/>
      <c r="AN890" s="650"/>
      <c r="AO890" s="650"/>
      <c r="AP890" s="650"/>
      <c r="AQ890" s="650"/>
      <c r="AR890" s="650"/>
      <c r="AS890" s="650"/>
      <c r="AT890" s="650"/>
      <c r="AU890" s="650"/>
      <c r="AV890" s="650"/>
      <c r="AW890" s="650"/>
      <c r="AX890" s="650"/>
      <c r="AY890" s="650"/>
    </row>
    <row r="891" ht="21.75" customHeight="1">
      <c r="A891" s="650"/>
      <c r="B891" s="650"/>
      <c r="C891" s="650"/>
      <c r="D891" s="650"/>
      <c r="E891" s="650"/>
      <c r="F891" s="650"/>
      <c r="G891" s="650"/>
      <c r="H891" s="650"/>
      <c r="I891" s="650"/>
      <c r="J891" s="650"/>
      <c r="K891" s="650"/>
      <c r="L891" s="650"/>
      <c r="M891" s="650"/>
      <c r="N891" s="650"/>
      <c r="O891" s="650"/>
      <c r="P891" s="650"/>
      <c r="Q891" s="650"/>
      <c r="R891" s="650"/>
      <c r="S891" s="650"/>
      <c r="T891" s="650"/>
      <c r="U891" s="650"/>
      <c r="V891" s="650"/>
      <c r="W891" s="650"/>
      <c r="X891" s="650"/>
      <c r="Y891" s="650"/>
      <c r="Z891" s="650"/>
      <c r="AA891" s="650"/>
      <c r="AB891" s="650"/>
      <c r="AC891" s="650"/>
      <c r="AD891" s="650"/>
      <c r="AE891" s="650"/>
      <c r="AF891" s="650"/>
      <c r="AG891" s="650"/>
      <c r="AH891" s="650"/>
      <c r="AI891" s="650"/>
      <c r="AJ891" s="650"/>
      <c r="AK891" s="650"/>
      <c r="AL891" s="650"/>
      <c r="AM891" s="650"/>
      <c r="AN891" s="650"/>
      <c r="AO891" s="650"/>
      <c r="AP891" s="650"/>
      <c r="AQ891" s="650"/>
      <c r="AR891" s="650"/>
      <c r="AS891" s="650"/>
      <c r="AT891" s="650"/>
      <c r="AU891" s="650"/>
      <c r="AV891" s="650"/>
      <c r="AW891" s="650"/>
      <c r="AX891" s="650"/>
      <c r="AY891" s="650"/>
    </row>
    <row r="892" ht="21.75" customHeight="1">
      <c r="A892" s="650"/>
      <c r="B892" s="650"/>
      <c r="C892" s="650"/>
      <c r="D892" s="650"/>
      <c r="E892" s="650"/>
      <c r="F892" s="650"/>
      <c r="G892" s="650"/>
      <c r="H892" s="650"/>
      <c r="I892" s="650"/>
      <c r="J892" s="650"/>
      <c r="K892" s="650"/>
      <c r="L892" s="650"/>
      <c r="M892" s="650"/>
      <c r="N892" s="650"/>
      <c r="O892" s="650"/>
      <c r="P892" s="650"/>
      <c r="Q892" s="650"/>
      <c r="R892" s="650"/>
      <c r="S892" s="650"/>
      <c r="T892" s="650"/>
      <c r="U892" s="650"/>
      <c r="V892" s="650"/>
      <c r="W892" s="650"/>
      <c r="X892" s="650"/>
      <c r="Y892" s="650"/>
      <c r="Z892" s="650"/>
      <c r="AA892" s="650"/>
      <c r="AB892" s="650"/>
      <c r="AC892" s="650"/>
      <c r="AD892" s="650"/>
      <c r="AE892" s="650"/>
      <c r="AF892" s="650"/>
      <c r="AG892" s="650"/>
      <c r="AH892" s="650"/>
      <c r="AI892" s="650"/>
      <c r="AJ892" s="650"/>
      <c r="AK892" s="650"/>
      <c r="AL892" s="650"/>
      <c r="AM892" s="650"/>
      <c r="AN892" s="650"/>
      <c r="AO892" s="650"/>
      <c r="AP892" s="650"/>
      <c r="AQ892" s="650"/>
      <c r="AR892" s="650"/>
      <c r="AS892" s="650"/>
      <c r="AT892" s="650"/>
      <c r="AU892" s="650"/>
      <c r="AV892" s="650"/>
      <c r="AW892" s="650"/>
      <c r="AX892" s="650"/>
      <c r="AY892" s="650"/>
    </row>
    <row r="893" ht="21.75" customHeight="1">
      <c r="A893" s="650"/>
      <c r="B893" s="650"/>
      <c r="C893" s="650"/>
      <c r="D893" s="650"/>
      <c r="E893" s="650"/>
      <c r="F893" s="650"/>
      <c r="G893" s="650"/>
      <c r="H893" s="650"/>
      <c r="I893" s="650"/>
      <c r="J893" s="650"/>
      <c r="K893" s="650"/>
      <c r="L893" s="650"/>
      <c r="M893" s="650"/>
      <c r="N893" s="650"/>
      <c r="O893" s="650"/>
      <c r="P893" s="650"/>
      <c r="Q893" s="650"/>
      <c r="R893" s="650"/>
      <c r="S893" s="650"/>
      <c r="T893" s="650"/>
      <c r="U893" s="650"/>
      <c r="V893" s="650"/>
      <c r="W893" s="650"/>
      <c r="X893" s="650"/>
      <c r="Y893" s="650"/>
      <c r="Z893" s="650"/>
      <c r="AA893" s="650"/>
      <c r="AB893" s="650"/>
      <c r="AC893" s="650"/>
      <c r="AD893" s="650"/>
      <c r="AE893" s="650"/>
      <c r="AF893" s="650"/>
      <c r="AG893" s="650"/>
      <c r="AH893" s="650"/>
      <c r="AI893" s="650"/>
      <c r="AJ893" s="650"/>
      <c r="AK893" s="650"/>
      <c r="AL893" s="650"/>
      <c r="AM893" s="650"/>
      <c r="AN893" s="650"/>
      <c r="AO893" s="650"/>
      <c r="AP893" s="650"/>
      <c r="AQ893" s="650"/>
      <c r="AR893" s="650"/>
      <c r="AS893" s="650"/>
      <c r="AT893" s="650"/>
      <c r="AU893" s="650"/>
      <c r="AV893" s="650"/>
      <c r="AW893" s="650"/>
      <c r="AX893" s="650"/>
      <c r="AY893" s="650"/>
    </row>
    <row r="894" ht="21.75" customHeight="1">
      <c r="A894" s="650"/>
      <c r="B894" s="650"/>
      <c r="C894" s="650"/>
      <c r="D894" s="650"/>
      <c r="E894" s="650"/>
      <c r="F894" s="650"/>
      <c r="G894" s="650"/>
      <c r="H894" s="650"/>
      <c r="I894" s="650"/>
      <c r="J894" s="650"/>
      <c r="K894" s="650"/>
      <c r="L894" s="650"/>
      <c r="M894" s="650"/>
      <c r="N894" s="650"/>
      <c r="O894" s="650"/>
      <c r="P894" s="650"/>
      <c r="Q894" s="650"/>
      <c r="R894" s="650"/>
      <c r="S894" s="650"/>
      <c r="T894" s="650"/>
      <c r="U894" s="650"/>
      <c r="V894" s="650"/>
      <c r="W894" s="650"/>
      <c r="X894" s="650"/>
      <c r="Y894" s="650"/>
      <c r="Z894" s="650"/>
      <c r="AA894" s="650"/>
      <c r="AB894" s="650"/>
      <c r="AC894" s="650"/>
      <c r="AD894" s="650"/>
      <c r="AE894" s="650"/>
      <c r="AF894" s="650"/>
      <c r="AG894" s="650"/>
      <c r="AH894" s="650"/>
      <c r="AI894" s="650"/>
      <c r="AJ894" s="650"/>
      <c r="AK894" s="650"/>
      <c r="AL894" s="650"/>
      <c r="AM894" s="650"/>
      <c r="AN894" s="650"/>
      <c r="AO894" s="650"/>
      <c r="AP894" s="650"/>
      <c r="AQ894" s="650"/>
      <c r="AR894" s="650"/>
      <c r="AS894" s="650"/>
      <c r="AT894" s="650"/>
      <c r="AU894" s="650"/>
      <c r="AV894" s="650"/>
      <c r="AW894" s="650"/>
      <c r="AX894" s="650"/>
      <c r="AY894" s="650"/>
    </row>
    <row r="895" ht="21.75" customHeight="1">
      <c r="A895" s="650"/>
      <c r="B895" s="650"/>
      <c r="C895" s="650"/>
      <c r="D895" s="650"/>
      <c r="E895" s="650"/>
      <c r="F895" s="650"/>
      <c r="G895" s="650"/>
      <c r="H895" s="650"/>
      <c r="I895" s="650"/>
      <c r="J895" s="650"/>
      <c r="K895" s="650"/>
      <c r="L895" s="650"/>
      <c r="M895" s="650"/>
      <c r="N895" s="650"/>
      <c r="O895" s="650"/>
      <c r="P895" s="650"/>
      <c r="Q895" s="650"/>
      <c r="R895" s="650"/>
      <c r="S895" s="650"/>
      <c r="T895" s="650"/>
      <c r="U895" s="650"/>
      <c r="V895" s="650"/>
      <c r="W895" s="650"/>
      <c r="X895" s="650"/>
      <c r="Y895" s="650"/>
      <c r="Z895" s="650"/>
      <c r="AA895" s="650"/>
      <c r="AB895" s="650"/>
      <c r="AC895" s="650"/>
      <c r="AD895" s="650"/>
      <c r="AE895" s="650"/>
      <c r="AF895" s="650"/>
      <c r="AG895" s="650"/>
      <c r="AH895" s="650"/>
      <c r="AI895" s="650"/>
      <c r="AJ895" s="650"/>
      <c r="AK895" s="650"/>
      <c r="AL895" s="650"/>
      <c r="AM895" s="650"/>
      <c r="AN895" s="650"/>
      <c r="AO895" s="650"/>
      <c r="AP895" s="650"/>
      <c r="AQ895" s="650"/>
      <c r="AR895" s="650"/>
      <c r="AS895" s="650"/>
      <c r="AT895" s="650"/>
      <c r="AU895" s="650"/>
      <c r="AV895" s="650"/>
      <c r="AW895" s="650"/>
      <c r="AX895" s="650"/>
      <c r="AY895" s="650"/>
    </row>
    <row r="896" ht="21.75" customHeight="1">
      <c r="A896" s="650"/>
      <c r="B896" s="650"/>
      <c r="C896" s="650"/>
      <c r="D896" s="650"/>
      <c r="E896" s="650"/>
      <c r="F896" s="650"/>
      <c r="G896" s="650"/>
      <c r="H896" s="650"/>
      <c r="I896" s="650"/>
      <c r="J896" s="650"/>
      <c r="K896" s="650"/>
      <c r="L896" s="650"/>
      <c r="M896" s="650"/>
      <c r="N896" s="650"/>
      <c r="O896" s="650"/>
      <c r="P896" s="650"/>
      <c r="Q896" s="650"/>
      <c r="R896" s="650"/>
      <c r="S896" s="650"/>
      <c r="T896" s="650"/>
      <c r="U896" s="650"/>
      <c r="V896" s="650"/>
      <c r="W896" s="650"/>
      <c r="X896" s="650"/>
      <c r="Y896" s="650"/>
      <c r="Z896" s="650"/>
      <c r="AA896" s="650"/>
      <c r="AB896" s="650"/>
      <c r="AC896" s="650"/>
      <c r="AD896" s="650"/>
      <c r="AE896" s="650"/>
      <c r="AF896" s="650"/>
      <c r="AG896" s="650"/>
      <c r="AH896" s="650"/>
      <c r="AI896" s="650"/>
      <c r="AJ896" s="650"/>
      <c r="AK896" s="650"/>
      <c r="AL896" s="650"/>
      <c r="AM896" s="650"/>
      <c r="AN896" s="650"/>
      <c r="AO896" s="650"/>
      <c r="AP896" s="650"/>
      <c r="AQ896" s="650"/>
      <c r="AR896" s="650"/>
      <c r="AS896" s="650"/>
      <c r="AT896" s="650"/>
      <c r="AU896" s="650"/>
      <c r="AV896" s="650"/>
      <c r="AW896" s="650"/>
      <c r="AX896" s="650"/>
      <c r="AY896" s="650"/>
    </row>
    <row r="897" ht="21.75" customHeight="1">
      <c r="A897" s="650"/>
      <c r="B897" s="650"/>
      <c r="C897" s="650"/>
      <c r="D897" s="650"/>
      <c r="E897" s="650"/>
      <c r="F897" s="650"/>
      <c r="G897" s="650"/>
      <c r="H897" s="650"/>
      <c r="I897" s="650"/>
      <c r="J897" s="650"/>
      <c r="K897" s="650"/>
      <c r="L897" s="650"/>
      <c r="M897" s="650"/>
      <c r="N897" s="650"/>
      <c r="O897" s="650"/>
      <c r="P897" s="650"/>
      <c r="Q897" s="650"/>
      <c r="R897" s="650"/>
      <c r="S897" s="650"/>
      <c r="T897" s="650"/>
      <c r="U897" s="650"/>
      <c r="V897" s="650"/>
      <c r="W897" s="650"/>
      <c r="X897" s="650"/>
      <c r="Y897" s="650"/>
      <c r="Z897" s="650"/>
      <c r="AA897" s="650"/>
      <c r="AB897" s="650"/>
      <c r="AC897" s="650"/>
      <c r="AD897" s="650"/>
      <c r="AE897" s="650"/>
      <c r="AF897" s="650"/>
      <c r="AG897" s="650"/>
      <c r="AH897" s="650"/>
      <c r="AI897" s="650"/>
      <c r="AJ897" s="650"/>
      <c r="AK897" s="650"/>
      <c r="AL897" s="650"/>
      <c r="AM897" s="650"/>
      <c r="AN897" s="650"/>
      <c r="AO897" s="650"/>
      <c r="AP897" s="650"/>
      <c r="AQ897" s="650"/>
      <c r="AR897" s="650"/>
      <c r="AS897" s="650"/>
      <c r="AT897" s="650"/>
      <c r="AU897" s="650"/>
      <c r="AV897" s="650"/>
      <c r="AW897" s="650"/>
      <c r="AX897" s="650"/>
      <c r="AY897" s="650"/>
    </row>
    <row r="898" ht="21.75" customHeight="1">
      <c r="A898" s="650"/>
      <c r="B898" s="650"/>
      <c r="C898" s="650"/>
      <c r="D898" s="650"/>
      <c r="E898" s="650"/>
      <c r="F898" s="650"/>
      <c r="G898" s="650"/>
      <c r="H898" s="650"/>
      <c r="I898" s="650"/>
      <c r="J898" s="650"/>
      <c r="K898" s="650"/>
      <c r="L898" s="650"/>
      <c r="M898" s="650"/>
      <c r="N898" s="650"/>
      <c r="O898" s="650"/>
      <c r="P898" s="650"/>
      <c r="Q898" s="650"/>
      <c r="R898" s="650"/>
      <c r="S898" s="650"/>
      <c r="T898" s="650"/>
      <c r="U898" s="650"/>
      <c r="V898" s="650"/>
      <c r="W898" s="650"/>
      <c r="X898" s="650"/>
      <c r="Y898" s="650"/>
      <c r="Z898" s="650"/>
      <c r="AA898" s="650"/>
      <c r="AB898" s="650"/>
      <c r="AC898" s="650"/>
      <c r="AD898" s="650"/>
      <c r="AE898" s="650"/>
      <c r="AF898" s="650"/>
      <c r="AG898" s="650"/>
      <c r="AH898" s="650"/>
      <c r="AI898" s="650"/>
      <c r="AJ898" s="650"/>
      <c r="AK898" s="650"/>
      <c r="AL898" s="650"/>
      <c r="AM898" s="650"/>
      <c r="AN898" s="650"/>
      <c r="AO898" s="650"/>
      <c r="AP898" s="650"/>
      <c r="AQ898" s="650"/>
      <c r="AR898" s="650"/>
      <c r="AS898" s="650"/>
      <c r="AT898" s="650"/>
      <c r="AU898" s="650"/>
      <c r="AV898" s="650"/>
      <c r="AW898" s="650"/>
      <c r="AX898" s="650"/>
      <c r="AY898" s="650"/>
    </row>
    <row r="899" ht="21.75" customHeight="1">
      <c r="A899" s="650"/>
      <c r="B899" s="650"/>
      <c r="C899" s="650"/>
      <c r="D899" s="650"/>
      <c r="E899" s="650"/>
      <c r="F899" s="650"/>
      <c r="G899" s="650"/>
      <c r="H899" s="650"/>
      <c r="I899" s="650"/>
      <c r="J899" s="650"/>
      <c r="K899" s="650"/>
      <c r="L899" s="650"/>
      <c r="M899" s="650"/>
      <c r="N899" s="650"/>
      <c r="O899" s="650"/>
      <c r="P899" s="650"/>
      <c r="Q899" s="650"/>
      <c r="R899" s="650"/>
      <c r="S899" s="650"/>
      <c r="T899" s="650"/>
      <c r="U899" s="650"/>
      <c r="V899" s="650"/>
      <c r="W899" s="650"/>
      <c r="X899" s="650"/>
      <c r="Y899" s="650"/>
      <c r="Z899" s="650"/>
      <c r="AA899" s="650"/>
      <c r="AB899" s="650"/>
      <c r="AC899" s="650"/>
      <c r="AD899" s="650"/>
      <c r="AE899" s="650"/>
      <c r="AF899" s="650"/>
      <c r="AG899" s="650"/>
      <c r="AH899" s="650"/>
      <c r="AI899" s="650"/>
      <c r="AJ899" s="650"/>
      <c r="AK899" s="650"/>
      <c r="AL899" s="650"/>
      <c r="AM899" s="650"/>
      <c r="AN899" s="650"/>
      <c r="AO899" s="650"/>
      <c r="AP899" s="650"/>
      <c r="AQ899" s="650"/>
      <c r="AR899" s="650"/>
      <c r="AS899" s="650"/>
      <c r="AT899" s="650"/>
      <c r="AU899" s="650"/>
      <c r="AV899" s="650"/>
      <c r="AW899" s="650"/>
      <c r="AX899" s="650"/>
      <c r="AY899" s="650"/>
    </row>
    <row r="900" ht="21.75" customHeight="1">
      <c r="A900" s="650"/>
      <c r="B900" s="650"/>
      <c r="C900" s="650"/>
      <c r="D900" s="650"/>
      <c r="E900" s="650"/>
      <c r="F900" s="650"/>
      <c r="G900" s="650"/>
      <c r="H900" s="650"/>
      <c r="I900" s="650"/>
      <c r="J900" s="650"/>
      <c r="K900" s="650"/>
      <c r="L900" s="650"/>
      <c r="M900" s="650"/>
      <c r="N900" s="650"/>
      <c r="O900" s="650"/>
      <c r="P900" s="650"/>
      <c r="Q900" s="650"/>
      <c r="R900" s="650"/>
      <c r="S900" s="650"/>
      <c r="T900" s="650"/>
      <c r="U900" s="650"/>
      <c r="V900" s="650"/>
      <c r="W900" s="650"/>
      <c r="X900" s="650"/>
      <c r="Y900" s="650"/>
      <c r="Z900" s="650"/>
      <c r="AA900" s="650"/>
      <c r="AB900" s="650"/>
      <c r="AC900" s="650"/>
      <c r="AD900" s="650"/>
      <c r="AE900" s="650"/>
      <c r="AF900" s="650"/>
      <c r="AG900" s="650"/>
      <c r="AH900" s="650"/>
      <c r="AI900" s="650"/>
      <c r="AJ900" s="650"/>
      <c r="AK900" s="650"/>
      <c r="AL900" s="650"/>
      <c r="AM900" s="650"/>
      <c r="AN900" s="650"/>
      <c r="AO900" s="650"/>
      <c r="AP900" s="650"/>
      <c r="AQ900" s="650"/>
      <c r="AR900" s="650"/>
      <c r="AS900" s="650"/>
      <c r="AT900" s="650"/>
      <c r="AU900" s="650"/>
      <c r="AV900" s="650"/>
      <c r="AW900" s="650"/>
      <c r="AX900" s="650"/>
      <c r="AY900" s="650"/>
    </row>
    <row r="901" ht="21.75" customHeight="1">
      <c r="A901" s="650"/>
      <c r="B901" s="650"/>
      <c r="C901" s="650"/>
      <c r="D901" s="650"/>
      <c r="E901" s="650"/>
      <c r="F901" s="650"/>
      <c r="G901" s="650"/>
      <c r="H901" s="650"/>
      <c r="I901" s="650"/>
      <c r="J901" s="650"/>
      <c r="K901" s="650"/>
      <c r="L901" s="650"/>
      <c r="M901" s="650"/>
      <c r="N901" s="650"/>
      <c r="O901" s="650"/>
      <c r="P901" s="650"/>
      <c r="Q901" s="650"/>
      <c r="R901" s="650"/>
      <c r="S901" s="650"/>
      <c r="T901" s="650"/>
      <c r="U901" s="650"/>
      <c r="V901" s="650"/>
      <c r="W901" s="650"/>
      <c r="X901" s="650"/>
      <c r="Y901" s="650"/>
      <c r="Z901" s="650"/>
      <c r="AA901" s="650"/>
      <c r="AB901" s="650"/>
      <c r="AC901" s="650"/>
      <c r="AD901" s="650"/>
      <c r="AE901" s="650"/>
      <c r="AF901" s="650"/>
      <c r="AG901" s="650"/>
      <c r="AH901" s="650"/>
      <c r="AI901" s="650"/>
      <c r="AJ901" s="650"/>
      <c r="AK901" s="650"/>
      <c r="AL901" s="650"/>
      <c r="AM901" s="650"/>
      <c r="AN901" s="650"/>
      <c r="AO901" s="650"/>
      <c r="AP901" s="650"/>
      <c r="AQ901" s="650"/>
      <c r="AR901" s="650"/>
      <c r="AS901" s="650"/>
      <c r="AT901" s="650"/>
      <c r="AU901" s="650"/>
      <c r="AV901" s="650"/>
      <c r="AW901" s="650"/>
      <c r="AX901" s="650"/>
      <c r="AY901" s="650"/>
    </row>
    <row r="902" ht="21.75" customHeight="1">
      <c r="A902" s="650"/>
      <c r="B902" s="650"/>
      <c r="C902" s="650"/>
      <c r="D902" s="650"/>
      <c r="E902" s="650"/>
      <c r="F902" s="650"/>
      <c r="G902" s="650"/>
      <c r="H902" s="650"/>
      <c r="I902" s="650"/>
      <c r="J902" s="650"/>
      <c r="K902" s="650"/>
      <c r="L902" s="650"/>
      <c r="M902" s="650"/>
      <c r="N902" s="650"/>
      <c r="O902" s="650"/>
      <c r="P902" s="650"/>
      <c r="Q902" s="650"/>
      <c r="R902" s="650"/>
      <c r="S902" s="650"/>
      <c r="T902" s="650"/>
      <c r="U902" s="650"/>
      <c r="V902" s="650"/>
      <c r="W902" s="650"/>
      <c r="X902" s="650"/>
      <c r="Y902" s="650"/>
      <c r="Z902" s="650"/>
      <c r="AA902" s="650"/>
      <c r="AB902" s="650"/>
      <c r="AC902" s="650"/>
      <c r="AD902" s="650"/>
      <c r="AE902" s="650"/>
      <c r="AF902" s="650"/>
      <c r="AG902" s="650"/>
      <c r="AH902" s="650"/>
      <c r="AI902" s="650"/>
      <c r="AJ902" s="650"/>
      <c r="AK902" s="650"/>
      <c r="AL902" s="650"/>
      <c r="AM902" s="650"/>
      <c r="AN902" s="650"/>
      <c r="AO902" s="650"/>
      <c r="AP902" s="650"/>
      <c r="AQ902" s="650"/>
      <c r="AR902" s="650"/>
      <c r="AS902" s="650"/>
      <c r="AT902" s="650"/>
      <c r="AU902" s="650"/>
      <c r="AV902" s="650"/>
      <c r="AW902" s="650"/>
      <c r="AX902" s="650"/>
      <c r="AY902" s="650"/>
    </row>
    <row r="903" ht="21.75" customHeight="1">
      <c r="A903" s="650"/>
      <c r="B903" s="650"/>
      <c r="C903" s="650"/>
      <c r="D903" s="650"/>
      <c r="E903" s="650"/>
      <c r="F903" s="650"/>
      <c r="G903" s="650"/>
      <c r="H903" s="650"/>
      <c r="I903" s="650"/>
      <c r="J903" s="650"/>
      <c r="K903" s="650"/>
      <c r="L903" s="650"/>
      <c r="M903" s="650"/>
      <c r="N903" s="650"/>
      <c r="O903" s="650"/>
      <c r="P903" s="650"/>
      <c r="Q903" s="650"/>
      <c r="R903" s="650"/>
      <c r="S903" s="650"/>
      <c r="T903" s="650"/>
      <c r="U903" s="650"/>
      <c r="V903" s="650"/>
      <c r="W903" s="650"/>
      <c r="X903" s="650"/>
      <c r="Y903" s="650"/>
      <c r="Z903" s="650"/>
      <c r="AA903" s="650"/>
      <c r="AB903" s="650"/>
      <c r="AC903" s="650"/>
      <c r="AD903" s="650"/>
      <c r="AE903" s="650"/>
      <c r="AF903" s="650"/>
      <c r="AG903" s="650"/>
      <c r="AH903" s="650"/>
      <c r="AI903" s="650"/>
      <c r="AJ903" s="650"/>
      <c r="AK903" s="650"/>
      <c r="AL903" s="650"/>
      <c r="AM903" s="650"/>
      <c r="AN903" s="650"/>
      <c r="AO903" s="650"/>
      <c r="AP903" s="650"/>
      <c r="AQ903" s="650"/>
      <c r="AR903" s="650"/>
      <c r="AS903" s="650"/>
      <c r="AT903" s="650"/>
      <c r="AU903" s="650"/>
      <c r="AV903" s="650"/>
      <c r="AW903" s="650"/>
      <c r="AX903" s="650"/>
      <c r="AY903" s="650"/>
    </row>
    <row r="904" ht="21.75" customHeight="1">
      <c r="A904" s="650"/>
      <c r="B904" s="650"/>
      <c r="C904" s="650"/>
      <c r="D904" s="650"/>
      <c r="E904" s="650"/>
      <c r="F904" s="650"/>
      <c r="G904" s="650"/>
      <c r="H904" s="650"/>
      <c r="I904" s="650"/>
      <c r="J904" s="650"/>
      <c r="K904" s="650"/>
      <c r="L904" s="650"/>
      <c r="M904" s="650"/>
      <c r="N904" s="650"/>
      <c r="O904" s="650"/>
      <c r="P904" s="650"/>
      <c r="Q904" s="650"/>
      <c r="R904" s="650"/>
      <c r="S904" s="650"/>
      <c r="T904" s="650"/>
      <c r="U904" s="650"/>
      <c r="V904" s="650"/>
      <c r="W904" s="650"/>
      <c r="X904" s="650"/>
      <c r="Y904" s="650"/>
      <c r="Z904" s="650"/>
      <c r="AA904" s="650"/>
      <c r="AB904" s="650"/>
      <c r="AC904" s="650"/>
      <c r="AD904" s="650"/>
      <c r="AE904" s="650"/>
      <c r="AF904" s="650"/>
      <c r="AG904" s="650"/>
      <c r="AH904" s="650"/>
      <c r="AI904" s="650"/>
      <c r="AJ904" s="650"/>
      <c r="AK904" s="650"/>
      <c r="AL904" s="650"/>
      <c r="AM904" s="650"/>
      <c r="AN904" s="650"/>
      <c r="AO904" s="650"/>
      <c r="AP904" s="650"/>
      <c r="AQ904" s="650"/>
      <c r="AR904" s="650"/>
      <c r="AS904" s="650"/>
      <c r="AT904" s="650"/>
      <c r="AU904" s="650"/>
      <c r="AV904" s="650"/>
      <c r="AW904" s="650"/>
      <c r="AX904" s="650"/>
      <c r="AY904" s="650"/>
    </row>
    <row r="905" ht="21.75" customHeight="1">
      <c r="A905" s="650"/>
      <c r="B905" s="650"/>
      <c r="C905" s="650"/>
      <c r="D905" s="650"/>
      <c r="E905" s="650"/>
      <c r="F905" s="650"/>
      <c r="G905" s="650"/>
      <c r="H905" s="650"/>
      <c r="I905" s="650"/>
      <c r="J905" s="650"/>
      <c r="K905" s="650"/>
      <c r="L905" s="650"/>
      <c r="M905" s="650"/>
      <c r="N905" s="650"/>
      <c r="O905" s="650"/>
      <c r="P905" s="650"/>
      <c r="Q905" s="650"/>
      <c r="R905" s="650"/>
      <c r="S905" s="650"/>
      <c r="T905" s="650"/>
      <c r="U905" s="650"/>
      <c r="V905" s="650"/>
      <c r="W905" s="650"/>
      <c r="X905" s="650"/>
      <c r="Y905" s="650"/>
      <c r="Z905" s="650"/>
      <c r="AA905" s="650"/>
      <c r="AB905" s="650"/>
      <c r="AC905" s="650"/>
      <c r="AD905" s="650"/>
      <c r="AE905" s="650"/>
      <c r="AF905" s="650"/>
      <c r="AG905" s="650"/>
      <c r="AH905" s="650"/>
      <c r="AI905" s="650"/>
      <c r="AJ905" s="650"/>
      <c r="AK905" s="650"/>
      <c r="AL905" s="650"/>
      <c r="AM905" s="650"/>
      <c r="AN905" s="650"/>
      <c r="AO905" s="650"/>
      <c r="AP905" s="650"/>
      <c r="AQ905" s="650"/>
      <c r="AR905" s="650"/>
      <c r="AS905" s="650"/>
      <c r="AT905" s="650"/>
      <c r="AU905" s="650"/>
      <c r="AV905" s="650"/>
      <c r="AW905" s="650"/>
      <c r="AX905" s="650"/>
      <c r="AY905" s="650"/>
    </row>
    <row r="906" ht="21.75" customHeight="1">
      <c r="A906" s="650"/>
      <c r="B906" s="650"/>
      <c r="C906" s="650"/>
      <c r="D906" s="650"/>
      <c r="E906" s="650"/>
      <c r="F906" s="650"/>
      <c r="G906" s="650"/>
      <c r="H906" s="650"/>
      <c r="I906" s="650"/>
      <c r="J906" s="650"/>
      <c r="K906" s="650"/>
      <c r="L906" s="650"/>
      <c r="M906" s="650"/>
      <c r="N906" s="650"/>
      <c r="O906" s="650"/>
      <c r="P906" s="650"/>
      <c r="Q906" s="650"/>
      <c r="R906" s="650"/>
      <c r="S906" s="650"/>
      <c r="T906" s="650"/>
      <c r="U906" s="650"/>
      <c r="V906" s="650"/>
      <c r="W906" s="650"/>
      <c r="X906" s="650"/>
      <c r="Y906" s="650"/>
      <c r="Z906" s="650"/>
      <c r="AA906" s="650"/>
      <c r="AB906" s="650"/>
      <c r="AC906" s="650"/>
      <c r="AD906" s="650"/>
      <c r="AE906" s="650"/>
      <c r="AF906" s="650"/>
      <c r="AG906" s="650"/>
      <c r="AH906" s="650"/>
      <c r="AI906" s="650"/>
      <c r="AJ906" s="650"/>
      <c r="AK906" s="650"/>
      <c r="AL906" s="650"/>
      <c r="AM906" s="650"/>
      <c r="AN906" s="650"/>
      <c r="AO906" s="650"/>
      <c r="AP906" s="650"/>
      <c r="AQ906" s="650"/>
      <c r="AR906" s="650"/>
      <c r="AS906" s="650"/>
      <c r="AT906" s="650"/>
      <c r="AU906" s="650"/>
      <c r="AV906" s="650"/>
      <c r="AW906" s="650"/>
      <c r="AX906" s="650"/>
      <c r="AY906" s="650"/>
    </row>
    <row r="907" ht="21.75" customHeight="1">
      <c r="A907" s="650"/>
      <c r="B907" s="650"/>
      <c r="C907" s="650"/>
      <c r="D907" s="650"/>
      <c r="E907" s="650"/>
      <c r="F907" s="650"/>
      <c r="G907" s="650"/>
      <c r="H907" s="650"/>
      <c r="I907" s="650"/>
      <c r="J907" s="650"/>
      <c r="K907" s="650"/>
      <c r="L907" s="650"/>
      <c r="M907" s="650"/>
      <c r="N907" s="650"/>
      <c r="O907" s="650"/>
      <c r="P907" s="650"/>
      <c r="Q907" s="650"/>
      <c r="R907" s="650"/>
      <c r="S907" s="650"/>
      <c r="T907" s="650"/>
      <c r="U907" s="650"/>
      <c r="V907" s="650"/>
      <c r="W907" s="650"/>
      <c r="X907" s="650"/>
      <c r="Y907" s="650"/>
      <c r="Z907" s="650"/>
      <c r="AA907" s="650"/>
      <c r="AB907" s="650"/>
      <c r="AC907" s="650"/>
      <c r="AD907" s="650"/>
      <c r="AE907" s="650"/>
      <c r="AF907" s="650"/>
      <c r="AG907" s="650"/>
      <c r="AH907" s="650"/>
      <c r="AI907" s="650"/>
      <c r="AJ907" s="650"/>
      <c r="AK907" s="650"/>
      <c r="AL907" s="650"/>
      <c r="AM907" s="650"/>
      <c r="AN907" s="650"/>
      <c r="AO907" s="650"/>
      <c r="AP907" s="650"/>
      <c r="AQ907" s="650"/>
      <c r="AR907" s="650"/>
      <c r="AS907" s="650"/>
      <c r="AT907" s="650"/>
      <c r="AU907" s="650"/>
      <c r="AV907" s="650"/>
      <c r="AW907" s="650"/>
      <c r="AX907" s="650"/>
      <c r="AY907" s="650"/>
    </row>
    <row r="908" ht="21.75" customHeight="1">
      <c r="A908" s="650"/>
      <c r="B908" s="650"/>
      <c r="C908" s="650"/>
      <c r="D908" s="650"/>
      <c r="E908" s="650"/>
      <c r="F908" s="650"/>
      <c r="G908" s="650"/>
      <c r="H908" s="650"/>
      <c r="I908" s="650"/>
      <c r="J908" s="650"/>
      <c r="K908" s="650"/>
      <c r="L908" s="650"/>
      <c r="M908" s="650"/>
      <c r="N908" s="650"/>
      <c r="O908" s="650"/>
      <c r="P908" s="650"/>
      <c r="Q908" s="650"/>
      <c r="R908" s="650"/>
      <c r="S908" s="650"/>
      <c r="T908" s="650"/>
      <c r="U908" s="650"/>
      <c r="V908" s="650"/>
      <c r="W908" s="650"/>
      <c r="X908" s="650"/>
      <c r="Y908" s="650"/>
      <c r="Z908" s="650"/>
      <c r="AA908" s="650"/>
      <c r="AB908" s="650"/>
      <c r="AC908" s="650"/>
      <c r="AD908" s="650"/>
      <c r="AE908" s="650"/>
      <c r="AF908" s="650"/>
      <c r="AG908" s="650"/>
      <c r="AH908" s="650"/>
      <c r="AI908" s="650"/>
      <c r="AJ908" s="650"/>
      <c r="AK908" s="650"/>
      <c r="AL908" s="650"/>
      <c r="AM908" s="650"/>
      <c r="AN908" s="650"/>
      <c r="AO908" s="650"/>
      <c r="AP908" s="650"/>
      <c r="AQ908" s="650"/>
      <c r="AR908" s="650"/>
      <c r="AS908" s="650"/>
      <c r="AT908" s="650"/>
      <c r="AU908" s="650"/>
      <c r="AV908" s="650"/>
      <c r="AW908" s="650"/>
      <c r="AX908" s="650"/>
      <c r="AY908" s="650"/>
    </row>
    <row r="909" ht="21.75" customHeight="1">
      <c r="A909" s="650"/>
      <c r="B909" s="650"/>
      <c r="C909" s="650"/>
      <c r="D909" s="650"/>
      <c r="E909" s="650"/>
      <c r="F909" s="650"/>
      <c r="G909" s="650"/>
      <c r="H909" s="650"/>
      <c r="I909" s="650"/>
      <c r="J909" s="650"/>
      <c r="K909" s="650"/>
      <c r="L909" s="650"/>
      <c r="M909" s="650"/>
      <c r="N909" s="650"/>
      <c r="O909" s="650"/>
      <c r="P909" s="650"/>
      <c r="Q909" s="650"/>
      <c r="R909" s="650"/>
      <c r="S909" s="650"/>
      <c r="T909" s="650"/>
      <c r="U909" s="650"/>
      <c r="V909" s="650"/>
      <c r="W909" s="650"/>
      <c r="X909" s="650"/>
      <c r="Y909" s="650"/>
      <c r="Z909" s="650"/>
      <c r="AA909" s="650"/>
      <c r="AB909" s="650"/>
      <c r="AC909" s="650"/>
      <c r="AD909" s="650"/>
      <c r="AE909" s="650"/>
      <c r="AF909" s="650"/>
      <c r="AG909" s="650"/>
      <c r="AH909" s="650"/>
      <c r="AI909" s="650"/>
      <c r="AJ909" s="650"/>
      <c r="AK909" s="650"/>
      <c r="AL909" s="650"/>
      <c r="AM909" s="650"/>
      <c r="AN909" s="650"/>
      <c r="AO909" s="650"/>
      <c r="AP909" s="650"/>
      <c r="AQ909" s="650"/>
      <c r="AR909" s="650"/>
      <c r="AS909" s="650"/>
      <c r="AT909" s="650"/>
      <c r="AU909" s="650"/>
      <c r="AV909" s="650"/>
      <c r="AW909" s="650"/>
      <c r="AX909" s="650"/>
      <c r="AY909" s="650"/>
    </row>
    <row r="910" ht="21.75" customHeight="1">
      <c r="A910" s="650"/>
      <c r="B910" s="650"/>
      <c r="C910" s="650"/>
      <c r="D910" s="650"/>
      <c r="E910" s="650"/>
      <c r="F910" s="650"/>
      <c r="G910" s="650"/>
      <c r="H910" s="650"/>
      <c r="I910" s="650"/>
      <c r="J910" s="650"/>
      <c r="K910" s="650"/>
      <c r="L910" s="650"/>
      <c r="M910" s="650"/>
      <c r="N910" s="650"/>
      <c r="O910" s="650"/>
      <c r="P910" s="650"/>
      <c r="Q910" s="650"/>
      <c r="R910" s="650"/>
      <c r="S910" s="650"/>
      <c r="T910" s="650"/>
      <c r="U910" s="650"/>
      <c r="V910" s="650"/>
      <c r="W910" s="650"/>
      <c r="X910" s="650"/>
      <c r="Y910" s="650"/>
      <c r="Z910" s="650"/>
      <c r="AA910" s="650"/>
      <c r="AB910" s="650"/>
      <c r="AC910" s="650"/>
      <c r="AD910" s="650"/>
      <c r="AE910" s="650"/>
      <c r="AF910" s="650"/>
      <c r="AG910" s="650"/>
      <c r="AH910" s="650"/>
      <c r="AI910" s="650"/>
      <c r="AJ910" s="650"/>
      <c r="AK910" s="650"/>
      <c r="AL910" s="650"/>
      <c r="AM910" s="650"/>
      <c r="AN910" s="650"/>
      <c r="AO910" s="650"/>
      <c r="AP910" s="650"/>
      <c r="AQ910" s="650"/>
      <c r="AR910" s="650"/>
      <c r="AS910" s="650"/>
      <c r="AT910" s="650"/>
      <c r="AU910" s="650"/>
      <c r="AV910" s="650"/>
      <c r="AW910" s="650"/>
      <c r="AX910" s="650"/>
      <c r="AY910" s="650"/>
    </row>
    <row r="911" ht="21.75" customHeight="1">
      <c r="A911" s="650"/>
      <c r="B911" s="650"/>
      <c r="C911" s="650"/>
      <c r="D911" s="650"/>
      <c r="E911" s="650"/>
      <c r="F911" s="650"/>
      <c r="G911" s="650"/>
      <c r="H911" s="650"/>
      <c r="I911" s="650"/>
      <c r="J911" s="650"/>
      <c r="K911" s="650"/>
      <c r="L911" s="650"/>
      <c r="M911" s="650"/>
      <c r="N911" s="650"/>
      <c r="O911" s="650"/>
      <c r="P911" s="650"/>
      <c r="Q911" s="650"/>
      <c r="R911" s="650"/>
      <c r="S911" s="650"/>
      <c r="T911" s="650"/>
      <c r="U911" s="650"/>
      <c r="V911" s="650"/>
      <c r="W911" s="650"/>
      <c r="X911" s="650"/>
      <c r="Y911" s="650"/>
      <c r="Z911" s="650"/>
      <c r="AA911" s="650"/>
      <c r="AB911" s="650"/>
      <c r="AC911" s="650"/>
      <c r="AD911" s="650"/>
      <c r="AE911" s="650"/>
      <c r="AF911" s="650"/>
      <c r="AG911" s="650"/>
      <c r="AH911" s="650"/>
      <c r="AI911" s="650"/>
      <c r="AJ911" s="650"/>
      <c r="AK911" s="650"/>
      <c r="AL911" s="650"/>
      <c r="AM911" s="650"/>
      <c r="AN911" s="650"/>
      <c r="AO911" s="650"/>
      <c r="AP911" s="650"/>
      <c r="AQ911" s="650"/>
      <c r="AR911" s="650"/>
      <c r="AS911" s="650"/>
      <c r="AT911" s="650"/>
      <c r="AU911" s="650"/>
      <c r="AV911" s="650"/>
      <c r="AW911" s="650"/>
      <c r="AX911" s="650"/>
      <c r="AY911" s="650"/>
    </row>
    <row r="912" ht="21.75" customHeight="1">
      <c r="A912" s="650"/>
      <c r="B912" s="650"/>
      <c r="C912" s="650"/>
      <c r="D912" s="650"/>
      <c r="E912" s="650"/>
      <c r="F912" s="650"/>
      <c r="G912" s="650"/>
      <c r="H912" s="650"/>
      <c r="I912" s="650"/>
      <c r="J912" s="650"/>
      <c r="K912" s="650"/>
      <c r="L912" s="650"/>
      <c r="M912" s="650"/>
      <c r="N912" s="650"/>
      <c r="O912" s="650"/>
      <c r="P912" s="650"/>
      <c r="Q912" s="650"/>
      <c r="R912" s="650"/>
      <c r="S912" s="650"/>
      <c r="T912" s="650"/>
      <c r="U912" s="650"/>
      <c r="V912" s="650"/>
      <c r="W912" s="650"/>
      <c r="X912" s="650"/>
      <c r="Y912" s="650"/>
      <c r="Z912" s="650"/>
      <c r="AA912" s="650"/>
      <c r="AB912" s="650"/>
      <c r="AC912" s="650"/>
      <c r="AD912" s="650"/>
      <c r="AE912" s="650"/>
      <c r="AF912" s="650"/>
      <c r="AG912" s="650"/>
      <c r="AH912" s="650"/>
      <c r="AI912" s="650"/>
      <c r="AJ912" s="650"/>
      <c r="AK912" s="650"/>
      <c r="AL912" s="650"/>
      <c r="AM912" s="650"/>
      <c r="AN912" s="650"/>
      <c r="AO912" s="650"/>
      <c r="AP912" s="650"/>
      <c r="AQ912" s="650"/>
      <c r="AR912" s="650"/>
      <c r="AS912" s="650"/>
      <c r="AT912" s="650"/>
      <c r="AU912" s="650"/>
      <c r="AV912" s="650"/>
      <c r="AW912" s="650"/>
      <c r="AX912" s="650"/>
      <c r="AY912" s="650"/>
    </row>
    <row r="913" ht="21.75" customHeight="1">
      <c r="A913" s="650"/>
      <c r="B913" s="650"/>
      <c r="C913" s="650"/>
      <c r="D913" s="650"/>
      <c r="E913" s="650"/>
      <c r="F913" s="650"/>
      <c r="G913" s="650"/>
      <c r="H913" s="650"/>
      <c r="I913" s="650"/>
      <c r="J913" s="650"/>
      <c r="K913" s="650"/>
      <c r="L913" s="650"/>
      <c r="M913" s="650"/>
      <c r="N913" s="650"/>
      <c r="O913" s="650"/>
      <c r="P913" s="650"/>
      <c r="Q913" s="650"/>
      <c r="R913" s="650"/>
      <c r="S913" s="650"/>
      <c r="T913" s="650"/>
      <c r="U913" s="650"/>
      <c r="V913" s="650"/>
      <c r="W913" s="650"/>
      <c r="X913" s="650"/>
      <c r="Y913" s="650"/>
      <c r="Z913" s="650"/>
      <c r="AA913" s="650"/>
      <c r="AB913" s="650"/>
      <c r="AC913" s="650"/>
      <c r="AD913" s="650"/>
      <c r="AE913" s="650"/>
      <c r="AF913" s="650"/>
      <c r="AG913" s="650"/>
      <c r="AH913" s="650"/>
      <c r="AI913" s="650"/>
      <c r="AJ913" s="650"/>
      <c r="AK913" s="650"/>
      <c r="AL913" s="650"/>
      <c r="AM913" s="650"/>
      <c r="AN913" s="650"/>
      <c r="AO913" s="650"/>
      <c r="AP913" s="650"/>
      <c r="AQ913" s="650"/>
      <c r="AR913" s="650"/>
      <c r="AS913" s="650"/>
      <c r="AT913" s="650"/>
      <c r="AU913" s="650"/>
      <c r="AV913" s="650"/>
      <c r="AW913" s="650"/>
      <c r="AX913" s="650"/>
      <c r="AY913" s="650"/>
    </row>
    <row r="914" ht="21.75" customHeight="1">
      <c r="A914" s="650"/>
      <c r="B914" s="650"/>
      <c r="C914" s="650"/>
      <c r="D914" s="650"/>
      <c r="E914" s="650"/>
      <c r="F914" s="650"/>
      <c r="G914" s="650"/>
      <c r="H914" s="650"/>
      <c r="I914" s="650"/>
      <c r="J914" s="650"/>
      <c r="K914" s="650"/>
      <c r="L914" s="650"/>
      <c r="M914" s="650"/>
      <c r="N914" s="650"/>
      <c r="O914" s="650"/>
      <c r="P914" s="650"/>
      <c r="Q914" s="650"/>
      <c r="R914" s="650"/>
      <c r="S914" s="650"/>
      <c r="T914" s="650"/>
      <c r="U914" s="650"/>
      <c r="V914" s="650"/>
      <c r="W914" s="650"/>
      <c r="X914" s="650"/>
      <c r="Y914" s="650"/>
      <c r="Z914" s="650"/>
      <c r="AA914" s="650"/>
      <c r="AB914" s="650"/>
      <c r="AC914" s="650"/>
      <c r="AD914" s="650"/>
      <c r="AE914" s="650"/>
      <c r="AF914" s="650"/>
      <c r="AG914" s="650"/>
      <c r="AH914" s="650"/>
      <c r="AI914" s="650"/>
      <c r="AJ914" s="650"/>
      <c r="AK914" s="650"/>
      <c r="AL914" s="650"/>
      <c r="AM914" s="650"/>
      <c r="AN914" s="650"/>
      <c r="AO914" s="650"/>
      <c r="AP914" s="650"/>
      <c r="AQ914" s="650"/>
      <c r="AR914" s="650"/>
      <c r="AS914" s="650"/>
      <c r="AT914" s="650"/>
      <c r="AU914" s="650"/>
      <c r="AV914" s="650"/>
      <c r="AW914" s="650"/>
      <c r="AX914" s="650"/>
      <c r="AY914" s="650"/>
    </row>
    <row r="915" ht="21.75" customHeight="1">
      <c r="A915" s="650"/>
      <c r="B915" s="650"/>
      <c r="C915" s="650"/>
      <c r="D915" s="650"/>
      <c r="E915" s="650"/>
      <c r="F915" s="650"/>
      <c r="G915" s="650"/>
      <c r="H915" s="650"/>
      <c r="I915" s="650"/>
      <c r="J915" s="650"/>
      <c r="K915" s="650"/>
      <c r="L915" s="650"/>
      <c r="M915" s="650"/>
      <c r="N915" s="650"/>
      <c r="O915" s="650"/>
      <c r="P915" s="650"/>
      <c r="Q915" s="650"/>
      <c r="R915" s="650"/>
      <c r="S915" s="650"/>
      <c r="T915" s="650"/>
      <c r="U915" s="650"/>
      <c r="V915" s="650"/>
      <c r="W915" s="650"/>
      <c r="X915" s="650"/>
      <c r="Y915" s="650"/>
      <c r="Z915" s="650"/>
      <c r="AA915" s="650"/>
      <c r="AB915" s="650"/>
      <c r="AC915" s="650"/>
      <c r="AD915" s="650"/>
      <c r="AE915" s="650"/>
      <c r="AF915" s="650"/>
      <c r="AG915" s="650"/>
      <c r="AH915" s="650"/>
      <c r="AI915" s="650"/>
      <c r="AJ915" s="650"/>
      <c r="AK915" s="650"/>
      <c r="AL915" s="650"/>
      <c r="AM915" s="650"/>
      <c r="AN915" s="650"/>
      <c r="AO915" s="650"/>
      <c r="AP915" s="650"/>
      <c r="AQ915" s="650"/>
      <c r="AR915" s="650"/>
      <c r="AS915" s="650"/>
      <c r="AT915" s="650"/>
      <c r="AU915" s="650"/>
      <c r="AV915" s="650"/>
      <c r="AW915" s="650"/>
      <c r="AX915" s="650"/>
      <c r="AY915" s="650"/>
    </row>
    <row r="916" ht="21.75" customHeight="1">
      <c r="A916" s="650"/>
      <c r="B916" s="650"/>
      <c r="C916" s="650"/>
      <c r="D916" s="650"/>
      <c r="E916" s="650"/>
      <c r="F916" s="650"/>
      <c r="G916" s="650"/>
      <c r="H916" s="650"/>
      <c r="I916" s="650"/>
      <c r="J916" s="650"/>
      <c r="K916" s="650"/>
      <c r="L916" s="650"/>
      <c r="M916" s="650"/>
      <c r="N916" s="650"/>
      <c r="O916" s="650"/>
      <c r="P916" s="650"/>
      <c r="Q916" s="650"/>
      <c r="R916" s="650"/>
      <c r="S916" s="650"/>
      <c r="T916" s="650"/>
      <c r="U916" s="650"/>
      <c r="V916" s="650"/>
      <c r="W916" s="650"/>
      <c r="X916" s="650"/>
      <c r="Y916" s="650"/>
      <c r="Z916" s="650"/>
      <c r="AA916" s="650"/>
      <c r="AB916" s="650"/>
      <c r="AC916" s="650"/>
      <c r="AD916" s="650"/>
      <c r="AE916" s="650"/>
      <c r="AF916" s="650"/>
      <c r="AG916" s="650"/>
      <c r="AH916" s="650"/>
      <c r="AI916" s="650"/>
      <c r="AJ916" s="650"/>
      <c r="AK916" s="650"/>
      <c r="AL916" s="650"/>
      <c r="AM916" s="650"/>
      <c r="AN916" s="650"/>
      <c r="AO916" s="650"/>
      <c r="AP916" s="650"/>
      <c r="AQ916" s="650"/>
      <c r="AR916" s="650"/>
      <c r="AS916" s="650"/>
      <c r="AT916" s="650"/>
      <c r="AU916" s="650"/>
      <c r="AV916" s="650"/>
      <c r="AW916" s="650"/>
      <c r="AX916" s="650"/>
      <c r="AY916" s="650"/>
    </row>
    <row r="917" ht="21.75" customHeight="1">
      <c r="A917" s="650"/>
      <c r="B917" s="650"/>
      <c r="C917" s="650"/>
      <c r="D917" s="650"/>
      <c r="E917" s="650"/>
      <c r="F917" s="650"/>
      <c r="G917" s="650"/>
      <c r="H917" s="650"/>
      <c r="I917" s="650"/>
      <c r="J917" s="650"/>
      <c r="K917" s="650"/>
      <c r="L917" s="650"/>
      <c r="M917" s="650"/>
      <c r="N917" s="650"/>
      <c r="O917" s="650"/>
      <c r="P917" s="650"/>
      <c r="Q917" s="650"/>
      <c r="R917" s="650"/>
      <c r="S917" s="650"/>
      <c r="T917" s="650"/>
      <c r="U917" s="650"/>
      <c r="V917" s="650"/>
      <c r="W917" s="650"/>
      <c r="X917" s="650"/>
      <c r="Y917" s="650"/>
      <c r="Z917" s="650"/>
      <c r="AA917" s="650"/>
      <c r="AB917" s="650"/>
      <c r="AC917" s="650"/>
      <c r="AD917" s="650"/>
      <c r="AE917" s="650"/>
      <c r="AF917" s="650"/>
      <c r="AG917" s="650"/>
      <c r="AH917" s="650"/>
      <c r="AI917" s="650"/>
      <c r="AJ917" s="650"/>
      <c r="AK917" s="650"/>
      <c r="AL917" s="650"/>
      <c r="AM917" s="650"/>
      <c r="AN917" s="650"/>
      <c r="AO917" s="650"/>
      <c r="AP917" s="650"/>
      <c r="AQ917" s="650"/>
      <c r="AR917" s="650"/>
      <c r="AS917" s="650"/>
      <c r="AT917" s="650"/>
      <c r="AU917" s="650"/>
      <c r="AV917" s="650"/>
      <c r="AW917" s="650"/>
      <c r="AX917" s="650"/>
      <c r="AY917" s="650"/>
    </row>
    <row r="918" ht="21.75" customHeight="1">
      <c r="A918" s="650"/>
      <c r="B918" s="650"/>
      <c r="C918" s="650"/>
      <c r="D918" s="650"/>
      <c r="E918" s="650"/>
      <c r="F918" s="650"/>
      <c r="G918" s="650"/>
      <c r="H918" s="650"/>
      <c r="I918" s="650"/>
      <c r="J918" s="650"/>
      <c r="K918" s="650"/>
      <c r="L918" s="650"/>
      <c r="M918" s="650"/>
      <c r="N918" s="650"/>
      <c r="O918" s="650"/>
      <c r="P918" s="650"/>
      <c r="Q918" s="650"/>
      <c r="R918" s="650"/>
      <c r="S918" s="650"/>
      <c r="T918" s="650"/>
      <c r="U918" s="650"/>
      <c r="V918" s="650"/>
      <c r="W918" s="650"/>
      <c r="X918" s="650"/>
      <c r="Y918" s="650"/>
      <c r="Z918" s="650"/>
      <c r="AA918" s="650"/>
      <c r="AB918" s="650"/>
      <c r="AC918" s="650"/>
      <c r="AD918" s="650"/>
      <c r="AE918" s="650"/>
      <c r="AF918" s="650"/>
      <c r="AG918" s="650"/>
      <c r="AH918" s="650"/>
      <c r="AI918" s="650"/>
      <c r="AJ918" s="650"/>
      <c r="AK918" s="650"/>
      <c r="AL918" s="650"/>
      <c r="AM918" s="650"/>
      <c r="AN918" s="650"/>
      <c r="AO918" s="650"/>
      <c r="AP918" s="650"/>
      <c r="AQ918" s="650"/>
      <c r="AR918" s="650"/>
      <c r="AS918" s="650"/>
      <c r="AT918" s="650"/>
      <c r="AU918" s="650"/>
      <c r="AV918" s="650"/>
      <c r="AW918" s="650"/>
      <c r="AX918" s="650"/>
      <c r="AY918" s="650"/>
    </row>
    <row r="919" ht="21.75" customHeight="1">
      <c r="A919" s="650"/>
      <c r="B919" s="650"/>
      <c r="C919" s="650"/>
      <c r="D919" s="650"/>
      <c r="E919" s="650"/>
      <c r="F919" s="650"/>
      <c r="G919" s="650"/>
      <c r="H919" s="650"/>
      <c r="I919" s="650"/>
      <c r="J919" s="650"/>
      <c r="K919" s="650"/>
      <c r="L919" s="650"/>
      <c r="M919" s="650"/>
      <c r="N919" s="650"/>
      <c r="O919" s="650"/>
      <c r="P919" s="650"/>
      <c r="Q919" s="650"/>
      <c r="R919" s="650"/>
      <c r="S919" s="650"/>
      <c r="T919" s="650"/>
      <c r="U919" s="650"/>
      <c r="V919" s="650"/>
      <c r="W919" s="650"/>
      <c r="X919" s="650"/>
      <c r="Y919" s="650"/>
      <c r="Z919" s="650"/>
      <c r="AA919" s="650"/>
      <c r="AB919" s="650"/>
      <c r="AC919" s="650"/>
      <c r="AD919" s="650"/>
      <c r="AE919" s="650"/>
      <c r="AF919" s="650"/>
      <c r="AG919" s="650"/>
      <c r="AH919" s="650"/>
      <c r="AI919" s="650"/>
      <c r="AJ919" s="650"/>
      <c r="AK919" s="650"/>
      <c r="AL919" s="650"/>
      <c r="AM919" s="650"/>
      <c r="AN919" s="650"/>
      <c r="AO919" s="650"/>
      <c r="AP919" s="650"/>
      <c r="AQ919" s="650"/>
      <c r="AR919" s="650"/>
      <c r="AS919" s="650"/>
      <c r="AT919" s="650"/>
      <c r="AU919" s="650"/>
      <c r="AV919" s="650"/>
      <c r="AW919" s="650"/>
      <c r="AX919" s="650"/>
      <c r="AY919" s="650"/>
    </row>
    <row r="920" ht="21.75" customHeight="1">
      <c r="A920" s="650"/>
      <c r="B920" s="650"/>
      <c r="C920" s="650"/>
      <c r="D920" s="650"/>
      <c r="E920" s="650"/>
      <c r="F920" s="650"/>
      <c r="G920" s="650"/>
      <c r="H920" s="650"/>
      <c r="I920" s="650"/>
      <c r="J920" s="650"/>
      <c r="K920" s="650"/>
      <c r="L920" s="650"/>
      <c r="M920" s="650"/>
      <c r="N920" s="650"/>
      <c r="O920" s="650"/>
      <c r="P920" s="650"/>
      <c r="Q920" s="650"/>
      <c r="R920" s="650"/>
      <c r="S920" s="650"/>
      <c r="T920" s="650"/>
      <c r="U920" s="650"/>
      <c r="V920" s="650"/>
      <c r="W920" s="650"/>
      <c r="X920" s="650"/>
      <c r="Y920" s="650"/>
      <c r="Z920" s="650"/>
      <c r="AA920" s="650"/>
      <c r="AB920" s="650"/>
      <c r="AC920" s="650"/>
      <c r="AD920" s="650"/>
      <c r="AE920" s="650"/>
      <c r="AF920" s="650"/>
      <c r="AG920" s="650"/>
      <c r="AH920" s="650"/>
      <c r="AI920" s="650"/>
      <c r="AJ920" s="650"/>
      <c r="AK920" s="650"/>
      <c r="AL920" s="650"/>
      <c r="AM920" s="650"/>
      <c r="AN920" s="650"/>
      <c r="AO920" s="650"/>
      <c r="AP920" s="650"/>
      <c r="AQ920" s="650"/>
      <c r="AR920" s="650"/>
      <c r="AS920" s="650"/>
      <c r="AT920" s="650"/>
      <c r="AU920" s="650"/>
      <c r="AV920" s="650"/>
      <c r="AW920" s="650"/>
      <c r="AX920" s="650"/>
      <c r="AY920" s="650"/>
    </row>
    <row r="921" ht="21.75" customHeight="1">
      <c r="A921" s="650"/>
      <c r="B921" s="650"/>
      <c r="C921" s="650"/>
      <c r="D921" s="650"/>
      <c r="E921" s="650"/>
      <c r="F921" s="650"/>
      <c r="G921" s="650"/>
      <c r="H921" s="650"/>
      <c r="I921" s="650"/>
      <c r="J921" s="650"/>
      <c r="K921" s="650"/>
      <c r="L921" s="650"/>
      <c r="M921" s="650"/>
      <c r="N921" s="650"/>
      <c r="O921" s="650"/>
      <c r="P921" s="650"/>
      <c r="Q921" s="650"/>
      <c r="R921" s="650"/>
      <c r="S921" s="650"/>
      <c r="T921" s="650"/>
      <c r="U921" s="650"/>
      <c r="V921" s="650"/>
      <c r="W921" s="650"/>
      <c r="X921" s="650"/>
      <c r="Y921" s="650"/>
      <c r="Z921" s="650"/>
      <c r="AA921" s="650"/>
      <c r="AB921" s="650"/>
      <c r="AC921" s="650"/>
      <c r="AD921" s="650"/>
      <c r="AE921" s="650"/>
      <c r="AF921" s="650"/>
      <c r="AG921" s="650"/>
      <c r="AH921" s="650"/>
      <c r="AI921" s="650"/>
      <c r="AJ921" s="650"/>
      <c r="AK921" s="650"/>
      <c r="AL921" s="650"/>
      <c r="AM921" s="650"/>
      <c r="AN921" s="650"/>
      <c r="AO921" s="650"/>
      <c r="AP921" s="650"/>
      <c r="AQ921" s="650"/>
      <c r="AR921" s="650"/>
      <c r="AS921" s="650"/>
      <c r="AT921" s="650"/>
      <c r="AU921" s="650"/>
      <c r="AV921" s="650"/>
      <c r="AW921" s="650"/>
      <c r="AX921" s="650"/>
      <c r="AY921" s="650"/>
    </row>
    <row r="922" ht="21.75" customHeight="1">
      <c r="A922" s="650"/>
      <c r="B922" s="650"/>
      <c r="C922" s="650"/>
      <c r="D922" s="650"/>
      <c r="E922" s="650"/>
      <c r="F922" s="650"/>
      <c r="G922" s="650"/>
      <c r="H922" s="650"/>
      <c r="I922" s="650"/>
      <c r="J922" s="650"/>
      <c r="K922" s="650"/>
      <c r="L922" s="650"/>
      <c r="M922" s="650"/>
      <c r="N922" s="650"/>
      <c r="O922" s="650"/>
      <c r="P922" s="650"/>
      <c r="Q922" s="650"/>
      <c r="R922" s="650"/>
      <c r="S922" s="650"/>
      <c r="T922" s="650"/>
      <c r="U922" s="650"/>
      <c r="V922" s="650"/>
      <c r="W922" s="650"/>
      <c r="X922" s="650"/>
      <c r="Y922" s="650"/>
      <c r="Z922" s="650"/>
      <c r="AA922" s="650"/>
      <c r="AB922" s="650"/>
      <c r="AC922" s="650"/>
      <c r="AD922" s="650"/>
      <c r="AE922" s="650"/>
      <c r="AF922" s="650"/>
      <c r="AG922" s="650"/>
      <c r="AH922" s="650"/>
      <c r="AI922" s="650"/>
      <c r="AJ922" s="650"/>
      <c r="AK922" s="650"/>
      <c r="AL922" s="650"/>
      <c r="AM922" s="650"/>
      <c r="AN922" s="650"/>
      <c r="AO922" s="650"/>
      <c r="AP922" s="650"/>
      <c r="AQ922" s="650"/>
      <c r="AR922" s="650"/>
      <c r="AS922" s="650"/>
      <c r="AT922" s="650"/>
      <c r="AU922" s="650"/>
      <c r="AV922" s="650"/>
      <c r="AW922" s="650"/>
      <c r="AX922" s="650"/>
      <c r="AY922" s="650"/>
    </row>
    <row r="923" ht="21.75" customHeight="1">
      <c r="A923" s="650"/>
      <c r="B923" s="650"/>
      <c r="C923" s="650"/>
      <c r="D923" s="650"/>
      <c r="E923" s="650"/>
      <c r="F923" s="650"/>
      <c r="G923" s="650"/>
      <c r="H923" s="650"/>
      <c r="I923" s="650"/>
      <c r="J923" s="650"/>
      <c r="K923" s="650"/>
      <c r="L923" s="650"/>
      <c r="M923" s="650"/>
      <c r="N923" s="650"/>
      <c r="O923" s="650"/>
      <c r="P923" s="650"/>
      <c r="Q923" s="650"/>
      <c r="R923" s="650"/>
      <c r="S923" s="650"/>
      <c r="T923" s="650"/>
      <c r="U923" s="650"/>
      <c r="V923" s="650"/>
      <c r="W923" s="650"/>
      <c r="X923" s="650"/>
      <c r="Y923" s="650"/>
      <c r="Z923" s="650"/>
      <c r="AA923" s="650"/>
      <c r="AB923" s="650"/>
      <c r="AC923" s="650"/>
      <c r="AD923" s="650"/>
      <c r="AE923" s="650"/>
      <c r="AF923" s="650"/>
      <c r="AG923" s="650"/>
      <c r="AH923" s="650"/>
      <c r="AI923" s="650"/>
      <c r="AJ923" s="650"/>
      <c r="AK923" s="650"/>
      <c r="AL923" s="650"/>
      <c r="AM923" s="650"/>
      <c r="AN923" s="650"/>
      <c r="AO923" s="650"/>
      <c r="AP923" s="650"/>
      <c r="AQ923" s="650"/>
      <c r="AR923" s="650"/>
      <c r="AS923" s="650"/>
      <c r="AT923" s="650"/>
      <c r="AU923" s="650"/>
      <c r="AV923" s="650"/>
      <c r="AW923" s="650"/>
      <c r="AX923" s="650"/>
      <c r="AY923" s="650"/>
    </row>
    <row r="924" ht="21.75" customHeight="1">
      <c r="A924" s="650"/>
      <c r="B924" s="650"/>
      <c r="C924" s="650"/>
      <c r="D924" s="650"/>
      <c r="E924" s="650"/>
      <c r="F924" s="650"/>
      <c r="G924" s="650"/>
      <c r="H924" s="650"/>
      <c r="I924" s="650"/>
      <c r="J924" s="650"/>
      <c r="K924" s="650"/>
      <c r="L924" s="650"/>
      <c r="M924" s="650"/>
      <c r="N924" s="650"/>
      <c r="O924" s="650"/>
      <c r="P924" s="650"/>
      <c r="Q924" s="650"/>
      <c r="R924" s="650"/>
      <c r="S924" s="650"/>
      <c r="T924" s="650"/>
      <c r="U924" s="650"/>
      <c r="V924" s="650"/>
      <c r="W924" s="650"/>
      <c r="X924" s="650"/>
      <c r="Y924" s="650"/>
      <c r="Z924" s="650"/>
      <c r="AA924" s="650"/>
      <c r="AB924" s="650"/>
      <c r="AC924" s="650"/>
      <c r="AD924" s="650"/>
      <c r="AE924" s="650"/>
      <c r="AF924" s="650"/>
      <c r="AG924" s="650"/>
      <c r="AH924" s="650"/>
      <c r="AI924" s="650"/>
      <c r="AJ924" s="650"/>
      <c r="AK924" s="650"/>
      <c r="AL924" s="650"/>
      <c r="AM924" s="650"/>
      <c r="AN924" s="650"/>
      <c r="AO924" s="650"/>
      <c r="AP924" s="650"/>
      <c r="AQ924" s="650"/>
      <c r="AR924" s="650"/>
      <c r="AS924" s="650"/>
      <c r="AT924" s="650"/>
      <c r="AU924" s="650"/>
      <c r="AV924" s="650"/>
      <c r="AW924" s="650"/>
      <c r="AX924" s="650"/>
      <c r="AY924" s="650"/>
    </row>
    <row r="925" ht="21.75" customHeight="1">
      <c r="A925" s="650"/>
      <c r="B925" s="650"/>
      <c r="C925" s="650"/>
      <c r="D925" s="650"/>
      <c r="E925" s="650"/>
      <c r="F925" s="650"/>
      <c r="G925" s="650"/>
      <c r="H925" s="650"/>
      <c r="I925" s="650"/>
      <c r="J925" s="650"/>
      <c r="K925" s="650"/>
      <c r="L925" s="650"/>
      <c r="M925" s="650"/>
      <c r="N925" s="650"/>
      <c r="O925" s="650"/>
      <c r="P925" s="650"/>
      <c r="Q925" s="650"/>
      <c r="R925" s="650"/>
      <c r="S925" s="650"/>
      <c r="T925" s="650"/>
      <c r="U925" s="650"/>
      <c r="V925" s="650"/>
      <c r="W925" s="650"/>
      <c r="X925" s="650"/>
      <c r="Y925" s="650"/>
      <c r="Z925" s="650"/>
      <c r="AA925" s="650"/>
      <c r="AB925" s="650"/>
      <c r="AC925" s="650"/>
      <c r="AD925" s="650"/>
      <c r="AE925" s="650"/>
      <c r="AF925" s="650"/>
      <c r="AG925" s="650"/>
      <c r="AH925" s="650"/>
      <c r="AI925" s="650"/>
      <c r="AJ925" s="650"/>
      <c r="AK925" s="650"/>
      <c r="AL925" s="650"/>
      <c r="AM925" s="650"/>
      <c r="AN925" s="650"/>
      <c r="AO925" s="650"/>
      <c r="AP925" s="650"/>
      <c r="AQ925" s="650"/>
      <c r="AR925" s="650"/>
      <c r="AS925" s="650"/>
      <c r="AT925" s="650"/>
      <c r="AU925" s="650"/>
      <c r="AV925" s="650"/>
      <c r="AW925" s="650"/>
      <c r="AX925" s="650"/>
      <c r="AY925" s="650"/>
    </row>
    <row r="926" ht="21.75" customHeight="1">
      <c r="A926" s="650"/>
      <c r="B926" s="650"/>
      <c r="C926" s="650"/>
      <c r="D926" s="650"/>
      <c r="E926" s="650"/>
      <c r="F926" s="650"/>
      <c r="G926" s="650"/>
      <c r="H926" s="650"/>
      <c r="I926" s="650"/>
      <c r="J926" s="650"/>
      <c r="K926" s="650"/>
      <c r="L926" s="650"/>
      <c r="M926" s="650"/>
      <c r="N926" s="650"/>
      <c r="O926" s="650"/>
      <c r="P926" s="650"/>
      <c r="Q926" s="650"/>
      <c r="R926" s="650"/>
      <c r="S926" s="650"/>
      <c r="T926" s="650"/>
      <c r="U926" s="650"/>
      <c r="V926" s="650"/>
      <c r="W926" s="650"/>
      <c r="X926" s="650"/>
      <c r="Y926" s="650"/>
      <c r="Z926" s="650"/>
      <c r="AA926" s="650"/>
      <c r="AB926" s="650"/>
      <c r="AC926" s="650"/>
      <c r="AD926" s="650"/>
      <c r="AE926" s="650"/>
      <c r="AF926" s="650"/>
      <c r="AG926" s="650"/>
      <c r="AH926" s="650"/>
      <c r="AI926" s="650"/>
      <c r="AJ926" s="650"/>
      <c r="AK926" s="650"/>
      <c r="AL926" s="650"/>
      <c r="AM926" s="650"/>
      <c r="AN926" s="650"/>
      <c r="AO926" s="650"/>
      <c r="AP926" s="650"/>
      <c r="AQ926" s="650"/>
      <c r="AR926" s="650"/>
      <c r="AS926" s="650"/>
      <c r="AT926" s="650"/>
      <c r="AU926" s="650"/>
      <c r="AV926" s="650"/>
      <c r="AW926" s="650"/>
      <c r="AX926" s="650"/>
      <c r="AY926" s="650"/>
    </row>
    <row r="927" ht="21.75" customHeight="1">
      <c r="A927" s="650"/>
      <c r="B927" s="650"/>
      <c r="C927" s="650"/>
      <c r="D927" s="650"/>
      <c r="E927" s="650"/>
      <c r="F927" s="650"/>
      <c r="G927" s="650"/>
      <c r="H927" s="650"/>
      <c r="I927" s="650"/>
      <c r="J927" s="650"/>
      <c r="K927" s="650"/>
      <c r="L927" s="650"/>
      <c r="M927" s="650"/>
      <c r="N927" s="650"/>
      <c r="O927" s="650"/>
      <c r="P927" s="650"/>
      <c r="Q927" s="650"/>
      <c r="R927" s="650"/>
      <c r="S927" s="650"/>
      <c r="T927" s="650"/>
      <c r="U927" s="650"/>
      <c r="V927" s="650"/>
      <c r="W927" s="650"/>
      <c r="X927" s="650"/>
      <c r="Y927" s="650"/>
      <c r="Z927" s="650"/>
      <c r="AA927" s="650"/>
      <c r="AB927" s="650"/>
      <c r="AC927" s="650"/>
      <c r="AD927" s="650"/>
      <c r="AE927" s="650"/>
      <c r="AF927" s="650"/>
      <c r="AG927" s="650"/>
      <c r="AH927" s="650"/>
      <c r="AI927" s="650"/>
      <c r="AJ927" s="650"/>
      <c r="AK927" s="650"/>
      <c r="AL927" s="650"/>
      <c r="AM927" s="650"/>
      <c r="AN927" s="650"/>
      <c r="AO927" s="650"/>
      <c r="AP927" s="650"/>
      <c r="AQ927" s="650"/>
      <c r="AR927" s="650"/>
      <c r="AS927" s="650"/>
      <c r="AT927" s="650"/>
      <c r="AU927" s="650"/>
      <c r="AV927" s="650"/>
      <c r="AW927" s="650"/>
      <c r="AX927" s="650"/>
      <c r="AY927" s="650"/>
    </row>
    <row r="928" ht="21.75" customHeight="1">
      <c r="A928" s="650"/>
      <c r="B928" s="650"/>
      <c r="C928" s="650"/>
      <c r="D928" s="650"/>
      <c r="E928" s="650"/>
      <c r="F928" s="650"/>
      <c r="G928" s="650"/>
      <c r="H928" s="650"/>
      <c r="I928" s="650"/>
      <c r="J928" s="650"/>
      <c r="K928" s="650"/>
      <c r="L928" s="650"/>
      <c r="M928" s="650"/>
      <c r="N928" s="650"/>
      <c r="O928" s="650"/>
      <c r="P928" s="650"/>
      <c r="Q928" s="650"/>
      <c r="R928" s="650"/>
      <c r="S928" s="650"/>
      <c r="T928" s="650"/>
      <c r="U928" s="650"/>
      <c r="V928" s="650"/>
      <c r="W928" s="650"/>
      <c r="X928" s="650"/>
      <c r="Y928" s="650"/>
      <c r="Z928" s="650"/>
      <c r="AA928" s="650"/>
      <c r="AB928" s="650"/>
      <c r="AC928" s="650"/>
      <c r="AD928" s="650"/>
      <c r="AE928" s="650"/>
      <c r="AF928" s="650"/>
      <c r="AG928" s="650"/>
      <c r="AH928" s="650"/>
      <c r="AI928" s="650"/>
      <c r="AJ928" s="650"/>
      <c r="AK928" s="650"/>
      <c r="AL928" s="650"/>
      <c r="AM928" s="650"/>
      <c r="AN928" s="650"/>
      <c r="AO928" s="650"/>
      <c r="AP928" s="650"/>
      <c r="AQ928" s="650"/>
      <c r="AR928" s="650"/>
      <c r="AS928" s="650"/>
      <c r="AT928" s="650"/>
      <c r="AU928" s="650"/>
      <c r="AV928" s="650"/>
      <c r="AW928" s="650"/>
      <c r="AX928" s="650"/>
      <c r="AY928" s="650"/>
    </row>
    <row r="929" ht="21.75" customHeight="1">
      <c r="A929" s="650"/>
      <c r="B929" s="650"/>
      <c r="C929" s="650"/>
      <c r="D929" s="650"/>
      <c r="E929" s="650"/>
      <c r="F929" s="650"/>
      <c r="G929" s="650"/>
      <c r="H929" s="650"/>
      <c r="I929" s="650"/>
      <c r="J929" s="650"/>
      <c r="K929" s="650"/>
      <c r="L929" s="650"/>
      <c r="M929" s="650"/>
      <c r="N929" s="650"/>
      <c r="O929" s="650"/>
      <c r="P929" s="650"/>
      <c r="Q929" s="650"/>
      <c r="R929" s="650"/>
      <c r="S929" s="650"/>
      <c r="T929" s="650"/>
      <c r="U929" s="650"/>
      <c r="V929" s="650"/>
      <c r="W929" s="650"/>
      <c r="X929" s="650"/>
      <c r="Y929" s="650"/>
      <c r="Z929" s="650"/>
      <c r="AA929" s="650"/>
      <c r="AB929" s="650"/>
      <c r="AC929" s="650"/>
      <c r="AD929" s="650"/>
      <c r="AE929" s="650"/>
      <c r="AF929" s="650"/>
      <c r="AG929" s="650"/>
      <c r="AH929" s="650"/>
      <c r="AI929" s="650"/>
      <c r="AJ929" s="650"/>
      <c r="AK929" s="650"/>
      <c r="AL929" s="650"/>
      <c r="AM929" s="650"/>
      <c r="AN929" s="650"/>
      <c r="AO929" s="650"/>
      <c r="AP929" s="650"/>
      <c r="AQ929" s="650"/>
      <c r="AR929" s="650"/>
      <c r="AS929" s="650"/>
      <c r="AT929" s="650"/>
      <c r="AU929" s="650"/>
      <c r="AV929" s="650"/>
      <c r="AW929" s="650"/>
      <c r="AX929" s="650"/>
      <c r="AY929" s="650"/>
    </row>
    <row r="930" ht="21.75" customHeight="1">
      <c r="A930" s="650"/>
      <c r="B930" s="650"/>
      <c r="C930" s="650"/>
      <c r="D930" s="650"/>
      <c r="E930" s="650"/>
      <c r="F930" s="650"/>
      <c r="G930" s="650"/>
      <c r="H930" s="650"/>
      <c r="I930" s="650"/>
      <c r="J930" s="650"/>
      <c r="K930" s="650"/>
      <c r="L930" s="650"/>
      <c r="M930" s="650"/>
      <c r="N930" s="650"/>
      <c r="O930" s="650"/>
      <c r="P930" s="650"/>
      <c r="Q930" s="650"/>
      <c r="R930" s="650"/>
      <c r="S930" s="650"/>
      <c r="T930" s="650"/>
      <c r="U930" s="650"/>
      <c r="V930" s="650"/>
      <c r="W930" s="650"/>
      <c r="X930" s="650"/>
      <c r="Y930" s="650"/>
      <c r="Z930" s="650"/>
      <c r="AA930" s="650"/>
      <c r="AB930" s="650"/>
      <c r="AC930" s="650"/>
      <c r="AD930" s="650"/>
      <c r="AE930" s="650"/>
      <c r="AF930" s="650"/>
      <c r="AG930" s="650"/>
      <c r="AH930" s="650"/>
      <c r="AI930" s="650"/>
      <c r="AJ930" s="650"/>
      <c r="AK930" s="650"/>
      <c r="AL930" s="650"/>
      <c r="AM930" s="650"/>
      <c r="AN930" s="650"/>
      <c r="AO930" s="650"/>
      <c r="AP930" s="650"/>
      <c r="AQ930" s="650"/>
      <c r="AR930" s="650"/>
      <c r="AS930" s="650"/>
      <c r="AT930" s="650"/>
      <c r="AU930" s="650"/>
      <c r="AV930" s="650"/>
      <c r="AW930" s="650"/>
      <c r="AX930" s="650"/>
      <c r="AY930" s="650"/>
    </row>
    <row r="931" ht="21.75" customHeight="1">
      <c r="A931" s="650"/>
      <c r="B931" s="650"/>
      <c r="C931" s="650"/>
      <c r="D931" s="650"/>
      <c r="E931" s="650"/>
      <c r="F931" s="650"/>
      <c r="G931" s="650"/>
      <c r="H931" s="650"/>
      <c r="I931" s="650"/>
      <c r="J931" s="650"/>
      <c r="K931" s="650"/>
      <c r="L931" s="650"/>
      <c r="M931" s="650"/>
      <c r="N931" s="650"/>
      <c r="O931" s="650"/>
      <c r="P931" s="650"/>
      <c r="Q931" s="650"/>
      <c r="R931" s="650"/>
      <c r="S931" s="650"/>
      <c r="T931" s="650"/>
      <c r="U931" s="650"/>
      <c r="V931" s="650"/>
      <c r="W931" s="650"/>
      <c r="X931" s="650"/>
      <c r="Y931" s="650"/>
      <c r="Z931" s="650"/>
      <c r="AA931" s="650"/>
      <c r="AB931" s="650"/>
      <c r="AC931" s="650"/>
      <c r="AD931" s="650"/>
      <c r="AE931" s="650"/>
      <c r="AF931" s="650"/>
      <c r="AG931" s="650"/>
      <c r="AH931" s="650"/>
      <c r="AI931" s="650"/>
      <c r="AJ931" s="650"/>
      <c r="AK931" s="650"/>
      <c r="AL931" s="650"/>
      <c r="AM931" s="650"/>
      <c r="AN931" s="650"/>
      <c r="AO931" s="650"/>
      <c r="AP931" s="650"/>
      <c r="AQ931" s="650"/>
      <c r="AR931" s="650"/>
      <c r="AS931" s="650"/>
      <c r="AT931" s="650"/>
      <c r="AU931" s="650"/>
      <c r="AV931" s="650"/>
      <c r="AW931" s="650"/>
      <c r="AX931" s="650"/>
      <c r="AY931" s="650"/>
    </row>
    <row r="932" ht="21.75" customHeight="1">
      <c r="A932" s="650"/>
      <c r="B932" s="650"/>
      <c r="C932" s="650"/>
      <c r="D932" s="650"/>
      <c r="E932" s="650"/>
      <c r="F932" s="650"/>
      <c r="G932" s="650"/>
      <c r="H932" s="650"/>
      <c r="I932" s="650"/>
      <c r="J932" s="650"/>
      <c r="K932" s="650"/>
      <c r="L932" s="650"/>
      <c r="M932" s="650"/>
      <c r="N932" s="650"/>
      <c r="O932" s="650"/>
      <c r="P932" s="650"/>
      <c r="Q932" s="650"/>
      <c r="R932" s="650"/>
      <c r="S932" s="650"/>
      <c r="T932" s="650"/>
      <c r="U932" s="650"/>
      <c r="V932" s="650"/>
      <c r="W932" s="650"/>
      <c r="X932" s="650"/>
      <c r="Y932" s="650"/>
      <c r="Z932" s="650"/>
      <c r="AA932" s="650"/>
      <c r="AB932" s="650"/>
      <c r="AC932" s="650"/>
      <c r="AD932" s="650"/>
      <c r="AE932" s="650"/>
      <c r="AF932" s="650"/>
      <c r="AG932" s="650"/>
      <c r="AH932" s="650"/>
      <c r="AI932" s="650"/>
      <c r="AJ932" s="650"/>
      <c r="AK932" s="650"/>
      <c r="AL932" s="650"/>
      <c r="AM932" s="650"/>
      <c r="AN932" s="650"/>
      <c r="AO932" s="650"/>
      <c r="AP932" s="650"/>
      <c r="AQ932" s="650"/>
      <c r="AR932" s="650"/>
      <c r="AS932" s="650"/>
      <c r="AT932" s="650"/>
      <c r="AU932" s="650"/>
      <c r="AV932" s="650"/>
      <c r="AW932" s="650"/>
      <c r="AX932" s="650"/>
      <c r="AY932" s="650"/>
    </row>
    <row r="933" ht="21.75" customHeight="1">
      <c r="A933" s="650"/>
      <c r="B933" s="650"/>
      <c r="C933" s="650"/>
      <c r="D933" s="650"/>
      <c r="E933" s="650"/>
      <c r="F933" s="650"/>
      <c r="G933" s="650"/>
      <c r="H933" s="650"/>
      <c r="I933" s="650"/>
      <c r="J933" s="650"/>
      <c r="K933" s="650"/>
      <c r="L933" s="650"/>
      <c r="M933" s="650"/>
      <c r="N933" s="650"/>
      <c r="O933" s="650"/>
      <c r="P933" s="650"/>
      <c r="Q933" s="650"/>
      <c r="R933" s="650"/>
      <c r="S933" s="650"/>
      <c r="T933" s="650"/>
      <c r="U933" s="650"/>
      <c r="V933" s="650"/>
      <c r="W933" s="650"/>
      <c r="X933" s="650"/>
      <c r="Y933" s="650"/>
      <c r="Z933" s="650"/>
      <c r="AA933" s="650"/>
      <c r="AB933" s="650"/>
      <c r="AC933" s="650"/>
      <c r="AD933" s="650"/>
      <c r="AE933" s="650"/>
      <c r="AF933" s="650"/>
      <c r="AG933" s="650"/>
      <c r="AH933" s="650"/>
      <c r="AI933" s="650"/>
      <c r="AJ933" s="650"/>
      <c r="AK933" s="650"/>
      <c r="AL933" s="650"/>
      <c r="AM933" s="650"/>
      <c r="AN933" s="650"/>
      <c r="AO933" s="650"/>
      <c r="AP933" s="650"/>
      <c r="AQ933" s="650"/>
      <c r="AR933" s="650"/>
      <c r="AS933" s="650"/>
      <c r="AT933" s="650"/>
      <c r="AU933" s="650"/>
      <c r="AV933" s="650"/>
      <c r="AW933" s="650"/>
      <c r="AX933" s="650"/>
      <c r="AY933" s="650"/>
    </row>
    <row r="934" ht="21.75" customHeight="1">
      <c r="A934" s="650"/>
      <c r="B934" s="650"/>
      <c r="C934" s="650"/>
      <c r="D934" s="650"/>
      <c r="E934" s="650"/>
      <c r="F934" s="650"/>
      <c r="G934" s="650"/>
      <c r="H934" s="650"/>
      <c r="I934" s="650"/>
      <c r="J934" s="650"/>
      <c r="K934" s="650"/>
      <c r="L934" s="650"/>
      <c r="M934" s="650"/>
      <c r="N934" s="650"/>
      <c r="O934" s="650"/>
      <c r="P934" s="650"/>
      <c r="Q934" s="650"/>
      <c r="R934" s="650"/>
      <c r="S934" s="650"/>
      <c r="T934" s="650"/>
      <c r="U934" s="650"/>
      <c r="V934" s="650"/>
      <c r="W934" s="650"/>
      <c r="X934" s="650"/>
      <c r="Y934" s="650"/>
      <c r="Z934" s="650"/>
      <c r="AA934" s="650"/>
      <c r="AB934" s="650"/>
      <c r="AC934" s="650"/>
      <c r="AD934" s="650"/>
      <c r="AE934" s="650"/>
      <c r="AF934" s="650"/>
      <c r="AG934" s="650"/>
      <c r="AH934" s="650"/>
      <c r="AI934" s="650"/>
      <c r="AJ934" s="650"/>
      <c r="AK934" s="650"/>
      <c r="AL934" s="650"/>
      <c r="AM934" s="650"/>
      <c r="AN934" s="650"/>
      <c r="AO934" s="650"/>
      <c r="AP934" s="650"/>
      <c r="AQ934" s="650"/>
      <c r="AR934" s="650"/>
      <c r="AS934" s="650"/>
      <c r="AT934" s="650"/>
      <c r="AU934" s="650"/>
      <c r="AV934" s="650"/>
      <c r="AW934" s="650"/>
      <c r="AX934" s="650"/>
      <c r="AY934" s="650"/>
    </row>
    <row r="935" ht="21.75" customHeight="1">
      <c r="A935" s="650"/>
      <c r="B935" s="650"/>
      <c r="C935" s="650"/>
      <c r="D935" s="650"/>
      <c r="E935" s="650"/>
      <c r="F935" s="650"/>
      <c r="G935" s="650"/>
      <c r="H935" s="650"/>
      <c r="I935" s="650"/>
      <c r="J935" s="650"/>
      <c r="K935" s="650"/>
      <c r="L935" s="650"/>
      <c r="M935" s="650"/>
      <c r="N935" s="650"/>
      <c r="O935" s="650"/>
      <c r="P935" s="650"/>
      <c r="Q935" s="650"/>
      <c r="R935" s="650"/>
      <c r="S935" s="650"/>
      <c r="T935" s="650"/>
      <c r="U935" s="650"/>
      <c r="V935" s="650"/>
      <c r="W935" s="650"/>
      <c r="X935" s="650"/>
      <c r="Y935" s="650"/>
      <c r="Z935" s="650"/>
      <c r="AA935" s="650"/>
      <c r="AB935" s="650"/>
      <c r="AC935" s="650"/>
      <c r="AD935" s="650"/>
      <c r="AE935" s="650"/>
      <c r="AF935" s="650"/>
      <c r="AG935" s="650"/>
      <c r="AH935" s="650"/>
      <c r="AI935" s="650"/>
      <c r="AJ935" s="650"/>
      <c r="AK935" s="650"/>
      <c r="AL935" s="650"/>
      <c r="AM935" s="650"/>
      <c r="AN935" s="650"/>
      <c r="AO935" s="650"/>
      <c r="AP935" s="650"/>
      <c r="AQ935" s="650"/>
      <c r="AR935" s="650"/>
      <c r="AS935" s="650"/>
      <c r="AT935" s="650"/>
      <c r="AU935" s="650"/>
      <c r="AV935" s="650"/>
      <c r="AW935" s="650"/>
      <c r="AX935" s="650"/>
      <c r="AY935" s="650"/>
    </row>
    <row r="936" ht="21.75" customHeight="1">
      <c r="A936" s="650"/>
      <c r="B936" s="650"/>
      <c r="C936" s="650"/>
      <c r="D936" s="650"/>
      <c r="E936" s="650"/>
      <c r="F936" s="650"/>
      <c r="G936" s="650"/>
      <c r="H936" s="650"/>
      <c r="I936" s="650"/>
      <c r="J936" s="650"/>
      <c r="K936" s="650"/>
      <c r="L936" s="650"/>
      <c r="M936" s="650"/>
      <c r="N936" s="650"/>
      <c r="O936" s="650"/>
      <c r="P936" s="650"/>
      <c r="Q936" s="650"/>
      <c r="R936" s="650"/>
      <c r="S936" s="650"/>
      <c r="T936" s="650"/>
      <c r="U936" s="650"/>
      <c r="V936" s="650"/>
      <c r="W936" s="650"/>
      <c r="X936" s="650"/>
      <c r="Y936" s="650"/>
      <c r="Z936" s="650"/>
      <c r="AA936" s="650"/>
      <c r="AB936" s="650"/>
      <c r="AC936" s="650"/>
      <c r="AD936" s="650"/>
      <c r="AE936" s="650"/>
      <c r="AF936" s="650"/>
      <c r="AG936" s="650"/>
      <c r="AH936" s="650"/>
      <c r="AI936" s="650"/>
      <c r="AJ936" s="650"/>
      <c r="AK936" s="650"/>
      <c r="AL936" s="650"/>
      <c r="AM936" s="650"/>
      <c r="AN936" s="650"/>
      <c r="AO936" s="650"/>
      <c r="AP936" s="650"/>
      <c r="AQ936" s="650"/>
      <c r="AR936" s="650"/>
      <c r="AS936" s="650"/>
      <c r="AT936" s="650"/>
      <c r="AU936" s="650"/>
      <c r="AV936" s="650"/>
      <c r="AW936" s="650"/>
      <c r="AX936" s="650"/>
      <c r="AY936" s="650"/>
    </row>
    <row r="937" ht="21.75" customHeight="1">
      <c r="A937" s="650"/>
      <c r="B937" s="650"/>
      <c r="C937" s="650"/>
      <c r="D937" s="650"/>
      <c r="E937" s="650"/>
      <c r="F937" s="650"/>
      <c r="G937" s="650"/>
      <c r="H937" s="650"/>
      <c r="I937" s="650"/>
      <c r="J937" s="650"/>
      <c r="K937" s="650"/>
      <c r="L937" s="650"/>
      <c r="M937" s="650"/>
      <c r="N937" s="650"/>
      <c r="O937" s="650"/>
      <c r="P937" s="650"/>
      <c r="Q937" s="650"/>
      <c r="R937" s="650"/>
      <c r="S937" s="650"/>
      <c r="T937" s="650"/>
      <c r="U937" s="650"/>
      <c r="V937" s="650"/>
      <c r="W937" s="650"/>
      <c r="X937" s="650"/>
      <c r="Y937" s="650"/>
      <c r="Z937" s="650"/>
      <c r="AA937" s="650"/>
      <c r="AB937" s="650"/>
      <c r="AC937" s="650"/>
      <c r="AD937" s="650"/>
      <c r="AE937" s="650"/>
      <c r="AF937" s="650"/>
      <c r="AG937" s="650"/>
      <c r="AH937" s="650"/>
      <c r="AI937" s="650"/>
      <c r="AJ937" s="650"/>
      <c r="AK937" s="650"/>
      <c r="AL937" s="650"/>
      <c r="AM937" s="650"/>
      <c r="AN937" s="650"/>
      <c r="AO937" s="650"/>
      <c r="AP937" s="650"/>
      <c r="AQ937" s="650"/>
      <c r="AR937" s="650"/>
      <c r="AS937" s="650"/>
      <c r="AT937" s="650"/>
      <c r="AU937" s="650"/>
      <c r="AV937" s="650"/>
      <c r="AW937" s="650"/>
      <c r="AX937" s="650"/>
      <c r="AY937" s="650"/>
    </row>
    <row r="938" ht="21.75" customHeight="1">
      <c r="A938" s="650"/>
      <c r="B938" s="650"/>
      <c r="C938" s="650"/>
      <c r="D938" s="650"/>
      <c r="E938" s="650"/>
      <c r="F938" s="650"/>
      <c r="G938" s="650"/>
      <c r="H938" s="650"/>
      <c r="I938" s="650"/>
      <c r="J938" s="650"/>
      <c r="K938" s="650"/>
      <c r="L938" s="650"/>
      <c r="M938" s="650"/>
      <c r="N938" s="650"/>
      <c r="O938" s="650"/>
      <c r="P938" s="650"/>
      <c r="Q938" s="650"/>
      <c r="R938" s="650"/>
      <c r="S938" s="650"/>
      <c r="T938" s="650"/>
      <c r="U938" s="650"/>
      <c r="V938" s="650"/>
      <c r="W938" s="650"/>
      <c r="X938" s="650"/>
      <c r="Y938" s="650"/>
      <c r="Z938" s="650"/>
      <c r="AA938" s="650"/>
      <c r="AB938" s="650"/>
      <c r="AC938" s="650"/>
      <c r="AD938" s="650"/>
      <c r="AE938" s="650"/>
      <c r="AF938" s="650"/>
      <c r="AG938" s="650"/>
      <c r="AH938" s="650"/>
      <c r="AI938" s="650"/>
      <c r="AJ938" s="650"/>
      <c r="AK938" s="650"/>
      <c r="AL938" s="650"/>
      <c r="AM938" s="650"/>
      <c r="AN938" s="650"/>
      <c r="AO938" s="650"/>
      <c r="AP938" s="650"/>
      <c r="AQ938" s="650"/>
      <c r="AR938" s="650"/>
      <c r="AS938" s="650"/>
      <c r="AT938" s="650"/>
      <c r="AU938" s="650"/>
      <c r="AV938" s="650"/>
      <c r="AW938" s="650"/>
      <c r="AX938" s="650"/>
      <c r="AY938" s="650"/>
    </row>
    <row r="939" ht="21.75" customHeight="1">
      <c r="A939" s="650"/>
      <c r="B939" s="650"/>
      <c r="C939" s="650"/>
      <c r="D939" s="650"/>
      <c r="E939" s="650"/>
      <c r="F939" s="650"/>
      <c r="G939" s="650"/>
      <c r="H939" s="650"/>
      <c r="I939" s="650"/>
      <c r="J939" s="650"/>
      <c r="K939" s="650"/>
      <c r="L939" s="650"/>
      <c r="M939" s="650"/>
      <c r="N939" s="650"/>
      <c r="O939" s="650"/>
      <c r="P939" s="650"/>
      <c r="Q939" s="650"/>
      <c r="R939" s="650"/>
      <c r="S939" s="650"/>
      <c r="T939" s="650"/>
      <c r="U939" s="650"/>
      <c r="V939" s="650"/>
      <c r="W939" s="650"/>
      <c r="X939" s="650"/>
      <c r="Y939" s="650"/>
      <c r="Z939" s="650"/>
      <c r="AA939" s="650"/>
      <c r="AB939" s="650"/>
      <c r="AC939" s="650"/>
      <c r="AD939" s="650"/>
      <c r="AE939" s="650"/>
      <c r="AF939" s="650"/>
      <c r="AG939" s="650"/>
      <c r="AH939" s="650"/>
      <c r="AI939" s="650"/>
      <c r="AJ939" s="650"/>
      <c r="AK939" s="650"/>
      <c r="AL939" s="650"/>
      <c r="AM939" s="650"/>
      <c r="AN939" s="650"/>
      <c r="AO939" s="650"/>
      <c r="AP939" s="650"/>
      <c r="AQ939" s="650"/>
      <c r="AR939" s="650"/>
      <c r="AS939" s="650"/>
      <c r="AT939" s="650"/>
      <c r="AU939" s="650"/>
      <c r="AV939" s="650"/>
      <c r="AW939" s="650"/>
      <c r="AX939" s="650"/>
      <c r="AY939" s="650"/>
    </row>
    <row r="940" ht="21.75" customHeight="1">
      <c r="A940" s="650"/>
      <c r="B940" s="650"/>
      <c r="C940" s="650"/>
      <c r="D940" s="650"/>
      <c r="E940" s="650"/>
      <c r="F940" s="650"/>
      <c r="G940" s="650"/>
      <c r="H940" s="650"/>
      <c r="I940" s="650"/>
      <c r="J940" s="650"/>
      <c r="K940" s="650"/>
      <c r="L940" s="650"/>
      <c r="M940" s="650"/>
      <c r="N940" s="650"/>
      <c r="O940" s="650"/>
      <c r="P940" s="650"/>
      <c r="Q940" s="650"/>
      <c r="R940" s="650"/>
      <c r="S940" s="650"/>
      <c r="T940" s="650"/>
      <c r="U940" s="650"/>
      <c r="V940" s="650"/>
      <c r="W940" s="650"/>
      <c r="X940" s="650"/>
      <c r="Y940" s="650"/>
      <c r="Z940" s="650"/>
      <c r="AA940" s="650"/>
      <c r="AB940" s="650"/>
      <c r="AC940" s="650"/>
      <c r="AD940" s="650"/>
      <c r="AE940" s="650"/>
      <c r="AF940" s="650"/>
      <c r="AG940" s="650"/>
      <c r="AH940" s="650"/>
      <c r="AI940" s="650"/>
      <c r="AJ940" s="650"/>
      <c r="AK940" s="650"/>
      <c r="AL940" s="650"/>
      <c r="AM940" s="650"/>
      <c r="AN940" s="650"/>
      <c r="AO940" s="650"/>
      <c r="AP940" s="650"/>
      <c r="AQ940" s="650"/>
      <c r="AR940" s="650"/>
      <c r="AS940" s="650"/>
      <c r="AT940" s="650"/>
      <c r="AU940" s="650"/>
      <c r="AV940" s="650"/>
      <c r="AW940" s="650"/>
      <c r="AX940" s="650"/>
      <c r="AY940" s="650"/>
    </row>
    <row r="941" ht="21.75" customHeight="1">
      <c r="A941" s="650"/>
      <c r="B941" s="650"/>
      <c r="C941" s="650"/>
      <c r="D941" s="650"/>
      <c r="E941" s="650"/>
      <c r="F941" s="650"/>
      <c r="G941" s="650"/>
      <c r="H941" s="650"/>
      <c r="I941" s="650"/>
      <c r="J941" s="650"/>
      <c r="K941" s="650"/>
      <c r="L941" s="650"/>
      <c r="M941" s="650"/>
      <c r="N941" s="650"/>
      <c r="O941" s="650"/>
      <c r="P941" s="650"/>
      <c r="Q941" s="650"/>
      <c r="R941" s="650"/>
      <c r="S941" s="650"/>
      <c r="T941" s="650"/>
      <c r="U941" s="650"/>
      <c r="V941" s="650"/>
      <c r="W941" s="650"/>
      <c r="X941" s="650"/>
      <c r="Y941" s="650"/>
      <c r="Z941" s="650"/>
      <c r="AA941" s="650"/>
      <c r="AB941" s="650"/>
      <c r="AC941" s="650"/>
      <c r="AD941" s="650"/>
      <c r="AE941" s="650"/>
      <c r="AF941" s="650"/>
      <c r="AG941" s="650"/>
      <c r="AH941" s="650"/>
      <c r="AI941" s="650"/>
      <c r="AJ941" s="650"/>
      <c r="AK941" s="650"/>
      <c r="AL941" s="650"/>
      <c r="AM941" s="650"/>
      <c r="AN941" s="650"/>
      <c r="AO941" s="650"/>
      <c r="AP941" s="650"/>
      <c r="AQ941" s="650"/>
      <c r="AR941" s="650"/>
      <c r="AS941" s="650"/>
      <c r="AT941" s="650"/>
      <c r="AU941" s="650"/>
      <c r="AV941" s="650"/>
      <c r="AW941" s="650"/>
      <c r="AX941" s="650"/>
      <c r="AY941" s="650"/>
    </row>
    <row r="942" ht="21.75" customHeight="1">
      <c r="A942" s="650"/>
      <c r="B942" s="650"/>
      <c r="C942" s="650"/>
      <c r="D942" s="650"/>
      <c r="E942" s="650"/>
      <c r="F942" s="650"/>
      <c r="G942" s="650"/>
      <c r="H942" s="650"/>
      <c r="I942" s="650"/>
      <c r="J942" s="650"/>
      <c r="K942" s="650"/>
      <c r="L942" s="650"/>
      <c r="M942" s="650"/>
      <c r="N942" s="650"/>
      <c r="O942" s="650"/>
      <c r="P942" s="650"/>
      <c r="Q942" s="650"/>
      <c r="R942" s="650"/>
      <c r="S942" s="650"/>
      <c r="T942" s="650"/>
      <c r="U942" s="650"/>
      <c r="V942" s="650"/>
      <c r="W942" s="650"/>
      <c r="X942" s="650"/>
      <c r="Y942" s="650"/>
      <c r="Z942" s="650"/>
      <c r="AA942" s="650"/>
      <c r="AB942" s="650"/>
      <c r="AC942" s="650"/>
      <c r="AD942" s="650"/>
      <c r="AE942" s="650"/>
      <c r="AF942" s="650"/>
      <c r="AG942" s="650"/>
      <c r="AH942" s="650"/>
      <c r="AI942" s="650"/>
      <c r="AJ942" s="650"/>
      <c r="AK942" s="650"/>
      <c r="AL942" s="650"/>
      <c r="AM942" s="650"/>
      <c r="AN942" s="650"/>
      <c r="AO942" s="650"/>
      <c r="AP942" s="650"/>
      <c r="AQ942" s="650"/>
      <c r="AR942" s="650"/>
      <c r="AS942" s="650"/>
      <c r="AT942" s="650"/>
      <c r="AU942" s="650"/>
      <c r="AV942" s="650"/>
      <c r="AW942" s="650"/>
      <c r="AX942" s="650"/>
      <c r="AY942" s="650"/>
    </row>
    <row r="943" ht="21.75" customHeight="1">
      <c r="A943" s="650"/>
      <c r="B943" s="650"/>
      <c r="C943" s="650"/>
      <c r="D943" s="650"/>
      <c r="E943" s="650"/>
      <c r="F943" s="650"/>
      <c r="G943" s="650"/>
      <c r="H943" s="650"/>
      <c r="I943" s="650"/>
      <c r="J943" s="650"/>
      <c r="K943" s="650"/>
      <c r="L943" s="650"/>
      <c r="M943" s="650"/>
      <c r="N943" s="650"/>
      <c r="O943" s="650"/>
      <c r="P943" s="650"/>
      <c r="Q943" s="650"/>
      <c r="R943" s="650"/>
      <c r="S943" s="650"/>
      <c r="T943" s="650"/>
      <c r="U943" s="650"/>
      <c r="V943" s="650"/>
      <c r="W943" s="650"/>
      <c r="X943" s="650"/>
      <c r="Y943" s="650"/>
      <c r="Z943" s="650"/>
      <c r="AA943" s="650"/>
      <c r="AB943" s="650"/>
      <c r="AC943" s="650"/>
      <c r="AD943" s="650"/>
      <c r="AE943" s="650"/>
      <c r="AF943" s="650"/>
      <c r="AG943" s="650"/>
      <c r="AH943" s="650"/>
      <c r="AI943" s="650"/>
      <c r="AJ943" s="650"/>
      <c r="AK943" s="650"/>
      <c r="AL943" s="650"/>
      <c r="AM943" s="650"/>
      <c r="AN943" s="650"/>
      <c r="AO943" s="650"/>
      <c r="AP943" s="650"/>
      <c r="AQ943" s="650"/>
      <c r="AR943" s="650"/>
      <c r="AS943" s="650"/>
      <c r="AT943" s="650"/>
      <c r="AU943" s="650"/>
      <c r="AV943" s="650"/>
      <c r="AW943" s="650"/>
      <c r="AX943" s="650"/>
      <c r="AY943" s="650"/>
    </row>
    <row r="944" ht="21.75" customHeight="1">
      <c r="A944" s="650"/>
      <c r="B944" s="650"/>
      <c r="C944" s="650"/>
      <c r="D944" s="650"/>
      <c r="E944" s="650"/>
      <c r="F944" s="650"/>
      <c r="G944" s="650"/>
      <c r="H944" s="650"/>
      <c r="I944" s="650"/>
      <c r="J944" s="650"/>
      <c r="K944" s="650"/>
      <c r="L944" s="650"/>
      <c r="M944" s="650"/>
      <c r="N944" s="650"/>
      <c r="O944" s="650"/>
      <c r="P944" s="650"/>
      <c r="Q944" s="650"/>
      <c r="R944" s="650"/>
      <c r="S944" s="650"/>
      <c r="T944" s="650"/>
      <c r="U944" s="650"/>
      <c r="V944" s="650"/>
      <c r="W944" s="650"/>
      <c r="X944" s="650"/>
      <c r="Y944" s="650"/>
      <c r="Z944" s="650"/>
      <c r="AA944" s="650"/>
      <c r="AB944" s="650"/>
      <c r="AC944" s="650"/>
      <c r="AD944" s="650"/>
      <c r="AE944" s="650"/>
      <c r="AF944" s="650"/>
      <c r="AG944" s="650"/>
      <c r="AH944" s="650"/>
      <c r="AI944" s="650"/>
      <c r="AJ944" s="650"/>
      <c r="AK944" s="650"/>
      <c r="AL944" s="650"/>
      <c r="AM944" s="650"/>
      <c r="AN944" s="650"/>
      <c r="AO944" s="650"/>
      <c r="AP944" s="650"/>
      <c r="AQ944" s="650"/>
      <c r="AR944" s="650"/>
      <c r="AS944" s="650"/>
      <c r="AT944" s="650"/>
      <c r="AU944" s="650"/>
      <c r="AV944" s="650"/>
      <c r="AW944" s="650"/>
      <c r="AX944" s="650"/>
      <c r="AY944" s="650"/>
    </row>
    <row r="945" ht="21.75" customHeight="1">
      <c r="A945" s="650"/>
      <c r="B945" s="650"/>
      <c r="C945" s="650"/>
      <c r="D945" s="650"/>
      <c r="E945" s="650"/>
      <c r="F945" s="650"/>
      <c r="G945" s="650"/>
      <c r="H945" s="650"/>
      <c r="I945" s="650"/>
      <c r="J945" s="650"/>
      <c r="K945" s="650"/>
      <c r="L945" s="650"/>
      <c r="M945" s="650"/>
      <c r="N945" s="650"/>
      <c r="O945" s="650"/>
      <c r="P945" s="650"/>
      <c r="Q945" s="650"/>
      <c r="R945" s="650"/>
      <c r="S945" s="650"/>
      <c r="T945" s="650"/>
      <c r="U945" s="650"/>
      <c r="V945" s="650"/>
      <c r="W945" s="650"/>
      <c r="X945" s="650"/>
      <c r="Y945" s="650"/>
      <c r="Z945" s="650"/>
      <c r="AA945" s="650"/>
      <c r="AB945" s="650"/>
      <c r="AC945" s="650"/>
      <c r="AD945" s="650"/>
      <c r="AE945" s="650"/>
      <c r="AF945" s="650"/>
      <c r="AG945" s="650"/>
      <c r="AH945" s="650"/>
      <c r="AI945" s="650"/>
      <c r="AJ945" s="650"/>
      <c r="AK945" s="650"/>
      <c r="AL945" s="650"/>
      <c r="AM945" s="650"/>
      <c r="AN945" s="650"/>
      <c r="AO945" s="650"/>
      <c r="AP945" s="650"/>
      <c r="AQ945" s="650"/>
      <c r="AR945" s="650"/>
      <c r="AS945" s="650"/>
      <c r="AT945" s="650"/>
      <c r="AU945" s="650"/>
      <c r="AV945" s="650"/>
      <c r="AW945" s="650"/>
      <c r="AX945" s="650"/>
      <c r="AY945" s="650"/>
    </row>
    <row r="946" ht="21.75" customHeight="1">
      <c r="A946" s="650"/>
      <c r="B946" s="650"/>
      <c r="C946" s="650"/>
      <c r="D946" s="650"/>
      <c r="E946" s="650"/>
      <c r="F946" s="650"/>
      <c r="G946" s="650"/>
      <c r="H946" s="650"/>
      <c r="I946" s="650"/>
      <c r="J946" s="650"/>
      <c r="K946" s="650"/>
      <c r="L946" s="650"/>
      <c r="M946" s="650"/>
      <c r="N946" s="650"/>
      <c r="O946" s="650"/>
      <c r="P946" s="650"/>
      <c r="Q946" s="650"/>
      <c r="R946" s="650"/>
      <c r="S946" s="650"/>
      <c r="T946" s="650"/>
      <c r="U946" s="650"/>
      <c r="V946" s="650"/>
      <c r="W946" s="650"/>
      <c r="X946" s="650"/>
      <c r="Y946" s="650"/>
      <c r="Z946" s="650"/>
      <c r="AA946" s="650"/>
      <c r="AB946" s="650"/>
      <c r="AC946" s="650"/>
      <c r="AD946" s="650"/>
      <c r="AE946" s="650"/>
      <c r="AF946" s="650"/>
      <c r="AG946" s="650"/>
      <c r="AH946" s="650"/>
      <c r="AI946" s="650"/>
      <c r="AJ946" s="650"/>
      <c r="AK946" s="650"/>
      <c r="AL946" s="650"/>
      <c r="AM946" s="650"/>
      <c r="AN946" s="650"/>
      <c r="AO946" s="650"/>
      <c r="AP946" s="650"/>
      <c r="AQ946" s="650"/>
      <c r="AR946" s="650"/>
      <c r="AS946" s="650"/>
      <c r="AT946" s="650"/>
      <c r="AU946" s="650"/>
      <c r="AV946" s="650"/>
      <c r="AW946" s="650"/>
      <c r="AX946" s="650"/>
      <c r="AY946" s="650"/>
    </row>
    <row r="947" ht="21.75" customHeight="1">
      <c r="A947" s="650"/>
      <c r="B947" s="650"/>
      <c r="C947" s="650"/>
      <c r="D947" s="650"/>
      <c r="E947" s="650"/>
      <c r="F947" s="650"/>
      <c r="G947" s="650"/>
      <c r="H947" s="650"/>
      <c r="I947" s="650"/>
      <c r="J947" s="650"/>
      <c r="K947" s="650"/>
      <c r="L947" s="650"/>
      <c r="M947" s="650"/>
      <c r="N947" s="650"/>
      <c r="O947" s="650"/>
      <c r="P947" s="650"/>
      <c r="Q947" s="650"/>
      <c r="R947" s="650"/>
      <c r="S947" s="650"/>
      <c r="T947" s="650"/>
      <c r="U947" s="650"/>
      <c r="V947" s="650"/>
      <c r="W947" s="650"/>
      <c r="X947" s="650"/>
      <c r="Y947" s="650"/>
      <c r="Z947" s="650"/>
      <c r="AA947" s="650"/>
      <c r="AB947" s="650"/>
      <c r="AC947" s="650"/>
      <c r="AD947" s="650"/>
      <c r="AE947" s="650"/>
      <c r="AF947" s="650"/>
      <c r="AG947" s="650"/>
      <c r="AH947" s="650"/>
      <c r="AI947" s="650"/>
      <c r="AJ947" s="650"/>
      <c r="AK947" s="650"/>
      <c r="AL947" s="650"/>
      <c r="AM947" s="650"/>
      <c r="AN947" s="650"/>
      <c r="AO947" s="650"/>
      <c r="AP947" s="650"/>
      <c r="AQ947" s="650"/>
      <c r="AR947" s="650"/>
      <c r="AS947" s="650"/>
      <c r="AT947" s="650"/>
      <c r="AU947" s="650"/>
      <c r="AV947" s="650"/>
      <c r="AW947" s="650"/>
      <c r="AX947" s="650"/>
      <c r="AY947" s="650"/>
    </row>
    <row r="948" ht="21.75" customHeight="1">
      <c r="A948" s="650"/>
      <c r="B948" s="650"/>
      <c r="C948" s="650"/>
      <c r="D948" s="650"/>
      <c r="E948" s="650"/>
      <c r="F948" s="650"/>
      <c r="G948" s="650"/>
      <c r="H948" s="650"/>
      <c r="I948" s="650"/>
      <c r="J948" s="650"/>
      <c r="K948" s="650"/>
      <c r="L948" s="650"/>
      <c r="M948" s="650"/>
      <c r="N948" s="650"/>
      <c r="O948" s="650"/>
      <c r="P948" s="650"/>
      <c r="Q948" s="650"/>
      <c r="R948" s="650"/>
      <c r="S948" s="650"/>
      <c r="T948" s="650"/>
      <c r="U948" s="650"/>
      <c r="V948" s="650"/>
      <c r="W948" s="650"/>
      <c r="X948" s="650"/>
      <c r="Y948" s="650"/>
      <c r="Z948" s="650"/>
      <c r="AA948" s="650"/>
      <c r="AB948" s="650"/>
      <c r="AC948" s="650"/>
      <c r="AD948" s="650"/>
      <c r="AE948" s="650"/>
      <c r="AF948" s="650"/>
      <c r="AG948" s="650"/>
      <c r="AH948" s="650"/>
      <c r="AI948" s="650"/>
      <c r="AJ948" s="650"/>
      <c r="AK948" s="650"/>
      <c r="AL948" s="650"/>
      <c r="AM948" s="650"/>
      <c r="AN948" s="650"/>
      <c r="AO948" s="650"/>
      <c r="AP948" s="650"/>
      <c r="AQ948" s="650"/>
      <c r="AR948" s="650"/>
      <c r="AS948" s="650"/>
      <c r="AT948" s="650"/>
      <c r="AU948" s="650"/>
      <c r="AV948" s="650"/>
      <c r="AW948" s="650"/>
      <c r="AX948" s="650"/>
      <c r="AY948" s="650"/>
    </row>
    <row r="949" ht="21.75" customHeight="1">
      <c r="A949" s="650"/>
      <c r="B949" s="650"/>
      <c r="C949" s="650"/>
      <c r="D949" s="650"/>
      <c r="E949" s="650"/>
      <c r="F949" s="650"/>
      <c r="G949" s="650"/>
      <c r="H949" s="650"/>
      <c r="I949" s="650"/>
      <c r="J949" s="650"/>
      <c r="K949" s="650"/>
      <c r="L949" s="650"/>
      <c r="M949" s="650"/>
      <c r="N949" s="650"/>
      <c r="O949" s="650"/>
      <c r="P949" s="650"/>
      <c r="Q949" s="650"/>
      <c r="R949" s="650"/>
      <c r="S949" s="650"/>
      <c r="T949" s="650"/>
      <c r="U949" s="650"/>
      <c r="V949" s="650"/>
      <c r="W949" s="650"/>
      <c r="X949" s="650"/>
      <c r="Y949" s="650"/>
      <c r="Z949" s="650"/>
      <c r="AA949" s="650"/>
      <c r="AB949" s="650"/>
      <c r="AC949" s="650"/>
      <c r="AD949" s="650"/>
      <c r="AE949" s="650"/>
      <c r="AF949" s="650"/>
      <c r="AG949" s="650"/>
      <c r="AH949" s="650"/>
      <c r="AI949" s="650"/>
      <c r="AJ949" s="650"/>
      <c r="AK949" s="650"/>
      <c r="AL949" s="650"/>
      <c r="AM949" s="650"/>
      <c r="AN949" s="650"/>
      <c r="AO949" s="650"/>
      <c r="AP949" s="650"/>
      <c r="AQ949" s="650"/>
      <c r="AR949" s="650"/>
      <c r="AS949" s="650"/>
      <c r="AT949" s="650"/>
      <c r="AU949" s="650"/>
      <c r="AV949" s="650"/>
      <c r="AW949" s="650"/>
      <c r="AX949" s="650"/>
      <c r="AY949" s="650"/>
    </row>
    <row r="950" ht="21.75" customHeight="1">
      <c r="A950" s="650"/>
      <c r="B950" s="650"/>
      <c r="C950" s="650"/>
      <c r="D950" s="650"/>
      <c r="E950" s="650"/>
      <c r="F950" s="650"/>
      <c r="G950" s="650"/>
      <c r="H950" s="650"/>
      <c r="I950" s="650"/>
      <c r="J950" s="650"/>
      <c r="K950" s="650"/>
      <c r="L950" s="650"/>
      <c r="M950" s="650"/>
      <c r="N950" s="650"/>
      <c r="O950" s="650"/>
      <c r="P950" s="650"/>
      <c r="Q950" s="650"/>
      <c r="R950" s="650"/>
      <c r="S950" s="650"/>
      <c r="T950" s="650"/>
      <c r="U950" s="650"/>
      <c r="V950" s="650"/>
      <c r="W950" s="650"/>
      <c r="X950" s="650"/>
      <c r="Y950" s="650"/>
      <c r="Z950" s="650"/>
      <c r="AA950" s="650"/>
      <c r="AB950" s="650"/>
      <c r="AC950" s="650"/>
      <c r="AD950" s="650"/>
      <c r="AE950" s="650"/>
      <c r="AF950" s="650"/>
      <c r="AG950" s="650"/>
      <c r="AH950" s="650"/>
      <c r="AI950" s="650"/>
      <c r="AJ950" s="650"/>
      <c r="AK950" s="650"/>
      <c r="AL950" s="650"/>
      <c r="AM950" s="650"/>
      <c r="AN950" s="650"/>
      <c r="AO950" s="650"/>
      <c r="AP950" s="650"/>
      <c r="AQ950" s="650"/>
      <c r="AR950" s="650"/>
      <c r="AS950" s="650"/>
      <c r="AT950" s="650"/>
      <c r="AU950" s="650"/>
      <c r="AV950" s="650"/>
      <c r="AW950" s="650"/>
      <c r="AX950" s="650"/>
      <c r="AY950" s="650"/>
    </row>
    <row r="951" ht="21.75" customHeight="1">
      <c r="A951" s="650"/>
      <c r="B951" s="650"/>
      <c r="C951" s="650"/>
      <c r="D951" s="650"/>
      <c r="E951" s="650"/>
      <c r="F951" s="650"/>
      <c r="G951" s="650"/>
      <c r="H951" s="650"/>
      <c r="I951" s="650"/>
      <c r="J951" s="650"/>
      <c r="K951" s="650"/>
      <c r="L951" s="650"/>
      <c r="M951" s="650"/>
      <c r="N951" s="650"/>
      <c r="O951" s="650"/>
      <c r="P951" s="650"/>
      <c r="Q951" s="650"/>
      <c r="R951" s="650"/>
      <c r="S951" s="650"/>
      <c r="T951" s="650"/>
      <c r="U951" s="650"/>
      <c r="V951" s="650"/>
      <c r="W951" s="650"/>
      <c r="X951" s="650"/>
      <c r="Y951" s="650"/>
      <c r="Z951" s="650"/>
      <c r="AA951" s="650"/>
      <c r="AB951" s="650"/>
      <c r="AC951" s="650"/>
      <c r="AD951" s="650"/>
      <c r="AE951" s="650"/>
      <c r="AF951" s="650"/>
      <c r="AG951" s="650"/>
      <c r="AH951" s="650"/>
      <c r="AI951" s="650"/>
      <c r="AJ951" s="650"/>
      <c r="AK951" s="650"/>
      <c r="AL951" s="650"/>
      <c r="AM951" s="650"/>
      <c r="AN951" s="650"/>
      <c r="AO951" s="650"/>
      <c r="AP951" s="650"/>
      <c r="AQ951" s="650"/>
      <c r="AR951" s="650"/>
      <c r="AS951" s="650"/>
      <c r="AT951" s="650"/>
      <c r="AU951" s="650"/>
      <c r="AV951" s="650"/>
      <c r="AW951" s="650"/>
      <c r="AX951" s="650"/>
      <c r="AY951" s="650"/>
    </row>
    <row r="952" ht="21.75" customHeight="1">
      <c r="A952" s="650"/>
      <c r="B952" s="650"/>
      <c r="C952" s="650"/>
      <c r="D952" s="650"/>
      <c r="E952" s="650"/>
      <c r="F952" s="650"/>
      <c r="G952" s="650"/>
      <c r="H952" s="650"/>
      <c r="I952" s="650"/>
      <c r="J952" s="650"/>
      <c r="K952" s="650"/>
      <c r="L952" s="650"/>
      <c r="M952" s="650"/>
      <c r="N952" s="650"/>
      <c r="O952" s="650"/>
      <c r="P952" s="650"/>
      <c r="Q952" s="650"/>
      <c r="R952" s="650"/>
      <c r="S952" s="650"/>
      <c r="T952" s="650"/>
      <c r="U952" s="650"/>
      <c r="V952" s="650"/>
      <c r="W952" s="650"/>
      <c r="X952" s="650"/>
      <c r="Y952" s="650"/>
      <c r="Z952" s="650"/>
      <c r="AA952" s="650"/>
      <c r="AB952" s="650"/>
      <c r="AC952" s="650"/>
      <c r="AD952" s="650"/>
      <c r="AE952" s="650"/>
      <c r="AF952" s="650"/>
      <c r="AG952" s="650"/>
      <c r="AH952" s="650"/>
      <c r="AI952" s="650"/>
      <c r="AJ952" s="650"/>
      <c r="AK952" s="650"/>
      <c r="AL952" s="650"/>
      <c r="AM952" s="650"/>
      <c r="AN952" s="650"/>
      <c r="AO952" s="650"/>
      <c r="AP952" s="650"/>
      <c r="AQ952" s="650"/>
      <c r="AR952" s="650"/>
      <c r="AS952" s="650"/>
      <c r="AT952" s="650"/>
      <c r="AU952" s="650"/>
      <c r="AV952" s="650"/>
      <c r="AW952" s="650"/>
      <c r="AX952" s="650"/>
      <c r="AY952" s="650"/>
    </row>
    <row r="953" ht="21.75" customHeight="1">
      <c r="A953" s="650"/>
      <c r="B953" s="650"/>
      <c r="C953" s="650"/>
      <c r="D953" s="650"/>
      <c r="E953" s="650"/>
      <c r="F953" s="650"/>
      <c r="G953" s="650"/>
      <c r="H953" s="650"/>
      <c r="I953" s="650"/>
      <c r="J953" s="650"/>
      <c r="K953" s="650"/>
      <c r="L953" s="650"/>
      <c r="M953" s="650"/>
      <c r="N953" s="650"/>
      <c r="O953" s="650"/>
      <c r="P953" s="650"/>
      <c r="Q953" s="650"/>
      <c r="R953" s="650"/>
      <c r="S953" s="650"/>
      <c r="T953" s="650"/>
      <c r="U953" s="650"/>
      <c r="V953" s="650"/>
      <c r="W953" s="650"/>
      <c r="X953" s="650"/>
      <c r="Y953" s="650"/>
      <c r="Z953" s="650"/>
      <c r="AA953" s="650"/>
      <c r="AB953" s="650"/>
      <c r="AC953" s="650"/>
      <c r="AD953" s="650"/>
      <c r="AE953" s="650"/>
      <c r="AF953" s="650"/>
      <c r="AG953" s="650"/>
      <c r="AH953" s="650"/>
      <c r="AI953" s="650"/>
      <c r="AJ953" s="650"/>
      <c r="AK953" s="650"/>
      <c r="AL953" s="650"/>
      <c r="AM953" s="650"/>
      <c r="AN953" s="650"/>
      <c r="AO953" s="650"/>
      <c r="AP953" s="650"/>
      <c r="AQ953" s="650"/>
      <c r="AR953" s="650"/>
      <c r="AS953" s="650"/>
      <c r="AT953" s="650"/>
      <c r="AU953" s="650"/>
      <c r="AV953" s="650"/>
      <c r="AW953" s="650"/>
      <c r="AX953" s="650"/>
      <c r="AY953" s="650"/>
    </row>
    <row r="954" ht="21.75" customHeight="1">
      <c r="A954" s="650"/>
      <c r="B954" s="650"/>
      <c r="C954" s="650"/>
      <c r="D954" s="650"/>
      <c r="E954" s="650"/>
      <c r="F954" s="650"/>
      <c r="G954" s="650"/>
      <c r="H954" s="650"/>
      <c r="I954" s="650"/>
      <c r="J954" s="650"/>
      <c r="K954" s="650"/>
      <c r="L954" s="650"/>
      <c r="M954" s="650"/>
      <c r="N954" s="650"/>
      <c r="O954" s="650"/>
      <c r="P954" s="650"/>
      <c r="Q954" s="650"/>
      <c r="R954" s="650"/>
      <c r="S954" s="650"/>
      <c r="T954" s="650"/>
      <c r="U954" s="650"/>
      <c r="V954" s="650"/>
      <c r="W954" s="650"/>
      <c r="X954" s="650"/>
      <c r="Y954" s="650"/>
      <c r="Z954" s="650"/>
      <c r="AA954" s="650"/>
      <c r="AB954" s="650"/>
      <c r="AC954" s="650"/>
      <c r="AD954" s="650"/>
      <c r="AE954" s="650"/>
      <c r="AF954" s="650"/>
      <c r="AG954" s="650"/>
      <c r="AH954" s="650"/>
      <c r="AI954" s="650"/>
      <c r="AJ954" s="650"/>
      <c r="AK954" s="650"/>
      <c r="AL954" s="650"/>
      <c r="AM954" s="650"/>
      <c r="AN954" s="650"/>
      <c r="AO954" s="650"/>
      <c r="AP954" s="650"/>
      <c r="AQ954" s="650"/>
      <c r="AR954" s="650"/>
      <c r="AS954" s="650"/>
      <c r="AT954" s="650"/>
      <c r="AU954" s="650"/>
      <c r="AV954" s="650"/>
      <c r="AW954" s="650"/>
      <c r="AX954" s="650"/>
      <c r="AY954" s="650"/>
    </row>
    <row r="955" ht="21.75" customHeight="1">
      <c r="A955" s="650"/>
      <c r="B955" s="650"/>
      <c r="C955" s="650"/>
      <c r="D955" s="650"/>
      <c r="E955" s="650"/>
      <c r="F955" s="650"/>
      <c r="G955" s="650"/>
      <c r="H955" s="650"/>
      <c r="I955" s="650"/>
      <c r="J955" s="650"/>
      <c r="K955" s="650"/>
      <c r="L955" s="650"/>
      <c r="M955" s="650"/>
      <c r="N955" s="650"/>
      <c r="O955" s="650"/>
      <c r="P955" s="650"/>
      <c r="Q955" s="650"/>
      <c r="R955" s="650"/>
      <c r="S955" s="650"/>
      <c r="T955" s="650"/>
      <c r="U955" s="650"/>
      <c r="V955" s="650"/>
      <c r="W955" s="650"/>
      <c r="X955" s="650"/>
      <c r="Y955" s="650"/>
      <c r="Z955" s="650"/>
      <c r="AA955" s="650"/>
      <c r="AB955" s="650"/>
      <c r="AC955" s="650"/>
      <c r="AD955" s="650"/>
      <c r="AE955" s="650"/>
      <c r="AF955" s="650"/>
      <c r="AG955" s="650"/>
      <c r="AH955" s="650"/>
      <c r="AI955" s="650"/>
      <c r="AJ955" s="650"/>
      <c r="AK955" s="650"/>
      <c r="AL955" s="650"/>
      <c r="AM955" s="650"/>
      <c r="AN955" s="650"/>
      <c r="AO955" s="650"/>
      <c r="AP955" s="650"/>
      <c r="AQ955" s="650"/>
      <c r="AR955" s="650"/>
      <c r="AS955" s="650"/>
      <c r="AT955" s="650"/>
      <c r="AU955" s="650"/>
      <c r="AV955" s="650"/>
      <c r="AW955" s="650"/>
      <c r="AX955" s="650"/>
      <c r="AY955" s="650"/>
    </row>
    <row r="956" ht="21.75" customHeight="1">
      <c r="A956" s="650"/>
      <c r="B956" s="650"/>
      <c r="C956" s="650"/>
      <c r="D956" s="650"/>
      <c r="E956" s="650"/>
      <c r="F956" s="650"/>
      <c r="G956" s="650"/>
      <c r="H956" s="650"/>
      <c r="I956" s="650"/>
      <c r="J956" s="650"/>
      <c r="K956" s="650"/>
      <c r="L956" s="650"/>
      <c r="M956" s="650"/>
      <c r="N956" s="650"/>
      <c r="O956" s="650"/>
      <c r="P956" s="650"/>
      <c r="Q956" s="650"/>
      <c r="R956" s="650"/>
      <c r="S956" s="650"/>
      <c r="T956" s="650"/>
      <c r="U956" s="650"/>
      <c r="V956" s="650"/>
      <c r="W956" s="650"/>
      <c r="X956" s="650"/>
      <c r="Y956" s="650"/>
      <c r="Z956" s="650"/>
      <c r="AA956" s="650"/>
      <c r="AB956" s="650"/>
      <c r="AC956" s="650"/>
      <c r="AD956" s="650"/>
      <c r="AE956" s="650"/>
      <c r="AF956" s="650"/>
      <c r="AG956" s="650"/>
      <c r="AH956" s="650"/>
      <c r="AI956" s="650"/>
      <c r="AJ956" s="650"/>
      <c r="AK956" s="650"/>
      <c r="AL956" s="650"/>
      <c r="AM956" s="650"/>
      <c r="AN956" s="650"/>
      <c r="AO956" s="650"/>
      <c r="AP956" s="650"/>
      <c r="AQ956" s="650"/>
      <c r="AR956" s="650"/>
      <c r="AS956" s="650"/>
      <c r="AT956" s="650"/>
      <c r="AU956" s="650"/>
      <c r="AV956" s="650"/>
      <c r="AW956" s="650"/>
      <c r="AX956" s="650"/>
      <c r="AY956" s="650"/>
    </row>
    <row r="957" ht="21.75" customHeight="1">
      <c r="A957" s="650"/>
      <c r="B957" s="650"/>
      <c r="C957" s="650"/>
      <c r="D957" s="650"/>
      <c r="E957" s="650"/>
      <c r="F957" s="650"/>
      <c r="G957" s="650"/>
      <c r="H957" s="650"/>
      <c r="I957" s="650"/>
      <c r="J957" s="650"/>
      <c r="K957" s="650"/>
      <c r="L957" s="650"/>
      <c r="M957" s="650"/>
      <c r="N957" s="650"/>
      <c r="O957" s="650"/>
      <c r="P957" s="650"/>
      <c r="Q957" s="650"/>
      <c r="R957" s="650"/>
      <c r="S957" s="650"/>
      <c r="T957" s="650"/>
      <c r="U957" s="650"/>
      <c r="V957" s="650"/>
      <c r="W957" s="650"/>
      <c r="X957" s="650"/>
      <c r="Y957" s="650"/>
      <c r="Z957" s="650"/>
      <c r="AA957" s="650"/>
      <c r="AB957" s="650"/>
      <c r="AC957" s="650"/>
      <c r="AD957" s="650"/>
      <c r="AE957" s="650"/>
      <c r="AF957" s="650"/>
      <c r="AG957" s="650"/>
      <c r="AH957" s="650"/>
      <c r="AI957" s="650"/>
      <c r="AJ957" s="650"/>
      <c r="AK957" s="650"/>
      <c r="AL957" s="650"/>
      <c r="AM957" s="650"/>
      <c r="AN957" s="650"/>
      <c r="AO957" s="650"/>
      <c r="AP957" s="650"/>
      <c r="AQ957" s="650"/>
      <c r="AR957" s="650"/>
      <c r="AS957" s="650"/>
      <c r="AT957" s="650"/>
      <c r="AU957" s="650"/>
      <c r="AV957" s="650"/>
      <c r="AW957" s="650"/>
      <c r="AX957" s="650"/>
      <c r="AY957" s="650"/>
    </row>
    <row r="958" ht="21.75" customHeight="1">
      <c r="A958" s="650"/>
      <c r="B958" s="650"/>
      <c r="C958" s="650"/>
      <c r="D958" s="650"/>
      <c r="E958" s="650"/>
      <c r="F958" s="650"/>
      <c r="G958" s="650"/>
      <c r="H958" s="650"/>
      <c r="I958" s="650"/>
      <c r="J958" s="650"/>
      <c r="K958" s="650"/>
      <c r="L958" s="650"/>
      <c r="M958" s="650"/>
      <c r="N958" s="650"/>
      <c r="O958" s="650"/>
      <c r="P958" s="650"/>
      <c r="Q958" s="650"/>
      <c r="R958" s="650"/>
      <c r="S958" s="650"/>
      <c r="T958" s="650"/>
      <c r="U958" s="650"/>
      <c r="V958" s="650"/>
      <c r="W958" s="650"/>
      <c r="X958" s="650"/>
      <c r="Y958" s="650"/>
      <c r="Z958" s="650"/>
      <c r="AA958" s="650"/>
      <c r="AB958" s="650"/>
      <c r="AC958" s="650"/>
      <c r="AD958" s="650"/>
      <c r="AE958" s="650"/>
      <c r="AF958" s="650"/>
      <c r="AG958" s="650"/>
      <c r="AH958" s="650"/>
      <c r="AI958" s="650"/>
      <c r="AJ958" s="650"/>
      <c r="AK958" s="650"/>
      <c r="AL958" s="650"/>
      <c r="AM958" s="650"/>
      <c r="AN958" s="650"/>
      <c r="AO958" s="650"/>
      <c r="AP958" s="650"/>
      <c r="AQ958" s="650"/>
      <c r="AR958" s="650"/>
      <c r="AS958" s="650"/>
      <c r="AT958" s="650"/>
      <c r="AU958" s="650"/>
      <c r="AV958" s="650"/>
      <c r="AW958" s="650"/>
      <c r="AX958" s="650"/>
      <c r="AY958" s="650"/>
    </row>
    <row r="959" ht="21.75" customHeight="1">
      <c r="A959" s="650"/>
      <c r="B959" s="650"/>
      <c r="C959" s="650"/>
      <c r="D959" s="650"/>
      <c r="E959" s="650"/>
      <c r="F959" s="650"/>
      <c r="G959" s="650"/>
      <c r="H959" s="650"/>
      <c r="I959" s="650"/>
      <c r="J959" s="650"/>
      <c r="K959" s="650"/>
      <c r="L959" s="650"/>
      <c r="M959" s="650"/>
      <c r="N959" s="650"/>
      <c r="O959" s="650"/>
      <c r="P959" s="650"/>
      <c r="Q959" s="650"/>
      <c r="R959" s="650"/>
      <c r="S959" s="650"/>
      <c r="T959" s="650"/>
      <c r="U959" s="650"/>
      <c r="V959" s="650"/>
      <c r="W959" s="650"/>
      <c r="X959" s="650"/>
      <c r="Y959" s="650"/>
      <c r="Z959" s="650"/>
      <c r="AA959" s="650"/>
      <c r="AB959" s="650"/>
      <c r="AC959" s="650"/>
      <c r="AD959" s="650"/>
      <c r="AE959" s="650"/>
      <c r="AF959" s="650"/>
      <c r="AG959" s="650"/>
      <c r="AH959" s="650"/>
      <c r="AI959" s="650"/>
      <c r="AJ959" s="650"/>
      <c r="AK959" s="650"/>
      <c r="AL959" s="650"/>
      <c r="AM959" s="650"/>
      <c r="AN959" s="650"/>
      <c r="AO959" s="650"/>
      <c r="AP959" s="650"/>
      <c r="AQ959" s="650"/>
      <c r="AR959" s="650"/>
      <c r="AS959" s="650"/>
      <c r="AT959" s="650"/>
      <c r="AU959" s="650"/>
      <c r="AV959" s="650"/>
      <c r="AW959" s="650"/>
      <c r="AX959" s="650"/>
      <c r="AY959" s="650"/>
    </row>
    <row r="960" ht="21.75" customHeight="1">
      <c r="A960" s="650"/>
      <c r="B960" s="650"/>
      <c r="C960" s="650"/>
      <c r="D960" s="650"/>
      <c r="E960" s="650"/>
      <c r="F960" s="650"/>
      <c r="G960" s="650"/>
      <c r="H960" s="650"/>
      <c r="I960" s="650"/>
      <c r="J960" s="650"/>
      <c r="K960" s="650"/>
      <c r="L960" s="650"/>
      <c r="M960" s="650"/>
      <c r="N960" s="650"/>
      <c r="O960" s="650"/>
      <c r="P960" s="650"/>
      <c r="Q960" s="650"/>
      <c r="R960" s="650"/>
      <c r="S960" s="650"/>
      <c r="T960" s="650"/>
      <c r="U960" s="650"/>
      <c r="V960" s="650"/>
      <c r="W960" s="650"/>
      <c r="X960" s="650"/>
      <c r="Y960" s="650"/>
      <c r="Z960" s="650"/>
      <c r="AA960" s="650"/>
      <c r="AB960" s="650"/>
      <c r="AC960" s="650"/>
      <c r="AD960" s="650"/>
      <c r="AE960" s="650"/>
      <c r="AF960" s="650"/>
      <c r="AG960" s="650"/>
      <c r="AH960" s="650"/>
      <c r="AI960" s="650"/>
      <c r="AJ960" s="650"/>
      <c r="AK960" s="650"/>
      <c r="AL960" s="650"/>
      <c r="AM960" s="650"/>
      <c r="AN960" s="650"/>
      <c r="AO960" s="650"/>
      <c r="AP960" s="650"/>
      <c r="AQ960" s="650"/>
      <c r="AR960" s="650"/>
      <c r="AS960" s="650"/>
      <c r="AT960" s="650"/>
      <c r="AU960" s="650"/>
      <c r="AV960" s="650"/>
      <c r="AW960" s="650"/>
      <c r="AX960" s="650"/>
      <c r="AY960" s="650"/>
    </row>
    <row r="961" ht="21.75" customHeight="1">
      <c r="A961" s="650"/>
      <c r="B961" s="650"/>
      <c r="C961" s="650"/>
      <c r="D961" s="650"/>
      <c r="E961" s="650"/>
      <c r="F961" s="650"/>
      <c r="G961" s="650"/>
      <c r="H961" s="650"/>
      <c r="I961" s="650"/>
      <c r="J961" s="650"/>
      <c r="K961" s="650"/>
      <c r="L961" s="650"/>
      <c r="M961" s="650"/>
      <c r="N961" s="650"/>
      <c r="O961" s="650"/>
      <c r="P961" s="650"/>
      <c r="Q961" s="650"/>
      <c r="R961" s="650"/>
      <c r="S961" s="650"/>
      <c r="T961" s="650"/>
      <c r="U961" s="650"/>
      <c r="V961" s="650"/>
      <c r="W961" s="650"/>
      <c r="X961" s="650"/>
      <c r="Y961" s="650"/>
      <c r="Z961" s="650"/>
      <c r="AA961" s="650"/>
      <c r="AB961" s="650"/>
      <c r="AC961" s="650"/>
      <c r="AD961" s="650"/>
      <c r="AE961" s="650"/>
      <c r="AF961" s="650"/>
      <c r="AG961" s="650"/>
      <c r="AH961" s="650"/>
      <c r="AI961" s="650"/>
      <c r="AJ961" s="650"/>
      <c r="AK961" s="650"/>
      <c r="AL961" s="650"/>
      <c r="AM961" s="650"/>
      <c r="AN961" s="650"/>
      <c r="AO961" s="650"/>
      <c r="AP961" s="650"/>
      <c r="AQ961" s="650"/>
      <c r="AR961" s="650"/>
      <c r="AS961" s="650"/>
      <c r="AT961" s="650"/>
      <c r="AU961" s="650"/>
      <c r="AV961" s="650"/>
      <c r="AW961" s="650"/>
      <c r="AX961" s="650"/>
      <c r="AY961" s="650"/>
    </row>
    <row r="962" ht="21.75" customHeight="1">
      <c r="A962" s="650"/>
      <c r="B962" s="650"/>
      <c r="C962" s="650"/>
      <c r="D962" s="650"/>
      <c r="E962" s="650"/>
      <c r="F962" s="650"/>
      <c r="G962" s="650"/>
      <c r="H962" s="650"/>
      <c r="I962" s="650"/>
      <c r="J962" s="650"/>
      <c r="K962" s="650"/>
      <c r="L962" s="650"/>
      <c r="M962" s="650"/>
      <c r="N962" s="650"/>
      <c r="O962" s="650"/>
      <c r="P962" s="650"/>
      <c r="Q962" s="650"/>
      <c r="R962" s="650"/>
      <c r="S962" s="650"/>
      <c r="T962" s="650"/>
      <c r="U962" s="650"/>
      <c r="V962" s="650"/>
      <c r="W962" s="650"/>
      <c r="X962" s="650"/>
      <c r="Y962" s="650"/>
      <c r="Z962" s="650"/>
      <c r="AA962" s="650"/>
      <c r="AB962" s="650"/>
      <c r="AC962" s="650"/>
      <c r="AD962" s="650"/>
      <c r="AE962" s="650"/>
      <c r="AF962" s="650"/>
      <c r="AG962" s="650"/>
      <c r="AH962" s="650"/>
      <c r="AI962" s="650"/>
      <c r="AJ962" s="650"/>
      <c r="AK962" s="650"/>
      <c r="AL962" s="650"/>
      <c r="AM962" s="650"/>
      <c r="AN962" s="650"/>
      <c r="AO962" s="650"/>
      <c r="AP962" s="650"/>
      <c r="AQ962" s="650"/>
      <c r="AR962" s="650"/>
      <c r="AS962" s="650"/>
      <c r="AT962" s="650"/>
      <c r="AU962" s="650"/>
      <c r="AV962" s="650"/>
      <c r="AW962" s="650"/>
      <c r="AX962" s="650"/>
      <c r="AY962" s="650"/>
    </row>
    <row r="963" ht="21.75" customHeight="1">
      <c r="A963" s="650"/>
      <c r="B963" s="650"/>
      <c r="C963" s="650"/>
      <c r="D963" s="650"/>
      <c r="E963" s="650"/>
      <c r="F963" s="650"/>
      <c r="G963" s="650"/>
      <c r="H963" s="650"/>
      <c r="I963" s="650"/>
      <c r="J963" s="650"/>
      <c r="K963" s="650"/>
      <c r="L963" s="650"/>
      <c r="M963" s="650"/>
      <c r="N963" s="650"/>
      <c r="O963" s="650"/>
      <c r="P963" s="650"/>
      <c r="Q963" s="650"/>
      <c r="R963" s="650"/>
      <c r="S963" s="650"/>
      <c r="T963" s="650"/>
      <c r="U963" s="650"/>
      <c r="V963" s="650"/>
      <c r="W963" s="650"/>
      <c r="X963" s="650"/>
      <c r="Y963" s="650"/>
      <c r="Z963" s="650"/>
      <c r="AA963" s="650"/>
      <c r="AB963" s="650"/>
      <c r="AC963" s="650"/>
      <c r="AD963" s="650"/>
      <c r="AE963" s="650"/>
      <c r="AF963" s="650"/>
      <c r="AG963" s="650"/>
      <c r="AH963" s="650"/>
      <c r="AI963" s="650"/>
      <c r="AJ963" s="650"/>
      <c r="AK963" s="650"/>
      <c r="AL963" s="650"/>
      <c r="AM963" s="650"/>
      <c r="AN963" s="650"/>
      <c r="AO963" s="650"/>
      <c r="AP963" s="650"/>
      <c r="AQ963" s="650"/>
      <c r="AR963" s="650"/>
      <c r="AS963" s="650"/>
      <c r="AT963" s="650"/>
      <c r="AU963" s="650"/>
      <c r="AV963" s="650"/>
      <c r="AW963" s="650"/>
      <c r="AX963" s="650"/>
      <c r="AY963" s="650"/>
    </row>
    <row r="964" ht="21.75" customHeight="1">
      <c r="A964" s="650"/>
      <c r="B964" s="650"/>
      <c r="C964" s="650"/>
      <c r="D964" s="650"/>
      <c r="E964" s="650"/>
      <c r="F964" s="650"/>
      <c r="G964" s="650"/>
      <c r="H964" s="650"/>
      <c r="I964" s="650"/>
      <c r="J964" s="650"/>
      <c r="K964" s="650"/>
      <c r="L964" s="650"/>
      <c r="M964" s="650"/>
      <c r="N964" s="650"/>
      <c r="O964" s="650"/>
      <c r="P964" s="650"/>
      <c r="Q964" s="650"/>
      <c r="R964" s="650"/>
      <c r="S964" s="650"/>
      <c r="T964" s="650"/>
      <c r="U964" s="650"/>
      <c r="V964" s="650"/>
      <c r="W964" s="650"/>
      <c r="X964" s="650"/>
      <c r="Y964" s="650"/>
      <c r="Z964" s="650"/>
      <c r="AA964" s="650"/>
      <c r="AB964" s="650"/>
      <c r="AC964" s="650"/>
      <c r="AD964" s="650"/>
      <c r="AE964" s="650"/>
      <c r="AF964" s="650"/>
      <c r="AG964" s="650"/>
      <c r="AH964" s="650"/>
      <c r="AI964" s="650"/>
      <c r="AJ964" s="650"/>
      <c r="AK964" s="650"/>
      <c r="AL964" s="650"/>
      <c r="AM964" s="650"/>
      <c r="AN964" s="650"/>
      <c r="AO964" s="650"/>
      <c r="AP964" s="650"/>
      <c r="AQ964" s="650"/>
      <c r="AR964" s="650"/>
      <c r="AS964" s="650"/>
      <c r="AT964" s="650"/>
      <c r="AU964" s="650"/>
      <c r="AV964" s="650"/>
      <c r="AW964" s="650"/>
      <c r="AX964" s="650"/>
      <c r="AY964" s="650"/>
    </row>
    <row r="965" ht="21.75" customHeight="1">
      <c r="A965" s="650"/>
      <c r="B965" s="650"/>
      <c r="C965" s="650"/>
      <c r="D965" s="650"/>
      <c r="E965" s="650"/>
      <c r="F965" s="650"/>
      <c r="G965" s="650"/>
      <c r="H965" s="650"/>
      <c r="I965" s="650"/>
      <c r="J965" s="650"/>
      <c r="K965" s="650"/>
      <c r="L965" s="650"/>
      <c r="M965" s="650"/>
      <c r="N965" s="650"/>
      <c r="O965" s="650"/>
      <c r="P965" s="650"/>
      <c r="Q965" s="650"/>
      <c r="R965" s="650"/>
      <c r="S965" s="650"/>
      <c r="T965" s="650"/>
      <c r="U965" s="650"/>
      <c r="V965" s="650"/>
      <c r="W965" s="650"/>
      <c r="X965" s="650"/>
      <c r="Y965" s="650"/>
      <c r="Z965" s="650"/>
      <c r="AA965" s="650"/>
      <c r="AB965" s="650"/>
      <c r="AC965" s="650"/>
      <c r="AD965" s="650"/>
      <c r="AE965" s="650"/>
      <c r="AF965" s="650"/>
      <c r="AG965" s="650"/>
      <c r="AH965" s="650"/>
      <c r="AI965" s="650"/>
      <c r="AJ965" s="650"/>
      <c r="AK965" s="650"/>
      <c r="AL965" s="650"/>
      <c r="AM965" s="650"/>
      <c r="AN965" s="650"/>
      <c r="AO965" s="650"/>
      <c r="AP965" s="650"/>
      <c r="AQ965" s="650"/>
      <c r="AR965" s="650"/>
      <c r="AS965" s="650"/>
      <c r="AT965" s="650"/>
      <c r="AU965" s="650"/>
      <c r="AV965" s="650"/>
      <c r="AW965" s="650"/>
      <c r="AX965" s="650"/>
      <c r="AY965" s="650"/>
    </row>
    <row r="966" ht="21.75" customHeight="1">
      <c r="A966" s="650"/>
      <c r="B966" s="650"/>
      <c r="C966" s="650"/>
      <c r="D966" s="650"/>
      <c r="E966" s="650"/>
      <c r="F966" s="650"/>
      <c r="G966" s="650"/>
      <c r="H966" s="650"/>
      <c r="I966" s="650"/>
      <c r="J966" s="650"/>
      <c r="K966" s="650"/>
      <c r="L966" s="650"/>
      <c r="M966" s="650"/>
      <c r="N966" s="650"/>
      <c r="O966" s="650"/>
      <c r="P966" s="650"/>
      <c r="Q966" s="650"/>
      <c r="R966" s="650"/>
      <c r="S966" s="650"/>
      <c r="T966" s="650"/>
      <c r="U966" s="650"/>
      <c r="V966" s="650"/>
      <c r="W966" s="650"/>
      <c r="X966" s="650"/>
      <c r="Y966" s="650"/>
      <c r="Z966" s="650"/>
      <c r="AA966" s="650"/>
      <c r="AB966" s="650"/>
      <c r="AC966" s="650"/>
      <c r="AD966" s="650"/>
      <c r="AE966" s="650"/>
      <c r="AF966" s="650"/>
      <c r="AG966" s="650"/>
      <c r="AH966" s="650"/>
      <c r="AI966" s="650"/>
      <c r="AJ966" s="650"/>
      <c r="AK966" s="650"/>
      <c r="AL966" s="650"/>
      <c r="AM966" s="650"/>
      <c r="AN966" s="650"/>
      <c r="AO966" s="650"/>
      <c r="AP966" s="650"/>
      <c r="AQ966" s="650"/>
      <c r="AR966" s="650"/>
      <c r="AS966" s="650"/>
      <c r="AT966" s="650"/>
      <c r="AU966" s="650"/>
      <c r="AV966" s="650"/>
      <c r="AW966" s="650"/>
      <c r="AX966" s="650"/>
      <c r="AY966" s="650"/>
    </row>
    <row r="967" ht="21.75" customHeight="1">
      <c r="A967" s="650"/>
      <c r="B967" s="650"/>
      <c r="C967" s="650"/>
      <c r="D967" s="650"/>
      <c r="E967" s="650"/>
      <c r="F967" s="650"/>
      <c r="G967" s="650"/>
      <c r="H967" s="650"/>
      <c r="I967" s="650"/>
      <c r="J967" s="650"/>
      <c r="K967" s="650"/>
      <c r="L967" s="650"/>
      <c r="M967" s="650"/>
      <c r="N967" s="650"/>
      <c r="O967" s="650"/>
      <c r="P967" s="650"/>
      <c r="Q967" s="650"/>
      <c r="R967" s="650"/>
      <c r="S967" s="650"/>
      <c r="T967" s="650"/>
      <c r="U967" s="650"/>
      <c r="V967" s="650"/>
      <c r="W967" s="650"/>
      <c r="X967" s="650"/>
      <c r="Y967" s="650"/>
      <c r="Z967" s="650"/>
      <c r="AA967" s="650"/>
      <c r="AB967" s="650"/>
      <c r="AC967" s="650"/>
      <c r="AD967" s="650"/>
      <c r="AE967" s="650"/>
      <c r="AF967" s="650"/>
      <c r="AG967" s="650"/>
      <c r="AH967" s="650"/>
      <c r="AI967" s="650"/>
      <c r="AJ967" s="650"/>
      <c r="AK967" s="650"/>
      <c r="AL967" s="650"/>
      <c r="AM967" s="650"/>
      <c r="AN967" s="650"/>
      <c r="AO967" s="650"/>
      <c r="AP967" s="650"/>
      <c r="AQ967" s="650"/>
      <c r="AR967" s="650"/>
      <c r="AS967" s="650"/>
      <c r="AT967" s="650"/>
      <c r="AU967" s="650"/>
      <c r="AV967" s="650"/>
      <c r="AW967" s="650"/>
      <c r="AX967" s="650"/>
      <c r="AY967" s="650"/>
    </row>
    <row r="968" ht="21.75" customHeight="1">
      <c r="A968" s="650"/>
      <c r="B968" s="650"/>
      <c r="C968" s="650"/>
      <c r="D968" s="650"/>
      <c r="E968" s="650"/>
      <c r="F968" s="650"/>
      <c r="G968" s="650"/>
      <c r="H968" s="650"/>
      <c r="I968" s="650"/>
      <c r="J968" s="650"/>
      <c r="K968" s="650"/>
      <c r="L968" s="650"/>
      <c r="M968" s="650"/>
      <c r="N968" s="650"/>
      <c r="O968" s="650"/>
      <c r="P968" s="650"/>
      <c r="Q968" s="650"/>
      <c r="R968" s="650"/>
      <c r="S968" s="650"/>
      <c r="T968" s="650"/>
      <c r="U968" s="650"/>
      <c r="V968" s="650"/>
      <c r="W968" s="650"/>
      <c r="X968" s="650"/>
      <c r="Y968" s="650"/>
      <c r="Z968" s="650"/>
      <c r="AA968" s="650"/>
      <c r="AB968" s="650"/>
      <c r="AC968" s="650"/>
      <c r="AD968" s="650"/>
      <c r="AE968" s="650"/>
      <c r="AF968" s="650"/>
      <c r="AG968" s="650"/>
      <c r="AH968" s="650"/>
      <c r="AI968" s="650"/>
      <c r="AJ968" s="650"/>
      <c r="AK968" s="650"/>
      <c r="AL968" s="650"/>
      <c r="AM968" s="650"/>
      <c r="AN968" s="650"/>
      <c r="AO968" s="650"/>
      <c r="AP968" s="650"/>
      <c r="AQ968" s="650"/>
      <c r="AR968" s="650"/>
      <c r="AS968" s="650"/>
      <c r="AT968" s="650"/>
      <c r="AU968" s="650"/>
      <c r="AV968" s="650"/>
      <c r="AW968" s="650"/>
      <c r="AX968" s="650"/>
      <c r="AY968" s="650"/>
    </row>
    <row r="969" ht="21.75" customHeight="1">
      <c r="A969" s="650"/>
      <c r="B969" s="650"/>
      <c r="C969" s="650"/>
      <c r="D969" s="650"/>
      <c r="E969" s="650"/>
      <c r="F969" s="650"/>
      <c r="G969" s="650"/>
      <c r="H969" s="650"/>
      <c r="I969" s="650"/>
      <c r="J969" s="650"/>
      <c r="K969" s="650"/>
      <c r="L969" s="650"/>
      <c r="M969" s="650"/>
      <c r="N969" s="650"/>
      <c r="O969" s="650"/>
      <c r="P969" s="650"/>
      <c r="Q969" s="650"/>
      <c r="R969" s="650"/>
      <c r="S969" s="650"/>
      <c r="T969" s="650"/>
      <c r="U969" s="650"/>
      <c r="V969" s="650"/>
      <c r="W969" s="650"/>
      <c r="X969" s="650"/>
      <c r="Y969" s="650"/>
      <c r="Z969" s="650"/>
      <c r="AA969" s="650"/>
      <c r="AB969" s="650"/>
      <c r="AC969" s="650"/>
      <c r="AD969" s="650"/>
      <c r="AE969" s="650"/>
      <c r="AF969" s="650"/>
      <c r="AG969" s="650"/>
      <c r="AH969" s="650"/>
      <c r="AI969" s="650"/>
      <c r="AJ969" s="650"/>
      <c r="AK969" s="650"/>
      <c r="AL969" s="650"/>
      <c r="AM969" s="650"/>
      <c r="AN969" s="650"/>
      <c r="AO969" s="650"/>
      <c r="AP969" s="650"/>
      <c r="AQ969" s="650"/>
      <c r="AR969" s="650"/>
      <c r="AS969" s="650"/>
      <c r="AT969" s="650"/>
      <c r="AU969" s="650"/>
      <c r="AV969" s="650"/>
      <c r="AW969" s="650"/>
      <c r="AX969" s="650"/>
      <c r="AY969" s="650"/>
    </row>
    <row r="970" ht="21.75" customHeight="1">
      <c r="A970" s="650"/>
      <c r="B970" s="650"/>
      <c r="C970" s="650"/>
      <c r="D970" s="650"/>
      <c r="E970" s="650"/>
      <c r="F970" s="650"/>
      <c r="G970" s="650"/>
      <c r="H970" s="650"/>
      <c r="I970" s="650"/>
      <c r="J970" s="650"/>
      <c r="K970" s="650"/>
      <c r="L970" s="650"/>
      <c r="M970" s="650"/>
      <c r="N970" s="650"/>
      <c r="O970" s="650"/>
      <c r="P970" s="650"/>
      <c r="Q970" s="650"/>
      <c r="R970" s="650"/>
      <c r="S970" s="650"/>
      <c r="T970" s="650"/>
      <c r="U970" s="650"/>
      <c r="V970" s="650"/>
      <c r="W970" s="650"/>
      <c r="X970" s="650"/>
      <c r="Y970" s="650"/>
      <c r="Z970" s="650"/>
      <c r="AA970" s="650"/>
      <c r="AB970" s="650"/>
      <c r="AC970" s="650"/>
      <c r="AD970" s="650"/>
      <c r="AE970" s="650"/>
      <c r="AF970" s="650"/>
      <c r="AG970" s="650"/>
      <c r="AH970" s="650"/>
      <c r="AI970" s="650"/>
      <c r="AJ970" s="650"/>
      <c r="AK970" s="650"/>
      <c r="AL970" s="650"/>
      <c r="AM970" s="650"/>
      <c r="AN970" s="650"/>
      <c r="AO970" s="650"/>
      <c r="AP970" s="650"/>
      <c r="AQ970" s="650"/>
      <c r="AR970" s="650"/>
      <c r="AS970" s="650"/>
      <c r="AT970" s="650"/>
      <c r="AU970" s="650"/>
      <c r="AV970" s="650"/>
      <c r="AW970" s="650"/>
      <c r="AX970" s="650"/>
      <c r="AY970" s="650"/>
    </row>
    <row r="971" ht="21.75" customHeight="1">
      <c r="A971" s="650"/>
      <c r="B971" s="650"/>
      <c r="C971" s="650"/>
      <c r="D971" s="650"/>
      <c r="E971" s="650"/>
      <c r="F971" s="650"/>
      <c r="G971" s="650"/>
      <c r="H971" s="650"/>
      <c r="I971" s="650"/>
      <c r="J971" s="650"/>
      <c r="K971" s="650"/>
      <c r="L971" s="650"/>
      <c r="M971" s="650"/>
      <c r="N971" s="650"/>
      <c r="O971" s="650"/>
      <c r="P971" s="650"/>
      <c r="Q971" s="650"/>
      <c r="R971" s="650"/>
      <c r="S971" s="650"/>
      <c r="T971" s="650"/>
      <c r="U971" s="650"/>
      <c r="V971" s="650"/>
      <c r="W971" s="650"/>
      <c r="X971" s="650"/>
      <c r="Y971" s="650"/>
      <c r="Z971" s="650"/>
      <c r="AA971" s="650"/>
      <c r="AB971" s="650"/>
      <c r="AC971" s="650"/>
      <c r="AD971" s="650"/>
      <c r="AE971" s="650"/>
      <c r="AF971" s="650"/>
      <c r="AG971" s="650"/>
      <c r="AH971" s="650"/>
      <c r="AI971" s="650"/>
      <c r="AJ971" s="650"/>
      <c r="AK971" s="650"/>
      <c r="AL971" s="650"/>
      <c r="AM971" s="650"/>
      <c r="AN971" s="650"/>
      <c r="AO971" s="650"/>
      <c r="AP971" s="650"/>
      <c r="AQ971" s="650"/>
      <c r="AR971" s="650"/>
      <c r="AS971" s="650"/>
      <c r="AT971" s="650"/>
      <c r="AU971" s="650"/>
      <c r="AV971" s="650"/>
      <c r="AW971" s="650"/>
      <c r="AX971" s="650"/>
      <c r="AY971" s="650"/>
    </row>
    <row r="972" ht="21.75" customHeight="1">
      <c r="A972" s="650"/>
      <c r="B972" s="650"/>
      <c r="C972" s="650"/>
      <c r="D972" s="650"/>
      <c r="E972" s="650"/>
      <c r="F972" s="650"/>
      <c r="G972" s="650"/>
      <c r="H972" s="650"/>
      <c r="I972" s="650"/>
      <c r="J972" s="650"/>
      <c r="K972" s="650"/>
      <c r="L972" s="650"/>
      <c r="M972" s="650"/>
      <c r="N972" s="650"/>
      <c r="O972" s="650"/>
      <c r="P972" s="650"/>
      <c r="Q972" s="650"/>
      <c r="R972" s="650"/>
      <c r="S972" s="650"/>
      <c r="T972" s="650"/>
      <c r="U972" s="650"/>
      <c r="V972" s="650"/>
      <c r="W972" s="650"/>
      <c r="X972" s="650"/>
      <c r="Y972" s="650"/>
      <c r="Z972" s="650"/>
      <c r="AA972" s="650"/>
      <c r="AB972" s="650"/>
      <c r="AC972" s="650"/>
      <c r="AD972" s="650"/>
      <c r="AE972" s="650"/>
      <c r="AF972" s="650"/>
      <c r="AG972" s="650"/>
      <c r="AH972" s="650"/>
      <c r="AI972" s="650"/>
      <c r="AJ972" s="650"/>
      <c r="AK972" s="650"/>
      <c r="AL972" s="650"/>
      <c r="AM972" s="650"/>
      <c r="AN972" s="650"/>
      <c r="AO972" s="650"/>
      <c r="AP972" s="650"/>
      <c r="AQ972" s="650"/>
      <c r="AR972" s="650"/>
      <c r="AS972" s="650"/>
      <c r="AT972" s="650"/>
      <c r="AU972" s="650"/>
      <c r="AV972" s="650"/>
      <c r="AW972" s="650"/>
      <c r="AX972" s="650"/>
      <c r="AY972" s="650"/>
    </row>
    <row r="973" ht="21.75" customHeight="1">
      <c r="A973" s="650"/>
      <c r="B973" s="650"/>
      <c r="C973" s="650"/>
      <c r="D973" s="650"/>
      <c r="E973" s="650"/>
      <c r="F973" s="650"/>
      <c r="G973" s="650"/>
      <c r="H973" s="650"/>
      <c r="I973" s="650"/>
      <c r="J973" s="650"/>
      <c r="K973" s="650"/>
      <c r="L973" s="650"/>
      <c r="M973" s="650"/>
      <c r="N973" s="650"/>
      <c r="O973" s="650"/>
      <c r="P973" s="650"/>
      <c r="Q973" s="650"/>
      <c r="R973" s="650"/>
      <c r="S973" s="650"/>
      <c r="T973" s="650"/>
      <c r="U973" s="650"/>
      <c r="V973" s="650"/>
      <c r="W973" s="650"/>
      <c r="X973" s="650"/>
      <c r="Y973" s="650"/>
      <c r="Z973" s="650"/>
      <c r="AA973" s="650"/>
      <c r="AB973" s="650"/>
      <c r="AC973" s="650"/>
      <c r="AD973" s="650"/>
      <c r="AE973" s="650"/>
      <c r="AF973" s="650"/>
      <c r="AG973" s="650"/>
      <c r="AH973" s="650"/>
      <c r="AI973" s="650"/>
      <c r="AJ973" s="650"/>
      <c r="AK973" s="650"/>
      <c r="AL973" s="650"/>
      <c r="AM973" s="650"/>
      <c r="AN973" s="650"/>
      <c r="AO973" s="650"/>
      <c r="AP973" s="650"/>
      <c r="AQ973" s="650"/>
      <c r="AR973" s="650"/>
      <c r="AS973" s="650"/>
      <c r="AT973" s="650"/>
      <c r="AU973" s="650"/>
      <c r="AV973" s="650"/>
      <c r="AW973" s="650"/>
      <c r="AX973" s="650"/>
      <c r="AY973" s="650"/>
    </row>
    <row r="974" ht="21.75" customHeight="1">
      <c r="A974" s="650"/>
      <c r="B974" s="650"/>
      <c r="C974" s="650"/>
      <c r="D974" s="650"/>
      <c r="E974" s="650"/>
      <c r="F974" s="650"/>
      <c r="G974" s="650"/>
      <c r="H974" s="650"/>
      <c r="I974" s="650"/>
      <c r="J974" s="650"/>
      <c r="K974" s="650"/>
      <c r="L974" s="650"/>
      <c r="M974" s="650"/>
      <c r="N974" s="650"/>
      <c r="O974" s="650"/>
      <c r="P974" s="650"/>
      <c r="Q974" s="650"/>
      <c r="R974" s="650"/>
      <c r="S974" s="650"/>
      <c r="T974" s="650"/>
      <c r="U974" s="650"/>
      <c r="V974" s="650"/>
      <c r="W974" s="650"/>
      <c r="X974" s="650"/>
      <c r="Y974" s="650"/>
      <c r="Z974" s="650"/>
      <c r="AA974" s="650"/>
      <c r="AB974" s="650"/>
      <c r="AC974" s="650"/>
      <c r="AD974" s="650"/>
      <c r="AE974" s="650"/>
      <c r="AF974" s="650"/>
      <c r="AG974" s="650"/>
      <c r="AH974" s="650"/>
      <c r="AI974" s="650"/>
      <c r="AJ974" s="650"/>
      <c r="AK974" s="650"/>
      <c r="AL974" s="650"/>
      <c r="AM974" s="650"/>
      <c r="AN974" s="650"/>
      <c r="AO974" s="650"/>
      <c r="AP974" s="650"/>
      <c r="AQ974" s="650"/>
      <c r="AR974" s="650"/>
      <c r="AS974" s="650"/>
      <c r="AT974" s="650"/>
      <c r="AU974" s="650"/>
      <c r="AV974" s="650"/>
      <c r="AW974" s="650"/>
      <c r="AX974" s="650"/>
      <c r="AY974" s="650"/>
    </row>
    <row r="975" ht="21.75" customHeight="1">
      <c r="A975" s="650"/>
      <c r="B975" s="650"/>
      <c r="C975" s="650"/>
      <c r="D975" s="650"/>
      <c r="E975" s="650"/>
      <c r="F975" s="650"/>
      <c r="G975" s="650"/>
      <c r="H975" s="650"/>
      <c r="I975" s="650"/>
      <c r="J975" s="650"/>
      <c r="K975" s="650"/>
      <c r="L975" s="650"/>
      <c r="M975" s="650"/>
      <c r="N975" s="650"/>
      <c r="O975" s="650"/>
      <c r="P975" s="650"/>
      <c r="Q975" s="650"/>
      <c r="R975" s="650"/>
      <c r="S975" s="650"/>
      <c r="T975" s="650"/>
      <c r="U975" s="650"/>
      <c r="V975" s="650"/>
      <c r="W975" s="650"/>
      <c r="X975" s="650"/>
      <c r="Y975" s="650"/>
      <c r="Z975" s="650"/>
      <c r="AA975" s="650"/>
      <c r="AB975" s="650"/>
      <c r="AC975" s="650"/>
      <c r="AD975" s="650"/>
      <c r="AE975" s="650"/>
      <c r="AF975" s="650"/>
      <c r="AG975" s="650"/>
      <c r="AH975" s="650"/>
      <c r="AI975" s="650"/>
      <c r="AJ975" s="650"/>
      <c r="AK975" s="650"/>
      <c r="AL975" s="650"/>
      <c r="AM975" s="650"/>
      <c r="AN975" s="650"/>
      <c r="AO975" s="650"/>
      <c r="AP975" s="650"/>
      <c r="AQ975" s="650"/>
      <c r="AR975" s="650"/>
      <c r="AS975" s="650"/>
      <c r="AT975" s="650"/>
      <c r="AU975" s="650"/>
      <c r="AV975" s="650"/>
      <c r="AW975" s="650"/>
      <c r="AX975" s="650"/>
      <c r="AY975" s="650"/>
    </row>
    <row r="976" ht="21.75" customHeight="1">
      <c r="A976" s="650"/>
      <c r="B976" s="650"/>
      <c r="C976" s="650"/>
      <c r="D976" s="650"/>
      <c r="E976" s="650"/>
      <c r="F976" s="650"/>
      <c r="G976" s="650"/>
      <c r="H976" s="650"/>
      <c r="I976" s="650"/>
      <c r="J976" s="650"/>
      <c r="K976" s="650"/>
      <c r="L976" s="650"/>
      <c r="M976" s="650"/>
      <c r="N976" s="650"/>
      <c r="O976" s="650"/>
      <c r="P976" s="650"/>
      <c r="Q976" s="650"/>
      <c r="R976" s="650"/>
      <c r="S976" s="650"/>
      <c r="T976" s="650"/>
      <c r="U976" s="650"/>
      <c r="V976" s="650"/>
      <c r="W976" s="650"/>
      <c r="X976" s="650"/>
      <c r="Y976" s="650"/>
      <c r="Z976" s="650"/>
      <c r="AA976" s="650"/>
      <c r="AB976" s="650"/>
      <c r="AC976" s="650"/>
      <c r="AD976" s="650"/>
      <c r="AE976" s="650"/>
      <c r="AF976" s="650"/>
      <c r="AG976" s="650"/>
      <c r="AH976" s="650"/>
      <c r="AI976" s="650"/>
      <c r="AJ976" s="650"/>
      <c r="AK976" s="650"/>
      <c r="AL976" s="650"/>
      <c r="AM976" s="650"/>
      <c r="AN976" s="650"/>
      <c r="AO976" s="650"/>
      <c r="AP976" s="650"/>
      <c r="AQ976" s="650"/>
      <c r="AR976" s="650"/>
      <c r="AS976" s="650"/>
      <c r="AT976" s="650"/>
      <c r="AU976" s="650"/>
      <c r="AV976" s="650"/>
      <c r="AW976" s="650"/>
      <c r="AX976" s="650"/>
      <c r="AY976" s="650"/>
    </row>
    <row r="977" ht="21.75" customHeight="1">
      <c r="A977" s="650"/>
      <c r="B977" s="650"/>
      <c r="C977" s="650"/>
      <c r="D977" s="650"/>
      <c r="E977" s="650"/>
      <c r="F977" s="650"/>
      <c r="G977" s="650"/>
      <c r="H977" s="650"/>
      <c r="I977" s="650"/>
      <c r="J977" s="650"/>
      <c r="K977" s="650"/>
      <c r="L977" s="650"/>
      <c r="M977" s="650"/>
      <c r="N977" s="650"/>
      <c r="O977" s="650"/>
      <c r="P977" s="650"/>
      <c r="Q977" s="650"/>
      <c r="R977" s="650"/>
      <c r="S977" s="650"/>
      <c r="T977" s="650"/>
      <c r="U977" s="650"/>
      <c r="V977" s="650"/>
      <c r="W977" s="650"/>
      <c r="X977" s="650"/>
      <c r="Y977" s="650"/>
      <c r="Z977" s="650"/>
      <c r="AA977" s="650"/>
      <c r="AB977" s="650"/>
      <c r="AC977" s="650"/>
      <c r="AD977" s="650"/>
      <c r="AE977" s="650"/>
      <c r="AF977" s="650"/>
      <c r="AG977" s="650"/>
      <c r="AH977" s="650"/>
      <c r="AI977" s="650"/>
      <c r="AJ977" s="650"/>
      <c r="AK977" s="650"/>
      <c r="AL977" s="650"/>
      <c r="AM977" s="650"/>
      <c r="AN977" s="650"/>
      <c r="AO977" s="650"/>
      <c r="AP977" s="650"/>
      <c r="AQ977" s="650"/>
      <c r="AR977" s="650"/>
      <c r="AS977" s="650"/>
      <c r="AT977" s="650"/>
      <c r="AU977" s="650"/>
      <c r="AV977" s="650"/>
      <c r="AW977" s="650"/>
      <c r="AX977" s="650"/>
      <c r="AY977" s="650"/>
    </row>
    <row r="978" ht="21.75" customHeight="1">
      <c r="A978" s="650"/>
      <c r="B978" s="650"/>
      <c r="C978" s="650"/>
      <c r="D978" s="650"/>
      <c r="E978" s="650"/>
      <c r="F978" s="650"/>
      <c r="G978" s="650"/>
      <c r="H978" s="650"/>
      <c r="I978" s="650"/>
      <c r="J978" s="650"/>
      <c r="K978" s="650"/>
      <c r="L978" s="650"/>
      <c r="M978" s="650"/>
      <c r="N978" s="650"/>
      <c r="O978" s="650"/>
      <c r="P978" s="650"/>
      <c r="Q978" s="650"/>
      <c r="R978" s="650"/>
      <c r="S978" s="650"/>
      <c r="T978" s="650"/>
      <c r="U978" s="650"/>
      <c r="V978" s="650"/>
      <c r="W978" s="650"/>
      <c r="X978" s="650"/>
      <c r="Y978" s="650"/>
      <c r="Z978" s="650"/>
      <c r="AA978" s="650"/>
      <c r="AB978" s="650"/>
      <c r="AC978" s="650"/>
      <c r="AD978" s="650"/>
      <c r="AE978" s="650"/>
      <c r="AF978" s="650"/>
      <c r="AG978" s="650"/>
      <c r="AH978" s="650"/>
      <c r="AI978" s="650"/>
      <c r="AJ978" s="650"/>
      <c r="AK978" s="650"/>
      <c r="AL978" s="650"/>
      <c r="AM978" s="650"/>
      <c r="AN978" s="650"/>
      <c r="AO978" s="650"/>
      <c r="AP978" s="650"/>
      <c r="AQ978" s="650"/>
      <c r="AR978" s="650"/>
      <c r="AS978" s="650"/>
      <c r="AT978" s="650"/>
      <c r="AU978" s="650"/>
      <c r="AV978" s="650"/>
      <c r="AW978" s="650"/>
      <c r="AX978" s="650"/>
      <c r="AY978" s="650"/>
    </row>
    <row r="979" ht="21.75" customHeight="1">
      <c r="A979" s="650"/>
      <c r="B979" s="650"/>
      <c r="C979" s="650"/>
      <c r="D979" s="650"/>
      <c r="E979" s="650"/>
      <c r="F979" s="650"/>
      <c r="G979" s="650"/>
      <c r="H979" s="650"/>
      <c r="I979" s="650"/>
      <c r="J979" s="650"/>
      <c r="K979" s="650"/>
      <c r="L979" s="650"/>
      <c r="M979" s="650"/>
      <c r="N979" s="650"/>
      <c r="O979" s="650"/>
      <c r="P979" s="650"/>
      <c r="Q979" s="650"/>
      <c r="R979" s="650"/>
      <c r="S979" s="650"/>
      <c r="T979" s="650"/>
      <c r="U979" s="650"/>
      <c r="V979" s="650"/>
      <c r="W979" s="650"/>
      <c r="X979" s="650"/>
      <c r="Y979" s="650"/>
      <c r="Z979" s="650"/>
      <c r="AA979" s="650"/>
      <c r="AB979" s="650"/>
      <c r="AC979" s="650"/>
      <c r="AD979" s="650"/>
      <c r="AE979" s="650"/>
      <c r="AF979" s="650"/>
      <c r="AG979" s="650"/>
      <c r="AH979" s="650"/>
      <c r="AI979" s="650"/>
      <c r="AJ979" s="650"/>
      <c r="AK979" s="650"/>
      <c r="AL979" s="650"/>
      <c r="AM979" s="650"/>
      <c r="AN979" s="650"/>
      <c r="AO979" s="650"/>
      <c r="AP979" s="650"/>
      <c r="AQ979" s="650"/>
      <c r="AR979" s="650"/>
      <c r="AS979" s="650"/>
      <c r="AT979" s="650"/>
      <c r="AU979" s="650"/>
      <c r="AV979" s="650"/>
      <c r="AW979" s="650"/>
      <c r="AX979" s="650"/>
      <c r="AY979" s="650"/>
    </row>
    <row r="980" ht="21.75" customHeight="1">
      <c r="A980" s="650"/>
      <c r="B980" s="650"/>
      <c r="C980" s="650"/>
      <c r="D980" s="650"/>
      <c r="E980" s="650"/>
      <c r="F980" s="650"/>
      <c r="G980" s="650"/>
      <c r="H980" s="650"/>
      <c r="I980" s="650"/>
      <c r="J980" s="650"/>
      <c r="K980" s="650"/>
      <c r="L980" s="650"/>
      <c r="M980" s="650"/>
      <c r="N980" s="650"/>
      <c r="O980" s="650"/>
      <c r="P980" s="650"/>
      <c r="Q980" s="650"/>
      <c r="R980" s="650"/>
      <c r="S980" s="650"/>
      <c r="T980" s="650"/>
      <c r="U980" s="650"/>
      <c r="V980" s="650"/>
      <c r="W980" s="650"/>
      <c r="X980" s="650"/>
      <c r="Y980" s="650"/>
      <c r="Z980" s="650"/>
      <c r="AA980" s="650"/>
      <c r="AB980" s="650"/>
      <c r="AC980" s="650"/>
      <c r="AD980" s="650"/>
      <c r="AE980" s="650"/>
      <c r="AF980" s="650"/>
      <c r="AG980" s="650"/>
      <c r="AH980" s="650"/>
      <c r="AI980" s="650"/>
      <c r="AJ980" s="650"/>
      <c r="AK980" s="650"/>
      <c r="AL980" s="650"/>
      <c r="AM980" s="650"/>
      <c r="AN980" s="650"/>
      <c r="AO980" s="650"/>
      <c r="AP980" s="650"/>
      <c r="AQ980" s="650"/>
      <c r="AR980" s="650"/>
      <c r="AS980" s="650"/>
      <c r="AT980" s="650"/>
      <c r="AU980" s="650"/>
      <c r="AV980" s="650"/>
      <c r="AW980" s="650"/>
      <c r="AX980" s="650"/>
      <c r="AY980" s="650"/>
    </row>
    <row r="981" ht="21.75" customHeight="1">
      <c r="A981" s="650"/>
      <c r="B981" s="650"/>
      <c r="C981" s="650"/>
      <c r="D981" s="650"/>
      <c r="E981" s="650"/>
      <c r="F981" s="650"/>
      <c r="G981" s="650"/>
      <c r="H981" s="650"/>
      <c r="I981" s="650"/>
      <c r="J981" s="650"/>
      <c r="K981" s="650"/>
      <c r="L981" s="650"/>
      <c r="M981" s="650"/>
      <c r="N981" s="650"/>
      <c r="O981" s="650"/>
      <c r="P981" s="650"/>
      <c r="Q981" s="650"/>
      <c r="R981" s="650"/>
      <c r="S981" s="650"/>
      <c r="T981" s="650"/>
      <c r="U981" s="650"/>
      <c r="V981" s="650"/>
      <c r="W981" s="650"/>
      <c r="X981" s="650"/>
      <c r="Y981" s="650"/>
      <c r="Z981" s="650"/>
      <c r="AA981" s="650"/>
      <c r="AB981" s="650"/>
      <c r="AC981" s="650"/>
      <c r="AD981" s="650"/>
      <c r="AE981" s="650"/>
      <c r="AF981" s="650"/>
      <c r="AG981" s="650"/>
      <c r="AH981" s="650"/>
      <c r="AI981" s="650"/>
      <c r="AJ981" s="650"/>
      <c r="AK981" s="650"/>
      <c r="AL981" s="650"/>
      <c r="AM981" s="650"/>
      <c r="AN981" s="650"/>
      <c r="AO981" s="650"/>
      <c r="AP981" s="650"/>
      <c r="AQ981" s="650"/>
      <c r="AR981" s="650"/>
      <c r="AS981" s="650"/>
      <c r="AT981" s="650"/>
      <c r="AU981" s="650"/>
      <c r="AV981" s="650"/>
      <c r="AW981" s="650"/>
      <c r="AX981" s="650"/>
      <c r="AY981" s="650"/>
    </row>
    <row r="982" ht="21.75" customHeight="1">
      <c r="A982" s="650"/>
      <c r="B982" s="650"/>
      <c r="C982" s="650"/>
      <c r="D982" s="650"/>
      <c r="E982" s="650"/>
      <c r="F982" s="650"/>
      <c r="G982" s="650"/>
      <c r="H982" s="650"/>
      <c r="I982" s="650"/>
      <c r="J982" s="650"/>
      <c r="K982" s="650"/>
      <c r="L982" s="650"/>
      <c r="M982" s="650"/>
      <c r="N982" s="650"/>
      <c r="O982" s="650"/>
      <c r="P982" s="650"/>
      <c r="Q982" s="650"/>
      <c r="R982" s="650"/>
      <c r="S982" s="650"/>
      <c r="T982" s="650"/>
      <c r="U982" s="650"/>
      <c r="V982" s="650"/>
      <c r="W982" s="650"/>
      <c r="X982" s="650"/>
      <c r="Y982" s="650"/>
      <c r="Z982" s="650"/>
      <c r="AA982" s="650"/>
      <c r="AB982" s="650"/>
      <c r="AC982" s="650"/>
      <c r="AD982" s="650"/>
      <c r="AE982" s="650"/>
      <c r="AF982" s="650"/>
      <c r="AG982" s="650"/>
      <c r="AH982" s="650"/>
      <c r="AI982" s="650"/>
      <c r="AJ982" s="650"/>
      <c r="AK982" s="650"/>
      <c r="AL982" s="650"/>
      <c r="AM982" s="650"/>
      <c r="AN982" s="650"/>
      <c r="AO982" s="650"/>
      <c r="AP982" s="650"/>
      <c r="AQ982" s="650"/>
      <c r="AR982" s="650"/>
      <c r="AS982" s="650"/>
      <c r="AT982" s="650"/>
      <c r="AU982" s="650"/>
      <c r="AV982" s="650"/>
      <c r="AW982" s="650"/>
      <c r="AX982" s="650"/>
      <c r="AY982" s="650"/>
    </row>
    <row r="983" ht="21.75" customHeight="1">
      <c r="A983" s="650"/>
      <c r="B983" s="650"/>
      <c r="C983" s="650"/>
      <c r="D983" s="650"/>
      <c r="E983" s="650"/>
      <c r="F983" s="650"/>
      <c r="G983" s="650"/>
      <c r="H983" s="650"/>
      <c r="I983" s="650"/>
      <c r="J983" s="650"/>
      <c r="K983" s="650"/>
      <c r="L983" s="650"/>
      <c r="M983" s="650"/>
      <c r="N983" s="650"/>
      <c r="O983" s="650"/>
      <c r="P983" s="650"/>
      <c r="Q983" s="650"/>
      <c r="R983" s="650"/>
      <c r="S983" s="650"/>
      <c r="T983" s="650"/>
      <c r="U983" s="650"/>
      <c r="V983" s="650"/>
      <c r="W983" s="650"/>
      <c r="X983" s="650"/>
      <c r="Y983" s="650"/>
      <c r="Z983" s="650"/>
      <c r="AA983" s="650"/>
      <c r="AB983" s="650"/>
      <c r="AC983" s="650"/>
      <c r="AD983" s="650"/>
      <c r="AE983" s="650"/>
      <c r="AF983" s="650"/>
      <c r="AG983" s="650"/>
      <c r="AH983" s="650"/>
      <c r="AI983" s="650"/>
      <c r="AJ983" s="650"/>
      <c r="AK983" s="650"/>
      <c r="AL983" s="650"/>
      <c r="AM983" s="650"/>
      <c r="AN983" s="650"/>
      <c r="AO983" s="650"/>
      <c r="AP983" s="650"/>
      <c r="AQ983" s="650"/>
      <c r="AR983" s="650"/>
      <c r="AS983" s="650"/>
      <c r="AT983" s="650"/>
      <c r="AU983" s="650"/>
      <c r="AV983" s="650"/>
      <c r="AW983" s="650"/>
      <c r="AX983" s="650"/>
      <c r="AY983" s="650"/>
    </row>
    <row r="984" ht="21.75" customHeight="1">
      <c r="A984" s="650"/>
      <c r="B984" s="650"/>
      <c r="C984" s="650"/>
      <c r="D984" s="650"/>
      <c r="E984" s="650"/>
      <c r="F984" s="650"/>
      <c r="G984" s="650"/>
      <c r="H984" s="650"/>
      <c r="I984" s="650"/>
      <c r="J984" s="650"/>
      <c r="K984" s="650"/>
      <c r="L984" s="650"/>
      <c r="M984" s="650"/>
      <c r="N984" s="650"/>
      <c r="O984" s="650"/>
      <c r="P984" s="650"/>
      <c r="Q984" s="650"/>
      <c r="R984" s="650"/>
      <c r="S984" s="650"/>
      <c r="T984" s="650"/>
      <c r="U984" s="650"/>
      <c r="V984" s="650"/>
      <c r="W984" s="650"/>
      <c r="X984" s="650"/>
      <c r="Y984" s="650"/>
      <c r="Z984" s="650"/>
      <c r="AA984" s="650"/>
      <c r="AB984" s="650"/>
      <c r="AC984" s="650"/>
      <c r="AD984" s="650"/>
      <c r="AE984" s="650"/>
      <c r="AF984" s="650"/>
      <c r="AG984" s="650"/>
      <c r="AH984" s="650"/>
      <c r="AI984" s="650"/>
      <c r="AJ984" s="650"/>
      <c r="AK984" s="650"/>
      <c r="AL984" s="650"/>
      <c r="AM984" s="650"/>
      <c r="AN984" s="650"/>
      <c r="AO984" s="650"/>
      <c r="AP984" s="650"/>
      <c r="AQ984" s="650"/>
      <c r="AR984" s="650"/>
      <c r="AS984" s="650"/>
      <c r="AT984" s="650"/>
      <c r="AU984" s="650"/>
      <c r="AV984" s="650"/>
      <c r="AW984" s="650"/>
      <c r="AX984" s="650"/>
      <c r="AY984" s="650"/>
    </row>
    <row r="985" ht="21.75" customHeight="1">
      <c r="A985" s="650"/>
      <c r="B985" s="650"/>
      <c r="C985" s="650"/>
      <c r="D985" s="650"/>
      <c r="E985" s="650"/>
      <c r="F985" s="650"/>
      <c r="G985" s="650"/>
      <c r="H985" s="650"/>
      <c r="I985" s="650"/>
      <c r="J985" s="650"/>
      <c r="K985" s="650"/>
      <c r="L985" s="650"/>
      <c r="M985" s="650"/>
      <c r="N985" s="650"/>
      <c r="O985" s="650"/>
      <c r="P985" s="650"/>
      <c r="Q985" s="650"/>
      <c r="R985" s="650"/>
      <c r="S985" s="650"/>
      <c r="T985" s="650"/>
      <c r="U985" s="650"/>
      <c r="V985" s="650"/>
      <c r="W985" s="650"/>
      <c r="X985" s="650"/>
      <c r="Y985" s="650"/>
      <c r="Z985" s="650"/>
      <c r="AA985" s="650"/>
      <c r="AB985" s="650"/>
      <c r="AC985" s="650"/>
      <c r="AD985" s="650"/>
      <c r="AE985" s="650"/>
      <c r="AF985" s="650"/>
      <c r="AG985" s="650"/>
      <c r="AH985" s="650"/>
      <c r="AI985" s="650"/>
      <c r="AJ985" s="650"/>
      <c r="AK985" s="650"/>
      <c r="AL985" s="650"/>
      <c r="AM985" s="650"/>
      <c r="AN985" s="650"/>
      <c r="AO985" s="650"/>
      <c r="AP985" s="650"/>
      <c r="AQ985" s="650"/>
      <c r="AR985" s="650"/>
      <c r="AS985" s="650"/>
      <c r="AT985" s="650"/>
      <c r="AU985" s="650"/>
      <c r="AV985" s="650"/>
      <c r="AW985" s="650"/>
      <c r="AX985" s="650"/>
      <c r="AY985" s="650"/>
    </row>
    <row r="986" ht="21.75" customHeight="1">
      <c r="A986" s="650"/>
      <c r="B986" s="650"/>
      <c r="C986" s="650"/>
      <c r="D986" s="650"/>
      <c r="E986" s="650"/>
      <c r="F986" s="650"/>
      <c r="G986" s="650"/>
      <c r="H986" s="650"/>
      <c r="I986" s="650"/>
      <c r="J986" s="650"/>
      <c r="K986" s="650"/>
      <c r="L986" s="650"/>
      <c r="M986" s="650"/>
      <c r="N986" s="650"/>
      <c r="O986" s="650"/>
      <c r="P986" s="650"/>
      <c r="Q986" s="650"/>
      <c r="R986" s="650"/>
      <c r="S986" s="650"/>
      <c r="T986" s="650"/>
      <c r="U986" s="650"/>
      <c r="V986" s="650"/>
      <c r="W986" s="650"/>
      <c r="X986" s="650"/>
      <c r="Y986" s="650"/>
      <c r="Z986" s="650"/>
      <c r="AA986" s="650"/>
      <c r="AB986" s="650"/>
      <c r="AC986" s="650"/>
      <c r="AD986" s="650"/>
      <c r="AE986" s="650"/>
      <c r="AF986" s="650"/>
      <c r="AG986" s="650"/>
      <c r="AH986" s="650"/>
      <c r="AI986" s="650"/>
      <c r="AJ986" s="650"/>
      <c r="AK986" s="650"/>
      <c r="AL986" s="650"/>
      <c r="AM986" s="650"/>
      <c r="AN986" s="650"/>
      <c r="AO986" s="650"/>
      <c r="AP986" s="650"/>
      <c r="AQ986" s="650"/>
      <c r="AR986" s="650"/>
      <c r="AS986" s="650"/>
      <c r="AT986" s="650"/>
      <c r="AU986" s="650"/>
      <c r="AV986" s="650"/>
      <c r="AW986" s="650"/>
      <c r="AX986" s="650"/>
      <c r="AY986" s="650"/>
    </row>
    <row r="987" ht="21.75" customHeight="1">
      <c r="A987" s="650"/>
      <c r="B987" s="650"/>
      <c r="C987" s="650"/>
      <c r="D987" s="650"/>
      <c r="E987" s="650"/>
      <c r="F987" s="650"/>
      <c r="G987" s="650"/>
      <c r="H987" s="650"/>
      <c r="I987" s="650"/>
      <c r="J987" s="650"/>
      <c r="K987" s="650"/>
      <c r="L987" s="650"/>
      <c r="M987" s="650"/>
      <c r="N987" s="650"/>
      <c r="O987" s="650"/>
      <c r="P987" s="650"/>
      <c r="Q987" s="650"/>
      <c r="R987" s="650"/>
      <c r="S987" s="650"/>
      <c r="T987" s="650"/>
      <c r="U987" s="650"/>
      <c r="V987" s="650"/>
      <c r="W987" s="650"/>
      <c r="X987" s="650"/>
      <c r="Y987" s="650"/>
      <c r="Z987" s="650"/>
      <c r="AA987" s="650"/>
      <c r="AB987" s="650"/>
      <c r="AC987" s="650"/>
      <c r="AD987" s="650"/>
      <c r="AE987" s="650"/>
      <c r="AF987" s="650"/>
      <c r="AG987" s="650"/>
      <c r="AH987" s="650"/>
      <c r="AI987" s="650"/>
      <c r="AJ987" s="650"/>
      <c r="AK987" s="650"/>
      <c r="AL987" s="650"/>
      <c r="AM987" s="650"/>
      <c r="AN987" s="650"/>
      <c r="AO987" s="650"/>
      <c r="AP987" s="650"/>
      <c r="AQ987" s="650"/>
      <c r="AR987" s="650"/>
      <c r="AS987" s="650"/>
      <c r="AT987" s="650"/>
      <c r="AU987" s="650"/>
      <c r="AV987" s="650"/>
      <c r="AW987" s="650"/>
      <c r="AX987" s="650"/>
      <c r="AY987" s="650"/>
    </row>
    <row r="988" ht="21.75" customHeight="1">
      <c r="A988" s="650"/>
      <c r="B988" s="650"/>
      <c r="C988" s="650"/>
      <c r="D988" s="650"/>
      <c r="E988" s="650"/>
      <c r="F988" s="650"/>
      <c r="G988" s="650"/>
      <c r="H988" s="650"/>
      <c r="I988" s="650"/>
      <c r="J988" s="650"/>
      <c r="K988" s="650"/>
      <c r="L988" s="650"/>
      <c r="M988" s="650"/>
      <c r="N988" s="650"/>
      <c r="O988" s="650"/>
      <c r="P988" s="650"/>
      <c r="Q988" s="650"/>
      <c r="R988" s="650"/>
      <c r="S988" s="650"/>
      <c r="T988" s="650"/>
      <c r="U988" s="650"/>
      <c r="V988" s="650"/>
      <c r="W988" s="650"/>
      <c r="X988" s="650"/>
      <c r="Y988" s="650"/>
      <c r="Z988" s="650"/>
      <c r="AA988" s="650"/>
      <c r="AB988" s="650"/>
      <c r="AC988" s="650"/>
      <c r="AD988" s="650"/>
      <c r="AE988" s="650"/>
      <c r="AF988" s="650"/>
      <c r="AG988" s="650"/>
      <c r="AH988" s="650"/>
      <c r="AI988" s="650"/>
      <c r="AJ988" s="650"/>
      <c r="AK988" s="650"/>
      <c r="AL988" s="650"/>
      <c r="AM988" s="650"/>
      <c r="AN988" s="650"/>
      <c r="AO988" s="650"/>
      <c r="AP988" s="650"/>
      <c r="AQ988" s="650"/>
      <c r="AR988" s="650"/>
      <c r="AS988" s="650"/>
      <c r="AT988" s="650"/>
      <c r="AU988" s="650"/>
      <c r="AV988" s="650"/>
      <c r="AW988" s="650"/>
      <c r="AX988" s="650"/>
      <c r="AY988" s="650"/>
    </row>
    <row r="989" ht="21.75" customHeight="1">
      <c r="A989" s="650"/>
      <c r="B989" s="650"/>
      <c r="C989" s="650"/>
      <c r="D989" s="650"/>
      <c r="E989" s="650"/>
      <c r="F989" s="650"/>
      <c r="G989" s="650"/>
      <c r="H989" s="650"/>
      <c r="I989" s="650"/>
      <c r="J989" s="650"/>
      <c r="K989" s="650"/>
      <c r="L989" s="650"/>
      <c r="M989" s="650"/>
      <c r="N989" s="650"/>
      <c r="O989" s="650"/>
      <c r="P989" s="650"/>
      <c r="Q989" s="650"/>
      <c r="R989" s="650"/>
      <c r="S989" s="650"/>
      <c r="T989" s="650"/>
      <c r="U989" s="650"/>
      <c r="V989" s="650"/>
      <c r="W989" s="650"/>
      <c r="X989" s="650"/>
      <c r="Y989" s="650"/>
      <c r="Z989" s="650"/>
      <c r="AA989" s="650"/>
      <c r="AB989" s="650"/>
      <c r="AC989" s="650"/>
      <c r="AD989" s="650"/>
      <c r="AE989" s="650"/>
      <c r="AF989" s="650"/>
      <c r="AG989" s="650"/>
      <c r="AH989" s="650"/>
      <c r="AI989" s="650"/>
      <c r="AJ989" s="650"/>
      <c r="AK989" s="650"/>
      <c r="AL989" s="650"/>
      <c r="AM989" s="650"/>
      <c r="AN989" s="650"/>
      <c r="AO989" s="650"/>
      <c r="AP989" s="650"/>
      <c r="AQ989" s="650"/>
      <c r="AR989" s="650"/>
      <c r="AS989" s="650"/>
      <c r="AT989" s="650"/>
      <c r="AU989" s="650"/>
      <c r="AV989" s="650"/>
      <c r="AW989" s="650"/>
      <c r="AX989" s="650"/>
      <c r="AY989" s="650"/>
    </row>
    <row r="990" ht="21.75" customHeight="1">
      <c r="A990" s="650"/>
      <c r="B990" s="650"/>
      <c r="C990" s="650"/>
      <c r="D990" s="650"/>
      <c r="E990" s="650"/>
      <c r="F990" s="650"/>
      <c r="G990" s="650"/>
      <c r="H990" s="650"/>
      <c r="I990" s="650"/>
      <c r="J990" s="650"/>
      <c r="K990" s="650"/>
      <c r="L990" s="650"/>
      <c r="M990" s="650"/>
      <c r="N990" s="650"/>
      <c r="O990" s="650"/>
      <c r="P990" s="650"/>
      <c r="Q990" s="650"/>
      <c r="R990" s="650"/>
      <c r="S990" s="650"/>
      <c r="T990" s="650"/>
      <c r="U990" s="650"/>
      <c r="V990" s="650"/>
      <c r="W990" s="650"/>
      <c r="X990" s="650"/>
      <c r="Y990" s="650"/>
      <c r="Z990" s="650"/>
      <c r="AA990" s="650"/>
      <c r="AB990" s="650"/>
      <c r="AC990" s="650"/>
      <c r="AD990" s="650"/>
      <c r="AE990" s="650"/>
      <c r="AF990" s="650"/>
      <c r="AG990" s="650"/>
      <c r="AH990" s="650"/>
      <c r="AI990" s="650"/>
      <c r="AJ990" s="650"/>
      <c r="AK990" s="650"/>
      <c r="AL990" s="650"/>
      <c r="AM990" s="650"/>
      <c r="AN990" s="650"/>
      <c r="AO990" s="650"/>
      <c r="AP990" s="650"/>
      <c r="AQ990" s="650"/>
      <c r="AR990" s="650"/>
      <c r="AS990" s="650"/>
      <c r="AT990" s="650"/>
      <c r="AU990" s="650"/>
      <c r="AV990" s="650"/>
      <c r="AW990" s="650"/>
      <c r="AX990" s="650"/>
      <c r="AY990" s="650"/>
    </row>
    <row r="991" ht="21.75" customHeight="1">
      <c r="A991" s="650"/>
      <c r="B991" s="650"/>
      <c r="C991" s="650"/>
      <c r="D991" s="650"/>
      <c r="E991" s="650"/>
      <c r="F991" s="650"/>
      <c r="G991" s="650"/>
      <c r="H991" s="650"/>
      <c r="I991" s="650"/>
      <c r="J991" s="650"/>
      <c r="K991" s="650"/>
      <c r="L991" s="650"/>
      <c r="M991" s="650"/>
      <c r="N991" s="650"/>
      <c r="O991" s="650"/>
      <c r="P991" s="650"/>
      <c r="Q991" s="650"/>
      <c r="R991" s="650"/>
      <c r="S991" s="650"/>
      <c r="T991" s="650"/>
      <c r="U991" s="650"/>
      <c r="V991" s="650"/>
      <c r="W991" s="650"/>
      <c r="X991" s="650"/>
      <c r="Y991" s="650"/>
      <c r="Z991" s="650"/>
      <c r="AA991" s="650"/>
      <c r="AB991" s="650"/>
      <c r="AC991" s="650"/>
      <c r="AD991" s="650"/>
      <c r="AE991" s="650"/>
      <c r="AF991" s="650"/>
      <c r="AG991" s="650"/>
      <c r="AH991" s="650"/>
      <c r="AI991" s="650"/>
      <c r="AJ991" s="650"/>
      <c r="AK991" s="650"/>
      <c r="AL991" s="650"/>
      <c r="AM991" s="650"/>
      <c r="AN991" s="650"/>
      <c r="AO991" s="650"/>
      <c r="AP991" s="650"/>
      <c r="AQ991" s="650"/>
      <c r="AR991" s="650"/>
      <c r="AS991" s="650"/>
      <c r="AT991" s="650"/>
      <c r="AU991" s="650"/>
      <c r="AV991" s="650"/>
      <c r="AW991" s="650"/>
      <c r="AX991" s="650"/>
      <c r="AY991" s="650"/>
    </row>
    <row r="992" ht="21.75" customHeight="1">
      <c r="A992" s="650"/>
      <c r="B992" s="650"/>
      <c r="C992" s="650"/>
      <c r="D992" s="650"/>
      <c r="E992" s="650"/>
      <c r="F992" s="650"/>
      <c r="G992" s="650"/>
      <c r="H992" s="650"/>
      <c r="I992" s="650"/>
      <c r="J992" s="650"/>
      <c r="K992" s="650"/>
      <c r="L992" s="650"/>
      <c r="M992" s="650"/>
      <c r="N992" s="650"/>
      <c r="O992" s="650"/>
      <c r="P992" s="650"/>
      <c r="Q992" s="650"/>
      <c r="R992" s="650"/>
      <c r="S992" s="650"/>
      <c r="T992" s="650"/>
      <c r="U992" s="650"/>
      <c r="V992" s="650"/>
      <c r="W992" s="650"/>
      <c r="X992" s="650"/>
      <c r="Y992" s="650"/>
      <c r="Z992" s="650"/>
      <c r="AA992" s="650"/>
      <c r="AB992" s="650"/>
      <c r="AC992" s="650"/>
      <c r="AD992" s="650"/>
      <c r="AE992" s="650"/>
      <c r="AF992" s="650"/>
      <c r="AG992" s="650"/>
      <c r="AH992" s="650"/>
      <c r="AI992" s="650"/>
      <c r="AJ992" s="650"/>
      <c r="AK992" s="650"/>
      <c r="AL992" s="650"/>
      <c r="AM992" s="650"/>
      <c r="AN992" s="650"/>
      <c r="AO992" s="650"/>
      <c r="AP992" s="650"/>
      <c r="AQ992" s="650"/>
      <c r="AR992" s="650"/>
      <c r="AS992" s="650"/>
      <c r="AT992" s="650"/>
      <c r="AU992" s="650"/>
      <c r="AV992" s="650"/>
      <c r="AW992" s="650"/>
      <c r="AX992" s="650"/>
      <c r="AY992" s="650"/>
    </row>
    <row r="993" ht="21.75" customHeight="1">
      <c r="A993" s="650"/>
      <c r="B993" s="650"/>
      <c r="C993" s="650"/>
      <c r="D993" s="650"/>
      <c r="E993" s="650"/>
      <c r="F993" s="650"/>
      <c r="G993" s="650"/>
      <c r="H993" s="650"/>
      <c r="I993" s="650"/>
      <c r="J993" s="650"/>
      <c r="K993" s="650"/>
      <c r="L993" s="650"/>
      <c r="M993" s="650"/>
      <c r="N993" s="650"/>
      <c r="O993" s="650"/>
      <c r="P993" s="650"/>
      <c r="Q993" s="650"/>
      <c r="R993" s="650"/>
      <c r="S993" s="650"/>
      <c r="T993" s="650"/>
      <c r="U993" s="650"/>
      <c r="V993" s="650"/>
      <c r="W993" s="650"/>
      <c r="X993" s="650"/>
      <c r="Y993" s="650"/>
      <c r="Z993" s="650"/>
      <c r="AA993" s="650"/>
      <c r="AB993" s="650"/>
      <c r="AC993" s="650"/>
      <c r="AD993" s="650"/>
      <c r="AE993" s="650"/>
      <c r="AF993" s="650"/>
      <c r="AG993" s="650"/>
      <c r="AH993" s="650"/>
      <c r="AI993" s="650"/>
      <c r="AJ993" s="650"/>
      <c r="AK993" s="650"/>
      <c r="AL993" s="650"/>
      <c r="AM993" s="650"/>
      <c r="AN993" s="650"/>
      <c r="AO993" s="650"/>
      <c r="AP993" s="650"/>
      <c r="AQ993" s="650"/>
      <c r="AR993" s="650"/>
      <c r="AS993" s="650"/>
      <c r="AT993" s="650"/>
      <c r="AU993" s="650"/>
      <c r="AV993" s="650"/>
      <c r="AW993" s="650"/>
      <c r="AX993" s="650"/>
      <c r="AY993" s="650"/>
    </row>
    <row r="994" ht="21.75" customHeight="1">
      <c r="A994" s="650"/>
      <c r="B994" s="650"/>
      <c r="C994" s="650"/>
      <c r="D994" s="650"/>
      <c r="E994" s="650"/>
      <c r="F994" s="650"/>
      <c r="G994" s="650"/>
      <c r="H994" s="650"/>
      <c r="I994" s="650"/>
      <c r="J994" s="650"/>
      <c r="K994" s="650"/>
      <c r="L994" s="650"/>
      <c r="M994" s="650"/>
      <c r="N994" s="650"/>
      <c r="O994" s="650"/>
      <c r="P994" s="650"/>
      <c r="Q994" s="650"/>
      <c r="R994" s="650"/>
      <c r="S994" s="650"/>
      <c r="T994" s="650"/>
      <c r="U994" s="650"/>
      <c r="V994" s="650"/>
      <c r="W994" s="650"/>
      <c r="X994" s="650"/>
      <c r="Y994" s="650"/>
      <c r="Z994" s="650"/>
      <c r="AA994" s="650"/>
      <c r="AB994" s="650"/>
      <c r="AC994" s="650"/>
      <c r="AD994" s="650"/>
      <c r="AE994" s="650"/>
      <c r="AF994" s="650"/>
      <c r="AG994" s="650"/>
      <c r="AH994" s="650"/>
      <c r="AI994" s="650"/>
      <c r="AJ994" s="650"/>
      <c r="AK994" s="650"/>
      <c r="AL994" s="650"/>
      <c r="AM994" s="650"/>
      <c r="AN994" s="650"/>
      <c r="AO994" s="650"/>
      <c r="AP994" s="650"/>
      <c r="AQ994" s="650"/>
      <c r="AR994" s="650"/>
      <c r="AS994" s="650"/>
      <c r="AT994" s="650"/>
      <c r="AU994" s="650"/>
      <c r="AV994" s="650"/>
      <c r="AW994" s="650"/>
      <c r="AX994" s="650"/>
      <c r="AY994" s="650"/>
    </row>
    <row r="995" ht="21.75" customHeight="1">
      <c r="A995" s="650"/>
      <c r="B995" s="650"/>
      <c r="C995" s="650"/>
      <c r="D995" s="650"/>
      <c r="E995" s="650"/>
      <c r="F995" s="650"/>
      <c r="G995" s="650"/>
      <c r="H995" s="650"/>
      <c r="I995" s="650"/>
      <c r="J995" s="650"/>
      <c r="K995" s="650"/>
      <c r="L995" s="650"/>
      <c r="M995" s="650"/>
      <c r="N995" s="650"/>
      <c r="O995" s="650"/>
      <c r="P995" s="650"/>
      <c r="Q995" s="650"/>
      <c r="R995" s="650"/>
      <c r="S995" s="650"/>
      <c r="T995" s="650"/>
      <c r="U995" s="650"/>
      <c r="V995" s="650"/>
      <c r="W995" s="650"/>
      <c r="X995" s="650"/>
      <c r="Y995" s="650"/>
      <c r="Z995" s="650"/>
      <c r="AA995" s="650"/>
      <c r="AB995" s="650"/>
      <c r="AC995" s="650"/>
      <c r="AD995" s="650"/>
      <c r="AE995" s="650"/>
      <c r="AF995" s="650"/>
      <c r="AG995" s="650"/>
      <c r="AH995" s="650"/>
      <c r="AI995" s="650"/>
      <c r="AJ995" s="650"/>
      <c r="AK995" s="650"/>
      <c r="AL995" s="650"/>
      <c r="AM995" s="650"/>
      <c r="AN995" s="650"/>
      <c r="AO995" s="650"/>
      <c r="AP995" s="650"/>
      <c r="AQ995" s="650"/>
      <c r="AR995" s="650"/>
      <c r="AS995" s="650"/>
      <c r="AT995" s="650"/>
      <c r="AU995" s="650"/>
      <c r="AV995" s="650"/>
      <c r="AW995" s="650"/>
      <c r="AX995" s="650"/>
      <c r="AY995" s="650"/>
    </row>
    <row r="996" ht="21.75" customHeight="1">
      <c r="A996" s="650"/>
      <c r="B996" s="650"/>
      <c r="C996" s="650"/>
      <c r="D996" s="650"/>
      <c r="E996" s="650"/>
      <c r="F996" s="650"/>
      <c r="G996" s="650"/>
      <c r="H996" s="650"/>
      <c r="I996" s="650"/>
      <c r="J996" s="650"/>
      <c r="K996" s="650"/>
      <c r="L996" s="650"/>
      <c r="M996" s="650"/>
      <c r="N996" s="650"/>
      <c r="O996" s="650"/>
      <c r="P996" s="650"/>
      <c r="Q996" s="650"/>
      <c r="R996" s="650"/>
      <c r="S996" s="650"/>
      <c r="T996" s="650"/>
      <c r="U996" s="650"/>
      <c r="V996" s="650"/>
      <c r="W996" s="650"/>
      <c r="X996" s="650"/>
      <c r="Y996" s="650"/>
      <c r="Z996" s="650"/>
      <c r="AA996" s="650"/>
      <c r="AB996" s="650"/>
      <c r="AC996" s="650"/>
      <c r="AD996" s="650"/>
      <c r="AE996" s="650"/>
      <c r="AF996" s="650"/>
      <c r="AG996" s="650"/>
      <c r="AH996" s="650"/>
      <c r="AI996" s="650"/>
      <c r="AJ996" s="650"/>
      <c r="AK996" s="650"/>
      <c r="AL996" s="650"/>
      <c r="AM996" s="650"/>
      <c r="AN996" s="650"/>
      <c r="AO996" s="650"/>
      <c r="AP996" s="650"/>
      <c r="AQ996" s="650"/>
      <c r="AR996" s="650"/>
      <c r="AS996" s="650"/>
      <c r="AT996" s="650"/>
      <c r="AU996" s="650"/>
      <c r="AV996" s="650"/>
      <c r="AW996" s="650"/>
      <c r="AX996" s="650"/>
      <c r="AY996" s="650"/>
    </row>
    <row r="997" ht="21.75" customHeight="1">
      <c r="A997" s="650"/>
      <c r="B997" s="650"/>
      <c r="C997" s="650"/>
      <c r="D997" s="650"/>
      <c r="E997" s="650"/>
      <c r="F997" s="650"/>
      <c r="G997" s="650"/>
      <c r="H997" s="650"/>
      <c r="I997" s="650"/>
      <c r="J997" s="650"/>
      <c r="K997" s="650"/>
      <c r="L997" s="650"/>
      <c r="M997" s="650"/>
      <c r="N997" s="650"/>
      <c r="O997" s="650"/>
      <c r="P997" s="650"/>
      <c r="Q997" s="650"/>
      <c r="R997" s="650"/>
      <c r="S997" s="650"/>
      <c r="T997" s="650"/>
      <c r="U997" s="650"/>
      <c r="V997" s="650"/>
      <c r="W997" s="650"/>
      <c r="X997" s="650"/>
      <c r="Y997" s="650"/>
      <c r="Z997" s="650"/>
      <c r="AA997" s="650"/>
      <c r="AB997" s="650"/>
      <c r="AC997" s="650"/>
      <c r="AD997" s="650"/>
      <c r="AE997" s="650"/>
      <c r="AF997" s="650"/>
      <c r="AG997" s="650"/>
      <c r="AH997" s="650"/>
      <c r="AI997" s="650"/>
      <c r="AJ997" s="650"/>
      <c r="AK997" s="650"/>
      <c r="AL997" s="650"/>
      <c r="AM997" s="650"/>
      <c r="AN997" s="650"/>
      <c r="AO997" s="650"/>
      <c r="AP997" s="650"/>
      <c r="AQ997" s="650"/>
      <c r="AR997" s="650"/>
      <c r="AS997" s="650"/>
      <c r="AT997" s="650"/>
      <c r="AU997" s="650"/>
      <c r="AV997" s="650"/>
      <c r="AW997" s="650"/>
      <c r="AX997" s="650"/>
      <c r="AY997" s="650"/>
    </row>
    <row r="998" ht="21.75" customHeight="1">
      <c r="A998" s="650"/>
      <c r="B998" s="650"/>
      <c r="C998" s="650"/>
      <c r="D998" s="650"/>
      <c r="E998" s="650"/>
      <c r="F998" s="650"/>
      <c r="G998" s="650"/>
      <c r="H998" s="650"/>
      <c r="I998" s="650"/>
      <c r="J998" s="650"/>
      <c r="K998" s="650"/>
      <c r="L998" s="650"/>
      <c r="M998" s="650"/>
      <c r="N998" s="650"/>
      <c r="O998" s="650"/>
      <c r="P998" s="650"/>
      <c r="Q998" s="650"/>
      <c r="R998" s="650"/>
      <c r="S998" s="650"/>
      <c r="T998" s="650"/>
      <c r="U998" s="650"/>
      <c r="V998" s="650"/>
      <c r="W998" s="650"/>
      <c r="X998" s="650"/>
      <c r="Y998" s="650"/>
      <c r="Z998" s="650"/>
      <c r="AA998" s="650"/>
      <c r="AB998" s="650"/>
      <c r="AC998" s="650"/>
      <c r="AD998" s="650"/>
      <c r="AE998" s="650"/>
      <c r="AF998" s="650"/>
      <c r="AG998" s="650"/>
      <c r="AH998" s="650"/>
      <c r="AI998" s="650"/>
      <c r="AJ998" s="650"/>
      <c r="AK998" s="650"/>
      <c r="AL998" s="650"/>
      <c r="AM998" s="650"/>
      <c r="AN998" s="650"/>
      <c r="AO998" s="650"/>
      <c r="AP998" s="650"/>
      <c r="AQ998" s="650"/>
      <c r="AR998" s="650"/>
      <c r="AS998" s="650"/>
      <c r="AT998" s="650"/>
      <c r="AU998" s="650"/>
      <c r="AV998" s="650"/>
      <c r="AW998" s="650"/>
      <c r="AX998" s="650"/>
      <c r="AY998" s="650"/>
    </row>
    <row r="999" ht="21.75" customHeight="1">
      <c r="A999" s="650"/>
      <c r="B999" s="650"/>
      <c r="C999" s="650"/>
      <c r="D999" s="650"/>
      <c r="E999" s="650"/>
      <c r="F999" s="650"/>
      <c r="G999" s="650"/>
      <c r="H999" s="650"/>
      <c r="I999" s="650"/>
      <c r="J999" s="650"/>
      <c r="K999" s="650"/>
      <c r="L999" s="650"/>
      <c r="M999" s="650"/>
      <c r="N999" s="650"/>
      <c r="O999" s="650"/>
      <c r="P999" s="650"/>
      <c r="Q999" s="650"/>
      <c r="R999" s="650"/>
      <c r="S999" s="650"/>
      <c r="T999" s="650"/>
      <c r="U999" s="650"/>
      <c r="V999" s="650"/>
      <c r="W999" s="650"/>
      <c r="X999" s="650"/>
      <c r="Y999" s="650"/>
      <c r="Z999" s="650"/>
      <c r="AA999" s="650"/>
      <c r="AB999" s="650"/>
      <c r="AC999" s="650"/>
      <c r="AD999" s="650"/>
      <c r="AE999" s="650"/>
      <c r="AF999" s="650"/>
      <c r="AG999" s="650"/>
      <c r="AH999" s="650"/>
      <c r="AI999" s="650"/>
      <c r="AJ999" s="650"/>
      <c r="AK999" s="650"/>
      <c r="AL999" s="650"/>
      <c r="AM999" s="650"/>
      <c r="AN999" s="650"/>
      <c r="AO999" s="650"/>
      <c r="AP999" s="650"/>
      <c r="AQ999" s="650"/>
      <c r="AR999" s="650"/>
      <c r="AS999" s="650"/>
      <c r="AT999" s="650"/>
      <c r="AU999" s="650"/>
      <c r="AV999" s="650"/>
      <c r="AW999" s="650"/>
      <c r="AX999" s="650"/>
      <c r="AY999" s="650"/>
    </row>
    <row r="1000" ht="21.75" customHeight="1">
      <c r="A1000" s="650"/>
      <c r="B1000" s="650"/>
      <c r="C1000" s="650"/>
      <c r="D1000" s="650"/>
      <c r="E1000" s="650"/>
      <c r="F1000" s="650"/>
      <c r="G1000" s="650"/>
      <c r="H1000" s="650"/>
      <c r="I1000" s="650"/>
      <c r="J1000" s="650"/>
      <c r="K1000" s="650"/>
      <c r="L1000" s="650"/>
      <c r="M1000" s="650"/>
      <c r="N1000" s="650"/>
      <c r="O1000" s="650"/>
      <c r="P1000" s="650"/>
      <c r="Q1000" s="650"/>
      <c r="R1000" s="650"/>
      <c r="S1000" s="650"/>
      <c r="T1000" s="650"/>
      <c r="U1000" s="650"/>
      <c r="V1000" s="650"/>
      <c r="W1000" s="650"/>
      <c r="X1000" s="650"/>
      <c r="Y1000" s="650"/>
      <c r="Z1000" s="650"/>
      <c r="AA1000" s="650"/>
      <c r="AB1000" s="650"/>
      <c r="AC1000" s="650"/>
      <c r="AD1000" s="650"/>
      <c r="AE1000" s="650"/>
      <c r="AF1000" s="650"/>
      <c r="AG1000" s="650"/>
      <c r="AH1000" s="650"/>
      <c r="AI1000" s="650"/>
      <c r="AJ1000" s="650"/>
      <c r="AK1000" s="650"/>
      <c r="AL1000" s="650"/>
      <c r="AM1000" s="650"/>
      <c r="AN1000" s="650"/>
      <c r="AO1000" s="650"/>
      <c r="AP1000" s="650"/>
      <c r="AQ1000" s="650"/>
      <c r="AR1000" s="650"/>
      <c r="AS1000" s="650"/>
      <c r="AT1000" s="650"/>
      <c r="AU1000" s="650"/>
      <c r="AV1000" s="650"/>
      <c r="AW1000" s="650"/>
      <c r="AX1000" s="650"/>
      <c r="AY1000" s="650"/>
    </row>
    <row r="1001" ht="21.75" customHeight="1">
      <c r="A1001" s="650"/>
      <c r="B1001" s="650"/>
      <c r="C1001" s="650"/>
      <c r="D1001" s="650"/>
      <c r="E1001" s="650"/>
      <c r="F1001" s="650"/>
      <c r="G1001" s="650"/>
      <c r="H1001" s="650"/>
      <c r="I1001" s="650"/>
      <c r="J1001" s="650"/>
      <c r="K1001" s="650"/>
      <c r="L1001" s="650"/>
      <c r="M1001" s="650"/>
      <c r="N1001" s="650"/>
      <c r="O1001" s="650"/>
      <c r="P1001" s="650"/>
      <c r="Q1001" s="650"/>
      <c r="R1001" s="650"/>
      <c r="S1001" s="650"/>
      <c r="T1001" s="650"/>
      <c r="U1001" s="650"/>
      <c r="V1001" s="650"/>
      <c r="W1001" s="650"/>
      <c r="X1001" s="650"/>
      <c r="Y1001" s="650"/>
      <c r="Z1001" s="650"/>
      <c r="AA1001" s="650"/>
      <c r="AB1001" s="650"/>
      <c r="AC1001" s="650"/>
      <c r="AD1001" s="650"/>
      <c r="AE1001" s="650"/>
      <c r="AF1001" s="650"/>
      <c r="AG1001" s="650"/>
      <c r="AH1001" s="650"/>
      <c r="AI1001" s="650"/>
      <c r="AJ1001" s="650"/>
      <c r="AK1001" s="650"/>
      <c r="AL1001" s="650"/>
      <c r="AM1001" s="650"/>
      <c r="AN1001" s="650"/>
      <c r="AO1001" s="650"/>
      <c r="AP1001" s="650"/>
      <c r="AQ1001" s="650"/>
      <c r="AR1001" s="650"/>
      <c r="AS1001" s="650"/>
      <c r="AT1001" s="650"/>
      <c r="AU1001" s="650"/>
      <c r="AV1001" s="650"/>
      <c r="AW1001" s="650"/>
      <c r="AX1001" s="650"/>
      <c r="AY1001" s="650"/>
    </row>
    <row r="1002" ht="21.75" customHeight="1">
      <c r="A1002" s="650"/>
      <c r="B1002" s="650"/>
      <c r="C1002" s="650"/>
      <c r="D1002" s="650"/>
      <c r="E1002" s="650"/>
      <c r="F1002" s="650"/>
      <c r="G1002" s="650"/>
      <c r="H1002" s="650"/>
      <c r="I1002" s="650"/>
      <c r="J1002" s="650"/>
      <c r="K1002" s="650"/>
      <c r="L1002" s="650"/>
      <c r="M1002" s="650"/>
      <c r="N1002" s="650"/>
      <c r="O1002" s="650"/>
      <c r="P1002" s="650"/>
      <c r="Q1002" s="650"/>
      <c r="R1002" s="650"/>
      <c r="S1002" s="650"/>
      <c r="T1002" s="650"/>
      <c r="U1002" s="650"/>
      <c r="V1002" s="650"/>
      <c r="W1002" s="650"/>
      <c r="X1002" s="650"/>
      <c r="Y1002" s="650"/>
      <c r="Z1002" s="650"/>
      <c r="AA1002" s="650"/>
      <c r="AB1002" s="650"/>
      <c r="AC1002" s="650"/>
      <c r="AD1002" s="650"/>
      <c r="AE1002" s="650"/>
      <c r="AF1002" s="650"/>
      <c r="AG1002" s="650"/>
      <c r="AH1002" s="650"/>
      <c r="AI1002" s="650"/>
      <c r="AJ1002" s="650"/>
      <c r="AK1002" s="650"/>
      <c r="AL1002" s="650"/>
      <c r="AM1002" s="650"/>
      <c r="AN1002" s="650"/>
      <c r="AO1002" s="650"/>
      <c r="AP1002" s="650"/>
      <c r="AQ1002" s="650"/>
      <c r="AR1002" s="650"/>
      <c r="AS1002" s="650"/>
      <c r="AT1002" s="650"/>
      <c r="AU1002" s="650"/>
      <c r="AV1002" s="650"/>
      <c r="AW1002" s="650"/>
      <c r="AX1002" s="650"/>
      <c r="AY1002" s="650"/>
    </row>
    <row r="1003" ht="21.75" customHeight="1">
      <c r="A1003" s="650"/>
      <c r="B1003" s="650"/>
      <c r="C1003" s="650"/>
      <c r="D1003" s="650"/>
      <c r="E1003" s="650"/>
      <c r="F1003" s="650"/>
      <c r="G1003" s="650"/>
      <c r="H1003" s="650"/>
      <c r="I1003" s="650"/>
      <c r="J1003" s="650"/>
      <c r="K1003" s="650"/>
      <c r="L1003" s="650"/>
      <c r="M1003" s="650"/>
      <c r="N1003" s="650"/>
      <c r="O1003" s="650"/>
      <c r="P1003" s="650"/>
      <c r="Q1003" s="650"/>
      <c r="R1003" s="650"/>
      <c r="S1003" s="650"/>
      <c r="T1003" s="650"/>
      <c r="U1003" s="650"/>
      <c r="V1003" s="650"/>
      <c r="W1003" s="650"/>
      <c r="X1003" s="650"/>
      <c r="Y1003" s="650"/>
      <c r="Z1003" s="650"/>
      <c r="AA1003" s="650"/>
      <c r="AB1003" s="650"/>
      <c r="AC1003" s="650"/>
      <c r="AD1003" s="650"/>
      <c r="AE1003" s="650"/>
      <c r="AF1003" s="650"/>
      <c r="AG1003" s="650"/>
      <c r="AH1003" s="650"/>
      <c r="AI1003" s="650"/>
      <c r="AJ1003" s="650"/>
      <c r="AK1003" s="650"/>
      <c r="AL1003" s="650"/>
      <c r="AM1003" s="650"/>
      <c r="AN1003" s="650"/>
      <c r="AO1003" s="650"/>
      <c r="AP1003" s="650"/>
      <c r="AQ1003" s="650"/>
      <c r="AR1003" s="650"/>
      <c r="AS1003" s="650"/>
      <c r="AT1003" s="650"/>
      <c r="AU1003" s="650"/>
      <c r="AV1003" s="650"/>
      <c r="AW1003" s="650"/>
      <c r="AX1003" s="650"/>
      <c r="AY1003" s="650"/>
    </row>
    <row r="1004" ht="21.75" customHeight="1">
      <c r="A1004" s="650"/>
      <c r="B1004" s="650"/>
      <c r="C1004" s="650"/>
      <c r="D1004" s="650"/>
      <c r="E1004" s="650"/>
      <c r="F1004" s="650"/>
      <c r="G1004" s="650"/>
      <c r="H1004" s="650"/>
      <c r="I1004" s="650"/>
      <c r="J1004" s="650"/>
      <c r="K1004" s="650"/>
      <c r="L1004" s="650"/>
      <c r="M1004" s="650"/>
      <c r="N1004" s="650"/>
      <c r="O1004" s="650"/>
      <c r="P1004" s="650"/>
      <c r="Q1004" s="650"/>
      <c r="R1004" s="650"/>
      <c r="S1004" s="650"/>
      <c r="T1004" s="650"/>
      <c r="U1004" s="650"/>
      <c r="V1004" s="650"/>
      <c r="W1004" s="650"/>
      <c r="X1004" s="650"/>
      <c r="Y1004" s="650"/>
      <c r="Z1004" s="650"/>
      <c r="AA1004" s="650"/>
      <c r="AB1004" s="650"/>
      <c r="AC1004" s="650"/>
      <c r="AD1004" s="650"/>
      <c r="AE1004" s="650"/>
      <c r="AF1004" s="650"/>
      <c r="AG1004" s="650"/>
      <c r="AH1004" s="650"/>
      <c r="AI1004" s="650"/>
      <c r="AJ1004" s="650"/>
      <c r="AK1004" s="650"/>
      <c r="AL1004" s="650"/>
      <c r="AM1004" s="650"/>
      <c r="AN1004" s="650"/>
      <c r="AO1004" s="650"/>
      <c r="AP1004" s="650"/>
      <c r="AQ1004" s="650"/>
      <c r="AR1004" s="650"/>
      <c r="AS1004" s="650"/>
      <c r="AT1004" s="650"/>
      <c r="AU1004" s="650"/>
      <c r="AV1004" s="650"/>
      <c r="AW1004" s="650"/>
      <c r="AX1004" s="650"/>
      <c r="AY1004" s="650"/>
    </row>
    <row r="1005" ht="21.75" customHeight="1">
      <c r="A1005" s="650"/>
      <c r="B1005" s="650"/>
      <c r="C1005" s="650"/>
      <c r="D1005" s="650"/>
      <c r="E1005" s="650"/>
      <c r="F1005" s="650"/>
      <c r="G1005" s="650"/>
      <c r="H1005" s="650"/>
      <c r="I1005" s="650"/>
      <c r="J1005" s="650"/>
      <c r="K1005" s="650"/>
      <c r="L1005" s="650"/>
      <c r="M1005" s="650"/>
      <c r="N1005" s="650"/>
      <c r="O1005" s="650"/>
      <c r="P1005" s="650"/>
      <c r="Q1005" s="650"/>
      <c r="R1005" s="650"/>
      <c r="S1005" s="650"/>
      <c r="T1005" s="650"/>
      <c r="U1005" s="650"/>
      <c r="V1005" s="650"/>
      <c r="W1005" s="650"/>
      <c r="X1005" s="650"/>
      <c r="Y1005" s="650"/>
      <c r="Z1005" s="650"/>
      <c r="AA1005" s="650"/>
      <c r="AB1005" s="650"/>
      <c r="AC1005" s="650"/>
      <c r="AD1005" s="650"/>
      <c r="AE1005" s="650"/>
      <c r="AF1005" s="650"/>
      <c r="AG1005" s="650"/>
      <c r="AH1005" s="650"/>
      <c r="AI1005" s="650"/>
      <c r="AJ1005" s="650"/>
      <c r="AK1005" s="650"/>
      <c r="AL1005" s="650"/>
      <c r="AM1005" s="650"/>
      <c r="AN1005" s="650"/>
      <c r="AO1005" s="650"/>
      <c r="AP1005" s="650"/>
      <c r="AQ1005" s="650"/>
      <c r="AR1005" s="650"/>
      <c r="AS1005" s="650"/>
      <c r="AT1005" s="650"/>
      <c r="AU1005" s="650"/>
      <c r="AV1005" s="650"/>
      <c r="AW1005" s="650"/>
      <c r="AX1005" s="650"/>
      <c r="AY1005" s="650"/>
    </row>
    <row r="1006" ht="21.75" customHeight="1">
      <c r="A1006" s="650"/>
      <c r="B1006" s="650"/>
      <c r="C1006" s="650"/>
      <c r="D1006" s="650"/>
      <c r="E1006" s="650"/>
      <c r="F1006" s="650"/>
      <c r="G1006" s="650"/>
      <c r="H1006" s="650"/>
      <c r="I1006" s="650"/>
      <c r="J1006" s="650"/>
      <c r="K1006" s="650"/>
      <c r="L1006" s="650"/>
      <c r="M1006" s="650"/>
      <c r="N1006" s="650"/>
      <c r="O1006" s="650"/>
      <c r="P1006" s="650"/>
      <c r="Q1006" s="650"/>
      <c r="R1006" s="650"/>
      <c r="S1006" s="650"/>
      <c r="T1006" s="650"/>
      <c r="U1006" s="650"/>
      <c r="V1006" s="650"/>
      <c r="W1006" s="650"/>
      <c r="X1006" s="650"/>
      <c r="Y1006" s="650"/>
      <c r="Z1006" s="650"/>
      <c r="AA1006" s="650"/>
      <c r="AB1006" s="650"/>
      <c r="AC1006" s="650"/>
      <c r="AD1006" s="650"/>
      <c r="AE1006" s="650"/>
      <c r="AF1006" s="650"/>
      <c r="AG1006" s="650"/>
      <c r="AH1006" s="650"/>
      <c r="AI1006" s="650"/>
      <c r="AJ1006" s="650"/>
      <c r="AK1006" s="650"/>
      <c r="AL1006" s="650"/>
      <c r="AM1006" s="650"/>
      <c r="AN1006" s="650"/>
      <c r="AO1006" s="650"/>
      <c r="AP1006" s="650"/>
      <c r="AQ1006" s="650"/>
      <c r="AR1006" s="650"/>
      <c r="AS1006" s="650"/>
      <c r="AT1006" s="650"/>
      <c r="AU1006" s="650"/>
      <c r="AV1006" s="650"/>
      <c r="AW1006" s="650"/>
      <c r="AX1006" s="650"/>
      <c r="AY1006" s="650"/>
    </row>
    <row r="1007" ht="21.75" customHeight="1">
      <c r="A1007" s="650"/>
      <c r="B1007" s="650"/>
      <c r="C1007" s="650"/>
      <c r="D1007" s="650"/>
      <c r="E1007" s="650"/>
      <c r="F1007" s="650"/>
      <c r="G1007" s="650"/>
      <c r="H1007" s="650"/>
      <c r="I1007" s="650"/>
      <c r="J1007" s="650"/>
      <c r="K1007" s="650"/>
      <c r="L1007" s="650"/>
      <c r="M1007" s="650"/>
      <c r="N1007" s="650"/>
      <c r="O1007" s="650"/>
      <c r="P1007" s="650"/>
      <c r="Q1007" s="650"/>
      <c r="R1007" s="650"/>
      <c r="S1007" s="650"/>
      <c r="T1007" s="650"/>
      <c r="U1007" s="650"/>
      <c r="V1007" s="650"/>
      <c r="W1007" s="650"/>
      <c r="X1007" s="650"/>
      <c r="Y1007" s="650"/>
      <c r="Z1007" s="650"/>
      <c r="AA1007" s="650"/>
      <c r="AB1007" s="650"/>
      <c r="AC1007" s="650"/>
      <c r="AD1007" s="650"/>
      <c r="AE1007" s="650"/>
      <c r="AF1007" s="650"/>
      <c r="AG1007" s="650"/>
      <c r="AH1007" s="650"/>
      <c r="AI1007" s="650"/>
      <c r="AJ1007" s="650"/>
      <c r="AK1007" s="650"/>
      <c r="AL1007" s="650"/>
      <c r="AM1007" s="650"/>
      <c r="AN1007" s="650"/>
      <c r="AO1007" s="650"/>
      <c r="AP1007" s="650"/>
      <c r="AQ1007" s="650"/>
      <c r="AR1007" s="650"/>
      <c r="AS1007" s="650"/>
      <c r="AT1007" s="650"/>
      <c r="AU1007" s="650"/>
      <c r="AV1007" s="650"/>
      <c r="AW1007" s="650"/>
      <c r="AX1007" s="650"/>
      <c r="AY1007" s="650"/>
    </row>
    <row r="1008" ht="21.75" customHeight="1">
      <c r="A1008" s="650"/>
      <c r="B1008" s="650"/>
      <c r="C1008" s="650"/>
      <c r="D1008" s="650"/>
      <c r="E1008" s="650"/>
      <c r="F1008" s="650"/>
      <c r="G1008" s="650"/>
      <c r="H1008" s="650"/>
      <c r="I1008" s="650"/>
      <c r="J1008" s="650"/>
      <c r="K1008" s="650"/>
      <c r="L1008" s="650"/>
      <c r="M1008" s="650"/>
      <c r="N1008" s="650"/>
      <c r="O1008" s="650"/>
      <c r="P1008" s="650"/>
      <c r="Q1008" s="650"/>
      <c r="R1008" s="650"/>
      <c r="S1008" s="650"/>
      <c r="T1008" s="650"/>
      <c r="U1008" s="650"/>
      <c r="V1008" s="650"/>
      <c r="W1008" s="650"/>
      <c r="X1008" s="650"/>
      <c r="Y1008" s="650"/>
      <c r="Z1008" s="650"/>
      <c r="AA1008" s="650"/>
      <c r="AB1008" s="650"/>
      <c r="AC1008" s="650"/>
      <c r="AD1008" s="650"/>
      <c r="AE1008" s="650"/>
      <c r="AF1008" s="650"/>
      <c r="AG1008" s="650"/>
      <c r="AH1008" s="650"/>
      <c r="AI1008" s="650"/>
      <c r="AJ1008" s="650"/>
      <c r="AK1008" s="650"/>
      <c r="AL1008" s="650"/>
      <c r="AM1008" s="650"/>
      <c r="AN1008" s="650"/>
      <c r="AO1008" s="650"/>
      <c r="AP1008" s="650"/>
      <c r="AQ1008" s="650"/>
      <c r="AR1008" s="650"/>
      <c r="AS1008" s="650"/>
      <c r="AT1008" s="650"/>
      <c r="AU1008" s="650"/>
      <c r="AV1008" s="650"/>
      <c r="AW1008" s="650"/>
      <c r="AX1008" s="650"/>
      <c r="AY1008" s="650"/>
    </row>
    <row r="1009" ht="21.75" customHeight="1">
      <c r="A1009" s="650"/>
      <c r="B1009" s="650"/>
      <c r="C1009" s="650"/>
      <c r="D1009" s="650"/>
      <c r="E1009" s="650"/>
      <c r="F1009" s="650"/>
      <c r="G1009" s="650"/>
      <c r="H1009" s="650"/>
      <c r="I1009" s="650"/>
      <c r="J1009" s="650"/>
      <c r="K1009" s="650"/>
      <c r="L1009" s="650"/>
      <c r="M1009" s="650"/>
      <c r="N1009" s="650"/>
      <c r="O1009" s="650"/>
      <c r="P1009" s="650"/>
      <c r="Q1009" s="650"/>
      <c r="R1009" s="650"/>
      <c r="S1009" s="650"/>
      <c r="T1009" s="650"/>
      <c r="U1009" s="650"/>
      <c r="V1009" s="650"/>
      <c r="W1009" s="650"/>
      <c r="X1009" s="650"/>
      <c r="Y1009" s="650"/>
      <c r="Z1009" s="650"/>
      <c r="AA1009" s="650"/>
      <c r="AB1009" s="650"/>
      <c r="AC1009" s="650"/>
      <c r="AD1009" s="650"/>
      <c r="AE1009" s="650"/>
      <c r="AF1009" s="650"/>
      <c r="AG1009" s="650"/>
      <c r="AH1009" s="650"/>
      <c r="AI1009" s="650"/>
      <c r="AJ1009" s="650"/>
      <c r="AK1009" s="650"/>
      <c r="AL1009" s="650"/>
      <c r="AM1009" s="650"/>
      <c r="AN1009" s="650"/>
      <c r="AO1009" s="650"/>
      <c r="AP1009" s="650"/>
      <c r="AQ1009" s="650"/>
      <c r="AR1009" s="650"/>
      <c r="AS1009" s="650"/>
      <c r="AT1009" s="650"/>
      <c r="AU1009" s="650"/>
      <c r="AV1009" s="650"/>
      <c r="AW1009" s="650"/>
      <c r="AX1009" s="650"/>
      <c r="AY1009" s="650"/>
    </row>
    <row r="1010" ht="21.75" customHeight="1">
      <c r="A1010" s="650"/>
      <c r="B1010" s="650"/>
      <c r="C1010" s="650"/>
      <c r="D1010" s="650"/>
      <c r="E1010" s="650"/>
      <c r="F1010" s="650"/>
      <c r="G1010" s="650"/>
      <c r="H1010" s="650"/>
      <c r="I1010" s="650"/>
      <c r="J1010" s="650"/>
      <c r="K1010" s="650"/>
      <c r="L1010" s="650"/>
      <c r="M1010" s="650"/>
      <c r="N1010" s="650"/>
      <c r="O1010" s="650"/>
      <c r="P1010" s="650"/>
      <c r="Q1010" s="650"/>
      <c r="R1010" s="650"/>
      <c r="S1010" s="650"/>
      <c r="T1010" s="650"/>
      <c r="U1010" s="650"/>
      <c r="V1010" s="650"/>
      <c r="W1010" s="650"/>
      <c r="X1010" s="650"/>
      <c r="Y1010" s="650"/>
      <c r="Z1010" s="650"/>
      <c r="AA1010" s="650"/>
      <c r="AB1010" s="650"/>
      <c r="AC1010" s="650"/>
      <c r="AD1010" s="650"/>
      <c r="AE1010" s="650"/>
      <c r="AF1010" s="650"/>
      <c r="AG1010" s="650"/>
      <c r="AH1010" s="650"/>
      <c r="AI1010" s="650"/>
      <c r="AJ1010" s="650"/>
      <c r="AK1010" s="650"/>
      <c r="AL1010" s="650"/>
      <c r="AM1010" s="650"/>
      <c r="AN1010" s="650"/>
      <c r="AO1010" s="650"/>
      <c r="AP1010" s="650"/>
      <c r="AQ1010" s="650"/>
      <c r="AR1010" s="650"/>
      <c r="AS1010" s="650"/>
      <c r="AT1010" s="650"/>
      <c r="AU1010" s="650"/>
      <c r="AV1010" s="650"/>
      <c r="AW1010" s="650"/>
      <c r="AX1010" s="650"/>
      <c r="AY1010" s="650"/>
    </row>
    <row r="1011" ht="21.75" customHeight="1">
      <c r="A1011" s="650"/>
      <c r="B1011" s="650"/>
      <c r="C1011" s="650"/>
      <c r="D1011" s="650"/>
      <c r="E1011" s="650"/>
      <c r="F1011" s="650"/>
      <c r="G1011" s="650"/>
      <c r="H1011" s="650"/>
      <c r="I1011" s="650"/>
      <c r="J1011" s="650"/>
      <c r="K1011" s="650"/>
      <c r="L1011" s="650"/>
      <c r="M1011" s="650"/>
      <c r="N1011" s="650"/>
      <c r="O1011" s="650"/>
      <c r="P1011" s="650"/>
      <c r="Q1011" s="650"/>
      <c r="R1011" s="650"/>
      <c r="S1011" s="650"/>
      <c r="T1011" s="650"/>
      <c r="U1011" s="650"/>
      <c r="V1011" s="650"/>
      <c r="W1011" s="650"/>
      <c r="X1011" s="650"/>
      <c r="Y1011" s="650"/>
      <c r="Z1011" s="650"/>
      <c r="AA1011" s="650"/>
      <c r="AB1011" s="650"/>
      <c r="AC1011" s="650"/>
      <c r="AD1011" s="650"/>
      <c r="AE1011" s="650"/>
      <c r="AF1011" s="650"/>
      <c r="AG1011" s="650"/>
      <c r="AH1011" s="650"/>
      <c r="AI1011" s="650"/>
      <c r="AJ1011" s="650"/>
      <c r="AK1011" s="650"/>
      <c r="AL1011" s="650"/>
      <c r="AM1011" s="650"/>
      <c r="AN1011" s="650"/>
      <c r="AO1011" s="650"/>
      <c r="AP1011" s="650"/>
      <c r="AQ1011" s="650"/>
      <c r="AR1011" s="650"/>
      <c r="AS1011" s="650"/>
      <c r="AT1011" s="650"/>
      <c r="AU1011" s="650"/>
      <c r="AV1011" s="650"/>
      <c r="AW1011" s="650"/>
      <c r="AX1011" s="650"/>
      <c r="AY1011" s="650"/>
    </row>
    <row r="1012" ht="21.75" customHeight="1">
      <c r="A1012" s="650"/>
      <c r="B1012" s="650"/>
      <c r="C1012" s="650"/>
      <c r="D1012" s="650"/>
      <c r="E1012" s="650"/>
      <c r="F1012" s="650"/>
      <c r="G1012" s="650"/>
      <c r="H1012" s="650"/>
      <c r="I1012" s="650"/>
      <c r="J1012" s="650"/>
      <c r="K1012" s="650"/>
      <c r="L1012" s="650"/>
      <c r="M1012" s="650"/>
      <c r="N1012" s="650"/>
      <c r="O1012" s="650"/>
      <c r="P1012" s="650"/>
      <c r="Q1012" s="650"/>
      <c r="R1012" s="650"/>
      <c r="S1012" s="650"/>
      <c r="T1012" s="650"/>
      <c r="U1012" s="650"/>
      <c r="V1012" s="650"/>
      <c r="W1012" s="650"/>
      <c r="X1012" s="650"/>
      <c r="Y1012" s="650"/>
      <c r="Z1012" s="650"/>
      <c r="AA1012" s="650"/>
      <c r="AB1012" s="650"/>
      <c r="AC1012" s="650"/>
      <c r="AD1012" s="650"/>
      <c r="AE1012" s="650"/>
      <c r="AF1012" s="650"/>
      <c r="AG1012" s="650"/>
      <c r="AH1012" s="650"/>
      <c r="AI1012" s="650"/>
      <c r="AJ1012" s="650"/>
      <c r="AK1012" s="650"/>
      <c r="AL1012" s="650"/>
      <c r="AM1012" s="650"/>
      <c r="AN1012" s="650"/>
      <c r="AO1012" s="650"/>
      <c r="AP1012" s="650"/>
      <c r="AQ1012" s="650"/>
      <c r="AR1012" s="650"/>
      <c r="AS1012" s="650"/>
      <c r="AT1012" s="650"/>
      <c r="AU1012" s="650"/>
      <c r="AV1012" s="650"/>
      <c r="AW1012" s="650"/>
      <c r="AX1012" s="650"/>
      <c r="AY1012" s="650"/>
    </row>
    <row r="1013" ht="21.75" customHeight="1">
      <c r="A1013" s="650"/>
      <c r="B1013" s="650"/>
      <c r="C1013" s="650"/>
      <c r="D1013" s="650"/>
      <c r="E1013" s="650"/>
      <c r="F1013" s="650"/>
      <c r="G1013" s="650"/>
      <c r="H1013" s="650"/>
      <c r="I1013" s="650"/>
      <c r="J1013" s="650"/>
      <c r="K1013" s="650"/>
      <c r="L1013" s="650"/>
      <c r="M1013" s="650"/>
      <c r="N1013" s="650"/>
      <c r="O1013" s="650"/>
      <c r="P1013" s="650"/>
      <c r="Q1013" s="650"/>
      <c r="R1013" s="650"/>
      <c r="S1013" s="650"/>
      <c r="T1013" s="650"/>
      <c r="U1013" s="650"/>
      <c r="V1013" s="650"/>
      <c r="W1013" s="650"/>
      <c r="X1013" s="650"/>
      <c r="Y1013" s="650"/>
      <c r="Z1013" s="650"/>
      <c r="AA1013" s="650"/>
      <c r="AB1013" s="650"/>
      <c r="AC1013" s="650"/>
      <c r="AD1013" s="650"/>
      <c r="AE1013" s="650"/>
      <c r="AF1013" s="650"/>
      <c r="AG1013" s="650"/>
      <c r="AH1013" s="650"/>
      <c r="AI1013" s="508"/>
      <c r="AJ1013" s="508"/>
      <c r="AK1013" s="508"/>
      <c r="AL1013" s="508"/>
      <c r="AM1013" s="508"/>
      <c r="AN1013" s="508"/>
      <c r="AO1013" s="508"/>
      <c r="AP1013" s="508"/>
      <c r="AQ1013" s="508"/>
      <c r="AR1013" s="508"/>
      <c r="AS1013" s="508"/>
      <c r="AT1013" s="508"/>
      <c r="AU1013" s="508"/>
      <c r="AV1013" s="508"/>
      <c r="AW1013" s="508"/>
      <c r="AX1013" s="650"/>
      <c r="AY1013" s="650"/>
    </row>
  </sheetData>
  <mergeCells count="362">
    <mergeCell ref="F53:H53"/>
    <mergeCell ref="I53:L53"/>
    <mergeCell ref="C50:C51"/>
    <mergeCell ref="D50:E50"/>
    <mergeCell ref="H50:L50"/>
    <mergeCell ref="M50:P52"/>
    <mergeCell ref="D51:E51"/>
    <mergeCell ref="F51:H51"/>
    <mergeCell ref="M53:P54"/>
    <mergeCell ref="K54:L54"/>
    <mergeCell ref="F54:H54"/>
    <mergeCell ref="I54:J54"/>
    <mergeCell ref="C58:P58"/>
    <mergeCell ref="E60:P60"/>
    <mergeCell ref="E61:P61"/>
    <mergeCell ref="E62:P62"/>
    <mergeCell ref="E63:P63"/>
    <mergeCell ref="C53:C54"/>
    <mergeCell ref="D54:E54"/>
    <mergeCell ref="C60:D60"/>
    <mergeCell ref="C61:D61"/>
    <mergeCell ref="C62:D62"/>
    <mergeCell ref="C63:D63"/>
    <mergeCell ref="C64:D64"/>
    <mergeCell ref="C28:D28"/>
    <mergeCell ref="C29:D29"/>
    <mergeCell ref="C30:P30"/>
    <mergeCell ref="C31:P31"/>
    <mergeCell ref="C32:P32"/>
    <mergeCell ref="C33:P33"/>
    <mergeCell ref="C34:P34"/>
    <mergeCell ref="C35:P35"/>
    <mergeCell ref="C36:P36"/>
    <mergeCell ref="C37:P37"/>
    <mergeCell ref="C38:P38"/>
    <mergeCell ref="C39:P39"/>
    <mergeCell ref="C40:P40"/>
    <mergeCell ref="C41:P41"/>
    <mergeCell ref="C42:P42"/>
    <mergeCell ref="C43:P43"/>
    <mergeCell ref="C44:P44"/>
    <mergeCell ref="C45:P45"/>
    <mergeCell ref="C46:P46"/>
    <mergeCell ref="C47:P47"/>
    <mergeCell ref="C48:P48"/>
    <mergeCell ref="J51:L51"/>
    <mergeCell ref="J52:L52"/>
    <mergeCell ref="D52:E52"/>
    <mergeCell ref="D53:E53"/>
    <mergeCell ref="C65:D65"/>
    <mergeCell ref="C66:D66"/>
    <mergeCell ref="C67:D67"/>
    <mergeCell ref="C68:D68"/>
    <mergeCell ref="C70:D70"/>
    <mergeCell ref="C72:D72"/>
    <mergeCell ref="C75:D75"/>
    <mergeCell ref="E64:P64"/>
    <mergeCell ref="E65:P65"/>
    <mergeCell ref="E66:P66"/>
    <mergeCell ref="E67:P67"/>
    <mergeCell ref="E68:P68"/>
    <mergeCell ref="E69:O69"/>
    <mergeCell ref="E70:P70"/>
    <mergeCell ref="D125:P125"/>
    <mergeCell ref="D126:P126"/>
    <mergeCell ref="D127:P127"/>
    <mergeCell ref="D128:P128"/>
    <mergeCell ref="D129:P129"/>
    <mergeCell ref="D130:P130"/>
    <mergeCell ref="D131:P131"/>
    <mergeCell ref="D132:P132"/>
    <mergeCell ref="D133:P133"/>
    <mergeCell ref="D134:P134"/>
    <mergeCell ref="D135:P135"/>
    <mergeCell ref="D136:P136"/>
    <mergeCell ref="D137:P137"/>
    <mergeCell ref="D138:P138"/>
    <mergeCell ref="D139:P139"/>
    <mergeCell ref="D140:P140"/>
    <mergeCell ref="D141:P141"/>
    <mergeCell ref="D142:P142"/>
    <mergeCell ref="D143:P143"/>
    <mergeCell ref="D144:P144"/>
    <mergeCell ref="D145:P145"/>
    <mergeCell ref="D153:P153"/>
    <mergeCell ref="D154:P154"/>
    <mergeCell ref="D146:P146"/>
    <mergeCell ref="D147:P147"/>
    <mergeCell ref="D148:P148"/>
    <mergeCell ref="D149:P149"/>
    <mergeCell ref="D150:P150"/>
    <mergeCell ref="D151:P151"/>
    <mergeCell ref="D152:P152"/>
    <mergeCell ref="E71:P71"/>
    <mergeCell ref="E72:P72"/>
    <mergeCell ref="C73:P73"/>
    <mergeCell ref="C74:P74"/>
    <mergeCell ref="E75:P75"/>
    <mergeCell ref="D77:O77"/>
    <mergeCell ref="D78:O78"/>
    <mergeCell ref="E79:Q79"/>
    <mergeCell ref="D80:P80"/>
    <mergeCell ref="D81:P81"/>
    <mergeCell ref="D82:P82"/>
    <mergeCell ref="D83:P83"/>
    <mergeCell ref="D84:P84"/>
    <mergeCell ref="D85:P85"/>
    <mergeCell ref="D86:P86"/>
    <mergeCell ref="D87:P87"/>
    <mergeCell ref="D88:P88"/>
    <mergeCell ref="D89:P89"/>
    <mergeCell ref="D90:P90"/>
    <mergeCell ref="D91:P91"/>
    <mergeCell ref="D92:P92"/>
    <mergeCell ref="D93:P93"/>
    <mergeCell ref="D94:P94"/>
    <mergeCell ref="D95:P95"/>
    <mergeCell ref="D96:P96"/>
    <mergeCell ref="D97:P97"/>
    <mergeCell ref="D98:P98"/>
    <mergeCell ref="D99:P99"/>
    <mergeCell ref="D100:P100"/>
    <mergeCell ref="D101:P101"/>
    <mergeCell ref="D102:P102"/>
    <mergeCell ref="D103:P103"/>
    <mergeCell ref="C105:N105"/>
    <mergeCell ref="D109:P109"/>
    <mergeCell ref="D110:P110"/>
    <mergeCell ref="D111:P111"/>
    <mergeCell ref="D112:P112"/>
    <mergeCell ref="D113:P113"/>
    <mergeCell ref="D114:P114"/>
    <mergeCell ref="D115:P115"/>
    <mergeCell ref="D116:P116"/>
    <mergeCell ref="D117:P117"/>
    <mergeCell ref="D118:P118"/>
    <mergeCell ref="D119:P119"/>
    <mergeCell ref="D120:P120"/>
    <mergeCell ref="D121:P121"/>
    <mergeCell ref="D122:P122"/>
    <mergeCell ref="D123:P123"/>
    <mergeCell ref="D124:P124"/>
    <mergeCell ref="AJ9:AN9"/>
    <mergeCell ref="AK10:AP10"/>
    <mergeCell ref="AK11:AM11"/>
    <mergeCell ref="AJ12:AK12"/>
    <mergeCell ref="AK14:AL14"/>
    <mergeCell ref="AK15:AL15"/>
    <mergeCell ref="AK16:AL16"/>
    <mergeCell ref="AQ10:AR10"/>
    <mergeCell ref="AS10:AU10"/>
    <mergeCell ref="AQ11:AV11"/>
    <mergeCell ref="AM12:AV12"/>
    <mergeCell ref="AM14:AT14"/>
    <mergeCell ref="AS15:AT15"/>
    <mergeCell ref="AU15:AV15"/>
    <mergeCell ref="AU16:AV16"/>
    <mergeCell ref="C4:P5"/>
    <mergeCell ref="U5:AF6"/>
    <mergeCell ref="AN5:AQ6"/>
    <mergeCell ref="C6:P6"/>
    <mergeCell ref="U7:AF7"/>
    <mergeCell ref="AJ7:AV7"/>
    <mergeCell ref="G8:O8"/>
    <mergeCell ref="C8:E8"/>
    <mergeCell ref="D9:H9"/>
    <mergeCell ref="U9:V9"/>
    <mergeCell ref="AQ9:AV9"/>
    <mergeCell ref="D10:E10"/>
    <mergeCell ref="F10:H10"/>
    <mergeCell ref="V10:Y10"/>
    <mergeCell ref="M13:N13"/>
    <mergeCell ref="U13:AB13"/>
    <mergeCell ref="AJ13:AV13"/>
    <mergeCell ref="J9:P9"/>
    <mergeCell ref="J10:P10"/>
    <mergeCell ref="C11:D11"/>
    <mergeCell ref="I11:P11"/>
    <mergeCell ref="C12:J12"/>
    <mergeCell ref="U12:V12"/>
    <mergeCell ref="K13:L13"/>
    <mergeCell ref="K14:L14"/>
    <mergeCell ref="M14:O14"/>
    <mergeCell ref="V14:W14"/>
    <mergeCell ref="E15:I15"/>
    <mergeCell ref="K15:L15"/>
    <mergeCell ref="X15:Y15"/>
    <mergeCell ref="AA15:AF15"/>
    <mergeCell ref="X18:Z18"/>
    <mergeCell ref="X19:Y19"/>
    <mergeCell ref="AK20:AL20"/>
    <mergeCell ref="W21:AF21"/>
    <mergeCell ref="AJ21:AK21"/>
    <mergeCell ref="AL21:AU21"/>
    <mergeCell ref="M15:N15"/>
    <mergeCell ref="K16:O16"/>
    <mergeCell ref="X17:Z17"/>
    <mergeCell ref="K18:L18"/>
    <mergeCell ref="M18:O18"/>
    <mergeCell ref="AB18:AF18"/>
    <mergeCell ref="AA19:AF19"/>
    <mergeCell ref="AJ29:AK29"/>
    <mergeCell ref="AJ30:AM30"/>
    <mergeCell ref="AJ22:AK22"/>
    <mergeCell ref="AJ23:AK23"/>
    <mergeCell ref="AJ24:AK24"/>
    <mergeCell ref="AJ25:AK25"/>
    <mergeCell ref="AJ26:AK26"/>
    <mergeCell ref="AJ27:AK27"/>
    <mergeCell ref="AJ28:AK28"/>
    <mergeCell ref="V51:W51"/>
    <mergeCell ref="Z51:AD51"/>
    <mergeCell ref="U51:U52"/>
    <mergeCell ref="V52:W52"/>
    <mergeCell ref="U54:U55"/>
    <mergeCell ref="V54:W54"/>
    <mergeCell ref="V55:W55"/>
    <mergeCell ref="U59:V59"/>
    <mergeCell ref="U63:V63"/>
    <mergeCell ref="X52:Z52"/>
    <mergeCell ref="AB52:AD52"/>
    <mergeCell ref="V53:W53"/>
    <mergeCell ref="AB53:AD53"/>
    <mergeCell ref="C55:P55"/>
    <mergeCell ref="X55:Z55"/>
    <mergeCell ref="AB55:AD55"/>
    <mergeCell ref="AE54:AF55"/>
    <mergeCell ref="W59:AF59"/>
    <mergeCell ref="W63:AF63"/>
    <mergeCell ref="U41:AF41"/>
    <mergeCell ref="U42:AF42"/>
    <mergeCell ref="U43:AF43"/>
    <mergeCell ref="U44:AF44"/>
    <mergeCell ref="U48:AF48"/>
    <mergeCell ref="U49:AF49"/>
    <mergeCell ref="AE51:AF53"/>
    <mergeCell ref="C19:P19"/>
    <mergeCell ref="C20:D20"/>
    <mergeCell ref="E20:P20"/>
    <mergeCell ref="C21:D21"/>
    <mergeCell ref="E21:F21"/>
    <mergeCell ref="J21:P21"/>
    <mergeCell ref="U21:V21"/>
    <mergeCell ref="U22:V22"/>
    <mergeCell ref="U23:V23"/>
    <mergeCell ref="U24:V24"/>
    <mergeCell ref="U26:V26"/>
    <mergeCell ref="C22:D22"/>
    <mergeCell ref="E22:O22"/>
    <mergeCell ref="X22:Y22"/>
    <mergeCell ref="AB22:AF22"/>
    <mergeCell ref="C23:D23"/>
    <mergeCell ref="E23:O23"/>
    <mergeCell ref="W23:AF23"/>
    <mergeCell ref="C24:D24"/>
    <mergeCell ref="E24:O24"/>
    <mergeCell ref="W24:AF24"/>
    <mergeCell ref="C25:D25"/>
    <mergeCell ref="E25:O25"/>
    <mergeCell ref="U25:V25"/>
    <mergeCell ref="W25:AF25"/>
    <mergeCell ref="C26:D26"/>
    <mergeCell ref="E26:O26"/>
    <mergeCell ref="W26:AF26"/>
    <mergeCell ref="C27:D27"/>
    <mergeCell ref="E27:O27"/>
    <mergeCell ref="W27:AF27"/>
    <mergeCell ref="W28:AF28"/>
    <mergeCell ref="U27:V27"/>
    <mergeCell ref="U28:V28"/>
    <mergeCell ref="U29:V29"/>
    <mergeCell ref="U30:V30"/>
    <mergeCell ref="U31:AF31"/>
    <mergeCell ref="U32:AF32"/>
    <mergeCell ref="U33:AF33"/>
    <mergeCell ref="U34:AF34"/>
    <mergeCell ref="U35:AF35"/>
    <mergeCell ref="U36:AF36"/>
    <mergeCell ref="U37:AF37"/>
    <mergeCell ref="U38:AF38"/>
    <mergeCell ref="U39:AB39"/>
    <mergeCell ref="U40:AF40"/>
    <mergeCell ref="AJ43:AV43"/>
    <mergeCell ref="AJ44:AV44"/>
    <mergeCell ref="AJ45:AV46"/>
    <mergeCell ref="AJ47:AV47"/>
    <mergeCell ref="AJ48:AV48"/>
    <mergeCell ref="AJ49:AV49"/>
    <mergeCell ref="AT51:AV53"/>
    <mergeCell ref="AM55:AO55"/>
    <mergeCell ref="AQ55:AS55"/>
    <mergeCell ref="AK53:AL53"/>
    <mergeCell ref="AQ53:AS53"/>
    <mergeCell ref="AK54:AL54"/>
    <mergeCell ref="AM54:AO54"/>
    <mergeCell ref="AT54:AV55"/>
    <mergeCell ref="AK55:AL55"/>
    <mergeCell ref="AJ59:AV59"/>
    <mergeCell ref="AJ67:AK67"/>
    <mergeCell ref="AJ68:AK68"/>
    <mergeCell ref="AJ69:AK69"/>
    <mergeCell ref="AJ70:AK70"/>
    <mergeCell ref="AJ54:AJ55"/>
    <mergeCell ref="AJ61:AK61"/>
    <mergeCell ref="AJ62:AK62"/>
    <mergeCell ref="AJ63:AK63"/>
    <mergeCell ref="AJ64:AK64"/>
    <mergeCell ref="AJ65:AK65"/>
    <mergeCell ref="AJ66:AK66"/>
    <mergeCell ref="AL61:AV61"/>
    <mergeCell ref="AL62:AV62"/>
    <mergeCell ref="AL63:AV63"/>
    <mergeCell ref="AL64:AV64"/>
    <mergeCell ref="AL65:AV65"/>
    <mergeCell ref="AL66:AV66"/>
    <mergeCell ref="AL67:AV67"/>
    <mergeCell ref="AL85:AS85"/>
    <mergeCell ref="AL86:AS86"/>
    <mergeCell ref="AL87:AS87"/>
    <mergeCell ref="AL88:AS88"/>
    <mergeCell ref="AP89:AS89"/>
    <mergeCell ref="AL68:AV68"/>
    <mergeCell ref="AL69:AV69"/>
    <mergeCell ref="AL70:AV70"/>
    <mergeCell ref="AJ71:AU71"/>
    <mergeCell ref="AL72:AT72"/>
    <mergeCell ref="AJ73:AV73"/>
    <mergeCell ref="AN76:AS76"/>
    <mergeCell ref="AO15:AR15"/>
    <mergeCell ref="AM16:AR16"/>
    <mergeCell ref="AK17:AL17"/>
    <mergeCell ref="AM17:AO17"/>
    <mergeCell ref="AK18:AL18"/>
    <mergeCell ref="AM18:AV18"/>
    <mergeCell ref="AK19:AL19"/>
    <mergeCell ref="AM19:AS19"/>
    <mergeCell ref="AU19:AV19"/>
    <mergeCell ref="AQ22:AU22"/>
    <mergeCell ref="AL23:AU23"/>
    <mergeCell ref="AL24:AU24"/>
    <mergeCell ref="AL25:AU25"/>
    <mergeCell ref="AL26:AU26"/>
    <mergeCell ref="AL27:AU27"/>
    <mergeCell ref="AL28:AU28"/>
    <mergeCell ref="AJ31:AV31"/>
    <mergeCell ref="AJ32:AV32"/>
    <mergeCell ref="AJ33:AV33"/>
    <mergeCell ref="AJ34:AV34"/>
    <mergeCell ref="AJ35:AV35"/>
    <mergeCell ref="AJ36:AV36"/>
    <mergeCell ref="AJ37:AV37"/>
    <mergeCell ref="AJ38:AV38"/>
    <mergeCell ref="AJ39:AV39"/>
    <mergeCell ref="AJ40:AV40"/>
    <mergeCell ref="AJ41:AV41"/>
    <mergeCell ref="AJ42:AV42"/>
    <mergeCell ref="AK51:AL51"/>
    <mergeCell ref="AM51:AN51"/>
    <mergeCell ref="AJ51:AJ52"/>
    <mergeCell ref="AK52:AL52"/>
    <mergeCell ref="AM52:AO52"/>
    <mergeCell ref="AQ52:AS52"/>
  </mergeCells>
  <conditionalFormatting sqref="C19:C47 D19:Q46">
    <cfRule type="notContainsBlanks" dxfId="8" priority="1">
      <formula>LEN(TRIM(C19))&gt;0</formula>
    </cfRule>
  </conditionalFormatting>
  <conditionalFormatting sqref="C19:C47 D19:Q46">
    <cfRule type="notContainsBlanks" dxfId="8" priority="2">
      <formula>LEN(TRIM(C19))&gt;0</formula>
    </cfRule>
  </conditionalFormatting>
  <printOptions horizontalCentered="1"/>
  <pageMargins bottom="0.75" footer="0.0" header="0.0" left="0.25" right="0.25" top="0.75"/>
  <pageSetup fitToHeight="0" paperSize="8"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5"/>
    <col customWidth="1" min="2" max="2" width="3.5"/>
    <col customWidth="1" min="3" max="3" width="11.0"/>
    <col customWidth="1" min="4" max="4" width="15.38"/>
    <col customWidth="1" min="5" max="5" width="9.0"/>
    <col customWidth="1" min="6" max="6" width="13.13"/>
    <col customWidth="1" min="7" max="7" width="14.0"/>
    <col customWidth="1" min="8" max="8" width="11.0"/>
    <col customWidth="1" min="9" max="9" width="14.0"/>
    <col customWidth="1" min="10" max="10" width="3.25"/>
    <col customWidth="1" min="11" max="11" width="8.38"/>
    <col customWidth="1" min="12" max="12" width="13.75"/>
    <col customWidth="1" min="13" max="13" width="6.63"/>
    <col customWidth="1" min="14" max="14" width="13.38"/>
    <col customWidth="1" min="15" max="15" width="12.38"/>
    <col customWidth="1" min="16" max="16" width="3.63"/>
    <col customWidth="1" min="17" max="17" width="3.5"/>
    <col customWidth="1" min="18" max="18" width="3.38"/>
    <col customWidth="1" hidden="1" min="19" max="19" width="3.38"/>
    <col customWidth="1" hidden="1" min="20" max="20" width="3.5"/>
    <col customWidth="1" hidden="1" min="21" max="24" width="11.0"/>
    <col customWidth="1" hidden="1" min="25" max="25" width="8.5"/>
    <col customWidth="1" hidden="1" min="26" max="26" width="11.0"/>
    <col customWidth="1" hidden="1" min="27" max="27" width="14.38"/>
    <col customWidth="1" hidden="1" min="28" max="28" width="11.0"/>
    <col customWidth="1" hidden="1" min="29" max="29" width="5.5"/>
    <col customWidth="1" hidden="1" min="30" max="30" width="6.5"/>
    <col customWidth="1" hidden="1" min="31" max="32" width="11.0"/>
    <col customWidth="1" hidden="1" min="33" max="34" width="3.5"/>
    <col customWidth="1" min="35" max="35" width="2.0"/>
    <col customWidth="1" min="36" max="36" width="17.13"/>
    <col customWidth="1" min="37" max="37" width="6.5"/>
    <col customWidth="1" min="38" max="38" width="11.0"/>
    <col customWidth="1" min="39" max="39" width="12.63"/>
    <col customWidth="1" min="40" max="40" width="10.63"/>
    <col customWidth="1" min="41" max="41" width="8.0"/>
    <col customWidth="1" min="42" max="42" width="14.38"/>
    <col customWidth="1" min="43" max="43" width="6.13"/>
    <col customWidth="1" min="44" max="44" width="6.88"/>
    <col customWidth="1" min="45" max="45" width="8.63"/>
    <col customWidth="1" min="46" max="46" width="13.25"/>
    <col customWidth="1" min="47" max="47" width="19.38"/>
    <col customWidth="1" min="48" max="48" width="7.88"/>
    <col customWidth="1" min="49" max="49" width="2.63"/>
    <col customWidth="1" min="50" max="51" width="3.38"/>
  </cols>
  <sheetData>
    <row r="1" ht="6.75" customHeight="1">
      <c r="A1" s="503"/>
      <c r="B1" s="503"/>
      <c r="C1" s="503"/>
      <c r="D1" s="503"/>
      <c r="E1" s="503"/>
      <c r="F1" s="503"/>
      <c r="G1" s="503"/>
      <c r="H1" s="503"/>
      <c r="I1" s="503"/>
      <c r="J1" s="503"/>
      <c r="K1" s="503"/>
      <c r="L1" s="503"/>
      <c r="M1" s="503"/>
      <c r="N1" s="503"/>
      <c r="O1" s="503"/>
      <c r="P1" s="503"/>
      <c r="Q1" s="503"/>
      <c r="R1" s="503"/>
      <c r="S1" s="503"/>
      <c r="T1" s="503"/>
      <c r="U1" s="503"/>
      <c r="V1" s="503"/>
      <c r="W1" s="503"/>
      <c r="X1" s="503"/>
      <c r="Y1" s="503"/>
      <c r="Z1" s="503"/>
      <c r="AA1" s="503"/>
      <c r="AB1" s="503"/>
      <c r="AC1" s="503"/>
      <c r="AD1" s="503"/>
      <c r="AE1" s="503"/>
      <c r="AF1" s="503"/>
      <c r="AG1" s="503"/>
      <c r="AH1" s="503"/>
      <c r="AI1" s="503"/>
      <c r="AJ1" s="503"/>
      <c r="AK1" s="503"/>
      <c r="AL1" s="503"/>
      <c r="AM1" s="503"/>
      <c r="AN1" s="503"/>
      <c r="AO1" s="503"/>
      <c r="AP1" s="503"/>
      <c r="AQ1" s="503"/>
      <c r="AR1" s="503"/>
      <c r="AS1" s="503"/>
      <c r="AT1" s="503"/>
      <c r="AU1" s="503"/>
      <c r="AV1" s="503"/>
      <c r="AW1" s="503"/>
      <c r="AX1" s="503"/>
      <c r="AY1" s="503"/>
    </row>
    <row r="2" ht="21.75" customHeight="1">
      <c r="A2" s="503"/>
      <c r="B2" s="504"/>
      <c r="C2" s="504"/>
      <c r="D2" s="504"/>
      <c r="E2" s="504"/>
      <c r="F2" s="504"/>
      <c r="G2" s="504"/>
      <c r="H2" s="504"/>
      <c r="I2" s="504"/>
      <c r="J2" s="504"/>
      <c r="K2" s="504"/>
      <c r="L2" s="505" t="s">
        <v>2687</v>
      </c>
      <c r="M2" s="504"/>
      <c r="N2" s="504"/>
      <c r="O2" s="506" t="str">
        <f>'입주자'!C1</f>
        <v>조경주</v>
      </c>
      <c r="P2" s="504"/>
      <c r="Q2" s="504"/>
      <c r="R2" s="504"/>
      <c r="S2" s="504"/>
      <c r="T2" s="504"/>
      <c r="U2" s="504"/>
      <c r="V2" s="504"/>
      <c r="W2" s="504"/>
      <c r="X2" s="504"/>
      <c r="Y2" s="504"/>
      <c r="Z2" s="504"/>
      <c r="AA2" s="503"/>
      <c r="AB2" s="504"/>
      <c r="AC2" s="504"/>
      <c r="AD2" s="504"/>
      <c r="AE2" s="504"/>
      <c r="AF2" s="504"/>
      <c r="AG2" s="504"/>
      <c r="AH2" s="504"/>
      <c r="AI2" s="504"/>
      <c r="AJ2" s="504"/>
      <c r="AK2" s="504"/>
      <c r="AL2" s="507" t="s">
        <v>2688</v>
      </c>
      <c r="AM2" s="504"/>
      <c r="AN2" s="504"/>
      <c r="AO2" s="504"/>
      <c r="AP2" s="504"/>
      <c r="AQ2" s="504"/>
      <c r="AR2" s="504"/>
      <c r="AS2" s="508"/>
      <c r="AT2" s="508"/>
      <c r="AU2" s="508"/>
      <c r="AV2" s="508"/>
      <c r="AW2" s="508"/>
      <c r="AX2" s="508"/>
      <c r="AY2" s="508"/>
    </row>
    <row r="3" ht="20.25" customHeight="1">
      <c r="A3" s="503"/>
      <c r="B3" s="516"/>
      <c r="C3" s="510"/>
      <c r="D3" s="510"/>
      <c r="E3" s="510"/>
      <c r="F3" s="510"/>
      <c r="G3" s="510"/>
      <c r="H3" s="510"/>
      <c r="I3" s="510"/>
      <c r="J3" s="510"/>
      <c r="K3" s="510"/>
      <c r="L3" s="510"/>
      <c r="M3" s="510"/>
      <c r="N3" s="510"/>
      <c r="O3" s="510"/>
      <c r="P3" s="510"/>
      <c r="Q3" s="511"/>
      <c r="R3" s="503"/>
      <c r="S3" s="503"/>
      <c r="T3" s="503"/>
      <c r="U3" s="503"/>
      <c r="V3" s="512"/>
      <c r="W3" s="503"/>
      <c r="X3" s="503"/>
      <c r="Y3" s="503"/>
      <c r="Z3" s="503"/>
      <c r="AA3" s="503"/>
      <c r="AB3" s="503"/>
      <c r="AC3" s="503"/>
      <c r="AD3" s="503"/>
      <c r="AE3" s="503"/>
      <c r="AF3" s="503"/>
      <c r="AG3" s="503"/>
      <c r="AH3" s="503"/>
      <c r="AI3" s="503"/>
      <c r="AJ3" s="503"/>
      <c r="AK3" s="503"/>
      <c r="AL3" s="503"/>
      <c r="AM3" s="503"/>
      <c r="AN3" s="503"/>
      <c r="AO3" s="503"/>
      <c r="AP3" s="503"/>
      <c r="AQ3" s="503"/>
      <c r="AR3" s="503"/>
      <c r="AS3" s="503"/>
      <c r="AT3" s="503"/>
      <c r="AU3" s="503"/>
      <c r="AV3" s="503"/>
      <c r="AW3" s="503"/>
      <c r="AX3" s="503"/>
      <c r="AY3" s="503"/>
    </row>
    <row r="4" ht="21.75" customHeight="1">
      <c r="A4" s="503"/>
      <c r="B4" s="513"/>
      <c r="C4" s="514" t="s">
        <v>2689</v>
      </c>
      <c r="Q4" s="515"/>
      <c r="R4" s="503"/>
      <c r="S4" s="503"/>
      <c r="T4" s="516"/>
      <c r="U4" s="510"/>
      <c r="V4" s="510"/>
      <c r="W4" s="510"/>
      <c r="X4" s="510"/>
      <c r="Y4" s="510"/>
      <c r="Z4" s="510"/>
      <c r="AA4" s="510"/>
      <c r="AB4" s="510"/>
      <c r="AC4" s="510"/>
      <c r="AD4" s="510"/>
      <c r="AE4" s="510"/>
      <c r="AF4" s="510"/>
      <c r="AG4" s="511"/>
      <c r="AH4" s="503"/>
      <c r="AI4" s="516"/>
      <c r="AJ4" s="510"/>
      <c r="AK4" s="510"/>
      <c r="AL4" s="510"/>
      <c r="AM4" s="510"/>
      <c r="AN4" s="510"/>
      <c r="AO4" s="510"/>
      <c r="AP4" s="510"/>
      <c r="AQ4" s="510"/>
      <c r="AR4" s="510"/>
      <c r="AS4" s="510"/>
      <c r="AT4" s="517"/>
      <c r="AU4" s="510"/>
      <c r="AV4" s="510"/>
      <c r="AW4" s="511"/>
      <c r="AX4" s="503"/>
      <c r="AY4" s="503"/>
    </row>
    <row r="5" ht="12.0" customHeight="1">
      <c r="A5" s="503"/>
      <c r="B5" s="513"/>
      <c r="Q5" s="515"/>
      <c r="R5" s="503"/>
      <c r="S5" s="503"/>
      <c r="T5" s="513"/>
      <c r="U5" s="514" t="s">
        <v>2690</v>
      </c>
      <c r="AG5" s="515"/>
      <c r="AH5" s="503"/>
      <c r="AI5" s="513"/>
      <c r="AJ5" s="508"/>
      <c r="AK5" s="514"/>
      <c r="AL5" s="514"/>
      <c r="AM5" s="514"/>
      <c r="AN5" s="514" t="s">
        <v>2929</v>
      </c>
      <c r="AR5" s="514"/>
      <c r="AS5" s="514"/>
      <c r="AT5" s="514"/>
      <c r="AU5" s="514"/>
      <c r="AV5" s="514"/>
      <c r="AW5" s="515"/>
      <c r="AX5" s="503"/>
      <c r="AY5" s="503"/>
    </row>
    <row r="6" ht="21.75" customHeight="1">
      <c r="A6" s="503"/>
      <c r="B6" s="513"/>
      <c r="C6" s="518" t="s">
        <v>2692</v>
      </c>
      <c r="Q6" s="515"/>
      <c r="R6" s="503"/>
      <c r="S6" s="503"/>
      <c r="T6" s="513"/>
      <c r="AG6" s="515"/>
      <c r="AH6" s="503"/>
      <c r="AI6" s="513"/>
      <c r="AJ6" s="514"/>
      <c r="AK6" s="514"/>
      <c r="AL6" s="514"/>
      <c r="AM6" s="514"/>
      <c r="AR6" s="514"/>
      <c r="AS6" s="514"/>
      <c r="AT6" s="514"/>
      <c r="AU6" s="514"/>
      <c r="AV6" s="514"/>
      <c r="AW6" s="515"/>
      <c r="AX6" s="503"/>
      <c r="AY6" s="503"/>
    </row>
    <row r="7" ht="21.75" customHeight="1">
      <c r="A7" s="503"/>
      <c r="B7" s="513"/>
      <c r="C7" s="503"/>
      <c r="D7" s="503"/>
      <c r="E7" s="503"/>
      <c r="F7" s="503"/>
      <c r="G7" s="503"/>
      <c r="H7" s="503"/>
      <c r="I7" s="503"/>
      <c r="J7" s="503"/>
      <c r="K7" s="503"/>
      <c r="L7" s="503"/>
      <c r="M7" s="503"/>
      <c r="N7" s="503"/>
      <c r="O7" s="503"/>
      <c r="P7" s="503"/>
      <c r="Q7" s="515"/>
      <c r="R7" s="503"/>
      <c r="S7" s="503"/>
      <c r="T7" s="513"/>
      <c r="U7" s="518" t="s">
        <v>2692</v>
      </c>
      <c r="AG7" s="515"/>
      <c r="AH7" s="503"/>
      <c r="AI7" s="513"/>
      <c r="AJ7" s="518" t="s">
        <v>2693</v>
      </c>
      <c r="AW7" s="515"/>
      <c r="AX7" s="503"/>
      <c r="AY7" s="503"/>
    </row>
    <row r="8" ht="15.75" customHeight="1">
      <c r="A8" s="503"/>
      <c r="B8" s="513"/>
      <c r="C8" s="519" t="s">
        <v>2694</v>
      </c>
      <c r="F8" s="503"/>
      <c r="G8" s="520"/>
      <c r="P8" s="503"/>
      <c r="Q8" s="515"/>
      <c r="R8" s="503"/>
      <c r="S8" s="503"/>
      <c r="T8" s="513"/>
      <c r="U8" s="503"/>
      <c r="V8" s="503"/>
      <c r="W8" s="503"/>
      <c r="X8" s="503"/>
      <c r="Y8" s="503"/>
      <c r="Z8" s="503"/>
      <c r="AA8" s="503"/>
      <c r="AB8" s="503"/>
      <c r="AC8" s="503"/>
      <c r="AD8" s="503"/>
      <c r="AE8" s="503"/>
      <c r="AF8" s="503"/>
      <c r="AG8" s="515"/>
      <c r="AH8" s="503"/>
      <c r="AI8" s="513"/>
      <c r="AJ8" s="503"/>
      <c r="AK8" s="503"/>
      <c r="AL8" s="503"/>
      <c r="AM8" s="503"/>
      <c r="AN8" s="503"/>
      <c r="AO8" s="503"/>
      <c r="AP8" s="503"/>
      <c r="AQ8" s="503"/>
      <c r="AR8" s="503"/>
      <c r="AS8" s="503"/>
      <c r="AT8" s="503"/>
      <c r="AU8" s="503"/>
      <c r="AV8" s="503"/>
      <c r="AW8" s="515"/>
      <c r="AX8" s="503"/>
      <c r="AY8" s="503"/>
    </row>
    <row r="9" ht="21.75" customHeight="1">
      <c r="A9" s="503"/>
      <c r="B9" s="513"/>
      <c r="C9" s="521" t="s">
        <v>1247</v>
      </c>
      <c r="D9" s="522" t="str">
        <f>VLOOKUP($O$2,'입주자'!E5:W982,13,0)</f>
        <v>서울시 영등포구 당산로18길 13 3층</v>
      </c>
      <c r="E9" s="523"/>
      <c r="F9" s="523"/>
      <c r="G9" s="523"/>
      <c r="H9" s="523"/>
      <c r="I9" s="560" t="s">
        <v>0</v>
      </c>
      <c r="J9" s="522" t="str">
        <f>VLOOKUP($O$2,'입주자'!E5:W982,14,0)</f>
        <v>영삼하우스</v>
      </c>
      <c r="K9" s="523"/>
      <c r="L9" s="523"/>
      <c r="M9" s="523"/>
      <c r="N9" s="523"/>
      <c r="O9" s="523"/>
      <c r="P9" s="532"/>
      <c r="Q9" s="515"/>
      <c r="R9" s="503"/>
      <c r="S9" s="503"/>
      <c r="T9" s="513"/>
      <c r="U9" s="519" t="s">
        <v>2694</v>
      </c>
      <c r="W9" s="503"/>
      <c r="X9" s="503"/>
      <c r="Y9" s="503"/>
      <c r="Z9" s="503"/>
      <c r="AA9" s="503"/>
      <c r="AB9" s="503"/>
      <c r="AC9" s="503"/>
      <c r="AD9" s="503"/>
      <c r="AE9" s="503"/>
      <c r="AF9" s="503"/>
      <c r="AG9" s="515"/>
      <c r="AH9" s="503"/>
      <c r="AI9" s="513"/>
      <c r="AJ9" s="528" t="s">
        <v>2695</v>
      </c>
      <c r="AO9" s="508"/>
      <c r="AP9" s="520"/>
      <c r="AQ9" s="520"/>
      <c r="AW9" s="529"/>
      <c r="AX9" s="503"/>
      <c r="AY9" s="503"/>
    </row>
    <row r="10" ht="21.75" customHeight="1">
      <c r="A10" s="503"/>
      <c r="B10" s="513"/>
      <c r="C10" s="530" t="s">
        <v>2696</v>
      </c>
      <c r="D10" s="522" t="str">
        <f>VLOOKUP($O$2,'입주자'!E5:W982,15,0)</f>
        <v>C-1) 2인실 왼</v>
      </c>
      <c r="E10" s="523"/>
      <c r="F10" s="531"/>
      <c r="G10" s="523"/>
      <c r="H10" s="532"/>
      <c r="I10" s="694" t="s">
        <v>2697</v>
      </c>
      <c r="J10" s="522" t="str">
        <f>VLOOKUP($O$2,'입주자'!E5:W982,17,0)</f>
        <v>신한은행 양성원 110-482-586795                        </v>
      </c>
      <c r="K10" s="523"/>
      <c r="L10" s="523"/>
      <c r="M10" s="523"/>
      <c r="N10" s="523"/>
      <c r="O10" s="523"/>
      <c r="P10" s="532"/>
      <c r="Q10" s="515"/>
      <c r="R10" s="503"/>
      <c r="S10" s="503"/>
      <c r="T10" s="513"/>
      <c r="U10" s="537" t="s">
        <v>1247</v>
      </c>
      <c r="V10" s="538" t="str">
        <f>VLOOKUP($O$2,'세입자'!E38:U224,13,0)</f>
        <v>#REF!</v>
      </c>
      <c r="W10" s="523"/>
      <c r="X10" s="523"/>
      <c r="Y10" s="532"/>
      <c r="Z10" s="539"/>
      <c r="AA10" s="539"/>
      <c r="AB10" s="539"/>
      <c r="AC10" s="539"/>
      <c r="AD10" s="539"/>
      <c r="AE10" s="539"/>
      <c r="AF10" s="540"/>
      <c r="AG10" s="515"/>
      <c r="AH10" s="503"/>
      <c r="AI10" s="513"/>
      <c r="AJ10" s="541" t="s">
        <v>2698</v>
      </c>
      <c r="AK10" s="538" t="str">
        <f t="shared" ref="AK10:AK11" si="1">D9</f>
        <v>서울시 영등포구 당산로18길 13 3층</v>
      </c>
      <c r="AL10" s="523"/>
      <c r="AM10" s="523"/>
      <c r="AN10" s="523"/>
      <c r="AO10" s="523"/>
      <c r="AP10" s="523"/>
      <c r="AQ10" s="560" t="s">
        <v>2699</v>
      </c>
      <c r="AR10" s="532"/>
      <c r="AS10" s="539" t="str">
        <f>J9</f>
        <v>영삼하우스</v>
      </c>
      <c r="AT10" s="523"/>
      <c r="AU10" s="523"/>
      <c r="AV10" s="540"/>
      <c r="AW10" s="515"/>
      <c r="AX10" s="503"/>
      <c r="AY10" s="503"/>
    </row>
    <row r="11" ht="28.5" customHeight="1">
      <c r="A11" s="503"/>
      <c r="B11" s="513"/>
      <c r="C11" s="544" t="s">
        <v>2700</v>
      </c>
      <c r="E11" s="695"/>
      <c r="Q11" s="515"/>
      <c r="R11" s="503"/>
      <c r="S11" s="503"/>
      <c r="T11" s="513"/>
      <c r="U11" s="546" t="s">
        <v>2696</v>
      </c>
      <c r="V11" s="547" t="str">
        <f>VLOOKUP($O$2,'세입자'!E38:U224,4,0)</f>
        <v>#REF!</v>
      </c>
      <c r="W11" s="548"/>
      <c r="X11" s="549"/>
      <c r="Y11" s="549"/>
      <c r="Z11" s="549"/>
      <c r="AA11" s="549"/>
      <c r="AB11" s="549"/>
      <c r="AC11" s="549"/>
      <c r="AD11" s="549"/>
      <c r="AE11" s="549"/>
      <c r="AF11" s="550"/>
      <c r="AG11" s="515"/>
      <c r="AH11" s="503"/>
      <c r="AI11" s="513"/>
      <c r="AJ11" s="551" t="s">
        <v>2701</v>
      </c>
      <c r="AK11" s="538" t="str">
        <f t="shared" si="1"/>
        <v>C-1) 2인실 왼</v>
      </c>
      <c r="AL11" s="523"/>
      <c r="AM11" s="532"/>
      <c r="AN11" s="549"/>
      <c r="AO11" s="549"/>
      <c r="AP11" s="696" t="s">
        <v>2702</v>
      </c>
      <c r="AQ11" s="549" t="str">
        <f>J10</f>
        <v>신한은행 양성원 110-482-586795                        </v>
      </c>
      <c r="AR11" s="618"/>
      <c r="AS11" s="618"/>
      <c r="AT11" s="618"/>
      <c r="AU11" s="618"/>
      <c r="AV11" s="619"/>
      <c r="AW11" s="515"/>
      <c r="AX11" s="503"/>
      <c r="AY11" s="503"/>
    </row>
    <row r="12" ht="30.75" customHeight="1">
      <c r="A12" s="503"/>
      <c r="B12" s="513"/>
      <c r="C12" s="519" t="s">
        <v>2703</v>
      </c>
      <c r="K12" s="518"/>
      <c r="M12" s="519"/>
      <c r="Q12" s="515"/>
      <c r="R12" s="503"/>
      <c r="S12" s="503"/>
      <c r="T12" s="513"/>
      <c r="U12" s="544" t="s">
        <v>2700</v>
      </c>
      <c r="W12" s="503"/>
      <c r="X12" s="503"/>
      <c r="Y12" s="503"/>
      <c r="Z12" s="503"/>
      <c r="AA12" s="503"/>
      <c r="AB12" s="503"/>
      <c r="AC12" s="503"/>
      <c r="AD12" s="503"/>
      <c r="AE12" s="503"/>
      <c r="AF12" s="503"/>
      <c r="AG12" s="515"/>
      <c r="AH12" s="503"/>
      <c r="AI12" s="513"/>
      <c r="AJ12" s="528" t="s">
        <v>2704</v>
      </c>
      <c r="AL12" s="503"/>
      <c r="AM12" s="555"/>
      <c r="AW12" s="515"/>
      <c r="AX12" s="503"/>
      <c r="AY12" s="503"/>
    </row>
    <row r="13" ht="21.75" customHeight="1">
      <c r="A13" s="503"/>
      <c r="B13" s="513"/>
      <c r="C13" s="697" t="s">
        <v>1240</v>
      </c>
      <c r="D13" s="698">
        <f>VLOOKUP($O$2,'입주자'!E5:W982,6,0)</f>
        <v>2000000</v>
      </c>
      <c r="E13" s="558" t="s">
        <v>2705</v>
      </c>
      <c r="F13" s="559"/>
      <c r="G13" s="510"/>
      <c r="H13" s="510"/>
      <c r="I13" s="510"/>
      <c r="J13" s="510"/>
      <c r="K13" s="560"/>
      <c r="L13" s="532"/>
      <c r="M13" s="699"/>
      <c r="N13" s="523"/>
      <c r="O13" s="562"/>
      <c r="P13" s="563"/>
      <c r="Q13" s="515"/>
      <c r="R13" s="503"/>
      <c r="S13" s="503"/>
      <c r="T13" s="513"/>
      <c r="U13" s="519" t="s">
        <v>2707</v>
      </c>
      <c r="AC13" s="564"/>
      <c r="AD13" s="503"/>
      <c r="AE13" s="503"/>
      <c r="AF13" s="503"/>
      <c r="AG13" s="515"/>
      <c r="AH13" s="503"/>
      <c r="AI13" s="513"/>
      <c r="AJ13" s="519" t="s">
        <v>2708</v>
      </c>
      <c r="AW13" s="515"/>
      <c r="AX13" s="503"/>
      <c r="AY13" s="503"/>
    </row>
    <row r="14" ht="24.75" customHeight="1">
      <c r="A14" s="503"/>
      <c r="B14" s="513"/>
      <c r="C14" s="697" t="s">
        <v>1243</v>
      </c>
      <c r="D14" s="698">
        <f>VLOOKUP($O$2,'입주자'!E5:W982,9,0)</f>
        <v>370000</v>
      </c>
      <c r="E14" s="558" t="s">
        <v>2709</v>
      </c>
      <c r="F14" s="567">
        <f>VLOOKUP($O$2,'입주자'!E5:W982,8,0)</f>
        <v>50000</v>
      </c>
      <c r="G14" s="568" t="s">
        <v>2930</v>
      </c>
      <c r="H14" s="568"/>
      <c r="I14" s="568"/>
      <c r="J14" s="569"/>
      <c r="K14" s="560" t="s">
        <v>2711</v>
      </c>
      <c r="L14" s="532"/>
      <c r="M14" s="570">
        <f>'입주자'!E1</f>
        <v>131290.3226</v>
      </c>
      <c r="N14" s="523"/>
      <c r="O14" s="523"/>
      <c r="P14" s="571"/>
      <c r="Q14" s="515"/>
      <c r="R14" s="503"/>
      <c r="S14" s="503"/>
      <c r="T14" s="513"/>
      <c r="U14" s="572" t="s">
        <v>1240</v>
      </c>
      <c r="V14" s="573" t="str">
        <f>VLOOKUP($O$2,'세입자'!E38:U224,5,0)</f>
        <v>#REF!</v>
      </c>
      <c r="W14" s="526"/>
      <c r="X14" s="510"/>
      <c r="Y14" s="510"/>
      <c r="Z14" s="510"/>
      <c r="AA14" s="510"/>
      <c r="AB14" s="510"/>
      <c r="AC14" s="510"/>
      <c r="AD14" s="510"/>
      <c r="AE14" s="510"/>
      <c r="AF14" s="540"/>
      <c r="AG14" s="515"/>
      <c r="AH14" s="503"/>
      <c r="AI14" s="513"/>
      <c r="AJ14" s="574" t="s">
        <v>2712</v>
      </c>
      <c r="AK14" s="575">
        <f t="shared" ref="AK14:AK16" si="2">D13</f>
        <v>2000000</v>
      </c>
      <c r="AL14" s="526"/>
      <c r="AM14" s="509" t="s">
        <v>2931</v>
      </c>
      <c r="AN14" s="526"/>
      <c r="AO14" s="526"/>
      <c r="AP14" s="526"/>
      <c r="AQ14" s="526"/>
      <c r="AR14" s="526"/>
      <c r="AS14" s="526"/>
      <c r="AT14" s="526"/>
      <c r="AU14" s="576"/>
      <c r="AV14" s="577"/>
      <c r="AW14" s="515"/>
      <c r="AX14" s="503"/>
      <c r="AY14" s="503"/>
    </row>
    <row r="15" ht="24.75" customHeight="1">
      <c r="A15" s="503"/>
      <c r="B15" s="513"/>
      <c r="C15" s="697" t="s">
        <v>2714</v>
      </c>
      <c r="D15" s="698">
        <v>500000.0</v>
      </c>
      <c r="E15" s="558" t="s">
        <v>2730</v>
      </c>
      <c r="F15" s="523"/>
      <c r="G15" s="523"/>
      <c r="H15" s="523"/>
      <c r="I15" s="523"/>
      <c r="J15" s="580"/>
      <c r="K15" s="560" t="s">
        <v>2716</v>
      </c>
      <c r="L15" s="532"/>
      <c r="M15" s="581" t="str">
        <f>VLOOKUP($O$2,'입주자'!E5:W982,16,0)
</f>
        <v>양성원</v>
      </c>
      <c r="N15" s="523"/>
      <c r="O15" s="582" t="s">
        <v>2717</v>
      </c>
      <c r="P15" s="583"/>
      <c r="Q15" s="515"/>
      <c r="R15" s="503"/>
      <c r="S15" s="503"/>
      <c r="T15" s="513"/>
      <c r="U15" s="584" t="s">
        <v>1243</v>
      </c>
      <c r="V15" s="585" t="str">
        <f>VLOOKUP($O$2,'세입자'!E36:U222,6,0)</f>
        <v>#REF!</v>
      </c>
      <c r="W15" s="586" t="s">
        <v>2718</v>
      </c>
      <c r="X15" s="587" t="s">
        <v>2719</v>
      </c>
      <c r="Y15" s="523"/>
      <c r="Z15" s="588" t="str">
        <f>VLOOKUP($O$2,'세입자'!E36:U222,7,0)</f>
        <v>#REF!</v>
      </c>
      <c r="AA15" s="589" t="s">
        <v>2720</v>
      </c>
      <c r="AB15" s="523"/>
      <c r="AC15" s="523"/>
      <c r="AD15" s="523"/>
      <c r="AE15" s="523"/>
      <c r="AF15" s="590"/>
      <c r="AG15" s="515"/>
      <c r="AH15" s="503"/>
      <c r="AI15" s="513"/>
      <c r="AJ15" s="574" t="s">
        <v>2721</v>
      </c>
      <c r="AK15" s="591">
        <f t="shared" si="2"/>
        <v>370000</v>
      </c>
      <c r="AL15" s="523"/>
      <c r="AM15" s="592" t="s">
        <v>2722</v>
      </c>
      <c r="AN15" s="593">
        <f>F14</f>
        <v>50000</v>
      </c>
      <c r="AO15" s="594" t="s">
        <v>2723</v>
      </c>
      <c r="AP15" s="523"/>
      <c r="AQ15" s="523"/>
      <c r="AR15" s="523"/>
      <c r="AS15" s="595" t="s">
        <v>2724</v>
      </c>
      <c r="AT15" s="532"/>
      <c r="AU15" s="596">
        <f>M14</f>
        <v>131290.3226</v>
      </c>
      <c r="AV15" s="532"/>
      <c r="AW15" s="515"/>
      <c r="AX15" s="503"/>
      <c r="AY15" s="503"/>
    </row>
    <row r="16" ht="24.75" customHeight="1">
      <c r="A16" s="503"/>
      <c r="B16" s="513"/>
      <c r="C16" s="508"/>
      <c r="D16" s="700"/>
      <c r="E16" s="598"/>
      <c r="F16" s="598"/>
      <c r="G16" s="598"/>
      <c r="H16" s="598"/>
      <c r="I16" s="598"/>
      <c r="J16" s="598"/>
      <c r="K16" s="558"/>
      <c r="L16" s="523"/>
      <c r="M16" s="523"/>
      <c r="N16" s="523"/>
      <c r="O16" s="523"/>
      <c r="P16" s="598"/>
      <c r="Q16" s="515"/>
      <c r="R16" s="503"/>
      <c r="S16" s="503"/>
      <c r="T16" s="513"/>
      <c r="U16" s="599"/>
      <c r="V16" s="600"/>
      <c r="W16" s="586"/>
      <c r="X16" s="587"/>
      <c r="Y16" s="587"/>
      <c r="Z16" s="587"/>
      <c r="AA16" s="588"/>
      <c r="AB16" s="580"/>
      <c r="AC16" s="580"/>
      <c r="AD16" s="587"/>
      <c r="AE16" s="587"/>
      <c r="AF16" s="582"/>
      <c r="AG16" s="515"/>
      <c r="AH16" s="503"/>
      <c r="AI16" s="513"/>
      <c r="AJ16" s="551" t="s">
        <v>2725</v>
      </c>
      <c r="AK16" s="591">
        <f t="shared" si="2"/>
        <v>500000</v>
      </c>
      <c r="AL16" s="523"/>
      <c r="AM16" s="601" t="s">
        <v>2726</v>
      </c>
      <c r="AN16" s="523"/>
      <c r="AO16" s="523"/>
      <c r="AP16" s="523"/>
      <c r="AQ16" s="523"/>
      <c r="AR16" s="523"/>
      <c r="AS16" s="592" t="s">
        <v>2727</v>
      </c>
      <c r="AT16" s="587" t="str">
        <f>M15</f>
        <v>양성원</v>
      </c>
      <c r="AU16" s="523"/>
      <c r="AV16" s="540" t="s">
        <v>2728</v>
      </c>
      <c r="AW16" s="515"/>
      <c r="AX16" s="503"/>
      <c r="AY16" s="503"/>
    </row>
    <row r="17" ht="22.5" customHeight="1">
      <c r="A17" s="503"/>
      <c r="B17" s="513"/>
      <c r="C17" s="530" t="s">
        <v>1232</v>
      </c>
      <c r="D17" s="701">
        <f>'입주자'!E3</f>
        <v>1631290.323</v>
      </c>
      <c r="E17" s="558" t="s">
        <v>2932</v>
      </c>
      <c r="F17" s="558"/>
      <c r="G17" s="558"/>
      <c r="H17" s="558"/>
      <c r="I17" s="558"/>
      <c r="J17" s="558"/>
      <c r="K17" s="558"/>
      <c r="L17" s="558"/>
      <c r="M17" s="606"/>
      <c r="N17" s="606"/>
      <c r="O17" s="606"/>
      <c r="P17" s="607"/>
      <c r="Q17" s="515"/>
      <c r="R17" s="503"/>
      <c r="S17" s="503"/>
      <c r="T17" s="513"/>
      <c r="U17" s="546" t="s">
        <v>2714</v>
      </c>
      <c r="V17" s="600" t="str">
        <f>VLOOKUP($O$2,'세입자'!E40:U226,8,0)</f>
        <v>#REF!</v>
      </c>
      <c r="W17" s="539" t="s">
        <v>2718</v>
      </c>
      <c r="X17" s="587" t="s">
        <v>2730</v>
      </c>
      <c r="Y17" s="523"/>
      <c r="Z17" s="523"/>
      <c r="AA17" s="588"/>
      <c r="AB17" s="580"/>
      <c r="AC17" s="580"/>
      <c r="AD17" s="546" t="s">
        <v>2716</v>
      </c>
      <c r="AE17" s="587" t="s">
        <v>33</v>
      </c>
      <c r="AF17" s="583" t="s">
        <v>2717</v>
      </c>
      <c r="AG17" s="515"/>
      <c r="AH17" s="503"/>
      <c r="AI17" s="513"/>
      <c r="AJ17" s="702"/>
      <c r="AK17" s="542"/>
      <c r="AL17" s="526"/>
      <c r="AM17" s="587"/>
      <c r="AN17" s="523"/>
      <c r="AO17" s="523"/>
      <c r="AP17" s="588"/>
      <c r="AQ17" s="510"/>
      <c r="AR17" s="510"/>
      <c r="AS17" s="610"/>
      <c r="AT17" s="576"/>
      <c r="AU17" s="611"/>
      <c r="AV17" s="611"/>
      <c r="AW17" s="515"/>
      <c r="AX17" s="503"/>
      <c r="AY17" s="503"/>
    </row>
    <row r="18" ht="23.25" customHeight="1">
      <c r="A18" s="503"/>
      <c r="B18" s="513"/>
      <c r="C18" s="578" t="s">
        <v>1244</v>
      </c>
      <c r="D18" s="698">
        <f>VLOOKUP($O$2,'입주자'!E5:W982,10,0)</f>
        <v>100000</v>
      </c>
      <c r="E18" s="703" t="s">
        <v>2933</v>
      </c>
      <c r="F18" s="558"/>
      <c r="G18" s="558"/>
      <c r="H18" s="558"/>
      <c r="I18" s="558"/>
      <c r="J18" s="704"/>
      <c r="K18" s="560" t="s">
        <v>2732</v>
      </c>
      <c r="L18" s="532"/>
      <c r="M18" s="570">
        <f>'입주자'!E2</f>
        <v>35483.87097</v>
      </c>
      <c r="N18" s="523"/>
      <c r="O18" s="523"/>
      <c r="P18" s="704"/>
      <c r="Q18" s="515"/>
      <c r="R18" s="503"/>
      <c r="S18" s="503"/>
      <c r="T18" s="513"/>
      <c r="U18" s="546" t="s">
        <v>1232</v>
      </c>
      <c r="V18" s="617" t="str">
        <f>'세입자'!Q3</f>
        <v>#REF!</v>
      </c>
      <c r="W18" s="586" t="s">
        <v>2718</v>
      </c>
      <c r="X18" s="512" t="s">
        <v>2733</v>
      </c>
      <c r="AA18" s="518" t="str">
        <f>VLOOKUP($O$2,'세입자'!E40:U226,2,0)</f>
        <v>#REF!</v>
      </c>
      <c r="AB18" s="552" t="s">
        <v>2734</v>
      </c>
      <c r="AC18" s="618"/>
      <c r="AD18" s="618"/>
      <c r="AE18" s="618"/>
      <c r="AF18" s="619"/>
      <c r="AG18" s="515"/>
      <c r="AH18" s="503"/>
      <c r="AI18" s="513"/>
      <c r="AJ18" s="551" t="s">
        <v>2735</v>
      </c>
      <c r="AK18" s="591">
        <f t="shared" ref="AK18:AK19" si="3">D17</f>
        <v>1631290.323</v>
      </c>
      <c r="AL18" s="523"/>
      <c r="AM18" s="705" t="s">
        <v>2934</v>
      </c>
      <c r="AN18" s="523"/>
      <c r="AO18" s="523"/>
      <c r="AP18" s="523"/>
      <c r="AQ18" s="523"/>
      <c r="AR18" s="523"/>
      <c r="AS18" s="523"/>
      <c r="AT18" s="523"/>
      <c r="AU18" s="523"/>
      <c r="AV18" s="532"/>
      <c r="AW18" s="515"/>
      <c r="AX18" s="503"/>
      <c r="AY18" s="503"/>
    </row>
    <row r="19" ht="23.25" customHeight="1">
      <c r="A19" s="503"/>
      <c r="B19" s="513"/>
      <c r="C19" s="622" t="s">
        <v>2737</v>
      </c>
      <c r="D19" s="618"/>
      <c r="E19" s="618"/>
      <c r="F19" s="618"/>
      <c r="G19" s="618"/>
      <c r="H19" s="618"/>
      <c r="I19" s="618"/>
      <c r="J19" s="618"/>
      <c r="K19" s="618"/>
      <c r="L19" s="618"/>
      <c r="M19" s="618"/>
      <c r="N19" s="618"/>
      <c r="O19" s="618"/>
      <c r="P19" s="618"/>
      <c r="Q19" s="515"/>
      <c r="R19" s="503"/>
      <c r="S19" s="503"/>
      <c r="T19" s="513"/>
      <c r="U19" s="584" t="s">
        <v>1243</v>
      </c>
      <c r="V19" s="585" t="str">
        <f>VLOOKUP($O$2,'세입자'!E40:U226,6,0)</f>
        <v>#REF!</v>
      </c>
      <c r="W19" s="586" t="s">
        <v>2718</v>
      </c>
      <c r="X19" s="587" t="s">
        <v>2719</v>
      </c>
      <c r="Y19" s="523"/>
      <c r="Z19" s="588" t="str">
        <f>VLOOKUP($O$2,'세입자'!E40:U226,7,0)</f>
        <v>#REF!</v>
      </c>
      <c r="AA19" s="589" t="s">
        <v>2720</v>
      </c>
      <c r="AB19" s="523"/>
      <c r="AC19" s="523"/>
      <c r="AD19" s="523"/>
      <c r="AE19" s="523"/>
      <c r="AF19" s="590"/>
      <c r="AG19" s="515"/>
      <c r="AH19" s="503"/>
      <c r="AI19" s="513"/>
      <c r="AJ19" s="574" t="s">
        <v>2738</v>
      </c>
      <c r="AK19" s="706">
        <f t="shared" si="3"/>
        <v>100000</v>
      </c>
      <c r="AL19" s="532"/>
      <c r="AM19" s="707" t="s">
        <v>2935</v>
      </c>
      <c r="AN19" s="523"/>
      <c r="AO19" s="523"/>
      <c r="AP19" s="523"/>
      <c r="AQ19" s="523"/>
      <c r="AR19" s="523"/>
      <c r="AS19" s="523"/>
      <c r="AT19" s="592" t="s">
        <v>2724</v>
      </c>
      <c r="AU19" s="596">
        <f>M18</f>
        <v>35483.87097</v>
      </c>
      <c r="AV19" s="532"/>
      <c r="AW19" s="515"/>
      <c r="AX19" s="503"/>
      <c r="AY19" s="503"/>
    </row>
    <row r="20" ht="28.5" customHeight="1">
      <c r="A20" s="503"/>
      <c r="B20" s="513"/>
      <c r="C20" s="628" t="s">
        <v>2740</v>
      </c>
      <c r="D20" s="527"/>
      <c r="E20" s="519" t="s">
        <v>2741</v>
      </c>
      <c r="P20" s="629"/>
      <c r="Q20" s="515"/>
      <c r="R20" s="503"/>
      <c r="S20" s="503"/>
      <c r="T20" s="513"/>
      <c r="U20" s="630"/>
      <c r="V20" s="576"/>
      <c r="W20" s="519"/>
      <c r="X20" s="519"/>
      <c r="Y20" s="519"/>
      <c r="Z20" s="519"/>
      <c r="AA20" s="519"/>
      <c r="AB20" s="519"/>
      <c r="AC20" s="519"/>
      <c r="AD20" s="519"/>
      <c r="AE20" s="519"/>
      <c r="AF20" s="519"/>
      <c r="AG20" s="515"/>
      <c r="AH20" s="503"/>
      <c r="AI20" s="513"/>
      <c r="AJ20" s="574" t="s">
        <v>2742</v>
      </c>
      <c r="AK20" s="632">
        <f>TODAY()</f>
        <v>46113</v>
      </c>
      <c r="AL20" s="629"/>
      <c r="AM20" s="633"/>
      <c r="AN20" s="633"/>
      <c r="AO20" s="633"/>
      <c r="AP20" s="633"/>
      <c r="AQ20" s="633"/>
      <c r="AR20" s="633"/>
      <c r="AS20" s="633"/>
      <c r="AT20" s="633"/>
      <c r="AU20" s="519"/>
      <c r="AV20" s="519"/>
      <c r="AW20" s="515"/>
      <c r="AX20" s="503"/>
      <c r="AY20" s="503"/>
    </row>
    <row r="21" ht="28.5" customHeight="1">
      <c r="A21" s="503"/>
      <c r="B21" s="513"/>
      <c r="C21" s="634" t="s">
        <v>2743</v>
      </c>
      <c r="D21" s="629"/>
      <c r="E21" s="519" t="s">
        <v>2744</v>
      </c>
      <c r="G21" s="635">
        <f>VLOOKUP($O$2,'입주자'!E5:W982,2,0)</f>
        <v>46163</v>
      </c>
      <c r="H21" s="512" t="s">
        <v>2745</v>
      </c>
      <c r="I21" s="636">
        <f>VLOOKUP($O$2,'입주자'!E5:W982,3,0)</f>
        <v>46538</v>
      </c>
      <c r="J21" s="512" t="s">
        <v>2746</v>
      </c>
      <c r="P21" s="629"/>
      <c r="Q21" s="515"/>
      <c r="R21" s="503"/>
      <c r="S21" s="503"/>
      <c r="T21" s="513"/>
      <c r="U21" s="509" t="s">
        <v>2740</v>
      </c>
      <c r="V21" s="526"/>
      <c r="W21" s="519" t="s">
        <v>2741</v>
      </c>
      <c r="AF21" s="629"/>
      <c r="AG21" s="515"/>
      <c r="AH21" s="503"/>
      <c r="AI21" s="513"/>
      <c r="AJ21" s="509" t="s">
        <v>2747</v>
      </c>
      <c r="AK21" s="526"/>
      <c r="AL21" s="542" t="s">
        <v>2748</v>
      </c>
      <c r="AM21" s="526"/>
      <c r="AN21" s="526"/>
      <c r="AO21" s="526"/>
      <c r="AP21" s="526"/>
      <c r="AQ21" s="526"/>
      <c r="AR21" s="526"/>
      <c r="AS21" s="526"/>
      <c r="AT21" s="526"/>
      <c r="AU21" s="526"/>
      <c r="AV21" s="543"/>
      <c r="AW21" s="515"/>
      <c r="AX21" s="503"/>
      <c r="AY21" s="503"/>
    </row>
    <row r="22" ht="36.75" customHeight="1">
      <c r="A22" s="503"/>
      <c r="B22" s="513"/>
      <c r="C22" s="637" t="s">
        <v>2749</v>
      </c>
      <c r="D22" s="629"/>
      <c r="E22" s="519" t="s">
        <v>2936</v>
      </c>
      <c r="P22" s="638"/>
      <c r="Q22" s="515"/>
      <c r="R22" s="503"/>
      <c r="S22" s="503"/>
      <c r="T22" s="513"/>
      <c r="U22" s="630" t="s">
        <v>2743</v>
      </c>
      <c r="W22" s="519" t="s">
        <v>2744</v>
      </c>
      <c r="X22" s="512" t="str">
        <f>VLOOKUP($O$2,'세입자'!E40:U226,2,0)</f>
        <v>#REF!</v>
      </c>
      <c r="Z22" s="512" t="s">
        <v>2745</v>
      </c>
      <c r="AA22" s="512" t="str">
        <f>VLOOKUP($O$2,'세입자'!E40:U226,3,0)</f>
        <v>#REF!</v>
      </c>
      <c r="AB22" s="512" t="s">
        <v>2751</v>
      </c>
      <c r="AF22" s="629"/>
      <c r="AG22" s="515"/>
      <c r="AH22" s="503"/>
      <c r="AI22" s="513"/>
      <c r="AJ22" s="630" t="s">
        <v>2752</v>
      </c>
      <c r="AL22" s="519" t="s">
        <v>2753</v>
      </c>
      <c r="AM22" s="635">
        <f>G21</f>
        <v>46163</v>
      </c>
      <c r="AN22" s="512"/>
      <c r="AO22" s="512" t="s">
        <v>2754</v>
      </c>
      <c r="AP22" s="635">
        <f>I21</f>
        <v>46538</v>
      </c>
      <c r="AQ22" s="512" t="s">
        <v>2755</v>
      </c>
      <c r="AV22" s="639"/>
      <c r="AW22" s="515"/>
      <c r="AX22" s="503"/>
      <c r="AY22" s="503"/>
    </row>
    <row r="23" ht="42.75" customHeight="1">
      <c r="A23" s="503"/>
      <c r="B23" s="513"/>
      <c r="C23" s="640" t="s">
        <v>2756</v>
      </c>
      <c r="D23" s="629"/>
      <c r="E23" s="519" t="s">
        <v>2937</v>
      </c>
      <c r="P23" s="638"/>
      <c r="Q23" s="515"/>
      <c r="R23" s="503"/>
      <c r="S23" s="503"/>
      <c r="T23" s="513"/>
      <c r="U23" s="641" t="s">
        <v>2749</v>
      </c>
      <c r="W23" s="519" t="s">
        <v>2758</v>
      </c>
      <c r="AF23" s="629"/>
      <c r="AG23" s="515"/>
      <c r="AH23" s="503"/>
      <c r="AI23" s="513"/>
      <c r="AJ23" s="641" t="s">
        <v>2759</v>
      </c>
      <c r="AL23" s="519" t="s">
        <v>2938</v>
      </c>
      <c r="AV23" s="638"/>
      <c r="AW23" s="515"/>
      <c r="AX23" s="503"/>
      <c r="AY23" s="503"/>
    </row>
    <row r="24" ht="42.75" customHeight="1">
      <c r="A24" s="503"/>
      <c r="B24" s="513"/>
      <c r="C24" s="642" t="s">
        <v>2761</v>
      </c>
      <c r="D24" s="629"/>
      <c r="E24" s="519" t="s">
        <v>2939</v>
      </c>
      <c r="P24" s="638"/>
      <c r="Q24" s="515"/>
      <c r="R24" s="503"/>
      <c r="S24" s="503"/>
      <c r="T24" s="513"/>
      <c r="U24" s="643" t="s">
        <v>2763</v>
      </c>
      <c r="W24" s="519" t="s">
        <v>2764</v>
      </c>
      <c r="AF24" s="629"/>
      <c r="AG24" s="515"/>
      <c r="AH24" s="644"/>
      <c r="AI24" s="513"/>
      <c r="AJ24" s="643" t="s">
        <v>2765</v>
      </c>
      <c r="AL24" s="519" t="s">
        <v>2766</v>
      </c>
      <c r="AV24" s="638"/>
      <c r="AW24" s="515"/>
      <c r="AX24" s="503"/>
      <c r="AY24" s="503"/>
    </row>
    <row r="25" ht="55.5" customHeight="1">
      <c r="A25" s="512"/>
      <c r="B25" s="513"/>
      <c r="C25" s="642" t="s">
        <v>2767</v>
      </c>
      <c r="D25" s="629"/>
      <c r="E25" s="519" t="s">
        <v>2768</v>
      </c>
      <c r="P25" s="638"/>
      <c r="Q25" s="515"/>
      <c r="R25" s="503"/>
      <c r="S25" s="503"/>
      <c r="T25" s="513"/>
      <c r="U25" s="645" t="s">
        <v>2769</v>
      </c>
      <c r="W25" s="519" t="s">
        <v>2770</v>
      </c>
      <c r="AF25" s="629"/>
      <c r="AG25" s="515"/>
      <c r="AH25" s="503"/>
      <c r="AI25" s="513"/>
      <c r="AJ25" s="641" t="s">
        <v>2771</v>
      </c>
      <c r="AL25" s="519" t="s">
        <v>2772</v>
      </c>
      <c r="AV25" s="638"/>
      <c r="AW25" s="515"/>
      <c r="AX25" s="503"/>
      <c r="AY25" s="503"/>
    </row>
    <row r="26" ht="54.0" customHeight="1">
      <c r="A26" s="503"/>
      <c r="B26" s="513"/>
      <c r="C26" s="642" t="s">
        <v>2773</v>
      </c>
      <c r="D26" s="629"/>
      <c r="E26" s="519" t="s">
        <v>2940</v>
      </c>
      <c r="P26" s="638"/>
      <c r="Q26" s="515"/>
      <c r="R26" s="503"/>
      <c r="S26" s="503"/>
      <c r="T26" s="513"/>
      <c r="U26" s="645" t="s">
        <v>2775</v>
      </c>
      <c r="W26" s="519" t="s">
        <v>2776</v>
      </c>
      <c r="AF26" s="629"/>
      <c r="AG26" s="515"/>
      <c r="AH26" s="503"/>
      <c r="AI26" s="513"/>
      <c r="AJ26" s="645" t="s">
        <v>2777</v>
      </c>
      <c r="AL26" s="519" t="s">
        <v>2778</v>
      </c>
      <c r="AV26" s="638"/>
      <c r="AW26" s="515"/>
      <c r="AX26" s="503"/>
      <c r="AY26" s="503"/>
    </row>
    <row r="27" ht="44.25" customHeight="1">
      <c r="A27" s="503"/>
      <c r="B27" s="513"/>
      <c r="C27" s="646" t="s">
        <v>2779</v>
      </c>
      <c r="D27" s="619"/>
      <c r="E27" s="586" t="s">
        <v>2780</v>
      </c>
      <c r="F27" s="618"/>
      <c r="G27" s="618"/>
      <c r="H27" s="618"/>
      <c r="I27" s="618"/>
      <c r="J27" s="618"/>
      <c r="K27" s="618"/>
      <c r="L27" s="618"/>
      <c r="M27" s="618"/>
      <c r="N27" s="618"/>
      <c r="O27" s="618"/>
      <c r="P27" s="647"/>
      <c r="Q27" s="515"/>
      <c r="R27" s="503"/>
      <c r="S27" s="503"/>
      <c r="T27" s="513"/>
      <c r="U27" s="645" t="s">
        <v>2775</v>
      </c>
      <c r="W27" s="519" t="s">
        <v>2776</v>
      </c>
      <c r="AF27" s="629"/>
      <c r="AG27" s="515"/>
      <c r="AH27" s="503"/>
      <c r="AI27" s="513"/>
      <c r="AJ27" s="645" t="s">
        <v>2781</v>
      </c>
      <c r="AL27" s="519" t="s">
        <v>2782</v>
      </c>
      <c r="AV27" s="638"/>
      <c r="AW27" s="515"/>
      <c r="AX27" s="503"/>
      <c r="AY27" s="503"/>
    </row>
    <row r="28" ht="29.25" customHeight="1">
      <c r="A28" s="503"/>
      <c r="B28" s="513"/>
      <c r="C28" s="648"/>
      <c r="E28" s="503"/>
      <c r="F28" s="503"/>
      <c r="G28" s="503"/>
      <c r="H28" s="503"/>
      <c r="I28" s="503"/>
      <c r="J28" s="503"/>
      <c r="K28" s="503"/>
      <c r="L28" s="503"/>
      <c r="M28" s="503"/>
      <c r="N28" s="503"/>
      <c r="O28" s="503"/>
      <c r="P28" s="503"/>
      <c r="Q28" s="515"/>
      <c r="R28" s="503"/>
      <c r="S28" s="503"/>
      <c r="T28" s="513"/>
      <c r="U28" s="649" t="s">
        <v>2783</v>
      </c>
      <c r="V28" s="618"/>
      <c r="W28" s="586" t="s">
        <v>2784</v>
      </c>
      <c r="X28" s="618"/>
      <c r="Y28" s="618"/>
      <c r="Z28" s="618"/>
      <c r="AA28" s="618"/>
      <c r="AB28" s="618"/>
      <c r="AC28" s="618"/>
      <c r="AD28" s="618"/>
      <c r="AE28" s="618"/>
      <c r="AF28" s="619"/>
      <c r="AG28" s="515"/>
      <c r="AH28" s="503"/>
      <c r="AI28" s="513"/>
      <c r="AJ28" s="649" t="s">
        <v>2785</v>
      </c>
      <c r="AK28" s="618"/>
      <c r="AL28" s="586" t="s">
        <v>2786</v>
      </c>
      <c r="AM28" s="618"/>
      <c r="AN28" s="618"/>
      <c r="AO28" s="618"/>
      <c r="AP28" s="618"/>
      <c r="AQ28" s="618"/>
      <c r="AR28" s="618"/>
      <c r="AS28" s="618"/>
      <c r="AT28" s="618"/>
      <c r="AU28" s="618"/>
      <c r="AV28" s="647"/>
      <c r="AW28" s="515"/>
      <c r="AX28" s="503"/>
      <c r="AY28" s="503"/>
    </row>
    <row r="29" ht="18.0" customHeight="1">
      <c r="A29" s="503"/>
      <c r="B29" s="513"/>
      <c r="C29" s="519" t="s">
        <v>2787</v>
      </c>
      <c r="E29" s="503"/>
      <c r="F29" s="503"/>
      <c r="G29" s="503"/>
      <c r="H29" s="503"/>
      <c r="I29" s="503"/>
      <c r="J29" s="503"/>
      <c r="K29" s="503"/>
      <c r="L29" s="503"/>
      <c r="M29" s="503"/>
      <c r="N29" s="503"/>
      <c r="O29" s="503"/>
      <c r="P29" s="503"/>
      <c r="Q29" s="515"/>
      <c r="R29" s="503"/>
      <c r="S29" s="503"/>
      <c r="T29" s="513"/>
      <c r="U29" s="650"/>
      <c r="W29" s="503"/>
      <c r="X29" s="503"/>
      <c r="Y29" s="503"/>
      <c r="Z29" s="503"/>
      <c r="AA29" s="503"/>
      <c r="AB29" s="503"/>
      <c r="AC29" s="503"/>
      <c r="AD29" s="503"/>
      <c r="AE29" s="503"/>
      <c r="AF29" s="503"/>
      <c r="AG29" s="515"/>
      <c r="AH29" s="503"/>
      <c r="AI29" s="513"/>
      <c r="AJ29" s="650"/>
      <c r="AL29" s="503"/>
      <c r="AM29" s="503"/>
      <c r="AN29" s="503"/>
      <c r="AO29" s="503"/>
      <c r="AP29" s="503"/>
      <c r="AQ29" s="503"/>
      <c r="AR29" s="503"/>
      <c r="AS29" s="503"/>
      <c r="AT29" s="503"/>
      <c r="AU29" s="503"/>
      <c r="AV29" s="503"/>
      <c r="AW29" s="515"/>
      <c r="AX29" s="503"/>
      <c r="AY29" s="503"/>
    </row>
    <row r="30" ht="48.0" customHeight="1">
      <c r="A30" s="503"/>
      <c r="B30" s="513"/>
      <c r="C30" s="519" t="s">
        <v>2941</v>
      </c>
      <c r="Q30" s="638"/>
      <c r="R30" s="503"/>
      <c r="S30" s="503"/>
      <c r="T30" s="513"/>
      <c r="U30" s="519" t="s">
        <v>2787</v>
      </c>
      <c r="W30" s="503"/>
      <c r="X30" s="503"/>
      <c r="Y30" s="503"/>
      <c r="Z30" s="503"/>
      <c r="AA30" s="503"/>
      <c r="AB30" s="503"/>
      <c r="AC30" s="503"/>
      <c r="AD30" s="503"/>
      <c r="AE30" s="503"/>
      <c r="AF30" s="503"/>
      <c r="AG30" s="515"/>
      <c r="AH30" s="503"/>
      <c r="AI30" s="513"/>
      <c r="AJ30" s="528" t="s">
        <v>2789</v>
      </c>
      <c r="AN30" s="503"/>
      <c r="AO30" s="503"/>
      <c r="AP30" s="503"/>
      <c r="AQ30" s="503"/>
      <c r="AR30" s="503"/>
      <c r="AS30" s="503"/>
      <c r="AT30" s="503"/>
      <c r="AU30" s="503"/>
      <c r="AV30" s="503"/>
      <c r="AW30" s="515"/>
      <c r="AX30" s="503"/>
      <c r="AY30" s="503"/>
    </row>
    <row r="31" ht="40.5" customHeight="1">
      <c r="A31" s="503"/>
      <c r="B31" s="513"/>
      <c r="C31" s="519" t="s">
        <v>2790</v>
      </c>
      <c r="Q31" s="515"/>
      <c r="R31" s="503"/>
      <c r="S31" s="503"/>
      <c r="T31" s="513"/>
      <c r="U31" s="519" t="s">
        <v>2791</v>
      </c>
      <c r="AG31" s="638"/>
      <c r="AH31" s="503"/>
      <c r="AI31" s="513"/>
      <c r="AJ31" s="519" t="s">
        <v>2792</v>
      </c>
      <c r="AW31" s="638"/>
      <c r="AX31" s="503"/>
      <c r="AY31" s="503"/>
    </row>
    <row r="32" ht="51.75" customHeight="1">
      <c r="A32" s="503"/>
      <c r="B32" s="513"/>
      <c r="C32" s="519" t="s">
        <v>2942</v>
      </c>
      <c r="Q32" s="515"/>
      <c r="R32" s="503"/>
      <c r="S32" s="503"/>
      <c r="T32" s="513"/>
      <c r="U32" s="519" t="s">
        <v>2794</v>
      </c>
      <c r="AG32" s="515"/>
      <c r="AH32" s="503"/>
      <c r="AI32" s="513"/>
      <c r="AJ32" s="519" t="s">
        <v>2795</v>
      </c>
      <c r="AW32" s="515"/>
      <c r="AX32" s="503"/>
      <c r="AY32" s="503"/>
    </row>
    <row r="33" ht="47.25" customHeight="1">
      <c r="A33" s="503"/>
      <c r="B33" s="513"/>
      <c r="C33" s="519" t="s">
        <v>2796</v>
      </c>
      <c r="Q33" s="515"/>
      <c r="R33" s="503"/>
      <c r="S33" s="503"/>
      <c r="T33" s="513"/>
      <c r="U33" s="519" t="s">
        <v>2797</v>
      </c>
      <c r="AG33" s="515"/>
      <c r="AH33" s="503"/>
      <c r="AI33" s="513"/>
      <c r="AJ33" s="519" t="s">
        <v>2943</v>
      </c>
      <c r="AW33" s="515"/>
      <c r="AX33" s="503"/>
      <c r="AY33" s="503"/>
    </row>
    <row r="34" ht="43.5" customHeight="1">
      <c r="A34" s="503"/>
      <c r="B34" s="513"/>
      <c r="C34" s="519" t="s">
        <v>2799</v>
      </c>
      <c r="Q34" s="515"/>
      <c r="R34" s="503"/>
      <c r="S34" s="503"/>
      <c r="T34" s="513"/>
      <c r="U34" s="519" t="s">
        <v>2800</v>
      </c>
      <c r="AG34" s="515"/>
      <c r="AH34" s="503"/>
      <c r="AI34" s="513"/>
      <c r="AJ34" s="519" t="s">
        <v>2801</v>
      </c>
      <c r="AW34" s="515"/>
      <c r="AX34" s="503"/>
      <c r="AY34" s="503"/>
    </row>
    <row r="35" ht="60.0" customHeight="1">
      <c r="A35" s="503"/>
      <c r="B35" s="513"/>
      <c r="C35" s="519" t="s">
        <v>2802</v>
      </c>
      <c r="Q35" s="515"/>
      <c r="R35" s="503"/>
      <c r="S35" s="503"/>
      <c r="T35" s="513"/>
      <c r="U35" s="519" t="s">
        <v>2803</v>
      </c>
      <c r="AG35" s="515"/>
      <c r="AH35" s="503"/>
      <c r="AI35" s="513"/>
      <c r="AJ35" s="519" t="s">
        <v>2804</v>
      </c>
      <c r="AW35" s="515"/>
      <c r="AX35" s="503"/>
      <c r="AY35" s="503"/>
    </row>
    <row r="36" ht="45.75" customHeight="1">
      <c r="A36" s="503"/>
      <c r="B36" s="513"/>
      <c r="C36" s="519" t="s">
        <v>2805</v>
      </c>
      <c r="Q36" s="515"/>
      <c r="R36" s="503"/>
      <c r="S36" s="503"/>
      <c r="T36" s="513"/>
      <c r="U36" s="519" t="s">
        <v>2806</v>
      </c>
      <c r="AG36" s="515"/>
      <c r="AH36" s="503"/>
      <c r="AI36" s="513"/>
      <c r="AJ36" s="519" t="s">
        <v>2807</v>
      </c>
      <c r="AW36" s="515"/>
      <c r="AX36" s="503"/>
      <c r="AY36" s="503"/>
    </row>
    <row r="37" ht="58.5" customHeight="1">
      <c r="A37" s="503"/>
      <c r="B37" s="651"/>
      <c r="C37" s="586" t="s">
        <v>2808</v>
      </c>
      <c r="D37" s="618"/>
      <c r="E37" s="618"/>
      <c r="F37" s="618"/>
      <c r="G37" s="618"/>
      <c r="H37" s="618"/>
      <c r="I37" s="618"/>
      <c r="J37" s="618"/>
      <c r="K37" s="618"/>
      <c r="L37" s="618"/>
      <c r="M37" s="618"/>
      <c r="N37" s="618"/>
      <c r="O37" s="618"/>
      <c r="P37" s="618"/>
      <c r="Q37" s="550"/>
      <c r="R37" s="503"/>
      <c r="S37" s="503"/>
      <c r="T37" s="513"/>
      <c r="U37" s="519" t="s">
        <v>2809</v>
      </c>
      <c r="AG37" s="515"/>
      <c r="AH37" s="503"/>
      <c r="AI37" s="513"/>
      <c r="AJ37" s="519" t="s">
        <v>2810</v>
      </c>
      <c r="AW37" s="515"/>
      <c r="AX37" s="503"/>
      <c r="AY37" s="503"/>
    </row>
    <row r="38" ht="39.0" customHeight="1">
      <c r="A38" s="503"/>
      <c r="B38" s="513"/>
      <c r="C38" s="519" t="s">
        <v>2944</v>
      </c>
      <c r="Q38" s="515"/>
      <c r="R38" s="503"/>
      <c r="S38" s="503"/>
      <c r="T38" s="513"/>
      <c r="U38" s="519" t="s">
        <v>2812</v>
      </c>
      <c r="AG38" s="515"/>
      <c r="AH38" s="503"/>
      <c r="AI38" s="513"/>
      <c r="AJ38" s="519" t="s">
        <v>2813</v>
      </c>
      <c r="AW38" s="515"/>
      <c r="AX38" s="503"/>
      <c r="AY38" s="503"/>
    </row>
    <row r="39" ht="30.0" customHeight="1">
      <c r="A39" s="503"/>
      <c r="B39" s="513"/>
      <c r="C39" s="519" t="s">
        <v>2814</v>
      </c>
      <c r="Q39" s="515"/>
      <c r="R39" s="503"/>
      <c r="S39" s="503"/>
      <c r="T39" s="513"/>
      <c r="U39" s="519" t="s">
        <v>2815</v>
      </c>
      <c r="AC39" s="564"/>
      <c r="AD39" s="564"/>
      <c r="AE39" s="564"/>
      <c r="AF39" s="503"/>
      <c r="AG39" s="515"/>
      <c r="AH39" s="503"/>
      <c r="AI39" s="513"/>
      <c r="AJ39" s="519" t="s">
        <v>2816</v>
      </c>
      <c r="AW39" s="515"/>
      <c r="AX39" s="503"/>
      <c r="AY39" s="503"/>
    </row>
    <row r="40" ht="43.5" customHeight="1">
      <c r="A40" s="503"/>
      <c r="B40" s="513"/>
      <c r="C40" s="519" t="s">
        <v>2817</v>
      </c>
      <c r="Q40" s="515"/>
      <c r="R40" s="503"/>
      <c r="S40" s="503"/>
      <c r="T40" s="513"/>
      <c r="U40" s="519" t="s">
        <v>2818</v>
      </c>
      <c r="AG40" s="515"/>
      <c r="AH40" s="503"/>
      <c r="AI40" s="513"/>
      <c r="AJ40" s="519" t="s">
        <v>2819</v>
      </c>
      <c r="AW40" s="515"/>
      <c r="AX40" s="503"/>
      <c r="AY40" s="503"/>
    </row>
    <row r="41" ht="45.0" customHeight="1">
      <c r="A41" s="503"/>
      <c r="B41" s="513"/>
      <c r="C41" s="519" t="s">
        <v>2820</v>
      </c>
      <c r="Q41" s="652"/>
      <c r="R41" s="503"/>
      <c r="S41" s="503"/>
      <c r="T41" s="513"/>
      <c r="U41" s="519" t="s">
        <v>2821</v>
      </c>
      <c r="AG41" s="515"/>
      <c r="AH41" s="503"/>
      <c r="AI41" s="513"/>
      <c r="AJ41" s="519" t="s">
        <v>2822</v>
      </c>
      <c r="AW41" s="515"/>
      <c r="AX41" s="503"/>
      <c r="AY41" s="503"/>
    </row>
    <row r="42" ht="36.0" customHeight="1">
      <c r="A42" s="503"/>
      <c r="B42" s="513"/>
      <c r="C42" s="519" t="s">
        <v>2823</v>
      </c>
      <c r="Q42" s="652"/>
      <c r="R42" s="503"/>
      <c r="S42" s="503"/>
      <c r="T42" s="513"/>
      <c r="U42" s="519" t="s">
        <v>2824</v>
      </c>
      <c r="AG42" s="652"/>
      <c r="AH42" s="503"/>
      <c r="AI42" s="513"/>
      <c r="AJ42" s="519" t="s">
        <v>2825</v>
      </c>
      <c r="AW42" s="652"/>
      <c r="AX42" s="503"/>
      <c r="AY42" s="503"/>
    </row>
    <row r="43" ht="36.0" customHeight="1">
      <c r="A43" s="503"/>
      <c r="B43" s="513"/>
      <c r="C43" s="519" t="s">
        <v>2826</v>
      </c>
      <c r="Q43" s="652"/>
      <c r="R43" s="503"/>
      <c r="S43" s="503"/>
      <c r="T43" s="513"/>
      <c r="U43" s="519" t="s">
        <v>2827</v>
      </c>
      <c r="AG43" s="652"/>
      <c r="AH43" s="503"/>
      <c r="AI43" s="513"/>
      <c r="AJ43" s="519" t="s">
        <v>2828</v>
      </c>
      <c r="AW43" s="652"/>
      <c r="AX43" s="503"/>
      <c r="AY43" s="503"/>
    </row>
    <row r="44" ht="44.25" customHeight="1">
      <c r="A44" s="503"/>
      <c r="B44" s="513"/>
      <c r="C44" s="519" t="s">
        <v>2829</v>
      </c>
      <c r="Q44" s="515"/>
      <c r="R44" s="503"/>
      <c r="S44" s="503"/>
      <c r="T44" s="513"/>
      <c r="U44" s="519" t="s">
        <v>2830</v>
      </c>
      <c r="AG44" s="652"/>
      <c r="AH44" s="503"/>
      <c r="AI44" s="513"/>
      <c r="AJ44" s="519" t="s">
        <v>2831</v>
      </c>
      <c r="AW44" s="652"/>
      <c r="AX44" s="503"/>
      <c r="AY44" s="503"/>
    </row>
    <row r="45" ht="35.25" customHeight="1">
      <c r="A45" s="512"/>
      <c r="B45" s="513"/>
      <c r="C45" s="653" t="s">
        <v>2832</v>
      </c>
      <c r="Q45" s="515"/>
      <c r="R45" s="503"/>
      <c r="S45" s="503"/>
      <c r="T45" s="513"/>
      <c r="U45" s="503"/>
      <c r="V45" s="503"/>
      <c r="W45" s="503"/>
      <c r="X45" s="503"/>
      <c r="Y45" s="503"/>
      <c r="Z45" s="503"/>
      <c r="AA45" s="503"/>
      <c r="AB45" s="503"/>
      <c r="AC45" s="503"/>
      <c r="AD45" s="503"/>
      <c r="AE45" s="503"/>
      <c r="AF45" s="503"/>
      <c r="AG45" s="515"/>
      <c r="AH45" s="503"/>
      <c r="AI45" s="513"/>
      <c r="AJ45" s="519" t="s">
        <v>2833</v>
      </c>
      <c r="AW45" s="515"/>
      <c r="AX45" s="503"/>
      <c r="AY45" s="503"/>
    </row>
    <row r="46" ht="30.0" customHeight="1">
      <c r="A46" s="512"/>
      <c r="B46" s="513"/>
      <c r="C46" s="654" t="s">
        <v>2834</v>
      </c>
      <c r="Q46" s="515"/>
      <c r="R46" s="503"/>
      <c r="S46" s="503"/>
      <c r="T46" s="513"/>
      <c r="U46" s="503"/>
      <c r="V46" s="503"/>
      <c r="W46" s="503"/>
      <c r="X46" s="503"/>
      <c r="Y46" s="503"/>
      <c r="Z46" s="503"/>
      <c r="AA46" s="503"/>
      <c r="AB46" s="503"/>
      <c r="AC46" s="503"/>
      <c r="AD46" s="503"/>
      <c r="AE46" s="503"/>
      <c r="AF46" s="503"/>
      <c r="AG46" s="515"/>
      <c r="AH46" s="503"/>
      <c r="AI46" s="513"/>
      <c r="AW46" s="515"/>
      <c r="AX46" s="503"/>
      <c r="AY46" s="503"/>
    </row>
    <row r="47" ht="8.25" customHeight="1">
      <c r="A47" s="512"/>
      <c r="B47" s="513"/>
      <c r="C47" s="655"/>
      <c r="Q47" s="515"/>
      <c r="R47" s="503"/>
      <c r="S47" s="503"/>
      <c r="T47" s="513"/>
      <c r="U47" s="503"/>
      <c r="V47" s="503"/>
      <c r="W47" s="503"/>
      <c r="X47" s="503"/>
      <c r="Y47" s="503"/>
      <c r="Z47" s="503"/>
      <c r="AA47" s="503"/>
      <c r="AB47" s="503"/>
      <c r="AC47" s="503"/>
      <c r="AD47" s="503"/>
      <c r="AE47" s="503"/>
      <c r="AF47" s="503"/>
      <c r="AG47" s="515"/>
      <c r="AH47" s="503"/>
      <c r="AI47" s="513"/>
      <c r="AJ47" s="519" t="s">
        <v>2835</v>
      </c>
      <c r="AW47" s="515"/>
      <c r="AX47" s="503"/>
      <c r="AY47" s="503"/>
    </row>
    <row r="48" ht="17.25" customHeight="1">
      <c r="A48" s="503"/>
      <c r="B48" s="513"/>
      <c r="C48" s="518" t="s">
        <v>2836</v>
      </c>
      <c r="Q48" s="515"/>
      <c r="R48" s="503"/>
      <c r="S48" s="503"/>
      <c r="T48" s="513"/>
      <c r="U48" s="518"/>
      <c r="AG48" s="515"/>
      <c r="AH48" s="503"/>
      <c r="AI48" s="513"/>
      <c r="AJ48" s="519" t="s">
        <v>2837</v>
      </c>
      <c r="AW48" s="515"/>
      <c r="AX48" s="503"/>
      <c r="AY48" s="503"/>
    </row>
    <row r="49" ht="24.0" customHeight="1">
      <c r="A49" s="503"/>
      <c r="B49" s="513"/>
      <c r="C49" s="518"/>
      <c r="D49" s="518"/>
      <c r="E49" s="518"/>
      <c r="F49" s="518"/>
      <c r="G49" s="708">
        <v>46060.0</v>
      </c>
      <c r="L49" s="518"/>
      <c r="M49" s="518"/>
      <c r="N49" s="518"/>
      <c r="O49" s="518"/>
      <c r="P49" s="518"/>
      <c r="Q49" s="515"/>
      <c r="R49" s="503"/>
      <c r="S49" s="503"/>
      <c r="T49" s="513"/>
      <c r="U49" s="518"/>
      <c r="V49" s="518"/>
      <c r="W49" s="518"/>
      <c r="X49" s="518"/>
      <c r="Y49" s="518"/>
      <c r="Z49" s="518"/>
      <c r="AA49" s="518"/>
      <c r="AB49" s="518"/>
      <c r="AC49" s="518"/>
      <c r="AD49" s="518"/>
      <c r="AE49" s="518"/>
      <c r="AF49" s="518"/>
      <c r="AG49" s="515"/>
      <c r="AH49" s="503"/>
      <c r="AI49" s="513"/>
      <c r="AJ49" s="519"/>
      <c r="AK49" s="519"/>
      <c r="AL49" s="519"/>
      <c r="AM49" s="519"/>
      <c r="AN49" s="519"/>
      <c r="AO49" s="519"/>
      <c r="AP49" s="519"/>
      <c r="AQ49" s="519"/>
      <c r="AR49" s="519"/>
      <c r="AS49" s="519"/>
      <c r="AT49" s="519"/>
      <c r="AU49" s="519"/>
      <c r="AV49" s="519"/>
      <c r="AW49" s="515"/>
      <c r="AX49" s="503"/>
      <c r="AY49" s="503"/>
    </row>
    <row r="50" ht="14.25" customHeight="1">
      <c r="A50" s="503"/>
      <c r="B50" s="513"/>
      <c r="C50" s="503"/>
      <c r="D50" s="503"/>
      <c r="E50" s="503"/>
      <c r="F50" s="503"/>
      <c r="G50" s="503"/>
      <c r="H50" s="503"/>
      <c r="I50" s="503"/>
      <c r="J50" s="503"/>
      <c r="K50" s="503"/>
      <c r="L50" s="503"/>
      <c r="M50" s="503"/>
      <c r="N50" s="503"/>
      <c r="O50" s="503"/>
      <c r="P50" s="503"/>
      <c r="Q50" s="515"/>
      <c r="R50" s="503"/>
      <c r="S50" s="503"/>
      <c r="T50" s="513"/>
      <c r="U50" s="518" t="s">
        <v>2836</v>
      </c>
      <c r="AG50" s="515"/>
      <c r="AH50" s="503"/>
      <c r="AI50" s="513"/>
      <c r="AJ50" s="518" t="s">
        <v>2838</v>
      </c>
      <c r="AW50" s="515"/>
      <c r="AX50" s="503"/>
      <c r="AY50" s="503"/>
    </row>
    <row r="51" ht="27.0" customHeight="1">
      <c r="A51" s="503"/>
      <c r="B51" s="513"/>
      <c r="C51" s="656" t="s">
        <v>2839</v>
      </c>
      <c r="D51" s="657" t="s">
        <v>2840</v>
      </c>
      <c r="E51" s="532"/>
      <c r="F51" s="709" t="str">
        <f>O2</f>
        <v>조경주</v>
      </c>
      <c r="G51" s="659" t="s">
        <v>1247</v>
      </c>
      <c r="H51" s="569"/>
      <c r="I51" s="523"/>
      <c r="J51" s="523"/>
      <c r="K51" s="523"/>
      <c r="L51" s="532"/>
      <c r="M51" s="660" t="s">
        <v>2717</v>
      </c>
      <c r="N51" s="526"/>
      <c r="O51" s="526"/>
      <c r="P51" s="527"/>
      <c r="Q51" s="515"/>
      <c r="R51" s="503"/>
      <c r="S51" s="503"/>
      <c r="T51" s="513"/>
      <c r="U51" s="503"/>
      <c r="V51" s="503"/>
      <c r="W51" s="503"/>
      <c r="X51" s="503"/>
      <c r="Y51" s="503"/>
      <c r="Z51" s="503"/>
      <c r="AA51" s="503"/>
      <c r="AB51" s="503"/>
      <c r="AC51" s="503"/>
      <c r="AD51" s="503"/>
      <c r="AE51" s="503"/>
      <c r="AF51" s="503"/>
      <c r="AG51" s="515"/>
      <c r="AH51" s="503"/>
      <c r="AI51" s="513"/>
      <c r="AJ51" s="503"/>
      <c r="AK51" s="503"/>
      <c r="AL51" s="503"/>
      <c r="AM51" s="503"/>
      <c r="AN51" s="503"/>
      <c r="AO51" s="503"/>
      <c r="AP51" s="503"/>
      <c r="AQ51" s="503"/>
      <c r="AR51" s="503"/>
      <c r="AS51" s="503"/>
      <c r="AT51" s="503"/>
      <c r="AU51" s="503"/>
      <c r="AV51" s="503"/>
      <c r="AW51" s="515"/>
      <c r="AX51" s="503"/>
      <c r="AY51" s="503"/>
    </row>
    <row r="52" ht="28.5" customHeight="1">
      <c r="A52" s="503"/>
      <c r="B52" s="513"/>
      <c r="C52" s="661"/>
      <c r="D52" s="657" t="s">
        <v>1246</v>
      </c>
      <c r="E52" s="532"/>
      <c r="F52" s="569"/>
      <c r="G52" s="523"/>
      <c r="H52" s="532"/>
      <c r="I52" s="662" t="s">
        <v>1245</v>
      </c>
      <c r="J52" s="569"/>
      <c r="K52" s="523"/>
      <c r="L52" s="532"/>
      <c r="M52" s="666"/>
      <c r="N52" s="618"/>
      <c r="O52" s="618"/>
      <c r="P52" s="619"/>
      <c r="Q52" s="515"/>
      <c r="R52" s="503"/>
      <c r="S52" s="503"/>
      <c r="T52" s="513"/>
      <c r="U52" s="662" t="s">
        <v>2842</v>
      </c>
      <c r="V52" s="657" t="s">
        <v>2840</v>
      </c>
      <c r="W52" s="532"/>
      <c r="X52" s="571" t="str">
        <f>VLOOKUP($O$2,'세입자'!E41:U227,1,0)</f>
        <v>#REF!</v>
      </c>
      <c r="Y52" s="659" t="s">
        <v>2841</v>
      </c>
      <c r="Z52" s="569" t="s">
        <v>2843</v>
      </c>
      <c r="AA52" s="523"/>
      <c r="AB52" s="523"/>
      <c r="AC52" s="523"/>
      <c r="AD52" s="532"/>
      <c r="AE52" s="660" t="s">
        <v>2717</v>
      </c>
      <c r="AF52" s="527"/>
      <c r="AG52" s="515"/>
      <c r="AH52" s="503"/>
      <c r="AI52" s="513"/>
      <c r="AJ52" s="662" t="s">
        <v>2844</v>
      </c>
      <c r="AK52" s="657" t="s">
        <v>2845</v>
      </c>
      <c r="AL52" s="532"/>
      <c r="AM52" s="664" t="str">
        <f>F51</f>
        <v>조경주</v>
      </c>
      <c r="AN52" s="532"/>
      <c r="AO52" s="659" t="s">
        <v>2698</v>
      </c>
      <c r="AP52" s="569"/>
      <c r="AQ52" s="569"/>
      <c r="AR52" s="569"/>
      <c r="AS52" s="571"/>
      <c r="AT52" s="660" t="s">
        <v>2728</v>
      </c>
      <c r="AU52" s="526"/>
      <c r="AV52" s="527"/>
      <c r="AW52" s="515"/>
      <c r="AX52" s="503"/>
      <c r="AY52" s="503"/>
    </row>
    <row r="53" ht="23.25" customHeight="1">
      <c r="A53" s="503"/>
      <c r="B53" s="513"/>
      <c r="C53" s="668" t="s">
        <v>2851</v>
      </c>
      <c r="D53" s="657" t="s">
        <v>2840</v>
      </c>
      <c r="E53" s="532"/>
      <c r="F53" s="569" t="str">
        <f>M15</f>
        <v>양성원</v>
      </c>
      <c r="G53" s="662" t="s">
        <v>1247</v>
      </c>
      <c r="H53" s="569"/>
      <c r="I53" s="523"/>
      <c r="J53" s="523"/>
      <c r="K53" s="523"/>
      <c r="L53" s="532"/>
      <c r="M53" s="660" t="s">
        <v>2717</v>
      </c>
      <c r="N53" s="526"/>
      <c r="O53" s="526"/>
      <c r="P53" s="527"/>
      <c r="Q53" s="515"/>
      <c r="R53" s="503"/>
      <c r="S53" s="503"/>
      <c r="T53" s="513"/>
      <c r="U53" s="665" t="s">
        <v>2846</v>
      </c>
      <c r="V53" s="657" t="s">
        <v>2840</v>
      </c>
      <c r="W53" s="532"/>
      <c r="X53" s="571"/>
      <c r="Y53" s="659" t="s">
        <v>2847</v>
      </c>
      <c r="Z53" s="571"/>
      <c r="AA53" s="659" t="s">
        <v>1246</v>
      </c>
      <c r="AB53" s="569"/>
      <c r="AC53" s="523"/>
      <c r="AD53" s="532"/>
      <c r="AE53" s="666"/>
      <c r="AF53" s="619"/>
      <c r="AG53" s="515"/>
      <c r="AH53" s="503"/>
      <c r="AI53" s="513"/>
      <c r="AJ53" s="665" t="s">
        <v>2852</v>
      </c>
      <c r="AK53" s="657" t="s">
        <v>2845</v>
      </c>
      <c r="AL53" s="532"/>
      <c r="AM53" s="571"/>
      <c r="AN53" s="659" t="s">
        <v>2853</v>
      </c>
      <c r="AO53" s="571"/>
      <c r="AP53" s="659" t="s">
        <v>2849</v>
      </c>
      <c r="AQ53" s="569"/>
      <c r="AR53" s="523"/>
      <c r="AS53" s="532"/>
      <c r="AT53" s="666"/>
      <c r="AU53" s="618"/>
      <c r="AV53" s="619"/>
      <c r="AW53" s="515"/>
      <c r="AX53" s="503"/>
      <c r="AY53" s="503"/>
    </row>
    <row r="54" ht="23.25" customHeight="1">
      <c r="A54" s="503"/>
      <c r="B54" s="513"/>
      <c r="C54" s="661"/>
      <c r="D54" s="657" t="s">
        <v>1246</v>
      </c>
      <c r="E54" s="532"/>
      <c r="F54" s="669" t="str">
        <f>VLOOKUP($O$2,'입주자'!E5:W982,18,0)</f>
        <v>010-2681-8498</v>
      </c>
      <c r="G54" s="523"/>
      <c r="H54" s="532"/>
      <c r="I54" s="662" t="s">
        <v>1245</v>
      </c>
      <c r="J54" s="569" t="str">
        <f>VLOOKUP($O$2,'입주자'!E5:W982,19,0)</f>
        <v>1970-08-10</v>
      </c>
      <c r="K54" s="523"/>
      <c r="L54" s="532"/>
      <c r="M54" s="666"/>
      <c r="N54" s="618"/>
      <c r="O54" s="618"/>
      <c r="P54" s="619"/>
      <c r="Q54" s="515"/>
      <c r="R54" s="503"/>
      <c r="S54" s="503"/>
      <c r="T54" s="513"/>
      <c r="U54" s="668" t="s">
        <v>2855</v>
      </c>
      <c r="V54" s="657" t="s">
        <v>2840</v>
      </c>
      <c r="W54" s="532"/>
      <c r="X54" s="569" t="s">
        <v>33</v>
      </c>
      <c r="Y54" s="539"/>
      <c r="Z54" s="539"/>
      <c r="AA54" s="539"/>
      <c r="AB54" s="539"/>
      <c r="AC54" s="539"/>
      <c r="AD54" s="540"/>
      <c r="AE54" s="660" t="s">
        <v>2717</v>
      </c>
      <c r="AF54" s="527"/>
      <c r="AG54" s="515"/>
      <c r="AH54" s="503"/>
      <c r="AI54" s="513"/>
      <c r="AJ54" s="668" t="s">
        <v>2856</v>
      </c>
      <c r="AK54" s="657" t="s">
        <v>2845</v>
      </c>
      <c r="AL54" s="532"/>
      <c r="AM54" s="569" t="str">
        <f t="shared" ref="AM54:AM55" si="4">F53</f>
        <v>양성원</v>
      </c>
      <c r="AN54" s="523"/>
      <c r="AO54" s="523"/>
      <c r="AP54" s="539"/>
      <c r="AQ54" s="539"/>
      <c r="AR54" s="539"/>
      <c r="AS54" s="540"/>
      <c r="AT54" s="660" t="s">
        <v>2728</v>
      </c>
      <c r="AU54" s="526"/>
      <c r="AV54" s="527"/>
      <c r="AW54" s="515"/>
      <c r="AX54" s="503"/>
      <c r="AY54" s="503"/>
    </row>
    <row r="55" ht="23.25" customHeight="1">
      <c r="A55" s="503"/>
      <c r="B55" s="651"/>
      <c r="C55" s="552"/>
      <c r="D55" s="618"/>
      <c r="E55" s="618"/>
      <c r="F55" s="618"/>
      <c r="G55" s="618"/>
      <c r="H55" s="618"/>
      <c r="I55" s="618"/>
      <c r="J55" s="618"/>
      <c r="K55" s="618"/>
      <c r="L55" s="618"/>
      <c r="M55" s="618"/>
      <c r="N55" s="618"/>
      <c r="O55" s="618"/>
      <c r="P55" s="618"/>
      <c r="Q55" s="550"/>
      <c r="R55" s="503"/>
      <c r="S55" s="503"/>
      <c r="T55" s="513"/>
      <c r="U55" s="661"/>
      <c r="V55" s="657" t="s">
        <v>1246</v>
      </c>
      <c r="W55" s="532"/>
      <c r="X55" s="569" t="s">
        <v>2857</v>
      </c>
      <c r="Y55" s="523"/>
      <c r="Z55" s="532"/>
      <c r="AA55" s="662" t="s">
        <v>2848</v>
      </c>
      <c r="AB55" s="569" t="s">
        <v>2858</v>
      </c>
      <c r="AC55" s="523"/>
      <c r="AD55" s="532"/>
      <c r="AE55" s="666"/>
      <c r="AF55" s="619"/>
      <c r="AG55" s="515"/>
      <c r="AH55" s="503"/>
      <c r="AI55" s="513"/>
      <c r="AJ55" s="661"/>
      <c r="AK55" s="657" t="s">
        <v>2849</v>
      </c>
      <c r="AL55" s="532"/>
      <c r="AM55" s="669" t="str">
        <f t="shared" si="4"/>
        <v>010-2681-8498</v>
      </c>
      <c r="AN55" s="523"/>
      <c r="AO55" s="532"/>
      <c r="AP55" s="662" t="s">
        <v>2850</v>
      </c>
      <c r="AQ55" s="569" t="str">
        <f>J54</f>
        <v>1970-08-10</v>
      </c>
      <c r="AR55" s="523"/>
      <c r="AS55" s="532"/>
      <c r="AT55" s="666"/>
      <c r="AU55" s="618"/>
      <c r="AV55" s="619"/>
      <c r="AW55" s="515"/>
      <c r="AX55" s="503"/>
      <c r="AY55" s="503"/>
    </row>
    <row r="56" ht="27.75" customHeight="1">
      <c r="A56" s="503"/>
      <c r="B56" s="503"/>
      <c r="C56" s="710"/>
      <c r="E56" s="691"/>
      <c r="Q56" s="503"/>
      <c r="R56" s="503"/>
      <c r="S56" s="503"/>
      <c r="T56" s="503"/>
      <c r="U56" s="503"/>
      <c r="V56" s="503"/>
      <c r="W56" s="503"/>
      <c r="X56" s="503"/>
      <c r="Y56" s="503"/>
      <c r="Z56" s="503"/>
      <c r="AA56" s="503"/>
      <c r="AB56" s="503"/>
      <c r="AC56" s="503"/>
      <c r="AD56" s="503"/>
      <c r="AE56" s="503"/>
      <c r="AF56" s="503"/>
      <c r="AG56" s="503"/>
      <c r="AH56" s="503"/>
      <c r="AI56" s="503"/>
      <c r="AJ56" s="503"/>
      <c r="AK56" s="503"/>
      <c r="AL56" s="503"/>
      <c r="AM56" s="503"/>
      <c r="AN56" s="503"/>
      <c r="AO56" s="503"/>
      <c r="AP56" s="503"/>
      <c r="AQ56" s="503"/>
      <c r="AR56" s="503"/>
      <c r="AS56" s="503"/>
      <c r="AT56" s="503"/>
      <c r="AU56" s="503"/>
      <c r="AV56" s="503"/>
      <c r="AW56" s="503"/>
      <c r="AX56" s="503"/>
      <c r="AY56" s="503"/>
    </row>
    <row r="57" ht="27.75" customHeight="1">
      <c r="A57" s="503"/>
      <c r="B57" s="503"/>
      <c r="C57" s="710"/>
      <c r="E57" s="691"/>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c r="AP57" s="503"/>
      <c r="AQ57" s="503"/>
      <c r="AR57" s="503"/>
      <c r="AS57" s="503"/>
      <c r="AT57" s="503"/>
      <c r="AU57" s="503"/>
      <c r="AV57" s="503"/>
      <c r="AW57" s="503"/>
      <c r="AX57" s="503"/>
      <c r="AY57" s="503"/>
    </row>
    <row r="58" ht="27.75" customHeight="1">
      <c r="A58" s="503"/>
      <c r="B58" s="503"/>
      <c r="C58" s="710"/>
      <c r="E58" s="691"/>
      <c r="Q58" s="503"/>
      <c r="R58" s="503"/>
      <c r="S58" s="503"/>
      <c r="T58" s="503"/>
      <c r="U58" s="503"/>
      <c r="V58" s="503"/>
      <c r="W58" s="503"/>
      <c r="X58" s="503"/>
      <c r="Y58" s="503"/>
      <c r="Z58" s="503"/>
      <c r="AA58" s="503"/>
      <c r="AB58" s="503"/>
      <c r="AC58" s="503"/>
      <c r="AD58" s="503"/>
      <c r="AE58" s="503"/>
      <c r="AF58" s="503"/>
      <c r="AG58" s="503"/>
      <c r="AH58" s="503"/>
      <c r="AI58" s="503"/>
      <c r="AJ58" s="503"/>
      <c r="AK58" s="503"/>
      <c r="AL58" s="503"/>
      <c r="AM58" s="503"/>
      <c r="AN58" s="503"/>
      <c r="AO58" s="503"/>
      <c r="AP58" s="503"/>
      <c r="AQ58" s="503"/>
      <c r="AR58" s="503"/>
      <c r="AS58" s="503"/>
      <c r="AT58" s="503"/>
      <c r="AU58" s="503"/>
      <c r="AV58" s="503"/>
      <c r="AW58" s="503"/>
      <c r="AX58" s="503"/>
      <c r="AY58" s="503"/>
    </row>
    <row r="59" ht="27.75" customHeight="1">
      <c r="A59" s="503"/>
      <c r="B59" s="503"/>
      <c r="C59" s="710"/>
      <c r="E59" s="691"/>
      <c r="Q59" s="503"/>
      <c r="R59" s="503"/>
      <c r="S59" s="503"/>
      <c r="T59" s="503"/>
      <c r="U59" s="503"/>
      <c r="V59" s="503"/>
      <c r="W59" s="503"/>
      <c r="X59" s="503"/>
      <c r="Y59" s="503"/>
      <c r="Z59" s="503"/>
      <c r="AA59" s="503"/>
      <c r="AB59" s="503"/>
      <c r="AC59" s="503"/>
      <c r="AD59" s="503"/>
      <c r="AE59" s="503"/>
      <c r="AF59" s="503"/>
      <c r="AG59" s="503"/>
      <c r="AH59" s="503"/>
      <c r="AI59" s="503"/>
      <c r="AJ59" s="503"/>
      <c r="AK59" s="503"/>
      <c r="AL59" s="503"/>
      <c r="AM59" s="503"/>
      <c r="AN59" s="503"/>
      <c r="AO59" s="503"/>
      <c r="AP59" s="503"/>
      <c r="AQ59" s="503"/>
      <c r="AR59" s="503"/>
      <c r="AS59" s="503"/>
      <c r="AT59" s="503"/>
      <c r="AU59" s="503"/>
      <c r="AV59" s="503"/>
      <c r="AW59" s="503"/>
      <c r="AX59" s="503"/>
      <c r="AY59" s="503"/>
    </row>
    <row r="60" ht="27.75" customHeight="1">
      <c r="A60" s="503"/>
      <c r="B60" s="503"/>
      <c r="C60" s="710"/>
      <c r="E60" s="691"/>
      <c r="Q60" s="503"/>
      <c r="R60" s="503"/>
      <c r="S60" s="503"/>
      <c r="T60" s="503"/>
      <c r="U60" s="503"/>
      <c r="V60" s="503"/>
      <c r="W60" s="503"/>
      <c r="X60" s="503"/>
      <c r="Y60" s="503"/>
      <c r="Z60" s="503"/>
      <c r="AA60" s="503"/>
      <c r="AB60" s="503"/>
      <c r="AC60" s="503"/>
      <c r="AD60" s="503"/>
      <c r="AE60" s="503"/>
      <c r="AF60" s="503"/>
      <c r="AG60" s="503"/>
      <c r="AH60" s="503"/>
      <c r="AI60" s="503"/>
      <c r="AJ60" s="503"/>
      <c r="AK60" s="503"/>
      <c r="AL60" s="503"/>
      <c r="AM60" s="503"/>
      <c r="AN60" s="503"/>
      <c r="AO60" s="503"/>
      <c r="AP60" s="503"/>
      <c r="AQ60" s="503"/>
      <c r="AR60" s="503"/>
      <c r="AS60" s="503"/>
      <c r="AT60" s="503"/>
      <c r="AU60" s="503"/>
      <c r="AV60" s="503"/>
      <c r="AW60" s="503"/>
      <c r="AX60" s="503"/>
      <c r="AY60" s="503"/>
    </row>
    <row r="61" ht="27.75" customHeight="1">
      <c r="A61" s="503"/>
      <c r="B61" s="503"/>
      <c r="C61" s="710"/>
      <c r="E61" s="691"/>
      <c r="Q61" s="503"/>
      <c r="R61" s="503"/>
      <c r="S61" s="503"/>
      <c r="T61" s="503"/>
      <c r="U61" s="503"/>
      <c r="V61" s="503"/>
      <c r="W61" s="503"/>
      <c r="X61" s="503"/>
      <c r="Y61" s="503"/>
      <c r="Z61" s="503"/>
      <c r="AA61" s="503"/>
      <c r="AB61" s="503"/>
      <c r="AC61" s="503"/>
      <c r="AD61" s="503"/>
      <c r="AE61" s="503"/>
      <c r="AF61" s="503"/>
      <c r="AG61" s="503"/>
      <c r="AH61" s="503"/>
      <c r="AI61" s="503"/>
      <c r="AJ61" s="503"/>
      <c r="AK61" s="503"/>
      <c r="AL61" s="503"/>
      <c r="AM61" s="503"/>
      <c r="AN61" s="503"/>
      <c r="AO61" s="503"/>
      <c r="AP61" s="503"/>
      <c r="AQ61" s="503"/>
      <c r="AR61" s="503"/>
      <c r="AS61" s="503"/>
      <c r="AT61" s="503"/>
      <c r="AU61" s="503"/>
      <c r="AV61" s="503"/>
      <c r="AW61" s="503"/>
      <c r="AX61" s="503"/>
      <c r="AY61" s="503"/>
    </row>
    <row r="62" ht="27.75" customHeight="1">
      <c r="A62" s="503"/>
      <c r="B62" s="503"/>
      <c r="C62" s="710"/>
      <c r="E62" s="691"/>
      <c r="Q62" s="503"/>
      <c r="R62" s="503"/>
      <c r="S62" s="503"/>
      <c r="T62" s="503"/>
      <c r="U62" s="503"/>
      <c r="V62" s="503"/>
      <c r="W62" s="503"/>
      <c r="X62" s="503"/>
      <c r="Y62" s="503"/>
      <c r="Z62" s="503"/>
      <c r="AA62" s="503"/>
      <c r="AB62" s="503"/>
      <c r="AC62" s="503"/>
      <c r="AD62" s="503"/>
      <c r="AE62" s="503"/>
      <c r="AF62" s="503"/>
      <c r="AG62" s="503"/>
      <c r="AH62" s="503"/>
      <c r="AI62" s="503"/>
      <c r="AJ62" s="503"/>
      <c r="AK62" s="503"/>
      <c r="AL62" s="503"/>
      <c r="AM62" s="503"/>
      <c r="AN62" s="503"/>
      <c r="AO62" s="503"/>
      <c r="AP62" s="503"/>
      <c r="AQ62" s="503"/>
      <c r="AR62" s="503"/>
      <c r="AS62" s="503"/>
      <c r="AT62" s="503"/>
      <c r="AU62" s="503"/>
      <c r="AV62" s="503"/>
      <c r="AW62" s="503"/>
      <c r="AX62" s="503"/>
      <c r="AY62" s="503"/>
    </row>
    <row r="63" ht="27.75" customHeight="1">
      <c r="A63" s="503"/>
      <c r="B63" s="503"/>
      <c r="C63" s="710"/>
      <c r="E63" s="691"/>
      <c r="Q63" s="503"/>
      <c r="R63" s="503"/>
      <c r="S63" s="503"/>
      <c r="T63" s="503"/>
      <c r="U63" s="503"/>
      <c r="V63" s="503"/>
      <c r="W63" s="503"/>
      <c r="X63" s="503"/>
      <c r="Y63" s="503"/>
      <c r="Z63" s="503"/>
      <c r="AA63" s="503"/>
      <c r="AB63" s="503"/>
      <c r="AC63" s="503"/>
      <c r="AD63" s="503"/>
      <c r="AE63" s="503"/>
      <c r="AF63" s="503"/>
      <c r="AG63" s="503"/>
      <c r="AH63" s="503"/>
      <c r="AI63" s="503"/>
      <c r="AJ63" s="503"/>
      <c r="AK63" s="503"/>
      <c r="AL63" s="503"/>
      <c r="AM63" s="503"/>
      <c r="AN63" s="503"/>
      <c r="AO63" s="503"/>
      <c r="AP63" s="503"/>
      <c r="AQ63" s="503"/>
      <c r="AR63" s="503"/>
      <c r="AS63" s="503"/>
      <c r="AT63" s="503"/>
      <c r="AU63" s="503"/>
      <c r="AV63" s="503"/>
      <c r="AW63" s="503"/>
      <c r="AX63" s="503"/>
      <c r="AY63" s="503"/>
    </row>
    <row r="64" ht="27.75" customHeight="1">
      <c r="A64" s="503"/>
      <c r="B64" s="503"/>
      <c r="C64" s="508"/>
      <c r="E64" s="691"/>
      <c r="Q64" s="503"/>
      <c r="R64" s="503"/>
      <c r="S64" s="503"/>
      <c r="T64" s="503"/>
      <c r="U64" s="503"/>
      <c r="V64" s="503"/>
      <c r="W64" s="503"/>
      <c r="X64" s="503"/>
      <c r="Y64" s="503"/>
      <c r="Z64" s="503"/>
      <c r="AA64" s="503"/>
      <c r="AB64" s="503"/>
      <c r="AC64" s="503"/>
      <c r="AD64" s="503"/>
      <c r="AE64" s="503"/>
      <c r="AF64" s="503"/>
      <c r="AG64" s="503"/>
      <c r="AH64" s="503"/>
      <c r="AI64" s="503"/>
      <c r="AJ64" s="503"/>
      <c r="AK64" s="503"/>
      <c r="AL64" s="503"/>
      <c r="AM64" s="503"/>
      <c r="AN64" s="503"/>
      <c r="AO64" s="503"/>
      <c r="AP64" s="503"/>
      <c r="AQ64" s="503"/>
      <c r="AR64" s="503"/>
      <c r="AS64" s="503"/>
      <c r="AT64" s="503"/>
      <c r="AU64" s="503"/>
      <c r="AV64" s="503"/>
      <c r="AW64" s="503"/>
      <c r="AX64" s="503"/>
      <c r="AY64" s="503"/>
    </row>
    <row r="65" ht="27.75" customHeight="1">
      <c r="A65" s="503"/>
      <c r="B65" s="503"/>
      <c r="C65" s="710"/>
      <c r="E65" s="691"/>
      <c r="Q65" s="503"/>
      <c r="R65" s="503"/>
      <c r="S65" s="503"/>
      <c r="T65" s="503"/>
      <c r="U65" s="503"/>
      <c r="V65" s="503"/>
      <c r="W65" s="503"/>
      <c r="X65" s="503"/>
      <c r="Y65" s="503"/>
      <c r="Z65" s="503"/>
      <c r="AA65" s="503"/>
      <c r="AB65" s="503"/>
      <c r="AC65" s="503"/>
      <c r="AD65" s="503"/>
      <c r="AE65" s="503"/>
      <c r="AF65" s="503"/>
      <c r="AG65" s="503"/>
      <c r="AH65" s="503"/>
      <c r="AI65" s="650"/>
      <c r="AJ65" s="650"/>
      <c r="AK65" s="650"/>
      <c r="AL65" s="650"/>
      <c r="AM65" s="650"/>
      <c r="AN65" s="650"/>
      <c r="AO65" s="650"/>
      <c r="AP65" s="650"/>
      <c r="AQ65" s="650"/>
      <c r="AR65" s="650"/>
      <c r="AS65" s="650"/>
      <c r="AT65" s="650"/>
      <c r="AU65" s="650"/>
      <c r="AV65" s="650"/>
      <c r="AW65" s="650"/>
      <c r="AX65" s="503"/>
      <c r="AY65" s="503"/>
    </row>
    <row r="66" ht="21.75" customHeight="1">
      <c r="A66" s="650"/>
      <c r="B66" s="650"/>
      <c r="C66" s="692"/>
      <c r="D66" s="692"/>
      <c r="Q66" s="650"/>
      <c r="R66" s="650"/>
      <c r="S66" s="650"/>
      <c r="T66" s="650"/>
      <c r="U66" s="650"/>
      <c r="V66" s="650"/>
      <c r="W66" s="650"/>
      <c r="X66" s="650"/>
      <c r="Y66" s="650"/>
      <c r="Z66" s="650"/>
      <c r="AA66" s="650"/>
      <c r="AB66" s="650"/>
      <c r="AC66" s="650"/>
      <c r="AD66" s="650"/>
      <c r="AE66" s="650"/>
      <c r="AF66" s="650"/>
      <c r="AG66" s="650"/>
      <c r="AH66" s="650"/>
      <c r="AI66" s="650"/>
      <c r="AJ66" s="650"/>
      <c r="AK66" s="650"/>
      <c r="AL66" s="650"/>
      <c r="AM66" s="650"/>
      <c r="AN66" s="650"/>
      <c r="AO66" s="650"/>
      <c r="AP66" s="650"/>
      <c r="AQ66" s="650"/>
      <c r="AR66" s="650"/>
      <c r="AS66" s="650"/>
      <c r="AT66" s="650"/>
      <c r="AU66" s="650"/>
      <c r="AV66" s="650"/>
      <c r="AW66" s="650"/>
      <c r="AX66" s="650"/>
      <c r="AY66" s="650"/>
    </row>
    <row r="67" ht="21.75" customHeight="1">
      <c r="A67" s="650"/>
      <c r="B67" s="650"/>
      <c r="C67" s="692"/>
      <c r="D67" s="692"/>
      <c r="Q67" s="650"/>
      <c r="R67" s="650"/>
      <c r="S67" s="650"/>
      <c r="T67" s="650"/>
      <c r="U67" s="650"/>
      <c r="V67" s="650"/>
      <c r="W67" s="650"/>
      <c r="X67" s="650"/>
      <c r="Y67" s="650"/>
      <c r="Z67" s="650"/>
      <c r="AA67" s="650"/>
      <c r="AB67" s="650"/>
      <c r="AC67" s="650"/>
      <c r="AD67" s="650"/>
      <c r="AE67" s="650"/>
      <c r="AF67" s="650"/>
      <c r="AG67" s="650"/>
      <c r="AH67" s="650"/>
      <c r="AI67" s="650"/>
      <c r="AJ67" s="650"/>
      <c r="AK67" s="650"/>
      <c r="AL67" s="650"/>
      <c r="AM67" s="650"/>
      <c r="AN67" s="650"/>
      <c r="AO67" s="650"/>
      <c r="AP67" s="650"/>
      <c r="AQ67" s="650"/>
      <c r="AR67" s="650"/>
      <c r="AS67" s="650"/>
      <c r="AT67" s="650"/>
      <c r="AU67" s="650"/>
      <c r="AV67" s="650"/>
      <c r="AW67" s="650"/>
      <c r="AX67" s="650"/>
      <c r="AY67" s="650"/>
    </row>
    <row r="68" ht="21.75" customHeight="1">
      <c r="A68" s="650"/>
      <c r="B68" s="650"/>
      <c r="C68" s="692"/>
      <c r="D68" s="692"/>
      <c r="Q68" s="650"/>
      <c r="R68" s="650"/>
      <c r="S68" s="650"/>
      <c r="T68" s="650"/>
      <c r="U68" s="650"/>
      <c r="V68" s="650"/>
      <c r="W68" s="650"/>
      <c r="X68" s="650"/>
      <c r="Y68" s="650"/>
      <c r="Z68" s="650"/>
      <c r="AA68" s="650"/>
      <c r="AB68" s="650"/>
      <c r="AC68" s="650"/>
      <c r="AD68" s="650"/>
      <c r="AE68" s="650"/>
      <c r="AF68" s="650"/>
      <c r="AG68" s="650"/>
      <c r="AH68" s="650"/>
      <c r="AI68" s="650"/>
      <c r="AJ68" s="650"/>
      <c r="AK68" s="650"/>
      <c r="AL68" s="650"/>
      <c r="AM68" s="650"/>
      <c r="AN68" s="650"/>
      <c r="AO68" s="650"/>
      <c r="AP68" s="650"/>
      <c r="AQ68" s="650"/>
      <c r="AR68" s="650"/>
      <c r="AS68" s="650"/>
      <c r="AT68" s="650"/>
      <c r="AU68" s="650"/>
      <c r="AV68" s="650"/>
      <c r="AW68" s="650"/>
      <c r="AX68" s="650"/>
      <c r="AY68" s="650"/>
    </row>
    <row r="69" ht="21.75" customHeight="1">
      <c r="A69" s="650"/>
      <c r="B69" s="650"/>
      <c r="C69" s="692"/>
      <c r="D69" s="692"/>
      <c r="Q69" s="650"/>
      <c r="R69" s="650"/>
      <c r="S69" s="650"/>
      <c r="T69" s="650"/>
      <c r="U69" s="650"/>
      <c r="V69" s="650"/>
      <c r="W69" s="650"/>
      <c r="X69" s="650"/>
      <c r="Y69" s="650"/>
      <c r="Z69" s="650"/>
      <c r="AA69" s="650"/>
      <c r="AB69" s="650"/>
      <c r="AC69" s="650"/>
      <c r="AD69" s="650"/>
      <c r="AE69" s="650"/>
      <c r="AF69" s="650"/>
      <c r="AG69" s="650"/>
      <c r="AH69" s="650"/>
      <c r="AI69" s="650"/>
      <c r="AJ69" s="650"/>
      <c r="AK69" s="650"/>
      <c r="AL69" s="650"/>
      <c r="AM69" s="650"/>
      <c r="AN69" s="650"/>
      <c r="AO69" s="650"/>
      <c r="AP69" s="650"/>
      <c r="AQ69" s="650"/>
      <c r="AR69" s="650"/>
      <c r="AS69" s="650"/>
      <c r="AT69" s="650"/>
      <c r="AU69" s="650"/>
      <c r="AV69" s="650"/>
      <c r="AW69" s="650"/>
      <c r="AX69" s="650"/>
      <c r="AY69" s="650"/>
    </row>
    <row r="70" ht="21.75" customHeight="1">
      <c r="A70" s="650"/>
      <c r="B70" s="650"/>
      <c r="C70" s="692"/>
      <c r="D70" s="692"/>
      <c r="Q70" s="650"/>
      <c r="R70" s="650"/>
      <c r="S70" s="650"/>
      <c r="T70" s="650"/>
      <c r="U70" s="650"/>
      <c r="V70" s="650"/>
      <c r="W70" s="650"/>
      <c r="X70" s="650"/>
      <c r="Y70" s="650"/>
      <c r="Z70" s="650"/>
      <c r="AA70" s="650"/>
      <c r="AB70" s="650"/>
      <c r="AC70" s="650"/>
      <c r="AD70" s="650"/>
      <c r="AE70" s="650"/>
      <c r="AF70" s="650"/>
      <c r="AG70" s="650"/>
      <c r="AH70" s="650"/>
      <c r="AI70" s="650"/>
      <c r="AJ70" s="650"/>
      <c r="AK70" s="650"/>
      <c r="AL70" s="650"/>
      <c r="AM70" s="650"/>
      <c r="AN70" s="650"/>
      <c r="AO70" s="650"/>
      <c r="AP70" s="650"/>
      <c r="AQ70" s="650"/>
      <c r="AR70" s="650"/>
      <c r="AS70" s="650"/>
      <c r="AT70" s="650"/>
      <c r="AU70" s="650"/>
      <c r="AV70" s="650"/>
      <c r="AW70" s="650"/>
      <c r="AX70" s="650"/>
      <c r="AY70" s="650"/>
    </row>
    <row r="71" ht="21.75" customHeight="1">
      <c r="A71" s="650"/>
      <c r="B71" s="650"/>
      <c r="C71" s="692"/>
      <c r="D71" s="692"/>
      <c r="Q71" s="650"/>
      <c r="R71" s="650"/>
      <c r="S71" s="650"/>
      <c r="T71" s="650"/>
      <c r="U71" s="650"/>
      <c r="V71" s="650"/>
      <c r="W71" s="650"/>
      <c r="X71" s="650"/>
      <c r="Y71" s="650"/>
      <c r="Z71" s="650"/>
      <c r="AA71" s="650"/>
      <c r="AB71" s="650"/>
      <c r="AC71" s="650"/>
      <c r="AD71" s="650"/>
      <c r="AE71" s="650"/>
      <c r="AF71" s="650"/>
      <c r="AG71" s="650"/>
      <c r="AH71" s="650"/>
      <c r="AI71" s="650"/>
      <c r="AJ71" s="650"/>
      <c r="AK71" s="650"/>
      <c r="AL71" s="650"/>
      <c r="AM71" s="650"/>
      <c r="AN71" s="650"/>
      <c r="AO71" s="650"/>
      <c r="AP71" s="650"/>
      <c r="AQ71" s="650"/>
      <c r="AR71" s="650"/>
      <c r="AS71" s="650"/>
      <c r="AT71" s="650"/>
      <c r="AU71" s="650"/>
      <c r="AV71" s="650"/>
      <c r="AW71" s="650"/>
      <c r="AX71" s="650"/>
      <c r="AY71" s="650"/>
    </row>
    <row r="72" ht="21.75" customHeight="1">
      <c r="A72" s="650"/>
      <c r="B72" s="650"/>
      <c r="C72" s="692"/>
      <c r="D72" s="692"/>
      <c r="Q72" s="650"/>
      <c r="R72" s="650"/>
      <c r="S72" s="650"/>
      <c r="T72" s="650"/>
      <c r="U72" s="650"/>
      <c r="V72" s="650"/>
      <c r="W72" s="650"/>
      <c r="X72" s="650"/>
      <c r="Y72" s="650"/>
      <c r="Z72" s="650"/>
      <c r="AA72" s="650"/>
      <c r="AB72" s="650"/>
      <c r="AC72" s="650"/>
      <c r="AD72" s="650"/>
      <c r="AE72" s="650"/>
      <c r="AF72" s="650"/>
      <c r="AG72" s="650"/>
      <c r="AH72" s="650"/>
      <c r="AI72" s="650"/>
      <c r="AJ72" s="650"/>
      <c r="AK72" s="650"/>
      <c r="AL72" s="650"/>
      <c r="AM72" s="650"/>
      <c r="AN72" s="650"/>
      <c r="AO72" s="650"/>
      <c r="AP72" s="650"/>
      <c r="AQ72" s="650"/>
      <c r="AR72" s="650"/>
      <c r="AS72" s="650"/>
      <c r="AT72" s="650"/>
      <c r="AU72" s="650"/>
      <c r="AV72" s="650"/>
      <c r="AW72" s="650"/>
      <c r="AX72" s="650"/>
      <c r="AY72" s="650"/>
    </row>
    <row r="73" ht="21.75" customHeight="1">
      <c r="A73" s="650"/>
      <c r="B73" s="650"/>
      <c r="C73" s="692"/>
      <c r="D73" s="692"/>
      <c r="Q73" s="650"/>
      <c r="R73" s="650"/>
      <c r="S73" s="650"/>
      <c r="T73" s="650"/>
      <c r="U73" s="650"/>
      <c r="V73" s="650"/>
      <c r="W73" s="650"/>
      <c r="X73" s="650"/>
      <c r="Y73" s="650"/>
      <c r="Z73" s="650"/>
      <c r="AA73" s="650"/>
      <c r="AB73" s="650"/>
      <c r="AC73" s="650"/>
      <c r="AD73" s="650"/>
      <c r="AE73" s="650"/>
      <c r="AF73" s="650"/>
      <c r="AG73" s="650"/>
      <c r="AH73" s="650"/>
      <c r="AI73" s="650"/>
      <c r="AJ73" s="650"/>
      <c r="AK73" s="650"/>
      <c r="AL73" s="650"/>
      <c r="AM73" s="650"/>
      <c r="AN73" s="650"/>
      <c r="AO73" s="650"/>
      <c r="AP73" s="650"/>
      <c r="AQ73" s="650"/>
      <c r="AR73" s="650"/>
      <c r="AS73" s="650"/>
      <c r="AT73" s="650"/>
      <c r="AU73" s="650"/>
      <c r="AV73" s="650"/>
      <c r="AW73" s="650"/>
      <c r="AX73" s="650"/>
      <c r="AY73" s="650"/>
    </row>
    <row r="74" ht="21.75" customHeight="1">
      <c r="A74" s="650"/>
      <c r="B74" s="650"/>
      <c r="C74" s="692"/>
      <c r="D74" s="692"/>
      <c r="Q74" s="650"/>
      <c r="R74" s="650"/>
      <c r="S74" s="650"/>
      <c r="T74" s="650"/>
      <c r="U74" s="650"/>
      <c r="V74" s="650"/>
      <c r="W74" s="650"/>
      <c r="X74" s="650"/>
      <c r="Y74" s="650"/>
      <c r="Z74" s="650"/>
      <c r="AA74" s="650"/>
      <c r="AB74" s="650"/>
      <c r="AC74" s="650"/>
      <c r="AD74" s="650"/>
      <c r="AE74" s="650"/>
      <c r="AF74" s="650"/>
      <c r="AG74" s="650"/>
      <c r="AH74" s="650"/>
      <c r="AI74" s="650"/>
      <c r="AJ74" s="650"/>
      <c r="AK74" s="650"/>
      <c r="AL74" s="650"/>
      <c r="AM74" s="650"/>
      <c r="AN74" s="650"/>
      <c r="AO74" s="650"/>
      <c r="AP74" s="650"/>
      <c r="AQ74" s="650"/>
      <c r="AR74" s="650"/>
      <c r="AS74" s="650"/>
      <c r="AT74" s="650"/>
      <c r="AU74" s="650"/>
      <c r="AV74" s="650"/>
      <c r="AW74" s="650"/>
      <c r="AX74" s="650"/>
      <c r="AY74" s="650"/>
    </row>
    <row r="75" ht="21.75" customHeight="1">
      <c r="A75" s="650"/>
      <c r="B75" s="650"/>
      <c r="C75" s="692"/>
      <c r="D75" s="692"/>
      <c r="Q75" s="650"/>
      <c r="R75" s="650"/>
      <c r="S75" s="650"/>
      <c r="T75" s="650"/>
      <c r="U75" s="650"/>
      <c r="V75" s="650"/>
      <c r="W75" s="650"/>
      <c r="X75" s="650"/>
      <c r="Y75" s="650"/>
      <c r="Z75" s="650"/>
      <c r="AA75" s="650"/>
      <c r="AB75" s="650"/>
      <c r="AC75" s="650"/>
      <c r="AD75" s="650"/>
      <c r="AE75" s="650"/>
      <c r="AF75" s="650"/>
      <c r="AG75" s="650"/>
      <c r="AH75" s="650"/>
      <c r="AI75" s="650"/>
      <c r="AJ75" s="650"/>
      <c r="AK75" s="650"/>
      <c r="AL75" s="650"/>
      <c r="AM75" s="650"/>
      <c r="AN75" s="650"/>
      <c r="AO75" s="650"/>
      <c r="AP75" s="650"/>
      <c r="AQ75" s="650"/>
      <c r="AR75" s="650"/>
      <c r="AS75" s="650"/>
      <c r="AT75" s="650"/>
      <c r="AU75" s="650"/>
      <c r="AV75" s="650"/>
      <c r="AW75" s="650"/>
      <c r="AX75" s="650"/>
      <c r="AY75" s="650"/>
    </row>
    <row r="76" ht="21.75" customHeight="1">
      <c r="A76" s="650"/>
      <c r="B76" s="650"/>
      <c r="C76" s="692"/>
      <c r="D76" s="692"/>
      <c r="Q76" s="650"/>
      <c r="R76" s="650"/>
      <c r="S76" s="650"/>
      <c r="T76" s="650"/>
      <c r="U76" s="650"/>
      <c r="V76" s="650"/>
      <c r="W76" s="650"/>
      <c r="X76" s="650"/>
      <c r="Y76" s="650"/>
      <c r="Z76" s="650"/>
      <c r="AA76" s="650"/>
      <c r="AB76" s="650"/>
      <c r="AC76" s="650"/>
      <c r="AD76" s="650"/>
      <c r="AE76" s="650"/>
      <c r="AF76" s="650"/>
      <c r="AG76" s="650"/>
      <c r="AH76" s="650"/>
      <c r="AI76" s="650"/>
      <c r="AJ76" s="650"/>
      <c r="AK76" s="650"/>
      <c r="AL76" s="650"/>
      <c r="AM76" s="650"/>
      <c r="AN76" s="650"/>
      <c r="AO76" s="650"/>
      <c r="AP76" s="650"/>
      <c r="AQ76" s="650"/>
      <c r="AR76" s="650"/>
      <c r="AS76" s="650"/>
      <c r="AT76" s="650"/>
      <c r="AU76" s="650"/>
      <c r="AV76" s="650"/>
      <c r="AW76" s="650"/>
      <c r="AX76" s="650"/>
      <c r="AY76" s="650"/>
    </row>
    <row r="77" ht="21.75" customHeight="1">
      <c r="A77" s="650"/>
      <c r="B77" s="650"/>
      <c r="C77" s="692"/>
      <c r="D77" s="692"/>
      <c r="Q77" s="650"/>
      <c r="R77" s="650"/>
      <c r="S77" s="650"/>
      <c r="T77" s="650"/>
      <c r="U77" s="650"/>
      <c r="V77" s="650"/>
      <c r="W77" s="650"/>
      <c r="X77" s="650"/>
      <c r="Y77" s="650"/>
      <c r="Z77" s="650"/>
      <c r="AA77" s="650"/>
      <c r="AB77" s="650"/>
      <c r="AC77" s="650"/>
      <c r="AD77" s="650"/>
      <c r="AE77" s="650"/>
      <c r="AF77" s="650"/>
      <c r="AG77" s="650"/>
      <c r="AH77" s="650"/>
      <c r="AI77" s="650"/>
      <c r="AJ77" s="650"/>
      <c r="AK77" s="650"/>
      <c r="AL77" s="650"/>
      <c r="AM77" s="650"/>
      <c r="AN77" s="650"/>
      <c r="AO77" s="650"/>
      <c r="AP77" s="650"/>
      <c r="AQ77" s="650"/>
      <c r="AR77" s="650"/>
      <c r="AS77" s="650"/>
      <c r="AT77" s="650"/>
      <c r="AU77" s="650"/>
      <c r="AV77" s="650"/>
      <c r="AW77" s="650"/>
      <c r="AX77" s="650"/>
      <c r="AY77" s="650"/>
    </row>
    <row r="78" ht="21.75" customHeight="1">
      <c r="A78" s="650"/>
      <c r="B78" s="650"/>
      <c r="C78" s="692"/>
      <c r="D78" s="692"/>
      <c r="Q78" s="650"/>
      <c r="R78" s="650"/>
      <c r="S78" s="650"/>
      <c r="T78" s="650"/>
      <c r="U78" s="650"/>
      <c r="V78" s="650"/>
      <c r="W78" s="650"/>
      <c r="X78" s="650"/>
      <c r="Y78" s="650"/>
      <c r="Z78" s="650"/>
      <c r="AA78" s="650"/>
      <c r="AB78" s="650"/>
      <c r="AC78" s="650"/>
      <c r="AD78" s="650"/>
      <c r="AE78" s="650"/>
      <c r="AF78" s="650"/>
      <c r="AG78" s="650"/>
      <c r="AH78" s="650"/>
      <c r="AI78" s="650"/>
      <c r="AJ78" s="650"/>
      <c r="AK78" s="650"/>
      <c r="AL78" s="650"/>
      <c r="AM78" s="650"/>
      <c r="AN78" s="650"/>
      <c r="AO78" s="650"/>
      <c r="AP78" s="650"/>
      <c r="AQ78" s="650"/>
      <c r="AR78" s="650"/>
      <c r="AS78" s="650"/>
      <c r="AT78" s="650"/>
      <c r="AU78" s="650"/>
      <c r="AV78" s="650"/>
      <c r="AW78" s="650"/>
      <c r="AX78" s="650"/>
      <c r="AY78" s="650"/>
    </row>
    <row r="79" ht="21.75" customHeight="1">
      <c r="A79" s="650"/>
      <c r="B79" s="650"/>
      <c r="C79" s="692"/>
      <c r="D79" s="692"/>
      <c r="Q79" s="650"/>
      <c r="R79" s="650"/>
      <c r="S79" s="650"/>
      <c r="T79" s="650"/>
      <c r="U79" s="650"/>
      <c r="V79" s="650"/>
      <c r="W79" s="650"/>
      <c r="X79" s="650"/>
      <c r="Y79" s="650"/>
      <c r="Z79" s="650"/>
      <c r="AA79" s="650"/>
      <c r="AB79" s="650"/>
      <c r="AC79" s="650"/>
      <c r="AD79" s="650"/>
      <c r="AE79" s="650"/>
      <c r="AF79" s="650"/>
      <c r="AG79" s="650"/>
      <c r="AH79" s="650"/>
      <c r="AI79" s="650"/>
      <c r="AJ79" s="650"/>
      <c r="AK79" s="650"/>
      <c r="AL79" s="650"/>
      <c r="AM79" s="650"/>
      <c r="AN79" s="650"/>
      <c r="AO79" s="650"/>
      <c r="AP79" s="650"/>
      <c r="AQ79" s="650"/>
      <c r="AR79" s="650"/>
      <c r="AS79" s="650"/>
      <c r="AT79" s="650"/>
      <c r="AU79" s="650"/>
      <c r="AV79" s="650"/>
      <c r="AW79" s="650"/>
      <c r="AX79" s="650"/>
      <c r="AY79" s="650"/>
    </row>
    <row r="80" ht="21.75" customHeight="1">
      <c r="A80" s="650"/>
      <c r="B80" s="650"/>
      <c r="C80" s="692"/>
      <c r="D80" s="692"/>
      <c r="Q80" s="650"/>
      <c r="R80" s="650"/>
      <c r="S80" s="650"/>
      <c r="T80" s="650"/>
      <c r="U80" s="650"/>
      <c r="V80" s="650"/>
      <c r="W80" s="650"/>
      <c r="X80" s="650"/>
      <c r="Y80" s="650"/>
      <c r="Z80" s="650"/>
      <c r="AA80" s="650"/>
      <c r="AB80" s="650"/>
      <c r="AC80" s="650"/>
      <c r="AD80" s="650"/>
      <c r="AE80" s="650"/>
      <c r="AF80" s="650"/>
      <c r="AG80" s="650"/>
      <c r="AH80" s="650"/>
      <c r="AI80" s="650"/>
      <c r="AJ80" s="650"/>
      <c r="AK80" s="650"/>
      <c r="AL80" s="650"/>
      <c r="AM80" s="650"/>
      <c r="AN80" s="650"/>
      <c r="AO80" s="650"/>
      <c r="AP80" s="650"/>
      <c r="AQ80" s="650"/>
      <c r="AR80" s="650"/>
      <c r="AS80" s="650"/>
      <c r="AT80" s="650"/>
      <c r="AU80" s="650"/>
      <c r="AV80" s="650"/>
      <c r="AW80" s="650"/>
      <c r="AX80" s="650"/>
      <c r="AY80" s="650"/>
    </row>
    <row r="81" ht="21.75" customHeight="1">
      <c r="A81" s="650"/>
      <c r="B81" s="650"/>
      <c r="C81" s="692"/>
      <c r="D81" s="692"/>
      <c r="Q81" s="650"/>
      <c r="R81" s="650"/>
      <c r="S81" s="650"/>
      <c r="T81" s="650"/>
      <c r="U81" s="650"/>
      <c r="V81" s="650"/>
      <c r="W81" s="650"/>
      <c r="X81" s="650"/>
      <c r="Y81" s="650"/>
      <c r="Z81" s="650"/>
      <c r="AA81" s="650"/>
      <c r="AB81" s="650"/>
      <c r="AC81" s="650"/>
      <c r="AD81" s="650"/>
      <c r="AE81" s="650"/>
      <c r="AF81" s="650"/>
      <c r="AG81" s="650"/>
      <c r="AH81" s="650"/>
      <c r="AI81" s="650"/>
      <c r="AJ81" s="650"/>
      <c r="AK81" s="650"/>
      <c r="AL81" s="650"/>
      <c r="AM81" s="650"/>
      <c r="AN81" s="650"/>
      <c r="AO81" s="650"/>
      <c r="AP81" s="650"/>
      <c r="AQ81" s="650"/>
      <c r="AR81" s="650"/>
      <c r="AS81" s="650"/>
      <c r="AT81" s="650"/>
      <c r="AU81" s="650"/>
      <c r="AV81" s="650"/>
      <c r="AW81" s="650"/>
      <c r="AX81" s="650"/>
      <c r="AY81" s="650"/>
    </row>
    <row r="82" ht="21.75" customHeight="1">
      <c r="A82" s="650"/>
      <c r="B82" s="650"/>
      <c r="C82" s="692"/>
      <c r="D82" s="692"/>
      <c r="Q82" s="650"/>
      <c r="R82" s="650"/>
      <c r="S82" s="650"/>
      <c r="T82" s="650"/>
      <c r="U82" s="650"/>
      <c r="V82" s="650"/>
      <c r="W82" s="650"/>
      <c r="X82" s="650"/>
      <c r="Y82" s="650"/>
      <c r="Z82" s="650"/>
      <c r="AA82" s="650"/>
      <c r="AB82" s="650"/>
      <c r="AC82" s="650"/>
      <c r="AD82" s="650"/>
      <c r="AE82" s="650"/>
      <c r="AF82" s="650"/>
      <c r="AG82" s="650"/>
      <c r="AH82" s="650"/>
      <c r="AI82" s="650"/>
      <c r="AJ82" s="650"/>
      <c r="AK82" s="650"/>
      <c r="AL82" s="650"/>
      <c r="AM82" s="650"/>
      <c r="AN82" s="650"/>
      <c r="AO82" s="650"/>
      <c r="AP82" s="650"/>
      <c r="AQ82" s="650"/>
      <c r="AR82" s="650"/>
      <c r="AS82" s="650"/>
      <c r="AT82" s="650"/>
      <c r="AU82" s="650"/>
      <c r="AV82" s="650"/>
      <c r="AW82" s="650"/>
      <c r="AX82" s="650"/>
      <c r="AY82" s="650"/>
    </row>
    <row r="83" ht="21.75" customHeight="1">
      <c r="A83" s="650"/>
      <c r="B83" s="650"/>
      <c r="C83" s="692"/>
      <c r="D83" s="692"/>
      <c r="Q83" s="650"/>
      <c r="R83" s="650"/>
      <c r="S83" s="650"/>
      <c r="T83" s="650"/>
      <c r="U83" s="650"/>
      <c r="V83" s="650"/>
      <c r="W83" s="650"/>
      <c r="X83" s="650"/>
      <c r="Y83" s="650"/>
      <c r="Z83" s="650"/>
      <c r="AA83" s="650"/>
      <c r="AB83" s="650"/>
      <c r="AC83" s="650"/>
      <c r="AD83" s="650"/>
      <c r="AE83" s="650"/>
      <c r="AF83" s="650"/>
      <c r="AG83" s="650"/>
      <c r="AH83" s="650"/>
      <c r="AI83" s="650"/>
      <c r="AJ83" s="650"/>
      <c r="AK83" s="650"/>
      <c r="AL83" s="650"/>
      <c r="AM83" s="650"/>
      <c r="AN83" s="650"/>
      <c r="AO83" s="650"/>
      <c r="AP83" s="650"/>
      <c r="AQ83" s="650"/>
      <c r="AR83" s="650"/>
      <c r="AS83" s="650"/>
      <c r="AT83" s="650"/>
      <c r="AU83" s="650"/>
      <c r="AV83" s="650"/>
      <c r="AW83" s="650"/>
      <c r="AX83" s="650"/>
      <c r="AY83" s="650"/>
    </row>
    <row r="84" ht="21.75" customHeight="1">
      <c r="A84" s="650"/>
      <c r="B84" s="650"/>
      <c r="C84" s="692"/>
      <c r="D84" s="692"/>
      <c r="Q84" s="650"/>
      <c r="R84" s="650"/>
      <c r="S84" s="650"/>
      <c r="T84" s="650"/>
      <c r="U84" s="650"/>
      <c r="V84" s="650"/>
      <c r="W84" s="650"/>
      <c r="X84" s="650"/>
      <c r="Y84" s="650"/>
      <c r="Z84" s="650"/>
      <c r="AA84" s="650"/>
      <c r="AB84" s="650"/>
      <c r="AC84" s="650"/>
      <c r="AD84" s="650"/>
      <c r="AE84" s="650"/>
      <c r="AF84" s="650"/>
      <c r="AG84" s="650"/>
      <c r="AH84" s="650"/>
      <c r="AI84" s="650"/>
      <c r="AJ84" s="650"/>
      <c r="AK84" s="650"/>
      <c r="AL84" s="650"/>
      <c r="AM84" s="650"/>
      <c r="AN84" s="650"/>
      <c r="AO84" s="650"/>
      <c r="AP84" s="650"/>
      <c r="AQ84" s="650"/>
      <c r="AR84" s="650"/>
      <c r="AS84" s="650"/>
      <c r="AT84" s="650"/>
      <c r="AU84" s="650"/>
      <c r="AV84" s="650"/>
      <c r="AW84" s="650"/>
      <c r="AX84" s="650"/>
      <c r="AY84" s="650"/>
    </row>
    <row r="85" ht="21.75" customHeight="1">
      <c r="A85" s="650"/>
      <c r="B85" s="650"/>
      <c r="C85" s="692"/>
      <c r="D85" s="692"/>
      <c r="Q85" s="650"/>
      <c r="R85" s="650"/>
      <c r="S85" s="650"/>
      <c r="T85" s="650"/>
      <c r="U85" s="650"/>
      <c r="V85" s="650"/>
      <c r="W85" s="650"/>
      <c r="X85" s="650"/>
      <c r="Y85" s="650"/>
      <c r="Z85" s="650"/>
      <c r="AA85" s="650"/>
      <c r="AB85" s="650"/>
      <c r="AC85" s="650"/>
      <c r="AD85" s="650"/>
      <c r="AE85" s="650"/>
      <c r="AF85" s="650"/>
      <c r="AG85" s="650"/>
      <c r="AH85" s="650"/>
      <c r="AI85" s="650"/>
      <c r="AJ85" s="650"/>
      <c r="AK85" s="650"/>
      <c r="AL85" s="650"/>
      <c r="AM85" s="650"/>
      <c r="AN85" s="650"/>
      <c r="AO85" s="650"/>
      <c r="AP85" s="650"/>
      <c r="AQ85" s="650"/>
      <c r="AR85" s="650"/>
      <c r="AS85" s="650"/>
      <c r="AT85" s="650"/>
      <c r="AU85" s="650"/>
      <c r="AV85" s="650"/>
      <c r="AW85" s="650"/>
      <c r="AX85" s="650"/>
      <c r="AY85" s="650"/>
    </row>
    <row r="86" ht="21.75" customHeight="1">
      <c r="A86" s="650"/>
      <c r="B86" s="650"/>
      <c r="C86" s="692"/>
      <c r="D86" s="692"/>
      <c r="Q86" s="650"/>
      <c r="R86" s="650"/>
      <c r="S86" s="650"/>
      <c r="T86" s="650"/>
      <c r="U86" s="650"/>
      <c r="V86" s="650"/>
      <c r="W86" s="650"/>
      <c r="X86" s="650"/>
      <c r="Y86" s="650"/>
      <c r="Z86" s="650"/>
      <c r="AA86" s="650"/>
      <c r="AB86" s="650"/>
      <c r="AC86" s="650"/>
      <c r="AD86" s="650"/>
      <c r="AE86" s="650"/>
      <c r="AF86" s="650"/>
      <c r="AG86" s="650"/>
      <c r="AH86" s="650"/>
      <c r="AI86" s="650"/>
      <c r="AJ86" s="650"/>
      <c r="AK86" s="650"/>
      <c r="AL86" s="650"/>
      <c r="AM86" s="650"/>
      <c r="AN86" s="650"/>
      <c r="AO86" s="650"/>
      <c r="AP86" s="650"/>
      <c r="AQ86" s="650"/>
      <c r="AR86" s="650"/>
      <c r="AS86" s="650"/>
      <c r="AT86" s="650"/>
      <c r="AU86" s="650"/>
      <c r="AV86" s="650"/>
      <c r="AW86" s="650"/>
      <c r="AX86" s="650"/>
      <c r="AY86" s="650"/>
    </row>
    <row r="87" ht="21.75" customHeight="1">
      <c r="A87" s="650"/>
      <c r="B87" s="650"/>
      <c r="C87" s="692"/>
      <c r="D87" s="692"/>
      <c r="Q87" s="650"/>
      <c r="R87" s="650"/>
      <c r="S87" s="650"/>
      <c r="T87" s="650"/>
      <c r="U87" s="650"/>
      <c r="V87" s="650"/>
      <c r="W87" s="650"/>
      <c r="X87" s="650"/>
      <c r="Y87" s="650"/>
      <c r="Z87" s="650"/>
      <c r="AA87" s="650"/>
      <c r="AB87" s="650"/>
      <c r="AC87" s="650"/>
      <c r="AD87" s="650"/>
      <c r="AE87" s="650"/>
      <c r="AF87" s="650"/>
      <c r="AG87" s="650"/>
      <c r="AH87" s="650"/>
      <c r="AI87" s="650"/>
      <c r="AJ87" s="650"/>
      <c r="AK87" s="650"/>
      <c r="AL87" s="650"/>
      <c r="AM87" s="650"/>
      <c r="AN87" s="650"/>
      <c r="AO87" s="650"/>
      <c r="AP87" s="650"/>
      <c r="AQ87" s="650"/>
      <c r="AR87" s="650"/>
      <c r="AS87" s="650"/>
      <c r="AT87" s="650"/>
      <c r="AU87" s="650"/>
      <c r="AV87" s="650"/>
      <c r="AW87" s="650"/>
      <c r="AX87" s="650"/>
      <c r="AY87" s="650"/>
    </row>
    <row r="88" ht="21.75" customHeight="1">
      <c r="A88" s="650"/>
      <c r="B88" s="650"/>
      <c r="C88" s="692"/>
      <c r="D88" s="692"/>
      <c r="Q88" s="650"/>
      <c r="R88" s="650"/>
      <c r="S88" s="650"/>
      <c r="T88" s="650"/>
      <c r="U88" s="650"/>
      <c r="V88" s="650"/>
      <c r="W88" s="650"/>
      <c r="X88" s="650"/>
      <c r="Y88" s="650"/>
      <c r="Z88" s="650"/>
      <c r="AA88" s="650"/>
      <c r="AB88" s="650"/>
      <c r="AC88" s="650"/>
      <c r="AD88" s="650"/>
      <c r="AE88" s="650"/>
      <c r="AF88" s="650"/>
      <c r="AG88" s="650"/>
      <c r="AH88" s="650"/>
      <c r="AI88" s="650"/>
      <c r="AJ88" s="650"/>
      <c r="AK88" s="650"/>
      <c r="AL88" s="650"/>
      <c r="AM88" s="650"/>
      <c r="AN88" s="650"/>
      <c r="AO88" s="650"/>
      <c r="AP88" s="650"/>
      <c r="AQ88" s="650"/>
      <c r="AR88" s="650"/>
      <c r="AS88" s="650"/>
      <c r="AT88" s="650"/>
      <c r="AU88" s="650"/>
      <c r="AV88" s="650"/>
      <c r="AW88" s="650"/>
      <c r="AX88" s="650"/>
      <c r="AY88" s="650"/>
    </row>
    <row r="89" ht="21.75" customHeight="1">
      <c r="A89" s="650"/>
      <c r="B89" s="650"/>
      <c r="C89" s="692"/>
      <c r="D89" s="692"/>
      <c r="Q89" s="650"/>
      <c r="R89" s="650"/>
      <c r="S89" s="650"/>
      <c r="T89" s="650"/>
      <c r="U89" s="650"/>
      <c r="V89" s="650"/>
      <c r="W89" s="650"/>
      <c r="X89" s="650"/>
      <c r="Y89" s="650"/>
      <c r="Z89" s="650"/>
      <c r="AA89" s="650"/>
      <c r="AB89" s="650"/>
      <c r="AC89" s="650"/>
      <c r="AD89" s="650"/>
      <c r="AE89" s="650"/>
      <c r="AF89" s="650"/>
      <c r="AG89" s="650"/>
      <c r="AH89" s="650"/>
      <c r="AI89" s="650"/>
      <c r="AJ89" s="650"/>
      <c r="AK89" s="650"/>
      <c r="AL89" s="650"/>
      <c r="AM89" s="650"/>
      <c r="AN89" s="650"/>
      <c r="AO89" s="650"/>
      <c r="AP89" s="650"/>
      <c r="AQ89" s="650"/>
      <c r="AR89" s="650"/>
      <c r="AS89" s="650"/>
      <c r="AT89" s="650"/>
      <c r="AU89" s="650"/>
      <c r="AV89" s="650"/>
      <c r="AW89" s="650"/>
      <c r="AX89" s="650"/>
      <c r="AY89" s="650"/>
    </row>
    <row r="90" ht="21.75" customHeight="1">
      <c r="A90" s="650"/>
      <c r="B90" s="650"/>
      <c r="C90" s="692"/>
      <c r="D90" s="692"/>
      <c r="Q90" s="650"/>
      <c r="R90" s="650"/>
      <c r="S90" s="650"/>
      <c r="T90" s="650"/>
      <c r="U90" s="650"/>
      <c r="V90" s="650"/>
      <c r="W90" s="650"/>
      <c r="X90" s="650"/>
      <c r="Y90" s="650"/>
      <c r="Z90" s="650"/>
      <c r="AA90" s="650"/>
      <c r="AB90" s="650"/>
      <c r="AC90" s="650"/>
      <c r="AD90" s="650"/>
      <c r="AE90" s="650"/>
      <c r="AF90" s="650"/>
      <c r="AG90" s="650"/>
      <c r="AH90" s="650"/>
      <c r="AI90" s="650"/>
      <c r="AJ90" s="650"/>
      <c r="AK90" s="650"/>
      <c r="AL90" s="650"/>
      <c r="AM90" s="650"/>
      <c r="AN90" s="650"/>
      <c r="AO90" s="650"/>
      <c r="AP90" s="650"/>
      <c r="AQ90" s="650"/>
      <c r="AR90" s="650"/>
      <c r="AS90" s="650"/>
      <c r="AT90" s="650"/>
      <c r="AU90" s="650"/>
      <c r="AV90" s="650"/>
      <c r="AW90" s="650"/>
      <c r="AX90" s="650"/>
      <c r="AY90" s="650"/>
    </row>
    <row r="91" ht="21.75" customHeight="1">
      <c r="A91" s="650"/>
      <c r="B91" s="650"/>
      <c r="C91" s="692"/>
      <c r="D91" s="692"/>
      <c r="Q91" s="650"/>
      <c r="R91" s="650"/>
      <c r="S91" s="650"/>
      <c r="T91" s="650"/>
      <c r="U91" s="650"/>
      <c r="V91" s="650"/>
      <c r="W91" s="650"/>
      <c r="X91" s="650"/>
      <c r="Y91" s="650"/>
      <c r="Z91" s="650"/>
      <c r="AA91" s="650"/>
      <c r="AB91" s="650"/>
      <c r="AC91" s="650"/>
      <c r="AD91" s="650"/>
      <c r="AE91" s="650"/>
      <c r="AF91" s="650"/>
      <c r="AG91" s="650"/>
      <c r="AH91" s="650"/>
      <c r="AI91" s="650"/>
      <c r="AJ91" s="650"/>
      <c r="AK91" s="650"/>
      <c r="AL91" s="650"/>
      <c r="AM91" s="650"/>
      <c r="AN91" s="650"/>
      <c r="AO91" s="650"/>
      <c r="AP91" s="650"/>
      <c r="AQ91" s="650"/>
      <c r="AR91" s="650"/>
      <c r="AS91" s="650"/>
      <c r="AT91" s="650"/>
      <c r="AU91" s="650"/>
      <c r="AV91" s="650"/>
      <c r="AW91" s="650"/>
      <c r="AX91" s="650"/>
      <c r="AY91" s="650"/>
    </row>
    <row r="92" ht="21.75" customHeight="1">
      <c r="A92" s="650"/>
      <c r="B92" s="650"/>
      <c r="C92" s="692"/>
      <c r="D92" s="692"/>
      <c r="Q92" s="650"/>
      <c r="R92" s="650"/>
      <c r="S92" s="650"/>
      <c r="T92" s="650"/>
      <c r="U92" s="650"/>
      <c r="V92" s="650"/>
      <c r="W92" s="650"/>
      <c r="X92" s="650"/>
      <c r="Y92" s="650"/>
      <c r="Z92" s="650"/>
      <c r="AA92" s="650"/>
      <c r="AB92" s="650"/>
      <c r="AC92" s="650"/>
      <c r="AD92" s="650"/>
      <c r="AE92" s="650"/>
      <c r="AF92" s="650"/>
      <c r="AG92" s="650"/>
      <c r="AH92" s="650"/>
      <c r="AI92" s="650"/>
      <c r="AJ92" s="650"/>
      <c r="AK92" s="650"/>
      <c r="AL92" s="650"/>
      <c r="AM92" s="650"/>
      <c r="AN92" s="650"/>
      <c r="AO92" s="650"/>
      <c r="AP92" s="650"/>
      <c r="AQ92" s="650"/>
      <c r="AR92" s="650"/>
      <c r="AS92" s="650"/>
      <c r="AT92" s="650"/>
      <c r="AU92" s="650"/>
      <c r="AV92" s="650"/>
      <c r="AW92" s="650"/>
      <c r="AX92" s="650"/>
      <c r="AY92" s="650"/>
    </row>
    <row r="93" ht="21.75" customHeight="1">
      <c r="A93" s="650"/>
      <c r="B93" s="650"/>
      <c r="C93" s="692"/>
      <c r="D93" s="692"/>
      <c r="Q93" s="650"/>
      <c r="R93" s="650"/>
      <c r="S93" s="650"/>
      <c r="T93" s="650"/>
      <c r="U93" s="650"/>
      <c r="V93" s="650"/>
      <c r="W93" s="650"/>
      <c r="X93" s="650"/>
      <c r="Y93" s="650"/>
      <c r="Z93" s="650"/>
      <c r="AA93" s="650"/>
      <c r="AB93" s="650"/>
      <c r="AC93" s="650"/>
      <c r="AD93" s="650"/>
      <c r="AE93" s="650"/>
      <c r="AF93" s="650"/>
      <c r="AG93" s="650"/>
      <c r="AH93" s="650"/>
      <c r="AI93" s="650"/>
      <c r="AJ93" s="650"/>
      <c r="AK93" s="650"/>
      <c r="AL93" s="650"/>
      <c r="AM93" s="650"/>
      <c r="AN93" s="650"/>
      <c r="AO93" s="650"/>
      <c r="AP93" s="650"/>
      <c r="AQ93" s="650"/>
      <c r="AR93" s="650"/>
      <c r="AS93" s="650"/>
      <c r="AT93" s="650"/>
      <c r="AU93" s="650"/>
      <c r="AV93" s="650"/>
      <c r="AW93" s="650"/>
      <c r="AX93" s="650"/>
      <c r="AY93" s="650"/>
    </row>
    <row r="94" ht="21.75" customHeight="1">
      <c r="A94" s="650"/>
      <c r="B94" s="650"/>
      <c r="C94" s="692"/>
      <c r="D94" s="692"/>
      <c r="Q94" s="650"/>
      <c r="R94" s="650"/>
      <c r="S94" s="650"/>
      <c r="T94" s="650"/>
      <c r="U94" s="650"/>
      <c r="V94" s="650"/>
      <c r="W94" s="650"/>
      <c r="X94" s="650"/>
      <c r="Y94" s="650"/>
      <c r="Z94" s="650"/>
      <c r="AA94" s="650"/>
      <c r="AB94" s="650"/>
      <c r="AC94" s="650"/>
      <c r="AD94" s="650"/>
      <c r="AE94" s="650"/>
      <c r="AF94" s="650"/>
      <c r="AG94" s="650"/>
      <c r="AH94" s="650"/>
      <c r="AI94" s="650"/>
      <c r="AJ94" s="650"/>
      <c r="AK94" s="650"/>
      <c r="AL94" s="650"/>
      <c r="AM94" s="650"/>
      <c r="AN94" s="650"/>
      <c r="AO94" s="650"/>
      <c r="AP94" s="650"/>
      <c r="AQ94" s="650"/>
      <c r="AR94" s="650"/>
      <c r="AS94" s="650"/>
      <c r="AT94" s="650"/>
      <c r="AU94" s="650"/>
      <c r="AV94" s="650"/>
      <c r="AW94" s="650"/>
      <c r="AX94" s="650"/>
      <c r="AY94" s="650"/>
    </row>
    <row r="95" ht="21.75" customHeight="1">
      <c r="A95" s="650"/>
      <c r="B95" s="650"/>
      <c r="C95" s="692"/>
      <c r="D95" s="692"/>
      <c r="Q95" s="650"/>
      <c r="R95" s="650"/>
      <c r="S95" s="650"/>
      <c r="T95" s="650"/>
      <c r="U95" s="650"/>
      <c r="V95" s="650"/>
      <c r="W95" s="650"/>
      <c r="X95" s="650"/>
      <c r="Y95" s="650"/>
      <c r="Z95" s="650"/>
      <c r="AA95" s="650"/>
      <c r="AB95" s="650"/>
      <c r="AC95" s="650"/>
      <c r="AD95" s="650"/>
      <c r="AE95" s="650"/>
      <c r="AF95" s="650"/>
      <c r="AG95" s="650"/>
      <c r="AH95" s="650"/>
      <c r="AI95" s="650"/>
      <c r="AJ95" s="650"/>
      <c r="AK95" s="650"/>
      <c r="AL95" s="650"/>
      <c r="AM95" s="650"/>
      <c r="AN95" s="650"/>
      <c r="AO95" s="650"/>
      <c r="AP95" s="650"/>
      <c r="AQ95" s="650"/>
      <c r="AR95" s="650"/>
      <c r="AS95" s="650"/>
      <c r="AT95" s="650"/>
      <c r="AU95" s="650"/>
      <c r="AV95" s="650"/>
      <c r="AW95" s="650"/>
      <c r="AX95" s="650"/>
      <c r="AY95" s="650"/>
    </row>
    <row r="96" ht="21.75" customHeight="1">
      <c r="A96" s="650"/>
      <c r="B96" s="650"/>
      <c r="C96" s="692"/>
      <c r="D96" s="692"/>
      <c r="Q96" s="650"/>
      <c r="R96" s="650"/>
      <c r="S96" s="650"/>
      <c r="T96" s="650"/>
      <c r="U96" s="650"/>
      <c r="V96" s="650"/>
      <c r="W96" s="650"/>
      <c r="X96" s="650"/>
      <c r="Y96" s="650"/>
      <c r="Z96" s="650"/>
      <c r="AA96" s="650"/>
      <c r="AB96" s="650"/>
      <c r="AC96" s="650"/>
      <c r="AD96" s="650"/>
      <c r="AE96" s="650"/>
      <c r="AF96" s="650"/>
      <c r="AG96" s="650"/>
      <c r="AH96" s="650"/>
      <c r="AI96" s="650"/>
      <c r="AJ96" s="650"/>
      <c r="AK96" s="650"/>
      <c r="AL96" s="650"/>
      <c r="AM96" s="650"/>
      <c r="AN96" s="650"/>
      <c r="AO96" s="650"/>
      <c r="AP96" s="650"/>
      <c r="AQ96" s="650"/>
      <c r="AR96" s="650"/>
      <c r="AS96" s="650"/>
      <c r="AT96" s="650"/>
      <c r="AU96" s="650"/>
      <c r="AV96" s="650"/>
      <c r="AW96" s="650"/>
      <c r="AX96" s="650"/>
      <c r="AY96" s="650"/>
    </row>
    <row r="97" ht="21.75" customHeight="1">
      <c r="A97" s="650"/>
      <c r="B97" s="650"/>
      <c r="C97" s="692"/>
      <c r="D97" s="692"/>
      <c r="Q97" s="650"/>
      <c r="R97" s="650"/>
      <c r="S97" s="650"/>
      <c r="T97" s="650"/>
      <c r="U97" s="650"/>
      <c r="V97" s="650"/>
      <c r="W97" s="650"/>
      <c r="X97" s="650"/>
      <c r="Y97" s="650"/>
      <c r="Z97" s="650"/>
      <c r="AA97" s="650"/>
      <c r="AB97" s="650"/>
      <c r="AC97" s="650"/>
      <c r="AD97" s="650"/>
      <c r="AE97" s="650"/>
      <c r="AF97" s="650"/>
      <c r="AG97" s="650"/>
      <c r="AH97" s="650"/>
      <c r="AI97" s="650"/>
      <c r="AJ97" s="650"/>
      <c r="AK97" s="650"/>
      <c r="AL97" s="650"/>
      <c r="AM97" s="650"/>
      <c r="AN97" s="650"/>
      <c r="AO97" s="650"/>
      <c r="AP97" s="650"/>
      <c r="AQ97" s="650"/>
      <c r="AR97" s="650"/>
      <c r="AS97" s="650"/>
      <c r="AT97" s="650"/>
      <c r="AU97" s="650"/>
      <c r="AV97" s="650"/>
      <c r="AW97" s="650"/>
      <c r="AX97" s="650"/>
      <c r="AY97" s="650"/>
    </row>
    <row r="98" ht="21.75" customHeight="1">
      <c r="A98" s="650"/>
      <c r="B98" s="650"/>
      <c r="C98" s="692"/>
      <c r="D98" s="692"/>
      <c r="Q98" s="650"/>
      <c r="R98" s="650"/>
      <c r="S98" s="650"/>
      <c r="T98" s="650"/>
      <c r="U98" s="650"/>
      <c r="V98" s="650"/>
      <c r="W98" s="650"/>
      <c r="X98" s="650"/>
      <c r="Y98" s="650"/>
      <c r="Z98" s="650"/>
      <c r="AA98" s="650"/>
      <c r="AB98" s="650"/>
      <c r="AC98" s="650"/>
      <c r="AD98" s="650"/>
      <c r="AE98" s="650"/>
      <c r="AF98" s="650"/>
      <c r="AG98" s="650"/>
      <c r="AH98" s="650"/>
      <c r="AI98" s="650"/>
      <c r="AJ98" s="650"/>
      <c r="AK98" s="650"/>
      <c r="AL98" s="650"/>
      <c r="AM98" s="650"/>
      <c r="AN98" s="650"/>
      <c r="AO98" s="650"/>
      <c r="AP98" s="650"/>
      <c r="AQ98" s="650"/>
      <c r="AR98" s="650"/>
      <c r="AS98" s="650"/>
      <c r="AT98" s="650"/>
      <c r="AU98" s="650"/>
      <c r="AV98" s="650"/>
      <c r="AW98" s="650"/>
      <c r="AX98" s="650"/>
      <c r="AY98" s="650"/>
    </row>
    <row r="99" ht="21.75" customHeight="1">
      <c r="A99" s="650"/>
      <c r="B99" s="650"/>
      <c r="C99" s="692"/>
      <c r="D99" s="692"/>
      <c r="Q99" s="650"/>
      <c r="R99" s="650"/>
      <c r="S99" s="650"/>
      <c r="T99" s="650"/>
      <c r="U99" s="650"/>
      <c r="V99" s="650"/>
      <c r="W99" s="650"/>
      <c r="X99" s="650"/>
      <c r="Y99" s="650"/>
      <c r="Z99" s="650"/>
      <c r="AA99" s="650"/>
      <c r="AB99" s="650"/>
      <c r="AC99" s="650"/>
      <c r="AD99" s="650"/>
      <c r="AE99" s="650"/>
      <c r="AF99" s="650"/>
      <c r="AG99" s="650"/>
      <c r="AH99" s="650"/>
      <c r="AI99" s="650"/>
      <c r="AJ99" s="650"/>
      <c r="AK99" s="650"/>
      <c r="AL99" s="650"/>
      <c r="AM99" s="650"/>
      <c r="AN99" s="650"/>
      <c r="AO99" s="650"/>
      <c r="AP99" s="650"/>
      <c r="AQ99" s="650"/>
      <c r="AR99" s="650"/>
      <c r="AS99" s="650"/>
      <c r="AT99" s="650"/>
      <c r="AU99" s="650"/>
      <c r="AV99" s="650"/>
      <c r="AW99" s="650"/>
      <c r="AX99" s="650"/>
      <c r="AY99" s="650"/>
    </row>
    <row r="100" ht="21.75" customHeight="1">
      <c r="A100" s="650"/>
      <c r="B100" s="650"/>
      <c r="C100" s="692"/>
      <c r="D100" s="692"/>
      <c r="Q100" s="650"/>
      <c r="R100" s="650"/>
      <c r="S100" s="650"/>
      <c r="T100" s="650"/>
      <c r="U100" s="650"/>
      <c r="V100" s="650"/>
      <c r="W100" s="650"/>
      <c r="X100" s="650"/>
      <c r="Y100" s="650"/>
      <c r="Z100" s="650"/>
      <c r="AA100" s="650"/>
      <c r="AB100" s="650"/>
      <c r="AC100" s="650"/>
      <c r="AD100" s="650"/>
      <c r="AE100" s="650"/>
      <c r="AF100" s="650"/>
      <c r="AG100" s="650"/>
      <c r="AH100" s="650"/>
      <c r="AI100" s="650"/>
      <c r="AJ100" s="650"/>
      <c r="AK100" s="650"/>
      <c r="AL100" s="650"/>
      <c r="AM100" s="650"/>
      <c r="AN100" s="650"/>
      <c r="AO100" s="650"/>
      <c r="AP100" s="650"/>
      <c r="AQ100" s="650"/>
      <c r="AR100" s="650"/>
      <c r="AS100" s="650"/>
      <c r="AT100" s="650"/>
      <c r="AU100" s="650"/>
      <c r="AV100" s="650"/>
      <c r="AW100" s="650"/>
      <c r="AX100" s="650"/>
      <c r="AY100" s="650"/>
    </row>
    <row r="101" ht="21.75" customHeight="1">
      <c r="A101" s="650"/>
      <c r="B101" s="650"/>
      <c r="C101" s="692"/>
      <c r="D101" s="692"/>
      <c r="Q101" s="650"/>
      <c r="R101" s="650"/>
      <c r="S101" s="650"/>
      <c r="T101" s="650"/>
      <c r="U101" s="650"/>
      <c r="V101" s="650"/>
      <c r="W101" s="650"/>
      <c r="X101" s="650"/>
      <c r="Y101" s="650"/>
      <c r="Z101" s="650"/>
      <c r="AA101" s="650"/>
      <c r="AB101" s="650"/>
      <c r="AC101" s="650"/>
      <c r="AD101" s="650"/>
      <c r="AE101" s="650"/>
      <c r="AF101" s="650"/>
      <c r="AG101" s="650"/>
      <c r="AH101" s="650"/>
      <c r="AI101" s="650"/>
      <c r="AJ101" s="650"/>
      <c r="AK101" s="650"/>
      <c r="AL101" s="650"/>
      <c r="AM101" s="650"/>
      <c r="AN101" s="650"/>
      <c r="AO101" s="650"/>
      <c r="AP101" s="650"/>
      <c r="AQ101" s="650"/>
      <c r="AR101" s="650"/>
      <c r="AS101" s="650"/>
      <c r="AT101" s="650"/>
      <c r="AU101" s="650"/>
      <c r="AV101" s="650"/>
      <c r="AW101" s="650"/>
      <c r="AX101" s="650"/>
      <c r="AY101" s="650"/>
    </row>
    <row r="102" ht="21.75" customHeight="1">
      <c r="A102" s="650"/>
      <c r="B102" s="650"/>
      <c r="C102" s="692"/>
      <c r="D102" s="692"/>
      <c r="Q102" s="650"/>
      <c r="R102" s="650"/>
      <c r="S102" s="650"/>
      <c r="T102" s="650"/>
      <c r="U102" s="650"/>
      <c r="V102" s="650"/>
      <c r="W102" s="650"/>
      <c r="X102" s="650"/>
      <c r="Y102" s="650"/>
      <c r="Z102" s="650"/>
      <c r="AA102" s="650"/>
      <c r="AB102" s="650"/>
      <c r="AC102" s="650"/>
      <c r="AD102" s="650"/>
      <c r="AE102" s="650"/>
      <c r="AF102" s="650"/>
      <c r="AG102" s="650"/>
      <c r="AH102" s="650"/>
      <c r="AI102" s="650"/>
      <c r="AJ102" s="650"/>
      <c r="AK102" s="650"/>
      <c r="AL102" s="650"/>
      <c r="AM102" s="650"/>
      <c r="AN102" s="650"/>
      <c r="AO102" s="650"/>
      <c r="AP102" s="650"/>
      <c r="AQ102" s="650"/>
      <c r="AR102" s="650"/>
      <c r="AS102" s="650"/>
      <c r="AT102" s="650"/>
      <c r="AU102" s="650"/>
      <c r="AV102" s="650"/>
      <c r="AW102" s="650"/>
      <c r="AX102" s="650"/>
      <c r="AY102" s="650"/>
    </row>
    <row r="103" ht="21.75" customHeight="1">
      <c r="A103" s="650"/>
      <c r="B103" s="650"/>
      <c r="C103" s="692"/>
      <c r="D103" s="692"/>
      <c r="Q103" s="650"/>
      <c r="R103" s="650"/>
      <c r="S103" s="650"/>
      <c r="T103" s="650"/>
      <c r="U103" s="650"/>
      <c r="V103" s="650"/>
      <c r="W103" s="650"/>
      <c r="X103" s="650"/>
      <c r="Y103" s="650"/>
      <c r="Z103" s="650"/>
      <c r="AA103" s="650"/>
      <c r="AB103" s="650"/>
      <c r="AC103" s="650"/>
      <c r="AD103" s="650"/>
      <c r="AE103" s="650"/>
      <c r="AF103" s="650"/>
      <c r="AG103" s="650"/>
      <c r="AH103" s="650"/>
      <c r="AI103" s="650"/>
      <c r="AJ103" s="650"/>
      <c r="AK103" s="650"/>
      <c r="AL103" s="650"/>
      <c r="AM103" s="650"/>
      <c r="AN103" s="650"/>
      <c r="AO103" s="650"/>
      <c r="AP103" s="650"/>
      <c r="AQ103" s="650"/>
      <c r="AR103" s="650"/>
      <c r="AS103" s="650"/>
      <c r="AT103" s="650"/>
      <c r="AU103" s="650"/>
      <c r="AV103" s="650"/>
      <c r="AW103" s="650"/>
      <c r="AX103" s="650"/>
      <c r="AY103" s="650"/>
    </row>
    <row r="104" ht="21.75" customHeight="1">
      <c r="A104" s="650"/>
      <c r="B104" s="650"/>
      <c r="C104" s="692"/>
      <c r="D104" s="692"/>
      <c r="Q104" s="650"/>
      <c r="R104" s="650"/>
      <c r="S104" s="650"/>
      <c r="T104" s="650"/>
      <c r="U104" s="650"/>
      <c r="V104" s="650"/>
      <c r="W104" s="650"/>
      <c r="X104" s="650"/>
      <c r="Y104" s="650"/>
      <c r="Z104" s="650"/>
      <c r="AA104" s="650"/>
      <c r="AB104" s="650"/>
      <c r="AC104" s="650"/>
      <c r="AD104" s="650"/>
      <c r="AE104" s="650"/>
      <c r="AF104" s="650"/>
      <c r="AG104" s="650"/>
      <c r="AH104" s="650"/>
      <c r="AI104" s="650"/>
      <c r="AJ104" s="650"/>
      <c r="AK104" s="650"/>
      <c r="AL104" s="650"/>
      <c r="AM104" s="650"/>
      <c r="AN104" s="650"/>
      <c r="AO104" s="650"/>
      <c r="AP104" s="650"/>
      <c r="AQ104" s="650"/>
      <c r="AR104" s="650"/>
      <c r="AS104" s="650"/>
      <c r="AT104" s="650"/>
      <c r="AU104" s="650"/>
      <c r="AV104" s="650"/>
      <c r="AW104" s="650"/>
      <c r="AX104" s="650"/>
      <c r="AY104" s="650"/>
    </row>
    <row r="105" ht="21.75" customHeight="1">
      <c r="A105" s="650"/>
      <c r="B105" s="650"/>
      <c r="C105" s="692"/>
      <c r="D105" s="692"/>
      <c r="Q105" s="650"/>
      <c r="R105" s="650"/>
      <c r="S105" s="650"/>
      <c r="T105" s="650"/>
      <c r="U105" s="650"/>
      <c r="V105" s="650"/>
      <c r="W105" s="650"/>
      <c r="X105" s="650"/>
      <c r="Y105" s="650"/>
      <c r="Z105" s="650"/>
      <c r="AA105" s="650"/>
      <c r="AB105" s="650"/>
      <c r="AC105" s="650"/>
      <c r="AD105" s="650"/>
      <c r="AE105" s="650"/>
      <c r="AF105" s="650"/>
      <c r="AG105" s="650"/>
      <c r="AH105" s="650"/>
      <c r="AI105" s="650"/>
      <c r="AJ105" s="650"/>
      <c r="AK105" s="650"/>
      <c r="AL105" s="650"/>
      <c r="AM105" s="650"/>
      <c r="AN105" s="650"/>
      <c r="AO105" s="650"/>
      <c r="AP105" s="650"/>
      <c r="AQ105" s="650"/>
      <c r="AR105" s="650"/>
      <c r="AS105" s="650"/>
      <c r="AT105" s="650"/>
      <c r="AU105" s="650"/>
      <c r="AV105" s="650"/>
      <c r="AW105" s="650"/>
      <c r="AX105" s="650"/>
      <c r="AY105" s="650"/>
    </row>
    <row r="106" ht="21.75" customHeight="1">
      <c r="A106" s="650"/>
      <c r="B106" s="650"/>
      <c r="C106" s="692"/>
      <c r="D106" s="692"/>
      <c r="Q106" s="650"/>
      <c r="R106" s="650"/>
      <c r="S106" s="650"/>
      <c r="T106" s="650"/>
      <c r="U106" s="650"/>
      <c r="V106" s="650"/>
      <c r="W106" s="650"/>
      <c r="X106" s="650"/>
      <c r="Y106" s="650"/>
      <c r="Z106" s="650"/>
      <c r="AA106" s="650"/>
      <c r="AB106" s="650"/>
      <c r="AC106" s="650"/>
      <c r="AD106" s="650"/>
      <c r="AE106" s="650"/>
      <c r="AF106" s="650"/>
      <c r="AG106" s="650"/>
      <c r="AH106" s="650"/>
      <c r="AI106" s="650"/>
      <c r="AJ106" s="650"/>
      <c r="AK106" s="650"/>
      <c r="AL106" s="650"/>
      <c r="AM106" s="650"/>
      <c r="AN106" s="650"/>
      <c r="AO106" s="650"/>
      <c r="AP106" s="650"/>
      <c r="AQ106" s="650"/>
      <c r="AR106" s="650"/>
      <c r="AS106" s="650"/>
      <c r="AT106" s="650"/>
      <c r="AU106" s="650"/>
      <c r="AV106" s="650"/>
      <c r="AW106" s="650"/>
      <c r="AX106" s="650"/>
      <c r="AY106" s="650"/>
    </row>
    <row r="107" ht="21.75" customHeight="1">
      <c r="A107" s="650"/>
      <c r="B107" s="650"/>
      <c r="C107" s="692"/>
      <c r="D107" s="692"/>
      <c r="Q107" s="650"/>
      <c r="R107" s="650"/>
      <c r="S107" s="650"/>
      <c r="T107" s="650"/>
      <c r="U107" s="650"/>
      <c r="V107" s="650"/>
      <c r="W107" s="650"/>
      <c r="X107" s="650"/>
      <c r="Y107" s="650"/>
      <c r="Z107" s="650"/>
      <c r="AA107" s="650"/>
      <c r="AB107" s="650"/>
      <c r="AC107" s="650"/>
      <c r="AD107" s="650"/>
      <c r="AE107" s="650"/>
      <c r="AF107" s="650"/>
      <c r="AG107" s="650"/>
      <c r="AH107" s="650"/>
      <c r="AI107" s="650"/>
      <c r="AJ107" s="650"/>
      <c r="AK107" s="650"/>
      <c r="AL107" s="650"/>
      <c r="AM107" s="650"/>
      <c r="AN107" s="650"/>
      <c r="AO107" s="650"/>
      <c r="AP107" s="650"/>
      <c r="AQ107" s="650"/>
      <c r="AR107" s="650"/>
      <c r="AS107" s="650"/>
      <c r="AT107" s="650"/>
      <c r="AU107" s="650"/>
      <c r="AV107" s="650"/>
      <c r="AW107" s="650"/>
      <c r="AX107" s="650"/>
      <c r="AY107" s="650"/>
    </row>
    <row r="108" ht="21.75" customHeight="1">
      <c r="A108" s="650"/>
      <c r="B108" s="650"/>
      <c r="C108" s="692"/>
      <c r="D108" s="692"/>
      <c r="Q108" s="650"/>
      <c r="R108" s="650"/>
      <c r="S108" s="650"/>
      <c r="T108" s="650"/>
      <c r="U108" s="650"/>
      <c r="V108" s="650"/>
      <c r="W108" s="650"/>
      <c r="X108" s="650"/>
      <c r="Y108" s="650"/>
      <c r="Z108" s="650"/>
      <c r="AA108" s="650"/>
      <c r="AB108" s="650"/>
      <c r="AC108" s="650"/>
      <c r="AD108" s="650"/>
      <c r="AE108" s="650"/>
      <c r="AF108" s="650"/>
      <c r="AG108" s="650"/>
      <c r="AH108" s="650"/>
      <c r="AI108" s="650"/>
      <c r="AJ108" s="650"/>
      <c r="AK108" s="650"/>
      <c r="AL108" s="650"/>
      <c r="AM108" s="650"/>
      <c r="AN108" s="650"/>
      <c r="AO108" s="650"/>
      <c r="AP108" s="650"/>
      <c r="AQ108" s="650"/>
      <c r="AR108" s="650"/>
      <c r="AS108" s="650"/>
      <c r="AT108" s="650"/>
      <c r="AU108" s="650"/>
      <c r="AV108" s="650"/>
      <c r="AW108" s="650"/>
      <c r="AX108" s="650"/>
      <c r="AY108" s="650"/>
    </row>
    <row r="109" ht="21.75" customHeight="1">
      <c r="A109" s="650"/>
      <c r="B109" s="650"/>
      <c r="C109" s="692"/>
      <c r="D109" s="692"/>
      <c r="Q109" s="650"/>
      <c r="R109" s="650"/>
      <c r="S109" s="650"/>
      <c r="T109" s="650"/>
      <c r="U109" s="650"/>
      <c r="V109" s="650"/>
      <c r="W109" s="650"/>
      <c r="X109" s="650"/>
      <c r="Y109" s="650"/>
      <c r="Z109" s="650"/>
      <c r="AA109" s="650"/>
      <c r="AB109" s="650"/>
      <c r="AC109" s="650"/>
      <c r="AD109" s="650"/>
      <c r="AE109" s="650"/>
      <c r="AF109" s="650"/>
      <c r="AG109" s="650"/>
      <c r="AH109" s="650"/>
      <c r="AI109" s="650"/>
      <c r="AJ109" s="650"/>
      <c r="AK109" s="650"/>
      <c r="AL109" s="650"/>
      <c r="AM109" s="650"/>
      <c r="AN109" s="650"/>
      <c r="AO109" s="650"/>
      <c r="AP109" s="650"/>
      <c r="AQ109" s="650"/>
      <c r="AR109" s="650"/>
      <c r="AS109" s="650"/>
      <c r="AT109" s="650"/>
      <c r="AU109" s="650"/>
      <c r="AV109" s="650"/>
      <c r="AW109" s="650"/>
      <c r="AX109" s="650"/>
      <c r="AY109" s="650"/>
    </row>
    <row r="110" ht="21.75" customHeight="1">
      <c r="A110" s="650"/>
      <c r="B110" s="650"/>
      <c r="C110" s="692"/>
      <c r="D110" s="692"/>
      <c r="Q110" s="650"/>
      <c r="R110" s="650"/>
      <c r="S110" s="650"/>
      <c r="T110" s="650"/>
      <c r="U110" s="650"/>
      <c r="V110" s="650"/>
      <c r="W110" s="650"/>
      <c r="X110" s="650"/>
      <c r="Y110" s="650"/>
      <c r="Z110" s="650"/>
      <c r="AA110" s="650"/>
      <c r="AB110" s="650"/>
      <c r="AC110" s="650"/>
      <c r="AD110" s="650"/>
      <c r="AE110" s="650"/>
      <c r="AF110" s="650"/>
      <c r="AG110" s="650"/>
      <c r="AH110" s="650"/>
      <c r="AI110" s="650"/>
      <c r="AJ110" s="650"/>
      <c r="AK110" s="650"/>
      <c r="AL110" s="650"/>
      <c r="AM110" s="650"/>
      <c r="AN110" s="650"/>
      <c r="AO110" s="650"/>
      <c r="AP110" s="650"/>
      <c r="AQ110" s="650"/>
      <c r="AR110" s="650"/>
      <c r="AS110" s="650"/>
      <c r="AT110" s="650"/>
      <c r="AU110" s="650"/>
      <c r="AV110" s="650"/>
      <c r="AW110" s="650"/>
      <c r="AX110" s="650"/>
      <c r="AY110" s="650"/>
    </row>
    <row r="111" ht="21.75" customHeight="1">
      <c r="A111" s="650"/>
      <c r="B111" s="650"/>
      <c r="C111" s="692"/>
      <c r="D111" s="692"/>
      <c r="Q111" s="650"/>
      <c r="R111" s="650"/>
      <c r="S111" s="650"/>
      <c r="T111" s="650"/>
      <c r="U111" s="650"/>
      <c r="V111" s="650"/>
      <c r="W111" s="650"/>
      <c r="X111" s="650"/>
      <c r="Y111" s="650"/>
      <c r="Z111" s="650"/>
      <c r="AA111" s="650"/>
      <c r="AB111" s="650"/>
      <c r="AC111" s="650"/>
      <c r="AD111" s="650"/>
      <c r="AE111" s="650"/>
      <c r="AF111" s="650"/>
      <c r="AG111" s="650"/>
      <c r="AH111" s="650"/>
      <c r="AI111" s="650"/>
      <c r="AJ111" s="650"/>
      <c r="AK111" s="650"/>
      <c r="AL111" s="650"/>
      <c r="AM111" s="650"/>
      <c r="AN111" s="650"/>
      <c r="AO111" s="650"/>
      <c r="AP111" s="650"/>
      <c r="AQ111" s="650"/>
      <c r="AR111" s="650"/>
      <c r="AS111" s="650"/>
      <c r="AT111" s="650"/>
      <c r="AU111" s="650"/>
      <c r="AV111" s="650"/>
      <c r="AW111" s="650"/>
      <c r="AX111" s="650"/>
      <c r="AY111" s="650"/>
    </row>
    <row r="112" ht="21.75" customHeight="1">
      <c r="A112" s="650"/>
      <c r="B112" s="650"/>
      <c r="C112" s="692"/>
      <c r="D112" s="692"/>
      <c r="Q112" s="650"/>
      <c r="R112" s="650"/>
      <c r="S112" s="650"/>
      <c r="T112" s="650"/>
      <c r="U112" s="650"/>
      <c r="V112" s="650"/>
      <c r="W112" s="650"/>
      <c r="X112" s="650"/>
      <c r="Y112" s="650"/>
      <c r="Z112" s="650"/>
      <c r="AA112" s="650"/>
      <c r="AB112" s="650"/>
      <c r="AC112" s="650"/>
      <c r="AD112" s="650"/>
      <c r="AE112" s="650"/>
      <c r="AF112" s="650"/>
      <c r="AG112" s="650"/>
      <c r="AH112" s="650"/>
      <c r="AI112" s="650"/>
      <c r="AJ112" s="650"/>
      <c r="AK112" s="650"/>
      <c r="AL112" s="650"/>
      <c r="AM112" s="650"/>
      <c r="AN112" s="650"/>
      <c r="AO112" s="650"/>
      <c r="AP112" s="650"/>
      <c r="AQ112" s="650"/>
      <c r="AR112" s="650"/>
      <c r="AS112" s="650"/>
      <c r="AT112" s="650"/>
      <c r="AU112" s="650"/>
      <c r="AV112" s="650"/>
      <c r="AW112" s="650"/>
      <c r="AX112" s="650"/>
      <c r="AY112" s="650"/>
    </row>
    <row r="113" ht="21.75" customHeight="1">
      <c r="A113" s="650"/>
      <c r="B113" s="650"/>
      <c r="C113" s="692"/>
      <c r="D113" s="692"/>
      <c r="Q113" s="650"/>
      <c r="R113" s="650"/>
      <c r="S113" s="650"/>
      <c r="T113" s="650"/>
      <c r="U113" s="650"/>
      <c r="V113" s="650"/>
      <c r="W113" s="650"/>
      <c r="X113" s="650"/>
      <c r="Y113" s="650"/>
      <c r="Z113" s="650"/>
      <c r="AA113" s="650"/>
      <c r="AB113" s="650"/>
      <c r="AC113" s="650"/>
      <c r="AD113" s="650"/>
      <c r="AE113" s="650"/>
      <c r="AF113" s="650"/>
      <c r="AG113" s="650"/>
      <c r="AH113" s="650"/>
      <c r="AI113" s="650"/>
      <c r="AJ113" s="650"/>
      <c r="AK113" s="650"/>
      <c r="AL113" s="650"/>
      <c r="AM113" s="650"/>
      <c r="AN113" s="650"/>
      <c r="AO113" s="650"/>
      <c r="AP113" s="650"/>
      <c r="AQ113" s="650"/>
      <c r="AR113" s="650"/>
      <c r="AS113" s="650"/>
      <c r="AT113" s="650"/>
      <c r="AU113" s="650"/>
      <c r="AV113" s="650"/>
      <c r="AW113" s="650"/>
      <c r="AX113" s="650"/>
      <c r="AY113" s="650"/>
    </row>
    <row r="114" ht="21.75" customHeight="1">
      <c r="A114" s="650"/>
      <c r="B114" s="650"/>
      <c r="C114" s="692"/>
      <c r="D114" s="692"/>
      <c r="Q114" s="650"/>
      <c r="R114" s="650"/>
      <c r="S114" s="650"/>
      <c r="T114" s="650"/>
      <c r="U114" s="650"/>
      <c r="V114" s="650"/>
      <c r="W114" s="650"/>
      <c r="X114" s="650"/>
      <c r="Y114" s="650"/>
      <c r="Z114" s="650"/>
      <c r="AA114" s="650"/>
      <c r="AB114" s="650"/>
      <c r="AC114" s="650"/>
      <c r="AD114" s="650"/>
      <c r="AE114" s="650"/>
      <c r="AF114" s="650"/>
      <c r="AG114" s="650"/>
      <c r="AH114" s="650"/>
      <c r="AI114" s="650"/>
      <c r="AJ114" s="650"/>
      <c r="AK114" s="650"/>
      <c r="AL114" s="650"/>
      <c r="AM114" s="650"/>
      <c r="AN114" s="650"/>
      <c r="AO114" s="650"/>
      <c r="AP114" s="650"/>
      <c r="AQ114" s="650"/>
      <c r="AR114" s="650"/>
      <c r="AS114" s="650"/>
      <c r="AT114" s="650"/>
      <c r="AU114" s="650"/>
      <c r="AV114" s="650"/>
      <c r="AW114" s="650"/>
      <c r="AX114" s="650"/>
      <c r="AY114" s="650"/>
    </row>
    <row r="115" ht="21.75" customHeight="1">
      <c r="A115" s="650"/>
      <c r="B115" s="650"/>
      <c r="C115" s="692"/>
      <c r="D115" s="692"/>
      <c r="Q115" s="650"/>
      <c r="R115" s="650"/>
      <c r="S115" s="650"/>
      <c r="T115" s="650"/>
      <c r="U115" s="650"/>
      <c r="V115" s="650"/>
      <c r="W115" s="650"/>
      <c r="X115" s="650"/>
      <c r="Y115" s="650"/>
      <c r="Z115" s="650"/>
      <c r="AA115" s="650"/>
      <c r="AB115" s="650"/>
      <c r="AC115" s="650"/>
      <c r="AD115" s="650"/>
      <c r="AE115" s="650"/>
      <c r="AF115" s="650"/>
      <c r="AG115" s="650"/>
      <c r="AH115" s="650"/>
      <c r="AI115" s="650"/>
      <c r="AJ115" s="650"/>
      <c r="AK115" s="650"/>
      <c r="AL115" s="650"/>
      <c r="AM115" s="650"/>
      <c r="AN115" s="650"/>
      <c r="AO115" s="650"/>
      <c r="AP115" s="650"/>
      <c r="AQ115" s="650"/>
      <c r="AR115" s="650"/>
      <c r="AS115" s="650"/>
      <c r="AT115" s="650"/>
      <c r="AU115" s="650"/>
      <c r="AV115" s="650"/>
      <c r="AW115" s="650"/>
      <c r="AX115" s="650"/>
      <c r="AY115" s="650"/>
    </row>
    <row r="116" ht="21.75" customHeight="1">
      <c r="A116" s="650"/>
      <c r="B116" s="650"/>
      <c r="C116" s="692"/>
      <c r="D116" s="692"/>
      <c r="Q116" s="650"/>
      <c r="R116" s="650"/>
      <c r="S116" s="650"/>
      <c r="T116" s="650"/>
      <c r="U116" s="650"/>
      <c r="V116" s="650"/>
      <c r="W116" s="650"/>
      <c r="X116" s="650"/>
      <c r="Y116" s="650"/>
      <c r="Z116" s="650"/>
      <c r="AA116" s="650"/>
      <c r="AB116" s="650"/>
      <c r="AC116" s="650"/>
      <c r="AD116" s="650"/>
      <c r="AE116" s="650"/>
      <c r="AF116" s="650"/>
      <c r="AG116" s="650"/>
      <c r="AH116" s="650"/>
      <c r="AI116" s="650"/>
      <c r="AJ116" s="650"/>
      <c r="AK116" s="650"/>
      <c r="AL116" s="650"/>
      <c r="AM116" s="650"/>
      <c r="AN116" s="650"/>
      <c r="AO116" s="650"/>
      <c r="AP116" s="650"/>
      <c r="AQ116" s="650"/>
      <c r="AR116" s="650"/>
      <c r="AS116" s="650"/>
      <c r="AT116" s="650"/>
      <c r="AU116" s="650"/>
      <c r="AV116" s="650"/>
      <c r="AW116" s="650"/>
      <c r="AX116" s="650"/>
      <c r="AY116" s="650"/>
    </row>
    <row r="117" ht="21.75" customHeight="1">
      <c r="A117" s="650"/>
      <c r="B117" s="650"/>
      <c r="C117" s="692"/>
      <c r="D117" s="692"/>
      <c r="Q117" s="650"/>
      <c r="R117" s="650"/>
      <c r="S117" s="650"/>
      <c r="T117" s="650"/>
      <c r="U117" s="650"/>
      <c r="V117" s="650"/>
      <c r="W117" s="650"/>
      <c r="X117" s="650"/>
      <c r="Y117" s="650"/>
      <c r="Z117" s="650"/>
      <c r="AA117" s="650"/>
      <c r="AB117" s="650"/>
      <c r="AC117" s="650"/>
      <c r="AD117" s="650"/>
      <c r="AE117" s="650"/>
      <c r="AF117" s="650"/>
      <c r="AG117" s="650"/>
      <c r="AH117" s="650"/>
      <c r="AI117" s="650"/>
      <c r="AJ117" s="650"/>
      <c r="AK117" s="650"/>
      <c r="AL117" s="650"/>
      <c r="AM117" s="650"/>
      <c r="AN117" s="650"/>
      <c r="AO117" s="650"/>
      <c r="AP117" s="650"/>
      <c r="AQ117" s="650"/>
      <c r="AR117" s="650"/>
      <c r="AS117" s="650"/>
      <c r="AT117" s="650"/>
      <c r="AU117" s="650"/>
      <c r="AV117" s="650"/>
      <c r="AW117" s="650"/>
      <c r="AX117" s="650"/>
      <c r="AY117" s="650"/>
    </row>
    <row r="118" ht="21.75" customHeight="1">
      <c r="A118" s="650"/>
      <c r="B118" s="650"/>
      <c r="C118" s="692"/>
      <c r="D118" s="692"/>
      <c r="Q118" s="650"/>
      <c r="R118" s="650"/>
      <c r="S118" s="650"/>
      <c r="T118" s="650"/>
      <c r="U118" s="650"/>
      <c r="V118" s="650"/>
      <c r="W118" s="650"/>
      <c r="X118" s="650"/>
      <c r="Y118" s="650"/>
      <c r="Z118" s="650"/>
      <c r="AA118" s="650"/>
      <c r="AB118" s="650"/>
      <c r="AC118" s="650"/>
      <c r="AD118" s="650"/>
      <c r="AE118" s="650"/>
      <c r="AF118" s="650"/>
      <c r="AG118" s="650"/>
      <c r="AH118" s="650"/>
      <c r="AI118" s="650"/>
      <c r="AJ118" s="650"/>
      <c r="AK118" s="650"/>
      <c r="AL118" s="650"/>
      <c r="AM118" s="650"/>
      <c r="AN118" s="650"/>
      <c r="AO118" s="650"/>
      <c r="AP118" s="650"/>
      <c r="AQ118" s="650"/>
      <c r="AR118" s="650"/>
      <c r="AS118" s="650"/>
      <c r="AT118" s="650"/>
      <c r="AU118" s="650"/>
      <c r="AV118" s="650"/>
      <c r="AW118" s="650"/>
      <c r="AX118" s="650"/>
      <c r="AY118" s="650"/>
    </row>
    <row r="119" ht="21.75" customHeight="1">
      <c r="A119" s="650"/>
      <c r="B119" s="650"/>
      <c r="C119" s="692"/>
      <c r="D119" s="692"/>
      <c r="Q119" s="650"/>
      <c r="R119" s="650"/>
      <c r="S119" s="650"/>
      <c r="T119" s="650"/>
      <c r="U119" s="650"/>
      <c r="V119" s="650"/>
      <c r="W119" s="650"/>
      <c r="X119" s="650"/>
      <c r="Y119" s="650"/>
      <c r="Z119" s="650"/>
      <c r="AA119" s="650"/>
      <c r="AB119" s="650"/>
      <c r="AC119" s="650"/>
      <c r="AD119" s="650"/>
      <c r="AE119" s="650"/>
      <c r="AF119" s="650"/>
      <c r="AG119" s="650"/>
      <c r="AH119" s="650"/>
      <c r="AI119" s="650"/>
      <c r="AJ119" s="650"/>
      <c r="AK119" s="650"/>
      <c r="AL119" s="650"/>
      <c r="AM119" s="650"/>
      <c r="AN119" s="650"/>
      <c r="AO119" s="650"/>
      <c r="AP119" s="650"/>
      <c r="AQ119" s="650"/>
      <c r="AR119" s="650"/>
      <c r="AS119" s="650"/>
      <c r="AT119" s="650"/>
      <c r="AU119" s="650"/>
      <c r="AV119" s="650"/>
      <c r="AW119" s="650"/>
      <c r="AX119" s="650"/>
      <c r="AY119" s="650"/>
    </row>
    <row r="120" ht="21.75" customHeight="1">
      <c r="A120" s="650"/>
      <c r="B120" s="650"/>
      <c r="C120" s="692"/>
      <c r="D120" s="692"/>
      <c r="Q120" s="650"/>
      <c r="R120" s="650"/>
      <c r="S120" s="650"/>
      <c r="T120" s="650"/>
      <c r="U120" s="650"/>
      <c r="V120" s="650"/>
      <c r="W120" s="650"/>
      <c r="X120" s="650"/>
      <c r="Y120" s="650"/>
      <c r="Z120" s="650"/>
      <c r="AA120" s="650"/>
      <c r="AB120" s="650"/>
      <c r="AC120" s="650"/>
      <c r="AD120" s="650"/>
      <c r="AE120" s="650"/>
      <c r="AF120" s="650"/>
      <c r="AG120" s="650"/>
      <c r="AH120" s="650"/>
      <c r="AI120" s="650"/>
      <c r="AJ120" s="650"/>
      <c r="AK120" s="650"/>
      <c r="AL120" s="650"/>
      <c r="AM120" s="650"/>
      <c r="AN120" s="650"/>
      <c r="AO120" s="650"/>
      <c r="AP120" s="650"/>
      <c r="AQ120" s="650"/>
      <c r="AR120" s="650"/>
      <c r="AS120" s="650"/>
      <c r="AT120" s="650"/>
      <c r="AU120" s="650"/>
      <c r="AV120" s="650"/>
      <c r="AW120" s="650"/>
      <c r="AX120" s="650"/>
      <c r="AY120" s="650"/>
    </row>
    <row r="121" ht="21.75" customHeight="1">
      <c r="A121" s="650"/>
      <c r="B121" s="650"/>
      <c r="C121" s="692"/>
      <c r="D121" s="692"/>
      <c r="Q121" s="650"/>
      <c r="R121" s="650"/>
      <c r="S121" s="650"/>
      <c r="T121" s="650"/>
      <c r="U121" s="650"/>
      <c r="V121" s="650"/>
      <c r="W121" s="650"/>
      <c r="X121" s="650"/>
      <c r="Y121" s="650"/>
      <c r="Z121" s="650"/>
      <c r="AA121" s="650"/>
      <c r="AB121" s="650"/>
      <c r="AC121" s="650"/>
      <c r="AD121" s="650"/>
      <c r="AE121" s="650"/>
      <c r="AF121" s="650"/>
      <c r="AG121" s="650"/>
      <c r="AH121" s="650"/>
      <c r="AI121" s="650"/>
      <c r="AJ121" s="650"/>
      <c r="AK121" s="650"/>
      <c r="AL121" s="650"/>
      <c r="AM121" s="650"/>
      <c r="AN121" s="650"/>
      <c r="AO121" s="650"/>
      <c r="AP121" s="650"/>
      <c r="AQ121" s="650"/>
      <c r="AR121" s="650"/>
      <c r="AS121" s="650"/>
      <c r="AT121" s="650"/>
      <c r="AU121" s="650"/>
      <c r="AV121" s="650"/>
      <c r="AW121" s="650"/>
      <c r="AX121" s="650"/>
      <c r="AY121" s="650"/>
    </row>
    <row r="122" ht="21.75" customHeight="1">
      <c r="A122" s="650"/>
      <c r="B122" s="650"/>
      <c r="C122" s="692"/>
      <c r="D122" s="692"/>
      <c r="Q122" s="650"/>
      <c r="R122" s="650"/>
      <c r="S122" s="650"/>
      <c r="T122" s="650"/>
      <c r="U122" s="650"/>
      <c r="V122" s="650"/>
      <c r="W122" s="650"/>
      <c r="X122" s="650"/>
      <c r="Y122" s="650"/>
      <c r="Z122" s="650"/>
      <c r="AA122" s="650"/>
      <c r="AB122" s="650"/>
      <c r="AC122" s="650"/>
      <c r="AD122" s="650"/>
      <c r="AE122" s="650"/>
      <c r="AF122" s="650"/>
      <c r="AG122" s="650"/>
      <c r="AH122" s="650"/>
      <c r="AI122" s="650"/>
      <c r="AJ122" s="650"/>
      <c r="AK122" s="650"/>
      <c r="AL122" s="650"/>
      <c r="AM122" s="650"/>
      <c r="AN122" s="650"/>
      <c r="AO122" s="650"/>
      <c r="AP122" s="650"/>
      <c r="AQ122" s="650"/>
      <c r="AR122" s="650"/>
      <c r="AS122" s="650"/>
      <c r="AT122" s="650"/>
      <c r="AU122" s="650"/>
      <c r="AV122" s="650"/>
      <c r="AW122" s="650"/>
      <c r="AX122" s="650"/>
      <c r="AY122" s="650"/>
    </row>
    <row r="123" ht="21.75" customHeight="1">
      <c r="A123" s="650"/>
      <c r="B123" s="650"/>
      <c r="C123" s="692"/>
      <c r="D123" s="692"/>
      <c r="Q123" s="650"/>
      <c r="R123" s="650"/>
      <c r="S123" s="650"/>
      <c r="T123" s="650"/>
      <c r="U123" s="650"/>
      <c r="V123" s="650"/>
      <c r="W123" s="650"/>
      <c r="X123" s="650"/>
      <c r="Y123" s="650"/>
      <c r="Z123" s="650"/>
      <c r="AA123" s="650"/>
      <c r="AB123" s="650"/>
      <c r="AC123" s="650"/>
      <c r="AD123" s="650"/>
      <c r="AE123" s="650"/>
      <c r="AF123" s="650"/>
      <c r="AG123" s="650"/>
      <c r="AH123" s="650"/>
      <c r="AI123" s="650"/>
      <c r="AJ123" s="650"/>
      <c r="AK123" s="650"/>
      <c r="AL123" s="650"/>
      <c r="AM123" s="650"/>
      <c r="AN123" s="650"/>
      <c r="AO123" s="650"/>
      <c r="AP123" s="650"/>
      <c r="AQ123" s="650"/>
      <c r="AR123" s="650"/>
      <c r="AS123" s="650"/>
      <c r="AT123" s="650"/>
      <c r="AU123" s="650"/>
      <c r="AV123" s="650"/>
      <c r="AW123" s="650"/>
      <c r="AX123" s="650"/>
      <c r="AY123" s="650"/>
    </row>
    <row r="124" ht="21.75" customHeight="1">
      <c r="A124" s="650"/>
      <c r="B124" s="650"/>
      <c r="C124" s="650"/>
      <c r="D124" s="650"/>
      <c r="E124" s="650"/>
      <c r="F124" s="650"/>
      <c r="G124" s="650"/>
      <c r="H124" s="650"/>
      <c r="I124" s="650"/>
      <c r="J124" s="650"/>
      <c r="K124" s="650"/>
      <c r="L124" s="650"/>
      <c r="M124" s="650"/>
      <c r="N124" s="650"/>
      <c r="O124" s="650"/>
      <c r="P124" s="650"/>
      <c r="Q124" s="650"/>
      <c r="R124" s="650"/>
      <c r="S124" s="650"/>
      <c r="T124" s="650"/>
      <c r="U124" s="650"/>
      <c r="V124" s="650"/>
      <c r="W124" s="650"/>
      <c r="X124" s="650"/>
      <c r="Y124" s="650"/>
      <c r="Z124" s="650"/>
      <c r="AA124" s="650"/>
      <c r="AB124" s="650"/>
      <c r="AC124" s="650"/>
      <c r="AD124" s="650"/>
      <c r="AE124" s="650"/>
      <c r="AF124" s="650"/>
      <c r="AG124" s="650"/>
      <c r="AH124" s="650"/>
      <c r="AI124" s="650"/>
      <c r="AJ124" s="650"/>
      <c r="AK124" s="650"/>
      <c r="AL124" s="650"/>
      <c r="AM124" s="650"/>
      <c r="AN124" s="650"/>
      <c r="AO124" s="650"/>
      <c r="AP124" s="650"/>
      <c r="AQ124" s="650"/>
      <c r="AR124" s="650"/>
      <c r="AS124" s="650"/>
      <c r="AT124" s="650"/>
      <c r="AU124" s="650"/>
      <c r="AV124" s="650"/>
      <c r="AW124" s="650"/>
      <c r="AX124" s="650"/>
      <c r="AY124" s="650"/>
    </row>
    <row r="125" ht="21.75" customHeight="1">
      <c r="A125" s="650"/>
      <c r="B125" s="650"/>
      <c r="C125" s="650"/>
      <c r="D125" s="650"/>
      <c r="E125" s="650"/>
      <c r="F125" s="650"/>
      <c r="G125" s="650"/>
      <c r="H125" s="650"/>
      <c r="I125" s="650"/>
      <c r="J125" s="650"/>
      <c r="K125" s="650"/>
      <c r="L125" s="650"/>
      <c r="M125" s="650"/>
      <c r="N125" s="650"/>
      <c r="O125" s="650"/>
      <c r="P125" s="650"/>
      <c r="Q125" s="650"/>
      <c r="R125" s="650"/>
      <c r="S125" s="650"/>
      <c r="T125" s="650"/>
      <c r="U125" s="650"/>
      <c r="V125" s="650"/>
      <c r="W125" s="650"/>
      <c r="X125" s="650"/>
      <c r="Y125" s="650"/>
      <c r="Z125" s="650"/>
      <c r="AA125" s="650"/>
      <c r="AB125" s="650"/>
      <c r="AC125" s="650"/>
      <c r="AD125" s="650"/>
      <c r="AE125" s="650"/>
      <c r="AF125" s="650"/>
      <c r="AG125" s="650"/>
      <c r="AH125" s="650"/>
      <c r="AI125" s="650"/>
      <c r="AJ125" s="650"/>
      <c r="AK125" s="650"/>
      <c r="AL125" s="650"/>
      <c r="AM125" s="650"/>
      <c r="AN125" s="650"/>
      <c r="AO125" s="650"/>
      <c r="AP125" s="650"/>
      <c r="AQ125" s="650"/>
      <c r="AR125" s="650"/>
      <c r="AS125" s="650"/>
      <c r="AT125" s="650"/>
      <c r="AU125" s="650"/>
      <c r="AV125" s="650"/>
      <c r="AW125" s="650"/>
      <c r="AX125" s="650"/>
      <c r="AY125" s="650"/>
    </row>
    <row r="126" ht="21.75" customHeight="1">
      <c r="A126" s="650"/>
      <c r="B126" s="650"/>
      <c r="C126" s="650"/>
      <c r="D126" s="650"/>
      <c r="E126" s="650"/>
      <c r="F126" s="650"/>
      <c r="G126" s="650"/>
      <c r="H126" s="650"/>
      <c r="I126" s="650"/>
      <c r="J126" s="650"/>
      <c r="K126" s="650"/>
      <c r="L126" s="650"/>
      <c r="M126" s="650"/>
      <c r="N126" s="650"/>
      <c r="O126" s="650"/>
      <c r="P126" s="650"/>
      <c r="Q126" s="650"/>
      <c r="R126" s="650"/>
      <c r="S126" s="650"/>
      <c r="T126" s="650"/>
      <c r="U126" s="650"/>
      <c r="V126" s="650"/>
      <c r="W126" s="650"/>
      <c r="X126" s="650"/>
      <c r="Y126" s="650"/>
      <c r="Z126" s="650"/>
      <c r="AA126" s="650"/>
      <c r="AB126" s="650"/>
      <c r="AC126" s="650"/>
      <c r="AD126" s="650"/>
      <c r="AE126" s="650"/>
      <c r="AF126" s="650"/>
      <c r="AG126" s="650"/>
      <c r="AH126" s="650"/>
      <c r="AI126" s="650"/>
      <c r="AJ126" s="650"/>
      <c r="AK126" s="650"/>
      <c r="AL126" s="650"/>
      <c r="AM126" s="650"/>
      <c r="AN126" s="650"/>
      <c r="AO126" s="650"/>
      <c r="AP126" s="650"/>
      <c r="AQ126" s="650"/>
      <c r="AR126" s="650"/>
      <c r="AS126" s="650"/>
      <c r="AT126" s="650"/>
      <c r="AU126" s="650"/>
      <c r="AV126" s="650"/>
      <c r="AW126" s="650"/>
      <c r="AX126" s="650"/>
      <c r="AY126" s="650"/>
    </row>
    <row r="127" ht="21.75" customHeight="1">
      <c r="A127" s="650"/>
      <c r="B127" s="650"/>
      <c r="C127" s="650"/>
      <c r="D127" s="650"/>
      <c r="E127" s="650"/>
      <c r="F127" s="650"/>
      <c r="G127" s="650"/>
      <c r="H127" s="650"/>
      <c r="I127" s="650"/>
      <c r="J127" s="650"/>
      <c r="K127" s="650"/>
      <c r="L127" s="650"/>
      <c r="M127" s="650"/>
      <c r="N127" s="650"/>
      <c r="O127" s="650"/>
      <c r="P127" s="650"/>
      <c r="Q127" s="650"/>
      <c r="R127" s="650"/>
      <c r="S127" s="650"/>
      <c r="T127" s="650"/>
      <c r="U127" s="650"/>
      <c r="V127" s="650"/>
      <c r="W127" s="650"/>
      <c r="X127" s="650"/>
      <c r="Y127" s="650"/>
      <c r="Z127" s="650"/>
      <c r="AA127" s="650"/>
      <c r="AB127" s="650"/>
      <c r="AC127" s="650"/>
      <c r="AD127" s="650"/>
      <c r="AE127" s="650"/>
      <c r="AF127" s="650"/>
      <c r="AG127" s="650"/>
      <c r="AH127" s="650"/>
      <c r="AI127" s="650"/>
      <c r="AJ127" s="650"/>
      <c r="AK127" s="650"/>
      <c r="AL127" s="650"/>
      <c r="AM127" s="650"/>
      <c r="AN127" s="650"/>
      <c r="AO127" s="650"/>
      <c r="AP127" s="650"/>
      <c r="AQ127" s="650"/>
      <c r="AR127" s="650"/>
      <c r="AS127" s="650"/>
      <c r="AT127" s="650"/>
      <c r="AU127" s="650"/>
      <c r="AV127" s="650"/>
      <c r="AW127" s="650"/>
      <c r="AX127" s="650"/>
      <c r="AY127" s="650"/>
    </row>
    <row r="128" ht="21.75" customHeight="1">
      <c r="A128" s="650"/>
      <c r="B128" s="650"/>
      <c r="C128" s="650"/>
      <c r="D128" s="650"/>
      <c r="E128" s="650"/>
      <c r="F128" s="650"/>
      <c r="G128" s="650"/>
      <c r="H128" s="650"/>
      <c r="I128" s="650"/>
      <c r="J128" s="650"/>
      <c r="K128" s="650"/>
      <c r="L128" s="650"/>
      <c r="M128" s="650"/>
      <c r="N128" s="650"/>
      <c r="O128" s="650"/>
      <c r="P128" s="650"/>
      <c r="Q128" s="650"/>
      <c r="R128" s="650"/>
      <c r="S128" s="650"/>
      <c r="T128" s="650"/>
      <c r="U128" s="650"/>
      <c r="V128" s="650"/>
      <c r="W128" s="650"/>
      <c r="X128" s="650"/>
      <c r="Y128" s="650"/>
      <c r="Z128" s="650"/>
      <c r="AA128" s="650"/>
      <c r="AB128" s="650"/>
      <c r="AC128" s="650"/>
      <c r="AD128" s="650"/>
      <c r="AE128" s="650"/>
      <c r="AF128" s="650"/>
      <c r="AG128" s="650"/>
      <c r="AH128" s="650"/>
      <c r="AI128" s="650"/>
      <c r="AJ128" s="650"/>
      <c r="AK128" s="650"/>
      <c r="AL128" s="650"/>
      <c r="AM128" s="650"/>
      <c r="AN128" s="650"/>
      <c r="AO128" s="650"/>
      <c r="AP128" s="650"/>
      <c r="AQ128" s="650"/>
      <c r="AR128" s="650"/>
      <c r="AS128" s="650"/>
      <c r="AT128" s="650"/>
      <c r="AU128" s="650"/>
      <c r="AV128" s="650"/>
      <c r="AW128" s="650"/>
      <c r="AX128" s="650"/>
      <c r="AY128" s="650"/>
    </row>
    <row r="129" ht="21.75" customHeight="1">
      <c r="A129" s="650"/>
      <c r="B129" s="650"/>
      <c r="C129" s="650"/>
      <c r="D129" s="650"/>
      <c r="E129" s="650"/>
      <c r="F129" s="650"/>
      <c r="G129" s="650"/>
      <c r="H129" s="650"/>
      <c r="I129" s="650"/>
      <c r="J129" s="650"/>
      <c r="K129" s="650"/>
      <c r="L129" s="650"/>
      <c r="M129" s="650"/>
      <c r="N129" s="650"/>
      <c r="O129" s="650"/>
      <c r="P129" s="650"/>
      <c r="Q129" s="650"/>
      <c r="R129" s="650"/>
      <c r="S129" s="650"/>
      <c r="T129" s="650"/>
      <c r="U129" s="650"/>
      <c r="V129" s="650"/>
      <c r="W129" s="650"/>
      <c r="X129" s="650"/>
      <c r="Y129" s="650"/>
      <c r="Z129" s="650"/>
      <c r="AA129" s="650"/>
      <c r="AB129" s="650"/>
      <c r="AC129" s="650"/>
      <c r="AD129" s="650"/>
      <c r="AE129" s="650"/>
      <c r="AF129" s="650"/>
      <c r="AG129" s="650"/>
      <c r="AH129" s="650"/>
      <c r="AI129" s="650"/>
      <c r="AJ129" s="650"/>
      <c r="AK129" s="650"/>
      <c r="AL129" s="650"/>
      <c r="AM129" s="650"/>
      <c r="AN129" s="650"/>
      <c r="AO129" s="650"/>
      <c r="AP129" s="650"/>
      <c r="AQ129" s="650"/>
      <c r="AR129" s="650"/>
      <c r="AS129" s="650"/>
      <c r="AT129" s="650"/>
      <c r="AU129" s="650"/>
      <c r="AV129" s="650"/>
      <c r="AW129" s="650"/>
      <c r="AX129" s="650"/>
      <c r="AY129" s="650"/>
    </row>
    <row r="130" ht="21.75" customHeight="1">
      <c r="A130" s="650"/>
      <c r="B130" s="650"/>
      <c r="C130" s="650"/>
      <c r="D130" s="650"/>
      <c r="E130" s="650"/>
      <c r="F130" s="650"/>
      <c r="G130" s="650"/>
      <c r="H130" s="650"/>
      <c r="I130" s="650"/>
      <c r="J130" s="650"/>
      <c r="K130" s="650"/>
      <c r="L130" s="650"/>
      <c r="M130" s="650"/>
      <c r="N130" s="650"/>
      <c r="O130" s="650"/>
      <c r="P130" s="650"/>
      <c r="Q130" s="650"/>
      <c r="R130" s="650"/>
      <c r="S130" s="650"/>
      <c r="T130" s="650"/>
      <c r="U130" s="650"/>
      <c r="V130" s="650"/>
      <c r="W130" s="650"/>
      <c r="X130" s="650"/>
      <c r="Y130" s="650"/>
      <c r="Z130" s="650"/>
      <c r="AA130" s="650"/>
      <c r="AB130" s="650"/>
      <c r="AC130" s="650"/>
      <c r="AD130" s="650"/>
      <c r="AE130" s="650"/>
      <c r="AF130" s="650"/>
      <c r="AG130" s="650"/>
      <c r="AH130" s="650"/>
      <c r="AI130" s="650"/>
      <c r="AJ130" s="650"/>
      <c r="AK130" s="650"/>
      <c r="AL130" s="650"/>
      <c r="AM130" s="650"/>
      <c r="AN130" s="650"/>
      <c r="AO130" s="650"/>
      <c r="AP130" s="650"/>
      <c r="AQ130" s="650"/>
      <c r="AR130" s="650"/>
      <c r="AS130" s="650"/>
      <c r="AT130" s="650"/>
      <c r="AU130" s="650"/>
      <c r="AV130" s="650"/>
      <c r="AW130" s="650"/>
      <c r="AX130" s="650"/>
      <c r="AY130" s="650"/>
    </row>
    <row r="131" ht="21.75" customHeight="1">
      <c r="A131" s="650"/>
      <c r="B131" s="650"/>
      <c r="C131" s="650"/>
      <c r="D131" s="650"/>
      <c r="E131" s="650"/>
      <c r="F131" s="650"/>
      <c r="G131" s="650"/>
      <c r="H131" s="650"/>
      <c r="I131" s="650"/>
      <c r="J131" s="650"/>
      <c r="K131" s="650"/>
      <c r="L131" s="650"/>
      <c r="M131" s="650"/>
      <c r="N131" s="650"/>
      <c r="O131" s="650"/>
      <c r="P131" s="650"/>
      <c r="Q131" s="650"/>
      <c r="R131" s="650"/>
      <c r="S131" s="650"/>
      <c r="T131" s="650"/>
      <c r="U131" s="650"/>
      <c r="V131" s="650"/>
      <c r="W131" s="650"/>
      <c r="X131" s="650"/>
      <c r="Y131" s="650"/>
      <c r="Z131" s="650"/>
      <c r="AA131" s="650"/>
      <c r="AB131" s="650"/>
      <c r="AC131" s="650"/>
      <c r="AD131" s="650"/>
      <c r="AE131" s="650"/>
      <c r="AF131" s="650"/>
      <c r="AG131" s="650"/>
      <c r="AH131" s="650"/>
      <c r="AI131" s="650"/>
      <c r="AJ131" s="650"/>
      <c r="AK131" s="650"/>
      <c r="AL131" s="650"/>
      <c r="AM131" s="650"/>
      <c r="AN131" s="650"/>
      <c r="AO131" s="650"/>
      <c r="AP131" s="650"/>
      <c r="AQ131" s="650"/>
      <c r="AR131" s="650"/>
      <c r="AS131" s="650"/>
      <c r="AT131" s="650"/>
      <c r="AU131" s="650"/>
      <c r="AV131" s="650"/>
      <c r="AW131" s="650"/>
      <c r="AX131" s="650"/>
      <c r="AY131" s="650"/>
    </row>
    <row r="132" ht="21.75" customHeight="1">
      <c r="A132" s="650"/>
      <c r="B132" s="650"/>
      <c r="C132" s="650"/>
      <c r="D132" s="650"/>
      <c r="E132" s="650"/>
      <c r="F132" s="650"/>
      <c r="G132" s="650"/>
      <c r="H132" s="650"/>
      <c r="I132" s="650"/>
      <c r="J132" s="650"/>
      <c r="K132" s="650"/>
      <c r="L132" s="650"/>
      <c r="M132" s="650"/>
      <c r="N132" s="650"/>
      <c r="O132" s="650"/>
      <c r="P132" s="650"/>
      <c r="Q132" s="650"/>
      <c r="R132" s="650"/>
      <c r="S132" s="650"/>
      <c r="T132" s="650"/>
      <c r="U132" s="650"/>
      <c r="V132" s="650"/>
      <c r="W132" s="650"/>
      <c r="X132" s="650"/>
      <c r="Y132" s="650"/>
      <c r="Z132" s="650"/>
      <c r="AA132" s="650"/>
      <c r="AB132" s="650"/>
      <c r="AC132" s="650"/>
      <c r="AD132" s="650"/>
      <c r="AE132" s="650"/>
      <c r="AF132" s="650"/>
      <c r="AG132" s="650"/>
      <c r="AH132" s="650"/>
      <c r="AI132" s="650"/>
      <c r="AJ132" s="650"/>
      <c r="AK132" s="650"/>
      <c r="AL132" s="650"/>
      <c r="AM132" s="650"/>
      <c r="AN132" s="650"/>
      <c r="AO132" s="650"/>
      <c r="AP132" s="650"/>
      <c r="AQ132" s="650"/>
      <c r="AR132" s="650"/>
      <c r="AS132" s="650"/>
      <c r="AT132" s="650"/>
      <c r="AU132" s="650"/>
      <c r="AV132" s="650"/>
      <c r="AW132" s="650"/>
      <c r="AX132" s="650"/>
      <c r="AY132" s="650"/>
    </row>
    <row r="133" ht="21.75" customHeight="1">
      <c r="A133" s="650"/>
      <c r="B133" s="650"/>
      <c r="C133" s="650"/>
      <c r="D133" s="650"/>
      <c r="E133" s="650"/>
      <c r="F133" s="650"/>
      <c r="G133" s="650"/>
      <c r="H133" s="650"/>
      <c r="I133" s="650"/>
      <c r="J133" s="650"/>
      <c r="K133" s="650"/>
      <c r="L133" s="650"/>
      <c r="M133" s="650"/>
      <c r="N133" s="650"/>
      <c r="O133" s="650"/>
      <c r="P133" s="650"/>
      <c r="Q133" s="650"/>
      <c r="R133" s="650"/>
      <c r="S133" s="650"/>
      <c r="T133" s="650"/>
      <c r="U133" s="650"/>
      <c r="V133" s="650"/>
      <c r="W133" s="650"/>
      <c r="X133" s="650"/>
      <c r="Y133" s="650"/>
      <c r="Z133" s="650"/>
      <c r="AA133" s="650"/>
      <c r="AB133" s="650"/>
      <c r="AC133" s="650"/>
      <c r="AD133" s="650"/>
      <c r="AE133" s="650"/>
      <c r="AF133" s="650"/>
      <c r="AG133" s="650"/>
      <c r="AH133" s="650"/>
      <c r="AI133" s="650"/>
      <c r="AJ133" s="650"/>
      <c r="AK133" s="650"/>
      <c r="AL133" s="650"/>
      <c r="AM133" s="650"/>
      <c r="AN133" s="650"/>
      <c r="AO133" s="650"/>
      <c r="AP133" s="650"/>
      <c r="AQ133" s="650"/>
      <c r="AR133" s="650"/>
      <c r="AS133" s="650"/>
      <c r="AT133" s="650"/>
      <c r="AU133" s="650"/>
      <c r="AV133" s="650"/>
      <c r="AW133" s="650"/>
      <c r="AX133" s="650"/>
      <c r="AY133" s="650"/>
    </row>
    <row r="134" ht="21.75" customHeight="1">
      <c r="A134" s="650"/>
      <c r="B134" s="650"/>
      <c r="C134" s="650"/>
      <c r="D134" s="650"/>
      <c r="E134" s="650"/>
      <c r="F134" s="650"/>
      <c r="G134" s="650"/>
      <c r="H134" s="650"/>
      <c r="I134" s="650"/>
      <c r="J134" s="650"/>
      <c r="K134" s="650"/>
      <c r="L134" s="650"/>
      <c r="M134" s="650"/>
      <c r="N134" s="650"/>
      <c r="O134" s="650"/>
      <c r="P134" s="650"/>
      <c r="Q134" s="650"/>
      <c r="R134" s="650"/>
      <c r="S134" s="650"/>
      <c r="T134" s="650"/>
      <c r="U134" s="650"/>
      <c r="V134" s="650"/>
      <c r="W134" s="650"/>
      <c r="X134" s="650"/>
      <c r="Y134" s="650"/>
      <c r="Z134" s="650"/>
      <c r="AA134" s="650"/>
      <c r="AB134" s="650"/>
      <c r="AC134" s="650"/>
      <c r="AD134" s="650"/>
      <c r="AE134" s="650"/>
      <c r="AF134" s="650"/>
      <c r="AG134" s="650"/>
      <c r="AH134" s="650"/>
      <c r="AI134" s="650"/>
      <c r="AJ134" s="650"/>
      <c r="AK134" s="650"/>
      <c r="AL134" s="650"/>
      <c r="AM134" s="650"/>
      <c r="AN134" s="650"/>
      <c r="AO134" s="650"/>
      <c r="AP134" s="650"/>
      <c r="AQ134" s="650"/>
      <c r="AR134" s="650"/>
      <c r="AS134" s="650"/>
      <c r="AT134" s="650"/>
      <c r="AU134" s="650"/>
      <c r="AV134" s="650"/>
      <c r="AW134" s="650"/>
      <c r="AX134" s="650"/>
      <c r="AY134" s="650"/>
    </row>
    <row r="135" ht="21.75" customHeight="1">
      <c r="A135" s="650"/>
      <c r="B135" s="650"/>
      <c r="C135" s="650"/>
      <c r="D135" s="650"/>
      <c r="E135" s="650"/>
      <c r="F135" s="650"/>
      <c r="G135" s="650"/>
      <c r="H135" s="650"/>
      <c r="I135" s="650"/>
      <c r="J135" s="650"/>
      <c r="K135" s="650"/>
      <c r="L135" s="650"/>
      <c r="M135" s="650"/>
      <c r="N135" s="650"/>
      <c r="O135" s="650"/>
      <c r="P135" s="650"/>
      <c r="Q135" s="650"/>
      <c r="R135" s="650"/>
      <c r="S135" s="650"/>
      <c r="T135" s="650"/>
      <c r="U135" s="650"/>
      <c r="V135" s="650"/>
      <c r="W135" s="650"/>
      <c r="X135" s="650"/>
      <c r="Y135" s="650"/>
      <c r="Z135" s="650"/>
      <c r="AA135" s="650"/>
      <c r="AB135" s="650"/>
      <c r="AC135" s="650"/>
      <c r="AD135" s="650"/>
      <c r="AE135" s="650"/>
      <c r="AF135" s="650"/>
      <c r="AG135" s="650"/>
      <c r="AH135" s="650"/>
      <c r="AI135" s="650"/>
      <c r="AJ135" s="650"/>
      <c r="AK135" s="650"/>
      <c r="AL135" s="650"/>
      <c r="AM135" s="650"/>
      <c r="AN135" s="650"/>
      <c r="AO135" s="650"/>
      <c r="AP135" s="650"/>
      <c r="AQ135" s="650"/>
      <c r="AR135" s="650"/>
      <c r="AS135" s="650"/>
      <c r="AT135" s="650"/>
      <c r="AU135" s="650"/>
      <c r="AV135" s="650"/>
      <c r="AW135" s="650"/>
      <c r="AX135" s="650"/>
      <c r="AY135" s="650"/>
    </row>
    <row r="136" ht="21.75" customHeight="1">
      <c r="A136" s="650"/>
      <c r="B136" s="650"/>
      <c r="C136" s="650"/>
      <c r="D136" s="650"/>
      <c r="E136" s="650"/>
      <c r="F136" s="650"/>
      <c r="G136" s="650"/>
      <c r="H136" s="650"/>
      <c r="I136" s="650"/>
      <c r="J136" s="650"/>
      <c r="K136" s="650"/>
      <c r="L136" s="650"/>
      <c r="M136" s="650"/>
      <c r="N136" s="650"/>
      <c r="O136" s="650"/>
      <c r="P136" s="650"/>
      <c r="Q136" s="650"/>
      <c r="R136" s="650"/>
      <c r="S136" s="650"/>
      <c r="T136" s="650"/>
      <c r="U136" s="650"/>
      <c r="V136" s="650"/>
      <c r="W136" s="650"/>
      <c r="X136" s="650"/>
      <c r="Y136" s="650"/>
      <c r="Z136" s="650"/>
      <c r="AA136" s="650"/>
      <c r="AB136" s="650"/>
      <c r="AC136" s="650"/>
      <c r="AD136" s="650"/>
      <c r="AE136" s="650"/>
      <c r="AF136" s="650"/>
      <c r="AG136" s="650"/>
      <c r="AH136" s="650"/>
      <c r="AI136" s="650"/>
      <c r="AJ136" s="650"/>
      <c r="AK136" s="650"/>
      <c r="AL136" s="650"/>
      <c r="AM136" s="650"/>
      <c r="AN136" s="650"/>
      <c r="AO136" s="650"/>
      <c r="AP136" s="650"/>
      <c r="AQ136" s="650"/>
      <c r="AR136" s="650"/>
      <c r="AS136" s="650"/>
      <c r="AT136" s="650"/>
      <c r="AU136" s="650"/>
      <c r="AV136" s="650"/>
      <c r="AW136" s="650"/>
      <c r="AX136" s="650"/>
      <c r="AY136" s="650"/>
    </row>
    <row r="137" ht="21.75" customHeight="1">
      <c r="A137" s="650"/>
      <c r="B137" s="650"/>
      <c r="C137" s="650"/>
      <c r="D137" s="650"/>
      <c r="E137" s="650"/>
      <c r="F137" s="650"/>
      <c r="G137" s="650"/>
      <c r="H137" s="650"/>
      <c r="I137" s="650"/>
      <c r="J137" s="650"/>
      <c r="K137" s="650"/>
      <c r="L137" s="650"/>
      <c r="M137" s="650"/>
      <c r="N137" s="650"/>
      <c r="O137" s="650"/>
      <c r="P137" s="650"/>
      <c r="Q137" s="650"/>
      <c r="R137" s="650"/>
      <c r="S137" s="650"/>
      <c r="T137" s="650"/>
      <c r="U137" s="650"/>
      <c r="V137" s="650"/>
      <c r="W137" s="650"/>
      <c r="X137" s="650"/>
      <c r="Y137" s="650"/>
      <c r="Z137" s="650"/>
      <c r="AA137" s="650"/>
      <c r="AB137" s="650"/>
      <c r="AC137" s="650"/>
      <c r="AD137" s="650"/>
      <c r="AE137" s="650"/>
      <c r="AF137" s="650"/>
      <c r="AG137" s="650"/>
      <c r="AH137" s="650"/>
      <c r="AI137" s="650"/>
      <c r="AJ137" s="650"/>
      <c r="AK137" s="650"/>
      <c r="AL137" s="650"/>
      <c r="AM137" s="650"/>
      <c r="AN137" s="650"/>
      <c r="AO137" s="650"/>
      <c r="AP137" s="650"/>
      <c r="AQ137" s="650"/>
      <c r="AR137" s="650"/>
      <c r="AS137" s="650"/>
      <c r="AT137" s="650"/>
      <c r="AU137" s="650"/>
      <c r="AV137" s="650"/>
      <c r="AW137" s="650"/>
      <c r="AX137" s="650"/>
      <c r="AY137" s="650"/>
    </row>
    <row r="138" ht="21.75" customHeight="1">
      <c r="A138" s="650"/>
      <c r="B138" s="650"/>
      <c r="C138" s="650"/>
      <c r="D138" s="650"/>
      <c r="E138" s="650"/>
      <c r="F138" s="650"/>
      <c r="G138" s="650"/>
      <c r="H138" s="650"/>
      <c r="I138" s="650"/>
      <c r="J138" s="650"/>
      <c r="K138" s="650"/>
      <c r="L138" s="650"/>
      <c r="M138" s="650"/>
      <c r="N138" s="650"/>
      <c r="O138" s="650"/>
      <c r="P138" s="650"/>
      <c r="Q138" s="650"/>
      <c r="R138" s="650"/>
      <c r="S138" s="650"/>
      <c r="T138" s="650"/>
      <c r="U138" s="650"/>
      <c r="V138" s="650"/>
      <c r="W138" s="650"/>
      <c r="X138" s="650"/>
      <c r="Y138" s="650"/>
      <c r="Z138" s="650"/>
      <c r="AA138" s="650"/>
      <c r="AB138" s="650"/>
      <c r="AC138" s="650"/>
      <c r="AD138" s="650"/>
      <c r="AE138" s="650"/>
      <c r="AF138" s="650"/>
      <c r="AG138" s="650"/>
      <c r="AH138" s="650"/>
      <c r="AI138" s="650"/>
      <c r="AJ138" s="650"/>
      <c r="AK138" s="650"/>
      <c r="AL138" s="650"/>
      <c r="AM138" s="650"/>
      <c r="AN138" s="650"/>
      <c r="AO138" s="650"/>
      <c r="AP138" s="650"/>
      <c r="AQ138" s="650"/>
      <c r="AR138" s="650"/>
      <c r="AS138" s="650"/>
      <c r="AT138" s="650"/>
      <c r="AU138" s="650"/>
      <c r="AV138" s="650"/>
      <c r="AW138" s="650"/>
      <c r="AX138" s="650"/>
      <c r="AY138" s="650"/>
    </row>
    <row r="139" ht="21.75" customHeight="1">
      <c r="A139" s="650"/>
      <c r="B139" s="650"/>
      <c r="C139" s="650"/>
      <c r="D139" s="650"/>
      <c r="E139" s="650"/>
      <c r="F139" s="650"/>
      <c r="G139" s="650"/>
      <c r="H139" s="650"/>
      <c r="I139" s="650"/>
      <c r="J139" s="650"/>
      <c r="K139" s="650"/>
      <c r="L139" s="650"/>
      <c r="M139" s="650"/>
      <c r="N139" s="650"/>
      <c r="O139" s="650"/>
      <c r="P139" s="650"/>
      <c r="Q139" s="650"/>
      <c r="R139" s="650"/>
      <c r="S139" s="650"/>
      <c r="T139" s="650"/>
      <c r="U139" s="650"/>
      <c r="V139" s="650"/>
      <c r="W139" s="650"/>
      <c r="X139" s="650"/>
      <c r="Y139" s="650"/>
      <c r="Z139" s="650"/>
      <c r="AA139" s="650"/>
      <c r="AB139" s="650"/>
      <c r="AC139" s="650"/>
      <c r="AD139" s="650"/>
      <c r="AE139" s="650"/>
      <c r="AF139" s="650"/>
      <c r="AG139" s="650"/>
      <c r="AH139" s="650"/>
      <c r="AI139" s="650"/>
      <c r="AJ139" s="650"/>
      <c r="AK139" s="650"/>
      <c r="AL139" s="650"/>
      <c r="AM139" s="650"/>
      <c r="AN139" s="650"/>
      <c r="AO139" s="650"/>
      <c r="AP139" s="650"/>
      <c r="AQ139" s="650"/>
      <c r="AR139" s="650"/>
      <c r="AS139" s="650"/>
      <c r="AT139" s="650"/>
      <c r="AU139" s="650"/>
      <c r="AV139" s="650"/>
      <c r="AW139" s="650"/>
      <c r="AX139" s="650"/>
      <c r="AY139" s="650"/>
    </row>
    <row r="140" ht="21.75" customHeight="1">
      <c r="A140" s="650"/>
      <c r="B140" s="650"/>
      <c r="C140" s="650"/>
      <c r="D140" s="650"/>
      <c r="E140" s="650"/>
      <c r="F140" s="650"/>
      <c r="G140" s="650"/>
      <c r="H140" s="650"/>
      <c r="I140" s="650"/>
      <c r="J140" s="650"/>
      <c r="K140" s="650"/>
      <c r="L140" s="650"/>
      <c r="M140" s="650"/>
      <c r="N140" s="650"/>
      <c r="O140" s="650"/>
      <c r="P140" s="650"/>
      <c r="Q140" s="650"/>
      <c r="R140" s="650"/>
      <c r="S140" s="650"/>
      <c r="T140" s="650"/>
      <c r="U140" s="650"/>
      <c r="V140" s="650"/>
      <c r="W140" s="650"/>
      <c r="X140" s="650"/>
      <c r="Y140" s="650"/>
      <c r="Z140" s="650"/>
      <c r="AA140" s="650"/>
      <c r="AB140" s="650"/>
      <c r="AC140" s="650"/>
      <c r="AD140" s="650"/>
      <c r="AE140" s="650"/>
      <c r="AF140" s="650"/>
      <c r="AG140" s="650"/>
      <c r="AH140" s="650"/>
      <c r="AI140" s="650"/>
      <c r="AJ140" s="650"/>
      <c r="AK140" s="650"/>
      <c r="AL140" s="650"/>
      <c r="AM140" s="650"/>
      <c r="AN140" s="650"/>
      <c r="AO140" s="650"/>
      <c r="AP140" s="650"/>
      <c r="AQ140" s="650"/>
      <c r="AR140" s="650"/>
      <c r="AS140" s="650"/>
      <c r="AT140" s="650"/>
      <c r="AU140" s="650"/>
      <c r="AV140" s="650"/>
      <c r="AW140" s="650"/>
      <c r="AX140" s="650"/>
      <c r="AY140" s="650"/>
    </row>
    <row r="141" ht="21.75" customHeight="1">
      <c r="A141" s="650"/>
      <c r="B141" s="650"/>
      <c r="C141" s="650"/>
      <c r="D141" s="650"/>
      <c r="E141" s="650"/>
      <c r="F141" s="650"/>
      <c r="G141" s="650"/>
      <c r="H141" s="650"/>
      <c r="I141" s="650"/>
      <c r="J141" s="650"/>
      <c r="K141" s="650"/>
      <c r="L141" s="650"/>
      <c r="M141" s="650"/>
      <c r="N141" s="650"/>
      <c r="O141" s="650"/>
      <c r="P141" s="650"/>
      <c r="Q141" s="650"/>
      <c r="R141" s="650"/>
      <c r="S141" s="650"/>
      <c r="T141" s="650"/>
      <c r="U141" s="650"/>
      <c r="V141" s="650"/>
      <c r="W141" s="650"/>
      <c r="X141" s="650"/>
      <c r="Y141" s="650"/>
      <c r="Z141" s="650"/>
      <c r="AA141" s="650"/>
      <c r="AB141" s="650"/>
      <c r="AC141" s="650"/>
      <c r="AD141" s="650"/>
      <c r="AE141" s="650"/>
      <c r="AF141" s="650"/>
      <c r="AG141" s="650"/>
      <c r="AH141" s="650"/>
      <c r="AI141" s="650"/>
      <c r="AJ141" s="650"/>
      <c r="AK141" s="650"/>
      <c r="AL141" s="650"/>
      <c r="AM141" s="650"/>
      <c r="AN141" s="650"/>
      <c r="AO141" s="650"/>
      <c r="AP141" s="650"/>
      <c r="AQ141" s="650"/>
      <c r="AR141" s="650"/>
      <c r="AS141" s="650"/>
      <c r="AT141" s="650"/>
      <c r="AU141" s="650"/>
      <c r="AV141" s="650"/>
      <c r="AW141" s="650"/>
      <c r="AX141" s="650"/>
      <c r="AY141" s="650"/>
    </row>
    <row r="142" ht="21.75" customHeight="1">
      <c r="A142" s="650"/>
      <c r="B142" s="650"/>
      <c r="C142" s="650"/>
      <c r="D142" s="650"/>
      <c r="E142" s="650"/>
      <c r="F142" s="650"/>
      <c r="G142" s="650"/>
      <c r="H142" s="650"/>
      <c r="I142" s="650"/>
      <c r="J142" s="650"/>
      <c r="K142" s="650"/>
      <c r="L142" s="650"/>
      <c r="M142" s="650"/>
      <c r="N142" s="650"/>
      <c r="O142" s="650"/>
      <c r="P142" s="650"/>
      <c r="Q142" s="650"/>
      <c r="R142" s="650"/>
      <c r="S142" s="650"/>
      <c r="T142" s="650"/>
      <c r="U142" s="650"/>
      <c r="V142" s="650"/>
      <c r="W142" s="650"/>
      <c r="X142" s="650"/>
      <c r="Y142" s="650"/>
      <c r="Z142" s="650"/>
      <c r="AA142" s="650"/>
      <c r="AB142" s="650"/>
      <c r="AC142" s="650"/>
      <c r="AD142" s="650"/>
      <c r="AE142" s="650"/>
      <c r="AF142" s="650"/>
      <c r="AG142" s="650"/>
      <c r="AH142" s="650"/>
      <c r="AI142" s="650"/>
      <c r="AJ142" s="650"/>
      <c r="AK142" s="650"/>
      <c r="AL142" s="650"/>
      <c r="AM142" s="650"/>
      <c r="AN142" s="650"/>
      <c r="AO142" s="650"/>
      <c r="AP142" s="650"/>
      <c r="AQ142" s="650"/>
      <c r="AR142" s="650"/>
      <c r="AS142" s="650"/>
      <c r="AT142" s="650"/>
      <c r="AU142" s="650"/>
      <c r="AV142" s="650"/>
      <c r="AW142" s="650"/>
      <c r="AX142" s="650"/>
      <c r="AY142" s="650"/>
    </row>
    <row r="143" ht="21.75" customHeight="1">
      <c r="A143" s="650"/>
      <c r="B143" s="650"/>
      <c r="C143" s="650"/>
      <c r="D143" s="650"/>
      <c r="E143" s="650"/>
      <c r="F143" s="650"/>
      <c r="G143" s="650"/>
      <c r="H143" s="650"/>
      <c r="I143" s="650"/>
      <c r="J143" s="650"/>
      <c r="K143" s="650"/>
      <c r="L143" s="650"/>
      <c r="M143" s="650"/>
      <c r="N143" s="650"/>
      <c r="O143" s="650"/>
      <c r="P143" s="650"/>
      <c r="Q143" s="650"/>
      <c r="R143" s="650"/>
      <c r="S143" s="650"/>
      <c r="T143" s="650"/>
      <c r="U143" s="650"/>
      <c r="V143" s="650"/>
      <c r="W143" s="650"/>
      <c r="X143" s="650"/>
      <c r="Y143" s="650"/>
      <c r="Z143" s="650"/>
      <c r="AA143" s="650"/>
      <c r="AB143" s="650"/>
      <c r="AC143" s="650"/>
      <c r="AD143" s="650"/>
      <c r="AE143" s="650"/>
      <c r="AF143" s="650"/>
      <c r="AG143" s="650"/>
      <c r="AH143" s="650"/>
      <c r="AI143" s="650"/>
      <c r="AJ143" s="650"/>
      <c r="AK143" s="650"/>
      <c r="AL143" s="650"/>
      <c r="AM143" s="650"/>
      <c r="AN143" s="650"/>
      <c r="AO143" s="650"/>
      <c r="AP143" s="650"/>
      <c r="AQ143" s="650"/>
      <c r="AR143" s="650"/>
      <c r="AS143" s="650"/>
      <c r="AT143" s="650"/>
      <c r="AU143" s="650"/>
      <c r="AV143" s="650"/>
      <c r="AW143" s="650"/>
      <c r="AX143" s="650"/>
      <c r="AY143" s="650"/>
    </row>
    <row r="144" ht="21.75" customHeight="1">
      <c r="A144" s="650"/>
      <c r="B144" s="650"/>
      <c r="C144" s="650"/>
      <c r="D144" s="650"/>
      <c r="E144" s="650"/>
      <c r="F144" s="650"/>
      <c r="G144" s="650"/>
      <c r="H144" s="650"/>
      <c r="I144" s="650"/>
      <c r="J144" s="650"/>
      <c r="K144" s="650"/>
      <c r="L144" s="650"/>
      <c r="M144" s="650"/>
      <c r="N144" s="650"/>
      <c r="O144" s="650"/>
      <c r="P144" s="650"/>
      <c r="Q144" s="650"/>
      <c r="R144" s="650"/>
      <c r="S144" s="650"/>
      <c r="T144" s="650"/>
      <c r="U144" s="650"/>
      <c r="V144" s="650"/>
      <c r="W144" s="650"/>
      <c r="X144" s="650"/>
      <c r="Y144" s="650"/>
      <c r="Z144" s="650"/>
      <c r="AA144" s="650"/>
      <c r="AB144" s="650"/>
      <c r="AC144" s="650"/>
      <c r="AD144" s="650"/>
      <c r="AE144" s="650"/>
      <c r="AF144" s="650"/>
      <c r="AG144" s="650"/>
      <c r="AH144" s="650"/>
      <c r="AI144" s="650"/>
      <c r="AJ144" s="650"/>
      <c r="AK144" s="650"/>
      <c r="AL144" s="650"/>
      <c r="AM144" s="650"/>
      <c r="AN144" s="650"/>
      <c r="AO144" s="650"/>
      <c r="AP144" s="650"/>
      <c r="AQ144" s="650"/>
      <c r="AR144" s="650"/>
      <c r="AS144" s="650"/>
      <c r="AT144" s="650"/>
      <c r="AU144" s="650"/>
      <c r="AV144" s="650"/>
      <c r="AW144" s="650"/>
      <c r="AX144" s="650"/>
      <c r="AY144" s="650"/>
    </row>
    <row r="145" ht="21.75" customHeight="1">
      <c r="A145" s="650"/>
      <c r="B145" s="650"/>
      <c r="C145" s="650"/>
      <c r="D145" s="650"/>
      <c r="E145" s="650"/>
      <c r="F145" s="650"/>
      <c r="G145" s="650"/>
      <c r="H145" s="650"/>
      <c r="I145" s="650"/>
      <c r="J145" s="650"/>
      <c r="K145" s="650"/>
      <c r="L145" s="650"/>
      <c r="M145" s="650"/>
      <c r="N145" s="650"/>
      <c r="O145" s="650"/>
      <c r="P145" s="650"/>
      <c r="Q145" s="650"/>
      <c r="R145" s="650"/>
      <c r="S145" s="650"/>
      <c r="T145" s="650"/>
      <c r="U145" s="650"/>
      <c r="V145" s="650"/>
      <c r="W145" s="650"/>
      <c r="X145" s="650"/>
      <c r="Y145" s="650"/>
      <c r="Z145" s="650"/>
      <c r="AA145" s="650"/>
      <c r="AB145" s="650"/>
      <c r="AC145" s="650"/>
      <c r="AD145" s="650"/>
      <c r="AE145" s="650"/>
      <c r="AF145" s="650"/>
      <c r="AG145" s="650"/>
      <c r="AH145" s="650"/>
      <c r="AI145" s="650"/>
      <c r="AJ145" s="650"/>
      <c r="AK145" s="650"/>
      <c r="AL145" s="650"/>
      <c r="AM145" s="650"/>
      <c r="AN145" s="650"/>
      <c r="AO145" s="650"/>
      <c r="AP145" s="650"/>
      <c r="AQ145" s="650"/>
      <c r="AR145" s="650"/>
      <c r="AS145" s="650"/>
      <c r="AT145" s="650"/>
      <c r="AU145" s="650"/>
      <c r="AV145" s="650"/>
      <c r="AW145" s="650"/>
      <c r="AX145" s="650"/>
      <c r="AY145" s="650"/>
    </row>
    <row r="146" ht="21.75" customHeight="1">
      <c r="A146" s="650"/>
      <c r="B146" s="650"/>
      <c r="C146" s="650"/>
      <c r="D146" s="650"/>
      <c r="E146" s="650"/>
      <c r="F146" s="650"/>
      <c r="G146" s="650"/>
      <c r="H146" s="650"/>
      <c r="I146" s="650"/>
      <c r="J146" s="650"/>
      <c r="K146" s="650"/>
      <c r="L146" s="650"/>
      <c r="M146" s="650"/>
      <c r="N146" s="650"/>
      <c r="O146" s="650"/>
      <c r="P146" s="650"/>
      <c r="Q146" s="650"/>
      <c r="R146" s="650"/>
      <c r="S146" s="650"/>
      <c r="T146" s="650"/>
      <c r="U146" s="650"/>
      <c r="V146" s="650"/>
      <c r="W146" s="650"/>
      <c r="X146" s="650"/>
      <c r="Y146" s="650"/>
      <c r="Z146" s="650"/>
      <c r="AA146" s="650"/>
      <c r="AB146" s="650"/>
      <c r="AC146" s="650"/>
      <c r="AD146" s="650"/>
      <c r="AE146" s="650"/>
      <c r="AF146" s="650"/>
      <c r="AG146" s="650"/>
      <c r="AH146" s="650"/>
      <c r="AI146" s="650"/>
      <c r="AJ146" s="650"/>
      <c r="AK146" s="650"/>
      <c r="AL146" s="650"/>
      <c r="AM146" s="650"/>
      <c r="AN146" s="650"/>
      <c r="AO146" s="650"/>
      <c r="AP146" s="650"/>
      <c r="AQ146" s="650"/>
      <c r="AR146" s="650"/>
      <c r="AS146" s="650"/>
      <c r="AT146" s="650"/>
      <c r="AU146" s="650"/>
      <c r="AV146" s="650"/>
      <c r="AW146" s="650"/>
      <c r="AX146" s="650"/>
      <c r="AY146" s="650"/>
    </row>
    <row r="147" ht="21.75" customHeight="1">
      <c r="A147" s="650"/>
      <c r="B147" s="650"/>
      <c r="C147" s="650"/>
      <c r="D147" s="650"/>
      <c r="E147" s="650"/>
      <c r="F147" s="650"/>
      <c r="G147" s="650"/>
      <c r="H147" s="650"/>
      <c r="I147" s="650"/>
      <c r="J147" s="650"/>
      <c r="K147" s="650"/>
      <c r="L147" s="650"/>
      <c r="M147" s="650"/>
      <c r="N147" s="650"/>
      <c r="O147" s="650"/>
      <c r="P147" s="650"/>
      <c r="Q147" s="650"/>
      <c r="R147" s="650"/>
      <c r="S147" s="650"/>
      <c r="T147" s="650"/>
      <c r="U147" s="650"/>
      <c r="V147" s="650"/>
      <c r="W147" s="650"/>
      <c r="X147" s="650"/>
      <c r="Y147" s="650"/>
      <c r="Z147" s="650"/>
      <c r="AA147" s="650"/>
      <c r="AB147" s="650"/>
      <c r="AC147" s="650"/>
      <c r="AD147" s="650"/>
      <c r="AE147" s="650"/>
      <c r="AF147" s="650"/>
      <c r="AG147" s="650"/>
      <c r="AH147" s="650"/>
      <c r="AI147" s="650"/>
      <c r="AJ147" s="650"/>
      <c r="AK147" s="650"/>
      <c r="AL147" s="650"/>
      <c r="AM147" s="650"/>
      <c r="AN147" s="650"/>
      <c r="AO147" s="650"/>
      <c r="AP147" s="650"/>
      <c r="AQ147" s="650"/>
      <c r="AR147" s="650"/>
      <c r="AS147" s="650"/>
      <c r="AT147" s="650"/>
      <c r="AU147" s="650"/>
      <c r="AV147" s="650"/>
      <c r="AW147" s="650"/>
      <c r="AX147" s="650"/>
      <c r="AY147" s="650"/>
    </row>
    <row r="148" ht="21.75" customHeight="1">
      <c r="A148" s="650"/>
      <c r="B148" s="650"/>
      <c r="C148" s="650"/>
      <c r="D148" s="650"/>
      <c r="E148" s="650"/>
      <c r="F148" s="650"/>
      <c r="G148" s="650"/>
      <c r="H148" s="650"/>
      <c r="I148" s="650"/>
      <c r="J148" s="650"/>
      <c r="K148" s="650"/>
      <c r="L148" s="650"/>
      <c r="M148" s="650"/>
      <c r="N148" s="650"/>
      <c r="O148" s="650"/>
      <c r="P148" s="650"/>
      <c r="Q148" s="650"/>
      <c r="R148" s="650"/>
      <c r="S148" s="650"/>
      <c r="T148" s="650"/>
      <c r="U148" s="650"/>
      <c r="V148" s="650"/>
      <c r="W148" s="650"/>
      <c r="X148" s="650"/>
      <c r="Y148" s="650"/>
      <c r="Z148" s="650"/>
      <c r="AA148" s="650"/>
      <c r="AB148" s="650"/>
      <c r="AC148" s="650"/>
      <c r="AD148" s="650"/>
      <c r="AE148" s="650"/>
      <c r="AF148" s="650"/>
      <c r="AG148" s="650"/>
      <c r="AH148" s="650"/>
      <c r="AI148" s="650"/>
      <c r="AJ148" s="650"/>
      <c r="AK148" s="650"/>
      <c r="AL148" s="650"/>
      <c r="AM148" s="650"/>
      <c r="AN148" s="650"/>
      <c r="AO148" s="650"/>
      <c r="AP148" s="650"/>
      <c r="AQ148" s="650"/>
      <c r="AR148" s="650"/>
      <c r="AS148" s="650"/>
      <c r="AT148" s="650"/>
      <c r="AU148" s="650"/>
      <c r="AV148" s="650"/>
      <c r="AW148" s="650"/>
      <c r="AX148" s="650"/>
      <c r="AY148" s="650"/>
    </row>
    <row r="149" ht="21.75" customHeight="1">
      <c r="A149" s="650"/>
      <c r="B149" s="650"/>
      <c r="C149" s="650"/>
      <c r="D149" s="650"/>
      <c r="E149" s="650"/>
      <c r="F149" s="650"/>
      <c r="G149" s="650"/>
      <c r="H149" s="650"/>
      <c r="I149" s="650"/>
      <c r="J149" s="650"/>
      <c r="K149" s="650"/>
      <c r="L149" s="650"/>
      <c r="M149" s="650"/>
      <c r="N149" s="650"/>
      <c r="O149" s="650"/>
      <c r="P149" s="650"/>
      <c r="Q149" s="650"/>
      <c r="R149" s="650"/>
      <c r="S149" s="650"/>
      <c r="T149" s="650"/>
      <c r="U149" s="650"/>
      <c r="V149" s="650"/>
      <c r="W149" s="650"/>
      <c r="X149" s="650"/>
      <c r="Y149" s="650"/>
      <c r="Z149" s="650"/>
      <c r="AA149" s="650"/>
      <c r="AB149" s="650"/>
      <c r="AC149" s="650"/>
      <c r="AD149" s="650"/>
      <c r="AE149" s="650"/>
      <c r="AF149" s="650"/>
      <c r="AG149" s="650"/>
      <c r="AH149" s="650"/>
      <c r="AI149" s="650"/>
      <c r="AJ149" s="650"/>
      <c r="AK149" s="650"/>
      <c r="AL149" s="650"/>
      <c r="AM149" s="650"/>
      <c r="AN149" s="650"/>
      <c r="AO149" s="650"/>
      <c r="AP149" s="650"/>
      <c r="AQ149" s="650"/>
      <c r="AR149" s="650"/>
      <c r="AS149" s="650"/>
      <c r="AT149" s="650"/>
      <c r="AU149" s="650"/>
      <c r="AV149" s="650"/>
      <c r="AW149" s="650"/>
      <c r="AX149" s="650"/>
      <c r="AY149" s="650"/>
    </row>
    <row r="150" ht="21.75" customHeight="1">
      <c r="A150" s="650"/>
      <c r="B150" s="650"/>
      <c r="C150" s="650"/>
      <c r="D150" s="650"/>
      <c r="E150" s="650"/>
      <c r="F150" s="650"/>
      <c r="G150" s="650"/>
      <c r="H150" s="650"/>
      <c r="I150" s="650"/>
      <c r="J150" s="650"/>
      <c r="K150" s="650"/>
      <c r="L150" s="650"/>
      <c r="M150" s="650"/>
      <c r="N150" s="650"/>
      <c r="O150" s="650"/>
      <c r="P150" s="650"/>
      <c r="Q150" s="650"/>
      <c r="R150" s="650"/>
      <c r="S150" s="650"/>
      <c r="T150" s="650"/>
      <c r="U150" s="650"/>
      <c r="V150" s="650"/>
      <c r="W150" s="650"/>
      <c r="X150" s="650"/>
      <c r="Y150" s="650"/>
      <c r="Z150" s="650"/>
      <c r="AA150" s="650"/>
      <c r="AB150" s="650"/>
      <c r="AC150" s="650"/>
      <c r="AD150" s="650"/>
      <c r="AE150" s="650"/>
      <c r="AF150" s="650"/>
      <c r="AG150" s="650"/>
      <c r="AH150" s="650"/>
      <c r="AI150" s="650"/>
      <c r="AJ150" s="650"/>
      <c r="AK150" s="650"/>
      <c r="AL150" s="650"/>
      <c r="AM150" s="650"/>
      <c r="AN150" s="650"/>
      <c r="AO150" s="650"/>
      <c r="AP150" s="650"/>
      <c r="AQ150" s="650"/>
      <c r="AR150" s="650"/>
      <c r="AS150" s="650"/>
      <c r="AT150" s="650"/>
      <c r="AU150" s="650"/>
      <c r="AV150" s="650"/>
      <c r="AW150" s="650"/>
      <c r="AX150" s="650"/>
      <c r="AY150" s="650"/>
    </row>
    <row r="151" ht="21.75" customHeight="1">
      <c r="A151" s="650"/>
      <c r="B151" s="650"/>
      <c r="C151" s="650"/>
      <c r="D151" s="650"/>
      <c r="E151" s="650"/>
      <c r="F151" s="650"/>
      <c r="G151" s="650"/>
      <c r="H151" s="650"/>
      <c r="I151" s="650"/>
      <c r="J151" s="650"/>
      <c r="K151" s="650"/>
      <c r="L151" s="650"/>
      <c r="M151" s="650"/>
      <c r="N151" s="650"/>
      <c r="O151" s="650"/>
      <c r="P151" s="650"/>
      <c r="Q151" s="650"/>
      <c r="R151" s="650"/>
      <c r="S151" s="650"/>
      <c r="T151" s="650"/>
      <c r="U151" s="650"/>
      <c r="V151" s="650"/>
      <c r="W151" s="650"/>
      <c r="X151" s="650"/>
      <c r="Y151" s="650"/>
      <c r="Z151" s="650"/>
      <c r="AA151" s="650"/>
      <c r="AB151" s="650"/>
      <c r="AC151" s="650"/>
      <c r="AD151" s="650"/>
      <c r="AE151" s="650"/>
      <c r="AF151" s="650"/>
      <c r="AG151" s="650"/>
      <c r="AH151" s="650"/>
      <c r="AI151" s="650"/>
      <c r="AJ151" s="650"/>
      <c r="AK151" s="650"/>
      <c r="AL151" s="650"/>
      <c r="AM151" s="650"/>
      <c r="AN151" s="650"/>
      <c r="AO151" s="650"/>
      <c r="AP151" s="650"/>
      <c r="AQ151" s="650"/>
      <c r="AR151" s="650"/>
      <c r="AS151" s="650"/>
      <c r="AT151" s="650"/>
      <c r="AU151" s="650"/>
      <c r="AV151" s="650"/>
      <c r="AW151" s="650"/>
      <c r="AX151" s="650"/>
      <c r="AY151" s="650"/>
    </row>
    <row r="152" ht="21.75" customHeight="1">
      <c r="A152" s="650"/>
      <c r="B152" s="650"/>
      <c r="C152" s="650"/>
      <c r="D152" s="650"/>
      <c r="E152" s="650"/>
      <c r="F152" s="650"/>
      <c r="G152" s="650"/>
      <c r="H152" s="650"/>
      <c r="I152" s="650"/>
      <c r="J152" s="650"/>
      <c r="K152" s="650"/>
      <c r="L152" s="650"/>
      <c r="M152" s="650"/>
      <c r="N152" s="650"/>
      <c r="O152" s="650"/>
      <c r="P152" s="650"/>
      <c r="Q152" s="650"/>
      <c r="R152" s="650"/>
      <c r="S152" s="650"/>
      <c r="T152" s="650"/>
      <c r="U152" s="650"/>
      <c r="V152" s="650"/>
      <c r="W152" s="650"/>
      <c r="X152" s="650"/>
      <c r="Y152" s="650"/>
      <c r="Z152" s="650"/>
      <c r="AA152" s="650"/>
      <c r="AB152" s="650"/>
      <c r="AC152" s="650"/>
      <c r="AD152" s="650"/>
      <c r="AE152" s="650"/>
      <c r="AF152" s="650"/>
      <c r="AG152" s="650"/>
      <c r="AH152" s="650"/>
      <c r="AI152" s="650"/>
      <c r="AJ152" s="650"/>
      <c r="AK152" s="650"/>
      <c r="AL152" s="650"/>
      <c r="AM152" s="650"/>
      <c r="AN152" s="650"/>
      <c r="AO152" s="650"/>
      <c r="AP152" s="650"/>
      <c r="AQ152" s="650"/>
      <c r="AR152" s="650"/>
      <c r="AS152" s="650"/>
      <c r="AT152" s="650"/>
      <c r="AU152" s="650"/>
      <c r="AV152" s="650"/>
      <c r="AW152" s="650"/>
      <c r="AX152" s="650"/>
      <c r="AY152" s="650"/>
    </row>
    <row r="153" ht="21.75" customHeight="1">
      <c r="A153" s="650"/>
      <c r="B153" s="650"/>
      <c r="C153" s="650"/>
      <c r="D153" s="650"/>
      <c r="E153" s="650"/>
      <c r="F153" s="650"/>
      <c r="G153" s="650"/>
      <c r="H153" s="650"/>
      <c r="I153" s="650"/>
      <c r="J153" s="650"/>
      <c r="K153" s="650"/>
      <c r="L153" s="650"/>
      <c r="M153" s="650"/>
      <c r="N153" s="650"/>
      <c r="O153" s="650"/>
      <c r="P153" s="650"/>
      <c r="Q153" s="650"/>
      <c r="R153" s="650"/>
      <c r="S153" s="650"/>
      <c r="T153" s="650"/>
      <c r="U153" s="650"/>
      <c r="V153" s="650"/>
      <c r="W153" s="650"/>
      <c r="X153" s="650"/>
      <c r="Y153" s="650"/>
      <c r="Z153" s="650"/>
      <c r="AA153" s="650"/>
      <c r="AB153" s="650"/>
      <c r="AC153" s="650"/>
      <c r="AD153" s="650"/>
      <c r="AE153" s="650"/>
      <c r="AF153" s="650"/>
      <c r="AG153" s="650"/>
      <c r="AH153" s="650"/>
      <c r="AI153" s="650"/>
      <c r="AJ153" s="650"/>
      <c r="AK153" s="650"/>
      <c r="AL153" s="650"/>
      <c r="AM153" s="650"/>
      <c r="AN153" s="650"/>
      <c r="AO153" s="650"/>
      <c r="AP153" s="650"/>
      <c r="AQ153" s="650"/>
      <c r="AR153" s="650"/>
      <c r="AS153" s="650"/>
      <c r="AT153" s="650"/>
      <c r="AU153" s="650"/>
      <c r="AV153" s="650"/>
      <c r="AW153" s="650"/>
      <c r="AX153" s="650"/>
      <c r="AY153" s="650"/>
    </row>
    <row r="154" ht="21.75" customHeight="1">
      <c r="A154" s="650"/>
      <c r="B154" s="650"/>
      <c r="C154" s="650"/>
      <c r="D154" s="650"/>
      <c r="E154" s="650"/>
      <c r="F154" s="650"/>
      <c r="G154" s="650"/>
      <c r="H154" s="650"/>
      <c r="I154" s="650"/>
      <c r="J154" s="650"/>
      <c r="K154" s="650"/>
      <c r="L154" s="650"/>
      <c r="M154" s="650"/>
      <c r="N154" s="650"/>
      <c r="O154" s="650"/>
      <c r="P154" s="650"/>
      <c r="Q154" s="650"/>
      <c r="R154" s="650"/>
      <c r="S154" s="650"/>
      <c r="T154" s="650"/>
      <c r="U154" s="650"/>
      <c r="V154" s="650"/>
      <c r="W154" s="650"/>
      <c r="X154" s="650"/>
      <c r="Y154" s="650"/>
      <c r="Z154" s="650"/>
      <c r="AA154" s="650"/>
      <c r="AB154" s="650"/>
      <c r="AC154" s="650"/>
      <c r="AD154" s="650"/>
      <c r="AE154" s="650"/>
      <c r="AF154" s="650"/>
      <c r="AG154" s="650"/>
      <c r="AH154" s="650"/>
      <c r="AI154" s="650"/>
      <c r="AJ154" s="650"/>
      <c r="AK154" s="650"/>
      <c r="AL154" s="650"/>
      <c r="AM154" s="650"/>
      <c r="AN154" s="650"/>
      <c r="AO154" s="650"/>
      <c r="AP154" s="650"/>
      <c r="AQ154" s="650"/>
      <c r="AR154" s="650"/>
      <c r="AS154" s="650"/>
      <c r="AT154" s="650"/>
      <c r="AU154" s="650"/>
      <c r="AV154" s="650"/>
      <c r="AW154" s="650"/>
      <c r="AX154" s="650"/>
      <c r="AY154" s="650"/>
    </row>
    <row r="155" ht="21.75" customHeight="1">
      <c r="A155" s="650"/>
      <c r="B155" s="650"/>
      <c r="C155" s="650"/>
      <c r="D155" s="650"/>
      <c r="E155" s="650"/>
      <c r="F155" s="650"/>
      <c r="G155" s="650"/>
      <c r="H155" s="650"/>
      <c r="I155" s="650"/>
      <c r="J155" s="650"/>
      <c r="K155" s="650"/>
      <c r="L155" s="650"/>
      <c r="M155" s="650"/>
      <c r="N155" s="650"/>
      <c r="O155" s="650"/>
      <c r="P155" s="650"/>
      <c r="Q155" s="650"/>
      <c r="R155" s="650"/>
      <c r="S155" s="650"/>
      <c r="T155" s="650"/>
      <c r="U155" s="650"/>
      <c r="V155" s="650"/>
      <c r="W155" s="650"/>
      <c r="X155" s="650"/>
      <c r="Y155" s="650"/>
      <c r="Z155" s="650"/>
      <c r="AA155" s="650"/>
      <c r="AB155" s="650"/>
      <c r="AC155" s="650"/>
      <c r="AD155" s="650"/>
      <c r="AE155" s="650"/>
      <c r="AF155" s="650"/>
      <c r="AG155" s="650"/>
      <c r="AH155" s="650"/>
      <c r="AI155" s="650"/>
      <c r="AJ155" s="650"/>
      <c r="AK155" s="650"/>
      <c r="AL155" s="650"/>
      <c r="AM155" s="650"/>
      <c r="AN155" s="650"/>
      <c r="AO155" s="650"/>
      <c r="AP155" s="650"/>
      <c r="AQ155" s="650"/>
      <c r="AR155" s="650"/>
      <c r="AS155" s="650"/>
      <c r="AT155" s="650"/>
      <c r="AU155" s="650"/>
      <c r="AV155" s="650"/>
      <c r="AW155" s="650"/>
      <c r="AX155" s="650"/>
      <c r="AY155" s="650"/>
    </row>
    <row r="156" ht="21.75" customHeight="1">
      <c r="A156" s="650"/>
      <c r="B156" s="650"/>
      <c r="C156" s="650"/>
      <c r="D156" s="650"/>
      <c r="E156" s="650"/>
      <c r="F156" s="650"/>
      <c r="G156" s="650"/>
      <c r="H156" s="650"/>
      <c r="I156" s="650"/>
      <c r="J156" s="650"/>
      <c r="K156" s="650"/>
      <c r="L156" s="650"/>
      <c r="M156" s="650"/>
      <c r="N156" s="650"/>
      <c r="O156" s="650"/>
      <c r="P156" s="650"/>
      <c r="Q156" s="650"/>
      <c r="R156" s="650"/>
      <c r="S156" s="650"/>
      <c r="T156" s="650"/>
      <c r="U156" s="650"/>
      <c r="V156" s="650"/>
      <c r="W156" s="650"/>
      <c r="X156" s="650"/>
      <c r="Y156" s="650"/>
      <c r="Z156" s="650"/>
      <c r="AA156" s="650"/>
      <c r="AB156" s="650"/>
      <c r="AC156" s="650"/>
      <c r="AD156" s="650"/>
      <c r="AE156" s="650"/>
      <c r="AF156" s="650"/>
      <c r="AG156" s="650"/>
      <c r="AH156" s="650"/>
      <c r="AI156" s="650"/>
      <c r="AJ156" s="650"/>
      <c r="AK156" s="650"/>
      <c r="AL156" s="650"/>
      <c r="AM156" s="650"/>
      <c r="AN156" s="650"/>
      <c r="AO156" s="650"/>
      <c r="AP156" s="650"/>
      <c r="AQ156" s="650"/>
      <c r="AR156" s="650"/>
      <c r="AS156" s="650"/>
      <c r="AT156" s="650"/>
      <c r="AU156" s="650"/>
      <c r="AV156" s="650"/>
      <c r="AW156" s="650"/>
      <c r="AX156" s="650"/>
      <c r="AY156" s="650"/>
    </row>
    <row r="157" ht="21.75" customHeight="1">
      <c r="A157" s="650"/>
      <c r="B157" s="650"/>
      <c r="C157" s="650"/>
      <c r="D157" s="650"/>
      <c r="E157" s="650"/>
      <c r="F157" s="650"/>
      <c r="G157" s="650"/>
      <c r="H157" s="650"/>
      <c r="I157" s="650"/>
      <c r="J157" s="650"/>
      <c r="K157" s="650"/>
      <c r="L157" s="650"/>
      <c r="M157" s="650"/>
      <c r="N157" s="650"/>
      <c r="O157" s="650"/>
      <c r="P157" s="650"/>
      <c r="Q157" s="650"/>
      <c r="R157" s="650"/>
      <c r="S157" s="650"/>
      <c r="T157" s="650"/>
      <c r="U157" s="650"/>
      <c r="V157" s="650"/>
      <c r="W157" s="650"/>
      <c r="X157" s="650"/>
      <c r="Y157" s="650"/>
      <c r="Z157" s="650"/>
      <c r="AA157" s="650"/>
      <c r="AB157" s="650"/>
      <c r="AC157" s="650"/>
      <c r="AD157" s="650"/>
      <c r="AE157" s="650"/>
      <c r="AF157" s="650"/>
      <c r="AG157" s="650"/>
      <c r="AH157" s="650"/>
      <c r="AI157" s="650"/>
      <c r="AJ157" s="650"/>
      <c r="AK157" s="650"/>
      <c r="AL157" s="650"/>
      <c r="AM157" s="650"/>
      <c r="AN157" s="650"/>
      <c r="AO157" s="650"/>
      <c r="AP157" s="650"/>
      <c r="AQ157" s="650"/>
      <c r="AR157" s="650"/>
      <c r="AS157" s="650"/>
      <c r="AT157" s="650"/>
      <c r="AU157" s="650"/>
      <c r="AV157" s="650"/>
      <c r="AW157" s="650"/>
      <c r="AX157" s="650"/>
      <c r="AY157" s="650"/>
    </row>
    <row r="158" ht="21.75" customHeight="1">
      <c r="A158" s="650"/>
      <c r="B158" s="650"/>
      <c r="C158" s="650"/>
      <c r="D158" s="650"/>
      <c r="E158" s="650"/>
      <c r="F158" s="650"/>
      <c r="G158" s="650"/>
      <c r="H158" s="650"/>
      <c r="I158" s="650"/>
      <c r="J158" s="650"/>
      <c r="K158" s="650"/>
      <c r="L158" s="650"/>
      <c r="M158" s="650"/>
      <c r="N158" s="650"/>
      <c r="O158" s="650"/>
      <c r="P158" s="650"/>
      <c r="Q158" s="650"/>
      <c r="R158" s="650"/>
      <c r="S158" s="650"/>
      <c r="T158" s="650"/>
      <c r="U158" s="650"/>
      <c r="V158" s="650"/>
      <c r="W158" s="650"/>
      <c r="X158" s="650"/>
      <c r="Y158" s="650"/>
      <c r="Z158" s="650"/>
      <c r="AA158" s="650"/>
      <c r="AB158" s="650"/>
      <c r="AC158" s="650"/>
      <c r="AD158" s="650"/>
      <c r="AE158" s="650"/>
      <c r="AF158" s="650"/>
      <c r="AG158" s="650"/>
      <c r="AH158" s="650"/>
      <c r="AI158" s="650"/>
      <c r="AJ158" s="650"/>
      <c r="AK158" s="650"/>
      <c r="AL158" s="650"/>
      <c r="AM158" s="650"/>
      <c r="AN158" s="650"/>
      <c r="AO158" s="650"/>
      <c r="AP158" s="650"/>
      <c r="AQ158" s="650"/>
      <c r="AR158" s="650"/>
      <c r="AS158" s="650"/>
      <c r="AT158" s="650"/>
      <c r="AU158" s="650"/>
      <c r="AV158" s="650"/>
      <c r="AW158" s="650"/>
      <c r="AX158" s="650"/>
      <c r="AY158" s="650"/>
    </row>
    <row r="159" ht="21.75" customHeight="1">
      <c r="A159" s="650"/>
      <c r="B159" s="650"/>
      <c r="C159" s="650"/>
      <c r="D159" s="650"/>
      <c r="E159" s="650"/>
      <c r="F159" s="650"/>
      <c r="G159" s="650"/>
      <c r="H159" s="650"/>
      <c r="I159" s="650"/>
      <c r="J159" s="650"/>
      <c r="K159" s="650"/>
      <c r="L159" s="650"/>
      <c r="M159" s="650"/>
      <c r="N159" s="650"/>
      <c r="O159" s="650"/>
      <c r="P159" s="650"/>
      <c r="Q159" s="650"/>
      <c r="R159" s="650"/>
      <c r="S159" s="650"/>
      <c r="T159" s="650"/>
      <c r="U159" s="650"/>
      <c r="V159" s="650"/>
      <c r="W159" s="650"/>
      <c r="X159" s="650"/>
      <c r="Y159" s="650"/>
      <c r="Z159" s="650"/>
      <c r="AA159" s="650"/>
      <c r="AB159" s="650"/>
      <c r="AC159" s="650"/>
      <c r="AD159" s="650"/>
      <c r="AE159" s="650"/>
      <c r="AF159" s="650"/>
      <c r="AG159" s="650"/>
      <c r="AH159" s="650"/>
      <c r="AI159" s="650"/>
      <c r="AJ159" s="650"/>
      <c r="AK159" s="650"/>
      <c r="AL159" s="650"/>
      <c r="AM159" s="650"/>
      <c r="AN159" s="650"/>
      <c r="AO159" s="650"/>
      <c r="AP159" s="650"/>
      <c r="AQ159" s="650"/>
      <c r="AR159" s="650"/>
      <c r="AS159" s="650"/>
      <c r="AT159" s="650"/>
      <c r="AU159" s="650"/>
      <c r="AV159" s="650"/>
      <c r="AW159" s="650"/>
      <c r="AX159" s="650"/>
      <c r="AY159" s="650"/>
    </row>
    <row r="160" ht="21.75" customHeight="1">
      <c r="A160" s="650"/>
      <c r="B160" s="650"/>
      <c r="C160" s="650"/>
      <c r="D160" s="650"/>
      <c r="E160" s="650"/>
      <c r="F160" s="650"/>
      <c r="G160" s="650"/>
      <c r="H160" s="650"/>
      <c r="I160" s="650"/>
      <c r="J160" s="650"/>
      <c r="K160" s="650"/>
      <c r="L160" s="650"/>
      <c r="M160" s="650"/>
      <c r="N160" s="650"/>
      <c r="O160" s="650"/>
      <c r="P160" s="650"/>
      <c r="Q160" s="650"/>
      <c r="R160" s="650"/>
      <c r="S160" s="650"/>
      <c r="T160" s="650"/>
      <c r="U160" s="650"/>
      <c r="V160" s="650"/>
      <c r="W160" s="650"/>
      <c r="X160" s="650"/>
      <c r="Y160" s="650"/>
      <c r="Z160" s="650"/>
      <c r="AA160" s="650"/>
      <c r="AB160" s="650"/>
      <c r="AC160" s="650"/>
      <c r="AD160" s="650"/>
      <c r="AE160" s="650"/>
      <c r="AF160" s="650"/>
      <c r="AG160" s="650"/>
      <c r="AH160" s="650"/>
      <c r="AI160" s="650"/>
      <c r="AJ160" s="650"/>
      <c r="AK160" s="650"/>
      <c r="AL160" s="650"/>
      <c r="AM160" s="650"/>
      <c r="AN160" s="650"/>
      <c r="AO160" s="650"/>
      <c r="AP160" s="650"/>
      <c r="AQ160" s="650"/>
      <c r="AR160" s="650"/>
      <c r="AS160" s="650"/>
      <c r="AT160" s="650"/>
      <c r="AU160" s="650"/>
      <c r="AV160" s="650"/>
      <c r="AW160" s="650"/>
      <c r="AX160" s="650"/>
      <c r="AY160" s="650"/>
    </row>
    <row r="161" ht="21.75" customHeight="1">
      <c r="A161" s="650"/>
      <c r="B161" s="650"/>
      <c r="C161" s="650"/>
      <c r="D161" s="650"/>
      <c r="E161" s="650"/>
      <c r="F161" s="650"/>
      <c r="G161" s="650"/>
      <c r="H161" s="650"/>
      <c r="I161" s="650"/>
      <c r="J161" s="650"/>
      <c r="K161" s="650"/>
      <c r="L161" s="650"/>
      <c r="M161" s="650"/>
      <c r="N161" s="650"/>
      <c r="O161" s="650"/>
      <c r="P161" s="650"/>
      <c r="Q161" s="650"/>
      <c r="R161" s="650"/>
      <c r="S161" s="650"/>
      <c r="T161" s="650"/>
      <c r="U161" s="650"/>
      <c r="V161" s="650"/>
      <c r="W161" s="650"/>
      <c r="X161" s="650"/>
      <c r="Y161" s="650"/>
      <c r="Z161" s="650"/>
      <c r="AA161" s="650"/>
      <c r="AB161" s="650"/>
      <c r="AC161" s="650"/>
      <c r="AD161" s="650"/>
      <c r="AE161" s="650"/>
      <c r="AF161" s="650"/>
      <c r="AG161" s="650"/>
      <c r="AH161" s="650"/>
      <c r="AI161" s="650"/>
      <c r="AJ161" s="650"/>
      <c r="AK161" s="650"/>
      <c r="AL161" s="650"/>
      <c r="AM161" s="650"/>
      <c r="AN161" s="650"/>
      <c r="AO161" s="650"/>
      <c r="AP161" s="650"/>
      <c r="AQ161" s="650"/>
      <c r="AR161" s="650"/>
      <c r="AS161" s="650"/>
      <c r="AT161" s="650"/>
      <c r="AU161" s="650"/>
      <c r="AV161" s="650"/>
      <c r="AW161" s="650"/>
      <c r="AX161" s="650"/>
      <c r="AY161" s="650"/>
    </row>
    <row r="162" ht="21.75" customHeight="1">
      <c r="A162" s="650"/>
      <c r="B162" s="650"/>
      <c r="C162" s="650"/>
      <c r="D162" s="650"/>
      <c r="E162" s="650"/>
      <c r="F162" s="650"/>
      <c r="G162" s="650"/>
      <c r="H162" s="650"/>
      <c r="I162" s="650"/>
      <c r="J162" s="650"/>
      <c r="K162" s="650"/>
      <c r="L162" s="650"/>
      <c r="M162" s="650"/>
      <c r="N162" s="650"/>
      <c r="O162" s="650"/>
      <c r="P162" s="650"/>
      <c r="Q162" s="650"/>
      <c r="R162" s="650"/>
      <c r="S162" s="650"/>
      <c r="T162" s="650"/>
      <c r="U162" s="650"/>
      <c r="V162" s="650"/>
      <c r="W162" s="650"/>
      <c r="X162" s="650"/>
      <c r="Y162" s="650"/>
      <c r="Z162" s="650"/>
      <c r="AA162" s="650"/>
      <c r="AB162" s="650"/>
      <c r="AC162" s="650"/>
      <c r="AD162" s="650"/>
      <c r="AE162" s="650"/>
      <c r="AF162" s="650"/>
      <c r="AG162" s="650"/>
      <c r="AH162" s="650"/>
      <c r="AI162" s="650"/>
      <c r="AJ162" s="650"/>
      <c r="AK162" s="650"/>
      <c r="AL162" s="650"/>
      <c r="AM162" s="650"/>
      <c r="AN162" s="650"/>
      <c r="AO162" s="650"/>
      <c r="AP162" s="650"/>
      <c r="AQ162" s="650"/>
      <c r="AR162" s="650"/>
      <c r="AS162" s="650"/>
      <c r="AT162" s="650"/>
      <c r="AU162" s="650"/>
      <c r="AV162" s="650"/>
      <c r="AW162" s="650"/>
      <c r="AX162" s="650"/>
      <c r="AY162" s="650"/>
    </row>
    <row r="163" ht="21.75" customHeight="1">
      <c r="A163" s="650"/>
      <c r="B163" s="650"/>
      <c r="C163" s="650"/>
      <c r="D163" s="650"/>
      <c r="E163" s="650"/>
      <c r="F163" s="650"/>
      <c r="G163" s="650"/>
      <c r="H163" s="650"/>
      <c r="I163" s="650"/>
      <c r="J163" s="650"/>
      <c r="K163" s="650"/>
      <c r="L163" s="650"/>
      <c r="M163" s="650"/>
      <c r="N163" s="650"/>
      <c r="O163" s="650"/>
      <c r="P163" s="650"/>
      <c r="Q163" s="650"/>
      <c r="R163" s="650"/>
      <c r="S163" s="650"/>
      <c r="T163" s="650"/>
      <c r="U163" s="650"/>
      <c r="V163" s="650"/>
      <c r="W163" s="650"/>
      <c r="X163" s="650"/>
      <c r="Y163" s="650"/>
      <c r="Z163" s="650"/>
      <c r="AA163" s="650"/>
      <c r="AB163" s="650"/>
      <c r="AC163" s="650"/>
      <c r="AD163" s="650"/>
      <c r="AE163" s="650"/>
      <c r="AF163" s="650"/>
      <c r="AG163" s="650"/>
      <c r="AH163" s="650"/>
      <c r="AI163" s="650"/>
      <c r="AJ163" s="650"/>
      <c r="AK163" s="650"/>
      <c r="AL163" s="650"/>
      <c r="AM163" s="650"/>
      <c r="AN163" s="650"/>
      <c r="AO163" s="650"/>
      <c r="AP163" s="650"/>
      <c r="AQ163" s="650"/>
      <c r="AR163" s="650"/>
      <c r="AS163" s="650"/>
      <c r="AT163" s="650"/>
      <c r="AU163" s="650"/>
      <c r="AV163" s="650"/>
      <c r="AW163" s="650"/>
      <c r="AX163" s="650"/>
      <c r="AY163" s="650"/>
    </row>
    <row r="164" ht="21.75" customHeight="1">
      <c r="A164" s="650"/>
      <c r="B164" s="650"/>
      <c r="C164" s="650"/>
      <c r="D164" s="650"/>
      <c r="E164" s="650"/>
      <c r="F164" s="650"/>
      <c r="G164" s="650"/>
      <c r="H164" s="650"/>
      <c r="I164" s="650"/>
      <c r="J164" s="650"/>
      <c r="K164" s="650"/>
      <c r="L164" s="650"/>
      <c r="M164" s="650"/>
      <c r="N164" s="650"/>
      <c r="O164" s="650"/>
      <c r="P164" s="650"/>
      <c r="Q164" s="650"/>
      <c r="R164" s="650"/>
      <c r="S164" s="650"/>
      <c r="T164" s="650"/>
      <c r="U164" s="650"/>
      <c r="V164" s="650"/>
      <c r="W164" s="650"/>
      <c r="X164" s="650"/>
      <c r="Y164" s="650"/>
      <c r="Z164" s="650"/>
      <c r="AA164" s="650"/>
      <c r="AB164" s="650"/>
      <c r="AC164" s="650"/>
      <c r="AD164" s="650"/>
      <c r="AE164" s="650"/>
      <c r="AF164" s="650"/>
      <c r="AG164" s="650"/>
      <c r="AH164" s="650"/>
      <c r="AI164" s="650"/>
      <c r="AJ164" s="650"/>
      <c r="AK164" s="650"/>
      <c r="AL164" s="650"/>
      <c r="AM164" s="650"/>
      <c r="AN164" s="650"/>
      <c r="AO164" s="650"/>
      <c r="AP164" s="650"/>
      <c r="AQ164" s="650"/>
      <c r="AR164" s="650"/>
      <c r="AS164" s="650"/>
      <c r="AT164" s="650"/>
      <c r="AU164" s="650"/>
      <c r="AV164" s="650"/>
      <c r="AW164" s="650"/>
      <c r="AX164" s="650"/>
      <c r="AY164" s="650"/>
    </row>
    <row r="165" ht="21.75" customHeight="1">
      <c r="A165" s="650"/>
      <c r="B165" s="650"/>
      <c r="C165" s="650"/>
      <c r="D165" s="650"/>
      <c r="E165" s="650"/>
      <c r="F165" s="650"/>
      <c r="G165" s="650"/>
      <c r="H165" s="650"/>
      <c r="I165" s="650"/>
      <c r="J165" s="650"/>
      <c r="K165" s="650"/>
      <c r="L165" s="650"/>
      <c r="M165" s="650"/>
      <c r="N165" s="650"/>
      <c r="O165" s="650"/>
      <c r="P165" s="650"/>
      <c r="Q165" s="650"/>
      <c r="R165" s="650"/>
      <c r="S165" s="650"/>
      <c r="T165" s="650"/>
      <c r="U165" s="650"/>
      <c r="V165" s="650"/>
      <c r="W165" s="650"/>
      <c r="X165" s="650"/>
      <c r="Y165" s="650"/>
      <c r="Z165" s="650"/>
      <c r="AA165" s="650"/>
      <c r="AB165" s="650"/>
      <c r="AC165" s="650"/>
      <c r="AD165" s="650"/>
      <c r="AE165" s="650"/>
      <c r="AF165" s="650"/>
      <c r="AG165" s="650"/>
      <c r="AH165" s="650"/>
      <c r="AI165" s="650"/>
      <c r="AJ165" s="650"/>
      <c r="AK165" s="650"/>
      <c r="AL165" s="650"/>
      <c r="AM165" s="650"/>
      <c r="AN165" s="650"/>
      <c r="AO165" s="650"/>
      <c r="AP165" s="650"/>
      <c r="AQ165" s="650"/>
      <c r="AR165" s="650"/>
      <c r="AS165" s="650"/>
      <c r="AT165" s="650"/>
      <c r="AU165" s="650"/>
      <c r="AV165" s="650"/>
      <c r="AW165" s="650"/>
      <c r="AX165" s="650"/>
      <c r="AY165" s="650"/>
    </row>
    <row r="166" ht="21.75" customHeight="1">
      <c r="A166" s="650"/>
      <c r="B166" s="650"/>
      <c r="C166" s="650"/>
      <c r="D166" s="650"/>
      <c r="E166" s="650"/>
      <c r="F166" s="650"/>
      <c r="G166" s="650"/>
      <c r="H166" s="650"/>
      <c r="I166" s="650"/>
      <c r="J166" s="650"/>
      <c r="K166" s="650"/>
      <c r="L166" s="650"/>
      <c r="M166" s="650"/>
      <c r="N166" s="650"/>
      <c r="O166" s="650"/>
      <c r="P166" s="650"/>
      <c r="Q166" s="650"/>
      <c r="R166" s="650"/>
      <c r="S166" s="650"/>
      <c r="T166" s="650"/>
      <c r="U166" s="650"/>
      <c r="V166" s="650"/>
      <c r="W166" s="650"/>
      <c r="X166" s="650"/>
      <c r="Y166" s="650"/>
      <c r="Z166" s="650"/>
      <c r="AA166" s="650"/>
      <c r="AB166" s="650"/>
      <c r="AC166" s="650"/>
      <c r="AD166" s="650"/>
      <c r="AE166" s="650"/>
      <c r="AF166" s="650"/>
      <c r="AG166" s="650"/>
      <c r="AH166" s="650"/>
      <c r="AI166" s="650"/>
      <c r="AJ166" s="650"/>
      <c r="AK166" s="650"/>
      <c r="AL166" s="650"/>
      <c r="AM166" s="650"/>
      <c r="AN166" s="650"/>
      <c r="AO166" s="650"/>
      <c r="AP166" s="650"/>
      <c r="AQ166" s="650"/>
      <c r="AR166" s="650"/>
      <c r="AS166" s="650"/>
      <c r="AT166" s="650"/>
      <c r="AU166" s="650"/>
      <c r="AV166" s="650"/>
      <c r="AW166" s="650"/>
      <c r="AX166" s="650"/>
      <c r="AY166" s="650"/>
    </row>
    <row r="167" ht="21.75" customHeight="1">
      <c r="A167" s="650"/>
      <c r="B167" s="650"/>
      <c r="C167" s="650"/>
      <c r="D167" s="650"/>
      <c r="E167" s="650"/>
      <c r="F167" s="650"/>
      <c r="G167" s="650"/>
      <c r="H167" s="650"/>
      <c r="I167" s="650"/>
      <c r="J167" s="650"/>
      <c r="K167" s="650"/>
      <c r="L167" s="650"/>
      <c r="M167" s="650"/>
      <c r="N167" s="650"/>
      <c r="O167" s="650"/>
      <c r="P167" s="650"/>
      <c r="Q167" s="650"/>
      <c r="R167" s="650"/>
      <c r="S167" s="650"/>
      <c r="T167" s="650"/>
      <c r="U167" s="650"/>
      <c r="V167" s="650"/>
      <c r="W167" s="650"/>
      <c r="X167" s="650"/>
      <c r="Y167" s="650"/>
      <c r="Z167" s="650"/>
      <c r="AA167" s="650"/>
      <c r="AB167" s="650"/>
      <c r="AC167" s="650"/>
      <c r="AD167" s="650"/>
      <c r="AE167" s="650"/>
      <c r="AF167" s="650"/>
      <c r="AG167" s="650"/>
      <c r="AH167" s="650"/>
      <c r="AI167" s="650"/>
      <c r="AJ167" s="650"/>
      <c r="AK167" s="650"/>
      <c r="AL167" s="650"/>
      <c r="AM167" s="650"/>
      <c r="AN167" s="650"/>
      <c r="AO167" s="650"/>
      <c r="AP167" s="650"/>
      <c r="AQ167" s="650"/>
      <c r="AR167" s="650"/>
      <c r="AS167" s="650"/>
      <c r="AT167" s="650"/>
      <c r="AU167" s="650"/>
      <c r="AV167" s="650"/>
      <c r="AW167" s="650"/>
      <c r="AX167" s="650"/>
      <c r="AY167" s="650"/>
    </row>
    <row r="168" ht="21.75" customHeight="1">
      <c r="A168" s="650"/>
      <c r="B168" s="650"/>
      <c r="C168" s="650"/>
      <c r="D168" s="650"/>
      <c r="E168" s="650"/>
      <c r="F168" s="650"/>
      <c r="G168" s="650"/>
      <c r="H168" s="650"/>
      <c r="I168" s="650"/>
      <c r="J168" s="650"/>
      <c r="K168" s="650"/>
      <c r="L168" s="650"/>
      <c r="M168" s="650"/>
      <c r="N168" s="650"/>
      <c r="O168" s="650"/>
      <c r="P168" s="650"/>
      <c r="Q168" s="650"/>
      <c r="R168" s="650"/>
      <c r="S168" s="650"/>
      <c r="T168" s="650"/>
      <c r="U168" s="650"/>
      <c r="V168" s="650"/>
      <c r="W168" s="650"/>
      <c r="X168" s="650"/>
      <c r="Y168" s="650"/>
      <c r="Z168" s="650"/>
      <c r="AA168" s="650"/>
      <c r="AB168" s="650"/>
      <c r="AC168" s="650"/>
      <c r="AD168" s="650"/>
      <c r="AE168" s="650"/>
      <c r="AF168" s="650"/>
      <c r="AG168" s="650"/>
      <c r="AH168" s="650"/>
      <c r="AI168" s="650"/>
      <c r="AJ168" s="650"/>
      <c r="AK168" s="650"/>
      <c r="AL168" s="650"/>
      <c r="AM168" s="650"/>
      <c r="AN168" s="650"/>
      <c r="AO168" s="650"/>
      <c r="AP168" s="650"/>
      <c r="AQ168" s="650"/>
      <c r="AR168" s="650"/>
      <c r="AS168" s="650"/>
      <c r="AT168" s="650"/>
      <c r="AU168" s="650"/>
      <c r="AV168" s="650"/>
      <c r="AW168" s="650"/>
      <c r="AX168" s="650"/>
      <c r="AY168" s="650"/>
    </row>
    <row r="169" ht="21.75" customHeight="1">
      <c r="A169" s="650"/>
      <c r="B169" s="650"/>
      <c r="C169" s="650"/>
      <c r="D169" s="650"/>
      <c r="E169" s="650"/>
      <c r="F169" s="650"/>
      <c r="G169" s="650"/>
      <c r="H169" s="650"/>
      <c r="I169" s="650"/>
      <c r="J169" s="650"/>
      <c r="K169" s="650"/>
      <c r="L169" s="650"/>
      <c r="M169" s="650"/>
      <c r="N169" s="650"/>
      <c r="O169" s="650"/>
      <c r="P169" s="650"/>
      <c r="Q169" s="650"/>
      <c r="R169" s="650"/>
      <c r="S169" s="650"/>
      <c r="T169" s="650"/>
      <c r="U169" s="650"/>
      <c r="V169" s="650"/>
      <c r="W169" s="650"/>
      <c r="X169" s="650"/>
      <c r="Y169" s="650"/>
      <c r="Z169" s="650"/>
      <c r="AA169" s="650"/>
      <c r="AB169" s="650"/>
      <c r="AC169" s="650"/>
      <c r="AD169" s="650"/>
      <c r="AE169" s="650"/>
      <c r="AF169" s="650"/>
      <c r="AG169" s="650"/>
      <c r="AH169" s="650"/>
      <c r="AI169" s="650"/>
      <c r="AJ169" s="650"/>
      <c r="AK169" s="650"/>
      <c r="AL169" s="650"/>
      <c r="AM169" s="650"/>
      <c r="AN169" s="650"/>
      <c r="AO169" s="650"/>
      <c r="AP169" s="650"/>
      <c r="AQ169" s="650"/>
      <c r="AR169" s="650"/>
      <c r="AS169" s="650"/>
      <c r="AT169" s="650"/>
      <c r="AU169" s="650"/>
      <c r="AV169" s="650"/>
      <c r="AW169" s="650"/>
      <c r="AX169" s="650"/>
      <c r="AY169" s="650"/>
    </row>
    <row r="170" ht="21.75" customHeight="1">
      <c r="A170" s="650"/>
      <c r="B170" s="650"/>
      <c r="C170" s="650"/>
      <c r="D170" s="650"/>
      <c r="E170" s="650"/>
      <c r="F170" s="650"/>
      <c r="G170" s="650"/>
      <c r="H170" s="650"/>
      <c r="I170" s="650"/>
      <c r="J170" s="650"/>
      <c r="K170" s="650"/>
      <c r="L170" s="650"/>
      <c r="M170" s="650"/>
      <c r="N170" s="650"/>
      <c r="O170" s="650"/>
      <c r="P170" s="650"/>
      <c r="Q170" s="650"/>
      <c r="R170" s="650"/>
      <c r="S170" s="650"/>
      <c r="T170" s="650"/>
      <c r="U170" s="650"/>
      <c r="V170" s="650"/>
      <c r="W170" s="650"/>
      <c r="X170" s="650"/>
      <c r="Y170" s="650"/>
      <c r="Z170" s="650"/>
      <c r="AA170" s="650"/>
      <c r="AB170" s="650"/>
      <c r="AC170" s="650"/>
      <c r="AD170" s="650"/>
      <c r="AE170" s="650"/>
      <c r="AF170" s="650"/>
      <c r="AG170" s="650"/>
      <c r="AH170" s="650"/>
      <c r="AI170" s="650"/>
      <c r="AJ170" s="650"/>
      <c r="AK170" s="650"/>
      <c r="AL170" s="650"/>
      <c r="AM170" s="650"/>
      <c r="AN170" s="650"/>
      <c r="AO170" s="650"/>
      <c r="AP170" s="650"/>
      <c r="AQ170" s="650"/>
      <c r="AR170" s="650"/>
      <c r="AS170" s="650"/>
      <c r="AT170" s="650"/>
      <c r="AU170" s="650"/>
      <c r="AV170" s="650"/>
      <c r="AW170" s="650"/>
      <c r="AX170" s="650"/>
      <c r="AY170" s="650"/>
    </row>
    <row r="171" ht="21.75" customHeight="1">
      <c r="A171" s="650"/>
      <c r="B171" s="650"/>
      <c r="C171" s="650"/>
      <c r="D171" s="650"/>
      <c r="E171" s="650"/>
      <c r="F171" s="650"/>
      <c r="G171" s="650"/>
      <c r="H171" s="650"/>
      <c r="I171" s="650"/>
      <c r="J171" s="650"/>
      <c r="K171" s="650"/>
      <c r="L171" s="650"/>
      <c r="M171" s="650"/>
      <c r="N171" s="650"/>
      <c r="O171" s="650"/>
      <c r="P171" s="650"/>
      <c r="Q171" s="650"/>
      <c r="R171" s="650"/>
      <c r="S171" s="650"/>
      <c r="T171" s="650"/>
      <c r="U171" s="650"/>
      <c r="V171" s="650"/>
      <c r="W171" s="650"/>
      <c r="X171" s="650"/>
      <c r="Y171" s="650"/>
      <c r="Z171" s="650"/>
      <c r="AA171" s="650"/>
      <c r="AB171" s="650"/>
      <c r="AC171" s="650"/>
      <c r="AD171" s="650"/>
      <c r="AE171" s="650"/>
      <c r="AF171" s="650"/>
      <c r="AG171" s="650"/>
      <c r="AH171" s="650"/>
      <c r="AI171" s="650"/>
      <c r="AJ171" s="650"/>
      <c r="AK171" s="650"/>
      <c r="AL171" s="650"/>
      <c r="AM171" s="650"/>
      <c r="AN171" s="650"/>
      <c r="AO171" s="650"/>
      <c r="AP171" s="650"/>
      <c r="AQ171" s="650"/>
      <c r="AR171" s="650"/>
      <c r="AS171" s="650"/>
      <c r="AT171" s="650"/>
      <c r="AU171" s="650"/>
      <c r="AV171" s="650"/>
      <c r="AW171" s="650"/>
      <c r="AX171" s="650"/>
      <c r="AY171" s="650"/>
    </row>
    <row r="172" ht="21.75" customHeight="1">
      <c r="A172" s="650"/>
      <c r="B172" s="650"/>
      <c r="C172" s="650"/>
      <c r="D172" s="650"/>
      <c r="E172" s="650"/>
      <c r="F172" s="650"/>
      <c r="G172" s="650"/>
      <c r="H172" s="650"/>
      <c r="I172" s="650"/>
      <c r="J172" s="650"/>
      <c r="K172" s="650"/>
      <c r="L172" s="650"/>
      <c r="M172" s="650"/>
      <c r="N172" s="650"/>
      <c r="O172" s="650"/>
      <c r="P172" s="650"/>
      <c r="Q172" s="650"/>
      <c r="R172" s="650"/>
      <c r="S172" s="650"/>
      <c r="T172" s="650"/>
      <c r="U172" s="650"/>
      <c r="V172" s="650"/>
      <c r="W172" s="650"/>
      <c r="X172" s="650"/>
      <c r="Y172" s="650"/>
      <c r="Z172" s="650"/>
      <c r="AA172" s="650"/>
      <c r="AB172" s="650"/>
      <c r="AC172" s="650"/>
      <c r="AD172" s="650"/>
      <c r="AE172" s="650"/>
      <c r="AF172" s="650"/>
      <c r="AG172" s="650"/>
      <c r="AH172" s="650"/>
      <c r="AI172" s="650"/>
      <c r="AJ172" s="650"/>
      <c r="AK172" s="650"/>
      <c r="AL172" s="650"/>
      <c r="AM172" s="650"/>
      <c r="AN172" s="650"/>
      <c r="AO172" s="650"/>
      <c r="AP172" s="650"/>
      <c r="AQ172" s="650"/>
      <c r="AR172" s="650"/>
      <c r="AS172" s="650"/>
      <c r="AT172" s="650"/>
      <c r="AU172" s="650"/>
      <c r="AV172" s="650"/>
      <c r="AW172" s="650"/>
      <c r="AX172" s="650"/>
      <c r="AY172" s="650"/>
    </row>
    <row r="173" ht="21.75" customHeight="1">
      <c r="A173" s="650"/>
      <c r="B173" s="650"/>
      <c r="C173" s="650"/>
      <c r="D173" s="650"/>
      <c r="E173" s="650"/>
      <c r="F173" s="650"/>
      <c r="G173" s="650"/>
      <c r="H173" s="650"/>
      <c r="I173" s="650"/>
      <c r="J173" s="650"/>
      <c r="K173" s="650"/>
      <c r="L173" s="650"/>
      <c r="M173" s="650"/>
      <c r="N173" s="650"/>
      <c r="O173" s="650"/>
      <c r="P173" s="650"/>
      <c r="Q173" s="650"/>
      <c r="R173" s="650"/>
      <c r="S173" s="650"/>
      <c r="T173" s="650"/>
      <c r="U173" s="650"/>
      <c r="V173" s="650"/>
      <c r="W173" s="650"/>
      <c r="X173" s="650"/>
      <c r="Y173" s="650"/>
      <c r="Z173" s="650"/>
      <c r="AA173" s="650"/>
      <c r="AB173" s="650"/>
      <c r="AC173" s="650"/>
      <c r="AD173" s="650"/>
      <c r="AE173" s="650"/>
      <c r="AF173" s="650"/>
      <c r="AG173" s="650"/>
      <c r="AH173" s="650"/>
      <c r="AI173" s="650"/>
      <c r="AJ173" s="650"/>
      <c r="AK173" s="650"/>
      <c r="AL173" s="650"/>
      <c r="AM173" s="650"/>
      <c r="AN173" s="650"/>
      <c r="AO173" s="650"/>
      <c r="AP173" s="650"/>
      <c r="AQ173" s="650"/>
      <c r="AR173" s="650"/>
      <c r="AS173" s="650"/>
      <c r="AT173" s="650"/>
      <c r="AU173" s="650"/>
      <c r="AV173" s="650"/>
      <c r="AW173" s="650"/>
      <c r="AX173" s="650"/>
      <c r="AY173" s="650"/>
    </row>
    <row r="174" ht="21.75" customHeight="1">
      <c r="A174" s="650"/>
      <c r="B174" s="650"/>
      <c r="C174" s="650"/>
      <c r="D174" s="650"/>
      <c r="E174" s="650"/>
      <c r="F174" s="650"/>
      <c r="G174" s="650"/>
      <c r="H174" s="650"/>
      <c r="I174" s="650"/>
      <c r="J174" s="650"/>
      <c r="K174" s="650"/>
      <c r="L174" s="650"/>
      <c r="M174" s="650"/>
      <c r="N174" s="650"/>
      <c r="O174" s="650"/>
      <c r="P174" s="650"/>
      <c r="Q174" s="650"/>
      <c r="R174" s="650"/>
      <c r="S174" s="650"/>
      <c r="T174" s="650"/>
      <c r="U174" s="650"/>
      <c r="V174" s="650"/>
      <c r="W174" s="650"/>
      <c r="X174" s="650"/>
      <c r="Y174" s="650"/>
      <c r="Z174" s="650"/>
      <c r="AA174" s="650"/>
      <c r="AB174" s="650"/>
      <c r="AC174" s="650"/>
      <c r="AD174" s="650"/>
      <c r="AE174" s="650"/>
      <c r="AF174" s="650"/>
      <c r="AG174" s="650"/>
      <c r="AH174" s="650"/>
      <c r="AI174" s="650"/>
      <c r="AJ174" s="650"/>
      <c r="AK174" s="650"/>
      <c r="AL174" s="650"/>
      <c r="AM174" s="650"/>
      <c r="AN174" s="650"/>
      <c r="AO174" s="650"/>
      <c r="AP174" s="650"/>
      <c r="AQ174" s="650"/>
      <c r="AR174" s="650"/>
      <c r="AS174" s="650"/>
      <c r="AT174" s="650"/>
      <c r="AU174" s="650"/>
      <c r="AV174" s="650"/>
      <c r="AW174" s="650"/>
      <c r="AX174" s="650"/>
      <c r="AY174" s="650"/>
    </row>
    <row r="175" ht="21.75" customHeight="1">
      <c r="A175" s="650"/>
      <c r="B175" s="650"/>
      <c r="C175" s="650"/>
      <c r="D175" s="650"/>
      <c r="E175" s="650"/>
      <c r="F175" s="650"/>
      <c r="G175" s="650"/>
      <c r="H175" s="650"/>
      <c r="I175" s="650"/>
      <c r="J175" s="650"/>
      <c r="K175" s="650"/>
      <c r="L175" s="650"/>
      <c r="M175" s="650"/>
      <c r="N175" s="650"/>
      <c r="O175" s="650"/>
      <c r="P175" s="650"/>
      <c r="Q175" s="650"/>
      <c r="R175" s="650"/>
      <c r="S175" s="650"/>
      <c r="T175" s="650"/>
      <c r="U175" s="650"/>
      <c r="V175" s="650"/>
      <c r="W175" s="650"/>
      <c r="X175" s="650"/>
      <c r="Y175" s="650"/>
      <c r="Z175" s="650"/>
      <c r="AA175" s="650"/>
      <c r="AB175" s="650"/>
      <c r="AC175" s="650"/>
      <c r="AD175" s="650"/>
      <c r="AE175" s="650"/>
      <c r="AF175" s="650"/>
      <c r="AG175" s="650"/>
      <c r="AH175" s="650"/>
      <c r="AI175" s="650"/>
      <c r="AJ175" s="650"/>
      <c r="AK175" s="650"/>
      <c r="AL175" s="650"/>
      <c r="AM175" s="650"/>
      <c r="AN175" s="650"/>
      <c r="AO175" s="650"/>
      <c r="AP175" s="650"/>
      <c r="AQ175" s="650"/>
      <c r="AR175" s="650"/>
      <c r="AS175" s="650"/>
      <c r="AT175" s="650"/>
      <c r="AU175" s="650"/>
      <c r="AV175" s="650"/>
      <c r="AW175" s="650"/>
      <c r="AX175" s="650"/>
      <c r="AY175" s="650"/>
    </row>
    <row r="176" ht="21.75" customHeight="1">
      <c r="A176" s="650"/>
      <c r="B176" s="650"/>
      <c r="C176" s="650"/>
      <c r="D176" s="650"/>
      <c r="E176" s="650"/>
      <c r="F176" s="650"/>
      <c r="G176" s="650"/>
      <c r="H176" s="650"/>
      <c r="I176" s="650"/>
      <c r="J176" s="650"/>
      <c r="K176" s="650"/>
      <c r="L176" s="650"/>
      <c r="M176" s="650"/>
      <c r="N176" s="650"/>
      <c r="O176" s="650"/>
      <c r="P176" s="650"/>
      <c r="Q176" s="650"/>
      <c r="R176" s="650"/>
      <c r="S176" s="650"/>
      <c r="T176" s="650"/>
      <c r="U176" s="650"/>
      <c r="V176" s="650"/>
      <c r="W176" s="650"/>
      <c r="X176" s="650"/>
      <c r="Y176" s="650"/>
      <c r="Z176" s="650"/>
      <c r="AA176" s="650"/>
      <c r="AB176" s="650"/>
      <c r="AC176" s="650"/>
      <c r="AD176" s="650"/>
      <c r="AE176" s="650"/>
      <c r="AF176" s="650"/>
      <c r="AG176" s="650"/>
      <c r="AH176" s="650"/>
      <c r="AI176" s="650"/>
      <c r="AJ176" s="650"/>
      <c r="AK176" s="650"/>
      <c r="AL176" s="650"/>
      <c r="AM176" s="650"/>
      <c r="AN176" s="650"/>
      <c r="AO176" s="650"/>
      <c r="AP176" s="650"/>
      <c r="AQ176" s="650"/>
      <c r="AR176" s="650"/>
      <c r="AS176" s="650"/>
      <c r="AT176" s="650"/>
      <c r="AU176" s="650"/>
      <c r="AV176" s="650"/>
      <c r="AW176" s="650"/>
      <c r="AX176" s="650"/>
      <c r="AY176" s="650"/>
    </row>
    <row r="177" ht="21.75" customHeight="1">
      <c r="A177" s="650"/>
      <c r="B177" s="650"/>
      <c r="C177" s="650"/>
      <c r="D177" s="650"/>
      <c r="E177" s="650"/>
      <c r="F177" s="650"/>
      <c r="G177" s="650"/>
      <c r="H177" s="650"/>
      <c r="I177" s="650"/>
      <c r="J177" s="650"/>
      <c r="K177" s="650"/>
      <c r="L177" s="650"/>
      <c r="M177" s="650"/>
      <c r="N177" s="650"/>
      <c r="O177" s="650"/>
      <c r="P177" s="650"/>
      <c r="Q177" s="650"/>
      <c r="R177" s="650"/>
      <c r="S177" s="650"/>
      <c r="T177" s="650"/>
      <c r="U177" s="650"/>
      <c r="V177" s="650"/>
      <c r="W177" s="650"/>
      <c r="X177" s="650"/>
      <c r="Y177" s="650"/>
      <c r="Z177" s="650"/>
      <c r="AA177" s="650"/>
      <c r="AB177" s="650"/>
      <c r="AC177" s="650"/>
      <c r="AD177" s="650"/>
      <c r="AE177" s="650"/>
      <c r="AF177" s="650"/>
      <c r="AG177" s="650"/>
      <c r="AH177" s="650"/>
      <c r="AI177" s="650"/>
      <c r="AJ177" s="650"/>
      <c r="AK177" s="650"/>
      <c r="AL177" s="650"/>
      <c r="AM177" s="650"/>
      <c r="AN177" s="650"/>
      <c r="AO177" s="650"/>
      <c r="AP177" s="650"/>
      <c r="AQ177" s="650"/>
      <c r="AR177" s="650"/>
      <c r="AS177" s="650"/>
      <c r="AT177" s="650"/>
      <c r="AU177" s="650"/>
      <c r="AV177" s="650"/>
      <c r="AW177" s="650"/>
      <c r="AX177" s="650"/>
      <c r="AY177" s="650"/>
    </row>
    <row r="178" ht="21.75" customHeight="1">
      <c r="A178" s="650"/>
      <c r="B178" s="650"/>
      <c r="C178" s="650"/>
      <c r="D178" s="650"/>
      <c r="E178" s="650"/>
      <c r="F178" s="650"/>
      <c r="G178" s="650"/>
      <c r="H178" s="650"/>
      <c r="I178" s="650"/>
      <c r="J178" s="650"/>
      <c r="K178" s="650"/>
      <c r="L178" s="650"/>
      <c r="M178" s="650"/>
      <c r="N178" s="650"/>
      <c r="O178" s="650"/>
      <c r="P178" s="650"/>
      <c r="Q178" s="650"/>
      <c r="R178" s="650"/>
      <c r="S178" s="650"/>
      <c r="T178" s="650"/>
      <c r="U178" s="650"/>
      <c r="V178" s="650"/>
      <c r="W178" s="650"/>
      <c r="X178" s="650"/>
      <c r="Y178" s="650"/>
      <c r="Z178" s="650"/>
      <c r="AA178" s="650"/>
      <c r="AB178" s="650"/>
      <c r="AC178" s="650"/>
      <c r="AD178" s="650"/>
      <c r="AE178" s="650"/>
      <c r="AF178" s="650"/>
      <c r="AG178" s="650"/>
      <c r="AH178" s="650"/>
      <c r="AI178" s="650"/>
      <c r="AJ178" s="650"/>
      <c r="AK178" s="650"/>
      <c r="AL178" s="650"/>
      <c r="AM178" s="650"/>
      <c r="AN178" s="650"/>
      <c r="AO178" s="650"/>
      <c r="AP178" s="650"/>
      <c r="AQ178" s="650"/>
      <c r="AR178" s="650"/>
      <c r="AS178" s="650"/>
      <c r="AT178" s="650"/>
      <c r="AU178" s="650"/>
      <c r="AV178" s="650"/>
      <c r="AW178" s="650"/>
      <c r="AX178" s="650"/>
      <c r="AY178" s="650"/>
    </row>
    <row r="179" ht="21.75" customHeight="1">
      <c r="A179" s="650"/>
      <c r="B179" s="650"/>
      <c r="C179" s="650"/>
      <c r="D179" s="650"/>
      <c r="E179" s="650"/>
      <c r="F179" s="650"/>
      <c r="G179" s="650"/>
      <c r="H179" s="650"/>
      <c r="I179" s="650"/>
      <c r="J179" s="650"/>
      <c r="K179" s="650"/>
      <c r="L179" s="650"/>
      <c r="M179" s="650"/>
      <c r="N179" s="650"/>
      <c r="O179" s="650"/>
      <c r="P179" s="650"/>
      <c r="Q179" s="650"/>
      <c r="R179" s="650"/>
      <c r="S179" s="650"/>
      <c r="T179" s="650"/>
      <c r="U179" s="650"/>
      <c r="V179" s="650"/>
      <c r="W179" s="650"/>
      <c r="X179" s="650"/>
      <c r="Y179" s="650"/>
      <c r="Z179" s="650"/>
      <c r="AA179" s="650"/>
      <c r="AB179" s="650"/>
      <c r="AC179" s="650"/>
      <c r="AD179" s="650"/>
      <c r="AE179" s="650"/>
      <c r="AF179" s="650"/>
      <c r="AG179" s="650"/>
      <c r="AH179" s="650"/>
      <c r="AI179" s="650"/>
      <c r="AJ179" s="650"/>
      <c r="AK179" s="650"/>
      <c r="AL179" s="650"/>
      <c r="AM179" s="650"/>
      <c r="AN179" s="650"/>
      <c r="AO179" s="650"/>
      <c r="AP179" s="650"/>
      <c r="AQ179" s="650"/>
      <c r="AR179" s="650"/>
      <c r="AS179" s="650"/>
      <c r="AT179" s="650"/>
      <c r="AU179" s="650"/>
      <c r="AV179" s="650"/>
      <c r="AW179" s="650"/>
      <c r="AX179" s="650"/>
      <c r="AY179" s="650"/>
    </row>
    <row r="180" ht="21.75" customHeight="1">
      <c r="A180" s="650"/>
      <c r="B180" s="650"/>
      <c r="C180" s="650"/>
      <c r="D180" s="650"/>
      <c r="E180" s="650"/>
      <c r="F180" s="650"/>
      <c r="G180" s="650"/>
      <c r="H180" s="650"/>
      <c r="I180" s="650"/>
      <c r="J180" s="650"/>
      <c r="K180" s="650"/>
      <c r="L180" s="650"/>
      <c r="M180" s="650"/>
      <c r="N180" s="650"/>
      <c r="O180" s="650"/>
      <c r="P180" s="650"/>
      <c r="Q180" s="650"/>
      <c r="R180" s="650"/>
      <c r="S180" s="650"/>
      <c r="T180" s="650"/>
      <c r="U180" s="650"/>
      <c r="V180" s="650"/>
      <c r="W180" s="650"/>
      <c r="X180" s="650"/>
      <c r="Y180" s="650"/>
      <c r="Z180" s="650"/>
      <c r="AA180" s="650"/>
      <c r="AB180" s="650"/>
      <c r="AC180" s="650"/>
      <c r="AD180" s="650"/>
      <c r="AE180" s="650"/>
      <c r="AF180" s="650"/>
      <c r="AG180" s="650"/>
      <c r="AH180" s="650"/>
      <c r="AI180" s="650"/>
      <c r="AJ180" s="650"/>
      <c r="AK180" s="650"/>
      <c r="AL180" s="650"/>
      <c r="AM180" s="650"/>
      <c r="AN180" s="650"/>
      <c r="AO180" s="650"/>
      <c r="AP180" s="650"/>
      <c r="AQ180" s="650"/>
      <c r="AR180" s="650"/>
      <c r="AS180" s="650"/>
      <c r="AT180" s="650"/>
      <c r="AU180" s="650"/>
      <c r="AV180" s="650"/>
      <c r="AW180" s="650"/>
      <c r="AX180" s="650"/>
      <c r="AY180" s="650"/>
    </row>
    <row r="181" ht="21.75" customHeight="1">
      <c r="A181" s="650"/>
      <c r="B181" s="650"/>
      <c r="C181" s="650"/>
      <c r="D181" s="650"/>
      <c r="E181" s="650"/>
      <c r="F181" s="650"/>
      <c r="G181" s="650"/>
      <c r="H181" s="650"/>
      <c r="I181" s="650"/>
      <c r="J181" s="650"/>
      <c r="K181" s="650"/>
      <c r="L181" s="650"/>
      <c r="M181" s="650"/>
      <c r="N181" s="650"/>
      <c r="O181" s="650"/>
      <c r="P181" s="650"/>
      <c r="Q181" s="650"/>
      <c r="R181" s="650"/>
      <c r="S181" s="650"/>
      <c r="T181" s="650"/>
      <c r="U181" s="650"/>
      <c r="V181" s="650"/>
      <c r="W181" s="650"/>
      <c r="X181" s="650"/>
      <c r="Y181" s="650"/>
      <c r="Z181" s="650"/>
      <c r="AA181" s="650"/>
      <c r="AB181" s="650"/>
      <c r="AC181" s="650"/>
      <c r="AD181" s="650"/>
      <c r="AE181" s="650"/>
      <c r="AF181" s="650"/>
      <c r="AG181" s="650"/>
      <c r="AH181" s="650"/>
      <c r="AI181" s="650"/>
      <c r="AJ181" s="650"/>
      <c r="AK181" s="650"/>
      <c r="AL181" s="650"/>
      <c r="AM181" s="650"/>
      <c r="AN181" s="650"/>
      <c r="AO181" s="650"/>
      <c r="AP181" s="650"/>
      <c r="AQ181" s="650"/>
      <c r="AR181" s="650"/>
      <c r="AS181" s="650"/>
      <c r="AT181" s="650"/>
      <c r="AU181" s="650"/>
      <c r="AV181" s="650"/>
      <c r="AW181" s="650"/>
      <c r="AX181" s="650"/>
      <c r="AY181" s="650"/>
    </row>
    <row r="182" ht="21.75" customHeight="1">
      <c r="A182" s="650"/>
      <c r="B182" s="650"/>
      <c r="C182" s="650"/>
      <c r="D182" s="650"/>
      <c r="E182" s="650"/>
      <c r="F182" s="650"/>
      <c r="G182" s="650"/>
      <c r="H182" s="650"/>
      <c r="I182" s="650"/>
      <c r="J182" s="650"/>
      <c r="K182" s="650"/>
      <c r="L182" s="650"/>
      <c r="M182" s="650"/>
      <c r="N182" s="650"/>
      <c r="O182" s="650"/>
      <c r="P182" s="650"/>
      <c r="Q182" s="650"/>
      <c r="R182" s="650"/>
      <c r="S182" s="650"/>
      <c r="T182" s="650"/>
      <c r="U182" s="650"/>
      <c r="V182" s="650"/>
      <c r="W182" s="650"/>
      <c r="X182" s="650"/>
      <c r="Y182" s="650"/>
      <c r="Z182" s="650"/>
      <c r="AA182" s="650"/>
      <c r="AB182" s="650"/>
      <c r="AC182" s="650"/>
      <c r="AD182" s="650"/>
      <c r="AE182" s="650"/>
      <c r="AF182" s="650"/>
      <c r="AG182" s="650"/>
      <c r="AH182" s="650"/>
      <c r="AI182" s="650"/>
      <c r="AJ182" s="650"/>
      <c r="AK182" s="650"/>
      <c r="AL182" s="650"/>
      <c r="AM182" s="650"/>
      <c r="AN182" s="650"/>
      <c r="AO182" s="650"/>
      <c r="AP182" s="650"/>
      <c r="AQ182" s="650"/>
      <c r="AR182" s="650"/>
      <c r="AS182" s="650"/>
      <c r="AT182" s="650"/>
      <c r="AU182" s="650"/>
      <c r="AV182" s="650"/>
      <c r="AW182" s="650"/>
      <c r="AX182" s="650"/>
      <c r="AY182" s="650"/>
    </row>
    <row r="183" ht="21.75" customHeight="1">
      <c r="A183" s="650"/>
      <c r="B183" s="650"/>
      <c r="C183" s="650"/>
      <c r="D183" s="650"/>
      <c r="E183" s="650"/>
      <c r="F183" s="650"/>
      <c r="G183" s="650"/>
      <c r="H183" s="650"/>
      <c r="I183" s="650"/>
      <c r="J183" s="650"/>
      <c r="K183" s="650"/>
      <c r="L183" s="650"/>
      <c r="M183" s="650"/>
      <c r="N183" s="650"/>
      <c r="O183" s="650"/>
      <c r="P183" s="650"/>
      <c r="Q183" s="650"/>
      <c r="R183" s="650"/>
      <c r="S183" s="650"/>
      <c r="T183" s="650"/>
      <c r="U183" s="650"/>
      <c r="V183" s="650"/>
      <c r="W183" s="650"/>
      <c r="X183" s="650"/>
      <c r="Y183" s="650"/>
      <c r="Z183" s="650"/>
      <c r="AA183" s="650"/>
      <c r="AB183" s="650"/>
      <c r="AC183" s="650"/>
      <c r="AD183" s="650"/>
      <c r="AE183" s="650"/>
      <c r="AF183" s="650"/>
      <c r="AG183" s="650"/>
      <c r="AH183" s="650"/>
      <c r="AI183" s="650"/>
      <c r="AJ183" s="650"/>
      <c r="AK183" s="650"/>
      <c r="AL183" s="650"/>
      <c r="AM183" s="650"/>
      <c r="AN183" s="650"/>
      <c r="AO183" s="650"/>
      <c r="AP183" s="650"/>
      <c r="AQ183" s="650"/>
      <c r="AR183" s="650"/>
      <c r="AS183" s="650"/>
      <c r="AT183" s="650"/>
      <c r="AU183" s="650"/>
      <c r="AV183" s="650"/>
      <c r="AW183" s="650"/>
      <c r="AX183" s="650"/>
      <c r="AY183" s="650"/>
    </row>
    <row r="184" ht="21.75" customHeight="1">
      <c r="A184" s="650"/>
      <c r="B184" s="650"/>
      <c r="C184" s="650"/>
      <c r="D184" s="650"/>
      <c r="E184" s="650"/>
      <c r="F184" s="650"/>
      <c r="G184" s="650"/>
      <c r="H184" s="650"/>
      <c r="I184" s="650"/>
      <c r="J184" s="650"/>
      <c r="K184" s="650"/>
      <c r="L184" s="650"/>
      <c r="M184" s="650"/>
      <c r="N184" s="650"/>
      <c r="O184" s="650"/>
      <c r="P184" s="650"/>
      <c r="Q184" s="650"/>
      <c r="R184" s="650"/>
      <c r="S184" s="650"/>
      <c r="T184" s="650"/>
      <c r="U184" s="650"/>
      <c r="V184" s="650"/>
      <c r="W184" s="650"/>
      <c r="X184" s="650"/>
      <c r="Y184" s="650"/>
      <c r="Z184" s="650"/>
      <c r="AA184" s="650"/>
      <c r="AB184" s="650"/>
      <c r="AC184" s="650"/>
      <c r="AD184" s="650"/>
      <c r="AE184" s="650"/>
      <c r="AF184" s="650"/>
      <c r="AG184" s="650"/>
      <c r="AH184" s="650"/>
      <c r="AI184" s="650"/>
      <c r="AJ184" s="650"/>
      <c r="AK184" s="650"/>
      <c r="AL184" s="650"/>
      <c r="AM184" s="650"/>
      <c r="AN184" s="650"/>
      <c r="AO184" s="650"/>
      <c r="AP184" s="650"/>
      <c r="AQ184" s="650"/>
      <c r="AR184" s="650"/>
      <c r="AS184" s="650"/>
      <c r="AT184" s="650"/>
      <c r="AU184" s="650"/>
      <c r="AV184" s="650"/>
      <c r="AW184" s="650"/>
      <c r="AX184" s="650"/>
      <c r="AY184" s="650"/>
    </row>
    <row r="185" ht="21.75" customHeight="1">
      <c r="A185" s="650"/>
      <c r="B185" s="650"/>
      <c r="C185" s="650"/>
      <c r="D185" s="650"/>
      <c r="E185" s="650"/>
      <c r="F185" s="650"/>
      <c r="G185" s="650"/>
      <c r="H185" s="650"/>
      <c r="I185" s="650"/>
      <c r="J185" s="650"/>
      <c r="K185" s="650"/>
      <c r="L185" s="650"/>
      <c r="M185" s="650"/>
      <c r="N185" s="650"/>
      <c r="O185" s="650"/>
      <c r="P185" s="650"/>
      <c r="Q185" s="650"/>
      <c r="R185" s="650"/>
      <c r="S185" s="650"/>
      <c r="T185" s="650"/>
      <c r="U185" s="650"/>
      <c r="V185" s="650"/>
      <c r="W185" s="650"/>
      <c r="X185" s="650"/>
      <c r="Y185" s="650"/>
      <c r="Z185" s="650"/>
      <c r="AA185" s="650"/>
      <c r="AB185" s="650"/>
      <c r="AC185" s="650"/>
      <c r="AD185" s="650"/>
      <c r="AE185" s="650"/>
      <c r="AF185" s="650"/>
      <c r="AG185" s="650"/>
      <c r="AH185" s="650"/>
      <c r="AI185" s="650"/>
      <c r="AJ185" s="650"/>
      <c r="AK185" s="650"/>
      <c r="AL185" s="650"/>
      <c r="AM185" s="650"/>
      <c r="AN185" s="650"/>
      <c r="AO185" s="650"/>
      <c r="AP185" s="650"/>
      <c r="AQ185" s="650"/>
      <c r="AR185" s="650"/>
      <c r="AS185" s="650"/>
      <c r="AT185" s="650"/>
      <c r="AU185" s="650"/>
      <c r="AV185" s="650"/>
      <c r="AW185" s="650"/>
      <c r="AX185" s="650"/>
      <c r="AY185" s="650"/>
    </row>
    <row r="186" ht="21.75" customHeight="1">
      <c r="A186" s="650"/>
      <c r="B186" s="650"/>
      <c r="C186" s="650"/>
      <c r="D186" s="650"/>
      <c r="E186" s="650"/>
      <c r="F186" s="650"/>
      <c r="G186" s="650"/>
      <c r="H186" s="650"/>
      <c r="I186" s="650"/>
      <c r="J186" s="650"/>
      <c r="K186" s="650"/>
      <c r="L186" s="650"/>
      <c r="M186" s="650"/>
      <c r="N186" s="650"/>
      <c r="O186" s="650"/>
      <c r="P186" s="650"/>
      <c r="Q186" s="650"/>
      <c r="R186" s="650"/>
      <c r="S186" s="650"/>
      <c r="T186" s="650"/>
      <c r="U186" s="650"/>
      <c r="V186" s="650"/>
      <c r="W186" s="650"/>
      <c r="X186" s="650"/>
      <c r="Y186" s="650"/>
      <c r="Z186" s="650"/>
      <c r="AA186" s="650"/>
      <c r="AB186" s="650"/>
      <c r="AC186" s="650"/>
      <c r="AD186" s="650"/>
      <c r="AE186" s="650"/>
      <c r="AF186" s="650"/>
      <c r="AG186" s="650"/>
      <c r="AH186" s="650"/>
      <c r="AI186" s="650"/>
      <c r="AJ186" s="650"/>
      <c r="AK186" s="650"/>
      <c r="AL186" s="650"/>
      <c r="AM186" s="650"/>
      <c r="AN186" s="650"/>
      <c r="AO186" s="650"/>
      <c r="AP186" s="650"/>
      <c r="AQ186" s="650"/>
      <c r="AR186" s="650"/>
      <c r="AS186" s="650"/>
      <c r="AT186" s="650"/>
      <c r="AU186" s="650"/>
      <c r="AV186" s="650"/>
      <c r="AW186" s="650"/>
      <c r="AX186" s="650"/>
      <c r="AY186" s="650"/>
    </row>
    <row r="187" ht="21.75" customHeight="1">
      <c r="A187" s="650"/>
      <c r="B187" s="650"/>
      <c r="C187" s="650"/>
      <c r="D187" s="650"/>
      <c r="E187" s="650"/>
      <c r="F187" s="650"/>
      <c r="G187" s="650"/>
      <c r="H187" s="650"/>
      <c r="I187" s="650"/>
      <c r="J187" s="650"/>
      <c r="K187" s="650"/>
      <c r="L187" s="650"/>
      <c r="M187" s="650"/>
      <c r="N187" s="650"/>
      <c r="O187" s="650"/>
      <c r="P187" s="650"/>
      <c r="Q187" s="650"/>
      <c r="R187" s="650"/>
      <c r="S187" s="650"/>
      <c r="T187" s="650"/>
      <c r="U187" s="650"/>
      <c r="V187" s="650"/>
      <c r="W187" s="650"/>
      <c r="X187" s="650"/>
      <c r="Y187" s="650"/>
      <c r="Z187" s="650"/>
      <c r="AA187" s="650"/>
      <c r="AB187" s="650"/>
      <c r="AC187" s="650"/>
      <c r="AD187" s="650"/>
      <c r="AE187" s="650"/>
      <c r="AF187" s="650"/>
      <c r="AG187" s="650"/>
      <c r="AH187" s="650"/>
      <c r="AI187" s="650"/>
      <c r="AJ187" s="650"/>
      <c r="AK187" s="650"/>
      <c r="AL187" s="650"/>
      <c r="AM187" s="650"/>
      <c r="AN187" s="650"/>
      <c r="AO187" s="650"/>
      <c r="AP187" s="650"/>
      <c r="AQ187" s="650"/>
      <c r="AR187" s="650"/>
      <c r="AS187" s="650"/>
      <c r="AT187" s="650"/>
      <c r="AU187" s="650"/>
      <c r="AV187" s="650"/>
      <c r="AW187" s="650"/>
      <c r="AX187" s="650"/>
      <c r="AY187" s="650"/>
    </row>
    <row r="188" ht="21.75" customHeight="1">
      <c r="A188" s="650"/>
      <c r="B188" s="650"/>
      <c r="C188" s="650"/>
      <c r="D188" s="650"/>
      <c r="E188" s="650"/>
      <c r="F188" s="650"/>
      <c r="G188" s="650"/>
      <c r="H188" s="650"/>
      <c r="I188" s="650"/>
      <c r="J188" s="650"/>
      <c r="K188" s="650"/>
      <c r="L188" s="650"/>
      <c r="M188" s="650"/>
      <c r="N188" s="650"/>
      <c r="O188" s="650"/>
      <c r="P188" s="650"/>
      <c r="Q188" s="650"/>
      <c r="R188" s="650"/>
      <c r="S188" s="650"/>
      <c r="T188" s="650"/>
      <c r="U188" s="650"/>
      <c r="V188" s="650"/>
      <c r="W188" s="650"/>
      <c r="X188" s="650"/>
      <c r="Y188" s="650"/>
      <c r="Z188" s="650"/>
      <c r="AA188" s="650"/>
      <c r="AB188" s="650"/>
      <c r="AC188" s="650"/>
      <c r="AD188" s="650"/>
      <c r="AE188" s="650"/>
      <c r="AF188" s="650"/>
      <c r="AG188" s="650"/>
      <c r="AH188" s="650"/>
      <c r="AI188" s="650"/>
      <c r="AJ188" s="650"/>
      <c r="AK188" s="650"/>
      <c r="AL188" s="650"/>
      <c r="AM188" s="650"/>
      <c r="AN188" s="650"/>
      <c r="AO188" s="650"/>
      <c r="AP188" s="650"/>
      <c r="AQ188" s="650"/>
      <c r="AR188" s="650"/>
      <c r="AS188" s="650"/>
      <c r="AT188" s="650"/>
      <c r="AU188" s="650"/>
      <c r="AV188" s="650"/>
      <c r="AW188" s="650"/>
      <c r="AX188" s="650"/>
      <c r="AY188" s="650"/>
    </row>
    <row r="189" ht="21.75" customHeight="1">
      <c r="A189" s="650"/>
      <c r="B189" s="650"/>
      <c r="C189" s="650"/>
      <c r="D189" s="650"/>
      <c r="E189" s="650"/>
      <c r="F189" s="650"/>
      <c r="G189" s="650"/>
      <c r="H189" s="650"/>
      <c r="I189" s="650"/>
      <c r="J189" s="650"/>
      <c r="K189" s="650"/>
      <c r="L189" s="650"/>
      <c r="M189" s="650"/>
      <c r="N189" s="650"/>
      <c r="O189" s="650"/>
      <c r="P189" s="650"/>
      <c r="Q189" s="650"/>
      <c r="R189" s="650"/>
      <c r="S189" s="650"/>
      <c r="T189" s="650"/>
      <c r="U189" s="650"/>
      <c r="V189" s="650"/>
      <c r="W189" s="650"/>
      <c r="X189" s="650"/>
      <c r="Y189" s="650"/>
      <c r="Z189" s="650"/>
      <c r="AA189" s="650"/>
      <c r="AB189" s="650"/>
      <c r="AC189" s="650"/>
      <c r="AD189" s="650"/>
      <c r="AE189" s="650"/>
      <c r="AF189" s="650"/>
      <c r="AG189" s="650"/>
      <c r="AH189" s="650"/>
      <c r="AI189" s="650"/>
      <c r="AJ189" s="650"/>
      <c r="AK189" s="650"/>
      <c r="AL189" s="650"/>
      <c r="AM189" s="650"/>
      <c r="AN189" s="650"/>
      <c r="AO189" s="650"/>
      <c r="AP189" s="650"/>
      <c r="AQ189" s="650"/>
      <c r="AR189" s="650"/>
      <c r="AS189" s="650"/>
      <c r="AT189" s="650"/>
      <c r="AU189" s="650"/>
      <c r="AV189" s="650"/>
      <c r="AW189" s="650"/>
      <c r="AX189" s="650"/>
      <c r="AY189" s="650"/>
    </row>
    <row r="190" ht="21.75" customHeight="1">
      <c r="A190" s="650"/>
      <c r="B190" s="650"/>
      <c r="C190" s="650"/>
      <c r="D190" s="650"/>
      <c r="E190" s="650"/>
      <c r="F190" s="650"/>
      <c r="G190" s="650"/>
      <c r="H190" s="650"/>
      <c r="I190" s="650"/>
      <c r="J190" s="650"/>
      <c r="K190" s="650"/>
      <c r="L190" s="650"/>
      <c r="M190" s="650"/>
      <c r="N190" s="650"/>
      <c r="O190" s="650"/>
      <c r="P190" s="650"/>
      <c r="Q190" s="650"/>
      <c r="R190" s="650"/>
      <c r="S190" s="650"/>
      <c r="T190" s="650"/>
      <c r="U190" s="650"/>
      <c r="V190" s="650"/>
      <c r="W190" s="650"/>
      <c r="X190" s="650"/>
      <c r="Y190" s="650"/>
      <c r="Z190" s="650"/>
      <c r="AA190" s="650"/>
      <c r="AB190" s="650"/>
      <c r="AC190" s="650"/>
      <c r="AD190" s="650"/>
      <c r="AE190" s="650"/>
      <c r="AF190" s="650"/>
      <c r="AG190" s="650"/>
      <c r="AH190" s="650"/>
      <c r="AI190" s="650"/>
      <c r="AJ190" s="650"/>
      <c r="AK190" s="650"/>
      <c r="AL190" s="650"/>
      <c r="AM190" s="650"/>
      <c r="AN190" s="650"/>
      <c r="AO190" s="650"/>
      <c r="AP190" s="650"/>
      <c r="AQ190" s="650"/>
      <c r="AR190" s="650"/>
      <c r="AS190" s="650"/>
      <c r="AT190" s="650"/>
      <c r="AU190" s="650"/>
      <c r="AV190" s="650"/>
      <c r="AW190" s="650"/>
      <c r="AX190" s="650"/>
      <c r="AY190" s="650"/>
    </row>
    <row r="191" ht="21.75" customHeight="1">
      <c r="A191" s="650"/>
      <c r="B191" s="650"/>
      <c r="C191" s="650"/>
      <c r="D191" s="650"/>
      <c r="E191" s="650"/>
      <c r="F191" s="650"/>
      <c r="G191" s="650"/>
      <c r="H191" s="650"/>
      <c r="I191" s="650"/>
      <c r="J191" s="650"/>
      <c r="K191" s="650"/>
      <c r="L191" s="650"/>
      <c r="M191" s="650"/>
      <c r="N191" s="650"/>
      <c r="O191" s="650"/>
      <c r="P191" s="650"/>
      <c r="Q191" s="650"/>
      <c r="R191" s="650"/>
      <c r="S191" s="650"/>
      <c r="T191" s="650"/>
      <c r="U191" s="650"/>
      <c r="V191" s="650"/>
      <c r="W191" s="650"/>
      <c r="X191" s="650"/>
      <c r="Y191" s="650"/>
      <c r="Z191" s="650"/>
      <c r="AA191" s="650"/>
      <c r="AB191" s="650"/>
      <c r="AC191" s="650"/>
      <c r="AD191" s="650"/>
      <c r="AE191" s="650"/>
      <c r="AF191" s="650"/>
      <c r="AG191" s="650"/>
      <c r="AH191" s="650"/>
      <c r="AI191" s="650"/>
      <c r="AJ191" s="650"/>
      <c r="AK191" s="650"/>
      <c r="AL191" s="650"/>
      <c r="AM191" s="650"/>
      <c r="AN191" s="650"/>
      <c r="AO191" s="650"/>
      <c r="AP191" s="650"/>
      <c r="AQ191" s="650"/>
      <c r="AR191" s="650"/>
      <c r="AS191" s="650"/>
      <c r="AT191" s="650"/>
      <c r="AU191" s="650"/>
      <c r="AV191" s="650"/>
      <c r="AW191" s="650"/>
      <c r="AX191" s="650"/>
      <c r="AY191" s="650"/>
    </row>
    <row r="192" ht="21.75" customHeight="1">
      <c r="A192" s="650"/>
      <c r="B192" s="650"/>
      <c r="C192" s="650"/>
      <c r="D192" s="650"/>
      <c r="E192" s="650"/>
      <c r="F192" s="650"/>
      <c r="G192" s="650"/>
      <c r="H192" s="650"/>
      <c r="I192" s="650"/>
      <c r="J192" s="650"/>
      <c r="K192" s="650"/>
      <c r="L192" s="650"/>
      <c r="M192" s="650"/>
      <c r="N192" s="650"/>
      <c r="O192" s="650"/>
      <c r="P192" s="650"/>
      <c r="Q192" s="650"/>
      <c r="R192" s="650"/>
      <c r="S192" s="650"/>
      <c r="T192" s="650"/>
      <c r="U192" s="650"/>
      <c r="V192" s="650"/>
      <c r="W192" s="650"/>
      <c r="X192" s="650"/>
      <c r="Y192" s="650"/>
      <c r="Z192" s="650"/>
      <c r="AA192" s="650"/>
      <c r="AB192" s="650"/>
      <c r="AC192" s="650"/>
      <c r="AD192" s="650"/>
      <c r="AE192" s="650"/>
      <c r="AF192" s="650"/>
      <c r="AG192" s="650"/>
      <c r="AH192" s="650"/>
      <c r="AI192" s="650"/>
      <c r="AJ192" s="650"/>
      <c r="AK192" s="650"/>
      <c r="AL192" s="650"/>
      <c r="AM192" s="650"/>
      <c r="AN192" s="650"/>
      <c r="AO192" s="650"/>
      <c r="AP192" s="650"/>
      <c r="AQ192" s="650"/>
      <c r="AR192" s="650"/>
      <c r="AS192" s="650"/>
      <c r="AT192" s="650"/>
      <c r="AU192" s="650"/>
      <c r="AV192" s="650"/>
      <c r="AW192" s="650"/>
      <c r="AX192" s="650"/>
      <c r="AY192" s="650"/>
    </row>
    <row r="193" ht="21.75" customHeight="1">
      <c r="A193" s="650"/>
      <c r="B193" s="650"/>
      <c r="C193" s="650"/>
      <c r="D193" s="650"/>
      <c r="E193" s="650"/>
      <c r="F193" s="650"/>
      <c r="G193" s="650"/>
      <c r="H193" s="650"/>
      <c r="I193" s="650"/>
      <c r="J193" s="650"/>
      <c r="K193" s="650"/>
      <c r="L193" s="650"/>
      <c r="M193" s="650"/>
      <c r="N193" s="650"/>
      <c r="O193" s="650"/>
      <c r="P193" s="650"/>
      <c r="Q193" s="650"/>
      <c r="R193" s="650"/>
      <c r="S193" s="650"/>
      <c r="T193" s="650"/>
      <c r="U193" s="650"/>
      <c r="V193" s="650"/>
      <c r="W193" s="650"/>
      <c r="X193" s="650"/>
      <c r="Y193" s="650"/>
      <c r="Z193" s="650"/>
      <c r="AA193" s="650"/>
      <c r="AB193" s="650"/>
      <c r="AC193" s="650"/>
      <c r="AD193" s="650"/>
      <c r="AE193" s="650"/>
      <c r="AF193" s="650"/>
      <c r="AG193" s="650"/>
      <c r="AH193" s="650"/>
      <c r="AI193" s="650"/>
      <c r="AJ193" s="650"/>
      <c r="AK193" s="650"/>
      <c r="AL193" s="650"/>
      <c r="AM193" s="650"/>
      <c r="AN193" s="650"/>
      <c r="AO193" s="650"/>
      <c r="AP193" s="650"/>
      <c r="AQ193" s="650"/>
      <c r="AR193" s="650"/>
      <c r="AS193" s="650"/>
      <c r="AT193" s="650"/>
      <c r="AU193" s="650"/>
      <c r="AV193" s="650"/>
      <c r="AW193" s="650"/>
      <c r="AX193" s="650"/>
      <c r="AY193" s="650"/>
    </row>
    <row r="194" ht="21.75" customHeight="1">
      <c r="A194" s="650"/>
      <c r="B194" s="650"/>
      <c r="C194" s="650"/>
      <c r="D194" s="650"/>
      <c r="E194" s="650"/>
      <c r="F194" s="650"/>
      <c r="G194" s="650"/>
      <c r="H194" s="650"/>
      <c r="I194" s="650"/>
      <c r="J194" s="650"/>
      <c r="K194" s="650"/>
      <c r="L194" s="650"/>
      <c r="M194" s="650"/>
      <c r="N194" s="650"/>
      <c r="O194" s="650"/>
      <c r="P194" s="650"/>
      <c r="Q194" s="650"/>
      <c r="R194" s="650"/>
      <c r="S194" s="650"/>
      <c r="T194" s="650"/>
      <c r="U194" s="650"/>
      <c r="V194" s="650"/>
      <c r="W194" s="650"/>
      <c r="X194" s="650"/>
      <c r="Y194" s="650"/>
      <c r="Z194" s="650"/>
      <c r="AA194" s="650"/>
      <c r="AB194" s="650"/>
      <c r="AC194" s="650"/>
      <c r="AD194" s="650"/>
      <c r="AE194" s="650"/>
      <c r="AF194" s="650"/>
      <c r="AG194" s="650"/>
      <c r="AH194" s="650"/>
      <c r="AI194" s="650"/>
      <c r="AJ194" s="650"/>
      <c r="AK194" s="650"/>
      <c r="AL194" s="650"/>
      <c r="AM194" s="650"/>
      <c r="AN194" s="650"/>
      <c r="AO194" s="650"/>
      <c r="AP194" s="650"/>
      <c r="AQ194" s="650"/>
      <c r="AR194" s="650"/>
      <c r="AS194" s="650"/>
      <c r="AT194" s="650"/>
      <c r="AU194" s="650"/>
      <c r="AV194" s="650"/>
      <c r="AW194" s="650"/>
      <c r="AX194" s="650"/>
      <c r="AY194" s="650"/>
    </row>
    <row r="195" ht="21.75" customHeight="1">
      <c r="A195" s="650"/>
      <c r="B195" s="650"/>
      <c r="C195" s="650"/>
      <c r="D195" s="650"/>
      <c r="E195" s="650"/>
      <c r="F195" s="650"/>
      <c r="G195" s="650"/>
      <c r="H195" s="650"/>
      <c r="I195" s="650"/>
      <c r="J195" s="650"/>
      <c r="K195" s="650"/>
      <c r="L195" s="650"/>
      <c r="M195" s="650"/>
      <c r="N195" s="650"/>
      <c r="O195" s="650"/>
      <c r="P195" s="650"/>
      <c r="Q195" s="650"/>
      <c r="R195" s="650"/>
      <c r="S195" s="650"/>
      <c r="T195" s="650"/>
      <c r="U195" s="650"/>
      <c r="V195" s="650"/>
      <c r="W195" s="650"/>
      <c r="X195" s="650"/>
      <c r="Y195" s="650"/>
      <c r="Z195" s="650"/>
      <c r="AA195" s="650"/>
      <c r="AB195" s="650"/>
      <c r="AC195" s="650"/>
      <c r="AD195" s="650"/>
      <c r="AE195" s="650"/>
      <c r="AF195" s="650"/>
      <c r="AG195" s="650"/>
      <c r="AH195" s="650"/>
      <c r="AI195" s="650"/>
      <c r="AJ195" s="650"/>
      <c r="AK195" s="650"/>
      <c r="AL195" s="650"/>
      <c r="AM195" s="650"/>
      <c r="AN195" s="650"/>
      <c r="AO195" s="650"/>
      <c r="AP195" s="650"/>
      <c r="AQ195" s="650"/>
      <c r="AR195" s="650"/>
      <c r="AS195" s="650"/>
      <c r="AT195" s="650"/>
      <c r="AU195" s="650"/>
      <c r="AV195" s="650"/>
      <c r="AW195" s="650"/>
      <c r="AX195" s="650"/>
      <c r="AY195" s="650"/>
    </row>
    <row r="196" ht="21.75" customHeight="1">
      <c r="A196" s="650"/>
      <c r="B196" s="650"/>
      <c r="C196" s="650"/>
      <c r="D196" s="650"/>
      <c r="E196" s="650"/>
      <c r="F196" s="650"/>
      <c r="G196" s="650"/>
      <c r="H196" s="650"/>
      <c r="I196" s="650"/>
      <c r="J196" s="650"/>
      <c r="K196" s="650"/>
      <c r="L196" s="650"/>
      <c r="M196" s="650"/>
      <c r="N196" s="650"/>
      <c r="O196" s="650"/>
      <c r="P196" s="650"/>
      <c r="Q196" s="650"/>
      <c r="R196" s="650"/>
      <c r="S196" s="650"/>
      <c r="T196" s="650"/>
      <c r="U196" s="650"/>
      <c r="V196" s="650"/>
      <c r="W196" s="650"/>
      <c r="X196" s="650"/>
      <c r="Y196" s="650"/>
      <c r="Z196" s="650"/>
      <c r="AA196" s="650"/>
      <c r="AB196" s="650"/>
      <c r="AC196" s="650"/>
      <c r="AD196" s="650"/>
      <c r="AE196" s="650"/>
      <c r="AF196" s="650"/>
      <c r="AG196" s="650"/>
      <c r="AH196" s="650"/>
      <c r="AI196" s="650"/>
      <c r="AJ196" s="650"/>
      <c r="AK196" s="650"/>
      <c r="AL196" s="650"/>
      <c r="AM196" s="650"/>
      <c r="AN196" s="650"/>
      <c r="AO196" s="650"/>
      <c r="AP196" s="650"/>
      <c r="AQ196" s="650"/>
      <c r="AR196" s="650"/>
      <c r="AS196" s="650"/>
      <c r="AT196" s="650"/>
      <c r="AU196" s="650"/>
      <c r="AV196" s="650"/>
      <c r="AW196" s="650"/>
      <c r="AX196" s="650"/>
      <c r="AY196" s="650"/>
    </row>
    <row r="197" ht="21.75" customHeight="1">
      <c r="A197" s="650"/>
      <c r="B197" s="650"/>
      <c r="C197" s="650"/>
      <c r="D197" s="650"/>
      <c r="E197" s="650"/>
      <c r="F197" s="650"/>
      <c r="G197" s="650"/>
      <c r="H197" s="650"/>
      <c r="I197" s="650"/>
      <c r="J197" s="650"/>
      <c r="K197" s="650"/>
      <c r="L197" s="650"/>
      <c r="M197" s="650"/>
      <c r="N197" s="650"/>
      <c r="O197" s="650"/>
      <c r="P197" s="650"/>
      <c r="Q197" s="650"/>
      <c r="R197" s="650"/>
      <c r="S197" s="650"/>
      <c r="T197" s="650"/>
      <c r="U197" s="650"/>
      <c r="V197" s="650"/>
      <c r="W197" s="650"/>
      <c r="X197" s="650"/>
      <c r="Y197" s="650"/>
      <c r="Z197" s="650"/>
      <c r="AA197" s="650"/>
      <c r="AB197" s="650"/>
      <c r="AC197" s="650"/>
      <c r="AD197" s="650"/>
      <c r="AE197" s="650"/>
      <c r="AF197" s="650"/>
      <c r="AG197" s="650"/>
      <c r="AH197" s="650"/>
      <c r="AI197" s="650"/>
      <c r="AJ197" s="650"/>
      <c r="AK197" s="650"/>
      <c r="AL197" s="650"/>
      <c r="AM197" s="650"/>
      <c r="AN197" s="650"/>
      <c r="AO197" s="650"/>
      <c r="AP197" s="650"/>
      <c r="AQ197" s="650"/>
      <c r="AR197" s="650"/>
      <c r="AS197" s="650"/>
      <c r="AT197" s="650"/>
      <c r="AU197" s="650"/>
      <c r="AV197" s="650"/>
      <c r="AW197" s="650"/>
      <c r="AX197" s="650"/>
      <c r="AY197" s="650"/>
    </row>
    <row r="198" ht="21.75" customHeight="1">
      <c r="A198" s="650"/>
      <c r="B198" s="650"/>
      <c r="C198" s="650"/>
      <c r="D198" s="650"/>
      <c r="E198" s="650"/>
      <c r="F198" s="650"/>
      <c r="G198" s="650"/>
      <c r="H198" s="650"/>
      <c r="I198" s="650"/>
      <c r="J198" s="650"/>
      <c r="K198" s="650"/>
      <c r="L198" s="650"/>
      <c r="M198" s="650"/>
      <c r="N198" s="650"/>
      <c r="O198" s="650"/>
      <c r="P198" s="650"/>
      <c r="Q198" s="650"/>
      <c r="R198" s="650"/>
      <c r="S198" s="650"/>
      <c r="T198" s="650"/>
      <c r="U198" s="650"/>
      <c r="V198" s="650"/>
      <c r="W198" s="650"/>
      <c r="X198" s="650"/>
      <c r="Y198" s="650"/>
      <c r="Z198" s="650"/>
      <c r="AA198" s="650"/>
      <c r="AB198" s="650"/>
      <c r="AC198" s="650"/>
      <c r="AD198" s="650"/>
      <c r="AE198" s="650"/>
      <c r="AF198" s="650"/>
      <c r="AG198" s="650"/>
      <c r="AH198" s="650"/>
      <c r="AI198" s="650"/>
      <c r="AJ198" s="650"/>
      <c r="AK198" s="650"/>
      <c r="AL198" s="650"/>
      <c r="AM198" s="650"/>
      <c r="AN198" s="650"/>
      <c r="AO198" s="650"/>
      <c r="AP198" s="650"/>
      <c r="AQ198" s="650"/>
      <c r="AR198" s="650"/>
      <c r="AS198" s="650"/>
      <c r="AT198" s="650"/>
      <c r="AU198" s="650"/>
      <c r="AV198" s="650"/>
      <c r="AW198" s="650"/>
      <c r="AX198" s="650"/>
      <c r="AY198" s="650"/>
    </row>
    <row r="199" ht="21.75" customHeight="1">
      <c r="A199" s="650"/>
      <c r="B199" s="650"/>
      <c r="C199" s="650"/>
      <c r="D199" s="650"/>
      <c r="E199" s="650"/>
      <c r="F199" s="650"/>
      <c r="G199" s="650"/>
      <c r="H199" s="650"/>
      <c r="I199" s="650"/>
      <c r="J199" s="650"/>
      <c r="K199" s="650"/>
      <c r="L199" s="650"/>
      <c r="M199" s="650"/>
      <c r="N199" s="650"/>
      <c r="O199" s="650"/>
      <c r="P199" s="650"/>
      <c r="Q199" s="650"/>
      <c r="R199" s="650"/>
      <c r="S199" s="650"/>
      <c r="T199" s="650"/>
      <c r="U199" s="650"/>
      <c r="V199" s="650"/>
      <c r="W199" s="650"/>
      <c r="X199" s="650"/>
      <c r="Y199" s="650"/>
      <c r="Z199" s="650"/>
      <c r="AA199" s="650"/>
      <c r="AB199" s="650"/>
      <c r="AC199" s="650"/>
      <c r="AD199" s="650"/>
      <c r="AE199" s="650"/>
      <c r="AF199" s="650"/>
      <c r="AG199" s="650"/>
      <c r="AH199" s="650"/>
      <c r="AI199" s="650"/>
      <c r="AJ199" s="650"/>
      <c r="AK199" s="650"/>
      <c r="AL199" s="650"/>
      <c r="AM199" s="650"/>
      <c r="AN199" s="650"/>
      <c r="AO199" s="650"/>
      <c r="AP199" s="650"/>
      <c r="AQ199" s="650"/>
      <c r="AR199" s="650"/>
      <c r="AS199" s="650"/>
      <c r="AT199" s="650"/>
      <c r="AU199" s="650"/>
      <c r="AV199" s="650"/>
      <c r="AW199" s="650"/>
      <c r="AX199" s="650"/>
      <c r="AY199" s="650"/>
    </row>
    <row r="200" ht="21.75" customHeight="1">
      <c r="A200" s="650"/>
      <c r="B200" s="650"/>
      <c r="C200" s="650"/>
      <c r="D200" s="650"/>
      <c r="E200" s="650"/>
      <c r="F200" s="650"/>
      <c r="G200" s="650"/>
      <c r="H200" s="650"/>
      <c r="I200" s="650"/>
      <c r="J200" s="650"/>
      <c r="K200" s="650"/>
      <c r="L200" s="650"/>
      <c r="M200" s="650"/>
      <c r="N200" s="650"/>
      <c r="O200" s="650"/>
      <c r="P200" s="650"/>
      <c r="Q200" s="650"/>
      <c r="R200" s="650"/>
      <c r="S200" s="650"/>
      <c r="T200" s="650"/>
      <c r="U200" s="650"/>
      <c r="V200" s="650"/>
      <c r="W200" s="650"/>
      <c r="X200" s="650"/>
      <c r="Y200" s="650"/>
      <c r="Z200" s="650"/>
      <c r="AA200" s="650"/>
      <c r="AB200" s="650"/>
      <c r="AC200" s="650"/>
      <c r="AD200" s="650"/>
      <c r="AE200" s="650"/>
      <c r="AF200" s="650"/>
      <c r="AG200" s="650"/>
      <c r="AH200" s="650"/>
      <c r="AI200" s="650"/>
      <c r="AJ200" s="650"/>
      <c r="AK200" s="650"/>
      <c r="AL200" s="650"/>
      <c r="AM200" s="650"/>
      <c r="AN200" s="650"/>
      <c r="AO200" s="650"/>
      <c r="AP200" s="650"/>
      <c r="AQ200" s="650"/>
      <c r="AR200" s="650"/>
      <c r="AS200" s="650"/>
      <c r="AT200" s="650"/>
      <c r="AU200" s="650"/>
      <c r="AV200" s="650"/>
      <c r="AW200" s="650"/>
      <c r="AX200" s="650"/>
      <c r="AY200" s="650"/>
    </row>
    <row r="201" ht="21.75" customHeight="1">
      <c r="A201" s="650"/>
      <c r="B201" s="650"/>
      <c r="C201" s="650"/>
      <c r="D201" s="650"/>
      <c r="E201" s="650"/>
      <c r="F201" s="650"/>
      <c r="G201" s="650"/>
      <c r="H201" s="650"/>
      <c r="I201" s="650"/>
      <c r="J201" s="650"/>
      <c r="K201" s="650"/>
      <c r="L201" s="650"/>
      <c r="M201" s="650"/>
      <c r="N201" s="650"/>
      <c r="O201" s="650"/>
      <c r="P201" s="650"/>
      <c r="Q201" s="650"/>
      <c r="R201" s="650"/>
      <c r="S201" s="650"/>
      <c r="T201" s="650"/>
      <c r="U201" s="650"/>
      <c r="V201" s="650"/>
      <c r="W201" s="650"/>
      <c r="X201" s="650"/>
      <c r="Y201" s="650"/>
      <c r="Z201" s="650"/>
      <c r="AA201" s="650"/>
      <c r="AB201" s="650"/>
      <c r="AC201" s="650"/>
      <c r="AD201" s="650"/>
      <c r="AE201" s="650"/>
      <c r="AF201" s="650"/>
      <c r="AG201" s="650"/>
      <c r="AH201" s="650"/>
      <c r="AI201" s="650"/>
      <c r="AJ201" s="650"/>
      <c r="AK201" s="650"/>
      <c r="AL201" s="650"/>
      <c r="AM201" s="650"/>
      <c r="AN201" s="650"/>
      <c r="AO201" s="650"/>
      <c r="AP201" s="650"/>
      <c r="AQ201" s="650"/>
      <c r="AR201" s="650"/>
      <c r="AS201" s="650"/>
      <c r="AT201" s="650"/>
      <c r="AU201" s="650"/>
      <c r="AV201" s="650"/>
      <c r="AW201" s="650"/>
      <c r="AX201" s="650"/>
      <c r="AY201" s="650"/>
    </row>
    <row r="202" ht="21.75" customHeight="1">
      <c r="A202" s="650"/>
      <c r="B202" s="650"/>
      <c r="C202" s="650"/>
      <c r="D202" s="650"/>
      <c r="E202" s="650"/>
      <c r="F202" s="650"/>
      <c r="G202" s="650"/>
      <c r="H202" s="650"/>
      <c r="I202" s="650"/>
      <c r="J202" s="650"/>
      <c r="K202" s="650"/>
      <c r="L202" s="650"/>
      <c r="M202" s="650"/>
      <c r="N202" s="650"/>
      <c r="O202" s="650"/>
      <c r="P202" s="650"/>
      <c r="Q202" s="650"/>
      <c r="R202" s="650"/>
      <c r="S202" s="650"/>
      <c r="T202" s="650"/>
      <c r="U202" s="650"/>
      <c r="V202" s="650"/>
      <c r="W202" s="650"/>
      <c r="X202" s="650"/>
      <c r="Y202" s="650"/>
      <c r="Z202" s="650"/>
      <c r="AA202" s="650"/>
      <c r="AB202" s="650"/>
      <c r="AC202" s="650"/>
      <c r="AD202" s="650"/>
      <c r="AE202" s="650"/>
      <c r="AF202" s="650"/>
      <c r="AG202" s="650"/>
      <c r="AH202" s="650"/>
      <c r="AI202" s="650"/>
      <c r="AJ202" s="650"/>
      <c r="AK202" s="650"/>
      <c r="AL202" s="650"/>
      <c r="AM202" s="650"/>
      <c r="AN202" s="650"/>
      <c r="AO202" s="650"/>
      <c r="AP202" s="650"/>
      <c r="AQ202" s="650"/>
      <c r="AR202" s="650"/>
      <c r="AS202" s="650"/>
      <c r="AT202" s="650"/>
      <c r="AU202" s="650"/>
      <c r="AV202" s="650"/>
      <c r="AW202" s="650"/>
      <c r="AX202" s="650"/>
      <c r="AY202" s="650"/>
    </row>
    <row r="203" ht="21.75" customHeight="1">
      <c r="A203" s="650"/>
      <c r="B203" s="650"/>
      <c r="C203" s="650"/>
      <c r="D203" s="650"/>
      <c r="E203" s="650"/>
      <c r="F203" s="650"/>
      <c r="G203" s="650"/>
      <c r="H203" s="650"/>
      <c r="I203" s="650"/>
      <c r="J203" s="650"/>
      <c r="K203" s="650"/>
      <c r="L203" s="650"/>
      <c r="M203" s="650"/>
      <c r="N203" s="650"/>
      <c r="O203" s="650"/>
      <c r="P203" s="650"/>
      <c r="Q203" s="650"/>
      <c r="R203" s="650"/>
      <c r="S203" s="650"/>
      <c r="T203" s="650"/>
      <c r="U203" s="650"/>
      <c r="V203" s="650"/>
      <c r="W203" s="650"/>
      <c r="X203" s="650"/>
      <c r="Y203" s="650"/>
      <c r="Z203" s="650"/>
      <c r="AA203" s="650"/>
      <c r="AB203" s="650"/>
      <c r="AC203" s="650"/>
      <c r="AD203" s="650"/>
      <c r="AE203" s="650"/>
      <c r="AF203" s="650"/>
      <c r="AG203" s="650"/>
      <c r="AH203" s="650"/>
      <c r="AI203" s="650"/>
      <c r="AJ203" s="650"/>
      <c r="AK203" s="650"/>
      <c r="AL203" s="650"/>
      <c r="AM203" s="650"/>
      <c r="AN203" s="650"/>
      <c r="AO203" s="650"/>
      <c r="AP203" s="650"/>
      <c r="AQ203" s="650"/>
      <c r="AR203" s="650"/>
      <c r="AS203" s="650"/>
      <c r="AT203" s="650"/>
      <c r="AU203" s="650"/>
      <c r="AV203" s="650"/>
      <c r="AW203" s="650"/>
      <c r="AX203" s="650"/>
      <c r="AY203" s="650"/>
    </row>
    <row r="204" ht="21.75" customHeight="1">
      <c r="A204" s="650"/>
      <c r="B204" s="650"/>
      <c r="C204" s="650"/>
      <c r="D204" s="650"/>
      <c r="E204" s="650"/>
      <c r="F204" s="650"/>
      <c r="G204" s="650"/>
      <c r="H204" s="650"/>
      <c r="I204" s="650"/>
      <c r="J204" s="650"/>
      <c r="K204" s="650"/>
      <c r="L204" s="650"/>
      <c r="M204" s="650"/>
      <c r="N204" s="650"/>
      <c r="O204" s="650"/>
      <c r="P204" s="650"/>
      <c r="Q204" s="650"/>
      <c r="R204" s="650"/>
      <c r="S204" s="650"/>
      <c r="T204" s="650"/>
      <c r="U204" s="650"/>
      <c r="V204" s="650"/>
      <c r="W204" s="650"/>
      <c r="X204" s="650"/>
      <c r="Y204" s="650"/>
      <c r="Z204" s="650"/>
      <c r="AA204" s="650"/>
      <c r="AB204" s="650"/>
      <c r="AC204" s="650"/>
      <c r="AD204" s="650"/>
      <c r="AE204" s="650"/>
      <c r="AF204" s="650"/>
      <c r="AG204" s="650"/>
      <c r="AH204" s="650"/>
      <c r="AI204" s="650"/>
      <c r="AJ204" s="650"/>
      <c r="AK204" s="650"/>
      <c r="AL204" s="650"/>
      <c r="AM204" s="650"/>
      <c r="AN204" s="650"/>
      <c r="AO204" s="650"/>
      <c r="AP204" s="650"/>
      <c r="AQ204" s="650"/>
      <c r="AR204" s="650"/>
      <c r="AS204" s="650"/>
      <c r="AT204" s="650"/>
      <c r="AU204" s="650"/>
      <c r="AV204" s="650"/>
      <c r="AW204" s="650"/>
      <c r="AX204" s="650"/>
      <c r="AY204" s="650"/>
    </row>
    <row r="205" ht="21.75" customHeight="1">
      <c r="A205" s="650"/>
      <c r="B205" s="650"/>
      <c r="C205" s="650"/>
      <c r="D205" s="650"/>
      <c r="E205" s="650"/>
      <c r="F205" s="650"/>
      <c r="G205" s="650"/>
      <c r="H205" s="650"/>
      <c r="I205" s="650"/>
      <c r="J205" s="650"/>
      <c r="K205" s="650"/>
      <c r="L205" s="650"/>
      <c r="M205" s="650"/>
      <c r="N205" s="650"/>
      <c r="O205" s="650"/>
      <c r="P205" s="650"/>
      <c r="Q205" s="650"/>
      <c r="R205" s="650"/>
      <c r="S205" s="650"/>
      <c r="T205" s="650"/>
      <c r="U205" s="650"/>
      <c r="V205" s="650"/>
      <c r="W205" s="650"/>
      <c r="X205" s="650"/>
      <c r="Y205" s="650"/>
      <c r="Z205" s="650"/>
      <c r="AA205" s="650"/>
      <c r="AB205" s="650"/>
      <c r="AC205" s="650"/>
      <c r="AD205" s="650"/>
      <c r="AE205" s="650"/>
      <c r="AF205" s="650"/>
      <c r="AG205" s="650"/>
      <c r="AH205" s="650"/>
      <c r="AI205" s="650"/>
      <c r="AJ205" s="650"/>
      <c r="AK205" s="650"/>
      <c r="AL205" s="650"/>
      <c r="AM205" s="650"/>
      <c r="AN205" s="650"/>
      <c r="AO205" s="650"/>
      <c r="AP205" s="650"/>
      <c r="AQ205" s="650"/>
      <c r="AR205" s="650"/>
      <c r="AS205" s="650"/>
      <c r="AT205" s="650"/>
      <c r="AU205" s="650"/>
      <c r="AV205" s="650"/>
      <c r="AW205" s="650"/>
      <c r="AX205" s="650"/>
      <c r="AY205" s="650"/>
    </row>
    <row r="206" ht="21.75" customHeight="1">
      <c r="A206" s="650"/>
      <c r="B206" s="650"/>
      <c r="C206" s="650"/>
      <c r="D206" s="650"/>
      <c r="E206" s="650"/>
      <c r="F206" s="650"/>
      <c r="G206" s="650"/>
      <c r="H206" s="650"/>
      <c r="I206" s="650"/>
      <c r="J206" s="650"/>
      <c r="K206" s="650"/>
      <c r="L206" s="650"/>
      <c r="M206" s="650"/>
      <c r="N206" s="650"/>
      <c r="O206" s="650"/>
      <c r="P206" s="650"/>
      <c r="Q206" s="650"/>
      <c r="R206" s="650"/>
      <c r="S206" s="650"/>
      <c r="T206" s="650"/>
      <c r="U206" s="650"/>
      <c r="V206" s="650"/>
      <c r="W206" s="650"/>
      <c r="X206" s="650"/>
      <c r="Y206" s="650"/>
      <c r="Z206" s="650"/>
      <c r="AA206" s="650"/>
      <c r="AB206" s="650"/>
      <c r="AC206" s="650"/>
      <c r="AD206" s="650"/>
      <c r="AE206" s="650"/>
      <c r="AF206" s="650"/>
      <c r="AG206" s="650"/>
      <c r="AH206" s="650"/>
      <c r="AI206" s="650"/>
      <c r="AJ206" s="650"/>
      <c r="AK206" s="650"/>
      <c r="AL206" s="650"/>
      <c r="AM206" s="650"/>
      <c r="AN206" s="650"/>
      <c r="AO206" s="650"/>
      <c r="AP206" s="650"/>
      <c r="AQ206" s="650"/>
      <c r="AR206" s="650"/>
      <c r="AS206" s="650"/>
      <c r="AT206" s="650"/>
      <c r="AU206" s="650"/>
      <c r="AV206" s="650"/>
      <c r="AW206" s="650"/>
      <c r="AX206" s="650"/>
      <c r="AY206" s="650"/>
    </row>
    <row r="207" ht="21.75" customHeight="1">
      <c r="A207" s="650"/>
      <c r="B207" s="650"/>
      <c r="C207" s="650"/>
      <c r="D207" s="650"/>
      <c r="E207" s="650"/>
      <c r="F207" s="650"/>
      <c r="G207" s="650"/>
      <c r="H207" s="650"/>
      <c r="I207" s="650"/>
      <c r="J207" s="650"/>
      <c r="K207" s="650"/>
      <c r="L207" s="650"/>
      <c r="M207" s="650"/>
      <c r="N207" s="650"/>
      <c r="O207" s="650"/>
      <c r="P207" s="650"/>
      <c r="Q207" s="650"/>
      <c r="R207" s="650"/>
      <c r="S207" s="650"/>
      <c r="T207" s="650"/>
      <c r="U207" s="650"/>
      <c r="V207" s="650"/>
      <c r="W207" s="650"/>
      <c r="X207" s="650"/>
      <c r="Y207" s="650"/>
      <c r="Z207" s="650"/>
      <c r="AA207" s="650"/>
      <c r="AB207" s="650"/>
      <c r="AC207" s="650"/>
      <c r="AD207" s="650"/>
      <c r="AE207" s="650"/>
      <c r="AF207" s="650"/>
      <c r="AG207" s="650"/>
      <c r="AH207" s="650"/>
      <c r="AI207" s="650"/>
      <c r="AJ207" s="650"/>
      <c r="AK207" s="650"/>
      <c r="AL207" s="650"/>
      <c r="AM207" s="650"/>
      <c r="AN207" s="650"/>
      <c r="AO207" s="650"/>
      <c r="AP207" s="650"/>
      <c r="AQ207" s="650"/>
      <c r="AR207" s="650"/>
      <c r="AS207" s="650"/>
      <c r="AT207" s="650"/>
      <c r="AU207" s="650"/>
      <c r="AV207" s="650"/>
      <c r="AW207" s="650"/>
      <c r="AX207" s="650"/>
      <c r="AY207" s="650"/>
    </row>
    <row r="208" ht="21.75" customHeight="1">
      <c r="A208" s="650"/>
      <c r="B208" s="650"/>
      <c r="C208" s="650"/>
      <c r="D208" s="650"/>
      <c r="E208" s="650"/>
      <c r="F208" s="650"/>
      <c r="G208" s="650"/>
      <c r="H208" s="650"/>
      <c r="I208" s="650"/>
      <c r="J208" s="650"/>
      <c r="K208" s="650"/>
      <c r="L208" s="650"/>
      <c r="M208" s="650"/>
      <c r="N208" s="650"/>
      <c r="O208" s="650"/>
      <c r="P208" s="650"/>
      <c r="Q208" s="650"/>
      <c r="R208" s="650"/>
      <c r="S208" s="650"/>
      <c r="T208" s="650"/>
      <c r="U208" s="650"/>
      <c r="V208" s="650"/>
      <c r="W208" s="650"/>
      <c r="X208" s="650"/>
      <c r="Y208" s="650"/>
      <c r="Z208" s="650"/>
      <c r="AA208" s="650"/>
      <c r="AB208" s="650"/>
      <c r="AC208" s="650"/>
      <c r="AD208" s="650"/>
      <c r="AE208" s="650"/>
      <c r="AF208" s="650"/>
      <c r="AG208" s="650"/>
      <c r="AH208" s="650"/>
      <c r="AI208" s="650"/>
      <c r="AJ208" s="650"/>
      <c r="AK208" s="650"/>
      <c r="AL208" s="650"/>
      <c r="AM208" s="650"/>
      <c r="AN208" s="650"/>
      <c r="AO208" s="650"/>
      <c r="AP208" s="650"/>
      <c r="AQ208" s="650"/>
      <c r="AR208" s="650"/>
      <c r="AS208" s="650"/>
      <c r="AT208" s="650"/>
      <c r="AU208" s="650"/>
      <c r="AV208" s="650"/>
      <c r="AW208" s="650"/>
      <c r="AX208" s="650"/>
      <c r="AY208" s="650"/>
    </row>
    <row r="209" ht="21.75" customHeight="1">
      <c r="A209" s="650"/>
      <c r="B209" s="650"/>
      <c r="C209" s="650"/>
      <c r="D209" s="650"/>
      <c r="E209" s="650"/>
      <c r="F209" s="650"/>
      <c r="G209" s="650"/>
      <c r="H209" s="650"/>
      <c r="I209" s="650"/>
      <c r="J209" s="650"/>
      <c r="K209" s="650"/>
      <c r="L209" s="650"/>
      <c r="M209" s="650"/>
      <c r="N209" s="650"/>
      <c r="O209" s="650"/>
      <c r="P209" s="650"/>
      <c r="Q209" s="650"/>
      <c r="R209" s="650"/>
      <c r="S209" s="650"/>
      <c r="T209" s="650"/>
      <c r="U209" s="650"/>
      <c r="V209" s="650"/>
      <c r="W209" s="650"/>
      <c r="X209" s="650"/>
      <c r="Y209" s="650"/>
      <c r="Z209" s="650"/>
      <c r="AA209" s="650"/>
      <c r="AB209" s="650"/>
      <c r="AC209" s="650"/>
      <c r="AD209" s="650"/>
      <c r="AE209" s="650"/>
      <c r="AF209" s="650"/>
      <c r="AG209" s="650"/>
      <c r="AH209" s="650"/>
      <c r="AI209" s="650"/>
      <c r="AJ209" s="650"/>
      <c r="AK209" s="650"/>
      <c r="AL209" s="650"/>
      <c r="AM209" s="650"/>
      <c r="AN209" s="650"/>
      <c r="AO209" s="650"/>
      <c r="AP209" s="650"/>
      <c r="AQ209" s="650"/>
      <c r="AR209" s="650"/>
      <c r="AS209" s="650"/>
      <c r="AT209" s="650"/>
      <c r="AU209" s="650"/>
      <c r="AV209" s="650"/>
      <c r="AW209" s="650"/>
      <c r="AX209" s="650"/>
      <c r="AY209" s="650"/>
    </row>
    <row r="210" ht="21.75" customHeight="1">
      <c r="A210" s="650"/>
      <c r="B210" s="650"/>
      <c r="C210" s="650"/>
      <c r="D210" s="650"/>
      <c r="E210" s="650"/>
      <c r="F210" s="650"/>
      <c r="G210" s="650"/>
      <c r="H210" s="650"/>
      <c r="I210" s="650"/>
      <c r="J210" s="650"/>
      <c r="K210" s="650"/>
      <c r="L210" s="650"/>
      <c r="M210" s="650"/>
      <c r="N210" s="650"/>
      <c r="O210" s="650"/>
      <c r="P210" s="650"/>
      <c r="Q210" s="650"/>
      <c r="R210" s="650"/>
      <c r="S210" s="650"/>
      <c r="T210" s="650"/>
      <c r="U210" s="650"/>
      <c r="V210" s="650"/>
      <c r="W210" s="650"/>
      <c r="X210" s="650"/>
      <c r="Y210" s="650"/>
      <c r="Z210" s="650"/>
      <c r="AA210" s="650"/>
      <c r="AB210" s="650"/>
      <c r="AC210" s="650"/>
      <c r="AD210" s="650"/>
      <c r="AE210" s="650"/>
      <c r="AF210" s="650"/>
      <c r="AG210" s="650"/>
      <c r="AH210" s="650"/>
      <c r="AI210" s="650"/>
      <c r="AJ210" s="650"/>
      <c r="AK210" s="650"/>
      <c r="AL210" s="650"/>
      <c r="AM210" s="650"/>
      <c r="AN210" s="650"/>
      <c r="AO210" s="650"/>
      <c r="AP210" s="650"/>
      <c r="AQ210" s="650"/>
      <c r="AR210" s="650"/>
      <c r="AS210" s="650"/>
      <c r="AT210" s="650"/>
      <c r="AU210" s="650"/>
      <c r="AV210" s="650"/>
      <c r="AW210" s="650"/>
      <c r="AX210" s="650"/>
      <c r="AY210" s="650"/>
    </row>
    <row r="211" ht="21.75" customHeight="1">
      <c r="A211" s="650"/>
      <c r="B211" s="650"/>
      <c r="C211" s="650"/>
      <c r="D211" s="650"/>
      <c r="E211" s="650"/>
      <c r="F211" s="650"/>
      <c r="G211" s="650"/>
      <c r="H211" s="650"/>
      <c r="I211" s="650"/>
      <c r="J211" s="650"/>
      <c r="K211" s="650"/>
      <c r="L211" s="650"/>
      <c r="M211" s="650"/>
      <c r="N211" s="650"/>
      <c r="O211" s="650"/>
      <c r="P211" s="650"/>
      <c r="Q211" s="650"/>
      <c r="R211" s="650"/>
      <c r="S211" s="650"/>
      <c r="T211" s="650"/>
      <c r="U211" s="650"/>
      <c r="V211" s="650"/>
      <c r="W211" s="650"/>
      <c r="X211" s="650"/>
      <c r="Y211" s="650"/>
      <c r="Z211" s="650"/>
      <c r="AA211" s="650"/>
      <c r="AB211" s="650"/>
      <c r="AC211" s="650"/>
      <c r="AD211" s="650"/>
      <c r="AE211" s="650"/>
      <c r="AF211" s="650"/>
      <c r="AG211" s="650"/>
      <c r="AH211" s="650"/>
      <c r="AI211" s="650"/>
      <c r="AJ211" s="650"/>
      <c r="AK211" s="650"/>
      <c r="AL211" s="650"/>
      <c r="AM211" s="650"/>
      <c r="AN211" s="650"/>
      <c r="AO211" s="650"/>
      <c r="AP211" s="650"/>
      <c r="AQ211" s="650"/>
      <c r="AR211" s="650"/>
      <c r="AS211" s="650"/>
      <c r="AT211" s="650"/>
      <c r="AU211" s="650"/>
      <c r="AV211" s="650"/>
      <c r="AW211" s="650"/>
      <c r="AX211" s="650"/>
      <c r="AY211" s="650"/>
    </row>
    <row r="212" ht="21.75" customHeight="1">
      <c r="A212" s="650"/>
      <c r="B212" s="650"/>
      <c r="C212" s="650"/>
      <c r="D212" s="650"/>
      <c r="E212" s="650"/>
      <c r="F212" s="650"/>
      <c r="G212" s="650"/>
      <c r="H212" s="650"/>
      <c r="I212" s="650"/>
      <c r="J212" s="650"/>
      <c r="K212" s="650"/>
      <c r="L212" s="650"/>
      <c r="M212" s="650"/>
      <c r="N212" s="650"/>
      <c r="O212" s="650"/>
      <c r="P212" s="650"/>
      <c r="Q212" s="650"/>
      <c r="R212" s="650"/>
      <c r="S212" s="650"/>
      <c r="T212" s="650"/>
      <c r="U212" s="650"/>
      <c r="V212" s="650"/>
      <c r="W212" s="650"/>
      <c r="X212" s="650"/>
      <c r="Y212" s="650"/>
      <c r="Z212" s="650"/>
      <c r="AA212" s="650"/>
      <c r="AB212" s="650"/>
      <c r="AC212" s="650"/>
      <c r="AD212" s="650"/>
      <c r="AE212" s="650"/>
      <c r="AF212" s="650"/>
      <c r="AG212" s="650"/>
      <c r="AH212" s="650"/>
      <c r="AI212" s="650"/>
      <c r="AJ212" s="650"/>
      <c r="AK212" s="650"/>
      <c r="AL212" s="650"/>
      <c r="AM212" s="650"/>
      <c r="AN212" s="650"/>
      <c r="AO212" s="650"/>
      <c r="AP212" s="650"/>
      <c r="AQ212" s="650"/>
      <c r="AR212" s="650"/>
      <c r="AS212" s="650"/>
      <c r="AT212" s="650"/>
      <c r="AU212" s="650"/>
      <c r="AV212" s="650"/>
      <c r="AW212" s="650"/>
      <c r="AX212" s="650"/>
      <c r="AY212" s="650"/>
    </row>
    <row r="213" ht="21.75" customHeight="1">
      <c r="A213" s="650"/>
      <c r="B213" s="650"/>
      <c r="C213" s="650"/>
      <c r="D213" s="650"/>
      <c r="E213" s="650"/>
      <c r="F213" s="650"/>
      <c r="G213" s="650"/>
      <c r="H213" s="650"/>
      <c r="I213" s="650"/>
      <c r="J213" s="650"/>
      <c r="K213" s="650"/>
      <c r="L213" s="650"/>
      <c r="M213" s="650"/>
      <c r="N213" s="650"/>
      <c r="O213" s="650"/>
      <c r="P213" s="650"/>
      <c r="Q213" s="650"/>
      <c r="R213" s="650"/>
      <c r="S213" s="650"/>
      <c r="T213" s="650"/>
      <c r="U213" s="650"/>
      <c r="V213" s="650"/>
      <c r="W213" s="650"/>
      <c r="X213" s="650"/>
      <c r="Y213" s="650"/>
      <c r="Z213" s="650"/>
      <c r="AA213" s="650"/>
      <c r="AB213" s="650"/>
      <c r="AC213" s="650"/>
      <c r="AD213" s="650"/>
      <c r="AE213" s="650"/>
      <c r="AF213" s="650"/>
      <c r="AG213" s="650"/>
      <c r="AH213" s="650"/>
      <c r="AI213" s="650"/>
      <c r="AJ213" s="650"/>
      <c r="AK213" s="650"/>
      <c r="AL213" s="650"/>
      <c r="AM213" s="650"/>
      <c r="AN213" s="650"/>
      <c r="AO213" s="650"/>
      <c r="AP213" s="650"/>
      <c r="AQ213" s="650"/>
      <c r="AR213" s="650"/>
      <c r="AS213" s="650"/>
      <c r="AT213" s="650"/>
      <c r="AU213" s="650"/>
      <c r="AV213" s="650"/>
      <c r="AW213" s="650"/>
      <c r="AX213" s="650"/>
      <c r="AY213" s="650"/>
    </row>
    <row r="214" ht="21.75" customHeight="1">
      <c r="A214" s="650"/>
      <c r="B214" s="650"/>
      <c r="C214" s="650"/>
      <c r="D214" s="650"/>
      <c r="E214" s="650"/>
      <c r="F214" s="650"/>
      <c r="G214" s="650"/>
      <c r="H214" s="650"/>
      <c r="I214" s="650"/>
      <c r="J214" s="650"/>
      <c r="K214" s="650"/>
      <c r="L214" s="650"/>
      <c r="M214" s="650"/>
      <c r="N214" s="650"/>
      <c r="O214" s="650"/>
      <c r="P214" s="650"/>
      <c r="Q214" s="650"/>
      <c r="R214" s="650"/>
      <c r="S214" s="650"/>
      <c r="T214" s="650"/>
      <c r="U214" s="650"/>
      <c r="V214" s="650"/>
      <c r="W214" s="650"/>
      <c r="X214" s="650"/>
      <c r="Y214" s="650"/>
      <c r="Z214" s="650"/>
      <c r="AA214" s="650"/>
      <c r="AB214" s="650"/>
      <c r="AC214" s="650"/>
      <c r="AD214" s="650"/>
      <c r="AE214" s="650"/>
      <c r="AF214" s="650"/>
      <c r="AG214" s="650"/>
      <c r="AH214" s="650"/>
      <c r="AI214" s="650"/>
      <c r="AJ214" s="650"/>
      <c r="AK214" s="650"/>
      <c r="AL214" s="650"/>
      <c r="AM214" s="650"/>
      <c r="AN214" s="650"/>
      <c r="AO214" s="650"/>
      <c r="AP214" s="650"/>
      <c r="AQ214" s="650"/>
      <c r="AR214" s="650"/>
      <c r="AS214" s="650"/>
      <c r="AT214" s="650"/>
      <c r="AU214" s="650"/>
      <c r="AV214" s="650"/>
      <c r="AW214" s="650"/>
      <c r="AX214" s="650"/>
      <c r="AY214" s="650"/>
    </row>
    <row r="215" ht="21.75" customHeight="1">
      <c r="A215" s="650"/>
      <c r="B215" s="650"/>
      <c r="C215" s="650"/>
      <c r="D215" s="650"/>
      <c r="E215" s="650"/>
      <c r="F215" s="650"/>
      <c r="G215" s="650"/>
      <c r="H215" s="650"/>
      <c r="I215" s="650"/>
      <c r="J215" s="650"/>
      <c r="K215" s="650"/>
      <c r="L215" s="650"/>
      <c r="M215" s="650"/>
      <c r="N215" s="650"/>
      <c r="O215" s="650"/>
      <c r="P215" s="650"/>
      <c r="Q215" s="650"/>
      <c r="R215" s="650"/>
      <c r="S215" s="650"/>
      <c r="T215" s="650"/>
      <c r="U215" s="650"/>
      <c r="V215" s="650"/>
      <c r="W215" s="650"/>
      <c r="X215" s="650"/>
      <c r="Y215" s="650"/>
      <c r="Z215" s="650"/>
      <c r="AA215" s="650"/>
      <c r="AB215" s="650"/>
      <c r="AC215" s="650"/>
      <c r="AD215" s="650"/>
      <c r="AE215" s="650"/>
      <c r="AF215" s="650"/>
      <c r="AG215" s="650"/>
      <c r="AH215" s="650"/>
      <c r="AI215" s="650"/>
      <c r="AJ215" s="650"/>
      <c r="AK215" s="650"/>
      <c r="AL215" s="650"/>
      <c r="AM215" s="650"/>
      <c r="AN215" s="650"/>
      <c r="AO215" s="650"/>
      <c r="AP215" s="650"/>
      <c r="AQ215" s="650"/>
      <c r="AR215" s="650"/>
      <c r="AS215" s="650"/>
      <c r="AT215" s="650"/>
      <c r="AU215" s="650"/>
      <c r="AV215" s="650"/>
      <c r="AW215" s="650"/>
      <c r="AX215" s="650"/>
      <c r="AY215" s="650"/>
    </row>
    <row r="216" ht="21.75" customHeight="1">
      <c r="A216" s="650"/>
      <c r="B216" s="650"/>
      <c r="C216" s="650"/>
      <c r="D216" s="650"/>
      <c r="E216" s="650"/>
      <c r="F216" s="650"/>
      <c r="G216" s="650"/>
      <c r="H216" s="650"/>
      <c r="I216" s="650"/>
      <c r="J216" s="650"/>
      <c r="K216" s="650"/>
      <c r="L216" s="650"/>
      <c r="M216" s="650"/>
      <c r="N216" s="650"/>
      <c r="O216" s="650"/>
      <c r="P216" s="650"/>
      <c r="Q216" s="650"/>
      <c r="R216" s="650"/>
      <c r="S216" s="650"/>
      <c r="T216" s="650"/>
      <c r="U216" s="650"/>
      <c r="V216" s="650"/>
      <c r="W216" s="650"/>
      <c r="X216" s="650"/>
      <c r="Y216" s="650"/>
      <c r="Z216" s="650"/>
      <c r="AA216" s="650"/>
      <c r="AB216" s="650"/>
      <c r="AC216" s="650"/>
      <c r="AD216" s="650"/>
      <c r="AE216" s="650"/>
      <c r="AF216" s="650"/>
      <c r="AG216" s="650"/>
      <c r="AH216" s="650"/>
      <c r="AI216" s="650"/>
      <c r="AJ216" s="650"/>
      <c r="AK216" s="650"/>
      <c r="AL216" s="650"/>
      <c r="AM216" s="650"/>
      <c r="AN216" s="650"/>
      <c r="AO216" s="650"/>
      <c r="AP216" s="650"/>
      <c r="AQ216" s="650"/>
      <c r="AR216" s="650"/>
      <c r="AS216" s="650"/>
      <c r="AT216" s="650"/>
      <c r="AU216" s="650"/>
      <c r="AV216" s="650"/>
      <c r="AW216" s="650"/>
      <c r="AX216" s="650"/>
      <c r="AY216" s="650"/>
    </row>
    <row r="217" ht="21.75" customHeight="1">
      <c r="A217" s="650"/>
      <c r="B217" s="650"/>
      <c r="C217" s="650"/>
      <c r="D217" s="650"/>
      <c r="E217" s="650"/>
      <c r="F217" s="650"/>
      <c r="G217" s="650"/>
      <c r="H217" s="650"/>
      <c r="I217" s="650"/>
      <c r="J217" s="650"/>
      <c r="K217" s="650"/>
      <c r="L217" s="650"/>
      <c r="M217" s="650"/>
      <c r="N217" s="650"/>
      <c r="O217" s="650"/>
      <c r="P217" s="650"/>
      <c r="Q217" s="650"/>
      <c r="R217" s="650"/>
      <c r="S217" s="650"/>
      <c r="T217" s="650"/>
      <c r="U217" s="650"/>
      <c r="V217" s="650"/>
      <c r="W217" s="650"/>
      <c r="X217" s="650"/>
      <c r="Y217" s="650"/>
      <c r="Z217" s="650"/>
      <c r="AA217" s="650"/>
      <c r="AB217" s="650"/>
      <c r="AC217" s="650"/>
      <c r="AD217" s="650"/>
      <c r="AE217" s="650"/>
      <c r="AF217" s="650"/>
      <c r="AG217" s="650"/>
      <c r="AH217" s="650"/>
      <c r="AI217" s="650"/>
      <c r="AJ217" s="650"/>
      <c r="AK217" s="650"/>
      <c r="AL217" s="650"/>
      <c r="AM217" s="650"/>
      <c r="AN217" s="650"/>
      <c r="AO217" s="650"/>
      <c r="AP217" s="650"/>
      <c r="AQ217" s="650"/>
      <c r="AR217" s="650"/>
      <c r="AS217" s="650"/>
      <c r="AT217" s="650"/>
      <c r="AU217" s="650"/>
      <c r="AV217" s="650"/>
      <c r="AW217" s="650"/>
      <c r="AX217" s="650"/>
      <c r="AY217" s="650"/>
    </row>
    <row r="218" ht="21.75" customHeight="1">
      <c r="A218" s="650"/>
      <c r="B218" s="650"/>
      <c r="C218" s="650"/>
      <c r="D218" s="650"/>
      <c r="E218" s="650"/>
      <c r="F218" s="650"/>
      <c r="G218" s="650"/>
      <c r="H218" s="650"/>
      <c r="I218" s="650"/>
      <c r="J218" s="650"/>
      <c r="K218" s="650"/>
      <c r="L218" s="650"/>
      <c r="M218" s="650"/>
      <c r="N218" s="650"/>
      <c r="O218" s="650"/>
      <c r="P218" s="650"/>
      <c r="Q218" s="650"/>
      <c r="R218" s="650"/>
      <c r="S218" s="650"/>
      <c r="T218" s="650"/>
      <c r="U218" s="650"/>
      <c r="V218" s="650"/>
      <c r="W218" s="650"/>
      <c r="X218" s="650"/>
      <c r="Y218" s="650"/>
      <c r="Z218" s="650"/>
      <c r="AA218" s="650"/>
      <c r="AB218" s="650"/>
      <c r="AC218" s="650"/>
      <c r="AD218" s="650"/>
      <c r="AE218" s="650"/>
      <c r="AF218" s="650"/>
      <c r="AG218" s="650"/>
      <c r="AH218" s="650"/>
      <c r="AI218" s="650"/>
      <c r="AJ218" s="650"/>
      <c r="AK218" s="650"/>
      <c r="AL218" s="650"/>
      <c r="AM218" s="650"/>
      <c r="AN218" s="650"/>
      <c r="AO218" s="650"/>
      <c r="AP218" s="650"/>
      <c r="AQ218" s="650"/>
      <c r="AR218" s="650"/>
      <c r="AS218" s="650"/>
      <c r="AT218" s="650"/>
      <c r="AU218" s="650"/>
      <c r="AV218" s="650"/>
      <c r="AW218" s="650"/>
      <c r="AX218" s="650"/>
      <c r="AY218" s="650"/>
    </row>
    <row r="219" ht="21.75" customHeight="1">
      <c r="A219" s="650"/>
      <c r="B219" s="650"/>
      <c r="C219" s="650"/>
      <c r="D219" s="650"/>
      <c r="E219" s="650"/>
      <c r="F219" s="650"/>
      <c r="G219" s="650"/>
      <c r="H219" s="650"/>
      <c r="I219" s="650"/>
      <c r="J219" s="650"/>
      <c r="K219" s="650"/>
      <c r="L219" s="650"/>
      <c r="M219" s="650"/>
      <c r="N219" s="650"/>
      <c r="O219" s="650"/>
      <c r="P219" s="650"/>
      <c r="Q219" s="650"/>
      <c r="R219" s="650"/>
      <c r="S219" s="650"/>
      <c r="T219" s="650"/>
      <c r="U219" s="650"/>
      <c r="V219" s="650"/>
      <c r="W219" s="650"/>
      <c r="X219" s="650"/>
      <c r="Y219" s="650"/>
      <c r="Z219" s="650"/>
      <c r="AA219" s="650"/>
      <c r="AB219" s="650"/>
      <c r="AC219" s="650"/>
      <c r="AD219" s="650"/>
      <c r="AE219" s="650"/>
      <c r="AF219" s="650"/>
      <c r="AG219" s="650"/>
      <c r="AH219" s="650"/>
      <c r="AI219" s="650"/>
      <c r="AJ219" s="650"/>
      <c r="AK219" s="650"/>
      <c r="AL219" s="650"/>
      <c r="AM219" s="650"/>
      <c r="AN219" s="650"/>
      <c r="AO219" s="650"/>
      <c r="AP219" s="650"/>
      <c r="AQ219" s="650"/>
      <c r="AR219" s="650"/>
      <c r="AS219" s="650"/>
      <c r="AT219" s="650"/>
      <c r="AU219" s="650"/>
      <c r="AV219" s="650"/>
      <c r="AW219" s="650"/>
      <c r="AX219" s="650"/>
      <c r="AY219" s="650"/>
    </row>
    <row r="220" ht="21.75" customHeight="1">
      <c r="A220" s="650"/>
      <c r="B220" s="650"/>
      <c r="C220" s="650"/>
      <c r="D220" s="650"/>
      <c r="E220" s="650"/>
      <c r="F220" s="650"/>
      <c r="G220" s="650"/>
      <c r="H220" s="650"/>
      <c r="I220" s="650"/>
      <c r="J220" s="650"/>
      <c r="K220" s="650"/>
      <c r="L220" s="650"/>
      <c r="M220" s="650"/>
      <c r="N220" s="650"/>
      <c r="O220" s="650"/>
      <c r="P220" s="650"/>
      <c r="Q220" s="650"/>
      <c r="R220" s="650"/>
      <c r="S220" s="650"/>
      <c r="T220" s="650"/>
      <c r="U220" s="650"/>
      <c r="V220" s="650"/>
      <c r="W220" s="650"/>
      <c r="X220" s="650"/>
      <c r="Y220" s="650"/>
      <c r="Z220" s="650"/>
      <c r="AA220" s="650"/>
      <c r="AB220" s="650"/>
      <c r="AC220" s="650"/>
      <c r="AD220" s="650"/>
      <c r="AE220" s="650"/>
      <c r="AF220" s="650"/>
      <c r="AG220" s="650"/>
      <c r="AH220" s="650"/>
      <c r="AI220" s="650"/>
      <c r="AJ220" s="650"/>
      <c r="AK220" s="650"/>
      <c r="AL220" s="650"/>
      <c r="AM220" s="650"/>
      <c r="AN220" s="650"/>
      <c r="AO220" s="650"/>
      <c r="AP220" s="650"/>
      <c r="AQ220" s="650"/>
      <c r="AR220" s="650"/>
      <c r="AS220" s="650"/>
      <c r="AT220" s="650"/>
      <c r="AU220" s="650"/>
      <c r="AV220" s="650"/>
      <c r="AW220" s="650"/>
      <c r="AX220" s="650"/>
      <c r="AY220" s="650"/>
    </row>
    <row r="221" ht="21.75" customHeight="1">
      <c r="A221" s="650"/>
      <c r="B221" s="650"/>
      <c r="C221" s="650"/>
      <c r="D221" s="650"/>
      <c r="E221" s="650"/>
      <c r="F221" s="650"/>
      <c r="G221" s="650"/>
      <c r="H221" s="650"/>
      <c r="I221" s="650"/>
      <c r="J221" s="650"/>
      <c r="K221" s="650"/>
      <c r="L221" s="650"/>
      <c r="M221" s="650"/>
      <c r="N221" s="650"/>
      <c r="O221" s="650"/>
      <c r="P221" s="650"/>
      <c r="Q221" s="650"/>
      <c r="R221" s="650"/>
      <c r="S221" s="650"/>
      <c r="T221" s="650"/>
      <c r="U221" s="650"/>
      <c r="V221" s="650"/>
      <c r="W221" s="650"/>
      <c r="X221" s="650"/>
      <c r="Y221" s="650"/>
      <c r="Z221" s="650"/>
      <c r="AA221" s="650"/>
      <c r="AB221" s="650"/>
      <c r="AC221" s="650"/>
      <c r="AD221" s="650"/>
      <c r="AE221" s="650"/>
      <c r="AF221" s="650"/>
      <c r="AG221" s="650"/>
      <c r="AH221" s="650"/>
      <c r="AI221" s="650"/>
      <c r="AJ221" s="650"/>
      <c r="AK221" s="650"/>
      <c r="AL221" s="650"/>
      <c r="AM221" s="650"/>
      <c r="AN221" s="650"/>
      <c r="AO221" s="650"/>
      <c r="AP221" s="650"/>
      <c r="AQ221" s="650"/>
      <c r="AR221" s="650"/>
      <c r="AS221" s="650"/>
      <c r="AT221" s="650"/>
      <c r="AU221" s="650"/>
      <c r="AV221" s="650"/>
      <c r="AW221" s="650"/>
      <c r="AX221" s="650"/>
      <c r="AY221" s="650"/>
    </row>
    <row r="222" ht="21.75" customHeight="1">
      <c r="A222" s="650"/>
      <c r="B222" s="650"/>
      <c r="C222" s="650"/>
      <c r="D222" s="650"/>
      <c r="E222" s="650"/>
      <c r="F222" s="650"/>
      <c r="G222" s="650"/>
      <c r="H222" s="650"/>
      <c r="I222" s="650"/>
      <c r="J222" s="650"/>
      <c r="K222" s="650"/>
      <c r="L222" s="650"/>
      <c r="M222" s="650"/>
      <c r="N222" s="650"/>
      <c r="O222" s="650"/>
      <c r="P222" s="650"/>
      <c r="Q222" s="650"/>
      <c r="R222" s="650"/>
      <c r="S222" s="650"/>
      <c r="T222" s="650"/>
      <c r="U222" s="650"/>
      <c r="V222" s="650"/>
      <c r="W222" s="650"/>
      <c r="X222" s="650"/>
      <c r="Y222" s="650"/>
      <c r="Z222" s="650"/>
      <c r="AA222" s="650"/>
      <c r="AB222" s="650"/>
      <c r="AC222" s="650"/>
      <c r="AD222" s="650"/>
      <c r="AE222" s="650"/>
      <c r="AF222" s="650"/>
      <c r="AG222" s="650"/>
      <c r="AH222" s="650"/>
      <c r="AI222" s="650"/>
      <c r="AJ222" s="650"/>
      <c r="AK222" s="650"/>
      <c r="AL222" s="650"/>
      <c r="AM222" s="650"/>
      <c r="AN222" s="650"/>
      <c r="AO222" s="650"/>
      <c r="AP222" s="650"/>
      <c r="AQ222" s="650"/>
      <c r="AR222" s="650"/>
      <c r="AS222" s="650"/>
      <c r="AT222" s="650"/>
      <c r="AU222" s="650"/>
      <c r="AV222" s="650"/>
      <c r="AW222" s="650"/>
      <c r="AX222" s="650"/>
      <c r="AY222" s="650"/>
    </row>
    <row r="223" ht="21.75" customHeight="1">
      <c r="A223" s="650"/>
      <c r="B223" s="650"/>
      <c r="C223" s="650"/>
      <c r="D223" s="650"/>
      <c r="E223" s="650"/>
      <c r="F223" s="650"/>
      <c r="G223" s="650"/>
      <c r="H223" s="650"/>
      <c r="I223" s="650"/>
      <c r="J223" s="650"/>
      <c r="K223" s="650"/>
      <c r="L223" s="650"/>
      <c r="M223" s="650"/>
      <c r="N223" s="650"/>
      <c r="O223" s="650"/>
      <c r="P223" s="650"/>
      <c r="Q223" s="650"/>
      <c r="R223" s="650"/>
      <c r="S223" s="650"/>
      <c r="T223" s="650"/>
      <c r="U223" s="650"/>
      <c r="V223" s="650"/>
      <c r="W223" s="650"/>
      <c r="X223" s="650"/>
      <c r="Y223" s="650"/>
      <c r="Z223" s="650"/>
      <c r="AA223" s="650"/>
      <c r="AB223" s="650"/>
      <c r="AC223" s="650"/>
      <c r="AD223" s="650"/>
      <c r="AE223" s="650"/>
      <c r="AF223" s="650"/>
      <c r="AG223" s="650"/>
      <c r="AH223" s="650"/>
      <c r="AI223" s="650"/>
      <c r="AJ223" s="650"/>
      <c r="AK223" s="650"/>
      <c r="AL223" s="650"/>
      <c r="AM223" s="650"/>
      <c r="AN223" s="650"/>
      <c r="AO223" s="650"/>
      <c r="AP223" s="650"/>
      <c r="AQ223" s="650"/>
      <c r="AR223" s="650"/>
      <c r="AS223" s="650"/>
      <c r="AT223" s="650"/>
      <c r="AU223" s="650"/>
      <c r="AV223" s="650"/>
      <c r="AW223" s="650"/>
      <c r="AX223" s="650"/>
      <c r="AY223" s="650"/>
    </row>
    <row r="224" ht="21.75" customHeight="1">
      <c r="A224" s="650"/>
      <c r="B224" s="650"/>
      <c r="C224" s="650"/>
      <c r="D224" s="650"/>
      <c r="E224" s="650"/>
      <c r="F224" s="650"/>
      <c r="G224" s="650"/>
      <c r="H224" s="650"/>
      <c r="I224" s="650"/>
      <c r="J224" s="650"/>
      <c r="K224" s="650"/>
      <c r="L224" s="650"/>
      <c r="M224" s="650"/>
      <c r="N224" s="650"/>
      <c r="O224" s="650"/>
      <c r="P224" s="650"/>
      <c r="Q224" s="650"/>
      <c r="R224" s="650"/>
      <c r="S224" s="650"/>
      <c r="T224" s="650"/>
      <c r="U224" s="650"/>
      <c r="V224" s="650"/>
      <c r="W224" s="650"/>
      <c r="X224" s="650"/>
      <c r="Y224" s="650"/>
      <c r="Z224" s="650"/>
      <c r="AA224" s="650"/>
      <c r="AB224" s="650"/>
      <c r="AC224" s="650"/>
      <c r="AD224" s="650"/>
      <c r="AE224" s="650"/>
      <c r="AF224" s="650"/>
      <c r="AG224" s="650"/>
      <c r="AH224" s="650"/>
      <c r="AI224" s="650"/>
      <c r="AJ224" s="650"/>
      <c r="AK224" s="650"/>
      <c r="AL224" s="650"/>
      <c r="AM224" s="650"/>
      <c r="AN224" s="650"/>
      <c r="AO224" s="650"/>
      <c r="AP224" s="650"/>
      <c r="AQ224" s="650"/>
      <c r="AR224" s="650"/>
      <c r="AS224" s="650"/>
      <c r="AT224" s="650"/>
      <c r="AU224" s="650"/>
      <c r="AV224" s="650"/>
      <c r="AW224" s="650"/>
      <c r="AX224" s="650"/>
      <c r="AY224" s="650"/>
    </row>
    <row r="225" ht="21.75" customHeight="1">
      <c r="A225" s="650"/>
      <c r="B225" s="650"/>
      <c r="C225" s="650"/>
      <c r="D225" s="650"/>
      <c r="E225" s="650"/>
      <c r="F225" s="650"/>
      <c r="G225" s="650"/>
      <c r="H225" s="650"/>
      <c r="I225" s="650"/>
      <c r="J225" s="650"/>
      <c r="K225" s="650"/>
      <c r="L225" s="650"/>
      <c r="M225" s="650"/>
      <c r="N225" s="650"/>
      <c r="O225" s="650"/>
      <c r="P225" s="650"/>
      <c r="Q225" s="650"/>
      <c r="R225" s="650"/>
      <c r="S225" s="650"/>
      <c r="T225" s="650"/>
      <c r="U225" s="650"/>
      <c r="V225" s="650"/>
      <c r="W225" s="650"/>
      <c r="X225" s="650"/>
      <c r="Y225" s="650"/>
      <c r="Z225" s="650"/>
      <c r="AA225" s="650"/>
      <c r="AB225" s="650"/>
      <c r="AC225" s="650"/>
      <c r="AD225" s="650"/>
      <c r="AE225" s="650"/>
      <c r="AF225" s="650"/>
      <c r="AG225" s="650"/>
      <c r="AH225" s="650"/>
      <c r="AI225" s="650"/>
      <c r="AJ225" s="650"/>
      <c r="AK225" s="650"/>
      <c r="AL225" s="650"/>
      <c r="AM225" s="650"/>
      <c r="AN225" s="650"/>
      <c r="AO225" s="650"/>
      <c r="AP225" s="650"/>
      <c r="AQ225" s="650"/>
      <c r="AR225" s="650"/>
      <c r="AS225" s="650"/>
      <c r="AT225" s="650"/>
      <c r="AU225" s="650"/>
      <c r="AV225" s="650"/>
      <c r="AW225" s="650"/>
      <c r="AX225" s="650"/>
      <c r="AY225" s="650"/>
    </row>
    <row r="226" ht="21.75" customHeight="1">
      <c r="A226" s="650"/>
      <c r="B226" s="650"/>
      <c r="C226" s="650"/>
      <c r="D226" s="650"/>
      <c r="E226" s="650"/>
      <c r="F226" s="650"/>
      <c r="G226" s="650"/>
      <c r="H226" s="650"/>
      <c r="I226" s="650"/>
      <c r="J226" s="650"/>
      <c r="K226" s="650"/>
      <c r="L226" s="650"/>
      <c r="M226" s="650"/>
      <c r="N226" s="650"/>
      <c r="O226" s="650"/>
      <c r="P226" s="650"/>
      <c r="Q226" s="650"/>
      <c r="R226" s="650"/>
      <c r="S226" s="650"/>
      <c r="T226" s="650"/>
      <c r="U226" s="650"/>
      <c r="V226" s="650"/>
      <c r="W226" s="650"/>
      <c r="X226" s="650"/>
      <c r="Y226" s="650"/>
      <c r="Z226" s="650"/>
      <c r="AA226" s="650"/>
      <c r="AB226" s="650"/>
      <c r="AC226" s="650"/>
      <c r="AD226" s="650"/>
      <c r="AE226" s="650"/>
      <c r="AF226" s="650"/>
      <c r="AG226" s="650"/>
      <c r="AH226" s="650"/>
      <c r="AI226" s="650"/>
      <c r="AJ226" s="650"/>
      <c r="AK226" s="650"/>
      <c r="AL226" s="650"/>
      <c r="AM226" s="650"/>
      <c r="AN226" s="650"/>
      <c r="AO226" s="650"/>
      <c r="AP226" s="650"/>
      <c r="AQ226" s="650"/>
      <c r="AR226" s="650"/>
      <c r="AS226" s="650"/>
      <c r="AT226" s="650"/>
      <c r="AU226" s="650"/>
      <c r="AV226" s="650"/>
      <c r="AW226" s="650"/>
      <c r="AX226" s="650"/>
      <c r="AY226" s="650"/>
    </row>
    <row r="227" ht="21.75" customHeight="1">
      <c r="A227" s="650"/>
      <c r="B227" s="650"/>
      <c r="C227" s="650"/>
      <c r="D227" s="650"/>
      <c r="E227" s="650"/>
      <c r="F227" s="650"/>
      <c r="G227" s="650"/>
      <c r="H227" s="650"/>
      <c r="I227" s="650"/>
      <c r="J227" s="650"/>
      <c r="K227" s="650"/>
      <c r="L227" s="650"/>
      <c r="M227" s="650"/>
      <c r="N227" s="650"/>
      <c r="O227" s="650"/>
      <c r="P227" s="650"/>
      <c r="Q227" s="650"/>
      <c r="R227" s="650"/>
      <c r="S227" s="650"/>
      <c r="T227" s="650"/>
      <c r="U227" s="650"/>
      <c r="V227" s="650"/>
      <c r="W227" s="650"/>
      <c r="X227" s="650"/>
      <c r="Y227" s="650"/>
      <c r="Z227" s="650"/>
      <c r="AA227" s="650"/>
      <c r="AB227" s="650"/>
      <c r="AC227" s="650"/>
      <c r="AD227" s="650"/>
      <c r="AE227" s="650"/>
      <c r="AF227" s="650"/>
      <c r="AG227" s="650"/>
      <c r="AH227" s="650"/>
      <c r="AI227" s="650"/>
      <c r="AJ227" s="650"/>
      <c r="AK227" s="650"/>
      <c r="AL227" s="650"/>
      <c r="AM227" s="650"/>
      <c r="AN227" s="650"/>
      <c r="AO227" s="650"/>
      <c r="AP227" s="650"/>
      <c r="AQ227" s="650"/>
      <c r="AR227" s="650"/>
      <c r="AS227" s="650"/>
      <c r="AT227" s="650"/>
      <c r="AU227" s="650"/>
      <c r="AV227" s="650"/>
      <c r="AW227" s="650"/>
      <c r="AX227" s="650"/>
      <c r="AY227" s="650"/>
    </row>
    <row r="228" ht="21.75" customHeight="1">
      <c r="A228" s="650"/>
      <c r="B228" s="650"/>
      <c r="C228" s="650"/>
      <c r="D228" s="650"/>
      <c r="E228" s="650"/>
      <c r="F228" s="650"/>
      <c r="G228" s="650"/>
      <c r="H228" s="650"/>
      <c r="I228" s="650"/>
      <c r="J228" s="650"/>
      <c r="K228" s="650"/>
      <c r="L228" s="650"/>
      <c r="M228" s="650"/>
      <c r="N228" s="650"/>
      <c r="O228" s="650"/>
      <c r="P228" s="650"/>
      <c r="Q228" s="650"/>
      <c r="R228" s="650"/>
      <c r="S228" s="650"/>
      <c r="T228" s="650"/>
      <c r="U228" s="650"/>
      <c r="V228" s="650"/>
      <c r="W228" s="650"/>
      <c r="X228" s="650"/>
      <c r="Y228" s="650"/>
      <c r="Z228" s="650"/>
      <c r="AA228" s="650"/>
      <c r="AB228" s="650"/>
      <c r="AC228" s="650"/>
      <c r="AD228" s="650"/>
      <c r="AE228" s="650"/>
      <c r="AF228" s="650"/>
      <c r="AG228" s="650"/>
      <c r="AH228" s="650"/>
      <c r="AI228" s="650"/>
      <c r="AJ228" s="650"/>
      <c r="AK228" s="650"/>
      <c r="AL228" s="650"/>
      <c r="AM228" s="650"/>
      <c r="AN228" s="650"/>
      <c r="AO228" s="650"/>
      <c r="AP228" s="650"/>
      <c r="AQ228" s="650"/>
      <c r="AR228" s="650"/>
      <c r="AS228" s="650"/>
      <c r="AT228" s="650"/>
      <c r="AU228" s="650"/>
      <c r="AV228" s="650"/>
      <c r="AW228" s="650"/>
      <c r="AX228" s="650"/>
      <c r="AY228" s="650"/>
    </row>
    <row r="229" ht="21.75" customHeight="1">
      <c r="A229" s="650"/>
      <c r="B229" s="650"/>
      <c r="C229" s="650"/>
      <c r="D229" s="650"/>
      <c r="E229" s="650"/>
      <c r="F229" s="650"/>
      <c r="G229" s="650"/>
      <c r="H229" s="650"/>
      <c r="I229" s="650"/>
      <c r="J229" s="650"/>
      <c r="K229" s="650"/>
      <c r="L229" s="650"/>
      <c r="M229" s="650"/>
      <c r="N229" s="650"/>
      <c r="O229" s="650"/>
      <c r="P229" s="650"/>
      <c r="Q229" s="650"/>
      <c r="R229" s="650"/>
      <c r="S229" s="650"/>
      <c r="T229" s="650"/>
      <c r="U229" s="650"/>
      <c r="V229" s="650"/>
      <c r="W229" s="650"/>
      <c r="X229" s="650"/>
      <c r="Y229" s="650"/>
      <c r="Z229" s="650"/>
      <c r="AA229" s="650"/>
      <c r="AB229" s="650"/>
      <c r="AC229" s="650"/>
      <c r="AD229" s="650"/>
      <c r="AE229" s="650"/>
      <c r="AF229" s="650"/>
      <c r="AG229" s="650"/>
      <c r="AH229" s="650"/>
      <c r="AI229" s="650"/>
      <c r="AJ229" s="650"/>
      <c r="AK229" s="650"/>
      <c r="AL229" s="650"/>
      <c r="AM229" s="650"/>
      <c r="AN229" s="650"/>
      <c r="AO229" s="650"/>
      <c r="AP229" s="650"/>
      <c r="AQ229" s="650"/>
      <c r="AR229" s="650"/>
      <c r="AS229" s="650"/>
      <c r="AT229" s="650"/>
      <c r="AU229" s="650"/>
      <c r="AV229" s="650"/>
      <c r="AW229" s="650"/>
      <c r="AX229" s="650"/>
      <c r="AY229" s="650"/>
    </row>
    <row r="230" ht="21.75" customHeight="1">
      <c r="A230" s="650"/>
      <c r="B230" s="650"/>
      <c r="C230" s="650"/>
      <c r="D230" s="650"/>
      <c r="E230" s="650"/>
      <c r="F230" s="650"/>
      <c r="G230" s="650"/>
      <c r="H230" s="650"/>
      <c r="I230" s="650"/>
      <c r="J230" s="650"/>
      <c r="K230" s="650"/>
      <c r="L230" s="650"/>
      <c r="M230" s="650"/>
      <c r="N230" s="650"/>
      <c r="O230" s="650"/>
      <c r="P230" s="650"/>
      <c r="Q230" s="650"/>
      <c r="R230" s="650"/>
      <c r="S230" s="650"/>
      <c r="T230" s="650"/>
      <c r="U230" s="650"/>
      <c r="V230" s="650"/>
      <c r="W230" s="650"/>
      <c r="X230" s="650"/>
      <c r="Y230" s="650"/>
      <c r="Z230" s="650"/>
      <c r="AA230" s="650"/>
      <c r="AB230" s="650"/>
      <c r="AC230" s="650"/>
      <c r="AD230" s="650"/>
      <c r="AE230" s="650"/>
      <c r="AF230" s="650"/>
      <c r="AG230" s="650"/>
      <c r="AH230" s="650"/>
      <c r="AI230" s="650"/>
      <c r="AJ230" s="650"/>
      <c r="AK230" s="650"/>
      <c r="AL230" s="650"/>
      <c r="AM230" s="650"/>
      <c r="AN230" s="650"/>
      <c r="AO230" s="650"/>
      <c r="AP230" s="650"/>
      <c r="AQ230" s="650"/>
      <c r="AR230" s="650"/>
      <c r="AS230" s="650"/>
      <c r="AT230" s="650"/>
      <c r="AU230" s="650"/>
      <c r="AV230" s="650"/>
      <c r="AW230" s="650"/>
      <c r="AX230" s="650"/>
      <c r="AY230" s="650"/>
    </row>
    <row r="231" ht="21.75" customHeight="1">
      <c r="A231" s="650"/>
      <c r="B231" s="650"/>
      <c r="C231" s="650"/>
      <c r="D231" s="650"/>
      <c r="E231" s="650"/>
      <c r="F231" s="650"/>
      <c r="G231" s="650"/>
      <c r="H231" s="650"/>
      <c r="I231" s="650"/>
      <c r="J231" s="650"/>
      <c r="K231" s="650"/>
      <c r="L231" s="650"/>
      <c r="M231" s="650"/>
      <c r="N231" s="650"/>
      <c r="O231" s="650"/>
      <c r="P231" s="650"/>
      <c r="Q231" s="650"/>
      <c r="R231" s="650"/>
      <c r="S231" s="650"/>
      <c r="T231" s="650"/>
      <c r="U231" s="650"/>
      <c r="V231" s="650"/>
      <c r="W231" s="650"/>
      <c r="X231" s="650"/>
      <c r="Y231" s="650"/>
      <c r="Z231" s="650"/>
      <c r="AA231" s="650"/>
      <c r="AB231" s="650"/>
      <c r="AC231" s="650"/>
      <c r="AD231" s="650"/>
      <c r="AE231" s="650"/>
      <c r="AF231" s="650"/>
      <c r="AG231" s="650"/>
      <c r="AH231" s="650"/>
      <c r="AI231" s="650"/>
      <c r="AJ231" s="650"/>
      <c r="AK231" s="650"/>
      <c r="AL231" s="650"/>
      <c r="AM231" s="650"/>
      <c r="AN231" s="650"/>
      <c r="AO231" s="650"/>
      <c r="AP231" s="650"/>
      <c r="AQ231" s="650"/>
      <c r="AR231" s="650"/>
      <c r="AS231" s="650"/>
      <c r="AT231" s="650"/>
      <c r="AU231" s="650"/>
      <c r="AV231" s="650"/>
      <c r="AW231" s="650"/>
      <c r="AX231" s="650"/>
      <c r="AY231" s="650"/>
    </row>
    <row r="232" ht="21.75" customHeight="1">
      <c r="A232" s="650"/>
      <c r="B232" s="650"/>
      <c r="C232" s="650"/>
      <c r="D232" s="650"/>
      <c r="E232" s="650"/>
      <c r="F232" s="650"/>
      <c r="G232" s="650"/>
      <c r="H232" s="650"/>
      <c r="I232" s="650"/>
      <c r="J232" s="650"/>
      <c r="K232" s="650"/>
      <c r="L232" s="650"/>
      <c r="M232" s="650"/>
      <c r="N232" s="650"/>
      <c r="O232" s="650"/>
      <c r="P232" s="650"/>
      <c r="Q232" s="650"/>
      <c r="R232" s="650"/>
      <c r="S232" s="650"/>
      <c r="T232" s="650"/>
      <c r="U232" s="650"/>
      <c r="V232" s="650"/>
      <c r="W232" s="650"/>
      <c r="X232" s="650"/>
      <c r="Y232" s="650"/>
      <c r="Z232" s="650"/>
      <c r="AA232" s="650"/>
      <c r="AB232" s="650"/>
      <c r="AC232" s="650"/>
      <c r="AD232" s="650"/>
      <c r="AE232" s="650"/>
      <c r="AF232" s="650"/>
      <c r="AG232" s="650"/>
      <c r="AH232" s="650"/>
      <c r="AI232" s="650"/>
      <c r="AJ232" s="650"/>
      <c r="AK232" s="650"/>
      <c r="AL232" s="650"/>
      <c r="AM232" s="650"/>
      <c r="AN232" s="650"/>
      <c r="AO232" s="650"/>
      <c r="AP232" s="650"/>
      <c r="AQ232" s="650"/>
      <c r="AR232" s="650"/>
      <c r="AS232" s="650"/>
      <c r="AT232" s="650"/>
      <c r="AU232" s="650"/>
      <c r="AV232" s="650"/>
      <c r="AW232" s="650"/>
      <c r="AX232" s="650"/>
      <c r="AY232" s="650"/>
    </row>
    <row r="233" ht="21.75" customHeight="1">
      <c r="A233" s="650"/>
      <c r="B233" s="650"/>
      <c r="C233" s="650"/>
      <c r="D233" s="650"/>
      <c r="E233" s="650"/>
      <c r="F233" s="650"/>
      <c r="G233" s="650"/>
      <c r="H233" s="650"/>
      <c r="I233" s="650"/>
      <c r="J233" s="650"/>
      <c r="K233" s="650"/>
      <c r="L233" s="650"/>
      <c r="M233" s="650"/>
      <c r="N233" s="650"/>
      <c r="O233" s="650"/>
      <c r="P233" s="650"/>
      <c r="Q233" s="650"/>
      <c r="R233" s="650"/>
      <c r="S233" s="650"/>
      <c r="T233" s="650"/>
      <c r="U233" s="650"/>
      <c r="V233" s="650"/>
      <c r="W233" s="650"/>
      <c r="X233" s="650"/>
      <c r="Y233" s="650"/>
      <c r="Z233" s="650"/>
      <c r="AA233" s="650"/>
      <c r="AB233" s="650"/>
      <c r="AC233" s="650"/>
      <c r="AD233" s="650"/>
      <c r="AE233" s="650"/>
      <c r="AF233" s="650"/>
      <c r="AG233" s="650"/>
      <c r="AH233" s="650"/>
      <c r="AI233" s="650"/>
      <c r="AJ233" s="650"/>
      <c r="AK233" s="650"/>
      <c r="AL233" s="650"/>
      <c r="AM233" s="650"/>
      <c r="AN233" s="650"/>
      <c r="AO233" s="650"/>
      <c r="AP233" s="650"/>
      <c r="AQ233" s="650"/>
      <c r="AR233" s="650"/>
      <c r="AS233" s="650"/>
      <c r="AT233" s="650"/>
      <c r="AU233" s="650"/>
      <c r="AV233" s="650"/>
      <c r="AW233" s="650"/>
      <c r="AX233" s="650"/>
      <c r="AY233" s="650"/>
    </row>
    <row r="234" ht="21.75" customHeight="1">
      <c r="A234" s="650"/>
      <c r="B234" s="650"/>
      <c r="C234" s="650"/>
      <c r="D234" s="650"/>
      <c r="E234" s="650"/>
      <c r="F234" s="650"/>
      <c r="G234" s="650"/>
      <c r="H234" s="650"/>
      <c r="I234" s="650"/>
      <c r="J234" s="650"/>
      <c r="K234" s="650"/>
      <c r="L234" s="650"/>
      <c r="M234" s="650"/>
      <c r="N234" s="650"/>
      <c r="O234" s="650"/>
      <c r="P234" s="650"/>
      <c r="Q234" s="650"/>
      <c r="R234" s="650"/>
      <c r="S234" s="650"/>
      <c r="T234" s="650"/>
      <c r="U234" s="650"/>
      <c r="V234" s="650"/>
      <c r="W234" s="650"/>
      <c r="X234" s="650"/>
      <c r="Y234" s="650"/>
      <c r="Z234" s="650"/>
      <c r="AA234" s="650"/>
      <c r="AB234" s="650"/>
      <c r="AC234" s="650"/>
      <c r="AD234" s="650"/>
      <c r="AE234" s="650"/>
      <c r="AF234" s="650"/>
      <c r="AG234" s="650"/>
      <c r="AH234" s="650"/>
      <c r="AI234" s="650"/>
      <c r="AJ234" s="650"/>
      <c r="AK234" s="650"/>
      <c r="AL234" s="650"/>
      <c r="AM234" s="650"/>
      <c r="AN234" s="650"/>
      <c r="AO234" s="650"/>
      <c r="AP234" s="650"/>
      <c r="AQ234" s="650"/>
      <c r="AR234" s="650"/>
      <c r="AS234" s="650"/>
      <c r="AT234" s="650"/>
      <c r="AU234" s="650"/>
      <c r="AV234" s="650"/>
      <c r="AW234" s="650"/>
      <c r="AX234" s="650"/>
      <c r="AY234" s="650"/>
    </row>
    <row r="235" ht="21.75" customHeight="1">
      <c r="A235" s="650"/>
      <c r="B235" s="650"/>
      <c r="C235" s="650"/>
      <c r="D235" s="650"/>
      <c r="E235" s="650"/>
      <c r="F235" s="650"/>
      <c r="G235" s="650"/>
      <c r="H235" s="650"/>
      <c r="I235" s="650"/>
      <c r="J235" s="650"/>
      <c r="K235" s="650"/>
      <c r="L235" s="650"/>
      <c r="M235" s="650"/>
      <c r="N235" s="650"/>
      <c r="O235" s="650"/>
      <c r="P235" s="650"/>
      <c r="Q235" s="650"/>
      <c r="R235" s="650"/>
      <c r="S235" s="650"/>
      <c r="T235" s="650"/>
      <c r="U235" s="650"/>
      <c r="V235" s="650"/>
      <c r="W235" s="650"/>
      <c r="X235" s="650"/>
      <c r="Y235" s="650"/>
      <c r="Z235" s="650"/>
      <c r="AA235" s="650"/>
      <c r="AB235" s="650"/>
      <c r="AC235" s="650"/>
      <c r="AD235" s="650"/>
      <c r="AE235" s="650"/>
      <c r="AF235" s="650"/>
      <c r="AG235" s="650"/>
      <c r="AH235" s="650"/>
      <c r="AI235" s="650"/>
      <c r="AJ235" s="650"/>
      <c r="AK235" s="650"/>
      <c r="AL235" s="650"/>
      <c r="AM235" s="650"/>
      <c r="AN235" s="650"/>
      <c r="AO235" s="650"/>
      <c r="AP235" s="650"/>
      <c r="AQ235" s="650"/>
      <c r="AR235" s="650"/>
      <c r="AS235" s="650"/>
      <c r="AT235" s="650"/>
      <c r="AU235" s="650"/>
      <c r="AV235" s="650"/>
      <c r="AW235" s="650"/>
      <c r="AX235" s="650"/>
      <c r="AY235" s="650"/>
    </row>
    <row r="236" ht="21.75" customHeight="1">
      <c r="A236" s="650"/>
      <c r="B236" s="650"/>
      <c r="C236" s="650"/>
      <c r="D236" s="650"/>
      <c r="E236" s="650"/>
      <c r="F236" s="650"/>
      <c r="G236" s="650"/>
      <c r="H236" s="650"/>
      <c r="I236" s="650"/>
      <c r="J236" s="650"/>
      <c r="K236" s="650"/>
      <c r="L236" s="650"/>
      <c r="M236" s="650"/>
      <c r="N236" s="650"/>
      <c r="O236" s="650"/>
      <c r="P236" s="650"/>
      <c r="Q236" s="650"/>
      <c r="R236" s="650"/>
      <c r="S236" s="650"/>
      <c r="T236" s="650"/>
      <c r="U236" s="650"/>
      <c r="V236" s="650"/>
      <c r="W236" s="650"/>
      <c r="X236" s="650"/>
      <c r="Y236" s="650"/>
      <c r="Z236" s="650"/>
      <c r="AA236" s="650"/>
      <c r="AB236" s="650"/>
      <c r="AC236" s="650"/>
      <c r="AD236" s="650"/>
      <c r="AE236" s="650"/>
      <c r="AF236" s="650"/>
      <c r="AG236" s="650"/>
      <c r="AH236" s="650"/>
      <c r="AI236" s="650"/>
      <c r="AJ236" s="650"/>
      <c r="AK236" s="650"/>
      <c r="AL236" s="650"/>
      <c r="AM236" s="650"/>
      <c r="AN236" s="650"/>
      <c r="AO236" s="650"/>
      <c r="AP236" s="650"/>
      <c r="AQ236" s="650"/>
      <c r="AR236" s="650"/>
      <c r="AS236" s="650"/>
      <c r="AT236" s="650"/>
      <c r="AU236" s="650"/>
      <c r="AV236" s="650"/>
      <c r="AW236" s="650"/>
      <c r="AX236" s="650"/>
      <c r="AY236" s="650"/>
    </row>
    <row r="237" ht="21.75" customHeight="1">
      <c r="A237" s="650"/>
      <c r="B237" s="650"/>
      <c r="C237" s="650"/>
      <c r="D237" s="650"/>
      <c r="E237" s="650"/>
      <c r="F237" s="650"/>
      <c r="G237" s="650"/>
      <c r="H237" s="650"/>
      <c r="I237" s="650"/>
      <c r="J237" s="650"/>
      <c r="K237" s="650"/>
      <c r="L237" s="650"/>
      <c r="M237" s="650"/>
      <c r="N237" s="650"/>
      <c r="O237" s="650"/>
      <c r="P237" s="650"/>
      <c r="Q237" s="650"/>
      <c r="R237" s="650"/>
      <c r="S237" s="650"/>
      <c r="T237" s="650"/>
      <c r="U237" s="650"/>
      <c r="V237" s="650"/>
      <c r="W237" s="650"/>
      <c r="X237" s="650"/>
      <c r="Y237" s="650"/>
      <c r="Z237" s="650"/>
      <c r="AA237" s="650"/>
      <c r="AB237" s="650"/>
      <c r="AC237" s="650"/>
      <c r="AD237" s="650"/>
      <c r="AE237" s="650"/>
      <c r="AF237" s="650"/>
      <c r="AG237" s="650"/>
      <c r="AH237" s="650"/>
      <c r="AI237" s="650"/>
      <c r="AJ237" s="650"/>
      <c r="AK237" s="650"/>
      <c r="AL237" s="650"/>
      <c r="AM237" s="650"/>
      <c r="AN237" s="650"/>
      <c r="AO237" s="650"/>
      <c r="AP237" s="650"/>
      <c r="AQ237" s="650"/>
      <c r="AR237" s="650"/>
      <c r="AS237" s="650"/>
      <c r="AT237" s="650"/>
      <c r="AU237" s="650"/>
      <c r="AV237" s="650"/>
      <c r="AW237" s="650"/>
      <c r="AX237" s="650"/>
      <c r="AY237" s="650"/>
    </row>
    <row r="238" ht="21.75" customHeight="1">
      <c r="A238" s="650"/>
      <c r="B238" s="650"/>
      <c r="C238" s="650"/>
      <c r="D238" s="650"/>
      <c r="E238" s="650"/>
      <c r="F238" s="650"/>
      <c r="G238" s="650"/>
      <c r="H238" s="650"/>
      <c r="I238" s="650"/>
      <c r="J238" s="650"/>
      <c r="K238" s="650"/>
      <c r="L238" s="650"/>
      <c r="M238" s="650"/>
      <c r="N238" s="650"/>
      <c r="O238" s="650"/>
      <c r="P238" s="650"/>
      <c r="Q238" s="650"/>
      <c r="R238" s="650"/>
      <c r="S238" s="650"/>
      <c r="T238" s="650"/>
      <c r="U238" s="650"/>
      <c r="V238" s="650"/>
      <c r="W238" s="650"/>
      <c r="X238" s="650"/>
      <c r="Y238" s="650"/>
      <c r="Z238" s="650"/>
      <c r="AA238" s="650"/>
      <c r="AB238" s="650"/>
      <c r="AC238" s="650"/>
      <c r="AD238" s="650"/>
      <c r="AE238" s="650"/>
      <c r="AF238" s="650"/>
      <c r="AG238" s="650"/>
      <c r="AH238" s="650"/>
      <c r="AI238" s="650"/>
      <c r="AJ238" s="650"/>
      <c r="AK238" s="650"/>
      <c r="AL238" s="650"/>
      <c r="AM238" s="650"/>
      <c r="AN238" s="650"/>
      <c r="AO238" s="650"/>
      <c r="AP238" s="650"/>
      <c r="AQ238" s="650"/>
      <c r="AR238" s="650"/>
      <c r="AS238" s="650"/>
      <c r="AT238" s="650"/>
      <c r="AU238" s="650"/>
      <c r="AV238" s="650"/>
      <c r="AW238" s="650"/>
      <c r="AX238" s="650"/>
      <c r="AY238" s="650"/>
    </row>
    <row r="239" ht="21.75" customHeight="1">
      <c r="A239" s="650"/>
      <c r="B239" s="650"/>
      <c r="C239" s="650"/>
      <c r="D239" s="650"/>
      <c r="E239" s="650"/>
      <c r="F239" s="650"/>
      <c r="G239" s="650"/>
      <c r="H239" s="650"/>
      <c r="I239" s="650"/>
      <c r="J239" s="650"/>
      <c r="K239" s="650"/>
      <c r="L239" s="650"/>
      <c r="M239" s="650"/>
      <c r="N239" s="650"/>
      <c r="O239" s="650"/>
      <c r="P239" s="650"/>
      <c r="Q239" s="650"/>
      <c r="R239" s="650"/>
      <c r="S239" s="650"/>
      <c r="T239" s="650"/>
      <c r="U239" s="650"/>
      <c r="V239" s="650"/>
      <c r="W239" s="650"/>
      <c r="X239" s="650"/>
      <c r="Y239" s="650"/>
      <c r="Z239" s="650"/>
      <c r="AA239" s="650"/>
      <c r="AB239" s="650"/>
      <c r="AC239" s="650"/>
      <c r="AD239" s="650"/>
      <c r="AE239" s="650"/>
      <c r="AF239" s="650"/>
      <c r="AG239" s="650"/>
      <c r="AH239" s="650"/>
      <c r="AI239" s="650"/>
      <c r="AJ239" s="650"/>
      <c r="AK239" s="650"/>
      <c r="AL239" s="650"/>
      <c r="AM239" s="650"/>
      <c r="AN239" s="650"/>
      <c r="AO239" s="650"/>
      <c r="AP239" s="650"/>
      <c r="AQ239" s="650"/>
      <c r="AR239" s="650"/>
      <c r="AS239" s="650"/>
      <c r="AT239" s="650"/>
      <c r="AU239" s="650"/>
      <c r="AV239" s="650"/>
      <c r="AW239" s="650"/>
      <c r="AX239" s="650"/>
      <c r="AY239" s="650"/>
    </row>
    <row r="240" ht="21.75" customHeight="1">
      <c r="A240" s="650"/>
      <c r="B240" s="650"/>
      <c r="C240" s="650"/>
      <c r="D240" s="650"/>
      <c r="E240" s="650"/>
      <c r="F240" s="650"/>
      <c r="G240" s="650"/>
      <c r="H240" s="650"/>
      <c r="I240" s="650"/>
      <c r="J240" s="650"/>
      <c r="K240" s="650"/>
      <c r="L240" s="650"/>
      <c r="M240" s="650"/>
      <c r="N240" s="650"/>
      <c r="O240" s="650"/>
      <c r="P240" s="650"/>
      <c r="Q240" s="650"/>
      <c r="R240" s="650"/>
      <c r="S240" s="650"/>
      <c r="T240" s="650"/>
      <c r="U240" s="650"/>
      <c r="V240" s="650"/>
      <c r="W240" s="650"/>
      <c r="X240" s="650"/>
      <c r="Y240" s="650"/>
      <c r="Z240" s="650"/>
      <c r="AA240" s="650"/>
      <c r="AB240" s="650"/>
      <c r="AC240" s="650"/>
      <c r="AD240" s="650"/>
      <c r="AE240" s="650"/>
      <c r="AF240" s="650"/>
      <c r="AG240" s="650"/>
      <c r="AH240" s="650"/>
      <c r="AI240" s="650"/>
      <c r="AJ240" s="650"/>
      <c r="AK240" s="650"/>
      <c r="AL240" s="650"/>
      <c r="AM240" s="650"/>
      <c r="AN240" s="650"/>
      <c r="AO240" s="650"/>
      <c r="AP240" s="650"/>
      <c r="AQ240" s="650"/>
      <c r="AR240" s="650"/>
      <c r="AS240" s="650"/>
      <c r="AT240" s="650"/>
      <c r="AU240" s="650"/>
      <c r="AV240" s="650"/>
      <c r="AW240" s="650"/>
      <c r="AX240" s="650"/>
      <c r="AY240" s="650"/>
    </row>
    <row r="241" ht="21.75" customHeight="1">
      <c r="A241" s="650"/>
      <c r="B241" s="650"/>
      <c r="C241" s="650"/>
      <c r="D241" s="650"/>
      <c r="E241" s="650"/>
      <c r="F241" s="650"/>
      <c r="G241" s="650"/>
      <c r="H241" s="650"/>
      <c r="I241" s="650"/>
      <c r="J241" s="650"/>
      <c r="K241" s="650"/>
      <c r="L241" s="650"/>
      <c r="M241" s="650"/>
      <c r="N241" s="650"/>
      <c r="O241" s="650"/>
      <c r="P241" s="650"/>
      <c r="Q241" s="650"/>
      <c r="R241" s="650"/>
      <c r="S241" s="650"/>
      <c r="T241" s="650"/>
      <c r="U241" s="650"/>
      <c r="V241" s="650"/>
      <c r="W241" s="650"/>
      <c r="X241" s="650"/>
      <c r="Y241" s="650"/>
      <c r="Z241" s="650"/>
      <c r="AA241" s="650"/>
      <c r="AB241" s="650"/>
      <c r="AC241" s="650"/>
      <c r="AD241" s="650"/>
      <c r="AE241" s="650"/>
      <c r="AF241" s="650"/>
      <c r="AG241" s="650"/>
      <c r="AH241" s="650"/>
      <c r="AI241" s="650"/>
      <c r="AJ241" s="650"/>
      <c r="AK241" s="650"/>
      <c r="AL241" s="650"/>
      <c r="AM241" s="650"/>
      <c r="AN241" s="650"/>
      <c r="AO241" s="650"/>
      <c r="AP241" s="650"/>
      <c r="AQ241" s="650"/>
      <c r="AR241" s="650"/>
      <c r="AS241" s="650"/>
      <c r="AT241" s="650"/>
      <c r="AU241" s="650"/>
      <c r="AV241" s="650"/>
      <c r="AW241" s="650"/>
      <c r="AX241" s="650"/>
      <c r="AY241" s="650"/>
    </row>
    <row r="242" ht="21.75" customHeight="1">
      <c r="A242" s="650"/>
      <c r="B242" s="650"/>
      <c r="C242" s="650"/>
      <c r="D242" s="650"/>
      <c r="E242" s="650"/>
      <c r="F242" s="650"/>
      <c r="G242" s="650"/>
      <c r="H242" s="650"/>
      <c r="I242" s="650"/>
      <c r="J242" s="650"/>
      <c r="K242" s="650"/>
      <c r="L242" s="650"/>
      <c r="M242" s="650"/>
      <c r="N242" s="650"/>
      <c r="O242" s="650"/>
      <c r="P242" s="650"/>
      <c r="Q242" s="650"/>
      <c r="R242" s="650"/>
      <c r="S242" s="650"/>
      <c r="T242" s="650"/>
      <c r="U242" s="650"/>
      <c r="V242" s="650"/>
      <c r="W242" s="650"/>
      <c r="X242" s="650"/>
      <c r="Y242" s="650"/>
      <c r="Z242" s="650"/>
      <c r="AA242" s="650"/>
      <c r="AB242" s="650"/>
      <c r="AC242" s="650"/>
      <c r="AD242" s="650"/>
      <c r="AE242" s="650"/>
      <c r="AF242" s="650"/>
      <c r="AG242" s="650"/>
      <c r="AH242" s="650"/>
      <c r="AI242" s="650"/>
      <c r="AJ242" s="650"/>
      <c r="AK242" s="650"/>
      <c r="AL242" s="650"/>
      <c r="AM242" s="650"/>
      <c r="AN242" s="650"/>
      <c r="AO242" s="650"/>
      <c r="AP242" s="650"/>
      <c r="AQ242" s="650"/>
      <c r="AR242" s="650"/>
      <c r="AS242" s="650"/>
      <c r="AT242" s="650"/>
      <c r="AU242" s="650"/>
      <c r="AV242" s="650"/>
      <c r="AW242" s="650"/>
      <c r="AX242" s="650"/>
      <c r="AY242" s="650"/>
    </row>
    <row r="243" ht="21.75" customHeight="1">
      <c r="A243" s="650"/>
      <c r="B243" s="650"/>
      <c r="C243" s="650"/>
      <c r="D243" s="650"/>
      <c r="E243" s="650"/>
      <c r="F243" s="650"/>
      <c r="G243" s="650"/>
      <c r="H243" s="650"/>
      <c r="I243" s="650"/>
      <c r="J243" s="650"/>
      <c r="K243" s="650"/>
      <c r="L243" s="650"/>
      <c r="M243" s="650"/>
      <c r="N243" s="650"/>
      <c r="O243" s="650"/>
      <c r="P243" s="650"/>
      <c r="Q243" s="650"/>
      <c r="R243" s="650"/>
      <c r="S243" s="650"/>
      <c r="T243" s="650"/>
      <c r="U243" s="650"/>
      <c r="V243" s="650"/>
      <c r="W243" s="650"/>
      <c r="X243" s="650"/>
      <c r="Y243" s="650"/>
      <c r="Z243" s="650"/>
      <c r="AA243" s="650"/>
      <c r="AB243" s="650"/>
      <c r="AC243" s="650"/>
      <c r="AD243" s="650"/>
      <c r="AE243" s="650"/>
      <c r="AF243" s="650"/>
      <c r="AG243" s="650"/>
      <c r="AH243" s="650"/>
      <c r="AI243" s="650"/>
      <c r="AJ243" s="650"/>
      <c r="AK243" s="650"/>
      <c r="AL243" s="650"/>
      <c r="AM243" s="650"/>
      <c r="AN243" s="650"/>
      <c r="AO243" s="650"/>
      <c r="AP243" s="650"/>
      <c r="AQ243" s="650"/>
      <c r="AR243" s="650"/>
      <c r="AS243" s="650"/>
      <c r="AT243" s="650"/>
      <c r="AU243" s="650"/>
      <c r="AV243" s="650"/>
      <c r="AW243" s="650"/>
      <c r="AX243" s="650"/>
      <c r="AY243" s="650"/>
    </row>
    <row r="244" ht="21.75" customHeight="1">
      <c r="A244" s="650"/>
      <c r="B244" s="650"/>
      <c r="C244" s="650"/>
      <c r="D244" s="650"/>
      <c r="E244" s="650"/>
      <c r="F244" s="650"/>
      <c r="G244" s="650"/>
      <c r="H244" s="650"/>
      <c r="I244" s="650"/>
      <c r="J244" s="650"/>
      <c r="K244" s="650"/>
      <c r="L244" s="650"/>
      <c r="M244" s="650"/>
      <c r="N244" s="650"/>
      <c r="O244" s="650"/>
      <c r="P244" s="650"/>
      <c r="Q244" s="650"/>
      <c r="R244" s="650"/>
      <c r="S244" s="650"/>
      <c r="T244" s="650"/>
      <c r="U244" s="650"/>
      <c r="V244" s="650"/>
      <c r="W244" s="650"/>
      <c r="X244" s="650"/>
      <c r="Y244" s="650"/>
      <c r="Z244" s="650"/>
      <c r="AA244" s="650"/>
      <c r="AB244" s="650"/>
      <c r="AC244" s="650"/>
      <c r="AD244" s="650"/>
      <c r="AE244" s="650"/>
      <c r="AF244" s="650"/>
      <c r="AG244" s="650"/>
      <c r="AH244" s="650"/>
      <c r="AI244" s="650"/>
      <c r="AJ244" s="650"/>
      <c r="AK244" s="650"/>
      <c r="AL244" s="650"/>
      <c r="AM244" s="650"/>
      <c r="AN244" s="650"/>
      <c r="AO244" s="650"/>
      <c r="AP244" s="650"/>
      <c r="AQ244" s="650"/>
      <c r="AR244" s="650"/>
      <c r="AS244" s="650"/>
      <c r="AT244" s="650"/>
      <c r="AU244" s="650"/>
      <c r="AV244" s="650"/>
      <c r="AW244" s="650"/>
      <c r="AX244" s="650"/>
      <c r="AY244" s="650"/>
    </row>
    <row r="245" ht="21.75" customHeight="1">
      <c r="A245" s="650"/>
      <c r="B245" s="650"/>
      <c r="C245" s="650"/>
      <c r="D245" s="650"/>
      <c r="E245" s="650"/>
      <c r="F245" s="650"/>
      <c r="G245" s="650"/>
      <c r="H245" s="650"/>
      <c r="I245" s="650"/>
      <c r="J245" s="650"/>
      <c r="K245" s="650"/>
      <c r="L245" s="650"/>
      <c r="M245" s="650"/>
      <c r="N245" s="650"/>
      <c r="O245" s="650"/>
      <c r="P245" s="650"/>
      <c r="Q245" s="650"/>
      <c r="R245" s="650"/>
      <c r="S245" s="650"/>
      <c r="T245" s="650"/>
      <c r="U245" s="650"/>
      <c r="V245" s="650"/>
      <c r="W245" s="650"/>
      <c r="X245" s="650"/>
      <c r="Y245" s="650"/>
      <c r="Z245" s="650"/>
      <c r="AA245" s="650"/>
      <c r="AB245" s="650"/>
      <c r="AC245" s="650"/>
      <c r="AD245" s="650"/>
      <c r="AE245" s="650"/>
      <c r="AF245" s="650"/>
      <c r="AG245" s="650"/>
      <c r="AH245" s="650"/>
      <c r="AI245" s="650"/>
      <c r="AJ245" s="650"/>
      <c r="AK245" s="650"/>
      <c r="AL245" s="650"/>
      <c r="AM245" s="650"/>
      <c r="AN245" s="650"/>
      <c r="AO245" s="650"/>
      <c r="AP245" s="650"/>
      <c r="AQ245" s="650"/>
      <c r="AR245" s="650"/>
      <c r="AS245" s="650"/>
      <c r="AT245" s="650"/>
      <c r="AU245" s="650"/>
      <c r="AV245" s="650"/>
      <c r="AW245" s="650"/>
      <c r="AX245" s="650"/>
      <c r="AY245" s="650"/>
    </row>
    <row r="246" ht="21.75" customHeight="1">
      <c r="A246" s="650"/>
      <c r="B246" s="650"/>
      <c r="C246" s="650"/>
      <c r="D246" s="650"/>
      <c r="E246" s="650"/>
      <c r="F246" s="650"/>
      <c r="G246" s="650"/>
      <c r="H246" s="650"/>
      <c r="I246" s="650"/>
      <c r="J246" s="650"/>
      <c r="K246" s="650"/>
      <c r="L246" s="650"/>
      <c r="M246" s="650"/>
      <c r="N246" s="650"/>
      <c r="O246" s="650"/>
      <c r="P246" s="650"/>
      <c r="Q246" s="650"/>
      <c r="R246" s="650"/>
      <c r="S246" s="650"/>
      <c r="T246" s="650"/>
      <c r="U246" s="650"/>
      <c r="V246" s="650"/>
      <c r="W246" s="650"/>
      <c r="X246" s="650"/>
      <c r="Y246" s="650"/>
      <c r="Z246" s="650"/>
      <c r="AA246" s="650"/>
      <c r="AB246" s="650"/>
      <c r="AC246" s="650"/>
      <c r="AD246" s="650"/>
      <c r="AE246" s="650"/>
      <c r="AF246" s="650"/>
      <c r="AG246" s="650"/>
      <c r="AH246" s="650"/>
      <c r="AI246" s="650"/>
      <c r="AJ246" s="650"/>
      <c r="AK246" s="650"/>
      <c r="AL246" s="650"/>
      <c r="AM246" s="650"/>
      <c r="AN246" s="650"/>
      <c r="AO246" s="650"/>
      <c r="AP246" s="650"/>
      <c r="AQ246" s="650"/>
      <c r="AR246" s="650"/>
      <c r="AS246" s="650"/>
      <c r="AT246" s="650"/>
      <c r="AU246" s="650"/>
      <c r="AV246" s="650"/>
      <c r="AW246" s="650"/>
      <c r="AX246" s="650"/>
      <c r="AY246" s="650"/>
    </row>
    <row r="247" ht="21.75" customHeight="1">
      <c r="A247" s="650"/>
      <c r="B247" s="650"/>
      <c r="C247" s="650"/>
      <c r="D247" s="650"/>
      <c r="E247" s="650"/>
      <c r="F247" s="650"/>
      <c r="G247" s="650"/>
      <c r="H247" s="650"/>
      <c r="I247" s="650"/>
      <c r="J247" s="650"/>
      <c r="K247" s="650"/>
      <c r="L247" s="650"/>
      <c r="M247" s="650"/>
      <c r="N247" s="650"/>
      <c r="O247" s="650"/>
      <c r="P247" s="650"/>
      <c r="Q247" s="650"/>
      <c r="R247" s="650"/>
      <c r="S247" s="650"/>
      <c r="T247" s="650"/>
      <c r="U247" s="650"/>
      <c r="V247" s="650"/>
      <c r="W247" s="650"/>
      <c r="X247" s="650"/>
      <c r="Y247" s="650"/>
      <c r="Z247" s="650"/>
      <c r="AA247" s="650"/>
      <c r="AB247" s="650"/>
      <c r="AC247" s="650"/>
      <c r="AD247" s="650"/>
      <c r="AE247" s="650"/>
      <c r="AF247" s="650"/>
      <c r="AG247" s="650"/>
      <c r="AH247" s="650"/>
      <c r="AI247" s="650"/>
      <c r="AJ247" s="650"/>
      <c r="AK247" s="650"/>
      <c r="AL247" s="650"/>
      <c r="AM247" s="650"/>
      <c r="AN247" s="650"/>
      <c r="AO247" s="650"/>
      <c r="AP247" s="650"/>
      <c r="AQ247" s="650"/>
      <c r="AR247" s="650"/>
      <c r="AS247" s="650"/>
      <c r="AT247" s="650"/>
      <c r="AU247" s="650"/>
      <c r="AV247" s="650"/>
      <c r="AW247" s="650"/>
      <c r="AX247" s="650"/>
      <c r="AY247" s="650"/>
    </row>
    <row r="248" ht="21.75" customHeight="1">
      <c r="A248" s="650"/>
      <c r="B248" s="650"/>
      <c r="C248" s="650"/>
      <c r="D248" s="650"/>
      <c r="E248" s="650"/>
      <c r="F248" s="650"/>
      <c r="G248" s="650"/>
      <c r="H248" s="650"/>
      <c r="I248" s="650"/>
      <c r="J248" s="650"/>
      <c r="K248" s="650"/>
      <c r="L248" s="650"/>
      <c r="M248" s="650"/>
      <c r="N248" s="650"/>
      <c r="O248" s="650"/>
      <c r="P248" s="650"/>
      <c r="Q248" s="650"/>
      <c r="R248" s="650"/>
      <c r="S248" s="650"/>
      <c r="T248" s="650"/>
      <c r="U248" s="650"/>
      <c r="V248" s="650"/>
      <c r="W248" s="650"/>
      <c r="X248" s="650"/>
      <c r="Y248" s="650"/>
      <c r="Z248" s="650"/>
      <c r="AA248" s="650"/>
      <c r="AB248" s="650"/>
      <c r="AC248" s="650"/>
      <c r="AD248" s="650"/>
      <c r="AE248" s="650"/>
      <c r="AF248" s="650"/>
      <c r="AG248" s="650"/>
      <c r="AH248" s="650"/>
      <c r="AI248" s="650"/>
      <c r="AJ248" s="650"/>
      <c r="AK248" s="650"/>
      <c r="AL248" s="650"/>
      <c r="AM248" s="650"/>
      <c r="AN248" s="650"/>
      <c r="AO248" s="650"/>
      <c r="AP248" s="650"/>
      <c r="AQ248" s="650"/>
      <c r="AR248" s="650"/>
      <c r="AS248" s="650"/>
      <c r="AT248" s="650"/>
      <c r="AU248" s="650"/>
      <c r="AV248" s="650"/>
      <c r="AW248" s="650"/>
      <c r="AX248" s="650"/>
      <c r="AY248" s="650"/>
    </row>
    <row r="249" ht="21.75" customHeight="1">
      <c r="A249" s="650"/>
      <c r="B249" s="650"/>
      <c r="C249" s="650"/>
      <c r="D249" s="650"/>
      <c r="E249" s="650"/>
      <c r="F249" s="650"/>
      <c r="G249" s="650"/>
      <c r="H249" s="650"/>
      <c r="I249" s="650"/>
      <c r="J249" s="650"/>
      <c r="K249" s="650"/>
      <c r="L249" s="650"/>
      <c r="M249" s="650"/>
      <c r="N249" s="650"/>
      <c r="O249" s="650"/>
      <c r="P249" s="650"/>
      <c r="Q249" s="650"/>
      <c r="R249" s="650"/>
      <c r="S249" s="650"/>
      <c r="T249" s="650"/>
      <c r="U249" s="650"/>
      <c r="V249" s="650"/>
      <c r="W249" s="650"/>
      <c r="X249" s="650"/>
      <c r="Y249" s="650"/>
      <c r="Z249" s="650"/>
      <c r="AA249" s="650"/>
      <c r="AB249" s="650"/>
      <c r="AC249" s="650"/>
      <c r="AD249" s="650"/>
      <c r="AE249" s="650"/>
      <c r="AF249" s="650"/>
      <c r="AG249" s="650"/>
      <c r="AH249" s="650"/>
      <c r="AI249" s="650"/>
      <c r="AJ249" s="650"/>
      <c r="AK249" s="650"/>
      <c r="AL249" s="650"/>
      <c r="AM249" s="650"/>
      <c r="AN249" s="650"/>
      <c r="AO249" s="650"/>
      <c r="AP249" s="650"/>
      <c r="AQ249" s="650"/>
      <c r="AR249" s="650"/>
      <c r="AS249" s="650"/>
      <c r="AT249" s="650"/>
      <c r="AU249" s="650"/>
      <c r="AV249" s="650"/>
      <c r="AW249" s="650"/>
      <c r="AX249" s="650"/>
      <c r="AY249" s="650"/>
    </row>
    <row r="250" ht="21.75" customHeight="1">
      <c r="A250" s="650"/>
      <c r="B250" s="650"/>
      <c r="C250" s="650"/>
      <c r="D250" s="650"/>
      <c r="E250" s="650"/>
      <c r="F250" s="650"/>
      <c r="G250" s="650"/>
      <c r="H250" s="650"/>
      <c r="I250" s="650"/>
      <c r="J250" s="650"/>
      <c r="K250" s="650"/>
      <c r="L250" s="650"/>
      <c r="M250" s="650"/>
      <c r="N250" s="650"/>
      <c r="O250" s="650"/>
      <c r="P250" s="650"/>
      <c r="Q250" s="650"/>
      <c r="R250" s="650"/>
      <c r="S250" s="650"/>
      <c r="T250" s="650"/>
      <c r="U250" s="650"/>
      <c r="V250" s="650"/>
      <c r="W250" s="650"/>
      <c r="X250" s="650"/>
      <c r="Y250" s="650"/>
      <c r="Z250" s="650"/>
      <c r="AA250" s="650"/>
      <c r="AB250" s="650"/>
      <c r="AC250" s="650"/>
      <c r="AD250" s="650"/>
      <c r="AE250" s="650"/>
      <c r="AF250" s="650"/>
      <c r="AG250" s="650"/>
      <c r="AH250" s="650"/>
      <c r="AI250" s="650"/>
      <c r="AJ250" s="650"/>
      <c r="AK250" s="650"/>
      <c r="AL250" s="650"/>
      <c r="AM250" s="650"/>
      <c r="AN250" s="650"/>
      <c r="AO250" s="650"/>
      <c r="AP250" s="650"/>
      <c r="AQ250" s="650"/>
      <c r="AR250" s="650"/>
      <c r="AS250" s="650"/>
      <c r="AT250" s="650"/>
      <c r="AU250" s="650"/>
      <c r="AV250" s="650"/>
      <c r="AW250" s="650"/>
      <c r="AX250" s="650"/>
      <c r="AY250" s="650"/>
    </row>
    <row r="251" ht="21.75" customHeight="1">
      <c r="A251" s="650"/>
      <c r="B251" s="650"/>
      <c r="C251" s="650"/>
      <c r="D251" s="650"/>
      <c r="E251" s="650"/>
      <c r="F251" s="650"/>
      <c r="G251" s="650"/>
      <c r="H251" s="650"/>
      <c r="I251" s="650"/>
      <c r="J251" s="650"/>
      <c r="K251" s="650"/>
      <c r="L251" s="650"/>
      <c r="M251" s="650"/>
      <c r="N251" s="650"/>
      <c r="O251" s="650"/>
      <c r="P251" s="650"/>
      <c r="Q251" s="650"/>
      <c r="R251" s="650"/>
      <c r="S251" s="650"/>
      <c r="T251" s="650"/>
      <c r="U251" s="650"/>
      <c r="V251" s="650"/>
      <c r="W251" s="650"/>
      <c r="X251" s="650"/>
      <c r="Y251" s="650"/>
      <c r="Z251" s="650"/>
      <c r="AA251" s="650"/>
      <c r="AB251" s="650"/>
      <c r="AC251" s="650"/>
      <c r="AD251" s="650"/>
      <c r="AE251" s="650"/>
      <c r="AF251" s="650"/>
      <c r="AG251" s="650"/>
      <c r="AH251" s="650"/>
      <c r="AI251" s="650"/>
      <c r="AJ251" s="650"/>
      <c r="AK251" s="650"/>
      <c r="AL251" s="650"/>
      <c r="AM251" s="650"/>
      <c r="AN251" s="650"/>
      <c r="AO251" s="650"/>
      <c r="AP251" s="650"/>
      <c r="AQ251" s="650"/>
      <c r="AR251" s="650"/>
      <c r="AS251" s="650"/>
      <c r="AT251" s="650"/>
      <c r="AU251" s="650"/>
      <c r="AV251" s="650"/>
      <c r="AW251" s="650"/>
      <c r="AX251" s="650"/>
      <c r="AY251" s="650"/>
    </row>
    <row r="252" ht="21.75" customHeight="1">
      <c r="A252" s="650"/>
      <c r="B252" s="650"/>
      <c r="C252" s="650"/>
      <c r="D252" s="650"/>
      <c r="E252" s="650"/>
      <c r="F252" s="650"/>
      <c r="G252" s="650"/>
      <c r="H252" s="650"/>
      <c r="I252" s="650"/>
      <c r="J252" s="650"/>
      <c r="K252" s="650"/>
      <c r="L252" s="650"/>
      <c r="M252" s="650"/>
      <c r="N252" s="650"/>
      <c r="O252" s="650"/>
      <c r="P252" s="650"/>
      <c r="Q252" s="650"/>
      <c r="R252" s="650"/>
      <c r="S252" s="650"/>
      <c r="T252" s="650"/>
      <c r="U252" s="650"/>
      <c r="V252" s="650"/>
      <c r="W252" s="650"/>
      <c r="X252" s="650"/>
      <c r="Y252" s="650"/>
      <c r="Z252" s="650"/>
      <c r="AA252" s="650"/>
      <c r="AB252" s="650"/>
      <c r="AC252" s="650"/>
      <c r="AD252" s="650"/>
      <c r="AE252" s="650"/>
      <c r="AF252" s="650"/>
      <c r="AG252" s="650"/>
      <c r="AH252" s="650"/>
      <c r="AI252" s="650"/>
      <c r="AJ252" s="650"/>
      <c r="AK252" s="650"/>
      <c r="AL252" s="650"/>
      <c r="AM252" s="650"/>
      <c r="AN252" s="650"/>
      <c r="AO252" s="650"/>
      <c r="AP252" s="650"/>
      <c r="AQ252" s="650"/>
      <c r="AR252" s="650"/>
      <c r="AS252" s="650"/>
      <c r="AT252" s="650"/>
      <c r="AU252" s="650"/>
      <c r="AV252" s="650"/>
      <c r="AW252" s="650"/>
      <c r="AX252" s="650"/>
      <c r="AY252" s="650"/>
    </row>
    <row r="253" ht="21.75" customHeight="1">
      <c r="A253" s="650"/>
      <c r="B253" s="650"/>
      <c r="C253" s="650"/>
      <c r="D253" s="650"/>
      <c r="E253" s="650"/>
      <c r="F253" s="650"/>
      <c r="G253" s="650"/>
      <c r="H253" s="650"/>
      <c r="I253" s="650"/>
      <c r="J253" s="650"/>
      <c r="K253" s="650"/>
      <c r="L253" s="650"/>
      <c r="M253" s="650"/>
      <c r="N253" s="650"/>
      <c r="O253" s="650"/>
      <c r="P253" s="650"/>
      <c r="Q253" s="650"/>
      <c r="R253" s="650"/>
      <c r="S253" s="650"/>
      <c r="T253" s="650"/>
      <c r="U253" s="650"/>
      <c r="V253" s="650"/>
      <c r="W253" s="650"/>
      <c r="X253" s="650"/>
      <c r="Y253" s="650"/>
      <c r="Z253" s="650"/>
      <c r="AA253" s="650"/>
      <c r="AB253" s="650"/>
      <c r="AC253" s="650"/>
      <c r="AD253" s="650"/>
      <c r="AE253" s="650"/>
      <c r="AF253" s="650"/>
      <c r="AG253" s="650"/>
      <c r="AH253" s="650"/>
      <c r="AI253" s="650"/>
      <c r="AJ253" s="650"/>
      <c r="AK253" s="650"/>
      <c r="AL253" s="650"/>
      <c r="AM253" s="650"/>
      <c r="AN253" s="650"/>
      <c r="AO253" s="650"/>
      <c r="AP253" s="650"/>
      <c r="AQ253" s="650"/>
      <c r="AR253" s="650"/>
      <c r="AS253" s="650"/>
      <c r="AT253" s="650"/>
      <c r="AU253" s="650"/>
      <c r="AV253" s="650"/>
      <c r="AW253" s="650"/>
      <c r="AX253" s="650"/>
      <c r="AY253" s="650"/>
    </row>
    <row r="254" ht="21.75" customHeight="1">
      <c r="A254" s="650"/>
      <c r="B254" s="650"/>
      <c r="C254" s="650"/>
      <c r="D254" s="650"/>
      <c r="E254" s="650"/>
      <c r="F254" s="650"/>
      <c r="G254" s="650"/>
      <c r="H254" s="650"/>
      <c r="I254" s="650"/>
      <c r="J254" s="650"/>
      <c r="K254" s="650"/>
      <c r="L254" s="650"/>
      <c r="M254" s="650"/>
      <c r="N254" s="650"/>
      <c r="O254" s="650"/>
      <c r="P254" s="650"/>
      <c r="Q254" s="650"/>
      <c r="R254" s="650"/>
      <c r="S254" s="650"/>
      <c r="T254" s="650"/>
      <c r="U254" s="650"/>
      <c r="V254" s="650"/>
      <c r="W254" s="650"/>
      <c r="X254" s="650"/>
      <c r="Y254" s="650"/>
      <c r="Z254" s="650"/>
      <c r="AA254" s="650"/>
      <c r="AB254" s="650"/>
      <c r="AC254" s="650"/>
      <c r="AD254" s="650"/>
      <c r="AE254" s="650"/>
      <c r="AF254" s="650"/>
      <c r="AG254" s="650"/>
      <c r="AH254" s="650"/>
      <c r="AI254" s="650"/>
      <c r="AJ254" s="650"/>
      <c r="AK254" s="650"/>
      <c r="AL254" s="650"/>
      <c r="AM254" s="650"/>
      <c r="AN254" s="650"/>
      <c r="AO254" s="650"/>
      <c r="AP254" s="650"/>
      <c r="AQ254" s="650"/>
      <c r="AR254" s="650"/>
      <c r="AS254" s="650"/>
      <c r="AT254" s="650"/>
      <c r="AU254" s="650"/>
      <c r="AV254" s="650"/>
      <c r="AW254" s="650"/>
      <c r="AX254" s="650"/>
      <c r="AY254" s="650"/>
    </row>
    <row r="255" ht="21.75" customHeight="1">
      <c r="A255" s="650"/>
      <c r="B255" s="650"/>
      <c r="C255" s="650"/>
      <c r="D255" s="650"/>
      <c r="E255" s="650"/>
      <c r="F255" s="650"/>
      <c r="G255" s="650"/>
      <c r="H255" s="650"/>
      <c r="I255" s="650"/>
      <c r="J255" s="650"/>
      <c r="K255" s="650"/>
      <c r="L255" s="650"/>
      <c r="M255" s="650"/>
      <c r="N255" s="650"/>
      <c r="O255" s="650"/>
      <c r="P255" s="650"/>
      <c r="Q255" s="650"/>
      <c r="R255" s="650"/>
      <c r="S255" s="650"/>
      <c r="T255" s="650"/>
      <c r="U255" s="650"/>
      <c r="V255" s="650"/>
      <c r="W255" s="650"/>
      <c r="X255" s="650"/>
      <c r="Y255" s="650"/>
      <c r="Z255" s="650"/>
      <c r="AA255" s="650"/>
      <c r="AB255" s="650"/>
      <c r="AC255" s="650"/>
      <c r="AD255" s="650"/>
      <c r="AE255" s="650"/>
      <c r="AF255" s="650"/>
      <c r="AG255" s="650"/>
      <c r="AH255" s="650"/>
      <c r="AI255" s="650"/>
      <c r="AJ255" s="650"/>
      <c r="AK255" s="650"/>
      <c r="AL255" s="650"/>
      <c r="AM255" s="650"/>
      <c r="AN255" s="650"/>
      <c r="AO255" s="650"/>
      <c r="AP255" s="650"/>
      <c r="AQ255" s="650"/>
      <c r="AR255" s="650"/>
      <c r="AS255" s="650"/>
      <c r="AT255" s="650"/>
      <c r="AU255" s="650"/>
      <c r="AV255" s="650"/>
      <c r="AW255" s="650"/>
      <c r="AX255" s="650"/>
      <c r="AY255" s="650"/>
    </row>
    <row r="256" ht="21.75" customHeight="1">
      <c r="A256" s="650"/>
      <c r="B256" s="650"/>
      <c r="C256" s="650"/>
      <c r="D256" s="650"/>
      <c r="E256" s="650"/>
      <c r="F256" s="650"/>
      <c r="G256" s="650"/>
      <c r="H256" s="650"/>
      <c r="I256" s="650"/>
      <c r="J256" s="650"/>
      <c r="K256" s="650"/>
      <c r="L256" s="650"/>
      <c r="M256" s="650"/>
      <c r="N256" s="650"/>
      <c r="O256" s="650"/>
      <c r="P256" s="650"/>
      <c r="Q256" s="650"/>
      <c r="R256" s="650"/>
      <c r="S256" s="650"/>
      <c r="T256" s="650"/>
      <c r="U256" s="650"/>
      <c r="V256" s="650"/>
      <c r="W256" s="650"/>
      <c r="X256" s="650"/>
      <c r="Y256" s="650"/>
      <c r="Z256" s="650"/>
      <c r="AA256" s="650"/>
      <c r="AB256" s="650"/>
      <c r="AC256" s="650"/>
      <c r="AD256" s="650"/>
      <c r="AE256" s="650"/>
      <c r="AF256" s="650"/>
      <c r="AG256" s="650"/>
      <c r="AH256" s="650"/>
      <c r="AI256" s="650"/>
      <c r="AJ256" s="650"/>
      <c r="AK256" s="650"/>
      <c r="AL256" s="650"/>
      <c r="AM256" s="650"/>
      <c r="AN256" s="650"/>
      <c r="AO256" s="650"/>
      <c r="AP256" s="650"/>
      <c r="AQ256" s="650"/>
      <c r="AR256" s="650"/>
      <c r="AS256" s="650"/>
      <c r="AT256" s="650"/>
      <c r="AU256" s="650"/>
      <c r="AV256" s="650"/>
      <c r="AW256" s="650"/>
      <c r="AX256" s="650"/>
      <c r="AY256" s="650"/>
    </row>
    <row r="257" ht="21.75" customHeight="1">
      <c r="A257" s="650"/>
      <c r="B257" s="650"/>
      <c r="C257" s="650"/>
      <c r="D257" s="650"/>
      <c r="E257" s="650"/>
      <c r="F257" s="650"/>
      <c r="G257" s="650"/>
      <c r="H257" s="650"/>
      <c r="I257" s="650"/>
      <c r="J257" s="650"/>
      <c r="K257" s="650"/>
      <c r="L257" s="650"/>
      <c r="M257" s="650"/>
      <c r="N257" s="650"/>
      <c r="O257" s="650"/>
      <c r="P257" s="650"/>
      <c r="Q257" s="650"/>
      <c r="R257" s="650"/>
      <c r="S257" s="650"/>
      <c r="T257" s="650"/>
      <c r="U257" s="650"/>
      <c r="V257" s="650"/>
      <c r="W257" s="650"/>
      <c r="X257" s="650"/>
      <c r="Y257" s="650"/>
      <c r="Z257" s="650"/>
      <c r="AA257" s="650"/>
      <c r="AB257" s="650"/>
      <c r="AC257" s="650"/>
      <c r="AD257" s="650"/>
      <c r="AE257" s="650"/>
      <c r="AF257" s="650"/>
      <c r="AG257" s="650"/>
      <c r="AH257" s="650"/>
      <c r="AI257" s="650"/>
      <c r="AJ257" s="650"/>
      <c r="AK257" s="650"/>
      <c r="AL257" s="650"/>
      <c r="AM257" s="650"/>
      <c r="AN257" s="650"/>
      <c r="AO257" s="650"/>
      <c r="AP257" s="650"/>
      <c r="AQ257" s="650"/>
      <c r="AR257" s="650"/>
      <c r="AS257" s="650"/>
      <c r="AT257" s="650"/>
      <c r="AU257" s="650"/>
      <c r="AV257" s="650"/>
      <c r="AW257" s="650"/>
      <c r="AX257" s="650"/>
      <c r="AY257" s="650"/>
    </row>
    <row r="258" ht="21.75" customHeight="1">
      <c r="A258" s="650"/>
      <c r="B258" s="650"/>
      <c r="C258" s="650"/>
      <c r="D258" s="650"/>
      <c r="E258" s="650"/>
      <c r="F258" s="650"/>
      <c r="G258" s="650"/>
      <c r="H258" s="650"/>
      <c r="I258" s="650"/>
      <c r="J258" s="650"/>
      <c r="K258" s="650"/>
      <c r="L258" s="650"/>
      <c r="M258" s="650"/>
      <c r="N258" s="650"/>
      <c r="O258" s="650"/>
      <c r="P258" s="650"/>
      <c r="Q258" s="650"/>
      <c r="R258" s="650"/>
      <c r="S258" s="650"/>
      <c r="T258" s="650"/>
      <c r="U258" s="650"/>
      <c r="V258" s="650"/>
      <c r="W258" s="650"/>
      <c r="X258" s="650"/>
      <c r="Y258" s="650"/>
      <c r="Z258" s="650"/>
      <c r="AA258" s="650"/>
      <c r="AB258" s="650"/>
      <c r="AC258" s="650"/>
      <c r="AD258" s="650"/>
      <c r="AE258" s="650"/>
      <c r="AF258" s="650"/>
      <c r="AG258" s="650"/>
      <c r="AH258" s="650"/>
      <c r="AI258" s="650"/>
      <c r="AJ258" s="650"/>
      <c r="AK258" s="650"/>
      <c r="AL258" s="650"/>
      <c r="AM258" s="650"/>
      <c r="AN258" s="650"/>
      <c r="AO258" s="650"/>
      <c r="AP258" s="650"/>
      <c r="AQ258" s="650"/>
      <c r="AR258" s="650"/>
      <c r="AS258" s="650"/>
      <c r="AT258" s="650"/>
      <c r="AU258" s="650"/>
      <c r="AV258" s="650"/>
      <c r="AW258" s="650"/>
      <c r="AX258" s="650"/>
      <c r="AY258" s="650"/>
    </row>
    <row r="259" ht="21.75" customHeight="1">
      <c r="A259" s="650"/>
      <c r="B259" s="650"/>
      <c r="C259" s="650"/>
      <c r="D259" s="650"/>
      <c r="E259" s="650"/>
      <c r="F259" s="650"/>
      <c r="G259" s="650"/>
      <c r="H259" s="650"/>
      <c r="I259" s="650"/>
      <c r="J259" s="650"/>
      <c r="K259" s="650"/>
      <c r="L259" s="650"/>
      <c r="M259" s="650"/>
      <c r="N259" s="650"/>
      <c r="O259" s="650"/>
      <c r="P259" s="650"/>
      <c r="Q259" s="650"/>
      <c r="R259" s="650"/>
      <c r="S259" s="650"/>
      <c r="T259" s="650"/>
      <c r="U259" s="650"/>
      <c r="V259" s="650"/>
      <c r="W259" s="650"/>
      <c r="X259" s="650"/>
      <c r="Y259" s="650"/>
      <c r="Z259" s="650"/>
      <c r="AA259" s="650"/>
      <c r="AB259" s="650"/>
      <c r="AC259" s="650"/>
      <c r="AD259" s="650"/>
      <c r="AE259" s="650"/>
      <c r="AF259" s="650"/>
      <c r="AG259" s="650"/>
      <c r="AH259" s="650"/>
      <c r="AI259" s="650"/>
      <c r="AJ259" s="650"/>
      <c r="AK259" s="650"/>
      <c r="AL259" s="650"/>
      <c r="AM259" s="650"/>
      <c r="AN259" s="650"/>
      <c r="AO259" s="650"/>
      <c r="AP259" s="650"/>
      <c r="AQ259" s="650"/>
      <c r="AR259" s="650"/>
      <c r="AS259" s="650"/>
      <c r="AT259" s="650"/>
      <c r="AU259" s="650"/>
      <c r="AV259" s="650"/>
      <c r="AW259" s="650"/>
      <c r="AX259" s="650"/>
      <c r="AY259" s="650"/>
    </row>
    <row r="260" ht="21.75" customHeight="1">
      <c r="A260" s="650"/>
      <c r="B260" s="650"/>
      <c r="C260" s="650"/>
      <c r="D260" s="650"/>
      <c r="E260" s="650"/>
      <c r="F260" s="650"/>
      <c r="G260" s="650"/>
      <c r="H260" s="650"/>
      <c r="I260" s="650"/>
      <c r="J260" s="650"/>
      <c r="K260" s="650"/>
      <c r="L260" s="650"/>
      <c r="M260" s="650"/>
      <c r="N260" s="650"/>
      <c r="O260" s="650"/>
      <c r="P260" s="650"/>
      <c r="Q260" s="650"/>
      <c r="R260" s="650"/>
      <c r="S260" s="650"/>
      <c r="T260" s="650"/>
      <c r="U260" s="650"/>
      <c r="V260" s="650"/>
      <c r="W260" s="650"/>
      <c r="X260" s="650"/>
      <c r="Y260" s="650"/>
      <c r="Z260" s="650"/>
      <c r="AA260" s="650"/>
      <c r="AB260" s="650"/>
      <c r="AC260" s="650"/>
      <c r="AD260" s="650"/>
      <c r="AE260" s="650"/>
      <c r="AF260" s="650"/>
      <c r="AG260" s="650"/>
      <c r="AH260" s="650"/>
      <c r="AI260" s="650"/>
      <c r="AJ260" s="650"/>
      <c r="AK260" s="650"/>
      <c r="AL260" s="650"/>
      <c r="AM260" s="650"/>
      <c r="AN260" s="650"/>
      <c r="AO260" s="650"/>
      <c r="AP260" s="650"/>
      <c r="AQ260" s="650"/>
      <c r="AR260" s="650"/>
      <c r="AS260" s="650"/>
      <c r="AT260" s="650"/>
      <c r="AU260" s="650"/>
      <c r="AV260" s="650"/>
      <c r="AW260" s="650"/>
      <c r="AX260" s="650"/>
      <c r="AY260" s="650"/>
    </row>
    <row r="261" ht="21.75" customHeight="1">
      <c r="A261" s="650"/>
      <c r="B261" s="650"/>
      <c r="C261" s="650"/>
      <c r="D261" s="650"/>
      <c r="E261" s="650"/>
      <c r="F261" s="650"/>
      <c r="G261" s="650"/>
      <c r="H261" s="650"/>
      <c r="I261" s="650"/>
      <c r="J261" s="650"/>
      <c r="K261" s="650"/>
      <c r="L261" s="650"/>
      <c r="M261" s="650"/>
      <c r="N261" s="650"/>
      <c r="O261" s="650"/>
      <c r="P261" s="650"/>
      <c r="Q261" s="650"/>
      <c r="R261" s="650"/>
      <c r="S261" s="650"/>
      <c r="T261" s="650"/>
      <c r="U261" s="650"/>
      <c r="V261" s="650"/>
      <c r="W261" s="650"/>
      <c r="X261" s="650"/>
      <c r="Y261" s="650"/>
      <c r="Z261" s="650"/>
      <c r="AA261" s="650"/>
      <c r="AB261" s="650"/>
      <c r="AC261" s="650"/>
      <c r="AD261" s="650"/>
      <c r="AE261" s="650"/>
      <c r="AF261" s="650"/>
      <c r="AG261" s="650"/>
      <c r="AH261" s="650"/>
      <c r="AI261" s="650"/>
      <c r="AJ261" s="650"/>
      <c r="AK261" s="650"/>
      <c r="AL261" s="650"/>
      <c r="AM261" s="650"/>
      <c r="AN261" s="650"/>
      <c r="AO261" s="650"/>
      <c r="AP261" s="650"/>
      <c r="AQ261" s="650"/>
      <c r="AR261" s="650"/>
      <c r="AS261" s="650"/>
      <c r="AT261" s="650"/>
      <c r="AU261" s="650"/>
      <c r="AV261" s="650"/>
      <c r="AW261" s="650"/>
      <c r="AX261" s="650"/>
      <c r="AY261" s="650"/>
    </row>
    <row r="262" ht="21.75" customHeight="1">
      <c r="A262" s="650"/>
      <c r="B262" s="650"/>
      <c r="C262" s="650"/>
      <c r="D262" s="650"/>
      <c r="E262" s="650"/>
      <c r="F262" s="650"/>
      <c r="G262" s="650"/>
      <c r="H262" s="650"/>
      <c r="I262" s="650"/>
      <c r="J262" s="650"/>
      <c r="K262" s="650"/>
      <c r="L262" s="650"/>
      <c r="M262" s="650"/>
      <c r="N262" s="650"/>
      <c r="O262" s="650"/>
      <c r="P262" s="650"/>
      <c r="Q262" s="650"/>
      <c r="R262" s="650"/>
      <c r="S262" s="650"/>
      <c r="T262" s="650"/>
      <c r="U262" s="650"/>
      <c r="V262" s="650"/>
      <c r="W262" s="650"/>
      <c r="X262" s="650"/>
      <c r="Y262" s="650"/>
      <c r="Z262" s="650"/>
      <c r="AA262" s="650"/>
      <c r="AB262" s="650"/>
      <c r="AC262" s="650"/>
      <c r="AD262" s="650"/>
      <c r="AE262" s="650"/>
      <c r="AF262" s="650"/>
      <c r="AG262" s="650"/>
      <c r="AH262" s="650"/>
      <c r="AI262" s="650"/>
      <c r="AJ262" s="650"/>
      <c r="AK262" s="650"/>
      <c r="AL262" s="650"/>
      <c r="AM262" s="650"/>
      <c r="AN262" s="650"/>
      <c r="AO262" s="650"/>
      <c r="AP262" s="650"/>
      <c r="AQ262" s="650"/>
      <c r="AR262" s="650"/>
      <c r="AS262" s="650"/>
      <c r="AT262" s="650"/>
      <c r="AU262" s="650"/>
      <c r="AV262" s="650"/>
      <c r="AW262" s="650"/>
      <c r="AX262" s="650"/>
      <c r="AY262" s="650"/>
    </row>
    <row r="263" ht="21.75" customHeight="1">
      <c r="A263" s="650"/>
      <c r="B263" s="650"/>
      <c r="C263" s="650"/>
      <c r="D263" s="650"/>
      <c r="E263" s="650"/>
      <c r="F263" s="650"/>
      <c r="G263" s="650"/>
      <c r="H263" s="650"/>
      <c r="I263" s="650"/>
      <c r="J263" s="650"/>
      <c r="K263" s="650"/>
      <c r="L263" s="650"/>
      <c r="M263" s="650"/>
      <c r="N263" s="650"/>
      <c r="O263" s="650"/>
      <c r="P263" s="650"/>
      <c r="Q263" s="650"/>
      <c r="R263" s="650"/>
      <c r="S263" s="650"/>
      <c r="T263" s="650"/>
      <c r="U263" s="650"/>
      <c r="V263" s="650"/>
      <c r="W263" s="650"/>
      <c r="X263" s="650"/>
      <c r="Y263" s="650"/>
      <c r="Z263" s="650"/>
      <c r="AA263" s="650"/>
      <c r="AB263" s="650"/>
      <c r="AC263" s="650"/>
      <c r="AD263" s="650"/>
      <c r="AE263" s="650"/>
      <c r="AF263" s="650"/>
      <c r="AG263" s="650"/>
      <c r="AH263" s="650"/>
      <c r="AI263" s="650"/>
      <c r="AJ263" s="650"/>
      <c r="AK263" s="650"/>
      <c r="AL263" s="650"/>
      <c r="AM263" s="650"/>
      <c r="AN263" s="650"/>
      <c r="AO263" s="650"/>
      <c r="AP263" s="650"/>
      <c r="AQ263" s="650"/>
      <c r="AR263" s="650"/>
      <c r="AS263" s="650"/>
      <c r="AT263" s="650"/>
      <c r="AU263" s="650"/>
      <c r="AV263" s="650"/>
      <c r="AW263" s="650"/>
      <c r="AX263" s="650"/>
      <c r="AY263" s="650"/>
    </row>
    <row r="264" ht="21.75" customHeight="1">
      <c r="A264" s="650"/>
      <c r="B264" s="650"/>
      <c r="C264" s="650"/>
      <c r="D264" s="650"/>
      <c r="E264" s="650"/>
      <c r="F264" s="650"/>
      <c r="G264" s="650"/>
      <c r="H264" s="650"/>
      <c r="I264" s="650"/>
      <c r="J264" s="650"/>
      <c r="K264" s="650"/>
      <c r="L264" s="650"/>
      <c r="M264" s="650"/>
      <c r="N264" s="650"/>
      <c r="O264" s="650"/>
      <c r="P264" s="650"/>
      <c r="Q264" s="650"/>
      <c r="R264" s="650"/>
      <c r="S264" s="650"/>
      <c r="T264" s="650"/>
      <c r="U264" s="650"/>
      <c r="V264" s="650"/>
      <c r="W264" s="650"/>
      <c r="X264" s="650"/>
      <c r="Y264" s="650"/>
      <c r="Z264" s="650"/>
      <c r="AA264" s="650"/>
      <c r="AB264" s="650"/>
      <c r="AC264" s="650"/>
      <c r="AD264" s="650"/>
      <c r="AE264" s="650"/>
      <c r="AF264" s="650"/>
      <c r="AG264" s="650"/>
      <c r="AH264" s="650"/>
      <c r="AI264" s="650"/>
      <c r="AJ264" s="650"/>
      <c r="AK264" s="650"/>
      <c r="AL264" s="650"/>
      <c r="AM264" s="650"/>
      <c r="AN264" s="650"/>
      <c r="AO264" s="650"/>
      <c r="AP264" s="650"/>
      <c r="AQ264" s="650"/>
      <c r="AR264" s="650"/>
      <c r="AS264" s="650"/>
      <c r="AT264" s="650"/>
      <c r="AU264" s="650"/>
      <c r="AV264" s="650"/>
      <c r="AW264" s="650"/>
      <c r="AX264" s="650"/>
      <c r="AY264" s="650"/>
    </row>
    <row r="265" ht="21.75" customHeight="1">
      <c r="A265" s="650"/>
      <c r="B265" s="650"/>
      <c r="C265" s="650"/>
      <c r="D265" s="650"/>
      <c r="E265" s="650"/>
      <c r="F265" s="650"/>
      <c r="G265" s="650"/>
      <c r="H265" s="650"/>
      <c r="I265" s="650"/>
      <c r="J265" s="650"/>
      <c r="K265" s="650"/>
      <c r="L265" s="650"/>
      <c r="M265" s="650"/>
      <c r="N265" s="650"/>
      <c r="O265" s="650"/>
      <c r="P265" s="650"/>
      <c r="Q265" s="650"/>
      <c r="R265" s="650"/>
      <c r="S265" s="650"/>
      <c r="T265" s="650"/>
      <c r="U265" s="650"/>
      <c r="V265" s="650"/>
      <c r="W265" s="650"/>
      <c r="X265" s="650"/>
      <c r="Y265" s="650"/>
      <c r="Z265" s="650"/>
      <c r="AA265" s="650"/>
      <c r="AB265" s="650"/>
      <c r="AC265" s="650"/>
      <c r="AD265" s="650"/>
      <c r="AE265" s="650"/>
      <c r="AF265" s="650"/>
      <c r="AG265" s="650"/>
      <c r="AH265" s="650"/>
      <c r="AI265" s="650"/>
      <c r="AJ265" s="650"/>
      <c r="AK265" s="650"/>
      <c r="AL265" s="650"/>
      <c r="AM265" s="650"/>
      <c r="AN265" s="650"/>
      <c r="AO265" s="650"/>
      <c r="AP265" s="650"/>
      <c r="AQ265" s="650"/>
      <c r="AR265" s="650"/>
      <c r="AS265" s="650"/>
      <c r="AT265" s="650"/>
      <c r="AU265" s="650"/>
      <c r="AV265" s="650"/>
      <c r="AW265" s="650"/>
      <c r="AX265" s="650"/>
      <c r="AY265" s="650"/>
    </row>
    <row r="266" ht="21.75" customHeight="1">
      <c r="A266" s="650"/>
      <c r="B266" s="650"/>
      <c r="C266" s="650"/>
      <c r="D266" s="650"/>
      <c r="E266" s="650"/>
      <c r="F266" s="650"/>
      <c r="G266" s="650"/>
      <c r="H266" s="650"/>
      <c r="I266" s="650"/>
      <c r="J266" s="650"/>
      <c r="K266" s="650"/>
      <c r="L266" s="650"/>
      <c r="M266" s="650"/>
      <c r="N266" s="650"/>
      <c r="O266" s="650"/>
      <c r="P266" s="650"/>
      <c r="Q266" s="650"/>
      <c r="R266" s="650"/>
      <c r="S266" s="650"/>
      <c r="T266" s="650"/>
      <c r="U266" s="650"/>
      <c r="V266" s="650"/>
      <c r="W266" s="650"/>
      <c r="X266" s="650"/>
      <c r="Y266" s="650"/>
      <c r="Z266" s="650"/>
      <c r="AA266" s="650"/>
      <c r="AB266" s="650"/>
      <c r="AC266" s="650"/>
      <c r="AD266" s="650"/>
      <c r="AE266" s="650"/>
      <c r="AF266" s="650"/>
      <c r="AG266" s="650"/>
      <c r="AH266" s="650"/>
      <c r="AI266" s="650"/>
      <c r="AJ266" s="650"/>
      <c r="AK266" s="650"/>
      <c r="AL266" s="650"/>
      <c r="AM266" s="650"/>
      <c r="AN266" s="650"/>
      <c r="AO266" s="650"/>
      <c r="AP266" s="650"/>
      <c r="AQ266" s="650"/>
      <c r="AR266" s="650"/>
      <c r="AS266" s="650"/>
      <c r="AT266" s="650"/>
      <c r="AU266" s="650"/>
      <c r="AV266" s="650"/>
      <c r="AW266" s="650"/>
      <c r="AX266" s="650"/>
      <c r="AY266" s="650"/>
    </row>
    <row r="267" ht="21.75" customHeight="1">
      <c r="A267" s="650"/>
      <c r="B267" s="650"/>
      <c r="C267" s="650"/>
      <c r="D267" s="650"/>
      <c r="E267" s="650"/>
      <c r="F267" s="650"/>
      <c r="G267" s="650"/>
      <c r="H267" s="650"/>
      <c r="I267" s="650"/>
      <c r="J267" s="650"/>
      <c r="K267" s="650"/>
      <c r="L267" s="650"/>
      <c r="M267" s="650"/>
      <c r="N267" s="650"/>
      <c r="O267" s="650"/>
      <c r="P267" s="650"/>
      <c r="Q267" s="650"/>
      <c r="R267" s="650"/>
      <c r="S267" s="650"/>
      <c r="T267" s="650"/>
      <c r="U267" s="650"/>
      <c r="V267" s="650"/>
      <c r="W267" s="650"/>
      <c r="X267" s="650"/>
      <c r="Y267" s="650"/>
      <c r="Z267" s="650"/>
      <c r="AA267" s="650"/>
      <c r="AB267" s="650"/>
      <c r="AC267" s="650"/>
      <c r="AD267" s="650"/>
      <c r="AE267" s="650"/>
      <c r="AF267" s="650"/>
      <c r="AG267" s="650"/>
      <c r="AH267" s="650"/>
      <c r="AI267" s="650"/>
      <c r="AJ267" s="650"/>
      <c r="AK267" s="650"/>
      <c r="AL267" s="650"/>
      <c r="AM267" s="650"/>
      <c r="AN267" s="650"/>
      <c r="AO267" s="650"/>
      <c r="AP267" s="650"/>
      <c r="AQ267" s="650"/>
      <c r="AR267" s="650"/>
      <c r="AS267" s="650"/>
      <c r="AT267" s="650"/>
      <c r="AU267" s="650"/>
      <c r="AV267" s="650"/>
      <c r="AW267" s="650"/>
      <c r="AX267" s="650"/>
      <c r="AY267" s="650"/>
    </row>
    <row r="268" ht="21.75" customHeight="1">
      <c r="A268" s="650"/>
      <c r="B268" s="650"/>
      <c r="C268" s="650"/>
      <c r="D268" s="650"/>
      <c r="E268" s="650"/>
      <c r="F268" s="650"/>
      <c r="G268" s="650"/>
      <c r="H268" s="650"/>
      <c r="I268" s="650"/>
      <c r="J268" s="650"/>
      <c r="K268" s="650"/>
      <c r="L268" s="650"/>
      <c r="M268" s="650"/>
      <c r="N268" s="650"/>
      <c r="O268" s="650"/>
      <c r="P268" s="650"/>
      <c r="Q268" s="650"/>
      <c r="R268" s="650"/>
      <c r="S268" s="650"/>
      <c r="T268" s="650"/>
      <c r="U268" s="650"/>
      <c r="V268" s="650"/>
      <c r="W268" s="650"/>
      <c r="X268" s="650"/>
      <c r="Y268" s="650"/>
      <c r="Z268" s="650"/>
      <c r="AA268" s="650"/>
      <c r="AB268" s="650"/>
      <c r="AC268" s="650"/>
      <c r="AD268" s="650"/>
      <c r="AE268" s="650"/>
      <c r="AF268" s="650"/>
      <c r="AG268" s="650"/>
      <c r="AH268" s="650"/>
      <c r="AI268" s="650"/>
      <c r="AJ268" s="650"/>
      <c r="AK268" s="650"/>
      <c r="AL268" s="650"/>
      <c r="AM268" s="650"/>
      <c r="AN268" s="650"/>
      <c r="AO268" s="650"/>
      <c r="AP268" s="650"/>
      <c r="AQ268" s="650"/>
      <c r="AR268" s="650"/>
      <c r="AS268" s="650"/>
      <c r="AT268" s="650"/>
      <c r="AU268" s="650"/>
      <c r="AV268" s="650"/>
      <c r="AW268" s="650"/>
      <c r="AX268" s="650"/>
      <c r="AY268" s="650"/>
    </row>
    <row r="269" ht="21.75" customHeight="1">
      <c r="A269" s="650"/>
      <c r="B269" s="650"/>
      <c r="C269" s="650"/>
      <c r="D269" s="650"/>
      <c r="E269" s="650"/>
      <c r="F269" s="650"/>
      <c r="G269" s="650"/>
      <c r="H269" s="650"/>
      <c r="I269" s="650"/>
      <c r="J269" s="650"/>
      <c r="K269" s="650"/>
      <c r="L269" s="650"/>
      <c r="M269" s="650"/>
      <c r="N269" s="650"/>
      <c r="O269" s="650"/>
      <c r="P269" s="650"/>
      <c r="Q269" s="650"/>
      <c r="R269" s="650"/>
      <c r="S269" s="650"/>
      <c r="T269" s="650"/>
      <c r="U269" s="650"/>
      <c r="V269" s="650"/>
      <c r="W269" s="650"/>
      <c r="X269" s="650"/>
      <c r="Y269" s="650"/>
      <c r="Z269" s="650"/>
      <c r="AA269" s="650"/>
      <c r="AB269" s="650"/>
      <c r="AC269" s="650"/>
      <c r="AD269" s="650"/>
      <c r="AE269" s="650"/>
      <c r="AF269" s="650"/>
      <c r="AG269" s="650"/>
      <c r="AH269" s="650"/>
      <c r="AI269" s="650"/>
      <c r="AJ269" s="650"/>
      <c r="AK269" s="650"/>
      <c r="AL269" s="650"/>
      <c r="AM269" s="650"/>
      <c r="AN269" s="650"/>
      <c r="AO269" s="650"/>
      <c r="AP269" s="650"/>
      <c r="AQ269" s="650"/>
      <c r="AR269" s="650"/>
      <c r="AS269" s="650"/>
      <c r="AT269" s="650"/>
      <c r="AU269" s="650"/>
      <c r="AV269" s="650"/>
      <c r="AW269" s="650"/>
      <c r="AX269" s="650"/>
      <c r="AY269" s="650"/>
    </row>
    <row r="270" ht="21.75" customHeight="1">
      <c r="A270" s="650"/>
      <c r="B270" s="650"/>
      <c r="C270" s="650"/>
      <c r="D270" s="650"/>
      <c r="E270" s="650"/>
      <c r="F270" s="650"/>
      <c r="G270" s="650"/>
      <c r="H270" s="650"/>
      <c r="I270" s="650"/>
      <c r="J270" s="650"/>
      <c r="K270" s="650"/>
      <c r="L270" s="650"/>
      <c r="M270" s="650"/>
      <c r="N270" s="650"/>
      <c r="O270" s="650"/>
      <c r="P270" s="650"/>
      <c r="Q270" s="650"/>
      <c r="R270" s="650"/>
      <c r="S270" s="650"/>
      <c r="T270" s="650"/>
      <c r="U270" s="650"/>
      <c r="V270" s="650"/>
      <c r="W270" s="650"/>
      <c r="X270" s="650"/>
      <c r="Y270" s="650"/>
      <c r="Z270" s="650"/>
      <c r="AA270" s="650"/>
      <c r="AB270" s="650"/>
      <c r="AC270" s="650"/>
      <c r="AD270" s="650"/>
      <c r="AE270" s="650"/>
      <c r="AF270" s="650"/>
      <c r="AG270" s="650"/>
      <c r="AH270" s="650"/>
      <c r="AI270" s="650"/>
      <c r="AJ270" s="650"/>
      <c r="AK270" s="650"/>
      <c r="AL270" s="650"/>
      <c r="AM270" s="650"/>
      <c r="AN270" s="650"/>
      <c r="AO270" s="650"/>
      <c r="AP270" s="650"/>
      <c r="AQ270" s="650"/>
      <c r="AR270" s="650"/>
      <c r="AS270" s="650"/>
      <c r="AT270" s="650"/>
      <c r="AU270" s="650"/>
      <c r="AV270" s="650"/>
      <c r="AW270" s="650"/>
      <c r="AX270" s="650"/>
      <c r="AY270" s="650"/>
    </row>
    <row r="271" ht="21.75" customHeight="1">
      <c r="A271" s="650"/>
      <c r="B271" s="650"/>
      <c r="C271" s="650"/>
      <c r="D271" s="650"/>
      <c r="E271" s="650"/>
      <c r="F271" s="650"/>
      <c r="G271" s="650"/>
      <c r="H271" s="650"/>
      <c r="I271" s="650"/>
      <c r="J271" s="650"/>
      <c r="K271" s="650"/>
      <c r="L271" s="650"/>
      <c r="M271" s="650"/>
      <c r="N271" s="650"/>
      <c r="O271" s="650"/>
      <c r="P271" s="650"/>
      <c r="Q271" s="650"/>
      <c r="R271" s="650"/>
      <c r="S271" s="650"/>
      <c r="T271" s="650"/>
      <c r="U271" s="650"/>
      <c r="V271" s="650"/>
      <c r="W271" s="650"/>
      <c r="X271" s="650"/>
      <c r="Y271" s="650"/>
      <c r="Z271" s="650"/>
      <c r="AA271" s="650"/>
      <c r="AB271" s="650"/>
      <c r="AC271" s="650"/>
      <c r="AD271" s="650"/>
      <c r="AE271" s="650"/>
      <c r="AF271" s="650"/>
      <c r="AG271" s="650"/>
      <c r="AH271" s="650"/>
      <c r="AI271" s="650"/>
      <c r="AJ271" s="650"/>
      <c r="AK271" s="650"/>
      <c r="AL271" s="650"/>
      <c r="AM271" s="650"/>
      <c r="AN271" s="650"/>
      <c r="AO271" s="650"/>
      <c r="AP271" s="650"/>
      <c r="AQ271" s="650"/>
      <c r="AR271" s="650"/>
      <c r="AS271" s="650"/>
      <c r="AT271" s="650"/>
      <c r="AU271" s="650"/>
      <c r="AV271" s="650"/>
      <c r="AW271" s="650"/>
      <c r="AX271" s="650"/>
      <c r="AY271" s="650"/>
    </row>
    <row r="272" ht="21.75" customHeight="1">
      <c r="A272" s="650"/>
      <c r="B272" s="650"/>
      <c r="C272" s="650"/>
      <c r="D272" s="650"/>
      <c r="E272" s="650"/>
      <c r="F272" s="650"/>
      <c r="G272" s="650"/>
      <c r="H272" s="650"/>
      <c r="I272" s="650"/>
      <c r="J272" s="650"/>
      <c r="K272" s="650"/>
      <c r="L272" s="650"/>
      <c r="M272" s="650"/>
      <c r="N272" s="650"/>
      <c r="O272" s="650"/>
      <c r="P272" s="650"/>
      <c r="Q272" s="650"/>
      <c r="R272" s="650"/>
      <c r="S272" s="650"/>
      <c r="T272" s="650"/>
      <c r="U272" s="650"/>
      <c r="V272" s="650"/>
      <c r="W272" s="650"/>
      <c r="X272" s="650"/>
      <c r="Y272" s="650"/>
      <c r="Z272" s="650"/>
      <c r="AA272" s="650"/>
      <c r="AB272" s="650"/>
      <c r="AC272" s="650"/>
      <c r="AD272" s="650"/>
      <c r="AE272" s="650"/>
      <c r="AF272" s="650"/>
      <c r="AG272" s="650"/>
      <c r="AH272" s="650"/>
      <c r="AI272" s="650"/>
      <c r="AJ272" s="650"/>
      <c r="AK272" s="650"/>
      <c r="AL272" s="650"/>
      <c r="AM272" s="650"/>
      <c r="AN272" s="650"/>
      <c r="AO272" s="650"/>
      <c r="AP272" s="650"/>
      <c r="AQ272" s="650"/>
      <c r="AR272" s="650"/>
      <c r="AS272" s="650"/>
      <c r="AT272" s="650"/>
      <c r="AU272" s="650"/>
      <c r="AV272" s="650"/>
      <c r="AW272" s="650"/>
      <c r="AX272" s="650"/>
      <c r="AY272" s="650"/>
    </row>
    <row r="273" ht="21.75" customHeight="1">
      <c r="A273" s="650"/>
      <c r="B273" s="650"/>
      <c r="C273" s="650"/>
      <c r="D273" s="650"/>
      <c r="E273" s="650"/>
      <c r="F273" s="650"/>
      <c r="G273" s="650"/>
      <c r="H273" s="650"/>
      <c r="I273" s="650"/>
      <c r="J273" s="650"/>
      <c r="K273" s="650"/>
      <c r="L273" s="650"/>
      <c r="M273" s="650"/>
      <c r="N273" s="650"/>
      <c r="O273" s="650"/>
      <c r="P273" s="650"/>
      <c r="Q273" s="650"/>
      <c r="R273" s="650"/>
      <c r="S273" s="650"/>
      <c r="T273" s="650"/>
      <c r="U273" s="650"/>
      <c r="V273" s="650"/>
      <c r="W273" s="650"/>
      <c r="X273" s="650"/>
      <c r="Y273" s="650"/>
      <c r="Z273" s="650"/>
      <c r="AA273" s="650"/>
      <c r="AB273" s="650"/>
      <c r="AC273" s="650"/>
      <c r="AD273" s="650"/>
      <c r="AE273" s="650"/>
      <c r="AF273" s="650"/>
      <c r="AG273" s="650"/>
      <c r="AH273" s="650"/>
      <c r="AI273" s="650"/>
      <c r="AJ273" s="650"/>
      <c r="AK273" s="650"/>
      <c r="AL273" s="650"/>
      <c r="AM273" s="650"/>
      <c r="AN273" s="650"/>
      <c r="AO273" s="650"/>
      <c r="AP273" s="650"/>
      <c r="AQ273" s="650"/>
      <c r="AR273" s="650"/>
      <c r="AS273" s="650"/>
      <c r="AT273" s="650"/>
      <c r="AU273" s="650"/>
      <c r="AV273" s="650"/>
      <c r="AW273" s="650"/>
      <c r="AX273" s="650"/>
      <c r="AY273" s="650"/>
    </row>
    <row r="274" ht="21.75" customHeight="1">
      <c r="A274" s="650"/>
      <c r="B274" s="650"/>
      <c r="C274" s="650"/>
      <c r="D274" s="650"/>
      <c r="E274" s="650"/>
      <c r="F274" s="650"/>
      <c r="G274" s="650"/>
      <c r="H274" s="650"/>
      <c r="I274" s="650"/>
      <c r="J274" s="650"/>
      <c r="K274" s="650"/>
      <c r="L274" s="650"/>
      <c r="M274" s="650"/>
      <c r="N274" s="650"/>
      <c r="O274" s="650"/>
      <c r="P274" s="650"/>
      <c r="Q274" s="650"/>
      <c r="R274" s="650"/>
      <c r="S274" s="650"/>
      <c r="T274" s="650"/>
      <c r="U274" s="650"/>
      <c r="V274" s="650"/>
      <c r="W274" s="650"/>
      <c r="X274" s="650"/>
      <c r="Y274" s="650"/>
      <c r="Z274" s="650"/>
      <c r="AA274" s="650"/>
      <c r="AB274" s="650"/>
      <c r="AC274" s="650"/>
      <c r="AD274" s="650"/>
      <c r="AE274" s="650"/>
      <c r="AF274" s="650"/>
      <c r="AG274" s="650"/>
      <c r="AH274" s="650"/>
      <c r="AI274" s="650"/>
      <c r="AJ274" s="650"/>
      <c r="AK274" s="650"/>
      <c r="AL274" s="650"/>
      <c r="AM274" s="650"/>
      <c r="AN274" s="650"/>
      <c r="AO274" s="650"/>
      <c r="AP274" s="650"/>
      <c r="AQ274" s="650"/>
      <c r="AR274" s="650"/>
      <c r="AS274" s="650"/>
      <c r="AT274" s="650"/>
      <c r="AU274" s="650"/>
      <c r="AV274" s="650"/>
      <c r="AW274" s="650"/>
      <c r="AX274" s="650"/>
      <c r="AY274" s="650"/>
    </row>
    <row r="275" ht="21.75" customHeight="1">
      <c r="A275" s="650"/>
      <c r="B275" s="650"/>
      <c r="C275" s="650"/>
      <c r="D275" s="650"/>
      <c r="E275" s="650"/>
      <c r="F275" s="650"/>
      <c r="G275" s="650"/>
      <c r="H275" s="650"/>
      <c r="I275" s="650"/>
      <c r="J275" s="650"/>
      <c r="K275" s="650"/>
      <c r="L275" s="650"/>
      <c r="M275" s="650"/>
      <c r="N275" s="650"/>
      <c r="O275" s="650"/>
      <c r="P275" s="650"/>
      <c r="Q275" s="650"/>
      <c r="R275" s="650"/>
      <c r="S275" s="650"/>
      <c r="T275" s="650"/>
      <c r="U275" s="650"/>
      <c r="V275" s="650"/>
      <c r="W275" s="650"/>
      <c r="X275" s="650"/>
      <c r="Y275" s="650"/>
      <c r="Z275" s="650"/>
      <c r="AA275" s="650"/>
      <c r="AB275" s="650"/>
      <c r="AC275" s="650"/>
      <c r="AD275" s="650"/>
      <c r="AE275" s="650"/>
      <c r="AF275" s="650"/>
      <c r="AG275" s="650"/>
      <c r="AH275" s="650"/>
      <c r="AI275" s="650"/>
      <c r="AJ275" s="650"/>
      <c r="AK275" s="650"/>
      <c r="AL275" s="650"/>
      <c r="AM275" s="650"/>
      <c r="AN275" s="650"/>
      <c r="AO275" s="650"/>
      <c r="AP275" s="650"/>
      <c r="AQ275" s="650"/>
      <c r="AR275" s="650"/>
      <c r="AS275" s="650"/>
      <c r="AT275" s="650"/>
      <c r="AU275" s="650"/>
      <c r="AV275" s="650"/>
      <c r="AW275" s="650"/>
      <c r="AX275" s="650"/>
      <c r="AY275" s="650"/>
    </row>
    <row r="276" ht="21.75" customHeight="1">
      <c r="A276" s="650"/>
      <c r="B276" s="650"/>
      <c r="C276" s="650"/>
      <c r="D276" s="650"/>
      <c r="E276" s="650"/>
      <c r="F276" s="650"/>
      <c r="G276" s="650"/>
      <c r="H276" s="650"/>
      <c r="I276" s="650"/>
      <c r="J276" s="650"/>
      <c r="K276" s="650"/>
      <c r="L276" s="650"/>
      <c r="M276" s="650"/>
      <c r="N276" s="650"/>
      <c r="O276" s="650"/>
      <c r="P276" s="650"/>
      <c r="Q276" s="650"/>
      <c r="R276" s="650"/>
      <c r="S276" s="650"/>
      <c r="T276" s="650"/>
      <c r="U276" s="650"/>
      <c r="V276" s="650"/>
      <c r="W276" s="650"/>
      <c r="X276" s="650"/>
      <c r="Y276" s="650"/>
      <c r="Z276" s="650"/>
      <c r="AA276" s="650"/>
      <c r="AB276" s="650"/>
      <c r="AC276" s="650"/>
      <c r="AD276" s="650"/>
      <c r="AE276" s="650"/>
      <c r="AF276" s="650"/>
      <c r="AG276" s="650"/>
      <c r="AH276" s="650"/>
      <c r="AI276" s="650"/>
      <c r="AJ276" s="650"/>
      <c r="AK276" s="650"/>
      <c r="AL276" s="650"/>
      <c r="AM276" s="650"/>
      <c r="AN276" s="650"/>
      <c r="AO276" s="650"/>
      <c r="AP276" s="650"/>
      <c r="AQ276" s="650"/>
      <c r="AR276" s="650"/>
      <c r="AS276" s="650"/>
      <c r="AT276" s="650"/>
      <c r="AU276" s="650"/>
      <c r="AV276" s="650"/>
      <c r="AW276" s="650"/>
      <c r="AX276" s="650"/>
      <c r="AY276" s="650"/>
    </row>
    <row r="277" ht="21.75" customHeight="1">
      <c r="A277" s="650"/>
      <c r="B277" s="650"/>
      <c r="C277" s="650"/>
      <c r="D277" s="650"/>
      <c r="E277" s="650"/>
      <c r="F277" s="650"/>
      <c r="G277" s="650"/>
      <c r="H277" s="650"/>
      <c r="I277" s="650"/>
      <c r="J277" s="650"/>
      <c r="K277" s="650"/>
      <c r="L277" s="650"/>
      <c r="M277" s="650"/>
      <c r="N277" s="650"/>
      <c r="O277" s="650"/>
      <c r="P277" s="650"/>
      <c r="Q277" s="650"/>
      <c r="R277" s="650"/>
      <c r="S277" s="650"/>
      <c r="T277" s="650"/>
      <c r="U277" s="650"/>
      <c r="V277" s="650"/>
      <c r="W277" s="650"/>
      <c r="X277" s="650"/>
      <c r="Y277" s="650"/>
      <c r="Z277" s="650"/>
      <c r="AA277" s="650"/>
      <c r="AB277" s="650"/>
      <c r="AC277" s="650"/>
      <c r="AD277" s="650"/>
      <c r="AE277" s="650"/>
      <c r="AF277" s="650"/>
      <c r="AG277" s="650"/>
      <c r="AH277" s="650"/>
      <c r="AI277" s="650"/>
      <c r="AJ277" s="650"/>
      <c r="AK277" s="650"/>
      <c r="AL277" s="650"/>
      <c r="AM277" s="650"/>
      <c r="AN277" s="650"/>
      <c r="AO277" s="650"/>
      <c r="AP277" s="650"/>
      <c r="AQ277" s="650"/>
      <c r="AR277" s="650"/>
      <c r="AS277" s="650"/>
      <c r="AT277" s="650"/>
      <c r="AU277" s="650"/>
      <c r="AV277" s="650"/>
      <c r="AW277" s="650"/>
      <c r="AX277" s="650"/>
      <c r="AY277" s="650"/>
    </row>
    <row r="278" ht="21.75" customHeight="1">
      <c r="A278" s="650"/>
      <c r="B278" s="650"/>
      <c r="C278" s="650"/>
      <c r="D278" s="650"/>
      <c r="E278" s="650"/>
      <c r="F278" s="650"/>
      <c r="G278" s="650"/>
      <c r="H278" s="650"/>
      <c r="I278" s="650"/>
      <c r="J278" s="650"/>
      <c r="K278" s="650"/>
      <c r="L278" s="650"/>
      <c r="M278" s="650"/>
      <c r="N278" s="650"/>
      <c r="O278" s="650"/>
      <c r="P278" s="650"/>
      <c r="Q278" s="650"/>
      <c r="R278" s="650"/>
      <c r="S278" s="650"/>
      <c r="T278" s="650"/>
      <c r="U278" s="650"/>
      <c r="V278" s="650"/>
      <c r="W278" s="650"/>
      <c r="X278" s="650"/>
      <c r="Y278" s="650"/>
      <c r="Z278" s="650"/>
      <c r="AA278" s="650"/>
      <c r="AB278" s="650"/>
      <c r="AC278" s="650"/>
      <c r="AD278" s="650"/>
      <c r="AE278" s="650"/>
      <c r="AF278" s="650"/>
      <c r="AG278" s="650"/>
      <c r="AH278" s="650"/>
      <c r="AI278" s="650"/>
      <c r="AJ278" s="650"/>
      <c r="AK278" s="650"/>
      <c r="AL278" s="650"/>
      <c r="AM278" s="650"/>
      <c r="AN278" s="650"/>
      <c r="AO278" s="650"/>
      <c r="AP278" s="650"/>
      <c r="AQ278" s="650"/>
      <c r="AR278" s="650"/>
      <c r="AS278" s="650"/>
      <c r="AT278" s="650"/>
      <c r="AU278" s="650"/>
      <c r="AV278" s="650"/>
      <c r="AW278" s="650"/>
      <c r="AX278" s="650"/>
      <c r="AY278" s="650"/>
    </row>
    <row r="279" ht="21.75" customHeight="1">
      <c r="A279" s="650"/>
      <c r="B279" s="650"/>
      <c r="C279" s="650"/>
      <c r="D279" s="650"/>
      <c r="E279" s="650"/>
      <c r="F279" s="650"/>
      <c r="G279" s="650"/>
      <c r="H279" s="650"/>
      <c r="I279" s="650"/>
      <c r="J279" s="650"/>
      <c r="K279" s="650"/>
      <c r="L279" s="650"/>
      <c r="M279" s="650"/>
      <c r="N279" s="650"/>
      <c r="O279" s="650"/>
      <c r="P279" s="650"/>
      <c r="Q279" s="650"/>
      <c r="R279" s="650"/>
      <c r="S279" s="650"/>
      <c r="T279" s="650"/>
      <c r="U279" s="650"/>
      <c r="V279" s="650"/>
      <c r="W279" s="650"/>
      <c r="X279" s="650"/>
      <c r="Y279" s="650"/>
      <c r="Z279" s="650"/>
      <c r="AA279" s="650"/>
      <c r="AB279" s="650"/>
      <c r="AC279" s="650"/>
      <c r="AD279" s="650"/>
      <c r="AE279" s="650"/>
      <c r="AF279" s="650"/>
      <c r="AG279" s="650"/>
      <c r="AH279" s="650"/>
      <c r="AI279" s="650"/>
      <c r="AJ279" s="650"/>
      <c r="AK279" s="650"/>
      <c r="AL279" s="650"/>
      <c r="AM279" s="650"/>
      <c r="AN279" s="650"/>
      <c r="AO279" s="650"/>
      <c r="AP279" s="650"/>
      <c r="AQ279" s="650"/>
      <c r="AR279" s="650"/>
      <c r="AS279" s="650"/>
      <c r="AT279" s="650"/>
      <c r="AU279" s="650"/>
      <c r="AV279" s="650"/>
      <c r="AW279" s="650"/>
      <c r="AX279" s="650"/>
      <c r="AY279" s="650"/>
    </row>
    <row r="280" ht="21.75" customHeight="1">
      <c r="A280" s="650"/>
      <c r="B280" s="650"/>
      <c r="C280" s="650"/>
      <c r="D280" s="650"/>
      <c r="E280" s="650"/>
      <c r="F280" s="650"/>
      <c r="G280" s="650"/>
      <c r="H280" s="650"/>
      <c r="I280" s="650"/>
      <c r="J280" s="650"/>
      <c r="K280" s="650"/>
      <c r="L280" s="650"/>
      <c r="M280" s="650"/>
      <c r="N280" s="650"/>
      <c r="O280" s="650"/>
      <c r="P280" s="650"/>
      <c r="Q280" s="650"/>
      <c r="R280" s="650"/>
      <c r="S280" s="650"/>
      <c r="T280" s="650"/>
      <c r="U280" s="650"/>
      <c r="V280" s="650"/>
      <c r="W280" s="650"/>
      <c r="X280" s="650"/>
      <c r="Y280" s="650"/>
      <c r="Z280" s="650"/>
      <c r="AA280" s="650"/>
      <c r="AB280" s="650"/>
      <c r="AC280" s="650"/>
      <c r="AD280" s="650"/>
      <c r="AE280" s="650"/>
      <c r="AF280" s="650"/>
      <c r="AG280" s="650"/>
      <c r="AH280" s="650"/>
      <c r="AI280" s="650"/>
      <c r="AJ280" s="650"/>
      <c r="AK280" s="650"/>
      <c r="AL280" s="650"/>
      <c r="AM280" s="650"/>
      <c r="AN280" s="650"/>
      <c r="AO280" s="650"/>
      <c r="AP280" s="650"/>
      <c r="AQ280" s="650"/>
      <c r="AR280" s="650"/>
      <c r="AS280" s="650"/>
      <c r="AT280" s="650"/>
      <c r="AU280" s="650"/>
      <c r="AV280" s="650"/>
      <c r="AW280" s="650"/>
      <c r="AX280" s="650"/>
      <c r="AY280" s="650"/>
    </row>
    <row r="281" ht="21.75" customHeight="1">
      <c r="A281" s="650"/>
      <c r="B281" s="650"/>
      <c r="C281" s="650"/>
      <c r="D281" s="650"/>
      <c r="E281" s="650"/>
      <c r="F281" s="650"/>
      <c r="G281" s="650"/>
      <c r="H281" s="650"/>
      <c r="I281" s="650"/>
      <c r="J281" s="650"/>
      <c r="K281" s="650"/>
      <c r="L281" s="650"/>
      <c r="M281" s="650"/>
      <c r="N281" s="650"/>
      <c r="O281" s="650"/>
      <c r="P281" s="650"/>
      <c r="Q281" s="650"/>
      <c r="R281" s="650"/>
      <c r="S281" s="650"/>
      <c r="T281" s="650"/>
      <c r="U281" s="650"/>
      <c r="V281" s="650"/>
      <c r="W281" s="650"/>
      <c r="X281" s="650"/>
      <c r="Y281" s="650"/>
      <c r="Z281" s="650"/>
      <c r="AA281" s="650"/>
      <c r="AB281" s="650"/>
      <c r="AC281" s="650"/>
      <c r="AD281" s="650"/>
      <c r="AE281" s="650"/>
      <c r="AF281" s="650"/>
      <c r="AG281" s="650"/>
      <c r="AH281" s="650"/>
      <c r="AI281" s="650"/>
      <c r="AJ281" s="650"/>
      <c r="AK281" s="650"/>
      <c r="AL281" s="650"/>
      <c r="AM281" s="650"/>
      <c r="AN281" s="650"/>
      <c r="AO281" s="650"/>
      <c r="AP281" s="650"/>
      <c r="AQ281" s="650"/>
      <c r="AR281" s="650"/>
      <c r="AS281" s="650"/>
      <c r="AT281" s="650"/>
      <c r="AU281" s="650"/>
      <c r="AV281" s="650"/>
      <c r="AW281" s="650"/>
      <c r="AX281" s="650"/>
      <c r="AY281" s="650"/>
    </row>
    <row r="282" ht="21.75" customHeight="1">
      <c r="A282" s="650"/>
      <c r="B282" s="650"/>
      <c r="C282" s="650"/>
      <c r="D282" s="650"/>
      <c r="E282" s="650"/>
      <c r="F282" s="650"/>
      <c r="G282" s="650"/>
      <c r="H282" s="650"/>
      <c r="I282" s="650"/>
      <c r="J282" s="650"/>
      <c r="K282" s="650"/>
      <c r="L282" s="650"/>
      <c r="M282" s="650"/>
      <c r="N282" s="650"/>
      <c r="O282" s="650"/>
      <c r="P282" s="650"/>
      <c r="Q282" s="650"/>
      <c r="R282" s="650"/>
      <c r="S282" s="650"/>
      <c r="T282" s="650"/>
      <c r="U282" s="650"/>
      <c r="V282" s="650"/>
      <c r="W282" s="650"/>
      <c r="X282" s="650"/>
      <c r="Y282" s="650"/>
      <c r="Z282" s="650"/>
      <c r="AA282" s="650"/>
      <c r="AB282" s="650"/>
      <c r="AC282" s="650"/>
      <c r="AD282" s="650"/>
      <c r="AE282" s="650"/>
      <c r="AF282" s="650"/>
      <c r="AG282" s="650"/>
      <c r="AH282" s="650"/>
      <c r="AI282" s="650"/>
      <c r="AJ282" s="650"/>
      <c r="AK282" s="650"/>
      <c r="AL282" s="650"/>
      <c r="AM282" s="650"/>
      <c r="AN282" s="650"/>
      <c r="AO282" s="650"/>
      <c r="AP282" s="650"/>
      <c r="AQ282" s="650"/>
      <c r="AR282" s="650"/>
      <c r="AS282" s="650"/>
      <c r="AT282" s="650"/>
      <c r="AU282" s="650"/>
      <c r="AV282" s="650"/>
      <c r="AW282" s="650"/>
      <c r="AX282" s="650"/>
      <c r="AY282" s="650"/>
    </row>
    <row r="283" ht="21.75" customHeight="1">
      <c r="A283" s="650"/>
      <c r="B283" s="650"/>
      <c r="C283" s="650"/>
      <c r="D283" s="650"/>
      <c r="E283" s="650"/>
      <c r="F283" s="650"/>
      <c r="G283" s="650"/>
      <c r="H283" s="650"/>
      <c r="I283" s="650"/>
      <c r="J283" s="650"/>
      <c r="K283" s="650"/>
      <c r="L283" s="650"/>
      <c r="M283" s="650"/>
      <c r="N283" s="650"/>
      <c r="O283" s="650"/>
      <c r="P283" s="650"/>
      <c r="Q283" s="650"/>
      <c r="R283" s="650"/>
      <c r="S283" s="650"/>
      <c r="T283" s="650"/>
      <c r="U283" s="650"/>
      <c r="V283" s="650"/>
      <c r="W283" s="650"/>
      <c r="X283" s="650"/>
      <c r="Y283" s="650"/>
      <c r="Z283" s="650"/>
      <c r="AA283" s="650"/>
      <c r="AB283" s="650"/>
      <c r="AC283" s="650"/>
      <c r="AD283" s="650"/>
      <c r="AE283" s="650"/>
      <c r="AF283" s="650"/>
      <c r="AG283" s="650"/>
      <c r="AH283" s="650"/>
      <c r="AI283" s="650"/>
      <c r="AJ283" s="650"/>
      <c r="AK283" s="650"/>
      <c r="AL283" s="650"/>
      <c r="AM283" s="650"/>
      <c r="AN283" s="650"/>
      <c r="AO283" s="650"/>
      <c r="AP283" s="650"/>
      <c r="AQ283" s="650"/>
      <c r="AR283" s="650"/>
      <c r="AS283" s="650"/>
      <c r="AT283" s="650"/>
      <c r="AU283" s="650"/>
      <c r="AV283" s="650"/>
      <c r="AW283" s="650"/>
      <c r="AX283" s="650"/>
      <c r="AY283" s="650"/>
    </row>
    <row r="284" ht="21.75" customHeight="1">
      <c r="A284" s="650"/>
      <c r="B284" s="650"/>
      <c r="C284" s="650"/>
      <c r="D284" s="650"/>
      <c r="E284" s="650"/>
      <c r="F284" s="650"/>
      <c r="G284" s="650"/>
      <c r="H284" s="650"/>
      <c r="I284" s="650"/>
      <c r="J284" s="650"/>
      <c r="K284" s="650"/>
      <c r="L284" s="650"/>
      <c r="M284" s="650"/>
      <c r="N284" s="650"/>
      <c r="O284" s="650"/>
      <c r="P284" s="650"/>
      <c r="Q284" s="650"/>
      <c r="R284" s="650"/>
      <c r="S284" s="650"/>
      <c r="T284" s="650"/>
      <c r="U284" s="650"/>
      <c r="V284" s="650"/>
      <c r="W284" s="650"/>
      <c r="X284" s="650"/>
      <c r="Y284" s="650"/>
      <c r="Z284" s="650"/>
      <c r="AA284" s="650"/>
      <c r="AB284" s="650"/>
      <c r="AC284" s="650"/>
      <c r="AD284" s="650"/>
      <c r="AE284" s="650"/>
      <c r="AF284" s="650"/>
      <c r="AG284" s="650"/>
      <c r="AH284" s="650"/>
      <c r="AI284" s="650"/>
      <c r="AJ284" s="650"/>
      <c r="AK284" s="650"/>
      <c r="AL284" s="650"/>
      <c r="AM284" s="650"/>
      <c r="AN284" s="650"/>
      <c r="AO284" s="650"/>
      <c r="AP284" s="650"/>
      <c r="AQ284" s="650"/>
      <c r="AR284" s="650"/>
      <c r="AS284" s="650"/>
      <c r="AT284" s="650"/>
      <c r="AU284" s="650"/>
      <c r="AV284" s="650"/>
      <c r="AW284" s="650"/>
      <c r="AX284" s="650"/>
      <c r="AY284" s="650"/>
    </row>
    <row r="285" ht="21.75" customHeight="1">
      <c r="A285" s="650"/>
      <c r="B285" s="650"/>
      <c r="C285" s="650"/>
      <c r="D285" s="650"/>
      <c r="E285" s="650"/>
      <c r="F285" s="650"/>
      <c r="G285" s="650"/>
      <c r="H285" s="650"/>
      <c r="I285" s="650"/>
      <c r="J285" s="650"/>
      <c r="K285" s="650"/>
      <c r="L285" s="650"/>
      <c r="M285" s="650"/>
      <c r="N285" s="650"/>
      <c r="O285" s="650"/>
      <c r="P285" s="650"/>
      <c r="Q285" s="650"/>
      <c r="R285" s="650"/>
      <c r="S285" s="650"/>
      <c r="T285" s="650"/>
      <c r="U285" s="650"/>
      <c r="V285" s="650"/>
      <c r="W285" s="650"/>
      <c r="X285" s="650"/>
      <c r="Y285" s="650"/>
      <c r="Z285" s="650"/>
      <c r="AA285" s="650"/>
      <c r="AB285" s="650"/>
      <c r="AC285" s="650"/>
      <c r="AD285" s="650"/>
      <c r="AE285" s="650"/>
      <c r="AF285" s="650"/>
      <c r="AG285" s="650"/>
      <c r="AH285" s="650"/>
      <c r="AI285" s="650"/>
      <c r="AJ285" s="650"/>
      <c r="AK285" s="650"/>
      <c r="AL285" s="650"/>
      <c r="AM285" s="650"/>
      <c r="AN285" s="650"/>
      <c r="AO285" s="650"/>
      <c r="AP285" s="650"/>
      <c r="AQ285" s="650"/>
      <c r="AR285" s="650"/>
      <c r="AS285" s="650"/>
      <c r="AT285" s="650"/>
      <c r="AU285" s="650"/>
      <c r="AV285" s="650"/>
      <c r="AW285" s="650"/>
      <c r="AX285" s="650"/>
      <c r="AY285" s="650"/>
    </row>
    <row r="286" ht="21.75" customHeight="1">
      <c r="A286" s="650"/>
      <c r="B286" s="650"/>
      <c r="C286" s="650"/>
      <c r="D286" s="650"/>
      <c r="E286" s="650"/>
      <c r="F286" s="650"/>
      <c r="G286" s="650"/>
      <c r="H286" s="650"/>
      <c r="I286" s="650"/>
      <c r="J286" s="650"/>
      <c r="K286" s="650"/>
      <c r="L286" s="650"/>
      <c r="M286" s="650"/>
      <c r="N286" s="650"/>
      <c r="O286" s="650"/>
      <c r="P286" s="650"/>
      <c r="Q286" s="650"/>
      <c r="R286" s="650"/>
      <c r="S286" s="650"/>
      <c r="T286" s="650"/>
      <c r="U286" s="650"/>
      <c r="V286" s="650"/>
      <c r="W286" s="650"/>
      <c r="X286" s="650"/>
      <c r="Y286" s="650"/>
      <c r="Z286" s="650"/>
      <c r="AA286" s="650"/>
      <c r="AB286" s="650"/>
      <c r="AC286" s="650"/>
      <c r="AD286" s="650"/>
      <c r="AE286" s="650"/>
      <c r="AF286" s="650"/>
      <c r="AG286" s="650"/>
      <c r="AH286" s="650"/>
      <c r="AI286" s="650"/>
      <c r="AJ286" s="650"/>
      <c r="AK286" s="650"/>
      <c r="AL286" s="650"/>
      <c r="AM286" s="650"/>
      <c r="AN286" s="650"/>
      <c r="AO286" s="650"/>
      <c r="AP286" s="650"/>
      <c r="AQ286" s="650"/>
      <c r="AR286" s="650"/>
      <c r="AS286" s="650"/>
      <c r="AT286" s="650"/>
      <c r="AU286" s="650"/>
      <c r="AV286" s="650"/>
      <c r="AW286" s="650"/>
      <c r="AX286" s="650"/>
      <c r="AY286" s="650"/>
    </row>
    <row r="287" ht="21.75" customHeight="1">
      <c r="A287" s="650"/>
      <c r="B287" s="650"/>
      <c r="C287" s="650"/>
      <c r="D287" s="650"/>
      <c r="E287" s="650"/>
      <c r="F287" s="650"/>
      <c r="G287" s="650"/>
      <c r="H287" s="650"/>
      <c r="I287" s="650"/>
      <c r="J287" s="650"/>
      <c r="K287" s="650"/>
      <c r="L287" s="650"/>
      <c r="M287" s="650"/>
      <c r="N287" s="650"/>
      <c r="O287" s="650"/>
      <c r="P287" s="650"/>
      <c r="Q287" s="650"/>
      <c r="R287" s="650"/>
      <c r="S287" s="650"/>
      <c r="T287" s="650"/>
      <c r="U287" s="650"/>
      <c r="V287" s="650"/>
      <c r="W287" s="650"/>
      <c r="X287" s="650"/>
      <c r="Y287" s="650"/>
      <c r="Z287" s="650"/>
      <c r="AA287" s="650"/>
      <c r="AB287" s="650"/>
      <c r="AC287" s="650"/>
      <c r="AD287" s="650"/>
      <c r="AE287" s="650"/>
      <c r="AF287" s="650"/>
      <c r="AG287" s="650"/>
      <c r="AH287" s="650"/>
      <c r="AI287" s="650"/>
      <c r="AJ287" s="650"/>
      <c r="AK287" s="650"/>
      <c r="AL287" s="650"/>
      <c r="AM287" s="650"/>
      <c r="AN287" s="650"/>
      <c r="AO287" s="650"/>
      <c r="AP287" s="650"/>
      <c r="AQ287" s="650"/>
      <c r="AR287" s="650"/>
      <c r="AS287" s="650"/>
      <c r="AT287" s="650"/>
      <c r="AU287" s="650"/>
      <c r="AV287" s="650"/>
      <c r="AW287" s="650"/>
      <c r="AX287" s="650"/>
      <c r="AY287" s="650"/>
    </row>
    <row r="288" ht="21.75" customHeight="1">
      <c r="A288" s="650"/>
      <c r="B288" s="650"/>
      <c r="C288" s="650"/>
      <c r="D288" s="650"/>
      <c r="E288" s="650"/>
      <c r="F288" s="650"/>
      <c r="G288" s="650"/>
      <c r="H288" s="650"/>
      <c r="I288" s="650"/>
      <c r="J288" s="650"/>
      <c r="K288" s="650"/>
      <c r="L288" s="650"/>
      <c r="M288" s="650"/>
      <c r="N288" s="650"/>
      <c r="O288" s="650"/>
      <c r="P288" s="650"/>
      <c r="Q288" s="650"/>
      <c r="R288" s="650"/>
      <c r="S288" s="650"/>
      <c r="T288" s="650"/>
      <c r="U288" s="650"/>
      <c r="V288" s="650"/>
      <c r="W288" s="650"/>
      <c r="X288" s="650"/>
      <c r="Y288" s="650"/>
      <c r="Z288" s="650"/>
      <c r="AA288" s="650"/>
      <c r="AB288" s="650"/>
      <c r="AC288" s="650"/>
      <c r="AD288" s="650"/>
      <c r="AE288" s="650"/>
      <c r="AF288" s="650"/>
      <c r="AG288" s="650"/>
      <c r="AH288" s="650"/>
      <c r="AI288" s="650"/>
      <c r="AJ288" s="650"/>
      <c r="AK288" s="650"/>
      <c r="AL288" s="650"/>
      <c r="AM288" s="650"/>
      <c r="AN288" s="650"/>
      <c r="AO288" s="650"/>
      <c r="AP288" s="650"/>
      <c r="AQ288" s="650"/>
      <c r="AR288" s="650"/>
      <c r="AS288" s="650"/>
      <c r="AT288" s="650"/>
      <c r="AU288" s="650"/>
      <c r="AV288" s="650"/>
      <c r="AW288" s="650"/>
      <c r="AX288" s="650"/>
      <c r="AY288" s="650"/>
    </row>
    <row r="289" ht="21.75" customHeight="1">
      <c r="A289" s="650"/>
      <c r="B289" s="650"/>
      <c r="C289" s="650"/>
      <c r="D289" s="650"/>
      <c r="E289" s="650"/>
      <c r="F289" s="650"/>
      <c r="G289" s="650"/>
      <c r="H289" s="650"/>
      <c r="I289" s="650"/>
      <c r="J289" s="650"/>
      <c r="K289" s="650"/>
      <c r="L289" s="650"/>
      <c r="M289" s="650"/>
      <c r="N289" s="650"/>
      <c r="O289" s="650"/>
      <c r="P289" s="650"/>
      <c r="Q289" s="650"/>
      <c r="R289" s="650"/>
      <c r="S289" s="650"/>
      <c r="T289" s="650"/>
      <c r="U289" s="650"/>
      <c r="V289" s="650"/>
      <c r="W289" s="650"/>
      <c r="X289" s="650"/>
      <c r="Y289" s="650"/>
      <c r="Z289" s="650"/>
      <c r="AA289" s="650"/>
      <c r="AB289" s="650"/>
      <c r="AC289" s="650"/>
      <c r="AD289" s="650"/>
      <c r="AE289" s="650"/>
      <c r="AF289" s="650"/>
      <c r="AG289" s="650"/>
      <c r="AH289" s="650"/>
      <c r="AI289" s="650"/>
      <c r="AJ289" s="650"/>
      <c r="AK289" s="650"/>
      <c r="AL289" s="650"/>
      <c r="AM289" s="650"/>
      <c r="AN289" s="650"/>
      <c r="AO289" s="650"/>
      <c r="AP289" s="650"/>
      <c r="AQ289" s="650"/>
      <c r="AR289" s="650"/>
      <c r="AS289" s="650"/>
      <c r="AT289" s="650"/>
      <c r="AU289" s="650"/>
      <c r="AV289" s="650"/>
      <c r="AW289" s="650"/>
      <c r="AX289" s="650"/>
      <c r="AY289" s="650"/>
    </row>
    <row r="290" ht="21.75" customHeight="1">
      <c r="A290" s="650"/>
      <c r="B290" s="650"/>
      <c r="C290" s="650"/>
      <c r="D290" s="650"/>
      <c r="E290" s="650"/>
      <c r="F290" s="650"/>
      <c r="G290" s="650"/>
      <c r="H290" s="650"/>
      <c r="I290" s="650"/>
      <c r="J290" s="650"/>
      <c r="K290" s="650"/>
      <c r="L290" s="650"/>
      <c r="M290" s="650"/>
      <c r="N290" s="650"/>
      <c r="O290" s="650"/>
      <c r="P290" s="650"/>
      <c r="Q290" s="650"/>
      <c r="R290" s="650"/>
      <c r="S290" s="650"/>
      <c r="T290" s="650"/>
      <c r="U290" s="650"/>
      <c r="V290" s="650"/>
      <c r="W290" s="650"/>
      <c r="X290" s="650"/>
      <c r="Y290" s="650"/>
      <c r="Z290" s="650"/>
      <c r="AA290" s="650"/>
      <c r="AB290" s="650"/>
      <c r="AC290" s="650"/>
      <c r="AD290" s="650"/>
      <c r="AE290" s="650"/>
      <c r="AF290" s="650"/>
      <c r="AG290" s="650"/>
      <c r="AH290" s="650"/>
      <c r="AI290" s="650"/>
      <c r="AJ290" s="650"/>
      <c r="AK290" s="650"/>
      <c r="AL290" s="650"/>
      <c r="AM290" s="650"/>
      <c r="AN290" s="650"/>
      <c r="AO290" s="650"/>
      <c r="AP290" s="650"/>
      <c r="AQ290" s="650"/>
      <c r="AR290" s="650"/>
      <c r="AS290" s="650"/>
      <c r="AT290" s="650"/>
      <c r="AU290" s="650"/>
      <c r="AV290" s="650"/>
      <c r="AW290" s="650"/>
      <c r="AX290" s="650"/>
      <c r="AY290" s="650"/>
    </row>
    <row r="291" ht="21.75" customHeight="1">
      <c r="A291" s="650"/>
      <c r="B291" s="650"/>
      <c r="C291" s="650"/>
      <c r="D291" s="650"/>
      <c r="E291" s="650"/>
      <c r="F291" s="650"/>
      <c r="G291" s="650"/>
      <c r="H291" s="650"/>
      <c r="I291" s="650"/>
      <c r="J291" s="650"/>
      <c r="K291" s="650"/>
      <c r="L291" s="650"/>
      <c r="M291" s="650"/>
      <c r="N291" s="650"/>
      <c r="O291" s="650"/>
      <c r="P291" s="650"/>
      <c r="Q291" s="650"/>
      <c r="R291" s="650"/>
      <c r="S291" s="650"/>
      <c r="T291" s="650"/>
      <c r="U291" s="650"/>
      <c r="V291" s="650"/>
      <c r="W291" s="650"/>
      <c r="X291" s="650"/>
      <c r="Y291" s="650"/>
      <c r="Z291" s="650"/>
      <c r="AA291" s="650"/>
      <c r="AB291" s="650"/>
      <c r="AC291" s="650"/>
      <c r="AD291" s="650"/>
      <c r="AE291" s="650"/>
      <c r="AF291" s="650"/>
      <c r="AG291" s="650"/>
      <c r="AH291" s="650"/>
      <c r="AI291" s="650"/>
      <c r="AJ291" s="650"/>
      <c r="AK291" s="650"/>
      <c r="AL291" s="650"/>
      <c r="AM291" s="650"/>
      <c r="AN291" s="650"/>
      <c r="AO291" s="650"/>
      <c r="AP291" s="650"/>
      <c r="AQ291" s="650"/>
      <c r="AR291" s="650"/>
      <c r="AS291" s="650"/>
      <c r="AT291" s="650"/>
      <c r="AU291" s="650"/>
      <c r="AV291" s="650"/>
      <c r="AW291" s="650"/>
      <c r="AX291" s="650"/>
      <c r="AY291" s="650"/>
    </row>
    <row r="292" ht="21.75" customHeight="1">
      <c r="A292" s="650"/>
      <c r="B292" s="650"/>
      <c r="C292" s="650"/>
      <c r="D292" s="650"/>
      <c r="E292" s="650"/>
      <c r="F292" s="650"/>
      <c r="G292" s="650"/>
      <c r="H292" s="650"/>
      <c r="I292" s="650"/>
      <c r="J292" s="650"/>
      <c r="K292" s="650"/>
      <c r="L292" s="650"/>
      <c r="M292" s="650"/>
      <c r="N292" s="650"/>
      <c r="O292" s="650"/>
      <c r="P292" s="650"/>
      <c r="Q292" s="650"/>
      <c r="R292" s="650"/>
      <c r="S292" s="650"/>
      <c r="T292" s="650"/>
      <c r="U292" s="650"/>
      <c r="V292" s="650"/>
      <c r="W292" s="650"/>
      <c r="X292" s="650"/>
      <c r="Y292" s="650"/>
      <c r="Z292" s="650"/>
      <c r="AA292" s="650"/>
      <c r="AB292" s="650"/>
      <c r="AC292" s="650"/>
      <c r="AD292" s="650"/>
      <c r="AE292" s="650"/>
      <c r="AF292" s="650"/>
      <c r="AG292" s="650"/>
      <c r="AH292" s="650"/>
      <c r="AI292" s="650"/>
      <c r="AJ292" s="650"/>
      <c r="AK292" s="650"/>
      <c r="AL292" s="650"/>
      <c r="AM292" s="650"/>
      <c r="AN292" s="650"/>
      <c r="AO292" s="650"/>
      <c r="AP292" s="650"/>
      <c r="AQ292" s="650"/>
      <c r="AR292" s="650"/>
      <c r="AS292" s="650"/>
      <c r="AT292" s="650"/>
      <c r="AU292" s="650"/>
      <c r="AV292" s="650"/>
      <c r="AW292" s="650"/>
      <c r="AX292" s="650"/>
      <c r="AY292" s="650"/>
    </row>
    <row r="293" ht="21.75" customHeight="1">
      <c r="A293" s="650"/>
      <c r="B293" s="650"/>
      <c r="C293" s="650"/>
      <c r="D293" s="650"/>
      <c r="E293" s="650"/>
      <c r="F293" s="650"/>
      <c r="G293" s="650"/>
      <c r="H293" s="650"/>
      <c r="I293" s="650"/>
      <c r="J293" s="650"/>
      <c r="K293" s="650"/>
      <c r="L293" s="650"/>
      <c r="M293" s="650"/>
      <c r="N293" s="650"/>
      <c r="O293" s="650"/>
      <c r="P293" s="650"/>
      <c r="Q293" s="650"/>
      <c r="R293" s="650"/>
      <c r="S293" s="650"/>
      <c r="T293" s="650"/>
      <c r="U293" s="650"/>
      <c r="V293" s="650"/>
      <c r="W293" s="650"/>
      <c r="X293" s="650"/>
      <c r="Y293" s="650"/>
      <c r="Z293" s="650"/>
      <c r="AA293" s="650"/>
      <c r="AB293" s="650"/>
      <c r="AC293" s="650"/>
      <c r="AD293" s="650"/>
      <c r="AE293" s="650"/>
      <c r="AF293" s="650"/>
      <c r="AG293" s="650"/>
      <c r="AH293" s="650"/>
      <c r="AI293" s="650"/>
      <c r="AJ293" s="650"/>
      <c r="AK293" s="650"/>
      <c r="AL293" s="650"/>
      <c r="AM293" s="650"/>
      <c r="AN293" s="650"/>
      <c r="AO293" s="650"/>
      <c r="AP293" s="650"/>
      <c r="AQ293" s="650"/>
      <c r="AR293" s="650"/>
      <c r="AS293" s="650"/>
      <c r="AT293" s="650"/>
      <c r="AU293" s="650"/>
      <c r="AV293" s="650"/>
      <c r="AW293" s="650"/>
      <c r="AX293" s="650"/>
      <c r="AY293" s="650"/>
    </row>
    <row r="294" ht="21.75" customHeight="1">
      <c r="A294" s="650"/>
      <c r="B294" s="650"/>
      <c r="C294" s="650"/>
      <c r="D294" s="650"/>
      <c r="E294" s="650"/>
      <c r="F294" s="650"/>
      <c r="G294" s="650"/>
      <c r="H294" s="650"/>
      <c r="I294" s="650"/>
      <c r="J294" s="650"/>
      <c r="K294" s="650"/>
      <c r="L294" s="650"/>
      <c r="M294" s="650"/>
      <c r="N294" s="650"/>
      <c r="O294" s="650"/>
      <c r="P294" s="650"/>
      <c r="Q294" s="650"/>
      <c r="R294" s="650"/>
      <c r="S294" s="650"/>
      <c r="T294" s="650"/>
      <c r="U294" s="650"/>
      <c r="V294" s="650"/>
      <c r="W294" s="650"/>
      <c r="X294" s="650"/>
      <c r="Y294" s="650"/>
      <c r="Z294" s="650"/>
      <c r="AA294" s="650"/>
      <c r="AB294" s="650"/>
      <c r="AC294" s="650"/>
      <c r="AD294" s="650"/>
      <c r="AE294" s="650"/>
      <c r="AF294" s="650"/>
      <c r="AG294" s="650"/>
      <c r="AH294" s="650"/>
      <c r="AI294" s="650"/>
      <c r="AJ294" s="650"/>
      <c r="AK294" s="650"/>
      <c r="AL294" s="650"/>
      <c r="AM294" s="650"/>
      <c r="AN294" s="650"/>
      <c r="AO294" s="650"/>
      <c r="AP294" s="650"/>
      <c r="AQ294" s="650"/>
      <c r="AR294" s="650"/>
      <c r="AS294" s="650"/>
      <c r="AT294" s="650"/>
      <c r="AU294" s="650"/>
      <c r="AV294" s="650"/>
      <c r="AW294" s="650"/>
      <c r="AX294" s="650"/>
      <c r="AY294" s="650"/>
    </row>
    <row r="295" ht="21.75" customHeight="1">
      <c r="A295" s="650"/>
      <c r="B295" s="650"/>
      <c r="C295" s="650"/>
      <c r="D295" s="650"/>
      <c r="E295" s="650"/>
      <c r="F295" s="650"/>
      <c r="G295" s="650"/>
      <c r="H295" s="650"/>
      <c r="I295" s="650"/>
      <c r="J295" s="650"/>
      <c r="K295" s="650"/>
      <c r="L295" s="650"/>
      <c r="M295" s="650"/>
      <c r="N295" s="650"/>
      <c r="O295" s="650"/>
      <c r="P295" s="650"/>
      <c r="Q295" s="650"/>
      <c r="R295" s="650"/>
      <c r="S295" s="650"/>
      <c r="T295" s="650"/>
      <c r="U295" s="650"/>
      <c r="V295" s="650"/>
      <c r="W295" s="650"/>
      <c r="X295" s="650"/>
      <c r="Y295" s="650"/>
      <c r="Z295" s="650"/>
      <c r="AA295" s="650"/>
      <c r="AB295" s="650"/>
      <c r="AC295" s="650"/>
      <c r="AD295" s="650"/>
      <c r="AE295" s="650"/>
      <c r="AF295" s="650"/>
      <c r="AG295" s="650"/>
      <c r="AH295" s="650"/>
      <c r="AI295" s="650"/>
      <c r="AJ295" s="650"/>
      <c r="AK295" s="650"/>
      <c r="AL295" s="650"/>
      <c r="AM295" s="650"/>
      <c r="AN295" s="650"/>
      <c r="AO295" s="650"/>
      <c r="AP295" s="650"/>
      <c r="AQ295" s="650"/>
      <c r="AR295" s="650"/>
      <c r="AS295" s="650"/>
      <c r="AT295" s="650"/>
      <c r="AU295" s="650"/>
      <c r="AV295" s="650"/>
      <c r="AW295" s="650"/>
      <c r="AX295" s="650"/>
      <c r="AY295" s="650"/>
    </row>
    <row r="296" ht="21.75" customHeight="1">
      <c r="A296" s="650"/>
      <c r="B296" s="650"/>
      <c r="C296" s="650"/>
      <c r="D296" s="650"/>
      <c r="E296" s="650"/>
      <c r="F296" s="650"/>
      <c r="G296" s="650"/>
      <c r="H296" s="650"/>
      <c r="I296" s="650"/>
      <c r="J296" s="650"/>
      <c r="K296" s="650"/>
      <c r="L296" s="650"/>
      <c r="M296" s="650"/>
      <c r="N296" s="650"/>
      <c r="O296" s="650"/>
      <c r="P296" s="650"/>
      <c r="Q296" s="650"/>
      <c r="R296" s="650"/>
      <c r="S296" s="650"/>
      <c r="T296" s="650"/>
      <c r="U296" s="650"/>
      <c r="V296" s="650"/>
      <c r="W296" s="650"/>
      <c r="X296" s="650"/>
      <c r="Y296" s="650"/>
      <c r="Z296" s="650"/>
      <c r="AA296" s="650"/>
      <c r="AB296" s="650"/>
      <c r="AC296" s="650"/>
      <c r="AD296" s="650"/>
      <c r="AE296" s="650"/>
      <c r="AF296" s="650"/>
      <c r="AG296" s="650"/>
      <c r="AH296" s="650"/>
      <c r="AI296" s="650"/>
      <c r="AJ296" s="650"/>
      <c r="AK296" s="650"/>
      <c r="AL296" s="650"/>
      <c r="AM296" s="650"/>
      <c r="AN296" s="650"/>
      <c r="AO296" s="650"/>
      <c r="AP296" s="650"/>
      <c r="AQ296" s="650"/>
      <c r="AR296" s="650"/>
      <c r="AS296" s="650"/>
      <c r="AT296" s="650"/>
      <c r="AU296" s="650"/>
      <c r="AV296" s="650"/>
      <c r="AW296" s="650"/>
      <c r="AX296" s="650"/>
      <c r="AY296" s="650"/>
    </row>
    <row r="297" ht="21.75" customHeight="1">
      <c r="A297" s="650"/>
      <c r="B297" s="650"/>
      <c r="C297" s="650"/>
      <c r="D297" s="650"/>
      <c r="E297" s="650"/>
      <c r="F297" s="650"/>
      <c r="G297" s="650"/>
      <c r="H297" s="650"/>
      <c r="I297" s="650"/>
      <c r="J297" s="650"/>
      <c r="K297" s="650"/>
      <c r="L297" s="650"/>
      <c r="M297" s="650"/>
      <c r="N297" s="650"/>
      <c r="O297" s="650"/>
      <c r="P297" s="650"/>
      <c r="Q297" s="650"/>
      <c r="R297" s="650"/>
      <c r="S297" s="650"/>
      <c r="T297" s="650"/>
      <c r="U297" s="650"/>
      <c r="V297" s="650"/>
      <c r="W297" s="650"/>
      <c r="X297" s="650"/>
      <c r="Y297" s="650"/>
      <c r="Z297" s="650"/>
      <c r="AA297" s="650"/>
      <c r="AB297" s="650"/>
      <c r="AC297" s="650"/>
      <c r="AD297" s="650"/>
      <c r="AE297" s="650"/>
      <c r="AF297" s="650"/>
      <c r="AG297" s="650"/>
      <c r="AH297" s="650"/>
      <c r="AI297" s="650"/>
      <c r="AJ297" s="650"/>
      <c r="AK297" s="650"/>
      <c r="AL297" s="650"/>
      <c r="AM297" s="650"/>
      <c r="AN297" s="650"/>
      <c r="AO297" s="650"/>
      <c r="AP297" s="650"/>
      <c r="AQ297" s="650"/>
      <c r="AR297" s="650"/>
      <c r="AS297" s="650"/>
      <c r="AT297" s="650"/>
      <c r="AU297" s="650"/>
      <c r="AV297" s="650"/>
      <c r="AW297" s="650"/>
      <c r="AX297" s="650"/>
      <c r="AY297" s="650"/>
    </row>
    <row r="298" ht="21.75" customHeight="1">
      <c r="A298" s="650"/>
      <c r="B298" s="650"/>
      <c r="C298" s="650"/>
      <c r="D298" s="650"/>
      <c r="E298" s="650"/>
      <c r="F298" s="650"/>
      <c r="G298" s="650"/>
      <c r="H298" s="650"/>
      <c r="I298" s="650"/>
      <c r="J298" s="650"/>
      <c r="K298" s="650"/>
      <c r="L298" s="650"/>
      <c r="M298" s="650"/>
      <c r="N298" s="650"/>
      <c r="O298" s="650"/>
      <c r="P298" s="650"/>
      <c r="Q298" s="650"/>
      <c r="R298" s="650"/>
      <c r="S298" s="650"/>
      <c r="T298" s="650"/>
      <c r="U298" s="650"/>
      <c r="V298" s="650"/>
      <c r="W298" s="650"/>
      <c r="X298" s="650"/>
      <c r="Y298" s="650"/>
      <c r="Z298" s="650"/>
      <c r="AA298" s="650"/>
      <c r="AB298" s="650"/>
      <c r="AC298" s="650"/>
      <c r="AD298" s="650"/>
      <c r="AE298" s="650"/>
      <c r="AF298" s="650"/>
      <c r="AG298" s="650"/>
      <c r="AH298" s="650"/>
      <c r="AI298" s="650"/>
      <c r="AJ298" s="650"/>
      <c r="AK298" s="650"/>
      <c r="AL298" s="650"/>
      <c r="AM298" s="650"/>
      <c r="AN298" s="650"/>
      <c r="AO298" s="650"/>
      <c r="AP298" s="650"/>
      <c r="AQ298" s="650"/>
      <c r="AR298" s="650"/>
      <c r="AS298" s="650"/>
      <c r="AT298" s="650"/>
      <c r="AU298" s="650"/>
      <c r="AV298" s="650"/>
      <c r="AW298" s="650"/>
      <c r="AX298" s="650"/>
      <c r="AY298" s="650"/>
    </row>
    <row r="299" ht="21.75" customHeight="1">
      <c r="A299" s="650"/>
      <c r="B299" s="650"/>
      <c r="C299" s="650"/>
      <c r="D299" s="650"/>
      <c r="E299" s="650"/>
      <c r="F299" s="650"/>
      <c r="G299" s="650"/>
      <c r="H299" s="650"/>
      <c r="I299" s="650"/>
      <c r="J299" s="650"/>
      <c r="K299" s="650"/>
      <c r="L299" s="650"/>
      <c r="M299" s="650"/>
      <c r="N299" s="650"/>
      <c r="O299" s="650"/>
      <c r="P299" s="650"/>
      <c r="Q299" s="650"/>
      <c r="R299" s="650"/>
      <c r="S299" s="650"/>
      <c r="T299" s="650"/>
      <c r="U299" s="650"/>
      <c r="V299" s="650"/>
      <c r="W299" s="650"/>
      <c r="X299" s="650"/>
      <c r="Y299" s="650"/>
      <c r="Z299" s="650"/>
      <c r="AA299" s="650"/>
      <c r="AB299" s="650"/>
      <c r="AC299" s="650"/>
      <c r="AD299" s="650"/>
      <c r="AE299" s="650"/>
      <c r="AF299" s="650"/>
      <c r="AG299" s="650"/>
      <c r="AH299" s="650"/>
      <c r="AI299" s="650"/>
      <c r="AJ299" s="650"/>
      <c r="AK299" s="650"/>
      <c r="AL299" s="650"/>
      <c r="AM299" s="650"/>
      <c r="AN299" s="650"/>
      <c r="AO299" s="650"/>
      <c r="AP299" s="650"/>
      <c r="AQ299" s="650"/>
      <c r="AR299" s="650"/>
      <c r="AS299" s="650"/>
      <c r="AT299" s="650"/>
      <c r="AU299" s="650"/>
      <c r="AV299" s="650"/>
      <c r="AW299" s="650"/>
      <c r="AX299" s="650"/>
      <c r="AY299" s="650"/>
    </row>
    <row r="300" ht="21.75" customHeight="1">
      <c r="A300" s="650"/>
      <c r="B300" s="650"/>
      <c r="C300" s="650"/>
      <c r="D300" s="650"/>
      <c r="E300" s="650"/>
      <c r="F300" s="650"/>
      <c r="G300" s="650"/>
      <c r="H300" s="650"/>
      <c r="I300" s="650"/>
      <c r="J300" s="650"/>
      <c r="K300" s="650"/>
      <c r="L300" s="650"/>
      <c r="M300" s="650"/>
      <c r="N300" s="650"/>
      <c r="O300" s="650"/>
      <c r="P300" s="650"/>
      <c r="Q300" s="650"/>
      <c r="R300" s="650"/>
      <c r="S300" s="650"/>
      <c r="T300" s="650"/>
      <c r="U300" s="650"/>
      <c r="V300" s="650"/>
      <c r="W300" s="650"/>
      <c r="X300" s="650"/>
      <c r="Y300" s="650"/>
      <c r="Z300" s="650"/>
      <c r="AA300" s="650"/>
      <c r="AB300" s="650"/>
      <c r="AC300" s="650"/>
      <c r="AD300" s="650"/>
      <c r="AE300" s="650"/>
      <c r="AF300" s="650"/>
      <c r="AG300" s="650"/>
      <c r="AH300" s="650"/>
      <c r="AI300" s="650"/>
      <c r="AJ300" s="650"/>
      <c r="AK300" s="650"/>
      <c r="AL300" s="650"/>
      <c r="AM300" s="650"/>
      <c r="AN300" s="650"/>
      <c r="AO300" s="650"/>
      <c r="AP300" s="650"/>
      <c r="AQ300" s="650"/>
      <c r="AR300" s="650"/>
      <c r="AS300" s="650"/>
      <c r="AT300" s="650"/>
      <c r="AU300" s="650"/>
      <c r="AV300" s="650"/>
      <c r="AW300" s="650"/>
      <c r="AX300" s="650"/>
      <c r="AY300" s="650"/>
    </row>
    <row r="301" ht="21.75" customHeight="1">
      <c r="A301" s="650"/>
      <c r="B301" s="650"/>
      <c r="C301" s="650"/>
      <c r="D301" s="650"/>
      <c r="E301" s="650"/>
      <c r="F301" s="650"/>
      <c r="G301" s="650"/>
      <c r="H301" s="650"/>
      <c r="I301" s="650"/>
      <c r="J301" s="650"/>
      <c r="K301" s="650"/>
      <c r="L301" s="650"/>
      <c r="M301" s="650"/>
      <c r="N301" s="650"/>
      <c r="O301" s="650"/>
      <c r="P301" s="650"/>
      <c r="Q301" s="650"/>
      <c r="R301" s="650"/>
      <c r="S301" s="650"/>
      <c r="T301" s="650"/>
      <c r="U301" s="650"/>
      <c r="V301" s="650"/>
      <c r="W301" s="650"/>
      <c r="X301" s="650"/>
      <c r="Y301" s="650"/>
      <c r="Z301" s="650"/>
      <c r="AA301" s="650"/>
      <c r="AB301" s="650"/>
      <c r="AC301" s="650"/>
      <c r="AD301" s="650"/>
      <c r="AE301" s="650"/>
      <c r="AF301" s="650"/>
      <c r="AG301" s="650"/>
      <c r="AH301" s="650"/>
      <c r="AI301" s="650"/>
      <c r="AJ301" s="650"/>
      <c r="AK301" s="650"/>
      <c r="AL301" s="650"/>
      <c r="AM301" s="650"/>
      <c r="AN301" s="650"/>
      <c r="AO301" s="650"/>
      <c r="AP301" s="650"/>
      <c r="AQ301" s="650"/>
      <c r="AR301" s="650"/>
      <c r="AS301" s="650"/>
      <c r="AT301" s="650"/>
      <c r="AU301" s="650"/>
      <c r="AV301" s="650"/>
      <c r="AW301" s="650"/>
      <c r="AX301" s="650"/>
      <c r="AY301" s="650"/>
    </row>
    <row r="302" ht="21.75" customHeight="1">
      <c r="A302" s="650"/>
      <c r="B302" s="650"/>
      <c r="C302" s="650"/>
      <c r="D302" s="650"/>
      <c r="E302" s="650"/>
      <c r="F302" s="650"/>
      <c r="G302" s="650"/>
      <c r="H302" s="650"/>
      <c r="I302" s="650"/>
      <c r="J302" s="650"/>
      <c r="K302" s="650"/>
      <c r="L302" s="650"/>
      <c r="M302" s="650"/>
      <c r="N302" s="650"/>
      <c r="O302" s="650"/>
      <c r="P302" s="650"/>
      <c r="Q302" s="650"/>
      <c r="R302" s="650"/>
      <c r="S302" s="650"/>
      <c r="T302" s="650"/>
      <c r="U302" s="650"/>
      <c r="V302" s="650"/>
      <c r="W302" s="650"/>
      <c r="X302" s="650"/>
      <c r="Y302" s="650"/>
      <c r="Z302" s="650"/>
      <c r="AA302" s="650"/>
      <c r="AB302" s="650"/>
      <c r="AC302" s="650"/>
      <c r="AD302" s="650"/>
      <c r="AE302" s="650"/>
      <c r="AF302" s="650"/>
      <c r="AG302" s="650"/>
      <c r="AH302" s="650"/>
      <c r="AI302" s="650"/>
      <c r="AJ302" s="650"/>
      <c r="AK302" s="650"/>
      <c r="AL302" s="650"/>
      <c r="AM302" s="650"/>
      <c r="AN302" s="650"/>
      <c r="AO302" s="650"/>
      <c r="AP302" s="650"/>
      <c r="AQ302" s="650"/>
      <c r="AR302" s="650"/>
      <c r="AS302" s="650"/>
      <c r="AT302" s="650"/>
      <c r="AU302" s="650"/>
      <c r="AV302" s="650"/>
      <c r="AW302" s="650"/>
      <c r="AX302" s="650"/>
      <c r="AY302" s="650"/>
    </row>
    <row r="303" ht="21.75" customHeight="1">
      <c r="A303" s="650"/>
      <c r="B303" s="650"/>
      <c r="C303" s="650"/>
      <c r="D303" s="650"/>
      <c r="E303" s="650"/>
      <c r="F303" s="650"/>
      <c r="G303" s="650"/>
      <c r="H303" s="650"/>
      <c r="I303" s="650"/>
      <c r="J303" s="650"/>
      <c r="K303" s="650"/>
      <c r="L303" s="650"/>
      <c r="M303" s="650"/>
      <c r="N303" s="650"/>
      <c r="O303" s="650"/>
      <c r="P303" s="650"/>
      <c r="Q303" s="650"/>
      <c r="R303" s="650"/>
      <c r="S303" s="650"/>
      <c r="T303" s="650"/>
      <c r="U303" s="650"/>
      <c r="V303" s="650"/>
      <c r="W303" s="650"/>
      <c r="X303" s="650"/>
      <c r="Y303" s="650"/>
      <c r="Z303" s="650"/>
      <c r="AA303" s="650"/>
      <c r="AB303" s="650"/>
      <c r="AC303" s="650"/>
      <c r="AD303" s="650"/>
      <c r="AE303" s="650"/>
      <c r="AF303" s="650"/>
      <c r="AG303" s="650"/>
      <c r="AH303" s="650"/>
      <c r="AI303" s="650"/>
      <c r="AJ303" s="650"/>
      <c r="AK303" s="650"/>
      <c r="AL303" s="650"/>
      <c r="AM303" s="650"/>
      <c r="AN303" s="650"/>
      <c r="AO303" s="650"/>
      <c r="AP303" s="650"/>
      <c r="AQ303" s="650"/>
      <c r="AR303" s="650"/>
      <c r="AS303" s="650"/>
      <c r="AT303" s="650"/>
      <c r="AU303" s="650"/>
      <c r="AV303" s="650"/>
      <c r="AW303" s="650"/>
      <c r="AX303" s="650"/>
      <c r="AY303" s="650"/>
    </row>
    <row r="304" ht="21.75" customHeight="1">
      <c r="A304" s="650"/>
      <c r="B304" s="650"/>
      <c r="C304" s="650"/>
      <c r="D304" s="650"/>
      <c r="E304" s="650"/>
      <c r="F304" s="650"/>
      <c r="G304" s="650"/>
      <c r="H304" s="650"/>
      <c r="I304" s="650"/>
      <c r="J304" s="650"/>
      <c r="K304" s="650"/>
      <c r="L304" s="650"/>
      <c r="M304" s="650"/>
      <c r="N304" s="650"/>
      <c r="O304" s="650"/>
      <c r="P304" s="650"/>
      <c r="Q304" s="650"/>
      <c r="R304" s="650"/>
      <c r="S304" s="650"/>
      <c r="T304" s="650"/>
      <c r="U304" s="650"/>
      <c r="V304" s="650"/>
      <c r="W304" s="650"/>
      <c r="X304" s="650"/>
      <c r="Y304" s="650"/>
      <c r="Z304" s="650"/>
      <c r="AA304" s="650"/>
      <c r="AB304" s="650"/>
      <c r="AC304" s="650"/>
      <c r="AD304" s="650"/>
      <c r="AE304" s="650"/>
      <c r="AF304" s="650"/>
      <c r="AG304" s="650"/>
      <c r="AH304" s="650"/>
      <c r="AI304" s="650"/>
      <c r="AJ304" s="650"/>
      <c r="AK304" s="650"/>
      <c r="AL304" s="650"/>
      <c r="AM304" s="650"/>
      <c r="AN304" s="650"/>
      <c r="AO304" s="650"/>
      <c r="AP304" s="650"/>
      <c r="AQ304" s="650"/>
      <c r="AR304" s="650"/>
      <c r="AS304" s="650"/>
      <c r="AT304" s="650"/>
      <c r="AU304" s="650"/>
      <c r="AV304" s="650"/>
      <c r="AW304" s="650"/>
      <c r="AX304" s="650"/>
      <c r="AY304" s="650"/>
    </row>
    <row r="305" ht="21.75" customHeight="1">
      <c r="A305" s="650"/>
      <c r="B305" s="650"/>
      <c r="C305" s="650"/>
      <c r="D305" s="650"/>
      <c r="E305" s="650"/>
      <c r="F305" s="650"/>
      <c r="G305" s="650"/>
      <c r="H305" s="650"/>
      <c r="I305" s="650"/>
      <c r="J305" s="650"/>
      <c r="K305" s="650"/>
      <c r="L305" s="650"/>
      <c r="M305" s="650"/>
      <c r="N305" s="650"/>
      <c r="O305" s="650"/>
      <c r="P305" s="650"/>
      <c r="Q305" s="650"/>
      <c r="R305" s="650"/>
      <c r="S305" s="650"/>
      <c r="T305" s="650"/>
      <c r="U305" s="650"/>
      <c r="V305" s="650"/>
      <c r="W305" s="650"/>
      <c r="X305" s="650"/>
      <c r="Y305" s="650"/>
      <c r="Z305" s="650"/>
      <c r="AA305" s="650"/>
      <c r="AB305" s="650"/>
      <c r="AC305" s="650"/>
      <c r="AD305" s="650"/>
      <c r="AE305" s="650"/>
      <c r="AF305" s="650"/>
      <c r="AG305" s="650"/>
      <c r="AH305" s="650"/>
      <c r="AI305" s="650"/>
      <c r="AJ305" s="650"/>
      <c r="AK305" s="650"/>
      <c r="AL305" s="650"/>
      <c r="AM305" s="650"/>
      <c r="AN305" s="650"/>
      <c r="AO305" s="650"/>
      <c r="AP305" s="650"/>
      <c r="AQ305" s="650"/>
      <c r="AR305" s="650"/>
      <c r="AS305" s="650"/>
      <c r="AT305" s="650"/>
      <c r="AU305" s="650"/>
      <c r="AV305" s="650"/>
      <c r="AW305" s="650"/>
      <c r="AX305" s="650"/>
      <c r="AY305" s="650"/>
    </row>
    <row r="306" ht="21.75" customHeight="1">
      <c r="A306" s="650"/>
      <c r="B306" s="650"/>
      <c r="C306" s="650"/>
      <c r="D306" s="650"/>
      <c r="E306" s="650"/>
      <c r="F306" s="650"/>
      <c r="G306" s="650"/>
      <c r="H306" s="650"/>
      <c r="I306" s="650"/>
      <c r="J306" s="650"/>
      <c r="K306" s="650"/>
      <c r="L306" s="650"/>
      <c r="M306" s="650"/>
      <c r="N306" s="650"/>
      <c r="O306" s="650"/>
      <c r="P306" s="650"/>
      <c r="Q306" s="650"/>
      <c r="R306" s="650"/>
      <c r="S306" s="650"/>
      <c r="T306" s="650"/>
      <c r="U306" s="650"/>
      <c r="V306" s="650"/>
      <c r="W306" s="650"/>
      <c r="X306" s="650"/>
      <c r="Y306" s="650"/>
      <c r="Z306" s="650"/>
      <c r="AA306" s="650"/>
      <c r="AB306" s="650"/>
      <c r="AC306" s="650"/>
      <c r="AD306" s="650"/>
      <c r="AE306" s="650"/>
      <c r="AF306" s="650"/>
      <c r="AG306" s="650"/>
      <c r="AH306" s="650"/>
      <c r="AI306" s="650"/>
      <c r="AJ306" s="650"/>
      <c r="AK306" s="650"/>
      <c r="AL306" s="650"/>
      <c r="AM306" s="650"/>
      <c r="AN306" s="650"/>
      <c r="AO306" s="650"/>
      <c r="AP306" s="650"/>
      <c r="AQ306" s="650"/>
      <c r="AR306" s="650"/>
      <c r="AS306" s="650"/>
      <c r="AT306" s="650"/>
      <c r="AU306" s="650"/>
      <c r="AV306" s="650"/>
      <c r="AW306" s="650"/>
      <c r="AX306" s="650"/>
      <c r="AY306" s="650"/>
    </row>
    <row r="307" ht="21.75" customHeight="1">
      <c r="A307" s="650"/>
      <c r="B307" s="650"/>
      <c r="C307" s="650"/>
      <c r="D307" s="650"/>
      <c r="E307" s="650"/>
      <c r="F307" s="650"/>
      <c r="G307" s="650"/>
      <c r="H307" s="650"/>
      <c r="I307" s="650"/>
      <c r="J307" s="650"/>
      <c r="K307" s="650"/>
      <c r="L307" s="650"/>
      <c r="M307" s="650"/>
      <c r="N307" s="650"/>
      <c r="O307" s="650"/>
      <c r="P307" s="650"/>
      <c r="Q307" s="650"/>
      <c r="R307" s="650"/>
      <c r="S307" s="650"/>
      <c r="T307" s="650"/>
      <c r="U307" s="650"/>
      <c r="V307" s="650"/>
      <c r="W307" s="650"/>
      <c r="X307" s="650"/>
      <c r="Y307" s="650"/>
      <c r="Z307" s="650"/>
      <c r="AA307" s="650"/>
      <c r="AB307" s="650"/>
      <c r="AC307" s="650"/>
      <c r="AD307" s="650"/>
      <c r="AE307" s="650"/>
      <c r="AF307" s="650"/>
      <c r="AG307" s="650"/>
      <c r="AH307" s="650"/>
      <c r="AI307" s="650"/>
      <c r="AJ307" s="650"/>
      <c r="AK307" s="650"/>
      <c r="AL307" s="650"/>
      <c r="AM307" s="650"/>
      <c r="AN307" s="650"/>
      <c r="AO307" s="650"/>
      <c r="AP307" s="650"/>
      <c r="AQ307" s="650"/>
      <c r="AR307" s="650"/>
      <c r="AS307" s="650"/>
      <c r="AT307" s="650"/>
      <c r="AU307" s="650"/>
      <c r="AV307" s="650"/>
      <c r="AW307" s="650"/>
      <c r="AX307" s="650"/>
      <c r="AY307" s="650"/>
    </row>
    <row r="308" ht="21.75" customHeight="1">
      <c r="A308" s="650"/>
      <c r="B308" s="650"/>
      <c r="C308" s="650"/>
      <c r="D308" s="650"/>
      <c r="E308" s="650"/>
      <c r="F308" s="650"/>
      <c r="G308" s="650"/>
      <c r="H308" s="650"/>
      <c r="I308" s="650"/>
      <c r="J308" s="650"/>
      <c r="K308" s="650"/>
      <c r="L308" s="650"/>
      <c r="M308" s="650"/>
      <c r="N308" s="650"/>
      <c r="O308" s="650"/>
      <c r="P308" s="650"/>
      <c r="Q308" s="650"/>
      <c r="R308" s="650"/>
      <c r="S308" s="650"/>
      <c r="T308" s="650"/>
      <c r="U308" s="650"/>
      <c r="V308" s="650"/>
      <c r="W308" s="650"/>
      <c r="X308" s="650"/>
      <c r="Y308" s="650"/>
      <c r="Z308" s="650"/>
      <c r="AA308" s="650"/>
      <c r="AB308" s="650"/>
      <c r="AC308" s="650"/>
      <c r="AD308" s="650"/>
      <c r="AE308" s="650"/>
      <c r="AF308" s="650"/>
      <c r="AG308" s="650"/>
      <c r="AH308" s="650"/>
      <c r="AI308" s="650"/>
      <c r="AJ308" s="650"/>
      <c r="AK308" s="650"/>
      <c r="AL308" s="650"/>
      <c r="AM308" s="650"/>
      <c r="AN308" s="650"/>
      <c r="AO308" s="650"/>
      <c r="AP308" s="650"/>
      <c r="AQ308" s="650"/>
      <c r="AR308" s="650"/>
      <c r="AS308" s="650"/>
      <c r="AT308" s="650"/>
      <c r="AU308" s="650"/>
      <c r="AV308" s="650"/>
      <c r="AW308" s="650"/>
      <c r="AX308" s="650"/>
      <c r="AY308" s="650"/>
    </row>
    <row r="309" ht="21.75" customHeight="1">
      <c r="A309" s="650"/>
      <c r="B309" s="650"/>
      <c r="C309" s="650"/>
      <c r="D309" s="650"/>
      <c r="E309" s="650"/>
      <c r="F309" s="650"/>
      <c r="G309" s="650"/>
      <c r="H309" s="650"/>
      <c r="I309" s="650"/>
      <c r="J309" s="650"/>
      <c r="K309" s="650"/>
      <c r="L309" s="650"/>
      <c r="M309" s="650"/>
      <c r="N309" s="650"/>
      <c r="O309" s="650"/>
      <c r="P309" s="650"/>
      <c r="Q309" s="650"/>
      <c r="R309" s="650"/>
      <c r="S309" s="650"/>
      <c r="T309" s="650"/>
      <c r="U309" s="650"/>
      <c r="V309" s="650"/>
      <c r="W309" s="650"/>
      <c r="X309" s="650"/>
      <c r="Y309" s="650"/>
      <c r="Z309" s="650"/>
      <c r="AA309" s="650"/>
      <c r="AB309" s="650"/>
      <c r="AC309" s="650"/>
      <c r="AD309" s="650"/>
      <c r="AE309" s="650"/>
      <c r="AF309" s="650"/>
      <c r="AG309" s="650"/>
      <c r="AH309" s="650"/>
      <c r="AI309" s="650"/>
      <c r="AJ309" s="650"/>
      <c r="AK309" s="650"/>
      <c r="AL309" s="650"/>
      <c r="AM309" s="650"/>
      <c r="AN309" s="650"/>
      <c r="AO309" s="650"/>
      <c r="AP309" s="650"/>
      <c r="AQ309" s="650"/>
      <c r="AR309" s="650"/>
      <c r="AS309" s="650"/>
      <c r="AT309" s="650"/>
      <c r="AU309" s="650"/>
      <c r="AV309" s="650"/>
      <c r="AW309" s="650"/>
      <c r="AX309" s="650"/>
      <c r="AY309" s="650"/>
    </row>
    <row r="310" ht="21.75" customHeight="1">
      <c r="A310" s="650"/>
      <c r="B310" s="650"/>
      <c r="C310" s="650"/>
      <c r="D310" s="650"/>
      <c r="E310" s="650"/>
      <c r="F310" s="650"/>
      <c r="G310" s="650"/>
      <c r="H310" s="650"/>
      <c r="I310" s="650"/>
      <c r="J310" s="650"/>
      <c r="K310" s="650"/>
      <c r="L310" s="650"/>
      <c r="M310" s="650"/>
      <c r="N310" s="650"/>
      <c r="O310" s="650"/>
      <c r="P310" s="650"/>
      <c r="Q310" s="650"/>
      <c r="R310" s="650"/>
      <c r="S310" s="650"/>
      <c r="T310" s="650"/>
      <c r="U310" s="650"/>
      <c r="V310" s="650"/>
      <c r="W310" s="650"/>
      <c r="X310" s="650"/>
      <c r="Y310" s="650"/>
      <c r="Z310" s="650"/>
      <c r="AA310" s="650"/>
      <c r="AB310" s="650"/>
      <c r="AC310" s="650"/>
      <c r="AD310" s="650"/>
      <c r="AE310" s="650"/>
      <c r="AF310" s="650"/>
      <c r="AG310" s="650"/>
      <c r="AH310" s="650"/>
      <c r="AI310" s="650"/>
      <c r="AJ310" s="650"/>
      <c r="AK310" s="650"/>
      <c r="AL310" s="650"/>
      <c r="AM310" s="650"/>
      <c r="AN310" s="650"/>
      <c r="AO310" s="650"/>
      <c r="AP310" s="650"/>
      <c r="AQ310" s="650"/>
      <c r="AR310" s="650"/>
      <c r="AS310" s="650"/>
      <c r="AT310" s="650"/>
      <c r="AU310" s="650"/>
      <c r="AV310" s="650"/>
      <c r="AW310" s="650"/>
      <c r="AX310" s="650"/>
      <c r="AY310" s="650"/>
    </row>
    <row r="311" ht="21.75" customHeight="1">
      <c r="A311" s="650"/>
      <c r="B311" s="650"/>
      <c r="C311" s="650"/>
      <c r="D311" s="650"/>
      <c r="E311" s="650"/>
      <c r="F311" s="650"/>
      <c r="G311" s="650"/>
      <c r="H311" s="650"/>
      <c r="I311" s="650"/>
      <c r="J311" s="650"/>
      <c r="K311" s="650"/>
      <c r="L311" s="650"/>
      <c r="M311" s="650"/>
      <c r="N311" s="650"/>
      <c r="O311" s="650"/>
      <c r="P311" s="650"/>
      <c r="Q311" s="650"/>
      <c r="R311" s="650"/>
      <c r="S311" s="650"/>
      <c r="T311" s="650"/>
      <c r="U311" s="650"/>
      <c r="V311" s="650"/>
      <c r="W311" s="650"/>
      <c r="X311" s="650"/>
      <c r="Y311" s="650"/>
      <c r="Z311" s="650"/>
      <c r="AA311" s="650"/>
      <c r="AB311" s="650"/>
      <c r="AC311" s="650"/>
      <c r="AD311" s="650"/>
      <c r="AE311" s="650"/>
      <c r="AF311" s="650"/>
      <c r="AG311" s="650"/>
      <c r="AH311" s="650"/>
      <c r="AI311" s="650"/>
      <c r="AJ311" s="650"/>
      <c r="AK311" s="650"/>
      <c r="AL311" s="650"/>
      <c r="AM311" s="650"/>
      <c r="AN311" s="650"/>
      <c r="AO311" s="650"/>
      <c r="AP311" s="650"/>
      <c r="AQ311" s="650"/>
      <c r="AR311" s="650"/>
      <c r="AS311" s="650"/>
      <c r="AT311" s="650"/>
      <c r="AU311" s="650"/>
      <c r="AV311" s="650"/>
      <c r="AW311" s="650"/>
      <c r="AX311" s="650"/>
      <c r="AY311" s="650"/>
    </row>
    <row r="312" ht="21.75" customHeight="1">
      <c r="A312" s="650"/>
      <c r="B312" s="650"/>
      <c r="C312" s="650"/>
      <c r="D312" s="650"/>
      <c r="E312" s="650"/>
      <c r="F312" s="650"/>
      <c r="G312" s="650"/>
      <c r="H312" s="650"/>
      <c r="I312" s="650"/>
      <c r="J312" s="650"/>
      <c r="K312" s="650"/>
      <c r="L312" s="650"/>
      <c r="M312" s="650"/>
      <c r="N312" s="650"/>
      <c r="O312" s="650"/>
      <c r="P312" s="650"/>
      <c r="Q312" s="650"/>
      <c r="R312" s="650"/>
      <c r="S312" s="650"/>
      <c r="T312" s="650"/>
      <c r="U312" s="650"/>
      <c r="V312" s="650"/>
      <c r="W312" s="650"/>
      <c r="X312" s="650"/>
      <c r="Y312" s="650"/>
      <c r="Z312" s="650"/>
      <c r="AA312" s="650"/>
      <c r="AB312" s="650"/>
      <c r="AC312" s="650"/>
      <c r="AD312" s="650"/>
      <c r="AE312" s="650"/>
      <c r="AF312" s="650"/>
      <c r="AG312" s="650"/>
      <c r="AH312" s="650"/>
      <c r="AI312" s="650"/>
      <c r="AJ312" s="650"/>
      <c r="AK312" s="650"/>
      <c r="AL312" s="650"/>
      <c r="AM312" s="650"/>
      <c r="AN312" s="650"/>
      <c r="AO312" s="650"/>
      <c r="AP312" s="650"/>
      <c r="AQ312" s="650"/>
      <c r="AR312" s="650"/>
      <c r="AS312" s="650"/>
      <c r="AT312" s="650"/>
      <c r="AU312" s="650"/>
      <c r="AV312" s="650"/>
      <c r="AW312" s="650"/>
      <c r="AX312" s="650"/>
      <c r="AY312" s="650"/>
    </row>
    <row r="313" ht="21.75" customHeight="1">
      <c r="A313" s="650"/>
      <c r="B313" s="650"/>
      <c r="C313" s="650"/>
      <c r="D313" s="650"/>
      <c r="E313" s="650"/>
      <c r="F313" s="650"/>
      <c r="G313" s="650"/>
      <c r="H313" s="650"/>
      <c r="I313" s="650"/>
      <c r="J313" s="650"/>
      <c r="K313" s="650"/>
      <c r="L313" s="650"/>
      <c r="M313" s="650"/>
      <c r="N313" s="650"/>
      <c r="O313" s="650"/>
      <c r="P313" s="650"/>
      <c r="Q313" s="650"/>
      <c r="R313" s="650"/>
      <c r="S313" s="650"/>
      <c r="T313" s="650"/>
      <c r="U313" s="650"/>
      <c r="V313" s="650"/>
      <c r="W313" s="650"/>
      <c r="X313" s="650"/>
      <c r="Y313" s="650"/>
      <c r="Z313" s="650"/>
      <c r="AA313" s="650"/>
      <c r="AB313" s="650"/>
      <c r="AC313" s="650"/>
      <c r="AD313" s="650"/>
      <c r="AE313" s="650"/>
      <c r="AF313" s="650"/>
      <c r="AG313" s="650"/>
      <c r="AH313" s="650"/>
      <c r="AI313" s="650"/>
      <c r="AJ313" s="650"/>
      <c r="AK313" s="650"/>
      <c r="AL313" s="650"/>
      <c r="AM313" s="650"/>
      <c r="AN313" s="650"/>
      <c r="AO313" s="650"/>
      <c r="AP313" s="650"/>
      <c r="AQ313" s="650"/>
      <c r="AR313" s="650"/>
      <c r="AS313" s="650"/>
      <c r="AT313" s="650"/>
      <c r="AU313" s="650"/>
      <c r="AV313" s="650"/>
      <c r="AW313" s="650"/>
      <c r="AX313" s="650"/>
      <c r="AY313" s="650"/>
    </row>
    <row r="314" ht="21.75" customHeight="1">
      <c r="A314" s="650"/>
      <c r="B314" s="650"/>
      <c r="C314" s="650"/>
      <c r="D314" s="650"/>
      <c r="E314" s="650"/>
      <c r="F314" s="650"/>
      <c r="G314" s="650"/>
      <c r="H314" s="650"/>
      <c r="I314" s="650"/>
      <c r="J314" s="650"/>
      <c r="K314" s="650"/>
      <c r="L314" s="650"/>
      <c r="M314" s="650"/>
      <c r="N314" s="650"/>
      <c r="O314" s="650"/>
      <c r="P314" s="650"/>
      <c r="Q314" s="650"/>
      <c r="R314" s="650"/>
      <c r="S314" s="650"/>
      <c r="T314" s="650"/>
      <c r="U314" s="650"/>
      <c r="V314" s="650"/>
      <c r="W314" s="650"/>
      <c r="X314" s="650"/>
      <c r="Y314" s="650"/>
      <c r="Z314" s="650"/>
      <c r="AA314" s="650"/>
      <c r="AB314" s="650"/>
      <c r="AC314" s="650"/>
      <c r="AD314" s="650"/>
      <c r="AE314" s="650"/>
      <c r="AF314" s="650"/>
      <c r="AG314" s="650"/>
      <c r="AH314" s="650"/>
      <c r="AI314" s="650"/>
      <c r="AJ314" s="650"/>
      <c r="AK314" s="650"/>
      <c r="AL314" s="650"/>
      <c r="AM314" s="650"/>
      <c r="AN314" s="650"/>
      <c r="AO314" s="650"/>
      <c r="AP314" s="650"/>
      <c r="AQ314" s="650"/>
      <c r="AR314" s="650"/>
      <c r="AS314" s="650"/>
      <c r="AT314" s="650"/>
      <c r="AU314" s="650"/>
      <c r="AV314" s="650"/>
      <c r="AW314" s="650"/>
      <c r="AX314" s="650"/>
      <c r="AY314" s="650"/>
    </row>
    <row r="315" ht="21.75" customHeight="1">
      <c r="A315" s="650"/>
      <c r="B315" s="650"/>
      <c r="C315" s="650"/>
      <c r="D315" s="650"/>
      <c r="E315" s="650"/>
      <c r="F315" s="650"/>
      <c r="G315" s="650"/>
      <c r="H315" s="650"/>
      <c r="I315" s="650"/>
      <c r="J315" s="650"/>
      <c r="K315" s="650"/>
      <c r="L315" s="650"/>
      <c r="M315" s="650"/>
      <c r="N315" s="650"/>
      <c r="O315" s="650"/>
      <c r="P315" s="650"/>
      <c r="Q315" s="650"/>
      <c r="R315" s="650"/>
      <c r="S315" s="650"/>
      <c r="T315" s="650"/>
      <c r="U315" s="650"/>
      <c r="V315" s="650"/>
      <c r="W315" s="650"/>
      <c r="X315" s="650"/>
      <c r="Y315" s="650"/>
      <c r="Z315" s="650"/>
      <c r="AA315" s="650"/>
      <c r="AB315" s="650"/>
      <c r="AC315" s="650"/>
      <c r="AD315" s="650"/>
      <c r="AE315" s="650"/>
      <c r="AF315" s="650"/>
      <c r="AG315" s="650"/>
      <c r="AH315" s="650"/>
      <c r="AI315" s="650"/>
      <c r="AJ315" s="650"/>
      <c r="AK315" s="650"/>
      <c r="AL315" s="650"/>
      <c r="AM315" s="650"/>
      <c r="AN315" s="650"/>
      <c r="AO315" s="650"/>
      <c r="AP315" s="650"/>
      <c r="AQ315" s="650"/>
      <c r="AR315" s="650"/>
      <c r="AS315" s="650"/>
      <c r="AT315" s="650"/>
      <c r="AU315" s="650"/>
      <c r="AV315" s="650"/>
      <c r="AW315" s="650"/>
      <c r="AX315" s="650"/>
      <c r="AY315" s="650"/>
    </row>
    <row r="316" ht="21.75" customHeight="1">
      <c r="A316" s="650"/>
      <c r="B316" s="650"/>
      <c r="C316" s="650"/>
      <c r="D316" s="650"/>
      <c r="E316" s="650"/>
      <c r="F316" s="650"/>
      <c r="G316" s="650"/>
      <c r="H316" s="650"/>
      <c r="I316" s="650"/>
      <c r="J316" s="650"/>
      <c r="K316" s="650"/>
      <c r="L316" s="650"/>
      <c r="M316" s="650"/>
      <c r="N316" s="650"/>
      <c r="O316" s="650"/>
      <c r="P316" s="650"/>
      <c r="Q316" s="650"/>
      <c r="R316" s="650"/>
      <c r="S316" s="650"/>
      <c r="T316" s="650"/>
      <c r="U316" s="650"/>
      <c r="V316" s="650"/>
      <c r="W316" s="650"/>
      <c r="X316" s="650"/>
      <c r="Y316" s="650"/>
      <c r="Z316" s="650"/>
      <c r="AA316" s="650"/>
      <c r="AB316" s="650"/>
      <c r="AC316" s="650"/>
      <c r="AD316" s="650"/>
      <c r="AE316" s="650"/>
      <c r="AF316" s="650"/>
      <c r="AG316" s="650"/>
      <c r="AH316" s="650"/>
      <c r="AI316" s="650"/>
      <c r="AJ316" s="650"/>
      <c r="AK316" s="650"/>
      <c r="AL316" s="650"/>
      <c r="AM316" s="650"/>
      <c r="AN316" s="650"/>
      <c r="AO316" s="650"/>
      <c r="AP316" s="650"/>
      <c r="AQ316" s="650"/>
      <c r="AR316" s="650"/>
      <c r="AS316" s="650"/>
      <c r="AT316" s="650"/>
      <c r="AU316" s="650"/>
      <c r="AV316" s="650"/>
      <c r="AW316" s="650"/>
      <c r="AX316" s="650"/>
      <c r="AY316" s="650"/>
    </row>
    <row r="317" ht="21.75" customHeight="1">
      <c r="A317" s="650"/>
      <c r="B317" s="650"/>
      <c r="C317" s="650"/>
      <c r="D317" s="650"/>
      <c r="E317" s="650"/>
      <c r="F317" s="650"/>
      <c r="G317" s="650"/>
      <c r="H317" s="650"/>
      <c r="I317" s="650"/>
      <c r="J317" s="650"/>
      <c r="K317" s="650"/>
      <c r="L317" s="650"/>
      <c r="M317" s="650"/>
      <c r="N317" s="650"/>
      <c r="O317" s="650"/>
      <c r="P317" s="650"/>
      <c r="Q317" s="650"/>
      <c r="R317" s="650"/>
      <c r="S317" s="650"/>
      <c r="T317" s="650"/>
      <c r="U317" s="650"/>
      <c r="V317" s="650"/>
      <c r="W317" s="650"/>
      <c r="X317" s="650"/>
      <c r="Y317" s="650"/>
      <c r="Z317" s="650"/>
      <c r="AA317" s="650"/>
      <c r="AB317" s="650"/>
      <c r="AC317" s="650"/>
      <c r="AD317" s="650"/>
      <c r="AE317" s="650"/>
      <c r="AF317" s="650"/>
      <c r="AG317" s="650"/>
      <c r="AH317" s="650"/>
      <c r="AI317" s="650"/>
      <c r="AJ317" s="650"/>
      <c r="AK317" s="650"/>
      <c r="AL317" s="650"/>
      <c r="AM317" s="650"/>
      <c r="AN317" s="650"/>
      <c r="AO317" s="650"/>
      <c r="AP317" s="650"/>
      <c r="AQ317" s="650"/>
      <c r="AR317" s="650"/>
      <c r="AS317" s="650"/>
      <c r="AT317" s="650"/>
      <c r="AU317" s="650"/>
      <c r="AV317" s="650"/>
      <c r="AW317" s="650"/>
      <c r="AX317" s="650"/>
      <c r="AY317" s="650"/>
    </row>
    <row r="318" ht="21.75" customHeight="1">
      <c r="A318" s="650"/>
      <c r="B318" s="650"/>
      <c r="C318" s="650"/>
      <c r="D318" s="650"/>
      <c r="E318" s="650"/>
      <c r="F318" s="650"/>
      <c r="G318" s="650"/>
      <c r="H318" s="650"/>
      <c r="I318" s="650"/>
      <c r="J318" s="650"/>
      <c r="K318" s="650"/>
      <c r="L318" s="650"/>
      <c r="M318" s="650"/>
      <c r="N318" s="650"/>
      <c r="O318" s="650"/>
      <c r="P318" s="650"/>
      <c r="Q318" s="650"/>
      <c r="R318" s="650"/>
      <c r="S318" s="650"/>
      <c r="T318" s="650"/>
      <c r="U318" s="650"/>
      <c r="V318" s="650"/>
      <c r="W318" s="650"/>
      <c r="X318" s="650"/>
      <c r="Y318" s="650"/>
      <c r="Z318" s="650"/>
      <c r="AA318" s="650"/>
      <c r="AB318" s="650"/>
      <c r="AC318" s="650"/>
      <c r="AD318" s="650"/>
      <c r="AE318" s="650"/>
      <c r="AF318" s="650"/>
      <c r="AG318" s="650"/>
      <c r="AH318" s="650"/>
      <c r="AI318" s="650"/>
      <c r="AJ318" s="650"/>
      <c r="AK318" s="650"/>
      <c r="AL318" s="650"/>
      <c r="AM318" s="650"/>
      <c r="AN318" s="650"/>
      <c r="AO318" s="650"/>
      <c r="AP318" s="650"/>
      <c r="AQ318" s="650"/>
      <c r="AR318" s="650"/>
      <c r="AS318" s="650"/>
      <c r="AT318" s="650"/>
      <c r="AU318" s="650"/>
      <c r="AV318" s="650"/>
      <c r="AW318" s="650"/>
      <c r="AX318" s="650"/>
      <c r="AY318" s="650"/>
    </row>
    <row r="319" ht="21.75" customHeight="1">
      <c r="A319" s="650"/>
      <c r="B319" s="650"/>
      <c r="C319" s="650"/>
      <c r="D319" s="650"/>
      <c r="E319" s="650"/>
      <c r="F319" s="650"/>
      <c r="G319" s="650"/>
      <c r="H319" s="650"/>
      <c r="I319" s="650"/>
      <c r="J319" s="650"/>
      <c r="K319" s="650"/>
      <c r="L319" s="650"/>
      <c r="M319" s="650"/>
      <c r="N319" s="650"/>
      <c r="O319" s="650"/>
      <c r="P319" s="650"/>
      <c r="Q319" s="650"/>
      <c r="R319" s="650"/>
      <c r="S319" s="650"/>
      <c r="T319" s="650"/>
      <c r="U319" s="650"/>
      <c r="V319" s="650"/>
      <c r="W319" s="650"/>
      <c r="X319" s="650"/>
      <c r="Y319" s="650"/>
      <c r="Z319" s="650"/>
      <c r="AA319" s="650"/>
      <c r="AB319" s="650"/>
      <c r="AC319" s="650"/>
      <c r="AD319" s="650"/>
      <c r="AE319" s="650"/>
      <c r="AF319" s="650"/>
      <c r="AG319" s="650"/>
      <c r="AH319" s="650"/>
      <c r="AI319" s="650"/>
      <c r="AJ319" s="650"/>
      <c r="AK319" s="650"/>
      <c r="AL319" s="650"/>
      <c r="AM319" s="650"/>
      <c r="AN319" s="650"/>
      <c r="AO319" s="650"/>
      <c r="AP319" s="650"/>
      <c r="AQ319" s="650"/>
      <c r="AR319" s="650"/>
      <c r="AS319" s="650"/>
      <c r="AT319" s="650"/>
      <c r="AU319" s="650"/>
      <c r="AV319" s="650"/>
      <c r="AW319" s="650"/>
      <c r="AX319" s="650"/>
      <c r="AY319" s="650"/>
    </row>
    <row r="320" ht="21.75" customHeight="1">
      <c r="A320" s="650"/>
      <c r="B320" s="650"/>
      <c r="C320" s="650"/>
      <c r="D320" s="650"/>
      <c r="E320" s="650"/>
      <c r="F320" s="650"/>
      <c r="G320" s="650"/>
      <c r="H320" s="650"/>
      <c r="I320" s="650"/>
      <c r="J320" s="650"/>
      <c r="K320" s="650"/>
      <c r="L320" s="650"/>
      <c r="M320" s="650"/>
      <c r="N320" s="650"/>
      <c r="O320" s="650"/>
      <c r="P320" s="650"/>
      <c r="Q320" s="650"/>
      <c r="R320" s="650"/>
      <c r="S320" s="650"/>
      <c r="T320" s="650"/>
      <c r="U320" s="650"/>
      <c r="V320" s="650"/>
      <c r="W320" s="650"/>
      <c r="X320" s="650"/>
      <c r="Y320" s="650"/>
      <c r="Z320" s="650"/>
      <c r="AA320" s="650"/>
      <c r="AB320" s="650"/>
      <c r="AC320" s="650"/>
      <c r="AD320" s="650"/>
      <c r="AE320" s="650"/>
      <c r="AF320" s="650"/>
      <c r="AG320" s="650"/>
      <c r="AH320" s="650"/>
      <c r="AI320" s="650"/>
      <c r="AJ320" s="650"/>
      <c r="AK320" s="650"/>
      <c r="AL320" s="650"/>
      <c r="AM320" s="650"/>
      <c r="AN320" s="650"/>
      <c r="AO320" s="650"/>
      <c r="AP320" s="650"/>
      <c r="AQ320" s="650"/>
      <c r="AR320" s="650"/>
      <c r="AS320" s="650"/>
      <c r="AT320" s="650"/>
      <c r="AU320" s="650"/>
      <c r="AV320" s="650"/>
      <c r="AW320" s="650"/>
      <c r="AX320" s="650"/>
      <c r="AY320" s="650"/>
    </row>
    <row r="321" ht="21.75" customHeight="1">
      <c r="A321" s="650"/>
      <c r="B321" s="650"/>
      <c r="C321" s="650"/>
      <c r="D321" s="650"/>
      <c r="E321" s="650"/>
      <c r="F321" s="650"/>
      <c r="G321" s="650"/>
      <c r="H321" s="650"/>
      <c r="I321" s="650"/>
      <c r="J321" s="650"/>
      <c r="K321" s="650"/>
      <c r="L321" s="650"/>
      <c r="M321" s="650"/>
      <c r="N321" s="650"/>
      <c r="O321" s="650"/>
      <c r="P321" s="650"/>
      <c r="Q321" s="650"/>
      <c r="R321" s="650"/>
      <c r="S321" s="650"/>
      <c r="T321" s="650"/>
      <c r="U321" s="650"/>
      <c r="V321" s="650"/>
      <c r="W321" s="650"/>
      <c r="X321" s="650"/>
      <c r="Y321" s="650"/>
      <c r="Z321" s="650"/>
      <c r="AA321" s="650"/>
      <c r="AB321" s="650"/>
      <c r="AC321" s="650"/>
      <c r="AD321" s="650"/>
      <c r="AE321" s="650"/>
      <c r="AF321" s="650"/>
      <c r="AG321" s="650"/>
      <c r="AH321" s="650"/>
      <c r="AI321" s="650"/>
      <c r="AJ321" s="650"/>
      <c r="AK321" s="650"/>
      <c r="AL321" s="650"/>
      <c r="AM321" s="650"/>
      <c r="AN321" s="650"/>
      <c r="AO321" s="650"/>
      <c r="AP321" s="650"/>
      <c r="AQ321" s="650"/>
      <c r="AR321" s="650"/>
      <c r="AS321" s="650"/>
      <c r="AT321" s="650"/>
      <c r="AU321" s="650"/>
      <c r="AV321" s="650"/>
      <c r="AW321" s="650"/>
      <c r="AX321" s="650"/>
      <c r="AY321" s="650"/>
    </row>
    <row r="322" ht="21.75" customHeight="1">
      <c r="A322" s="650"/>
      <c r="B322" s="650"/>
      <c r="C322" s="650"/>
      <c r="D322" s="650"/>
      <c r="E322" s="650"/>
      <c r="F322" s="650"/>
      <c r="G322" s="650"/>
      <c r="H322" s="650"/>
      <c r="I322" s="650"/>
      <c r="J322" s="650"/>
      <c r="K322" s="650"/>
      <c r="L322" s="650"/>
      <c r="M322" s="650"/>
      <c r="N322" s="650"/>
      <c r="O322" s="650"/>
      <c r="P322" s="650"/>
      <c r="Q322" s="650"/>
      <c r="R322" s="650"/>
      <c r="S322" s="650"/>
      <c r="T322" s="650"/>
      <c r="U322" s="650"/>
      <c r="V322" s="650"/>
      <c r="W322" s="650"/>
      <c r="X322" s="650"/>
      <c r="Y322" s="650"/>
      <c r="Z322" s="650"/>
      <c r="AA322" s="650"/>
      <c r="AB322" s="650"/>
      <c r="AC322" s="650"/>
      <c r="AD322" s="650"/>
      <c r="AE322" s="650"/>
      <c r="AF322" s="650"/>
      <c r="AG322" s="650"/>
      <c r="AH322" s="650"/>
      <c r="AI322" s="650"/>
      <c r="AJ322" s="650"/>
      <c r="AK322" s="650"/>
      <c r="AL322" s="650"/>
      <c r="AM322" s="650"/>
      <c r="AN322" s="650"/>
      <c r="AO322" s="650"/>
      <c r="AP322" s="650"/>
      <c r="AQ322" s="650"/>
      <c r="AR322" s="650"/>
      <c r="AS322" s="650"/>
      <c r="AT322" s="650"/>
      <c r="AU322" s="650"/>
      <c r="AV322" s="650"/>
      <c r="AW322" s="650"/>
      <c r="AX322" s="650"/>
      <c r="AY322" s="650"/>
    </row>
    <row r="323" ht="21.75" customHeight="1">
      <c r="A323" s="650"/>
      <c r="B323" s="650"/>
      <c r="C323" s="650"/>
      <c r="D323" s="650"/>
      <c r="E323" s="650"/>
      <c r="F323" s="650"/>
      <c r="G323" s="650"/>
      <c r="H323" s="650"/>
      <c r="I323" s="650"/>
      <c r="J323" s="650"/>
      <c r="K323" s="650"/>
      <c r="L323" s="650"/>
      <c r="M323" s="650"/>
      <c r="N323" s="650"/>
      <c r="O323" s="650"/>
      <c r="P323" s="650"/>
      <c r="Q323" s="650"/>
      <c r="R323" s="650"/>
      <c r="S323" s="650"/>
      <c r="T323" s="650"/>
      <c r="U323" s="650"/>
      <c r="V323" s="650"/>
      <c r="W323" s="650"/>
      <c r="X323" s="650"/>
      <c r="Y323" s="650"/>
      <c r="Z323" s="650"/>
      <c r="AA323" s="650"/>
      <c r="AB323" s="650"/>
      <c r="AC323" s="650"/>
      <c r="AD323" s="650"/>
      <c r="AE323" s="650"/>
      <c r="AF323" s="650"/>
      <c r="AG323" s="650"/>
      <c r="AH323" s="650"/>
      <c r="AI323" s="650"/>
      <c r="AJ323" s="650"/>
      <c r="AK323" s="650"/>
      <c r="AL323" s="650"/>
      <c r="AM323" s="650"/>
      <c r="AN323" s="650"/>
      <c r="AO323" s="650"/>
      <c r="AP323" s="650"/>
      <c r="AQ323" s="650"/>
      <c r="AR323" s="650"/>
      <c r="AS323" s="650"/>
      <c r="AT323" s="650"/>
      <c r="AU323" s="650"/>
      <c r="AV323" s="650"/>
      <c r="AW323" s="650"/>
      <c r="AX323" s="650"/>
      <c r="AY323" s="650"/>
    </row>
    <row r="324" ht="21.75" customHeight="1">
      <c r="A324" s="650"/>
      <c r="B324" s="650"/>
      <c r="C324" s="650"/>
      <c r="D324" s="650"/>
      <c r="E324" s="650"/>
      <c r="F324" s="650"/>
      <c r="G324" s="650"/>
      <c r="H324" s="650"/>
      <c r="I324" s="650"/>
      <c r="J324" s="650"/>
      <c r="K324" s="650"/>
      <c r="L324" s="650"/>
      <c r="M324" s="650"/>
      <c r="N324" s="650"/>
      <c r="O324" s="650"/>
      <c r="P324" s="650"/>
      <c r="Q324" s="650"/>
      <c r="R324" s="650"/>
      <c r="S324" s="650"/>
      <c r="T324" s="650"/>
      <c r="U324" s="650"/>
      <c r="V324" s="650"/>
      <c r="W324" s="650"/>
      <c r="X324" s="650"/>
      <c r="Y324" s="650"/>
      <c r="Z324" s="650"/>
      <c r="AA324" s="650"/>
      <c r="AB324" s="650"/>
      <c r="AC324" s="650"/>
      <c r="AD324" s="650"/>
      <c r="AE324" s="650"/>
      <c r="AF324" s="650"/>
      <c r="AG324" s="650"/>
      <c r="AH324" s="650"/>
      <c r="AI324" s="650"/>
      <c r="AJ324" s="650"/>
      <c r="AK324" s="650"/>
      <c r="AL324" s="650"/>
      <c r="AM324" s="650"/>
      <c r="AN324" s="650"/>
      <c r="AO324" s="650"/>
      <c r="AP324" s="650"/>
      <c r="AQ324" s="650"/>
      <c r="AR324" s="650"/>
      <c r="AS324" s="650"/>
      <c r="AT324" s="650"/>
      <c r="AU324" s="650"/>
      <c r="AV324" s="650"/>
      <c r="AW324" s="650"/>
      <c r="AX324" s="650"/>
      <c r="AY324" s="650"/>
    </row>
    <row r="325" ht="21.75" customHeight="1">
      <c r="A325" s="650"/>
      <c r="B325" s="650"/>
      <c r="C325" s="650"/>
      <c r="D325" s="650"/>
      <c r="E325" s="650"/>
      <c r="F325" s="650"/>
      <c r="G325" s="650"/>
      <c r="H325" s="650"/>
      <c r="I325" s="650"/>
      <c r="J325" s="650"/>
      <c r="K325" s="650"/>
      <c r="L325" s="650"/>
      <c r="M325" s="650"/>
      <c r="N325" s="650"/>
      <c r="O325" s="650"/>
      <c r="P325" s="650"/>
      <c r="Q325" s="650"/>
      <c r="R325" s="650"/>
      <c r="S325" s="650"/>
      <c r="T325" s="650"/>
      <c r="U325" s="650"/>
      <c r="V325" s="650"/>
      <c r="W325" s="650"/>
      <c r="X325" s="650"/>
      <c r="Y325" s="650"/>
      <c r="Z325" s="650"/>
      <c r="AA325" s="650"/>
      <c r="AB325" s="650"/>
      <c r="AC325" s="650"/>
      <c r="AD325" s="650"/>
      <c r="AE325" s="650"/>
      <c r="AF325" s="650"/>
      <c r="AG325" s="650"/>
      <c r="AH325" s="650"/>
      <c r="AI325" s="650"/>
      <c r="AJ325" s="650"/>
      <c r="AK325" s="650"/>
      <c r="AL325" s="650"/>
      <c r="AM325" s="650"/>
      <c r="AN325" s="650"/>
      <c r="AO325" s="650"/>
      <c r="AP325" s="650"/>
      <c r="AQ325" s="650"/>
      <c r="AR325" s="650"/>
      <c r="AS325" s="650"/>
      <c r="AT325" s="650"/>
      <c r="AU325" s="650"/>
      <c r="AV325" s="650"/>
      <c r="AW325" s="650"/>
      <c r="AX325" s="650"/>
      <c r="AY325" s="650"/>
    </row>
    <row r="326" ht="21.75" customHeight="1">
      <c r="A326" s="650"/>
      <c r="B326" s="650"/>
      <c r="C326" s="650"/>
      <c r="D326" s="650"/>
      <c r="E326" s="650"/>
      <c r="F326" s="650"/>
      <c r="G326" s="650"/>
      <c r="H326" s="650"/>
      <c r="I326" s="650"/>
      <c r="J326" s="650"/>
      <c r="K326" s="650"/>
      <c r="L326" s="650"/>
      <c r="M326" s="650"/>
      <c r="N326" s="650"/>
      <c r="O326" s="650"/>
      <c r="P326" s="650"/>
      <c r="Q326" s="650"/>
      <c r="R326" s="650"/>
      <c r="S326" s="650"/>
      <c r="T326" s="650"/>
      <c r="U326" s="650"/>
      <c r="V326" s="650"/>
      <c r="W326" s="650"/>
      <c r="X326" s="650"/>
      <c r="Y326" s="650"/>
      <c r="Z326" s="650"/>
      <c r="AA326" s="650"/>
      <c r="AB326" s="650"/>
      <c r="AC326" s="650"/>
      <c r="AD326" s="650"/>
      <c r="AE326" s="650"/>
      <c r="AF326" s="650"/>
      <c r="AG326" s="650"/>
      <c r="AH326" s="650"/>
      <c r="AI326" s="650"/>
      <c r="AJ326" s="650"/>
      <c r="AK326" s="650"/>
      <c r="AL326" s="650"/>
      <c r="AM326" s="650"/>
      <c r="AN326" s="650"/>
      <c r="AO326" s="650"/>
      <c r="AP326" s="650"/>
      <c r="AQ326" s="650"/>
      <c r="AR326" s="650"/>
      <c r="AS326" s="650"/>
      <c r="AT326" s="650"/>
      <c r="AU326" s="650"/>
      <c r="AV326" s="650"/>
      <c r="AW326" s="650"/>
      <c r="AX326" s="650"/>
      <c r="AY326" s="650"/>
    </row>
    <row r="327" ht="21.75" customHeight="1">
      <c r="A327" s="650"/>
      <c r="B327" s="650"/>
      <c r="C327" s="650"/>
      <c r="D327" s="650"/>
      <c r="E327" s="650"/>
      <c r="F327" s="650"/>
      <c r="G327" s="650"/>
      <c r="H327" s="650"/>
      <c r="I327" s="650"/>
      <c r="J327" s="650"/>
      <c r="K327" s="650"/>
      <c r="L327" s="650"/>
      <c r="M327" s="650"/>
      <c r="N327" s="650"/>
      <c r="O327" s="650"/>
      <c r="P327" s="650"/>
      <c r="Q327" s="650"/>
      <c r="R327" s="650"/>
      <c r="S327" s="650"/>
      <c r="T327" s="650"/>
      <c r="U327" s="650"/>
      <c r="V327" s="650"/>
      <c r="W327" s="650"/>
      <c r="X327" s="650"/>
      <c r="Y327" s="650"/>
      <c r="Z327" s="650"/>
      <c r="AA327" s="650"/>
      <c r="AB327" s="650"/>
      <c r="AC327" s="650"/>
      <c r="AD327" s="650"/>
      <c r="AE327" s="650"/>
      <c r="AF327" s="650"/>
      <c r="AG327" s="650"/>
      <c r="AH327" s="650"/>
      <c r="AI327" s="650"/>
      <c r="AJ327" s="650"/>
      <c r="AK327" s="650"/>
      <c r="AL327" s="650"/>
      <c r="AM327" s="650"/>
      <c r="AN327" s="650"/>
      <c r="AO327" s="650"/>
      <c r="AP327" s="650"/>
      <c r="AQ327" s="650"/>
      <c r="AR327" s="650"/>
      <c r="AS327" s="650"/>
      <c r="AT327" s="650"/>
      <c r="AU327" s="650"/>
      <c r="AV327" s="650"/>
      <c r="AW327" s="650"/>
      <c r="AX327" s="650"/>
      <c r="AY327" s="650"/>
    </row>
    <row r="328" ht="21.75" customHeight="1">
      <c r="A328" s="650"/>
      <c r="B328" s="650"/>
      <c r="C328" s="650"/>
      <c r="D328" s="650"/>
      <c r="E328" s="650"/>
      <c r="F328" s="650"/>
      <c r="G328" s="650"/>
      <c r="H328" s="650"/>
      <c r="I328" s="650"/>
      <c r="J328" s="650"/>
      <c r="K328" s="650"/>
      <c r="L328" s="650"/>
      <c r="M328" s="650"/>
      <c r="N328" s="650"/>
      <c r="O328" s="650"/>
      <c r="P328" s="650"/>
      <c r="Q328" s="650"/>
      <c r="R328" s="650"/>
      <c r="S328" s="650"/>
      <c r="T328" s="650"/>
      <c r="U328" s="650"/>
      <c r="V328" s="650"/>
      <c r="W328" s="650"/>
      <c r="X328" s="650"/>
      <c r="Y328" s="650"/>
      <c r="Z328" s="650"/>
      <c r="AA328" s="650"/>
      <c r="AB328" s="650"/>
      <c r="AC328" s="650"/>
      <c r="AD328" s="650"/>
      <c r="AE328" s="650"/>
      <c r="AF328" s="650"/>
      <c r="AG328" s="650"/>
      <c r="AH328" s="650"/>
      <c r="AI328" s="650"/>
      <c r="AJ328" s="650"/>
      <c r="AK328" s="650"/>
      <c r="AL328" s="650"/>
      <c r="AM328" s="650"/>
      <c r="AN328" s="650"/>
      <c r="AO328" s="650"/>
      <c r="AP328" s="650"/>
      <c r="AQ328" s="650"/>
      <c r="AR328" s="650"/>
      <c r="AS328" s="650"/>
      <c r="AT328" s="650"/>
      <c r="AU328" s="650"/>
      <c r="AV328" s="650"/>
      <c r="AW328" s="650"/>
      <c r="AX328" s="650"/>
      <c r="AY328" s="650"/>
    </row>
    <row r="329" ht="21.75" customHeight="1">
      <c r="A329" s="650"/>
      <c r="B329" s="650"/>
      <c r="C329" s="650"/>
      <c r="D329" s="650"/>
      <c r="E329" s="650"/>
      <c r="F329" s="650"/>
      <c r="G329" s="650"/>
      <c r="H329" s="650"/>
      <c r="I329" s="650"/>
      <c r="J329" s="650"/>
      <c r="K329" s="650"/>
      <c r="L329" s="650"/>
      <c r="M329" s="650"/>
      <c r="N329" s="650"/>
      <c r="O329" s="650"/>
      <c r="P329" s="650"/>
      <c r="Q329" s="650"/>
      <c r="R329" s="650"/>
      <c r="S329" s="650"/>
      <c r="T329" s="650"/>
      <c r="U329" s="650"/>
      <c r="V329" s="650"/>
      <c r="W329" s="650"/>
      <c r="X329" s="650"/>
      <c r="Y329" s="650"/>
      <c r="Z329" s="650"/>
      <c r="AA329" s="650"/>
      <c r="AB329" s="650"/>
      <c r="AC329" s="650"/>
      <c r="AD329" s="650"/>
      <c r="AE329" s="650"/>
      <c r="AF329" s="650"/>
      <c r="AG329" s="650"/>
      <c r="AH329" s="650"/>
      <c r="AI329" s="650"/>
      <c r="AJ329" s="650"/>
      <c r="AK329" s="650"/>
      <c r="AL329" s="650"/>
      <c r="AM329" s="650"/>
      <c r="AN329" s="650"/>
      <c r="AO329" s="650"/>
      <c r="AP329" s="650"/>
      <c r="AQ329" s="650"/>
      <c r="AR329" s="650"/>
      <c r="AS329" s="650"/>
      <c r="AT329" s="650"/>
      <c r="AU329" s="650"/>
      <c r="AV329" s="650"/>
      <c r="AW329" s="650"/>
      <c r="AX329" s="650"/>
      <c r="AY329" s="650"/>
    </row>
    <row r="330" ht="21.75" customHeight="1">
      <c r="A330" s="650"/>
      <c r="B330" s="650"/>
      <c r="C330" s="650"/>
      <c r="D330" s="650"/>
      <c r="E330" s="650"/>
      <c r="F330" s="650"/>
      <c r="G330" s="650"/>
      <c r="H330" s="650"/>
      <c r="I330" s="650"/>
      <c r="J330" s="650"/>
      <c r="K330" s="650"/>
      <c r="L330" s="650"/>
      <c r="M330" s="650"/>
      <c r="N330" s="650"/>
      <c r="O330" s="650"/>
      <c r="P330" s="650"/>
      <c r="Q330" s="650"/>
      <c r="R330" s="650"/>
      <c r="S330" s="650"/>
      <c r="T330" s="650"/>
      <c r="U330" s="650"/>
      <c r="V330" s="650"/>
      <c r="W330" s="650"/>
      <c r="X330" s="650"/>
      <c r="Y330" s="650"/>
      <c r="Z330" s="650"/>
      <c r="AA330" s="650"/>
      <c r="AB330" s="650"/>
      <c r="AC330" s="650"/>
      <c r="AD330" s="650"/>
      <c r="AE330" s="650"/>
      <c r="AF330" s="650"/>
      <c r="AG330" s="650"/>
      <c r="AH330" s="650"/>
      <c r="AI330" s="650"/>
      <c r="AJ330" s="650"/>
      <c r="AK330" s="650"/>
      <c r="AL330" s="650"/>
      <c r="AM330" s="650"/>
      <c r="AN330" s="650"/>
      <c r="AO330" s="650"/>
      <c r="AP330" s="650"/>
      <c r="AQ330" s="650"/>
      <c r="AR330" s="650"/>
      <c r="AS330" s="650"/>
      <c r="AT330" s="650"/>
      <c r="AU330" s="650"/>
      <c r="AV330" s="650"/>
      <c r="AW330" s="650"/>
      <c r="AX330" s="650"/>
      <c r="AY330" s="650"/>
    </row>
    <row r="331" ht="21.75" customHeight="1">
      <c r="A331" s="650"/>
      <c r="B331" s="650"/>
      <c r="C331" s="650"/>
      <c r="D331" s="650"/>
      <c r="E331" s="650"/>
      <c r="F331" s="650"/>
      <c r="G331" s="650"/>
      <c r="H331" s="650"/>
      <c r="I331" s="650"/>
      <c r="J331" s="650"/>
      <c r="K331" s="650"/>
      <c r="L331" s="650"/>
      <c r="M331" s="650"/>
      <c r="N331" s="650"/>
      <c r="O331" s="650"/>
      <c r="P331" s="650"/>
      <c r="Q331" s="650"/>
      <c r="R331" s="650"/>
      <c r="S331" s="650"/>
      <c r="T331" s="650"/>
      <c r="U331" s="650"/>
      <c r="V331" s="650"/>
      <c r="W331" s="650"/>
      <c r="X331" s="650"/>
      <c r="Y331" s="650"/>
      <c r="Z331" s="650"/>
      <c r="AA331" s="650"/>
      <c r="AB331" s="650"/>
      <c r="AC331" s="650"/>
      <c r="AD331" s="650"/>
      <c r="AE331" s="650"/>
      <c r="AF331" s="650"/>
      <c r="AG331" s="650"/>
      <c r="AH331" s="650"/>
      <c r="AI331" s="650"/>
      <c r="AJ331" s="650"/>
      <c r="AK331" s="650"/>
      <c r="AL331" s="650"/>
      <c r="AM331" s="650"/>
      <c r="AN331" s="650"/>
      <c r="AO331" s="650"/>
      <c r="AP331" s="650"/>
      <c r="AQ331" s="650"/>
      <c r="AR331" s="650"/>
      <c r="AS331" s="650"/>
      <c r="AT331" s="650"/>
      <c r="AU331" s="650"/>
      <c r="AV331" s="650"/>
      <c r="AW331" s="650"/>
      <c r="AX331" s="650"/>
      <c r="AY331" s="650"/>
    </row>
    <row r="332" ht="21.75" customHeight="1">
      <c r="A332" s="650"/>
      <c r="B332" s="650"/>
      <c r="C332" s="650"/>
      <c r="D332" s="650"/>
      <c r="E332" s="650"/>
      <c r="F332" s="650"/>
      <c r="G332" s="650"/>
      <c r="H332" s="650"/>
      <c r="I332" s="650"/>
      <c r="J332" s="650"/>
      <c r="K332" s="650"/>
      <c r="L332" s="650"/>
      <c r="M332" s="650"/>
      <c r="N332" s="650"/>
      <c r="O332" s="650"/>
      <c r="P332" s="650"/>
      <c r="Q332" s="650"/>
      <c r="R332" s="650"/>
      <c r="S332" s="650"/>
      <c r="T332" s="650"/>
      <c r="U332" s="650"/>
      <c r="V332" s="650"/>
      <c r="W332" s="650"/>
      <c r="X332" s="650"/>
      <c r="Y332" s="650"/>
      <c r="Z332" s="650"/>
      <c r="AA332" s="650"/>
      <c r="AB332" s="650"/>
      <c r="AC332" s="650"/>
      <c r="AD332" s="650"/>
      <c r="AE332" s="650"/>
      <c r="AF332" s="650"/>
      <c r="AG332" s="650"/>
      <c r="AH332" s="650"/>
      <c r="AI332" s="650"/>
      <c r="AJ332" s="650"/>
      <c r="AK332" s="650"/>
      <c r="AL332" s="650"/>
      <c r="AM332" s="650"/>
      <c r="AN332" s="650"/>
      <c r="AO332" s="650"/>
      <c r="AP332" s="650"/>
      <c r="AQ332" s="650"/>
      <c r="AR332" s="650"/>
      <c r="AS332" s="650"/>
      <c r="AT332" s="650"/>
      <c r="AU332" s="650"/>
      <c r="AV332" s="650"/>
      <c r="AW332" s="650"/>
      <c r="AX332" s="650"/>
      <c r="AY332" s="650"/>
    </row>
    <row r="333" ht="21.75" customHeight="1">
      <c r="A333" s="650"/>
      <c r="B333" s="650"/>
      <c r="C333" s="650"/>
      <c r="D333" s="650"/>
      <c r="E333" s="650"/>
      <c r="F333" s="650"/>
      <c r="G333" s="650"/>
      <c r="H333" s="650"/>
      <c r="I333" s="650"/>
      <c r="J333" s="650"/>
      <c r="K333" s="650"/>
      <c r="L333" s="650"/>
      <c r="M333" s="650"/>
      <c r="N333" s="650"/>
      <c r="O333" s="650"/>
      <c r="P333" s="650"/>
      <c r="Q333" s="650"/>
      <c r="R333" s="650"/>
      <c r="S333" s="650"/>
      <c r="T333" s="650"/>
      <c r="U333" s="650"/>
      <c r="V333" s="650"/>
      <c r="W333" s="650"/>
      <c r="X333" s="650"/>
      <c r="Y333" s="650"/>
      <c r="Z333" s="650"/>
      <c r="AA333" s="650"/>
      <c r="AB333" s="650"/>
      <c r="AC333" s="650"/>
      <c r="AD333" s="650"/>
      <c r="AE333" s="650"/>
      <c r="AF333" s="650"/>
      <c r="AG333" s="650"/>
      <c r="AH333" s="650"/>
      <c r="AI333" s="650"/>
      <c r="AJ333" s="650"/>
      <c r="AK333" s="650"/>
      <c r="AL333" s="650"/>
      <c r="AM333" s="650"/>
      <c r="AN333" s="650"/>
      <c r="AO333" s="650"/>
      <c r="AP333" s="650"/>
      <c r="AQ333" s="650"/>
      <c r="AR333" s="650"/>
      <c r="AS333" s="650"/>
      <c r="AT333" s="650"/>
      <c r="AU333" s="650"/>
      <c r="AV333" s="650"/>
      <c r="AW333" s="650"/>
      <c r="AX333" s="650"/>
      <c r="AY333" s="650"/>
    </row>
    <row r="334" ht="21.75" customHeight="1">
      <c r="A334" s="650"/>
      <c r="B334" s="650"/>
      <c r="C334" s="650"/>
      <c r="D334" s="650"/>
      <c r="E334" s="650"/>
      <c r="F334" s="650"/>
      <c r="G334" s="650"/>
      <c r="H334" s="650"/>
      <c r="I334" s="650"/>
      <c r="J334" s="650"/>
      <c r="K334" s="650"/>
      <c r="L334" s="650"/>
      <c r="M334" s="650"/>
      <c r="N334" s="650"/>
      <c r="O334" s="650"/>
      <c r="P334" s="650"/>
      <c r="Q334" s="650"/>
      <c r="R334" s="650"/>
      <c r="S334" s="650"/>
      <c r="T334" s="650"/>
      <c r="U334" s="650"/>
      <c r="V334" s="650"/>
      <c r="W334" s="650"/>
      <c r="X334" s="650"/>
      <c r="Y334" s="650"/>
      <c r="Z334" s="650"/>
      <c r="AA334" s="650"/>
      <c r="AB334" s="650"/>
      <c r="AC334" s="650"/>
      <c r="AD334" s="650"/>
      <c r="AE334" s="650"/>
      <c r="AF334" s="650"/>
      <c r="AG334" s="650"/>
      <c r="AH334" s="650"/>
      <c r="AI334" s="650"/>
      <c r="AJ334" s="650"/>
      <c r="AK334" s="650"/>
      <c r="AL334" s="650"/>
      <c r="AM334" s="650"/>
      <c r="AN334" s="650"/>
      <c r="AO334" s="650"/>
      <c r="AP334" s="650"/>
      <c r="AQ334" s="650"/>
      <c r="AR334" s="650"/>
      <c r="AS334" s="650"/>
      <c r="AT334" s="650"/>
      <c r="AU334" s="650"/>
      <c r="AV334" s="650"/>
      <c r="AW334" s="650"/>
      <c r="AX334" s="650"/>
      <c r="AY334" s="650"/>
    </row>
    <row r="335" ht="21.75" customHeight="1">
      <c r="A335" s="650"/>
      <c r="B335" s="650"/>
      <c r="C335" s="650"/>
      <c r="D335" s="650"/>
      <c r="E335" s="650"/>
      <c r="F335" s="650"/>
      <c r="G335" s="650"/>
      <c r="H335" s="650"/>
      <c r="I335" s="650"/>
      <c r="J335" s="650"/>
      <c r="K335" s="650"/>
      <c r="L335" s="650"/>
      <c r="M335" s="650"/>
      <c r="N335" s="650"/>
      <c r="O335" s="650"/>
      <c r="P335" s="650"/>
      <c r="Q335" s="650"/>
      <c r="R335" s="650"/>
      <c r="S335" s="650"/>
      <c r="T335" s="650"/>
      <c r="U335" s="650"/>
      <c r="V335" s="650"/>
      <c r="W335" s="650"/>
      <c r="X335" s="650"/>
      <c r="Y335" s="650"/>
      <c r="Z335" s="650"/>
      <c r="AA335" s="650"/>
      <c r="AB335" s="650"/>
      <c r="AC335" s="650"/>
      <c r="AD335" s="650"/>
      <c r="AE335" s="650"/>
      <c r="AF335" s="650"/>
      <c r="AG335" s="650"/>
      <c r="AH335" s="650"/>
      <c r="AI335" s="650"/>
      <c r="AJ335" s="650"/>
      <c r="AK335" s="650"/>
      <c r="AL335" s="650"/>
      <c r="AM335" s="650"/>
      <c r="AN335" s="650"/>
      <c r="AO335" s="650"/>
      <c r="AP335" s="650"/>
      <c r="AQ335" s="650"/>
      <c r="AR335" s="650"/>
      <c r="AS335" s="650"/>
      <c r="AT335" s="650"/>
      <c r="AU335" s="650"/>
      <c r="AV335" s="650"/>
      <c r="AW335" s="650"/>
      <c r="AX335" s="650"/>
      <c r="AY335" s="650"/>
    </row>
    <row r="336" ht="21.75" customHeight="1">
      <c r="A336" s="650"/>
      <c r="B336" s="650"/>
      <c r="C336" s="650"/>
      <c r="D336" s="650"/>
      <c r="E336" s="650"/>
      <c r="F336" s="650"/>
      <c r="G336" s="650"/>
      <c r="H336" s="650"/>
      <c r="I336" s="650"/>
      <c r="J336" s="650"/>
      <c r="K336" s="650"/>
      <c r="L336" s="650"/>
      <c r="M336" s="650"/>
      <c r="N336" s="650"/>
      <c r="O336" s="650"/>
      <c r="P336" s="650"/>
      <c r="Q336" s="650"/>
      <c r="R336" s="650"/>
      <c r="S336" s="650"/>
      <c r="T336" s="650"/>
      <c r="U336" s="650"/>
      <c r="V336" s="650"/>
      <c r="W336" s="650"/>
      <c r="X336" s="650"/>
      <c r="Y336" s="650"/>
      <c r="Z336" s="650"/>
      <c r="AA336" s="650"/>
      <c r="AB336" s="650"/>
      <c r="AC336" s="650"/>
      <c r="AD336" s="650"/>
      <c r="AE336" s="650"/>
      <c r="AF336" s="650"/>
      <c r="AG336" s="650"/>
      <c r="AH336" s="650"/>
      <c r="AI336" s="650"/>
      <c r="AJ336" s="650"/>
      <c r="AK336" s="650"/>
      <c r="AL336" s="650"/>
      <c r="AM336" s="650"/>
      <c r="AN336" s="650"/>
      <c r="AO336" s="650"/>
      <c r="AP336" s="650"/>
      <c r="AQ336" s="650"/>
      <c r="AR336" s="650"/>
      <c r="AS336" s="650"/>
      <c r="AT336" s="650"/>
      <c r="AU336" s="650"/>
      <c r="AV336" s="650"/>
      <c r="AW336" s="650"/>
      <c r="AX336" s="650"/>
      <c r="AY336" s="650"/>
    </row>
    <row r="337" ht="21.75" customHeight="1">
      <c r="A337" s="650"/>
      <c r="B337" s="650"/>
      <c r="C337" s="650"/>
      <c r="D337" s="650"/>
      <c r="E337" s="650"/>
      <c r="F337" s="650"/>
      <c r="G337" s="650"/>
      <c r="H337" s="650"/>
      <c r="I337" s="650"/>
      <c r="J337" s="650"/>
      <c r="K337" s="650"/>
      <c r="L337" s="650"/>
      <c r="M337" s="650"/>
      <c r="N337" s="650"/>
      <c r="O337" s="650"/>
      <c r="P337" s="650"/>
      <c r="Q337" s="650"/>
      <c r="R337" s="650"/>
      <c r="S337" s="650"/>
      <c r="T337" s="650"/>
      <c r="U337" s="650"/>
      <c r="V337" s="650"/>
      <c r="W337" s="650"/>
      <c r="X337" s="650"/>
      <c r="Y337" s="650"/>
      <c r="Z337" s="650"/>
      <c r="AA337" s="650"/>
      <c r="AB337" s="650"/>
      <c r="AC337" s="650"/>
      <c r="AD337" s="650"/>
      <c r="AE337" s="650"/>
      <c r="AF337" s="650"/>
      <c r="AG337" s="650"/>
      <c r="AH337" s="650"/>
      <c r="AI337" s="650"/>
      <c r="AJ337" s="650"/>
      <c r="AK337" s="650"/>
      <c r="AL337" s="650"/>
      <c r="AM337" s="650"/>
      <c r="AN337" s="650"/>
      <c r="AO337" s="650"/>
      <c r="AP337" s="650"/>
      <c r="AQ337" s="650"/>
      <c r="AR337" s="650"/>
      <c r="AS337" s="650"/>
      <c r="AT337" s="650"/>
      <c r="AU337" s="650"/>
      <c r="AV337" s="650"/>
      <c r="AW337" s="650"/>
      <c r="AX337" s="650"/>
      <c r="AY337" s="650"/>
    </row>
    <row r="338" ht="21.75" customHeight="1">
      <c r="A338" s="650"/>
      <c r="B338" s="650"/>
      <c r="C338" s="650"/>
      <c r="D338" s="650"/>
      <c r="E338" s="650"/>
      <c r="F338" s="650"/>
      <c r="G338" s="650"/>
      <c r="H338" s="650"/>
      <c r="I338" s="650"/>
      <c r="J338" s="650"/>
      <c r="K338" s="650"/>
      <c r="L338" s="650"/>
      <c r="M338" s="650"/>
      <c r="N338" s="650"/>
      <c r="O338" s="650"/>
      <c r="P338" s="650"/>
      <c r="Q338" s="650"/>
      <c r="R338" s="650"/>
      <c r="S338" s="650"/>
      <c r="T338" s="650"/>
      <c r="U338" s="650"/>
      <c r="V338" s="650"/>
      <c r="W338" s="650"/>
      <c r="X338" s="650"/>
      <c r="Y338" s="650"/>
      <c r="Z338" s="650"/>
      <c r="AA338" s="650"/>
      <c r="AB338" s="650"/>
      <c r="AC338" s="650"/>
      <c r="AD338" s="650"/>
      <c r="AE338" s="650"/>
      <c r="AF338" s="650"/>
      <c r="AG338" s="650"/>
      <c r="AH338" s="650"/>
      <c r="AI338" s="650"/>
      <c r="AJ338" s="650"/>
      <c r="AK338" s="650"/>
      <c r="AL338" s="650"/>
      <c r="AM338" s="650"/>
      <c r="AN338" s="650"/>
      <c r="AO338" s="650"/>
      <c r="AP338" s="650"/>
      <c r="AQ338" s="650"/>
      <c r="AR338" s="650"/>
      <c r="AS338" s="650"/>
      <c r="AT338" s="650"/>
      <c r="AU338" s="650"/>
      <c r="AV338" s="650"/>
      <c r="AW338" s="650"/>
      <c r="AX338" s="650"/>
      <c r="AY338" s="650"/>
    </row>
    <row r="339" ht="21.75" customHeight="1">
      <c r="A339" s="650"/>
      <c r="B339" s="650"/>
      <c r="C339" s="650"/>
      <c r="D339" s="650"/>
      <c r="E339" s="650"/>
      <c r="F339" s="650"/>
      <c r="G339" s="650"/>
      <c r="H339" s="650"/>
      <c r="I339" s="650"/>
      <c r="J339" s="650"/>
      <c r="K339" s="650"/>
      <c r="L339" s="650"/>
      <c r="M339" s="650"/>
      <c r="N339" s="650"/>
      <c r="O339" s="650"/>
      <c r="P339" s="650"/>
      <c r="Q339" s="650"/>
      <c r="R339" s="650"/>
      <c r="S339" s="650"/>
      <c r="T339" s="650"/>
      <c r="U339" s="650"/>
      <c r="V339" s="650"/>
      <c r="W339" s="650"/>
      <c r="X339" s="650"/>
      <c r="Y339" s="650"/>
      <c r="Z339" s="650"/>
      <c r="AA339" s="650"/>
      <c r="AB339" s="650"/>
      <c r="AC339" s="650"/>
      <c r="AD339" s="650"/>
      <c r="AE339" s="650"/>
      <c r="AF339" s="650"/>
      <c r="AG339" s="650"/>
      <c r="AH339" s="650"/>
      <c r="AI339" s="650"/>
      <c r="AJ339" s="650"/>
      <c r="AK339" s="650"/>
      <c r="AL339" s="650"/>
      <c r="AM339" s="650"/>
      <c r="AN339" s="650"/>
      <c r="AO339" s="650"/>
      <c r="AP339" s="650"/>
      <c r="AQ339" s="650"/>
      <c r="AR339" s="650"/>
      <c r="AS339" s="650"/>
      <c r="AT339" s="650"/>
      <c r="AU339" s="650"/>
      <c r="AV339" s="650"/>
      <c r="AW339" s="650"/>
      <c r="AX339" s="650"/>
      <c r="AY339" s="650"/>
    </row>
    <row r="340" ht="21.75" customHeight="1">
      <c r="A340" s="650"/>
      <c r="B340" s="650"/>
      <c r="C340" s="650"/>
      <c r="D340" s="650"/>
      <c r="E340" s="650"/>
      <c r="F340" s="650"/>
      <c r="G340" s="650"/>
      <c r="H340" s="650"/>
      <c r="I340" s="650"/>
      <c r="J340" s="650"/>
      <c r="K340" s="650"/>
      <c r="L340" s="650"/>
      <c r="M340" s="650"/>
      <c r="N340" s="650"/>
      <c r="O340" s="650"/>
      <c r="P340" s="650"/>
      <c r="Q340" s="650"/>
      <c r="R340" s="650"/>
      <c r="S340" s="650"/>
      <c r="T340" s="650"/>
      <c r="U340" s="650"/>
      <c r="V340" s="650"/>
      <c r="W340" s="650"/>
      <c r="X340" s="650"/>
      <c r="Y340" s="650"/>
      <c r="Z340" s="650"/>
      <c r="AA340" s="650"/>
      <c r="AB340" s="650"/>
      <c r="AC340" s="650"/>
      <c r="AD340" s="650"/>
      <c r="AE340" s="650"/>
      <c r="AF340" s="650"/>
      <c r="AG340" s="650"/>
      <c r="AH340" s="650"/>
      <c r="AI340" s="650"/>
      <c r="AJ340" s="650"/>
      <c r="AK340" s="650"/>
      <c r="AL340" s="650"/>
      <c r="AM340" s="650"/>
      <c r="AN340" s="650"/>
      <c r="AO340" s="650"/>
      <c r="AP340" s="650"/>
      <c r="AQ340" s="650"/>
      <c r="AR340" s="650"/>
      <c r="AS340" s="650"/>
      <c r="AT340" s="650"/>
      <c r="AU340" s="650"/>
      <c r="AV340" s="650"/>
      <c r="AW340" s="650"/>
      <c r="AX340" s="650"/>
      <c r="AY340" s="650"/>
    </row>
    <row r="341" ht="21.75" customHeight="1">
      <c r="A341" s="650"/>
      <c r="B341" s="650"/>
      <c r="C341" s="650"/>
      <c r="D341" s="650"/>
      <c r="E341" s="650"/>
      <c r="F341" s="650"/>
      <c r="G341" s="650"/>
      <c r="H341" s="650"/>
      <c r="I341" s="650"/>
      <c r="J341" s="650"/>
      <c r="K341" s="650"/>
      <c r="L341" s="650"/>
      <c r="M341" s="650"/>
      <c r="N341" s="650"/>
      <c r="O341" s="650"/>
      <c r="P341" s="650"/>
      <c r="Q341" s="650"/>
      <c r="R341" s="650"/>
      <c r="S341" s="650"/>
      <c r="T341" s="650"/>
      <c r="U341" s="650"/>
      <c r="V341" s="650"/>
      <c r="W341" s="650"/>
      <c r="X341" s="650"/>
      <c r="Y341" s="650"/>
      <c r="Z341" s="650"/>
      <c r="AA341" s="650"/>
      <c r="AB341" s="650"/>
      <c r="AC341" s="650"/>
      <c r="AD341" s="650"/>
      <c r="AE341" s="650"/>
      <c r="AF341" s="650"/>
      <c r="AG341" s="650"/>
      <c r="AH341" s="650"/>
      <c r="AI341" s="650"/>
      <c r="AJ341" s="650"/>
      <c r="AK341" s="650"/>
      <c r="AL341" s="650"/>
      <c r="AM341" s="650"/>
      <c r="AN341" s="650"/>
      <c r="AO341" s="650"/>
      <c r="AP341" s="650"/>
      <c r="AQ341" s="650"/>
      <c r="AR341" s="650"/>
      <c r="AS341" s="650"/>
      <c r="AT341" s="650"/>
      <c r="AU341" s="650"/>
      <c r="AV341" s="650"/>
      <c r="AW341" s="650"/>
      <c r="AX341" s="650"/>
      <c r="AY341" s="650"/>
    </row>
    <row r="342" ht="21.75" customHeight="1">
      <c r="A342" s="650"/>
      <c r="B342" s="650"/>
      <c r="C342" s="650"/>
      <c r="D342" s="650"/>
      <c r="E342" s="650"/>
      <c r="F342" s="650"/>
      <c r="G342" s="650"/>
      <c r="H342" s="650"/>
      <c r="I342" s="650"/>
      <c r="J342" s="650"/>
      <c r="K342" s="650"/>
      <c r="L342" s="650"/>
      <c r="M342" s="650"/>
      <c r="N342" s="650"/>
      <c r="O342" s="650"/>
      <c r="P342" s="650"/>
      <c r="Q342" s="650"/>
      <c r="R342" s="650"/>
      <c r="S342" s="650"/>
      <c r="T342" s="650"/>
      <c r="U342" s="650"/>
      <c r="V342" s="650"/>
      <c r="W342" s="650"/>
      <c r="X342" s="650"/>
      <c r="Y342" s="650"/>
      <c r="Z342" s="650"/>
      <c r="AA342" s="650"/>
      <c r="AB342" s="650"/>
      <c r="AC342" s="650"/>
      <c r="AD342" s="650"/>
      <c r="AE342" s="650"/>
      <c r="AF342" s="650"/>
      <c r="AG342" s="650"/>
      <c r="AH342" s="650"/>
      <c r="AI342" s="650"/>
      <c r="AJ342" s="650"/>
      <c r="AK342" s="650"/>
      <c r="AL342" s="650"/>
      <c r="AM342" s="650"/>
      <c r="AN342" s="650"/>
      <c r="AO342" s="650"/>
      <c r="AP342" s="650"/>
      <c r="AQ342" s="650"/>
      <c r="AR342" s="650"/>
      <c r="AS342" s="650"/>
      <c r="AT342" s="650"/>
      <c r="AU342" s="650"/>
      <c r="AV342" s="650"/>
      <c r="AW342" s="650"/>
      <c r="AX342" s="650"/>
      <c r="AY342" s="650"/>
    </row>
    <row r="343" ht="21.75" customHeight="1">
      <c r="A343" s="650"/>
      <c r="B343" s="650"/>
      <c r="C343" s="650"/>
      <c r="D343" s="650"/>
      <c r="E343" s="650"/>
      <c r="F343" s="650"/>
      <c r="G343" s="650"/>
      <c r="H343" s="650"/>
      <c r="I343" s="650"/>
      <c r="J343" s="650"/>
      <c r="K343" s="650"/>
      <c r="L343" s="650"/>
      <c r="M343" s="650"/>
      <c r="N343" s="650"/>
      <c r="O343" s="650"/>
      <c r="P343" s="650"/>
      <c r="Q343" s="650"/>
      <c r="R343" s="650"/>
      <c r="S343" s="650"/>
      <c r="T343" s="650"/>
      <c r="U343" s="650"/>
      <c r="V343" s="650"/>
      <c r="W343" s="650"/>
      <c r="X343" s="650"/>
      <c r="Y343" s="650"/>
      <c r="Z343" s="650"/>
      <c r="AA343" s="650"/>
      <c r="AB343" s="650"/>
      <c r="AC343" s="650"/>
      <c r="AD343" s="650"/>
      <c r="AE343" s="650"/>
      <c r="AF343" s="650"/>
      <c r="AG343" s="650"/>
      <c r="AH343" s="650"/>
      <c r="AI343" s="650"/>
      <c r="AJ343" s="650"/>
      <c r="AK343" s="650"/>
      <c r="AL343" s="650"/>
      <c r="AM343" s="650"/>
      <c r="AN343" s="650"/>
      <c r="AO343" s="650"/>
      <c r="AP343" s="650"/>
      <c r="AQ343" s="650"/>
      <c r="AR343" s="650"/>
      <c r="AS343" s="650"/>
      <c r="AT343" s="650"/>
      <c r="AU343" s="650"/>
      <c r="AV343" s="650"/>
      <c r="AW343" s="650"/>
      <c r="AX343" s="650"/>
      <c r="AY343" s="650"/>
    </row>
    <row r="344" ht="21.75" customHeight="1">
      <c r="A344" s="650"/>
      <c r="B344" s="650"/>
      <c r="C344" s="650"/>
      <c r="D344" s="650"/>
      <c r="E344" s="650"/>
      <c r="F344" s="650"/>
      <c r="G344" s="650"/>
      <c r="H344" s="650"/>
      <c r="I344" s="650"/>
      <c r="J344" s="650"/>
      <c r="K344" s="650"/>
      <c r="L344" s="650"/>
      <c r="M344" s="650"/>
      <c r="N344" s="650"/>
      <c r="O344" s="650"/>
      <c r="P344" s="650"/>
      <c r="Q344" s="650"/>
      <c r="R344" s="650"/>
      <c r="S344" s="650"/>
      <c r="T344" s="650"/>
      <c r="U344" s="650"/>
      <c r="V344" s="650"/>
      <c r="W344" s="650"/>
      <c r="X344" s="650"/>
      <c r="Y344" s="650"/>
      <c r="Z344" s="650"/>
      <c r="AA344" s="650"/>
      <c r="AB344" s="650"/>
      <c r="AC344" s="650"/>
      <c r="AD344" s="650"/>
      <c r="AE344" s="650"/>
      <c r="AF344" s="650"/>
      <c r="AG344" s="650"/>
      <c r="AH344" s="650"/>
      <c r="AI344" s="650"/>
      <c r="AJ344" s="650"/>
      <c r="AK344" s="650"/>
      <c r="AL344" s="650"/>
      <c r="AM344" s="650"/>
      <c r="AN344" s="650"/>
      <c r="AO344" s="650"/>
      <c r="AP344" s="650"/>
      <c r="AQ344" s="650"/>
      <c r="AR344" s="650"/>
      <c r="AS344" s="650"/>
      <c r="AT344" s="650"/>
      <c r="AU344" s="650"/>
      <c r="AV344" s="650"/>
      <c r="AW344" s="650"/>
      <c r="AX344" s="650"/>
      <c r="AY344" s="650"/>
    </row>
    <row r="345" ht="21.75" customHeight="1">
      <c r="A345" s="650"/>
      <c r="B345" s="650"/>
      <c r="C345" s="650"/>
      <c r="D345" s="650"/>
      <c r="E345" s="650"/>
      <c r="F345" s="650"/>
      <c r="G345" s="650"/>
      <c r="H345" s="650"/>
      <c r="I345" s="650"/>
      <c r="J345" s="650"/>
      <c r="K345" s="650"/>
      <c r="L345" s="650"/>
      <c r="M345" s="650"/>
      <c r="N345" s="650"/>
      <c r="O345" s="650"/>
      <c r="P345" s="650"/>
      <c r="Q345" s="650"/>
      <c r="R345" s="650"/>
      <c r="S345" s="650"/>
      <c r="T345" s="650"/>
      <c r="U345" s="650"/>
      <c r="V345" s="650"/>
      <c r="W345" s="650"/>
      <c r="X345" s="650"/>
      <c r="Y345" s="650"/>
      <c r="Z345" s="650"/>
      <c r="AA345" s="650"/>
      <c r="AB345" s="650"/>
      <c r="AC345" s="650"/>
      <c r="AD345" s="650"/>
      <c r="AE345" s="650"/>
      <c r="AF345" s="650"/>
      <c r="AG345" s="650"/>
      <c r="AH345" s="650"/>
      <c r="AI345" s="650"/>
      <c r="AJ345" s="650"/>
      <c r="AK345" s="650"/>
      <c r="AL345" s="650"/>
      <c r="AM345" s="650"/>
      <c r="AN345" s="650"/>
      <c r="AO345" s="650"/>
      <c r="AP345" s="650"/>
      <c r="AQ345" s="650"/>
      <c r="AR345" s="650"/>
      <c r="AS345" s="650"/>
      <c r="AT345" s="650"/>
      <c r="AU345" s="650"/>
      <c r="AV345" s="650"/>
      <c r="AW345" s="650"/>
      <c r="AX345" s="650"/>
      <c r="AY345" s="650"/>
    </row>
    <row r="346" ht="21.75" customHeight="1">
      <c r="A346" s="650"/>
      <c r="B346" s="650"/>
      <c r="C346" s="650"/>
      <c r="D346" s="650"/>
      <c r="E346" s="650"/>
      <c r="F346" s="650"/>
      <c r="G346" s="650"/>
      <c r="H346" s="650"/>
      <c r="I346" s="650"/>
      <c r="J346" s="650"/>
      <c r="K346" s="650"/>
      <c r="L346" s="650"/>
      <c r="M346" s="650"/>
      <c r="N346" s="650"/>
      <c r="O346" s="650"/>
      <c r="P346" s="650"/>
      <c r="Q346" s="650"/>
      <c r="R346" s="650"/>
      <c r="S346" s="650"/>
      <c r="T346" s="650"/>
      <c r="U346" s="650"/>
      <c r="V346" s="650"/>
      <c r="W346" s="650"/>
      <c r="X346" s="650"/>
      <c r="Y346" s="650"/>
      <c r="Z346" s="650"/>
      <c r="AA346" s="650"/>
      <c r="AB346" s="650"/>
      <c r="AC346" s="650"/>
      <c r="AD346" s="650"/>
      <c r="AE346" s="650"/>
      <c r="AF346" s="650"/>
      <c r="AG346" s="650"/>
      <c r="AH346" s="650"/>
      <c r="AI346" s="650"/>
      <c r="AJ346" s="650"/>
      <c r="AK346" s="650"/>
      <c r="AL346" s="650"/>
      <c r="AM346" s="650"/>
      <c r="AN346" s="650"/>
      <c r="AO346" s="650"/>
      <c r="AP346" s="650"/>
      <c r="AQ346" s="650"/>
      <c r="AR346" s="650"/>
      <c r="AS346" s="650"/>
      <c r="AT346" s="650"/>
      <c r="AU346" s="650"/>
      <c r="AV346" s="650"/>
      <c r="AW346" s="650"/>
      <c r="AX346" s="650"/>
      <c r="AY346" s="650"/>
    </row>
    <row r="347" ht="21.75" customHeight="1">
      <c r="A347" s="650"/>
      <c r="B347" s="650"/>
      <c r="C347" s="650"/>
      <c r="D347" s="650"/>
      <c r="E347" s="650"/>
      <c r="F347" s="650"/>
      <c r="G347" s="650"/>
      <c r="H347" s="650"/>
      <c r="I347" s="650"/>
      <c r="J347" s="650"/>
      <c r="K347" s="650"/>
      <c r="L347" s="650"/>
      <c r="M347" s="650"/>
      <c r="N347" s="650"/>
      <c r="O347" s="650"/>
      <c r="P347" s="650"/>
      <c r="Q347" s="650"/>
      <c r="R347" s="650"/>
      <c r="S347" s="650"/>
      <c r="T347" s="650"/>
      <c r="U347" s="650"/>
      <c r="V347" s="650"/>
      <c r="W347" s="650"/>
      <c r="X347" s="650"/>
      <c r="Y347" s="650"/>
      <c r="Z347" s="650"/>
      <c r="AA347" s="650"/>
      <c r="AB347" s="650"/>
      <c r="AC347" s="650"/>
      <c r="AD347" s="650"/>
      <c r="AE347" s="650"/>
      <c r="AF347" s="650"/>
      <c r="AG347" s="650"/>
      <c r="AH347" s="650"/>
      <c r="AI347" s="650"/>
      <c r="AJ347" s="650"/>
      <c r="AK347" s="650"/>
      <c r="AL347" s="650"/>
      <c r="AM347" s="650"/>
      <c r="AN347" s="650"/>
      <c r="AO347" s="650"/>
      <c r="AP347" s="650"/>
      <c r="AQ347" s="650"/>
      <c r="AR347" s="650"/>
      <c r="AS347" s="650"/>
      <c r="AT347" s="650"/>
      <c r="AU347" s="650"/>
      <c r="AV347" s="650"/>
      <c r="AW347" s="650"/>
      <c r="AX347" s="650"/>
      <c r="AY347" s="650"/>
    </row>
    <row r="348" ht="21.75" customHeight="1">
      <c r="A348" s="650"/>
      <c r="B348" s="650"/>
      <c r="C348" s="650"/>
      <c r="D348" s="650"/>
      <c r="E348" s="650"/>
      <c r="F348" s="650"/>
      <c r="G348" s="650"/>
      <c r="H348" s="650"/>
      <c r="I348" s="650"/>
      <c r="J348" s="650"/>
      <c r="K348" s="650"/>
      <c r="L348" s="650"/>
      <c r="M348" s="650"/>
      <c r="N348" s="650"/>
      <c r="O348" s="650"/>
      <c r="P348" s="650"/>
      <c r="Q348" s="650"/>
      <c r="R348" s="650"/>
      <c r="S348" s="650"/>
      <c r="T348" s="650"/>
      <c r="U348" s="650"/>
      <c r="V348" s="650"/>
      <c r="W348" s="650"/>
      <c r="X348" s="650"/>
      <c r="Y348" s="650"/>
      <c r="Z348" s="650"/>
      <c r="AA348" s="650"/>
      <c r="AB348" s="650"/>
      <c r="AC348" s="650"/>
      <c r="AD348" s="650"/>
      <c r="AE348" s="650"/>
      <c r="AF348" s="650"/>
      <c r="AG348" s="650"/>
      <c r="AH348" s="650"/>
      <c r="AI348" s="650"/>
      <c r="AJ348" s="650"/>
      <c r="AK348" s="650"/>
      <c r="AL348" s="650"/>
      <c r="AM348" s="650"/>
      <c r="AN348" s="650"/>
      <c r="AO348" s="650"/>
      <c r="AP348" s="650"/>
      <c r="AQ348" s="650"/>
      <c r="AR348" s="650"/>
      <c r="AS348" s="650"/>
      <c r="AT348" s="650"/>
      <c r="AU348" s="650"/>
      <c r="AV348" s="650"/>
      <c r="AW348" s="650"/>
      <c r="AX348" s="650"/>
      <c r="AY348" s="650"/>
    </row>
    <row r="349" ht="21.75" customHeight="1">
      <c r="A349" s="650"/>
      <c r="B349" s="650"/>
      <c r="C349" s="650"/>
      <c r="D349" s="650"/>
      <c r="E349" s="650"/>
      <c r="F349" s="650"/>
      <c r="G349" s="650"/>
      <c r="H349" s="650"/>
      <c r="I349" s="650"/>
      <c r="J349" s="650"/>
      <c r="K349" s="650"/>
      <c r="L349" s="650"/>
      <c r="M349" s="650"/>
      <c r="N349" s="650"/>
      <c r="O349" s="650"/>
      <c r="P349" s="650"/>
      <c r="Q349" s="650"/>
      <c r="R349" s="650"/>
      <c r="S349" s="650"/>
      <c r="T349" s="650"/>
      <c r="U349" s="650"/>
      <c r="V349" s="650"/>
      <c r="W349" s="650"/>
      <c r="X349" s="650"/>
      <c r="Y349" s="650"/>
      <c r="Z349" s="650"/>
      <c r="AA349" s="650"/>
      <c r="AB349" s="650"/>
      <c r="AC349" s="650"/>
      <c r="AD349" s="650"/>
      <c r="AE349" s="650"/>
      <c r="AF349" s="650"/>
      <c r="AG349" s="650"/>
      <c r="AH349" s="650"/>
      <c r="AI349" s="650"/>
      <c r="AJ349" s="650"/>
      <c r="AK349" s="650"/>
      <c r="AL349" s="650"/>
      <c r="AM349" s="650"/>
      <c r="AN349" s="650"/>
      <c r="AO349" s="650"/>
      <c r="AP349" s="650"/>
      <c r="AQ349" s="650"/>
      <c r="AR349" s="650"/>
      <c r="AS349" s="650"/>
      <c r="AT349" s="650"/>
      <c r="AU349" s="650"/>
      <c r="AV349" s="650"/>
      <c r="AW349" s="650"/>
      <c r="AX349" s="650"/>
      <c r="AY349" s="650"/>
    </row>
    <row r="350" ht="21.75" customHeight="1">
      <c r="A350" s="650"/>
      <c r="B350" s="650"/>
      <c r="C350" s="650"/>
      <c r="D350" s="650"/>
      <c r="E350" s="650"/>
      <c r="F350" s="650"/>
      <c r="G350" s="650"/>
      <c r="H350" s="650"/>
      <c r="I350" s="650"/>
      <c r="J350" s="650"/>
      <c r="K350" s="650"/>
      <c r="L350" s="650"/>
      <c r="M350" s="650"/>
      <c r="N350" s="650"/>
      <c r="O350" s="650"/>
      <c r="P350" s="650"/>
      <c r="Q350" s="650"/>
      <c r="R350" s="650"/>
      <c r="S350" s="650"/>
      <c r="T350" s="650"/>
      <c r="U350" s="650"/>
      <c r="V350" s="650"/>
      <c r="W350" s="650"/>
      <c r="X350" s="650"/>
      <c r="Y350" s="650"/>
      <c r="Z350" s="650"/>
      <c r="AA350" s="650"/>
      <c r="AB350" s="650"/>
      <c r="AC350" s="650"/>
      <c r="AD350" s="650"/>
      <c r="AE350" s="650"/>
      <c r="AF350" s="650"/>
      <c r="AG350" s="650"/>
      <c r="AH350" s="650"/>
      <c r="AI350" s="650"/>
      <c r="AJ350" s="650"/>
      <c r="AK350" s="650"/>
      <c r="AL350" s="650"/>
      <c r="AM350" s="650"/>
      <c r="AN350" s="650"/>
      <c r="AO350" s="650"/>
      <c r="AP350" s="650"/>
      <c r="AQ350" s="650"/>
      <c r="AR350" s="650"/>
      <c r="AS350" s="650"/>
      <c r="AT350" s="650"/>
      <c r="AU350" s="650"/>
      <c r="AV350" s="650"/>
      <c r="AW350" s="650"/>
      <c r="AX350" s="650"/>
      <c r="AY350" s="650"/>
    </row>
    <row r="351" ht="21.75" customHeight="1">
      <c r="A351" s="650"/>
      <c r="B351" s="650"/>
      <c r="C351" s="650"/>
      <c r="D351" s="650"/>
      <c r="E351" s="650"/>
      <c r="F351" s="650"/>
      <c r="G351" s="650"/>
      <c r="H351" s="650"/>
      <c r="I351" s="650"/>
      <c r="J351" s="650"/>
      <c r="K351" s="650"/>
      <c r="L351" s="650"/>
      <c r="M351" s="650"/>
      <c r="N351" s="650"/>
      <c r="O351" s="650"/>
      <c r="P351" s="650"/>
      <c r="Q351" s="650"/>
      <c r="R351" s="650"/>
      <c r="S351" s="650"/>
      <c r="T351" s="650"/>
      <c r="U351" s="650"/>
      <c r="V351" s="650"/>
      <c r="W351" s="650"/>
      <c r="X351" s="650"/>
      <c r="Y351" s="650"/>
      <c r="Z351" s="650"/>
      <c r="AA351" s="650"/>
      <c r="AB351" s="650"/>
      <c r="AC351" s="650"/>
      <c r="AD351" s="650"/>
      <c r="AE351" s="650"/>
      <c r="AF351" s="650"/>
      <c r="AG351" s="650"/>
      <c r="AH351" s="650"/>
      <c r="AI351" s="650"/>
      <c r="AJ351" s="650"/>
      <c r="AK351" s="650"/>
      <c r="AL351" s="650"/>
      <c r="AM351" s="650"/>
      <c r="AN351" s="650"/>
      <c r="AO351" s="650"/>
      <c r="AP351" s="650"/>
      <c r="AQ351" s="650"/>
      <c r="AR351" s="650"/>
      <c r="AS351" s="650"/>
      <c r="AT351" s="650"/>
      <c r="AU351" s="650"/>
      <c r="AV351" s="650"/>
      <c r="AW351" s="650"/>
      <c r="AX351" s="650"/>
      <c r="AY351" s="650"/>
    </row>
    <row r="352" ht="21.75" customHeight="1">
      <c r="A352" s="650"/>
      <c r="B352" s="650"/>
      <c r="C352" s="650"/>
      <c r="D352" s="650"/>
      <c r="E352" s="650"/>
      <c r="F352" s="650"/>
      <c r="G352" s="650"/>
      <c r="H352" s="650"/>
      <c r="I352" s="650"/>
      <c r="J352" s="650"/>
      <c r="K352" s="650"/>
      <c r="L352" s="650"/>
      <c r="M352" s="650"/>
      <c r="N352" s="650"/>
      <c r="O352" s="650"/>
      <c r="P352" s="650"/>
      <c r="Q352" s="650"/>
      <c r="R352" s="650"/>
      <c r="S352" s="650"/>
      <c r="T352" s="650"/>
      <c r="U352" s="650"/>
      <c r="V352" s="650"/>
      <c r="W352" s="650"/>
      <c r="X352" s="650"/>
      <c r="Y352" s="650"/>
      <c r="Z352" s="650"/>
      <c r="AA352" s="650"/>
      <c r="AB352" s="650"/>
      <c r="AC352" s="650"/>
      <c r="AD352" s="650"/>
      <c r="AE352" s="650"/>
      <c r="AF352" s="650"/>
      <c r="AG352" s="650"/>
      <c r="AH352" s="650"/>
      <c r="AI352" s="650"/>
      <c r="AJ352" s="650"/>
      <c r="AK352" s="650"/>
      <c r="AL352" s="650"/>
      <c r="AM352" s="650"/>
      <c r="AN352" s="650"/>
      <c r="AO352" s="650"/>
      <c r="AP352" s="650"/>
      <c r="AQ352" s="650"/>
      <c r="AR352" s="650"/>
      <c r="AS352" s="650"/>
      <c r="AT352" s="650"/>
      <c r="AU352" s="650"/>
      <c r="AV352" s="650"/>
      <c r="AW352" s="650"/>
      <c r="AX352" s="650"/>
      <c r="AY352" s="650"/>
    </row>
    <row r="353" ht="21.75" customHeight="1">
      <c r="A353" s="650"/>
      <c r="B353" s="650"/>
      <c r="C353" s="650"/>
      <c r="D353" s="650"/>
      <c r="E353" s="650"/>
      <c r="F353" s="650"/>
      <c r="G353" s="650"/>
      <c r="H353" s="650"/>
      <c r="I353" s="650"/>
      <c r="J353" s="650"/>
      <c r="K353" s="650"/>
      <c r="L353" s="650"/>
      <c r="M353" s="650"/>
      <c r="N353" s="650"/>
      <c r="O353" s="650"/>
      <c r="P353" s="650"/>
      <c r="Q353" s="650"/>
      <c r="R353" s="650"/>
      <c r="S353" s="650"/>
      <c r="T353" s="650"/>
      <c r="U353" s="650"/>
      <c r="V353" s="650"/>
      <c r="W353" s="650"/>
      <c r="X353" s="650"/>
      <c r="Y353" s="650"/>
      <c r="Z353" s="650"/>
      <c r="AA353" s="650"/>
      <c r="AB353" s="650"/>
      <c r="AC353" s="650"/>
      <c r="AD353" s="650"/>
      <c r="AE353" s="650"/>
      <c r="AF353" s="650"/>
      <c r="AG353" s="650"/>
      <c r="AH353" s="650"/>
      <c r="AI353" s="650"/>
      <c r="AJ353" s="650"/>
      <c r="AK353" s="650"/>
      <c r="AL353" s="650"/>
      <c r="AM353" s="650"/>
      <c r="AN353" s="650"/>
      <c r="AO353" s="650"/>
      <c r="AP353" s="650"/>
      <c r="AQ353" s="650"/>
      <c r="AR353" s="650"/>
      <c r="AS353" s="650"/>
      <c r="AT353" s="650"/>
      <c r="AU353" s="650"/>
      <c r="AV353" s="650"/>
      <c r="AW353" s="650"/>
      <c r="AX353" s="650"/>
      <c r="AY353" s="650"/>
    </row>
    <row r="354" ht="21.75" customHeight="1">
      <c r="A354" s="650"/>
      <c r="B354" s="650"/>
      <c r="C354" s="650"/>
      <c r="D354" s="650"/>
      <c r="E354" s="650"/>
      <c r="F354" s="650"/>
      <c r="G354" s="650"/>
      <c r="H354" s="650"/>
      <c r="I354" s="650"/>
      <c r="J354" s="650"/>
      <c r="K354" s="650"/>
      <c r="L354" s="650"/>
      <c r="M354" s="650"/>
      <c r="N354" s="650"/>
      <c r="O354" s="650"/>
      <c r="P354" s="650"/>
      <c r="Q354" s="650"/>
      <c r="R354" s="650"/>
      <c r="S354" s="650"/>
      <c r="T354" s="650"/>
      <c r="U354" s="650"/>
      <c r="V354" s="650"/>
      <c r="W354" s="650"/>
      <c r="X354" s="650"/>
      <c r="Y354" s="650"/>
      <c r="Z354" s="650"/>
      <c r="AA354" s="650"/>
      <c r="AB354" s="650"/>
      <c r="AC354" s="650"/>
      <c r="AD354" s="650"/>
      <c r="AE354" s="650"/>
      <c r="AF354" s="650"/>
      <c r="AG354" s="650"/>
      <c r="AH354" s="650"/>
      <c r="AI354" s="650"/>
      <c r="AJ354" s="650"/>
      <c r="AK354" s="650"/>
      <c r="AL354" s="650"/>
      <c r="AM354" s="650"/>
      <c r="AN354" s="650"/>
      <c r="AO354" s="650"/>
      <c r="AP354" s="650"/>
      <c r="AQ354" s="650"/>
      <c r="AR354" s="650"/>
      <c r="AS354" s="650"/>
      <c r="AT354" s="650"/>
      <c r="AU354" s="650"/>
      <c r="AV354" s="650"/>
      <c r="AW354" s="650"/>
      <c r="AX354" s="650"/>
      <c r="AY354" s="650"/>
    </row>
    <row r="355" ht="21.75" customHeight="1">
      <c r="A355" s="650"/>
      <c r="B355" s="650"/>
      <c r="C355" s="650"/>
      <c r="D355" s="650"/>
      <c r="E355" s="650"/>
      <c r="F355" s="650"/>
      <c r="G355" s="650"/>
      <c r="H355" s="650"/>
      <c r="I355" s="650"/>
      <c r="J355" s="650"/>
      <c r="K355" s="650"/>
      <c r="L355" s="650"/>
      <c r="M355" s="650"/>
      <c r="N355" s="650"/>
      <c r="O355" s="650"/>
      <c r="P355" s="650"/>
      <c r="Q355" s="650"/>
      <c r="R355" s="650"/>
      <c r="S355" s="650"/>
      <c r="T355" s="650"/>
      <c r="U355" s="650"/>
      <c r="V355" s="650"/>
      <c r="W355" s="650"/>
      <c r="X355" s="650"/>
      <c r="Y355" s="650"/>
      <c r="Z355" s="650"/>
      <c r="AA355" s="650"/>
      <c r="AB355" s="650"/>
      <c r="AC355" s="650"/>
      <c r="AD355" s="650"/>
      <c r="AE355" s="650"/>
      <c r="AF355" s="650"/>
      <c r="AG355" s="650"/>
      <c r="AH355" s="650"/>
      <c r="AI355" s="650"/>
      <c r="AJ355" s="650"/>
      <c r="AK355" s="650"/>
      <c r="AL355" s="650"/>
      <c r="AM355" s="650"/>
      <c r="AN355" s="650"/>
      <c r="AO355" s="650"/>
      <c r="AP355" s="650"/>
      <c r="AQ355" s="650"/>
      <c r="AR355" s="650"/>
      <c r="AS355" s="650"/>
      <c r="AT355" s="650"/>
      <c r="AU355" s="650"/>
      <c r="AV355" s="650"/>
      <c r="AW355" s="650"/>
      <c r="AX355" s="650"/>
      <c r="AY355" s="650"/>
    </row>
    <row r="356" ht="21.75" customHeight="1">
      <c r="A356" s="650"/>
      <c r="B356" s="650"/>
      <c r="C356" s="650"/>
      <c r="D356" s="650"/>
      <c r="E356" s="650"/>
      <c r="F356" s="650"/>
      <c r="G356" s="650"/>
      <c r="H356" s="650"/>
      <c r="I356" s="650"/>
      <c r="J356" s="650"/>
      <c r="K356" s="650"/>
      <c r="L356" s="650"/>
      <c r="M356" s="650"/>
      <c r="N356" s="650"/>
      <c r="O356" s="650"/>
      <c r="P356" s="650"/>
      <c r="Q356" s="650"/>
      <c r="R356" s="650"/>
      <c r="S356" s="650"/>
      <c r="T356" s="650"/>
      <c r="U356" s="650"/>
      <c r="V356" s="650"/>
      <c r="W356" s="650"/>
      <c r="X356" s="650"/>
      <c r="Y356" s="650"/>
      <c r="Z356" s="650"/>
      <c r="AA356" s="650"/>
      <c r="AB356" s="650"/>
      <c r="AC356" s="650"/>
      <c r="AD356" s="650"/>
      <c r="AE356" s="650"/>
      <c r="AF356" s="650"/>
      <c r="AG356" s="650"/>
      <c r="AH356" s="650"/>
      <c r="AI356" s="650"/>
      <c r="AJ356" s="650"/>
      <c r="AK356" s="650"/>
      <c r="AL356" s="650"/>
      <c r="AM356" s="650"/>
      <c r="AN356" s="650"/>
      <c r="AO356" s="650"/>
      <c r="AP356" s="650"/>
      <c r="AQ356" s="650"/>
      <c r="AR356" s="650"/>
      <c r="AS356" s="650"/>
      <c r="AT356" s="650"/>
      <c r="AU356" s="650"/>
      <c r="AV356" s="650"/>
      <c r="AW356" s="650"/>
      <c r="AX356" s="650"/>
      <c r="AY356" s="650"/>
    </row>
    <row r="357" ht="21.75" customHeight="1">
      <c r="A357" s="650"/>
      <c r="B357" s="650"/>
      <c r="C357" s="650"/>
      <c r="D357" s="650"/>
      <c r="E357" s="650"/>
      <c r="F357" s="650"/>
      <c r="G357" s="650"/>
      <c r="H357" s="650"/>
      <c r="I357" s="650"/>
      <c r="J357" s="650"/>
      <c r="K357" s="650"/>
      <c r="L357" s="650"/>
      <c r="M357" s="650"/>
      <c r="N357" s="650"/>
      <c r="O357" s="650"/>
      <c r="P357" s="650"/>
      <c r="Q357" s="650"/>
      <c r="R357" s="650"/>
      <c r="S357" s="650"/>
      <c r="T357" s="650"/>
      <c r="U357" s="650"/>
      <c r="V357" s="650"/>
      <c r="W357" s="650"/>
      <c r="X357" s="650"/>
      <c r="Y357" s="650"/>
      <c r="Z357" s="650"/>
      <c r="AA357" s="650"/>
      <c r="AB357" s="650"/>
      <c r="AC357" s="650"/>
      <c r="AD357" s="650"/>
      <c r="AE357" s="650"/>
      <c r="AF357" s="650"/>
      <c r="AG357" s="650"/>
      <c r="AH357" s="650"/>
      <c r="AI357" s="650"/>
      <c r="AJ357" s="650"/>
      <c r="AK357" s="650"/>
      <c r="AL357" s="650"/>
      <c r="AM357" s="650"/>
      <c r="AN357" s="650"/>
      <c r="AO357" s="650"/>
      <c r="AP357" s="650"/>
      <c r="AQ357" s="650"/>
      <c r="AR357" s="650"/>
      <c r="AS357" s="650"/>
      <c r="AT357" s="650"/>
      <c r="AU357" s="650"/>
      <c r="AV357" s="650"/>
      <c r="AW357" s="650"/>
      <c r="AX357" s="650"/>
      <c r="AY357" s="650"/>
    </row>
    <row r="358" ht="21.75" customHeight="1">
      <c r="A358" s="650"/>
      <c r="B358" s="650"/>
      <c r="C358" s="650"/>
      <c r="D358" s="650"/>
      <c r="E358" s="650"/>
      <c r="F358" s="650"/>
      <c r="G358" s="650"/>
      <c r="H358" s="650"/>
      <c r="I358" s="650"/>
      <c r="J358" s="650"/>
      <c r="K358" s="650"/>
      <c r="L358" s="650"/>
      <c r="M358" s="650"/>
      <c r="N358" s="650"/>
      <c r="O358" s="650"/>
      <c r="P358" s="650"/>
      <c r="Q358" s="650"/>
      <c r="R358" s="650"/>
      <c r="S358" s="650"/>
      <c r="T358" s="650"/>
      <c r="U358" s="650"/>
      <c r="V358" s="650"/>
      <c r="W358" s="650"/>
      <c r="X358" s="650"/>
      <c r="Y358" s="650"/>
      <c r="Z358" s="650"/>
      <c r="AA358" s="650"/>
      <c r="AB358" s="650"/>
      <c r="AC358" s="650"/>
      <c r="AD358" s="650"/>
      <c r="AE358" s="650"/>
      <c r="AF358" s="650"/>
      <c r="AG358" s="650"/>
      <c r="AH358" s="650"/>
      <c r="AI358" s="650"/>
      <c r="AJ358" s="650"/>
      <c r="AK358" s="650"/>
      <c r="AL358" s="650"/>
      <c r="AM358" s="650"/>
      <c r="AN358" s="650"/>
      <c r="AO358" s="650"/>
      <c r="AP358" s="650"/>
      <c r="AQ358" s="650"/>
      <c r="AR358" s="650"/>
      <c r="AS358" s="650"/>
      <c r="AT358" s="650"/>
      <c r="AU358" s="650"/>
      <c r="AV358" s="650"/>
      <c r="AW358" s="650"/>
      <c r="AX358" s="650"/>
      <c r="AY358" s="650"/>
    </row>
    <row r="359" ht="21.75" customHeight="1">
      <c r="A359" s="650"/>
      <c r="B359" s="650"/>
      <c r="C359" s="650"/>
      <c r="D359" s="650"/>
      <c r="E359" s="650"/>
      <c r="F359" s="650"/>
      <c r="G359" s="650"/>
      <c r="H359" s="650"/>
      <c r="I359" s="650"/>
      <c r="J359" s="650"/>
      <c r="K359" s="650"/>
      <c r="L359" s="650"/>
      <c r="M359" s="650"/>
      <c r="N359" s="650"/>
      <c r="O359" s="650"/>
      <c r="P359" s="650"/>
      <c r="Q359" s="650"/>
      <c r="R359" s="650"/>
      <c r="S359" s="650"/>
      <c r="T359" s="650"/>
      <c r="U359" s="650"/>
      <c r="V359" s="650"/>
      <c r="W359" s="650"/>
      <c r="X359" s="650"/>
      <c r="Y359" s="650"/>
      <c r="Z359" s="650"/>
      <c r="AA359" s="650"/>
      <c r="AB359" s="650"/>
      <c r="AC359" s="650"/>
      <c r="AD359" s="650"/>
      <c r="AE359" s="650"/>
      <c r="AF359" s="650"/>
      <c r="AG359" s="650"/>
      <c r="AH359" s="650"/>
      <c r="AI359" s="650"/>
      <c r="AJ359" s="650"/>
      <c r="AK359" s="650"/>
      <c r="AL359" s="650"/>
      <c r="AM359" s="650"/>
      <c r="AN359" s="650"/>
      <c r="AO359" s="650"/>
      <c r="AP359" s="650"/>
      <c r="AQ359" s="650"/>
      <c r="AR359" s="650"/>
      <c r="AS359" s="650"/>
      <c r="AT359" s="650"/>
      <c r="AU359" s="650"/>
      <c r="AV359" s="650"/>
      <c r="AW359" s="650"/>
      <c r="AX359" s="650"/>
      <c r="AY359" s="650"/>
    </row>
    <row r="360" ht="21.75" customHeight="1">
      <c r="A360" s="650"/>
      <c r="B360" s="650"/>
      <c r="C360" s="650"/>
      <c r="D360" s="650"/>
      <c r="E360" s="650"/>
      <c r="F360" s="650"/>
      <c r="G360" s="650"/>
      <c r="H360" s="650"/>
      <c r="I360" s="650"/>
      <c r="J360" s="650"/>
      <c r="K360" s="650"/>
      <c r="L360" s="650"/>
      <c r="M360" s="650"/>
      <c r="N360" s="650"/>
      <c r="O360" s="650"/>
      <c r="P360" s="650"/>
      <c r="Q360" s="650"/>
      <c r="R360" s="650"/>
      <c r="S360" s="650"/>
      <c r="T360" s="650"/>
      <c r="U360" s="650"/>
      <c r="V360" s="650"/>
      <c r="W360" s="650"/>
      <c r="X360" s="650"/>
      <c r="Y360" s="650"/>
      <c r="Z360" s="650"/>
      <c r="AA360" s="650"/>
      <c r="AB360" s="650"/>
      <c r="AC360" s="650"/>
      <c r="AD360" s="650"/>
      <c r="AE360" s="650"/>
      <c r="AF360" s="650"/>
      <c r="AG360" s="650"/>
      <c r="AH360" s="650"/>
      <c r="AI360" s="650"/>
      <c r="AJ360" s="650"/>
      <c r="AK360" s="650"/>
      <c r="AL360" s="650"/>
      <c r="AM360" s="650"/>
      <c r="AN360" s="650"/>
      <c r="AO360" s="650"/>
      <c r="AP360" s="650"/>
      <c r="AQ360" s="650"/>
      <c r="AR360" s="650"/>
      <c r="AS360" s="650"/>
      <c r="AT360" s="650"/>
      <c r="AU360" s="650"/>
      <c r="AV360" s="650"/>
      <c r="AW360" s="650"/>
      <c r="AX360" s="650"/>
      <c r="AY360" s="650"/>
    </row>
    <row r="361" ht="21.75" customHeight="1">
      <c r="A361" s="650"/>
      <c r="B361" s="650"/>
      <c r="C361" s="650"/>
      <c r="D361" s="650"/>
      <c r="E361" s="650"/>
      <c r="F361" s="650"/>
      <c r="G361" s="650"/>
      <c r="H361" s="650"/>
      <c r="I361" s="650"/>
      <c r="J361" s="650"/>
      <c r="K361" s="650"/>
      <c r="L361" s="650"/>
      <c r="M361" s="650"/>
      <c r="N361" s="650"/>
      <c r="O361" s="650"/>
      <c r="P361" s="650"/>
      <c r="Q361" s="650"/>
      <c r="R361" s="650"/>
      <c r="S361" s="650"/>
      <c r="T361" s="650"/>
      <c r="U361" s="650"/>
      <c r="V361" s="650"/>
      <c r="W361" s="650"/>
      <c r="X361" s="650"/>
      <c r="Y361" s="650"/>
      <c r="Z361" s="650"/>
      <c r="AA361" s="650"/>
      <c r="AB361" s="650"/>
      <c r="AC361" s="650"/>
      <c r="AD361" s="650"/>
      <c r="AE361" s="650"/>
      <c r="AF361" s="650"/>
      <c r="AG361" s="650"/>
      <c r="AH361" s="650"/>
      <c r="AI361" s="650"/>
      <c r="AJ361" s="650"/>
      <c r="AK361" s="650"/>
      <c r="AL361" s="650"/>
      <c r="AM361" s="650"/>
      <c r="AN361" s="650"/>
      <c r="AO361" s="650"/>
      <c r="AP361" s="650"/>
      <c r="AQ361" s="650"/>
      <c r="AR361" s="650"/>
      <c r="AS361" s="650"/>
      <c r="AT361" s="650"/>
      <c r="AU361" s="650"/>
      <c r="AV361" s="650"/>
      <c r="AW361" s="650"/>
      <c r="AX361" s="650"/>
      <c r="AY361" s="650"/>
    </row>
    <row r="362" ht="21.75" customHeight="1">
      <c r="A362" s="650"/>
      <c r="B362" s="650"/>
      <c r="C362" s="650"/>
      <c r="D362" s="650"/>
      <c r="E362" s="650"/>
      <c r="F362" s="650"/>
      <c r="G362" s="650"/>
      <c r="H362" s="650"/>
      <c r="I362" s="650"/>
      <c r="J362" s="650"/>
      <c r="K362" s="650"/>
      <c r="L362" s="650"/>
      <c r="M362" s="650"/>
      <c r="N362" s="650"/>
      <c r="O362" s="650"/>
      <c r="P362" s="650"/>
      <c r="Q362" s="650"/>
      <c r="R362" s="650"/>
      <c r="S362" s="650"/>
      <c r="T362" s="650"/>
      <c r="U362" s="650"/>
      <c r="V362" s="650"/>
      <c r="W362" s="650"/>
      <c r="X362" s="650"/>
      <c r="Y362" s="650"/>
      <c r="Z362" s="650"/>
      <c r="AA362" s="650"/>
      <c r="AB362" s="650"/>
      <c r="AC362" s="650"/>
      <c r="AD362" s="650"/>
      <c r="AE362" s="650"/>
      <c r="AF362" s="650"/>
      <c r="AG362" s="650"/>
      <c r="AH362" s="650"/>
      <c r="AI362" s="650"/>
      <c r="AJ362" s="650"/>
      <c r="AK362" s="650"/>
      <c r="AL362" s="650"/>
      <c r="AM362" s="650"/>
      <c r="AN362" s="650"/>
      <c r="AO362" s="650"/>
      <c r="AP362" s="650"/>
      <c r="AQ362" s="650"/>
      <c r="AR362" s="650"/>
      <c r="AS362" s="650"/>
      <c r="AT362" s="650"/>
      <c r="AU362" s="650"/>
      <c r="AV362" s="650"/>
      <c r="AW362" s="650"/>
      <c r="AX362" s="650"/>
      <c r="AY362" s="650"/>
    </row>
    <row r="363" ht="21.75" customHeight="1">
      <c r="A363" s="650"/>
      <c r="B363" s="650"/>
      <c r="C363" s="650"/>
      <c r="D363" s="650"/>
      <c r="E363" s="650"/>
      <c r="F363" s="650"/>
      <c r="G363" s="650"/>
      <c r="H363" s="650"/>
      <c r="I363" s="650"/>
      <c r="J363" s="650"/>
      <c r="K363" s="650"/>
      <c r="L363" s="650"/>
      <c r="M363" s="650"/>
      <c r="N363" s="650"/>
      <c r="O363" s="650"/>
      <c r="P363" s="650"/>
      <c r="Q363" s="650"/>
      <c r="R363" s="650"/>
      <c r="S363" s="650"/>
      <c r="T363" s="650"/>
      <c r="U363" s="650"/>
      <c r="V363" s="650"/>
      <c r="W363" s="650"/>
      <c r="X363" s="650"/>
      <c r="Y363" s="650"/>
      <c r="Z363" s="650"/>
      <c r="AA363" s="650"/>
      <c r="AB363" s="650"/>
      <c r="AC363" s="650"/>
      <c r="AD363" s="650"/>
      <c r="AE363" s="650"/>
      <c r="AF363" s="650"/>
      <c r="AG363" s="650"/>
      <c r="AH363" s="650"/>
      <c r="AI363" s="650"/>
      <c r="AJ363" s="650"/>
      <c r="AK363" s="650"/>
      <c r="AL363" s="650"/>
      <c r="AM363" s="650"/>
      <c r="AN363" s="650"/>
      <c r="AO363" s="650"/>
      <c r="AP363" s="650"/>
      <c r="AQ363" s="650"/>
      <c r="AR363" s="650"/>
      <c r="AS363" s="650"/>
      <c r="AT363" s="650"/>
      <c r="AU363" s="650"/>
      <c r="AV363" s="650"/>
      <c r="AW363" s="650"/>
      <c r="AX363" s="650"/>
      <c r="AY363" s="650"/>
    </row>
    <row r="364" ht="21.75" customHeight="1">
      <c r="A364" s="650"/>
      <c r="B364" s="650"/>
      <c r="C364" s="650"/>
      <c r="D364" s="650"/>
      <c r="E364" s="650"/>
      <c r="F364" s="650"/>
      <c r="G364" s="650"/>
      <c r="H364" s="650"/>
      <c r="I364" s="650"/>
      <c r="J364" s="650"/>
      <c r="K364" s="650"/>
      <c r="L364" s="650"/>
      <c r="M364" s="650"/>
      <c r="N364" s="650"/>
      <c r="O364" s="650"/>
      <c r="P364" s="650"/>
      <c r="Q364" s="650"/>
      <c r="R364" s="650"/>
      <c r="S364" s="650"/>
      <c r="T364" s="650"/>
      <c r="U364" s="650"/>
      <c r="V364" s="650"/>
      <c r="W364" s="650"/>
      <c r="X364" s="650"/>
      <c r="Y364" s="650"/>
      <c r="Z364" s="650"/>
      <c r="AA364" s="650"/>
      <c r="AB364" s="650"/>
      <c r="AC364" s="650"/>
      <c r="AD364" s="650"/>
      <c r="AE364" s="650"/>
      <c r="AF364" s="650"/>
      <c r="AG364" s="650"/>
      <c r="AH364" s="650"/>
      <c r="AI364" s="650"/>
      <c r="AJ364" s="650"/>
      <c r="AK364" s="650"/>
      <c r="AL364" s="650"/>
      <c r="AM364" s="650"/>
      <c r="AN364" s="650"/>
      <c r="AO364" s="650"/>
      <c r="AP364" s="650"/>
      <c r="AQ364" s="650"/>
      <c r="AR364" s="650"/>
      <c r="AS364" s="650"/>
      <c r="AT364" s="650"/>
      <c r="AU364" s="650"/>
      <c r="AV364" s="650"/>
      <c r="AW364" s="650"/>
      <c r="AX364" s="650"/>
      <c r="AY364" s="650"/>
    </row>
    <row r="365" ht="21.75" customHeight="1">
      <c r="A365" s="650"/>
      <c r="B365" s="650"/>
      <c r="C365" s="650"/>
      <c r="D365" s="650"/>
      <c r="E365" s="650"/>
      <c r="F365" s="650"/>
      <c r="G365" s="650"/>
      <c r="H365" s="650"/>
      <c r="I365" s="650"/>
      <c r="J365" s="650"/>
      <c r="K365" s="650"/>
      <c r="L365" s="650"/>
      <c r="M365" s="650"/>
      <c r="N365" s="650"/>
      <c r="O365" s="650"/>
      <c r="P365" s="650"/>
      <c r="Q365" s="650"/>
      <c r="R365" s="650"/>
      <c r="S365" s="650"/>
      <c r="T365" s="650"/>
      <c r="U365" s="650"/>
      <c r="V365" s="650"/>
      <c r="W365" s="650"/>
      <c r="X365" s="650"/>
      <c r="Y365" s="650"/>
      <c r="Z365" s="650"/>
      <c r="AA365" s="650"/>
      <c r="AB365" s="650"/>
      <c r="AC365" s="650"/>
      <c r="AD365" s="650"/>
      <c r="AE365" s="650"/>
      <c r="AF365" s="650"/>
      <c r="AG365" s="650"/>
      <c r="AH365" s="650"/>
      <c r="AI365" s="650"/>
      <c r="AJ365" s="650"/>
      <c r="AK365" s="650"/>
      <c r="AL365" s="650"/>
      <c r="AM365" s="650"/>
      <c r="AN365" s="650"/>
      <c r="AO365" s="650"/>
      <c r="AP365" s="650"/>
      <c r="AQ365" s="650"/>
      <c r="AR365" s="650"/>
      <c r="AS365" s="650"/>
      <c r="AT365" s="650"/>
      <c r="AU365" s="650"/>
      <c r="AV365" s="650"/>
      <c r="AW365" s="650"/>
      <c r="AX365" s="650"/>
      <c r="AY365" s="650"/>
    </row>
    <row r="366" ht="21.75" customHeight="1">
      <c r="A366" s="650"/>
      <c r="B366" s="650"/>
      <c r="C366" s="650"/>
      <c r="D366" s="650"/>
      <c r="E366" s="650"/>
      <c r="F366" s="650"/>
      <c r="G366" s="650"/>
      <c r="H366" s="650"/>
      <c r="I366" s="650"/>
      <c r="J366" s="650"/>
      <c r="K366" s="650"/>
      <c r="L366" s="650"/>
      <c r="M366" s="650"/>
      <c r="N366" s="650"/>
      <c r="O366" s="650"/>
      <c r="P366" s="650"/>
      <c r="Q366" s="650"/>
      <c r="R366" s="650"/>
      <c r="S366" s="650"/>
      <c r="T366" s="650"/>
      <c r="U366" s="650"/>
      <c r="V366" s="650"/>
      <c r="W366" s="650"/>
      <c r="X366" s="650"/>
      <c r="Y366" s="650"/>
      <c r="Z366" s="650"/>
      <c r="AA366" s="650"/>
      <c r="AB366" s="650"/>
      <c r="AC366" s="650"/>
      <c r="AD366" s="650"/>
      <c r="AE366" s="650"/>
      <c r="AF366" s="650"/>
      <c r="AG366" s="650"/>
      <c r="AH366" s="650"/>
      <c r="AI366" s="650"/>
      <c r="AJ366" s="650"/>
      <c r="AK366" s="650"/>
      <c r="AL366" s="650"/>
      <c r="AM366" s="650"/>
      <c r="AN366" s="650"/>
      <c r="AO366" s="650"/>
      <c r="AP366" s="650"/>
      <c r="AQ366" s="650"/>
      <c r="AR366" s="650"/>
      <c r="AS366" s="650"/>
      <c r="AT366" s="650"/>
      <c r="AU366" s="650"/>
      <c r="AV366" s="650"/>
      <c r="AW366" s="650"/>
      <c r="AX366" s="650"/>
      <c r="AY366" s="650"/>
    </row>
    <row r="367" ht="21.75" customHeight="1">
      <c r="A367" s="650"/>
      <c r="B367" s="650"/>
      <c r="C367" s="650"/>
      <c r="D367" s="650"/>
      <c r="E367" s="650"/>
      <c r="F367" s="650"/>
      <c r="G367" s="650"/>
      <c r="H367" s="650"/>
      <c r="I367" s="650"/>
      <c r="J367" s="650"/>
      <c r="K367" s="650"/>
      <c r="L367" s="650"/>
      <c r="M367" s="650"/>
      <c r="N367" s="650"/>
      <c r="O367" s="650"/>
      <c r="P367" s="650"/>
      <c r="Q367" s="650"/>
      <c r="R367" s="650"/>
      <c r="S367" s="650"/>
      <c r="T367" s="650"/>
      <c r="U367" s="650"/>
      <c r="V367" s="650"/>
      <c r="W367" s="650"/>
      <c r="X367" s="650"/>
      <c r="Y367" s="650"/>
      <c r="Z367" s="650"/>
      <c r="AA367" s="650"/>
      <c r="AB367" s="650"/>
      <c r="AC367" s="650"/>
      <c r="AD367" s="650"/>
      <c r="AE367" s="650"/>
      <c r="AF367" s="650"/>
      <c r="AG367" s="650"/>
      <c r="AH367" s="650"/>
      <c r="AI367" s="650"/>
      <c r="AJ367" s="650"/>
      <c r="AK367" s="650"/>
      <c r="AL367" s="650"/>
      <c r="AM367" s="650"/>
      <c r="AN367" s="650"/>
      <c r="AO367" s="650"/>
      <c r="AP367" s="650"/>
      <c r="AQ367" s="650"/>
      <c r="AR367" s="650"/>
      <c r="AS367" s="650"/>
      <c r="AT367" s="650"/>
      <c r="AU367" s="650"/>
      <c r="AV367" s="650"/>
      <c r="AW367" s="650"/>
      <c r="AX367" s="650"/>
      <c r="AY367" s="650"/>
    </row>
    <row r="368" ht="21.75" customHeight="1">
      <c r="A368" s="650"/>
      <c r="B368" s="650"/>
      <c r="C368" s="650"/>
      <c r="D368" s="650"/>
      <c r="E368" s="650"/>
      <c r="F368" s="650"/>
      <c r="G368" s="650"/>
      <c r="H368" s="650"/>
      <c r="I368" s="650"/>
      <c r="J368" s="650"/>
      <c r="K368" s="650"/>
      <c r="L368" s="650"/>
      <c r="M368" s="650"/>
      <c r="N368" s="650"/>
      <c r="O368" s="650"/>
      <c r="P368" s="650"/>
      <c r="Q368" s="650"/>
      <c r="R368" s="650"/>
      <c r="S368" s="650"/>
      <c r="T368" s="650"/>
      <c r="U368" s="650"/>
      <c r="V368" s="650"/>
      <c r="W368" s="650"/>
      <c r="X368" s="650"/>
      <c r="Y368" s="650"/>
      <c r="Z368" s="650"/>
      <c r="AA368" s="650"/>
      <c r="AB368" s="650"/>
      <c r="AC368" s="650"/>
      <c r="AD368" s="650"/>
      <c r="AE368" s="650"/>
      <c r="AF368" s="650"/>
      <c r="AG368" s="650"/>
      <c r="AH368" s="650"/>
      <c r="AI368" s="650"/>
      <c r="AJ368" s="650"/>
      <c r="AK368" s="650"/>
      <c r="AL368" s="650"/>
      <c r="AM368" s="650"/>
      <c r="AN368" s="650"/>
      <c r="AO368" s="650"/>
      <c r="AP368" s="650"/>
      <c r="AQ368" s="650"/>
      <c r="AR368" s="650"/>
      <c r="AS368" s="650"/>
      <c r="AT368" s="650"/>
      <c r="AU368" s="650"/>
      <c r="AV368" s="650"/>
      <c r="AW368" s="650"/>
      <c r="AX368" s="650"/>
      <c r="AY368" s="650"/>
    </row>
    <row r="369" ht="21.75" customHeight="1">
      <c r="A369" s="650"/>
      <c r="B369" s="650"/>
      <c r="C369" s="650"/>
      <c r="D369" s="650"/>
      <c r="E369" s="650"/>
      <c r="F369" s="650"/>
      <c r="G369" s="650"/>
      <c r="H369" s="650"/>
      <c r="I369" s="650"/>
      <c r="J369" s="650"/>
      <c r="K369" s="650"/>
      <c r="L369" s="650"/>
      <c r="M369" s="650"/>
      <c r="N369" s="650"/>
      <c r="O369" s="650"/>
      <c r="P369" s="650"/>
      <c r="Q369" s="650"/>
      <c r="R369" s="650"/>
      <c r="S369" s="650"/>
      <c r="T369" s="650"/>
      <c r="U369" s="650"/>
      <c r="V369" s="650"/>
      <c r="W369" s="650"/>
      <c r="X369" s="650"/>
      <c r="Y369" s="650"/>
      <c r="Z369" s="650"/>
      <c r="AA369" s="650"/>
      <c r="AB369" s="650"/>
      <c r="AC369" s="650"/>
      <c r="AD369" s="650"/>
      <c r="AE369" s="650"/>
      <c r="AF369" s="650"/>
      <c r="AG369" s="650"/>
      <c r="AH369" s="650"/>
      <c r="AI369" s="650"/>
      <c r="AJ369" s="650"/>
      <c r="AK369" s="650"/>
      <c r="AL369" s="650"/>
      <c r="AM369" s="650"/>
      <c r="AN369" s="650"/>
      <c r="AO369" s="650"/>
      <c r="AP369" s="650"/>
      <c r="AQ369" s="650"/>
      <c r="AR369" s="650"/>
      <c r="AS369" s="650"/>
      <c r="AT369" s="650"/>
      <c r="AU369" s="650"/>
      <c r="AV369" s="650"/>
      <c r="AW369" s="650"/>
      <c r="AX369" s="650"/>
      <c r="AY369" s="650"/>
    </row>
    <row r="370" ht="21.75" customHeight="1">
      <c r="A370" s="650"/>
      <c r="B370" s="650"/>
      <c r="C370" s="650"/>
      <c r="D370" s="650"/>
      <c r="E370" s="650"/>
      <c r="F370" s="650"/>
      <c r="G370" s="650"/>
      <c r="H370" s="650"/>
      <c r="I370" s="650"/>
      <c r="J370" s="650"/>
      <c r="K370" s="650"/>
      <c r="L370" s="650"/>
      <c r="M370" s="650"/>
      <c r="N370" s="650"/>
      <c r="O370" s="650"/>
      <c r="P370" s="650"/>
      <c r="Q370" s="650"/>
      <c r="R370" s="650"/>
      <c r="S370" s="650"/>
      <c r="T370" s="650"/>
      <c r="U370" s="650"/>
      <c r="V370" s="650"/>
      <c r="W370" s="650"/>
      <c r="X370" s="650"/>
      <c r="Y370" s="650"/>
      <c r="Z370" s="650"/>
      <c r="AA370" s="650"/>
      <c r="AB370" s="650"/>
      <c r="AC370" s="650"/>
      <c r="AD370" s="650"/>
      <c r="AE370" s="650"/>
      <c r="AF370" s="650"/>
      <c r="AG370" s="650"/>
      <c r="AH370" s="650"/>
      <c r="AI370" s="650"/>
      <c r="AJ370" s="650"/>
      <c r="AK370" s="650"/>
      <c r="AL370" s="650"/>
      <c r="AM370" s="650"/>
      <c r="AN370" s="650"/>
      <c r="AO370" s="650"/>
      <c r="AP370" s="650"/>
      <c r="AQ370" s="650"/>
      <c r="AR370" s="650"/>
      <c r="AS370" s="650"/>
      <c r="AT370" s="650"/>
      <c r="AU370" s="650"/>
      <c r="AV370" s="650"/>
      <c r="AW370" s="650"/>
      <c r="AX370" s="650"/>
      <c r="AY370" s="650"/>
    </row>
    <row r="371" ht="21.75" customHeight="1">
      <c r="A371" s="650"/>
      <c r="B371" s="650"/>
      <c r="C371" s="650"/>
      <c r="D371" s="650"/>
      <c r="E371" s="650"/>
      <c r="F371" s="650"/>
      <c r="G371" s="650"/>
      <c r="H371" s="650"/>
      <c r="I371" s="650"/>
      <c r="J371" s="650"/>
      <c r="K371" s="650"/>
      <c r="L371" s="650"/>
      <c r="M371" s="650"/>
      <c r="N371" s="650"/>
      <c r="O371" s="650"/>
      <c r="P371" s="650"/>
      <c r="Q371" s="650"/>
      <c r="R371" s="650"/>
      <c r="S371" s="650"/>
      <c r="T371" s="650"/>
      <c r="U371" s="650"/>
      <c r="V371" s="650"/>
      <c r="W371" s="650"/>
      <c r="X371" s="650"/>
      <c r="Y371" s="650"/>
      <c r="Z371" s="650"/>
      <c r="AA371" s="650"/>
      <c r="AB371" s="650"/>
      <c r="AC371" s="650"/>
      <c r="AD371" s="650"/>
      <c r="AE371" s="650"/>
      <c r="AF371" s="650"/>
      <c r="AG371" s="650"/>
      <c r="AH371" s="650"/>
      <c r="AI371" s="650"/>
      <c r="AJ371" s="650"/>
      <c r="AK371" s="650"/>
      <c r="AL371" s="650"/>
      <c r="AM371" s="650"/>
      <c r="AN371" s="650"/>
      <c r="AO371" s="650"/>
      <c r="AP371" s="650"/>
      <c r="AQ371" s="650"/>
      <c r="AR371" s="650"/>
      <c r="AS371" s="650"/>
      <c r="AT371" s="650"/>
      <c r="AU371" s="650"/>
      <c r="AV371" s="650"/>
      <c r="AW371" s="650"/>
      <c r="AX371" s="650"/>
      <c r="AY371" s="650"/>
    </row>
    <row r="372" ht="21.75" customHeight="1">
      <c r="A372" s="650"/>
      <c r="B372" s="650"/>
      <c r="C372" s="650"/>
      <c r="D372" s="650"/>
      <c r="E372" s="650"/>
      <c r="F372" s="650"/>
      <c r="G372" s="650"/>
      <c r="H372" s="650"/>
      <c r="I372" s="650"/>
      <c r="J372" s="650"/>
      <c r="K372" s="650"/>
      <c r="L372" s="650"/>
      <c r="M372" s="650"/>
      <c r="N372" s="650"/>
      <c r="O372" s="650"/>
      <c r="P372" s="650"/>
      <c r="Q372" s="650"/>
      <c r="R372" s="650"/>
      <c r="S372" s="650"/>
      <c r="T372" s="650"/>
      <c r="U372" s="650"/>
      <c r="V372" s="650"/>
      <c r="W372" s="650"/>
      <c r="X372" s="650"/>
      <c r="Y372" s="650"/>
      <c r="Z372" s="650"/>
      <c r="AA372" s="650"/>
      <c r="AB372" s="650"/>
      <c r="AC372" s="650"/>
      <c r="AD372" s="650"/>
      <c r="AE372" s="650"/>
      <c r="AF372" s="650"/>
      <c r="AG372" s="650"/>
      <c r="AH372" s="650"/>
      <c r="AI372" s="650"/>
      <c r="AJ372" s="650"/>
      <c r="AK372" s="650"/>
      <c r="AL372" s="650"/>
      <c r="AM372" s="650"/>
      <c r="AN372" s="650"/>
      <c r="AO372" s="650"/>
      <c r="AP372" s="650"/>
      <c r="AQ372" s="650"/>
      <c r="AR372" s="650"/>
      <c r="AS372" s="650"/>
      <c r="AT372" s="650"/>
      <c r="AU372" s="650"/>
      <c r="AV372" s="650"/>
      <c r="AW372" s="650"/>
      <c r="AX372" s="650"/>
      <c r="AY372" s="650"/>
    </row>
    <row r="373" ht="21.75" customHeight="1">
      <c r="A373" s="650"/>
      <c r="B373" s="650"/>
      <c r="C373" s="650"/>
      <c r="D373" s="650"/>
      <c r="E373" s="650"/>
      <c r="F373" s="650"/>
      <c r="G373" s="650"/>
      <c r="H373" s="650"/>
      <c r="I373" s="650"/>
      <c r="J373" s="650"/>
      <c r="K373" s="650"/>
      <c r="L373" s="650"/>
      <c r="M373" s="650"/>
      <c r="N373" s="650"/>
      <c r="O373" s="650"/>
      <c r="P373" s="650"/>
      <c r="Q373" s="650"/>
      <c r="R373" s="650"/>
      <c r="S373" s="650"/>
      <c r="T373" s="650"/>
      <c r="U373" s="650"/>
      <c r="V373" s="650"/>
      <c r="W373" s="650"/>
      <c r="X373" s="650"/>
      <c r="Y373" s="650"/>
      <c r="Z373" s="650"/>
      <c r="AA373" s="650"/>
      <c r="AB373" s="650"/>
      <c r="AC373" s="650"/>
      <c r="AD373" s="650"/>
      <c r="AE373" s="650"/>
      <c r="AF373" s="650"/>
      <c r="AG373" s="650"/>
      <c r="AH373" s="650"/>
      <c r="AI373" s="650"/>
      <c r="AJ373" s="650"/>
      <c r="AK373" s="650"/>
      <c r="AL373" s="650"/>
      <c r="AM373" s="650"/>
      <c r="AN373" s="650"/>
      <c r="AO373" s="650"/>
      <c r="AP373" s="650"/>
      <c r="AQ373" s="650"/>
      <c r="AR373" s="650"/>
      <c r="AS373" s="650"/>
      <c r="AT373" s="650"/>
      <c r="AU373" s="650"/>
      <c r="AV373" s="650"/>
      <c r="AW373" s="650"/>
      <c r="AX373" s="650"/>
      <c r="AY373" s="650"/>
    </row>
    <row r="374" ht="21.75" customHeight="1">
      <c r="A374" s="650"/>
      <c r="B374" s="650"/>
      <c r="C374" s="650"/>
      <c r="D374" s="650"/>
      <c r="E374" s="650"/>
      <c r="F374" s="650"/>
      <c r="G374" s="650"/>
      <c r="H374" s="650"/>
      <c r="I374" s="650"/>
      <c r="J374" s="650"/>
      <c r="K374" s="650"/>
      <c r="L374" s="650"/>
      <c r="M374" s="650"/>
      <c r="N374" s="650"/>
      <c r="O374" s="650"/>
      <c r="P374" s="650"/>
      <c r="Q374" s="650"/>
      <c r="R374" s="650"/>
      <c r="S374" s="650"/>
      <c r="T374" s="650"/>
      <c r="U374" s="650"/>
      <c r="V374" s="650"/>
      <c r="W374" s="650"/>
      <c r="X374" s="650"/>
      <c r="Y374" s="650"/>
      <c r="Z374" s="650"/>
      <c r="AA374" s="650"/>
      <c r="AB374" s="650"/>
      <c r="AC374" s="650"/>
      <c r="AD374" s="650"/>
      <c r="AE374" s="650"/>
      <c r="AF374" s="650"/>
      <c r="AG374" s="650"/>
      <c r="AH374" s="650"/>
      <c r="AI374" s="650"/>
      <c r="AJ374" s="650"/>
      <c r="AK374" s="650"/>
      <c r="AL374" s="650"/>
      <c r="AM374" s="650"/>
      <c r="AN374" s="650"/>
      <c r="AO374" s="650"/>
      <c r="AP374" s="650"/>
      <c r="AQ374" s="650"/>
      <c r="AR374" s="650"/>
      <c r="AS374" s="650"/>
      <c r="AT374" s="650"/>
      <c r="AU374" s="650"/>
      <c r="AV374" s="650"/>
      <c r="AW374" s="650"/>
      <c r="AX374" s="650"/>
      <c r="AY374" s="650"/>
    </row>
    <row r="375" ht="21.75" customHeight="1">
      <c r="A375" s="650"/>
      <c r="B375" s="650"/>
      <c r="C375" s="650"/>
      <c r="D375" s="650"/>
      <c r="E375" s="650"/>
      <c r="F375" s="650"/>
      <c r="G375" s="650"/>
      <c r="H375" s="650"/>
      <c r="I375" s="650"/>
      <c r="J375" s="650"/>
      <c r="K375" s="650"/>
      <c r="L375" s="650"/>
      <c r="M375" s="650"/>
      <c r="N375" s="650"/>
      <c r="O375" s="650"/>
      <c r="P375" s="650"/>
      <c r="Q375" s="650"/>
      <c r="R375" s="650"/>
      <c r="S375" s="650"/>
      <c r="T375" s="650"/>
      <c r="U375" s="650"/>
      <c r="V375" s="650"/>
      <c r="W375" s="650"/>
      <c r="X375" s="650"/>
      <c r="Y375" s="650"/>
      <c r="Z375" s="650"/>
      <c r="AA375" s="650"/>
      <c r="AB375" s="650"/>
      <c r="AC375" s="650"/>
      <c r="AD375" s="650"/>
      <c r="AE375" s="650"/>
      <c r="AF375" s="650"/>
      <c r="AG375" s="650"/>
      <c r="AH375" s="650"/>
      <c r="AI375" s="650"/>
      <c r="AJ375" s="650"/>
      <c r="AK375" s="650"/>
      <c r="AL375" s="650"/>
      <c r="AM375" s="650"/>
      <c r="AN375" s="650"/>
      <c r="AO375" s="650"/>
      <c r="AP375" s="650"/>
      <c r="AQ375" s="650"/>
      <c r="AR375" s="650"/>
      <c r="AS375" s="650"/>
      <c r="AT375" s="650"/>
      <c r="AU375" s="650"/>
      <c r="AV375" s="650"/>
      <c r="AW375" s="650"/>
      <c r="AX375" s="650"/>
      <c r="AY375" s="650"/>
    </row>
    <row r="376" ht="21.75" customHeight="1">
      <c r="A376" s="650"/>
      <c r="B376" s="650"/>
      <c r="C376" s="650"/>
      <c r="D376" s="650"/>
      <c r="E376" s="650"/>
      <c r="F376" s="650"/>
      <c r="G376" s="650"/>
      <c r="H376" s="650"/>
      <c r="I376" s="650"/>
      <c r="J376" s="650"/>
      <c r="K376" s="650"/>
      <c r="L376" s="650"/>
      <c r="M376" s="650"/>
      <c r="N376" s="650"/>
      <c r="O376" s="650"/>
      <c r="P376" s="650"/>
      <c r="Q376" s="650"/>
      <c r="R376" s="650"/>
      <c r="S376" s="650"/>
      <c r="T376" s="650"/>
      <c r="U376" s="650"/>
      <c r="V376" s="650"/>
      <c r="W376" s="650"/>
      <c r="X376" s="650"/>
      <c r="Y376" s="650"/>
      <c r="Z376" s="650"/>
      <c r="AA376" s="650"/>
      <c r="AB376" s="650"/>
      <c r="AC376" s="650"/>
      <c r="AD376" s="650"/>
      <c r="AE376" s="650"/>
      <c r="AF376" s="650"/>
      <c r="AG376" s="650"/>
      <c r="AH376" s="650"/>
      <c r="AI376" s="650"/>
      <c r="AJ376" s="650"/>
      <c r="AK376" s="650"/>
      <c r="AL376" s="650"/>
      <c r="AM376" s="650"/>
      <c r="AN376" s="650"/>
      <c r="AO376" s="650"/>
      <c r="AP376" s="650"/>
      <c r="AQ376" s="650"/>
      <c r="AR376" s="650"/>
      <c r="AS376" s="650"/>
      <c r="AT376" s="650"/>
      <c r="AU376" s="650"/>
      <c r="AV376" s="650"/>
      <c r="AW376" s="650"/>
      <c r="AX376" s="650"/>
      <c r="AY376" s="650"/>
    </row>
    <row r="377" ht="21.75" customHeight="1">
      <c r="A377" s="650"/>
      <c r="B377" s="650"/>
      <c r="C377" s="650"/>
      <c r="D377" s="650"/>
      <c r="E377" s="650"/>
      <c r="F377" s="650"/>
      <c r="G377" s="650"/>
      <c r="H377" s="650"/>
      <c r="I377" s="650"/>
      <c r="J377" s="650"/>
      <c r="K377" s="650"/>
      <c r="L377" s="650"/>
      <c r="M377" s="650"/>
      <c r="N377" s="650"/>
      <c r="O377" s="650"/>
      <c r="P377" s="650"/>
      <c r="Q377" s="650"/>
      <c r="R377" s="650"/>
      <c r="S377" s="650"/>
      <c r="T377" s="650"/>
      <c r="U377" s="650"/>
      <c r="V377" s="650"/>
      <c r="W377" s="650"/>
      <c r="X377" s="650"/>
      <c r="Y377" s="650"/>
      <c r="Z377" s="650"/>
      <c r="AA377" s="650"/>
      <c r="AB377" s="650"/>
      <c r="AC377" s="650"/>
      <c r="AD377" s="650"/>
      <c r="AE377" s="650"/>
      <c r="AF377" s="650"/>
      <c r="AG377" s="650"/>
      <c r="AH377" s="650"/>
      <c r="AI377" s="650"/>
      <c r="AJ377" s="650"/>
      <c r="AK377" s="650"/>
      <c r="AL377" s="650"/>
      <c r="AM377" s="650"/>
      <c r="AN377" s="650"/>
      <c r="AO377" s="650"/>
      <c r="AP377" s="650"/>
      <c r="AQ377" s="650"/>
      <c r="AR377" s="650"/>
      <c r="AS377" s="650"/>
      <c r="AT377" s="650"/>
      <c r="AU377" s="650"/>
      <c r="AV377" s="650"/>
      <c r="AW377" s="650"/>
      <c r="AX377" s="650"/>
      <c r="AY377" s="650"/>
    </row>
    <row r="378" ht="21.75" customHeight="1">
      <c r="A378" s="650"/>
      <c r="B378" s="650"/>
      <c r="C378" s="650"/>
      <c r="D378" s="650"/>
      <c r="E378" s="650"/>
      <c r="F378" s="650"/>
      <c r="G378" s="650"/>
      <c r="H378" s="650"/>
      <c r="I378" s="650"/>
      <c r="J378" s="650"/>
      <c r="K378" s="650"/>
      <c r="L378" s="650"/>
      <c r="M378" s="650"/>
      <c r="N378" s="650"/>
      <c r="O378" s="650"/>
      <c r="P378" s="650"/>
      <c r="Q378" s="650"/>
      <c r="R378" s="650"/>
      <c r="S378" s="650"/>
      <c r="T378" s="650"/>
      <c r="U378" s="650"/>
      <c r="V378" s="650"/>
      <c r="W378" s="650"/>
      <c r="X378" s="650"/>
      <c r="Y378" s="650"/>
      <c r="Z378" s="650"/>
      <c r="AA378" s="650"/>
      <c r="AB378" s="650"/>
      <c r="AC378" s="650"/>
      <c r="AD378" s="650"/>
      <c r="AE378" s="650"/>
      <c r="AF378" s="650"/>
      <c r="AG378" s="650"/>
      <c r="AH378" s="650"/>
      <c r="AI378" s="650"/>
      <c r="AJ378" s="650"/>
      <c r="AK378" s="650"/>
      <c r="AL378" s="650"/>
      <c r="AM378" s="650"/>
      <c r="AN378" s="650"/>
      <c r="AO378" s="650"/>
      <c r="AP378" s="650"/>
      <c r="AQ378" s="650"/>
      <c r="AR378" s="650"/>
      <c r="AS378" s="650"/>
      <c r="AT378" s="650"/>
      <c r="AU378" s="650"/>
      <c r="AV378" s="650"/>
      <c r="AW378" s="650"/>
      <c r="AX378" s="650"/>
      <c r="AY378" s="650"/>
    </row>
    <row r="379" ht="21.75" customHeight="1">
      <c r="A379" s="650"/>
      <c r="B379" s="650"/>
      <c r="C379" s="650"/>
      <c r="D379" s="650"/>
      <c r="E379" s="650"/>
      <c r="F379" s="650"/>
      <c r="G379" s="650"/>
      <c r="H379" s="650"/>
      <c r="I379" s="650"/>
      <c r="J379" s="650"/>
      <c r="K379" s="650"/>
      <c r="L379" s="650"/>
      <c r="M379" s="650"/>
      <c r="N379" s="650"/>
      <c r="O379" s="650"/>
      <c r="P379" s="650"/>
      <c r="Q379" s="650"/>
      <c r="R379" s="650"/>
      <c r="S379" s="650"/>
      <c r="T379" s="650"/>
      <c r="U379" s="650"/>
      <c r="V379" s="650"/>
      <c r="W379" s="650"/>
      <c r="X379" s="650"/>
      <c r="Y379" s="650"/>
      <c r="Z379" s="650"/>
      <c r="AA379" s="650"/>
      <c r="AB379" s="650"/>
      <c r="AC379" s="650"/>
      <c r="AD379" s="650"/>
      <c r="AE379" s="650"/>
      <c r="AF379" s="650"/>
      <c r="AG379" s="650"/>
      <c r="AH379" s="650"/>
      <c r="AI379" s="650"/>
      <c r="AJ379" s="650"/>
      <c r="AK379" s="650"/>
      <c r="AL379" s="650"/>
      <c r="AM379" s="650"/>
      <c r="AN379" s="650"/>
      <c r="AO379" s="650"/>
      <c r="AP379" s="650"/>
      <c r="AQ379" s="650"/>
      <c r="AR379" s="650"/>
      <c r="AS379" s="650"/>
      <c r="AT379" s="650"/>
      <c r="AU379" s="650"/>
      <c r="AV379" s="650"/>
      <c r="AW379" s="650"/>
      <c r="AX379" s="650"/>
      <c r="AY379" s="650"/>
    </row>
    <row r="380" ht="21.75" customHeight="1">
      <c r="A380" s="650"/>
      <c r="B380" s="650"/>
      <c r="C380" s="650"/>
      <c r="D380" s="650"/>
      <c r="E380" s="650"/>
      <c r="F380" s="650"/>
      <c r="G380" s="650"/>
      <c r="H380" s="650"/>
      <c r="I380" s="650"/>
      <c r="J380" s="650"/>
      <c r="K380" s="650"/>
      <c r="L380" s="650"/>
      <c r="M380" s="650"/>
      <c r="N380" s="650"/>
      <c r="O380" s="650"/>
      <c r="P380" s="650"/>
      <c r="Q380" s="650"/>
      <c r="R380" s="650"/>
      <c r="S380" s="650"/>
      <c r="T380" s="650"/>
      <c r="U380" s="650"/>
      <c r="V380" s="650"/>
      <c r="W380" s="650"/>
      <c r="X380" s="650"/>
      <c r="Y380" s="650"/>
      <c r="Z380" s="650"/>
      <c r="AA380" s="650"/>
      <c r="AB380" s="650"/>
      <c r="AC380" s="650"/>
      <c r="AD380" s="650"/>
      <c r="AE380" s="650"/>
      <c r="AF380" s="650"/>
      <c r="AG380" s="650"/>
      <c r="AH380" s="650"/>
      <c r="AI380" s="650"/>
      <c r="AJ380" s="650"/>
      <c r="AK380" s="650"/>
      <c r="AL380" s="650"/>
      <c r="AM380" s="650"/>
      <c r="AN380" s="650"/>
      <c r="AO380" s="650"/>
      <c r="AP380" s="650"/>
      <c r="AQ380" s="650"/>
      <c r="AR380" s="650"/>
      <c r="AS380" s="650"/>
      <c r="AT380" s="650"/>
      <c r="AU380" s="650"/>
      <c r="AV380" s="650"/>
      <c r="AW380" s="650"/>
      <c r="AX380" s="650"/>
      <c r="AY380" s="650"/>
    </row>
    <row r="381" ht="21.75" customHeight="1">
      <c r="A381" s="650"/>
      <c r="B381" s="650"/>
      <c r="C381" s="650"/>
      <c r="D381" s="650"/>
      <c r="E381" s="650"/>
      <c r="F381" s="650"/>
      <c r="G381" s="650"/>
      <c r="H381" s="650"/>
      <c r="I381" s="650"/>
      <c r="J381" s="650"/>
      <c r="K381" s="650"/>
      <c r="L381" s="650"/>
      <c r="M381" s="650"/>
      <c r="N381" s="650"/>
      <c r="O381" s="650"/>
      <c r="P381" s="650"/>
      <c r="Q381" s="650"/>
      <c r="R381" s="650"/>
      <c r="S381" s="650"/>
      <c r="T381" s="650"/>
      <c r="U381" s="650"/>
      <c r="V381" s="650"/>
      <c r="W381" s="650"/>
      <c r="X381" s="650"/>
      <c r="Y381" s="650"/>
      <c r="Z381" s="650"/>
      <c r="AA381" s="650"/>
      <c r="AB381" s="650"/>
      <c r="AC381" s="650"/>
      <c r="AD381" s="650"/>
      <c r="AE381" s="650"/>
      <c r="AF381" s="650"/>
      <c r="AG381" s="650"/>
      <c r="AH381" s="650"/>
      <c r="AI381" s="650"/>
      <c r="AJ381" s="650"/>
      <c r="AK381" s="650"/>
      <c r="AL381" s="650"/>
      <c r="AM381" s="650"/>
      <c r="AN381" s="650"/>
      <c r="AO381" s="650"/>
      <c r="AP381" s="650"/>
      <c r="AQ381" s="650"/>
      <c r="AR381" s="650"/>
      <c r="AS381" s="650"/>
      <c r="AT381" s="650"/>
      <c r="AU381" s="650"/>
      <c r="AV381" s="650"/>
      <c r="AW381" s="650"/>
      <c r="AX381" s="650"/>
      <c r="AY381" s="650"/>
    </row>
    <row r="382" ht="21.75" customHeight="1">
      <c r="A382" s="650"/>
      <c r="B382" s="650"/>
      <c r="C382" s="650"/>
      <c r="D382" s="650"/>
      <c r="E382" s="650"/>
      <c r="F382" s="650"/>
      <c r="G382" s="650"/>
      <c r="H382" s="650"/>
      <c r="I382" s="650"/>
      <c r="J382" s="650"/>
      <c r="K382" s="650"/>
      <c r="L382" s="650"/>
      <c r="M382" s="650"/>
      <c r="N382" s="650"/>
      <c r="O382" s="650"/>
      <c r="P382" s="650"/>
      <c r="Q382" s="650"/>
      <c r="R382" s="650"/>
      <c r="S382" s="650"/>
      <c r="T382" s="650"/>
      <c r="U382" s="650"/>
      <c r="V382" s="650"/>
      <c r="W382" s="650"/>
      <c r="X382" s="650"/>
      <c r="Y382" s="650"/>
      <c r="Z382" s="650"/>
      <c r="AA382" s="650"/>
      <c r="AB382" s="650"/>
      <c r="AC382" s="650"/>
      <c r="AD382" s="650"/>
      <c r="AE382" s="650"/>
      <c r="AF382" s="650"/>
      <c r="AG382" s="650"/>
      <c r="AH382" s="650"/>
      <c r="AI382" s="650"/>
      <c r="AJ382" s="650"/>
      <c r="AK382" s="650"/>
      <c r="AL382" s="650"/>
      <c r="AM382" s="650"/>
      <c r="AN382" s="650"/>
      <c r="AO382" s="650"/>
      <c r="AP382" s="650"/>
      <c r="AQ382" s="650"/>
      <c r="AR382" s="650"/>
      <c r="AS382" s="650"/>
      <c r="AT382" s="650"/>
      <c r="AU382" s="650"/>
      <c r="AV382" s="650"/>
      <c r="AW382" s="650"/>
      <c r="AX382" s="650"/>
      <c r="AY382" s="650"/>
    </row>
    <row r="383" ht="21.75" customHeight="1">
      <c r="A383" s="650"/>
      <c r="B383" s="650"/>
      <c r="C383" s="650"/>
      <c r="D383" s="650"/>
      <c r="E383" s="650"/>
      <c r="F383" s="650"/>
      <c r="G383" s="650"/>
      <c r="H383" s="650"/>
      <c r="I383" s="650"/>
      <c r="J383" s="650"/>
      <c r="K383" s="650"/>
      <c r="L383" s="650"/>
      <c r="M383" s="650"/>
      <c r="N383" s="650"/>
      <c r="O383" s="650"/>
      <c r="P383" s="650"/>
      <c r="Q383" s="650"/>
      <c r="R383" s="650"/>
      <c r="S383" s="650"/>
      <c r="T383" s="650"/>
      <c r="U383" s="650"/>
      <c r="V383" s="650"/>
      <c r="W383" s="650"/>
      <c r="X383" s="650"/>
      <c r="Y383" s="650"/>
      <c r="Z383" s="650"/>
      <c r="AA383" s="650"/>
      <c r="AB383" s="650"/>
      <c r="AC383" s="650"/>
      <c r="AD383" s="650"/>
      <c r="AE383" s="650"/>
      <c r="AF383" s="650"/>
      <c r="AG383" s="650"/>
      <c r="AH383" s="650"/>
      <c r="AI383" s="650"/>
      <c r="AJ383" s="650"/>
      <c r="AK383" s="650"/>
      <c r="AL383" s="650"/>
      <c r="AM383" s="650"/>
      <c r="AN383" s="650"/>
      <c r="AO383" s="650"/>
      <c r="AP383" s="650"/>
      <c r="AQ383" s="650"/>
      <c r="AR383" s="650"/>
      <c r="AS383" s="650"/>
      <c r="AT383" s="650"/>
      <c r="AU383" s="650"/>
      <c r="AV383" s="650"/>
      <c r="AW383" s="650"/>
      <c r="AX383" s="650"/>
      <c r="AY383" s="650"/>
    </row>
    <row r="384" ht="21.75" customHeight="1">
      <c r="A384" s="650"/>
      <c r="B384" s="650"/>
      <c r="C384" s="650"/>
      <c r="D384" s="650"/>
      <c r="E384" s="650"/>
      <c r="F384" s="650"/>
      <c r="G384" s="650"/>
      <c r="H384" s="650"/>
      <c r="I384" s="650"/>
      <c r="J384" s="650"/>
      <c r="K384" s="650"/>
      <c r="L384" s="650"/>
      <c r="M384" s="650"/>
      <c r="N384" s="650"/>
      <c r="O384" s="650"/>
      <c r="P384" s="650"/>
      <c r="Q384" s="650"/>
      <c r="R384" s="650"/>
      <c r="S384" s="650"/>
      <c r="T384" s="650"/>
      <c r="U384" s="650"/>
      <c r="V384" s="650"/>
      <c r="W384" s="650"/>
      <c r="X384" s="650"/>
      <c r="Y384" s="650"/>
      <c r="Z384" s="650"/>
      <c r="AA384" s="650"/>
      <c r="AB384" s="650"/>
      <c r="AC384" s="650"/>
      <c r="AD384" s="650"/>
      <c r="AE384" s="650"/>
      <c r="AF384" s="650"/>
      <c r="AG384" s="650"/>
      <c r="AH384" s="650"/>
      <c r="AI384" s="650"/>
      <c r="AJ384" s="650"/>
      <c r="AK384" s="650"/>
      <c r="AL384" s="650"/>
      <c r="AM384" s="650"/>
      <c r="AN384" s="650"/>
      <c r="AO384" s="650"/>
      <c r="AP384" s="650"/>
      <c r="AQ384" s="650"/>
      <c r="AR384" s="650"/>
      <c r="AS384" s="650"/>
      <c r="AT384" s="650"/>
      <c r="AU384" s="650"/>
      <c r="AV384" s="650"/>
      <c r="AW384" s="650"/>
      <c r="AX384" s="650"/>
      <c r="AY384" s="650"/>
    </row>
    <row r="385" ht="21.75" customHeight="1">
      <c r="A385" s="650"/>
      <c r="B385" s="650"/>
      <c r="C385" s="650"/>
      <c r="D385" s="650"/>
      <c r="E385" s="650"/>
      <c r="F385" s="650"/>
      <c r="G385" s="650"/>
      <c r="H385" s="650"/>
      <c r="I385" s="650"/>
      <c r="J385" s="650"/>
      <c r="K385" s="650"/>
      <c r="L385" s="650"/>
      <c r="M385" s="650"/>
      <c r="N385" s="650"/>
      <c r="O385" s="650"/>
      <c r="P385" s="650"/>
      <c r="Q385" s="650"/>
      <c r="R385" s="650"/>
      <c r="S385" s="650"/>
      <c r="T385" s="650"/>
      <c r="U385" s="650"/>
      <c r="V385" s="650"/>
      <c r="W385" s="650"/>
      <c r="X385" s="650"/>
      <c r="Y385" s="650"/>
      <c r="Z385" s="650"/>
      <c r="AA385" s="650"/>
      <c r="AB385" s="650"/>
      <c r="AC385" s="650"/>
      <c r="AD385" s="650"/>
      <c r="AE385" s="650"/>
      <c r="AF385" s="650"/>
      <c r="AG385" s="650"/>
      <c r="AH385" s="650"/>
      <c r="AI385" s="650"/>
      <c r="AJ385" s="650"/>
      <c r="AK385" s="650"/>
      <c r="AL385" s="650"/>
      <c r="AM385" s="650"/>
      <c r="AN385" s="650"/>
      <c r="AO385" s="650"/>
      <c r="AP385" s="650"/>
      <c r="AQ385" s="650"/>
      <c r="AR385" s="650"/>
      <c r="AS385" s="650"/>
      <c r="AT385" s="650"/>
      <c r="AU385" s="650"/>
      <c r="AV385" s="650"/>
      <c r="AW385" s="650"/>
      <c r="AX385" s="650"/>
      <c r="AY385" s="650"/>
    </row>
    <row r="386" ht="21.75" customHeight="1">
      <c r="A386" s="650"/>
      <c r="B386" s="650"/>
      <c r="C386" s="650"/>
      <c r="D386" s="650"/>
      <c r="E386" s="650"/>
      <c r="F386" s="650"/>
      <c r="G386" s="650"/>
      <c r="H386" s="650"/>
      <c r="I386" s="650"/>
      <c r="J386" s="650"/>
      <c r="K386" s="650"/>
      <c r="L386" s="650"/>
      <c r="M386" s="650"/>
      <c r="N386" s="650"/>
      <c r="O386" s="650"/>
      <c r="P386" s="650"/>
      <c r="Q386" s="650"/>
      <c r="R386" s="650"/>
      <c r="S386" s="650"/>
      <c r="T386" s="650"/>
      <c r="U386" s="650"/>
      <c r="V386" s="650"/>
      <c r="W386" s="650"/>
      <c r="X386" s="650"/>
      <c r="Y386" s="650"/>
      <c r="Z386" s="650"/>
      <c r="AA386" s="650"/>
      <c r="AB386" s="650"/>
      <c r="AC386" s="650"/>
      <c r="AD386" s="650"/>
      <c r="AE386" s="650"/>
      <c r="AF386" s="650"/>
      <c r="AG386" s="650"/>
      <c r="AH386" s="650"/>
      <c r="AI386" s="650"/>
      <c r="AJ386" s="650"/>
      <c r="AK386" s="650"/>
      <c r="AL386" s="650"/>
      <c r="AM386" s="650"/>
      <c r="AN386" s="650"/>
      <c r="AO386" s="650"/>
      <c r="AP386" s="650"/>
      <c r="AQ386" s="650"/>
      <c r="AR386" s="650"/>
      <c r="AS386" s="650"/>
      <c r="AT386" s="650"/>
      <c r="AU386" s="650"/>
      <c r="AV386" s="650"/>
      <c r="AW386" s="650"/>
      <c r="AX386" s="650"/>
      <c r="AY386" s="650"/>
    </row>
    <row r="387" ht="21.75" customHeight="1">
      <c r="A387" s="650"/>
      <c r="B387" s="650"/>
      <c r="C387" s="650"/>
      <c r="D387" s="650"/>
      <c r="E387" s="650"/>
      <c r="F387" s="650"/>
      <c r="G387" s="650"/>
      <c r="H387" s="650"/>
      <c r="I387" s="650"/>
      <c r="J387" s="650"/>
      <c r="K387" s="650"/>
      <c r="L387" s="650"/>
      <c r="M387" s="650"/>
      <c r="N387" s="650"/>
      <c r="O387" s="650"/>
      <c r="P387" s="650"/>
      <c r="Q387" s="650"/>
      <c r="R387" s="650"/>
      <c r="S387" s="650"/>
      <c r="T387" s="650"/>
      <c r="U387" s="650"/>
      <c r="V387" s="650"/>
      <c r="W387" s="650"/>
      <c r="X387" s="650"/>
      <c r="Y387" s="650"/>
      <c r="Z387" s="650"/>
      <c r="AA387" s="650"/>
      <c r="AB387" s="650"/>
      <c r="AC387" s="650"/>
      <c r="AD387" s="650"/>
      <c r="AE387" s="650"/>
      <c r="AF387" s="650"/>
      <c r="AG387" s="650"/>
      <c r="AH387" s="650"/>
      <c r="AI387" s="650"/>
      <c r="AJ387" s="650"/>
      <c r="AK387" s="650"/>
      <c r="AL387" s="650"/>
      <c r="AM387" s="650"/>
      <c r="AN387" s="650"/>
      <c r="AO387" s="650"/>
      <c r="AP387" s="650"/>
      <c r="AQ387" s="650"/>
      <c r="AR387" s="650"/>
      <c r="AS387" s="650"/>
      <c r="AT387" s="650"/>
      <c r="AU387" s="650"/>
      <c r="AV387" s="650"/>
      <c r="AW387" s="650"/>
      <c r="AX387" s="650"/>
      <c r="AY387" s="650"/>
    </row>
    <row r="388" ht="21.75" customHeight="1">
      <c r="A388" s="650"/>
      <c r="B388" s="650"/>
      <c r="C388" s="650"/>
      <c r="D388" s="650"/>
      <c r="E388" s="650"/>
      <c r="F388" s="650"/>
      <c r="G388" s="650"/>
      <c r="H388" s="650"/>
      <c r="I388" s="650"/>
      <c r="J388" s="650"/>
      <c r="K388" s="650"/>
      <c r="L388" s="650"/>
      <c r="M388" s="650"/>
      <c r="N388" s="650"/>
      <c r="O388" s="650"/>
      <c r="P388" s="650"/>
      <c r="Q388" s="650"/>
      <c r="R388" s="650"/>
      <c r="S388" s="650"/>
      <c r="T388" s="650"/>
      <c r="U388" s="650"/>
      <c r="V388" s="650"/>
      <c r="W388" s="650"/>
      <c r="X388" s="650"/>
      <c r="Y388" s="650"/>
      <c r="Z388" s="650"/>
      <c r="AA388" s="650"/>
      <c r="AB388" s="650"/>
      <c r="AC388" s="650"/>
      <c r="AD388" s="650"/>
      <c r="AE388" s="650"/>
      <c r="AF388" s="650"/>
      <c r="AG388" s="650"/>
      <c r="AH388" s="650"/>
      <c r="AI388" s="650"/>
      <c r="AJ388" s="650"/>
      <c r="AK388" s="650"/>
      <c r="AL388" s="650"/>
      <c r="AM388" s="650"/>
      <c r="AN388" s="650"/>
      <c r="AO388" s="650"/>
      <c r="AP388" s="650"/>
      <c r="AQ388" s="650"/>
      <c r="AR388" s="650"/>
      <c r="AS388" s="650"/>
      <c r="AT388" s="650"/>
      <c r="AU388" s="650"/>
      <c r="AV388" s="650"/>
      <c r="AW388" s="650"/>
      <c r="AX388" s="650"/>
      <c r="AY388" s="650"/>
    </row>
    <row r="389" ht="21.75" customHeight="1">
      <c r="A389" s="650"/>
      <c r="B389" s="650"/>
      <c r="C389" s="650"/>
      <c r="D389" s="650"/>
      <c r="E389" s="650"/>
      <c r="F389" s="650"/>
      <c r="G389" s="650"/>
      <c r="H389" s="650"/>
      <c r="I389" s="650"/>
      <c r="J389" s="650"/>
      <c r="K389" s="650"/>
      <c r="L389" s="650"/>
      <c r="M389" s="650"/>
      <c r="N389" s="650"/>
      <c r="O389" s="650"/>
      <c r="P389" s="650"/>
      <c r="Q389" s="650"/>
      <c r="R389" s="650"/>
      <c r="S389" s="650"/>
      <c r="T389" s="650"/>
      <c r="U389" s="650"/>
      <c r="V389" s="650"/>
      <c r="W389" s="650"/>
      <c r="X389" s="650"/>
      <c r="Y389" s="650"/>
      <c r="Z389" s="650"/>
      <c r="AA389" s="650"/>
      <c r="AB389" s="650"/>
      <c r="AC389" s="650"/>
      <c r="AD389" s="650"/>
      <c r="AE389" s="650"/>
      <c r="AF389" s="650"/>
      <c r="AG389" s="650"/>
      <c r="AH389" s="650"/>
      <c r="AI389" s="650"/>
      <c r="AJ389" s="650"/>
      <c r="AK389" s="650"/>
      <c r="AL389" s="650"/>
      <c r="AM389" s="650"/>
      <c r="AN389" s="650"/>
      <c r="AO389" s="650"/>
      <c r="AP389" s="650"/>
      <c r="AQ389" s="650"/>
      <c r="AR389" s="650"/>
      <c r="AS389" s="650"/>
      <c r="AT389" s="650"/>
      <c r="AU389" s="650"/>
      <c r="AV389" s="650"/>
      <c r="AW389" s="650"/>
      <c r="AX389" s="650"/>
      <c r="AY389" s="650"/>
    </row>
    <row r="390" ht="21.75" customHeight="1">
      <c r="A390" s="650"/>
      <c r="B390" s="650"/>
      <c r="C390" s="650"/>
      <c r="D390" s="650"/>
      <c r="E390" s="650"/>
      <c r="F390" s="650"/>
      <c r="G390" s="650"/>
      <c r="H390" s="650"/>
      <c r="I390" s="650"/>
      <c r="J390" s="650"/>
      <c r="K390" s="650"/>
      <c r="L390" s="650"/>
      <c r="M390" s="650"/>
      <c r="N390" s="650"/>
      <c r="O390" s="650"/>
      <c r="P390" s="650"/>
      <c r="Q390" s="650"/>
      <c r="R390" s="650"/>
      <c r="S390" s="650"/>
      <c r="T390" s="650"/>
      <c r="U390" s="650"/>
      <c r="V390" s="650"/>
      <c r="W390" s="650"/>
      <c r="X390" s="650"/>
      <c r="Y390" s="650"/>
      <c r="Z390" s="650"/>
      <c r="AA390" s="650"/>
      <c r="AB390" s="650"/>
      <c r="AC390" s="650"/>
      <c r="AD390" s="650"/>
      <c r="AE390" s="650"/>
      <c r="AF390" s="650"/>
      <c r="AG390" s="650"/>
      <c r="AH390" s="650"/>
      <c r="AI390" s="650"/>
      <c r="AJ390" s="650"/>
      <c r="AK390" s="650"/>
      <c r="AL390" s="650"/>
      <c r="AM390" s="650"/>
      <c r="AN390" s="650"/>
      <c r="AO390" s="650"/>
      <c r="AP390" s="650"/>
      <c r="AQ390" s="650"/>
      <c r="AR390" s="650"/>
      <c r="AS390" s="650"/>
      <c r="AT390" s="650"/>
      <c r="AU390" s="650"/>
      <c r="AV390" s="650"/>
      <c r="AW390" s="650"/>
      <c r="AX390" s="650"/>
      <c r="AY390" s="650"/>
    </row>
    <row r="391" ht="21.75" customHeight="1">
      <c r="A391" s="650"/>
      <c r="B391" s="650"/>
      <c r="C391" s="650"/>
      <c r="D391" s="650"/>
      <c r="E391" s="650"/>
      <c r="F391" s="650"/>
      <c r="G391" s="650"/>
      <c r="H391" s="650"/>
      <c r="I391" s="650"/>
      <c r="J391" s="650"/>
      <c r="K391" s="650"/>
      <c r="L391" s="650"/>
      <c r="M391" s="650"/>
      <c r="N391" s="650"/>
      <c r="O391" s="650"/>
      <c r="P391" s="650"/>
      <c r="Q391" s="650"/>
      <c r="R391" s="650"/>
      <c r="S391" s="650"/>
      <c r="T391" s="650"/>
      <c r="U391" s="650"/>
      <c r="V391" s="650"/>
      <c r="W391" s="650"/>
      <c r="X391" s="650"/>
      <c r="Y391" s="650"/>
      <c r="Z391" s="650"/>
      <c r="AA391" s="650"/>
      <c r="AB391" s="650"/>
      <c r="AC391" s="650"/>
      <c r="AD391" s="650"/>
      <c r="AE391" s="650"/>
      <c r="AF391" s="650"/>
      <c r="AG391" s="650"/>
      <c r="AH391" s="650"/>
      <c r="AI391" s="650"/>
      <c r="AJ391" s="650"/>
      <c r="AK391" s="650"/>
      <c r="AL391" s="650"/>
      <c r="AM391" s="650"/>
      <c r="AN391" s="650"/>
      <c r="AO391" s="650"/>
      <c r="AP391" s="650"/>
      <c r="AQ391" s="650"/>
      <c r="AR391" s="650"/>
      <c r="AS391" s="650"/>
      <c r="AT391" s="650"/>
      <c r="AU391" s="650"/>
      <c r="AV391" s="650"/>
      <c r="AW391" s="650"/>
      <c r="AX391" s="650"/>
      <c r="AY391" s="650"/>
    </row>
    <row r="392" ht="21.75" customHeight="1">
      <c r="A392" s="650"/>
      <c r="B392" s="650"/>
      <c r="C392" s="650"/>
      <c r="D392" s="650"/>
      <c r="E392" s="650"/>
      <c r="F392" s="650"/>
      <c r="G392" s="650"/>
      <c r="H392" s="650"/>
      <c r="I392" s="650"/>
      <c r="J392" s="650"/>
      <c r="K392" s="650"/>
      <c r="L392" s="650"/>
      <c r="M392" s="650"/>
      <c r="N392" s="650"/>
      <c r="O392" s="650"/>
      <c r="P392" s="650"/>
      <c r="Q392" s="650"/>
      <c r="R392" s="650"/>
      <c r="S392" s="650"/>
      <c r="T392" s="650"/>
      <c r="U392" s="650"/>
      <c r="V392" s="650"/>
      <c r="W392" s="650"/>
      <c r="X392" s="650"/>
      <c r="Y392" s="650"/>
      <c r="Z392" s="650"/>
      <c r="AA392" s="650"/>
      <c r="AB392" s="650"/>
      <c r="AC392" s="650"/>
      <c r="AD392" s="650"/>
      <c r="AE392" s="650"/>
      <c r="AF392" s="650"/>
      <c r="AG392" s="650"/>
      <c r="AH392" s="650"/>
      <c r="AI392" s="650"/>
      <c r="AJ392" s="650"/>
      <c r="AK392" s="650"/>
      <c r="AL392" s="650"/>
      <c r="AM392" s="650"/>
      <c r="AN392" s="650"/>
      <c r="AO392" s="650"/>
      <c r="AP392" s="650"/>
      <c r="AQ392" s="650"/>
      <c r="AR392" s="650"/>
      <c r="AS392" s="650"/>
      <c r="AT392" s="650"/>
      <c r="AU392" s="650"/>
      <c r="AV392" s="650"/>
      <c r="AW392" s="650"/>
      <c r="AX392" s="650"/>
      <c r="AY392" s="650"/>
    </row>
    <row r="393" ht="21.75" customHeight="1">
      <c r="A393" s="650"/>
      <c r="B393" s="650"/>
      <c r="C393" s="650"/>
      <c r="D393" s="650"/>
      <c r="E393" s="650"/>
      <c r="F393" s="650"/>
      <c r="G393" s="650"/>
      <c r="H393" s="650"/>
      <c r="I393" s="650"/>
      <c r="J393" s="650"/>
      <c r="K393" s="650"/>
      <c r="L393" s="650"/>
      <c r="M393" s="650"/>
      <c r="N393" s="650"/>
      <c r="O393" s="650"/>
      <c r="P393" s="650"/>
      <c r="Q393" s="650"/>
      <c r="R393" s="650"/>
      <c r="S393" s="650"/>
      <c r="T393" s="650"/>
      <c r="U393" s="650"/>
      <c r="V393" s="650"/>
      <c r="W393" s="650"/>
      <c r="X393" s="650"/>
      <c r="Y393" s="650"/>
      <c r="Z393" s="650"/>
      <c r="AA393" s="650"/>
      <c r="AB393" s="650"/>
      <c r="AC393" s="650"/>
      <c r="AD393" s="650"/>
      <c r="AE393" s="650"/>
      <c r="AF393" s="650"/>
      <c r="AG393" s="650"/>
      <c r="AH393" s="650"/>
      <c r="AI393" s="650"/>
      <c r="AJ393" s="650"/>
      <c r="AK393" s="650"/>
      <c r="AL393" s="650"/>
      <c r="AM393" s="650"/>
      <c r="AN393" s="650"/>
      <c r="AO393" s="650"/>
      <c r="AP393" s="650"/>
      <c r="AQ393" s="650"/>
      <c r="AR393" s="650"/>
      <c r="AS393" s="650"/>
      <c r="AT393" s="650"/>
      <c r="AU393" s="650"/>
      <c r="AV393" s="650"/>
      <c r="AW393" s="650"/>
      <c r="AX393" s="650"/>
      <c r="AY393" s="650"/>
    </row>
    <row r="394" ht="21.75" customHeight="1">
      <c r="A394" s="650"/>
      <c r="B394" s="650"/>
      <c r="C394" s="650"/>
      <c r="D394" s="650"/>
      <c r="E394" s="650"/>
      <c r="F394" s="650"/>
      <c r="G394" s="650"/>
      <c r="H394" s="650"/>
      <c r="I394" s="650"/>
      <c r="J394" s="650"/>
      <c r="K394" s="650"/>
      <c r="L394" s="650"/>
      <c r="M394" s="650"/>
      <c r="N394" s="650"/>
      <c r="O394" s="650"/>
      <c r="P394" s="650"/>
      <c r="Q394" s="650"/>
      <c r="R394" s="650"/>
      <c r="S394" s="650"/>
      <c r="T394" s="650"/>
      <c r="U394" s="650"/>
      <c r="V394" s="650"/>
      <c r="W394" s="650"/>
      <c r="X394" s="650"/>
      <c r="Y394" s="650"/>
      <c r="Z394" s="650"/>
      <c r="AA394" s="650"/>
      <c r="AB394" s="650"/>
      <c r="AC394" s="650"/>
      <c r="AD394" s="650"/>
      <c r="AE394" s="650"/>
      <c r="AF394" s="650"/>
      <c r="AG394" s="650"/>
      <c r="AH394" s="650"/>
      <c r="AI394" s="650"/>
      <c r="AJ394" s="650"/>
      <c r="AK394" s="650"/>
      <c r="AL394" s="650"/>
      <c r="AM394" s="650"/>
      <c r="AN394" s="650"/>
      <c r="AO394" s="650"/>
      <c r="AP394" s="650"/>
      <c r="AQ394" s="650"/>
      <c r="AR394" s="650"/>
      <c r="AS394" s="650"/>
      <c r="AT394" s="650"/>
      <c r="AU394" s="650"/>
      <c r="AV394" s="650"/>
      <c r="AW394" s="650"/>
      <c r="AX394" s="650"/>
      <c r="AY394" s="650"/>
    </row>
    <row r="395" ht="21.75" customHeight="1">
      <c r="A395" s="650"/>
      <c r="B395" s="650"/>
      <c r="C395" s="650"/>
      <c r="D395" s="650"/>
      <c r="E395" s="650"/>
      <c r="F395" s="650"/>
      <c r="G395" s="650"/>
      <c r="H395" s="650"/>
      <c r="I395" s="650"/>
      <c r="J395" s="650"/>
      <c r="K395" s="650"/>
      <c r="L395" s="650"/>
      <c r="M395" s="650"/>
      <c r="N395" s="650"/>
      <c r="O395" s="650"/>
      <c r="P395" s="650"/>
      <c r="Q395" s="650"/>
      <c r="R395" s="650"/>
      <c r="S395" s="650"/>
      <c r="T395" s="650"/>
      <c r="U395" s="650"/>
      <c r="V395" s="650"/>
      <c r="W395" s="650"/>
      <c r="X395" s="650"/>
      <c r="Y395" s="650"/>
      <c r="Z395" s="650"/>
      <c r="AA395" s="650"/>
      <c r="AB395" s="650"/>
      <c r="AC395" s="650"/>
      <c r="AD395" s="650"/>
      <c r="AE395" s="650"/>
      <c r="AF395" s="650"/>
      <c r="AG395" s="650"/>
      <c r="AH395" s="650"/>
      <c r="AI395" s="650"/>
      <c r="AJ395" s="650"/>
      <c r="AK395" s="650"/>
      <c r="AL395" s="650"/>
      <c r="AM395" s="650"/>
      <c r="AN395" s="650"/>
      <c r="AO395" s="650"/>
      <c r="AP395" s="650"/>
      <c r="AQ395" s="650"/>
      <c r="AR395" s="650"/>
      <c r="AS395" s="650"/>
      <c r="AT395" s="650"/>
      <c r="AU395" s="650"/>
      <c r="AV395" s="650"/>
      <c r="AW395" s="650"/>
      <c r="AX395" s="650"/>
      <c r="AY395" s="650"/>
    </row>
    <row r="396" ht="21.75" customHeight="1">
      <c r="A396" s="650"/>
      <c r="B396" s="650"/>
      <c r="C396" s="650"/>
      <c r="D396" s="650"/>
      <c r="E396" s="650"/>
      <c r="F396" s="650"/>
      <c r="G396" s="650"/>
      <c r="H396" s="650"/>
      <c r="I396" s="650"/>
      <c r="J396" s="650"/>
      <c r="K396" s="650"/>
      <c r="L396" s="650"/>
      <c r="M396" s="650"/>
      <c r="N396" s="650"/>
      <c r="O396" s="650"/>
      <c r="P396" s="650"/>
      <c r="Q396" s="650"/>
      <c r="R396" s="650"/>
      <c r="S396" s="650"/>
      <c r="T396" s="650"/>
      <c r="U396" s="650"/>
      <c r="V396" s="650"/>
      <c r="W396" s="650"/>
      <c r="X396" s="650"/>
      <c r="Y396" s="650"/>
      <c r="Z396" s="650"/>
      <c r="AA396" s="650"/>
      <c r="AB396" s="650"/>
      <c r="AC396" s="650"/>
      <c r="AD396" s="650"/>
      <c r="AE396" s="650"/>
      <c r="AF396" s="650"/>
      <c r="AG396" s="650"/>
      <c r="AH396" s="650"/>
      <c r="AI396" s="650"/>
      <c r="AJ396" s="650"/>
      <c r="AK396" s="650"/>
      <c r="AL396" s="650"/>
      <c r="AM396" s="650"/>
      <c r="AN396" s="650"/>
      <c r="AO396" s="650"/>
      <c r="AP396" s="650"/>
      <c r="AQ396" s="650"/>
      <c r="AR396" s="650"/>
      <c r="AS396" s="650"/>
      <c r="AT396" s="650"/>
      <c r="AU396" s="650"/>
      <c r="AV396" s="650"/>
      <c r="AW396" s="650"/>
      <c r="AX396" s="650"/>
      <c r="AY396" s="650"/>
    </row>
    <row r="397" ht="21.75" customHeight="1">
      <c r="A397" s="650"/>
      <c r="B397" s="650"/>
      <c r="C397" s="650"/>
      <c r="D397" s="650"/>
      <c r="E397" s="650"/>
      <c r="F397" s="650"/>
      <c r="G397" s="650"/>
      <c r="H397" s="650"/>
      <c r="I397" s="650"/>
      <c r="J397" s="650"/>
      <c r="K397" s="650"/>
      <c r="L397" s="650"/>
      <c r="M397" s="650"/>
      <c r="N397" s="650"/>
      <c r="O397" s="650"/>
      <c r="P397" s="650"/>
      <c r="Q397" s="650"/>
      <c r="R397" s="650"/>
      <c r="S397" s="650"/>
      <c r="T397" s="650"/>
      <c r="U397" s="650"/>
      <c r="V397" s="650"/>
      <c r="W397" s="650"/>
      <c r="X397" s="650"/>
      <c r="Y397" s="650"/>
      <c r="Z397" s="650"/>
      <c r="AA397" s="650"/>
      <c r="AB397" s="650"/>
      <c r="AC397" s="650"/>
      <c r="AD397" s="650"/>
      <c r="AE397" s="650"/>
      <c r="AF397" s="650"/>
      <c r="AG397" s="650"/>
      <c r="AH397" s="650"/>
      <c r="AI397" s="650"/>
      <c r="AJ397" s="650"/>
      <c r="AK397" s="650"/>
      <c r="AL397" s="650"/>
      <c r="AM397" s="650"/>
      <c r="AN397" s="650"/>
      <c r="AO397" s="650"/>
      <c r="AP397" s="650"/>
      <c r="AQ397" s="650"/>
      <c r="AR397" s="650"/>
      <c r="AS397" s="650"/>
      <c r="AT397" s="650"/>
      <c r="AU397" s="650"/>
      <c r="AV397" s="650"/>
      <c r="AW397" s="650"/>
      <c r="AX397" s="650"/>
      <c r="AY397" s="650"/>
    </row>
    <row r="398" ht="21.75" customHeight="1">
      <c r="A398" s="650"/>
      <c r="B398" s="650"/>
      <c r="C398" s="650"/>
      <c r="D398" s="650"/>
      <c r="E398" s="650"/>
      <c r="F398" s="650"/>
      <c r="G398" s="650"/>
      <c r="H398" s="650"/>
      <c r="I398" s="650"/>
      <c r="J398" s="650"/>
      <c r="K398" s="650"/>
      <c r="L398" s="650"/>
      <c r="M398" s="650"/>
      <c r="N398" s="650"/>
      <c r="O398" s="650"/>
      <c r="P398" s="650"/>
      <c r="Q398" s="650"/>
      <c r="R398" s="650"/>
      <c r="S398" s="650"/>
      <c r="T398" s="650"/>
      <c r="U398" s="650"/>
      <c r="V398" s="650"/>
      <c r="W398" s="650"/>
      <c r="X398" s="650"/>
      <c r="Y398" s="650"/>
      <c r="Z398" s="650"/>
      <c r="AA398" s="650"/>
      <c r="AB398" s="650"/>
      <c r="AC398" s="650"/>
      <c r="AD398" s="650"/>
      <c r="AE398" s="650"/>
      <c r="AF398" s="650"/>
      <c r="AG398" s="650"/>
      <c r="AH398" s="650"/>
      <c r="AI398" s="650"/>
      <c r="AJ398" s="650"/>
      <c r="AK398" s="650"/>
      <c r="AL398" s="650"/>
      <c r="AM398" s="650"/>
      <c r="AN398" s="650"/>
      <c r="AO398" s="650"/>
      <c r="AP398" s="650"/>
      <c r="AQ398" s="650"/>
      <c r="AR398" s="650"/>
      <c r="AS398" s="650"/>
      <c r="AT398" s="650"/>
      <c r="AU398" s="650"/>
      <c r="AV398" s="650"/>
      <c r="AW398" s="650"/>
      <c r="AX398" s="650"/>
      <c r="AY398" s="650"/>
    </row>
    <row r="399" ht="21.75" customHeight="1">
      <c r="A399" s="650"/>
      <c r="B399" s="650"/>
      <c r="C399" s="650"/>
      <c r="D399" s="650"/>
      <c r="E399" s="650"/>
      <c r="F399" s="650"/>
      <c r="G399" s="650"/>
      <c r="H399" s="650"/>
      <c r="I399" s="650"/>
      <c r="J399" s="650"/>
      <c r="K399" s="650"/>
      <c r="L399" s="650"/>
      <c r="M399" s="650"/>
      <c r="N399" s="650"/>
      <c r="O399" s="650"/>
      <c r="P399" s="650"/>
      <c r="Q399" s="650"/>
      <c r="R399" s="650"/>
      <c r="S399" s="650"/>
      <c r="T399" s="650"/>
      <c r="U399" s="650"/>
      <c r="V399" s="650"/>
      <c r="W399" s="650"/>
      <c r="X399" s="650"/>
      <c r="Y399" s="650"/>
      <c r="Z399" s="650"/>
      <c r="AA399" s="650"/>
      <c r="AB399" s="650"/>
      <c r="AC399" s="650"/>
      <c r="AD399" s="650"/>
      <c r="AE399" s="650"/>
      <c r="AF399" s="650"/>
      <c r="AG399" s="650"/>
      <c r="AH399" s="650"/>
      <c r="AI399" s="650"/>
      <c r="AJ399" s="650"/>
      <c r="AK399" s="650"/>
      <c r="AL399" s="650"/>
      <c r="AM399" s="650"/>
      <c r="AN399" s="650"/>
      <c r="AO399" s="650"/>
      <c r="AP399" s="650"/>
      <c r="AQ399" s="650"/>
      <c r="AR399" s="650"/>
      <c r="AS399" s="650"/>
      <c r="AT399" s="650"/>
      <c r="AU399" s="650"/>
      <c r="AV399" s="650"/>
      <c r="AW399" s="650"/>
      <c r="AX399" s="650"/>
      <c r="AY399" s="650"/>
    </row>
    <row r="400" ht="21.75" customHeight="1">
      <c r="A400" s="650"/>
      <c r="B400" s="650"/>
      <c r="C400" s="650"/>
      <c r="D400" s="650"/>
      <c r="E400" s="650"/>
      <c r="F400" s="650"/>
      <c r="G400" s="650"/>
      <c r="H400" s="650"/>
      <c r="I400" s="650"/>
      <c r="J400" s="650"/>
      <c r="K400" s="650"/>
      <c r="L400" s="650"/>
      <c r="M400" s="650"/>
      <c r="N400" s="650"/>
      <c r="O400" s="650"/>
      <c r="P400" s="650"/>
      <c r="Q400" s="650"/>
      <c r="R400" s="650"/>
      <c r="S400" s="650"/>
      <c r="T400" s="650"/>
      <c r="U400" s="650"/>
      <c r="V400" s="650"/>
      <c r="W400" s="650"/>
      <c r="X400" s="650"/>
      <c r="Y400" s="650"/>
      <c r="Z400" s="650"/>
      <c r="AA400" s="650"/>
      <c r="AB400" s="650"/>
      <c r="AC400" s="650"/>
      <c r="AD400" s="650"/>
      <c r="AE400" s="650"/>
      <c r="AF400" s="650"/>
      <c r="AG400" s="650"/>
      <c r="AH400" s="650"/>
      <c r="AI400" s="650"/>
      <c r="AJ400" s="650"/>
      <c r="AK400" s="650"/>
      <c r="AL400" s="650"/>
      <c r="AM400" s="650"/>
      <c r="AN400" s="650"/>
      <c r="AO400" s="650"/>
      <c r="AP400" s="650"/>
      <c r="AQ400" s="650"/>
      <c r="AR400" s="650"/>
      <c r="AS400" s="650"/>
      <c r="AT400" s="650"/>
      <c r="AU400" s="650"/>
      <c r="AV400" s="650"/>
      <c r="AW400" s="650"/>
      <c r="AX400" s="650"/>
      <c r="AY400" s="650"/>
    </row>
    <row r="401" ht="21.75" customHeight="1">
      <c r="A401" s="650"/>
      <c r="B401" s="650"/>
      <c r="C401" s="650"/>
      <c r="D401" s="650"/>
      <c r="E401" s="650"/>
      <c r="F401" s="650"/>
      <c r="G401" s="650"/>
      <c r="H401" s="650"/>
      <c r="I401" s="650"/>
      <c r="J401" s="650"/>
      <c r="K401" s="650"/>
      <c r="L401" s="650"/>
      <c r="M401" s="650"/>
      <c r="N401" s="650"/>
      <c r="O401" s="650"/>
      <c r="P401" s="650"/>
      <c r="Q401" s="650"/>
      <c r="R401" s="650"/>
      <c r="S401" s="650"/>
      <c r="T401" s="650"/>
      <c r="U401" s="650"/>
      <c r="V401" s="650"/>
      <c r="W401" s="650"/>
      <c r="X401" s="650"/>
      <c r="Y401" s="650"/>
      <c r="Z401" s="650"/>
      <c r="AA401" s="650"/>
      <c r="AB401" s="650"/>
      <c r="AC401" s="650"/>
      <c r="AD401" s="650"/>
      <c r="AE401" s="650"/>
      <c r="AF401" s="650"/>
      <c r="AG401" s="650"/>
      <c r="AH401" s="650"/>
      <c r="AI401" s="650"/>
      <c r="AJ401" s="650"/>
      <c r="AK401" s="650"/>
      <c r="AL401" s="650"/>
      <c r="AM401" s="650"/>
      <c r="AN401" s="650"/>
      <c r="AO401" s="650"/>
      <c r="AP401" s="650"/>
      <c r="AQ401" s="650"/>
      <c r="AR401" s="650"/>
      <c r="AS401" s="650"/>
      <c r="AT401" s="650"/>
      <c r="AU401" s="650"/>
      <c r="AV401" s="650"/>
      <c r="AW401" s="650"/>
      <c r="AX401" s="650"/>
      <c r="AY401" s="650"/>
    </row>
    <row r="402" ht="21.75" customHeight="1">
      <c r="A402" s="650"/>
      <c r="B402" s="650"/>
      <c r="C402" s="650"/>
      <c r="D402" s="650"/>
      <c r="E402" s="650"/>
      <c r="F402" s="650"/>
      <c r="G402" s="650"/>
      <c r="H402" s="650"/>
      <c r="I402" s="650"/>
      <c r="J402" s="650"/>
      <c r="K402" s="650"/>
      <c r="L402" s="650"/>
      <c r="M402" s="650"/>
      <c r="N402" s="650"/>
      <c r="O402" s="650"/>
      <c r="P402" s="650"/>
      <c r="Q402" s="650"/>
      <c r="R402" s="650"/>
      <c r="S402" s="650"/>
      <c r="T402" s="650"/>
      <c r="U402" s="650"/>
      <c r="V402" s="650"/>
      <c r="W402" s="650"/>
      <c r="X402" s="650"/>
      <c r="Y402" s="650"/>
      <c r="Z402" s="650"/>
      <c r="AA402" s="650"/>
      <c r="AB402" s="650"/>
      <c r="AC402" s="650"/>
      <c r="AD402" s="650"/>
      <c r="AE402" s="650"/>
      <c r="AF402" s="650"/>
      <c r="AG402" s="650"/>
      <c r="AH402" s="650"/>
      <c r="AI402" s="650"/>
      <c r="AJ402" s="650"/>
      <c r="AK402" s="650"/>
      <c r="AL402" s="650"/>
      <c r="AM402" s="650"/>
      <c r="AN402" s="650"/>
      <c r="AO402" s="650"/>
      <c r="AP402" s="650"/>
      <c r="AQ402" s="650"/>
      <c r="AR402" s="650"/>
      <c r="AS402" s="650"/>
      <c r="AT402" s="650"/>
      <c r="AU402" s="650"/>
      <c r="AV402" s="650"/>
      <c r="AW402" s="650"/>
      <c r="AX402" s="650"/>
      <c r="AY402" s="650"/>
    </row>
    <row r="403" ht="21.75" customHeight="1">
      <c r="A403" s="650"/>
      <c r="B403" s="650"/>
      <c r="C403" s="650"/>
      <c r="D403" s="650"/>
      <c r="E403" s="650"/>
      <c r="F403" s="650"/>
      <c r="G403" s="650"/>
      <c r="H403" s="650"/>
      <c r="I403" s="650"/>
      <c r="J403" s="650"/>
      <c r="K403" s="650"/>
      <c r="L403" s="650"/>
      <c r="M403" s="650"/>
      <c r="N403" s="650"/>
      <c r="O403" s="650"/>
      <c r="P403" s="650"/>
      <c r="Q403" s="650"/>
      <c r="R403" s="650"/>
      <c r="S403" s="650"/>
      <c r="T403" s="650"/>
      <c r="U403" s="650"/>
      <c r="V403" s="650"/>
      <c r="W403" s="650"/>
      <c r="X403" s="650"/>
      <c r="Y403" s="650"/>
      <c r="Z403" s="650"/>
      <c r="AA403" s="650"/>
      <c r="AB403" s="650"/>
      <c r="AC403" s="650"/>
      <c r="AD403" s="650"/>
      <c r="AE403" s="650"/>
      <c r="AF403" s="650"/>
      <c r="AG403" s="650"/>
      <c r="AH403" s="650"/>
      <c r="AI403" s="650"/>
      <c r="AJ403" s="650"/>
      <c r="AK403" s="650"/>
      <c r="AL403" s="650"/>
      <c r="AM403" s="650"/>
      <c r="AN403" s="650"/>
      <c r="AO403" s="650"/>
      <c r="AP403" s="650"/>
      <c r="AQ403" s="650"/>
      <c r="AR403" s="650"/>
      <c r="AS403" s="650"/>
      <c r="AT403" s="650"/>
      <c r="AU403" s="650"/>
      <c r="AV403" s="650"/>
      <c r="AW403" s="650"/>
      <c r="AX403" s="650"/>
      <c r="AY403" s="650"/>
    </row>
    <row r="404" ht="21.75" customHeight="1">
      <c r="A404" s="650"/>
      <c r="B404" s="650"/>
      <c r="C404" s="650"/>
      <c r="D404" s="650"/>
      <c r="E404" s="650"/>
      <c r="F404" s="650"/>
      <c r="G404" s="650"/>
      <c r="H404" s="650"/>
      <c r="I404" s="650"/>
      <c r="J404" s="650"/>
      <c r="K404" s="650"/>
      <c r="L404" s="650"/>
      <c r="M404" s="650"/>
      <c r="N404" s="650"/>
      <c r="O404" s="650"/>
      <c r="P404" s="650"/>
      <c r="Q404" s="650"/>
      <c r="R404" s="650"/>
      <c r="S404" s="650"/>
      <c r="T404" s="650"/>
      <c r="U404" s="650"/>
      <c r="V404" s="650"/>
      <c r="W404" s="650"/>
      <c r="X404" s="650"/>
      <c r="Y404" s="650"/>
      <c r="Z404" s="650"/>
      <c r="AA404" s="650"/>
      <c r="AB404" s="650"/>
      <c r="AC404" s="650"/>
      <c r="AD404" s="650"/>
      <c r="AE404" s="650"/>
      <c r="AF404" s="650"/>
      <c r="AG404" s="650"/>
      <c r="AH404" s="650"/>
      <c r="AI404" s="650"/>
      <c r="AJ404" s="650"/>
      <c r="AK404" s="650"/>
      <c r="AL404" s="650"/>
      <c r="AM404" s="650"/>
      <c r="AN404" s="650"/>
      <c r="AO404" s="650"/>
      <c r="AP404" s="650"/>
      <c r="AQ404" s="650"/>
      <c r="AR404" s="650"/>
      <c r="AS404" s="650"/>
      <c r="AT404" s="650"/>
      <c r="AU404" s="650"/>
      <c r="AV404" s="650"/>
      <c r="AW404" s="650"/>
      <c r="AX404" s="650"/>
      <c r="AY404" s="650"/>
    </row>
    <row r="405" ht="21.75" customHeight="1">
      <c r="A405" s="650"/>
      <c r="B405" s="650"/>
      <c r="C405" s="650"/>
      <c r="D405" s="650"/>
      <c r="E405" s="650"/>
      <c r="F405" s="650"/>
      <c r="G405" s="650"/>
      <c r="H405" s="650"/>
      <c r="I405" s="650"/>
      <c r="J405" s="650"/>
      <c r="K405" s="650"/>
      <c r="L405" s="650"/>
      <c r="M405" s="650"/>
      <c r="N405" s="650"/>
      <c r="O405" s="650"/>
      <c r="P405" s="650"/>
      <c r="Q405" s="650"/>
      <c r="R405" s="650"/>
      <c r="S405" s="650"/>
      <c r="T405" s="650"/>
      <c r="U405" s="650"/>
      <c r="V405" s="650"/>
      <c r="W405" s="650"/>
      <c r="X405" s="650"/>
      <c r="Y405" s="650"/>
      <c r="Z405" s="650"/>
      <c r="AA405" s="650"/>
      <c r="AB405" s="650"/>
      <c r="AC405" s="650"/>
      <c r="AD405" s="650"/>
      <c r="AE405" s="650"/>
      <c r="AF405" s="650"/>
      <c r="AG405" s="650"/>
      <c r="AH405" s="650"/>
      <c r="AI405" s="650"/>
      <c r="AJ405" s="650"/>
      <c r="AK405" s="650"/>
      <c r="AL405" s="650"/>
      <c r="AM405" s="650"/>
      <c r="AN405" s="650"/>
      <c r="AO405" s="650"/>
      <c r="AP405" s="650"/>
      <c r="AQ405" s="650"/>
      <c r="AR405" s="650"/>
      <c r="AS405" s="650"/>
      <c r="AT405" s="650"/>
      <c r="AU405" s="650"/>
      <c r="AV405" s="650"/>
      <c r="AW405" s="650"/>
      <c r="AX405" s="650"/>
      <c r="AY405" s="650"/>
    </row>
    <row r="406" ht="21.75" customHeight="1">
      <c r="A406" s="650"/>
      <c r="B406" s="650"/>
      <c r="C406" s="650"/>
      <c r="D406" s="650"/>
      <c r="E406" s="650"/>
      <c r="F406" s="650"/>
      <c r="G406" s="650"/>
      <c r="H406" s="650"/>
      <c r="I406" s="650"/>
      <c r="J406" s="650"/>
      <c r="K406" s="650"/>
      <c r="L406" s="650"/>
      <c r="M406" s="650"/>
      <c r="N406" s="650"/>
      <c r="O406" s="650"/>
      <c r="P406" s="650"/>
      <c r="Q406" s="650"/>
      <c r="R406" s="650"/>
      <c r="S406" s="650"/>
      <c r="T406" s="650"/>
      <c r="U406" s="650"/>
      <c r="V406" s="650"/>
      <c r="W406" s="650"/>
      <c r="X406" s="650"/>
      <c r="Y406" s="650"/>
      <c r="Z406" s="650"/>
      <c r="AA406" s="650"/>
      <c r="AB406" s="650"/>
      <c r="AC406" s="650"/>
      <c r="AD406" s="650"/>
      <c r="AE406" s="650"/>
      <c r="AF406" s="650"/>
      <c r="AG406" s="650"/>
      <c r="AH406" s="650"/>
      <c r="AI406" s="650"/>
      <c r="AJ406" s="650"/>
      <c r="AK406" s="650"/>
      <c r="AL406" s="650"/>
      <c r="AM406" s="650"/>
      <c r="AN406" s="650"/>
      <c r="AO406" s="650"/>
      <c r="AP406" s="650"/>
      <c r="AQ406" s="650"/>
      <c r="AR406" s="650"/>
      <c r="AS406" s="650"/>
      <c r="AT406" s="650"/>
      <c r="AU406" s="650"/>
      <c r="AV406" s="650"/>
      <c r="AW406" s="650"/>
      <c r="AX406" s="650"/>
      <c r="AY406" s="650"/>
    </row>
    <row r="407" ht="21.75" customHeight="1">
      <c r="A407" s="650"/>
      <c r="B407" s="650"/>
      <c r="C407" s="650"/>
      <c r="D407" s="650"/>
      <c r="E407" s="650"/>
      <c r="F407" s="650"/>
      <c r="G407" s="650"/>
      <c r="H407" s="650"/>
      <c r="I407" s="650"/>
      <c r="J407" s="650"/>
      <c r="K407" s="650"/>
      <c r="L407" s="650"/>
      <c r="M407" s="650"/>
      <c r="N407" s="650"/>
      <c r="O407" s="650"/>
      <c r="P407" s="650"/>
      <c r="Q407" s="650"/>
      <c r="R407" s="650"/>
      <c r="S407" s="650"/>
      <c r="T407" s="650"/>
      <c r="U407" s="650"/>
      <c r="V407" s="650"/>
      <c r="W407" s="650"/>
      <c r="X407" s="650"/>
      <c r="Y407" s="650"/>
      <c r="Z407" s="650"/>
      <c r="AA407" s="650"/>
      <c r="AB407" s="650"/>
      <c r="AC407" s="650"/>
      <c r="AD407" s="650"/>
      <c r="AE407" s="650"/>
      <c r="AF407" s="650"/>
      <c r="AG407" s="650"/>
      <c r="AH407" s="650"/>
      <c r="AI407" s="650"/>
      <c r="AJ407" s="650"/>
      <c r="AK407" s="650"/>
      <c r="AL407" s="650"/>
      <c r="AM407" s="650"/>
      <c r="AN407" s="650"/>
      <c r="AO407" s="650"/>
      <c r="AP407" s="650"/>
      <c r="AQ407" s="650"/>
      <c r="AR407" s="650"/>
      <c r="AS407" s="650"/>
      <c r="AT407" s="650"/>
      <c r="AU407" s="650"/>
      <c r="AV407" s="650"/>
      <c r="AW407" s="650"/>
      <c r="AX407" s="650"/>
      <c r="AY407" s="650"/>
    </row>
    <row r="408" ht="21.75" customHeight="1">
      <c r="A408" s="650"/>
      <c r="B408" s="650"/>
      <c r="C408" s="650"/>
      <c r="D408" s="650"/>
      <c r="E408" s="650"/>
      <c r="F408" s="650"/>
      <c r="G408" s="650"/>
      <c r="H408" s="650"/>
      <c r="I408" s="650"/>
      <c r="J408" s="650"/>
      <c r="K408" s="650"/>
      <c r="L408" s="650"/>
      <c r="M408" s="650"/>
      <c r="N408" s="650"/>
      <c r="O408" s="650"/>
      <c r="P408" s="650"/>
      <c r="Q408" s="650"/>
      <c r="R408" s="650"/>
      <c r="S408" s="650"/>
      <c r="T408" s="650"/>
      <c r="U408" s="650"/>
      <c r="V408" s="650"/>
      <c r="W408" s="650"/>
      <c r="X408" s="650"/>
      <c r="Y408" s="650"/>
      <c r="Z408" s="650"/>
      <c r="AA408" s="650"/>
      <c r="AB408" s="650"/>
      <c r="AC408" s="650"/>
      <c r="AD408" s="650"/>
      <c r="AE408" s="650"/>
      <c r="AF408" s="650"/>
      <c r="AG408" s="650"/>
      <c r="AH408" s="650"/>
      <c r="AI408" s="650"/>
      <c r="AJ408" s="650"/>
      <c r="AK408" s="650"/>
      <c r="AL408" s="650"/>
      <c r="AM408" s="650"/>
      <c r="AN408" s="650"/>
      <c r="AO408" s="650"/>
      <c r="AP408" s="650"/>
      <c r="AQ408" s="650"/>
      <c r="AR408" s="650"/>
      <c r="AS408" s="650"/>
      <c r="AT408" s="650"/>
      <c r="AU408" s="650"/>
      <c r="AV408" s="650"/>
      <c r="AW408" s="650"/>
      <c r="AX408" s="650"/>
      <c r="AY408" s="650"/>
    </row>
    <row r="409" ht="21.75" customHeight="1">
      <c r="A409" s="650"/>
      <c r="B409" s="650"/>
      <c r="C409" s="650"/>
      <c r="D409" s="650"/>
      <c r="E409" s="650"/>
      <c r="F409" s="650"/>
      <c r="G409" s="650"/>
      <c r="H409" s="650"/>
      <c r="I409" s="650"/>
      <c r="J409" s="650"/>
      <c r="K409" s="650"/>
      <c r="L409" s="650"/>
      <c r="M409" s="650"/>
      <c r="N409" s="650"/>
      <c r="O409" s="650"/>
      <c r="P409" s="650"/>
      <c r="Q409" s="650"/>
      <c r="R409" s="650"/>
      <c r="S409" s="650"/>
      <c r="T409" s="650"/>
      <c r="U409" s="650"/>
      <c r="V409" s="650"/>
      <c r="W409" s="650"/>
      <c r="X409" s="650"/>
      <c r="Y409" s="650"/>
      <c r="Z409" s="650"/>
      <c r="AA409" s="650"/>
      <c r="AB409" s="650"/>
      <c r="AC409" s="650"/>
      <c r="AD409" s="650"/>
      <c r="AE409" s="650"/>
      <c r="AF409" s="650"/>
      <c r="AG409" s="650"/>
      <c r="AH409" s="650"/>
      <c r="AI409" s="650"/>
      <c r="AJ409" s="650"/>
      <c r="AK409" s="650"/>
      <c r="AL409" s="650"/>
      <c r="AM409" s="650"/>
      <c r="AN409" s="650"/>
      <c r="AO409" s="650"/>
      <c r="AP409" s="650"/>
      <c r="AQ409" s="650"/>
      <c r="AR409" s="650"/>
      <c r="AS409" s="650"/>
      <c r="AT409" s="650"/>
      <c r="AU409" s="650"/>
      <c r="AV409" s="650"/>
      <c r="AW409" s="650"/>
      <c r="AX409" s="650"/>
      <c r="AY409" s="650"/>
    </row>
    <row r="410" ht="21.75" customHeight="1">
      <c r="A410" s="650"/>
      <c r="B410" s="650"/>
      <c r="C410" s="650"/>
      <c r="D410" s="650"/>
      <c r="E410" s="650"/>
      <c r="F410" s="650"/>
      <c r="G410" s="650"/>
      <c r="H410" s="650"/>
      <c r="I410" s="650"/>
      <c r="J410" s="650"/>
      <c r="K410" s="650"/>
      <c r="L410" s="650"/>
      <c r="M410" s="650"/>
      <c r="N410" s="650"/>
      <c r="O410" s="650"/>
      <c r="P410" s="650"/>
      <c r="Q410" s="650"/>
      <c r="R410" s="650"/>
      <c r="S410" s="650"/>
      <c r="T410" s="650"/>
      <c r="U410" s="650"/>
      <c r="V410" s="650"/>
      <c r="W410" s="650"/>
      <c r="X410" s="650"/>
      <c r="Y410" s="650"/>
      <c r="Z410" s="650"/>
      <c r="AA410" s="650"/>
      <c r="AB410" s="650"/>
      <c r="AC410" s="650"/>
      <c r="AD410" s="650"/>
      <c r="AE410" s="650"/>
      <c r="AF410" s="650"/>
      <c r="AG410" s="650"/>
      <c r="AH410" s="650"/>
      <c r="AI410" s="650"/>
      <c r="AJ410" s="650"/>
      <c r="AK410" s="650"/>
      <c r="AL410" s="650"/>
      <c r="AM410" s="650"/>
      <c r="AN410" s="650"/>
      <c r="AO410" s="650"/>
      <c r="AP410" s="650"/>
      <c r="AQ410" s="650"/>
      <c r="AR410" s="650"/>
      <c r="AS410" s="650"/>
      <c r="AT410" s="650"/>
      <c r="AU410" s="650"/>
      <c r="AV410" s="650"/>
      <c r="AW410" s="650"/>
      <c r="AX410" s="650"/>
      <c r="AY410" s="650"/>
    </row>
    <row r="411" ht="21.75" customHeight="1">
      <c r="A411" s="650"/>
      <c r="B411" s="650"/>
      <c r="C411" s="650"/>
      <c r="D411" s="650"/>
      <c r="E411" s="650"/>
      <c r="F411" s="650"/>
      <c r="G411" s="650"/>
      <c r="H411" s="650"/>
      <c r="I411" s="650"/>
      <c r="J411" s="650"/>
      <c r="K411" s="650"/>
      <c r="L411" s="650"/>
      <c r="M411" s="650"/>
      <c r="N411" s="650"/>
      <c r="O411" s="650"/>
      <c r="P411" s="650"/>
      <c r="Q411" s="650"/>
      <c r="R411" s="650"/>
      <c r="S411" s="650"/>
      <c r="T411" s="650"/>
      <c r="U411" s="650"/>
      <c r="V411" s="650"/>
      <c r="W411" s="650"/>
      <c r="X411" s="650"/>
      <c r="Y411" s="650"/>
      <c r="Z411" s="650"/>
      <c r="AA411" s="650"/>
      <c r="AB411" s="650"/>
      <c r="AC411" s="650"/>
      <c r="AD411" s="650"/>
      <c r="AE411" s="650"/>
      <c r="AF411" s="650"/>
      <c r="AG411" s="650"/>
      <c r="AH411" s="650"/>
      <c r="AI411" s="650"/>
      <c r="AJ411" s="650"/>
      <c r="AK411" s="650"/>
      <c r="AL411" s="650"/>
      <c r="AM411" s="650"/>
      <c r="AN411" s="650"/>
      <c r="AO411" s="650"/>
      <c r="AP411" s="650"/>
      <c r="AQ411" s="650"/>
      <c r="AR411" s="650"/>
      <c r="AS411" s="650"/>
      <c r="AT411" s="650"/>
      <c r="AU411" s="650"/>
      <c r="AV411" s="650"/>
      <c r="AW411" s="650"/>
      <c r="AX411" s="650"/>
      <c r="AY411" s="650"/>
    </row>
    <row r="412" ht="21.75" customHeight="1">
      <c r="A412" s="650"/>
      <c r="B412" s="650"/>
      <c r="C412" s="650"/>
      <c r="D412" s="650"/>
      <c r="E412" s="650"/>
      <c r="F412" s="650"/>
      <c r="G412" s="650"/>
      <c r="H412" s="650"/>
      <c r="I412" s="650"/>
      <c r="J412" s="650"/>
      <c r="K412" s="650"/>
      <c r="L412" s="650"/>
      <c r="M412" s="650"/>
      <c r="N412" s="650"/>
      <c r="O412" s="650"/>
      <c r="P412" s="650"/>
      <c r="Q412" s="650"/>
      <c r="R412" s="650"/>
      <c r="S412" s="650"/>
      <c r="T412" s="650"/>
      <c r="U412" s="650"/>
      <c r="V412" s="650"/>
      <c r="W412" s="650"/>
      <c r="X412" s="650"/>
      <c r="Y412" s="650"/>
      <c r="Z412" s="650"/>
      <c r="AA412" s="650"/>
      <c r="AB412" s="650"/>
      <c r="AC412" s="650"/>
      <c r="AD412" s="650"/>
      <c r="AE412" s="650"/>
      <c r="AF412" s="650"/>
      <c r="AG412" s="650"/>
      <c r="AH412" s="650"/>
      <c r="AI412" s="650"/>
      <c r="AJ412" s="650"/>
      <c r="AK412" s="650"/>
      <c r="AL412" s="650"/>
      <c r="AM412" s="650"/>
      <c r="AN412" s="650"/>
      <c r="AO412" s="650"/>
      <c r="AP412" s="650"/>
      <c r="AQ412" s="650"/>
      <c r="AR412" s="650"/>
      <c r="AS412" s="650"/>
      <c r="AT412" s="650"/>
      <c r="AU412" s="650"/>
      <c r="AV412" s="650"/>
      <c r="AW412" s="650"/>
      <c r="AX412" s="650"/>
      <c r="AY412" s="650"/>
    </row>
    <row r="413" ht="21.75" customHeight="1">
      <c r="A413" s="650"/>
      <c r="B413" s="650"/>
      <c r="C413" s="650"/>
      <c r="D413" s="650"/>
      <c r="E413" s="650"/>
      <c r="F413" s="650"/>
      <c r="G413" s="650"/>
      <c r="H413" s="650"/>
      <c r="I413" s="650"/>
      <c r="J413" s="650"/>
      <c r="K413" s="650"/>
      <c r="L413" s="650"/>
      <c r="M413" s="650"/>
      <c r="N413" s="650"/>
      <c r="O413" s="650"/>
      <c r="P413" s="650"/>
      <c r="Q413" s="650"/>
      <c r="R413" s="650"/>
      <c r="S413" s="650"/>
      <c r="T413" s="650"/>
      <c r="U413" s="650"/>
      <c r="V413" s="650"/>
      <c r="W413" s="650"/>
      <c r="X413" s="650"/>
      <c r="Y413" s="650"/>
      <c r="Z413" s="650"/>
      <c r="AA413" s="650"/>
      <c r="AB413" s="650"/>
      <c r="AC413" s="650"/>
      <c r="AD413" s="650"/>
      <c r="AE413" s="650"/>
      <c r="AF413" s="650"/>
      <c r="AG413" s="650"/>
      <c r="AH413" s="650"/>
      <c r="AI413" s="650"/>
      <c r="AJ413" s="650"/>
      <c r="AK413" s="650"/>
      <c r="AL413" s="650"/>
      <c r="AM413" s="650"/>
      <c r="AN413" s="650"/>
      <c r="AO413" s="650"/>
      <c r="AP413" s="650"/>
      <c r="AQ413" s="650"/>
      <c r="AR413" s="650"/>
      <c r="AS413" s="650"/>
      <c r="AT413" s="650"/>
      <c r="AU413" s="650"/>
      <c r="AV413" s="650"/>
      <c r="AW413" s="650"/>
      <c r="AX413" s="650"/>
      <c r="AY413" s="650"/>
    </row>
    <row r="414" ht="21.75" customHeight="1">
      <c r="A414" s="650"/>
      <c r="B414" s="650"/>
      <c r="C414" s="650"/>
      <c r="D414" s="650"/>
      <c r="E414" s="650"/>
      <c r="F414" s="650"/>
      <c r="G414" s="650"/>
      <c r="H414" s="650"/>
      <c r="I414" s="650"/>
      <c r="J414" s="650"/>
      <c r="K414" s="650"/>
      <c r="L414" s="650"/>
      <c r="M414" s="650"/>
      <c r="N414" s="650"/>
      <c r="O414" s="650"/>
      <c r="P414" s="650"/>
      <c r="Q414" s="650"/>
      <c r="R414" s="650"/>
      <c r="S414" s="650"/>
      <c r="T414" s="650"/>
      <c r="U414" s="650"/>
      <c r="V414" s="650"/>
      <c r="W414" s="650"/>
      <c r="X414" s="650"/>
      <c r="Y414" s="650"/>
      <c r="Z414" s="650"/>
      <c r="AA414" s="650"/>
      <c r="AB414" s="650"/>
      <c r="AC414" s="650"/>
      <c r="AD414" s="650"/>
      <c r="AE414" s="650"/>
      <c r="AF414" s="650"/>
      <c r="AG414" s="650"/>
      <c r="AH414" s="650"/>
      <c r="AI414" s="650"/>
      <c r="AJ414" s="650"/>
      <c r="AK414" s="650"/>
      <c r="AL414" s="650"/>
      <c r="AM414" s="650"/>
      <c r="AN414" s="650"/>
      <c r="AO414" s="650"/>
      <c r="AP414" s="650"/>
      <c r="AQ414" s="650"/>
      <c r="AR414" s="650"/>
      <c r="AS414" s="650"/>
      <c r="AT414" s="650"/>
      <c r="AU414" s="650"/>
      <c r="AV414" s="650"/>
      <c r="AW414" s="650"/>
      <c r="AX414" s="650"/>
      <c r="AY414" s="650"/>
    </row>
    <row r="415" ht="21.75" customHeight="1">
      <c r="A415" s="650"/>
      <c r="B415" s="650"/>
      <c r="C415" s="650"/>
      <c r="D415" s="650"/>
      <c r="E415" s="650"/>
      <c r="F415" s="650"/>
      <c r="G415" s="650"/>
      <c r="H415" s="650"/>
      <c r="I415" s="650"/>
      <c r="J415" s="650"/>
      <c r="K415" s="650"/>
      <c r="L415" s="650"/>
      <c r="M415" s="650"/>
      <c r="N415" s="650"/>
      <c r="O415" s="650"/>
      <c r="P415" s="650"/>
      <c r="Q415" s="650"/>
      <c r="R415" s="650"/>
      <c r="S415" s="650"/>
      <c r="T415" s="650"/>
      <c r="U415" s="650"/>
      <c r="V415" s="650"/>
      <c r="W415" s="650"/>
      <c r="X415" s="650"/>
      <c r="Y415" s="650"/>
      <c r="Z415" s="650"/>
      <c r="AA415" s="650"/>
      <c r="AB415" s="650"/>
      <c r="AC415" s="650"/>
      <c r="AD415" s="650"/>
      <c r="AE415" s="650"/>
      <c r="AF415" s="650"/>
      <c r="AG415" s="650"/>
      <c r="AH415" s="650"/>
      <c r="AI415" s="650"/>
      <c r="AJ415" s="650"/>
      <c r="AK415" s="650"/>
      <c r="AL415" s="650"/>
      <c r="AM415" s="650"/>
      <c r="AN415" s="650"/>
      <c r="AO415" s="650"/>
      <c r="AP415" s="650"/>
      <c r="AQ415" s="650"/>
      <c r="AR415" s="650"/>
      <c r="AS415" s="650"/>
      <c r="AT415" s="650"/>
      <c r="AU415" s="650"/>
      <c r="AV415" s="650"/>
      <c r="AW415" s="650"/>
      <c r="AX415" s="650"/>
      <c r="AY415" s="650"/>
    </row>
    <row r="416" ht="21.75" customHeight="1">
      <c r="A416" s="650"/>
      <c r="B416" s="650"/>
      <c r="C416" s="650"/>
      <c r="D416" s="650"/>
      <c r="E416" s="650"/>
      <c r="F416" s="650"/>
      <c r="G416" s="650"/>
      <c r="H416" s="650"/>
      <c r="I416" s="650"/>
      <c r="J416" s="650"/>
      <c r="K416" s="650"/>
      <c r="L416" s="650"/>
      <c r="M416" s="650"/>
      <c r="N416" s="650"/>
      <c r="O416" s="650"/>
      <c r="P416" s="650"/>
      <c r="Q416" s="650"/>
      <c r="R416" s="650"/>
      <c r="S416" s="650"/>
      <c r="T416" s="650"/>
      <c r="U416" s="650"/>
      <c r="V416" s="650"/>
      <c r="W416" s="650"/>
      <c r="X416" s="650"/>
      <c r="Y416" s="650"/>
      <c r="Z416" s="650"/>
      <c r="AA416" s="650"/>
      <c r="AB416" s="650"/>
      <c r="AC416" s="650"/>
      <c r="AD416" s="650"/>
      <c r="AE416" s="650"/>
      <c r="AF416" s="650"/>
      <c r="AG416" s="650"/>
      <c r="AH416" s="650"/>
      <c r="AI416" s="650"/>
      <c r="AJ416" s="650"/>
      <c r="AK416" s="650"/>
      <c r="AL416" s="650"/>
      <c r="AM416" s="650"/>
      <c r="AN416" s="650"/>
      <c r="AO416" s="650"/>
      <c r="AP416" s="650"/>
      <c r="AQ416" s="650"/>
      <c r="AR416" s="650"/>
      <c r="AS416" s="650"/>
      <c r="AT416" s="650"/>
      <c r="AU416" s="650"/>
      <c r="AV416" s="650"/>
      <c r="AW416" s="650"/>
      <c r="AX416" s="650"/>
      <c r="AY416" s="650"/>
    </row>
    <row r="417" ht="21.75" customHeight="1">
      <c r="A417" s="650"/>
      <c r="B417" s="650"/>
      <c r="C417" s="650"/>
      <c r="D417" s="650"/>
      <c r="E417" s="650"/>
      <c r="F417" s="650"/>
      <c r="G417" s="650"/>
      <c r="H417" s="650"/>
      <c r="I417" s="650"/>
      <c r="J417" s="650"/>
      <c r="K417" s="650"/>
      <c r="L417" s="650"/>
      <c r="M417" s="650"/>
      <c r="N417" s="650"/>
      <c r="O417" s="650"/>
      <c r="P417" s="650"/>
      <c r="Q417" s="650"/>
      <c r="R417" s="650"/>
      <c r="S417" s="650"/>
      <c r="T417" s="650"/>
      <c r="U417" s="650"/>
      <c r="V417" s="650"/>
      <c r="W417" s="650"/>
      <c r="X417" s="650"/>
      <c r="Y417" s="650"/>
      <c r="Z417" s="650"/>
      <c r="AA417" s="650"/>
      <c r="AB417" s="650"/>
      <c r="AC417" s="650"/>
      <c r="AD417" s="650"/>
      <c r="AE417" s="650"/>
      <c r="AF417" s="650"/>
      <c r="AG417" s="650"/>
      <c r="AH417" s="650"/>
      <c r="AI417" s="650"/>
      <c r="AJ417" s="650"/>
      <c r="AK417" s="650"/>
      <c r="AL417" s="650"/>
      <c r="AM417" s="650"/>
      <c r="AN417" s="650"/>
      <c r="AO417" s="650"/>
      <c r="AP417" s="650"/>
      <c r="AQ417" s="650"/>
      <c r="AR417" s="650"/>
      <c r="AS417" s="650"/>
      <c r="AT417" s="650"/>
      <c r="AU417" s="650"/>
      <c r="AV417" s="650"/>
      <c r="AW417" s="650"/>
      <c r="AX417" s="650"/>
      <c r="AY417" s="650"/>
    </row>
    <row r="418" ht="21.75" customHeight="1">
      <c r="A418" s="650"/>
      <c r="B418" s="650"/>
      <c r="C418" s="650"/>
      <c r="D418" s="650"/>
      <c r="E418" s="650"/>
      <c r="F418" s="650"/>
      <c r="G418" s="650"/>
      <c r="H418" s="650"/>
      <c r="I418" s="650"/>
      <c r="J418" s="650"/>
      <c r="K418" s="650"/>
      <c r="L418" s="650"/>
      <c r="M418" s="650"/>
      <c r="N418" s="650"/>
      <c r="O418" s="650"/>
      <c r="P418" s="650"/>
      <c r="Q418" s="650"/>
      <c r="R418" s="650"/>
      <c r="S418" s="650"/>
      <c r="T418" s="650"/>
      <c r="U418" s="650"/>
      <c r="V418" s="650"/>
      <c r="W418" s="650"/>
      <c r="X418" s="650"/>
      <c r="Y418" s="650"/>
      <c r="Z418" s="650"/>
      <c r="AA418" s="650"/>
      <c r="AB418" s="650"/>
      <c r="AC418" s="650"/>
      <c r="AD418" s="650"/>
      <c r="AE418" s="650"/>
      <c r="AF418" s="650"/>
      <c r="AG418" s="650"/>
      <c r="AH418" s="650"/>
      <c r="AI418" s="650"/>
      <c r="AJ418" s="650"/>
      <c r="AK418" s="650"/>
      <c r="AL418" s="650"/>
      <c r="AM418" s="650"/>
      <c r="AN418" s="650"/>
      <c r="AO418" s="650"/>
      <c r="AP418" s="650"/>
      <c r="AQ418" s="650"/>
      <c r="AR418" s="650"/>
      <c r="AS418" s="650"/>
      <c r="AT418" s="650"/>
      <c r="AU418" s="650"/>
      <c r="AV418" s="650"/>
      <c r="AW418" s="650"/>
      <c r="AX418" s="650"/>
      <c r="AY418" s="650"/>
    </row>
    <row r="419" ht="21.75" customHeight="1">
      <c r="A419" s="650"/>
      <c r="B419" s="650"/>
      <c r="C419" s="650"/>
      <c r="D419" s="650"/>
      <c r="E419" s="650"/>
      <c r="F419" s="650"/>
      <c r="G419" s="650"/>
      <c r="H419" s="650"/>
      <c r="I419" s="650"/>
      <c r="J419" s="650"/>
      <c r="K419" s="650"/>
      <c r="L419" s="650"/>
      <c r="M419" s="650"/>
      <c r="N419" s="650"/>
      <c r="O419" s="650"/>
      <c r="P419" s="650"/>
      <c r="Q419" s="650"/>
      <c r="R419" s="650"/>
      <c r="S419" s="650"/>
      <c r="T419" s="650"/>
      <c r="U419" s="650"/>
      <c r="V419" s="650"/>
      <c r="W419" s="650"/>
      <c r="X419" s="650"/>
      <c r="Y419" s="650"/>
      <c r="Z419" s="650"/>
      <c r="AA419" s="650"/>
      <c r="AB419" s="650"/>
      <c r="AC419" s="650"/>
      <c r="AD419" s="650"/>
      <c r="AE419" s="650"/>
      <c r="AF419" s="650"/>
      <c r="AG419" s="650"/>
      <c r="AH419" s="650"/>
      <c r="AI419" s="650"/>
      <c r="AJ419" s="650"/>
      <c r="AK419" s="650"/>
      <c r="AL419" s="650"/>
      <c r="AM419" s="650"/>
      <c r="AN419" s="650"/>
      <c r="AO419" s="650"/>
      <c r="AP419" s="650"/>
      <c r="AQ419" s="650"/>
      <c r="AR419" s="650"/>
      <c r="AS419" s="650"/>
      <c r="AT419" s="650"/>
      <c r="AU419" s="650"/>
      <c r="AV419" s="650"/>
      <c r="AW419" s="650"/>
      <c r="AX419" s="650"/>
      <c r="AY419" s="650"/>
    </row>
    <row r="420" ht="21.75" customHeight="1">
      <c r="A420" s="650"/>
      <c r="B420" s="650"/>
      <c r="C420" s="650"/>
      <c r="D420" s="650"/>
      <c r="E420" s="650"/>
      <c r="F420" s="650"/>
      <c r="G420" s="650"/>
      <c r="H420" s="650"/>
      <c r="I420" s="650"/>
      <c r="J420" s="650"/>
      <c r="K420" s="650"/>
      <c r="L420" s="650"/>
      <c r="M420" s="650"/>
      <c r="N420" s="650"/>
      <c r="O420" s="650"/>
      <c r="P420" s="650"/>
      <c r="Q420" s="650"/>
      <c r="R420" s="650"/>
      <c r="S420" s="650"/>
      <c r="T420" s="650"/>
      <c r="U420" s="650"/>
      <c r="V420" s="650"/>
      <c r="W420" s="650"/>
      <c r="X420" s="650"/>
      <c r="Y420" s="650"/>
      <c r="Z420" s="650"/>
      <c r="AA420" s="650"/>
      <c r="AB420" s="650"/>
      <c r="AC420" s="650"/>
      <c r="AD420" s="650"/>
      <c r="AE420" s="650"/>
      <c r="AF420" s="650"/>
      <c r="AG420" s="650"/>
      <c r="AH420" s="650"/>
      <c r="AI420" s="650"/>
      <c r="AJ420" s="650"/>
      <c r="AK420" s="650"/>
      <c r="AL420" s="650"/>
      <c r="AM420" s="650"/>
      <c r="AN420" s="650"/>
      <c r="AO420" s="650"/>
      <c r="AP420" s="650"/>
      <c r="AQ420" s="650"/>
      <c r="AR420" s="650"/>
      <c r="AS420" s="650"/>
      <c r="AT420" s="650"/>
      <c r="AU420" s="650"/>
      <c r="AV420" s="650"/>
      <c r="AW420" s="650"/>
      <c r="AX420" s="650"/>
      <c r="AY420" s="650"/>
    </row>
    <row r="421" ht="21.75" customHeight="1">
      <c r="A421" s="650"/>
      <c r="B421" s="650"/>
      <c r="C421" s="650"/>
      <c r="D421" s="650"/>
      <c r="E421" s="650"/>
      <c r="F421" s="650"/>
      <c r="G421" s="650"/>
      <c r="H421" s="650"/>
      <c r="I421" s="650"/>
      <c r="J421" s="650"/>
      <c r="K421" s="650"/>
      <c r="L421" s="650"/>
      <c r="M421" s="650"/>
      <c r="N421" s="650"/>
      <c r="O421" s="650"/>
      <c r="P421" s="650"/>
      <c r="Q421" s="650"/>
      <c r="R421" s="650"/>
      <c r="S421" s="650"/>
      <c r="T421" s="650"/>
      <c r="U421" s="650"/>
      <c r="V421" s="650"/>
      <c r="W421" s="650"/>
      <c r="X421" s="650"/>
      <c r="Y421" s="650"/>
      <c r="Z421" s="650"/>
      <c r="AA421" s="650"/>
      <c r="AB421" s="650"/>
      <c r="AC421" s="650"/>
      <c r="AD421" s="650"/>
      <c r="AE421" s="650"/>
      <c r="AF421" s="650"/>
      <c r="AG421" s="650"/>
      <c r="AH421" s="650"/>
      <c r="AI421" s="650"/>
      <c r="AJ421" s="650"/>
      <c r="AK421" s="650"/>
      <c r="AL421" s="650"/>
      <c r="AM421" s="650"/>
      <c r="AN421" s="650"/>
      <c r="AO421" s="650"/>
      <c r="AP421" s="650"/>
      <c r="AQ421" s="650"/>
      <c r="AR421" s="650"/>
      <c r="AS421" s="650"/>
      <c r="AT421" s="650"/>
      <c r="AU421" s="650"/>
      <c r="AV421" s="650"/>
      <c r="AW421" s="650"/>
      <c r="AX421" s="650"/>
      <c r="AY421" s="650"/>
    </row>
    <row r="422" ht="21.75" customHeight="1">
      <c r="A422" s="650"/>
      <c r="B422" s="650"/>
      <c r="C422" s="650"/>
      <c r="D422" s="650"/>
      <c r="E422" s="650"/>
      <c r="F422" s="650"/>
      <c r="G422" s="650"/>
      <c r="H422" s="650"/>
      <c r="I422" s="650"/>
      <c r="J422" s="650"/>
      <c r="K422" s="650"/>
      <c r="L422" s="650"/>
      <c r="M422" s="650"/>
      <c r="N422" s="650"/>
      <c r="O422" s="650"/>
      <c r="P422" s="650"/>
      <c r="Q422" s="650"/>
      <c r="R422" s="650"/>
      <c r="S422" s="650"/>
      <c r="T422" s="650"/>
      <c r="U422" s="650"/>
      <c r="V422" s="650"/>
      <c r="W422" s="650"/>
      <c r="X422" s="650"/>
      <c r="Y422" s="650"/>
      <c r="Z422" s="650"/>
      <c r="AA422" s="650"/>
      <c r="AB422" s="650"/>
      <c r="AC422" s="650"/>
      <c r="AD422" s="650"/>
      <c r="AE422" s="650"/>
      <c r="AF422" s="650"/>
      <c r="AG422" s="650"/>
      <c r="AH422" s="650"/>
      <c r="AI422" s="650"/>
      <c r="AJ422" s="650"/>
      <c r="AK422" s="650"/>
      <c r="AL422" s="650"/>
      <c r="AM422" s="650"/>
      <c r="AN422" s="650"/>
      <c r="AO422" s="650"/>
      <c r="AP422" s="650"/>
      <c r="AQ422" s="650"/>
      <c r="AR422" s="650"/>
      <c r="AS422" s="650"/>
      <c r="AT422" s="650"/>
      <c r="AU422" s="650"/>
      <c r="AV422" s="650"/>
      <c r="AW422" s="650"/>
      <c r="AX422" s="650"/>
      <c r="AY422" s="650"/>
    </row>
    <row r="423" ht="21.75" customHeight="1">
      <c r="A423" s="650"/>
      <c r="B423" s="650"/>
      <c r="C423" s="650"/>
      <c r="D423" s="650"/>
      <c r="E423" s="650"/>
      <c r="F423" s="650"/>
      <c r="G423" s="650"/>
      <c r="H423" s="650"/>
      <c r="I423" s="650"/>
      <c r="J423" s="650"/>
      <c r="K423" s="650"/>
      <c r="L423" s="650"/>
      <c r="M423" s="650"/>
      <c r="N423" s="650"/>
      <c r="O423" s="650"/>
      <c r="P423" s="650"/>
      <c r="Q423" s="650"/>
      <c r="R423" s="650"/>
      <c r="S423" s="650"/>
      <c r="T423" s="650"/>
      <c r="U423" s="650"/>
      <c r="V423" s="650"/>
      <c r="W423" s="650"/>
      <c r="X423" s="650"/>
      <c r="Y423" s="650"/>
      <c r="Z423" s="650"/>
      <c r="AA423" s="650"/>
      <c r="AB423" s="650"/>
      <c r="AC423" s="650"/>
      <c r="AD423" s="650"/>
      <c r="AE423" s="650"/>
      <c r="AF423" s="650"/>
      <c r="AG423" s="650"/>
      <c r="AH423" s="650"/>
      <c r="AI423" s="650"/>
      <c r="AJ423" s="650"/>
      <c r="AK423" s="650"/>
      <c r="AL423" s="650"/>
      <c r="AM423" s="650"/>
      <c r="AN423" s="650"/>
      <c r="AO423" s="650"/>
      <c r="AP423" s="650"/>
      <c r="AQ423" s="650"/>
      <c r="AR423" s="650"/>
      <c r="AS423" s="650"/>
      <c r="AT423" s="650"/>
      <c r="AU423" s="650"/>
      <c r="AV423" s="650"/>
      <c r="AW423" s="650"/>
      <c r="AX423" s="650"/>
      <c r="AY423" s="650"/>
    </row>
    <row r="424" ht="21.75" customHeight="1">
      <c r="A424" s="650"/>
      <c r="B424" s="650"/>
      <c r="C424" s="650"/>
      <c r="D424" s="650"/>
      <c r="E424" s="650"/>
      <c r="F424" s="650"/>
      <c r="G424" s="650"/>
      <c r="H424" s="650"/>
      <c r="I424" s="650"/>
      <c r="J424" s="650"/>
      <c r="K424" s="650"/>
      <c r="L424" s="650"/>
      <c r="M424" s="650"/>
      <c r="N424" s="650"/>
      <c r="O424" s="650"/>
      <c r="P424" s="650"/>
      <c r="Q424" s="650"/>
      <c r="R424" s="650"/>
      <c r="S424" s="650"/>
      <c r="T424" s="650"/>
      <c r="U424" s="650"/>
      <c r="V424" s="650"/>
      <c r="W424" s="650"/>
      <c r="X424" s="650"/>
      <c r="Y424" s="650"/>
      <c r="Z424" s="650"/>
      <c r="AA424" s="650"/>
      <c r="AB424" s="650"/>
      <c r="AC424" s="650"/>
      <c r="AD424" s="650"/>
      <c r="AE424" s="650"/>
      <c r="AF424" s="650"/>
      <c r="AG424" s="650"/>
      <c r="AH424" s="650"/>
      <c r="AI424" s="650"/>
      <c r="AJ424" s="650"/>
      <c r="AK424" s="650"/>
      <c r="AL424" s="650"/>
      <c r="AM424" s="650"/>
      <c r="AN424" s="650"/>
      <c r="AO424" s="650"/>
      <c r="AP424" s="650"/>
      <c r="AQ424" s="650"/>
      <c r="AR424" s="650"/>
      <c r="AS424" s="650"/>
      <c r="AT424" s="650"/>
      <c r="AU424" s="650"/>
      <c r="AV424" s="650"/>
      <c r="AW424" s="650"/>
      <c r="AX424" s="650"/>
      <c r="AY424" s="650"/>
    </row>
    <row r="425" ht="21.75" customHeight="1">
      <c r="A425" s="650"/>
      <c r="B425" s="650"/>
      <c r="C425" s="650"/>
      <c r="D425" s="650"/>
      <c r="E425" s="650"/>
      <c r="F425" s="650"/>
      <c r="G425" s="650"/>
      <c r="H425" s="650"/>
      <c r="I425" s="650"/>
      <c r="J425" s="650"/>
      <c r="K425" s="650"/>
      <c r="L425" s="650"/>
      <c r="M425" s="650"/>
      <c r="N425" s="650"/>
      <c r="O425" s="650"/>
      <c r="P425" s="650"/>
      <c r="Q425" s="650"/>
      <c r="R425" s="650"/>
      <c r="S425" s="650"/>
      <c r="T425" s="650"/>
      <c r="U425" s="650"/>
      <c r="V425" s="650"/>
      <c r="W425" s="650"/>
      <c r="X425" s="650"/>
      <c r="Y425" s="650"/>
      <c r="Z425" s="650"/>
      <c r="AA425" s="650"/>
      <c r="AB425" s="650"/>
      <c r="AC425" s="650"/>
      <c r="AD425" s="650"/>
      <c r="AE425" s="650"/>
      <c r="AF425" s="650"/>
      <c r="AG425" s="650"/>
      <c r="AH425" s="650"/>
      <c r="AI425" s="650"/>
      <c r="AJ425" s="650"/>
      <c r="AK425" s="650"/>
      <c r="AL425" s="650"/>
      <c r="AM425" s="650"/>
      <c r="AN425" s="650"/>
      <c r="AO425" s="650"/>
      <c r="AP425" s="650"/>
      <c r="AQ425" s="650"/>
      <c r="AR425" s="650"/>
      <c r="AS425" s="650"/>
      <c r="AT425" s="650"/>
      <c r="AU425" s="650"/>
      <c r="AV425" s="650"/>
      <c r="AW425" s="650"/>
      <c r="AX425" s="650"/>
      <c r="AY425" s="650"/>
    </row>
    <row r="426" ht="21.75" customHeight="1">
      <c r="A426" s="650"/>
      <c r="B426" s="650"/>
      <c r="C426" s="650"/>
      <c r="D426" s="650"/>
      <c r="E426" s="650"/>
      <c r="F426" s="650"/>
      <c r="G426" s="650"/>
      <c r="H426" s="650"/>
      <c r="I426" s="650"/>
      <c r="J426" s="650"/>
      <c r="K426" s="650"/>
      <c r="L426" s="650"/>
      <c r="M426" s="650"/>
      <c r="N426" s="650"/>
      <c r="O426" s="650"/>
      <c r="P426" s="650"/>
      <c r="Q426" s="650"/>
      <c r="R426" s="650"/>
      <c r="S426" s="650"/>
      <c r="T426" s="650"/>
      <c r="U426" s="650"/>
      <c r="V426" s="650"/>
      <c r="W426" s="650"/>
      <c r="X426" s="650"/>
      <c r="Y426" s="650"/>
      <c r="Z426" s="650"/>
      <c r="AA426" s="650"/>
      <c r="AB426" s="650"/>
      <c r="AC426" s="650"/>
      <c r="AD426" s="650"/>
      <c r="AE426" s="650"/>
      <c r="AF426" s="650"/>
      <c r="AG426" s="650"/>
      <c r="AH426" s="650"/>
      <c r="AI426" s="650"/>
      <c r="AJ426" s="650"/>
      <c r="AK426" s="650"/>
      <c r="AL426" s="650"/>
      <c r="AM426" s="650"/>
      <c r="AN426" s="650"/>
      <c r="AO426" s="650"/>
      <c r="AP426" s="650"/>
      <c r="AQ426" s="650"/>
      <c r="AR426" s="650"/>
      <c r="AS426" s="650"/>
      <c r="AT426" s="650"/>
      <c r="AU426" s="650"/>
      <c r="AV426" s="650"/>
      <c r="AW426" s="650"/>
      <c r="AX426" s="650"/>
      <c r="AY426" s="650"/>
    </row>
    <row r="427" ht="21.75" customHeight="1">
      <c r="A427" s="650"/>
      <c r="B427" s="650"/>
      <c r="C427" s="650"/>
      <c r="D427" s="650"/>
      <c r="E427" s="650"/>
      <c r="F427" s="650"/>
      <c r="G427" s="650"/>
      <c r="H427" s="650"/>
      <c r="I427" s="650"/>
      <c r="J427" s="650"/>
      <c r="K427" s="650"/>
      <c r="L427" s="650"/>
      <c r="M427" s="650"/>
      <c r="N427" s="650"/>
      <c r="O427" s="650"/>
      <c r="P427" s="650"/>
      <c r="Q427" s="650"/>
      <c r="R427" s="650"/>
      <c r="S427" s="650"/>
      <c r="T427" s="650"/>
      <c r="U427" s="650"/>
      <c r="V427" s="650"/>
      <c r="W427" s="650"/>
      <c r="X427" s="650"/>
      <c r="Y427" s="650"/>
      <c r="Z427" s="650"/>
      <c r="AA427" s="650"/>
      <c r="AB427" s="650"/>
      <c r="AC427" s="650"/>
      <c r="AD427" s="650"/>
      <c r="AE427" s="650"/>
      <c r="AF427" s="650"/>
      <c r="AG427" s="650"/>
      <c r="AH427" s="650"/>
      <c r="AI427" s="650"/>
      <c r="AJ427" s="650"/>
      <c r="AK427" s="650"/>
      <c r="AL427" s="650"/>
      <c r="AM427" s="650"/>
      <c r="AN427" s="650"/>
      <c r="AO427" s="650"/>
      <c r="AP427" s="650"/>
      <c r="AQ427" s="650"/>
      <c r="AR427" s="650"/>
      <c r="AS427" s="650"/>
      <c r="AT427" s="650"/>
      <c r="AU427" s="650"/>
      <c r="AV427" s="650"/>
      <c r="AW427" s="650"/>
      <c r="AX427" s="650"/>
      <c r="AY427" s="650"/>
    </row>
    <row r="428" ht="21.75" customHeight="1">
      <c r="A428" s="650"/>
      <c r="B428" s="650"/>
      <c r="C428" s="650"/>
      <c r="D428" s="650"/>
      <c r="E428" s="650"/>
      <c r="F428" s="650"/>
      <c r="G428" s="650"/>
      <c r="H428" s="650"/>
      <c r="I428" s="650"/>
      <c r="J428" s="650"/>
      <c r="K428" s="650"/>
      <c r="L428" s="650"/>
      <c r="M428" s="650"/>
      <c r="N428" s="650"/>
      <c r="O428" s="650"/>
      <c r="P428" s="650"/>
      <c r="Q428" s="650"/>
      <c r="R428" s="650"/>
      <c r="S428" s="650"/>
      <c r="T428" s="650"/>
      <c r="U428" s="650"/>
      <c r="V428" s="650"/>
      <c r="W428" s="650"/>
      <c r="X428" s="650"/>
      <c r="Y428" s="650"/>
      <c r="Z428" s="650"/>
      <c r="AA428" s="650"/>
      <c r="AB428" s="650"/>
      <c r="AC428" s="650"/>
      <c r="AD428" s="650"/>
      <c r="AE428" s="650"/>
      <c r="AF428" s="650"/>
      <c r="AG428" s="650"/>
      <c r="AH428" s="650"/>
      <c r="AI428" s="650"/>
      <c r="AJ428" s="650"/>
      <c r="AK428" s="650"/>
      <c r="AL428" s="650"/>
      <c r="AM428" s="650"/>
      <c r="AN428" s="650"/>
      <c r="AO428" s="650"/>
      <c r="AP428" s="650"/>
      <c r="AQ428" s="650"/>
      <c r="AR428" s="650"/>
      <c r="AS428" s="650"/>
      <c r="AT428" s="650"/>
      <c r="AU428" s="650"/>
      <c r="AV428" s="650"/>
      <c r="AW428" s="650"/>
      <c r="AX428" s="650"/>
      <c r="AY428" s="650"/>
    </row>
    <row r="429" ht="21.75" customHeight="1">
      <c r="A429" s="650"/>
      <c r="B429" s="650"/>
      <c r="C429" s="650"/>
      <c r="D429" s="650"/>
      <c r="E429" s="650"/>
      <c r="F429" s="650"/>
      <c r="G429" s="650"/>
      <c r="H429" s="650"/>
      <c r="I429" s="650"/>
      <c r="J429" s="650"/>
      <c r="K429" s="650"/>
      <c r="L429" s="650"/>
      <c r="M429" s="650"/>
      <c r="N429" s="650"/>
      <c r="O429" s="650"/>
      <c r="P429" s="650"/>
      <c r="Q429" s="650"/>
      <c r="R429" s="650"/>
      <c r="S429" s="650"/>
      <c r="T429" s="650"/>
      <c r="U429" s="650"/>
      <c r="V429" s="650"/>
      <c r="W429" s="650"/>
      <c r="X429" s="650"/>
      <c r="Y429" s="650"/>
      <c r="Z429" s="650"/>
      <c r="AA429" s="650"/>
      <c r="AB429" s="650"/>
      <c r="AC429" s="650"/>
      <c r="AD429" s="650"/>
      <c r="AE429" s="650"/>
      <c r="AF429" s="650"/>
      <c r="AG429" s="650"/>
      <c r="AH429" s="650"/>
      <c r="AI429" s="650"/>
      <c r="AJ429" s="650"/>
      <c r="AK429" s="650"/>
      <c r="AL429" s="650"/>
      <c r="AM429" s="650"/>
      <c r="AN429" s="650"/>
      <c r="AO429" s="650"/>
      <c r="AP429" s="650"/>
      <c r="AQ429" s="650"/>
      <c r="AR429" s="650"/>
      <c r="AS429" s="650"/>
      <c r="AT429" s="650"/>
      <c r="AU429" s="650"/>
      <c r="AV429" s="650"/>
      <c r="AW429" s="650"/>
      <c r="AX429" s="650"/>
      <c r="AY429" s="650"/>
    </row>
    <row r="430" ht="21.75" customHeight="1">
      <c r="A430" s="650"/>
      <c r="B430" s="650"/>
      <c r="C430" s="650"/>
      <c r="D430" s="650"/>
      <c r="E430" s="650"/>
      <c r="F430" s="650"/>
      <c r="G430" s="650"/>
      <c r="H430" s="650"/>
      <c r="I430" s="650"/>
      <c r="J430" s="650"/>
      <c r="K430" s="650"/>
      <c r="L430" s="650"/>
      <c r="M430" s="650"/>
      <c r="N430" s="650"/>
      <c r="O430" s="650"/>
      <c r="P430" s="650"/>
      <c r="Q430" s="650"/>
      <c r="R430" s="650"/>
      <c r="S430" s="650"/>
      <c r="T430" s="650"/>
      <c r="U430" s="650"/>
      <c r="V430" s="650"/>
      <c r="W430" s="650"/>
      <c r="X430" s="650"/>
      <c r="Y430" s="650"/>
      <c r="Z430" s="650"/>
      <c r="AA430" s="650"/>
      <c r="AB430" s="650"/>
      <c r="AC430" s="650"/>
      <c r="AD430" s="650"/>
      <c r="AE430" s="650"/>
      <c r="AF430" s="650"/>
      <c r="AG430" s="650"/>
      <c r="AH430" s="650"/>
      <c r="AI430" s="650"/>
      <c r="AJ430" s="650"/>
      <c r="AK430" s="650"/>
      <c r="AL430" s="650"/>
      <c r="AM430" s="650"/>
      <c r="AN430" s="650"/>
      <c r="AO430" s="650"/>
      <c r="AP430" s="650"/>
      <c r="AQ430" s="650"/>
      <c r="AR430" s="650"/>
      <c r="AS430" s="650"/>
      <c r="AT430" s="650"/>
      <c r="AU430" s="650"/>
      <c r="AV430" s="650"/>
      <c r="AW430" s="650"/>
      <c r="AX430" s="650"/>
      <c r="AY430" s="650"/>
    </row>
    <row r="431" ht="21.75" customHeight="1">
      <c r="A431" s="650"/>
      <c r="B431" s="650"/>
      <c r="C431" s="650"/>
      <c r="D431" s="650"/>
      <c r="E431" s="650"/>
      <c r="F431" s="650"/>
      <c r="G431" s="650"/>
      <c r="H431" s="650"/>
      <c r="I431" s="650"/>
      <c r="J431" s="650"/>
      <c r="K431" s="650"/>
      <c r="L431" s="650"/>
      <c r="M431" s="650"/>
      <c r="N431" s="650"/>
      <c r="O431" s="650"/>
      <c r="P431" s="650"/>
      <c r="Q431" s="650"/>
      <c r="R431" s="650"/>
      <c r="S431" s="650"/>
      <c r="T431" s="650"/>
      <c r="U431" s="650"/>
      <c r="V431" s="650"/>
      <c r="W431" s="650"/>
      <c r="X431" s="650"/>
      <c r="Y431" s="650"/>
      <c r="Z431" s="650"/>
      <c r="AA431" s="650"/>
      <c r="AB431" s="650"/>
      <c r="AC431" s="650"/>
      <c r="AD431" s="650"/>
      <c r="AE431" s="650"/>
      <c r="AF431" s="650"/>
      <c r="AG431" s="650"/>
      <c r="AH431" s="650"/>
      <c r="AI431" s="650"/>
      <c r="AJ431" s="650"/>
      <c r="AK431" s="650"/>
      <c r="AL431" s="650"/>
      <c r="AM431" s="650"/>
      <c r="AN431" s="650"/>
      <c r="AO431" s="650"/>
      <c r="AP431" s="650"/>
      <c r="AQ431" s="650"/>
      <c r="AR431" s="650"/>
      <c r="AS431" s="650"/>
      <c r="AT431" s="650"/>
      <c r="AU431" s="650"/>
      <c r="AV431" s="650"/>
      <c r="AW431" s="650"/>
      <c r="AX431" s="650"/>
      <c r="AY431" s="650"/>
    </row>
    <row r="432" ht="21.75" customHeight="1">
      <c r="A432" s="650"/>
      <c r="B432" s="650"/>
      <c r="C432" s="650"/>
      <c r="D432" s="650"/>
      <c r="E432" s="650"/>
      <c r="F432" s="650"/>
      <c r="G432" s="650"/>
      <c r="H432" s="650"/>
      <c r="I432" s="650"/>
      <c r="J432" s="650"/>
      <c r="K432" s="650"/>
      <c r="L432" s="650"/>
      <c r="M432" s="650"/>
      <c r="N432" s="650"/>
      <c r="O432" s="650"/>
      <c r="P432" s="650"/>
      <c r="Q432" s="650"/>
      <c r="R432" s="650"/>
      <c r="S432" s="650"/>
      <c r="T432" s="650"/>
      <c r="U432" s="650"/>
      <c r="V432" s="650"/>
      <c r="W432" s="650"/>
      <c r="X432" s="650"/>
      <c r="Y432" s="650"/>
      <c r="Z432" s="650"/>
      <c r="AA432" s="650"/>
      <c r="AB432" s="650"/>
      <c r="AC432" s="650"/>
      <c r="AD432" s="650"/>
      <c r="AE432" s="650"/>
      <c r="AF432" s="650"/>
      <c r="AG432" s="650"/>
      <c r="AH432" s="650"/>
      <c r="AI432" s="650"/>
      <c r="AJ432" s="650"/>
      <c r="AK432" s="650"/>
      <c r="AL432" s="650"/>
      <c r="AM432" s="650"/>
      <c r="AN432" s="650"/>
      <c r="AO432" s="650"/>
      <c r="AP432" s="650"/>
      <c r="AQ432" s="650"/>
      <c r="AR432" s="650"/>
      <c r="AS432" s="650"/>
      <c r="AT432" s="650"/>
      <c r="AU432" s="650"/>
      <c r="AV432" s="650"/>
      <c r="AW432" s="650"/>
      <c r="AX432" s="650"/>
      <c r="AY432" s="650"/>
    </row>
    <row r="433" ht="21.75" customHeight="1">
      <c r="A433" s="650"/>
      <c r="B433" s="650"/>
      <c r="C433" s="650"/>
      <c r="D433" s="650"/>
      <c r="E433" s="650"/>
      <c r="F433" s="650"/>
      <c r="G433" s="650"/>
      <c r="H433" s="650"/>
      <c r="I433" s="650"/>
      <c r="J433" s="650"/>
      <c r="K433" s="650"/>
      <c r="L433" s="650"/>
      <c r="M433" s="650"/>
      <c r="N433" s="650"/>
      <c r="O433" s="650"/>
      <c r="P433" s="650"/>
      <c r="Q433" s="650"/>
      <c r="R433" s="650"/>
      <c r="S433" s="650"/>
      <c r="T433" s="650"/>
      <c r="U433" s="650"/>
      <c r="V433" s="650"/>
      <c r="W433" s="650"/>
      <c r="X433" s="650"/>
      <c r="Y433" s="650"/>
      <c r="Z433" s="650"/>
      <c r="AA433" s="650"/>
      <c r="AB433" s="650"/>
      <c r="AC433" s="650"/>
      <c r="AD433" s="650"/>
      <c r="AE433" s="650"/>
      <c r="AF433" s="650"/>
      <c r="AG433" s="650"/>
      <c r="AH433" s="650"/>
      <c r="AI433" s="650"/>
      <c r="AJ433" s="650"/>
      <c r="AK433" s="650"/>
      <c r="AL433" s="650"/>
      <c r="AM433" s="650"/>
      <c r="AN433" s="650"/>
      <c r="AO433" s="650"/>
      <c r="AP433" s="650"/>
      <c r="AQ433" s="650"/>
      <c r="AR433" s="650"/>
      <c r="AS433" s="650"/>
      <c r="AT433" s="650"/>
      <c r="AU433" s="650"/>
      <c r="AV433" s="650"/>
      <c r="AW433" s="650"/>
      <c r="AX433" s="650"/>
      <c r="AY433" s="650"/>
    </row>
    <row r="434" ht="21.75" customHeight="1">
      <c r="A434" s="650"/>
      <c r="B434" s="650"/>
      <c r="C434" s="650"/>
      <c r="D434" s="650"/>
      <c r="E434" s="650"/>
      <c r="F434" s="650"/>
      <c r="G434" s="650"/>
      <c r="H434" s="650"/>
      <c r="I434" s="650"/>
      <c r="J434" s="650"/>
      <c r="K434" s="650"/>
      <c r="L434" s="650"/>
      <c r="M434" s="650"/>
      <c r="N434" s="650"/>
      <c r="O434" s="650"/>
      <c r="P434" s="650"/>
      <c r="Q434" s="650"/>
      <c r="R434" s="650"/>
      <c r="S434" s="650"/>
      <c r="T434" s="650"/>
      <c r="U434" s="650"/>
      <c r="V434" s="650"/>
      <c r="W434" s="650"/>
      <c r="X434" s="650"/>
      <c r="Y434" s="650"/>
      <c r="Z434" s="650"/>
      <c r="AA434" s="650"/>
      <c r="AB434" s="650"/>
      <c r="AC434" s="650"/>
      <c r="AD434" s="650"/>
      <c r="AE434" s="650"/>
      <c r="AF434" s="650"/>
      <c r="AG434" s="650"/>
      <c r="AH434" s="650"/>
      <c r="AI434" s="650"/>
      <c r="AJ434" s="650"/>
      <c r="AK434" s="650"/>
      <c r="AL434" s="650"/>
      <c r="AM434" s="650"/>
      <c r="AN434" s="650"/>
      <c r="AO434" s="650"/>
      <c r="AP434" s="650"/>
      <c r="AQ434" s="650"/>
      <c r="AR434" s="650"/>
      <c r="AS434" s="650"/>
      <c r="AT434" s="650"/>
      <c r="AU434" s="650"/>
      <c r="AV434" s="650"/>
      <c r="AW434" s="650"/>
      <c r="AX434" s="650"/>
      <c r="AY434" s="650"/>
    </row>
    <row r="435" ht="21.75" customHeight="1">
      <c r="A435" s="650"/>
      <c r="B435" s="650"/>
      <c r="C435" s="650"/>
      <c r="D435" s="650"/>
      <c r="E435" s="650"/>
      <c r="F435" s="650"/>
      <c r="G435" s="650"/>
      <c r="H435" s="650"/>
      <c r="I435" s="650"/>
      <c r="J435" s="650"/>
      <c r="K435" s="650"/>
      <c r="L435" s="650"/>
      <c r="M435" s="650"/>
      <c r="N435" s="650"/>
      <c r="O435" s="650"/>
      <c r="P435" s="650"/>
      <c r="Q435" s="650"/>
      <c r="R435" s="650"/>
      <c r="S435" s="650"/>
      <c r="T435" s="650"/>
      <c r="U435" s="650"/>
      <c r="V435" s="650"/>
      <c r="W435" s="650"/>
      <c r="X435" s="650"/>
      <c r="Y435" s="650"/>
      <c r="Z435" s="650"/>
      <c r="AA435" s="650"/>
      <c r="AB435" s="650"/>
      <c r="AC435" s="650"/>
      <c r="AD435" s="650"/>
      <c r="AE435" s="650"/>
      <c r="AF435" s="650"/>
      <c r="AG435" s="650"/>
      <c r="AH435" s="650"/>
      <c r="AI435" s="650"/>
      <c r="AJ435" s="650"/>
      <c r="AK435" s="650"/>
      <c r="AL435" s="650"/>
      <c r="AM435" s="650"/>
      <c r="AN435" s="650"/>
      <c r="AO435" s="650"/>
      <c r="AP435" s="650"/>
      <c r="AQ435" s="650"/>
      <c r="AR435" s="650"/>
      <c r="AS435" s="650"/>
      <c r="AT435" s="650"/>
      <c r="AU435" s="650"/>
      <c r="AV435" s="650"/>
      <c r="AW435" s="650"/>
      <c r="AX435" s="650"/>
      <c r="AY435" s="650"/>
    </row>
    <row r="436" ht="21.75" customHeight="1">
      <c r="A436" s="650"/>
      <c r="B436" s="650"/>
      <c r="C436" s="650"/>
      <c r="D436" s="650"/>
      <c r="E436" s="650"/>
      <c r="F436" s="650"/>
      <c r="G436" s="650"/>
      <c r="H436" s="650"/>
      <c r="I436" s="650"/>
      <c r="J436" s="650"/>
      <c r="K436" s="650"/>
      <c r="L436" s="650"/>
      <c r="M436" s="650"/>
      <c r="N436" s="650"/>
      <c r="O436" s="650"/>
      <c r="P436" s="650"/>
      <c r="Q436" s="650"/>
      <c r="R436" s="650"/>
      <c r="S436" s="650"/>
      <c r="T436" s="650"/>
      <c r="U436" s="650"/>
      <c r="V436" s="650"/>
      <c r="W436" s="650"/>
      <c r="X436" s="650"/>
      <c r="Y436" s="650"/>
      <c r="Z436" s="650"/>
      <c r="AA436" s="650"/>
      <c r="AB436" s="650"/>
      <c r="AC436" s="650"/>
      <c r="AD436" s="650"/>
      <c r="AE436" s="650"/>
      <c r="AF436" s="650"/>
      <c r="AG436" s="650"/>
      <c r="AH436" s="650"/>
      <c r="AI436" s="650"/>
      <c r="AJ436" s="650"/>
      <c r="AK436" s="650"/>
      <c r="AL436" s="650"/>
      <c r="AM436" s="650"/>
      <c r="AN436" s="650"/>
      <c r="AO436" s="650"/>
      <c r="AP436" s="650"/>
      <c r="AQ436" s="650"/>
      <c r="AR436" s="650"/>
      <c r="AS436" s="650"/>
      <c r="AT436" s="650"/>
      <c r="AU436" s="650"/>
      <c r="AV436" s="650"/>
      <c r="AW436" s="650"/>
      <c r="AX436" s="650"/>
      <c r="AY436" s="650"/>
    </row>
    <row r="437" ht="21.75" customHeight="1">
      <c r="A437" s="650"/>
      <c r="B437" s="650"/>
      <c r="C437" s="650"/>
      <c r="D437" s="650"/>
      <c r="E437" s="650"/>
      <c r="F437" s="650"/>
      <c r="G437" s="650"/>
      <c r="H437" s="650"/>
      <c r="I437" s="650"/>
      <c r="J437" s="650"/>
      <c r="K437" s="650"/>
      <c r="L437" s="650"/>
      <c r="M437" s="650"/>
      <c r="N437" s="650"/>
      <c r="O437" s="650"/>
      <c r="P437" s="650"/>
      <c r="Q437" s="650"/>
      <c r="R437" s="650"/>
      <c r="S437" s="650"/>
      <c r="T437" s="650"/>
      <c r="U437" s="650"/>
      <c r="V437" s="650"/>
      <c r="W437" s="650"/>
      <c r="X437" s="650"/>
      <c r="Y437" s="650"/>
      <c r="Z437" s="650"/>
      <c r="AA437" s="650"/>
      <c r="AB437" s="650"/>
      <c r="AC437" s="650"/>
      <c r="AD437" s="650"/>
      <c r="AE437" s="650"/>
      <c r="AF437" s="650"/>
      <c r="AG437" s="650"/>
      <c r="AH437" s="650"/>
      <c r="AI437" s="650"/>
      <c r="AJ437" s="650"/>
      <c r="AK437" s="650"/>
      <c r="AL437" s="650"/>
      <c r="AM437" s="650"/>
      <c r="AN437" s="650"/>
      <c r="AO437" s="650"/>
      <c r="AP437" s="650"/>
      <c r="AQ437" s="650"/>
      <c r="AR437" s="650"/>
      <c r="AS437" s="650"/>
      <c r="AT437" s="650"/>
      <c r="AU437" s="650"/>
      <c r="AV437" s="650"/>
      <c r="AW437" s="650"/>
      <c r="AX437" s="650"/>
      <c r="AY437" s="650"/>
    </row>
    <row r="438" ht="21.75" customHeight="1">
      <c r="A438" s="650"/>
      <c r="B438" s="650"/>
      <c r="C438" s="650"/>
      <c r="D438" s="650"/>
      <c r="E438" s="650"/>
      <c r="F438" s="650"/>
      <c r="G438" s="650"/>
      <c r="H438" s="650"/>
      <c r="I438" s="650"/>
      <c r="J438" s="650"/>
      <c r="K438" s="650"/>
      <c r="L438" s="650"/>
      <c r="M438" s="650"/>
      <c r="N438" s="650"/>
      <c r="O438" s="650"/>
      <c r="P438" s="650"/>
      <c r="Q438" s="650"/>
      <c r="R438" s="650"/>
      <c r="S438" s="650"/>
      <c r="T438" s="650"/>
      <c r="U438" s="650"/>
      <c r="V438" s="650"/>
      <c r="W438" s="650"/>
      <c r="X438" s="650"/>
      <c r="Y438" s="650"/>
      <c r="Z438" s="650"/>
      <c r="AA438" s="650"/>
      <c r="AB438" s="650"/>
      <c r="AC438" s="650"/>
      <c r="AD438" s="650"/>
      <c r="AE438" s="650"/>
      <c r="AF438" s="650"/>
      <c r="AG438" s="650"/>
      <c r="AH438" s="650"/>
      <c r="AI438" s="650"/>
      <c r="AJ438" s="650"/>
      <c r="AK438" s="650"/>
      <c r="AL438" s="650"/>
      <c r="AM438" s="650"/>
      <c r="AN438" s="650"/>
      <c r="AO438" s="650"/>
      <c r="AP438" s="650"/>
      <c r="AQ438" s="650"/>
      <c r="AR438" s="650"/>
      <c r="AS438" s="650"/>
      <c r="AT438" s="650"/>
      <c r="AU438" s="650"/>
      <c r="AV438" s="650"/>
      <c r="AW438" s="650"/>
      <c r="AX438" s="650"/>
      <c r="AY438" s="650"/>
    </row>
    <row r="439" ht="21.75" customHeight="1">
      <c r="A439" s="650"/>
      <c r="B439" s="650"/>
      <c r="C439" s="650"/>
      <c r="D439" s="650"/>
      <c r="E439" s="650"/>
      <c r="F439" s="650"/>
      <c r="G439" s="650"/>
      <c r="H439" s="650"/>
      <c r="I439" s="650"/>
      <c r="J439" s="650"/>
      <c r="K439" s="650"/>
      <c r="L439" s="650"/>
      <c r="M439" s="650"/>
      <c r="N439" s="650"/>
      <c r="O439" s="650"/>
      <c r="P439" s="650"/>
      <c r="Q439" s="650"/>
      <c r="R439" s="650"/>
      <c r="S439" s="650"/>
      <c r="T439" s="650"/>
      <c r="U439" s="650"/>
      <c r="V439" s="650"/>
      <c r="W439" s="650"/>
      <c r="X439" s="650"/>
      <c r="Y439" s="650"/>
      <c r="Z439" s="650"/>
      <c r="AA439" s="650"/>
      <c r="AB439" s="650"/>
      <c r="AC439" s="650"/>
      <c r="AD439" s="650"/>
      <c r="AE439" s="650"/>
      <c r="AF439" s="650"/>
      <c r="AG439" s="650"/>
      <c r="AH439" s="650"/>
      <c r="AI439" s="650"/>
      <c r="AJ439" s="650"/>
      <c r="AK439" s="650"/>
      <c r="AL439" s="650"/>
      <c r="AM439" s="650"/>
      <c r="AN439" s="650"/>
      <c r="AO439" s="650"/>
      <c r="AP439" s="650"/>
      <c r="AQ439" s="650"/>
      <c r="AR439" s="650"/>
      <c r="AS439" s="650"/>
      <c r="AT439" s="650"/>
      <c r="AU439" s="650"/>
      <c r="AV439" s="650"/>
      <c r="AW439" s="650"/>
      <c r="AX439" s="650"/>
      <c r="AY439" s="650"/>
    </row>
    <row r="440" ht="21.75" customHeight="1">
      <c r="A440" s="650"/>
      <c r="B440" s="650"/>
      <c r="C440" s="650"/>
      <c r="D440" s="650"/>
      <c r="E440" s="650"/>
      <c r="F440" s="650"/>
      <c r="G440" s="650"/>
      <c r="H440" s="650"/>
      <c r="I440" s="650"/>
      <c r="J440" s="650"/>
      <c r="K440" s="650"/>
      <c r="L440" s="650"/>
      <c r="M440" s="650"/>
      <c r="N440" s="650"/>
      <c r="O440" s="650"/>
      <c r="P440" s="650"/>
      <c r="Q440" s="650"/>
      <c r="R440" s="650"/>
      <c r="S440" s="650"/>
      <c r="T440" s="650"/>
      <c r="U440" s="650"/>
      <c r="V440" s="650"/>
      <c r="W440" s="650"/>
      <c r="X440" s="650"/>
      <c r="Y440" s="650"/>
      <c r="Z440" s="650"/>
      <c r="AA440" s="650"/>
      <c r="AB440" s="650"/>
      <c r="AC440" s="650"/>
      <c r="AD440" s="650"/>
      <c r="AE440" s="650"/>
      <c r="AF440" s="650"/>
      <c r="AG440" s="650"/>
      <c r="AH440" s="650"/>
      <c r="AI440" s="650"/>
      <c r="AJ440" s="650"/>
      <c r="AK440" s="650"/>
      <c r="AL440" s="650"/>
      <c r="AM440" s="650"/>
      <c r="AN440" s="650"/>
      <c r="AO440" s="650"/>
      <c r="AP440" s="650"/>
      <c r="AQ440" s="650"/>
      <c r="AR440" s="650"/>
      <c r="AS440" s="650"/>
      <c r="AT440" s="650"/>
      <c r="AU440" s="650"/>
      <c r="AV440" s="650"/>
      <c r="AW440" s="650"/>
      <c r="AX440" s="650"/>
      <c r="AY440" s="650"/>
    </row>
    <row r="441" ht="21.75" customHeight="1">
      <c r="A441" s="650"/>
      <c r="B441" s="650"/>
      <c r="C441" s="650"/>
      <c r="D441" s="650"/>
      <c r="E441" s="650"/>
      <c r="F441" s="650"/>
      <c r="G441" s="650"/>
      <c r="H441" s="650"/>
      <c r="I441" s="650"/>
      <c r="J441" s="650"/>
      <c r="K441" s="650"/>
      <c r="L441" s="650"/>
      <c r="M441" s="650"/>
      <c r="N441" s="650"/>
      <c r="O441" s="650"/>
      <c r="P441" s="650"/>
      <c r="Q441" s="650"/>
      <c r="R441" s="650"/>
      <c r="S441" s="650"/>
      <c r="T441" s="650"/>
      <c r="U441" s="650"/>
      <c r="V441" s="650"/>
      <c r="W441" s="650"/>
      <c r="X441" s="650"/>
      <c r="Y441" s="650"/>
      <c r="Z441" s="650"/>
      <c r="AA441" s="650"/>
      <c r="AB441" s="650"/>
      <c r="AC441" s="650"/>
      <c r="AD441" s="650"/>
      <c r="AE441" s="650"/>
      <c r="AF441" s="650"/>
      <c r="AG441" s="650"/>
      <c r="AH441" s="650"/>
      <c r="AI441" s="650"/>
      <c r="AJ441" s="650"/>
      <c r="AK441" s="650"/>
      <c r="AL441" s="650"/>
      <c r="AM441" s="650"/>
      <c r="AN441" s="650"/>
      <c r="AO441" s="650"/>
      <c r="AP441" s="650"/>
      <c r="AQ441" s="650"/>
      <c r="AR441" s="650"/>
      <c r="AS441" s="650"/>
      <c r="AT441" s="650"/>
      <c r="AU441" s="650"/>
      <c r="AV441" s="650"/>
      <c r="AW441" s="650"/>
      <c r="AX441" s="650"/>
      <c r="AY441" s="650"/>
    </row>
    <row r="442" ht="21.75" customHeight="1">
      <c r="A442" s="650"/>
      <c r="B442" s="650"/>
      <c r="C442" s="650"/>
      <c r="D442" s="650"/>
      <c r="E442" s="650"/>
      <c r="F442" s="650"/>
      <c r="G442" s="650"/>
      <c r="H442" s="650"/>
      <c r="I442" s="650"/>
      <c r="J442" s="650"/>
      <c r="K442" s="650"/>
      <c r="L442" s="650"/>
      <c r="M442" s="650"/>
      <c r="N442" s="650"/>
      <c r="O442" s="650"/>
      <c r="P442" s="650"/>
      <c r="Q442" s="650"/>
      <c r="R442" s="650"/>
      <c r="S442" s="650"/>
      <c r="T442" s="650"/>
      <c r="U442" s="650"/>
      <c r="V442" s="650"/>
      <c r="W442" s="650"/>
      <c r="X442" s="650"/>
      <c r="Y442" s="650"/>
      <c r="Z442" s="650"/>
      <c r="AA442" s="650"/>
      <c r="AB442" s="650"/>
      <c r="AC442" s="650"/>
      <c r="AD442" s="650"/>
      <c r="AE442" s="650"/>
      <c r="AF442" s="650"/>
      <c r="AG442" s="650"/>
      <c r="AH442" s="650"/>
      <c r="AI442" s="650"/>
      <c r="AJ442" s="650"/>
      <c r="AK442" s="650"/>
      <c r="AL442" s="650"/>
      <c r="AM442" s="650"/>
      <c r="AN442" s="650"/>
      <c r="AO442" s="650"/>
      <c r="AP442" s="650"/>
      <c r="AQ442" s="650"/>
      <c r="AR442" s="650"/>
      <c r="AS442" s="650"/>
      <c r="AT442" s="650"/>
      <c r="AU442" s="650"/>
      <c r="AV442" s="650"/>
      <c r="AW442" s="650"/>
      <c r="AX442" s="650"/>
      <c r="AY442" s="650"/>
    </row>
    <row r="443" ht="21.75" customHeight="1">
      <c r="A443" s="650"/>
      <c r="B443" s="650"/>
      <c r="C443" s="650"/>
      <c r="D443" s="650"/>
      <c r="E443" s="650"/>
      <c r="F443" s="650"/>
      <c r="G443" s="650"/>
      <c r="H443" s="650"/>
      <c r="I443" s="650"/>
      <c r="J443" s="650"/>
      <c r="K443" s="650"/>
      <c r="L443" s="650"/>
      <c r="M443" s="650"/>
      <c r="N443" s="650"/>
      <c r="O443" s="650"/>
      <c r="P443" s="650"/>
      <c r="Q443" s="650"/>
      <c r="R443" s="650"/>
      <c r="S443" s="650"/>
      <c r="T443" s="650"/>
      <c r="U443" s="650"/>
      <c r="V443" s="650"/>
      <c r="W443" s="650"/>
      <c r="X443" s="650"/>
      <c r="Y443" s="650"/>
      <c r="Z443" s="650"/>
      <c r="AA443" s="650"/>
      <c r="AB443" s="650"/>
      <c r="AC443" s="650"/>
      <c r="AD443" s="650"/>
      <c r="AE443" s="650"/>
      <c r="AF443" s="650"/>
      <c r="AG443" s="650"/>
      <c r="AH443" s="650"/>
      <c r="AI443" s="650"/>
      <c r="AJ443" s="650"/>
      <c r="AK443" s="650"/>
      <c r="AL443" s="650"/>
      <c r="AM443" s="650"/>
      <c r="AN443" s="650"/>
      <c r="AO443" s="650"/>
      <c r="AP443" s="650"/>
      <c r="AQ443" s="650"/>
      <c r="AR443" s="650"/>
      <c r="AS443" s="650"/>
      <c r="AT443" s="650"/>
      <c r="AU443" s="650"/>
      <c r="AV443" s="650"/>
      <c r="AW443" s="650"/>
      <c r="AX443" s="650"/>
      <c r="AY443" s="650"/>
    </row>
    <row r="444" ht="21.75" customHeight="1">
      <c r="A444" s="650"/>
      <c r="B444" s="650"/>
      <c r="C444" s="650"/>
      <c r="D444" s="650"/>
      <c r="E444" s="650"/>
      <c r="F444" s="650"/>
      <c r="G444" s="650"/>
      <c r="H444" s="650"/>
      <c r="I444" s="650"/>
      <c r="J444" s="650"/>
      <c r="K444" s="650"/>
      <c r="L444" s="650"/>
      <c r="M444" s="650"/>
      <c r="N444" s="650"/>
      <c r="O444" s="650"/>
      <c r="P444" s="650"/>
      <c r="Q444" s="650"/>
      <c r="R444" s="650"/>
      <c r="S444" s="650"/>
      <c r="T444" s="650"/>
      <c r="U444" s="650"/>
      <c r="V444" s="650"/>
      <c r="W444" s="650"/>
      <c r="X444" s="650"/>
      <c r="Y444" s="650"/>
      <c r="Z444" s="650"/>
      <c r="AA444" s="650"/>
      <c r="AB444" s="650"/>
      <c r="AC444" s="650"/>
      <c r="AD444" s="650"/>
      <c r="AE444" s="650"/>
      <c r="AF444" s="650"/>
      <c r="AG444" s="650"/>
      <c r="AH444" s="650"/>
      <c r="AI444" s="650"/>
      <c r="AJ444" s="650"/>
      <c r="AK444" s="650"/>
      <c r="AL444" s="650"/>
      <c r="AM444" s="650"/>
      <c r="AN444" s="650"/>
      <c r="AO444" s="650"/>
      <c r="AP444" s="650"/>
      <c r="AQ444" s="650"/>
      <c r="AR444" s="650"/>
      <c r="AS444" s="650"/>
      <c r="AT444" s="650"/>
      <c r="AU444" s="650"/>
      <c r="AV444" s="650"/>
      <c r="AW444" s="650"/>
      <c r="AX444" s="650"/>
      <c r="AY444" s="650"/>
    </row>
    <row r="445" ht="21.75" customHeight="1">
      <c r="A445" s="650"/>
      <c r="B445" s="650"/>
      <c r="C445" s="650"/>
      <c r="D445" s="650"/>
      <c r="E445" s="650"/>
      <c r="F445" s="650"/>
      <c r="G445" s="650"/>
      <c r="H445" s="650"/>
      <c r="I445" s="650"/>
      <c r="J445" s="650"/>
      <c r="K445" s="650"/>
      <c r="L445" s="650"/>
      <c r="M445" s="650"/>
      <c r="N445" s="650"/>
      <c r="O445" s="650"/>
      <c r="P445" s="650"/>
      <c r="Q445" s="650"/>
      <c r="R445" s="650"/>
      <c r="S445" s="650"/>
      <c r="T445" s="650"/>
      <c r="U445" s="650"/>
      <c r="V445" s="650"/>
      <c r="W445" s="650"/>
      <c r="X445" s="650"/>
      <c r="Y445" s="650"/>
      <c r="Z445" s="650"/>
      <c r="AA445" s="650"/>
      <c r="AB445" s="650"/>
      <c r="AC445" s="650"/>
      <c r="AD445" s="650"/>
      <c r="AE445" s="650"/>
      <c r="AF445" s="650"/>
      <c r="AG445" s="650"/>
      <c r="AH445" s="650"/>
      <c r="AI445" s="650"/>
      <c r="AJ445" s="650"/>
      <c r="AK445" s="650"/>
      <c r="AL445" s="650"/>
      <c r="AM445" s="650"/>
      <c r="AN445" s="650"/>
      <c r="AO445" s="650"/>
      <c r="AP445" s="650"/>
      <c r="AQ445" s="650"/>
      <c r="AR445" s="650"/>
      <c r="AS445" s="650"/>
      <c r="AT445" s="650"/>
      <c r="AU445" s="650"/>
      <c r="AV445" s="650"/>
      <c r="AW445" s="650"/>
      <c r="AX445" s="650"/>
      <c r="AY445" s="650"/>
    </row>
    <row r="446" ht="21.75" customHeight="1">
      <c r="A446" s="650"/>
      <c r="B446" s="650"/>
      <c r="C446" s="650"/>
      <c r="D446" s="650"/>
      <c r="E446" s="650"/>
      <c r="F446" s="650"/>
      <c r="G446" s="650"/>
      <c r="H446" s="650"/>
      <c r="I446" s="650"/>
      <c r="J446" s="650"/>
      <c r="K446" s="650"/>
      <c r="L446" s="650"/>
      <c r="M446" s="650"/>
      <c r="N446" s="650"/>
      <c r="O446" s="650"/>
      <c r="P446" s="650"/>
      <c r="Q446" s="650"/>
      <c r="R446" s="650"/>
      <c r="S446" s="650"/>
      <c r="T446" s="650"/>
      <c r="U446" s="650"/>
      <c r="V446" s="650"/>
      <c r="W446" s="650"/>
      <c r="X446" s="650"/>
      <c r="Y446" s="650"/>
      <c r="Z446" s="650"/>
      <c r="AA446" s="650"/>
      <c r="AB446" s="650"/>
      <c r="AC446" s="650"/>
      <c r="AD446" s="650"/>
      <c r="AE446" s="650"/>
      <c r="AF446" s="650"/>
      <c r="AG446" s="650"/>
      <c r="AH446" s="650"/>
      <c r="AI446" s="650"/>
      <c r="AJ446" s="650"/>
      <c r="AK446" s="650"/>
      <c r="AL446" s="650"/>
      <c r="AM446" s="650"/>
      <c r="AN446" s="650"/>
      <c r="AO446" s="650"/>
      <c r="AP446" s="650"/>
      <c r="AQ446" s="650"/>
      <c r="AR446" s="650"/>
      <c r="AS446" s="650"/>
      <c r="AT446" s="650"/>
      <c r="AU446" s="650"/>
      <c r="AV446" s="650"/>
      <c r="AW446" s="650"/>
      <c r="AX446" s="650"/>
      <c r="AY446" s="650"/>
    </row>
    <row r="447" ht="21.75" customHeight="1">
      <c r="A447" s="650"/>
      <c r="B447" s="650"/>
      <c r="C447" s="650"/>
      <c r="D447" s="650"/>
      <c r="E447" s="650"/>
      <c r="F447" s="650"/>
      <c r="G447" s="650"/>
      <c r="H447" s="650"/>
      <c r="I447" s="650"/>
      <c r="J447" s="650"/>
      <c r="K447" s="650"/>
      <c r="L447" s="650"/>
      <c r="M447" s="650"/>
      <c r="N447" s="650"/>
      <c r="O447" s="650"/>
      <c r="P447" s="650"/>
      <c r="Q447" s="650"/>
      <c r="R447" s="650"/>
      <c r="S447" s="650"/>
      <c r="T447" s="650"/>
      <c r="U447" s="650"/>
      <c r="V447" s="650"/>
      <c r="W447" s="650"/>
      <c r="X447" s="650"/>
      <c r="Y447" s="650"/>
      <c r="Z447" s="650"/>
      <c r="AA447" s="650"/>
      <c r="AB447" s="650"/>
      <c r="AC447" s="650"/>
      <c r="AD447" s="650"/>
      <c r="AE447" s="650"/>
      <c r="AF447" s="650"/>
      <c r="AG447" s="650"/>
      <c r="AH447" s="650"/>
      <c r="AI447" s="650"/>
      <c r="AJ447" s="650"/>
      <c r="AK447" s="650"/>
      <c r="AL447" s="650"/>
      <c r="AM447" s="650"/>
      <c r="AN447" s="650"/>
      <c r="AO447" s="650"/>
      <c r="AP447" s="650"/>
      <c r="AQ447" s="650"/>
      <c r="AR447" s="650"/>
      <c r="AS447" s="650"/>
      <c r="AT447" s="650"/>
      <c r="AU447" s="650"/>
      <c r="AV447" s="650"/>
      <c r="AW447" s="650"/>
      <c r="AX447" s="650"/>
      <c r="AY447" s="650"/>
    </row>
    <row r="448" ht="21.75" customHeight="1">
      <c r="A448" s="650"/>
      <c r="B448" s="650"/>
      <c r="C448" s="650"/>
      <c r="D448" s="650"/>
      <c r="E448" s="650"/>
      <c r="F448" s="650"/>
      <c r="G448" s="650"/>
      <c r="H448" s="650"/>
      <c r="I448" s="650"/>
      <c r="J448" s="650"/>
      <c r="K448" s="650"/>
      <c r="L448" s="650"/>
      <c r="M448" s="650"/>
      <c r="N448" s="650"/>
      <c r="O448" s="650"/>
      <c r="P448" s="650"/>
      <c r="Q448" s="650"/>
      <c r="R448" s="650"/>
      <c r="S448" s="650"/>
      <c r="T448" s="650"/>
      <c r="U448" s="650"/>
      <c r="V448" s="650"/>
      <c r="W448" s="650"/>
      <c r="X448" s="650"/>
      <c r="Y448" s="650"/>
      <c r="Z448" s="650"/>
      <c r="AA448" s="650"/>
      <c r="AB448" s="650"/>
      <c r="AC448" s="650"/>
      <c r="AD448" s="650"/>
      <c r="AE448" s="650"/>
      <c r="AF448" s="650"/>
      <c r="AG448" s="650"/>
      <c r="AH448" s="650"/>
      <c r="AI448" s="650"/>
      <c r="AJ448" s="650"/>
      <c r="AK448" s="650"/>
      <c r="AL448" s="650"/>
      <c r="AM448" s="650"/>
      <c r="AN448" s="650"/>
      <c r="AO448" s="650"/>
      <c r="AP448" s="650"/>
      <c r="AQ448" s="650"/>
      <c r="AR448" s="650"/>
      <c r="AS448" s="650"/>
      <c r="AT448" s="650"/>
      <c r="AU448" s="650"/>
      <c r="AV448" s="650"/>
      <c r="AW448" s="650"/>
      <c r="AX448" s="650"/>
      <c r="AY448" s="650"/>
    </row>
    <row r="449" ht="21.75" customHeight="1">
      <c r="A449" s="650"/>
      <c r="B449" s="650"/>
      <c r="C449" s="650"/>
      <c r="D449" s="650"/>
      <c r="E449" s="650"/>
      <c r="F449" s="650"/>
      <c r="G449" s="650"/>
      <c r="H449" s="650"/>
      <c r="I449" s="650"/>
      <c r="J449" s="650"/>
      <c r="K449" s="650"/>
      <c r="L449" s="650"/>
      <c r="M449" s="650"/>
      <c r="N449" s="650"/>
      <c r="O449" s="650"/>
      <c r="P449" s="650"/>
      <c r="Q449" s="650"/>
      <c r="R449" s="650"/>
      <c r="S449" s="650"/>
      <c r="T449" s="650"/>
      <c r="U449" s="650"/>
      <c r="V449" s="650"/>
      <c r="W449" s="650"/>
      <c r="X449" s="650"/>
      <c r="Y449" s="650"/>
      <c r="Z449" s="650"/>
      <c r="AA449" s="650"/>
      <c r="AB449" s="650"/>
      <c r="AC449" s="650"/>
      <c r="AD449" s="650"/>
      <c r="AE449" s="650"/>
      <c r="AF449" s="650"/>
      <c r="AG449" s="650"/>
      <c r="AH449" s="650"/>
      <c r="AI449" s="650"/>
      <c r="AJ449" s="650"/>
      <c r="AK449" s="650"/>
      <c r="AL449" s="650"/>
      <c r="AM449" s="650"/>
      <c r="AN449" s="650"/>
      <c r="AO449" s="650"/>
      <c r="AP449" s="650"/>
      <c r="AQ449" s="650"/>
      <c r="AR449" s="650"/>
      <c r="AS449" s="650"/>
      <c r="AT449" s="650"/>
      <c r="AU449" s="650"/>
      <c r="AV449" s="650"/>
      <c r="AW449" s="650"/>
      <c r="AX449" s="650"/>
      <c r="AY449" s="650"/>
    </row>
    <row r="450" ht="21.75" customHeight="1">
      <c r="A450" s="650"/>
      <c r="B450" s="650"/>
      <c r="C450" s="650"/>
      <c r="D450" s="650"/>
      <c r="E450" s="650"/>
      <c r="F450" s="650"/>
      <c r="G450" s="650"/>
      <c r="H450" s="650"/>
      <c r="I450" s="650"/>
      <c r="J450" s="650"/>
      <c r="K450" s="650"/>
      <c r="L450" s="650"/>
      <c r="M450" s="650"/>
      <c r="N450" s="650"/>
      <c r="O450" s="650"/>
      <c r="P450" s="650"/>
      <c r="Q450" s="650"/>
      <c r="R450" s="650"/>
      <c r="S450" s="650"/>
      <c r="T450" s="650"/>
      <c r="U450" s="650"/>
      <c r="V450" s="650"/>
      <c r="W450" s="650"/>
      <c r="X450" s="650"/>
      <c r="Y450" s="650"/>
      <c r="Z450" s="650"/>
      <c r="AA450" s="650"/>
      <c r="AB450" s="650"/>
      <c r="AC450" s="650"/>
      <c r="AD450" s="650"/>
      <c r="AE450" s="650"/>
      <c r="AF450" s="650"/>
      <c r="AG450" s="650"/>
      <c r="AH450" s="650"/>
      <c r="AI450" s="650"/>
      <c r="AJ450" s="650"/>
      <c r="AK450" s="650"/>
      <c r="AL450" s="650"/>
      <c r="AM450" s="650"/>
      <c r="AN450" s="650"/>
      <c r="AO450" s="650"/>
      <c r="AP450" s="650"/>
      <c r="AQ450" s="650"/>
      <c r="AR450" s="650"/>
      <c r="AS450" s="650"/>
      <c r="AT450" s="650"/>
      <c r="AU450" s="650"/>
      <c r="AV450" s="650"/>
      <c r="AW450" s="650"/>
      <c r="AX450" s="650"/>
      <c r="AY450" s="650"/>
    </row>
    <row r="451" ht="21.75" customHeight="1">
      <c r="A451" s="650"/>
      <c r="B451" s="650"/>
      <c r="C451" s="650"/>
      <c r="D451" s="650"/>
      <c r="E451" s="650"/>
      <c r="F451" s="650"/>
      <c r="G451" s="650"/>
      <c r="H451" s="650"/>
      <c r="I451" s="650"/>
      <c r="J451" s="650"/>
      <c r="K451" s="650"/>
      <c r="L451" s="650"/>
      <c r="M451" s="650"/>
      <c r="N451" s="650"/>
      <c r="O451" s="650"/>
      <c r="P451" s="650"/>
      <c r="Q451" s="650"/>
      <c r="R451" s="650"/>
      <c r="S451" s="650"/>
      <c r="T451" s="650"/>
      <c r="U451" s="650"/>
      <c r="V451" s="650"/>
      <c r="W451" s="650"/>
      <c r="X451" s="650"/>
      <c r="Y451" s="650"/>
      <c r="Z451" s="650"/>
      <c r="AA451" s="650"/>
      <c r="AB451" s="650"/>
      <c r="AC451" s="650"/>
      <c r="AD451" s="650"/>
      <c r="AE451" s="650"/>
      <c r="AF451" s="650"/>
      <c r="AG451" s="650"/>
      <c r="AH451" s="650"/>
      <c r="AI451" s="650"/>
      <c r="AJ451" s="650"/>
      <c r="AK451" s="650"/>
      <c r="AL451" s="650"/>
      <c r="AM451" s="650"/>
      <c r="AN451" s="650"/>
      <c r="AO451" s="650"/>
      <c r="AP451" s="650"/>
      <c r="AQ451" s="650"/>
      <c r="AR451" s="650"/>
      <c r="AS451" s="650"/>
      <c r="AT451" s="650"/>
      <c r="AU451" s="650"/>
      <c r="AV451" s="650"/>
      <c r="AW451" s="650"/>
      <c r="AX451" s="650"/>
      <c r="AY451" s="650"/>
    </row>
    <row r="452" ht="21.75" customHeight="1">
      <c r="A452" s="650"/>
      <c r="B452" s="650"/>
      <c r="C452" s="650"/>
      <c r="D452" s="650"/>
      <c r="E452" s="650"/>
      <c r="F452" s="650"/>
      <c r="G452" s="650"/>
      <c r="H452" s="650"/>
      <c r="I452" s="650"/>
      <c r="J452" s="650"/>
      <c r="K452" s="650"/>
      <c r="L452" s="650"/>
      <c r="M452" s="650"/>
      <c r="N452" s="650"/>
      <c r="O452" s="650"/>
      <c r="P452" s="650"/>
      <c r="Q452" s="650"/>
      <c r="R452" s="650"/>
      <c r="S452" s="650"/>
      <c r="T452" s="650"/>
      <c r="U452" s="650"/>
      <c r="V452" s="650"/>
      <c r="W452" s="650"/>
      <c r="X452" s="650"/>
      <c r="Y452" s="650"/>
      <c r="Z452" s="650"/>
      <c r="AA452" s="650"/>
      <c r="AB452" s="650"/>
      <c r="AC452" s="650"/>
      <c r="AD452" s="650"/>
      <c r="AE452" s="650"/>
      <c r="AF452" s="650"/>
      <c r="AG452" s="650"/>
      <c r="AH452" s="650"/>
      <c r="AI452" s="650"/>
      <c r="AJ452" s="650"/>
      <c r="AK452" s="650"/>
      <c r="AL452" s="650"/>
      <c r="AM452" s="650"/>
      <c r="AN452" s="650"/>
      <c r="AO452" s="650"/>
      <c r="AP452" s="650"/>
      <c r="AQ452" s="650"/>
      <c r="AR452" s="650"/>
      <c r="AS452" s="650"/>
      <c r="AT452" s="650"/>
      <c r="AU452" s="650"/>
      <c r="AV452" s="650"/>
      <c r="AW452" s="650"/>
      <c r="AX452" s="650"/>
      <c r="AY452" s="650"/>
    </row>
    <row r="453" ht="21.75" customHeight="1">
      <c r="A453" s="650"/>
      <c r="B453" s="650"/>
      <c r="C453" s="650"/>
      <c r="D453" s="650"/>
      <c r="E453" s="650"/>
      <c r="F453" s="650"/>
      <c r="G453" s="650"/>
      <c r="H453" s="650"/>
      <c r="I453" s="650"/>
      <c r="J453" s="650"/>
      <c r="K453" s="650"/>
      <c r="L453" s="650"/>
      <c r="M453" s="650"/>
      <c r="N453" s="650"/>
      <c r="O453" s="650"/>
      <c r="P453" s="650"/>
      <c r="Q453" s="650"/>
      <c r="R453" s="650"/>
      <c r="S453" s="650"/>
      <c r="T453" s="650"/>
      <c r="U453" s="650"/>
      <c r="V453" s="650"/>
      <c r="W453" s="650"/>
      <c r="X453" s="650"/>
      <c r="Y453" s="650"/>
      <c r="Z453" s="650"/>
      <c r="AA453" s="650"/>
      <c r="AB453" s="650"/>
      <c r="AC453" s="650"/>
      <c r="AD453" s="650"/>
      <c r="AE453" s="650"/>
      <c r="AF453" s="650"/>
      <c r="AG453" s="650"/>
      <c r="AH453" s="650"/>
      <c r="AI453" s="650"/>
      <c r="AJ453" s="650"/>
      <c r="AK453" s="650"/>
      <c r="AL453" s="650"/>
      <c r="AM453" s="650"/>
      <c r="AN453" s="650"/>
      <c r="AO453" s="650"/>
      <c r="AP453" s="650"/>
      <c r="AQ453" s="650"/>
      <c r="AR453" s="650"/>
      <c r="AS453" s="650"/>
      <c r="AT453" s="650"/>
      <c r="AU453" s="650"/>
      <c r="AV453" s="650"/>
      <c r="AW453" s="650"/>
      <c r="AX453" s="650"/>
      <c r="AY453" s="650"/>
    </row>
    <row r="454" ht="21.75" customHeight="1">
      <c r="A454" s="650"/>
      <c r="B454" s="650"/>
      <c r="C454" s="650"/>
      <c r="D454" s="650"/>
      <c r="E454" s="650"/>
      <c r="F454" s="650"/>
      <c r="G454" s="650"/>
      <c r="H454" s="650"/>
      <c r="I454" s="650"/>
      <c r="J454" s="650"/>
      <c r="K454" s="650"/>
      <c r="L454" s="650"/>
      <c r="M454" s="650"/>
      <c r="N454" s="650"/>
      <c r="O454" s="650"/>
      <c r="P454" s="650"/>
      <c r="Q454" s="650"/>
      <c r="R454" s="650"/>
      <c r="S454" s="650"/>
      <c r="T454" s="650"/>
      <c r="U454" s="650"/>
      <c r="V454" s="650"/>
      <c r="W454" s="650"/>
      <c r="X454" s="650"/>
      <c r="Y454" s="650"/>
      <c r="Z454" s="650"/>
      <c r="AA454" s="650"/>
      <c r="AB454" s="650"/>
      <c r="AC454" s="650"/>
      <c r="AD454" s="650"/>
      <c r="AE454" s="650"/>
      <c r="AF454" s="650"/>
      <c r="AG454" s="650"/>
      <c r="AH454" s="650"/>
      <c r="AI454" s="650"/>
      <c r="AJ454" s="650"/>
      <c r="AK454" s="650"/>
      <c r="AL454" s="650"/>
      <c r="AM454" s="650"/>
      <c r="AN454" s="650"/>
      <c r="AO454" s="650"/>
      <c r="AP454" s="650"/>
      <c r="AQ454" s="650"/>
      <c r="AR454" s="650"/>
      <c r="AS454" s="650"/>
      <c r="AT454" s="650"/>
      <c r="AU454" s="650"/>
      <c r="AV454" s="650"/>
      <c r="AW454" s="650"/>
      <c r="AX454" s="650"/>
      <c r="AY454" s="650"/>
    </row>
    <row r="455" ht="21.75" customHeight="1">
      <c r="A455" s="650"/>
      <c r="B455" s="650"/>
      <c r="C455" s="650"/>
      <c r="D455" s="650"/>
      <c r="E455" s="650"/>
      <c r="F455" s="650"/>
      <c r="G455" s="650"/>
      <c r="H455" s="650"/>
      <c r="I455" s="650"/>
      <c r="J455" s="650"/>
      <c r="K455" s="650"/>
      <c r="L455" s="650"/>
      <c r="M455" s="650"/>
      <c r="N455" s="650"/>
      <c r="O455" s="650"/>
      <c r="P455" s="650"/>
      <c r="Q455" s="650"/>
      <c r="R455" s="650"/>
      <c r="S455" s="650"/>
      <c r="T455" s="650"/>
      <c r="U455" s="650"/>
      <c r="V455" s="650"/>
      <c r="W455" s="650"/>
      <c r="X455" s="650"/>
      <c r="Y455" s="650"/>
      <c r="Z455" s="650"/>
      <c r="AA455" s="650"/>
      <c r="AB455" s="650"/>
      <c r="AC455" s="650"/>
      <c r="AD455" s="650"/>
      <c r="AE455" s="650"/>
      <c r="AF455" s="650"/>
      <c r="AG455" s="650"/>
      <c r="AH455" s="650"/>
      <c r="AI455" s="650"/>
      <c r="AJ455" s="650"/>
      <c r="AK455" s="650"/>
      <c r="AL455" s="650"/>
      <c r="AM455" s="650"/>
      <c r="AN455" s="650"/>
      <c r="AO455" s="650"/>
      <c r="AP455" s="650"/>
      <c r="AQ455" s="650"/>
      <c r="AR455" s="650"/>
      <c r="AS455" s="650"/>
      <c r="AT455" s="650"/>
      <c r="AU455" s="650"/>
      <c r="AV455" s="650"/>
      <c r="AW455" s="650"/>
      <c r="AX455" s="650"/>
      <c r="AY455" s="650"/>
    </row>
    <row r="456" ht="21.75" customHeight="1">
      <c r="A456" s="650"/>
      <c r="B456" s="650"/>
      <c r="C456" s="650"/>
      <c r="D456" s="650"/>
      <c r="E456" s="650"/>
      <c r="F456" s="650"/>
      <c r="G456" s="650"/>
      <c r="H456" s="650"/>
      <c r="I456" s="650"/>
      <c r="J456" s="650"/>
      <c r="K456" s="650"/>
      <c r="L456" s="650"/>
      <c r="M456" s="650"/>
      <c r="N456" s="650"/>
      <c r="O456" s="650"/>
      <c r="P456" s="650"/>
      <c r="Q456" s="650"/>
      <c r="R456" s="650"/>
      <c r="S456" s="650"/>
      <c r="T456" s="650"/>
      <c r="U456" s="650"/>
      <c r="V456" s="650"/>
      <c r="W456" s="650"/>
      <c r="X456" s="650"/>
      <c r="Y456" s="650"/>
      <c r="Z456" s="650"/>
      <c r="AA456" s="650"/>
      <c r="AB456" s="650"/>
      <c r="AC456" s="650"/>
      <c r="AD456" s="650"/>
      <c r="AE456" s="650"/>
      <c r="AF456" s="650"/>
      <c r="AG456" s="650"/>
      <c r="AH456" s="650"/>
      <c r="AI456" s="650"/>
      <c r="AJ456" s="650"/>
      <c r="AK456" s="650"/>
      <c r="AL456" s="650"/>
      <c r="AM456" s="650"/>
      <c r="AN456" s="650"/>
      <c r="AO456" s="650"/>
      <c r="AP456" s="650"/>
      <c r="AQ456" s="650"/>
      <c r="AR456" s="650"/>
      <c r="AS456" s="650"/>
      <c r="AT456" s="650"/>
      <c r="AU456" s="650"/>
      <c r="AV456" s="650"/>
      <c r="AW456" s="650"/>
      <c r="AX456" s="650"/>
      <c r="AY456" s="650"/>
    </row>
    <row r="457" ht="21.75" customHeight="1">
      <c r="A457" s="650"/>
      <c r="B457" s="650"/>
      <c r="C457" s="650"/>
      <c r="D457" s="650"/>
      <c r="E457" s="650"/>
      <c r="F457" s="650"/>
      <c r="G457" s="650"/>
      <c r="H457" s="650"/>
      <c r="I457" s="650"/>
      <c r="J457" s="650"/>
      <c r="K457" s="650"/>
      <c r="L457" s="650"/>
      <c r="M457" s="650"/>
      <c r="N457" s="650"/>
      <c r="O457" s="650"/>
      <c r="P457" s="650"/>
      <c r="Q457" s="650"/>
      <c r="R457" s="650"/>
      <c r="S457" s="650"/>
      <c r="T457" s="650"/>
      <c r="U457" s="650"/>
      <c r="V457" s="650"/>
      <c r="W457" s="650"/>
      <c r="X457" s="650"/>
      <c r="Y457" s="650"/>
      <c r="Z457" s="650"/>
      <c r="AA457" s="650"/>
      <c r="AB457" s="650"/>
      <c r="AC457" s="650"/>
      <c r="AD457" s="650"/>
      <c r="AE457" s="650"/>
      <c r="AF457" s="650"/>
      <c r="AG457" s="650"/>
      <c r="AH457" s="650"/>
      <c r="AI457" s="650"/>
      <c r="AJ457" s="650"/>
      <c r="AK457" s="650"/>
      <c r="AL457" s="650"/>
      <c r="AM457" s="650"/>
      <c r="AN457" s="650"/>
      <c r="AO457" s="650"/>
      <c r="AP457" s="650"/>
      <c r="AQ457" s="650"/>
      <c r="AR457" s="650"/>
      <c r="AS457" s="650"/>
      <c r="AT457" s="650"/>
      <c r="AU457" s="650"/>
      <c r="AV457" s="650"/>
      <c r="AW457" s="650"/>
      <c r="AX457" s="650"/>
      <c r="AY457" s="650"/>
    </row>
    <row r="458" ht="21.75" customHeight="1">
      <c r="A458" s="650"/>
      <c r="B458" s="650"/>
      <c r="C458" s="650"/>
      <c r="D458" s="650"/>
      <c r="E458" s="650"/>
      <c r="F458" s="650"/>
      <c r="G458" s="650"/>
      <c r="H458" s="650"/>
      <c r="I458" s="650"/>
      <c r="J458" s="650"/>
      <c r="K458" s="650"/>
      <c r="L458" s="650"/>
      <c r="M458" s="650"/>
      <c r="N458" s="650"/>
      <c r="O458" s="650"/>
      <c r="P458" s="650"/>
      <c r="Q458" s="650"/>
      <c r="R458" s="650"/>
      <c r="S458" s="650"/>
      <c r="T458" s="650"/>
      <c r="U458" s="650"/>
      <c r="V458" s="650"/>
      <c r="W458" s="650"/>
      <c r="X458" s="650"/>
      <c r="Y458" s="650"/>
      <c r="Z458" s="650"/>
      <c r="AA458" s="650"/>
      <c r="AB458" s="650"/>
      <c r="AC458" s="650"/>
      <c r="AD458" s="650"/>
      <c r="AE458" s="650"/>
      <c r="AF458" s="650"/>
      <c r="AG458" s="650"/>
      <c r="AH458" s="650"/>
      <c r="AI458" s="650"/>
      <c r="AJ458" s="650"/>
      <c r="AK458" s="650"/>
      <c r="AL458" s="650"/>
      <c r="AM458" s="650"/>
      <c r="AN458" s="650"/>
      <c r="AO458" s="650"/>
      <c r="AP458" s="650"/>
      <c r="AQ458" s="650"/>
      <c r="AR458" s="650"/>
      <c r="AS458" s="650"/>
      <c r="AT458" s="650"/>
      <c r="AU458" s="650"/>
      <c r="AV458" s="650"/>
      <c r="AW458" s="650"/>
      <c r="AX458" s="650"/>
      <c r="AY458" s="650"/>
    </row>
    <row r="459" ht="21.75" customHeight="1">
      <c r="A459" s="650"/>
      <c r="B459" s="650"/>
      <c r="C459" s="650"/>
      <c r="D459" s="650"/>
      <c r="E459" s="650"/>
      <c r="F459" s="650"/>
      <c r="G459" s="650"/>
      <c r="H459" s="650"/>
      <c r="I459" s="650"/>
      <c r="J459" s="650"/>
      <c r="K459" s="650"/>
      <c r="L459" s="650"/>
      <c r="M459" s="650"/>
      <c r="N459" s="650"/>
      <c r="O459" s="650"/>
      <c r="P459" s="650"/>
      <c r="Q459" s="650"/>
      <c r="R459" s="650"/>
      <c r="S459" s="650"/>
      <c r="T459" s="650"/>
      <c r="U459" s="650"/>
      <c r="V459" s="650"/>
      <c r="W459" s="650"/>
      <c r="X459" s="650"/>
      <c r="Y459" s="650"/>
      <c r="Z459" s="650"/>
      <c r="AA459" s="650"/>
      <c r="AB459" s="650"/>
      <c r="AC459" s="650"/>
      <c r="AD459" s="650"/>
      <c r="AE459" s="650"/>
      <c r="AF459" s="650"/>
      <c r="AG459" s="650"/>
      <c r="AH459" s="650"/>
      <c r="AI459" s="650"/>
      <c r="AJ459" s="650"/>
      <c r="AK459" s="650"/>
      <c r="AL459" s="650"/>
      <c r="AM459" s="650"/>
      <c r="AN459" s="650"/>
      <c r="AO459" s="650"/>
      <c r="AP459" s="650"/>
      <c r="AQ459" s="650"/>
      <c r="AR459" s="650"/>
      <c r="AS459" s="650"/>
      <c r="AT459" s="650"/>
      <c r="AU459" s="650"/>
      <c r="AV459" s="650"/>
      <c r="AW459" s="650"/>
      <c r="AX459" s="650"/>
      <c r="AY459" s="650"/>
    </row>
    <row r="460" ht="21.75" customHeight="1">
      <c r="A460" s="650"/>
      <c r="B460" s="650"/>
      <c r="C460" s="650"/>
      <c r="D460" s="650"/>
      <c r="E460" s="650"/>
      <c r="F460" s="650"/>
      <c r="G460" s="650"/>
      <c r="H460" s="650"/>
      <c r="I460" s="650"/>
      <c r="J460" s="650"/>
      <c r="K460" s="650"/>
      <c r="L460" s="650"/>
      <c r="M460" s="650"/>
      <c r="N460" s="650"/>
      <c r="O460" s="650"/>
      <c r="P460" s="650"/>
      <c r="Q460" s="650"/>
      <c r="R460" s="650"/>
      <c r="S460" s="650"/>
      <c r="T460" s="650"/>
      <c r="U460" s="650"/>
      <c r="V460" s="650"/>
      <c r="W460" s="650"/>
      <c r="X460" s="650"/>
      <c r="Y460" s="650"/>
      <c r="Z460" s="650"/>
      <c r="AA460" s="650"/>
      <c r="AB460" s="650"/>
      <c r="AC460" s="650"/>
      <c r="AD460" s="650"/>
      <c r="AE460" s="650"/>
      <c r="AF460" s="650"/>
      <c r="AG460" s="650"/>
      <c r="AH460" s="650"/>
      <c r="AI460" s="650"/>
      <c r="AJ460" s="650"/>
      <c r="AK460" s="650"/>
      <c r="AL460" s="650"/>
      <c r="AM460" s="650"/>
      <c r="AN460" s="650"/>
      <c r="AO460" s="650"/>
      <c r="AP460" s="650"/>
      <c r="AQ460" s="650"/>
      <c r="AR460" s="650"/>
      <c r="AS460" s="650"/>
      <c r="AT460" s="650"/>
      <c r="AU460" s="650"/>
      <c r="AV460" s="650"/>
      <c r="AW460" s="650"/>
      <c r="AX460" s="650"/>
      <c r="AY460" s="650"/>
    </row>
    <row r="461" ht="21.75" customHeight="1">
      <c r="A461" s="650"/>
      <c r="B461" s="650"/>
      <c r="C461" s="650"/>
      <c r="D461" s="650"/>
      <c r="E461" s="650"/>
      <c r="F461" s="650"/>
      <c r="G461" s="650"/>
      <c r="H461" s="650"/>
      <c r="I461" s="650"/>
      <c r="J461" s="650"/>
      <c r="K461" s="650"/>
      <c r="L461" s="650"/>
      <c r="M461" s="650"/>
      <c r="N461" s="650"/>
      <c r="O461" s="650"/>
      <c r="P461" s="650"/>
      <c r="Q461" s="650"/>
      <c r="R461" s="650"/>
      <c r="S461" s="650"/>
      <c r="T461" s="650"/>
      <c r="U461" s="650"/>
      <c r="V461" s="650"/>
      <c r="W461" s="650"/>
      <c r="X461" s="650"/>
      <c r="Y461" s="650"/>
      <c r="Z461" s="650"/>
      <c r="AA461" s="650"/>
      <c r="AB461" s="650"/>
      <c r="AC461" s="650"/>
      <c r="AD461" s="650"/>
      <c r="AE461" s="650"/>
      <c r="AF461" s="650"/>
      <c r="AG461" s="650"/>
      <c r="AH461" s="650"/>
      <c r="AI461" s="650"/>
      <c r="AJ461" s="650"/>
      <c r="AK461" s="650"/>
      <c r="AL461" s="650"/>
      <c r="AM461" s="650"/>
      <c r="AN461" s="650"/>
      <c r="AO461" s="650"/>
      <c r="AP461" s="650"/>
      <c r="AQ461" s="650"/>
      <c r="AR461" s="650"/>
      <c r="AS461" s="650"/>
      <c r="AT461" s="650"/>
      <c r="AU461" s="650"/>
      <c r="AV461" s="650"/>
      <c r="AW461" s="650"/>
      <c r="AX461" s="650"/>
      <c r="AY461" s="650"/>
    </row>
    <row r="462" ht="21.75" customHeight="1">
      <c r="A462" s="650"/>
      <c r="B462" s="650"/>
      <c r="C462" s="650"/>
      <c r="D462" s="650"/>
      <c r="E462" s="650"/>
      <c r="F462" s="650"/>
      <c r="G462" s="650"/>
      <c r="H462" s="650"/>
      <c r="I462" s="650"/>
      <c r="J462" s="650"/>
      <c r="K462" s="650"/>
      <c r="L462" s="650"/>
      <c r="M462" s="650"/>
      <c r="N462" s="650"/>
      <c r="O462" s="650"/>
      <c r="P462" s="650"/>
      <c r="Q462" s="650"/>
      <c r="R462" s="650"/>
      <c r="S462" s="650"/>
      <c r="T462" s="650"/>
      <c r="U462" s="650"/>
      <c r="V462" s="650"/>
      <c r="W462" s="650"/>
      <c r="X462" s="650"/>
      <c r="Y462" s="650"/>
      <c r="Z462" s="650"/>
      <c r="AA462" s="650"/>
      <c r="AB462" s="650"/>
      <c r="AC462" s="650"/>
      <c r="AD462" s="650"/>
      <c r="AE462" s="650"/>
      <c r="AF462" s="650"/>
      <c r="AG462" s="650"/>
      <c r="AH462" s="650"/>
      <c r="AI462" s="650"/>
      <c r="AJ462" s="650"/>
      <c r="AK462" s="650"/>
      <c r="AL462" s="650"/>
      <c r="AM462" s="650"/>
      <c r="AN462" s="650"/>
      <c r="AO462" s="650"/>
      <c r="AP462" s="650"/>
      <c r="AQ462" s="650"/>
      <c r="AR462" s="650"/>
      <c r="AS462" s="650"/>
      <c r="AT462" s="650"/>
      <c r="AU462" s="650"/>
      <c r="AV462" s="650"/>
      <c r="AW462" s="650"/>
      <c r="AX462" s="650"/>
      <c r="AY462" s="650"/>
    </row>
    <row r="463" ht="21.75" customHeight="1">
      <c r="A463" s="650"/>
      <c r="B463" s="650"/>
      <c r="C463" s="650"/>
      <c r="D463" s="650"/>
      <c r="E463" s="650"/>
      <c r="F463" s="650"/>
      <c r="G463" s="650"/>
      <c r="H463" s="650"/>
      <c r="I463" s="650"/>
      <c r="J463" s="650"/>
      <c r="K463" s="650"/>
      <c r="L463" s="650"/>
      <c r="M463" s="650"/>
      <c r="N463" s="650"/>
      <c r="O463" s="650"/>
      <c r="P463" s="650"/>
      <c r="Q463" s="650"/>
      <c r="R463" s="650"/>
      <c r="S463" s="650"/>
      <c r="T463" s="650"/>
      <c r="U463" s="650"/>
      <c r="V463" s="650"/>
      <c r="W463" s="650"/>
      <c r="X463" s="650"/>
      <c r="Y463" s="650"/>
      <c r="Z463" s="650"/>
      <c r="AA463" s="650"/>
      <c r="AB463" s="650"/>
      <c r="AC463" s="650"/>
      <c r="AD463" s="650"/>
      <c r="AE463" s="650"/>
      <c r="AF463" s="650"/>
      <c r="AG463" s="650"/>
      <c r="AH463" s="650"/>
      <c r="AI463" s="650"/>
      <c r="AJ463" s="650"/>
      <c r="AK463" s="650"/>
      <c r="AL463" s="650"/>
      <c r="AM463" s="650"/>
      <c r="AN463" s="650"/>
      <c r="AO463" s="650"/>
      <c r="AP463" s="650"/>
      <c r="AQ463" s="650"/>
      <c r="AR463" s="650"/>
      <c r="AS463" s="650"/>
      <c r="AT463" s="650"/>
      <c r="AU463" s="650"/>
      <c r="AV463" s="650"/>
      <c r="AW463" s="650"/>
      <c r="AX463" s="650"/>
      <c r="AY463" s="650"/>
    </row>
    <row r="464" ht="21.75" customHeight="1">
      <c r="A464" s="650"/>
      <c r="B464" s="650"/>
      <c r="C464" s="650"/>
      <c r="D464" s="650"/>
      <c r="E464" s="650"/>
      <c r="F464" s="650"/>
      <c r="G464" s="650"/>
      <c r="H464" s="650"/>
      <c r="I464" s="650"/>
      <c r="J464" s="650"/>
      <c r="K464" s="650"/>
      <c r="L464" s="650"/>
      <c r="M464" s="650"/>
      <c r="N464" s="650"/>
      <c r="O464" s="650"/>
      <c r="P464" s="650"/>
      <c r="Q464" s="650"/>
      <c r="R464" s="650"/>
      <c r="S464" s="650"/>
      <c r="T464" s="650"/>
      <c r="U464" s="650"/>
      <c r="V464" s="650"/>
      <c r="W464" s="650"/>
      <c r="X464" s="650"/>
      <c r="Y464" s="650"/>
      <c r="Z464" s="650"/>
      <c r="AA464" s="650"/>
      <c r="AB464" s="650"/>
      <c r="AC464" s="650"/>
      <c r="AD464" s="650"/>
      <c r="AE464" s="650"/>
      <c r="AF464" s="650"/>
      <c r="AG464" s="650"/>
      <c r="AH464" s="650"/>
      <c r="AI464" s="650"/>
      <c r="AJ464" s="650"/>
      <c r="AK464" s="650"/>
      <c r="AL464" s="650"/>
      <c r="AM464" s="650"/>
      <c r="AN464" s="650"/>
      <c r="AO464" s="650"/>
      <c r="AP464" s="650"/>
      <c r="AQ464" s="650"/>
      <c r="AR464" s="650"/>
      <c r="AS464" s="650"/>
      <c r="AT464" s="650"/>
      <c r="AU464" s="650"/>
      <c r="AV464" s="650"/>
      <c r="AW464" s="650"/>
      <c r="AX464" s="650"/>
      <c r="AY464" s="650"/>
    </row>
    <row r="465" ht="21.75" customHeight="1">
      <c r="A465" s="650"/>
      <c r="B465" s="650"/>
      <c r="C465" s="650"/>
      <c r="D465" s="650"/>
      <c r="E465" s="650"/>
      <c r="F465" s="650"/>
      <c r="G465" s="650"/>
      <c r="H465" s="650"/>
      <c r="I465" s="650"/>
      <c r="J465" s="650"/>
      <c r="K465" s="650"/>
      <c r="L465" s="650"/>
      <c r="M465" s="650"/>
      <c r="N465" s="650"/>
      <c r="O465" s="650"/>
      <c r="P465" s="650"/>
      <c r="Q465" s="650"/>
      <c r="R465" s="650"/>
      <c r="S465" s="650"/>
      <c r="T465" s="650"/>
      <c r="U465" s="650"/>
      <c r="V465" s="650"/>
      <c r="W465" s="650"/>
      <c r="X465" s="650"/>
      <c r="Y465" s="650"/>
      <c r="Z465" s="650"/>
      <c r="AA465" s="650"/>
      <c r="AB465" s="650"/>
      <c r="AC465" s="650"/>
      <c r="AD465" s="650"/>
      <c r="AE465" s="650"/>
      <c r="AF465" s="650"/>
      <c r="AG465" s="650"/>
      <c r="AH465" s="650"/>
      <c r="AI465" s="650"/>
      <c r="AJ465" s="650"/>
      <c r="AK465" s="650"/>
      <c r="AL465" s="650"/>
      <c r="AM465" s="650"/>
      <c r="AN465" s="650"/>
      <c r="AO465" s="650"/>
      <c r="AP465" s="650"/>
      <c r="AQ465" s="650"/>
      <c r="AR465" s="650"/>
      <c r="AS465" s="650"/>
      <c r="AT465" s="650"/>
      <c r="AU465" s="650"/>
      <c r="AV465" s="650"/>
      <c r="AW465" s="650"/>
      <c r="AX465" s="650"/>
      <c r="AY465" s="650"/>
    </row>
    <row r="466" ht="21.75" customHeight="1">
      <c r="A466" s="650"/>
      <c r="B466" s="650"/>
      <c r="C466" s="650"/>
      <c r="D466" s="650"/>
      <c r="E466" s="650"/>
      <c r="F466" s="650"/>
      <c r="G466" s="650"/>
      <c r="H466" s="650"/>
      <c r="I466" s="650"/>
      <c r="J466" s="650"/>
      <c r="K466" s="650"/>
      <c r="L466" s="650"/>
      <c r="M466" s="650"/>
      <c r="N466" s="650"/>
      <c r="O466" s="650"/>
      <c r="P466" s="650"/>
      <c r="Q466" s="650"/>
      <c r="R466" s="650"/>
      <c r="S466" s="650"/>
      <c r="T466" s="650"/>
      <c r="U466" s="650"/>
      <c r="V466" s="650"/>
      <c r="W466" s="650"/>
      <c r="X466" s="650"/>
      <c r="Y466" s="650"/>
      <c r="Z466" s="650"/>
      <c r="AA466" s="650"/>
      <c r="AB466" s="650"/>
      <c r="AC466" s="650"/>
      <c r="AD466" s="650"/>
      <c r="AE466" s="650"/>
      <c r="AF466" s="650"/>
      <c r="AG466" s="650"/>
      <c r="AH466" s="650"/>
      <c r="AI466" s="650"/>
      <c r="AJ466" s="650"/>
      <c r="AK466" s="650"/>
      <c r="AL466" s="650"/>
      <c r="AM466" s="650"/>
      <c r="AN466" s="650"/>
      <c r="AO466" s="650"/>
      <c r="AP466" s="650"/>
      <c r="AQ466" s="650"/>
      <c r="AR466" s="650"/>
      <c r="AS466" s="650"/>
      <c r="AT466" s="650"/>
      <c r="AU466" s="650"/>
      <c r="AV466" s="650"/>
      <c r="AW466" s="650"/>
      <c r="AX466" s="650"/>
      <c r="AY466" s="650"/>
    </row>
    <row r="467" ht="21.75" customHeight="1">
      <c r="A467" s="650"/>
      <c r="B467" s="650"/>
      <c r="C467" s="650"/>
      <c r="D467" s="650"/>
      <c r="E467" s="650"/>
      <c r="F467" s="650"/>
      <c r="G467" s="650"/>
      <c r="H467" s="650"/>
      <c r="I467" s="650"/>
      <c r="J467" s="650"/>
      <c r="K467" s="650"/>
      <c r="L467" s="650"/>
      <c r="M467" s="650"/>
      <c r="N467" s="650"/>
      <c r="O467" s="650"/>
      <c r="P467" s="650"/>
      <c r="Q467" s="650"/>
      <c r="R467" s="650"/>
      <c r="S467" s="650"/>
      <c r="T467" s="650"/>
      <c r="U467" s="650"/>
      <c r="V467" s="650"/>
      <c r="W467" s="650"/>
      <c r="X467" s="650"/>
      <c r="Y467" s="650"/>
      <c r="Z467" s="650"/>
      <c r="AA467" s="650"/>
      <c r="AB467" s="650"/>
      <c r="AC467" s="650"/>
      <c r="AD467" s="650"/>
      <c r="AE467" s="650"/>
      <c r="AF467" s="650"/>
      <c r="AG467" s="650"/>
      <c r="AH467" s="650"/>
      <c r="AI467" s="650"/>
      <c r="AJ467" s="650"/>
      <c r="AK467" s="650"/>
      <c r="AL467" s="650"/>
      <c r="AM467" s="650"/>
      <c r="AN467" s="650"/>
      <c r="AO467" s="650"/>
      <c r="AP467" s="650"/>
      <c r="AQ467" s="650"/>
      <c r="AR467" s="650"/>
      <c r="AS467" s="650"/>
      <c r="AT467" s="650"/>
      <c r="AU467" s="650"/>
      <c r="AV467" s="650"/>
      <c r="AW467" s="650"/>
      <c r="AX467" s="650"/>
      <c r="AY467" s="650"/>
    </row>
    <row r="468" ht="21.75" customHeight="1">
      <c r="A468" s="650"/>
      <c r="B468" s="650"/>
      <c r="C468" s="650"/>
      <c r="D468" s="650"/>
      <c r="E468" s="650"/>
      <c r="F468" s="650"/>
      <c r="G468" s="650"/>
      <c r="H468" s="650"/>
      <c r="I468" s="650"/>
      <c r="J468" s="650"/>
      <c r="K468" s="650"/>
      <c r="L468" s="650"/>
      <c r="M468" s="650"/>
      <c r="N468" s="650"/>
      <c r="O468" s="650"/>
      <c r="P468" s="650"/>
      <c r="Q468" s="650"/>
      <c r="R468" s="650"/>
      <c r="S468" s="650"/>
      <c r="T468" s="650"/>
      <c r="U468" s="650"/>
      <c r="V468" s="650"/>
      <c r="W468" s="650"/>
      <c r="X468" s="650"/>
      <c r="Y468" s="650"/>
      <c r="Z468" s="650"/>
      <c r="AA468" s="650"/>
      <c r="AB468" s="650"/>
      <c r="AC468" s="650"/>
      <c r="AD468" s="650"/>
      <c r="AE468" s="650"/>
      <c r="AF468" s="650"/>
      <c r="AG468" s="650"/>
      <c r="AH468" s="650"/>
      <c r="AI468" s="650"/>
      <c r="AJ468" s="650"/>
      <c r="AK468" s="650"/>
      <c r="AL468" s="650"/>
      <c r="AM468" s="650"/>
      <c r="AN468" s="650"/>
      <c r="AO468" s="650"/>
      <c r="AP468" s="650"/>
      <c r="AQ468" s="650"/>
      <c r="AR468" s="650"/>
      <c r="AS468" s="650"/>
      <c r="AT468" s="650"/>
      <c r="AU468" s="650"/>
      <c r="AV468" s="650"/>
      <c r="AW468" s="650"/>
      <c r="AX468" s="650"/>
      <c r="AY468" s="650"/>
    </row>
    <row r="469" ht="21.75" customHeight="1">
      <c r="A469" s="650"/>
      <c r="B469" s="650"/>
      <c r="C469" s="650"/>
      <c r="D469" s="650"/>
      <c r="E469" s="650"/>
      <c r="F469" s="650"/>
      <c r="G469" s="650"/>
      <c r="H469" s="650"/>
      <c r="I469" s="650"/>
      <c r="J469" s="650"/>
      <c r="K469" s="650"/>
      <c r="L469" s="650"/>
      <c r="M469" s="650"/>
      <c r="N469" s="650"/>
      <c r="O469" s="650"/>
      <c r="P469" s="650"/>
      <c r="Q469" s="650"/>
      <c r="R469" s="650"/>
      <c r="S469" s="650"/>
      <c r="T469" s="650"/>
      <c r="U469" s="650"/>
      <c r="V469" s="650"/>
      <c r="W469" s="650"/>
      <c r="X469" s="650"/>
      <c r="Y469" s="650"/>
      <c r="Z469" s="650"/>
      <c r="AA469" s="650"/>
      <c r="AB469" s="650"/>
      <c r="AC469" s="650"/>
      <c r="AD469" s="650"/>
      <c r="AE469" s="650"/>
      <c r="AF469" s="650"/>
      <c r="AG469" s="650"/>
      <c r="AH469" s="650"/>
      <c r="AI469" s="650"/>
      <c r="AJ469" s="650"/>
      <c r="AK469" s="650"/>
      <c r="AL469" s="650"/>
      <c r="AM469" s="650"/>
      <c r="AN469" s="650"/>
      <c r="AO469" s="650"/>
      <c r="AP469" s="650"/>
      <c r="AQ469" s="650"/>
      <c r="AR469" s="650"/>
      <c r="AS469" s="650"/>
      <c r="AT469" s="650"/>
      <c r="AU469" s="650"/>
      <c r="AV469" s="650"/>
      <c r="AW469" s="650"/>
      <c r="AX469" s="650"/>
      <c r="AY469" s="650"/>
    </row>
    <row r="470" ht="21.75" customHeight="1">
      <c r="A470" s="650"/>
      <c r="B470" s="650"/>
      <c r="C470" s="650"/>
      <c r="D470" s="650"/>
      <c r="E470" s="650"/>
      <c r="F470" s="650"/>
      <c r="G470" s="650"/>
      <c r="H470" s="650"/>
      <c r="I470" s="650"/>
      <c r="J470" s="650"/>
      <c r="K470" s="650"/>
      <c r="L470" s="650"/>
      <c r="M470" s="650"/>
      <c r="N470" s="650"/>
      <c r="O470" s="650"/>
      <c r="P470" s="650"/>
      <c r="Q470" s="650"/>
      <c r="R470" s="650"/>
      <c r="S470" s="650"/>
      <c r="T470" s="650"/>
      <c r="U470" s="650"/>
      <c r="V470" s="650"/>
      <c r="W470" s="650"/>
      <c r="X470" s="650"/>
      <c r="Y470" s="650"/>
      <c r="Z470" s="650"/>
      <c r="AA470" s="650"/>
      <c r="AB470" s="650"/>
      <c r="AC470" s="650"/>
      <c r="AD470" s="650"/>
      <c r="AE470" s="650"/>
      <c r="AF470" s="650"/>
      <c r="AG470" s="650"/>
      <c r="AH470" s="650"/>
      <c r="AI470" s="650"/>
      <c r="AJ470" s="650"/>
      <c r="AK470" s="650"/>
      <c r="AL470" s="650"/>
      <c r="AM470" s="650"/>
      <c r="AN470" s="650"/>
      <c r="AO470" s="650"/>
      <c r="AP470" s="650"/>
      <c r="AQ470" s="650"/>
      <c r="AR470" s="650"/>
      <c r="AS470" s="650"/>
      <c r="AT470" s="650"/>
      <c r="AU470" s="650"/>
      <c r="AV470" s="650"/>
      <c r="AW470" s="650"/>
      <c r="AX470" s="650"/>
      <c r="AY470" s="650"/>
    </row>
    <row r="471" ht="21.75" customHeight="1">
      <c r="A471" s="650"/>
      <c r="B471" s="650"/>
      <c r="C471" s="650"/>
      <c r="D471" s="650"/>
      <c r="E471" s="650"/>
      <c r="F471" s="650"/>
      <c r="G471" s="650"/>
      <c r="H471" s="650"/>
      <c r="I471" s="650"/>
      <c r="J471" s="650"/>
      <c r="K471" s="650"/>
      <c r="L471" s="650"/>
      <c r="M471" s="650"/>
      <c r="N471" s="650"/>
      <c r="O471" s="650"/>
      <c r="P471" s="650"/>
      <c r="Q471" s="650"/>
      <c r="R471" s="650"/>
      <c r="S471" s="650"/>
      <c r="T471" s="650"/>
      <c r="U471" s="650"/>
      <c r="V471" s="650"/>
      <c r="W471" s="650"/>
      <c r="X471" s="650"/>
      <c r="Y471" s="650"/>
      <c r="Z471" s="650"/>
      <c r="AA471" s="650"/>
      <c r="AB471" s="650"/>
      <c r="AC471" s="650"/>
      <c r="AD471" s="650"/>
      <c r="AE471" s="650"/>
      <c r="AF471" s="650"/>
      <c r="AG471" s="650"/>
      <c r="AH471" s="650"/>
      <c r="AI471" s="650"/>
      <c r="AJ471" s="650"/>
      <c r="AK471" s="650"/>
      <c r="AL471" s="650"/>
      <c r="AM471" s="650"/>
      <c r="AN471" s="650"/>
      <c r="AO471" s="650"/>
      <c r="AP471" s="650"/>
      <c r="AQ471" s="650"/>
      <c r="AR471" s="650"/>
      <c r="AS471" s="650"/>
      <c r="AT471" s="650"/>
      <c r="AU471" s="650"/>
      <c r="AV471" s="650"/>
      <c r="AW471" s="650"/>
      <c r="AX471" s="650"/>
      <c r="AY471" s="650"/>
    </row>
    <row r="472" ht="21.75" customHeight="1">
      <c r="A472" s="650"/>
      <c r="B472" s="650"/>
      <c r="C472" s="650"/>
      <c r="D472" s="650"/>
      <c r="E472" s="650"/>
      <c r="F472" s="650"/>
      <c r="G472" s="650"/>
      <c r="H472" s="650"/>
      <c r="I472" s="650"/>
      <c r="J472" s="650"/>
      <c r="K472" s="650"/>
      <c r="L472" s="650"/>
      <c r="M472" s="650"/>
      <c r="N472" s="650"/>
      <c r="O472" s="650"/>
      <c r="P472" s="650"/>
      <c r="Q472" s="650"/>
      <c r="R472" s="650"/>
      <c r="S472" s="650"/>
      <c r="T472" s="650"/>
      <c r="U472" s="650"/>
      <c r="V472" s="650"/>
      <c r="W472" s="650"/>
      <c r="X472" s="650"/>
      <c r="Y472" s="650"/>
      <c r="Z472" s="650"/>
      <c r="AA472" s="650"/>
      <c r="AB472" s="650"/>
      <c r="AC472" s="650"/>
      <c r="AD472" s="650"/>
      <c r="AE472" s="650"/>
      <c r="AF472" s="650"/>
      <c r="AG472" s="650"/>
      <c r="AH472" s="650"/>
      <c r="AI472" s="650"/>
      <c r="AJ472" s="650"/>
      <c r="AK472" s="650"/>
      <c r="AL472" s="650"/>
      <c r="AM472" s="650"/>
      <c r="AN472" s="650"/>
      <c r="AO472" s="650"/>
      <c r="AP472" s="650"/>
      <c r="AQ472" s="650"/>
      <c r="AR472" s="650"/>
      <c r="AS472" s="650"/>
      <c r="AT472" s="650"/>
      <c r="AU472" s="650"/>
      <c r="AV472" s="650"/>
      <c r="AW472" s="650"/>
      <c r="AX472" s="650"/>
      <c r="AY472" s="650"/>
    </row>
    <row r="473" ht="21.75" customHeight="1">
      <c r="A473" s="650"/>
      <c r="B473" s="650"/>
      <c r="C473" s="650"/>
      <c r="D473" s="650"/>
      <c r="E473" s="650"/>
      <c r="F473" s="650"/>
      <c r="G473" s="650"/>
      <c r="H473" s="650"/>
      <c r="I473" s="650"/>
      <c r="J473" s="650"/>
      <c r="K473" s="650"/>
      <c r="L473" s="650"/>
      <c r="M473" s="650"/>
      <c r="N473" s="650"/>
      <c r="O473" s="650"/>
      <c r="P473" s="650"/>
      <c r="Q473" s="650"/>
      <c r="R473" s="650"/>
      <c r="S473" s="650"/>
      <c r="T473" s="650"/>
      <c r="U473" s="650"/>
      <c r="V473" s="650"/>
      <c r="W473" s="650"/>
      <c r="X473" s="650"/>
      <c r="Y473" s="650"/>
      <c r="Z473" s="650"/>
      <c r="AA473" s="650"/>
      <c r="AB473" s="650"/>
      <c r="AC473" s="650"/>
      <c r="AD473" s="650"/>
      <c r="AE473" s="650"/>
      <c r="AF473" s="650"/>
      <c r="AG473" s="650"/>
      <c r="AH473" s="650"/>
      <c r="AI473" s="650"/>
      <c r="AJ473" s="650"/>
      <c r="AK473" s="650"/>
      <c r="AL473" s="650"/>
      <c r="AM473" s="650"/>
      <c r="AN473" s="650"/>
      <c r="AO473" s="650"/>
      <c r="AP473" s="650"/>
      <c r="AQ473" s="650"/>
      <c r="AR473" s="650"/>
      <c r="AS473" s="650"/>
      <c r="AT473" s="650"/>
      <c r="AU473" s="650"/>
      <c r="AV473" s="650"/>
      <c r="AW473" s="650"/>
      <c r="AX473" s="650"/>
      <c r="AY473" s="650"/>
    </row>
    <row r="474" ht="21.75" customHeight="1">
      <c r="A474" s="650"/>
      <c r="B474" s="650"/>
      <c r="C474" s="650"/>
      <c r="D474" s="650"/>
      <c r="E474" s="650"/>
      <c r="F474" s="650"/>
      <c r="G474" s="650"/>
      <c r="H474" s="650"/>
      <c r="I474" s="650"/>
      <c r="J474" s="650"/>
      <c r="K474" s="650"/>
      <c r="L474" s="650"/>
      <c r="M474" s="650"/>
      <c r="N474" s="650"/>
      <c r="O474" s="650"/>
      <c r="P474" s="650"/>
      <c r="Q474" s="650"/>
      <c r="R474" s="650"/>
      <c r="S474" s="650"/>
      <c r="T474" s="650"/>
      <c r="U474" s="650"/>
      <c r="V474" s="650"/>
      <c r="W474" s="650"/>
      <c r="X474" s="650"/>
      <c r="Y474" s="650"/>
      <c r="Z474" s="650"/>
      <c r="AA474" s="650"/>
      <c r="AB474" s="650"/>
      <c r="AC474" s="650"/>
      <c r="AD474" s="650"/>
      <c r="AE474" s="650"/>
      <c r="AF474" s="650"/>
      <c r="AG474" s="650"/>
      <c r="AH474" s="650"/>
      <c r="AI474" s="650"/>
      <c r="AJ474" s="650"/>
      <c r="AK474" s="650"/>
      <c r="AL474" s="650"/>
      <c r="AM474" s="650"/>
      <c r="AN474" s="650"/>
      <c r="AO474" s="650"/>
      <c r="AP474" s="650"/>
      <c r="AQ474" s="650"/>
      <c r="AR474" s="650"/>
      <c r="AS474" s="650"/>
      <c r="AT474" s="650"/>
      <c r="AU474" s="650"/>
      <c r="AV474" s="650"/>
      <c r="AW474" s="650"/>
      <c r="AX474" s="650"/>
      <c r="AY474" s="650"/>
    </row>
    <row r="475" ht="21.75" customHeight="1">
      <c r="A475" s="650"/>
      <c r="B475" s="650"/>
      <c r="C475" s="650"/>
      <c r="D475" s="650"/>
      <c r="E475" s="650"/>
      <c r="F475" s="650"/>
      <c r="G475" s="650"/>
      <c r="H475" s="650"/>
      <c r="I475" s="650"/>
      <c r="J475" s="650"/>
      <c r="K475" s="650"/>
      <c r="L475" s="650"/>
      <c r="M475" s="650"/>
      <c r="N475" s="650"/>
      <c r="O475" s="650"/>
      <c r="P475" s="650"/>
      <c r="Q475" s="650"/>
      <c r="R475" s="650"/>
      <c r="S475" s="650"/>
      <c r="T475" s="650"/>
      <c r="U475" s="650"/>
      <c r="V475" s="650"/>
      <c r="W475" s="650"/>
      <c r="X475" s="650"/>
      <c r="Y475" s="650"/>
      <c r="Z475" s="650"/>
      <c r="AA475" s="650"/>
      <c r="AB475" s="650"/>
      <c r="AC475" s="650"/>
      <c r="AD475" s="650"/>
      <c r="AE475" s="650"/>
      <c r="AF475" s="650"/>
      <c r="AG475" s="650"/>
      <c r="AH475" s="650"/>
      <c r="AI475" s="650"/>
      <c r="AJ475" s="650"/>
      <c r="AK475" s="650"/>
      <c r="AL475" s="650"/>
      <c r="AM475" s="650"/>
      <c r="AN475" s="650"/>
      <c r="AO475" s="650"/>
      <c r="AP475" s="650"/>
      <c r="AQ475" s="650"/>
      <c r="AR475" s="650"/>
      <c r="AS475" s="650"/>
      <c r="AT475" s="650"/>
      <c r="AU475" s="650"/>
      <c r="AV475" s="650"/>
      <c r="AW475" s="650"/>
      <c r="AX475" s="650"/>
      <c r="AY475" s="650"/>
    </row>
    <row r="476" ht="21.75" customHeight="1">
      <c r="A476" s="650"/>
      <c r="B476" s="650"/>
      <c r="C476" s="650"/>
      <c r="D476" s="650"/>
      <c r="E476" s="650"/>
      <c r="F476" s="650"/>
      <c r="G476" s="650"/>
      <c r="H476" s="650"/>
      <c r="I476" s="650"/>
      <c r="J476" s="650"/>
      <c r="K476" s="650"/>
      <c r="L476" s="650"/>
      <c r="M476" s="650"/>
      <c r="N476" s="650"/>
      <c r="O476" s="650"/>
      <c r="P476" s="650"/>
      <c r="Q476" s="650"/>
      <c r="R476" s="650"/>
      <c r="S476" s="650"/>
      <c r="T476" s="650"/>
      <c r="U476" s="650"/>
      <c r="V476" s="650"/>
      <c r="W476" s="650"/>
      <c r="X476" s="650"/>
      <c r="Y476" s="650"/>
      <c r="Z476" s="650"/>
      <c r="AA476" s="650"/>
      <c r="AB476" s="650"/>
      <c r="AC476" s="650"/>
      <c r="AD476" s="650"/>
      <c r="AE476" s="650"/>
      <c r="AF476" s="650"/>
      <c r="AG476" s="650"/>
      <c r="AH476" s="650"/>
      <c r="AI476" s="650"/>
      <c r="AJ476" s="650"/>
      <c r="AK476" s="650"/>
      <c r="AL476" s="650"/>
      <c r="AM476" s="650"/>
      <c r="AN476" s="650"/>
      <c r="AO476" s="650"/>
      <c r="AP476" s="650"/>
      <c r="AQ476" s="650"/>
      <c r="AR476" s="650"/>
      <c r="AS476" s="650"/>
      <c r="AT476" s="650"/>
      <c r="AU476" s="650"/>
      <c r="AV476" s="650"/>
      <c r="AW476" s="650"/>
      <c r="AX476" s="650"/>
      <c r="AY476" s="650"/>
    </row>
    <row r="477" ht="21.75" customHeight="1">
      <c r="A477" s="650"/>
      <c r="B477" s="650"/>
      <c r="C477" s="650"/>
      <c r="D477" s="650"/>
      <c r="E477" s="650"/>
      <c r="F477" s="650"/>
      <c r="G477" s="650"/>
      <c r="H477" s="650"/>
      <c r="I477" s="650"/>
      <c r="J477" s="650"/>
      <c r="K477" s="650"/>
      <c r="L477" s="650"/>
      <c r="M477" s="650"/>
      <c r="N477" s="650"/>
      <c r="O477" s="650"/>
      <c r="P477" s="650"/>
      <c r="Q477" s="650"/>
      <c r="R477" s="650"/>
      <c r="S477" s="650"/>
      <c r="T477" s="650"/>
      <c r="U477" s="650"/>
      <c r="V477" s="650"/>
      <c r="W477" s="650"/>
      <c r="X477" s="650"/>
      <c r="Y477" s="650"/>
      <c r="Z477" s="650"/>
      <c r="AA477" s="650"/>
      <c r="AB477" s="650"/>
      <c r="AC477" s="650"/>
      <c r="AD477" s="650"/>
      <c r="AE477" s="650"/>
      <c r="AF477" s="650"/>
      <c r="AG477" s="650"/>
      <c r="AH477" s="650"/>
      <c r="AI477" s="650"/>
      <c r="AJ477" s="650"/>
      <c r="AK477" s="650"/>
      <c r="AL477" s="650"/>
      <c r="AM477" s="650"/>
      <c r="AN477" s="650"/>
      <c r="AO477" s="650"/>
      <c r="AP477" s="650"/>
      <c r="AQ477" s="650"/>
      <c r="AR477" s="650"/>
      <c r="AS477" s="650"/>
      <c r="AT477" s="650"/>
      <c r="AU477" s="650"/>
      <c r="AV477" s="650"/>
      <c r="AW477" s="650"/>
      <c r="AX477" s="650"/>
      <c r="AY477" s="650"/>
    </row>
    <row r="478" ht="21.75" customHeight="1">
      <c r="A478" s="650"/>
      <c r="B478" s="650"/>
      <c r="C478" s="650"/>
      <c r="D478" s="650"/>
      <c r="E478" s="650"/>
      <c r="F478" s="650"/>
      <c r="G478" s="650"/>
      <c r="H478" s="650"/>
      <c r="I478" s="650"/>
      <c r="J478" s="650"/>
      <c r="K478" s="650"/>
      <c r="L478" s="650"/>
      <c r="M478" s="650"/>
      <c r="N478" s="650"/>
      <c r="O478" s="650"/>
      <c r="P478" s="650"/>
      <c r="Q478" s="650"/>
      <c r="R478" s="650"/>
      <c r="S478" s="650"/>
      <c r="T478" s="650"/>
      <c r="U478" s="650"/>
      <c r="V478" s="650"/>
      <c r="W478" s="650"/>
      <c r="X478" s="650"/>
      <c r="Y478" s="650"/>
      <c r="Z478" s="650"/>
      <c r="AA478" s="650"/>
      <c r="AB478" s="650"/>
      <c r="AC478" s="650"/>
      <c r="AD478" s="650"/>
      <c r="AE478" s="650"/>
      <c r="AF478" s="650"/>
      <c r="AG478" s="650"/>
      <c r="AH478" s="650"/>
      <c r="AI478" s="650"/>
      <c r="AJ478" s="650"/>
      <c r="AK478" s="650"/>
      <c r="AL478" s="650"/>
      <c r="AM478" s="650"/>
      <c r="AN478" s="650"/>
      <c r="AO478" s="650"/>
      <c r="AP478" s="650"/>
      <c r="AQ478" s="650"/>
      <c r="AR478" s="650"/>
      <c r="AS478" s="650"/>
      <c r="AT478" s="650"/>
      <c r="AU478" s="650"/>
      <c r="AV478" s="650"/>
      <c r="AW478" s="650"/>
      <c r="AX478" s="650"/>
      <c r="AY478" s="650"/>
    </row>
    <row r="479" ht="21.75" customHeight="1">
      <c r="A479" s="650"/>
      <c r="B479" s="650"/>
      <c r="C479" s="650"/>
      <c r="D479" s="650"/>
      <c r="E479" s="650"/>
      <c r="F479" s="650"/>
      <c r="G479" s="650"/>
      <c r="H479" s="650"/>
      <c r="I479" s="650"/>
      <c r="J479" s="650"/>
      <c r="K479" s="650"/>
      <c r="L479" s="650"/>
      <c r="M479" s="650"/>
      <c r="N479" s="650"/>
      <c r="O479" s="650"/>
      <c r="P479" s="650"/>
      <c r="Q479" s="650"/>
      <c r="R479" s="650"/>
      <c r="S479" s="650"/>
      <c r="T479" s="650"/>
      <c r="U479" s="650"/>
      <c r="V479" s="650"/>
      <c r="W479" s="650"/>
      <c r="X479" s="650"/>
      <c r="Y479" s="650"/>
      <c r="Z479" s="650"/>
      <c r="AA479" s="650"/>
      <c r="AB479" s="650"/>
      <c r="AC479" s="650"/>
      <c r="AD479" s="650"/>
      <c r="AE479" s="650"/>
      <c r="AF479" s="650"/>
      <c r="AG479" s="650"/>
      <c r="AH479" s="650"/>
      <c r="AI479" s="650"/>
      <c r="AJ479" s="650"/>
      <c r="AK479" s="650"/>
      <c r="AL479" s="650"/>
      <c r="AM479" s="650"/>
      <c r="AN479" s="650"/>
      <c r="AO479" s="650"/>
      <c r="AP479" s="650"/>
      <c r="AQ479" s="650"/>
      <c r="AR479" s="650"/>
      <c r="AS479" s="650"/>
      <c r="AT479" s="650"/>
      <c r="AU479" s="650"/>
      <c r="AV479" s="650"/>
      <c r="AW479" s="650"/>
      <c r="AX479" s="650"/>
      <c r="AY479" s="650"/>
    </row>
    <row r="480" ht="21.75" customHeight="1">
      <c r="A480" s="650"/>
      <c r="B480" s="650"/>
      <c r="C480" s="650"/>
      <c r="D480" s="650"/>
      <c r="E480" s="650"/>
      <c r="F480" s="650"/>
      <c r="G480" s="650"/>
      <c r="H480" s="650"/>
      <c r="I480" s="650"/>
      <c r="J480" s="650"/>
      <c r="K480" s="650"/>
      <c r="L480" s="650"/>
      <c r="M480" s="650"/>
      <c r="N480" s="650"/>
      <c r="O480" s="650"/>
      <c r="P480" s="650"/>
      <c r="Q480" s="650"/>
      <c r="R480" s="650"/>
      <c r="S480" s="650"/>
      <c r="T480" s="650"/>
      <c r="U480" s="650"/>
      <c r="V480" s="650"/>
      <c r="W480" s="650"/>
      <c r="X480" s="650"/>
      <c r="Y480" s="650"/>
      <c r="Z480" s="650"/>
      <c r="AA480" s="650"/>
      <c r="AB480" s="650"/>
      <c r="AC480" s="650"/>
      <c r="AD480" s="650"/>
      <c r="AE480" s="650"/>
      <c r="AF480" s="650"/>
      <c r="AG480" s="650"/>
      <c r="AH480" s="650"/>
      <c r="AI480" s="650"/>
      <c r="AJ480" s="650"/>
      <c r="AK480" s="650"/>
      <c r="AL480" s="650"/>
      <c r="AM480" s="650"/>
      <c r="AN480" s="650"/>
      <c r="AO480" s="650"/>
      <c r="AP480" s="650"/>
      <c r="AQ480" s="650"/>
      <c r="AR480" s="650"/>
      <c r="AS480" s="650"/>
      <c r="AT480" s="650"/>
      <c r="AU480" s="650"/>
      <c r="AV480" s="650"/>
      <c r="AW480" s="650"/>
      <c r="AX480" s="650"/>
      <c r="AY480" s="650"/>
    </row>
    <row r="481" ht="21.75" customHeight="1">
      <c r="A481" s="650"/>
      <c r="B481" s="650"/>
      <c r="C481" s="650"/>
      <c r="D481" s="650"/>
      <c r="E481" s="650"/>
      <c r="F481" s="650"/>
      <c r="G481" s="650"/>
      <c r="H481" s="650"/>
      <c r="I481" s="650"/>
      <c r="J481" s="650"/>
      <c r="K481" s="650"/>
      <c r="L481" s="650"/>
      <c r="M481" s="650"/>
      <c r="N481" s="650"/>
      <c r="O481" s="650"/>
      <c r="P481" s="650"/>
      <c r="Q481" s="650"/>
      <c r="R481" s="650"/>
      <c r="S481" s="650"/>
      <c r="T481" s="650"/>
      <c r="U481" s="650"/>
      <c r="V481" s="650"/>
      <c r="W481" s="650"/>
      <c r="X481" s="650"/>
      <c r="Y481" s="650"/>
      <c r="Z481" s="650"/>
      <c r="AA481" s="650"/>
      <c r="AB481" s="650"/>
      <c r="AC481" s="650"/>
      <c r="AD481" s="650"/>
      <c r="AE481" s="650"/>
      <c r="AF481" s="650"/>
      <c r="AG481" s="650"/>
      <c r="AH481" s="650"/>
      <c r="AI481" s="650"/>
      <c r="AJ481" s="650"/>
      <c r="AK481" s="650"/>
      <c r="AL481" s="650"/>
      <c r="AM481" s="650"/>
      <c r="AN481" s="650"/>
      <c r="AO481" s="650"/>
      <c r="AP481" s="650"/>
      <c r="AQ481" s="650"/>
      <c r="AR481" s="650"/>
      <c r="AS481" s="650"/>
      <c r="AT481" s="650"/>
      <c r="AU481" s="650"/>
      <c r="AV481" s="650"/>
      <c r="AW481" s="650"/>
      <c r="AX481" s="650"/>
      <c r="AY481" s="650"/>
    </row>
    <row r="482" ht="21.75" customHeight="1">
      <c r="A482" s="650"/>
      <c r="B482" s="650"/>
      <c r="C482" s="650"/>
      <c r="D482" s="650"/>
      <c r="E482" s="650"/>
      <c r="F482" s="650"/>
      <c r="G482" s="650"/>
      <c r="H482" s="650"/>
      <c r="I482" s="650"/>
      <c r="J482" s="650"/>
      <c r="K482" s="650"/>
      <c r="L482" s="650"/>
      <c r="M482" s="650"/>
      <c r="N482" s="650"/>
      <c r="O482" s="650"/>
      <c r="P482" s="650"/>
      <c r="Q482" s="650"/>
      <c r="R482" s="650"/>
      <c r="S482" s="650"/>
      <c r="T482" s="650"/>
      <c r="U482" s="650"/>
      <c r="V482" s="650"/>
      <c r="W482" s="650"/>
      <c r="X482" s="650"/>
      <c r="Y482" s="650"/>
      <c r="Z482" s="650"/>
      <c r="AA482" s="650"/>
      <c r="AB482" s="650"/>
      <c r="AC482" s="650"/>
      <c r="AD482" s="650"/>
      <c r="AE482" s="650"/>
      <c r="AF482" s="650"/>
      <c r="AG482" s="650"/>
      <c r="AH482" s="650"/>
      <c r="AI482" s="650"/>
      <c r="AJ482" s="650"/>
      <c r="AK482" s="650"/>
      <c r="AL482" s="650"/>
      <c r="AM482" s="650"/>
      <c r="AN482" s="650"/>
      <c r="AO482" s="650"/>
      <c r="AP482" s="650"/>
      <c r="AQ482" s="650"/>
      <c r="AR482" s="650"/>
      <c r="AS482" s="650"/>
      <c r="AT482" s="650"/>
      <c r="AU482" s="650"/>
      <c r="AV482" s="650"/>
      <c r="AW482" s="650"/>
      <c r="AX482" s="650"/>
      <c r="AY482" s="650"/>
    </row>
    <row r="483" ht="21.75" customHeight="1">
      <c r="A483" s="650"/>
      <c r="B483" s="650"/>
      <c r="C483" s="650"/>
      <c r="D483" s="650"/>
      <c r="E483" s="650"/>
      <c r="F483" s="650"/>
      <c r="G483" s="650"/>
      <c r="H483" s="650"/>
      <c r="I483" s="650"/>
      <c r="J483" s="650"/>
      <c r="K483" s="650"/>
      <c r="L483" s="650"/>
      <c r="M483" s="650"/>
      <c r="N483" s="650"/>
      <c r="O483" s="650"/>
      <c r="P483" s="650"/>
      <c r="Q483" s="650"/>
      <c r="R483" s="650"/>
      <c r="S483" s="650"/>
      <c r="T483" s="650"/>
      <c r="U483" s="650"/>
      <c r="V483" s="650"/>
      <c r="W483" s="650"/>
      <c r="X483" s="650"/>
      <c r="Y483" s="650"/>
      <c r="Z483" s="650"/>
      <c r="AA483" s="650"/>
      <c r="AB483" s="650"/>
      <c r="AC483" s="650"/>
      <c r="AD483" s="650"/>
      <c r="AE483" s="650"/>
      <c r="AF483" s="650"/>
      <c r="AG483" s="650"/>
      <c r="AH483" s="650"/>
      <c r="AI483" s="650"/>
      <c r="AJ483" s="650"/>
      <c r="AK483" s="650"/>
      <c r="AL483" s="650"/>
      <c r="AM483" s="650"/>
      <c r="AN483" s="650"/>
      <c r="AO483" s="650"/>
      <c r="AP483" s="650"/>
      <c r="AQ483" s="650"/>
      <c r="AR483" s="650"/>
      <c r="AS483" s="650"/>
      <c r="AT483" s="650"/>
      <c r="AU483" s="650"/>
      <c r="AV483" s="650"/>
      <c r="AW483" s="650"/>
      <c r="AX483" s="650"/>
      <c r="AY483" s="650"/>
    </row>
    <row r="484" ht="21.75" customHeight="1">
      <c r="A484" s="650"/>
      <c r="B484" s="650"/>
      <c r="C484" s="650"/>
      <c r="D484" s="650"/>
      <c r="E484" s="650"/>
      <c r="F484" s="650"/>
      <c r="G484" s="650"/>
      <c r="H484" s="650"/>
      <c r="I484" s="650"/>
      <c r="J484" s="650"/>
      <c r="K484" s="650"/>
      <c r="L484" s="650"/>
      <c r="M484" s="650"/>
      <c r="N484" s="650"/>
      <c r="O484" s="650"/>
      <c r="P484" s="650"/>
      <c r="Q484" s="650"/>
      <c r="R484" s="650"/>
      <c r="S484" s="650"/>
      <c r="T484" s="650"/>
      <c r="U484" s="650"/>
      <c r="V484" s="650"/>
      <c r="W484" s="650"/>
      <c r="X484" s="650"/>
      <c r="Y484" s="650"/>
      <c r="Z484" s="650"/>
      <c r="AA484" s="650"/>
      <c r="AB484" s="650"/>
      <c r="AC484" s="650"/>
      <c r="AD484" s="650"/>
      <c r="AE484" s="650"/>
      <c r="AF484" s="650"/>
      <c r="AG484" s="650"/>
      <c r="AH484" s="650"/>
      <c r="AI484" s="650"/>
      <c r="AJ484" s="650"/>
      <c r="AK484" s="650"/>
      <c r="AL484" s="650"/>
      <c r="AM484" s="650"/>
      <c r="AN484" s="650"/>
      <c r="AO484" s="650"/>
      <c r="AP484" s="650"/>
      <c r="AQ484" s="650"/>
      <c r="AR484" s="650"/>
      <c r="AS484" s="650"/>
      <c r="AT484" s="650"/>
      <c r="AU484" s="650"/>
      <c r="AV484" s="650"/>
      <c r="AW484" s="650"/>
      <c r="AX484" s="650"/>
      <c r="AY484" s="650"/>
    </row>
    <row r="485" ht="21.75" customHeight="1">
      <c r="A485" s="650"/>
      <c r="B485" s="650"/>
      <c r="C485" s="650"/>
      <c r="D485" s="650"/>
      <c r="E485" s="650"/>
      <c r="F485" s="650"/>
      <c r="G485" s="650"/>
      <c r="H485" s="650"/>
      <c r="I485" s="650"/>
      <c r="J485" s="650"/>
      <c r="K485" s="650"/>
      <c r="L485" s="650"/>
      <c r="M485" s="650"/>
      <c r="N485" s="650"/>
      <c r="O485" s="650"/>
      <c r="P485" s="650"/>
      <c r="Q485" s="650"/>
      <c r="R485" s="650"/>
      <c r="S485" s="650"/>
      <c r="T485" s="650"/>
      <c r="U485" s="650"/>
      <c r="V485" s="650"/>
      <c r="W485" s="650"/>
      <c r="X485" s="650"/>
      <c r="Y485" s="650"/>
      <c r="Z485" s="650"/>
      <c r="AA485" s="650"/>
      <c r="AB485" s="650"/>
      <c r="AC485" s="650"/>
      <c r="AD485" s="650"/>
      <c r="AE485" s="650"/>
      <c r="AF485" s="650"/>
      <c r="AG485" s="650"/>
      <c r="AH485" s="650"/>
      <c r="AI485" s="650"/>
      <c r="AJ485" s="650"/>
      <c r="AK485" s="650"/>
      <c r="AL485" s="650"/>
      <c r="AM485" s="650"/>
      <c r="AN485" s="650"/>
      <c r="AO485" s="650"/>
      <c r="AP485" s="650"/>
      <c r="AQ485" s="650"/>
      <c r="AR485" s="650"/>
      <c r="AS485" s="650"/>
      <c r="AT485" s="650"/>
      <c r="AU485" s="650"/>
      <c r="AV485" s="650"/>
      <c r="AW485" s="650"/>
      <c r="AX485" s="650"/>
      <c r="AY485" s="650"/>
    </row>
    <row r="486" ht="21.75" customHeight="1">
      <c r="A486" s="650"/>
      <c r="B486" s="650"/>
      <c r="C486" s="650"/>
      <c r="D486" s="650"/>
      <c r="E486" s="650"/>
      <c r="F486" s="650"/>
      <c r="G486" s="650"/>
      <c r="H486" s="650"/>
      <c r="I486" s="650"/>
      <c r="J486" s="650"/>
      <c r="K486" s="650"/>
      <c r="L486" s="650"/>
      <c r="M486" s="650"/>
      <c r="N486" s="650"/>
      <c r="O486" s="650"/>
      <c r="P486" s="650"/>
      <c r="Q486" s="650"/>
      <c r="R486" s="650"/>
      <c r="S486" s="650"/>
      <c r="T486" s="650"/>
      <c r="U486" s="650"/>
      <c r="V486" s="650"/>
      <c r="W486" s="650"/>
      <c r="X486" s="650"/>
      <c r="Y486" s="650"/>
      <c r="Z486" s="650"/>
      <c r="AA486" s="650"/>
      <c r="AB486" s="650"/>
      <c r="AC486" s="650"/>
      <c r="AD486" s="650"/>
      <c r="AE486" s="650"/>
      <c r="AF486" s="650"/>
      <c r="AG486" s="650"/>
      <c r="AH486" s="650"/>
      <c r="AI486" s="650"/>
      <c r="AJ486" s="650"/>
      <c r="AK486" s="650"/>
      <c r="AL486" s="650"/>
      <c r="AM486" s="650"/>
      <c r="AN486" s="650"/>
      <c r="AO486" s="650"/>
      <c r="AP486" s="650"/>
      <c r="AQ486" s="650"/>
      <c r="AR486" s="650"/>
      <c r="AS486" s="650"/>
      <c r="AT486" s="650"/>
      <c r="AU486" s="650"/>
      <c r="AV486" s="650"/>
      <c r="AW486" s="650"/>
      <c r="AX486" s="650"/>
      <c r="AY486" s="650"/>
    </row>
    <row r="487" ht="21.75" customHeight="1">
      <c r="A487" s="650"/>
      <c r="B487" s="650"/>
      <c r="C487" s="650"/>
      <c r="D487" s="650"/>
      <c r="E487" s="650"/>
      <c r="F487" s="650"/>
      <c r="G487" s="650"/>
      <c r="H487" s="650"/>
      <c r="I487" s="650"/>
      <c r="J487" s="650"/>
      <c r="K487" s="650"/>
      <c r="L487" s="650"/>
      <c r="M487" s="650"/>
      <c r="N487" s="650"/>
      <c r="O487" s="650"/>
      <c r="P487" s="650"/>
      <c r="Q487" s="650"/>
      <c r="R487" s="650"/>
      <c r="S487" s="650"/>
      <c r="T487" s="650"/>
      <c r="U487" s="650"/>
      <c r="V487" s="650"/>
      <c r="W487" s="650"/>
      <c r="X487" s="650"/>
      <c r="Y487" s="650"/>
      <c r="Z487" s="650"/>
      <c r="AA487" s="650"/>
      <c r="AB487" s="650"/>
      <c r="AC487" s="650"/>
      <c r="AD487" s="650"/>
      <c r="AE487" s="650"/>
      <c r="AF487" s="650"/>
      <c r="AG487" s="650"/>
      <c r="AH487" s="650"/>
      <c r="AI487" s="650"/>
      <c r="AJ487" s="650"/>
      <c r="AK487" s="650"/>
      <c r="AL487" s="650"/>
      <c r="AM487" s="650"/>
      <c r="AN487" s="650"/>
      <c r="AO487" s="650"/>
      <c r="AP487" s="650"/>
      <c r="AQ487" s="650"/>
      <c r="AR487" s="650"/>
      <c r="AS487" s="650"/>
      <c r="AT487" s="650"/>
      <c r="AU487" s="650"/>
      <c r="AV487" s="650"/>
      <c r="AW487" s="650"/>
      <c r="AX487" s="650"/>
      <c r="AY487" s="650"/>
    </row>
    <row r="488" ht="21.75" customHeight="1">
      <c r="A488" s="650"/>
      <c r="B488" s="650"/>
      <c r="C488" s="650"/>
      <c r="D488" s="650"/>
      <c r="E488" s="650"/>
      <c r="F488" s="650"/>
      <c r="G488" s="650"/>
      <c r="H488" s="650"/>
      <c r="I488" s="650"/>
      <c r="J488" s="650"/>
      <c r="K488" s="650"/>
      <c r="L488" s="650"/>
      <c r="M488" s="650"/>
      <c r="N488" s="650"/>
      <c r="O488" s="650"/>
      <c r="P488" s="650"/>
      <c r="Q488" s="650"/>
      <c r="R488" s="650"/>
      <c r="S488" s="650"/>
      <c r="T488" s="650"/>
      <c r="U488" s="650"/>
      <c r="V488" s="650"/>
      <c r="W488" s="650"/>
      <c r="X488" s="650"/>
      <c r="Y488" s="650"/>
      <c r="Z488" s="650"/>
      <c r="AA488" s="650"/>
      <c r="AB488" s="650"/>
      <c r="AC488" s="650"/>
      <c r="AD488" s="650"/>
      <c r="AE488" s="650"/>
      <c r="AF488" s="650"/>
      <c r="AG488" s="650"/>
      <c r="AH488" s="650"/>
      <c r="AI488" s="650"/>
      <c r="AJ488" s="650"/>
      <c r="AK488" s="650"/>
      <c r="AL488" s="650"/>
      <c r="AM488" s="650"/>
      <c r="AN488" s="650"/>
      <c r="AO488" s="650"/>
      <c r="AP488" s="650"/>
      <c r="AQ488" s="650"/>
      <c r="AR488" s="650"/>
      <c r="AS488" s="650"/>
      <c r="AT488" s="650"/>
      <c r="AU488" s="650"/>
      <c r="AV488" s="650"/>
      <c r="AW488" s="650"/>
      <c r="AX488" s="650"/>
      <c r="AY488" s="650"/>
    </row>
    <row r="489" ht="21.75" customHeight="1">
      <c r="A489" s="650"/>
      <c r="B489" s="650"/>
      <c r="C489" s="650"/>
      <c r="D489" s="650"/>
      <c r="E489" s="650"/>
      <c r="F489" s="650"/>
      <c r="G489" s="650"/>
      <c r="H489" s="650"/>
      <c r="I489" s="650"/>
      <c r="J489" s="650"/>
      <c r="K489" s="650"/>
      <c r="L489" s="650"/>
      <c r="M489" s="650"/>
      <c r="N489" s="650"/>
      <c r="O489" s="650"/>
      <c r="P489" s="650"/>
      <c r="Q489" s="650"/>
      <c r="R489" s="650"/>
      <c r="S489" s="650"/>
      <c r="T489" s="650"/>
      <c r="U489" s="650"/>
      <c r="V489" s="650"/>
      <c r="W489" s="650"/>
      <c r="X489" s="650"/>
      <c r="Y489" s="650"/>
      <c r="Z489" s="650"/>
      <c r="AA489" s="650"/>
      <c r="AB489" s="650"/>
      <c r="AC489" s="650"/>
      <c r="AD489" s="650"/>
      <c r="AE489" s="650"/>
      <c r="AF489" s="650"/>
      <c r="AG489" s="650"/>
      <c r="AH489" s="650"/>
      <c r="AI489" s="650"/>
      <c r="AJ489" s="650"/>
      <c r="AK489" s="650"/>
      <c r="AL489" s="650"/>
      <c r="AM489" s="650"/>
      <c r="AN489" s="650"/>
      <c r="AO489" s="650"/>
      <c r="AP489" s="650"/>
      <c r="AQ489" s="650"/>
      <c r="AR489" s="650"/>
      <c r="AS489" s="650"/>
      <c r="AT489" s="650"/>
      <c r="AU489" s="650"/>
      <c r="AV489" s="650"/>
      <c r="AW489" s="650"/>
      <c r="AX489" s="650"/>
      <c r="AY489" s="650"/>
    </row>
    <row r="490" ht="21.75" customHeight="1">
      <c r="A490" s="650"/>
      <c r="B490" s="650"/>
      <c r="C490" s="650"/>
      <c r="D490" s="650"/>
      <c r="E490" s="650"/>
      <c r="F490" s="650"/>
      <c r="G490" s="650"/>
      <c r="H490" s="650"/>
      <c r="I490" s="650"/>
      <c r="J490" s="650"/>
      <c r="K490" s="650"/>
      <c r="L490" s="650"/>
      <c r="M490" s="650"/>
      <c r="N490" s="650"/>
      <c r="O490" s="650"/>
      <c r="P490" s="650"/>
      <c r="Q490" s="650"/>
      <c r="R490" s="650"/>
      <c r="S490" s="650"/>
      <c r="T490" s="650"/>
      <c r="U490" s="650"/>
      <c r="V490" s="650"/>
      <c r="W490" s="650"/>
      <c r="X490" s="650"/>
      <c r="Y490" s="650"/>
      <c r="Z490" s="650"/>
      <c r="AA490" s="650"/>
      <c r="AB490" s="650"/>
      <c r="AC490" s="650"/>
      <c r="AD490" s="650"/>
      <c r="AE490" s="650"/>
      <c r="AF490" s="650"/>
      <c r="AG490" s="650"/>
      <c r="AH490" s="650"/>
      <c r="AI490" s="650"/>
      <c r="AJ490" s="650"/>
      <c r="AK490" s="650"/>
      <c r="AL490" s="650"/>
      <c r="AM490" s="650"/>
      <c r="AN490" s="650"/>
      <c r="AO490" s="650"/>
      <c r="AP490" s="650"/>
      <c r="AQ490" s="650"/>
      <c r="AR490" s="650"/>
      <c r="AS490" s="650"/>
      <c r="AT490" s="650"/>
      <c r="AU490" s="650"/>
      <c r="AV490" s="650"/>
      <c r="AW490" s="650"/>
      <c r="AX490" s="650"/>
      <c r="AY490" s="650"/>
    </row>
    <row r="491" ht="21.75" customHeight="1">
      <c r="A491" s="650"/>
      <c r="B491" s="650"/>
      <c r="C491" s="650"/>
      <c r="D491" s="650"/>
      <c r="E491" s="650"/>
      <c r="F491" s="650"/>
      <c r="G491" s="650"/>
      <c r="H491" s="650"/>
      <c r="I491" s="650"/>
      <c r="J491" s="650"/>
      <c r="K491" s="650"/>
      <c r="L491" s="650"/>
      <c r="M491" s="650"/>
      <c r="N491" s="650"/>
      <c r="O491" s="650"/>
      <c r="P491" s="650"/>
      <c r="Q491" s="650"/>
      <c r="R491" s="650"/>
      <c r="S491" s="650"/>
      <c r="T491" s="650"/>
      <c r="U491" s="650"/>
      <c r="V491" s="650"/>
      <c r="W491" s="650"/>
      <c r="X491" s="650"/>
      <c r="Y491" s="650"/>
      <c r="Z491" s="650"/>
      <c r="AA491" s="650"/>
      <c r="AB491" s="650"/>
      <c r="AC491" s="650"/>
      <c r="AD491" s="650"/>
      <c r="AE491" s="650"/>
      <c r="AF491" s="650"/>
      <c r="AG491" s="650"/>
      <c r="AH491" s="650"/>
      <c r="AI491" s="650"/>
      <c r="AJ491" s="650"/>
      <c r="AK491" s="650"/>
      <c r="AL491" s="650"/>
      <c r="AM491" s="650"/>
      <c r="AN491" s="650"/>
      <c r="AO491" s="650"/>
      <c r="AP491" s="650"/>
      <c r="AQ491" s="650"/>
      <c r="AR491" s="650"/>
      <c r="AS491" s="650"/>
      <c r="AT491" s="650"/>
      <c r="AU491" s="650"/>
      <c r="AV491" s="650"/>
      <c r="AW491" s="650"/>
      <c r="AX491" s="650"/>
      <c r="AY491" s="650"/>
    </row>
    <row r="492" ht="21.75" customHeight="1">
      <c r="A492" s="650"/>
      <c r="B492" s="650"/>
      <c r="C492" s="650"/>
      <c r="D492" s="650"/>
      <c r="E492" s="650"/>
      <c r="F492" s="650"/>
      <c r="G492" s="650"/>
      <c r="H492" s="650"/>
      <c r="I492" s="650"/>
      <c r="J492" s="650"/>
      <c r="K492" s="650"/>
      <c r="L492" s="650"/>
      <c r="M492" s="650"/>
      <c r="N492" s="650"/>
      <c r="O492" s="650"/>
      <c r="P492" s="650"/>
      <c r="Q492" s="650"/>
      <c r="R492" s="650"/>
      <c r="S492" s="650"/>
      <c r="T492" s="650"/>
      <c r="U492" s="650"/>
      <c r="V492" s="650"/>
      <c r="W492" s="650"/>
      <c r="X492" s="650"/>
      <c r="Y492" s="650"/>
      <c r="Z492" s="650"/>
      <c r="AA492" s="650"/>
      <c r="AB492" s="650"/>
      <c r="AC492" s="650"/>
      <c r="AD492" s="650"/>
      <c r="AE492" s="650"/>
      <c r="AF492" s="650"/>
      <c r="AG492" s="650"/>
      <c r="AH492" s="650"/>
      <c r="AI492" s="650"/>
      <c r="AJ492" s="650"/>
      <c r="AK492" s="650"/>
      <c r="AL492" s="650"/>
      <c r="AM492" s="650"/>
      <c r="AN492" s="650"/>
      <c r="AO492" s="650"/>
      <c r="AP492" s="650"/>
      <c r="AQ492" s="650"/>
      <c r="AR492" s="650"/>
      <c r="AS492" s="650"/>
      <c r="AT492" s="650"/>
      <c r="AU492" s="650"/>
      <c r="AV492" s="650"/>
      <c r="AW492" s="650"/>
      <c r="AX492" s="650"/>
      <c r="AY492" s="650"/>
    </row>
    <row r="493" ht="21.75" customHeight="1">
      <c r="A493" s="650"/>
      <c r="B493" s="650"/>
      <c r="C493" s="650"/>
      <c r="D493" s="650"/>
      <c r="E493" s="650"/>
      <c r="F493" s="650"/>
      <c r="G493" s="650"/>
      <c r="H493" s="650"/>
      <c r="I493" s="650"/>
      <c r="J493" s="650"/>
      <c r="K493" s="650"/>
      <c r="L493" s="650"/>
      <c r="M493" s="650"/>
      <c r="N493" s="650"/>
      <c r="O493" s="650"/>
      <c r="P493" s="650"/>
      <c r="Q493" s="650"/>
      <c r="R493" s="650"/>
      <c r="S493" s="650"/>
      <c r="T493" s="650"/>
      <c r="U493" s="650"/>
      <c r="V493" s="650"/>
      <c r="W493" s="650"/>
      <c r="X493" s="650"/>
      <c r="Y493" s="650"/>
      <c r="Z493" s="650"/>
      <c r="AA493" s="650"/>
      <c r="AB493" s="650"/>
      <c r="AC493" s="650"/>
      <c r="AD493" s="650"/>
      <c r="AE493" s="650"/>
      <c r="AF493" s="650"/>
      <c r="AG493" s="650"/>
      <c r="AH493" s="650"/>
      <c r="AI493" s="650"/>
      <c r="AJ493" s="650"/>
      <c r="AK493" s="650"/>
      <c r="AL493" s="650"/>
      <c r="AM493" s="650"/>
      <c r="AN493" s="650"/>
      <c r="AO493" s="650"/>
      <c r="AP493" s="650"/>
      <c r="AQ493" s="650"/>
      <c r="AR493" s="650"/>
      <c r="AS493" s="650"/>
      <c r="AT493" s="650"/>
      <c r="AU493" s="650"/>
      <c r="AV493" s="650"/>
      <c r="AW493" s="650"/>
      <c r="AX493" s="650"/>
      <c r="AY493" s="650"/>
    </row>
    <row r="494" ht="21.75" customHeight="1">
      <c r="A494" s="650"/>
      <c r="B494" s="650"/>
      <c r="C494" s="650"/>
      <c r="D494" s="650"/>
      <c r="E494" s="650"/>
      <c r="F494" s="650"/>
      <c r="G494" s="650"/>
      <c r="H494" s="650"/>
      <c r="I494" s="650"/>
      <c r="J494" s="650"/>
      <c r="K494" s="650"/>
      <c r="L494" s="650"/>
      <c r="M494" s="650"/>
      <c r="N494" s="650"/>
      <c r="O494" s="650"/>
      <c r="P494" s="650"/>
      <c r="Q494" s="650"/>
      <c r="R494" s="650"/>
      <c r="S494" s="650"/>
      <c r="T494" s="650"/>
      <c r="U494" s="650"/>
      <c r="V494" s="650"/>
      <c r="W494" s="650"/>
      <c r="X494" s="650"/>
      <c r="Y494" s="650"/>
      <c r="Z494" s="650"/>
      <c r="AA494" s="650"/>
      <c r="AB494" s="650"/>
      <c r="AC494" s="650"/>
      <c r="AD494" s="650"/>
      <c r="AE494" s="650"/>
      <c r="AF494" s="650"/>
      <c r="AG494" s="650"/>
      <c r="AH494" s="650"/>
      <c r="AI494" s="650"/>
      <c r="AJ494" s="650"/>
      <c r="AK494" s="650"/>
      <c r="AL494" s="650"/>
      <c r="AM494" s="650"/>
      <c r="AN494" s="650"/>
      <c r="AO494" s="650"/>
      <c r="AP494" s="650"/>
      <c r="AQ494" s="650"/>
      <c r="AR494" s="650"/>
      <c r="AS494" s="650"/>
      <c r="AT494" s="650"/>
      <c r="AU494" s="650"/>
      <c r="AV494" s="650"/>
      <c r="AW494" s="650"/>
      <c r="AX494" s="650"/>
      <c r="AY494" s="650"/>
    </row>
    <row r="495" ht="21.75" customHeight="1">
      <c r="A495" s="650"/>
      <c r="B495" s="650"/>
      <c r="C495" s="650"/>
      <c r="D495" s="650"/>
      <c r="E495" s="650"/>
      <c r="F495" s="650"/>
      <c r="G495" s="650"/>
      <c r="H495" s="650"/>
      <c r="I495" s="650"/>
      <c r="J495" s="650"/>
      <c r="K495" s="650"/>
      <c r="L495" s="650"/>
      <c r="M495" s="650"/>
      <c r="N495" s="650"/>
      <c r="O495" s="650"/>
      <c r="P495" s="650"/>
      <c r="Q495" s="650"/>
      <c r="R495" s="650"/>
      <c r="S495" s="650"/>
      <c r="T495" s="650"/>
      <c r="U495" s="650"/>
      <c r="V495" s="650"/>
      <c r="W495" s="650"/>
      <c r="X495" s="650"/>
      <c r="Y495" s="650"/>
      <c r="Z495" s="650"/>
      <c r="AA495" s="650"/>
      <c r="AB495" s="650"/>
      <c r="AC495" s="650"/>
      <c r="AD495" s="650"/>
      <c r="AE495" s="650"/>
      <c r="AF495" s="650"/>
      <c r="AG495" s="650"/>
      <c r="AH495" s="650"/>
      <c r="AI495" s="650"/>
      <c r="AJ495" s="650"/>
      <c r="AK495" s="650"/>
      <c r="AL495" s="650"/>
      <c r="AM495" s="650"/>
      <c r="AN495" s="650"/>
      <c r="AO495" s="650"/>
      <c r="AP495" s="650"/>
      <c r="AQ495" s="650"/>
      <c r="AR495" s="650"/>
      <c r="AS495" s="650"/>
      <c r="AT495" s="650"/>
      <c r="AU495" s="650"/>
      <c r="AV495" s="650"/>
      <c r="AW495" s="650"/>
      <c r="AX495" s="650"/>
      <c r="AY495" s="650"/>
    </row>
    <row r="496" ht="21.75" customHeight="1">
      <c r="A496" s="650"/>
      <c r="B496" s="650"/>
      <c r="C496" s="650"/>
      <c r="D496" s="650"/>
      <c r="E496" s="650"/>
      <c r="F496" s="650"/>
      <c r="G496" s="650"/>
      <c r="H496" s="650"/>
      <c r="I496" s="650"/>
      <c r="J496" s="650"/>
      <c r="K496" s="650"/>
      <c r="L496" s="650"/>
      <c r="M496" s="650"/>
      <c r="N496" s="650"/>
      <c r="O496" s="650"/>
      <c r="P496" s="650"/>
      <c r="Q496" s="650"/>
      <c r="R496" s="650"/>
      <c r="S496" s="650"/>
      <c r="T496" s="650"/>
      <c r="U496" s="650"/>
      <c r="V496" s="650"/>
      <c r="W496" s="650"/>
      <c r="X496" s="650"/>
      <c r="Y496" s="650"/>
      <c r="Z496" s="650"/>
      <c r="AA496" s="650"/>
      <c r="AB496" s="650"/>
      <c r="AC496" s="650"/>
      <c r="AD496" s="650"/>
      <c r="AE496" s="650"/>
      <c r="AF496" s="650"/>
      <c r="AG496" s="650"/>
      <c r="AH496" s="650"/>
      <c r="AI496" s="650"/>
      <c r="AJ496" s="650"/>
      <c r="AK496" s="650"/>
      <c r="AL496" s="650"/>
      <c r="AM496" s="650"/>
      <c r="AN496" s="650"/>
      <c r="AO496" s="650"/>
      <c r="AP496" s="650"/>
      <c r="AQ496" s="650"/>
      <c r="AR496" s="650"/>
      <c r="AS496" s="650"/>
      <c r="AT496" s="650"/>
      <c r="AU496" s="650"/>
      <c r="AV496" s="650"/>
      <c r="AW496" s="650"/>
      <c r="AX496" s="650"/>
      <c r="AY496" s="650"/>
    </row>
    <row r="497" ht="21.75" customHeight="1">
      <c r="A497" s="650"/>
      <c r="B497" s="650"/>
      <c r="C497" s="650"/>
      <c r="D497" s="650"/>
      <c r="E497" s="650"/>
      <c r="F497" s="650"/>
      <c r="G497" s="650"/>
      <c r="H497" s="650"/>
      <c r="I497" s="650"/>
      <c r="J497" s="650"/>
      <c r="K497" s="650"/>
      <c r="L497" s="650"/>
      <c r="M497" s="650"/>
      <c r="N497" s="650"/>
      <c r="O497" s="650"/>
      <c r="P497" s="650"/>
      <c r="Q497" s="650"/>
      <c r="R497" s="650"/>
      <c r="S497" s="650"/>
      <c r="T497" s="650"/>
      <c r="U497" s="650"/>
      <c r="V497" s="650"/>
      <c r="W497" s="650"/>
      <c r="X497" s="650"/>
      <c r="Y497" s="650"/>
      <c r="Z497" s="650"/>
      <c r="AA497" s="650"/>
      <c r="AB497" s="650"/>
      <c r="AC497" s="650"/>
      <c r="AD497" s="650"/>
      <c r="AE497" s="650"/>
      <c r="AF497" s="650"/>
      <c r="AG497" s="650"/>
      <c r="AH497" s="650"/>
      <c r="AI497" s="650"/>
      <c r="AJ497" s="650"/>
      <c r="AK497" s="650"/>
      <c r="AL497" s="650"/>
      <c r="AM497" s="650"/>
      <c r="AN497" s="650"/>
      <c r="AO497" s="650"/>
      <c r="AP497" s="650"/>
      <c r="AQ497" s="650"/>
      <c r="AR497" s="650"/>
      <c r="AS497" s="650"/>
      <c r="AT497" s="650"/>
      <c r="AU497" s="650"/>
      <c r="AV497" s="650"/>
      <c r="AW497" s="650"/>
      <c r="AX497" s="650"/>
      <c r="AY497" s="650"/>
    </row>
    <row r="498" ht="21.75" customHeight="1">
      <c r="A498" s="650"/>
      <c r="B498" s="650"/>
      <c r="C498" s="650"/>
      <c r="D498" s="650"/>
      <c r="E498" s="650"/>
      <c r="F498" s="650"/>
      <c r="G498" s="650"/>
      <c r="H498" s="650"/>
      <c r="I498" s="650"/>
      <c r="J498" s="650"/>
      <c r="K498" s="650"/>
      <c r="L498" s="650"/>
      <c r="M498" s="650"/>
      <c r="N498" s="650"/>
      <c r="O498" s="650"/>
      <c r="P498" s="650"/>
      <c r="Q498" s="650"/>
      <c r="R498" s="650"/>
      <c r="S498" s="650"/>
      <c r="T498" s="650"/>
      <c r="U498" s="650"/>
      <c r="V498" s="650"/>
      <c r="W498" s="650"/>
      <c r="X498" s="650"/>
      <c r="Y498" s="650"/>
      <c r="Z498" s="650"/>
      <c r="AA498" s="650"/>
      <c r="AB498" s="650"/>
      <c r="AC498" s="650"/>
      <c r="AD498" s="650"/>
      <c r="AE498" s="650"/>
      <c r="AF498" s="650"/>
      <c r="AG498" s="650"/>
      <c r="AH498" s="650"/>
      <c r="AI498" s="650"/>
      <c r="AJ498" s="650"/>
      <c r="AK498" s="650"/>
      <c r="AL498" s="650"/>
      <c r="AM498" s="650"/>
      <c r="AN498" s="650"/>
      <c r="AO498" s="650"/>
      <c r="AP498" s="650"/>
      <c r="AQ498" s="650"/>
      <c r="AR498" s="650"/>
      <c r="AS498" s="650"/>
      <c r="AT498" s="650"/>
      <c r="AU498" s="650"/>
      <c r="AV498" s="650"/>
      <c r="AW498" s="650"/>
      <c r="AX498" s="650"/>
      <c r="AY498" s="650"/>
    </row>
    <row r="499" ht="21.75" customHeight="1">
      <c r="A499" s="650"/>
      <c r="B499" s="650"/>
      <c r="C499" s="650"/>
      <c r="D499" s="650"/>
      <c r="E499" s="650"/>
      <c r="F499" s="650"/>
      <c r="G499" s="650"/>
      <c r="H499" s="650"/>
      <c r="I499" s="650"/>
      <c r="J499" s="650"/>
      <c r="K499" s="650"/>
      <c r="L499" s="650"/>
      <c r="M499" s="650"/>
      <c r="N499" s="650"/>
      <c r="O499" s="650"/>
      <c r="P499" s="650"/>
      <c r="Q499" s="650"/>
      <c r="R499" s="650"/>
      <c r="S499" s="650"/>
      <c r="T499" s="650"/>
      <c r="U499" s="650"/>
      <c r="V499" s="650"/>
      <c r="W499" s="650"/>
      <c r="X499" s="650"/>
      <c r="Y499" s="650"/>
      <c r="Z499" s="650"/>
      <c r="AA499" s="650"/>
      <c r="AB499" s="650"/>
      <c r="AC499" s="650"/>
      <c r="AD499" s="650"/>
      <c r="AE499" s="650"/>
      <c r="AF499" s="650"/>
      <c r="AG499" s="650"/>
      <c r="AH499" s="650"/>
      <c r="AI499" s="650"/>
      <c r="AJ499" s="650"/>
      <c r="AK499" s="650"/>
      <c r="AL499" s="650"/>
      <c r="AM499" s="650"/>
      <c r="AN499" s="650"/>
      <c r="AO499" s="650"/>
      <c r="AP499" s="650"/>
      <c r="AQ499" s="650"/>
      <c r="AR499" s="650"/>
      <c r="AS499" s="650"/>
      <c r="AT499" s="650"/>
      <c r="AU499" s="650"/>
      <c r="AV499" s="650"/>
      <c r="AW499" s="650"/>
      <c r="AX499" s="650"/>
      <c r="AY499" s="650"/>
    </row>
    <row r="500" ht="21.75" customHeight="1">
      <c r="A500" s="650"/>
      <c r="B500" s="650"/>
      <c r="C500" s="650"/>
      <c r="D500" s="650"/>
      <c r="E500" s="650"/>
      <c r="F500" s="650"/>
      <c r="G500" s="650"/>
      <c r="H500" s="650"/>
      <c r="I500" s="650"/>
      <c r="J500" s="650"/>
      <c r="K500" s="650"/>
      <c r="L500" s="650"/>
      <c r="M500" s="650"/>
      <c r="N500" s="650"/>
      <c r="O500" s="650"/>
      <c r="P500" s="650"/>
      <c r="Q500" s="650"/>
      <c r="R500" s="650"/>
      <c r="S500" s="650"/>
      <c r="T500" s="650"/>
      <c r="U500" s="650"/>
      <c r="V500" s="650"/>
      <c r="W500" s="650"/>
      <c r="X500" s="650"/>
      <c r="Y500" s="650"/>
      <c r="Z500" s="650"/>
      <c r="AA500" s="650"/>
      <c r="AB500" s="650"/>
      <c r="AC500" s="650"/>
      <c r="AD500" s="650"/>
      <c r="AE500" s="650"/>
      <c r="AF500" s="650"/>
      <c r="AG500" s="650"/>
      <c r="AH500" s="650"/>
      <c r="AI500" s="650"/>
      <c r="AJ500" s="650"/>
      <c r="AK500" s="650"/>
      <c r="AL500" s="650"/>
      <c r="AM500" s="650"/>
      <c r="AN500" s="650"/>
      <c r="AO500" s="650"/>
      <c r="AP500" s="650"/>
      <c r="AQ500" s="650"/>
      <c r="AR500" s="650"/>
      <c r="AS500" s="650"/>
      <c r="AT500" s="650"/>
      <c r="AU500" s="650"/>
      <c r="AV500" s="650"/>
      <c r="AW500" s="650"/>
      <c r="AX500" s="650"/>
      <c r="AY500" s="650"/>
    </row>
    <row r="501" ht="21.75" customHeight="1">
      <c r="A501" s="650"/>
      <c r="B501" s="650"/>
      <c r="C501" s="650"/>
      <c r="D501" s="650"/>
      <c r="E501" s="650"/>
      <c r="F501" s="650"/>
      <c r="G501" s="650"/>
      <c r="H501" s="650"/>
      <c r="I501" s="650"/>
      <c r="J501" s="650"/>
      <c r="K501" s="650"/>
      <c r="L501" s="650"/>
      <c r="M501" s="650"/>
      <c r="N501" s="650"/>
      <c r="O501" s="650"/>
      <c r="P501" s="650"/>
      <c r="Q501" s="650"/>
      <c r="R501" s="650"/>
      <c r="S501" s="650"/>
      <c r="T501" s="650"/>
      <c r="U501" s="650"/>
      <c r="V501" s="650"/>
      <c r="W501" s="650"/>
      <c r="X501" s="650"/>
      <c r="Y501" s="650"/>
      <c r="Z501" s="650"/>
      <c r="AA501" s="650"/>
      <c r="AB501" s="650"/>
      <c r="AC501" s="650"/>
      <c r="AD501" s="650"/>
      <c r="AE501" s="650"/>
      <c r="AF501" s="650"/>
      <c r="AG501" s="650"/>
      <c r="AH501" s="650"/>
      <c r="AI501" s="650"/>
      <c r="AJ501" s="650"/>
      <c r="AK501" s="650"/>
      <c r="AL501" s="650"/>
      <c r="AM501" s="650"/>
      <c r="AN501" s="650"/>
      <c r="AO501" s="650"/>
      <c r="AP501" s="650"/>
      <c r="AQ501" s="650"/>
      <c r="AR501" s="650"/>
      <c r="AS501" s="650"/>
      <c r="AT501" s="650"/>
      <c r="AU501" s="650"/>
      <c r="AV501" s="650"/>
      <c r="AW501" s="650"/>
      <c r="AX501" s="650"/>
      <c r="AY501" s="650"/>
    </row>
    <row r="502" ht="21.75" customHeight="1">
      <c r="A502" s="650"/>
      <c r="B502" s="650"/>
      <c r="C502" s="650"/>
      <c r="D502" s="650"/>
      <c r="E502" s="650"/>
      <c r="F502" s="650"/>
      <c r="G502" s="650"/>
      <c r="H502" s="650"/>
      <c r="I502" s="650"/>
      <c r="J502" s="650"/>
      <c r="K502" s="650"/>
      <c r="L502" s="650"/>
      <c r="M502" s="650"/>
      <c r="N502" s="650"/>
      <c r="O502" s="650"/>
      <c r="P502" s="650"/>
      <c r="Q502" s="650"/>
      <c r="R502" s="650"/>
      <c r="S502" s="650"/>
      <c r="T502" s="650"/>
      <c r="U502" s="650"/>
      <c r="V502" s="650"/>
      <c r="W502" s="650"/>
      <c r="X502" s="650"/>
      <c r="Y502" s="650"/>
      <c r="Z502" s="650"/>
      <c r="AA502" s="650"/>
      <c r="AB502" s="650"/>
      <c r="AC502" s="650"/>
      <c r="AD502" s="650"/>
      <c r="AE502" s="650"/>
      <c r="AF502" s="650"/>
      <c r="AG502" s="650"/>
      <c r="AH502" s="650"/>
      <c r="AI502" s="650"/>
      <c r="AJ502" s="650"/>
      <c r="AK502" s="650"/>
      <c r="AL502" s="650"/>
      <c r="AM502" s="650"/>
      <c r="AN502" s="650"/>
      <c r="AO502" s="650"/>
      <c r="AP502" s="650"/>
      <c r="AQ502" s="650"/>
      <c r="AR502" s="650"/>
      <c r="AS502" s="650"/>
      <c r="AT502" s="650"/>
      <c r="AU502" s="650"/>
      <c r="AV502" s="650"/>
      <c r="AW502" s="650"/>
      <c r="AX502" s="650"/>
      <c r="AY502" s="650"/>
    </row>
    <row r="503" ht="21.75" customHeight="1">
      <c r="A503" s="650"/>
      <c r="B503" s="650"/>
      <c r="C503" s="650"/>
      <c r="D503" s="650"/>
      <c r="E503" s="650"/>
      <c r="F503" s="650"/>
      <c r="G503" s="650"/>
      <c r="H503" s="650"/>
      <c r="I503" s="650"/>
      <c r="J503" s="650"/>
      <c r="K503" s="650"/>
      <c r="L503" s="650"/>
      <c r="M503" s="650"/>
      <c r="N503" s="650"/>
      <c r="O503" s="650"/>
      <c r="P503" s="650"/>
      <c r="Q503" s="650"/>
      <c r="R503" s="650"/>
      <c r="S503" s="650"/>
      <c r="T503" s="650"/>
      <c r="U503" s="650"/>
      <c r="V503" s="650"/>
      <c r="W503" s="650"/>
      <c r="X503" s="650"/>
      <c r="Y503" s="650"/>
      <c r="Z503" s="650"/>
      <c r="AA503" s="650"/>
      <c r="AB503" s="650"/>
      <c r="AC503" s="650"/>
      <c r="AD503" s="650"/>
      <c r="AE503" s="650"/>
      <c r="AF503" s="650"/>
      <c r="AG503" s="650"/>
      <c r="AH503" s="650"/>
      <c r="AI503" s="650"/>
      <c r="AJ503" s="650"/>
      <c r="AK503" s="650"/>
      <c r="AL503" s="650"/>
      <c r="AM503" s="650"/>
      <c r="AN503" s="650"/>
      <c r="AO503" s="650"/>
      <c r="AP503" s="650"/>
      <c r="AQ503" s="650"/>
      <c r="AR503" s="650"/>
      <c r="AS503" s="650"/>
      <c r="AT503" s="650"/>
      <c r="AU503" s="650"/>
      <c r="AV503" s="650"/>
      <c r="AW503" s="650"/>
      <c r="AX503" s="650"/>
      <c r="AY503" s="650"/>
    </row>
    <row r="504" ht="21.75" customHeight="1">
      <c r="A504" s="650"/>
      <c r="B504" s="650"/>
      <c r="C504" s="650"/>
      <c r="D504" s="650"/>
      <c r="E504" s="650"/>
      <c r="F504" s="650"/>
      <c r="G504" s="650"/>
      <c r="H504" s="650"/>
      <c r="I504" s="650"/>
      <c r="J504" s="650"/>
      <c r="K504" s="650"/>
      <c r="L504" s="650"/>
      <c r="M504" s="650"/>
      <c r="N504" s="650"/>
      <c r="O504" s="650"/>
      <c r="P504" s="650"/>
      <c r="Q504" s="650"/>
      <c r="R504" s="650"/>
      <c r="S504" s="650"/>
      <c r="T504" s="650"/>
      <c r="U504" s="650"/>
      <c r="V504" s="650"/>
      <c r="W504" s="650"/>
      <c r="X504" s="650"/>
      <c r="Y504" s="650"/>
      <c r="Z504" s="650"/>
      <c r="AA504" s="650"/>
      <c r="AB504" s="650"/>
      <c r="AC504" s="650"/>
      <c r="AD504" s="650"/>
      <c r="AE504" s="650"/>
      <c r="AF504" s="650"/>
      <c r="AG504" s="650"/>
      <c r="AH504" s="650"/>
      <c r="AI504" s="650"/>
      <c r="AJ504" s="650"/>
      <c r="AK504" s="650"/>
      <c r="AL504" s="650"/>
      <c r="AM504" s="650"/>
      <c r="AN504" s="650"/>
      <c r="AO504" s="650"/>
      <c r="AP504" s="650"/>
      <c r="AQ504" s="650"/>
      <c r="AR504" s="650"/>
      <c r="AS504" s="650"/>
      <c r="AT504" s="650"/>
      <c r="AU504" s="650"/>
      <c r="AV504" s="650"/>
      <c r="AW504" s="650"/>
      <c r="AX504" s="650"/>
      <c r="AY504" s="650"/>
    </row>
    <row r="505" ht="21.75" customHeight="1">
      <c r="A505" s="650"/>
      <c r="B505" s="650"/>
      <c r="C505" s="650"/>
      <c r="D505" s="650"/>
      <c r="E505" s="650"/>
      <c r="F505" s="650"/>
      <c r="G505" s="650"/>
      <c r="H505" s="650"/>
      <c r="I505" s="650"/>
      <c r="J505" s="650"/>
      <c r="K505" s="650"/>
      <c r="L505" s="650"/>
      <c r="M505" s="650"/>
      <c r="N505" s="650"/>
      <c r="O505" s="650"/>
      <c r="P505" s="650"/>
      <c r="Q505" s="650"/>
      <c r="R505" s="650"/>
      <c r="S505" s="650"/>
      <c r="T505" s="650"/>
      <c r="U505" s="650"/>
      <c r="V505" s="650"/>
      <c r="W505" s="650"/>
      <c r="X505" s="650"/>
      <c r="Y505" s="650"/>
      <c r="Z505" s="650"/>
      <c r="AA505" s="650"/>
      <c r="AB505" s="650"/>
      <c r="AC505" s="650"/>
      <c r="AD505" s="650"/>
      <c r="AE505" s="650"/>
      <c r="AF505" s="650"/>
      <c r="AG505" s="650"/>
      <c r="AH505" s="650"/>
      <c r="AI505" s="650"/>
      <c r="AJ505" s="650"/>
      <c r="AK505" s="650"/>
      <c r="AL505" s="650"/>
      <c r="AM505" s="650"/>
      <c r="AN505" s="650"/>
      <c r="AO505" s="650"/>
      <c r="AP505" s="650"/>
      <c r="AQ505" s="650"/>
      <c r="AR505" s="650"/>
      <c r="AS505" s="650"/>
      <c r="AT505" s="650"/>
      <c r="AU505" s="650"/>
      <c r="AV505" s="650"/>
      <c r="AW505" s="650"/>
      <c r="AX505" s="650"/>
      <c r="AY505" s="650"/>
    </row>
    <row r="506" ht="21.75" customHeight="1">
      <c r="A506" s="650"/>
      <c r="B506" s="650"/>
      <c r="C506" s="650"/>
      <c r="D506" s="650"/>
      <c r="E506" s="650"/>
      <c r="F506" s="650"/>
      <c r="G506" s="650"/>
      <c r="H506" s="650"/>
      <c r="I506" s="650"/>
      <c r="J506" s="650"/>
      <c r="K506" s="650"/>
      <c r="L506" s="650"/>
      <c r="M506" s="650"/>
      <c r="N506" s="650"/>
      <c r="O506" s="650"/>
      <c r="P506" s="650"/>
      <c r="Q506" s="650"/>
      <c r="R506" s="650"/>
      <c r="S506" s="650"/>
      <c r="T506" s="650"/>
      <c r="U506" s="650"/>
      <c r="V506" s="650"/>
      <c r="W506" s="650"/>
      <c r="X506" s="650"/>
      <c r="Y506" s="650"/>
      <c r="Z506" s="650"/>
      <c r="AA506" s="650"/>
      <c r="AB506" s="650"/>
      <c r="AC506" s="650"/>
      <c r="AD506" s="650"/>
      <c r="AE506" s="650"/>
      <c r="AF506" s="650"/>
      <c r="AG506" s="650"/>
      <c r="AH506" s="650"/>
      <c r="AI506" s="650"/>
      <c r="AJ506" s="650"/>
      <c r="AK506" s="650"/>
      <c r="AL506" s="650"/>
      <c r="AM506" s="650"/>
      <c r="AN506" s="650"/>
      <c r="AO506" s="650"/>
      <c r="AP506" s="650"/>
      <c r="AQ506" s="650"/>
      <c r="AR506" s="650"/>
      <c r="AS506" s="650"/>
      <c r="AT506" s="650"/>
      <c r="AU506" s="650"/>
      <c r="AV506" s="650"/>
      <c r="AW506" s="650"/>
      <c r="AX506" s="650"/>
      <c r="AY506" s="650"/>
    </row>
    <row r="507" ht="21.75" customHeight="1">
      <c r="A507" s="650"/>
      <c r="B507" s="650"/>
      <c r="C507" s="650"/>
      <c r="D507" s="650"/>
      <c r="E507" s="650"/>
      <c r="F507" s="650"/>
      <c r="G507" s="650"/>
      <c r="H507" s="650"/>
      <c r="I507" s="650"/>
      <c r="J507" s="650"/>
      <c r="K507" s="650"/>
      <c r="L507" s="650"/>
      <c r="M507" s="650"/>
      <c r="N507" s="650"/>
      <c r="O507" s="650"/>
      <c r="P507" s="650"/>
      <c r="Q507" s="650"/>
      <c r="R507" s="650"/>
      <c r="S507" s="650"/>
      <c r="T507" s="650"/>
      <c r="U507" s="650"/>
      <c r="V507" s="650"/>
      <c r="W507" s="650"/>
      <c r="X507" s="650"/>
      <c r="Y507" s="650"/>
      <c r="Z507" s="650"/>
      <c r="AA507" s="650"/>
      <c r="AB507" s="650"/>
      <c r="AC507" s="650"/>
      <c r="AD507" s="650"/>
      <c r="AE507" s="650"/>
      <c r="AF507" s="650"/>
      <c r="AG507" s="650"/>
      <c r="AH507" s="650"/>
      <c r="AI507" s="650"/>
      <c r="AJ507" s="650"/>
      <c r="AK507" s="650"/>
      <c r="AL507" s="650"/>
      <c r="AM507" s="650"/>
      <c r="AN507" s="650"/>
      <c r="AO507" s="650"/>
      <c r="AP507" s="650"/>
      <c r="AQ507" s="650"/>
      <c r="AR507" s="650"/>
      <c r="AS507" s="650"/>
      <c r="AT507" s="650"/>
      <c r="AU507" s="650"/>
      <c r="AV507" s="650"/>
      <c r="AW507" s="650"/>
      <c r="AX507" s="650"/>
      <c r="AY507" s="650"/>
    </row>
    <row r="508" ht="21.75" customHeight="1">
      <c r="A508" s="650"/>
      <c r="B508" s="650"/>
      <c r="C508" s="650"/>
      <c r="D508" s="650"/>
      <c r="E508" s="650"/>
      <c r="F508" s="650"/>
      <c r="G508" s="650"/>
      <c r="H508" s="650"/>
      <c r="I508" s="650"/>
      <c r="J508" s="650"/>
      <c r="K508" s="650"/>
      <c r="L508" s="650"/>
      <c r="M508" s="650"/>
      <c r="N508" s="650"/>
      <c r="O508" s="650"/>
      <c r="P508" s="650"/>
      <c r="Q508" s="650"/>
      <c r="R508" s="650"/>
      <c r="S508" s="650"/>
      <c r="T508" s="650"/>
      <c r="U508" s="650"/>
      <c r="V508" s="650"/>
      <c r="W508" s="650"/>
      <c r="X508" s="650"/>
      <c r="Y508" s="650"/>
      <c r="Z508" s="650"/>
      <c r="AA508" s="650"/>
      <c r="AB508" s="650"/>
      <c r="AC508" s="650"/>
      <c r="AD508" s="650"/>
      <c r="AE508" s="650"/>
      <c r="AF508" s="650"/>
      <c r="AG508" s="650"/>
      <c r="AH508" s="650"/>
      <c r="AI508" s="650"/>
      <c r="AJ508" s="650"/>
      <c r="AK508" s="650"/>
      <c r="AL508" s="650"/>
      <c r="AM508" s="650"/>
      <c r="AN508" s="650"/>
      <c r="AO508" s="650"/>
      <c r="AP508" s="650"/>
      <c r="AQ508" s="650"/>
      <c r="AR508" s="650"/>
      <c r="AS508" s="650"/>
      <c r="AT508" s="650"/>
      <c r="AU508" s="650"/>
      <c r="AV508" s="650"/>
      <c r="AW508" s="650"/>
      <c r="AX508" s="650"/>
      <c r="AY508" s="650"/>
    </row>
    <row r="509" ht="21.75" customHeight="1">
      <c r="A509" s="650"/>
      <c r="B509" s="650"/>
      <c r="C509" s="650"/>
      <c r="D509" s="650"/>
      <c r="E509" s="650"/>
      <c r="F509" s="650"/>
      <c r="G509" s="650"/>
      <c r="H509" s="650"/>
      <c r="I509" s="650"/>
      <c r="J509" s="650"/>
      <c r="K509" s="650"/>
      <c r="L509" s="650"/>
      <c r="M509" s="650"/>
      <c r="N509" s="650"/>
      <c r="O509" s="650"/>
      <c r="P509" s="650"/>
      <c r="Q509" s="650"/>
      <c r="R509" s="650"/>
      <c r="S509" s="650"/>
      <c r="T509" s="650"/>
      <c r="U509" s="650"/>
      <c r="V509" s="650"/>
      <c r="W509" s="650"/>
      <c r="X509" s="650"/>
      <c r="Y509" s="650"/>
      <c r="Z509" s="650"/>
      <c r="AA509" s="650"/>
      <c r="AB509" s="650"/>
      <c r="AC509" s="650"/>
      <c r="AD509" s="650"/>
      <c r="AE509" s="650"/>
      <c r="AF509" s="650"/>
      <c r="AG509" s="650"/>
      <c r="AH509" s="650"/>
      <c r="AI509" s="650"/>
      <c r="AJ509" s="650"/>
      <c r="AK509" s="650"/>
      <c r="AL509" s="650"/>
      <c r="AM509" s="650"/>
      <c r="AN509" s="650"/>
      <c r="AO509" s="650"/>
      <c r="AP509" s="650"/>
      <c r="AQ509" s="650"/>
      <c r="AR509" s="650"/>
      <c r="AS509" s="650"/>
      <c r="AT509" s="650"/>
      <c r="AU509" s="650"/>
      <c r="AV509" s="650"/>
      <c r="AW509" s="650"/>
      <c r="AX509" s="650"/>
      <c r="AY509" s="650"/>
    </row>
    <row r="510" ht="21.75" customHeight="1">
      <c r="A510" s="650"/>
      <c r="B510" s="650"/>
      <c r="C510" s="650"/>
      <c r="D510" s="650"/>
      <c r="E510" s="650"/>
      <c r="F510" s="650"/>
      <c r="G510" s="650"/>
      <c r="H510" s="650"/>
      <c r="I510" s="650"/>
      <c r="J510" s="650"/>
      <c r="K510" s="650"/>
      <c r="L510" s="650"/>
      <c r="M510" s="650"/>
      <c r="N510" s="650"/>
      <c r="O510" s="650"/>
      <c r="P510" s="650"/>
      <c r="Q510" s="650"/>
      <c r="R510" s="650"/>
      <c r="S510" s="650"/>
      <c r="T510" s="650"/>
      <c r="U510" s="650"/>
      <c r="V510" s="650"/>
      <c r="W510" s="650"/>
      <c r="X510" s="650"/>
      <c r="Y510" s="650"/>
      <c r="Z510" s="650"/>
      <c r="AA510" s="650"/>
      <c r="AB510" s="650"/>
      <c r="AC510" s="650"/>
      <c r="AD510" s="650"/>
      <c r="AE510" s="650"/>
      <c r="AF510" s="650"/>
      <c r="AG510" s="650"/>
      <c r="AH510" s="650"/>
      <c r="AI510" s="650"/>
      <c r="AJ510" s="650"/>
      <c r="AK510" s="650"/>
      <c r="AL510" s="650"/>
      <c r="AM510" s="650"/>
      <c r="AN510" s="650"/>
      <c r="AO510" s="650"/>
      <c r="AP510" s="650"/>
      <c r="AQ510" s="650"/>
      <c r="AR510" s="650"/>
      <c r="AS510" s="650"/>
      <c r="AT510" s="650"/>
      <c r="AU510" s="650"/>
      <c r="AV510" s="650"/>
      <c r="AW510" s="650"/>
      <c r="AX510" s="650"/>
      <c r="AY510" s="650"/>
    </row>
    <row r="511" ht="21.75" customHeight="1">
      <c r="A511" s="650"/>
      <c r="B511" s="650"/>
      <c r="C511" s="650"/>
      <c r="D511" s="650"/>
      <c r="E511" s="650"/>
      <c r="F511" s="650"/>
      <c r="G511" s="650"/>
      <c r="H511" s="650"/>
      <c r="I511" s="650"/>
      <c r="J511" s="650"/>
      <c r="K511" s="650"/>
      <c r="L511" s="650"/>
      <c r="M511" s="650"/>
      <c r="N511" s="650"/>
      <c r="O511" s="650"/>
      <c r="P511" s="650"/>
      <c r="Q511" s="650"/>
      <c r="R511" s="650"/>
      <c r="S511" s="650"/>
      <c r="T511" s="650"/>
      <c r="U511" s="650"/>
      <c r="V511" s="650"/>
      <c r="W511" s="650"/>
      <c r="X511" s="650"/>
      <c r="Y511" s="650"/>
      <c r="Z511" s="650"/>
      <c r="AA511" s="650"/>
      <c r="AB511" s="650"/>
      <c r="AC511" s="650"/>
      <c r="AD511" s="650"/>
      <c r="AE511" s="650"/>
      <c r="AF511" s="650"/>
      <c r="AG511" s="650"/>
      <c r="AH511" s="650"/>
      <c r="AI511" s="650"/>
      <c r="AJ511" s="650"/>
      <c r="AK511" s="650"/>
      <c r="AL511" s="650"/>
      <c r="AM511" s="650"/>
      <c r="AN511" s="650"/>
      <c r="AO511" s="650"/>
      <c r="AP511" s="650"/>
      <c r="AQ511" s="650"/>
      <c r="AR511" s="650"/>
      <c r="AS511" s="650"/>
      <c r="AT511" s="650"/>
      <c r="AU511" s="650"/>
      <c r="AV511" s="650"/>
      <c r="AW511" s="650"/>
      <c r="AX511" s="650"/>
      <c r="AY511" s="650"/>
    </row>
    <row r="512" ht="21.75" customHeight="1">
      <c r="A512" s="650"/>
      <c r="B512" s="650"/>
      <c r="C512" s="650"/>
      <c r="D512" s="650"/>
      <c r="E512" s="650"/>
      <c r="F512" s="650"/>
      <c r="G512" s="650"/>
      <c r="H512" s="650"/>
      <c r="I512" s="650"/>
      <c r="J512" s="650"/>
      <c r="K512" s="650"/>
      <c r="L512" s="650"/>
      <c r="M512" s="650"/>
      <c r="N512" s="650"/>
      <c r="O512" s="650"/>
      <c r="P512" s="650"/>
      <c r="Q512" s="650"/>
      <c r="R512" s="650"/>
      <c r="S512" s="650"/>
      <c r="T512" s="650"/>
      <c r="U512" s="650"/>
      <c r="V512" s="650"/>
      <c r="W512" s="650"/>
      <c r="X512" s="650"/>
      <c r="Y512" s="650"/>
      <c r="Z512" s="650"/>
      <c r="AA512" s="650"/>
      <c r="AB512" s="650"/>
      <c r="AC512" s="650"/>
      <c r="AD512" s="650"/>
      <c r="AE512" s="650"/>
      <c r="AF512" s="650"/>
      <c r="AG512" s="650"/>
      <c r="AH512" s="650"/>
      <c r="AI512" s="650"/>
      <c r="AJ512" s="650"/>
      <c r="AK512" s="650"/>
      <c r="AL512" s="650"/>
      <c r="AM512" s="650"/>
      <c r="AN512" s="650"/>
      <c r="AO512" s="650"/>
      <c r="AP512" s="650"/>
      <c r="AQ512" s="650"/>
      <c r="AR512" s="650"/>
      <c r="AS512" s="650"/>
      <c r="AT512" s="650"/>
      <c r="AU512" s="650"/>
      <c r="AV512" s="650"/>
      <c r="AW512" s="650"/>
      <c r="AX512" s="650"/>
      <c r="AY512" s="650"/>
    </row>
    <row r="513" ht="21.75" customHeight="1">
      <c r="A513" s="650"/>
      <c r="B513" s="650"/>
      <c r="C513" s="650"/>
      <c r="D513" s="650"/>
      <c r="E513" s="650"/>
      <c r="F513" s="650"/>
      <c r="G513" s="650"/>
      <c r="H513" s="650"/>
      <c r="I513" s="650"/>
      <c r="J513" s="650"/>
      <c r="K513" s="650"/>
      <c r="L513" s="650"/>
      <c r="M513" s="650"/>
      <c r="N513" s="650"/>
      <c r="O513" s="650"/>
      <c r="P513" s="650"/>
      <c r="Q513" s="650"/>
      <c r="R513" s="650"/>
      <c r="S513" s="650"/>
      <c r="T513" s="650"/>
      <c r="U513" s="650"/>
      <c r="V513" s="650"/>
      <c r="W513" s="650"/>
      <c r="X513" s="650"/>
      <c r="Y513" s="650"/>
      <c r="Z513" s="650"/>
      <c r="AA513" s="650"/>
      <c r="AB513" s="650"/>
      <c r="AC513" s="650"/>
      <c r="AD513" s="650"/>
      <c r="AE513" s="650"/>
      <c r="AF513" s="650"/>
      <c r="AG513" s="650"/>
      <c r="AH513" s="650"/>
      <c r="AI513" s="650"/>
      <c r="AJ513" s="650"/>
      <c r="AK513" s="650"/>
      <c r="AL513" s="650"/>
      <c r="AM513" s="650"/>
      <c r="AN513" s="650"/>
      <c r="AO513" s="650"/>
      <c r="AP513" s="650"/>
      <c r="AQ513" s="650"/>
      <c r="AR513" s="650"/>
      <c r="AS513" s="650"/>
      <c r="AT513" s="650"/>
      <c r="AU513" s="650"/>
      <c r="AV513" s="650"/>
      <c r="AW513" s="650"/>
      <c r="AX513" s="650"/>
      <c r="AY513" s="650"/>
    </row>
    <row r="514" ht="21.75" customHeight="1">
      <c r="A514" s="650"/>
      <c r="B514" s="650"/>
      <c r="C514" s="650"/>
      <c r="D514" s="650"/>
      <c r="E514" s="650"/>
      <c r="F514" s="650"/>
      <c r="G514" s="650"/>
      <c r="H514" s="650"/>
      <c r="I514" s="650"/>
      <c r="J514" s="650"/>
      <c r="K514" s="650"/>
      <c r="L514" s="650"/>
      <c r="M514" s="650"/>
      <c r="N514" s="650"/>
      <c r="O514" s="650"/>
      <c r="P514" s="650"/>
      <c r="Q514" s="650"/>
      <c r="R514" s="650"/>
      <c r="S514" s="650"/>
      <c r="T514" s="650"/>
      <c r="U514" s="650"/>
      <c r="V514" s="650"/>
      <c r="W514" s="650"/>
      <c r="X514" s="650"/>
      <c r="Y514" s="650"/>
      <c r="Z514" s="650"/>
      <c r="AA514" s="650"/>
      <c r="AB514" s="650"/>
      <c r="AC514" s="650"/>
      <c r="AD514" s="650"/>
      <c r="AE514" s="650"/>
      <c r="AF514" s="650"/>
      <c r="AG514" s="650"/>
      <c r="AH514" s="650"/>
      <c r="AI514" s="650"/>
      <c r="AJ514" s="650"/>
      <c r="AK514" s="650"/>
      <c r="AL514" s="650"/>
      <c r="AM514" s="650"/>
      <c r="AN514" s="650"/>
      <c r="AO514" s="650"/>
      <c r="AP514" s="650"/>
      <c r="AQ514" s="650"/>
      <c r="AR514" s="650"/>
      <c r="AS514" s="650"/>
      <c r="AT514" s="650"/>
      <c r="AU514" s="650"/>
      <c r="AV514" s="650"/>
      <c r="AW514" s="650"/>
      <c r="AX514" s="650"/>
      <c r="AY514" s="650"/>
    </row>
    <row r="515" ht="21.75" customHeight="1">
      <c r="A515" s="650"/>
      <c r="B515" s="650"/>
      <c r="C515" s="650"/>
      <c r="D515" s="650"/>
      <c r="E515" s="650"/>
      <c r="F515" s="650"/>
      <c r="G515" s="650"/>
      <c r="H515" s="650"/>
      <c r="I515" s="650"/>
      <c r="J515" s="650"/>
      <c r="K515" s="650"/>
      <c r="L515" s="650"/>
      <c r="M515" s="650"/>
      <c r="N515" s="650"/>
      <c r="O515" s="650"/>
      <c r="P515" s="650"/>
      <c r="Q515" s="650"/>
      <c r="R515" s="650"/>
      <c r="S515" s="650"/>
      <c r="T515" s="650"/>
      <c r="U515" s="650"/>
      <c r="V515" s="650"/>
      <c r="W515" s="650"/>
      <c r="X515" s="650"/>
      <c r="Y515" s="650"/>
      <c r="Z515" s="650"/>
      <c r="AA515" s="650"/>
      <c r="AB515" s="650"/>
      <c r="AC515" s="650"/>
      <c r="AD515" s="650"/>
      <c r="AE515" s="650"/>
      <c r="AF515" s="650"/>
      <c r="AG515" s="650"/>
      <c r="AH515" s="650"/>
      <c r="AI515" s="650"/>
      <c r="AJ515" s="650"/>
      <c r="AK515" s="650"/>
      <c r="AL515" s="650"/>
      <c r="AM515" s="650"/>
      <c r="AN515" s="650"/>
      <c r="AO515" s="650"/>
      <c r="AP515" s="650"/>
      <c r="AQ515" s="650"/>
      <c r="AR515" s="650"/>
      <c r="AS515" s="650"/>
      <c r="AT515" s="650"/>
      <c r="AU515" s="650"/>
      <c r="AV515" s="650"/>
      <c r="AW515" s="650"/>
      <c r="AX515" s="650"/>
      <c r="AY515" s="650"/>
    </row>
    <row r="516" ht="21.75" customHeight="1">
      <c r="A516" s="650"/>
      <c r="B516" s="650"/>
      <c r="C516" s="650"/>
      <c r="D516" s="650"/>
      <c r="E516" s="650"/>
      <c r="F516" s="650"/>
      <c r="G516" s="650"/>
      <c r="H516" s="650"/>
      <c r="I516" s="650"/>
      <c r="J516" s="650"/>
      <c r="K516" s="650"/>
      <c r="L516" s="650"/>
      <c r="M516" s="650"/>
      <c r="N516" s="650"/>
      <c r="O516" s="650"/>
      <c r="P516" s="650"/>
      <c r="Q516" s="650"/>
      <c r="R516" s="650"/>
      <c r="S516" s="650"/>
      <c r="T516" s="650"/>
      <c r="U516" s="650"/>
      <c r="V516" s="650"/>
      <c r="W516" s="650"/>
      <c r="X516" s="650"/>
      <c r="Y516" s="650"/>
      <c r="Z516" s="650"/>
      <c r="AA516" s="650"/>
      <c r="AB516" s="650"/>
      <c r="AC516" s="650"/>
      <c r="AD516" s="650"/>
      <c r="AE516" s="650"/>
      <c r="AF516" s="650"/>
      <c r="AG516" s="650"/>
      <c r="AH516" s="650"/>
      <c r="AI516" s="650"/>
      <c r="AJ516" s="650"/>
      <c r="AK516" s="650"/>
      <c r="AL516" s="650"/>
      <c r="AM516" s="650"/>
      <c r="AN516" s="650"/>
      <c r="AO516" s="650"/>
      <c r="AP516" s="650"/>
      <c r="AQ516" s="650"/>
      <c r="AR516" s="650"/>
      <c r="AS516" s="650"/>
      <c r="AT516" s="650"/>
      <c r="AU516" s="650"/>
      <c r="AV516" s="650"/>
      <c r="AW516" s="650"/>
      <c r="AX516" s="650"/>
      <c r="AY516" s="650"/>
    </row>
    <row r="517" ht="21.75" customHeight="1">
      <c r="A517" s="650"/>
      <c r="B517" s="650"/>
      <c r="C517" s="650"/>
      <c r="D517" s="650"/>
      <c r="E517" s="650"/>
      <c r="F517" s="650"/>
      <c r="G517" s="650"/>
      <c r="H517" s="650"/>
      <c r="I517" s="650"/>
      <c r="J517" s="650"/>
      <c r="K517" s="650"/>
      <c r="L517" s="650"/>
      <c r="M517" s="650"/>
      <c r="N517" s="650"/>
      <c r="O517" s="650"/>
      <c r="P517" s="650"/>
      <c r="Q517" s="650"/>
      <c r="R517" s="650"/>
      <c r="S517" s="650"/>
      <c r="T517" s="650"/>
      <c r="U517" s="650"/>
      <c r="V517" s="650"/>
      <c r="W517" s="650"/>
      <c r="X517" s="650"/>
      <c r="Y517" s="650"/>
      <c r="Z517" s="650"/>
      <c r="AA517" s="650"/>
      <c r="AB517" s="650"/>
      <c r="AC517" s="650"/>
      <c r="AD517" s="650"/>
      <c r="AE517" s="650"/>
      <c r="AF517" s="650"/>
      <c r="AG517" s="650"/>
      <c r="AH517" s="650"/>
      <c r="AI517" s="650"/>
      <c r="AJ517" s="650"/>
      <c r="AK517" s="650"/>
      <c r="AL517" s="650"/>
      <c r="AM517" s="650"/>
      <c r="AN517" s="650"/>
      <c r="AO517" s="650"/>
      <c r="AP517" s="650"/>
      <c r="AQ517" s="650"/>
      <c r="AR517" s="650"/>
      <c r="AS517" s="650"/>
      <c r="AT517" s="650"/>
      <c r="AU517" s="650"/>
      <c r="AV517" s="650"/>
      <c r="AW517" s="650"/>
      <c r="AX517" s="650"/>
      <c r="AY517" s="650"/>
    </row>
    <row r="518" ht="21.75" customHeight="1">
      <c r="A518" s="650"/>
      <c r="B518" s="650"/>
      <c r="C518" s="650"/>
      <c r="D518" s="650"/>
      <c r="E518" s="650"/>
      <c r="F518" s="650"/>
      <c r="G518" s="650"/>
      <c r="H518" s="650"/>
      <c r="I518" s="650"/>
      <c r="J518" s="650"/>
      <c r="K518" s="650"/>
      <c r="L518" s="650"/>
      <c r="M518" s="650"/>
      <c r="N518" s="650"/>
      <c r="O518" s="650"/>
      <c r="P518" s="650"/>
      <c r="Q518" s="650"/>
      <c r="R518" s="650"/>
      <c r="S518" s="650"/>
      <c r="T518" s="650"/>
      <c r="U518" s="650"/>
      <c r="V518" s="650"/>
      <c r="W518" s="650"/>
      <c r="X518" s="650"/>
      <c r="Y518" s="650"/>
      <c r="Z518" s="650"/>
      <c r="AA518" s="650"/>
      <c r="AB518" s="650"/>
      <c r="AC518" s="650"/>
      <c r="AD518" s="650"/>
      <c r="AE518" s="650"/>
      <c r="AF518" s="650"/>
      <c r="AG518" s="650"/>
      <c r="AH518" s="650"/>
      <c r="AI518" s="650"/>
      <c r="AJ518" s="650"/>
      <c r="AK518" s="650"/>
      <c r="AL518" s="650"/>
      <c r="AM518" s="650"/>
      <c r="AN518" s="650"/>
      <c r="AO518" s="650"/>
      <c r="AP518" s="650"/>
      <c r="AQ518" s="650"/>
      <c r="AR518" s="650"/>
      <c r="AS518" s="650"/>
      <c r="AT518" s="650"/>
      <c r="AU518" s="650"/>
      <c r="AV518" s="650"/>
      <c r="AW518" s="650"/>
      <c r="AX518" s="650"/>
      <c r="AY518" s="650"/>
    </row>
    <row r="519" ht="21.75" customHeight="1">
      <c r="A519" s="650"/>
      <c r="B519" s="650"/>
      <c r="C519" s="650"/>
      <c r="D519" s="650"/>
      <c r="E519" s="650"/>
      <c r="F519" s="650"/>
      <c r="G519" s="650"/>
      <c r="H519" s="650"/>
      <c r="I519" s="650"/>
      <c r="J519" s="650"/>
      <c r="K519" s="650"/>
      <c r="L519" s="650"/>
      <c r="M519" s="650"/>
      <c r="N519" s="650"/>
      <c r="O519" s="650"/>
      <c r="P519" s="650"/>
      <c r="Q519" s="650"/>
      <c r="R519" s="650"/>
      <c r="S519" s="650"/>
      <c r="T519" s="650"/>
      <c r="U519" s="650"/>
      <c r="V519" s="650"/>
      <c r="W519" s="650"/>
      <c r="X519" s="650"/>
      <c r="Y519" s="650"/>
      <c r="Z519" s="650"/>
      <c r="AA519" s="650"/>
      <c r="AB519" s="650"/>
      <c r="AC519" s="650"/>
      <c r="AD519" s="650"/>
      <c r="AE519" s="650"/>
      <c r="AF519" s="650"/>
      <c r="AG519" s="650"/>
      <c r="AH519" s="650"/>
      <c r="AI519" s="650"/>
      <c r="AJ519" s="650"/>
      <c r="AK519" s="650"/>
      <c r="AL519" s="650"/>
      <c r="AM519" s="650"/>
      <c r="AN519" s="650"/>
      <c r="AO519" s="650"/>
      <c r="AP519" s="650"/>
      <c r="AQ519" s="650"/>
      <c r="AR519" s="650"/>
      <c r="AS519" s="650"/>
      <c r="AT519" s="650"/>
      <c r="AU519" s="650"/>
      <c r="AV519" s="650"/>
      <c r="AW519" s="650"/>
      <c r="AX519" s="650"/>
      <c r="AY519" s="650"/>
    </row>
    <row r="520" ht="21.75" customHeight="1">
      <c r="A520" s="650"/>
      <c r="B520" s="650"/>
      <c r="C520" s="650"/>
      <c r="D520" s="650"/>
      <c r="E520" s="650"/>
      <c r="F520" s="650"/>
      <c r="G520" s="650"/>
      <c r="H520" s="650"/>
      <c r="I520" s="650"/>
      <c r="J520" s="650"/>
      <c r="K520" s="650"/>
      <c r="L520" s="650"/>
      <c r="M520" s="650"/>
      <c r="N520" s="650"/>
      <c r="O520" s="650"/>
      <c r="P520" s="650"/>
      <c r="Q520" s="650"/>
      <c r="R520" s="650"/>
      <c r="S520" s="650"/>
      <c r="T520" s="650"/>
      <c r="U520" s="650"/>
      <c r="V520" s="650"/>
      <c r="W520" s="650"/>
      <c r="X520" s="650"/>
      <c r="Y520" s="650"/>
      <c r="Z520" s="650"/>
      <c r="AA520" s="650"/>
      <c r="AB520" s="650"/>
      <c r="AC520" s="650"/>
      <c r="AD520" s="650"/>
      <c r="AE520" s="650"/>
      <c r="AF520" s="650"/>
      <c r="AG520" s="650"/>
      <c r="AH520" s="650"/>
      <c r="AI520" s="650"/>
      <c r="AJ520" s="650"/>
      <c r="AK520" s="650"/>
      <c r="AL520" s="650"/>
      <c r="AM520" s="650"/>
      <c r="AN520" s="650"/>
      <c r="AO520" s="650"/>
      <c r="AP520" s="650"/>
      <c r="AQ520" s="650"/>
      <c r="AR520" s="650"/>
      <c r="AS520" s="650"/>
      <c r="AT520" s="650"/>
      <c r="AU520" s="650"/>
      <c r="AV520" s="650"/>
      <c r="AW520" s="650"/>
      <c r="AX520" s="650"/>
      <c r="AY520" s="650"/>
    </row>
    <row r="521" ht="21.75" customHeight="1">
      <c r="A521" s="650"/>
      <c r="B521" s="650"/>
      <c r="C521" s="650"/>
      <c r="D521" s="650"/>
      <c r="E521" s="650"/>
      <c r="F521" s="650"/>
      <c r="G521" s="650"/>
      <c r="H521" s="650"/>
      <c r="I521" s="650"/>
      <c r="J521" s="650"/>
      <c r="K521" s="650"/>
      <c r="L521" s="650"/>
      <c r="M521" s="650"/>
      <c r="N521" s="650"/>
      <c r="O521" s="650"/>
      <c r="P521" s="650"/>
      <c r="Q521" s="650"/>
      <c r="R521" s="650"/>
      <c r="S521" s="650"/>
      <c r="T521" s="650"/>
      <c r="U521" s="650"/>
      <c r="V521" s="650"/>
      <c r="W521" s="650"/>
      <c r="X521" s="650"/>
      <c r="Y521" s="650"/>
      <c r="Z521" s="650"/>
      <c r="AA521" s="650"/>
      <c r="AB521" s="650"/>
      <c r="AC521" s="650"/>
      <c r="AD521" s="650"/>
      <c r="AE521" s="650"/>
      <c r="AF521" s="650"/>
      <c r="AG521" s="650"/>
      <c r="AH521" s="650"/>
      <c r="AI521" s="650"/>
      <c r="AJ521" s="650"/>
      <c r="AK521" s="650"/>
      <c r="AL521" s="650"/>
      <c r="AM521" s="650"/>
      <c r="AN521" s="650"/>
      <c r="AO521" s="650"/>
      <c r="AP521" s="650"/>
      <c r="AQ521" s="650"/>
      <c r="AR521" s="650"/>
      <c r="AS521" s="650"/>
      <c r="AT521" s="650"/>
      <c r="AU521" s="650"/>
      <c r="AV521" s="650"/>
      <c r="AW521" s="650"/>
      <c r="AX521" s="650"/>
      <c r="AY521" s="650"/>
    </row>
    <row r="522" ht="21.75" customHeight="1">
      <c r="A522" s="650"/>
      <c r="B522" s="650"/>
      <c r="C522" s="650"/>
      <c r="D522" s="650"/>
      <c r="E522" s="650"/>
      <c r="F522" s="650"/>
      <c r="G522" s="650"/>
      <c r="H522" s="650"/>
      <c r="I522" s="650"/>
      <c r="J522" s="650"/>
      <c r="K522" s="650"/>
      <c r="L522" s="650"/>
      <c r="M522" s="650"/>
      <c r="N522" s="650"/>
      <c r="O522" s="650"/>
      <c r="P522" s="650"/>
      <c r="Q522" s="650"/>
      <c r="R522" s="650"/>
      <c r="S522" s="650"/>
      <c r="T522" s="650"/>
      <c r="U522" s="650"/>
      <c r="V522" s="650"/>
      <c r="W522" s="650"/>
      <c r="X522" s="650"/>
      <c r="Y522" s="650"/>
      <c r="Z522" s="650"/>
      <c r="AA522" s="650"/>
      <c r="AB522" s="650"/>
      <c r="AC522" s="650"/>
      <c r="AD522" s="650"/>
      <c r="AE522" s="650"/>
      <c r="AF522" s="650"/>
      <c r="AG522" s="650"/>
      <c r="AH522" s="650"/>
      <c r="AI522" s="650"/>
      <c r="AJ522" s="650"/>
      <c r="AK522" s="650"/>
      <c r="AL522" s="650"/>
      <c r="AM522" s="650"/>
      <c r="AN522" s="650"/>
      <c r="AO522" s="650"/>
      <c r="AP522" s="650"/>
      <c r="AQ522" s="650"/>
      <c r="AR522" s="650"/>
      <c r="AS522" s="650"/>
      <c r="AT522" s="650"/>
      <c r="AU522" s="650"/>
      <c r="AV522" s="650"/>
      <c r="AW522" s="650"/>
      <c r="AX522" s="650"/>
      <c r="AY522" s="650"/>
    </row>
    <row r="523" ht="21.75" customHeight="1">
      <c r="A523" s="650"/>
      <c r="B523" s="650"/>
      <c r="C523" s="650"/>
      <c r="D523" s="650"/>
      <c r="E523" s="650"/>
      <c r="F523" s="650"/>
      <c r="G523" s="650"/>
      <c r="H523" s="650"/>
      <c r="I523" s="650"/>
      <c r="J523" s="650"/>
      <c r="K523" s="650"/>
      <c r="L523" s="650"/>
      <c r="M523" s="650"/>
      <c r="N523" s="650"/>
      <c r="O523" s="650"/>
      <c r="P523" s="650"/>
      <c r="Q523" s="650"/>
      <c r="R523" s="650"/>
      <c r="S523" s="650"/>
      <c r="T523" s="650"/>
      <c r="U523" s="650"/>
      <c r="V523" s="650"/>
      <c r="W523" s="650"/>
      <c r="X523" s="650"/>
      <c r="Y523" s="650"/>
      <c r="Z523" s="650"/>
      <c r="AA523" s="650"/>
      <c r="AB523" s="650"/>
      <c r="AC523" s="650"/>
      <c r="AD523" s="650"/>
      <c r="AE523" s="650"/>
      <c r="AF523" s="650"/>
      <c r="AG523" s="650"/>
      <c r="AH523" s="650"/>
      <c r="AI523" s="650"/>
      <c r="AJ523" s="650"/>
      <c r="AK523" s="650"/>
      <c r="AL523" s="650"/>
      <c r="AM523" s="650"/>
      <c r="AN523" s="650"/>
      <c r="AO523" s="650"/>
      <c r="AP523" s="650"/>
      <c r="AQ523" s="650"/>
      <c r="AR523" s="650"/>
      <c r="AS523" s="650"/>
      <c r="AT523" s="650"/>
      <c r="AU523" s="650"/>
      <c r="AV523" s="650"/>
      <c r="AW523" s="650"/>
      <c r="AX523" s="650"/>
      <c r="AY523" s="650"/>
    </row>
    <row r="524" ht="21.75" customHeight="1">
      <c r="A524" s="650"/>
      <c r="B524" s="650"/>
      <c r="C524" s="650"/>
      <c r="D524" s="650"/>
      <c r="E524" s="650"/>
      <c r="F524" s="650"/>
      <c r="G524" s="650"/>
      <c r="H524" s="650"/>
      <c r="I524" s="650"/>
      <c r="J524" s="650"/>
      <c r="K524" s="650"/>
      <c r="L524" s="650"/>
      <c r="M524" s="650"/>
      <c r="N524" s="650"/>
      <c r="O524" s="650"/>
      <c r="P524" s="650"/>
      <c r="Q524" s="650"/>
      <c r="R524" s="650"/>
      <c r="S524" s="650"/>
      <c r="T524" s="650"/>
      <c r="U524" s="650"/>
      <c r="V524" s="650"/>
      <c r="W524" s="650"/>
      <c r="X524" s="650"/>
      <c r="Y524" s="650"/>
      <c r="Z524" s="650"/>
      <c r="AA524" s="650"/>
      <c r="AB524" s="650"/>
      <c r="AC524" s="650"/>
      <c r="AD524" s="650"/>
      <c r="AE524" s="650"/>
      <c r="AF524" s="650"/>
      <c r="AG524" s="650"/>
      <c r="AH524" s="650"/>
      <c r="AI524" s="650"/>
      <c r="AJ524" s="650"/>
      <c r="AK524" s="650"/>
      <c r="AL524" s="650"/>
      <c r="AM524" s="650"/>
      <c r="AN524" s="650"/>
      <c r="AO524" s="650"/>
      <c r="AP524" s="650"/>
      <c r="AQ524" s="650"/>
      <c r="AR524" s="650"/>
      <c r="AS524" s="650"/>
      <c r="AT524" s="650"/>
      <c r="AU524" s="650"/>
      <c r="AV524" s="650"/>
      <c r="AW524" s="650"/>
      <c r="AX524" s="650"/>
      <c r="AY524" s="650"/>
    </row>
    <row r="525" ht="21.75" customHeight="1">
      <c r="A525" s="650"/>
      <c r="B525" s="650"/>
      <c r="C525" s="650"/>
      <c r="D525" s="650"/>
      <c r="E525" s="650"/>
      <c r="F525" s="650"/>
      <c r="G525" s="650"/>
      <c r="H525" s="650"/>
      <c r="I525" s="650"/>
      <c r="J525" s="650"/>
      <c r="K525" s="650"/>
      <c r="L525" s="650"/>
      <c r="M525" s="650"/>
      <c r="N525" s="650"/>
      <c r="O525" s="650"/>
      <c r="P525" s="650"/>
      <c r="Q525" s="650"/>
      <c r="R525" s="650"/>
      <c r="S525" s="650"/>
      <c r="T525" s="650"/>
      <c r="U525" s="650"/>
      <c r="V525" s="650"/>
      <c r="W525" s="650"/>
      <c r="X525" s="650"/>
      <c r="Y525" s="650"/>
      <c r="Z525" s="650"/>
      <c r="AA525" s="650"/>
      <c r="AB525" s="650"/>
      <c r="AC525" s="650"/>
      <c r="AD525" s="650"/>
      <c r="AE525" s="650"/>
      <c r="AF525" s="650"/>
      <c r="AG525" s="650"/>
      <c r="AH525" s="650"/>
      <c r="AI525" s="650"/>
      <c r="AJ525" s="650"/>
      <c r="AK525" s="650"/>
      <c r="AL525" s="650"/>
      <c r="AM525" s="650"/>
      <c r="AN525" s="650"/>
      <c r="AO525" s="650"/>
      <c r="AP525" s="650"/>
      <c r="AQ525" s="650"/>
      <c r="AR525" s="650"/>
      <c r="AS525" s="650"/>
      <c r="AT525" s="650"/>
      <c r="AU525" s="650"/>
      <c r="AV525" s="650"/>
      <c r="AW525" s="650"/>
      <c r="AX525" s="650"/>
      <c r="AY525" s="650"/>
    </row>
    <row r="526" ht="21.75" customHeight="1">
      <c r="A526" s="650"/>
      <c r="B526" s="650"/>
      <c r="C526" s="650"/>
      <c r="D526" s="650"/>
      <c r="E526" s="650"/>
      <c r="F526" s="650"/>
      <c r="G526" s="650"/>
      <c r="H526" s="650"/>
      <c r="I526" s="650"/>
      <c r="J526" s="650"/>
      <c r="K526" s="650"/>
      <c r="L526" s="650"/>
      <c r="M526" s="650"/>
      <c r="N526" s="650"/>
      <c r="O526" s="650"/>
      <c r="P526" s="650"/>
      <c r="Q526" s="650"/>
      <c r="R526" s="650"/>
      <c r="S526" s="650"/>
      <c r="T526" s="650"/>
      <c r="U526" s="650"/>
      <c r="V526" s="650"/>
      <c r="W526" s="650"/>
      <c r="X526" s="650"/>
      <c r="Y526" s="650"/>
      <c r="Z526" s="650"/>
      <c r="AA526" s="650"/>
      <c r="AB526" s="650"/>
      <c r="AC526" s="650"/>
      <c r="AD526" s="650"/>
      <c r="AE526" s="650"/>
      <c r="AF526" s="650"/>
      <c r="AG526" s="650"/>
      <c r="AH526" s="650"/>
      <c r="AI526" s="650"/>
      <c r="AJ526" s="650"/>
      <c r="AK526" s="650"/>
      <c r="AL526" s="650"/>
      <c r="AM526" s="650"/>
      <c r="AN526" s="650"/>
      <c r="AO526" s="650"/>
      <c r="AP526" s="650"/>
      <c r="AQ526" s="650"/>
      <c r="AR526" s="650"/>
      <c r="AS526" s="650"/>
      <c r="AT526" s="650"/>
      <c r="AU526" s="650"/>
      <c r="AV526" s="650"/>
      <c r="AW526" s="650"/>
      <c r="AX526" s="650"/>
      <c r="AY526" s="650"/>
    </row>
    <row r="527" ht="21.75" customHeight="1">
      <c r="A527" s="650"/>
      <c r="B527" s="650"/>
      <c r="C527" s="650"/>
      <c r="D527" s="650"/>
      <c r="E527" s="650"/>
      <c r="F527" s="650"/>
      <c r="G527" s="650"/>
      <c r="H527" s="650"/>
      <c r="I527" s="650"/>
      <c r="J527" s="650"/>
      <c r="K527" s="650"/>
      <c r="L527" s="650"/>
      <c r="M527" s="650"/>
      <c r="N527" s="650"/>
      <c r="O527" s="650"/>
      <c r="P527" s="650"/>
      <c r="Q527" s="650"/>
      <c r="R527" s="650"/>
      <c r="S527" s="650"/>
      <c r="T527" s="650"/>
      <c r="U527" s="650"/>
      <c r="V527" s="650"/>
      <c r="W527" s="650"/>
      <c r="X527" s="650"/>
      <c r="Y527" s="650"/>
      <c r="Z527" s="650"/>
      <c r="AA527" s="650"/>
      <c r="AB527" s="650"/>
      <c r="AC527" s="650"/>
      <c r="AD527" s="650"/>
      <c r="AE527" s="650"/>
      <c r="AF527" s="650"/>
      <c r="AG527" s="650"/>
      <c r="AH527" s="650"/>
      <c r="AI527" s="650"/>
      <c r="AJ527" s="650"/>
      <c r="AK527" s="650"/>
      <c r="AL527" s="650"/>
      <c r="AM527" s="650"/>
      <c r="AN527" s="650"/>
      <c r="AO527" s="650"/>
      <c r="AP527" s="650"/>
      <c r="AQ527" s="650"/>
      <c r="AR527" s="650"/>
      <c r="AS527" s="650"/>
      <c r="AT527" s="650"/>
      <c r="AU527" s="650"/>
      <c r="AV527" s="650"/>
      <c r="AW527" s="650"/>
      <c r="AX527" s="650"/>
      <c r="AY527" s="650"/>
    </row>
    <row r="528" ht="21.75" customHeight="1">
      <c r="A528" s="650"/>
      <c r="B528" s="650"/>
      <c r="C528" s="650"/>
      <c r="D528" s="650"/>
      <c r="E528" s="650"/>
      <c r="F528" s="650"/>
      <c r="G528" s="650"/>
      <c r="H528" s="650"/>
      <c r="I528" s="650"/>
      <c r="J528" s="650"/>
      <c r="K528" s="650"/>
      <c r="L528" s="650"/>
      <c r="M528" s="650"/>
      <c r="N528" s="650"/>
      <c r="O528" s="650"/>
      <c r="P528" s="650"/>
      <c r="Q528" s="650"/>
      <c r="R528" s="650"/>
      <c r="S528" s="650"/>
      <c r="T528" s="650"/>
      <c r="U528" s="650"/>
      <c r="V528" s="650"/>
      <c r="W528" s="650"/>
      <c r="X528" s="650"/>
      <c r="Y528" s="650"/>
      <c r="Z528" s="650"/>
      <c r="AA528" s="650"/>
      <c r="AB528" s="650"/>
      <c r="AC528" s="650"/>
      <c r="AD528" s="650"/>
      <c r="AE528" s="650"/>
      <c r="AF528" s="650"/>
      <c r="AG528" s="650"/>
      <c r="AH528" s="650"/>
      <c r="AI528" s="650"/>
      <c r="AJ528" s="650"/>
      <c r="AK528" s="650"/>
      <c r="AL528" s="650"/>
      <c r="AM528" s="650"/>
      <c r="AN528" s="650"/>
      <c r="AO528" s="650"/>
      <c r="AP528" s="650"/>
      <c r="AQ528" s="650"/>
      <c r="AR528" s="650"/>
      <c r="AS528" s="650"/>
      <c r="AT528" s="650"/>
      <c r="AU528" s="650"/>
      <c r="AV528" s="650"/>
      <c r="AW528" s="650"/>
      <c r="AX528" s="650"/>
      <c r="AY528" s="650"/>
    </row>
    <row r="529" ht="21.75" customHeight="1">
      <c r="A529" s="650"/>
      <c r="B529" s="650"/>
      <c r="C529" s="650"/>
      <c r="D529" s="650"/>
      <c r="E529" s="650"/>
      <c r="F529" s="650"/>
      <c r="G529" s="650"/>
      <c r="H529" s="650"/>
      <c r="I529" s="650"/>
      <c r="J529" s="650"/>
      <c r="K529" s="650"/>
      <c r="L529" s="650"/>
      <c r="M529" s="650"/>
      <c r="N529" s="650"/>
      <c r="O529" s="650"/>
      <c r="P529" s="650"/>
      <c r="Q529" s="650"/>
      <c r="R529" s="650"/>
      <c r="S529" s="650"/>
      <c r="T529" s="650"/>
      <c r="U529" s="650"/>
      <c r="V529" s="650"/>
      <c r="W529" s="650"/>
      <c r="X529" s="650"/>
      <c r="Y529" s="650"/>
      <c r="Z529" s="650"/>
      <c r="AA529" s="650"/>
      <c r="AB529" s="650"/>
      <c r="AC529" s="650"/>
      <c r="AD529" s="650"/>
      <c r="AE529" s="650"/>
      <c r="AF529" s="650"/>
      <c r="AG529" s="650"/>
      <c r="AH529" s="650"/>
      <c r="AI529" s="650"/>
      <c r="AJ529" s="650"/>
      <c r="AK529" s="650"/>
      <c r="AL529" s="650"/>
      <c r="AM529" s="650"/>
      <c r="AN529" s="650"/>
      <c r="AO529" s="650"/>
      <c r="AP529" s="650"/>
      <c r="AQ529" s="650"/>
      <c r="AR529" s="650"/>
      <c r="AS529" s="650"/>
      <c r="AT529" s="650"/>
      <c r="AU529" s="650"/>
      <c r="AV529" s="650"/>
      <c r="AW529" s="650"/>
      <c r="AX529" s="650"/>
      <c r="AY529" s="650"/>
    </row>
    <row r="530" ht="21.75" customHeight="1">
      <c r="A530" s="650"/>
      <c r="B530" s="650"/>
      <c r="C530" s="650"/>
      <c r="D530" s="650"/>
      <c r="E530" s="650"/>
      <c r="F530" s="650"/>
      <c r="G530" s="650"/>
      <c r="H530" s="650"/>
      <c r="I530" s="650"/>
      <c r="J530" s="650"/>
      <c r="K530" s="650"/>
      <c r="L530" s="650"/>
      <c r="M530" s="650"/>
      <c r="N530" s="650"/>
      <c r="O530" s="650"/>
      <c r="P530" s="650"/>
      <c r="Q530" s="650"/>
      <c r="R530" s="650"/>
      <c r="S530" s="650"/>
      <c r="T530" s="650"/>
      <c r="U530" s="650"/>
      <c r="V530" s="650"/>
      <c r="W530" s="650"/>
      <c r="X530" s="650"/>
      <c r="Y530" s="650"/>
      <c r="Z530" s="650"/>
      <c r="AA530" s="650"/>
      <c r="AB530" s="650"/>
      <c r="AC530" s="650"/>
      <c r="AD530" s="650"/>
      <c r="AE530" s="650"/>
      <c r="AF530" s="650"/>
      <c r="AG530" s="650"/>
      <c r="AH530" s="650"/>
      <c r="AI530" s="650"/>
      <c r="AJ530" s="650"/>
      <c r="AK530" s="650"/>
      <c r="AL530" s="650"/>
      <c r="AM530" s="650"/>
      <c r="AN530" s="650"/>
      <c r="AO530" s="650"/>
      <c r="AP530" s="650"/>
      <c r="AQ530" s="650"/>
      <c r="AR530" s="650"/>
      <c r="AS530" s="650"/>
      <c r="AT530" s="650"/>
      <c r="AU530" s="650"/>
      <c r="AV530" s="650"/>
      <c r="AW530" s="650"/>
      <c r="AX530" s="650"/>
      <c r="AY530" s="650"/>
    </row>
    <row r="531" ht="21.75" customHeight="1">
      <c r="A531" s="650"/>
      <c r="B531" s="650"/>
      <c r="C531" s="650"/>
      <c r="D531" s="650"/>
      <c r="E531" s="650"/>
      <c r="F531" s="650"/>
      <c r="G531" s="650"/>
      <c r="H531" s="650"/>
      <c r="I531" s="650"/>
      <c r="J531" s="650"/>
      <c r="K531" s="650"/>
      <c r="L531" s="650"/>
      <c r="M531" s="650"/>
      <c r="N531" s="650"/>
      <c r="O531" s="650"/>
      <c r="P531" s="650"/>
      <c r="Q531" s="650"/>
      <c r="R531" s="650"/>
      <c r="S531" s="650"/>
      <c r="T531" s="650"/>
      <c r="U531" s="650"/>
      <c r="V531" s="650"/>
      <c r="W531" s="650"/>
      <c r="X531" s="650"/>
      <c r="Y531" s="650"/>
      <c r="Z531" s="650"/>
      <c r="AA531" s="650"/>
      <c r="AB531" s="650"/>
      <c r="AC531" s="650"/>
      <c r="AD531" s="650"/>
      <c r="AE531" s="650"/>
      <c r="AF531" s="650"/>
      <c r="AG531" s="650"/>
      <c r="AH531" s="650"/>
      <c r="AI531" s="650"/>
      <c r="AJ531" s="650"/>
      <c r="AK531" s="650"/>
      <c r="AL531" s="650"/>
      <c r="AM531" s="650"/>
      <c r="AN531" s="650"/>
      <c r="AO531" s="650"/>
      <c r="AP531" s="650"/>
      <c r="AQ531" s="650"/>
      <c r="AR531" s="650"/>
      <c r="AS531" s="650"/>
      <c r="AT531" s="650"/>
      <c r="AU531" s="650"/>
      <c r="AV531" s="650"/>
      <c r="AW531" s="650"/>
      <c r="AX531" s="650"/>
      <c r="AY531" s="650"/>
    </row>
    <row r="532" ht="21.75" customHeight="1">
      <c r="A532" s="650"/>
      <c r="B532" s="650"/>
      <c r="C532" s="650"/>
      <c r="D532" s="650"/>
      <c r="E532" s="650"/>
      <c r="F532" s="650"/>
      <c r="G532" s="650"/>
      <c r="H532" s="650"/>
      <c r="I532" s="650"/>
      <c r="J532" s="650"/>
      <c r="K532" s="650"/>
      <c r="L532" s="650"/>
      <c r="M532" s="650"/>
      <c r="N532" s="650"/>
      <c r="O532" s="650"/>
      <c r="P532" s="650"/>
      <c r="Q532" s="650"/>
      <c r="R532" s="650"/>
      <c r="S532" s="650"/>
      <c r="T532" s="650"/>
      <c r="U532" s="650"/>
      <c r="V532" s="650"/>
      <c r="W532" s="650"/>
      <c r="X532" s="650"/>
      <c r="Y532" s="650"/>
      <c r="Z532" s="650"/>
      <c r="AA532" s="650"/>
      <c r="AB532" s="650"/>
      <c r="AC532" s="650"/>
      <c r="AD532" s="650"/>
      <c r="AE532" s="650"/>
      <c r="AF532" s="650"/>
      <c r="AG532" s="650"/>
      <c r="AH532" s="650"/>
      <c r="AI532" s="650"/>
      <c r="AJ532" s="650"/>
      <c r="AK532" s="650"/>
      <c r="AL532" s="650"/>
      <c r="AM532" s="650"/>
      <c r="AN532" s="650"/>
      <c r="AO532" s="650"/>
      <c r="AP532" s="650"/>
      <c r="AQ532" s="650"/>
      <c r="AR532" s="650"/>
      <c r="AS532" s="650"/>
      <c r="AT532" s="650"/>
      <c r="AU532" s="650"/>
      <c r="AV532" s="650"/>
      <c r="AW532" s="650"/>
      <c r="AX532" s="650"/>
      <c r="AY532" s="650"/>
    </row>
    <row r="533" ht="21.75" customHeight="1">
      <c r="A533" s="650"/>
      <c r="B533" s="650"/>
      <c r="C533" s="650"/>
      <c r="D533" s="650"/>
      <c r="E533" s="650"/>
      <c r="F533" s="650"/>
      <c r="G533" s="650"/>
      <c r="H533" s="650"/>
      <c r="I533" s="650"/>
      <c r="J533" s="650"/>
      <c r="K533" s="650"/>
      <c r="L533" s="650"/>
      <c r="M533" s="650"/>
      <c r="N533" s="650"/>
      <c r="O533" s="650"/>
      <c r="P533" s="650"/>
      <c r="Q533" s="650"/>
      <c r="R533" s="650"/>
      <c r="S533" s="650"/>
      <c r="T533" s="650"/>
      <c r="U533" s="650"/>
      <c r="V533" s="650"/>
      <c r="W533" s="650"/>
      <c r="X533" s="650"/>
      <c r="Y533" s="650"/>
      <c r="Z533" s="650"/>
      <c r="AA533" s="650"/>
      <c r="AB533" s="650"/>
      <c r="AC533" s="650"/>
      <c r="AD533" s="650"/>
      <c r="AE533" s="650"/>
      <c r="AF533" s="650"/>
      <c r="AG533" s="650"/>
      <c r="AH533" s="650"/>
      <c r="AI533" s="650"/>
      <c r="AJ533" s="650"/>
      <c r="AK533" s="650"/>
      <c r="AL533" s="650"/>
      <c r="AM533" s="650"/>
      <c r="AN533" s="650"/>
      <c r="AO533" s="650"/>
      <c r="AP533" s="650"/>
      <c r="AQ533" s="650"/>
      <c r="AR533" s="650"/>
      <c r="AS533" s="650"/>
      <c r="AT533" s="650"/>
      <c r="AU533" s="650"/>
      <c r="AV533" s="650"/>
      <c r="AW533" s="650"/>
      <c r="AX533" s="650"/>
      <c r="AY533" s="650"/>
    </row>
    <row r="534" ht="21.75" customHeight="1">
      <c r="A534" s="650"/>
      <c r="B534" s="650"/>
      <c r="C534" s="650"/>
      <c r="D534" s="650"/>
      <c r="E534" s="650"/>
      <c r="F534" s="650"/>
      <c r="G534" s="650"/>
      <c r="H534" s="650"/>
      <c r="I534" s="650"/>
      <c r="J534" s="650"/>
      <c r="K534" s="650"/>
      <c r="L534" s="650"/>
      <c r="M534" s="650"/>
      <c r="N534" s="650"/>
      <c r="O534" s="650"/>
      <c r="P534" s="650"/>
      <c r="Q534" s="650"/>
      <c r="R534" s="650"/>
      <c r="S534" s="650"/>
      <c r="T534" s="650"/>
      <c r="U534" s="650"/>
      <c r="V534" s="650"/>
      <c r="W534" s="650"/>
      <c r="X534" s="650"/>
      <c r="Y534" s="650"/>
      <c r="Z534" s="650"/>
      <c r="AA534" s="650"/>
      <c r="AB534" s="650"/>
      <c r="AC534" s="650"/>
      <c r="AD534" s="650"/>
      <c r="AE534" s="650"/>
      <c r="AF534" s="650"/>
      <c r="AG534" s="650"/>
      <c r="AH534" s="650"/>
      <c r="AI534" s="650"/>
      <c r="AJ534" s="650"/>
      <c r="AK534" s="650"/>
      <c r="AL534" s="650"/>
      <c r="AM534" s="650"/>
      <c r="AN534" s="650"/>
      <c r="AO534" s="650"/>
      <c r="AP534" s="650"/>
      <c r="AQ534" s="650"/>
      <c r="AR534" s="650"/>
      <c r="AS534" s="650"/>
      <c r="AT534" s="650"/>
      <c r="AU534" s="650"/>
      <c r="AV534" s="650"/>
      <c r="AW534" s="650"/>
      <c r="AX534" s="650"/>
      <c r="AY534" s="650"/>
    </row>
    <row r="535" ht="21.75" customHeight="1">
      <c r="A535" s="650"/>
      <c r="B535" s="650"/>
      <c r="C535" s="650"/>
      <c r="D535" s="650"/>
      <c r="E535" s="650"/>
      <c r="F535" s="650"/>
      <c r="G535" s="650"/>
      <c r="H535" s="650"/>
      <c r="I535" s="650"/>
      <c r="J535" s="650"/>
      <c r="K535" s="650"/>
      <c r="L535" s="650"/>
      <c r="M535" s="650"/>
      <c r="N535" s="650"/>
      <c r="O535" s="650"/>
      <c r="P535" s="650"/>
      <c r="Q535" s="650"/>
      <c r="R535" s="650"/>
      <c r="S535" s="650"/>
      <c r="T535" s="650"/>
      <c r="U535" s="650"/>
      <c r="V535" s="650"/>
      <c r="W535" s="650"/>
      <c r="X535" s="650"/>
      <c r="Y535" s="650"/>
      <c r="Z535" s="650"/>
      <c r="AA535" s="650"/>
      <c r="AB535" s="650"/>
      <c r="AC535" s="650"/>
      <c r="AD535" s="650"/>
      <c r="AE535" s="650"/>
      <c r="AF535" s="650"/>
      <c r="AG535" s="650"/>
      <c r="AH535" s="650"/>
      <c r="AI535" s="650"/>
      <c r="AJ535" s="650"/>
      <c r="AK535" s="650"/>
      <c r="AL535" s="650"/>
      <c r="AM535" s="650"/>
      <c r="AN535" s="650"/>
      <c r="AO535" s="650"/>
      <c r="AP535" s="650"/>
      <c r="AQ535" s="650"/>
      <c r="AR535" s="650"/>
      <c r="AS535" s="650"/>
      <c r="AT535" s="650"/>
      <c r="AU535" s="650"/>
      <c r="AV535" s="650"/>
      <c r="AW535" s="650"/>
      <c r="AX535" s="650"/>
      <c r="AY535" s="650"/>
    </row>
    <row r="536" ht="21.75" customHeight="1">
      <c r="A536" s="650"/>
      <c r="B536" s="650"/>
      <c r="C536" s="650"/>
      <c r="D536" s="650"/>
      <c r="E536" s="650"/>
      <c r="F536" s="650"/>
      <c r="G536" s="650"/>
      <c r="H536" s="650"/>
      <c r="I536" s="650"/>
      <c r="J536" s="650"/>
      <c r="K536" s="650"/>
      <c r="L536" s="650"/>
      <c r="M536" s="650"/>
      <c r="N536" s="650"/>
      <c r="O536" s="650"/>
      <c r="P536" s="650"/>
      <c r="Q536" s="650"/>
      <c r="R536" s="650"/>
      <c r="S536" s="650"/>
      <c r="T536" s="650"/>
      <c r="U536" s="650"/>
      <c r="V536" s="650"/>
      <c r="W536" s="650"/>
      <c r="X536" s="650"/>
      <c r="Y536" s="650"/>
      <c r="Z536" s="650"/>
      <c r="AA536" s="650"/>
      <c r="AB536" s="650"/>
      <c r="AC536" s="650"/>
      <c r="AD536" s="650"/>
      <c r="AE536" s="650"/>
      <c r="AF536" s="650"/>
      <c r="AG536" s="650"/>
      <c r="AH536" s="650"/>
      <c r="AI536" s="650"/>
      <c r="AJ536" s="650"/>
      <c r="AK536" s="650"/>
      <c r="AL536" s="650"/>
      <c r="AM536" s="650"/>
      <c r="AN536" s="650"/>
      <c r="AO536" s="650"/>
      <c r="AP536" s="650"/>
      <c r="AQ536" s="650"/>
      <c r="AR536" s="650"/>
      <c r="AS536" s="650"/>
      <c r="AT536" s="650"/>
      <c r="AU536" s="650"/>
      <c r="AV536" s="650"/>
      <c r="AW536" s="650"/>
      <c r="AX536" s="650"/>
      <c r="AY536" s="650"/>
    </row>
    <row r="537" ht="21.75" customHeight="1">
      <c r="A537" s="650"/>
      <c r="B537" s="650"/>
      <c r="C537" s="650"/>
      <c r="D537" s="650"/>
      <c r="E537" s="650"/>
      <c r="F537" s="650"/>
      <c r="G537" s="650"/>
      <c r="H537" s="650"/>
      <c r="I537" s="650"/>
      <c r="J537" s="650"/>
      <c r="K537" s="650"/>
      <c r="L537" s="650"/>
      <c r="M537" s="650"/>
      <c r="N537" s="650"/>
      <c r="O537" s="650"/>
      <c r="P537" s="650"/>
      <c r="Q537" s="650"/>
      <c r="R537" s="650"/>
      <c r="S537" s="650"/>
      <c r="T537" s="650"/>
      <c r="U537" s="650"/>
      <c r="V537" s="650"/>
      <c r="W537" s="650"/>
      <c r="X537" s="650"/>
      <c r="Y537" s="650"/>
      <c r="Z537" s="650"/>
      <c r="AA537" s="650"/>
      <c r="AB537" s="650"/>
      <c r="AC537" s="650"/>
      <c r="AD537" s="650"/>
      <c r="AE537" s="650"/>
      <c r="AF537" s="650"/>
      <c r="AG537" s="650"/>
      <c r="AH537" s="650"/>
      <c r="AI537" s="650"/>
      <c r="AJ537" s="650"/>
      <c r="AK537" s="650"/>
      <c r="AL537" s="650"/>
      <c r="AM537" s="650"/>
      <c r="AN537" s="650"/>
      <c r="AO537" s="650"/>
      <c r="AP537" s="650"/>
      <c r="AQ537" s="650"/>
      <c r="AR537" s="650"/>
      <c r="AS537" s="650"/>
      <c r="AT537" s="650"/>
      <c r="AU537" s="650"/>
      <c r="AV537" s="650"/>
      <c r="AW537" s="650"/>
      <c r="AX537" s="650"/>
      <c r="AY537" s="650"/>
    </row>
    <row r="538" ht="21.75" customHeight="1">
      <c r="A538" s="650"/>
      <c r="B538" s="650"/>
      <c r="C538" s="650"/>
      <c r="D538" s="650"/>
      <c r="E538" s="650"/>
      <c r="F538" s="650"/>
      <c r="G538" s="650"/>
      <c r="H538" s="650"/>
      <c r="I538" s="650"/>
      <c r="J538" s="650"/>
      <c r="K538" s="650"/>
      <c r="L538" s="650"/>
      <c r="M538" s="650"/>
      <c r="N538" s="650"/>
      <c r="O538" s="650"/>
      <c r="P538" s="650"/>
      <c r="Q538" s="650"/>
      <c r="R538" s="650"/>
      <c r="S538" s="650"/>
      <c r="T538" s="650"/>
      <c r="U538" s="650"/>
      <c r="V538" s="650"/>
      <c r="W538" s="650"/>
      <c r="X538" s="650"/>
      <c r="Y538" s="650"/>
      <c r="Z538" s="650"/>
      <c r="AA538" s="650"/>
      <c r="AB538" s="650"/>
      <c r="AC538" s="650"/>
      <c r="AD538" s="650"/>
      <c r="AE538" s="650"/>
      <c r="AF538" s="650"/>
      <c r="AG538" s="650"/>
      <c r="AH538" s="650"/>
      <c r="AI538" s="650"/>
      <c r="AJ538" s="650"/>
      <c r="AK538" s="650"/>
      <c r="AL538" s="650"/>
      <c r="AM538" s="650"/>
      <c r="AN538" s="650"/>
      <c r="AO538" s="650"/>
      <c r="AP538" s="650"/>
      <c r="AQ538" s="650"/>
      <c r="AR538" s="650"/>
      <c r="AS538" s="650"/>
      <c r="AT538" s="650"/>
      <c r="AU538" s="650"/>
      <c r="AV538" s="650"/>
      <c r="AW538" s="650"/>
      <c r="AX538" s="650"/>
      <c r="AY538" s="650"/>
    </row>
    <row r="539" ht="21.75" customHeight="1">
      <c r="A539" s="650"/>
      <c r="B539" s="650"/>
      <c r="C539" s="650"/>
      <c r="D539" s="650"/>
      <c r="E539" s="650"/>
      <c r="F539" s="650"/>
      <c r="G539" s="650"/>
      <c r="H539" s="650"/>
      <c r="I539" s="650"/>
      <c r="J539" s="650"/>
      <c r="K539" s="650"/>
      <c r="L539" s="650"/>
      <c r="M539" s="650"/>
      <c r="N539" s="650"/>
      <c r="O539" s="650"/>
      <c r="P539" s="650"/>
      <c r="Q539" s="650"/>
      <c r="R539" s="650"/>
      <c r="S539" s="650"/>
      <c r="T539" s="650"/>
      <c r="U539" s="650"/>
      <c r="V539" s="650"/>
      <c r="W539" s="650"/>
      <c r="X539" s="650"/>
      <c r="Y539" s="650"/>
      <c r="Z539" s="650"/>
      <c r="AA539" s="650"/>
      <c r="AB539" s="650"/>
      <c r="AC539" s="650"/>
      <c r="AD539" s="650"/>
      <c r="AE539" s="650"/>
      <c r="AF539" s="650"/>
      <c r="AG539" s="650"/>
      <c r="AH539" s="650"/>
      <c r="AI539" s="650"/>
      <c r="AJ539" s="650"/>
      <c r="AK539" s="650"/>
      <c r="AL539" s="650"/>
      <c r="AM539" s="650"/>
      <c r="AN539" s="650"/>
      <c r="AO539" s="650"/>
      <c r="AP539" s="650"/>
      <c r="AQ539" s="650"/>
      <c r="AR539" s="650"/>
      <c r="AS539" s="650"/>
      <c r="AT539" s="650"/>
      <c r="AU539" s="650"/>
      <c r="AV539" s="650"/>
      <c r="AW539" s="650"/>
      <c r="AX539" s="650"/>
      <c r="AY539" s="650"/>
    </row>
    <row r="540" ht="21.75" customHeight="1">
      <c r="A540" s="650"/>
      <c r="B540" s="650"/>
      <c r="C540" s="650"/>
      <c r="D540" s="650"/>
      <c r="E540" s="650"/>
      <c r="F540" s="650"/>
      <c r="G540" s="650"/>
      <c r="H540" s="650"/>
      <c r="I540" s="650"/>
      <c r="J540" s="650"/>
      <c r="K540" s="650"/>
      <c r="L540" s="650"/>
      <c r="M540" s="650"/>
      <c r="N540" s="650"/>
      <c r="O540" s="650"/>
      <c r="P540" s="650"/>
      <c r="Q540" s="650"/>
      <c r="R540" s="650"/>
      <c r="S540" s="650"/>
      <c r="T540" s="650"/>
      <c r="U540" s="650"/>
      <c r="V540" s="650"/>
      <c r="W540" s="650"/>
      <c r="X540" s="650"/>
      <c r="Y540" s="650"/>
      <c r="Z540" s="650"/>
      <c r="AA540" s="650"/>
      <c r="AB540" s="650"/>
      <c r="AC540" s="650"/>
      <c r="AD540" s="650"/>
      <c r="AE540" s="650"/>
      <c r="AF540" s="650"/>
      <c r="AG540" s="650"/>
      <c r="AH540" s="650"/>
      <c r="AI540" s="650"/>
      <c r="AJ540" s="650"/>
      <c r="AK540" s="650"/>
      <c r="AL540" s="650"/>
      <c r="AM540" s="650"/>
      <c r="AN540" s="650"/>
      <c r="AO540" s="650"/>
      <c r="AP540" s="650"/>
      <c r="AQ540" s="650"/>
      <c r="AR540" s="650"/>
      <c r="AS540" s="650"/>
      <c r="AT540" s="650"/>
      <c r="AU540" s="650"/>
      <c r="AV540" s="650"/>
      <c r="AW540" s="650"/>
      <c r="AX540" s="650"/>
      <c r="AY540" s="650"/>
    </row>
    <row r="541" ht="21.75" customHeight="1">
      <c r="A541" s="650"/>
      <c r="B541" s="650"/>
      <c r="C541" s="650"/>
      <c r="D541" s="650"/>
      <c r="E541" s="650"/>
      <c r="F541" s="650"/>
      <c r="G541" s="650"/>
      <c r="H541" s="650"/>
      <c r="I541" s="650"/>
      <c r="J541" s="650"/>
      <c r="K541" s="650"/>
      <c r="L541" s="650"/>
      <c r="M541" s="650"/>
      <c r="N541" s="650"/>
      <c r="O541" s="650"/>
      <c r="P541" s="650"/>
      <c r="Q541" s="650"/>
      <c r="R541" s="650"/>
      <c r="S541" s="650"/>
      <c r="T541" s="650"/>
      <c r="U541" s="650"/>
      <c r="V541" s="650"/>
      <c r="W541" s="650"/>
      <c r="X541" s="650"/>
      <c r="Y541" s="650"/>
      <c r="Z541" s="650"/>
      <c r="AA541" s="650"/>
      <c r="AB541" s="650"/>
      <c r="AC541" s="650"/>
      <c r="AD541" s="650"/>
      <c r="AE541" s="650"/>
      <c r="AF541" s="650"/>
      <c r="AG541" s="650"/>
      <c r="AH541" s="650"/>
      <c r="AI541" s="650"/>
      <c r="AJ541" s="650"/>
      <c r="AK541" s="650"/>
      <c r="AL541" s="650"/>
      <c r="AM541" s="650"/>
      <c r="AN541" s="650"/>
      <c r="AO541" s="650"/>
      <c r="AP541" s="650"/>
      <c r="AQ541" s="650"/>
      <c r="AR541" s="650"/>
      <c r="AS541" s="650"/>
      <c r="AT541" s="650"/>
      <c r="AU541" s="650"/>
      <c r="AV541" s="650"/>
      <c r="AW541" s="650"/>
      <c r="AX541" s="650"/>
      <c r="AY541" s="650"/>
    </row>
    <row r="542" ht="21.75" customHeight="1">
      <c r="A542" s="650"/>
      <c r="B542" s="650"/>
      <c r="C542" s="650"/>
      <c r="D542" s="650"/>
      <c r="E542" s="650"/>
      <c r="F542" s="650"/>
      <c r="G542" s="650"/>
      <c r="H542" s="650"/>
      <c r="I542" s="650"/>
      <c r="J542" s="650"/>
      <c r="K542" s="650"/>
      <c r="L542" s="650"/>
      <c r="M542" s="650"/>
      <c r="N542" s="650"/>
      <c r="O542" s="650"/>
      <c r="P542" s="650"/>
      <c r="Q542" s="650"/>
      <c r="R542" s="650"/>
      <c r="S542" s="650"/>
      <c r="T542" s="650"/>
      <c r="U542" s="650"/>
      <c r="V542" s="650"/>
      <c r="W542" s="650"/>
      <c r="X542" s="650"/>
      <c r="Y542" s="650"/>
      <c r="Z542" s="650"/>
      <c r="AA542" s="650"/>
      <c r="AB542" s="650"/>
      <c r="AC542" s="650"/>
      <c r="AD542" s="650"/>
      <c r="AE542" s="650"/>
      <c r="AF542" s="650"/>
      <c r="AG542" s="650"/>
      <c r="AH542" s="650"/>
      <c r="AI542" s="650"/>
      <c r="AJ542" s="650"/>
      <c r="AK542" s="650"/>
      <c r="AL542" s="650"/>
      <c r="AM542" s="650"/>
      <c r="AN542" s="650"/>
      <c r="AO542" s="650"/>
      <c r="AP542" s="650"/>
      <c r="AQ542" s="650"/>
      <c r="AR542" s="650"/>
      <c r="AS542" s="650"/>
      <c r="AT542" s="650"/>
      <c r="AU542" s="650"/>
      <c r="AV542" s="650"/>
      <c r="AW542" s="650"/>
      <c r="AX542" s="650"/>
      <c r="AY542" s="650"/>
    </row>
    <row r="543" ht="21.75" customHeight="1">
      <c r="A543" s="650"/>
      <c r="B543" s="650"/>
      <c r="C543" s="650"/>
      <c r="D543" s="650"/>
      <c r="E543" s="650"/>
      <c r="F543" s="650"/>
      <c r="G543" s="650"/>
      <c r="H543" s="650"/>
      <c r="I543" s="650"/>
      <c r="J543" s="650"/>
      <c r="K543" s="650"/>
      <c r="L543" s="650"/>
      <c r="M543" s="650"/>
      <c r="N543" s="650"/>
      <c r="O543" s="650"/>
      <c r="P543" s="650"/>
      <c r="Q543" s="650"/>
      <c r="R543" s="650"/>
      <c r="S543" s="650"/>
      <c r="T543" s="650"/>
      <c r="U543" s="650"/>
      <c r="V543" s="650"/>
      <c r="W543" s="650"/>
      <c r="X543" s="650"/>
      <c r="Y543" s="650"/>
      <c r="Z543" s="650"/>
      <c r="AA543" s="650"/>
      <c r="AB543" s="650"/>
      <c r="AC543" s="650"/>
      <c r="AD543" s="650"/>
      <c r="AE543" s="650"/>
      <c r="AF543" s="650"/>
      <c r="AG543" s="650"/>
      <c r="AH543" s="650"/>
      <c r="AI543" s="650"/>
      <c r="AJ543" s="650"/>
      <c r="AK543" s="650"/>
      <c r="AL543" s="650"/>
      <c r="AM543" s="650"/>
      <c r="AN543" s="650"/>
      <c r="AO543" s="650"/>
      <c r="AP543" s="650"/>
      <c r="AQ543" s="650"/>
      <c r="AR543" s="650"/>
      <c r="AS543" s="650"/>
      <c r="AT543" s="650"/>
      <c r="AU543" s="650"/>
      <c r="AV543" s="650"/>
      <c r="AW543" s="650"/>
      <c r="AX543" s="650"/>
      <c r="AY543" s="650"/>
    </row>
    <row r="544" ht="21.75" customHeight="1">
      <c r="A544" s="650"/>
      <c r="B544" s="650"/>
      <c r="C544" s="650"/>
      <c r="D544" s="650"/>
      <c r="E544" s="650"/>
      <c r="F544" s="650"/>
      <c r="G544" s="650"/>
      <c r="H544" s="650"/>
      <c r="I544" s="650"/>
      <c r="J544" s="650"/>
      <c r="K544" s="650"/>
      <c r="L544" s="650"/>
      <c r="M544" s="650"/>
      <c r="N544" s="650"/>
      <c r="O544" s="650"/>
      <c r="P544" s="650"/>
      <c r="Q544" s="650"/>
      <c r="R544" s="650"/>
      <c r="S544" s="650"/>
      <c r="T544" s="650"/>
      <c r="U544" s="650"/>
      <c r="V544" s="650"/>
      <c r="W544" s="650"/>
      <c r="X544" s="650"/>
      <c r="Y544" s="650"/>
      <c r="Z544" s="650"/>
      <c r="AA544" s="650"/>
      <c r="AB544" s="650"/>
      <c r="AC544" s="650"/>
      <c r="AD544" s="650"/>
      <c r="AE544" s="650"/>
      <c r="AF544" s="650"/>
      <c r="AG544" s="650"/>
      <c r="AH544" s="650"/>
      <c r="AI544" s="650"/>
      <c r="AJ544" s="650"/>
      <c r="AK544" s="650"/>
      <c r="AL544" s="650"/>
      <c r="AM544" s="650"/>
      <c r="AN544" s="650"/>
      <c r="AO544" s="650"/>
      <c r="AP544" s="650"/>
      <c r="AQ544" s="650"/>
      <c r="AR544" s="650"/>
      <c r="AS544" s="650"/>
      <c r="AT544" s="650"/>
      <c r="AU544" s="650"/>
      <c r="AV544" s="650"/>
      <c r="AW544" s="650"/>
      <c r="AX544" s="650"/>
      <c r="AY544" s="650"/>
    </row>
    <row r="545" ht="21.75" customHeight="1">
      <c r="A545" s="650"/>
      <c r="B545" s="650"/>
      <c r="C545" s="650"/>
      <c r="D545" s="650"/>
      <c r="E545" s="650"/>
      <c r="F545" s="650"/>
      <c r="G545" s="650"/>
      <c r="H545" s="650"/>
      <c r="I545" s="650"/>
      <c r="J545" s="650"/>
      <c r="K545" s="650"/>
      <c r="L545" s="650"/>
      <c r="M545" s="650"/>
      <c r="N545" s="650"/>
      <c r="O545" s="650"/>
      <c r="P545" s="650"/>
      <c r="Q545" s="650"/>
      <c r="R545" s="650"/>
      <c r="S545" s="650"/>
      <c r="T545" s="650"/>
      <c r="U545" s="650"/>
      <c r="V545" s="650"/>
      <c r="W545" s="650"/>
      <c r="X545" s="650"/>
      <c r="Y545" s="650"/>
      <c r="Z545" s="650"/>
      <c r="AA545" s="650"/>
      <c r="AB545" s="650"/>
      <c r="AC545" s="650"/>
      <c r="AD545" s="650"/>
      <c r="AE545" s="650"/>
      <c r="AF545" s="650"/>
      <c r="AG545" s="650"/>
      <c r="AH545" s="650"/>
      <c r="AI545" s="650"/>
      <c r="AJ545" s="650"/>
      <c r="AK545" s="650"/>
      <c r="AL545" s="650"/>
      <c r="AM545" s="650"/>
      <c r="AN545" s="650"/>
      <c r="AO545" s="650"/>
      <c r="AP545" s="650"/>
      <c r="AQ545" s="650"/>
      <c r="AR545" s="650"/>
      <c r="AS545" s="650"/>
      <c r="AT545" s="650"/>
      <c r="AU545" s="650"/>
      <c r="AV545" s="650"/>
      <c r="AW545" s="650"/>
      <c r="AX545" s="650"/>
      <c r="AY545" s="650"/>
    </row>
    <row r="546" ht="21.75" customHeight="1">
      <c r="A546" s="650"/>
      <c r="B546" s="650"/>
      <c r="C546" s="650"/>
      <c r="D546" s="650"/>
      <c r="E546" s="650"/>
      <c r="F546" s="650"/>
      <c r="G546" s="650"/>
      <c r="H546" s="650"/>
      <c r="I546" s="650"/>
      <c r="J546" s="650"/>
      <c r="K546" s="650"/>
      <c r="L546" s="650"/>
      <c r="M546" s="650"/>
      <c r="N546" s="650"/>
      <c r="O546" s="650"/>
      <c r="P546" s="650"/>
      <c r="Q546" s="650"/>
      <c r="R546" s="650"/>
      <c r="S546" s="650"/>
      <c r="T546" s="650"/>
      <c r="U546" s="650"/>
      <c r="V546" s="650"/>
      <c r="W546" s="650"/>
      <c r="X546" s="650"/>
      <c r="Y546" s="650"/>
      <c r="Z546" s="650"/>
      <c r="AA546" s="650"/>
      <c r="AB546" s="650"/>
      <c r="AC546" s="650"/>
      <c r="AD546" s="650"/>
      <c r="AE546" s="650"/>
      <c r="AF546" s="650"/>
      <c r="AG546" s="650"/>
      <c r="AH546" s="650"/>
      <c r="AI546" s="650"/>
      <c r="AJ546" s="650"/>
      <c r="AK546" s="650"/>
      <c r="AL546" s="650"/>
      <c r="AM546" s="650"/>
      <c r="AN546" s="650"/>
      <c r="AO546" s="650"/>
      <c r="AP546" s="650"/>
      <c r="AQ546" s="650"/>
      <c r="AR546" s="650"/>
      <c r="AS546" s="650"/>
      <c r="AT546" s="650"/>
      <c r="AU546" s="650"/>
      <c r="AV546" s="650"/>
      <c r="AW546" s="650"/>
      <c r="AX546" s="650"/>
      <c r="AY546" s="650"/>
    </row>
    <row r="547" ht="21.75" customHeight="1">
      <c r="A547" s="650"/>
      <c r="B547" s="650"/>
      <c r="C547" s="650"/>
      <c r="D547" s="650"/>
      <c r="E547" s="650"/>
      <c r="F547" s="650"/>
      <c r="G547" s="650"/>
      <c r="H547" s="650"/>
      <c r="I547" s="650"/>
      <c r="J547" s="650"/>
      <c r="K547" s="650"/>
      <c r="L547" s="650"/>
      <c r="M547" s="650"/>
      <c r="N547" s="650"/>
      <c r="O547" s="650"/>
      <c r="P547" s="650"/>
      <c r="Q547" s="650"/>
      <c r="R547" s="650"/>
      <c r="S547" s="650"/>
      <c r="T547" s="650"/>
      <c r="U547" s="650"/>
      <c r="V547" s="650"/>
      <c r="W547" s="650"/>
      <c r="X547" s="650"/>
      <c r="Y547" s="650"/>
      <c r="Z547" s="650"/>
      <c r="AA547" s="650"/>
      <c r="AB547" s="650"/>
      <c r="AC547" s="650"/>
      <c r="AD547" s="650"/>
      <c r="AE547" s="650"/>
      <c r="AF547" s="650"/>
      <c r="AG547" s="650"/>
      <c r="AH547" s="650"/>
      <c r="AI547" s="650"/>
      <c r="AJ547" s="650"/>
      <c r="AK547" s="650"/>
      <c r="AL547" s="650"/>
      <c r="AM547" s="650"/>
      <c r="AN547" s="650"/>
      <c r="AO547" s="650"/>
      <c r="AP547" s="650"/>
      <c r="AQ547" s="650"/>
      <c r="AR547" s="650"/>
      <c r="AS547" s="650"/>
      <c r="AT547" s="650"/>
      <c r="AU547" s="650"/>
      <c r="AV547" s="650"/>
      <c r="AW547" s="650"/>
      <c r="AX547" s="650"/>
      <c r="AY547" s="650"/>
    </row>
    <row r="548" ht="21.75" customHeight="1">
      <c r="A548" s="650"/>
      <c r="B548" s="650"/>
      <c r="C548" s="650"/>
      <c r="D548" s="650"/>
      <c r="E548" s="650"/>
      <c r="F548" s="650"/>
      <c r="G548" s="650"/>
      <c r="H548" s="650"/>
      <c r="I548" s="650"/>
      <c r="J548" s="650"/>
      <c r="K548" s="650"/>
      <c r="L548" s="650"/>
      <c r="M548" s="650"/>
      <c r="N548" s="650"/>
      <c r="O548" s="650"/>
      <c r="P548" s="650"/>
      <c r="Q548" s="650"/>
      <c r="R548" s="650"/>
      <c r="S548" s="650"/>
      <c r="T548" s="650"/>
      <c r="U548" s="650"/>
      <c r="V548" s="650"/>
      <c r="W548" s="650"/>
      <c r="X548" s="650"/>
      <c r="Y548" s="650"/>
      <c r="Z548" s="650"/>
      <c r="AA548" s="650"/>
      <c r="AB548" s="650"/>
      <c r="AC548" s="650"/>
      <c r="AD548" s="650"/>
      <c r="AE548" s="650"/>
      <c r="AF548" s="650"/>
      <c r="AG548" s="650"/>
      <c r="AH548" s="650"/>
      <c r="AI548" s="650"/>
      <c r="AJ548" s="650"/>
      <c r="AK548" s="650"/>
      <c r="AL548" s="650"/>
      <c r="AM548" s="650"/>
      <c r="AN548" s="650"/>
      <c r="AO548" s="650"/>
      <c r="AP548" s="650"/>
      <c r="AQ548" s="650"/>
      <c r="AR548" s="650"/>
      <c r="AS548" s="650"/>
      <c r="AT548" s="650"/>
      <c r="AU548" s="650"/>
      <c r="AV548" s="650"/>
      <c r="AW548" s="650"/>
      <c r="AX548" s="650"/>
      <c r="AY548" s="650"/>
    </row>
    <row r="549" ht="21.75" customHeight="1">
      <c r="A549" s="650"/>
      <c r="B549" s="650"/>
      <c r="C549" s="650"/>
      <c r="D549" s="650"/>
      <c r="E549" s="650"/>
      <c r="F549" s="650"/>
      <c r="G549" s="650"/>
      <c r="H549" s="650"/>
      <c r="I549" s="650"/>
      <c r="J549" s="650"/>
      <c r="K549" s="650"/>
      <c r="L549" s="650"/>
      <c r="M549" s="650"/>
      <c r="N549" s="650"/>
      <c r="O549" s="650"/>
      <c r="P549" s="650"/>
      <c r="Q549" s="650"/>
      <c r="R549" s="650"/>
      <c r="S549" s="650"/>
      <c r="T549" s="650"/>
      <c r="U549" s="650"/>
      <c r="V549" s="650"/>
      <c r="W549" s="650"/>
      <c r="X549" s="650"/>
      <c r="Y549" s="650"/>
      <c r="Z549" s="650"/>
      <c r="AA549" s="650"/>
      <c r="AB549" s="650"/>
      <c r="AC549" s="650"/>
      <c r="AD549" s="650"/>
      <c r="AE549" s="650"/>
      <c r="AF549" s="650"/>
      <c r="AG549" s="650"/>
      <c r="AH549" s="650"/>
      <c r="AI549" s="650"/>
      <c r="AJ549" s="650"/>
      <c r="AK549" s="650"/>
      <c r="AL549" s="650"/>
      <c r="AM549" s="650"/>
      <c r="AN549" s="650"/>
      <c r="AO549" s="650"/>
      <c r="AP549" s="650"/>
      <c r="AQ549" s="650"/>
      <c r="AR549" s="650"/>
      <c r="AS549" s="650"/>
      <c r="AT549" s="650"/>
      <c r="AU549" s="650"/>
      <c r="AV549" s="650"/>
      <c r="AW549" s="650"/>
      <c r="AX549" s="650"/>
      <c r="AY549" s="650"/>
    </row>
    <row r="550" ht="21.75" customHeight="1">
      <c r="A550" s="650"/>
      <c r="B550" s="650"/>
      <c r="C550" s="650"/>
      <c r="D550" s="650"/>
      <c r="E550" s="650"/>
      <c r="F550" s="650"/>
      <c r="G550" s="650"/>
      <c r="H550" s="650"/>
      <c r="I550" s="650"/>
      <c r="J550" s="650"/>
      <c r="K550" s="650"/>
      <c r="L550" s="650"/>
      <c r="M550" s="650"/>
      <c r="N550" s="650"/>
      <c r="O550" s="650"/>
      <c r="P550" s="650"/>
      <c r="Q550" s="650"/>
      <c r="R550" s="650"/>
      <c r="S550" s="650"/>
      <c r="T550" s="650"/>
      <c r="U550" s="650"/>
      <c r="V550" s="650"/>
      <c r="W550" s="650"/>
      <c r="X550" s="650"/>
      <c r="Y550" s="650"/>
      <c r="Z550" s="650"/>
      <c r="AA550" s="650"/>
      <c r="AB550" s="650"/>
      <c r="AC550" s="650"/>
      <c r="AD550" s="650"/>
      <c r="AE550" s="650"/>
      <c r="AF550" s="650"/>
      <c r="AG550" s="650"/>
      <c r="AH550" s="650"/>
      <c r="AI550" s="650"/>
      <c r="AJ550" s="650"/>
      <c r="AK550" s="650"/>
      <c r="AL550" s="650"/>
      <c r="AM550" s="650"/>
      <c r="AN550" s="650"/>
      <c r="AO550" s="650"/>
      <c r="AP550" s="650"/>
      <c r="AQ550" s="650"/>
      <c r="AR550" s="650"/>
      <c r="AS550" s="650"/>
      <c r="AT550" s="650"/>
      <c r="AU550" s="650"/>
      <c r="AV550" s="650"/>
      <c r="AW550" s="650"/>
      <c r="AX550" s="650"/>
      <c r="AY550" s="650"/>
    </row>
    <row r="551" ht="21.75" customHeight="1">
      <c r="A551" s="650"/>
      <c r="B551" s="650"/>
      <c r="C551" s="650"/>
      <c r="D551" s="650"/>
      <c r="E551" s="650"/>
      <c r="F551" s="650"/>
      <c r="G551" s="650"/>
      <c r="H551" s="650"/>
      <c r="I551" s="650"/>
      <c r="J551" s="650"/>
      <c r="K551" s="650"/>
      <c r="L551" s="650"/>
      <c r="M551" s="650"/>
      <c r="N551" s="650"/>
      <c r="O551" s="650"/>
      <c r="P551" s="650"/>
      <c r="Q551" s="650"/>
      <c r="R551" s="650"/>
      <c r="S551" s="650"/>
      <c r="T551" s="650"/>
      <c r="U551" s="650"/>
      <c r="V551" s="650"/>
      <c r="W551" s="650"/>
      <c r="X551" s="650"/>
      <c r="Y551" s="650"/>
      <c r="Z551" s="650"/>
      <c r="AA551" s="650"/>
      <c r="AB551" s="650"/>
      <c r="AC551" s="650"/>
      <c r="AD551" s="650"/>
      <c r="AE551" s="650"/>
      <c r="AF551" s="650"/>
      <c r="AG551" s="650"/>
      <c r="AH551" s="650"/>
      <c r="AI551" s="650"/>
      <c r="AJ551" s="650"/>
      <c r="AK551" s="650"/>
      <c r="AL551" s="650"/>
      <c r="AM551" s="650"/>
      <c r="AN551" s="650"/>
      <c r="AO551" s="650"/>
      <c r="AP551" s="650"/>
      <c r="AQ551" s="650"/>
      <c r="AR551" s="650"/>
      <c r="AS551" s="650"/>
      <c r="AT551" s="650"/>
      <c r="AU551" s="650"/>
      <c r="AV551" s="650"/>
      <c r="AW551" s="650"/>
      <c r="AX551" s="650"/>
      <c r="AY551" s="650"/>
    </row>
    <row r="552" ht="21.75" customHeight="1">
      <c r="A552" s="650"/>
      <c r="B552" s="650"/>
      <c r="C552" s="650"/>
      <c r="D552" s="650"/>
      <c r="E552" s="650"/>
      <c r="F552" s="650"/>
      <c r="G552" s="650"/>
      <c r="H552" s="650"/>
      <c r="I552" s="650"/>
      <c r="J552" s="650"/>
      <c r="K552" s="650"/>
      <c r="L552" s="650"/>
      <c r="M552" s="650"/>
      <c r="N552" s="650"/>
      <c r="O552" s="650"/>
      <c r="P552" s="650"/>
      <c r="Q552" s="650"/>
      <c r="R552" s="650"/>
      <c r="S552" s="650"/>
      <c r="T552" s="650"/>
      <c r="U552" s="650"/>
      <c r="V552" s="650"/>
      <c r="W552" s="650"/>
      <c r="X552" s="650"/>
      <c r="Y552" s="650"/>
      <c r="Z552" s="650"/>
      <c r="AA552" s="650"/>
      <c r="AB552" s="650"/>
      <c r="AC552" s="650"/>
      <c r="AD552" s="650"/>
      <c r="AE552" s="650"/>
      <c r="AF552" s="650"/>
      <c r="AG552" s="650"/>
      <c r="AH552" s="650"/>
      <c r="AI552" s="650"/>
      <c r="AJ552" s="650"/>
      <c r="AK552" s="650"/>
      <c r="AL552" s="650"/>
      <c r="AM552" s="650"/>
      <c r="AN552" s="650"/>
      <c r="AO552" s="650"/>
      <c r="AP552" s="650"/>
      <c r="AQ552" s="650"/>
      <c r="AR552" s="650"/>
      <c r="AS552" s="650"/>
      <c r="AT552" s="650"/>
      <c r="AU552" s="650"/>
      <c r="AV552" s="650"/>
      <c r="AW552" s="650"/>
      <c r="AX552" s="650"/>
      <c r="AY552" s="650"/>
    </row>
    <row r="553" ht="21.75" customHeight="1">
      <c r="A553" s="650"/>
      <c r="B553" s="650"/>
      <c r="C553" s="650"/>
      <c r="D553" s="650"/>
      <c r="E553" s="650"/>
      <c r="F553" s="650"/>
      <c r="G553" s="650"/>
      <c r="H553" s="650"/>
      <c r="I553" s="650"/>
      <c r="J553" s="650"/>
      <c r="K553" s="650"/>
      <c r="L553" s="650"/>
      <c r="M553" s="650"/>
      <c r="N553" s="650"/>
      <c r="O553" s="650"/>
      <c r="P553" s="650"/>
      <c r="Q553" s="650"/>
      <c r="R553" s="650"/>
      <c r="S553" s="650"/>
      <c r="T553" s="650"/>
      <c r="U553" s="650"/>
      <c r="V553" s="650"/>
      <c r="W553" s="650"/>
      <c r="X553" s="650"/>
      <c r="Y553" s="650"/>
      <c r="Z553" s="650"/>
      <c r="AA553" s="650"/>
      <c r="AB553" s="650"/>
      <c r="AC553" s="650"/>
      <c r="AD553" s="650"/>
      <c r="AE553" s="650"/>
      <c r="AF553" s="650"/>
      <c r="AG553" s="650"/>
      <c r="AH553" s="650"/>
      <c r="AI553" s="650"/>
      <c r="AJ553" s="650"/>
      <c r="AK553" s="650"/>
      <c r="AL553" s="650"/>
      <c r="AM553" s="650"/>
      <c r="AN553" s="650"/>
      <c r="AO553" s="650"/>
      <c r="AP553" s="650"/>
      <c r="AQ553" s="650"/>
      <c r="AR553" s="650"/>
      <c r="AS553" s="650"/>
      <c r="AT553" s="650"/>
      <c r="AU553" s="650"/>
      <c r="AV553" s="650"/>
      <c r="AW553" s="650"/>
      <c r="AX553" s="650"/>
      <c r="AY553" s="650"/>
    </row>
    <row r="554" ht="21.75" customHeight="1">
      <c r="A554" s="650"/>
      <c r="B554" s="650"/>
      <c r="C554" s="650"/>
      <c r="D554" s="650"/>
      <c r="E554" s="650"/>
      <c r="F554" s="650"/>
      <c r="G554" s="650"/>
      <c r="H554" s="650"/>
      <c r="I554" s="650"/>
      <c r="J554" s="650"/>
      <c r="K554" s="650"/>
      <c r="L554" s="650"/>
      <c r="M554" s="650"/>
      <c r="N554" s="650"/>
      <c r="O554" s="650"/>
      <c r="P554" s="650"/>
      <c r="Q554" s="650"/>
      <c r="R554" s="650"/>
      <c r="S554" s="650"/>
      <c r="T554" s="650"/>
      <c r="U554" s="650"/>
      <c r="V554" s="650"/>
      <c r="W554" s="650"/>
      <c r="X554" s="650"/>
      <c r="Y554" s="650"/>
      <c r="Z554" s="650"/>
      <c r="AA554" s="650"/>
      <c r="AB554" s="650"/>
      <c r="AC554" s="650"/>
      <c r="AD554" s="650"/>
      <c r="AE554" s="650"/>
      <c r="AF554" s="650"/>
      <c r="AG554" s="650"/>
      <c r="AH554" s="650"/>
      <c r="AI554" s="650"/>
      <c r="AJ554" s="650"/>
      <c r="AK554" s="650"/>
      <c r="AL554" s="650"/>
      <c r="AM554" s="650"/>
      <c r="AN554" s="650"/>
      <c r="AO554" s="650"/>
      <c r="AP554" s="650"/>
      <c r="AQ554" s="650"/>
      <c r="AR554" s="650"/>
      <c r="AS554" s="650"/>
      <c r="AT554" s="650"/>
      <c r="AU554" s="650"/>
      <c r="AV554" s="650"/>
      <c r="AW554" s="650"/>
      <c r="AX554" s="650"/>
      <c r="AY554" s="650"/>
    </row>
    <row r="555" ht="21.75" customHeight="1">
      <c r="A555" s="650"/>
      <c r="B555" s="650"/>
      <c r="C555" s="650"/>
      <c r="D555" s="650"/>
      <c r="E555" s="650"/>
      <c r="F555" s="650"/>
      <c r="G555" s="650"/>
      <c r="H555" s="650"/>
      <c r="I555" s="650"/>
      <c r="J555" s="650"/>
      <c r="K555" s="650"/>
      <c r="L555" s="650"/>
      <c r="M555" s="650"/>
      <c r="N555" s="650"/>
      <c r="O555" s="650"/>
      <c r="P555" s="650"/>
      <c r="Q555" s="650"/>
      <c r="R555" s="650"/>
      <c r="S555" s="650"/>
      <c r="T555" s="650"/>
      <c r="U555" s="650"/>
      <c r="V555" s="650"/>
      <c r="W555" s="650"/>
      <c r="X555" s="650"/>
      <c r="Y555" s="650"/>
      <c r="Z555" s="650"/>
      <c r="AA555" s="650"/>
      <c r="AB555" s="650"/>
      <c r="AC555" s="650"/>
      <c r="AD555" s="650"/>
      <c r="AE555" s="650"/>
      <c r="AF555" s="650"/>
      <c r="AG555" s="650"/>
      <c r="AH555" s="650"/>
      <c r="AI555" s="650"/>
      <c r="AJ555" s="650"/>
      <c r="AK555" s="650"/>
      <c r="AL555" s="650"/>
      <c r="AM555" s="650"/>
      <c r="AN555" s="650"/>
      <c r="AO555" s="650"/>
      <c r="AP555" s="650"/>
      <c r="AQ555" s="650"/>
      <c r="AR555" s="650"/>
      <c r="AS555" s="650"/>
      <c r="AT555" s="650"/>
      <c r="AU555" s="650"/>
      <c r="AV555" s="650"/>
      <c r="AW555" s="650"/>
      <c r="AX555" s="650"/>
      <c r="AY555" s="650"/>
    </row>
    <row r="556" ht="21.75" customHeight="1">
      <c r="A556" s="650"/>
      <c r="B556" s="650"/>
      <c r="C556" s="650"/>
      <c r="D556" s="650"/>
      <c r="E556" s="650"/>
      <c r="F556" s="650"/>
      <c r="G556" s="650"/>
      <c r="H556" s="650"/>
      <c r="I556" s="650"/>
      <c r="J556" s="650"/>
      <c r="K556" s="650"/>
      <c r="L556" s="650"/>
      <c r="M556" s="650"/>
      <c r="N556" s="650"/>
      <c r="O556" s="650"/>
      <c r="P556" s="650"/>
      <c r="Q556" s="650"/>
      <c r="R556" s="650"/>
      <c r="S556" s="650"/>
      <c r="T556" s="650"/>
      <c r="U556" s="650"/>
      <c r="V556" s="650"/>
      <c r="W556" s="650"/>
      <c r="X556" s="650"/>
      <c r="Y556" s="650"/>
      <c r="Z556" s="650"/>
      <c r="AA556" s="650"/>
      <c r="AB556" s="650"/>
      <c r="AC556" s="650"/>
      <c r="AD556" s="650"/>
      <c r="AE556" s="650"/>
      <c r="AF556" s="650"/>
      <c r="AG556" s="650"/>
      <c r="AH556" s="650"/>
      <c r="AI556" s="650"/>
      <c r="AJ556" s="650"/>
      <c r="AK556" s="650"/>
      <c r="AL556" s="650"/>
      <c r="AM556" s="650"/>
      <c r="AN556" s="650"/>
      <c r="AO556" s="650"/>
      <c r="AP556" s="650"/>
      <c r="AQ556" s="650"/>
      <c r="AR556" s="650"/>
      <c r="AS556" s="650"/>
      <c r="AT556" s="650"/>
      <c r="AU556" s="650"/>
      <c r="AV556" s="650"/>
      <c r="AW556" s="650"/>
      <c r="AX556" s="650"/>
      <c r="AY556" s="650"/>
    </row>
    <row r="557" ht="21.75" customHeight="1">
      <c r="A557" s="650"/>
      <c r="B557" s="650"/>
      <c r="C557" s="650"/>
      <c r="D557" s="650"/>
      <c r="E557" s="650"/>
      <c r="F557" s="650"/>
      <c r="G557" s="650"/>
      <c r="H557" s="650"/>
      <c r="I557" s="650"/>
      <c r="J557" s="650"/>
      <c r="K557" s="650"/>
      <c r="L557" s="650"/>
      <c r="M557" s="650"/>
      <c r="N557" s="650"/>
      <c r="O557" s="650"/>
      <c r="P557" s="650"/>
      <c r="Q557" s="650"/>
      <c r="R557" s="650"/>
      <c r="S557" s="650"/>
      <c r="T557" s="650"/>
      <c r="U557" s="650"/>
      <c r="V557" s="650"/>
      <c r="W557" s="650"/>
      <c r="X557" s="650"/>
      <c r="Y557" s="650"/>
      <c r="Z557" s="650"/>
      <c r="AA557" s="650"/>
      <c r="AB557" s="650"/>
      <c r="AC557" s="650"/>
      <c r="AD557" s="650"/>
      <c r="AE557" s="650"/>
      <c r="AF557" s="650"/>
      <c r="AG557" s="650"/>
      <c r="AH557" s="650"/>
      <c r="AI557" s="650"/>
      <c r="AJ557" s="650"/>
      <c r="AK557" s="650"/>
      <c r="AL557" s="650"/>
      <c r="AM557" s="650"/>
      <c r="AN557" s="650"/>
      <c r="AO557" s="650"/>
      <c r="AP557" s="650"/>
      <c r="AQ557" s="650"/>
      <c r="AR557" s="650"/>
      <c r="AS557" s="650"/>
      <c r="AT557" s="650"/>
      <c r="AU557" s="650"/>
      <c r="AV557" s="650"/>
      <c r="AW557" s="650"/>
      <c r="AX557" s="650"/>
      <c r="AY557" s="650"/>
    </row>
    <row r="558" ht="21.75" customHeight="1">
      <c r="A558" s="650"/>
      <c r="B558" s="650"/>
      <c r="C558" s="650"/>
      <c r="D558" s="650"/>
      <c r="E558" s="650"/>
      <c r="F558" s="650"/>
      <c r="G558" s="650"/>
      <c r="H558" s="650"/>
      <c r="I558" s="650"/>
      <c r="J558" s="650"/>
      <c r="K558" s="650"/>
      <c r="L558" s="650"/>
      <c r="M558" s="650"/>
      <c r="N558" s="650"/>
      <c r="O558" s="650"/>
      <c r="P558" s="650"/>
      <c r="Q558" s="650"/>
      <c r="R558" s="650"/>
      <c r="S558" s="650"/>
      <c r="T558" s="650"/>
      <c r="U558" s="650"/>
      <c r="V558" s="650"/>
      <c r="W558" s="650"/>
      <c r="X558" s="650"/>
      <c r="Y558" s="650"/>
      <c r="Z558" s="650"/>
      <c r="AA558" s="650"/>
      <c r="AB558" s="650"/>
      <c r="AC558" s="650"/>
      <c r="AD558" s="650"/>
      <c r="AE558" s="650"/>
      <c r="AF558" s="650"/>
      <c r="AG558" s="650"/>
      <c r="AH558" s="650"/>
      <c r="AI558" s="650"/>
      <c r="AJ558" s="650"/>
      <c r="AK558" s="650"/>
      <c r="AL558" s="650"/>
      <c r="AM558" s="650"/>
      <c r="AN558" s="650"/>
      <c r="AO558" s="650"/>
      <c r="AP558" s="650"/>
      <c r="AQ558" s="650"/>
      <c r="AR558" s="650"/>
      <c r="AS558" s="650"/>
      <c r="AT558" s="650"/>
      <c r="AU558" s="650"/>
      <c r="AV558" s="650"/>
      <c r="AW558" s="650"/>
      <c r="AX558" s="650"/>
      <c r="AY558" s="650"/>
    </row>
    <row r="559" ht="21.75" customHeight="1">
      <c r="A559" s="650"/>
      <c r="B559" s="650"/>
      <c r="C559" s="650"/>
      <c r="D559" s="650"/>
      <c r="E559" s="650"/>
      <c r="F559" s="650"/>
      <c r="G559" s="650"/>
      <c r="H559" s="650"/>
      <c r="I559" s="650"/>
      <c r="J559" s="650"/>
      <c r="K559" s="650"/>
      <c r="L559" s="650"/>
      <c r="M559" s="650"/>
      <c r="N559" s="650"/>
      <c r="O559" s="650"/>
      <c r="P559" s="650"/>
      <c r="Q559" s="650"/>
      <c r="R559" s="650"/>
      <c r="S559" s="650"/>
      <c r="T559" s="650"/>
      <c r="U559" s="650"/>
      <c r="V559" s="650"/>
      <c r="W559" s="650"/>
      <c r="X559" s="650"/>
      <c r="Y559" s="650"/>
      <c r="Z559" s="650"/>
      <c r="AA559" s="650"/>
      <c r="AB559" s="650"/>
      <c r="AC559" s="650"/>
      <c r="AD559" s="650"/>
      <c r="AE559" s="650"/>
      <c r="AF559" s="650"/>
      <c r="AG559" s="650"/>
      <c r="AH559" s="650"/>
      <c r="AI559" s="650"/>
      <c r="AJ559" s="650"/>
      <c r="AK559" s="650"/>
      <c r="AL559" s="650"/>
      <c r="AM559" s="650"/>
      <c r="AN559" s="650"/>
      <c r="AO559" s="650"/>
      <c r="AP559" s="650"/>
      <c r="AQ559" s="650"/>
      <c r="AR559" s="650"/>
      <c r="AS559" s="650"/>
      <c r="AT559" s="650"/>
      <c r="AU559" s="650"/>
      <c r="AV559" s="650"/>
      <c r="AW559" s="650"/>
      <c r="AX559" s="650"/>
      <c r="AY559" s="650"/>
    </row>
    <row r="560" ht="21.75" customHeight="1">
      <c r="A560" s="650"/>
      <c r="B560" s="650"/>
      <c r="C560" s="650"/>
      <c r="D560" s="650"/>
      <c r="E560" s="650"/>
      <c r="F560" s="650"/>
      <c r="G560" s="650"/>
      <c r="H560" s="650"/>
      <c r="I560" s="650"/>
      <c r="J560" s="650"/>
      <c r="K560" s="650"/>
      <c r="L560" s="650"/>
      <c r="M560" s="650"/>
      <c r="N560" s="650"/>
      <c r="O560" s="650"/>
      <c r="P560" s="650"/>
      <c r="Q560" s="650"/>
      <c r="R560" s="650"/>
      <c r="S560" s="650"/>
      <c r="T560" s="650"/>
      <c r="U560" s="650"/>
      <c r="V560" s="650"/>
      <c r="W560" s="650"/>
      <c r="X560" s="650"/>
      <c r="Y560" s="650"/>
      <c r="Z560" s="650"/>
      <c r="AA560" s="650"/>
      <c r="AB560" s="650"/>
      <c r="AC560" s="650"/>
      <c r="AD560" s="650"/>
      <c r="AE560" s="650"/>
      <c r="AF560" s="650"/>
      <c r="AG560" s="650"/>
      <c r="AH560" s="650"/>
      <c r="AI560" s="650"/>
      <c r="AJ560" s="650"/>
      <c r="AK560" s="650"/>
      <c r="AL560" s="650"/>
      <c r="AM560" s="650"/>
      <c r="AN560" s="650"/>
      <c r="AO560" s="650"/>
      <c r="AP560" s="650"/>
      <c r="AQ560" s="650"/>
      <c r="AR560" s="650"/>
      <c r="AS560" s="650"/>
      <c r="AT560" s="650"/>
      <c r="AU560" s="650"/>
      <c r="AV560" s="650"/>
      <c r="AW560" s="650"/>
      <c r="AX560" s="650"/>
      <c r="AY560" s="650"/>
    </row>
    <row r="561" ht="21.75" customHeight="1">
      <c r="A561" s="650"/>
      <c r="B561" s="650"/>
      <c r="C561" s="650"/>
      <c r="D561" s="650"/>
      <c r="E561" s="650"/>
      <c r="F561" s="650"/>
      <c r="G561" s="650"/>
      <c r="H561" s="650"/>
      <c r="I561" s="650"/>
      <c r="J561" s="650"/>
      <c r="K561" s="650"/>
      <c r="L561" s="650"/>
      <c r="M561" s="650"/>
      <c r="N561" s="650"/>
      <c r="O561" s="650"/>
      <c r="P561" s="650"/>
      <c r="Q561" s="650"/>
      <c r="R561" s="650"/>
      <c r="S561" s="650"/>
      <c r="T561" s="650"/>
      <c r="U561" s="650"/>
      <c r="V561" s="650"/>
      <c r="W561" s="650"/>
      <c r="X561" s="650"/>
      <c r="Y561" s="650"/>
      <c r="Z561" s="650"/>
      <c r="AA561" s="650"/>
      <c r="AB561" s="650"/>
      <c r="AC561" s="650"/>
      <c r="AD561" s="650"/>
      <c r="AE561" s="650"/>
      <c r="AF561" s="650"/>
      <c r="AG561" s="650"/>
      <c r="AH561" s="650"/>
      <c r="AI561" s="650"/>
      <c r="AJ561" s="650"/>
      <c r="AK561" s="650"/>
      <c r="AL561" s="650"/>
      <c r="AM561" s="650"/>
      <c r="AN561" s="650"/>
      <c r="AO561" s="650"/>
      <c r="AP561" s="650"/>
      <c r="AQ561" s="650"/>
      <c r="AR561" s="650"/>
      <c r="AS561" s="650"/>
      <c r="AT561" s="650"/>
      <c r="AU561" s="650"/>
      <c r="AV561" s="650"/>
      <c r="AW561" s="650"/>
      <c r="AX561" s="650"/>
      <c r="AY561" s="650"/>
    </row>
    <row r="562" ht="21.75" customHeight="1">
      <c r="A562" s="650"/>
      <c r="B562" s="650"/>
      <c r="C562" s="650"/>
      <c r="D562" s="650"/>
      <c r="E562" s="650"/>
      <c r="F562" s="650"/>
      <c r="G562" s="650"/>
      <c r="H562" s="650"/>
      <c r="I562" s="650"/>
      <c r="J562" s="650"/>
      <c r="K562" s="650"/>
      <c r="L562" s="650"/>
      <c r="M562" s="650"/>
      <c r="N562" s="650"/>
      <c r="O562" s="650"/>
      <c r="P562" s="650"/>
      <c r="Q562" s="650"/>
      <c r="R562" s="650"/>
      <c r="S562" s="650"/>
      <c r="T562" s="650"/>
      <c r="U562" s="650"/>
      <c r="V562" s="650"/>
      <c r="W562" s="650"/>
      <c r="X562" s="650"/>
      <c r="Y562" s="650"/>
      <c r="Z562" s="650"/>
      <c r="AA562" s="650"/>
      <c r="AB562" s="650"/>
      <c r="AC562" s="650"/>
      <c r="AD562" s="650"/>
      <c r="AE562" s="650"/>
      <c r="AF562" s="650"/>
      <c r="AG562" s="650"/>
      <c r="AH562" s="650"/>
      <c r="AI562" s="650"/>
      <c r="AJ562" s="650"/>
      <c r="AK562" s="650"/>
      <c r="AL562" s="650"/>
      <c r="AM562" s="650"/>
      <c r="AN562" s="650"/>
      <c r="AO562" s="650"/>
      <c r="AP562" s="650"/>
      <c r="AQ562" s="650"/>
      <c r="AR562" s="650"/>
      <c r="AS562" s="650"/>
      <c r="AT562" s="650"/>
      <c r="AU562" s="650"/>
      <c r="AV562" s="650"/>
      <c r="AW562" s="650"/>
      <c r="AX562" s="650"/>
      <c r="AY562" s="650"/>
    </row>
    <row r="563" ht="21.75" customHeight="1">
      <c r="A563" s="650"/>
      <c r="B563" s="650"/>
      <c r="C563" s="650"/>
      <c r="D563" s="650"/>
      <c r="E563" s="650"/>
      <c r="F563" s="650"/>
      <c r="G563" s="650"/>
      <c r="H563" s="650"/>
      <c r="I563" s="650"/>
      <c r="J563" s="650"/>
      <c r="K563" s="650"/>
      <c r="L563" s="650"/>
      <c r="M563" s="650"/>
      <c r="N563" s="650"/>
      <c r="O563" s="650"/>
      <c r="P563" s="650"/>
      <c r="Q563" s="650"/>
      <c r="R563" s="650"/>
      <c r="S563" s="650"/>
      <c r="T563" s="650"/>
      <c r="U563" s="650"/>
      <c r="V563" s="650"/>
      <c r="W563" s="650"/>
      <c r="X563" s="650"/>
      <c r="Y563" s="650"/>
      <c r="Z563" s="650"/>
      <c r="AA563" s="650"/>
      <c r="AB563" s="650"/>
      <c r="AC563" s="650"/>
      <c r="AD563" s="650"/>
      <c r="AE563" s="650"/>
      <c r="AF563" s="650"/>
      <c r="AG563" s="650"/>
      <c r="AH563" s="650"/>
      <c r="AI563" s="650"/>
      <c r="AJ563" s="650"/>
      <c r="AK563" s="650"/>
      <c r="AL563" s="650"/>
      <c r="AM563" s="650"/>
      <c r="AN563" s="650"/>
      <c r="AO563" s="650"/>
      <c r="AP563" s="650"/>
      <c r="AQ563" s="650"/>
      <c r="AR563" s="650"/>
      <c r="AS563" s="650"/>
      <c r="AT563" s="650"/>
      <c r="AU563" s="650"/>
      <c r="AV563" s="650"/>
      <c r="AW563" s="650"/>
      <c r="AX563" s="650"/>
      <c r="AY563" s="650"/>
    </row>
    <row r="564" ht="21.75" customHeight="1">
      <c r="A564" s="650"/>
      <c r="B564" s="650"/>
      <c r="C564" s="650"/>
      <c r="D564" s="650"/>
      <c r="E564" s="650"/>
      <c r="F564" s="650"/>
      <c r="G564" s="650"/>
      <c r="H564" s="650"/>
      <c r="I564" s="650"/>
      <c r="J564" s="650"/>
      <c r="K564" s="650"/>
      <c r="L564" s="650"/>
      <c r="M564" s="650"/>
      <c r="N564" s="650"/>
      <c r="O564" s="650"/>
      <c r="P564" s="650"/>
      <c r="Q564" s="650"/>
      <c r="R564" s="650"/>
      <c r="S564" s="650"/>
      <c r="T564" s="650"/>
      <c r="U564" s="650"/>
      <c r="V564" s="650"/>
      <c r="W564" s="650"/>
      <c r="X564" s="650"/>
      <c r="Y564" s="650"/>
      <c r="Z564" s="650"/>
      <c r="AA564" s="650"/>
      <c r="AB564" s="650"/>
      <c r="AC564" s="650"/>
      <c r="AD564" s="650"/>
      <c r="AE564" s="650"/>
      <c r="AF564" s="650"/>
      <c r="AG564" s="650"/>
      <c r="AH564" s="650"/>
      <c r="AI564" s="650"/>
      <c r="AJ564" s="650"/>
      <c r="AK564" s="650"/>
      <c r="AL564" s="650"/>
      <c r="AM564" s="650"/>
      <c r="AN564" s="650"/>
      <c r="AO564" s="650"/>
      <c r="AP564" s="650"/>
      <c r="AQ564" s="650"/>
      <c r="AR564" s="650"/>
      <c r="AS564" s="650"/>
      <c r="AT564" s="650"/>
      <c r="AU564" s="650"/>
      <c r="AV564" s="650"/>
      <c r="AW564" s="650"/>
      <c r="AX564" s="650"/>
      <c r="AY564" s="650"/>
    </row>
    <row r="565" ht="21.75" customHeight="1">
      <c r="A565" s="650"/>
      <c r="B565" s="650"/>
      <c r="C565" s="650"/>
      <c r="D565" s="650"/>
      <c r="E565" s="650"/>
      <c r="F565" s="650"/>
      <c r="G565" s="650"/>
      <c r="H565" s="650"/>
      <c r="I565" s="650"/>
      <c r="J565" s="650"/>
      <c r="K565" s="650"/>
      <c r="L565" s="650"/>
      <c r="M565" s="650"/>
      <c r="N565" s="650"/>
      <c r="O565" s="650"/>
      <c r="P565" s="650"/>
      <c r="Q565" s="650"/>
      <c r="R565" s="650"/>
      <c r="S565" s="650"/>
      <c r="T565" s="650"/>
      <c r="U565" s="650"/>
      <c r="V565" s="650"/>
      <c r="W565" s="650"/>
      <c r="X565" s="650"/>
      <c r="Y565" s="650"/>
      <c r="Z565" s="650"/>
      <c r="AA565" s="650"/>
      <c r="AB565" s="650"/>
      <c r="AC565" s="650"/>
      <c r="AD565" s="650"/>
      <c r="AE565" s="650"/>
      <c r="AF565" s="650"/>
      <c r="AG565" s="650"/>
      <c r="AH565" s="650"/>
      <c r="AI565" s="650"/>
      <c r="AJ565" s="650"/>
      <c r="AK565" s="650"/>
      <c r="AL565" s="650"/>
      <c r="AM565" s="650"/>
      <c r="AN565" s="650"/>
      <c r="AO565" s="650"/>
      <c r="AP565" s="650"/>
      <c r="AQ565" s="650"/>
      <c r="AR565" s="650"/>
      <c r="AS565" s="650"/>
      <c r="AT565" s="650"/>
      <c r="AU565" s="650"/>
      <c r="AV565" s="650"/>
      <c r="AW565" s="650"/>
      <c r="AX565" s="650"/>
      <c r="AY565" s="650"/>
    </row>
    <row r="566" ht="21.75" customHeight="1">
      <c r="A566" s="650"/>
      <c r="B566" s="650"/>
      <c r="C566" s="650"/>
      <c r="D566" s="650"/>
      <c r="E566" s="650"/>
      <c r="F566" s="650"/>
      <c r="G566" s="650"/>
      <c r="H566" s="650"/>
      <c r="I566" s="650"/>
      <c r="J566" s="650"/>
      <c r="K566" s="650"/>
      <c r="L566" s="650"/>
      <c r="M566" s="650"/>
      <c r="N566" s="650"/>
      <c r="O566" s="650"/>
      <c r="P566" s="650"/>
      <c r="Q566" s="650"/>
      <c r="R566" s="650"/>
      <c r="S566" s="650"/>
      <c r="T566" s="650"/>
      <c r="U566" s="650"/>
      <c r="V566" s="650"/>
      <c r="W566" s="650"/>
      <c r="X566" s="650"/>
      <c r="Y566" s="650"/>
      <c r="Z566" s="650"/>
      <c r="AA566" s="650"/>
      <c r="AB566" s="650"/>
      <c r="AC566" s="650"/>
      <c r="AD566" s="650"/>
      <c r="AE566" s="650"/>
      <c r="AF566" s="650"/>
      <c r="AG566" s="650"/>
      <c r="AH566" s="650"/>
      <c r="AI566" s="650"/>
      <c r="AJ566" s="650"/>
      <c r="AK566" s="650"/>
      <c r="AL566" s="650"/>
      <c r="AM566" s="650"/>
      <c r="AN566" s="650"/>
      <c r="AO566" s="650"/>
      <c r="AP566" s="650"/>
      <c r="AQ566" s="650"/>
      <c r="AR566" s="650"/>
      <c r="AS566" s="650"/>
      <c r="AT566" s="650"/>
      <c r="AU566" s="650"/>
      <c r="AV566" s="650"/>
      <c r="AW566" s="650"/>
      <c r="AX566" s="650"/>
      <c r="AY566" s="650"/>
    </row>
    <row r="567" ht="21.75" customHeight="1">
      <c r="A567" s="650"/>
      <c r="B567" s="650"/>
      <c r="C567" s="650"/>
      <c r="D567" s="650"/>
      <c r="E567" s="650"/>
      <c r="F567" s="650"/>
      <c r="G567" s="650"/>
      <c r="H567" s="650"/>
      <c r="I567" s="650"/>
      <c r="J567" s="650"/>
      <c r="K567" s="650"/>
      <c r="L567" s="650"/>
      <c r="M567" s="650"/>
      <c r="N567" s="650"/>
      <c r="O567" s="650"/>
      <c r="P567" s="650"/>
      <c r="Q567" s="650"/>
      <c r="R567" s="650"/>
      <c r="S567" s="650"/>
      <c r="T567" s="650"/>
      <c r="U567" s="650"/>
      <c r="V567" s="650"/>
      <c r="W567" s="650"/>
      <c r="X567" s="650"/>
      <c r="Y567" s="650"/>
      <c r="Z567" s="650"/>
      <c r="AA567" s="650"/>
      <c r="AB567" s="650"/>
      <c r="AC567" s="650"/>
      <c r="AD567" s="650"/>
      <c r="AE567" s="650"/>
      <c r="AF567" s="650"/>
      <c r="AG567" s="650"/>
      <c r="AH567" s="650"/>
      <c r="AI567" s="650"/>
      <c r="AJ567" s="650"/>
      <c r="AK567" s="650"/>
      <c r="AL567" s="650"/>
      <c r="AM567" s="650"/>
      <c r="AN567" s="650"/>
      <c r="AO567" s="650"/>
      <c r="AP567" s="650"/>
      <c r="AQ567" s="650"/>
      <c r="AR567" s="650"/>
      <c r="AS567" s="650"/>
      <c r="AT567" s="650"/>
      <c r="AU567" s="650"/>
      <c r="AV567" s="650"/>
      <c r="AW567" s="650"/>
      <c r="AX567" s="650"/>
      <c r="AY567" s="650"/>
    </row>
    <row r="568" ht="21.75" customHeight="1">
      <c r="A568" s="650"/>
      <c r="B568" s="650"/>
      <c r="C568" s="650"/>
      <c r="D568" s="650"/>
      <c r="E568" s="650"/>
      <c r="F568" s="650"/>
      <c r="G568" s="650"/>
      <c r="H568" s="650"/>
      <c r="I568" s="650"/>
      <c r="J568" s="650"/>
      <c r="K568" s="650"/>
      <c r="L568" s="650"/>
      <c r="M568" s="650"/>
      <c r="N568" s="650"/>
      <c r="O568" s="650"/>
      <c r="P568" s="650"/>
      <c r="Q568" s="650"/>
      <c r="R568" s="650"/>
      <c r="S568" s="650"/>
      <c r="T568" s="650"/>
      <c r="U568" s="650"/>
      <c r="V568" s="650"/>
      <c r="W568" s="650"/>
      <c r="X568" s="650"/>
      <c r="Y568" s="650"/>
      <c r="Z568" s="650"/>
      <c r="AA568" s="650"/>
      <c r="AB568" s="650"/>
      <c r="AC568" s="650"/>
      <c r="AD568" s="650"/>
      <c r="AE568" s="650"/>
      <c r="AF568" s="650"/>
      <c r="AG568" s="650"/>
      <c r="AH568" s="650"/>
      <c r="AI568" s="650"/>
      <c r="AJ568" s="650"/>
      <c r="AK568" s="650"/>
      <c r="AL568" s="650"/>
      <c r="AM568" s="650"/>
      <c r="AN568" s="650"/>
      <c r="AO568" s="650"/>
      <c r="AP568" s="650"/>
      <c r="AQ568" s="650"/>
      <c r="AR568" s="650"/>
      <c r="AS568" s="650"/>
      <c r="AT568" s="650"/>
      <c r="AU568" s="650"/>
      <c r="AV568" s="650"/>
      <c r="AW568" s="650"/>
      <c r="AX568" s="650"/>
      <c r="AY568" s="650"/>
    </row>
    <row r="569" ht="21.75" customHeight="1">
      <c r="A569" s="650"/>
      <c r="B569" s="650"/>
      <c r="C569" s="650"/>
      <c r="D569" s="650"/>
      <c r="E569" s="650"/>
      <c r="F569" s="650"/>
      <c r="G569" s="650"/>
      <c r="H569" s="650"/>
      <c r="I569" s="650"/>
      <c r="J569" s="650"/>
      <c r="K569" s="650"/>
      <c r="L569" s="650"/>
      <c r="M569" s="650"/>
      <c r="N569" s="650"/>
      <c r="O569" s="650"/>
      <c r="P569" s="650"/>
      <c r="Q569" s="650"/>
      <c r="R569" s="650"/>
      <c r="S569" s="650"/>
      <c r="T569" s="650"/>
      <c r="U569" s="650"/>
      <c r="V569" s="650"/>
      <c r="W569" s="650"/>
      <c r="X569" s="650"/>
      <c r="Y569" s="650"/>
      <c r="Z569" s="650"/>
      <c r="AA569" s="650"/>
      <c r="AB569" s="650"/>
      <c r="AC569" s="650"/>
      <c r="AD569" s="650"/>
      <c r="AE569" s="650"/>
      <c r="AF569" s="650"/>
      <c r="AG569" s="650"/>
      <c r="AH569" s="650"/>
      <c r="AI569" s="650"/>
      <c r="AJ569" s="650"/>
      <c r="AK569" s="650"/>
      <c r="AL569" s="650"/>
      <c r="AM569" s="650"/>
      <c r="AN569" s="650"/>
      <c r="AO569" s="650"/>
      <c r="AP569" s="650"/>
      <c r="AQ569" s="650"/>
      <c r="AR569" s="650"/>
      <c r="AS569" s="650"/>
      <c r="AT569" s="650"/>
      <c r="AU569" s="650"/>
      <c r="AV569" s="650"/>
      <c r="AW569" s="650"/>
      <c r="AX569" s="650"/>
      <c r="AY569" s="650"/>
    </row>
    <row r="570" ht="21.75" customHeight="1">
      <c r="A570" s="650"/>
      <c r="B570" s="650"/>
      <c r="C570" s="650"/>
      <c r="D570" s="650"/>
      <c r="E570" s="650"/>
      <c r="F570" s="650"/>
      <c r="G570" s="650"/>
      <c r="H570" s="650"/>
      <c r="I570" s="650"/>
      <c r="J570" s="650"/>
      <c r="K570" s="650"/>
      <c r="L570" s="650"/>
      <c r="M570" s="650"/>
      <c r="N570" s="650"/>
      <c r="O570" s="650"/>
      <c r="P570" s="650"/>
      <c r="Q570" s="650"/>
      <c r="R570" s="650"/>
      <c r="S570" s="650"/>
      <c r="T570" s="650"/>
      <c r="U570" s="650"/>
      <c r="V570" s="650"/>
      <c r="W570" s="650"/>
      <c r="X570" s="650"/>
      <c r="Y570" s="650"/>
      <c r="Z570" s="650"/>
      <c r="AA570" s="650"/>
      <c r="AB570" s="650"/>
      <c r="AC570" s="650"/>
      <c r="AD570" s="650"/>
      <c r="AE570" s="650"/>
      <c r="AF570" s="650"/>
      <c r="AG570" s="650"/>
      <c r="AH570" s="650"/>
      <c r="AI570" s="650"/>
      <c r="AJ570" s="650"/>
      <c r="AK570" s="650"/>
      <c r="AL570" s="650"/>
      <c r="AM570" s="650"/>
      <c r="AN570" s="650"/>
      <c r="AO570" s="650"/>
      <c r="AP570" s="650"/>
      <c r="AQ570" s="650"/>
      <c r="AR570" s="650"/>
      <c r="AS570" s="650"/>
      <c r="AT570" s="650"/>
      <c r="AU570" s="650"/>
      <c r="AV570" s="650"/>
      <c r="AW570" s="650"/>
      <c r="AX570" s="650"/>
      <c r="AY570" s="650"/>
    </row>
    <row r="571" ht="21.75" customHeight="1">
      <c r="A571" s="650"/>
      <c r="B571" s="650"/>
      <c r="C571" s="650"/>
      <c r="D571" s="650"/>
      <c r="E571" s="650"/>
      <c r="F571" s="650"/>
      <c r="G571" s="650"/>
      <c r="H571" s="650"/>
      <c r="I571" s="650"/>
      <c r="J571" s="650"/>
      <c r="K571" s="650"/>
      <c r="L571" s="650"/>
      <c r="M571" s="650"/>
      <c r="N571" s="650"/>
      <c r="O571" s="650"/>
      <c r="P571" s="650"/>
      <c r="Q571" s="650"/>
      <c r="R571" s="650"/>
      <c r="S571" s="650"/>
      <c r="T571" s="650"/>
      <c r="U571" s="650"/>
      <c r="V571" s="650"/>
      <c r="W571" s="650"/>
      <c r="X571" s="650"/>
      <c r="Y571" s="650"/>
      <c r="Z571" s="650"/>
      <c r="AA571" s="650"/>
      <c r="AB571" s="650"/>
      <c r="AC571" s="650"/>
      <c r="AD571" s="650"/>
      <c r="AE571" s="650"/>
      <c r="AF571" s="650"/>
      <c r="AG571" s="650"/>
      <c r="AH571" s="650"/>
      <c r="AI571" s="650"/>
      <c r="AJ571" s="650"/>
      <c r="AK571" s="650"/>
      <c r="AL571" s="650"/>
      <c r="AM571" s="650"/>
      <c r="AN571" s="650"/>
      <c r="AO571" s="650"/>
      <c r="AP571" s="650"/>
      <c r="AQ571" s="650"/>
      <c r="AR571" s="650"/>
      <c r="AS571" s="650"/>
      <c r="AT571" s="650"/>
      <c r="AU571" s="650"/>
      <c r="AV571" s="650"/>
      <c r="AW571" s="650"/>
      <c r="AX571" s="650"/>
      <c r="AY571" s="650"/>
    </row>
    <row r="572" ht="21.75" customHeight="1">
      <c r="A572" s="650"/>
      <c r="B572" s="650"/>
      <c r="C572" s="650"/>
      <c r="D572" s="650"/>
      <c r="E572" s="650"/>
      <c r="F572" s="650"/>
      <c r="G572" s="650"/>
      <c r="H572" s="650"/>
      <c r="I572" s="650"/>
      <c r="J572" s="650"/>
      <c r="K572" s="650"/>
      <c r="L572" s="650"/>
      <c r="M572" s="650"/>
      <c r="N572" s="650"/>
      <c r="O572" s="650"/>
      <c r="P572" s="650"/>
      <c r="Q572" s="650"/>
      <c r="R572" s="650"/>
      <c r="S572" s="650"/>
      <c r="T572" s="650"/>
      <c r="U572" s="650"/>
      <c r="V572" s="650"/>
      <c r="W572" s="650"/>
      <c r="X572" s="650"/>
      <c r="Y572" s="650"/>
      <c r="Z572" s="650"/>
      <c r="AA572" s="650"/>
      <c r="AB572" s="650"/>
      <c r="AC572" s="650"/>
      <c r="AD572" s="650"/>
      <c r="AE572" s="650"/>
      <c r="AF572" s="650"/>
      <c r="AG572" s="650"/>
      <c r="AH572" s="650"/>
      <c r="AI572" s="650"/>
      <c r="AJ572" s="650"/>
      <c r="AK572" s="650"/>
      <c r="AL572" s="650"/>
      <c r="AM572" s="650"/>
      <c r="AN572" s="650"/>
      <c r="AO572" s="650"/>
      <c r="AP572" s="650"/>
      <c r="AQ572" s="650"/>
      <c r="AR572" s="650"/>
      <c r="AS572" s="650"/>
      <c r="AT572" s="650"/>
      <c r="AU572" s="650"/>
      <c r="AV572" s="650"/>
      <c r="AW572" s="650"/>
      <c r="AX572" s="650"/>
      <c r="AY572" s="650"/>
    </row>
    <row r="573" ht="21.75" customHeight="1">
      <c r="A573" s="650"/>
      <c r="B573" s="650"/>
      <c r="C573" s="650"/>
      <c r="D573" s="650"/>
      <c r="E573" s="650"/>
      <c r="F573" s="650"/>
      <c r="G573" s="650"/>
      <c r="H573" s="650"/>
      <c r="I573" s="650"/>
      <c r="J573" s="650"/>
      <c r="K573" s="650"/>
      <c r="L573" s="650"/>
      <c r="M573" s="650"/>
      <c r="N573" s="650"/>
      <c r="O573" s="650"/>
      <c r="P573" s="650"/>
      <c r="Q573" s="650"/>
      <c r="R573" s="650"/>
      <c r="S573" s="650"/>
      <c r="T573" s="650"/>
      <c r="U573" s="650"/>
      <c r="V573" s="650"/>
      <c r="W573" s="650"/>
      <c r="X573" s="650"/>
      <c r="Y573" s="650"/>
      <c r="Z573" s="650"/>
      <c r="AA573" s="650"/>
      <c r="AB573" s="650"/>
      <c r="AC573" s="650"/>
      <c r="AD573" s="650"/>
      <c r="AE573" s="650"/>
      <c r="AF573" s="650"/>
      <c r="AG573" s="650"/>
      <c r="AH573" s="650"/>
      <c r="AI573" s="650"/>
      <c r="AJ573" s="650"/>
      <c r="AK573" s="650"/>
      <c r="AL573" s="650"/>
      <c r="AM573" s="650"/>
      <c r="AN573" s="650"/>
      <c r="AO573" s="650"/>
      <c r="AP573" s="650"/>
      <c r="AQ573" s="650"/>
      <c r="AR573" s="650"/>
      <c r="AS573" s="650"/>
      <c r="AT573" s="650"/>
      <c r="AU573" s="650"/>
      <c r="AV573" s="650"/>
      <c r="AW573" s="650"/>
      <c r="AX573" s="650"/>
      <c r="AY573" s="650"/>
    </row>
    <row r="574" ht="21.75" customHeight="1">
      <c r="A574" s="650"/>
      <c r="B574" s="650"/>
      <c r="C574" s="650"/>
      <c r="D574" s="650"/>
      <c r="E574" s="650"/>
      <c r="F574" s="650"/>
      <c r="G574" s="650"/>
      <c r="H574" s="650"/>
      <c r="I574" s="650"/>
      <c r="J574" s="650"/>
      <c r="K574" s="650"/>
      <c r="L574" s="650"/>
      <c r="M574" s="650"/>
      <c r="N574" s="650"/>
      <c r="O574" s="650"/>
      <c r="P574" s="650"/>
      <c r="Q574" s="650"/>
      <c r="R574" s="650"/>
      <c r="S574" s="650"/>
      <c r="T574" s="650"/>
      <c r="U574" s="650"/>
      <c r="V574" s="650"/>
      <c r="W574" s="650"/>
      <c r="X574" s="650"/>
      <c r="Y574" s="650"/>
      <c r="Z574" s="650"/>
      <c r="AA574" s="650"/>
      <c r="AB574" s="650"/>
      <c r="AC574" s="650"/>
      <c r="AD574" s="650"/>
      <c r="AE574" s="650"/>
      <c r="AF574" s="650"/>
      <c r="AG574" s="650"/>
      <c r="AH574" s="650"/>
      <c r="AI574" s="650"/>
      <c r="AJ574" s="650"/>
      <c r="AK574" s="650"/>
      <c r="AL574" s="650"/>
      <c r="AM574" s="650"/>
      <c r="AN574" s="650"/>
      <c r="AO574" s="650"/>
      <c r="AP574" s="650"/>
      <c r="AQ574" s="650"/>
      <c r="AR574" s="650"/>
      <c r="AS574" s="650"/>
      <c r="AT574" s="650"/>
      <c r="AU574" s="650"/>
      <c r="AV574" s="650"/>
      <c r="AW574" s="650"/>
      <c r="AX574" s="650"/>
      <c r="AY574" s="650"/>
    </row>
    <row r="575" ht="21.75" customHeight="1">
      <c r="A575" s="650"/>
      <c r="B575" s="650"/>
      <c r="C575" s="650"/>
      <c r="D575" s="650"/>
      <c r="E575" s="650"/>
      <c r="F575" s="650"/>
      <c r="G575" s="650"/>
      <c r="H575" s="650"/>
      <c r="I575" s="650"/>
      <c r="J575" s="650"/>
      <c r="K575" s="650"/>
      <c r="L575" s="650"/>
      <c r="M575" s="650"/>
      <c r="N575" s="650"/>
      <c r="O575" s="650"/>
      <c r="P575" s="650"/>
      <c r="Q575" s="650"/>
      <c r="R575" s="650"/>
      <c r="S575" s="650"/>
      <c r="T575" s="650"/>
      <c r="U575" s="650"/>
      <c r="V575" s="650"/>
      <c r="W575" s="650"/>
      <c r="X575" s="650"/>
      <c r="Y575" s="650"/>
      <c r="Z575" s="650"/>
      <c r="AA575" s="650"/>
      <c r="AB575" s="650"/>
      <c r="AC575" s="650"/>
      <c r="AD575" s="650"/>
      <c r="AE575" s="650"/>
      <c r="AF575" s="650"/>
      <c r="AG575" s="650"/>
      <c r="AH575" s="650"/>
      <c r="AI575" s="650"/>
      <c r="AJ575" s="650"/>
      <c r="AK575" s="650"/>
      <c r="AL575" s="650"/>
      <c r="AM575" s="650"/>
      <c r="AN575" s="650"/>
      <c r="AO575" s="650"/>
      <c r="AP575" s="650"/>
      <c r="AQ575" s="650"/>
      <c r="AR575" s="650"/>
      <c r="AS575" s="650"/>
      <c r="AT575" s="650"/>
      <c r="AU575" s="650"/>
      <c r="AV575" s="650"/>
      <c r="AW575" s="650"/>
      <c r="AX575" s="650"/>
      <c r="AY575" s="650"/>
    </row>
    <row r="576" ht="21.75" customHeight="1">
      <c r="A576" s="650"/>
      <c r="B576" s="650"/>
      <c r="C576" s="650"/>
      <c r="D576" s="650"/>
      <c r="E576" s="650"/>
      <c r="F576" s="650"/>
      <c r="G576" s="650"/>
      <c r="H576" s="650"/>
      <c r="I576" s="650"/>
      <c r="J576" s="650"/>
      <c r="K576" s="650"/>
      <c r="L576" s="650"/>
      <c r="M576" s="650"/>
      <c r="N576" s="650"/>
      <c r="O576" s="650"/>
      <c r="P576" s="650"/>
      <c r="Q576" s="650"/>
      <c r="R576" s="650"/>
      <c r="S576" s="650"/>
      <c r="T576" s="650"/>
      <c r="U576" s="650"/>
      <c r="V576" s="650"/>
      <c r="W576" s="650"/>
      <c r="X576" s="650"/>
      <c r="Y576" s="650"/>
      <c r="Z576" s="650"/>
      <c r="AA576" s="650"/>
      <c r="AB576" s="650"/>
      <c r="AC576" s="650"/>
      <c r="AD576" s="650"/>
      <c r="AE576" s="650"/>
      <c r="AF576" s="650"/>
      <c r="AG576" s="650"/>
      <c r="AH576" s="650"/>
      <c r="AI576" s="650"/>
      <c r="AJ576" s="650"/>
      <c r="AK576" s="650"/>
      <c r="AL576" s="650"/>
      <c r="AM576" s="650"/>
      <c r="AN576" s="650"/>
      <c r="AO576" s="650"/>
      <c r="AP576" s="650"/>
      <c r="AQ576" s="650"/>
      <c r="AR576" s="650"/>
      <c r="AS576" s="650"/>
      <c r="AT576" s="650"/>
      <c r="AU576" s="650"/>
      <c r="AV576" s="650"/>
      <c r="AW576" s="650"/>
      <c r="AX576" s="650"/>
      <c r="AY576" s="650"/>
    </row>
    <row r="577" ht="21.75" customHeight="1">
      <c r="A577" s="650"/>
      <c r="B577" s="650"/>
      <c r="C577" s="650"/>
      <c r="D577" s="650"/>
      <c r="E577" s="650"/>
      <c r="F577" s="650"/>
      <c r="G577" s="650"/>
      <c r="H577" s="650"/>
      <c r="I577" s="650"/>
      <c r="J577" s="650"/>
      <c r="K577" s="650"/>
      <c r="L577" s="650"/>
      <c r="M577" s="650"/>
      <c r="N577" s="650"/>
      <c r="O577" s="650"/>
      <c r="P577" s="650"/>
      <c r="Q577" s="650"/>
      <c r="R577" s="650"/>
      <c r="S577" s="650"/>
      <c r="T577" s="650"/>
      <c r="U577" s="650"/>
      <c r="V577" s="650"/>
      <c r="W577" s="650"/>
      <c r="X577" s="650"/>
      <c r="Y577" s="650"/>
      <c r="Z577" s="650"/>
      <c r="AA577" s="650"/>
      <c r="AB577" s="650"/>
      <c r="AC577" s="650"/>
      <c r="AD577" s="650"/>
      <c r="AE577" s="650"/>
      <c r="AF577" s="650"/>
      <c r="AG577" s="650"/>
      <c r="AH577" s="650"/>
      <c r="AI577" s="650"/>
      <c r="AJ577" s="650"/>
      <c r="AK577" s="650"/>
      <c r="AL577" s="650"/>
      <c r="AM577" s="650"/>
      <c r="AN577" s="650"/>
      <c r="AO577" s="650"/>
      <c r="AP577" s="650"/>
      <c r="AQ577" s="650"/>
      <c r="AR577" s="650"/>
      <c r="AS577" s="650"/>
      <c r="AT577" s="650"/>
      <c r="AU577" s="650"/>
      <c r="AV577" s="650"/>
      <c r="AW577" s="650"/>
      <c r="AX577" s="650"/>
      <c r="AY577" s="650"/>
    </row>
    <row r="578" ht="21.75" customHeight="1">
      <c r="A578" s="650"/>
      <c r="B578" s="650"/>
      <c r="C578" s="650"/>
      <c r="D578" s="650"/>
      <c r="E578" s="650"/>
      <c r="F578" s="650"/>
      <c r="G578" s="650"/>
      <c r="H578" s="650"/>
      <c r="I578" s="650"/>
      <c r="J578" s="650"/>
      <c r="K578" s="650"/>
      <c r="L578" s="650"/>
      <c r="M578" s="650"/>
      <c r="N578" s="650"/>
      <c r="O578" s="650"/>
      <c r="P578" s="650"/>
      <c r="Q578" s="650"/>
      <c r="R578" s="650"/>
      <c r="S578" s="650"/>
      <c r="T578" s="650"/>
      <c r="U578" s="650"/>
      <c r="V578" s="650"/>
      <c r="W578" s="650"/>
      <c r="X578" s="650"/>
      <c r="Y578" s="650"/>
      <c r="Z578" s="650"/>
      <c r="AA578" s="650"/>
      <c r="AB578" s="650"/>
      <c r="AC578" s="650"/>
      <c r="AD578" s="650"/>
      <c r="AE578" s="650"/>
      <c r="AF578" s="650"/>
      <c r="AG578" s="650"/>
      <c r="AH578" s="650"/>
      <c r="AI578" s="650"/>
      <c r="AJ578" s="650"/>
      <c r="AK578" s="650"/>
      <c r="AL578" s="650"/>
      <c r="AM578" s="650"/>
      <c r="AN578" s="650"/>
      <c r="AO578" s="650"/>
      <c r="AP578" s="650"/>
      <c r="AQ578" s="650"/>
      <c r="AR578" s="650"/>
      <c r="AS578" s="650"/>
      <c r="AT578" s="650"/>
      <c r="AU578" s="650"/>
      <c r="AV578" s="650"/>
      <c r="AW578" s="650"/>
      <c r="AX578" s="650"/>
      <c r="AY578" s="650"/>
    </row>
    <row r="579" ht="21.75" customHeight="1">
      <c r="A579" s="650"/>
      <c r="B579" s="650"/>
      <c r="C579" s="650"/>
      <c r="D579" s="650"/>
      <c r="E579" s="650"/>
      <c r="F579" s="650"/>
      <c r="G579" s="650"/>
      <c r="H579" s="650"/>
      <c r="I579" s="650"/>
      <c r="J579" s="650"/>
      <c r="K579" s="650"/>
      <c r="L579" s="650"/>
      <c r="M579" s="650"/>
      <c r="N579" s="650"/>
      <c r="O579" s="650"/>
      <c r="P579" s="650"/>
      <c r="Q579" s="650"/>
      <c r="R579" s="650"/>
      <c r="S579" s="650"/>
      <c r="T579" s="650"/>
      <c r="U579" s="650"/>
      <c r="V579" s="650"/>
      <c r="W579" s="650"/>
      <c r="X579" s="650"/>
      <c r="Y579" s="650"/>
      <c r="Z579" s="650"/>
      <c r="AA579" s="650"/>
      <c r="AB579" s="650"/>
      <c r="AC579" s="650"/>
      <c r="AD579" s="650"/>
      <c r="AE579" s="650"/>
      <c r="AF579" s="650"/>
      <c r="AG579" s="650"/>
      <c r="AH579" s="650"/>
      <c r="AI579" s="650"/>
      <c r="AJ579" s="650"/>
      <c r="AK579" s="650"/>
      <c r="AL579" s="650"/>
      <c r="AM579" s="650"/>
      <c r="AN579" s="650"/>
      <c r="AO579" s="650"/>
      <c r="AP579" s="650"/>
      <c r="AQ579" s="650"/>
      <c r="AR579" s="650"/>
      <c r="AS579" s="650"/>
      <c r="AT579" s="650"/>
      <c r="AU579" s="650"/>
      <c r="AV579" s="650"/>
      <c r="AW579" s="650"/>
      <c r="AX579" s="650"/>
      <c r="AY579" s="650"/>
    </row>
    <row r="580" ht="21.75" customHeight="1">
      <c r="A580" s="650"/>
      <c r="B580" s="650"/>
      <c r="C580" s="650"/>
      <c r="D580" s="650"/>
      <c r="E580" s="650"/>
      <c r="F580" s="650"/>
      <c r="G580" s="650"/>
      <c r="H580" s="650"/>
      <c r="I580" s="650"/>
      <c r="J580" s="650"/>
      <c r="K580" s="650"/>
      <c r="L580" s="650"/>
      <c r="M580" s="650"/>
      <c r="N580" s="650"/>
      <c r="O580" s="650"/>
      <c r="P580" s="650"/>
      <c r="Q580" s="650"/>
      <c r="R580" s="650"/>
      <c r="S580" s="650"/>
      <c r="T580" s="650"/>
      <c r="U580" s="650"/>
      <c r="V580" s="650"/>
      <c r="W580" s="650"/>
      <c r="X580" s="650"/>
      <c r="Y580" s="650"/>
      <c r="Z580" s="650"/>
      <c r="AA580" s="650"/>
      <c r="AB580" s="650"/>
      <c r="AC580" s="650"/>
      <c r="AD580" s="650"/>
      <c r="AE580" s="650"/>
      <c r="AF580" s="650"/>
      <c r="AG580" s="650"/>
      <c r="AH580" s="650"/>
      <c r="AI580" s="650"/>
      <c r="AJ580" s="650"/>
      <c r="AK580" s="650"/>
      <c r="AL580" s="650"/>
      <c r="AM580" s="650"/>
      <c r="AN580" s="650"/>
      <c r="AO580" s="650"/>
      <c r="AP580" s="650"/>
      <c r="AQ580" s="650"/>
      <c r="AR580" s="650"/>
      <c r="AS580" s="650"/>
      <c r="AT580" s="650"/>
      <c r="AU580" s="650"/>
      <c r="AV580" s="650"/>
      <c r="AW580" s="650"/>
      <c r="AX580" s="650"/>
      <c r="AY580" s="650"/>
    </row>
    <row r="581" ht="21.75" customHeight="1">
      <c r="A581" s="650"/>
      <c r="B581" s="650"/>
      <c r="C581" s="650"/>
      <c r="D581" s="650"/>
      <c r="E581" s="650"/>
      <c r="F581" s="650"/>
      <c r="G581" s="650"/>
      <c r="H581" s="650"/>
      <c r="I581" s="650"/>
      <c r="J581" s="650"/>
      <c r="K581" s="650"/>
      <c r="L581" s="650"/>
      <c r="M581" s="650"/>
      <c r="N581" s="650"/>
      <c r="O581" s="650"/>
      <c r="P581" s="650"/>
      <c r="Q581" s="650"/>
      <c r="R581" s="650"/>
      <c r="S581" s="650"/>
      <c r="T581" s="650"/>
      <c r="U581" s="650"/>
      <c r="V581" s="650"/>
      <c r="W581" s="650"/>
      <c r="X581" s="650"/>
      <c r="Y581" s="650"/>
      <c r="Z581" s="650"/>
      <c r="AA581" s="650"/>
      <c r="AB581" s="650"/>
      <c r="AC581" s="650"/>
      <c r="AD581" s="650"/>
      <c r="AE581" s="650"/>
      <c r="AF581" s="650"/>
      <c r="AG581" s="650"/>
      <c r="AH581" s="650"/>
      <c r="AI581" s="650"/>
      <c r="AJ581" s="650"/>
      <c r="AK581" s="650"/>
      <c r="AL581" s="650"/>
      <c r="AM581" s="650"/>
      <c r="AN581" s="650"/>
      <c r="AO581" s="650"/>
      <c r="AP581" s="650"/>
      <c r="AQ581" s="650"/>
      <c r="AR581" s="650"/>
      <c r="AS581" s="650"/>
      <c r="AT581" s="650"/>
      <c r="AU581" s="650"/>
      <c r="AV581" s="650"/>
      <c r="AW581" s="650"/>
      <c r="AX581" s="650"/>
      <c r="AY581" s="650"/>
    </row>
    <row r="582" ht="21.75" customHeight="1">
      <c r="A582" s="650"/>
      <c r="B582" s="650"/>
      <c r="C582" s="650"/>
      <c r="D582" s="650"/>
      <c r="E582" s="650"/>
      <c r="F582" s="650"/>
      <c r="G582" s="650"/>
      <c r="H582" s="650"/>
      <c r="I582" s="650"/>
      <c r="J582" s="650"/>
      <c r="K582" s="650"/>
      <c r="L582" s="650"/>
      <c r="M582" s="650"/>
      <c r="N582" s="650"/>
      <c r="O582" s="650"/>
      <c r="P582" s="650"/>
      <c r="Q582" s="650"/>
      <c r="R582" s="650"/>
      <c r="S582" s="650"/>
      <c r="T582" s="650"/>
      <c r="U582" s="650"/>
      <c r="V582" s="650"/>
      <c r="W582" s="650"/>
      <c r="X582" s="650"/>
      <c r="Y582" s="650"/>
      <c r="Z582" s="650"/>
      <c r="AA582" s="650"/>
      <c r="AB582" s="650"/>
      <c r="AC582" s="650"/>
      <c r="AD582" s="650"/>
      <c r="AE582" s="650"/>
      <c r="AF582" s="650"/>
      <c r="AG582" s="650"/>
      <c r="AH582" s="650"/>
      <c r="AI582" s="650"/>
      <c r="AJ582" s="650"/>
      <c r="AK582" s="650"/>
      <c r="AL582" s="650"/>
      <c r="AM582" s="650"/>
      <c r="AN582" s="650"/>
      <c r="AO582" s="650"/>
      <c r="AP582" s="650"/>
      <c r="AQ582" s="650"/>
      <c r="AR582" s="650"/>
      <c r="AS582" s="650"/>
      <c r="AT582" s="650"/>
      <c r="AU582" s="650"/>
      <c r="AV582" s="650"/>
      <c r="AW582" s="650"/>
      <c r="AX582" s="650"/>
      <c r="AY582" s="650"/>
    </row>
    <row r="583" ht="21.75" customHeight="1">
      <c r="A583" s="650"/>
      <c r="B583" s="650"/>
      <c r="C583" s="650"/>
      <c r="D583" s="650"/>
      <c r="E583" s="650"/>
      <c r="F583" s="650"/>
      <c r="G583" s="650"/>
      <c r="H583" s="650"/>
      <c r="I583" s="650"/>
      <c r="J583" s="650"/>
      <c r="K583" s="650"/>
      <c r="L583" s="650"/>
      <c r="M583" s="650"/>
      <c r="N583" s="650"/>
      <c r="O583" s="650"/>
      <c r="P583" s="650"/>
      <c r="Q583" s="650"/>
      <c r="R583" s="650"/>
      <c r="S583" s="650"/>
      <c r="T583" s="650"/>
      <c r="U583" s="650"/>
      <c r="V583" s="650"/>
      <c r="W583" s="650"/>
      <c r="X583" s="650"/>
      <c r="Y583" s="650"/>
      <c r="Z583" s="650"/>
      <c r="AA583" s="650"/>
      <c r="AB583" s="650"/>
      <c r="AC583" s="650"/>
      <c r="AD583" s="650"/>
      <c r="AE583" s="650"/>
      <c r="AF583" s="650"/>
      <c r="AG583" s="650"/>
      <c r="AH583" s="650"/>
      <c r="AI583" s="650"/>
      <c r="AJ583" s="650"/>
      <c r="AK583" s="650"/>
      <c r="AL583" s="650"/>
      <c r="AM583" s="650"/>
      <c r="AN583" s="650"/>
      <c r="AO583" s="650"/>
      <c r="AP583" s="650"/>
      <c r="AQ583" s="650"/>
      <c r="AR583" s="650"/>
      <c r="AS583" s="650"/>
      <c r="AT583" s="650"/>
      <c r="AU583" s="650"/>
      <c r="AV583" s="650"/>
      <c r="AW583" s="650"/>
      <c r="AX583" s="650"/>
      <c r="AY583" s="650"/>
    </row>
    <row r="584" ht="21.75" customHeight="1">
      <c r="A584" s="650"/>
      <c r="B584" s="650"/>
      <c r="C584" s="650"/>
      <c r="D584" s="650"/>
      <c r="E584" s="650"/>
      <c r="F584" s="650"/>
      <c r="G584" s="650"/>
      <c r="H584" s="650"/>
      <c r="I584" s="650"/>
      <c r="J584" s="650"/>
      <c r="K584" s="650"/>
      <c r="L584" s="650"/>
      <c r="M584" s="650"/>
      <c r="N584" s="650"/>
      <c r="O584" s="650"/>
      <c r="P584" s="650"/>
      <c r="Q584" s="650"/>
      <c r="R584" s="650"/>
      <c r="S584" s="650"/>
      <c r="T584" s="650"/>
      <c r="U584" s="650"/>
      <c r="V584" s="650"/>
      <c r="W584" s="650"/>
      <c r="X584" s="650"/>
      <c r="Y584" s="650"/>
      <c r="Z584" s="650"/>
      <c r="AA584" s="650"/>
      <c r="AB584" s="650"/>
      <c r="AC584" s="650"/>
      <c r="AD584" s="650"/>
      <c r="AE584" s="650"/>
      <c r="AF584" s="650"/>
      <c r="AG584" s="650"/>
      <c r="AH584" s="650"/>
      <c r="AI584" s="650"/>
      <c r="AJ584" s="650"/>
      <c r="AK584" s="650"/>
      <c r="AL584" s="650"/>
      <c r="AM584" s="650"/>
      <c r="AN584" s="650"/>
      <c r="AO584" s="650"/>
      <c r="AP584" s="650"/>
      <c r="AQ584" s="650"/>
      <c r="AR584" s="650"/>
      <c r="AS584" s="650"/>
      <c r="AT584" s="650"/>
      <c r="AU584" s="650"/>
      <c r="AV584" s="650"/>
      <c r="AW584" s="650"/>
      <c r="AX584" s="650"/>
      <c r="AY584" s="650"/>
    </row>
    <row r="585" ht="21.75" customHeight="1">
      <c r="A585" s="650"/>
      <c r="B585" s="650"/>
      <c r="C585" s="650"/>
      <c r="D585" s="650"/>
      <c r="E585" s="650"/>
      <c r="F585" s="650"/>
      <c r="G585" s="650"/>
      <c r="H585" s="650"/>
      <c r="I585" s="650"/>
      <c r="J585" s="650"/>
      <c r="K585" s="650"/>
      <c r="L585" s="650"/>
      <c r="M585" s="650"/>
      <c r="N585" s="650"/>
      <c r="O585" s="650"/>
      <c r="P585" s="650"/>
      <c r="Q585" s="650"/>
      <c r="R585" s="650"/>
      <c r="S585" s="650"/>
      <c r="T585" s="650"/>
      <c r="U585" s="650"/>
      <c r="V585" s="650"/>
      <c r="W585" s="650"/>
      <c r="X585" s="650"/>
      <c r="Y585" s="650"/>
      <c r="Z585" s="650"/>
      <c r="AA585" s="650"/>
      <c r="AB585" s="650"/>
      <c r="AC585" s="650"/>
      <c r="AD585" s="650"/>
      <c r="AE585" s="650"/>
      <c r="AF585" s="650"/>
      <c r="AG585" s="650"/>
      <c r="AH585" s="650"/>
      <c r="AI585" s="650"/>
      <c r="AJ585" s="650"/>
      <c r="AK585" s="650"/>
      <c r="AL585" s="650"/>
      <c r="AM585" s="650"/>
      <c r="AN585" s="650"/>
      <c r="AO585" s="650"/>
      <c r="AP585" s="650"/>
      <c r="AQ585" s="650"/>
      <c r="AR585" s="650"/>
      <c r="AS585" s="650"/>
      <c r="AT585" s="650"/>
      <c r="AU585" s="650"/>
      <c r="AV585" s="650"/>
      <c r="AW585" s="650"/>
      <c r="AX585" s="650"/>
      <c r="AY585" s="650"/>
    </row>
    <row r="586" ht="21.75" customHeight="1">
      <c r="A586" s="650"/>
      <c r="B586" s="650"/>
      <c r="C586" s="650"/>
      <c r="D586" s="650"/>
      <c r="E586" s="650"/>
      <c r="F586" s="650"/>
      <c r="G586" s="650"/>
      <c r="H586" s="650"/>
      <c r="I586" s="650"/>
      <c r="J586" s="650"/>
      <c r="K586" s="650"/>
      <c r="L586" s="650"/>
      <c r="M586" s="650"/>
      <c r="N586" s="650"/>
      <c r="O586" s="650"/>
      <c r="P586" s="650"/>
      <c r="Q586" s="650"/>
      <c r="R586" s="650"/>
      <c r="S586" s="650"/>
      <c r="T586" s="650"/>
      <c r="U586" s="650"/>
      <c r="V586" s="650"/>
      <c r="W586" s="650"/>
      <c r="X586" s="650"/>
      <c r="Y586" s="650"/>
      <c r="Z586" s="650"/>
      <c r="AA586" s="650"/>
      <c r="AB586" s="650"/>
      <c r="AC586" s="650"/>
      <c r="AD586" s="650"/>
      <c r="AE586" s="650"/>
      <c r="AF586" s="650"/>
      <c r="AG586" s="650"/>
      <c r="AH586" s="650"/>
      <c r="AI586" s="650"/>
      <c r="AJ586" s="650"/>
      <c r="AK586" s="650"/>
      <c r="AL586" s="650"/>
      <c r="AM586" s="650"/>
      <c r="AN586" s="650"/>
      <c r="AO586" s="650"/>
      <c r="AP586" s="650"/>
      <c r="AQ586" s="650"/>
      <c r="AR586" s="650"/>
      <c r="AS586" s="650"/>
      <c r="AT586" s="650"/>
      <c r="AU586" s="650"/>
      <c r="AV586" s="650"/>
      <c r="AW586" s="650"/>
      <c r="AX586" s="650"/>
      <c r="AY586" s="650"/>
    </row>
    <row r="587" ht="21.75" customHeight="1">
      <c r="A587" s="650"/>
      <c r="B587" s="650"/>
      <c r="C587" s="650"/>
      <c r="D587" s="650"/>
      <c r="E587" s="650"/>
      <c r="F587" s="650"/>
      <c r="G587" s="650"/>
      <c r="H587" s="650"/>
      <c r="I587" s="650"/>
      <c r="J587" s="650"/>
      <c r="K587" s="650"/>
      <c r="L587" s="650"/>
      <c r="M587" s="650"/>
      <c r="N587" s="650"/>
      <c r="O587" s="650"/>
      <c r="P587" s="650"/>
      <c r="Q587" s="650"/>
      <c r="R587" s="650"/>
      <c r="S587" s="650"/>
      <c r="T587" s="650"/>
      <c r="U587" s="650"/>
      <c r="V587" s="650"/>
      <c r="W587" s="650"/>
      <c r="X587" s="650"/>
      <c r="Y587" s="650"/>
      <c r="Z587" s="650"/>
      <c r="AA587" s="650"/>
      <c r="AB587" s="650"/>
      <c r="AC587" s="650"/>
      <c r="AD587" s="650"/>
      <c r="AE587" s="650"/>
      <c r="AF587" s="650"/>
      <c r="AG587" s="650"/>
      <c r="AH587" s="650"/>
      <c r="AI587" s="650"/>
      <c r="AJ587" s="650"/>
      <c r="AK587" s="650"/>
      <c r="AL587" s="650"/>
      <c r="AM587" s="650"/>
      <c r="AN587" s="650"/>
      <c r="AO587" s="650"/>
      <c r="AP587" s="650"/>
      <c r="AQ587" s="650"/>
      <c r="AR587" s="650"/>
      <c r="AS587" s="650"/>
      <c r="AT587" s="650"/>
      <c r="AU587" s="650"/>
      <c r="AV587" s="650"/>
      <c r="AW587" s="650"/>
      <c r="AX587" s="650"/>
      <c r="AY587" s="650"/>
    </row>
    <row r="588" ht="21.75" customHeight="1">
      <c r="A588" s="650"/>
      <c r="B588" s="650"/>
      <c r="C588" s="650"/>
      <c r="D588" s="650"/>
      <c r="E588" s="650"/>
      <c r="F588" s="650"/>
      <c r="G588" s="650"/>
      <c r="H588" s="650"/>
      <c r="I588" s="650"/>
      <c r="J588" s="650"/>
      <c r="K588" s="650"/>
      <c r="L588" s="650"/>
      <c r="M588" s="650"/>
      <c r="N588" s="650"/>
      <c r="O588" s="650"/>
      <c r="P588" s="650"/>
      <c r="Q588" s="650"/>
      <c r="R588" s="650"/>
      <c r="S588" s="650"/>
      <c r="T588" s="650"/>
      <c r="U588" s="650"/>
      <c r="V588" s="650"/>
      <c r="W588" s="650"/>
      <c r="X588" s="650"/>
      <c r="Y588" s="650"/>
      <c r="Z588" s="650"/>
      <c r="AA588" s="650"/>
      <c r="AB588" s="650"/>
      <c r="AC588" s="650"/>
      <c r="AD588" s="650"/>
      <c r="AE588" s="650"/>
      <c r="AF588" s="650"/>
      <c r="AG588" s="650"/>
      <c r="AH588" s="650"/>
      <c r="AI588" s="650"/>
      <c r="AJ588" s="650"/>
      <c r="AK588" s="650"/>
      <c r="AL588" s="650"/>
      <c r="AM588" s="650"/>
      <c r="AN588" s="650"/>
      <c r="AO588" s="650"/>
      <c r="AP588" s="650"/>
      <c r="AQ588" s="650"/>
      <c r="AR588" s="650"/>
      <c r="AS588" s="650"/>
      <c r="AT588" s="650"/>
      <c r="AU588" s="650"/>
      <c r="AV588" s="650"/>
      <c r="AW588" s="650"/>
      <c r="AX588" s="650"/>
      <c r="AY588" s="650"/>
    </row>
    <row r="589" ht="21.75" customHeight="1">
      <c r="A589" s="650"/>
      <c r="B589" s="650"/>
      <c r="C589" s="650"/>
      <c r="D589" s="650"/>
      <c r="E589" s="650"/>
      <c r="F589" s="650"/>
      <c r="G589" s="650"/>
      <c r="H589" s="650"/>
      <c r="I589" s="650"/>
      <c r="J589" s="650"/>
      <c r="K589" s="650"/>
      <c r="L589" s="650"/>
      <c r="M589" s="650"/>
      <c r="N589" s="650"/>
      <c r="O589" s="650"/>
      <c r="P589" s="650"/>
      <c r="Q589" s="650"/>
      <c r="R589" s="650"/>
      <c r="S589" s="650"/>
      <c r="T589" s="650"/>
      <c r="U589" s="650"/>
      <c r="V589" s="650"/>
      <c r="W589" s="650"/>
      <c r="X589" s="650"/>
      <c r="Y589" s="650"/>
      <c r="Z589" s="650"/>
      <c r="AA589" s="650"/>
      <c r="AB589" s="650"/>
      <c r="AC589" s="650"/>
      <c r="AD589" s="650"/>
      <c r="AE589" s="650"/>
      <c r="AF589" s="650"/>
      <c r="AG589" s="650"/>
      <c r="AH589" s="650"/>
      <c r="AI589" s="650"/>
      <c r="AJ589" s="650"/>
      <c r="AK589" s="650"/>
      <c r="AL589" s="650"/>
      <c r="AM589" s="650"/>
      <c r="AN589" s="650"/>
      <c r="AO589" s="650"/>
      <c r="AP589" s="650"/>
      <c r="AQ589" s="650"/>
      <c r="AR589" s="650"/>
      <c r="AS589" s="650"/>
      <c r="AT589" s="650"/>
      <c r="AU589" s="650"/>
      <c r="AV589" s="650"/>
      <c r="AW589" s="650"/>
      <c r="AX589" s="650"/>
      <c r="AY589" s="650"/>
    </row>
    <row r="590" ht="21.75" customHeight="1">
      <c r="A590" s="650"/>
      <c r="B590" s="650"/>
      <c r="C590" s="650"/>
      <c r="D590" s="650"/>
      <c r="E590" s="650"/>
      <c r="F590" s="650"/>
      <c r="G590" s="650"/>
      <c r="H590" s="650"/>
      <c r="I590" s="650"/>
      <c r="J590" s="650"/>
      <c r="K590" s="650"/>
      <c r="L590" s="650"/>
      <c r="M590" s="650"/>
      <c r="N590" s="650"/>
      <c r="O590" s="650"/>
      <c r="P590" s="650"/>
      <c r="Q590" s="650"/>
      <c r="R590" s="650"/>
      <c r="S590" s="650"/>
      <c r="T590" s="650"/>
      <c r="U590" s="650"/>
      <c r="V590" s="650"/>
      <c r="W590" s="650"/>
      <c r="X590" s="650"/>
      <c r="Y590" s="650"/>
      <c r="Z590" s="650"/>
      <c r="AA590" s="650"/>
      <c r="AB590" s="650"/>
      <c r="AC590" s="650"/>
      <c r="AD590" s="650"/>
      <c r="AE590" s="650"/>
      <c r="AF590" s="650"/>
      <c r="AG590" s="650"/>
      <c r="AH590" s="650"/>
      <c r="AI590" s="650"/>
      <c r="AJ590" s="650"/>
      <c r="AK590" s="650"/>
      <c r="AL590" s="650"/>
      <c r="AM590" s="650"/>
      <c r="AN590" s="650"/>
      <c r="AO590" s="650"/>
      <c r="AP590" s="650"/>
      <c r="AQ590" s="650"/>
      <c r="AR590" s="650"/>
      <c r="AS590" s="650"/>
      <c r="AT590" s="650"/>
      <c r="AU590" s="650"/>
      <c r="AV590" s="650"/>
      <c r="AW590" s="650"/>
      <c r="AX590" s="650"/>
      <c r="AY590" s="650"/>
    </row>
    <row r="591" ht="21.75" customHeight="1">
      <c r="A591" s="650"/>
      <c r="B591" s="650"/>
      <c r="C591" s="650"/>
      <c r="D591" s="650"/>
      <c r="E591" s="650"/>
      <c r="F591" s="650"/>
      <c r="G591" s="650"/>
      <c r="H591" s="650"/>
      <c r="I591" s="650"/>
      <c r="J591" s="650"/>
      <c r="K591" s="650"/>
      <c r="L591" s="650"/>
      <c r="M591" s="650"/>
      <c r="N591" s="650"/>
      <c r="O591" s="650"/>
      <c r="P591" s="650"/>
      <c r="Q591" s="650"/>
      <c r="R591" s="650"/>
      <c r="S591" s="650"/>
      <c r="T591" s="650"/>
      <c r="U591" s="650"/>
      <c r="V591" s="650"/>
      <c r="W591" s="650"/>
      <c r="X591" s="650"/>
      <c r="Y591" s="650"/>
      <c r="Z591" s="650"/>
      <c r="AA591" s="650"/>
      <c r="AB591" s="650"/>
      <c r="AC591" s="650"/>
      <c r="AD591" s="650"/>
      <c r="AE591" s="650"/>
      <c r="AF591" s="650"/>
      <c r="AG591" s="650"/>
      <c r="AH591" s="650"/>
      <c r="AI591" s="650"/>
      <c r="AJ591" s="650"/>
      <c r="AK591" s="650"/>
      <c r="AL591" s="650"/>
      <c r="AM591" s="650"/>
      <c r="AN591" s="650"/>
      <c r="AO591" s="650"/>
      <c r="AP591" s="650"/>
      <c r="AQ591" s="650"/>
      <c r="AR591" s="650"/>
      <c r="AS591" s="650"/>
      <c r="AT591" s="650"/>
      <c r="AU591" s="650"/>
      <c r="AV591" s="650"/>
      <c r="AW591" s="650"/>
      <c r="AX591" s="650"/>
      <c r="AY591" s="650"/>
    </row>
    <row r="592" ht="21.75" customHeight="1">
      <c r="A592" s="650"/>
      <c r="B592" s="650"/>
      <c r="C592" s="650"/>
      <c r="D592" s="650"/>
      <c r="E592" s="650"/>
      <c r="F592" s="650"/>
      <c r="G592" s="650"/>
      <c r="H592" s="650"/>
      <c r="I592" s="650"/>
      <c r="J592" s="650"/>
      <c r="K592" s="650"/>
      <c r="L592" s="650"/>
      <c r="M592" s="650"/>
      <c r="N592" s="650"/>
      <c r="O592" s="650"/>
      <c r="P592" s="650"/>
      <c r="Q592" s="650"/>
      <c r="R592" s="650"/>
      <c r="S592" s="650"/>
      <c r="T592" s="650"/>
      <c r="U592" s="650"/>
      <c r="V592" s="650"/>
      <c r="W592" s="650"/>
      <c r="X592" s="650"/>
      <c r="Y592" s="650"/>
      <c r="Z592" s="650"/>
      <c r="AA592" s="650"/>
      <c r="AB592" s="650"/>
      <c r="AC592" s="650"/>
      <c r="AD592" s="650"/>
      <c r="AE592" s="650"/>
      <c r="AF592" s="650"/>
      <c r="AG592" s="650"/>
      <c r="AH592" s="650"/>
      <c r="AI592" s="650"/>
      <c r="AJ592" s="650"/>
      <c r="AK592" s="650"/>
      <c r="AL592" s="650"/>
      <c r="AM592" s="650"/>
      <c r="AN592" s="650"/>
      <c r="AO592" s="650"/>
      <c r="AP592" s="650"/>
      <c r="AQ592" s="650"/>
      <c r="AR592" s="650"/>
      <c r="AS592" s="650"/>
      <c r="AT592" s="650"/>
      <c r="AU592" s="650"/>
      <c r="AV592" s="650"/>
      <c r="AW592" s="650"/>
      <c r="AX592" s="650"/>
      <c r="AY592" s="650"/>
    </row>
    <row r="593" ht="21.75" customHeight="1">
      <c r="A593" s="650"/>
      <c r="B593" s="650"/>
      <c r="C593" s="650"/>
      <c r="D593" s="650"/>
      <c r="E593" s="650"/>
      <c r="F593" s="650"/>
      <c r="G593" s="650"/>
      <c r="H593" s="650"/>
      <c r="I593" s="650"/>
      <c r="J593" s="650"/>
      <c r="K593" s="650"/>
      <c r="L593" s="650"/>
      <c r="M593" s="650"/>
      <c r="N593" s="650"/>
      <c r="O593" s="650"/>
      <c r="P593" s="650"/>
      <c r="Q593" s="650"/>
      <c r="R593" s="650"/>
      <c r="S593" s="650"/>
      <c r="T593" s="650"/>
      <c r="U593" s="650"/>
      <c r="V593" s="650"/>
      <c r="W593" s="650"/>
      <c r="X593" s="650"/>
      <c r="Y593" s="650"/>
      <c r="Z593" s="650"/>
      <c r="AA593" s="650"/>
      <c r="AB593" s="650"/>
      <c r="AC593" s="650"/>
      <c r="AD593" s="650"/>
      <c r="AE593" s="650"/>
      <c r="AF593" s="650"/>
      <c r="AG593" s="650"/>
      <c r="AH593" s="650"/>
      <c r="AI593" s="650"/>
      <c r="AJ593" s="650"/>
      <c r="AK593" s="650"/>
      <c r="AL593" s="650"/>
      <c r="AM593" s="650"/>
      <c r="AN593" s="650"/>
      <c r="AO593" s="650"/>
      <c r="AP593" s="650"/>
      <c r="AQ593" s="650"/>
      <c r="AR593" s="650"/>
      <c r="AS593" s="650"/>
      <c r="AT593" s="650"/>
      <c r="AU593" s="650"/>
      <c r="AV593" s="650"/>
      <c r="AW593" s="650"/>
      <c r="AX593" s="650"/>
      <c r="AY593" s="650"/>
    </row>
    <row r="594" ht="21.75" customHeight="1">
      <c r="A594" s="650"/>
      <c r="B594" s="650"/>
      <c r="C594" s="650"/>
      <c r="D594" s="650"/>
      <c r="E594" s="650"/>
      <c r="F594" s="650"/>
      <c r="G594" s="650"/>
      <c r="H594" s="650"/>
      <c r="I594" s="650"/>
      <c r="J594" s="650"/>
      <c r="K594" s="650"/>
      <c r="L594" s="650"/>
      <c r="M594" s="650"/>
      <c r="N594" s="650"/>
      <c r="O594" s="650"/>
      <c r="P594" s="650"/>
      <c r="Q594" s="650"/>
      <c r="R594" s="650"/>
      <c r="S594" s="650"/>
      <c r="T594" s="650"/>
      <c r="U594" s="650"/>
      <c r="V594" s="650"/>
      <c r="W594" s="650"/>
      <c r="X594" s="650"/>
      <c r="Y594" s="650"/>
      <c r="Z594" s="650"/>
      <c r="AA594" s="650"/>
      <c r="AB594" s="650"/>
      <c r="AC594" s="650"/>
      <c r="AD594" s="650"/>
      <c r="AE594" s="650"/>
      <c r="AF594" s="650"/>
      <c r="AG594" s="650"/>
      <c r="AH594" s="650"/>
      <c r="AI594" s="650"/>
      <c r="AJ594" s="650"/>
      <c r="AK594" s="650"/>
      <c r="AL594" s="650"/>
      <c r="AM594" s="650"/>
      <c r="AN594" s="650"/>
      <c r="AO594" s="650"/>
      <c r="AP594" s="650"/>
      <c r="AQ594" s="650"/>
      <c r="AR594" s="650"/>
      <c r="AS594" s="650"/>
      <c r="AT594" s="650"/>
      <c r="AU594" s="650"/>
      <c r="AV594" s="650"/>
      <c r="AW594" s="650"/>
      <c r="AX594" s="650"/>
      <c r="AY594" s="650"/>
    </row>
    <row r="595" ht="21.75" customHeight="1">
      <c r="A595" s="650"/>
      <c r="B595" s="650"/>
      <c r="C595" s="650"/>
      <c r="D595" s="650"/>
      <c r="E595" s="650"/>
      <c r="F595" s="650"/>
      <c r="G595" s="650"/>
      <c r="H595" s="650"/>
      <c r="I595" s="650"/>
      <c r="J595" s="650"/>
      <c r="K595" s="650"/>
      <c r="L595" s="650"/>
      <c r="M595" s="650"/>
      <c r="N595" s="650"/>
      <c r="O595" s="650"/>
      <c r="P595" s="650"/>
      <c r="Q595" s="650"/>
      <c r="R595" s="650"/>
      <c r="S595" s="650"/>
      <c r="T595" s="650"/>
      <c r="U595" s="650"/>
      <c r="V595" s="650"/>
      <c r="W595" s="650"/>
      <c r="X595" s="650"/>
      <c r="Y595" s="650"/>
      <c r="Z595" s="650"/>
      <c r="AA595" s="650"/>
      <c r="AB595" s="650"/>
      <c r="AC595" s="650"/>
      <c r="AD595" s="650"/>
      <c r="AE595" s="650"/>
      <c r="AF595" s="650"/>
      <c r="AG595" s="650"/>
      <c r="AH595" s="650"/>
      <c r="AI595" s="650"/>
      <c r="AJ595" s="650"/>
      <c r="AK595" s="650"/>
      <c r="AL595" s="650"/>
      <c r="AM595" s="650"/>
      <c r="AN595" s="650"/>
      <c r="AO595" s="650"/>
      <c r="AP595" s="650"/>
      <c r="AQ595" s="650"/>
      <c r="AR595" s="650"/>
      <c r="AS595" s="650"/>
      <c r="AT595" s="650"/>
      <c r="AU595" s="650"/>
      <c r="AV595" s="650"/>
      <c r="AW595" s="650"/>
      <c r="AX595" s="650"/>
      <c r="AY595" s="650"/>
    </row>
    <row r="596" ht="21.75" customHeight="1">
      <c r="A596" s="650"/>
      <c r="B596" s="650"/>
      <c r="C596" s="650"/>
      <c r="D596" s="650"/>
      <c r="E596" s="650"/>
      <c r="F596" s="650"/>
      <c r="G596" s="650"/>
      <c r="H596" s="650"/>
      <c r="I596" s="650"/>
      <c r="J596" s="650"/>
      <c r="K596" s="650"/>
      <c r="L596" s="650"/>
      <c r="M596" s="650"/>
      <c r="N596" s="650"/>
      <c r="O596" s="650"/>
      <c r="P596" s="650"/>
      <c r="Q596" s="650"/>
      <c r="R596" s="650"/>
      <c r="S596" s="650"/>
      <c r="T596" s="650"/>
      <c r="U596" s="650"/>
      <c r="V596" s="650"/>
      <c r="W596" s="650"/>
      <c r="X596" s="650"/>
      <c r="Y596" s="650"/>
      <c r="Z596" s="650"/>
      <c r="AA596" s="650"/>
      <c r="AB596" s="650"/>
      <c r="AC596" s="650"/>
      <c r="AD596" s="650"/>
      <c r="AE596" s="650"/>
      <c r="AF596" s="650"/>
      <c r="AG596" s="650"/>
      <c r="AH596" s="650"/>
      <c r="AI596" s="650"/>
      <c r="AJ596" s="650"/>
      <c r="AK596" s="650"/>
      <c r="AL596" s="650"/>
      <c r="AM596" s="650"/>
      <c r="AN596" s="650"/>
      <c r="AO596" s="650"/>
      <c r="AP596" s="650"/>
      <c r="AQ596" s="650"/>
      <c r="AR596" s="650"/>
      <c r="AS596" s="650"/>
      <c r="AT596" s="650"/>
      <c r="AU596" s="650"/>
      <c r="AV596" s="650"/>
      <c r="AW596" s="650"/>
      <c r="AX596" s="650"/>
      <c r="AY596" s="650"/>
    </row>
    <row r="597" ht="21.75" customHeight="1">
      <c r="A597" s="650"/>
      <c r="B597" s="650"/>
      <c r="C597" s="650"/>
      <c r="D597" s="650"/>
      <c r="E597" s="650"/>
      <c r="F597" s="650"/>
      <c r="G597" s="650"/>
      <c r="H597" s="650"/>
      <c r="I597" s="650"/>
      <c r="J597" s="650"/>
      <c r="K597" s="650"/>
      <c r="L597" s="650"/>
      <c r="M597" s="650"/>
      <c r="N597" s="650"/>
      <c r="O597" s="650"/>
      <c r="P597" s="650"/>
      <c r="Q597" s="650"/>
      <c r="R597" s="650"/>
      <c r="S597" s="650"/>
      <c r="T597" s="650"/>
      <c r="U597" s="650"/>
      <c r="V597" s="650"/>
      <c r="W597" s="650"/>
      <c r="X597" s="650"/>
      <c r="Y597" s="650"/>
      <c r="Z597" s="650"/>
      <c r="AA597" s="650"/>
      <c r="AB597" s="650"/>
      <c r="AC597" s="650"/>
      <c r="AD597" s="650"/>
      <c r="AE597" s="650"/>
      <c r="AF597" s="650"/>
      <c r="AG597" s="650"/>
      <c r="AH597" s="650"/>
      <c r="AI597" s="650"/>
      <c r="AJ597" s="650"/>
      <c r="AK597" s="650"/>
      <c r="AL597" s="650"/>
      <c r="AM597" s="650"/>
      <c r="AN597" s="650"/>
      <c r="AO597" s="650"/>
      <c r="AP597" s="650"/>
      <c r="AQ597" s="650"/>
      <c r="AR597" s="650"/>
      <c r="AS597" s="650"/>
      <c r="AT597" s="650"/>
      <c r="AU597" s="650"/>
      <c r="AV597" s="650"/>
      <c r="AW597" s="650"/>
      <c r="AX597" s="650"/>
      <c r="AY597" s="650"/>
    </row>
    <row r="598" ht="21.75" customHeight="1">
      <c r="A598" s="650"/>
      <c r="B598" s="650"/>
      <c r="C598" s="650"/>
      <c r="D598" s="650"/>
      <c r="E598" s="650"/>
      <c r="F598" s="650"/>
      <c r="G598" s="650"/>
      <c r="H598" s="650"/>
      <c r="I598" s="650"/>
      <c r="J598" s="650"/>
      <c r="K598" s="650"/>
      <c r="L598" s="650"/>
      <c r="M598" s="650"/>
      <c r="N598" s="650"/>
      <c r="O598" s="650"/>
      <c r="P598" s="650"/>
      <c r="Q598" s="650"/>
      <c r="R598" s="650"/>
      <c r="S598" s="650"/>
      <c r="T598" s="650"/>
      <c r="U598" s="650"/>
      <c r="V598" s="650"/>
      <c r="W598" s="650"/>
      <c r="X598" s="650"/>
      <c r="Y598" s="650"/>
      <c r="Z598" s="650"/>
      <c r="AA598" s="650"/>
      <c r="AB598" s="650"/>
      <c r="AC598" s="650"/>
      <c r="AD598" s="650"/>
      <c r="AE598" s="650"/>
      <c r="AF598" s="650"/>
      <c r="AG598" s="650"/>
      <c r="AH598" s="650"/>
      <c r="AI598" s="650"/>
      <c r="AJ598" s="650"/>
      <c r="AK598" s="650"/>
      <c r="AL598" s="650"/>
      <c r="AM598" s="650"/>
      <c r="AN598" s="650"/>
      <c r="AO598" s="650"/>
      <c r="AP598" s="650"/>
      <c r="AQ598" s="650"/>
      <c r="AR598" s="650"/>
      <c r="AS598" s="650"/>
      <c r="AT598" s="650"/>
      <c r="AU598" s="650"/>
      <c r="AV598" s="650"/>
      <c r="AW598" s="650"/>
      <c r="AX598" s="650"/>
      <c r="AY598" s="650"/>
    </row>
    <row r="599" ht="21.75" customHeight="1">
      <c r="A599" s="650"/>
      <c r="B599" s="650"/>
      <c r="C599" s="650"/>
      <c r="D599" s="650"/>
      <c r="E599" s="650"/>
      <c r="F599" s="650"/>
      <c r="G599" s="650"/>
      <c r="H599" s="650"/>
      <c r="I599" s="650"/>
      <c r="J599" s="650"/>
      <c r="K599" s="650"/>
      <c r="L599" s="650"/>
      <c r="M599" s="650"/>
      <c r="N599" s="650"/>
      <c r="O599" s="650"/>
      <c r="P599" s="650"/>
      <c r="Q599" s="650"/>
      <c r="R599" s="650"/>
      <c r="S599" s="650"/>
      <c r="T599" s="650"/>
      <c r="U599" s="650"/>
      <c r="V599" s="650"/>
      <c r="W599" s="650"/>
      <c r="X599" s="650"/>
      <c r="Y599" s="650"/>
      <c r="Z599" s="650"/>
      <c r="AA599" s="650"/>
      <c r="AB599" s="650"/>
      <c r="AC599" s="650"/>
      <c r="AD599" s="650"/>
      <c r="AE599" s="650"/>
      <c r="AF599" s="650"/>
      <c r="AG599" s="650"/>
      <c r="AH599" s="650"/>
      <c r="AI599" s="650"/>
      <c r="AJ599" s="650"/>
      <c r="AK599" s="650"/>
      <c r="AL599" s="650"/>
      <c r="AM599" s="650"/>
      <c r="AN599" s="650"/>
      <c r="AO599" s="650"/>
      <c r="AP599" s="650"/>
      <c r="AQ599" s="650"/>
      <c r="AR599" s="650"/>
      <c r="AS599" s="650"/>
      <c r="AT599" s="650"/>
      <c r="AU599" s="650"/>
      <c r="AV599" s="650"/>
      <c r="AW599" s="650"/>
      <c r="AX599" s="650"/>
      <c r="AY599" s="650"/>
    </row>
    <row r="600" ht="21.75" customHeight="1">
      <c r="A600" s="650"/>
      <c r="B600" s="650"/>
      <c r="C600" s="650"/>
      <c r="D600" s="650"/>
      <c r="E600" s="650"/>
      <c r="F600" s="650"/>
      <c r="G600" s="650"/>
      <c r="H600" s="650"/>
      <c r="I600" s="650"/>
      <c r="J600" s="650"/>
      <c r="K600" s="650"/>
      <c r="L600" s="650"/>
      <c r="M600" s="650"/>
      <c r="N600" s="650"/>
      <c r="O600" s="650"/>
      <c r="P600" s="650"/>
      <c r="Q600" s="650"/>
      <c r="R600" s="650"/>
      <c r="S600" s="650"/>
      <c r="T600" s="650"/>
      <c r="U600" s="650"/>
      <c r="V600" s="650"/>
      <c r="W600" s="650"/>
      <c r="X600" s="650"/>
      <c r="Y600" s="650"/>
      <c r="Z600" s="650"/>
      <c r="AA600" s="650"/>
      <c r="AB600" s="650"/>
      <c r="AC600" s="650"/>
      <c r="AD600" s="650"/>
      <c r="AE600" s="650"/>
      <c r="AF600" s="650"/>
      <c r="AG600" s="650"/>
      <c r="AH600" s="650"/>
      <c r="AI600" s="650"/>
      <c r="AJ600" s="650"/>
      <c r="AK600" s="650"/>
      <c r="AL600" s="650"/>
      <c r="AM600" s="650"/>
      <c r="AN600" s="650"/>
      <c r="AO600" s="650"/>
      <c r="AP600" s="650"/>
      <c r="AQ600" s="650"/>
      <c r="AR600" s="650"/>
      <c r="AS600" s="650"/>
      <c r="AT600" s="650"/>
      <c r="AU600" s="650"/>
      <c r="AV600" s="650"/>
      <c r="AW600" s="650"/>
      <c r="AX600" s="650"/>
      <c r="AY600" s="650"/>
    </row>
    <row r="601" ht="21.75" customHeight="1">
      <c r="A601" s="650"/>
      <c r="B601" s="650"/>
      <c r="C601" s="650"/>
      <c r="D601" s="650"/>
      <c r="E601" s="650"/>
      <c r="F601" s="650"/>
      <c r="G601" s="650"/>
      <c r="H601" s="650"/>
      <c r="I601" s="650"/>
      <c r="J601" s="650"/>
      <c r="K601" s="650"/>
      <c r="L601" s="650"/>
      <c r="M601" s="650"/>
      <c r="N601" s="650"/>
      <c r="O601" s="650"/>
      <c r="P601" s="650"/>
      <c r="Q601" s="650"/>
      <c r="R601" s="650"/>
      <c r="S601" s="650"/>
      <c r="T601" s="650"/>
      <c r="U601" s="650"/>
      <c r="V601" s="650"/>
      <c r="W601" s="650"/>
      <c r="X601" s="650"/>
      <c r="Y601" s="650"/>
      <c r="Z601" s="650"/>
      <c r="AA601" s="650"/>
      <c r="AB601" s="650"/>
      <c r="AC601" s="650"/>
      <c r="AD601" s="650"/>
      <c r="AE601" s="650"/>
      <c r="AF601" s="650"/>
      <c r="AG601" s="650"/>
      <c r="AH601" s="650"/>
      <c r="AI601" s="650"/>
      <c r="AJ601" s="650"/>
      <c r="AK601" s="650"/>
      <c r="AL601" s="650"/>
      <c r="AM601" s="650"/>
      <c r="AN601" s="650"/>
      <c r="AO601" s="650"/>
      <c r="AP601" s="650"/>
      <c r="AQ601" s="650"/>
      <c r="AR601" s="650"/>
      <c r="AS601" s="650"/>
      <c r="AT601" s="650"/>
      <c r="AU601" s="650"/>
      <c r="AV601" s="650"/>
      <c r="AW601" s="650"/>
      <c r="AX601" s="650"/>
      <c r="AY601" s="650"/>
    </row>
    <row r="602" ht="21.75" customHeight="1">
      <c r="A602" s="650"/>
      <c r="B602" s="650"/>
      <c r="C602" s="650"/>
      <c r="D602" s="650"/>
      <c r="E602" s="650"/>
      <c r="F602" s="650"/>
      <c r="G602" s="650"/>
      <c r="H602" s="650"/>
      <c r="I602" s="650"/>
      <c r="J602" s="650"/>
      <c r="K602" s="650"/>
      <c r="L602" s="650"/>
      <c r="M602" s="650"/>
      <c r="N602" s="650"/>
      <c r="O602" s="650"/>
      <c r="P602" s="650"/>
      <c r="Q602" s="650"/>
      <c r="R602" s="650"/>
      <c r="S602" s="650"/>
      <c r="T602" s="650"/>
      <c r="U602" s="650"/>
      <c r="V602" s="650"/>
      <c r="W602" s="650"/>
      <c r="X602" s="650"/>
      <c r="Y602" s="650"/>
      <c r="Z602" s="650"/>
      <c r="AA602" s="650"/>
      <c r="AB602" s="650"/>
      <c r="AC602" s="650"/>
      <c r="AD602" s="650"/>
      <c r="AE602" s="650"/>
      <c r="AF602" s="650"/>
      <c r="AG602" s="650"/>
      <c r="AH602" s="650"/>
      <c r="AI602" s="650"/>
      <c r="AJ602" s="650"/>
      <c r="AK602" s="650"/>
      <c r="AL602" s="650"/>
      <c r="AM602" s="650"/>
      <c r="AN602" s="650"/>
      <c r="AO602" s="650"/>
      <c r="AP602" s="650"/>
      <c r="AQ602" s="650"/>
      <c r="AR602" s="650"/>
      <c r="AS602" s="650"/>
      <c r="AT602" s="650"/>
      <c r="AU602" s="650"/>
      <c r="AV602" s="650"/>
      <c r="AW602" s="650"/>
      <c r="AX602" s="650"/>
      <c r="AY602" s="650"/>
    </row>
    <row r="603" ht="21.75" customHeight="1">
      <c r="A603" s="650"/>
      <c r="B603" s="650"/>
      <c r="C603" s="650"/>
      <c r="D603" s="650"/>
      <c r="E603" s="650"/>
      <c r="F603" s="650"/>
      <c r="G603" s="650"/>
      <c r="H603" s="650"/>
      <c r="I603" s="650"/>
      <c r="J603" s="650"/>
      <c r="K603" s="650"/>
      <c r="L603" s="650"/>
      <c r="M603" s="650"/>
      <c r="N603" s="650"/>
      <c r="O603" s="650"/>
      <c r="P603" s="650"/>
      <c r="Q603" s="650"/>
      <c r="R603" s="650"/>
      <c r="S603" s="650"/>
      <c r="T603" s="650"/>
      <c r="U603" s="650"/>
      <c r="V603" s="650"/>
      <c r="W603" s="650"/>
      <c r="X603" s="650"/>
      <c r="Y603" s="650"/>
      <c r="Z603" s="650"/>
      <c r="AA603" s="650"/>
      <c r="AB603" s="650"/>
      <c r="AC603" s="650"/>
      <c r="AD603" s="650"/>
      <c r="AE603" s="650"/>
      <c r="AF603" s="650"/>
      <c r="AG603" s="650"/>
      <c r="AH603" s="650"/>
      <c r="AI603" s="650"/>
      <c r="AJ603" s="650"/>
      <c r="AK603" s="650"/>
      <c r="AL603" s="650"/>
      <c r="AM603" s="650"/>
      <c r="AN603" s="650"/>
      <c r="AO603" s="650"/>
      <c r="AP603" s="650"/>
      <c r="AQ603" s="650"/>
      <c r="AR603" s="650"/>
      <c r="AS603" s="650"/>
      <c r="AT603" s="650"/>
      <c r="AU603" s="650"/>
      <c r="AV603" s="650"/>
      <c r="AW603" s="650"/>
      <c r="AX603" s="650"/>
      <c r="AY603" s="650"/>
    </row>
    <row r="604" ht="21.75" customHeight="1">
      <c r="A604" s="650"/>
      <c r="B604" s="650"/>
      <c r="C604" s="650"/>
      <c r="D604" s="650"/>
      <c r="E604" s="650"/>
      <c r="F604" s="650"/>
      <c r="G604" s="650"/>
      <c r="H604" s="650"/>
      <c r="I604" s="650"/>
      <c r="J604" s="650"/>
      <c r="K604" s="650"/>
      <c r="L604" s="650"/>
      <c r="M604" s="650"/>
      <c r="N604" s="650"/>
      <c r="O604" s="650"/>
      <c r="P604" s="650"/>
      <c r="Q604" s="650"/>
      <c r="R604" s="650"/>
      <c r="S604" s="650"/>
      <c r="T604" s="650"/>
      <c r="U604" s="650"/>
      <c r="V604" s="650"/>
      <c r="W604" s="650"/>
      <c r="X604" s="650"/>
      <c r="Y604" s="650"/>
      <c r="Z604" s="650"/>
      <c r="AA604" s="650"/>
      <c r="AB604" s="650"/>
      <c r="AC604" s="650"/>
      <c r="AD604" s="650"/>
      <c r="AE604" s="650"/>
      <c r="AF604" s="650"/>
      <c r="AG604" s="650"/>
      <c r="AH604" s="650"/>
      <c r="AI604" s="650"/>
      <c r="AJ604" s="650"/>
      <c r="AK604" s="650"/>
      <c r="AL604" s="650"/>
      <c r="AM604" s="650"/>
      <c r="AN604" s="650"/>
      <c r="AO604" s="650"/>
      <c r="AP604" s="650"/>
      <c r="AQ604" s="650"/>
      <c r="AR604" s="650"/>
      <c r="AS604" s="650"/>
      <c r="AT604" s="650"/>
      <c r="AU604" s="650"/>
      <c r="AV604" s="650"/>
      <c r="AW604" s="650"/>
      <c r="AX604" s="650"/>
      <c r="AY604" s="650"/>
    </row>
    <row r="605" ht="21.75" customHeight="1">
      <c r="A605" s="650"/>
      <c r="B605" s="650"/>
      <c r="C605" s="650"/>
      <c r="D605" s="650"/>
      <c r="E605" s="650"/>
      <c r="F605" s="650"/>
      <c r="G605" s="650"/>
      <c r="H605" s="650"/>
      <c r="I605" s="650"/>
      <c r="J605" s="650"/>
      <c r="K605" s="650"/>
      <c r="L605" s="650"/>
      <c r="M605" s="650"/>
      <c r="N605" s="650"/>
      <c r="O605" s="650"/>
      <c r="P605" s="650"/>
      <c r="Q605" s="650"/>
      <c r="R605" s="650"/>
      <c r="S605" s="650"/>
      <c r="T605" s="650"/>
      <c r="U605" s="650"/>
      <c r="V605" s="650"/>
      <c r="W605" s="650"/>
      <c r="X605" s="650"/>
      <c r="Y605" s="650"/>
      <c r="Z605" s="650"/>
      <c r="AA605" s="650"/>
      <c r="AB605" s="650"/>
      <c r="AC605" s="650"/>
      <c r="AD605" s="650"/>
      <c r="AE605" s="650"/>
      <c r="AF605" s="650"/>
      <c r="AG605" s="650"/>
      <c r="AH605" s="650"/>
      <c r="AI605" s="650"/>
      <c r="AJ605" s="650"/>
      <c r="AK605" s="650"/>
      <c r="AL605" s="650"/>
      <c r="AM605" s="650"/>
      <c r="AN605" s="650"/>
      <c r="AO605" s="650"/>
      <c r="AP605" s="650"/>
      <c r="AQ605" s="650"/>
      <c r="AR605" s="650"/>
      <c r="AS605" s="650"/>
      <c r="AT605" s="650"/>
      <c r="AU605" s="650"/>
      <c r="AV605" s="650"/>
      <c r="AW605" s="650"/>
      <c r="AX605" s="650"/>
      <c r="AY605" s="650"/>
    </row>
    <row r="606" ht="21.75" customHeight="1">
      <c r="A606" s="650"/>
      <c r="B606" s="650"/>
      <c r="C606" s="650"/>
      <c r="D606" s="650"/>
      <c r="E606" s="650"/>
      <c r="F606" s="650"/>
      <c r="G606" s="650"/>
      <c r="H606" s="650"/>
      <c r="I606" s="650"/>
      <c r="J606" s="650"/>
      <c r="K606" s="650"/>
      <c r="L606" s="650"/>
      <c r="M606" s="650"/>
      <c r="N606" s="650"/>
      <c r="O606" s="650"/>
      <c r="P606" s="650"/>
      <c r="Q606" s="650"/>
      <c r="R606" s="650"/>
      <c r="S606" s="650"/>
      <c r="T606" s="650"/>
      <c r="U606" s="650"/>
      <c r="V606" s="650"/>
      <c r="W606" s="650"/>
      <c r="X606" s="650"/>
      <c r="Y606" s="650"/>
      <c r="Z606" s="650"/>
      <c r="AA606" s="650"/>
      <c r="AB606" s="650"/>
      <c r="AC606" s="650"/>
      <c r="AD606" s="650"/>
      <c r="AE606" s="650"/>
      <c r="AF606" s="650"/>
      <c r="AG606" s="650"/>
      <c r="AH606" s="650"/>
      <c r="AI606" s="650"/>
      <c r="AJ606" s="650"/>
      <c r="AK606" s="650"/>
      <c r="AL606" s="650"/>
      <c r="AM606" s="650"/>
      <c r="AN606" s="650"/>
      <c r="AO606" s="650"/>
      <c r="AP606" s="650"/>
      <c r="AQ606" s="650"/>
      <c r="AR606" s="650"/>
      <c r="AS606" s="650"/>
      <c r="AT606" s="650"/>
      <c r="AU606" s="650"/>
      <c r="AV606" s="650"/>
      <c r="AW606" s="650"/>
      <c r="AX606" s="650"/>
      <c r="AY606" s="650"/>
    </row>
    <row r="607" ht="21.75" customHeight="1">
      <c r="A607" s="650"/>
      <c r="B607" s="650"/>
      <c r="C607" s="650"/>
      <c r="D607" s="650"/>
      <c r="E607" s="650"/>
      <c r="F607" s="650"/>
      <c r="G607" s="650"/>
      <c r="H607" s="650"/>
      <c r="I607" s="650"/>
      <c r="J607" s="650"/>
      <c r="K607" s="650"/>
      <c r="L607" s="650"/>
      <c r="M607" s="650"/>
      <c r="N607" s="650"/>
      <c r="O607" s="650"/>
      <c r="P607" s="650"/>
      <c r="Q607" s="650"/>
      <c r="R607" s="650"/>
      <c r="S607" s="650"/>
      <c r="T607" s="650"/>
      <c r="U607" s="650"/>
      <c r="V607" s="650"/>
      <c r="W607" s="650"/>
      <c r="X607" s="650"/>
      <c r="Y607" s="650"/>
      <c r="Z607" s="650"/>
      <c r="AA607" s="650"/>
      <c r="AB607" s="650"/>
      <c r="AC607" s="650"/>
      <c r="AD607" s="650"/>
      <c r="AE607" s="650"/>
      <c r="AF607" s="650"/>
      <c r="AG607" s="650"/>
      <c r="AH607" s="650"/>
      <c r="AI607" s="650"/>
      <c r="AJ607" s="650"/>
      <c r="AK607" s="650"/>
      <c r="AL607" s="650"/>
      <c r="AM607" s="650"/>
      <c r="AN607" s="650"/>
      <c r="AO607" s="650"/>
      <c r="AP607" s="650"/>
      <c r="AQ607" s="650"/>
      <c r="AR607" s="650"/>
      <c r="AS607" s="650"/>
      <c r="AT607" s="650"/>
      <c r="AU607" s="650"/>
      <c r="AV607" s="650"/>
      <c r="AW607" s="650"/>
      <c r="AX607" s="650"/>
      <c r="AY607" s="650"/>
    </row>
    <row r="608" ht="21.75" customHeight="1">
      <c r="A608" s="650"/>
      <c r="B608" s="650"/>
      <c r="C608" s="650"/>
      <c r="D608" s="650"/>
      <c r="E608" s="650"/>
      <c r="F608" s="650"/>
      <c r="G608" s="650"/>
      <c r="H608" s="650"/>
      <c r="I608" s="650"/>
      <c r="J608" s="650"/>
      <c r="K608" s="650"/>
      <c r="L608" s="650"/>
      <c r="M608" s="650"/>
      <c r="N608" s="650"/>
      <c r="O608" s="650"/>
      <c r="P608" s="650"/>
      <c r="Q608" s="650"/>
      <c r="R608" s="650"/>
      <c r="S608" s="650"/>
      <c r="T608" s="650"/>
      <c r="U608" s="650"/>
      <c r="V608" s="650"/>
      <c r="W608" s="650"/>
      <c r="X608" s="650"/>
      <c r="Y608" s="650"/>
      <c r="Z608" s="650"/>
      <c r="AA608" s="650"/>
      <c r="AB608" s="650"/>
      <c r="AC608" s="650"/>
      <c r="AD608" s="650"/>
      <c r="AE608" s="650"/>
      <c r="AF608" s="650"/>
      <c r="AG608" s="650"/>
      <c r="AH608" s="650"/>
      <c r="AI608" s="650"/>
      <c r="AJ608" s="650"/>
      <c r="AK608" s="650"/>
      <c r="AL608" s="650"/>
      <c r="AM608" s="650"/>
      <c r="AN608" s="650"/>
      <c r="AO608" s="650"/>
      <c r="AP608" s="650"/>
      <c r="AQ608" s="650"/>
      <c r="AR608" s="650"/>
      <c r="AS608" s="650"/>
      <c r="AT608" s="650"/>
      <c r="AU608" s="650"/>
      <c r="AV608" s="650"/>
      <c r="AW608" s="650"/>
      <c r="AX608" s="650"/>
      <c r="AY608" s="650"/>
    </row>
    <row r="609" ht="21.75" customHeight="1">
      <c r="A609" s="650"/>
      <c r="B609" s="650"/>
      <c r="C609" s="650"/>
      <c r="D609" s="650"/>
      <c r="E609" s="650"/>
      <c r="F609" s="650"/>
      <c r="G609" s="650"/>
      <c r="H609" s="650"/>
      <c r="I609" s="650"/>
      <c r="J609" s="650"/>
      <c r="K609" s="650"/>
      <c r="L609" s="650"/>
      <c r="M609" s="650"/>
      <c r="N609" s="650"/>
      <c r="O609" s="650"/>
      <c r="P609" s="650"/>
      <c r="Q609" s="650"/>
      <c r="R609" s="650"/>
      <c r="S609" s="650"/>
      <c r="T609" s="650"/>
      <c r="U609" s="650"/>
      <c r="V609" s="650"/>
      <c r="W609" s="650"/>
      <c r="X609" s="650"/>
      <c r="Y609" s="650"/>
      <c r="Z609" s="650"/>
      <c r="AA609" s="650"/>
      <c r="AB609" s="650"/>
      <c r="AC609" s="650"/>
      <c r="AD609" s="650"/>
      <c r="AE609" s="650"/>
      <c r="AF609" s="650"/>
      <c r="AG609" s="650"/>
      <c r="AH609" s="650"/>
      <c r="AI609" s="650"/>
      <c r="AJ609" s="650"/>
      <c r="AK609" s="650"/>
      <c r="AL609" s="650"/>
      <c r="AM609" s="650"/>
      <c r="AN609" s="650"/>
      <c r="AO609" s="650"/>
      <c r="AP609" s="650"/>
      <c r="AQ609" s="650"/>
      <c r="AR609" s="650"/>
      <c r="AS609" s="650"/>
      <c r="AT609" s="650"/>
      <c r="AU609" s="650"/>
      <c r="AV609" s="650"/>
      <c r="AW609" s="650"/>
      <c r="AX609" s="650"/>
      <c r="AY609" s="650"/>
    </row>
    <row r="610" ht="21.75" customHeight="1">
      <c r="A610" s="650"/>
      <c r="B610" s="650"/>
      <c r="C610" s="650"/>
      <c r="D610" s="650"/>
      <c r="E610" s="650"/>
      <c r="F610" s="650"/>
      <c r="G610" s="650"/>
      <c r="H610" s="650"/>
      <c r="I610" s="650"/>
      <c r="J610" s="650"/>
      <c r="K610" s="650"/>
      <c r="L610" s="650"/>
      <c r="M610" s="650"/>
      <c r="N610" s="650"/>
      <c r="O610" s="650"/>
      <c r="P610" s="650"/>
      <c r="Q610" s="650"/>
      <c r="R610" s="650"/>
      <c r="S610" s="650"/>
      <c r="T610" s="650"/>
      <c r="U610" s="650"/>
      <c r="V610" s="650"/>
      <c r="W610" s="650"/>
      <c r="X610" s="650"/>
      <c r="Y610" s="650"/>
      <c r="Z610" s="650"/>
      <c r="AA610" s="650"/>
      <c r="AB610" s="650"/>
      <c r="AC610" s="650"/>
      <c r="AD610" s="650"/>
      <c r="AE610" s="650"/>
      <c r="AF610" s="650"/>
      <c r="AG610" s="650"/>
      <c r="AH610" s="650"/>
      <c r="AI610" s="650"/>
      <c r="AJ610" s="650"/>
      <c r="AK610" s="650"/>
      <c r="AL610" s="650"/>
      <c r="AM610" s="650"/>
      <c r="AN610" s="650"/>
      <c r="AO610" s="650"/>
      <c r="AP610" s="650"/>
      <c r="AQ610" s="650"/>
      <c r="AR610" s="650"/>
      <c r="AS610" s="650"/>
      <c r="AT610" s="650"/>
      <c r="AU610" s="650"/>
      <c r="AV610" s="650"/>
      <c r="AW610" s="650"/>
      <c r="AX610" s="650"/>
      <c r="AY610" s="650"/>
    </row>
    <row r="611" ht="21.75" customHeight="1">
      <c r="A611" s="650"/>
      <c r="B611" s="650"/>
      <c r="C611" s="650"/>
      <c r="D611" s="650"/>
      <c r="E611" s="650"/>
      <c r="F611" s="650"/>
      <c r="G611" s="650"/>
      <c r="H611" s="650"/>
      <c r="I611" s="650"/>
      <c r="J611" s="650"/>
      <c r="K611" s="650"/>
      <c r="L611" s="650"/>
      <c r="M611" s="650"/>
      <c r="N611" s="650"/>
      <c r="O611" s="650"/>
      <c r="P611" s="650"/>
      <c r="Q611" s="650"/>
      <c r="R611" s="650"/>
      <c r="S611" s="650"/>
      <c r="T611" s="650"/>
      <c r="U611" s="650"/>
      <c r="V611" s="650"/>
      <c r="W611" s="650"/>
      <c r="X611" s="650"/>
      <c r="Y611" s="650"/>
      <c r="Z611" s="650"/>
      <c r="AA611" s="650"/>
      <c r="AB611" s="650"/>
      <c r="AC611" s="650"/>
      <c r="AD611" s="650"/>
      <c r="AE611" s="650"/>
      <c r="AF611" s="650"/>
      <c r="AG611" s="650"/>
      <c r="AH611" s="650"/>
      <c r="AI611" s="650"/>
      <c r="AJ611" s="650"/>
      <c r="AK611" s="650"/>
      <c r="AL611" s="650"/>
      <c r="AM611" s="650"/>
      <c r="AN611" s="650"/>
      <c r="AO611" s="650"/>
      <c r="AP611" s="650"/>
      <c r="AQ611" s="650"/>
      <c r="AR611" s="650"/>
      <c r="AS611" s="650"/>
      <c r="AT611" s="650"/>
      <c r="AU611" s="650"/>
      <c r="AV611" s="650"/>
      <c r="AW611" s="650"/>
      <c r="AX611" s="650"/>
      <c r="AY611" s="650"/>
    </row>
    <row r="612" ht="21.75" customHeight="1">
      <c r="A612" s="650"/>
      <c r="B612" s="650"/>
      <c r="C612" s="650"/>
      <c r="D612" s="650"/>
      <c r="E612" s="650"/>
      <c r="F612" s="650"/>
      <c r="G612" s="650"/>
      <c r="H612" s="650"/>
      <c r="I612" s="650"/>
      <c r="J612" s="650"/>
      <c r="K612" s="650"/>
      <c r="L612" s="650"/>
      <c r="M612" s="650"/>
      <c r="N612" s="650"/>
      <c r="O612" s="650"/>
      <c r="P612" s="650"/>
      <c r="Q612" s="650"/>
      <c r="R612" s="650"/>
      <c r="S612" s="650"/>
      <c r="T612" s="650"/>
      <c r="U612" s="650"/>
      <c r="V612" s="650"/>
      <c r="W612" s="650"/>
      <c r="X612" s="650"/>
      <c r="Y612" s="650"/>
      <c r="Z612" s="650"/>
      <c r="AA612" s="650"/>
      <c r="AB612" s="650"/>
      <c r="AC612" s="650"/>
      <c r="AD612" s="650"/>
      <c r="AE612" s="650"/>
      <c r="AF612" s="650"/>
      <c r="AG612" s="650"/>
      <c r="AH612" s="650"/>
      <c r="AI612" s="650"/>
      <c r="AJ612" s="650"/>
      <c r="AK612" s="650"/>
      <c r="AL612" s="650"/>
      <c r="AM612" s="650"/>
      <c r="AN612" s="650"/>
      <c r="AO612" s="650"/>
      <c r="AP612" s="650"/>
      <c r="AQ612" s="650"/>
      <c r="AR612" s="650"/>
      <c r="AS612" s="650"/>
      <c r="AT612" s="650"/>
      <c r="AU612" s="650"/>
      <c r="AV612" s="650"/>
      <c r="AW612" s="650"/>
      <c r="AX612" s="650"/>
      <c r="AY612" s="650"/>
    </row>
    <row r="613" ht="21.75" customHeight="1">
      <c r="A613" s="650"/>
      <c r="B613" s="650"/>
      <c r="C613" s="650"/>
      <c r="D613" s="650"/>
      <c r="E613" s="650"/>
      <c r="F613" s="650"/>
      <c r="G613" s="650"/>
      <c r="H613" s="650"/>
      <c r="I613" s="650"/>
      <c r="J613" s="650"/>
      <c r="K613" s="650"/>
      <c r="L613" s="650"/>
      <c r="M613" s="650"/>
      <c r="N613" s="650"/>
      <c r="O613" s="650"/>
      <c r="P613" s="650"/>
      <c r="Q613" s="650"/>
      <c r="R613" s="650"/>
      <c r="S613" s="650"/>
      <c r="T613" s="650"/>
      <c r="U613" s="650"/>
      <c r="V613" s="650"/>
      <c r="W613" s="650"/>
      <c r="X613" s="650"/>
      <c r="Y613" s="650"/>
      <c r="Z613" s="650"/>
      <c r="AA613" s="650"/>
      <c r="AB613" s="650"/>
      <c r="AC613" s="650"/>
      <c r="AD613" s="650"/>
      <c r="AE613" s="650"/>
      <c r="AF613" s="650"/>
      <c r="AG613" s="650"/>
      <c r="AH613" s="650"/>
      <c r="AI613" s="650"/>
      <c r="AJ613" s="650"/>
      <c r="AK613" s="650"/>
      <c r="AL613" s="650"/>
      <c r="AM613" s="650"/>
      <c r="AN613" s="650"/>
      <c r="AO613" s="650"/>
      <c r="AP613" s="650"/>
      <c r="AQ613" s="650"/>
      <c r="AR613" s="650"/>
      <c r="AS613" s="650"/>
      <c r="AT613" s="650"/>
      <c r="AU613" s="650"/>
      <c r="AV613" s="650"/>
      <c r="AW613" s="650"/>
      <c r="AX613" s="650"/>
      <c r="AY613" s="650"/>
    </row>
    <row r="614" ht="21.75" customHeight="1">
      <c r="A614" s="650"/>
      <c r="B614" s="650"/>
      <c r="C614" s="650"/>
      <c r="D614" s="650"/>
      <c r="E614" s="650"/>
      <c r="F614" s="650"/>
      <c r="G614" s="650"/>
      <c r="H614" s="650"/>
      <c r="I614" s="650"/>
      <c r="J614" s="650"/>
      <c r="K614" s="650"/>
      <c r="L614" s="650"/>
      <c r="M614" s="650"/>
      <c r="N614" s="650"/>
      <c r="O614" s="650"/>
      <c r="P614" s="650"/>
      <c r="Q614" s="650"/>
      <c r="R614" s="650"/>
      <c r="S614" s="650"/>
      <c r="T614" s="650"/>
      <c r="U614" s="650"/>
      <c r="V614" s="650"/>
      <c r="W614" s="650"/>
      <c r="X614" s="650"/>
      <c r="Y614" s="650"/>
      <c r="Z614" s="650"/>
      <c r="AA614" s="650"/>
      <c r="AB614" s="650"/>
      <c r="AC614" s="650"/>
      <c r="AD614" s="650"/>
      <c r="AE614" s="650"/>
      <c r="AF614" s="650"/>
      <c r="AG614" s="650"/>
      <c r="AH614" s="650"/>
      <c r="AI614" s="650"/>
      <c r="AJ614" s="650"/>
      <c r="AK614" s="650"/>
      <c r="AL614" s="650"/>
      <c r="AM614" s="650"/>
      <c r="AN614" s="650"/>
      <c r="AO614" s="650"/>
      <c r="AP614" s="650"/>
      <c r="AQ614" s="650"/>
      <c r="AR614" s="650"/>
      <c r="AS614" s="650"/>
      <c r="AT614" s="650"/>
      <c r="AU614" s="650"/>
      <c r="AV614" s="650"/>
      <c r="AW614" s="650"/>
      <c r="AX614" s="650"/>
      <c r="AY614" s="650"/>
    </row>
    <row r="615" ht="21.75" customHeight="1">
      <c r="A615" s="650"/>
      <c r="B615" s="650"/>
      <c r="C615" s="650"/>
      <c r="D615" s="650"/>
      <c r="E615" s="650"/>
      <c r="F615" s="650"/>
      <c r="G615" s="650"/>
      <c r="H615" s="650"/>
      <c r="I615" s="650"/>
      <c r="J615" s="650"/>
      <c r="K615" s="650"/>
      <c r="L615" s="650"/>
      <c r="M615" s="650"/>
      <c r="N615" s="650"/>
      <c r="O615" s="650"/>
      <c r="P615" s="650"/>
      <c r="Q615" s="650"/>
      <c r="R615" s="650"/>
      <c r="S615" s="650"/>
      <c r="T615" s="650"/>
      <c r="U615" s="650"/>
      <c r="V615" s="650"/>
      <c r="W615" s="650"/>
      <c r="X615" s="650"/>
      <c r="Y615" s="650"/>
      <c r="Z615" s="650"/>
      <c r="AA615" s="650"/>
      <c r="AB615" s="650"/>
      <c r="AC615" s="650"/>
      <c r="AD615" s="650"/>
      <c r="AE615" s="650"/>
      <c r="AF615" s="650"/>
      <c r="AG615" s="650"/>
      <c r="AH615" s="650"/>
      <c r="AI615" s="650"/>
      <c r="AJ615" s="650"/>
      <c r="AK615" s="650"/>
      <c r="AL615" s="650"/>
      <c r="AM615" s="650"/>
      <c r="AN615" s="650"/>
      <c r="AO615" s="650"/>
      <c r="AP615" s="650"/>
      <c r="AQ615" s="650"/>
      <c r="AR615" s="650"/>
      <c r="AS615" s="650"/>
      <c r="AT615" s="650"/>
      <c r="AU615" s="650"/>
      <c r="AV615" s="650"/>
      <c r="AW615" s="650"/>
      <c r="AX615" s="650"/>
      <c r="AY615" s="650"/>
    </row>
    <row r="616" ht="21.75" customHeight="1">
      <c r="A616" s="650"/>
      <c r="B616" s="650"/>
      <c r="C616" s="650"/>
      <c r="D616" s="650"/>
      <c r="E616" s="650"/>
      <c r="F616" s="650"/>
      <c r="G616" s="650"/>
      <c r="H616" s="650"/>
      <c r="I616" s="650"/>
      <c r="J616" s="650"/>
      <c r="K616" s="650"/>
      <c r="L616" s="650"/>
      <c r="M616" s="650"/>
      <c r="N616" s="650"/>
      <c r="O616" s="650"/>
      <c r="P616" s="650"/>
      <c r="Q616" s="650"/>
      <c r="R616" s="650"/>
      <c r="S616" s="650"/>
      <c r="T616" s="650"/>
      <c r="U616" s="650"/>
      <c r="V616" s="650"/>
      <c r="W616" s="650"/>
      <c r="X616" s="650"/>
      <c r="Y616" s="650"/>
      <c r="Z616" s="650"/>
      <c r="AA616" s="650"/>
      <c r="AB616" s="650"/>
      <c r="AC616" s="650"/>
      <c r="AD616" s="650"/>
      <c r="AE616" s="650"/>
      <c r="AF616" s="650"/>
      <c r="AG616" s="650"/>
      <c r="AH616" s="650"/>
      <c r="AI616" s="650"/>
      <c r="AJ616" s="650"/>
      <c r="AK616" s="650"/>
      <c r="AL616" s="650"/>
      <c r="AM616" s="650"/>
      <c r="AN616" s="650"/>
      <c r="AO616" s="650"/>
      <c r="AP616" s="650"/>
      <c r="AQ616" s="650"/>
      <c r="AR616" s="650"/>
      <c r="AS616" s="650"/>
      <c r="AT616" s="650"/>
      <c r="AU616" s="650"/>
      <c r="AV616" s="650"/>
      <c r="AW616" s="650"/>
      <c r="AX616" s="650"/>
      <c r="AY616" s="650"/>
    </row>
    <row r="617" ht="21.75" customHeight="1">
      <c r="A617" s="650"/>
      <c r="B617" s="650"/>
      <c r="C617" s="650"/>
      <c r="D617" s="650"/>
      <c r="E617" s="650"/>
      <c r="F617" s="650"/>
      <c r="G617" s="650"/>
      <c r="H617" s="650"/>
      <c r="I617" s="650"/>
      <c r="J617" s="650"/>
      <c r="K617" s="650"/>
      <c r="L617" s="650"/>
      <c r="M617" s="650"/>
      <c r="N617" s="650"/>
      <c r="O617" s="650"/>
      <c r="P617" s="650"/>
      <c r="Q617" s="650"/>
      <c r="R617" s="650"/>
      <c r="S617" s="650"/>
      <c r="T617" s="650"/>
      <c r="U617" s="650"/>
      <c r="V617" s="650"/>
      <c r="W617" s="650"/>
      <c r="X617" s="650"/>
      <c r="Y617" s="650"/>
      <c r="Z617" s="650"/>
      <c r="AA617" s="650"/>
      <c r="AB617" s="650"/>
      <c r="AC617" s="650"/>
      <c r="AD617" s="650"/>
      <c r="AE617" s="650"/>
      <c r="AF617" s="650"/>
      <c r="AG617" s="650"/>
      <c r="AH617" s="650"/>
      <c r="AI617" s="650"/>
      <c r="AJ617" s="650"/>
      <c r="AK617" s="650"/>
      <c r="AL617" s="650"/>
      <c r="AM617" s="650"/>
      <c r="AN617" s="650"/>
      <c r="AO617" s="650"/>
      <c r="AP617" s="650"/>
      <c r="AQ617" s="650"/>
      <c r="AR617" s="650"/>
      <c r="AS617" s="650"/>
      <c r="AT617" s="650"/>
      <c r="AU617" s="650"/>
      <c r="AV617" s="650"/>
      <c r="AW617" s="650"/>
      <c r="AX617" s="650"/>
      <c r="AY617" s="650"/>
    </row>
    <row r="618" ht="21.75" customHeight="1">
      <c r="A618" s="650"/>
      <c r="B618" s="650"/>
      <c r="C618" s="650"/>
      <c r="D618" s="650"/>
      <c r="E618" s="650"/>
      <c r="F618" s="650"/>
      <c r="G618" s="650"/>
      <c r="H618" s="650"/>
      <c r="I618" s="650"/>
      <c r="J618" s="650"/>
      <c r="K618" s="650"/>
      <c r="L618" s="650"/>
      <c r="M618" s="650"/>
      <c r="N618" s="650"/>
      <c r="O618" s="650"/>
      <c r="P618" s="650"/>
      <c r="Q618" s="650"/>
      <c r="R618" s="650"/>
      <c r="S618" s="650"/>
      <c r="T618" s="650"/>
      <c r="U618" s="650"/>
      <c r="V618" s="650"/>
      <c r="W618" s="650"/>
      <c r="X618" s="650"/>
      <c r="Y618" s="650"/>
      <c r="Z618" s="650"/>
      <c r="AA618" s="650"/>
      <c r="AB618" s="650"/>
      <c r="AC618" s="650"/>
      <c r="AD618" s="650"/>
      <c r="AE618" s="650"/>
      <c r="AF618" s="650"/>
      <c r="AG618" s="650"/>
      <c r="AH618" s="650"/>
      <c r="AI618" s="650"/>
      <c r="AJ618" s="650"/>
      <c r="AK618" s="650"/>
      <c r="AL618" s="650"/>
      <c r="AM618" s="650"/>
      <c r="AN618" s="650"/>
      <c r="AO618" s="650"/>
      <c r="AP618" s="650"/>
      <c r="AQ618" s="650"/>
      <c r="AR618" s="650"/>
      <c r="AS618" s="650"/>
      <c r="AT618" s="650"/>
      <c r="AU618" s="650"/>
      <c r="AV618" s="650"/>
      <c r="AW618" s="650"/>
      <c r="AX618" s="650"/>
      <c r="AY618" s="650"/>
    </row>
    <row r="619" ht="21.75" customHeight="1">
      <c r="A619" s="650"/>
      <c r="B619" s="650"/>
      <c r="C619" s="650"/>
      <c r="D619" s="650"/>
      <c r="E619" s="650"/>
      <c r="F619" s="650"/>
      <c r="G619" s="650"/>
      <c r="H619" s="650"/>
      <c r="I619" s="650"/>
      <c r="J619" s="650"/>
      <c r="K619" s="650"/>
      <c r="L619" s="650"/>
      <c r="M619" s="650"/>
      <c r="N619" s="650"/>
      <c r="O619" s="650"/>
      <c r="P619" s="650"/>
      <c r="Q619" s="650"/>
      <c r="R619" s="650"/>
      <c r="S619" s="650"/>
      <c r="T619" s="650"/>
      <c r="U619" s="650"/>
      <c r="V619" s="650"/>
      <c r="W619" s="650"/>
      <c r="X619" s="650"/>
      <c r="Y619" s="650"/>
      <c r="Z619" s="650"/>
      <c r="AA619" s="650"/>
      <c r="AB619" s="650"/>
      <c r="AC619" s="650"/>
      <c r="AD619" s="650"/>
      <c r="AE619" s="650"/>
      <c r="AF619" s="650"/>
      <c r="AG619" s="650"/>
      <c r="AH619" s="650"/>
      <c r="AI619" s="650"/>
      <c r="AJ619" s="650"/>
      <c r="AK619" s="650"/>
      <c r="AL619" s="650"/>
      <c r="AM619" s="650"/>
      <c r="AN619" s="650"/>
      <c r="AO619" s="650"/>
      <c r="AP619" s="650"/>
      <c r="AQ619" s="650"/>
      <c r="AR619" s="650"/>
      <c r="AS619" s="650"/>
      <c r="AT619" s="650"/>
      <c r="AU619" s="650"/>
      <c r="AV619" s="650"/>
      <c r="AW619" s="650"/>
      <c r="AX619" s="650"/>
      <c r="AY619" s="650"/>
    </row>
    <row r="620" ht="21.75" customHeight="1">
      <c r="A620" s="650"/>
      <c r="B620" s="650"/>
      <c r="C620" s="650"/>
      <c r="D620" s="650"/>
      <c r="E620" s="650"/>
      <c r="F620" s="650"/>
      <c r="G620" s="650"/>
      <c r="H620" s="650"/>
      <c r="I620" s="650"/>
      <c r="J620" s="650"/>
      <c r="K620" s="650"/>
      <c r="L620" s="650"/>
      <c r="M620" s="650"/>
      <c r="N620" s="650"/>
      <c r="O620" s="650"/>
      <c r="P620" s="650"/>
      <c r="Q620" s="650"/>
      <c r="R620" s="650"/>
      <c r="S620" s="650"/>
      <c r="T620" s="650"/>
      <c r="U620" s="650"/>
      <c r="V620" s="650"/>
      <c r="W620" s="650"/>
      <c r="X620" s="650"/>
      <c r="Y620" s="650"/>
      <c r="Z620" s="650"/>
      <c r="AA620" s="650"/>
      <c r="AB620" s="650"/>
      <c r="AC620" s="650"/>
      <c r="AD620" s="650"/>
      <c r="AE620" s="650"/>
      <c r="AF620" s="650"/>
      <c r="AG620" s="650"/>
      <c r="AH620" s="650"/>
      <c r="AI620" s="650"/>
      <c r="AJ620" s="650"/>
      <c r="AK620" s="650"/>
      <c r="AL620" s="650"/>
      <c r="AM620" s="650"/>
      <c r="AN620" s="650"/>
      <c r="AO620" s="650"/>
      <c r="AP620" s="650"/>
      <c r="AQ620" s="650"/>
      <c r="AR620" s="650"/>
      <c r="AS620" s="650"/>
      <c r="AT620" s="650"/>
      <c r="AU620" s="650"/>
      <c r="AV620" s="650"/>
      <c r="AW620" s="650"/>
      <c r="AX620" s="650"/>
      <c r="AY620" s="650"/>
    </row>
    <row r="621" ht="21.75" customHeight="1">
      <c r="A621" s="650"/>
      <c r="B621" s="650"/>
      <c r="C621" s="650"/>
      <c r="D621" s="650"/>
      <c r="E621" s="650"/>
      <c r="F621" s="650"/>
      <c r="G621" s="650"/>
      <c r="H621" s="650"/>
      <c r="I621" s="650"/>
      <c r="J621" s="650"/>
      <c r="K621" s="650"/>
      <c r="L621" s="650"/>
      <c r="M621" s="650"/>
      <c r="N621" s="650"/>
      <c r="O621" s="650"/>
      <c r="P621" s="650"/>
      <c r="Q621" s="650"/>
      <c r="R621" s="650"/>
      <c r="S621" s="650"/>
      <c r="T621" s="650"/>
      <c r="U621" s="650"/>
      <c r="V621" s="650"/>
      <c r="W621" s="650"/>
      <c r="X621" s="650"/>
      <c r="Y621" s="650"/>
      <c r="Z621" s="650"/>
      <c r="AA621" s="650"/>
      <c r="AB621" s="650"/>
      <c r="AC621" s="650"/>
      <c r="AD621" s="650"/>
      <c r="AE621" s="650"/>
      <c r="AF621" s="650"/>
      <c r="AG621" s="650"/>
      <c r="AH621" s="650"/>
      <c r="AI621" s="650"/>
      <c r="AJ621" s="650"/>
      <c r="AK621" s="650"/>
      <c r="AL621" s="650"/>
      <c r="AM621" s="650"/>
      <c r="AN621" s="650"/>
      <c r="AO621" s="650"/>
      <c r="AP621" s="650"/>
      <c r="AQ621" s="650"/>
      <c r="AR621" s="650"/>
      <c r="AS621" s="650"/>
      <c r="AT621" s="650"/>
      <c r="AU621" s="650"/>
      <c r="AV621" s="650"/>
      <c r="AW621" s="650"/>
      <c r="AX621" s="650"/>
      <c r="AY621" s="650"/>
    </row>
    <row r="622" ht="21.75" customHeight="1">
      <c r="A622" s="650"/>
      <c r="B622" s="650"/>
      <c r="C622" s="650"/>
      <c r="D622" s="650"/>
      <c r="E622" s="650"/>
      <c r="F622" s="650"/>
      <c r="G622" s="650"/>
      <c r="H622" s="650"/>
      <c r="I622" s="650"/>
      <c r="J622" s="650"/>
      <c r="K622" s="650"/>
      <c r="L622" s="650"/>
      <c r="M622" s="650"/>
      <c r="N622" s="650"/>
      <c r="O622" s="650"/>
      <c r="P622" s="650"/>
      <c r="Q622" s="650"/>
      <c r="R622" s="650"/>
      <c r="S622" s="650"/>
      <c r="T622" s="650"/>
      <c r="U622" s="650"/>
      <c r="V622" s="650"/>
      <c r="W622" s="650"/>
      <c r="X622" s="650"/>
      <c r="Y622" s="650"/>
      <c r="Z622" s="650"/>
      <c r="AA622" s="650"/>
      <c r="AB622" s="650"/>
      <c r="AC622" s="650"/>
      <c r="AD622" s="650"/>
      <c r="AE622" s="650"/>
      <c r="AF622" s="650"/>
      <c r="AG622" s="650"/>
      <c r="AH622" s="650"/>
      <c r="AI622" s="650"/>
      <c r="AJ622" s="650"/>
      <c r="AK622" s="650"/>
      <c r="AL622" s="650"/>
      <c r="AM622" s="650"/>
      <c r="AN622" s="650"/>
      <c r="AO622" s="650"/>
      <c r="AP622" s="650"/>
      <c r="AQ622" s="650"/>
      <c r="AR622" s="650"/>
      <c r="AS622" s="650"/>
      <c r="AT622" s="650"/>
      <c r="AU622" s="650"/>
      <c r="AV622" s="650"/>
      <c r="AW622" s="650"/>
      <c r="AX622" s="650"/>
      <c r="AY622" s="650"/>
    </row>
    <row r="623" ht="21.75" customHeight="1">
      <c r="A623" s="650"/>
      <c r="B623" s="650"/>
      <c r="C623" s="650"/>
      <c r="D623" s="650"/>
      <c r="E623" s="650"/>
      <c r="F623" s="650"/>
      <c r="G623" s="650"/>
      <c r="H623" s="650"/>
      <c r="I623" s="650"/>
      <c r="J623" s="650"/>
      <c r="K623" s="650"/>
      <c r="L623" s="650"/>
      <c r="M623" s="650"/>
      <c r="N623" s="650"/>
      <c r="O623" s="650"/>
      <c r="P623" s="650"/>
      <c r="Q623" s="650"/>
      <c r="R623" s="650"/>
      <c r="S623" s="650"/>
      <c r="T623" s="650"/>
      <c r="U623" s="650"/>
      <c r="V623" s="650"/>
      <c r="W623" s="650"/>
      <c r="X623" s="650"/>
      <c r="Y623" s="650"/>
      <c r="Z623" s="650"/>
      <c r="AA623" s="650"/>
      <c r="AB623" s="650"/>
      <c r="AC623" s="650"/>
      <c r="AD623" s="650"/>
      <c r="AE623" s="650"/>
      <c r="AF623" s="650"/>
      <c r="AG623" s="650"/>
      <c r="AH623" s="650"/>
      <c r="AI623" s="650"/>
      <c r="AJ623" s="650"/>
      <c r="AK623" s="650"/>
      <c r="AL623" s="650"/>
      <c r="AM623" s="650"/>
      <c r="AN623" s="650"/>
      <c r="AO623" s="650"/>
      <c r="AP623" s="650"/>
      <c r="AQ623" s="650"/>
      <c r="AR623" s="650"/>
      <c r="AS623" s="650"/>
      <c r="AT623" s="650"/>
      <c r="AU623" s="650"/>
      <c r="AV623" s="650"/>
      <c r="AW623" s="650"/>
      <c r="AX623" s="650"/>
      <c r="AY623" s="650"/>
    </row>
    <row r="624" ht="21.75" customHeight="1">
      <c r="A624" s="650"/>
      <c r="B624" s="650"/>
      <c r="C624" s="650"/>
      <c r="D624" s="650"/>
      <c r="E624" s="650"/>
      <c r="F624" s="650"/>
      <c r="G624" s="650"/>
      <c r="H624" s="650"/>
      <c r="I624" s="650"/>
      <c r="J624" s="650"/>
      <c r="K624" s="650"/>
      <c r="L624" s="650"/>
      <c r="M624" s="650"/>
      <c r="N624" s="650"/>
      <c r="O624" s="650"/>
      <c r="P624" s="650"/>
      <c r="Q624" s="650"/>
      <c r="R624" s="650"/>
      <c r="S624" s="650"/>
      <c r="T624" s="650"/>
      <c r="U624" s="650"/>
      <c r="V624" s="650"/>
      <c r="W624" s="650"/>
      <c r="X624" s="650"/>
      <c r="Y624" s="650"/>
      <c r="Z624" s="650"/>
      <c r="AA624" s="650"/>
      <c r="AB624" s="650"/>
      <c r="AC624" s="650"/>
      <c r="AD624" s="650"/>
      <c r="AE624" s="650"/>
      <c r="AF624" s="650"/>
      <c r="AG624" s="650"/>
      <c r="AH624" s="650"/>
      <c r="AI624" s="650"/>
      <c r="AJ624" s="650"/>
      <c r="AK624" s="650"/>
      <c r="AL624" s="650"/>
      <c r="AM624" s="650"/>
      <c r="AN624" s="650"/>
      <c r="AO624" s="650"/>
      <c r="AP624" s="650"/>
      <c r="AQ624" s="650"/>
      <c r="AR624" s="650"/>
      <c r="AS624" s="650"/>
      <c r="AT624" s="650"/>
      <c r="AU624" s="650"/>
      <c r="AV624" s="650"/>
      <c r="AW624" s="650"/>
      <c r="AX624" s="650"/>
      <c r="AY624" s="650"/>
    </row>
    <row r="625" ht="21.75" customHeight="1">
      <c r="A625" s="650"/>
      <c r="B625" s="650"/>
      <c r="C625" s="650"/>
      <c r="D625" s="650"/>
      <c r="E625" s="650"/>
      <c r="F625" s="650"/>
      <c r="G625" s="650"/>
      <c r="H625" s="650"/>
      <c r="I625" s="650"/>
      <c r="J625" s="650"/>
      <c r="K625" s="650"/>
      <c r="L625" s="650"/>
      <c r="M625" s="650"/>
      <c r="N625" s="650"/>
      <c r="O625" s="650"/>
      <c r="P625" s="650"/>
      <c r="Q625" s="650"/>
      <c r="R625" s="650"/>
      <c r="S625" s="650"/>
      <c r="T625" s="650"/>
      <c r="U625" s="650"/>
      <c r="V625" s="650"/>
      <c r="W625" s="650"/>
      <c r="X625" s="650"/>
      <c r="Y625" s="650"/>
      <c r="Z625" s="650"/>
      <c r="AA625" s="650"/>
      <c r="AB625" s="650"/>
      <c r="AC625" s="650"/>
      <c r="AD625" s="650"/>
      <c r="AE625" s="650"/>
      <c r="AF625" s="650"/>
      <c r="AG625" s="650"/>
      <c r="AH625" s="650"/>
      <c r="AI625" s="650"/>
      <c r="AJ625" s="650"/>
      <c r="AK625" s="650"/>
      <c r="AL625" s="650"/>
      <c r="AM625" s="650"/>
      <c r="AN625" s="650"/>
      <c r="AO625" s="650"/>
      <c r="AP625" s="650"/>
      <c r="AQ625" s="650"/>
      <c r="AR625" s="650"/>
      <c r="AS625" s="650"/>
      <c r="AT625" s="650"/>
      <c r="AU625" s="650"/>
      <c r="AV625" s="650"/>
      <c r="AW625" s="650"/>
      <c r="AX625" s="650"/>
      <c r="AY625" s="650"/>
    </row>
    <row r="626" ht="21.75" customHeight="1">
      <c r="A626" s="650"/>
      <c r="B626" s="650"/>
      <c r="C626" s="650"/>
      <c r="D626" s="650"/>
      <c r="E626" s="650"/>
      <c r="F626" s="650"/>
      <c r="G626" s="650"/>
      <c r="H626" s="650"/>
      <c r="I626" s="650"/>
      <c r="J626" s="650"/>
      <c r="K626" s="650"/>
      <c r="L626" s="650"/>
      <c r="M626" s="650"/>
      <c r="N626" s="650"/>
      <c r="O626" s="650"/>
      <c r="P626" s="650"/>
      <c r="Q626" s="650"/>
      <c r="R626" s="650"/>
      <c r="S626" s="650"/>
      <c r="T626" s="650"/>
      <c r="U626" s="650"/>
      <c r="V626" s="650"/>
      <c r="W626" s="650"/>
      <c r="X626" s="650"/>
      <c r="Y626" s="650"/>
      <c r="Z626" s="650"/>
      <c r="AA626" s="650"/>
      <c r="AB626" s="650"/>
      <c r="AC626" s="650"/>
      <c r="AD626" s="650"/>
      <c r="AE626" s="650"/>
      <c r="AF626" s="650"/>
      <c r="AG626" s="650"/>
      <c r="AH626" s="650"/>
      <c r="AI626" s="650"/>
      <c r="AJ626" s="650"/>
      <c r="AK626" s="650"/>
      <c r="AL626" s="650"/>
      <c r="AM626" s="650"/>
      <c r="AN626" s="650"/>
      <c r="AO626" s="650"/>
      <c r="AP626" s="650"/>
      <c r="AQ626" s="650"/>
      <c r="AR626" s="650"/>
      <c r="AS626" s="650"/>
      <c r="AT626" s="650"/>
      <c r="AU626" s="650"/>
      <c r="AV626" s="650"/>
      <c r="AW626" s="650"/>
      <c r="AX626" s="650"/>
      <c r="AY626" s="650"/>
    </row>
    <row r="627" ht="21.75" customHeight="1">
      <c r="A627" s="650"/>
      <c r="B627" s="650"/>
      <c r="C627" s="650"/>
      <c r="D627" s="650"/>
      <c r="E627" s="650"/>
      <c r="F627" s="650"/>
      <c r="G627" s="650"/>
      <c r="H627" s="650"/>
      <c r="I627" s="650"/>
      <c r="J627" s="650"/>
      <c r="K627" s="650"/>
      <c r="L627" s="650"/>
      <c r="M627" s="650"/>
      <c r="N627" s="650"/>
      <c r="O627" s="650"/>
      <c r="P627" s="650"/>
      <c r="Q627" s="650"/>
      <c r="R627" s="650"/>
      <c r="S627" s="650"/>
      <c r="T627" s="650"/>
      <c r="U627" s="650"/>
      <c r="V627" s="650"/>
      <c r="W627" s="650"/>
      <c r="X627" s="650"/>
      <c r="Y627" s="650"/>
      <c r="Z627" s="650"/>
      <c r="AA627" s="650"/>
      <c r="AB627" s="650"/>
      <c r="AC627" s="650"/>
      <c r="AD627" s="650"/>
      <c r="AE627" s="650"/>
      <c r="AF627" s="650"/>
      <c r="AG627" s="650"/>
      <c r="AH627" s="650"/>
      <c r="AI627" s="650"/>
      <c r="AJ627" s="650"/>
      <c r="AK627" s="650"/>
      <c r="AL627" s="650"/>
      <c r="AM627" s="650"/>
      <c r="AN627" s="650"/>
      <c r="AO627" s="650"/>
      <c r="AP627" s="650"/>
      <c r="AQ627" s="650"/>
      <c r="AR627" s="650"/>
      <c r="AS627" s="650"/>
      <c r="AT627" s="650"/>
      <c r="AU627" s="650"/>
      <c r="AV627" s="650"/>
      <c r="AW627" s="650"/>
      <c r="AX627" s="650"/>
      <c r="AY627" s="650"/>
    </row>
    <row r="628" ht="21.75" customHeight="1">
      <c r="A628" s="650"/>
      <c r="B628" s="650"/>
      <c r="C628" s="650"/>
      <c r="D628" s="650"/>
      <c r="E628" s="650"/>
      <c r="F628" s="650"/>
      <c r="G628" s="650"/>
      <c r="H628" s="650"/>
      <c r="I628" s="650"/>
      <c r="J628" s="650"/>
      <c r="K628" s="650"/>
      <c r="L628" s="650"/>
      <c r="M628" s="650"/>
      <c r="N628" s="650"/>
      <c r="O628" s="650"/>
      <c r="P628" s="650"/>
      <c r="Q628" s="650"/>
      <c r="R628" s="650"/>
      <c r="S628" s="650"/>
      <c r="T628" s="650"/>
      <c r="U628" s="650"/>
      <c r="V628" s="650"/>
      <c r="W628" s="650"/>
      <c r="X628" s="650"/>
      <c r="Y628" s="650"/>
      <c r="Z628" s="650"/>
      <c r="AA628" s="650"/>
      <c r="AB628" s="650"/>
      <c r="AC628" s="650"/>
      <c r="AD628" s="650"/>
      <c r="AE628" s="650"/>
      <c r="AF628" s="650"/>
      <c r="AG628" s="650"/>
      <c r="AH628" s="650"/>
      <c r="AI628" s="650"/>
      <c r="AJ628" s="650"/>
      <c r="AK628" s="650"/>
      <c r="AL628" s="650"/>
      <c r="AM628" s="650"/>
      <c r="AN628" s="650"/>
      <c r="AO628" s="650"/>
      <c r="AP628" s="650"/>
      <c r="AQ628" s="650"/>
      <c r="AR628" s="650"/>
      <c r="AS628" s="650"/>
      <c r="AT628" s="650"/>
      <c r="AU628" s="650"/>
      <c r="AV628" s="650"/>
      <c r="AW628" s="650"/>
      <c r="AX628" s="650"/>
      <c r="AY628" s="650"/>
    </row>
    <row r="629" ht="21.75" customHeight="1">
      <c r="A629" s="650"/>
      <c r="B629" s="650"/>
      <c r="C629" s="650"/>
      <c r="D629" s="650"/>
      <c r="E629" s="650"/>
      <c r="F629" s="650"/>
      <c r="G629" s="650"/>
      <c r="H629" s="650"/>
      <c r="I629" s="650"/>
      <c r="J629" s="650"/>
      <c r="K629" s="650"/>
      <c r="L629" s="650"/>
      <c r="M629" s="650"/>
      <c r="N629" s="650"/>
      <c r="O629" s="650"/>
      <c r="P629" s="650"/>
      <c r="Q629" s="650"/>
      <c r="R629" s="650"/>
      <c r="S629" s="650"/>
      <c r="T629" s="650"/>
      <c r="U629" s="650"/>
      <c r="V629" s="650"/>
      <c r="W629" s="650"/>
      <c r="X629" s="650"/>
      <c r="Y629" s="650"/>
      <c r="Z629" s="650"/>
      <c r="AA629" s="650"/>
      <c r="AB629" s="650"/>
      <c r="AC629" s="650"/>
      <c r="AD629" s="650"/>
      <c r="AE629" s="650"/>
      <c r="AF629" s="650"/>
      <c r="AG629" s="650"/>
      <c r="AH629" s="650"/>
      <c r="AI629" s="650"/>
      <c r="AJ629" s="650"/>
      <c r="AK629" s="650"/>
      <c r="AL629" s="650"/>
      <c r="AM629" s="650"/>
      <c r="AN629" s="650"/>
      <c r="AO629" s="650"/>
      <c r="AP629" s="650"/>
      <c r="AQ629" s="650"/>
      <c r="AR629" s="650"/>
      <c r="AS629" s="650"/>
      <c r="AT629" s="650"/>
      <c r="AU629" s="650"/>
      <c r="AV629" s="650"/>
      <c r="AW629" s="650"/>
      <c r="AX629" s="650"/>
      <c r="AY629" s="650"/>
    </row>
    <row r="630" ht="21.75" customHeight="1">
      <c r="A630" s="650"/>
      <c r="B630" s="650"/>
      <c r="C630" s="650"/>
      <c r="D630" s="650"/>
      <c r="E630" s="650"/>
      <c r="F630" s="650"/>
      <c r="G630" s="650"/>
      <c r="H630" s="650"/>
      <c r="I630" s="650"/>
      <c r="J630" s="650"/>
      <c r="K630" s="650"/>
      <c r="L630" s="650"/>
      <c r="M630" s="650"/>
      <c r="N630" s="650"/>
      <c r="O630" s="650"/>
      <c r="P630" s="650"/>
      <c r="Q630" s="650"/>
      <c r="R630" s="650"/>
      <c r="S630" s="650"/>
      <c r="T630" s="650"/>
      <c r="U630" s="650"/>
      <c r="V630" s="650"/>
      <c r="W630" s="650"/>
      <c r="X630" s="650"/>
      <c r="Y630" s="650"/>
      <c r="Z630" s="650"/>
      <c r="AA630" s="650"/>
      <c r="AB630" s="650"/>
      <c r="AC630" s="650"/>
      <c r="AD630" s="650"/>
      <c r="AE630" s="650"/>
      <c r="AF630" s="650"/>
      <c r="AG630" s="650"/>
      <c r="AH630" s="650"/>
      <c r="AI630" s="650"/>
      <c r="AJ630" s="650"/>
      <c r="AK630" s="650"/>
      <c r="AL630" s="650"/>
      <c r="AM630" s="650"/>
      <c r="AN630" s="650"/>
      <c r="AO630" s="650"/>
      <c r="AP630" s="650"/>
      <c r="AQ630" s="650"/>
      <c r="AR630" s="650"/>
      <c r="AS630" s="650"/>
      <c r="AT630" s="650"/>
      <c r="AU630" s="650"/>
      <c r="AV630" s="650"/>
      <c r="AW630" s="650"/>
      <c r="AX630" s="650"/>
      <c r="AY630" s="650"/>
    </row>
    <row r="631" ht="21.75" customHeight="1">
      <c r="A631" s="650"/>
      <c r="B631" s="650"/>
      <c r="C631" s="650"/>
      <c r="D631" s="650"/>
      <c r="E631" s="650"/>
      <c r="F631" s="650"/>
      <c r="G631" s="650"/>
      <c r="H631" s="650"/>
      <c r="I631" s="650"/>
      <c r="J631" s="650"/>
      <c r="K631" s="650"/>
      <c r="L631" s="650"/>
      <c r="M631" s="650"/>
      <c r="N631" s="650"/>
      <c r="O631" s="650"/>
      <c r="P631" s="650"/>
      <c r="Q631" s="650"/>
      <c r="R631" s="650"/>
      <c r="S631" s="650"/>
      <c r="T631" s="650"/>
      <c r="U631" s="650"/>
      <c r="V631" s="650"/>
      <c r="W631" s="650"/>
      <c r="X631" s="650"/>
      <c r="Y631" s="650"/>
      <c r="Z631" s="650"/>
      <c r="AA631" s="650"/>
      <c r="AB631" s="650"/>
      <c r="AC631" s="650"/>
      <c r="AD631" s="650"/>
      <c r="AE631" s="650"/>
      <c r="AF631" s="650"/>
      <c r="AG631" s="650"/>
      <c r="AH631" s="650"/>
      <c r="AI631" s="650"/>
      <c r="AJ631" s="650"/>
      <c r="AK631" s="650"/>
      <c r="AL631" s="650"/>
      <c r="AM631" s="650"/>
      <c r="AN631" s="650"/>
      <c r="AO631" s="650"/>
      <c r="AP631" s="650"/>
      <c r="AQ631" s="650"/>
      <c r="AR631" s="650"/>
      <c r="AS631" s="650"/>
      <c r="AT631" s="650"/>
      <c r="AU631" s="650"/>
      <c r="AV631" s="650"/>
      <c r="AW631" s="650"/>
      <c r="AX631" s="650"/>
      <c r="AY631" s="650"/>
    </row>
    <row r="632" ht="21.75" customHeight="1">
      <c r="A632" s="650"/>
      <c r="B632" s="650"/>
      <c r="C632" s="650"/>
      <c r="D632" s="650"/>
      <c r="E632" s="650"/>
      <c r="F632" s="650"/>
      <c r="G632" s="650"/>
      <c r="H632" s="650"/>
      <c r="I632" s="650"/>
      <c r="J632" s="650"/>
      <c r="K632" s="650"/>
      <c r="L632" s="650"/>
      <c r="M632" s="650"/>
      <c r="N632" s="650"/>
      <c r="O632" s="650"/>
      <c r="P632" s="650"/>
      <c r="Q632" s="650"/>
      <c r="R632" s="650"/>
      <c r="S632" s="650"/>
      <c r="T632" s="650"/>
      <c r="U632" s="650"/>
      <c r="V632" s="650"/>
      <c r="W632" s="650"/>
      <c r="X632" s="650"/>
      <c r="Y632" s="650"/>
      <c r="Z632" s="650"/>
      <c r="AA632" s="650"/>
      <c r="AB632" s="650"/>
      <c r="AC632" s="650"/>
      <c r="AD632" s="650"/>
      <c r="AE632" s="650"/>
      <c r="AF632" s="650"/>
      <c r="AG632" s="650"/>
      <c r="AH632" s="650"/>
      <c r="AI632" s="650"/>
      <c r="AJ632" s="650"/>
      <c r="AK632" s="650"/>
      <c r="AL632" s="650"/>
      <c r="AM632" s="650"/>
      <c r="AN632" s="650"/>
      <c r="AO632" s="650"/>
      <c r="AP632" s="650"/>
      <c r="AQ632" s="650"/>
      <c r="AR632" s="650"/>
      <c r="AS632" s="650"/>
      <c r="AT632" s="650"/>
      <c r="AU632" s="650"/>
      <c r="AV632" s="650"/>
      <c r="AW632" s="650"/>
      <c r="AX632" s="650"/>
      <c r="AY632" s="650"/>
    </row>
    <row r="633" ht="21.75" customHeight="1">
      <c r="A633" s="650"/>
      <c r="B633" s="650"/>
      <c r="C633" s="650"/>
      <c r="D633" s="650"/>
      <c r="E633" s="650"/>
      <c r="F633" s="650"/>
      <c r="G633" s="650"/>
      <c r="H633" s="650"/>
      <c r="I633" s="650"/>
      <c r="J633" s="650"/>
      <c r="K633" s="650"/>
      <c r="L633" s="650"/>
      <c r="M633" s="650"/>
      <c r="N633" s="650"/>
      <c r="O633" s="650"/>
      <c r="P633" s="650"/>
      <c r="Q633" s="650"/>
      <c r="R633" s="650"/>
      <c r="S633" s="650"/>
      <c r="T633" s="650"/>
      <c r="U633" s="650"/>
      <c r="V633" s="650"/>
      <c r="W633" s="650"/>
      <c r="X633" s="650"/>
      <c r="Y633" s="650"/>
      <c r="Z633" s="650"/>
      <c r="AA633" s="650"/>
      <c r="AB633" s="650"/>
      <c r="AC633" s="650"/>
      <c r="AD633" s="650"/>
      <c r="AE633" s="650"/>
      <c r="AF633" s="650"/>
      <c r="AG633" s="650"/>
      <c r="AH633" s="650"/>
      <c r="AI633" s="650"/>
      <c r="AJ633" s="650"/>
      <c r="AK633" s="650"/>
      <c r="AL633" s="650"/>
      <c r="AM633" s="650"/>
      <c r="AN633" s="650"/>
      <c r="AO633" s="650"/>
      <c r="AP633" s="650"/>
      <c r="AQ633" s="650"/>
      <c r="AR633" s="650"/>
      <c r="AS633" s="650"/>
      <c r="AT633" s="650"/>
      <c r="AU633" s="650"/>
      <c r="AV633" s="650"/>
      <c r="AW633" s="650"/>
      <c r="AX633" s="650"/>
      <c r="AY633" s="650"/>
    </row>
    <row r="634" ht="21.75" customHeight="1">
      <c r="A634" s="650"/>
      <c r="B634" s="650"/>
      <c r="C634" s="650"/>
      <c r="D634" s="650"/>
      <c r="E634" s="650"/>
      <c r="F634" s="650"/>
      <c r="G634" s="650"/>
      <c r="H634" s="650"/>
      <c r="I634" s="650"/>
      <c r="J634" s="650"/>
      <c r="K634" s="650"/>
      <c r="L634" s="650"/>
      <c r="M634" s="650"/>
      <c r="N634" s="650"/>
      <c r="O634" s="650"/>
      <c r="P634" s="650"/>
      <c r="Q634" s="650"/>
      <c r="R634" s="650"/>
      <c r="S634" s="650"/>
      <c r="T634" s="650"/>
      <c r="U634" s="650"/>
      <c r="V634" s="650"/>
      <c r="W634" s="650"/>
      <c r="X634" s="650"/>
      <c r="Y634" s="650"/>
      <c r="Z634" s="650"/>
      <c r="AA634" s="650"/>
      <c r="AB634" s="650"/>
      <c r="AC634" s="650"/>
      <c r="AD634" s="650"/>
      <c r="AE634" s="650"/>
      <c r="AF634" s="650"/>
      <c r="AG634" s="650"/>
      <c r="AH634" s="650"/>
      <c r="AI634" s="650"/>
      <c r="AJ634" s="650"/>
      <c r="AK634" s="650"/>
      <c r="AL634" s="650"/>
      <c r="AM634" s="650"/>
      <c r="AN634" s="650"/>
      <c r="AO634" s="650"/>
      <c r="AP634" s="650"/>
      <c r="AQ634" s="650"/>
      <c r="AR634" s="650"/>
      <c r="AS634" s="650"/>
      <c r="AT634" s="650"/>
      <c r="AU634" s="650"/>
      <c r="AV634" s="650"/>
      <c r="AW634" s="650"/>
      <c r="AX634" s="650"/>
      <c r="AY634" s="650"/>
    </row>
    <row r="635" ht="21.75" customHeight="1">
      <c r="A635" s="650"/>
      <c r="B635" s="650"/>
      <c r="C635" s="650"/>
      <c r="D635" s="650"/>
      <c r="E635" s="650"/>
      <c r="F635" s="650"/>
      <c r="G635" s="650"/>
      <c r="H635" s="650"/>
      <c r="I635" s="650"/>
      <c r="J635" s="650"/>
      <c r="K635" s="650"/>
      <c r="L635" s="650"/>
      <c r="M635" s="650"/>
      <c r="N635" s="650"/>
      <c r="O635" s="650"/>
      <c r="P635" s="650"/>
      <c r="Q635" s="650"/>
      <c r="R635" s="650"/>
      <c r="S635" s="650"/>
      <c r="T635" s="650"/>
      <c r="U635" s="650"/>
      <c r="V635" s="650"/>
      <c r="W635" s="650"/>
      <c r="X635" s="650"/>
      <c r="Y635" s="650"/>
      <c r="Z635" s="650"/>
      <c r="AA635" s="650"/>
      <c r="AB635" s="650"/>
      <c r="AC635" s="650"/>
      <c r="AD635" s="650"/>
      <c r="AE635" s="650"/>
      <c r="AF635" s="650"/>
      <c r="AG635" s="650"/>
      <c r="AH635" s="650"/>
      <c r="AI635" s="650"/>
      <c r="AJ635" s="650"/>
      <c r="AK635" s="650"/>
      <c r="AL635" s="650"/>
      <c r="AM635" s="650"/>
      <c r="AN635" s="650"/>
      <c r="AO635" s="650"/>
      <c r="AP635" s="650"/>
      <c r="AQ635" s="650"/>
      <c r="AR635" s="650"/>
      <c r="AS635" s="650"/>
      <c r="AT635" s="650"/>
      <c r="AU635" s="650"/>
      <c r="AV635" s="650"/>
      <c r="AW635" s="650"/>
      <c r="AX635" s="650"/>
      <c r="AY635" s="650"/>
    </row>
    <row r="636" ht="21.75" customHeight="1">
      <c r="A636" s="650"/>
      <c r="B636" s="650"/>
      <c r="C636" s="650"/>
      <c r="D636" s="650"/>
      <c r="E636" s="650"/>
      <c r="F636" s="650"/>
      <c r="G636" s="650"/>
      <c r="H636" s="650"/>
      <c r="I636" s="650"/>
      <c r="J636" s="650"/>
      <c r="K636" s="650"/>
      <c r="L636" s="650"/>
      <c r="M636" s="650"/>
      <c r="N636" s="650"/>
      <c r="O636" s="650"/>
      <c r="P636" s="650"/>
      <c r="Q636" s="650"/>
      <c r="R636" s="650"/>
      <c r="S636" s="650"/>
      <c r="T636" s="650"/>
      <c r="U636" s="650"/>
      <c r="V636" s="650"/>
      <c r="W636" s="650"/>
      <c r="X636" s="650"/>
      <c r="Y636" s="650"/>
      <c r="Z636" s="650"/>
      <c r="AA636" s="650"/>
      <c r="AB636" s="650"/>
      <c r="AC636" s="650"/>
      <c r="AD636" s="650"/>
      <c r="AE636" s="650"/>
      <c r="AF636" s="650"/>
      <c r="AG636" s="650"/>
      <c r="AH636" s="650"/>
      <c r="AI636" s="650"/>
      <c r="AJ636" s="650"/>
      <c r="AK636" s="650"/>
      <c r="AL636" s="650"/>
      <c r="AM636" s="650"/>
      <c r="AN636" s="650"/>
      <c r="AO636" s="650"/>
      <c r="AP636" s="650"/>
      <c r="AQ636" s="650"/>
      <c r="AR636" s="650"/>
      <c r="AS636" s="650"/>
      <c r="AT636" s="650"/>
      <c r="AU636" s="650"/>
      <c r="AV636" s="650"/>
      <c r="AW636" s="650"/>
      <c r="AX636" s="650"/>
      <c r="AY636" s="650"/>
    </row>
    <row r="637" ht="21.75" customHeight="1">
      <c r="A637" s="650"/>
      <c r="B637" s="650"/>
      <c r="C637" s="650"/>
      <c r="D637" s="650"/>
      <c r="E637" s="650"/>
      <c r="F637" s="650"/>
      <c r="G637" s="650"/>
      <c r="H637" s="650"/>
      <c r="I637" s="650"/>
      <c r="J637" s="650"/>
      <c r="K637" s="650"/>
      <c r="L637" s="650"/>
      <c r="M637" s="650"/>
      <c r="N637" s="650"/>
      <c r="O637" s="650"/>
      <c r="P637" s="650"/>
      <c r="Q637" s="650"/>
      <c r="R637" s="650"/>
      <c r="S637" s="650"/>
      <c r="T637" s="650"/>
      <c r="U637" s="650"/>
      <c r="V637" s="650"/>
      <c r="W637" s="650"/>
      <c r="X637" s="650"/>
      <c r="Y637" s="650"/>
      <c r="Z637" s="650"/>
      <c r="AA637" s="650"/>
      <c r="AB637" s="650"/>
      <c r="AC637" s="650"/>
      <c r="AD637" s="650"/>
      <c r="AE637" s="650"/>
      <c r="AF637" s="650"/>
      <c r="AG637" s="650"/>
      <c r="AH637" s="650"/>
      <c r="AI637" s="650"/>
      <c r="AJ637" s="650"/>
      <c r="AK637" s="650"/>
      <c r="AL637" s="650"/>
      <c r="AM637" s="650"/>
      <c r="AN637" s="650"/>
      <c r="AO637" s="650"/>
      <c r="AP637" s="650"/>
      <c r="AQ637" s="650"/>
      <c r="AR637" s="650"/>
      <c r="AS637" s="650"/>
      <c r="AT637" s="650"/>
      <c r="AU637" s="650"/>
      <c r="AV637" s="650"/>
      <c r="AW637" s="650"/>
      <c r="AX637" s="650"/>
      <c r="AY637" s="650"/>
    </row>
    <row r="638" ht="21.75" customHeight="1">
      <c r="A638" s="650"/>
      <c r="B638" s="650"/>
      <c r="C638" s="650"/>
      <c r="D638" s="650"/>
      <c r="E638" s="650"/>
      <c r="F638" s="650"/>
      <c r="G638" s="650"/>
      <c r="H638" s="650"/>
      <c r="I638" s="650"/>
      <c r="J638" s="650"/>
      <c r="K638" s="650"/>
      <c r="L638" s="650"/>
      <c r="M638" s="650"/>
      <c r="N638" s="650"/>
      <c r="O638" s="650"/>
      <c r="P638" s="650"/>
      <c r="Q638" s="650"/>
      <c r="R638" s="650"/>
      <c r="S638" s="650"/>
      <c r="T638" s="650"/>
      <c r="U638" s="650"/>
      <c r="V638" s="650"/>
      <c r="W638" s="650"/>
      <c r="X638" s="650"/>
      <c r="Y638" s="650"/>
      <c r="Z638" s="650"/>
      <c r="AA638" s="650"/>
      <c r="AB638" s="650"/>
      <c r="AC638" s="650"/>
      <c r="AD638" s="650"/>
      <c r="AE638" s="650"/>
      <c r="AF638" s="650"/>
      <c r="AG638" s="650"/>
      <c r="AH638" s="650"/>
      <c r="AI638" s="650"/>
      <c r="AJ638" s="650"/>
      <c r="AK638" s="650"/>
      <c r="AL638" s="650"/>
      <c r="AM638" s="650"/>
      <c r="AN638" s="650"/>
      <c r="AO638" s="650"/>
      <c r="AP638" s="650"/>
      <c r="AQ638" s="650"/>
      <c r="AR638" s="650"/>
      <c r="AS638" s="650"/>
      <c r="AT638" s="650"/>
      <c r="AU638" s="650"/>
      <c r="AV638" s="650"/>
      <c r="AW638" s="650"/>
      <c r="AX638" s="650"/>
      <c r="AY638" s="650"/>
    </row>
    <row r="639" ht="21.75" customHeight="1">
      <c r="A639" s="650"/>
      <c r="B639" s="650"/>
      <c r="C639" s="650"/>
      <c r="D639" s="650"/>
      <c r="E639" s="650"/>
      <c r="F639" s="650"/>
      <c r="G639" s="650"/>
      <c r="H639" s="650"/>
      <c r="I639" s="650"/>
      <c r="J639" s="650"/>
      <c r="K639" s="650"/>
      <c r="L639" s="650"/>
      <c r="M639" s="650"/>
      <c r="N639" s="650"/>
      <c r="O639" s="650"/>
      <c r="P639" s="650"/>
      <c r="Q639" s="650"/>
      <c r="R639" s="650"/>
      <c r="S639" s="650"/>
      <c r="T639" s="650"/>
      <c r="U639" s="650"/>
      <c r="V639" s="650"/>
      <c r="W639" s="650"/>
      <c r="X639" s="650"/>
      <c r="Y639" s="650"/>
      <c r="Z639" s="650"/>
      <c r="AA639" s="650"/>
      <c r="AB639" s="650"/>
      <c r="AC639" s="650"/>
      <c r="AD639" s="650"/>
      <c r="AE639" s="650"/>
      <c r="AF639" s="650"/>
      <c r="AG639" s="650"/>
      <c r="AH639" s="650"/>
      <c r="AI639" s="650"/>
      <c r="AJ639" s="650"/>
      <c r="AK639" s="650"/>
      <c r="AL639" s="650"/>
      <c r="AM639" s="650"/>
      <c r="AN639" s="650"/>
      <c r="AO639" s="650"/>
      <c r="AP639" s="650"/>
      <c r="AQ639" s="650"/>
      <c r="AR639" s="650"/>
      <c r="AS639" s="650"/>
      <c r="AT639" s="650"/>
      <c r="AU639" s="650"/>
      <c r="AV639" s="650"/>
      <c r="AW639" s="650"/>
      <c r="AX639" s="650"/>
      <c r="AY639" s="650"/>
    </row>
    <row r="640" ht="21.75" customHeight="1">
      <c r="A640" s="650"/>
      <c r="B640" s="650"/>
      <c r="C640" s="650"/>
      <c r="D640" s="650"/>
      <c r="E640" s="650"/>
      <c r="F640" s="650"/>
      <c r="G640" s="650"/>
      <c r="H640" s="650"/>
      <c r="I640" s="650"/>
      <c r="J640" s="650"/>
      <c r="K640" s="650"/>
      <c r="L640" s="650"/>
      <c r="M640" s="650"/>
      <c r="N640" s="650"/>
      <c r="O640" s="650"/>
      <c r="P640" s="650"/>
      <c r="Q640" s="650"/>
      <c r="R640" s="650"/>
      <c r="S640" s="650"/>
      <c r="T640" s="650"/>
      <c r="U640" s="650"/>
      <c r="V640" s="650"/>
      <c r="W640" s="650"/>
      <c r="X640" s="650"/>
      <c r="Y640" s="650"/>
      <c r="Z640" s="650"/>
      <c r="AA640" s="650"/>
      <c r="AB640" s="650"/>
      <c r="AC640" s="650"/>
      <c r="AD640" s="650"/>
      <c r="AE640" s="650"/>
      <c r="AF640" s="650"/>
      <c r="AG640" s="650"/>
      <c r="AH640" s="650"/>
      <c r="AI640" s="650"/>
      <c r="AJ640" s="650"/>
      <c r="AK640" s="650"/>
      <c r="AL640" s="650"/>
      <c r="AM640" s="650"/>
      <c r="AN640" s="650"/>
      <c r="AO640" s="650"/>
      <c r="AP640" s="650"/>
      <c r="AQ640" s="650"/>
      <c r="AR640" s="650"/>
      <c r="AS640" s="650"/>
      <c r="AT640" s="650"/>
      <c r="AU640" s="650"/>
      <c r="AV640" s="650"/>
      <c r="AW640" s="650"/>
      <c r="AX640" s="650"/>
      <c r="AY640" s="650"/>
    </row>
    <row r="641" ht="21.75" customHeight="1">
      <c r="A641" s="650"/>
      <c r="B641" s="650"/>
      <c r="C641" s="650"/>
      <c r="D641" s="650"/>
      <c r="E641" s="650"/>
      <c r="F641" s="650"/>
      <c r="G641" s="650"/>
      <c r="H641" s="650"/>
      <c r="I641" s="650"/>
      <c r="J641" s="650"/>
      <c r="K641" s="650"/>
      <c r="L641" s="650"/>
      <c r="M641" s="650"/>
      <c r="N641" s="650"/>
      <c r="O641" s="650"/>
      <c r="P641" s="650"/>
      <c r="Q641" s="650"/>
      <c r="R641" s="650"/>
      <c r="S641" s="650"/>
      <c r="T641" s="650"/>
      <c r="U641" s="650"/>
      <c r="V641" s="650"/>
      <c r="W641" s="650"/>
      <c r="X641" s="650"/>
      <c r="Y641" s="650"/>
      <c r="Z641" s="650"/>
      <c r="AA641" s="650"/>
      <c r="AB641" s="650"/>
      <c r="AC641" s="650"/>
      <c r="AD641" s="650"/>
      <c r="AE641" s="650"/>
      <c r="AF641" s="650"/>
      <c r="AG641" s="650"/>
      <c r="AH641" s="650"/>
      <c r="AI641" s="650"/>
      <c r="AJ641" s="650"/>
      <c r="AK641" s="650"/>
      <c r="AL641" s="650"/>
      <c r="AM641" s="650"/>
      <c r="AN641" s="650"/>
      <c r="AO641" s="650"/>
      <c r="AP641" s="650"/>
      <c r="AQ641" s="650"/>
      <c r="AR641" s="650"/>
      <c r="AS641" s="650"/>
      <c r="AT641" s="650"/>
      <c r="AU641" s="650"/>
      <c r="AV641" s="650"/>
      <c r="AW641" s="650"/>
      <c r="AX641" s="650"/>
      <c r="AY641" s="650"/>
    </row>
    <row r="642" ht="21.75" customHeight="1">
      <c r="A642" s="650"/>
      <c r="B642" s="650"/>
      <c r="C642" s="650"/>
      <c r="D642" s="650"/>
      <c r="E642" s="650"/>
      <c r="F642" s="650"/>
      <c r="G642" s="650"/>
      <c r="H642" s="650"/>
      <c r="I642" s="650"/>
      <c r="J642" s="650"/>
      <c r="K642" s="650"/>
      <c r="L642" s="650"/>
      <c r="M642" s="650"/>
      <c r="N642" s="650"/>
      <c r="O642" s="650"/>
      <c r="P642" s="650"/>
      <c r="Q642" s="650"/>
      <c r="R642" s="650"/>
      <c r="S642" s="650"/>
      <c r="T642" s="650"/>
      <c r="U642" s="650"/>
      <c r="V642" s="650"/>
      <c r="W642" s="650"/>
      <c r="X642" s="650"/>
      <c r="Y642" s="650"/>
      <c r="Z642" s="650"/>
      <c r="AA642" s="650"/>
      <c r="AB642" s="650"/>
      <c r="AC642" s="650"/>
      <c r="AD642" s="650"/>
      <c r="AE642" s="650"/>
      <c r="AF642" s="650"/>
      <c r="AG642" s="650"/>
      <c r="AH642" s="650"/>
      <c r="AI642" s="650"/>
      <c r="AJ642" s="650"/>
      <c r="AK642" s="650"/>
      <c r="AL642" s="650"/>
      <c r="AM642" s="650"/>
      <c r="AN642" s="650"/>
      <c r="AO642" s="650"/>
      <c r="AP642" s="650"/>
      <c r="AQ642" s="650"/>
      <c r="AR642" s="650"/>
      <c r="AS642" s="650"/>
      <c r="AT642" s="650"/>
      <c r="AU642" s="650"/>
      <c r="AV642" s="650"/>
      <c r="AW642" s="650"/>
      <c r="AX642" s="650"/>
      <c r="AY642" s="650"/>
    </row>
    <row r="643" ht="21.75" customHeight="1">
      <c r="A643" s="650"/>
      <c r="B643" s="650"/>
      <c r="C643" s="650"/>
      <c r="D643" s="650"/>
      <c r="E643" s="650"/>
      <c r="F643" s="650"/>
      <c r="G643" s="650"/>
      <c r="H643" s="650"/>
      <c r="I643" s="650"/>
      <c r="J643" s="650"/>
      <c r="K643" s="650"/>
      <c r="L643" s="650"/>
      <c r="M643" s="650"/>
      <c r="N643" s="650"/>
      <c r="O643" s="650"/>
      <c r="P643" s="650"/>
      <c r="Q643" s="650"/>
      <c r="R643" s="650"/>
      <c r="S643" s="650"/>
      <c r="T643" s="650"/>
      <c r="U643" s="650"/>
      <c r="V643" s="650"/>
      <c r="W643" s="650"/>
      <c r="X643" s="650"/>
      <c r="Y643" s="650"/>
      <c r="Z643" s="650"/>
      <c r="AA643" s="650"/>
      <c r="AB643" s="650"/>
      <c r="AC643" s="650"/>
      <c r="AD643" s="650"/>
      <c r="AE643" s="650"/>
      <c r="AF643" s="650"/>
      <c r="AG643" s="650"/>
      <c r="AH643" s="650"/>
      <c r="AI643" s="650"/>
      <c r="AJ643" s="650"/>
      <c r="AK643" s="650"/>
      <c r="AL643" s="650"/>
      <c r="AM643" s="650"/>
      <c r="AN643" s="650"/>
      <c r="AO643" s="650"/>
      <c r="AP643" s="650"/>
      <c r="AQ643" s="650"/>
      <c r="AR643" s="650"/>
      <c r="AS643" s="650"/>
      <c r="AT643" s="650"/>
      <c r="AU643" s="650"/>
      <c r="AV643" s="650"/>
      <c r="AW643" s="650"/>
      <c r="AX643" s="650"/>
      <c r="AY643" s="650"/>
    </row>
    <row r="644" ht="21.75" customHeight="1">
      <c r="A644" s="650"/>
      <c r="B644" s="650"/>
      <c r="C644" s="650"/>
      <c r="D644" s="650"/>
      <c r="E644" s="650"/>
      <c r="F644" s="650"/>
      <c r="G644" s="650"/>
      <c r="H644" s="650"/>
      <c r="I644" s="650"/>
      <c r="J644" s="650"/>
      <c r="K644" s="650"/>
      <c r="L644" s="650"/>
      <c r="M644" s="650"/>
      <c r="N644" s="650"/>
      <c r="O644" s="650"/>
      <c r="P644" s="650"/>
      <c r="Q644" s="650"/>
      <c r="R644" s="650"/>
      <c r="S644" s="650"/>
      <c r="T644" s="650"/>
      <c r="U644" s="650"/>
      <c r="V644" s="650"/>
      <c r="W644" s="650"/>
      <c r="X644" s="650"/>
      <c r="Y644" s="650"/>
      <c r="Z644" s="650"/>
      <c r="AA644" s="650"/>
      <c r="AB644" s="650"/>
      <c r="AC644" s="650"/>
      <c r="AD644" s="650"/>
      <c r="AE644" s="650"/>
      <c r="AF644" s="650"/>
      <c r="AG644" s="650"/>
      <c r="AH644" s="650"/>
      <c r="AI644" s="650"/>
      <c r="AJ644" s="650"/>
      <c r="AK644" s="650"/>
      <c r="AL644" s="650"/>
      <c r="AM644" s="650"/>
      <c r="AN644" s="650"/>
      <c r="AO644" s="650"/>
      <c r="AP644" s="650"/>
      <c r="AQ644" s="650"/>
      <c r="AR644" s="650"/>
      <c r="AS644" s="650"/>
      <c r="AT644" s="650"/>
      <c r="AU644" s="650"/>
      <c r="AV644" s="650"/>
      <c r="AW644" s="650"/>
      <c r="AX644" s="650"/>
      <c r="AY644" s="650"/>
    </row>
    <row r="645" ht="21.75" customHeight="1">
      <c r="A645" s="650"/>
      <c r="B645" s="650"/>
      <c r="C645" s="650"/>
      <c r="D645" s="650"/>
      <c r="E645" s="650"/>
      <c r="F645" s="650"/>
      <c r="G645" s="650"/>
      <c r="H645" s="650"/>
      <c r="I645" s="650"/>
      <c r="J645" s="650"/>
      <c r="K645" s="650"/>
      <c r="L645" s="650"/>
      <c r="M645" s="650"/>
      <c r="N645" s="650"/>
      <c r="O645" s="650"/>
      <c r="P645" s="650"/>
      <c r="Q645" s="650"/>
      <c r="R645" s="650"/>
      <c r="S645" s="650"/>
      <c r="T645" s="650"/>
      <c r="U645" s="650"/>
      <c r="V645" s="650"/>
      <c r="W645" s="650"/>
      <c r="X645" s="650"/>
      <c r="Y645" s="650"/>
      <c r="Z645" s="650"/>
      <c r="AA645" s="650"/>
      <c r="AB645" s="650"/>
      <c r="AC645" s="650"/>
      <c r="AD645" s="650"/>
      <c r="AE645" s="650"/>
      <c r="AF645" s="650"/>
      <c r="AG645" s="650"/>
      <c r="AH645" s="650"/>
      <c r="AI645" s="650"/>
      <c r="AJ645" s="650"/>
      <c r="AK645" s="650"/>
      <c r="AL645" s="650"/>
      <c r="AM645" s="650"/>
      <c r="AN645" s="650"/>
      <c r="AO645" s="650"/>
      <c r="AP645" s="650"/>
      <c r="AQ645" s="650"/>
      <c r="AR645" s="650"/>
      <c r="AS645" s="650"/>
      <c r="AT645" s="650"/>
      <c r="AU645" s="650"/>
      <c r="AV645" s="650"/>
      <c r="AW645" s="650"/>
      <c r="AX645" s="650"/>
      <c r="AY645" s="650"/>
    </row>
    <row r="646" ht="21.75" customHeight="1">
      <c r="A646" s="650"/>
      <c r="B646" s="650"/>
      <c r="C646" s="650"/>
      <c r="D646" s="650"/>
      <c r="E646" s="650"/>
      <c r="F646" s="650"/>
      <c r="G646" s="650"/>
      <c r="H646" s="650"/>
      <c r="I646" s="650"/>
      <c r="J646" s="650"/>
      <c r="K646" s="650"/>
      <c r="L646" s="650"/>
      <c r="M646" s="650"/>
      <c r="N646" s="650"/>
      <c r="O646" s="650"/>
      <c r="P646" s="650"/>
      <c r="Q646" s="650"/>
      <c r="R646" s="650"/>
      <c r="S646" s="650"/>
      <c r="T646" s="650"/>
      <c r="U646" s="650"/>
      <c r="V646" s="650"/>
      <c r="W646" s="650"/>
      <c r="X646" s="650"/>
      <c r="Y646" s="650"/>
      <c r="Z646" s="650"/>
      <c r="AA646" s="650"/>
      <c r="AB646" s="650"/>
      <c r="AC646" s="650"/>
      <c r="AD646" s="650"/>
      <c r="AE646" s="650"/>
      <c r="AF646" s="650"/>
      <c r="AG646" s="650"/>
      <c r="AH646" s="650"/>
      <c r="AI646" s="650"/>
      <c r="AJ646" s="650"/>
      <c r="AK646" s="650"/>
      <c r="AL646" s="650"/>
      <c r="AM646" s="650"/>
      <c r="AN646" s="650"/>
      <c r="AO646" s="650"/>
      <c r="AP646" s="650"/>
      <c r="AQ646" s="650"/>
      <c r="AR646" s="650"/>
      <c r="AS646" s="650"/>
      <c r="AT646" s="650"/>
      <c r="AU646" s="650"/>
      <c r="AV646" s="650"/>
      <c r="AW646" s="650"/>
      <c r="AX646" s="650"/>
      <c r="AY646" s="650"/>
    </row>
    <row r="647" ht="21.75" customHeight="1">
      <c r="A647" s="650"/>
      <c r="B647" s="650"/>
      <c r="C647" s="650"/>
      <c r="D647" s="650"/>
      <c r="E647" s="650"/>
      <c r="F647" s="650"/>
      <c r="G647" s="650"/>
      <c r="H647" s="650"/>
      <c r="I647" s="650"/>
      <c r="J647" s="650"/>
      <c r="K647" s="650"/>
      <c r="L647" s="650"/>
      <c r="M647" s="650"/>
      <c r="N647" s="650"/>
      <c r="O647" s="650"/>
      <c r="P647" s="650"/>
      <c r="Q647" s="650"/>
      <c r="R647" s="650"/>
      <c r="S647" s="650"/>
      <c r="T647" s="650"/>
      <c r="U647" s="650"/>
      <c r="V647" s="650"/>
      <c r="W647" s="650"/>
      <c r="X647" s="650"/>
      <c r="Y647" s="650"/>
      <c r="Z647" s="650"/>
      <c r="AA647" s="650"/>
      <c r="AB647" s="650"/>
      <c r="AC647" s="650"/>
      <c r="AD647" s="650"/>
      <c r="AE647" s="650"/>
      <c r="AF647" s="650"/>
      <c r="AG647" s="650"/>
      <c r="AH647" s="650"/>
      <c r="AI647" s="650"/>
      <c r="AJ647" s="650"/>
      <c r="AK647" s="650"/>
      <c r="AL647" s="650"/>
      <c r="AM647" s="650"/>
      <c r="AN647" s="650"/>
      <c r="AO647" s="650"/>
      <c r="AP647" s="650"/>
      <c r="AQ647" s="650"/>
      <c r="AR647" s="650"/>
      <c r="AS647" s="650"/>
      <c r="AT647" s="650"/>
      <c r="AU647" s="650"/>
      <c r="AV647" s="650"/>
      <c r="AW647" s="650"/>
      <c r="AX647" s="650"/>
      <c r="AY647" s="650"/>
    </row>
    <row r="648" ht="21.75" customHeight="1">
      <c r="A648" s="650"/>
      <c r="B648" s="650"/>
      <c r="C648" s="650"/>
      <c r="D648" s="650"/>
      <c r="E648" s="650"/>
      <c r="F648" s="650"/>
      <c r="G648" s="650"/>
      <c r="H648" s="650"/>
      <c r="I648" s="650"/>
      <c r="J648" s="650"/>
      <c r="K648" s="650"/>
      <c r="L648" s="650"/>
      <c r="M648" s="650"/>
      <c r="N648" s="650"/>
      <c r="O648" s="650"/>
      <c r="P648" s="650"/>
      <c r="Q648" s="650"/>
      <c r="R648" s="650"/>
      <c r="S648" s="650"/>
      <c r="T648" s="650"/>
      <c r="U648" s="650"/>
      <c r="V648" s="650"/>
      <c r="W648" s="650"/>
      <c r="X648" s="650"/>
      <c r="Y648" s="650"/>
      <c r="Z648" s="650"/>
      <c r="AA648" s="650"/>
      <c r="AB648" s="650"/>
      <c r="AC648" s="650"/>
      <c r="AD648" s="650"/>
      <c r="AE648" s="650"/>
      <c r="AF648" s="650"/>
      <c r="AG648" s="650"/>
      <c r="AH648" s="650"/>
      <c r="AI648" s="650"/>
      <c r="AJ648" s="650"/>
      <c r="AK648" s="650"/>
      <c r="AL648" s="650"/>
      <c r="AM648" s="650"/>
      <c r="AN648" s="650"/>
      <c r="AO648" s="650"/>
      <c r="AP648" s="650"/>
      <c r="AQ648" s="650"/>
      <c r="AR648" s="650"/>
      <c r="AS648" s="650"/>
      <c r="AT648" s="650"/>
      <c r="AU648" s="650"/>
      <c r="AV648" s="650"/>
      <c r="AW648" s="650"/>
      <c r="AX648" s="650"/>
      <c r="AY648" s="650"/>
    </row>
    <row r="649" ht="21.75" customHeight="1">
      <c r="A649" s="650"/>
      <c r="B649" s="650"/>
      <c r="C649" s="650"/>
      <c r="D649" s="650"/>
      <c r="E649" s="650"/>
      <c r="F649" s="650"/>
      <c r="G649" s="650"/>
      <c r="H649" s="650"/>
      <c r="I649" s="650"/>
      <c r="J649" s="650"/>
      <c r="K649" s="650"/>
      <c r="L649" s="650"/>
      <c r="M649" s="650"/>
      <c r="N649" s="650"/>
      <c r="O649" s="650"/>
      <c r="P649" s="650"/>
      <c r="Q649" s="650"/>
      <c r="R649" s="650"/>
      <c r="S649" s="650"/>
      <c r="T649" s="650"/>
      <c r="U649" s="650"/>
      <c r="V649" s="650"/>
      <c r="W649" s="650"/>
      <c r="X649" s="650"/>
      <c r="Y649" s="650"/>
      <c r="Z649" s="650"/>
      <c r="AA649" s="650"/>
      <c r="AB649" s="650"/>
      <c r="AC649" s="650"/>
      <c r="AD649" s="650"/>
      <c r="AE649" s="650"/>
      <c r="AF649" s="650"/>
      <c r="AG649" s="650"/>
      <c r="AH649" s="650"/>
      <c r="AI649" s="650"/>
      <c r="AJ649" s="650"/>
      <c r="AK649" s="650"/>
      <c r="AL649" s="650"/>
      <c r="AM649" s="650"/>
      <c r="AN649" s="650"/>
      <c r="AO649" s="650"/>
      <c r="AP649" s="650"/>
      <c r="AQ649" s="650"/>
      <c r="AR649" s="650"/>
      <c r="AS649" s="650"/>
      <c r="AT649" s="650"/>
      <c r="AU649" s="650"/>
      <c r="AV649" s="650"/>
      <c r="AW649" s="650"/>
      <c r="AX649" s="650"/>
      <c r="AY649" s="650"/>
    </row>
    <row r="650" ht="21.75" customHeight="1">
      <c r="A650" s="650"/>
      <c r="B650" s="650"/>
      <c r="C650" s="650"/>
      <c r="D650" s="650"/>
      <c r="E650" s="650"/>
      <c r="F650" s="650"/>
      <c r="G650" s="650"/>
      <c r="H650" s="650"/>
      <c r="I650" s="650"/>
      <c r="J650" s="650"/>
      <c r="K650" s="650"/>
      <c r="L650" s="650"/>
      <c r="M650" s="650"/>
      <c r="N650" s="650"/>
      <c r="O650" s="650"/>
      <c r="P650" s="650"/>
      <c r="Q650" s="650"/>
      <c r="R650" s="650"/>
      <c r="S650" s="650"/>
      <c r="T650" s="650"/>
      <c r="U650" s="650"/>
      <c r="V650" s="650"/>
      <c r="W650" s="650"/>
      <c r="X650" s="650"/>
      <c r="Y650" s="650"/>
      <c r="Z650" s="650"/>
      <c r="AA650" s="650"/>
      <c r="AB650" s="650"/>
      <c r="AC650" s="650"/>
      <c r="AD650" s="650"/>
      <c r="AE650" s="650"/>
      <c r="AF650" s="650"/>
      <c r="AG650" s="650"/>
      <c r="AH650" s="650"/>
      <c r="AI650" s="650"/>
      <c r="AJ650" s="650"/>
      <c r="AK650" s="650"/>
      <c r="AL650" s="650"/>
      <c r="AM650" s="650"/>
      <c r="AN650" s="650"/>
      <c r="AO650" s="650"/>
      <c r="AP650" s="650"/>
      <c r="AQ650" s="650"/>
      <c r="AR650" s="650"/>
      <c r="AS650" s="650"/>
      <c r="AT650" s="650"/>
      <c r="AU650" s="650"/>
      <c r="AV650" s="650"/>
      <c r="AW650" s="650"/>
      <c r="AX650" s="650"/>
      <c r="AY650" s="650"/>
    </row>
    <row r="651" ht="21.75" customHeight="1">
      <c r="A651" s="650"/>
      <c r="B651" s="650"/>
      <c r="C651" s="650"/>
      <c r="D651" s="650"/>
      <c r="E651" s="650"/>
      <c r="F651" s="650"/>
      <c r="G651" s="650"/>
      <c r="H651" s="650"/>
      <c r="I651" s="650"/>
      <c r="J651" s="650"/>
      <c r="K651" s="650"/>
      <c r="L651" s="650"/>
      <c r="M651" s="650"/>
      <c r="N651" s="650"/>
      <c r="O651" s="650"/>
      <c r="P651" s="650"/>
      <c r="Q651" s="650"/>
      <c r="R651" s="650"/>
      <c r="S651" s="650"/>
      <c r="T651" s="650"/>
      <c r="U651" s="650"/>
      <c r="V651" s="650"/>
      <c r="W651" s="650"/>
      <c r="X651" s="650"/>
      <c r="Y651" s="650"/>
      <c r="Z651" s="650"/>
      <c r="AA651" s="650"/>
      <c r="AB651" s="650"/>
      <c r="AC651" s="650"/>
      <c r="AD651" s="650"/>
      <c r="AE651" s="650"/>
      <c r="AF651" s="650"/>
      <c r="AG651" s="650"/>
      <c r="AH651" s="650"/>
      <c r="AI651" s="650"/>
      <c r="AJ651" s="650"/>
      <c r="AK651" s="650"/>
      <c r="AL651" s="650"/>
      <c r="AM651" s="650"/>
      <c r="AN651" s="650"/>
      <c r="AO651" s="650"/>
      <c r="AP651" s="650"/>
      <c r="AQ651" s="650"/>
      <c r="AR651" s="650"/>
      <c r="AS651" s="650"/>
      <c r="AT651" s="650"/>
      <c r="AU651" s="650"/>
      <c r="AV651" s="650"/>
      <c r="AW651" s="650"/>
      <c r="AX651" s="650"/>
      <c r="AY651" s="650"/>
    </row>
    <row r="652" ht="21.75" customHeight="1">
      <c r="A652" s="650"/>
      <c r="B652" s="650"/>
      <c r="C652" s="650"/>
      <c r="D652" s="650"/>
      <c r="E652" s="650"/>
      <c r="F652" s="650"/>
      <c r="G652" s="650"/>
      <c r="H652" s="650"/>
      <c r="I652" s="650"/>
      <c r="J652" s="650"/>
      <c r="K652" s="650"/>
      <c r="L652" s="650"/>
      <c r="M652" s="650"/>
      <c r="N652" s="650"/>
      <c r="O652" s="650"/>
      <c r="P652" s="650"/>
      <c r="Q652" s="650"/>
      <c r="R652" s="650"/>
      <c r="S652" s="650"/>
      <c r="T652" s="650"/>
      <c r="U652" s="650"/>
      <c r="V652" s="650"/>
      <c r="W652" s="650"/>
      <c r="X652" s="650"/>
      <c r="Y652" s="650"/>
      <c r="Z652" s="650"/>
      <c r="AA652" s="650"/>
      <c r="AB652" s="650"/>
      <c r="AC652" s="650"/>
      <c r="AD652" s="650"/>
      <c r="AE652" s="650"/>
      <c r="AF652" s="650"/>
      <c r="AG652" s="650"/>
      <c r="AH652" s="650"/>
      <c r="AI652" s="650"/>
      <c r="AJ652" s="650"/>
      <c r="AK652" s="650"/>
      <c r="AL652" s="650"/>
      <c r="AM652" s="650"/>
      <c r="AN652" s="650"/>
      <c r="AO652" s="650"/>
      <c r="AP652" s="650"/>
      <c r="AQ652" s="650"/>
      <c r="AR652" s="650"/>
      <c r="AS652" s="650"/>
      <c r="AT652" s="650"/>
      <c r="AU652" s="650"/>
      <c r="AV652" s="650"/>
      <c r="AW652" s="650"/>
      <c r="AX652" s="650"/>
      <c r="AY652" s="650"/>
    </row>
    <row r="653" ht="21.75" customHeight="1">
      <c r="A653" s="650"/>
      <c r="B653" s="650"/>
      <c r="C653" s="650"/>
      <c r="D653" s="650"/>
      <c r="E653" s="650"/>
      <c r="F653" s="650"/>
      <c r="G653" s="650"/>
      <c r="H653" s="650"/>
      <c r="I653" s="650"/>
      <c r="J653" s="650"/>
      <c r="K653" s="650"/>
      <c r="L653" s="650"/>
      <c r="M653" s="650"/>
      <c r="N653" s="650"/>
      <c r="O653" s="650"/>
      <c r="P653" s="650"/>
      <c r="Q653" s="650"/>
      <c r="R653" s="650"/>
      <c r="S653" s="650"/>
      <c r="T653" s="650"/>
      <c r="U653" s="650"/>
      <c r="V653" s="650"/>
      <c r="W653" s="650"/>
      <c r="X653" s="650"/>
      <c r="Y653" s="650"/>
      <c r="Z653" s="650"/>
      <c r="AA653" s="650"/>
      <c r="AB653" s="650"/>
      <c r="AC653" s="650"/>
      <c r="AD653" s="650"/>
      <c r="AE653" s="650"/>
      <c r="AF653" s="650"/>
      <c r="AG653" s="650"/>
      <c r="AH653" s="650"/>
      <c r="AI653" s="650"/>
      <c r="AJ653" s="650"/>
      <c r="AK653" s="650"/>
      <c r="AL653" s="650"/>
      <c r="AM653" s="650"/>
      <c r="AN653" s="650"/>
      <c r="AO653" s="650"/>
      <c r="AP653" s="650"/>
      <c r="AQ653" s="650"/>
      <c r="AR653" s="650"/>
      <c r="AS653" s="650"/>
      <c r="AT653" s="650"/>
      <c r="AU653" s="650"/>
      <c r="AV653" s="650"/>
      <c r="AW653" s="650"/>
      <c r="AX653" s="650"/>
      <c r="AY653" s="650"/>
    </row>
    <row r="654" ht="21.75" customHeight="1">
      <c r="A654" s="650"/>
      <c r="B654" s="650"/>
      <c r="C654" s="650"/>
      <c r="D654" s="650"/>
      <c r="E654" s="650"/>
      <c r="F654" s="650"/>
      <c r="G654" s="650"/>
      <c r="H654" s="650"/>
      <c r="I654" s="650"/>
      <c r="J654" s="650"/>
      <c r="K654" s="650"/>
      <c r="L654" s="650"/>
      <c r="M654" s="650"/>
      <c r="N654" s="650"/>
      <c r="O654" s="650"/>
      <c r="P654" s="650"/>
      <c r="Q654" s="650"/>
      <c r="R654" s="650"/>
      <c r="S654" s="650"/>
      <c r="T654" s="650"/>
      <c r="U654" s="650"/>
      <c r="V654" s="650"/>
      <c r="W654" s="650"/>
      <c r="X654" s="650"/>
      <c r="Y654" s="650"/>
      <c r="Z654" s="650"/>
      <c r="AA654" s="650"/>
      <c r="AB654" s="650"/>
      <c r="AC654" s="650"/>
      <c r="AD654" s="650"/>
      <c r="AE654" s="650"/>
      <c r="AF654" s="650"/>
      <c r="AG654" s="650"/>
      <c r="AH654" s="650"/>
      <c r="AI654" s="650"/>
      <c r="AJ654" s="650"/>
      <c r="AK654" s="650"/>
      <c r="AL654" s="650"/>
      <c r="AM654" s="650"/>
      <c r="AN654" s="650"/>
      <c r="AO654" s="650"/>
      <c r="AP654" s="650"/>
      <c r="AQ654" s="650"/>
      <c r="AR654" s="650"/>
      <c r="AS654" s="650"/>
      <c r="AT654" s="650"/>
      <c r="AU654" s="650"/>
      <c r="AV654" s="650"/>
      <c r="AW654" s="650"/>
      <c r="AX654" s="650"/>
      <c r="AY654" s="650"/>
    </row>
    <row r="655" ht="21.75" customHeight="1">
      <c r="A655" s="650"/>
      <c r="B655" s="650"/>
      <c r="C655" s="650"/>
      <c r="D655" s="650"/>
      <c r="E655" s="650"/>
      <c r="F655" s="650"/>
      <c r="G655" s="650"/>
      <c r="H655" s="650"/>
      <c r="I655" s="650"/>
      <c r="J655" s="650"/>
      <c r="K655" s="650"/>
      <c r="L655" s="650"/>
      <c r="M655" s="650"/>
      <c r="N655" s="650"/>
      <c r="O655" s="650"/>
      <c r="P655" s="650"/>
      <c r="Q655" s="650"/>
      <c r="R655" s="650"/>
      <c r="S655" s="650"/>
      <c r="T655" s="650"/>
      <c r="U655" s="650"/>
      <c r="V655" s="650"/>
      <c r="W655" s="650"/>
      <c r="X655" s="650"/>
      <c r="Y655" s="650"/>
      <c r="Z655" s="650"/>
      <c r="AA655" s="650"/>
      <c r="AB655" s="650"/>
      <c r="AC655" s="650"/>
      <c r="AD655" s="650"/>
      <c r="AE655" s="650"/>
      <c r="AF655" s="650"/>
      <c r="AG655" s="650"/>
      <c r="AH655" s="650"/>
      <c r="AI655" s="650"/>
      <c r="AJ655" s="650"/>
      <c r="AK655" s="650"/>
      <c r="AL655" s="650"/>
      <c r="AM655" s="650"/>
      <c r="AN655" s="650"/>
      <c r="AO655" s="650"/>
      <c r="AP655" s="650"/>
      <c r="AQ655" s="650"/>
      <c r="AR655" s="650"/>
      <c r="AS655" s="650"/>
      <c r="AT655" s="650"/>
      <c r="AU655" s="650"/>
      <c r="AV655" s="650"/>
      <c r="AW655" s="650"/>
      <c r="AX655" s="650"/>
      <c r="AY655" s="650"/>
    </row>
    <row r="656" ht="21.75" customHeight="1">
      <c r="A656" s="650"/>
      <c r="B656" s="650"/>
      <c r="C656" s="650"/>
      <c r="D656" s="650"/>
      <c r="E656" s="650"/>
      <c r="F656" s="650"/>
      <c r="G656" s="650"/>
      <c r="H656" s="650"/>
      <c r="I656" s="650"/>
      <c r="J656" s="650"/>
      <c r="K656" s="650"/>
      <c r="L656" s="650"/>
      <c r="M656" s="650"/>
      <c r="N656" s="650"/>
      <c r="O656" s="650"/>
      <c r="P656" s="650"/>
      <c r="Q656" s="650"/>
      <c r="R656" s="650"/>
      <c r="S656" s="650"/>
      <c r="T656" s="650"/>
      <c r="U656" s="650"/>
      <c r="V656" s="650"/>
      <c r="W656" s="650"/>
      <c r="X656" s="650"/>
      <c r="Y656" s="650"/>
      <c r="Z656" s="650"/>
      <c r="AA656" s="650"/>
      <c r="AB656" s="650"/>
      <c r="AC656" s="650"/>
      <c r="AD656" s="650"/>
      <c r="AE656" s="650"/>
      <c r="AF656" s="650"/>
      <c r="AG656" s="650"/>
      <c r="AH656" s="650"/>
      <c r="AI656" s="650"/>
      <c r="AJ656" s="650"/>
      <c r="AK656" s="650"/>
      <c r="AL656" s="650"/>
      <c r="AM656" s="650"/>
      <c r="AN656" s="650"/>
      <c r="AO656" s="650"/>
      <c r="AP656" s="650"/>
      <c r="AQ656" s="650"/>
      <c r="AR656" s="650"/>
      <c r="AS656" s="650"/>
      <c r="AT656" s="650"/>
      <c r="AU656" s="650"/>
      <c r="AV656" s="650"/>
      <c r="AW656" s="650"/>
      <c r="AX656" s="650"/>
      <c r="AY656" s="650"/>
    </row>
    <row r="657" ht="21.75" customHeight="1">
      <c r="A657" s="650"/>
      <c r="B657" s="650"/>
      <c r="C657" s="650"/>
      <c r="D657" s="650"/>
      <c r="E657" s="650"/>
      <c r="F657" s="650"/>
      <c r="G657" s="650"/>
      <c r="H657" s="650"/>
      <c r="I657" s="650"/>
      <c r="J657" s="650"/>
      <c r="K657" s="650"/>
      <c r="L657" s="650"/>
      <c r="M657" s="650"/>
      <c r="N657" s="650"/>
      <c r="O657" s="650"/>
      <c r="P657" s="650"/>
      <c r="Q657" s="650"/>
      <c r="R657" s="650"/>
      <c r="S657" s="650"/>
      <c r="T657" s="650"/>
      <c r="U657" s="650"/>
      <c r="V657" s="650"/>
      <c r="W657" s="650"/>
      <c r="X657" s="650"/>
      <c r="Y657" s="650"/>
      <c r="Z657" s="650"/>
      <c r="AA657" s="650"/>
      <c r="AB657" s="650"/>
      <c r="AC657" s="650"/>
      <c r="AD657" s="650"/>
      <c r="AE657" s="650"/>
      <c r="AF657" s="650"/>
      <c r="AG657" s="650"/>
      <c r="AH657" s="650"/>
      <c r="AI657" s="650"/>
      <c r="AJ657" s="650"/>
      <c r="AK657" s="650"/>
      <c r="AL657" s="650"/>
      <c r="AM657" s="650"/>
      <c r="AN657" s="650"/>
      <c r="AO657" s="650"/>
      <c r="AP657" s="650"/>
      <c r="AQ657" s="650"/>
      <c r="AR657" s="650"/>
      <c r="AS657" s="650"/>
      <c r="AT657" s="650"/>
      <c r="AU657" s="650"/>
      <c r="AV657" s="650"/>
      <c r="AW657" s="650"/>
      <c r="AX657" s="650"/>
      <c r="AY657" s="650"/>
    </row>
    <row r="658" ht="21.75" customHeight="1">
      <c r="A658" s="650"/>
      <c r="B658" s="650"/>
      <c r="C658" s="650"/>
      <c r="D658" s="650"/>
      <c r="E658" s="650"/>
      <c r="F658" s="650"/>
      <c r="G658" s="650"/>
      <c r="H658" s="650"/>
      <c r="I658" s="650"/>
      <c r="J658" s="650"/>
      <c r="K658" s="650"/>
      <c r="L658" s="650"/>
      <c r="M658" s="650"/>
      <c r="N658" s="650"/>
      <c r="O658" s="650"/>
      <c r="P658" s="650"/>
      <c r="Q658" s="650"/>
      <c r="R658" s="650"/>
      <c r="S658" s="650"/>
      <c r="T658" s="650"/>
      <c r="U658" s="650"/>
      <c r="V658" s="650"/>
      <c r="W658" s="650"/>
      <c r="X658" s="650"/>
      <c r="Y658" s="650"/>
      <c r="Z658" s="650"/>
      <c r="AA658" s="650"/>
      <c r="AB658" s="650"/>
      <c r="AC658" s="650"/>
      <c r="AD658" s="650"/>
      <c r="AE658" s="650"/>
      <c r="AF658" s="650"/>
      <c r="AG658" s="650"/>
      <c r="AH658" s="650"/>
      <c r="AI658" s="650"/>
      <c r="AJ658" s="650"/>
      <c r="AK658" s="650"/>
      <c r="AL658" s="650"/>
      <c r="AM658" s="650"/>
      <c r="AN658" s="650"/>
      <c r="AO658" s="650"/>
      <c r="AP658" s="650"/>
      <c r="AQ658" s="650"/>
      <c r="AR658" s="650"/>
      <c r="AS658" s="650"/>
      <c r="AT658" s="650"/>
      <c r="AU658" s="650"/>
      <c r="AV658" s="650"/>
      <c r="AW658" s="650"/>
      <c r="AX658" s="650"/>
      <c r="AY658" s="650"/>
    </row>
    <row r="659" ht="21.75" customHeight="1">
      <c r="A659" s="650"/>
      <c r="B659" s="650"/>
      <c r="C659" s="650"/>
      <c r="D659" s="650"/>
      <c r="E659" s="650"/>
      <c r="F659" s="650"/>
      <c r="G659" s="650"/>
      <c r="H659" s="650"/>
      <c r="I659" s="650"/>
      <c r="J659" s="650"/>
      <c r="K659" s="650"/>
      <c r="L659" s="650"/>
      <c r="M659" s="650"/>
      <c r="N659" s="650"/>
      <c r="O659" s="650"/>
      <c r="P659" s="650"/>
      <c r="Q659" s="650"/>
      <c r="R659" s="650"/>
      <c r="S659" s="650"/>
      <c r="T659" s="650"/>
      <c r="U659" s="650"/>
      <c r="V659" s="650"/>
      <c r="W659" s="650"/>
      <c r="X659" s="650"/>
      <c r="Y659" s="650"/>
      <c r="Z659" s="650"/>
      <c r="AA659" s="650"/>
      <c r="AB659" s="650"/>
      <c r="AC659" s="650"/>
      <c r="AD659" s="650"/>
      <c r="AE659" s="650"/>
      <c r="AF659" s="650"/>
      <c r="AG659" s="650"/>
      <c r="AH659" s="650"/>
      <c r="AI659" s="650"/>
      <c r="AJ659" s="650"/>
      <c r="AK659" s="650"/>
      <c r="AL659" s="650"/>
      <c r="AM659" s="650"/>
      <c r="AN659" s="650"/>
      <c r="AO659" s="650"/>
      <c r="AP659" s="650"/>
      <c r="AQ659" s="650"/>
      <c r="AR659" s="650"/>
      <c r="AS659" s="650"/>
      <c r="AT659" s="650"/>
      <c r="AU659" s="650"/>
      <c r="AV659" s="650"/>
      <c r="AW659" s="650"/>
      <c r="AX659" s="650"/>
      <c r="AY659" s="650"/>
    </row>
    <row r="660" ht="21.75" customHeight="1">
      <c r="A660" s="650"/>
      <c r="B660" s="650"/>
      <c r="C660" s="650"/>
      <c r="D660" s="650"/>
      <c r="E660" s="650"/>
      <c r="F660" s="650"/>
      <c r="G660" s="650"/>
      <c r="H660" s="650"/>
      <c r="I660" s="650"/>
      <c r="J660" s="650"/>
      <c r="K660" s="650"/>
      <c r="L660" s="650"/>
      <c r="M660" s="650"/>
      <c r="N660" s="650"/>
      <c r="O660" s="650"/>
      <c r="P660" s="650"/>
      <c r="Q660" s="650"/>
      <c r="R660" s="650"/>
      <c r="S660" s="650"/>
      <c r="T660" s="650"/>
      <c r="U660" s="650"/>
      <c r="V660" s="650"/>
      <c r="W660" s="650"/>
      <c r="X660" s="650"/>
      <c r="Y660" s="650"/>
      <c r="Z660" s="650"/>
      <c r="AA660" s="650"/>
      <c r="AB660" s="650"/>
      <c r="AC660" s="650"/>
      <c r="AD660" s="650"/>
      <c r="AE660" s="650"/>
      <c r="AF660" s="650"/>
      <c r="AG660" s="650"/>
      <c r="AH660" s="650"/>
      <c r="AI660" s="650"/>
      <c r="AJ660" s="650"/>
      <c r="AK660" s="650"/>
      <c r="AL660" s="650"/>
      <c r="AM660" s="650"/>
      <c r="AN660" s="650"/>
      <c r="AO660" s="650"/>
      <c r="AP660" s="650"/>
      <c r="AQ660" s="650"/>
      <c r="AR660" s="650"/>
      <c r="AS660" s="650"/>
      <c r="AT660" s="650"/>
      <c r="AU660" s="650"/>
      <c r="AV660" s="650"/>
      <c r="AW660" s="650"/>
      <c r="AX660" s="650"/>
      <c r="AY660" s="650"/>
    </row>
    <row r="661" ht="21.75" customHeight="1">
      <c r="A661" s="650"/>
      <c r="B661" s="650"/>
      <c r="C661" s="650"/>
      <c r="D661" s="650"/>
      <c r="E661" s="650"/>
      <c r="F661" s="650"/>
      <c r="G661" s="650"/>
      <c r="H661" s="650"/>
      <c r="I661" s="650"/>
      <c r="J661" s="650"/>
      <c r="K661" s="650"/>
      <c r="L661" s="650"/>
      <c r="M661" s="650"/>
      <c r="N661" s="650"/>
      <c r="O661" s="650"/>
      <c r="P661" s="650"/>
      <c r="Q661" s="650"/>
      <c r="R661" s="650"/>
      <c r="S661" s="650"/>
      <c r="T661" s="650"/>
      <c r="U661" s="650"/>
      <c r="V661" s="650"/>
      <c r="W661" s="650"/>
      <c r="X661" s="650"/>
      <c r="Y661" s="650"/>
      <c r="Z661" s="650"/>
      <c r="AA661" s="650"/>
      <c r="AB661" s="650"/>
      <c r="AC661" s="650"/>
      <c r="AD661" s="650"/>
      <c r="AE661" s="650"/>
      <c r="AF661" s="650"/>
      <c r="AG661" s="650"/>
      <c r="AH661" s="650"/>
      <c r="AI661" s="650"/>
      <c r="AJ661" s="650"/>
      <c r="AK661" s="650"/>
      <c r="AL661" s="650"/>
      <c r="AM661" s="650"/>
      <c r="AN661" s="650"/>
      <c r="AO661" s="650"/>
      <c r="AP661" s="650"/>
      <c r="AQ661" s="650"/>
      <c r="AR661" s="650"/>
      <c r="AS661" s="650"/>
      <c r="AT661" s="650"/>
      <c r="AU661" s="650"/>
      <c r="AV661" s="650"/>
      <c r="AW661" s="650"/>
      <c r="AX661" s="650"/>
      <c r="AY661" s="650"/>
    </row>
    <row r="662" ht="21.75" customHeight="1">
      <c r="A662" s="650"/>
      <c r="B662" s="650"/>
      <c r="C662" s="650"/>
      <c r="D662" s="650"/>
      <c r="E662" s="650"/>
      <c r="F662" s="650"/>
      <c r="G662" s="650"/>
      <c r="H662" s="650"/>
      <c r="I662" s="650"/>
      <c r="J662" s="650"/>
      <c r="K662" s="650"/>
      <c r="L662" s="650"/>
      <c r="M662" s="650"/>
      <c r="N662" s="650"/>
      <c r="O662" s="650"/>
      <c r="P662" s="650"/>
      <c r="Q662" s="650"/>
      <c r="R662" s="650"/>
      <c r="S662" s="650"/>
      <c r="T662" s="650"/>
      <c r="U662" s="650"/>
      <c r="V662" s="650"/>
      <c r="W662" s="650"/>
      <c r="X662" s="650"/>
      <c r="Y662" s="650"/>
      <c r="Z662" s="650"/>
      <c r="AA662" s="650"/>
      <c r="AB662" s="650"/>
      <c r="AC662" s="650"/>
      <c r="AD662" s="650"/>
      <c r="AE662" s="650"/>
      <c r="AF662" s="650"/>
      <c r="AG662" s="650"/>
      <c r="AH662" s="650"/>
      <c r="AI662" s="650"/>
      <c r="AJ662" s="650"/>
      <c r="AK662" s="650"/>
      <c r="AL662" s="650"/>
      <c r="AM662" s="650"/>
      <c r="AN662" s="650"/>
      <c r="AO662" s="650"/>
      <c r="AP662" s="650"/>
      <c r="AQ662" s="650"/>
      <c r="AR662" s="650"/>
      <c r="AS662" s="650"/>
      <c r="AT662" s="650"/>
      <c r="AU662" s="650"/>
      <c r="AV662" s="650"/>
      <c r="AW662" s="650"/>
      <c r="AX662" s="650"/>
      <c r="AY662" s="650"/>
    </row>
    <row r="663" ht="21.75" customHeight="1">
      <c r="A663" s="650"/>
      <c r="B663" s="650"/>
      <c r="C663" s="650"/>
      <c r="D663" s="650"/>
      <c r="E663" s="650"/>
      <c r="F663" s="650"/>
      <c r="G663" s="650"/>
      <c r="H663" s="650"/>
      <c r="I663" s="650"/>
      <c r="J663" s="650"/>
      <c r="K663" s="650"/>
      <c r="L663" s="650"/>
      <c r="M663" s="650"/>
      <c r="N663" s="650"/>
      <c r="O663" s="650"/>
      <c r="P663" s="650"/>
      <c r="Q663" s="650"/>
      <c r="R663" s="650"/>
      <c r="S663" s="650"/>
      <c r="T663" s="650"/>
      <c r="U663" s="650"/>
      <c r="V663" s="650"/>
      <c r="W663" s="650"/>
      <c r="X663" s="650"/>
      <c r="Y663" s="650"/>
      <c r="Z663" s="650"/>
      <c r="AA663" s="650"/>
      <c r="AB663" s="650"/>
      <c r="AC663" s="650"/>
      <c r="AD663" s="650"/>
      <c r="AE663" s="650"/>
      <c r="AF663" s="650"/>
      <c r="AG663" s="650"/>
      <c r="AH663" s="650"/>
      <c r="AI663" s="650"/>
      <c r="AJ663" s="650"/>
      <c r="AK663" s="650"/>
      <c r="AL663" s="650"/>
      <c r="AM663" s="650"/>
      <c r="AN663" s="650"/>
      <c r="AO663" s="650"/>
      <c r="AP663" s="650"/>
      <c r="AQ663" s="650"/>
      <c r="AR663" s="650"/>
      <c r="AS663" s="650"/>
      <c r="AT663" s="650"/>
      <c r="AU663" s="650"/>
      <c r="AV663" s="650"/>
      <c r="AW663" s="650"/>
      <c r="AX663" s="650"/>
      <c r="AY663" s="650"/>
    </row>
    <row r="664" ht="21.75" customHeight="1">
      <c r="A664" s="650"/>
      <c r="B664" s="650"/>
      <c r="C664" s="650"/>
      <c r="D664" s="650"/>
      <c r="E664" s="650"/>
      <c r="F664" s="650"/>
      <c r="G664" s="650"/>
      <c r="H664" s="650"/>
      <c r="I664" s="650"/>
      <c r="J664" s="650"/>
      <c r="K664" s="650"/>
      <c r="L664" s="650"/>
      <c r="M664" s="650"/>
      <c r="N664" s="650"/>
      <c r="O664" s="650"/>
      <c r="P664" s="650"/>
      <c r="Q664" s="650"/>
      <c r="R664" s="650"/>
      <c r="S664" s="650"/>
      <c r="T664" s="650"/>
      <c r="U664" s="650"/>
      <c r="V664" s="650"/>
      <c r="W664" s="650"/>
      <c r="X664" s="650"/>
      <c r="Y664" s="650"/>
      <c r="Z664" s="650"/>
      <c r="AA664" s="650"/>
      <c r="AB664" s="650"/>
      <c r="AC664" s="650"/>
      <c r="AD664" s="650"/>
      <c r="AE664" s="650"/>
      <c r="AF664" s="650"/>
      <c r="AG664" s="650"/>
      <c r="AH664" s="650"/>
      <c r="AI664" s="650"/>
      <c r="AJ664" s="650"/>
      <c r="AK664" s="650"/>
      <c r="AL664" s="650"/>
      <c r="AM664" s="650"/>
      <c r="AN664" s="650"/>
      <c r="AO664" s="650"/>
      <c r="AP664" s="650"/>
      <c r="AQ664" s="650"/>
      <c r="AR664" s="650"/>
      <c r="AS664" s="650"/>
      <c r="AT664" s="650"/>
      <c r="AU664" s="650"/>
      <c r="AV664" s="650"/>
      <c r="AW664" s="650"/>
      <c r="AX664" s="650"/>
      <c r="AY664" s="650"/>
    </row>
    <row r="665" ht="21.75" customHeight="1">
      <c r="A665" s="650"/>
      <c r="B665" s="650"/>
      <c r="C665" s="650"/>
      <c r="D665" s="650"/>
      <c r="E665" s="650"/>
      <c r="F665" s="650"/>
      <c r="G665" s="650"/>
      <c r="H665" s="650"/>
      <c r="I665" s="650"/>
      <c r="J665" s="650"/>
      <c r="K665" s="650"/>
      <c r="L665" s="650"/>
      <c r="M665" s="650"/>
      <c r="N665" s="650"/>
      <c r="O665" s="650"/>
      <c r="P665" s="650"/>
      <c r="Q665" s="650"/>
      <c r="R665" s="650"/>
      <c r="S665" s="650"/>
      <c r="T665" s="650"/>
      <c r="U665" s="650"/>
      <c r="V665" s="650"/>
      <c r="W665" s="650"/>
      <c r="X665" s="650"/>
      <c r="Y665" s="650"/>
      <c r="Z665" s="650"/>
      <c r="AA665" s="650"/>
      <c r="AB665" s="650"/>
      <c r="AC665" s="650"/>
      <c r="AD665" s="650"/>
      <c r="AE665" s="650"/>
      <c r="AF665" s="650"/>
      <c r="AG665" s="650"/>
      <c r="AH665" s="650"/>
      <c r="AI665" s="650"/>
      <c r="AJ665" s="650"/>
      <c r="AK665" s="650"/>
      <c r="AL665" s="650"/>
      <c r="AM665" s="650"/>
      <c r="AN665" s="650"/>
      <c r="AO665" s="650"/>
      <c r="AP665" s="650"/>
      <c r="AQ665" s="650"/>
      <c r="AR665" s="650"/>
      <c r="AS665" s="650"/>
      <c r="AT665" s="650"/>
      <c r="AU665" s="650"/>
      <c r="AV665" s="650"/>
      <c r="AW665" s="650"/>
      <c r="AX665" s="650"/>
      <c r="AY665" s="650"/>
    </row>
    <row r="666" ht="21.75" customHeight="1">
      <c r="A666" s="650"/>
      <c r="B666" s="650"/>
      <c r="C666" s="650"/>
      <c r="D666" s="650"/>
      <c r="E666" s="650"/>
      <c r="F666" s="650"/>
      <c r="G666" s="650"/>
      <c r="H666" s="650"/>
      <c r="I666" s="650"/>
      <c r="J666" s="650"/>
      <c r="K666" s="650"/>
      <c r="L666" s="650"/>
      <c r="M666" s="650"/>
      <c r="N666" s="650"/>
      <c r="O666" s="650"/>
      <c r="P666" s="650"/>
      <c r="Q666" s="650"/>
      <c r="R666" s="650"/>
      <c r="S666" s="650"/>
      <c r="T666" s="650"/>
      <c r="U666" s="650"/>
      <c r="V666" s="650"/>
      <c r="W666" s="650"/>
      <c r="X666" s="650"/>
      <c r="Y666" s="650"/>
      <c r="Z666" s="650"/>
      <c r="AA666" s="650"/>
      <c r="AB666" s="650"/>
      <c r="AC666" s="650"/>
      <c r="AD666" s="650"/>
      <c r="AE666" s="650"/>
      <c r="AF666" s="650"/>
      <c r="AG666" s="650"/>
      <c r="AH666" s="650"/>
      <c r="AI666" s="650"/>
      <c r="AJ666" s="650"/>
      <c r="AK666" s="650"/>
      <c r="AL666" s="650"/>
      <c r="AM666" s="650"/>
      <c r="AN666" s="650"/>
      <c r="AO666" s="650"/>
      <c r="AP666" s="650"/>
      <c r="AQ666" s="650"/>
      <c r="AR666" s="650"/>
      <c r="AS666" s="650"/>
      <c r="AT666" s="650"/>
      <c r="AU666" s="650"/>
      <c r="AV666" s="650"/>
      <c r="AW666" s="650"/>
      <c r="AX666" s="650"/>
      <c r="AY666" s="650"/>
    </row>
    <row r="667" ht="21.75" customHeight="1">
      <c r="A667" s="650"/>
      <c r="B667" s="650"/>
      <c r="C667" s="650"/>
      <c r="D667" s="650"/>
      <c r="E667" s="650"/>
      <c r="F667" s="650"/>
      <c r="G667" s="650"/>
      <c r="H667" s="650"/>
      <c r="I667" s="650"/>
      <c r="J667" s="650"/>
      <c r="K667" s="650"/>
      <c r="L667" s="650"/>
      <c r="M667" s="650"/>
      <c r="N667" s="650"/>
      <c r="O667" s="650"/>
      <c r="P667" s="650"/>
      <c r="Q667" s="650"/>
      <c r="R667" s="650"/>
      <c r="S667" s="650"/>
      <c r="T667" s="650"/>
      <c r="U667" s="650"/>
      <c r="V667" s="650"/>
      <c r="W667" s="650"/>
      <c r="X667" s="650"/>
      <c r="Y667" s="650"/>
      <c r="Z667" s="650"/>
      <c r="AA667" s="650"/>
      <c r="AB667" s="650"/>
      <c r="AC667" s="650"/>
      <c r="AD667" s="650"/>
      <c r="AE667" s="650"/>
      <c r="AF667" s="650"/>
      <c r="AG667" s="650"/>
      <c r="AH667" s="650"/>
      <c r="AI667" s="650"/>
      <c r="AJ667" s="650"/>
      <c r="AK667" s="650"/>
      <c r="AL667" s="650"/>
      <c r="AM667" s="650"/>
      <c r="AN667" s="650"/>
      <c r="AO667" s="650"/>
      <c r="AP667" s="650"/>
      <c r="AQ667" s="650"/>
      <c r="AR667" s="650"/>
      <c r="AS667" s="650"/>
      <c r="AT667" s="650"/>
      <c r="AU667" s="650"/>
      <c r="AV667" s="650"/>
      <c r="AW667" s="650"/>
      <c r="AX667" s="650"/>
      <c r="AY667" s="650"/>
    </row>
    <row r="668" ht="21.75" customHeight="1">
      <c r="A668" s="650"/>
      <c r="B668" s="650"/>
      <c r="C668" s="650"/>
      <c r="D668" s="650"/>
      <c r="E668" s="650"/>
      <c r="F668" s="650"/>
      <c r="G668" s="650"/>
      <c r="H668" s="650"/>
      <c r="I668" s="650"/>
      <c r="J668" s="650"/>
      <c r="K668" s="650"/>
      <c r="L668" s="650"/>
      <c r="M668" s="650"/>
      <c r="N668" s="650"/>
      <c r="O668" s="650"/>
      <c r="P668" s="650"/>
      <c r="Q668" s="650"/>
      <c r="R668" s="650"/>
      <c r="S668" s="650"/>
      <c r="T668" s="650"/>
      <c r="U668" s="650"/>
      <c r="V668" s="650"/>
      <c r="W668" s="650"/>
      <c r="X668" s="650"/>
      <c r="Y668" s="650"/>
      <c r="Z668" s="650"/>
      <c r="AA668" s="650"/>
      <c r="AB668" s="650"/>
      <c r="AC668" s="650"/>
      <c r="AD668" s="650"/>
      <c r="AE668" s="650"/>
      <c r="AF668" s="650"/>
      <c r="AG668" s="650"/>
      <c r="AH668" s="650"/>
      <c r="AI668" s="650"/>
      <c r="AJ668" s="650"/>
      <c r="AK668" s="650"/>
      <c r="AL668" s="650"/>
      <c r="AM668" s="650"/>
      <c r="AN668" s="650"/>
      <c r="AO668" s="650"/>
      <c r="AP668" s="650"/>
      <c r="AQ668" s="650"/>
      <c r="AR668" s="650"/>
      <c r="AS668" s="650"/>
      <c r="AT668" s="650"/>
      <c r="AU668" s="650"/>
      <c r="AV668" s="650"/>
      <c r="AW668" s="650"/>
      <c r="AX668" s="650"/>
      <c r="AY668" s="650"/>
    </row>
    <row r="669" ht="21.75" customHeight="1">
      <c r="A669" s="650"/>
      <c r="B669" s="650"/>
      <c r="C669" s="650"/>
      <c r="D669" s="650"/>
      <c r="E669" s="650"/>
      <c r="F669" s="650"/>
      <c r="G669" s="650"/>
      <c r="H669" s="650"/>
      <c r="I669" s="650"/>
      <c r="J669" s="650"/>
      <c r="K669" s="650"/>
      <c r="L669" s="650"/>
      <c r="M669" s="650"/>
      <c r="N669" s="650"/>
      <c r="O669" s="650"/>
      <c r="P669" s="650"/>
      <c r="Q669" s="650"/>
      <c r="R669" s="650"/>
      <c r="S669" s="650"/>
      <c r="T669" s="650"/>
      <c r="U669" s="650"/>
      <c r="V669" s="650"/>
      <c r="W669" s="650"/>
      <c r="X669" s="650"/>
      <c r="Y669" s="650"/>
      <c r="Z669" s="650"/>
      <c r="AA669" s="650"/>
      <c r="AB669" s="650"/>
      <c r="AC669" s="650"/>
      <c r="AD669" s="650"/>
      <c r="AE669" s="650"/>
      <c r="AF669" s="650"/>
      <c r="AG669" s="650"/>
      <c r="AH669" s="650"/>
      <c r="AI669" s="650"/>
      <c r="AJ669" s="650"/>
      <c r="AK669" s="650"/>
      <c r="AL669" s="650"/>
      <c r="AM669" s="650"/>
      <c r="AN669" s="650"/>
      <c r="AO669" s="650"/>
      <c r="AP669" s="650"/>
      <c r="AQ669" s="650"/>
      <c r="AR669" s="650"/>
      <c r="AS669" s="650"/>
      <c r="AT669" s="650"/>
      <c r="AU669" s="650"/>
      <c r="AV669" s="650"/>
      <c r="AW669" s="650"/>
      <c r="AX669" s="650"/>
      <c r="AY669" s="650"/>
    </row>
    <row r="670" ht="21.75" customHeight="1">
      <c r="A670" s="650"/>
      <c r="B670" s="650"/>
      <c r="C670" s="650"/>
      <c r="D670" s="650"/>
      <c r="E670" s="650"/>
      <c r="F670" s="650"/>
      <c r="G670" s="650"/>
      <c r="H670" s="650"/>
      <c r="I670" s="650"/>
      <c r="J670" s="650"/>
      <c r="K670" s="650"/>
      <c r="L670" s="650"/>
      <c r="M670" s="650"/>
      <c r="N670" s="650"/>
      <c r="O670" s="650"/>
      <c r="P670" s="650"/>
      <c r="Q670" s="650"/>
      <c r="R670" s="650"/>
      <c r="S670" s="650"/>
      <c r="T670" s="650"/>
      <c r="U670" s="650"/>
      <c r="V670" s="650"/>
      <c r="W670" s="650"/>
      <c r="X670" s="650"/>
      <c r="Y670" s="650"/>
      <c r="Z670" s="650"/>
      <c r="AA670" s="650"/>
      <c r="AB670" s="650"/>
      <c r="AC670" s="650"/>
      <c r="AD670" s="650"/>
      <c r="AE670" s="650"/>
      <c r="AF670" s="650"/>
      <c r="AG670" s="650"/>
      <c r="AH670" s="650"/>
      <c r="AI670" s="650"/>
      <c r="AJ670" s="650"/>
      <c r="AK670" s="650"/>
      <c r="AL670" s="650"/>
      <c r="AM670" s="650"/>
      <c r="AN670" s="650"/>
      <c r="AO670" s="650"/>
      <c r="AP670" s="650"/>
      <c r="AQ670" s="650"/>
      <c r="AR670" s="650"/>
      <c r="AS670" s="650"/>
      <c r="AT670" s="650"/>
      <c r="AU670" s="650"/>
      <c r="AV670" s="650"/>
      <c r="AW670" s="650"/>
      <c r="AX670" s="650"/>
      <c r="AY670" s="650"/>
    </row>
    <row r="671" ht="21.75" customHeight="1">
      <c r="A671" s="650"/>
      <c r="B671" s="650"/>
      <c r="C671" s="650"/>
      <c r="D671" s="650"/>
      <c r="E671" s="650"/>
      <c r="F671" s="650"/>
      <c r="G671" s="650"/>
      <c r="H671" s="650"/>
      <c r="I671" s="650"/>
      <c r="J671" s="650"/>
      <c r="K671" s="650"/>
      <c r="L671" s="650"/>
      <c r="M671" s="650"/>
      <c r="N671" s="650"/>
      <c r="O671" s="650"/>
      <c r="P671" s="650"/>
      <c r="Q671" s="650"/>
      <c r="R671" s="650"/>
      <c r="S671" s="650"/>
      <c r="T671" s="650"/>
      <c r="U671" s="650"/>
      <c r="V671" s="650"/>
      <c r="W671" s="650"/>
      <c r="X671" s="650"/>
      <c r="Y671" s="650"/>
      <c r="Z671" s="650"/>
      <c r="AA671" s="650"/>
      <c r="AB671" s="650"/>
      <c r="AC671" s="650"/>
      <c r="AD671" s="650"/>
      <c r="AE671" s="650"/>
      <c r="AF671" s="650"/>
      <c r="AG671" s="650"/>
      <c r="AH671" s="650"/>
      <c r="AI671" s="650"/>
      <c r="AJ671" s="650"/>
      <c r="AK671" s="650"/>
      <c r="AL671" s="650"/>
      <c r="AM671" s="650"/>
      <c r="AN671" s="650"/>
      <c r="AO671" s="650"/>
      <c r="AP671" s="650"/>
      <c r="AQ671" s="650"/>
      <c r="AR671" s="650"/>
      <c r="AS671" s="650"/>
      <c r="AT671" s="650"/>
      <c r="AU671" s="650"/>
      <c r="AV671" s="650"/>
      <c r="AW671" s="650"/>
      <c r="AX671" s="650"/>
      <c r="AY671" s="650"/>
    </row>
    <row r="672" ht="21.75" customHeight="1">
      <c r="A672" s="650"/>
      <c r="B672" s="650"/>
      <c r="C672" s="650"/>
      <c r="D672" s="650"/>
      <c r="E672" s="650"/>
      <c r="F672" s="650"/>
      <c r="G672" s="650"/>
      <c r="H672" s="650"/>
      <c r="I672" s="650"/>
      <c r="J672" s="650"/>
      <c r="K672" s="650"/>
      <c r="L672" s="650"/>
      <c r="M672" s="650"/>
      <c r="N672" s="650"/>
      <c r="O672" s="650"/>
      <c r="P672" s="650"/>
      <c r="Q672" s="650"/>
      <c r="R672" s="650"/>
      <c r="S672" s="650"/>
      <c r="T672" s="650"/>
      <c r="U672" s="650"/>
      <c r="V672" s="650"/>
      <c r="W672" s="650"/>
      <c r="X672" s="650"/>
      <c r="Y672" s="650"/>
      <c r="Z672" s="650"/>
      <c r="AA672" s="650"/>
      <c r="AB672" s="650"/>
      <c r="AC672" s="650"/>
      <c r="AD672" s="650"/>
      <c r="AE672" s="650"/>
      <c r="AF672" s="650"/>
      <c r="AG672" s="650"/>
      <c r="AH672" s="650"/>
      <c r="AI672" s="650"/>
      <c r="AJ672" s="650"/>
      <c r="AK672" s="650"/>
      <c r="AL672" s="650"/>
      <c r="AM672" s="650"/>
      <c r="AN672" s="650"/>
      <c r="AO672" s="650"/>
      <c r="AP672" s="650"/>
      <c r="AQ672" s="650"/>
      <c r="AR672" s="650"/>
      <c r="AS672" s="650"/>
      <c r="AT672" s="650"/>
      <c r="AU672" s="650"/>
      <c r="AV672" s="650"/>
      <c r="AW672" s="650"/>
      <c r="AX672" s="650"/>
      <c r="AY672" s="650"/>
    </row>
    <row r="673" ht="21.75" customHeight="1">
      <c r="A673" s="650"/>
      <c r="B673" s="650"/>
      <c r="C673" s="650"/>
      <c r="D673" s="650"/>
      <c r="E673" s="650"/>
      <c r="F673" s="650"/>
      <c r="G673" s="650"/>
      <c r="H673" s="650"/>
      <c r="I673" s="650"/>
      <c r="J673" s="650"/>
      <c r="K673" s="650"/>
      <c r="L673" s="650"/>
      <c r="M673" s="650"/>
      <c r="N673" s="650"/>
      <c r="O673" s="650"/>
      <c r="P673" s="650"/>
      <c r="Q673" s="650"/>
      <c r="R673" s="650"/>
      <c r="S673" s="650"/>
      <c r="T673" s="650"/>
      <c r="U673" s="650"/>
      <c r="V673" s="650"/>
      <c r="W673" s="650"/>
      <c r="X673" s="650"/>
      <c r="Y673" s="650"/>
      <c r="Z673" s="650"/>
      <c r="AA673" s="650"/>
      <c r="AB673" s="650"/>
      <c r="AC673" s="650"/>
      <c r="AD673" s="650"/>
      <c r="AE673" s="650"/>
      <c r="AF673" s="650"/>
      <c r="AG673" s="650"/>
      <c r="AH673" s="650"/>
      <c r="AI673" s="650"/>
      <c r="AJ673" s="650"/>
      <c r="AK673" s="650"/>
      <c r="AL673" s="650"/>
      <c r="AM673" s="650"/>
      <c r="AN673" s="650"/>
      <c r="AO673" s="650"/>
      <c r="AP673" s="650"/>
      <c r="AQ673" s="650"/>
      <c r="AR673" s="650"/>
      <c r="AS673" s="650"/>
      <c r="AT673" s="650"/>
      <c r="AU673" s="650"/>
      <c r="AV673" s="650"/>
      <c r="AW673" s="650"/>
      <c r="AX673" s="650"/>
      <c r="AY673" s="650"/>
    </row>
    <row r="674" ht="21.75" customHeight="1">
      <c r="A674" s="650"/>
      <c r="B674" s="650"/>
      <c r="C674" s="650"/>
      <c r="D674" s="650"/>
      <c r="E674" s="650"/>
      <c r="F674" s="650"/>
      <c r="G674" s="650"/>
      <c r="H674" s="650"/>
      <c r="I674" s="650"/>
      <c r="J674" s="650"/>
      <c r="K674" s="650"/>
      <c r="L674" s="650"/>
      <c r="M674" s="650"/>
      <c r="N674" s="650"/>
      <c r="O674" s="650"/>
      <c r="P674" s="650"/>
      <c r="Q674" s="650"/>
      <c r="R674" s="650"/>
      <c r="S674" s="650"/>
      <c r="T674" s="650"/>
      <c r="U674" s="650"/>
      <c r="V674" s="650"/>
      <c r="W674" s="650"/>
      <c r="X674" s="650"/>
      <c r="Y674" s="650"/>
      <c r="Z674" s="650"/>
      <c r="AA674" s="650"/>
      <c r="AB674" s="650"/>
      <c r="AC674" s="650"/>
      <c r="AD674" s="650"/>
      <c r="AE674" s="650"/>
      <c r="AF674" s="650"/>
      <c r="AG674" s="650"/>
      <c r="AH674" s="650"/>
      <c r="AI674" s="650"/>
      <c r="AJ674" s="650"/>
      <c r="AK674" s="650"/>
      <c r="AL674" s="650"/>
      <c r="AM674" s="650"/>
      <c r="AN674" s="650"/>
      <c r="AO674" s="650"/>
      <c r="AP674" s="650"/>
      <c r="AQ674" s="650"/>
      <c r="AR674" s="650"/>
      <c r="AS674" s="650"/>
      <c r="AT674" s="650"/>
      <c r="AU674" s="650"/>
      <c r="AV674" s="650"/>
      <c r="AW674" s="650"/>
      <c r="AX674" s="650"/>
      <c r="AY674" s="650"/>
    </row>
    <row r="675" ht="21.75" customHeight="1">
      <c r="A675" s="650"/>
      <c r="B675" s="650"/>
      <c r="C675" s="650"/>
      <c r="D675" s="650"/>
      <c r="E675" s="650"/>
      <c r="F675" s="650"/>
      <c r="G675" s="650"/>
      <c r="H675" s="650"/>
      <c r="I675" s="650"/>
      <c r="J675" s="650"/>
      <c r="K675" s="650"/>
      <c r="L675" s="650"/>
      <c r="M675" s="650"/>
      <c r="N675" s="650"/>
      <c r="O675" s="650"/>
      <c r="P675" s="650"/>
      <c r="Q675" s="650"/>
      <c r="R675" s="650"/>
      <c r="S675" s="650"/>
      <c r="T675" s="650"/>
      <c r="U675" s="650"/>
      <c r="V675" s="650"/>
      <c r="W675" s="650"/>
      <c r="X675" s="650"/>
      <c r="Y675" s="650"/>
      <c r="Z675" s="650"/>
      <c r="AA675" s="650"/>
      <c r="AB675" s="650"/>
      <c r="AC675" s="650"/>
      <c r="AD675" s="650"/>
      <c r="AE675" s="650"/>
      <c r="AF675" s="650"/>
      <c r="AG675" s="650"/>
      <c r="AH675" s="650"/>
      <c r="AI675" s="650"/>
      <c r="AJ675" s="650"/>
      <c r="AK675" s="650"/>
      <c r="AL675" s="650"/>
      <c r="AM675" s="650"/>
      <c r="AN675" s="650"/>
      <c r="AO675" s="650"/>
      <c r="AP675" s="650"/>
      <c r="AQ675" s="650"/>
      <c r="AR675" s="650"/>
      <c r="AS675" s="650"/>
      <c r="AT675" s="650"/>
      <c r="AU675" s="650"/>
      <c r="AV675" s="650"/>
      <c r="AW675" s="650"/>
      <c r="AX675" s="650"/>
      <c r="AY675" s="650"/>
    </row>
    <row r="676" ht="21.75" customHeight="1">
      <c r="A676" s="650"/>
      <c r="B676" s="650"/>
      <c r="C676" s="650"/>
      <c r="D676" s="650"/>
      <c r="E676" s="650"/>
      <c r="F676" s="650"/>
      <c r="G676" s="650"/>
      <c r="H676" s="650"/>
      <c r="I676" s="650"/>
      <c r="J676" s="650"/>
      <c r="K676" s="650"/>
      <c r="L676" s="650"/>
      <c r="M676" s="650"/>
      <c r="N676" s="650"/>
      <c r="O676" s="650"/>
      <c r="P676" s="650"/>
      <c r="Q676" s="650"/>
      <c r="R676" s="650"/>
      <c r="S676" s="650"/>
      <c r="T676" s="650"/>
      <c r="U676" s="650"/>
      <c r="V676" s="650"/>
      <c r="W676" s="650"/>
      <c r="X676" s="650"/>
      <c r="Y676" s="650"/>
      <c r="Z676" s="650"/>
      <c r="AA676" s="650"/>
      <c r="AB676" s="650"/>
      <c r="AC676" s="650"/>
      <c r="AD676" s="650"/>
      <c r="AE676" s="650"/>
      <c r="AF676" s="650"/>
      <c r="AG676" s="650"/>
      <c r="AH676" s="650"/>
      <c r="AI676" s="650"/>
      <c r="AJ676" s="650"/>
      <c r="AK676" s="650"/>
      <c r="AL676" s="650"/>
      <c r="AM676" s="650"/>
      <c r="AN676" s="650"/>
      <c r="AO676" s="650"/>
      <c r="AP676" s="650"/>
      <c r="AQ676" s="650"/>
      <c r="AR676" s="650"/>
      <c r="AS676" s="650"/>
      <c r="AT676" s="650"/>
      <c r="AU676" s="650"/>
      <c r="AV676" s="650"/>
      <c r="AW676" s="650"/>
      <c r="AX676" s="650"/>
      <c r="AY676" s="650"/>
    </row>
    <row r="677" ht="21.75" customHeight="1">
      <c r="A677" s="650"/>
      <c r="B677" s="650"/>
      <c r="C677" s="650"/>
      <c r="D677" s="650"/>
      <c r="E677" s="650"/>
      <c r="F677" s="650"/>
      <c r="G677" s="650"/>
      <c r="H677" s="650"/>
      <c r="I677" s="650"/>
      <c r="J677" s="650"/>
      <c r="K677" s="650"/>
      <c r="L677" s="650"/>
      <c r="M677" s="650"/>
      <c r="N677" s="650"/>
      <c r="O677" s="650"/>
      <c r="P677" s="650"/>
      <c r="Q677" s="650"/>
      <c r="R677" s="650"/>
      <c r="S677" s="650"/>
      <c r="T677" s="650"/>
      <c r="U677" s="650"/>
      <c r="V677" s="650"/>
      <c r="W677" s="650"/>
      <c r="X677" s="650"/>
      <c r="Y677" s="650"/>
      <c r="Z677" s="650"/>
      <c r="AA677" s="650"/>
      <c r="AB677" s="650"/>
      <c r="AC677" s="650"/>
      <c r="AD677" s="650"/>
      <c r="AE677" s="650"/>
      <c r="AF677" s="650"/>
      <c r="AG677" s="650"/>
      <c r="AH677" s="650"/>
      <c r="AI677" s="650"/>
      <c r="AJ677" s="650"/>
      <c r="AK677" s="650"/>
      <c r="AL677" s="650"/>
      <c r="AM677" s="650"/>
      <c r="AN677" s="650"/>
      <c r="AO677" s="650"/>
      <c r="AP677" s="650"/>
      <c r="AQ677" s="650"/>
      <c r="AR677" s="650"/>
      <c r="AS677" s="650"/>
      <c r="AT677" s="650"/>
      <c r="AU677" s="650"/>
      <c r="AV677" s="650"/>
      <c r="AW677" s="650"/>
      <c r="AX677" s="650"/>
      <c r="AY677" s="650"/>
    </row>
    <row r="678" ht="21.75" customHeight="1">
      <c r="A678" s="650"/>
      <c r="B678" s="650"/>
      <c r="C678" s="650"/>
      <c r="D678" s="650"/>
      <c r="E678" s="650"/>
      <c r="F678" s="650"/>
      <c r="G678" s="650"/>
      <c r="H678" s="650"/>
      <c r="I678" s="650"/>
      <c r="J678" s="650"/>
      <c r="K678" s="650"/>
      <c r="L678" s="650"/>
      <c r="M678" s="650"/>
      <c r="N678" s="650"/>
      <c r="O678" s="650"/>
      <c r="P678" s="650"/>
      <c r="Q678" s="650"/>
      <c r="R678" s="650"/>
      <c r="S678" s="650"/>
      <c r="T678" s="650"/>
      <c r="U678" s="650"/>
      <c r="V678" s="650"/>
      <c r="W678" s="650"/>
      <c r="X678" s="650"/>
      <c r="Y678" s="650"/>
      <c r="Z678" s="650"/>
      <c r="AA678" s="650"/>
      <c r="AB678" s="650"/>
      <c r="AC678" s="650"/>
      <c r="AD678" s="650"/>
      <c r="AE678" s="650"/>
      <c r="AF678" s="650"/>
      <c r="AG678" s="650"/>
      <c r="AH678" s="650"/>
      <c r="AI678" s="650"/>
      <c r="AJ678" s="650"/>
      <c r="AK678" s="650"/>
      <c r="AL678" s="650"/>
      <c r="AM678" s="650"/>
      <c r="AN678" s="650"/>
      <c r="AO678" s="650"/>
      <c r="AP678" s="650"/>
      <c r="AQ678" s="650"/>
      <c r="AR678" s="650"/>
      <c r="AS678" s="650"/>
      <c r="AT678" s="650"/>
      <c r="AU678" s="650"/>
      <c r="AV678" s="650"/>
      <c r="AW678" s="650"/>
      <c r="AX678" s="650"/>
      <c r="AY678" s="650"/>
    </row>
    <row r="679" ht="21.75" customHeight="1">
      <c r="A679" s="650"/>
      <c r="B679" s="650"/>
      <c r="C679" s="650"/>
      <c r="D679" s="650"/>
      <c r="E679" s="650"/>
      <c r="F679" s="650"/>
      <c r="G679" s="650"/>
      <c r="H679" s="650"/>
      <c r="I679" s="650"/>
      <c r="J679" s="650"/>
      <c r="K679" s="650"/>
      <c r="L679" s="650"/>
      <c r="M679" s="650"/>
      <c r="N679" s="650"/>
      <c r="O679" s="650"/>
      <c r="P679" s="650"/>
      <c r="Q679" s="650"/>
      <c r="R679" s="650"/>
      <c r="S679" s="650"/>
      <c r="T679" s="650"/>
      <c r="U679" s="650"/>
      <c r="V679" s="650"/>
      <c r="W679" s="650"/>
      <c r="X679" s="650"/>
      <c r="Y679" s="650"/>
      <c r="Z679" s="650"/>
      <c r="AA679" s="650"/>
      <c r="AB679" s="650"/>
      <c r="AC679" s="650"/>
      <c r="AD679" s="650"/>
      <c r="AE679" s="650"/>
      <c r="AF679" s="650"/>
      <c r="AG679" s="650"/>
      <c r="AH679" s="650"/>
      <c r="AI679" s="650"/>
      <c r="AJ679" s="650"/>
      <c r="AK679" s="650"/>
      <c r="AL679" s="650"/>
      <c r="AM679" s="650"/>
      <c r="AN679" s="650"/>
      <c r="AO679" s="650"/>
      <c r="AP679" s="650"/>
      <c r="AQ679" s="650"/>
      <c r="AR679" s="650"/>
      <c r="AS679" s="650"/>
      <c r="AT679" s="650"/>
      <c r="AU679" s="650"/>
      <c r="AV679" s="650"/>
      <c r="AW679" s="650"/>
      <c r="AX679" s="650"/>
      <c r="AY679" s="650"/>
    </row>
    <row r="680" ht="21.75" customHeight="1">
      <c r="A680" s="650"/>
      <c r="B680" s="650"/>
      <c r="C680" s="650"/>
      <c r="D680" s="650"/>
      <c r="E680" s="650"/>
      <c r="F680" s="650"/>
      <c r="G680" s="650"/>
      <c r="H680" s="650"/>
      <c r="I680" s="650"/>
      <c r="J680" s="650"/>
      <c r="K680" s="650"/>
      <c r="L680" s="650"/>
      <c r="M680" s="650"/>
      <c r="N680" s="650"/>
      <c r="O680" s="650"/>
      <c r="P680" s="650"/>
      <c r="Q680" s="650"/>
      <c r="R680" s="650"/>
      <c r="S680" s="650"/>
      <c r="T680" s="650"/>
      <c r="U680" s="650"/>
      <c r="V680" s="650"/>
      <c r="W680" s="650"/>
      <c r="X680" s="650"/>
      <c r="Y680" s="650"/>
      <c r="Z680" s="650"/>
      <c r="AA680" s="650"/>
      <c r="AB680" s="650"/>
      <c r="AC680" s="650"/>
      <c r="AD680" s="650"/>
      <c r="AE680" s="650"/>
      <c r="AF680" s="650"/>
      <c r="AG680" s="650"/>
      <c r="AH680" s="650"/>
      <c r="AI680" s="650"/>
      <c r="AJ680" s="650"/>
      <c r="AK680" s="650"/>
      <c r="AL680" s="650"/>
      <c r="AM680" s="650"/>
      <c r="AN680" s="650"/>
      <c r="AO680" s="650"/>
      <c r="AP680" s="650"/>
      <c r="AQ680" s="650"/>
      <c r="AR680" s="650"/>
      <c r="AS680" s="650"/>
      <c r="AT680" s="650"/>
      <c r="AU680" s="650"/>
      <c r="AV680" s="650"/>
      <c r="AW680" s="650"/>
      <c r="AX680" s="650"/>
      <c r="AY680" s="650"/>
    </row>
    <row r="681" ht="21.75" customHeight="1">
      <c r="A681" s="650"/>
      <c r="B681" s="650"/>
      <c r="C681" s="650"/>
      <c r="D681" s="650"/>
      <c r="E681" s="650"/>
      <c r="F681" s="650"/>
      <c r="G681" s="650"/>
      <c r="H681" s="650"/>
      <c r="I681" s="650"/>
      <c r="J681" s="650"/>
      <c r="K681" s="650"/>
      <c r="L681" s="650"/>
      <c r="M681" s="650"/>
      <c r="N681" s="650"/>
      <c r="O681" s="650"/>
      <c r="P681" s="650"/>
      <c r="Q681" s="650"/>
      <c r="R681" s="650"/>
      <c r="S681" s="650"/>
      <c r="T681" s="650"/>
      <c r="U681" s="650"/>
      <c r="V681" s="650"/>
      <c r="W681" s="650"/>
      <c r="X681" s="650"/>
      <c r="Y681" s="650"/>
      <c r="Z681" s="650"/>
      <c r="AA681" s="650"/>
      <c r="AB681" s="650"/>
      <c r="AC681" s="650"/>
      <c r="AD681" s="650"/>
      <c r="AE681" s="650"/>
      <c r="AF681" s="650"/>
      <c r="AG681" s="650"/>
      <c r="AH681" s="650"/>
      <c r="AI681" s="650"/>
      <c r="AJ681" s="650"/>
      <c r="AK681" s="650"/>
      <c r="AL681" s="650"/>
      <c r="AM681" s="650"/>
      <c r="AN681" s="650"/>
      <c r="AO681" s="650"/>
      <c r="AP681" s="650"/>
      <c r="AQ681" s="650"/>
      <c r="AR681" s="650"/>
      <c r="AS681" s="650"/>
      <c r="AT681" s="650"/>
      <c r="AU681" s="650"/>
      <c r="AV681" s="650"/>
      <c r="AW681" s="650"/>
      <c r="AX681" s="650"/>
      <c r="AY681" s="650"/>
    </row>
    <row r="682" ht="21.75" customHeight="1">
      <c r="A682" s="650"/>
      <c r="B682" s="650"/>
      <c r="C682" s="650"/>
      <c r="D682" s="650"/>
      <c r="E682" s="650"/>
      <c r="F682" s="650"/>
      <c r="G682" s="650"/>
      <c r="H682" s="650"/>
      <c r="I682" s="650"/>
      <c r="J682" s="650"/>
      <c r="K682" s="650"/>
      <c r="L682" s="650"/>
      <c r="M682" s="650"/>
      <c r="N682" s="650"/>
      <c r="O682" s="650"/>
      <c r="P682" s="650"/>
      <c r="Q682" s="650"/>
      <c r="R682" s="650"/>
      <c r="S682" s="650"/>
      <c r="T682" s="650"/>
      <c r="U682" s="650"/>
      <c r="V682" s="650"/>
      <c r="W682" s="650"/>
      <c r="X682" s="650"/>
      <c r="Y682" s="650"/>
      <c r="Z682" s="650"/>
      <c r="AA682" s="650"/>
      <c r="AB682" s="650"/>
      <c r="AC682" s="650"/>
      <c r="AD682" s="650"/>
      <c r="AE682" s="650"/>
      <c r="AF682" s="650"/>
      <c r="AG682" s="650"/>
      <c r="AH682" s="650"/>
      <c r="AI682" s="650"/>
      <c r="AJ682" s="650"/>
      <c r="AK682" s="650"/>
      <c r="AL682" s="650"/>
      <c r="AM682" s="650"/>
      <c r="AN682" s="650"/>
      <c r="AO682" s="650"/>
      <c r="AP682" s="650"/>
      <c r="AQ682" s="650"/>
      <c r="AR682" s="650"/>
      <c r="AS682" s="650"/>
      <c r="AT682" s="650"/>
      <c r="AU682" s="650"/>
      <c r="AV682" s="650"/>
      <c r="AW682" s="650"/>
      <c r="AX682" s="650"/>
      <c r="AY682" s="650"/>
    </row>
    <row r="683" ht="21.75" customHeight="1">
      <c r="A683" s="650"/>
      <c r="B683" s="650"/>
      <c r="C683" s="650"/>
      <c r="D683" s="650"/>
      <c r="E683" s="650"/>
      <c r="F683" s="650"/>
      <c r="G683" s="650"/>
      <c r="H683" s="650"/>
      <c r="I683" s="650"/>
      <c r="J683" s="650"/>
      <c r="K683" s="650"/>
      <c r="L683" s="650"/>
      <c r="M683" s="650"/>
      <c r="N683" s="650"/>
      <c r="O683" s="650"/>
      <c r="P683" s="650"/>
      <c r="Q683" s="650"/>
      <c r="R683" s="650"/>
      <c r="S683" s="650"/>
      <c r="T683" s="650"/>
      <c r="U683" s="650"/>
      <c r="V683" s="650"/>
      <c r="W683" s="650"/>
      <c r="X683" s="650"/>
      <c r="Y683" s="650"/>
      <c r="Z683" s="650"/>
      <c r="AA683" s="650"/>
      <c r="AB683" s="650"/>
      <c r="AC683" s="650"/>
      <c r="AD683" s="650"/>
      <c r="AE683" s="650"/>
      <c r="AF683" s="650"/>
      <c r="AG683" s="650"/>
      <c r="AH683" s="650"/>
      <c r="AI683" s="650"/>
      <c r="AJ683" s="650"/>
      <c r="AK683" s="650"/>
      <c r="AL683" s="650"/>
      <c r="AM683" s="650"/>
      <c r="AN683" s="650"/>
      <c r="AO683" s="650"/>
      <c r="AP683" s="650"/>
      <c r="AQ683" s="650"/>
      <c r="AR683" s="650"/>
      <c r="AS683" s="650"/>
      <c r="AT683" s="650"/>
      <c r="AU683" s="650"/>
      <c r="AV683" s="650"/>
      <c r="AW683" s="650"/>
      <c r="AX683" s="650"/>
      <c r="AY683" s="650"/>
    </row>
    <row r="684" ht="21.75" customHeight="1">
      <c r="A684" s="650"/>
      <c r="B684" s="650"/>
      <c r="C684" s="650"/>
      <c r="D684" s="650"/>
      <c r="E684" s="650"/>
      <c r="F684" s="650"/>
      <c r="G684" s="650"/>
      <c r="H684" s="650"/>
      <c r="I684" s="650"/>
      <c r="J684" s="650"/>
      <c r="K684" s="650"/>
      <c r="L684" s="650"/>
      <c r="M684" s="650"/>
      <c r="N684" s="650"/>
      <c r="O684" s="650"/>
      <c r="P684" s="650"/>
      <c r="Q684" s="650"/>
      <c r="R684" s="650"/>
      <c r="S684" s="650"/>
      <c r="T684" s="650"/>
      <c r="U684" s="650"/>
      <c r="V684" s="650"/>
      <c r="W684" s="650"/>
      <c r="X684" s="650"/>
      <c r="Y684" s="650"/>
      <c r="Z684" s="650"/>
      <c r="AA684" s="650"/>
      <c r="AB684" s="650"/>
      <c r="AC684" s="650"/>
      <c r="AD684" s="650"/>
      <c r="AE684" s="650"/>
      <c r="AF684" s="650"/>
      <c r="AG684" s="650"/>
      <c r="AH684" s="650"/>
      <c r="AI684" s="650"/>
      <c r="AJ684" s="650"/>
      <c r="AK684" s="650"/>
      <c r="AL684" s="650"/>
      <c r="AM684" s="650"/>
      <c r="AN684" s="650"/>
      <c r="AO684" s="650"/>
      <c r="AP684" s="650"/>
      <c r="AQ684" s="650"/>
      <c r="AR684" s="650"/>
      <c r="AS684" s="650"/>
      <c r="AT684" s="650"/>
      <c r="AU684" s="650"/>
      <c r="AV684" s="650"/>
      <c r="AW684" s="650"/>
      <c r="AX684" s="650"/>
      <c r="AY684" s="650"/>
    </row>
    <row r="685" ht="21.75" customHeight="1">
      <c r="A685" s="650"/>
      <c r="B685" s="650"/>
      <c r="C685" s="650"/>
      <c r="D685" s="650"/>
      <c r="E685" s="650"/>
      <c r="F685" s="650"/>
      <c r="G685" s="650"/>
      <c r="H685" s="650"/>
      <c r="I685" s="650"/>
      <c r="J685" s="650"/>
      <c r="K685" s="650"/>
      <c r="L685" s="650"/>
      <c r="M685" s="650"/>
      <c r="N685" s="650"/>
      <c r="O685" s="650"/>
      <c r="P685" s="650"/>
      <c r="Q685" s="650"/>
      <c r="R685" s="650"/>
      <c r="S685" s="650"/>
      <c r="T685" s="650"/>
      <c r="U685" s="650"/>
      <c r="V685" s="650"/>
      <c r="W685" s="650"/>
      <c r="X685" s="650"/>
      <c r="Y685" s="650"/>
      <c r="Z685" s="650"/>
      <c r="AA685" s="650"/>
      <c r="AB685" s="650"/>
      <c r="AC685" s="650"/>
      <c r="AD685" s="650"/>
      <c r="AE685" s="650"/>
      <c r="AF685" s="650"/>
      <c r="AG685" s="650"/>
      <c r="AH685" s="650"/>
      <c r="AI685" s="650"/>
      <c r="AJ685" s="650"/>
      <c r="AK685" s="650"/>
      <c r="AL685" s="650"/>
      <c r="AM685" s="650"/>
      <c r="AN685" s="650"/>
      <c r="AO685" s="650"/>
      <c r="AP685" s="650"/>
      <c r="AQ685" s="650"/>
      <c r="AR685" s="650"/>
      <c r="AS685" s="650"/>
      <c r="AT685" s="650"/>
      <c r="AU685" s="650"/>
      <c r="AV685" s="650"/>
      <c r="AW685" s="650"/>
      <c r="AX685" s="650"/>
      <c r="AY685" s="650"/>
    </row>
    <row r="686" ht="21.75" customHeight="1">
      <c r="A686" s="650"/>
      <c r="B686" s="650"/>
      <c r="C686" s="650"/>
      <c r="D686" s="650"/>
      <c r="E686" s="650"/>
      <c r="F686" s="650"/>
      <c r="G686" s="650"/>
      <c r="H686" s="650"/>
      <c r="I686" s="650"/>
      <c r="J686" s="650"/>
      <c r="K686" s="650"/>
      <c r="L686" s="650"/>
      <c r="M686" s="650"/>
      <c r="N686" s="650"/>
      <c r="O686" s="650"/>
      <c r="P686" s="650"/>
      <c r="Q686" s="650"/>
      <c r="R686" s="650"/>
      <c r="S686" s="650"/>
      <c r="T686" s="650"/>
      <c r="U686" s="650"/>
      <c r="V686" s="650"/>
      <c r="W686" s="650"/>
      <c r="X686" s="650"/>
      <c r="Y686" s="650"/>
      <c r="Z686" s="650"/>
      <c r="AA686" s="650"/>
      <c r="AB686" s="650"/>
      <c r="AC686" s="650"/>
      <c r="AD686" s="650"/>
      <c r="AE686" s="650"/>
      <c r="AF686" s="650"/>
      <c r="AG686" s="650"/>
      <c r="AH686" s="650"/>
      <c r="AI686" s="650"/>
      <c r="AJ686" s="650"/>
      <c r="AK686" s="650"/>
      <c r="AL686" s="650"/>
      <c r="AM686" s="650"/>
      <c r="AN686" s="650"/>
      <c r="AO686" s="650"/>
      <c r="AP686" s="650"/>
      <c r="AQ686" s="650"/>
      <c r="AR686" s="650"/>
      <c r="AS686" s="650"/>
      <c r="AT686" s="650"/>
      <c r="AU686" s="650"/>
      <c r="AV686" s="650"/>
      <c r="AW686" s="650"/>
      <c r="AX686" s="650"/>
      <c r="AY686" s="650"/>
    </row>
    <row r="687" ht="21.75" customHeight="1">
      <c r="A687" s="650"/>
      <c r="B687" s="650"/>
      <c r="C687" s="650"/>
      <c r="D687" s="650"/>
      <c r="E687" s="650"/>
      <c r="F687" s="650"/>
      <c r="G687" s="650"/>
      <c r="H687" s="650"/>
      <c r="I687" s="650"/>
      <c r="J687" s="650"/>
      <c r="K687" s="650"/>
      <c r="L687" s="650"/>
      <c r="M687" s="650"/>
      <c r="N687" s="650"/>
      <c r="O687" s="650"/>
      <c r="P687" s="650"/>
      <c r="Q687" s="650"/>
      <c r="R687" s="650"/>
      <c r="S687" s="650"/>
      <c r="T687" s="650"/>
      <c r="U687" s="650"/>
      <c r="V687" s="650"/>
      <c r="W687" s="650"/>
      <c r="X687" s="650"/>
      <c r="Y687" s="650"/>
      <c r="Z687" s="650"/>
      <c r="AA687" s="650"/>
      <c r="AB687" s="650"/>
      <c r="AC687" s="650"/>
      <c r="AD687" s="650"/>
      <c r="AE687" s="650"/>
      <c r="AF687" s="650"/>
      <c r="AG687" s="650"/>
      <c r="AH687" s="650"/>
      <c r="AI687" s="650"/>
      <c r="AJ687" s="650"/>
      <c r="AK687" s="650"/>
      <c r="AL687" s="650"/>
      <c r="AM687" s="650"/>
      <c r="AN687" s="650"/>
      <c r="AO687" s="650"/>
      <c r="AP687" s="650"/>
      <c r="AQ687" s="650"/>
      <c r="AR687" s="650"/>
      <c r="AS687" s="650"/>
      <c r="AT687" s="650"/>
      <c r="AU687" s="650"/>
      <c r="AV687" s="650"/>
      <c r="AW687" s="650"/>
      <c r="AX687" s="650"/>
      <c r="AY687" s="650"/>
    </row>
    <row r="688" ht="21.75" customHeight="1">
      <c r="A688" s="650"/>
      <c r="B688" s="650"/>
      <c r="C688" s="650"/>
      <c r="D688" s="650"/>
      <c r="E688" s="650"/>
      <c r="F688" s="650"/>
      <c r="G688" s="650"/>
      <c r="H688" s="650"/>
      <c r="I688" s="650"/>
      <c r="J688" s="650"/>
      <c r="K688" s="650"/>
      <c r="L688" s="650"/>
      <c r="M688" s="650"/>
      <c r="N688" s="650"/>
      <c r="O688" s="650"/>
      <c r="P688" s="650"/>
      <c r="Q688" s="650"/>
      <c r="R688" s="650"/>
      <c r="S688" s="650"/>
      <c r="T688" s="650"/>
      <c r="U688" s="650"/>
      <c r="V688" s="650"/>
      <c r="W688" s="650"/>
      <c r="X688" s="650"/>
      <c r="Y688" s="650"/>
      <c r="Z688" s="650"/>
      <c r="AA688" s="650"/>
      <c r="AB688" s="650"/>
      <c r="AC688" s="650"/>
      <c r="AD688" s="650"/>
      <c r="AE688" s="650"/>
      <c r="AF688" s="650"/>
      <c r="AG688" s="650"/>
      <c r="AH688" s="650"/>
      <c r="AI688" s="650"/>
      <c r="AJ688" s="650"/>
      <c r="AK688" s="650"/>
      <c r="AL688" s="650"/>
      <c r="AM688" s="650"/>
      <c r="AN688" s="650"/>
      <c r="AO688" s="650"/>
      <c r="AP688" s="650"/>
      <c r="AQ688" s="650"/>
      <c r="AR688" s="650"/>
      <c r="AS688" s="650"/>
      <c r="AT688" s="650"/>
      <c r="AU688" s="650"/>
      <c r="AV688" s="650"/>
      <c r="AW688" s="650"/>
      <c r="AX688" s="650"/>
      <c r="AY688" s="650"/>
    </row>
    <row r="689" ht="21.75" customHeight="1">
      <c r="A689" s="650"/>
      <c r="B689" s="650"/>
      <c r="C689" s="650"/>
      <c r="D689" s="650"/>
      <c r="E689" s="650"/>
      <c r="F689" s="650"/>
      <c r="G689" s="650"/>
      <c r="H689" s="650"/>
      <c r="I689" s="650"/>
      <c r="J689" s="650"/>
      <c r="K689" s="650"/>
      <c r="L689" s="650"/>
      <c r="M689" s="650"/>
      <c r="N689" s="650"/>
      <c r="O689" s="650"/>
      <c r="P689" s="650"/>
      <c r="Q689" s="650"/>
      <c r="R689" s="650"/>
      <c r="S689" s="650"/>
      <c r="T689" s="650"/>
      <c r="U689" s="650"/>
      <c r="V689" s="650"/>
      <c r="W689" s="650"/>
      <c r="X689" s="650"/>
      <c r="Y689" s="650"/>
      <c r="Z689" s="650"/>
      <c r="AA689" s="650"/>
      <c r="AB689" s="650"/>
      <c r="AC689" s="650"/>
      <c r="AD689" s="650"/>
      <c r="AE689" s="650"/>
      <c r="AF689" s="650"/>
      <c r="AG689" s="650"/>
      <c r="AH689" s="650"/>
      <c r="AI689" s="650"/>
      <c r="AJ689" s="650"/>
      <c r="AK689" s="650"/>
      <c r="AL689" s="650"/>
      <c r="AM689" s="650"/>
      <c r="AN689" s="650"/>
      <c r="AO689" s="650"/>
      <c r="AP689" s="650"/>
      <c r="AQ689" s="650"/>
      <c r="AR689" s="650"/>
      <c r="AS689" s="650"/>
      <c r="AT689" s="650"/>
      <c r="AU689" s="650"/>
      <c r="AV689" s="650"/>
      <c r="AW689" s="650"/>
      <c r="AX689" s="650"/>
      <c r="AY689" s="650"/>
    </row>
    <row r="690" ht="21.75" customHeight="1">
      <c r="A690" s="650"/>
      <c r="B690" s="650"/>
      <c r="C690" s="650"/>
      <c r="D690" s="650"/>
      <c r="E690" s="650"/>
      <c r="F690" s="650"/>
      <c r="G690" s="650"/>
      <c r="H690" s="650"/>
      <c r="I690" s="650"/>
      <c r="J690" s="650"/>
      <c r="K690" s="650"/>
      <c r="L690" s="650"/>
      <c r="M690" s="650"/>
      <c r="N690" s="650"/>
      <c r="O690" s="650"/>
      <c r="P690" s="650"/>
      <c r="Q690" s="650"/>
      <c r="R690" s="650"/>
      <c r="S690" s="650"/>
      <c r="T690" s="650"/>
      <c r="U690" s="650"/>
      <c r="V690" s="650"/>
      <c r="W690" s="650"/>
      <c r="X690" s="650"/>
      <c r="Y690" s="650"/>
      <c r="Z690" s="650"/>
      <c r="AA690" s="650"/>
      <c r="AB690" s="650"/>
      <c r="AC690" s="650"/>
      <c r="AD690" s="650"/>
      <c r="AE690" s="650"/>
      <c r="AF690" s="650"/>
      <c r="AG690" s="650"/>
      <c r="AH690" s="650"/>
      <c r="AI690" s="650"/>
      <c r="AJ690" s="650"/>
      <c r="AK690" s="650"/>
      <c r="AL690" s="650"/>
      <c r="AM690" s="650"/>
      <c r="AN690" s="650"/>
      <c r="AO690" s="650"/>
      <c r="AP690" s="650"/>
      <c r="AQ690" s="650"/>
      <c r="AR690" s="650"/>
      <c r="AS690" s="650"/>
      <c r="AT690" s="650"/>
      <c r="AU690" s="650"/>
      <c r="AV690" s="650"/>
      <c r="AW690" s="650"/>
      <c r="AX690" s="650"/>
      <c r="AY690" s="650"/>
    </row>
    <row r="691" ht="21.75" customHeight="1">
      <c r="A691" s="650"/>
      <c r="B691" s="650"/>
      <c r="C691" s="650"/>
      <c r="D691" s="650"/>
      <c r="E691" s="650"/>
      <c r="F691" s="650"/>
      <c r="G691" s="650"/>
      <c r="H691" s="650"/>
      <c r="I691" s="650"/>
      <c r="J691" s="650"/>
      <c r="K691" s="650"/>
      <c r="L691" s="650"/>
      <c r="M691" s="650"/>
      <c r="N691" s="650"/>
      <c r="O691" s="650"/>
      <c r="P691" s="650"/>
      <c r="Q691" s="650"/>
      <c r="R691" s="650"/>
      <c r="S691" s="650"/>
      <c r="T691" s="650"/>
      <c r="U691" s="650"/>
      <c r="V691" s="650"/>
      <c r="W691" s="650"/>
      <c r="X691" s="650"/>
      <c r="Y691" s="650"/>
      <c r="Z691" s="650"/>
      <c r="AA691" s="650"/>
      <c r="AB691" s="650"/>
      <c r="AC691" s="650"/>
      <c r="AD691" s="650"/>
      <c r="AE691" s="650"/>
      <c r="AF691" s="650"/>
      <c r="AG691" s="650"/>
      <c r="AH691" s="650"/>
      <c r="AI691" s="650"/>
      <c r="AJ691" s="650"/>
      <c r="AK691" s="650"/>
      <c r="AL691" s="650"/>
      <c r="AM691" s="650"/>
      <c r="AN691" s="650"/>
      <c r="AO691" s="650"/>
      <c r="AP691" s="650"/>
      <c r="AQ691" s="650"/>
      <c r="AR691" s="650"/>
      <c r="AS691" s="650"/>
      <c r="AT691" s="650"/>
      <c r="AU691" s="650"/>
      <c r="AV691" s="650"/>
      <c r="AW691" s="650"/>
      <c r="AX691" s="650"/>
      <c r="AY691" s="650"/>
    </row>
    <row r="692" ht="21.75" customHeight="1">
      <c r="A692" s="650"/>
      <c r="B692" s="650"/>
      <c r="C692" s="650"/>
      <c r="D692" s="650"/>
      <c r="E692" s="650"/>
      <c r="F692" s="650"/>
      <c r="G692" s="650"/>
      <c r="H692" s="650"/>
      <c r="I692" s="650"/>
      <c r="J692" s="650"/>
      <c r="K692" s="650"/>
      <c r="L692" s="650"/>
      <c r="M692" s="650"/>
      <c r="N692" s="650"/>
      <c r="O692" s="650"/>
      <c r="P692" s="650"/>
      <c r="Q692" s="650"/>
      <c r="R692" s="650"/>
      <c r="S692" s="650"/>
      <c r="T692" s="650"/>
      <c r="U692" s="650"/>
      <c r="V692" s="650"/>
      <c r="W692" s="650"/>
      <c r="X692" s="650"/>
      <c r="Y692" s="650"/>
      <c r="Z692" s="650"/>
      <c r="AA692" s="650"/>
      <c r="AB692" s="650"/>
      <c r="AC692" s="650"/>
      <c r="AD692" s="650"/>
      <c r="AE692" s="650"/>
      <c r="AF692" s="650"/>
      <c r="AG692" s="650"/>
      <c r="AH692" s="650"/>
      <c r="AI692" s="650"/>
      <c r="AJ692" s="650"/>
      <c r="AK692" s="650"/>
      <c r="AL692" s="650"/>
      <c r="AM692" s="650"/>
      <c r="AN692" s="650"/>
      <c r="AO692" s="650"/>
      <c r="AP692" s="650"/>
      <c r="AQ692" s="650"/>
      <c r="AR692" s="650"/>
      <c r="AS692" s="650"/>
      <c r="AT692" s="650"/>
      <c r="AU692" s="650"/>
      <c r="AV692" s="650"/>
      <c r="AW692" s="650"/>
      <c r="AX692" s="650"/>
      <c r="AY692" s="650"/>
    </row>
    <row r="693" ht="21.75" customHeight="1">
      <c r="A693" s="650"/>
      <c r="B693" s="650"/>
      <c r="C693" s="650"/>
      <c r="D693" s="650"/>
      <c r="E693" s="650"/>
      <c r="F693" s="650"/>
      <c r="G693" s="650"/>
      <c r="H693" s="650"/>
      <c r="I693" s="650"/>
      <c r="J693" s="650"/>
      <c r="K693" s="650"/>
      <c r="L693" s="650"/>
      <c r="M693" s="650"/>
      <c r="N693" s="650"/>
      <c r="O693" s="650"/>
      <c r="P693" s="650"/>
      <c r="Q693" s="650"/>
      <c r="R693" s="650"/>
      <c r="S693" s="650"/>
      <c r="T693" s="650"/>
      <c r="U693" s="650"/>
      <c r="V693" s="650"/>
      <c r="W693" s="650"/>
      <c r="X693" s="650"/>
      <c r="Y693" s="650"/>
      <c r="Z693" s="650"/>
      <c r="AA693" s="650"/>
      <c r="AB693" s="650"/>
      <c r="AC693" s="650"/>
      <c r="AD693" s="650"/>
      <c r="AE693" s="650"/>
      <c r="AF693" s="650"/>
      <c r="AG693" s="650"/>
      <c r="AH693" s="650"/>
      <c r="AI693" s="650"/>
      <c r="AJ693" s="650"/>
      <c r="AK693" s="650"/>
      <c r="AL693" s="650"/>
      <c r="AM693" s="650"/>
      <c r="AN693" s="650"/>
      <c r="AO693" s="650"/>
      <c r="AP693" s="650"/>
      <c r="AQ693" s="650"/>
      <c r="AR693" s="650"/>
      <c r="AS693" s="650"/>
      <c r="AT693" s="650"/>
      <c r="AU693" s="650"/>
      <c r="AV693" s="650"/>
      <c r="AW693" s="650"/>
      <c r="AX693" s="650"/>
      <c r="AY693" s="650"/>
    </row>
    <row r="694" ht="21.75" customHeight="1">
      <c r="A694" s="650"/>
      <c r="B694" s="650"/>
      <c r="C694" s="650"/>
      <c r="D694" s="650"/>
      <c r="E694" s="650"/>
      <c r="F694" s="650"/>
      <c r="G694" s="650"/>
      <c r="H694" s="650"/>
      <c r="I694" s="650"/>
      <c r="J694" s="650"/>
      <c r="K694" s="650"/>
      <c r="L694" s="650"/>
      <c r="M694" s="650"/>
      <c r="N694" s="650"/>
      <c r="O694" s="650"/>
      <c r="P694" s="650"/>
      <c r="Q694" s="650"/>
      <c r="R694" s="650"/>
      <c r="S694" s="650"/>
      <c r="T694" s="650"/>
      <c r="U694" s="650"/>
      <c r="V694" s="650"/>
      <c r="W694" s="650"/>
      <c r="X694" s="650"/>
      <c r="Y694" s="650"/>
      <c r="Z694" s="650"/>
      <c r="AA694" s="650"/>
      <c r="AB694" s="650"/>
      <c r="AC694" s="650"/>
      <c r="AD694" s="650"/>
      <c r="AE694" s="650"/>
      <c r="AF694" s="650"/>
      <c r="AG694" s="650"/>
      <c r="AH694" s="650"/>
      <c r="AI694" s="650"/>
      <c r="AJ694" s="650"/>
      <c r="AK694" s="650"/>
      <c r="AL694" s="650"/>
      <c r="AM694" s="650"/>
      <c r="AN694" s="650"/>
      <c r="AO694" s="650"/>
      <c r="AP694" s="650"/>
      <c r="AQ694" s="650"/>
      <c r="AR694" s="650"/>
      <c r="AS694" s="650"/>
      <c r="AT694" s="650"/>
      <c r="AU694" s="650"/>
      <c r="AV694" s="650"/>
      <c r="AW694" s="650"/>
      <c r="AX694" s="650"/>
      <c r="AY694" s="650"/>
    </row>
    <row r="695" ht="21.75" customHeight="1">
      <c r="A695" s="650"/>
      <c r="B695" s="650"/>
      <c r="C695" s="650"/>
      <c r="D695" s="650"/>
      <c r="E695" s="650"/>
      <c r="F695" s="650"/>
      <c r="G695" s="650"/>
      <c r="H695" s="650"/>
      <c r="I695" s="650"/>
      <c r="J695" s="650"/>
      <c r="K695" s="650"/>
      <c r="L695" s="650"/>
      <c r="M695" s="650"/>
      <c r="N695" s="650"/>
      <c r="O695" s="650"/>
      <c r="P695" s="650"/>
      <c r="Q695" s="650"/>
      <c r="R695" s="650"/>
      <c r="S695" s="650"/>
      <c r="T695" s="650"/>
      <c r="U695" s="650"/>
      <c r="V695" s="650"/>
      <c r="W695" s="650"/>
      <c r="X695" s="650"/>
      <c r="Y695" s="650"/>
      <c r="Z695" s="650"/>
      <c r="AA695" s="650"/>
      <c r="AB695" s="650"/>
      <c r="AC695" s="650"/>
      <c r="AD695" s="650"/>
      <c r="AE695" s="650"/>
      <c r="AF695" s="650"/>
      <c r="AG695" s="650"/>
      <c r="AH695" s="650"/>
      <c r="AI695" s="650"/>
      <c r="AJ695" s="650"/>
      <c r="AK695" s="650"/>
      <c r="AL695" s="650"/>
      <c r="AM695" s="650"/>
      <c r="AN695" s="650"/>
      <c r="AO695" s="650"/>
      <c r="AP695" s="650"/>
      <c r="AQ695" s="650"/>
      <c r="AR695" s="650"/>
      <c r="AS695" s="650"/>
      <c r="AT695" s="650"/>
      <c r="AU695" s="650"/>
      <c r="AV695" s="650"/>
      <c r="AW695" s="650"/>
      <c r="AX695" s="650"/>
      <c r="AY695" s="650"/>
    </row>
    <row r="696" ht="21.75" customHeight="1">
      <c r="A696" s="650"/>
      <c r="B696" s="650"/>
      <c r="C696" s="650"/>
      <c r="D696" s="650"/>
      <c r="E696" s="650"/>
      <c r="F696" s="650"/>
      <c r="G696" s="650"/>
      <c r="H696" s="650"/>
      <c r="I696" s="650"/>
      <c r="J696" s="650"/>
      <c r="K696" s="650"/>
      <c r="L696" s="650"/>
      <c r="M696" s="650"/>
      <c r="N696" s="650"/>
      <c r="O696" s="650"/>
      <c r="P696" s="650"/>
      <c r="Q696" s="650"/>
      <c r="R696" s="650"/>
      <c r="S696" s="650"/>
      <c r="T696" s="650"/>
      <c r="U696" s="650"/>
      <c r="V696" s="650"/>
      <c r="W696" s="650"/>
      <c r="X696" s="650"/>
      <c r="Y696" s="650"/>
      <c r="Z696" s="650"/>
      <c r="AA696" s="650"/>
      <c r="AB696" s="650"/>
      <c r="AC696" s="650"/>
      <c r="AD696" s="650"/>
      <c r="AE696" s="650"/>
      <c r="AF696" s="650"/>
      <c r="AG696" s="650"/>
      <c r="AH696" s="650"/>
      <c r="AI696" s="650"/>
      <c r="AJ696" s="650"/>
      <c r="AK696" s="650"/>
      <c r="AL696" s="650"/>
      <c r="AM696" s="650"/>
      <c r="AN696" s="650"/>
      <c r="AO696" s="650"/>
      <c r="AP696" s="650"/>
      <c r="AQ696" s="650"/>
      <c r="AR696" s="650"/>
      <c r="AS696" s="650"/>
      <c r="AT696" s="650"/>
      <c r="AU696" s="650"/>
      <c r="AV696" s="650"/>
      <c r="AW696" s="650"/>
      <c r="AX696" s="650"/>
      <c r="AY696" s="650"/>
    </row>
    <row r="697" ht="21.75" customHeight="1">
      <c r="A697" s="650"/>
      <c r="B697" s="650"/>
      <c r="C697" s="650"/>
      <c r="D697" s="650"/>
      <c r="E697" s="650"/>
      <c r="F697" s="650"/>
      <c r="G697" s="650"/>
      <c r="H697" s="650"/>
      <c r="I697" s="650"/>
      <c r="J697" s="650"/>
      <c r="K697" s="650"/>
      <c r="L697" s="650"/>
      <c r="M697" s="650"/>
      <c r="N697" s="650"/>
      <c r="O697" s="650"/>
      <c r="P697" s="650"/>
      <c r="Q697" s="650"/>
      <c r="R697" s="650"/>
      <c r="S697" s="650"/>
      <c r="T697" s="650"/>
      <c r="U697" s="650"/>
      <c r="V697" s="650"/>
      <c r="W697" s="650"/>
      <c r="X697" s="650"/>
      <c r="Y697" s="650"/>
      <c r="Z697" s="650"/>
      <c r="AA697" s="650"/>
      <c r="AB697" s="650"/>
      <c r="AC697" s="650"/>
      <c r="AD697" s="650"/>
      <c r="AE697" s="650"/>
      <c r="AF697" s="650"/>
      <c r="AG697" s="650"/>
      <c r="AH697" s="650"/>
      <c r="AI697" s="650"/>
      <c r="AJ697" s="650"/>
      <c r="AK697" s="650"/>
      <c r="AL697" s="650"/>
      <c r="AM697" s="650"/>
      <c r="AN697" s="650"/>
      <c r="AO697" s="650"/>
      <c r="AP697" s="650"/>
      <c r="AQ697" s="650"/>
      <c r="AR697" s="650"/>
      <c r="AS697" s="650"/>
      <c r="AT697" s="650"/>
      <c r="AU697" s="650"/>
      <c r="AV697" s="650"/>
      <c r="AW697" s="650"/>
      <c r="AX697" s="650"/>
      <c r="AY697" s="650"/>
    </row>
    <row r="698" ht="21.75" customHeight="1">
      <c r="A698" s="650"/>
      <c r="B698" s="650"/>
      <c r="C698" s="650"/>
      <c r="D698" s="650"/>
      <c r="E698" s="650"/>
      <c r="F698" s="650"/>
      <c r="G698" s="650"/>
      <c r="H698" s="650"/>
      <c r="I698" s="650"/>
      <c r="J698" s="650"/>
      <c r="K698" s="650"/>
      <c r="L698" s="650"/>
      <c r="M698" s="650"/>
      <c r="N698" s="650"/>
      <c r="O698" s="650"/>
      <c r="P698" s="650"/>
      <c r="Q698" s="650"/>
      <c r="R698" s="650"/>
      <c r="S698" s="650"/>
      <c r="T698" s="650"/>
      <c r="U698" s="650"/>
      <c r="V698" s="650"/>
      <c r="W698" s="650"/>
      <c r="X698" s="650"/>
      <c r="Y698" s="650"/>
      <c r="Z698" s="650"/>
      <c r="AA698" s="650"/>
      <c r="AB698" s="650"/>
      <c r="AC698" s="650"/>
      <c r="AD698" s="650"/>
      <c r="AE698" s="650"/>
      <c r="AF698" s="650"/>
      <c r="AG698" s="650"/>
      <c r="AH698" s="650"/>
      <c r="AI698" s="650"/>
      <c r="AJ698" s="650"/>
      <c r="AK698" s="650"/>
      <c r="AL698" s="650"/>
      <c r="AM698" s="650"/>
      <c r="AN698" s="650"/>
      <c r="AO698" s="650"/>
      <c r="AP698" s="650"/>
      <c r="AQ698" s="650"/>
      <c r="AR698" s="650"/>
      <c r="AS698" s="650"/>
      <c r="AT698" s="650"/>
      <c r="AU698" s="650"/>
      <c r="AV698" s="650"/>
      <c r="AW698" s="650"/>
      <c r="AX698" s="650"/>
      <c r="AY698" s="650"/>
    </row>
    <row r="699" ht="21.75" customHeight="1">
      <c r="A699" s="650"/>
      <c r="B699" s="650"/>
      <c r="C699" s="650"/>
      <c r="D699" s="650"/>
      <c r="E699" s="650"/>
      <c r="F699" s="650"/>
      <c r="G699" s="650"/>
      <c r="H699" s="650"/>
      <c r="I699" s="650"/>
      <c r="J699" s="650"/>
      <c r="K699" s="650"/>
      <c r="L699" s="650"/>
      <c r="M699" s="650"/>
      <c r="N699" s="650"/>
      <c r="O699" s="650"/>
      <c r="P699" s="650"/>
      <c r="Q699" s="650"/>
      <c r="R699" s="650"/>
      <c r="S699" s="650"/>
      <c r="T699" s="650"/>
      <c r="U699" s="650"/>
      <c r="V699" s="650"/>
      <c r="W699" s="650"/>
      <c r="X699" s="650"/>
      <c r="Y699" s="650"/>
      <c r="Z699" s="650"/>
      <c r="AA699" s="650"/>
      <c r="AB699" s="650"/>
      <c r="AC699" s="650"/>
      <c r="AD699" s="650"/>
      <c r="AE699" s="650"/>
      <c r="AF699" s="650"/>
      <c r="AG699" s="650"/>
      <c r="AH699" s="650"/>
      <c r="AI699" s="650"/>
      <c r="AJ699" s="650"/>
      <c r="AK699" s="650"/>
      <c r="AL699" s="650"/>
      <c r="AM699" s="650"/>
      <c r="AN699" s="650"/>
      <c r="AO699" s="650"/>
      <c r="AP699" s="650"/>
      <c r="AQ699" s="650"/>
      <c r="AR699" s="650"/>
      <c r="AS699" s="650"/>
      <c r="AT699" s="650"/>
      <c r="AU699" s="650"/>
      <c r="AV699" s="650"/>
      <c r="AW699" s="650"/>
      <c r="AX699" s="650"/>
      <c r="AY699" s="650"/>
    </row>
    <row r="700" ht="21.75" customHeight="1">
      <c r="A700" s="650"/>
      <c r="B700" s="650"/>
      <c r="C700" s="650"/>
      <c r="D700" s="650"/>
      <c r="E700" s="650"/>
      <c r="F700" s="650"/>
      <c r="G700" s="650"/>
      <c r="H700" s="650"/>
      <c r="I700" s="650"/>
      <c r="J700" s="650"/>
      <c r="K700" s="650"/>
      <c r="L700" s="650"/>
      <c r="M700" s="650"/>
      <c r="N700" s="650"/>
      <c r="O700" s="650"/>
      <c r="P700" s="650"/>
      <c r="Q700" s="650"/>
      <c r="R700" s="650"/>
      <c r="S700" s="650"/>
      <c r="T700" s="650"/>
      <c r="U700" s="650"/>
      <c r="V700" s="650"/>
      <c r="W700" s="650"/>
      <c r="X700" s="650"/>
      <c r="Y700" s="650"/>
      <c r="Z700" s="650"/>
      <c r="AA700" s="650"/>
      <c r="AB700" s="650"/>
      <c r="AC700" s="650"/>
      <c r="AD700" s="650"/>
      <c r="AE700" s="650"/>
      <c r="AF700" s="650"/>
      <c r="AG700" s="650"/>
      <c r="AH700" s="650"/>
      <c r="AI700" s="650"/>
      <c r="AJ700" s="650"/>
      <c r="AK700" s="650"/>
      <c r="AL700" s="650"/>
      <c r="AM700" s="650"/>
      <c r="AN700" s="650"/>
      <c r="AO700" s="650"/>
      <c r="AP700" s="650"/>
      <c r="AQ700" s="650"/>
      <c r="AR700" s="650"/>
      <c r="AS700" s="650"/>
      <c r="AT700" s="650"/>
      <c r="AU700" s="650"/>
      <c r="AV700" s="650"/>
      <c r="AW700" s="650"/>
      <c r="AX700" s="650"/>
      <c r="AY700" s="650"/>
    </row>
    <row r="701" ht="21.75" customHeight="1">
      <c r="A701" s="650"/>
      <c r="B701" s="650"/>
      <c r="C701" s="650"/>
      <c r="D701" s="650"/>
      <c r="E701" s="650"/>
      <c r="F701" s="650"/>
      <c r="G701" s="650"/>
      <c r="H701" s="650"/>
      <c r="I701" s="650"/>
      <c r="J701" s="650"/>
      <c r="K701" s="650"/>
      <c r="L701" s="650"/>
      <c r="M701" s="650"/>
      <c r="N701" s="650"/>
      <c r="O701" s="650"/>
      <c r="P701" s="650"/>
      <c r="Q701" s="650"/>
      <c r="R701" s="650"/>
      <c r="S701" s="650"/>
      <c r="T701" s="650"/>
      <c r="U701" s="650"/>
      <c r="V701" s="650"/>
      <c r="W701" s="650"/>
      <c r="X701" s="650"/>
      <c r="Y701" s="650"/>
      <c r="Z701" s="650"/>
      <c r="AA701" s="650"/>
      <c r="AB701" s="650"/>
      <c r="AC701" s="650"/>
      <c r="AD701" s="650"/>
      <c r="AE701" s="650"/>
      <c r="AF701" s="650"/>
      <c r="AG701" s="650"/>
      <c r="AH701" s="650"/>
      <c r="AI701" s="650"/>
      <c r="AJ701" s="650"/>
      <c r="AK701" s="650"/>
      <c r="AL701" s="650"/>
      <c r="AM701" s="650"/>
      <c r="AN701" s="650"/>
      <c r="AO701" s="650"/>
      <c r="AP701" s="650"/>
      <c r="AQ701" s="650"/>
      <c r="AR701" s="650"/>
      <c r="AS701" s="650"/>
      <c r="AT701" s="650"/>
      <c r="AU701" s="650"/>
      <c r="AV701" s="650"/>
      <c r="AW701" s="650"/>
      <c r="AX701" s="650"/>
      <c r="AY701" s="650"/>
    </row>
    <row r="702" ht="21.75" customHeight="1">
      <c r="A702" s="650"/>
      <c r="B702" s="650"/>
      <c r="C702" s="650"/>
      <c r="D702" s="650"/>
      <c r="E702" s="650"/>
      <c r="F702" s="650"/>
      <c r="G702" s="650"/>
      <c r="H702" s="650"/>
      <c r="I702" s="650"/>
      <c r="J702" s="650"/>
      <c r="K702" s="650"/>
      <c r="L702" s="650"/>
      <c r="M702" s="650"/>
      <c r="N702" s="650"/>
      <c r="O702" s="650"/>
      <c r="P702" s="650"/>
      <c r="Q702" s="650"/>
      <c r="R702" s="650"/>
      <c r="S702" s="650"/>
      <c r="T702" s="650"/>
      <c r="U702" s="650"/>
      <c r="V702" s="650"/>
      <c r="W702" s="650"/>
      <c r="X702" s="650"/>
      <c r="Y702" s="650"/>
      <c r="Z702" s="650"/>
      <c r="AA702" s="650"/>
      <c r="AB702" s="650"/>
      <c r="AC702" s="650"/>
      <c r="AD702" s="650"/>
      <c r="AE702" s="650"/>
      <c r="AF702" s="650"/>
      <c r="AG702" s="650"/>
      <c r="AH702" s="650"/>
      <c r="AI702" s="650"/>
      <c r="AJ702" s="650"/>
      <c r="AK702" s="650"/>
      <c r="AL702" s="650"/>
      <c r="AM702" s="650"/>
      <c r="AN702" s="650"/>
      <c r="AO702" s="650"/>
      <c r="AP702" s="650"/>
      <c r="AQ702" s="650"/>
      <c r="AR702" s="650"/>
      <c r="AS702" s="650"/>
      <c r="AT702" s="650"/>
      <c r="AU702" s="650"/>
      <c r="AV702" s="650"/>
      <c r="AW702" s="650"/>
      <c r="AX702" s="650"/>
      <c r="AY702" s="650"/>
    </row>
    <row r="703" ht="21.75" customHeight="1">
      <c r="A703" s="650"/>
      <c r="B703" s="650"/>
      <c r="C703" s="650"/>
      <c r="D703" s="650"/>
      <c r="E703" s="650"/>
      <c r="F703" s="650"/>
      <c r="G703" s="650"/>
      <c r="H703" s="650"/>
      <c r="I703" s="650"/>
      <c r="J703" s="650"/>
      <c r="K703" s="650"/>
      <c r="L703" s="650"/>
      <c r="M703" s="650"/>
      <c r="N703" s="650"/>
      <c r="O703" s="650"/>
      <c r="P703" s="650"/>
      <c r="Q703" s="650"/>
      <c r="R703" s="650"/>
      <c r="S703" s="650"/>
      <c r="T703" s="650"/>
      <c r="U703" s="650"/>
      <c r="V703" s="650"/>
      <c r="W703" s="650"/>
      <c r="X703" s="650"/>
      <c r="Y703" s="650"/>
      <c r="Z703" s="650"/>
      <c r="AA703" s="650"/>
      <c r="AB703" s="650"/>
      <c r="AC703" s="650"/>
      <c r="AD703" s="650"/>
      <c r="AE703" s="650"/>
      <c r="AF703" s="650"/>
      <c r="AG703" s="650"/>
      <c r="AH703" s="650"/>
      <c r="AI703" s="650"/>
      <c r="AJ703" s="650"/>
      <c r="AK703" s="650"/>
      <c r="AL703" s="650"/>
      <c r="AM703" s="650"/>
      <c r="AN703" s="650"/>
      <c r="AO703" s="650"/>
      <c r="AP703" s="650"/>
      <c r="AQ703" s="650"/>
      <c r="AR703" s="650"/>
      <c r="AS703" s="650"/>
      <c r="AT703" s="650"/>
      <c r="AU703" s="650"/>
      <c r="AV703" s="650"/>
      <c r="AW703" s="650"/>
      <c r="AX703" s="650"/>
      <c r="AY703" s="650"/>
    </row>
    <row r="704" ht="21.75" customHeight="1">
      <c r="A704" s="650"/>
      <c r="B704" s="650"/>
      <c r="C704" s="650"/>
      <c r="D704" s="650"/>
      <c r="E704" s="650"/>
      <c r="F704" s="650"/>
      <c r="G704" s="650"/>
      <c r="H704" s="650"/>
      <c r="I704" s="650"/>
      <c r="J704" s="650"/>
      <c r="K704" s="650"/>
      <c r="L704" s="650"/>
      <c r="M704" s="650"/>
      <c r="N704" s="650"/>
      <c r="O704" s="650"/>
      <c r="P704" s="650"/>
      <c r="Q704" s="650"/>
      <c r="R704" s="650"/>
      <c r="S704" s="650"/>
      <c r="T704" s="650"/>
      <c r="U704" s="650"/>
      <c r="V704" s="650"/>
      <c r="W704" s="650"/>
      <c r="X704" s="650"/>
      <c r="Y704" s="650"/>
      <c r="Z704" s="650"/>
      <c r="AA704" s="650"/>
      <c r="AB704" s="650"/>
      <c r="AC704" s="650"/>
      <c r="AD704" s="650"/>
      <c r="AE704" s="650"/>
      <c r="AF704" s="650"/>
      <c r="AG704" s="650"/>
      <c r="AH704" s="650"/>
      <c r="AI704" s="650"/>
      <c r="AJ704" s="650"/>
      <c r="AK704" s="650"/>
      <c r="AL704" s="650"/>
      <c r="AM704" s="650"/>
      <c r="AN704" s="650"/>
      <c r="AO704" s="650"/>
      <c r="AP704" s="650"/>
      <c r="AQ704" s="650"/>
      <c r="AR704" s="650"/>
      <c r="AS704" s="650"/>
      <c r="AT704" s="650"/>
      <c r="AU704" s="650"/>
      <c r="AV704" s="650"/>
      <c r="AW704" s="650"/>
      <c r="AX704" s="650"/>
      <c r="AY704" s="650"/>
    </row>
    <row r="705" ht="21.75" customHeight="1">
      <c r="A705" s="650"/>
      <c r="B705" s="650"/>
      <c r="C705" s="650"/>
      <c r="D705" s="650"/>
      <c r="E705" s="650"/>
      <c r="F705" s="650"/>
      <c r="G705" s="650"/>
      <c r="H705" s="650"/>
      <c r="I705" s="650"/>
      <c r="J705" s="650"/>
      <c r="K705" s="650"/>
      <c r="L705" s="650"/>
      <c r="M705" s="650"/>
      <c r="N705" s="650"/>
      <c r="O705" s="650"/>
      <c r="P705" s="650"/>
      <c r="Q705" s="650"/>
      <c r="R705" s="650"/>
      <c r="S705" s="650"/>
      <c r="T705" s="650"/>
      <c r="U705" s="650"/>
      <c r="V705" s="650"/>
      <c r="W705" s="650"/>
      <c r="X705" s="650"/>
      <c r="Y705" s="650"/>
      <c r="Z705" s="650"/>
      <c r="AA705" s="650"/>
      <c r="AB705" s="650"/>
      <c r="AC705" s="650"/>
      <c r="AD705" s="650"/>
      <c r="AE705" s="650"/>
      <c r="AF705" s="650"/>
      <c r="AG705" s="650"/>
      <c r="AH705" s="650"/>
      <c r="AI705" s="650"/>
      <c r="AJ705" s="650"/>
      <c r="AK705" s="650"/>
      <c r="AL705" s="650"/>
      <c r="AM705" s="650"/>
      <c r="AN705" s="650"/>
      <c r="AO705" s="650"/>
      <c r="AP705" s="650"/>
      <c r="AQ705" s="650"/>
      <c r="AR705" s="650"/>
      <c r="AS705" s="650"/>
      <c r="AT705" s="650"/>
      <c r="AU705" s="650"/>
      <c r="AV705" s="650"/>
      <c r="AW705" s="650"/>
      <c r="AX705" s="650"/>
      <c r="AY705" s="650"/>
    </row>
    <row r="706" ht="21.75" customHeight="1">
      <c r="A706" s="650"/>
      <c r="B706" s="650"/>
      <c r="C706" s="650"/>
      <c r="D706" s="650"/>
      <c r="E706" s="650"/>
      <c r="F706" s="650"/>
      <c r="G706" s="650"/>
      <c r="H706" s="650"/>
      <c r="I706" s="650"/>
      <c r="J706" s="650"/>
      <c r="K706" s="650"/>
      <c r="L706" s="650"/>
      <c r="M706" s="650"/>
      <c r="N706" s="650"/>
      <c r="O706" s="650"/>
      <c r="P706" s="650"/>
      <c r="Q706" s="650"/>
      <c r="R706" s="650"/>
      <c r="S706" s="650"/>
      <c r="T706" s="650"/>
      <c r="U706" s="650"/>
      <c r="V706" s="650"/>
      <c r="W706" s="650"/>
      <c r="X706" s="650"/>
      <c r="Y706" s="650"/>
      <c r="Z706" s="650"/>
      <c r="AA706" s="650"/>
      <c r="AB706" s="650"/>
      <c r="AC706" s="650"/>
      <c r="AD706" s="650"/>
      <c r="AE706" s="650"/>
      <c r="AF706" s="650"/>
      <c r="AG706" s="650"/>
      <c r="AH706" s="650"/>
      <c r="AI706" s="650"/>
      <c r="AJ706" s="650"/>
      <c r="AK706" s="650"/>
      <c r="AL706" s="650"/>
      <c r="AM706" s="650"/>
      <c r="AN706" s="650"/>
      <c r="AO706" s="650"/>
      <c r="AP706" s="650"/>
      <c r="AQ706" s="650"/>
      <c r="AR706" s="650"/>
      <c r="AS706" s="650"/>
      <c r="AT706" s="650"/>
      <c r="AU706" s="650"/>
      <c r="AV706" s="650"/>
      <c r="AW706" s="650"/>
      <c r="AX706" s="650"/>
      <c r="AY706" s="650"/>
    </row>
    <row r="707" ht="21.75" customHeight="1">
      <c r="A707" s="650"/>
      <c r="B707" s="650"/>
      <c r="C707" s="650"/>
      <c r="D707" s="650"/>
      <c r="E707" s="650"/>
      <c r="F707" s="650"/>
      <c r="G707" s="650"/>
      <c r="H707" s="650"/>
      <c r="I707" s="650"/>
      <c r="J707" s="650"/>
      <c r="K707" s="650"/>
      <c r="L707" s="650"/>
      <c r="M707" s="650"/>
      <c r="N707" s="650"/>
      <c r="O707" s="650"/>
      <c r="P707" s="650"/>
      <c r="Q707" s="650"/>
      <c r="R707" s="650"/>
      <c r="S707" s="650"/>
      <c r="T707" s="650"/>
      <c r="U707" s="650"/>
      <c r="V707" s="650"/>
      <c r="W707" s="650"/>
      <c r="X707" s="650"/>
      <c r="Y707" s="650"/>
      <c r="Z707" s="650"/>
      <c r="AA707" s="650"/>
      <c r="AB707" s="650"/>
      <c r="AC707" s="650"/>
      <c r="AD707" s="650"/>
      <c r="AE707" s="650"/>
      <c r="AF707" s="650"/>
      <c r="AG707" s="650"/>
      <c r="AH707" s="650"/>
      <c r="AI707" s="650"/>
      <c r="AJ707" s="650"/>
      <c r="AK707" s="650"/>
      <c r="AL707" s="650"/>
      <c r="AM707" s="650"/>
      <c r="AN707" s="650"/>
      <c r="AO707" s="650"/>
      <c r="AP707" s="650"/>
      <c r="AQ707" s="650"/>
      <c r="AR707" s="650"/>
      <c r="AS707" s="650"/>
      <c r="AT707" s="650"/>
      <c r="AU707" s="650"/>
      <c r="AV707" s="650"/>
      <c r="AW707" s="650"/>
      <c r="AX707" s="650"/>
      <c r="AY707" s="650"/>
    </row>
    <row r="708" ht="21.75" customHeight="1">
      <c r="A708" s="650"/>
      <c r="B708" s="650"/>
      <c r="C708" s="650"/>
      <c r="D708" s="650"/>
      <c r="E708" s="650"/>
      <c r="F708" s="650"/>
      <c r="G708" s="650"/>
      <c r="H708" s="650"/>
      <c r="I708" s="650"/>
      <c r="J708" s="650"/>
      <c r="K708" s="650"/>
      <c r="L708" s="650"/>
      <c r="M708" s="650"/>
      <c r="N708" s="650"/>
      <c r="O708" s="650"/>
      <c r="P708" s="650"/>
      <c r="Q708" s="650"/>
      <c r="R708" s="650"/>
      <c r="S708" s="650"/>
      <c r="T708" s="650"/>
      <c r="U708" s="650"/>
      <c r="V708" s="650"/>
      <c r="W708" s="650"/>
      <c r="X708" s="650"/>
      <c r="Y708" s="650"/>
      <c r="Z708" s="650"/>
      <c r="AA708" s="650"/>
      <c r="AB708" s="650"/>
      <c r="AC708" s="650"/>
      <c r="AD708" s="650"/>
      <c r="AE708" s="650"/>
      <c r="AF708" s="650"/>
      <c r="AG708" s="650"/>
      <c r="AH708" s="650"/>
      <c r="AI708" s="650"/>
      <c r="AJ708" s="650"/>
      <c r="AK708" s="650"/>
      <c r="AL708" s="650"/>
      <c r="AM708" s="650"/>
      <c r="AN708" s="650"/>
      <c r="AO708" s="650"/>
      <c r="AP708" s="650"/>
      <c r="AQ708" s="650"/>
      <c r="AR708" s="650"/>
      <c r="AS708" s="650"/>
      <c r="AT708" s="650"/>
      <c r="AU708" s="650"/>
      <c r="AV708" s="650"/>
      <c r="AW708" s="650"/>
      <c r="AX708" s="650"/>
      <c r="AY708" s="650"/>
    </row>
    <row r="709" ht="21.75" customHeight="1">
      <c r="A709" s="650"/>
      <c r="B709" s="650"/>
      <c r="C709" s="650"/>
      <c r="D709" s="650"/>
      <c r="E709" s="650"/>
      <c r="F709" s="650"/>
      <c r="G709" s="650"/>
      <c r="H709" s="650"/>
      <c r="I709" s="650"/>
      <c r="J709" s="650"/>
      <c r="K709" s="650"/>
      <c r="L709" s="650"/>
      <c r="M709" s="650"/>
      <c r="N709" s="650"/>
      <c r="O709" s="650"/>
      <c r="P709" s="650"/>
      <c r="Q709" s="650"/>
      <c r="R709" s="650"/>
      <c r="S709" s="650"/>
      <c r="T709" s="650"/>
      <c r="U709" s="650"/>
      <c r="V709" s="650"/>
      <c r="W709" s="650"/>
      <c r="X709" s="650"/>
      <c r="Y709" s="650"/>
      <c r="Z709" s="650"/>
      <c r="AA709" s="650"/>
      <c r="AB709" s="650"/>
      <c r="AC709" s="650"/>
      <c r="AD709" s="650"/>
      <c r="AE709" s="650"/>
      <c r="AF709" s="650"/>
      <c r="AG709" s="650"/>
      <c r="AH709" s="650"/>
      <c r="AI709" s="650"/>
      <c r="AJ709" s="650"/>
      <c r="AK709" s="650"/>
      <c r="AL709" s="650"/>
      <c r="AM709" s="650"/>
      <c r="AN709" s="650"/>
      <c r="AO709" s="650"/>
      <c r="AP709" s="650"/>
      <c r="AQ709" s="650"/>
      <c r="AR709" s="650"/>
      <c r="AS709" s="650"/>
      <c r="AT709" s="650"/>
      <c r="AU709" s="650"/>
      <c r="AV709" s="650"/>
      <c r="AW709" s="650"/>
      <c r="AX709" s="650"/>
      <c r="AY709" s="650"/>
    </row>
    <row r="710" ht="21.75" customHeight="1">
      <c r="A710" s="650"/>
      <c r="B710" s="650"/>
      <c r="C710" s="650"/>
      <c r="D710" s="650"/>
      <c r="E710" s="650"/>
      <c r="F710" s="650"/>
      <c r="G710" s="650"/>
      <c r="H710" s="650"/>
      <c r="I710" s="650"/>
      <c r="J710" s="650"/>
      <c r="K710" s="650"/>
      <c r="L710" s="650"/>
      <c r="M710" s="650"/>
      <c r="N710" s="650"/>
      <c r="O710" s="650"/>
      <c r="P710" s="650"/>
      <c r="Q710" s="650"/>
      <c r="R710" s="650"/>
      <c r="S710" s="650"/>
      <c r="T710" s="650"/>
      <c r="U710" s="650"/>
      <c r="V710" s="650"/>
      <c r="W710" s="650"/>
      <c r="X710" s="650"/>
      <c r="Y710" s="650"/>
      <c r="Z710" s="650"/>
      <c r="AA710" s="650"/>
      <c r="AB710" s="650"/>
      <c r="AC710" s="650"/>
      <c r="AD710" s="650"/>
      <c r="AE710" s="650"/>
      <c r="AF710" s="650"/>
      <c r="AG710" s="650"/>
      <c r="AH710" s="650"/>
      <c r="AI710" s="650"/>
      <c r="AJ710" s="650"/>
      <c r="AK710" s="650"/>
      <c r="AL710" s="650"/>
      <c r="AM710" s="650"/>
      <c r="AN710" s="650"/>
      <c r="AO710" s="650"/>
      <c r="AP710" s="650"/>
      <c r="AQ710" s="650"/>
      <c r="AR710" s="650"/>
      <c r="AS710" s="650"/>
      <c r="AT710" s="650"/>
      <c r="AU710" s="650"/>
      <c r="AV710" s="650"/>
      <c r="AW710" s="650"/>
      <c r="AX710" s="650"/>
      <c r="AY710" s="650"/>
    </row>
    <row r="711" ht="21.75" customHeight="1">
      <c r="A711" s="650"/>
      <c r="B711" s="650"/>
      <c r="C711" s="650"/>
      <c r="D711" s="650"/>
      <c r="E711" s="650"/>
      <c r="F711" s="650"/>
      <c r="G711" s="650"/>
      <c r="H711" s="650"/>
      <c r="I711" s="650"/>
      <c r="J711" s="650"/>
      <c r="K711" s="650"/>
      <c r="L711" s="650"/>
      <c r="M711" s="650"/>
      <c r="N711" s="650"/>
      <c r="O711" s="650"/>
      <c r="P711" s="650"/>
      <c r="Q711" s="650"/>
      <c r="R711" s="650"/>
      <c r="S711" s="650"/>
      <c r="T711" s="650"/>
      <c r="U711" s="650"/>
      <c r="V711" s="650"/>
      <c r="W711" s="650"/>
      <c r="X711" s="650"/>
      <c r="Y711" s="650"/>
      <c r="Z711" s="650"/>
      <c r="AA711" s="650"/>
      <c r="AB711" s="650"/>
      <c r="AC711" s="650"/>
      <c r="AD711" s="650"/>
      <c r="AE711" s="650"/>
      <c r="AF711" s="650"/>
      <c r="AG711" s="650"/>
      <c r="AH711" s="650"/>
      <c r="AI711" s="650"/>
      <c r="AJ711" s="650"/>
      <c r="AK711" s="650"/>
      <c r="AL711" s="650"/>
      <c r="AM711" s="650"/>
      <c r="AN711" s="650"/>
      <c r="AO711" s="650"/>
      <c r="AP711" s="650"/>
      <c r="AQ711" s="650"/>
      <c r="AR711" s="650"/>
      <c r="AS711" s="650"/>
      <c r="AT711" s="650"/>
      <c r="AU711" s="650"/>
      <c r="AV711" s="650"/>
      <c r="AW711" s="650"/>
      <c r="AX711" s="650"/>
      <c r="AY711" s="650"/>
    </row>
    <row r="712" ht="21.75" customHeight="1">
      <c r="A712" s="650"/>
      <c r="B712" s="650"/>
      <c r="C712" s="650"/>
      <c r="D712" s="650"/>
      <c r="E712" s="650"/>
      <c r="F712" s="650"/>
      <c r="G712" s="650"/>
      <c r="H712" s="650"/>
      <c r="I712" s="650"/>
      <c r="J712" s="650"/>
      <c r="K712" s="650"/>
      <c r="L712" s="650"/>
      <c r="M712" s="650"/>
      <c r="N712" s="650"/>
      <c r="O712" s="650"/>
      <c r="P712" s="650"/>
      <c r="Q712" s="650"/>
      <c r="R712" s="650"/>
      <c r="S712" s="650"/>
      <c r="T712" s="650"/>
      <c r="U712" s="650"/>
      <c r="V712" s="650"/>
      <c r="W712" s="650"/>
      <c r="X712" s="650"/>
      <c r="Y712" s="650"/>
      <c r="Z712" s="650"/>
      <c r="AA712" s="650"/>
      <c r="AB712" s="650"/>
      <c r="AC712" s="650"/>
      <c r="AD712" s="650"/>
      <c r="AE712" s="650"/>
      <c r="AF712" s="650"/>
      <c r="AG712" s="650"/>
      <c r="AH712" s="650"/>
      <c r="AI712" s="650"/>
      <c r="AJ712" s="650"/>
      <c r="AK712" s="650"/>
      <c r="AL712" s="650"/>
      <c r="AM712" s="650"/>
      <c r="AN712" s="650"/>
      <c r="AO712" s="650"/>
      <c r="AP712" s="650"/>
      <c r="AQ712" s="650"/>
      <c r="AR712" s="650"/>
      <c r="AS712" s="650"/>
      <c r="AT712" s="650"/>
      <c r="AU712" s="650"/>
      <c r="AV712" s="650"/>
      <c r="AW712" s="650"/>
      <c r="AX712" s="650"/>
      <c r="AY712" s="650"/>
    </row>
    <row r="713" ht="21.75" customHeight="1">
      <c r="A713" s="650"/>
      <c r="B713" s="650"/>
      <c r="C713" s="650"/>
      <c r="D713" s="650"/>
      <c r="E713" s="650"/>
      <c r="F713" s="650"/>
      <c r="G713" s="650"/>
      <c r="H713" s="650"/>
      <c r="I713" s="650"/>
      <c r="J713" s="650"/>
      <c r="K713" s="650"/>
      <c r="L713" s="650"/>
      <c r="M713" s="650"/>
      <c r="N713" s="650"/>
      <c r="O713" s="650"/>
      <c r="P713" s="650"/>
      <c r="Q713" s="650"/>
      <c r="R713" s="650"/>
      <c r="S713" s="650"/>
      <c r="T713" s="650"/>
      <c r="U713" s="650"/>
      <c r="V713" s="650"/>
      <c r="W713" s="650"/>
      <c r="X713" s="650"/>
      <c r="Y713" s="650"/>
      <c r="Z713" s="650"/>
      <c r="AA713" s="650"/>
      <c r="AB713" s="650"/>
      <c r="AC713" s="650"/>
      <c r="AD713" s="650"/>
      <c r="AE713" s="650"/>
      <c r="AF713" s="650"/>
      <c r="AG713" s="650"/>
      <c r="AH713" s="650"/>
      <c r="AI713" s="650"/>
      <c r="AJ713" s="650"/>
      <c r="AK713" s="650"/>
      <c r="AL713" s="650"/>
      <c r="AM713" s="650"/>
      <c r="AN713" s="650"/>
      <c r="AO713" s="650"/>
      <c r="AP713" s="650"/>
      <c r="AQ713" s="650"/>
      <c r="AR713" s="650"/>
      <c r="AS713" s="650"/>
      <c r="AT713" s="650"/>
      <c r="AU713" s="650"/>
      <c r="AV713" s="650"/>
      <c r="AW713" s="650"/>
      <c r="AX713" s="650"/>
      <c r="AY713" s="650"/>
    </row>
    <row r="714" ht="21.75" customHeight="1">
      <c r="A714" s="650"/>
      <c r="B714" s="650"/>
      <c r="C714" s="650"/>
      <c r="D714" s="650"/>
      <c r="E714" s="650"/>
      <c r="F714" s="650"/>
      <c r="G714" s="650"/>
      <c r="H714" s="650"/>
      <c r="I714" s="650"/>
      <c r="J714" s="650"/>
      <c r="K714" s="650"/>
      <c r="L714" s="650"/>
      <c r="M714" s="650"/>
      <c r="N714" s="650"/>
      <c r="O714" s="650"/>
      <c r="P714" s="650"/>
      <c r="Q714" s="650"/>
      <c r="R714" s="650"/>
      <c r="S714" s="650"/>
      <c r="T714" s="650"/>
      <c r="U714" s="650"/>
      <c r="V714" s="650"/>
      <c r="W714" s="650"/>
      <c r="X714" s="650"/>
      <c r="Y714" s="650"/>
      <c r="Z714" s="650"/>
      <c r="AA714" s="650"/>
      <c r="AB714" s="650"/>
      <c r="AC714" s="650"/>
      <c r="AD714" s="650"/>
      <c r="AE714" s="650"/>
      <c r="AF714" s="650"/>
      <c r="AG714" s="650"/>
      <c r="AH714" s="650"/>
      <c r="AI714" s="650"/>
      <c r="AJ714" s="650"/>
      <c r="AK714" s="650"/>
      <c r="AL714" s="650"/>
      <c r="AM714" s="650"/>
      <c r="AN714" s="650"/>
      <c r="AO714" s="650"/>
      <c r="AP714" s="650"/>
      <c r="AQ714" s="650"/>
      <c r="AR714" s="650"/>
      <c r="AS714" s="650"/>
      <c r="AT714" s="650"/>
      <c r="AU714" s="650"/>
      <c r="AV714" s="650"/>
      <c r="AW714" s="650"/>
      <c r="AX714" s="650"/>
      <c r="AY714" s="650"/>
    </row>
    <row r="715" ht="21.75" customHeight="1">
      <c r="A715" s="650"/>
      <c r="B715" s="650"/>
      <c r="C715" s="650"/>
      <c r="D715" s="650"/>
      <c r="E715" s="650"/>
      <c r="F715" s="650"/>
      <c r="G715" s="650"/>
      <c r="H715" s="650"/>
      <c r="I715" s="650"/>
      <c r="J715" s="650"/>
      <c r="K715" s="650"/>
      <c r="L715" s="650"/>
      <c r="M715" s="650"/>
      <c r="N715" s="650"/>
      <c r="O715" s="650"/>
      <c r="P715" s="650"/>
      <c r="Q715" s="650"/>
      <c r="R715" s="650"/>
      <c r="S715" s="650"/>
      <c r="T715" s="650"/>
      <c r="U715" s="650"/>
      <c r="V715" s="650"/>
      <c r="W715" s="650"/>
      <c r="X715" s="650"/>
      <c r="Y715" s="650"/>
      <c r="Z715" s="650"/>
      <c r="AA715" s="650"/>
      <c r="AB715" s="650"/>
      <c r="AC715" s="650"/>
      <c r="AD715" s="650"/>
      <c r="AE715" s="650"/>
      <c r="AF715" s="650"/>
      <c r="AG715" s="650"/>
      <c r="AH715" s="650"/>
      <c r="AI715" s="650"/>
      <c r="AJ715" s="650"/>
      <c r="AK715" s="650"/>
      <c r="AL715" s="650"/>
      <c r="AM715" s="650"/>
      <c r="AN715" s="650"/>
      <c r="AO715" s="650"/>
      <c r="AP715" s="650"/>
      <c r="AQ715" s="650"/>
      <c r="AR715" s="650"/>
      <c r="AS715" s="650"/>
      <c r="AT715" s="650"/>
      <c r="AU715" s="650"/>
      <c r="AV715" s="650"/>
      <c r="AW715" s="650"/>
      <c r="AX715" s="650"/>
      <c r="AY715" s="650"/>
    </row>
    <row r="716" ht="21.75" customHeight="1">
      <c r="A716" s="650"/>
      <c r="B716" s="650"/>
      <c r="C716" s="650"/>
      <c r="D716" s="650"/>
      <c r="E716" s="650"/>
      <c r="F716" s="650"/>
      <c r="G716" s="650"/>
      <c r="H716" s="650"/>
      <c r="I716" s="650"/>
      <c r="J716" s="650"/>
      <c r="K716" s="650"/>
      <c r="L716" s="650"/>
      <c r="M716" s="650"/>
      <c r="N716" s="650"/>
      <c r="O716" s="650"/>
      <c r="P716" s="650"/>
      <c r="Q716" s="650"/>
      <c r="R716" s="650"/>
      <c r="S716" s="650"/>
      <c r="T716" s="650"/>
      <c r="U716" s="650"/>
      <c r="V716" s="650"/>
      <c r="W716" s="650"/>
      <c r="X716" s="650"/>
      <c r="Y716" s="650"/>
      <c r="Z716" s="650"/>
      <c r="AA716" s="650"/>
      <c r="AB716" s="650"/>
      <c r="AC716" s="650"/>
      <c r="AD716" s="650"/>
      <c r="AE716" s="650"/>
      <c r="AF716" s="650"/>
      <c r="AG716" s="650"/>
      <c r="AH716" s="650"/>
      <c r="AI716" s="650"/>
      <c r="AJ716" s="650"/>
      <c r="AK716" s="650"/>
      <c r="AL716" s="650"/>
      <c r="AM716" s="650"/>
      <c r="AN716" s="650"/>
      <c r="AO716" s="650"/>
      <c r="AP716" s="650"/>
      <c r="AQ716" s="650"/>
      <c r="AR716" s="650"/>
      <c r="AS716" s="650"/>
      <c r="AT716" s="650"/>
      <c r="AU716" s="650"/>
      <c r="AV716" s="650"/>
      <c r="AW716" s="650"/>
      <c r="AX716" s="650"/>
      <c r="AY716" s="650"/>
    </row>
    <row r="717" ht="21.75" customHeight="1">
      <c r="A717" s="650"/>
      <c r="B717" s="650"/>
      <c r="C717" s="650"/>
      <c r="D717" s="650"/>
      <c r="E717" s="650"/>
      <c r="F717" s="650"/>
      <c r="G717" s="650"/>
      <c r="H717" s="650"/>
      <c r="I717" s="650"/>
      <c r="J717" s="650"/>
      <c r="K717" s="650"/>
      <c r="L717" s="650"/>
      <c r="M717" s="650"/>
      <c r="N717" s="650"/>
      <c r="O717" s="650"/>
      <c r="P717" s="650"/>
      <c r="Q717" s="650"/>
      <c r="R717" s="650"/>
      <c r="S717" s="650"/>
      <c r="T717" s="650"/>
      <c r="U717" s="650"/>
      <c r="V717" s="650"/>
      <c r="W717" s="650"/>
      <c r="X717" s="650"/>
      <c r="Y717" s="650"/>
      <c r="Z717" s="650"/>
      <c r="AA717" s="650"/>
      <c r="AB717" s="650"/>
      <c r="AC717" s="650"/>
      <c r="AD717" s="650"/>
      <c r="AE717" s="650"/>
      <c r="AF717" s="650"/>
      <c r="AG717" s="650"/>
      <c r="AH717" s="650"/>
      <c r="AI717" s="650"/>
      <c r="AJ717" s="650"/>
      <c r="AK717" s="650"/>
      <c r="AL717" s="650"/>
      <c r="AM717" s="650"/>
      <c r="AN717" s="650"/>
      <c r="AO717" s="650"/>
      <c r="AP717" s="650"/>
      <c r="AQ717" s="650"/>
      <c r="AR717" s="650"/>
      <c r="AS717" s="650"/>
      <c r="AT717" s="650"/>
      <c r="AU717" s="650"/>
      <c r="AV717" s="650"/>
      <c r="AW717" s="650"/>
      <c r="AX717" s="650"/>
      <c r="AY717" s="650"/>
    </row>
    <row r="718" ht="21.75" customHeight="1">
      <c r="A718" s="650"/>
      <c r="B718" s="650"/>
      <c r="C718" s="650"/>
      <c r="D718" s="650"/>
      <c r="E718" s="650"/>
      <c r="F718" s="650"/>
      <c r="G718" s="650"/>
      <c r="H718" s="650"/>
      <c r="I718" s="650"/>
      <c r="J718" s="650"/>
      <c r="K718" s="650"/>
      <c r="L718" s="650"/>
      <c r="M718" s="650"/>
      <c r="N718" s="650"/>
      <c r="O718" s="650"/>
      <c r="P718" s="650"/>
      <c r="Q718" s="650"/>
      <c r="R718" s="650"/>
      <c r="S718" s="650"/>
      <c r="T718" s="650"/>
      <c r="U718" s="650"/>
      <c r="V718" s="650"/>
      <c r="W718" s="650"/>
      <c r="X718" s="650"/>
      <c r="Y718" s="650"/>
      <c r="Z718" s="650"/>
      <c r="AA718" s="650"/>
      <c r="AB718" s="650"/>
      <c r="AC718" s="650"/>
      <c r="AD718" s="650"/>
      <c r="AE718" s="650"/>
      <c r="AF718" s="650"/>
      <c r="AG718" s="650"/>
      <c r="AH718" s="650"/>
      <c r="AI718" s="650"/>
      <c r="AJ718" s="650"/>
      <c r="AK718" s="650"/>
      <c r="AL718" s="650"/>
      <c r="AM718" s="650"/>
      <c r="AN718" s="650"/>
      <c r="AO718" s="650"/>
      <c r="AP718" s="650"/>
      <c r="AQ718" s="650"/>
      <c r="AR718" s="650"/>
      <c r="AS718" s="650"/>
      <c r="AT718" s="650"/>
      <c r="AU718" s="650"/>
      <c r="AV718" s="650"/>
      <c r="AW718" s="650"/>
      <c r="AX718" s="650"/>
      <c r="AY718" s="650"/>
    </row>
    <row r="719" ht="21.75" customHeight="1">
      <c r="A719" s="650"/>
      <c r="B719" s="650"/>
      <c r="C719" s="650"/>
      <c r="D719" s="650"/>
      <c r="E719" s="650"/>
      <c r="F719" s="650"/>
      <c r="G719" s="650"/>
      <c r="H719" s="650"/>
      <c r="I719" s="650"/>
      <c r="J719" s="650"/>
      <c r="K719" s="650"/>
      <c r="L719" s="650"/>
      <c r="M719" s="650"/>
      <c r="N719" s="650"/>
      <c r="O719" s="650"/>
      <c r="P719" s="650"/>
      <c r="Q719" s="650"/>
      <c r="R719" s="650"/>
      <c r="S719" s="650"/>
      <c r="T719" s="650"/>
      <c r="U719" s="650"/>
      <c r="V719" s="650"/>
      <c r="W719" s="650"/>
      <c r="X719" s="650"/>
      <c r="Y719" s="650"/>
      <c r="Z719" s="650"/>
      <c r="AA719" s="650"/>
      <c r="AB719" s="650"/>
      <c r="AC719" s="650"/>
      <c r="AD719" s="650"/>
      <c r="AE719" s="650"/>
      <c r="AF719" s="650"/>
      <c r="AG719" s="650"/>
      <c r="AH719" s="650"/>
      <c r="AI719" s="650"/>
      <c r="AJ719" s="650"/>
      <c r="AK719" s="650"/>
      <c r="AL719" s="650"/>
      <c r="AM719" s="650"/>
      <c r="AN719" s="650"/>
      <c r="AO719" s="650"/>
      <c r="AP719" s="650"/>
      <c r="AQ719" s="650"/>
      <c r="AR719" s="650"/>
      <c r="AS719" s="650"/>
      <c r="AT719" s="650"/>
      <c r="AU719" s="650"/>
      <c r="AV719" s="650"/>
      <c r="AW719" s="650"/>
      <c r="AX719" s="650"/>
      <c r="AY719" s="650"/>
    </row>
    <row r="720" ht="21.75" customHeight="1">
      <c r="A720" s="650"/>
      <c r="B720" s="650"/>
      <c r="C720" s="650"/>
      <c r="D720" s="650"/>
      <c r="E720" s="650"/>
      <c r="F720" s="650"/>
      <c r="G720" s="650"/>
      <c r="H720" s="650"/>
      <c r="I720" s="650"/>
      <c r="J720" s="650"/>
      <c r="K720" s="650"/>
      <c r="L720" s="650"/>
      <c r="M720" s="650"/>
      <c r="N720" s="650"/>
      <c r="O720" s="650"/>
      <c r="P720" s="650"/>
      <c r="Q720" s="650"/>
      <c r="R720" s="650"/>
      <c r="S720" s="650"/>
      <c r="T720" s="650"/>
      <c r="U720" s="650"/>
      <c r="V720" s="650"/>
      <c r="W720" s="650"/>
      <c r="X720" s="650"/>
      <c r="Y720" s="650"/>
      <c r="Z720" s="650"/>
      <c r="AA720" s="650"/>
      <c r="AB720" s="650"/>
      <c r="AC720" s="650"/>
      <c r="AD720" s="650"/>
      <c r="AE720" s="650"/>
      <c r="AF720" s="650"/>
      <c r="AG720" s="650"/>
      <c r="AH720" s="650"/>
      <c r="AI720" s="650"/>
      <c r="AJ720" s="650"/>
      <c r="AK720" s="650"/>
      <c r="AL720" s="650"/>
      <c r="AM720" s="650"/>
      <c r="AN720" s="650"/>
      <c r="AO720" s="650"/>
      <c r="AP720" s="650"/>
      <c r="AQ720" s="650"/>
      <c r="AR720" s="650"/>
      <c r="AS720" s="650"/>
      <c r="AT720" s="650"/>
      <c r="AU720" s="650"/>
      <c r="AV720" s="650"/>
      <c r="AW720" s="650"/>
      <c r="AX720" s="650"/>
      <c r="AY720" s="650"/>
    </row>
    <row r="721" ht="21.75" customHeight="1">
      <c r="A721" s="650"/>
      <c r="B721" s="650"/>
      <c r="C721" s="650"/>
      <c r="D721" s="650"/>
      <c r="E721" s="650"/>
      <c r="F721" s="650"/>
      <c r="G721" s="650"/>
      <c r="H721" s="650"/>
      <c r="I721" s="650"/>
      <c r="J721" s="650"/>
      <c r="K721" s="650"/>
      <c r="L721" s="650"/>
      <c r="M721" s="650"/>
      <c r="N721" s="650"/>
      <c r="O721" s="650"/>
      <c r="P721" s="650"/>
      <c r="Q721" s="650"/>
      <c r="R721" s="650"/>
      <c r="S721" s="650"/>
      <c r="T721" s="650"/>
      <c r="U721" s="650"/>
      <c r="V721" s="650"/>
      <c r="W721" s="650"/>
      <c r="X721" s="650"/>
      <c r="Y721" s="650"/>
      <c r="Z721" s="650"/>
      <c r="AA721" s="650"/>
      <c r="AB721" s="650"/>
      <c r="AC721" s="650"/>
      <c r="AD721" s="650"/>
      <c r="AE721" s="650"/>
      <c r="AF721" s="650"/>
      <c r="AG721" s="650"/>
      <c r="AH721" s="650"/>
      <c r="AI721" s="650"/>
      <c r="AJ721" s="650"/>
      <c r="AK721" s="650"/>
      <c r="AL721" s="650"/>
      <c r="AM721" s="650"/>
      <c r="AN721" s="650"/>
      <c r="AO721" s="650"/>
      <c r="AP721" s="650"/>
      <c r="AQ721" s="650"/>
      <c r="AR721" s="650"/>
      <c r="AS721" s="650"/>
      <c r="AT721" s="650"/>
      <c r="AU721" s="650"/>
      <c r="AV721" s="650"/>
      <c r="AW721" s="650"/>
      <c r="AX721" s="650"/>
      <c r="AY721" s="650"/>
    </row>
    <row r="722" ht="21.75" customHeight="1">
      <c r="A722" s="650"/>
      <c r="B722" s="650"/>
      <c r="C722" s="650"/>
      <c r="D722" s="650"/>
      <c r="E722" s="650"/>
      <c r="F722" s="650"/>
      <c r="G722" s="650"/>
      <c r="H722" s="650"/>
      <c r="I722" s="650"/>
      <c r="J722" s="650"/>
      <c r="K722" s="650"/>
      <c r="L722" s="650"/>
      <c r="M722" s="650"/>
      <c r="N722" s="650"/>
      <c r="O722" s="650"/>
      <c r="P722" s="650"/>
      <c r="Q722" s="650"/>
      <c r="R722" s="650"/>
      <c r="S722" s="650"/>
      <c r="T722" s="650"/>
      <c r="U722" s="650"/>
      <c r="V722" s="650"/>
      <c r="W722" s="650"/>
      <c r="X722" s="650"/>
      <c r="Y722" s="650"/>
      <c r="Z722" s="650"/>
      <c r="AA722" s="650"/>
      <c r="AB722" s="650"/>
      <c r="AC722" s="650"/>
      <c r="AD722" s="650"/>
      <c r="AE722" s="650"/>
      <c r="AF722" s="650"/>
      <c r="AG722" s="650"/>
      <c r="AH722" s="650"/>
      <c r="AI722" s="650"/>
      <c r="AJ722" s="650"/>
      <c r="AK722" s="650"/>
      <c r="AL722" s="650"/>
      <c r="AM722" s="650"/>
      <c r="AN722" s="650"/>
      <c r="AO722" s="650"/>
      <c r="AP722" s="650"/>
      <c r="AQ722" s="650"/>
      <c r="AR722" s="650"/>
      <c r="AS722" s="650"/>
      <c r="AT722" s="650"/>
      <c r="AU722" s="650"/>
      <c r="AV722" s="650"/>
      <c r="AW722" s="650"/>
      <c r="AX722" s="650"/>
      <c r="AY722" s="650"/>
    </row>
    <row r="723" ht="21.75" customHeight="1">
      <c r="A723" s="650"/>
      <c r="B723" s="650"/>
      <c r="C723" s="650"/>
      <c r="D723" s="650"/>
      <c r="E723" s="650"/>
      <c r="F723" s="650"/>
      <c r="G723" s="650"/>
      <c r="H723" s="650"/>
      <c r="I723" s="650"/>
      <c r="J723" s="650"/>
      <c r="K723" s="650"/>
      <c r="L723" s="650"/>
      <c r="M723" s="650"/>
      <c r="N723" s="650"/>
      <c r="O723" s="650"/>
      <c r="P723" s="650"/>
      <c r="Q723" s="650"/>
      <c r="R723" s="650"/>
      <c r="S723" s="650"/>
      <c r="T723" s="650"/>
      <c r="U723" s="650"/>
      <c r="V723" s="650"/>
      <c r="W723" s="650"/>
      <c r="X723" s="650"/>
      <c r="Y723" s="650"/>
      <c r="Z723" s="650"/>
      <c r="AA723" s="650"/>
      <c r="AB723" s="650"/>
      <c r="AC723" s="650"/>
      <c r="AD723" s="650"/>
      <c r="AE723" s="650"/>
      <c r="AF723" s="650"/>
      <c r="AG723" s="650"/>
      <c r="AH723" s="650"/>
      <c r="AI723" s="650"/>
      <c r="AJ723" s="650"/>
      <c r="AK723" s="650"/>
      <c r="AL723" s="650"/>
      <c r="AM723" s="650"/>
      <c r="AN723" s="650"/>
      <c r="AO723" s="650"/>
      <c r="AP723" s="650"/>
      <c r="AQ723" s="650"/>
      <c r="AR723" s="650"/>
      <c r="AS723" s="650"/>
      <c r="AT723" s="650"/>
      <c r="AU723" s="650"/>
      <c r="AV723" s="650"/>
      <c r="AW723" s="650"/>
      <c r="AX723" s="650"/>
      <c r="AY723" s="650"/>
    </row>
    <row r="724" ht="21.75" customHeight="1">
      <c r="A724" s="650"/>
      <c r="B724" s="650"/>
      <c r="C724" s="650"/>
      <c r="D724" s="650"/>
      <c r="E724" s="650"/>
      <c r="F724" s="650"/>
      <c r="G724" s="650"/>
      <c r="H724" s="650"/>
      <c r="I724" s="650"/>
      <c r="J724" s="650"/>
      <c r="K724" s="650"/>
      <c r="L724" s="650"/>
      <c r="M724" s="650"/>
      <c r="N724" s="650"/>
      <c r="O724" s="650"/>
      <c r="P724" s="650"/>
      <c r="Q724" s="650"/>
      <c r="R724" s="650"/>
      <c r="S724" s="650"/>
      <c r="T724" s="650"/>
      <c r="U724" s="650"/>
      <c r="V724" s="650"/>
      <c r="W724" s="650"/>
      <c r="X724" s="650"/>
      <c r="Y724" s="650"/>
      <c r="Z724" s="650"/>
      <c r="AA724" s="650"/>
      <c r="AB724" s="650"/>
      <c r="AC724" s="650"/>
      <c r="AD724" s="650"/>
      <c r="AE724" s="650"/>
      <c r="AF724" s="650"/>
      <c r="AG724" s="650"/>
      <c r="AH724" s="650"/>
      <c r="AI724" s="650"/>
      <c r="AJ724" s="650"/>
      <c r="AK724" s="650"/>
      <c r="AL724" s="650"/>
      <c r="AM724" s="650"/>
      <c r="AN724" s="650"/>
      <c r="AO724" s="650"/>
      <c r="AP724" s="650"/>
      <c r="AQ724" s="650"/>
      <c r="AR724" s="650"/>
      <c r="AS724" s="650"/>
      <c r="AT724" s="650"/>
      <c r="AU724" s="650"/>
      <c r="AV724" s="650"/>
      <c r="AW724" s="650"/>
      <c r="AX724" s="650"/>
      <c r="AY724" s="650"/>
    </row>
    <row r="725" ht="21.75" customHeight="1">
      <c r="A725" s="650"/>
      <c r="B725" s="650"/>
      <c r="C725" s="650"/>
      <c r="D725" s="650"/>
      <c r="E725" s="650"/>
      <c r="F725" s="650"/>
      <c r="G725" s="650"/>
      <c r="H725" s="650"/>
      <c r="I725" s="650"/>
      <c r="J725" s="650"/>
      <c r="K725" s="650"/>
      <c r="L725" s="650"/>
      <c r="M725" s="650"/>
      <c r="N725" s="650"/>
      <c r="O725" s="650"/>
      <c r="P725" s="650"/>
      <c r="Q725" s="650"/>
      <c r="R725" s="650"/>
      <c r="S725" s="650"/>
      <c r="T725" s="650"/>
      <c r="U725" s="650"/>
      <c r="V725" s="650"/>
      <c r="W725" s="650"/>
      <c r="X725" s="650"/>
      <c r="Y725" s="650"/>
      <c r="Z725" s="650"/>
      <c r="AA725" s="650"/>
      <c r="AB725" s="650"/>
      <c r="AC725" s="650"/>
      <c r="AD725" s="650"/>
      <c r="AE725" s="650"/>
      <c r="AF725" s="650"/>
      <c r="AG725" s="650"/>
      <c r="AH725" s="650"/>
      <c r="AI725" s="650"/>
      <c r="AJ725" s="650"/>
      <c r="AK725" s="650"/>
      <c r="AL725" s="650"/>
      <c r="AM725" s="650"/>
      <c r="AN725" s="650"/>
      <c r="AO725" s="650"/>
      <c r="AP725" s="650"/>
      <c r="AQ725" s="650"/>
      <c r="AR725" s="650"/>
      <c r="AS725" s="650"/>
      <c r="AT725" s="650"/>
      <c r="AU725" s="650"/>
      <c r="AV725" s="650"/>
      <c r="AW725" s="650"/>
      <c r="AX725" s="650"/>
      <c r="AY725" s="650"/>
    </row>
    <row r="726" ht="21.75" customHeight="1">
      <c r="A726" s="650"/>
      <c r="B726" s="650"/>
      <c r="C726" s="650"/>
      <c r="D726" s="650"/>
      <c r="E726" s="650"/>
      <c r="F726" s="650"/>
      <c r="G726" s="650"/>
      <c r="H726" s="650"/>
      <c r="I726" s="650"/>
      <c r="J726" s="650"/>
      <c r="K726" s="650"/>
      <c r="L726" s="650"/>
      <c r="M726" s="650"/>
      <c r="N726" s="650"/>
      <c r="O726" s="650"/>
      <c r="P726" s="650"/>
      <c r="Q726" s="650"/>
      <c r="R726" s="650"/>
      <c r="S726" s="650"/>
      <c r="T726" s="650"/>
      <c r="U726" s="650"/>
      <c r="V726" s="650"/>
      <c r="W726" s="650"/>
      <c r="X726" s="650"/>
      <c r="Y726" s="650"/>
      <c r="Z726" s="650"/>
      <c r="AA726" s="650"/>
      <c r="AB726" s="650"/>
      <c r="AC726" s="650"/>
      <c r="AD726" s="650"/>
      <c r="AE726" s="650"/>
      <c r="AF726" s="650"/>
      <c r="AG726" s="650"/>
      <c r="AH726" s="650"/>
      <c r="AI726" s="650"/>
      <c r="AJ726" s="650"/>
      <c r="AK726" s="650"/>
      <c r="AL726" s="650"/>
      <c r="AM726" s="650"/>
      <c r="AN726" s="650"/>
      <c r="AO726" s="650"/>
      <c r="AP726" s="650"/>
      <c r="AQ726" s="650"/>
      <c r="AR726" s="650"/>
      <c r="AS726" s="650"/>
      <c r="AT726" s="650"/>
      <c r="AU726" s="650"/>
      <c r="AV726" s="650"/>
      <c r="AW726" s="650"/>
      <c r="AX726" s="650"/>
      <c r="AY726" s="650"/>
    </row>
    <row r="727" ht="21.75" customHeight="1">
      <c r="A727" s="650"/>
      <c r="B727" s="650"/>
      <c r="C727" s="650"/>
      <c r="D727" s="650"/>
      <c r="E727" s="650"/>
      <c r="F727" s="650"/>
      <c r="G727" s="650"/>
      <c r="H727" s="650"/>
      <c r="I727" s="650"/>
      <c r="J727" s="650"/>
      <c r="K727" s="650"/>
      <c r="L727" s="650"/>
      <c r="M727" s="650"/>
      <c r="N727" s="650"/>
      <c r="O727" s="650"/>
      <c r="P727" s="650"/>
      <c r="Q727" s="650"/>
      <c r="R727" s="650"/>
      <c r="S727" s="650"/>
      <c r="T727" s="650"/>
      <c r="U727" s="650"/>
      <c r="V727" s="650"/>
      <c r="W727" s="650"/>
      <c r="X727" s="650"/>
      <c r="Y727" s="650"/>
      <c r="Z727" s="650"/>
      <c r="AA727" s="650"/>
      <c r="AB727" s="650"/>
      <c r="AC727" s="650"/>
      <c r="AD727" s="650"/>
      <c r="AE727" s="650"/>
      <c r="AF727" s="650"/>
      <c r="AG727" s="650"/>
      <c r="AH727" s="650"/>
      <c r="AI727" s="650"/>
      <c r="AJ727" s="650"/>
      <c r="AK727" s="650"/>
      <c r="AL727" s="650"/>
      <c r="AM727" s="650"/>
      <c r="AN727" s="650"/>
      <c r="AO727" s="650"/>
      <c r="AP727" s="650"/>
      <c r="AQ727" s="650"/>
      <c r="AR727" s="650"/>
      <c r="AS727" s="650"/>
      <c r="AT727" s="650"/>
      <c r="AU727" s="650"/>
      <c r="AV727" s="650"/>
      <c r="AW727" s="650"/>
      <c r="AX727" s="650"/>
      <c r="AY727" s="650"/>
    </row>
    <row r="728" ht="21.75" customHeight="1">
      <c r="A728" s="650"/>
      <c r="B728" s="650"/>
      <c r="C728" s="650"/>
      <c r="D728" s="650"/>
      <c r="E728" s="650"/>
      <c r="F728" s="650"/>
      <c r="G728" s="650"/>
      <c r="H728" s="650"/>
      <c r="I728" s="650"/>
      <c r="J728" s="650"/>
      <c r="K728" s="650"/>
      <c r="L728" s="650"/>
      <c r="M728" s="650"/>
      <c r="N728" s="650"/>
      <c r="O728" s="650"/>
      <c r="P728" s="650"/>
      <c r="Q728" s="650"/>
      <c r="R728" s="650"/>
      <c r="S728" s="650"/>
      <c r="T728" s="650"/>
      <c r="U728" s="650"/>
      <c r="V728" s="650"/>
      <c r="W728" s="650"/>
      <c r="X728" s="650"/>
      <c r="Y728" s="650"/>
      <c r="Z728" s="650"/>
      <c r="AA728" s="650"/>
      <c r="AB728" s="650"/>
      <c r="AC728" s="650"/>
      <c r="AD728" s="650"/>
      <c r="AE728" s="650"/>
      <c r="AF728" s="650"/>
      <c r="AG728" s="650"/>
      <c r="AH728" s="650"/>
      <c r="AI728" s="650"/>
      <c r="AJ728" s="650"/>
      <c r="AK728" s="650"/>
      <c r="AL728" s="650"/>
      <c r="AM728" s="650"/>
      <c r="AN728" s="650"/>
      <c r="AO728" s="650"/>
      <c r="AP728" s="650"/>
      <c r="AQ728" s="650"/>
      <c r="AR728" s="650"/>
      <c r="AS728" s="650"/>
      <c r="AT728" s="650"/>
      <c r="AU728" s="650"/>
      <c r="AV728" s="650"/>
      <c r="AW728" s="650"/>
      <c r="AX728" s="650"/>
      <c r="AY728" s="650"/>
    </row>
    <row r="729" ht="21.75" customHeight="1">
      <c r="A729" s="650"/>
      <c r="B729" s="650"/>
      <c r="C729" s="650"/>
      <c r="D729" s="650"/>
      <c r="E729" s="650"/>
      <c r="F729" s="650"/>
      <c r="G729" s="650"/>
      <c r="H729" s="650"/>
      <c r="I729" s="650"/>
      <c r="J729" s="650"/>
      <c r="K729" s="650"/>
      <c r="L729" s="650"/>
      <c r="M729" s="650"/>
      <c r="N729" s="650"/>
      <c r="O729" s="650"/>
      <c r="P729" s="650"/>
      <c r="Q729" s="650"/>
      <c r="R729" s="650"/>
      <c r="S729" s="650"/>
      <c r="T729" s="650"/>
      <c r="U729" s="650"/>
      <c r="V729" s="650"/>
      <c r="W729" s="650"/>
      <c r="X729" s="650"/>
      <c r="Y729" s="650"/>
      <c r="Z729" s="650"/>
      <c r="AA729" s="650"/>
      <c r="AB729" s="650"/>
      <c r="AC729" s="650"/>
      <c r="AD729" s="650"/>
      <c r="AE729" s="650"/>
      <c r="AF729" s="650"/>
      <c r="AG729" s="650"/>
      <c r="AH729" s="650"/>
      <c r="AI729" s="650"/>
      <c r="AJ729" s="650"/>
      <c r="AK729" s="650"/>
      <c r="AL729" s="650"/>
      <c r="AM729" s="650"/>
      <c r="AN729" s="650"/>
      <c r="AO729" s="650"/>
      <c r="AP729" s="650"/>
      <c r="AQ729" s="650"/>
      <c r="AR729" s="650"/>
      <c r="AS729" s="650"/>
      <c r="AT729" s="650"/>
      <c r="AU729" s="650"/>
      <c r="AV729" s="650"/>
      <c r="AW729" s="650"/>
      <c r="AX729" s="650"/>
      <c r="AY729" s="650"/>
    </row>
    <row r="730" ht="21.75" customHeight="1">
      <c r="A730" s="650"/>
      <c r="B730" s="650"/>
      <c r="C730" s="650"/>
      <c r="D730" s="650"/>
      <c r="E730" s="650"/>
      <c r="F730" s="650"/>
      <c r="G730" s="650"/>
      <c r="H730" s="650"/>
      <c r="I730" s="650"/>
      <c r="J730" s="650"/>
      <c r="K730" s="650"/>
      <c r="L730" s="650"/>
      <c r="M730" s="650"/>
      <c r="N730" s="650"/>
      <c r="O730" s="650"/>
      <c r="P730" s="650"/>
      <c r="Q730" s="650"/>
      <c r="R730" s="650"/>
      <c r="S730" s="650"/>
      <c r="T730" s="650"/>
      <c r="U730" s="650"/>
      <c r="V730" s="650"/>
      <c r="W730" s="650"/>
      <c r="X730" s="650"/>
      <c r="Y730" s="650"/>
      <c r="Z730" s="650"/>
      <c r="AA730" s="650"/>
      <c r="AB730" s="650"/>
      <c r="AC730" s="650"/>
      <c r="AD730" s="650"/>
      <c r="AE730" s="650"/>
      <c r="AF730" s="650"/>
      <c r="AG730" s="650"/>
      <c r="AH730" s="650"/>
      <c r="AI730" s="650"/>
      <c r="AJ730" s="650"/>
      <c r="AK730" s="650"/>
      <c r="AL730" s="650"/>
      <c r="AM730" s="650"/>
      <c r="AN730" s="650"/>
      <c r="AO730" s="650"/>
      <c r="AP730" s="650"/>
      <c r="AQ730" s="650"/>
      <c r="AR730" s="650"/>
      <c r="AS730" s="650"/>
      <c r="AT730" s="650"/>
      <c r="AU730" s="650"/>
      <c r="AV730" s="650"/>
      <c r="AW730" s="650"/>
      <c r="AX730" s="650"/>
      <c r="AY730" s="650"/>
    </row>
    <row r="731" ht="21.75" customHeight="1">
      <c r="A731" s="650"/>
      <c r="B731" s="650"/>
      <c r="C731" s="650"/>
      <c r="D731" s="650"/>
      <c r="E731" s="650"/>
      <c r="F731" s="650"/>
      <c r="G731" s="650"/>
      <c r="H731" s="650"/>
      <c r="I731" s="650"/>
      <c r="J731" s="650"/>
      <c r="K731" s="650"/>
      <c r="L731" s="650"/>
      <c r="M731" s="650"/>
      <c r="N731" s="650"/>
      <c r="O731" s="650"/>
      <c r="P731" s="650"/>
      <c r="Q731" s="650"/>
      <c r="R731" s="650"/>
      <c r="S731" s="650"/>
      <c r="T731" s="650"/>
      <c r="U731" s="650"/>
      <c r="V731" s="650"/>
      <c r="W731" s="650"/>
      <c r="X731" s="650"/>
      <c r="Y731" s="650"/>
      <c r="Z731" s="650"/>
      <c r="AA731" s="650"/>
      <c r="AB731" s="650"/>
      <c r="AC731" s="650"/>
      <c r="AD731" s="650"/>
      <c r="AE731" s="650"/>
      <c r="AF731" s="650"/>
      <c r="AG731" s="650"/>
      <c r="AH731" s="650"/>
      <c r="AI731" s="650"/>
      <c r="AJ731" s="650"/>
      <c r="AK731" s="650"/>
      <c r="AL731" s="650"/>
      <c r="AM731" s="650"/>
      <c r="AN731" s="650"/>
      <c r="AO731" s="650"/>
      <c r="AP731" s="650"/>
      <c r="AQ731" s="650"/>
      <c r="AR731" s="650"/>
      <c r="AS731" s="650"/>
      <c r="AT731" s="650"/>
      <c r="AU731" s="650"/>
      <c r="AV731" s="650"/>
      <c r="AW731" s="650"/>
      <c r="AX731" s="650"/>
      <c r="AY731" s="650"/>
    </row>
    <row r="732" ht="21.75" customHeight="1">
      <c r="A732" s="650"/>
      <c r="B732" s="650"/>
      <c r="C732" s="650"/>
      <c r="D732" s="650"/>
      <c r="E732" s="650"/>
      <c r="F732" s="650"/>
      <c r="G732" s="650"/>
      <c r="H732" s="650"/>
      <c r="I732" s="650"/>
      <c r="J732" s="650"/>
      <c r="K732" s="650"/>
      <c r="L732" s="650"/>
      <c r="M732" s="650"/>
      <c r="N732" s="650"/>
      <c r="O732" s="650"/>
      <c r="P732" s="650"/>
      <c r="Q732" s="650"/>
      <c r="R732" s="650"/>
      <c r="S732" s="650"/>
      <c r="T732" s="650"/>
      <c r="U732" s="650"/>
      <c r="V732" s="650"/>
      <c r="W732" s="650"/>
      <c r="X732" s="650"/>
      <c r="Y732" s="650"/>
      <c r="Z732" s="650"/>
      <c r="AA732" s="650"/>
      <c r="AB732" s="650"/>
      <c r="AC732" s="650"/>
      <c r="AD732" s="650"/>
      <c r="AE732" s="650"/>
      <c r="AF732" s="650"/>
      <c r="AG732" s="650"/>
      <c r="AH732" s="650"/>
      <c r="AI732" s="650"/>
      <c r="AJ732" s="650"/>
      <c r="AK732" s="650"/>
      <c r="AL732" s="650"/>
      <c r="AM732" s="650"/>
      <c r="AN732" s="650"/>
      <c r="AO732" s="650"/>
      <c r="AP732" s="650"/>
      <c r="AQ732" s="650"/>
      <c r="AR732" s="650"/>
      <c r="AS732" s="650"/>
      <c r="AT732" s="650"/>
      <c r="AU732" s="650"/>
      <c r="AV732" s="650"/>
      <c r="AW732" s="650"/>
      <c r="AX732" s="650"/>
      <c r="AY732" s="650"/>
    </row>
    <row r="733" ht="21.75" customHeight="1">
      <c r="A733" s="650"/>
      <c r="B733" s="650"/>
      <c r="C733" s="650"/>
      <c r="D733" s="650"/>
      <c r="E733" s="650"/>
      <c r="F733" s="650"/>
      <c r="G733" s="650"/>
      <c r="H733" s="650"/>
      <c r="I733" s="650"/>
      <c r="J733" s="650"/>
      <c r="K733" s="650"/>
      <c r="L733" s="650"/>
      <c r="M733" s="650"/>
      <c r="N733" s="650"/>
      <c r="O733" s="650"/>
      <c r="P733" s="650"/>
      <c r="Q733" s="650"/>
      <c r="R733" s="650"/>
      <c r="S733" s="650"/>
      <c r="T733" s="650"/>
      <c r="U733" s="650"/>
      <c r="V733" s="650"/>
      <c r="W733" s="650"/>
      <c r="X733" s="650"/>
      <c r="Y733" s="650"/>
      <c r="Z733" s="650"/>
      <c r="AA733" s="650"/>
      <c r="AB733" s="650"/>
      <c r="AC733" s="650"/>
      <c r="AD733" s="650"/>
      <c r="AE733" s="650"/>
      <c r="AF733" s="650"/>
      <c r="AG733" s="650"/>
      <c r="AH733" s="650"/>
      <c r="AI733" s="650"/>
      <c r="AJ733" s="650"/>
      <c r="AK733" s="650"/>
      <c r="AL733" s="650"/>
      <c r="AM733" s="650"/>
      <c r="AN733" s="650"/>
      <c r="AO733" s="650"/>
      <c r="AP733" s="650"/>
      <c r="AQ733" s="650"/>
      <c r="AR733" s="650"/>
      <c r="AS733" s="650"/>
      <c r="AT733" s="650"/>
      <c r="AU733" s="650"/>
      <c r="AV733" s="650"/>
      <c r="AW733" s="650"/>
      <c r="AX733" s="650"/>
      <c r="AY733" s="650"/>
    </row>
    <row r="734" ht="21.75" customHeight="1">
      <c r="A734" s="650"/>
      <c r="B734" s="650"/>
      <c r="C734" s="650"/>
      <c r="D734" s="650"/>
      <c r="E734" s="650"/>
      <c r="F734" s="650"/>
      <c r="G734" s="650"/>
      <c r="H734" s="650"/>
      <c r="I734" s="650"/>
      <c r="J734" s="650"/>
      <c r="K734" s="650"/>
      <c r="L734" s="650"/>
      <c r="M734" s="650"/>
      <c r="N734" s="650"/>
      <c r="O734" s="650"/>
      <c r="P734" s="650"/>
      <c r="Q734" s="650"/>
      <c r="R734" s="650"/>
      <c r="S734" s="650"/>
      <c r="T734" s="650"/>
      <c r="U734" s="650"/>
      <c r="V734" s="650"/>
      <c r="W734" s="650"/>
      <c r="X734" s="650"/>
      <c r="Y734" s="650"/>
      <c r="Z734" s="650"/>
      <c r="AA734" s="650"/>
      <c r="AB734" s="650"/>
      <c r="AC734" s="650"/>
      <c r="AD734" s="650"/>
      <c r="AE734" s="650"/>
      <c r="AF734" s="650"/>
      <c r="AG734" s="650"/>
      <c r="AH734" s="650"/>
      <c r="AI734" s="650"/>
      <c r="AJ734" s="650"/>
      <c r="AK734" s="650"/>
      <c r="AL734" s="650"/>
      <c r="AM734" s="650"/>
      <c r="AN734" s="650"/>
      <c r="AO734" s="650"/>
      <c r="AP734" s="650"/>
      <c r="AQ734" s="650"/>
      <c r="AR734" s="650"/>
      <c r="AS734" s="650"/>
      <c r="AT734" s="650"/>
      <c r="AU734" s="650"/>
      <c r="AV734" s="650"/>
      <c r="AW734" s="650"/>
      <c r="AX734" s="650"/>
      <c r="AY734" s="650"/>
    </row>
    <row r="735" ht="21.75" customHeight="1">
      <c r="A735" s="650"/>
      <c r="B735" s="650"/>
      <c r="C735" s="650"/>
      <c r="D735" s="650"/>
      <c r="E735" s="650"/>
      <c r="F735" s="650"/>
      <c r="G735" s="650"/>
      <c r="H735" s="650"/>
      <c r="I735" s="650"/>
      <c r="J735" s="650"/>
      <c r="K735" s="650"/>
      <c r="L735" s="650"/>
      <c r="M735" s="650"/>
      <c r="N735" s="650"/>
      <c r="O735" s="650"/>
      <c r="P735" s="650"/>
      <c r="Q735" s="650"/>
      <c r="R735" s="650"/>
      <c r="S735" s="650"/>
      <c r="T735" s="650"/>
      <c r="U735" s="650"/>
      <c r="V735" s="650"/>
      <c r="W735" s="650"/>
      <c r="X735" s="650"/>
      <c r="Y735" s="650"/>
      <c r="Z735" s="650"/>
      <c r="AA735" s="650"/>
      <c r="AB735" s="650"/>
      <c r="AC735" s="650"/>
      <c r="AD735" s="650"/>
      <c r="AE735" s="650"/>
      <c r="AF735" s="650"/>
      <c r="AG735" s="650"/>
      <c r="AH735" s="650"/>
      <c r="AI735" s="650"/>
      <c r="AJ735" s="650"/>
      <c r="AK735" s="650"/>
      <c r="AL735" s="650"/>
      <c r="AM735" s="650"/>
      <c r="AN735" s="650"/>
      <c r="AO735" s="650"/>
      <c r="AP735" s="650"/>
      <c r="AQ735" s="650"/>
      <c r="AR735" s="650"/>
      <c r="AS735" s="650"/>
      <c r="AT735" s="650"/>
      <c r="AU735" s="650"/>
      <c r="AV735" s="650"/>
      <c r="AW735" s="650"/>
      <c r="AX735" s="650"/>
      <c r="AY735" s="650"/>
    </row>
    <row r="736" ht="21.75" customHeight="1">
      <c r="A736" s="650"/>
      <c r="B736" s="650"/>
      <c r="C736" s="650"/>
      <c r="D736" s="650"/>
      <c r="E736" s="650"/>
      <c r="F736" s="650"/>
      <c r="G736" s="650"/>
      <c r="H736" s="650"/>
      <c r="I736" s="650"/>
      <c r="J736" s="650"/>
      <c r="K736" s="650"/>
      <c r="L736" s="650"/>
      <c r="M736" s="650"/>
      <c r="N736" s="650"/>
      <c r="O736" s="650"/>
      <c r="P736" s="650"/>
      <c r="Q736" s="650"/>
      <c r="R736" s="650"/>
      <c r="S736" s="650"/>
      <c r="T736" s="650"/>
      <c r="U736" s="650"/>
      <c r="V736" s="650"/>
      <c r="W736" s="650"/>
      <c r="X736" s="650"/>
      <c r="Y736" s="650"/>
      <c r="Z736" s="650"/>
      <c r="AA736" s="650"/>
      <c r="AB736" s="650"/>
      <c r="AC736" s="650"/>
      <c r="AD736" s="650"/>
      <c r="AE736" s="650"/>
      <c r="AF736" s="650"/>
      <c r="AG736" s="650"/>
      <c r="AH736" s="650"/>
      <c r="AI736" s="650"/>
      <c r="AJ736" s="650"/>
      <c r="AK736" s="650"/>
      <c r="AL736" s="650"/>
      <c r="AM736" s="650"/>
      <c r="AN736" s="650"/>
      <c r="AO736" s="650"/>
      <c r="AP736" s="650"/>
      <c r="AQ736" s="650"/>
      <c r="AR736" s="650"/>
      <c r="AS736" s="650"/>
      <c r="AT736" s="650"/>
      <c r="AU736" s="650"/>
      <c r="AV736" s="650"/>
      <c r="AW736" s="650"/>
      <c r="AX736" s="650"/>
      <c r="AY736" s="650"/>
    </row>
    <row r="737" ht="21.75" customHeight="1">
      <c r="A737" s="650"/>
      <c r="B737" s="650"/>
      <c r="C737" s="650"/>
      <c r="D737" s="650"/>
      <c r="E737" s="650"/>
      <c r="F737" s="650"/>
      <c r="G737" s="650"/>
      <c r="H737" s="650"/>
      <c r="I737" s="650"/>
      <c r="J737" s="650"/>
      <c r="K737" s="650"/>
      <c r="L737" s="650"/>
      <c r="M737" s="650"/>
      <c r="N737" s="650"/>
      <c r="O737" s="650"/>
      <c r="P737" s="650"/>
      <c r="Q737" s="650"/>
      <c r="R737" s="650"/>
      <c r="S737" s="650"/>
      <c r="T737" s="650"/>
      <c r="U737" s="650"/>
      <c r="V737" s="650"/>
      <c r="W737" s="650"/>
      <c r="X737" s="650"/>
      <c r="Y737" s="650"/>
      <c r="Z737" s="650"/>
      <c r="AA737" s="650"/>
      <c r="AB737" s="650"/>
      <c r="AC737" s="650"/>
      <c r="AD737" s="650"/>
      <c r="AE737" s="650"/>
      <c r="AF737" s="650"/>
      <c r="AG737" s="650"/>
      <c r="AH737" s="650"/>
      <c r="AI737" s="650"/>
      <c r="AJ737" s="650"/>
      <c r="AK737" s="650"/>
      <c r="AL737" s="650"/>
      <c r="AM737" s="650"/>
      <c r="AN737" s="650"/>
      <c r="AO737" s="650"/>
      <c r="AP737" s="650"/>
      <c r="AQ737" s="650"/>
      <c r="AR737" s="650"/>
      <c r="AS737" s="650"/>
      <c r="AT737" s="650"/>
      <c r="AU737" s="650"/>
      <c r="AV737" s="650"/>
      <c r="AW737" s="650"/>
      <c r="AX737" s="650"/>
      <c r="AY737" s="650"/>
    </row>
    <row r="738" ht="21.75" customHeight="1">
      <c r="A738" s="650"/>
      <c r="B738" s="650"/>
      <c r="C738" s="650"/>
      <c r="D738" s="650"/>
      <c r="E738" s="650"/>
      <c r="F738" s="650"/>
      <c r="G738" s="650"/>
      <c r="H738" s="650"/>
      <c r="I738" s="650"/>
      <c r="J738" s="650"/>
      <c r="K738" s="650"/>
      <c r="L738" s="650"/>
      <c r="M738" s="650"/>
      <c r="N738" s="650"/>
      <c r="O738" s="650"/>
      <c r="P738" s="650"/>
      <c r="Q738" s="650"/>
      <c r="R738" s="650"/>
      <c r="S738" s="650"/>
      <c r="T738" s="650"/>
      <c r="U738" s="650"/>
      <c r="V738" s="650"/>
      <c r="W738" s="650"/>
      <c r="X738" s="650"/>
      <c r="Y738" s="650"/>
      <c r="Z738" s="650"/>
      <c r="AA738" s="650"/>
      <c r="AB738" s="650"/>
      <c r="AC738" s="650"/>
      <c r="AD738" s="650"/>
      <c r="AE738" s="650"/>
      <c r="AF738" s="650"/>
      <c r="AG738" s="650"/>
      <c r="AH738" s="650"/>
      <c r="AI738" s="650"/>
      <c r="AJ738" s="650"/>
      <c r="AK738" s="650"/>
      <c r="AL738" s="650"/>
      <c r="AM738" s="650"/>
      <c r="AN738" s="650"/>
      <c r="AO738" s="650"/>
      <c r="AP738" s="650"/>
      <c r="AQ738" s="650"/>
      <c r="AR738" s="650"/>
      <c r="AS738" s="650"/>
      <c r="AT738" s="650"/>
      <c r="AU738" s="650"/>
      <c r="AV738" s="650"/>
      <c r="AW738" s="650"/>
      <c r="AX738" s="650"/>
      <c r="AY738" s="650"/>
    </row>
    <row r="739" ht="21.75" customHeight="1">
      <c r="A739" s="650"/>
      <c r="B739" s="650"/>
      <c r="C739" s="650"/>
      <c r="D739" s="650"/>
      <c r="E739" s="650"/>
      <c r="F739" s="650"/>
      <c r="G739" s="650"/>
      <c r="H739" s="650"/>
      <c r="I739" s="650"/>
      <c r="J739" s="650"/>
      <c r="K739" s="650"/>
      <c r="L739" s="650"/>
      <c r="M739" s="650"/>
      <c r="N739" s="650"/>
      <c r="O739" s="650"/>
      <c r="P739" s="650"/>
      <c r="Q739" s="650"/>
      <c r="R739" s="650"/>
      <c r="S739" s="650"/>
      <c r="T739" s="650"/>
      <c r="U739" s="650"/>
      <c r="V739" s="650"/>
      <c r="W739" s="650"/>
      <c r="X739" s="650"/>
      <c r="Y739" s="650"/>
      <c r="Z739" s="650"/>
      <c r="AA739" s="650"/>
      <c r="AB739" s="650"/>
      <c r="AC739" s="650"/>
      <c r="AD739" s="650"/>
      <c r="AE739" s="650"/>
      <c r="AF739" s="650"/>
      <c r="AG739" s="650"/>
      <c r="AH739" s="650"/>
      <c r="AI739" s="650"/>
      <c r="AJ739" s="650"/>
      <c r="AK739" s="650"/>
      <c r="AL739" s="650"/>
      <c r="AM739" s="650"/>
      <c r="AN739" s="650"/>
      <c r="AO739" s="650"/>
      <c r="AP739" s="650"/>
      <c r="AQ739" s="650"/>
      <c r="AR739" s="650"/>
      <c r="AS739" s="650"/>
      <c r="AT739" s="650"/>
      <c r="AU739" s="650"/>
      <c r="AV739" s="650"/>
      <c r="AW739" s="650"/>
      <c r="AX739" s="650"/>
      <c r="AY739" s="650"/>
    </row>
    <row r="740" ht="21.75" customHeight="1">
      <c r="A740" s="650"/>
      <c r="B740" s="650"/>
      <c r="C740" s="650"/>
      <c r="D740" s="650"/>
      <c r="E740" s="650"/>
      <c r="F740" s="650"/>
      <c r="G740" s="650"/>
      <c r="H740" s="650"/>
      <c r="I740" s="650"/>
      <c r="J740" s="650"/>
      <c r="K740" s="650"/>
      <c r="L740" s="650"/>
      <c r="M740" s="650"/>
      <c r="N740" s="650"/>
      <c r="O740" s="650"/>
      <c r="P740" s="650"/>
      <c r="Q740" s="650"/>
      <c r="R740" s="650"/>
      <c r="S740" s="650"/>
      <c r="T740" s="650"/>
      <c r="U740" s="650"/>
      <c r="V740" s="650"/>
      <c r="W740" s="650"/>
      <c r="X740" s="650"/>
      <c r="Y740" s="650"/>
      <c r="Z740" s="650"/>
      <c r="AA740" s="650"/>
      <c r="AB740" s="650"/>
      <c r="AC740" s="650"/>
      <c r="AD740" s="650"/>
      <c r="AE740" s="650"/>
      <c r="AF740" s="650"/>
      <c r="AG740" s="650"/>
      <c r="AH740" s="650"/>
      <c r="AI740" s="650"/>
      <c r="AJ740" s="650"/>
      <c r="AK740" s="650"/>
      <c r="AL740" s="650"/>
      <c r="AM740" s="650"/>
      <c r="AN740" s="650"/>
      <c r="AO740" s="650"/>
      <c r="AP740" s="650"/>
      <c r="AQ740" s="650"/>
      <c r="AR740" s="650"/>
      <c r="AS740" s="650"/>
      <c r="AT740" s="650"/>
      <c r="AU740" s="650"/>
      <c r="AV740" s="650"/>
      <c r="AW740" s="650"/>
      <c r="AX740" s="650"/>
      <c r="AY740" s="650"/>
    </row>
    <row r="741" ht="21.75" customHeight="1">
      <c r="A741" s="650"/>
      <c r="B741" s="650"/>
      <c r="C741" s="650"/>
      <c r="D741" s="650"/>
      <c r="E741" s="650"/>
      <c r="F741" s="650"/>
      <c r="G741" s="650"/>
      <c r="H741" s="650"/>
      <c r="I741" s="650"/>
      <c r="J741" s="650"/>
      <c r="K741" s="650"/>
      <c r="L741" s="650"/>
      <c r="M741" s="650"/>
      <c r="N741" s="650"/>
      <c r="O741" s="650"/>
      <c r="P741" s="650"/>
      <c r="Q741" s="650"/>
      <c r="R741" s="650"/>
      <c r="S741" s="650"/>
      <c r="T741" s="650"/>
      <c r="U741" s="650"/>
      <c r="V741" s="650"/>
      <c r="W741" s="650"/>
      <c r="X741" s="650"/>
      <c r="Y741" s="650"/>
      <c r="Z741" s="650"/>
      <c r="AA741" s="650"/>
      <c r="AB741" s="650"/>
      <c r="AC741" s="650"/>
      <c r="AD741" s="650"/>
      <c r="AE741" s="650"/>
      <c r="AF741" s="650"/>
      <c r="AG741" s="650"/>
      <c r="AH741" s="650"/>
      <c r="AI741" s="650"/>
      <c r="AJ741" s="650"/>
      <c r="AK741" s="650"/>
      <c r="AL741" s="650"/>
      <c r="AM741" s="650"/>
      <c r="AN741" s="650"/>
      <c r="AO741" s="650"/>
      <c r="AP741" s="650"/>
      <c r="AQ741" s="650"/>
      <c r="AR741" s="650"/>
      <c r="AS741" s="650"/>
      <c r="AT741" s="650"/>
      <c r="AU741" s="650"/>
      <c r="AV741" s="650"/>
      <c r="AW741" s="650"/>
      <c r="AX741" s="650"/>
      <c r="AY741" s="650"/>
    </row>
    <row r="742" ht="21.75" customHeight="1">
      <c r="A742" s="650"/>
      <c r="B742" s="650"/>
      <c r="C742" s="650"/>
      <c r="D742" s="650"/>
      <c r="E742" s="650"/>
      <c r="F742" s="650"/>
      <c r="G742" s="650"/>
      <c r="H742" s="650"/>
      <c r="I742" s="650"/>
      <c r="J742" s="650"/>
      <c r="K742" s="650"/>
      <c r="L742" s="650"/>
      <c r="M742" s="650"/>
      <c r="N742" s="650"/>
      <c r="O742" s="650"/>
      <c r="P742" s="650"/>
      <c r="Q742" s="650"/>
      <c r="R742" s="650"/>
      <c r="S742" s="650"/>
      <c r="T742" s="650"/>
      <c r="U742" s="650"/>
      <c r="V742" s="650"/>
      <c r="W742" s="650"/>
      <c r="X742" s="650"/>
      <c r="Y742" s="650"/>
      <c r="Z742" s="650"/>
      <c r="AA742" s="650"/>
      <c r="AB742" s="650"/>
      <c r="AC742" s="650"/>
      <c r="AD742" s="650"/>
      <c r="AE742" s="650"/>
      <c r="AF742" s="650"/>
      <c r="AG742" s="650"/>
      <c r="AH742" s="650"/>
      <c r="AI742" s="650"/>
      <c r="AJ742" s="650"/>
      <c r="AK742" s="650"/>
      <c r="AL742" s="650"/>
      <c r="AM742" s="650"/>
      <c r="AN742" s="650"/>
      <c r="AO742" s="650"/>
      <c r="AP742" s="650"/>
      <c r="AQ742" s="650"/>
      <c r="AR742" s="650"/>
      <c r="AS742" s="650"/>
      <c r="AT742" s="650"/>
      <c r="AU742" s="650"/>
      <c r="AV742" s="650"/>
      <c r="AW742" s="650"/>
      <c r="AX742" s="650"/>
      <c r="AY742" s="650"/>
    </row>
    <row r="743" ht="21.75" customHeight="1">
      <c r="A743" s="650"/>
      <c r="B743" s="650"/>
      <c r="C743" s="650"/>
      <c r="D743" s="650"/>
      <c r="E743" s="650"/>
      <c r="F743" s="650"/>
      <c r="G743" s="650"/>
      <c r="H743" s="650"/>
      <c r="I743" s="650"/>
      <c r="J743" s="650"/>
      <c r="K743" s="650"/>
      <c r="L743" s="650"/>
      <c r="M743" s="650"/>
      <c r="N743" s="650"/>
      <c r="O743" s="650"/>
      <c r="P743" s="650"/>
      <c r="Q743" s="650"/>
      <c r="R743" s="650"/>
      <c r="S743" s="650"/>
      <c r="T743" s="650"/>
      <c r="U743" s="650"/>
      <c r="V743" s="650"/>
      <c r="W743" s="650"/>
      <c r="X743" s="650"/>
      <c r="Y743" s="650"/>
      <c r="Z743" s="650"/>
      <c r="AA743" s="650"/>
      <c r="AB743" s="650"/>
      <c r="AC743" s="650"/>
      <c r="AD743" s="650"/>
      <c r="AE743" s="650"/>
      <c r="AF743" s="650"/>
      <c r="AG743" s="650"/>
      <c r="AH743" s="650"/>
      <c r="AI743" s="650"/>
      <c r="AJ743" s="650"/>
      <c r="AK743" s="650"/>
      <c r="AL743" s="650"/>
      <c r="AM743" s="650"/>
      <c r="AN743" s="650"/>
      <c r="AO743" s="650"/>
      <c r="AP743" s="650"/>
      <c r="AQ743" s="650"/>
      <c r="AR743" s="650"/>
      <c r="AS743" s="650"/>
      <c r="AT743" s="650"/>
      <c r="AU743" s="650"/>
      <c r="AV743" s="650"/>
      <c r="AW743" s="650"/>
      <c r="AX743" s="650"/>
      <c r="AY743" s="650"/>
    </row>
    <row r="744" ht="21.75" customHeight="1">
      <c r="A744" s="650"/>
      <c r="B744" s="650"/>
      <c r="C744" s="650"/>
      <c r="D744" s="650"/>
      <c r="E744" s="650"/>
      <c r="F744" s="650"/>
      <c r="G744" s="650"/>
      <c r="H744" s="650"/>
      <c r="I744" s="650"/>
      <c r="J744" s="650"/>
      <c r="K744" s="650"/>
      <c r="L744" s="650"/>
      <c r="M744" s="650"/>
      <c r="N744" s="650"/>
      <c r="O744" s="650"/>
      <c r="P744" s="650"/>
      <c r="Q744" s="650"/>
      <c r="R744" s="650"/>
      <c r="S744" s="650"/>
      <c r="T744" s="650"/>
      <c r="U744" s="650"/>
      <c r="V744" s="650"/>
      <c r="W744" s="650"/>
      <c r="X744" s="650"/>
      <c r="Y744" s="650"/>
      <c r="Z744" s="650"/>
      <c r="AA744" s="650"/>
      <c r="AB744" s="650"/>
      <c r="AC744" s="650"/>
      <c r="AD744" s="650"/>
      <c r="AE744" s="650"/>
      <c r="AF744" s="650"/>
      <c r="AG744" s="650"/>
      <c r="AH744" s="650"/>
      <c r="AI744" s="650"/>
      <c r="AJ744" s="650"/>
      <c r="AK744" s="650"/>
      <c r="AL744" s="650"/>
      <c r="AM744" s="650"/>
      <c r="AN744" s="650"/>
      <c r="AO744" s="650"/>
      <c r="AP744" s="650"/>
      <c r="AQ744" s="650"/>
      <c r="AR744" s="650"/>
      <c r="AS744" s="650"/>
      <c r="AT744" s="650"/>
      <c r="AU744" s="650"/>
      <c r="AV744" s="650"/>
      <c r="AW744" s="650"/>
      <c r="AX744" s="650"/>
      <c r="AY744" s="650"/>
    </row>
    <row r="745" ht="21.75" customHeight="1">
      <c r="A745" s="650"/>
      <c r="B745" s="650"/>
      <c r="C745" s="650"/>
      <c r="D745" s="650"/>
      <c r="E745" s="650"/>
      <c r="F745" s="650"/>
      <c r="G745" s="650"/>
      <c r="H745" s="650"/>
      <c r="I745" s="650"/>
      <c r="J745" s="650"/>
      <c r="K745" s="650"/>
      <c r="L745" s="650"/>
      <c r="M745" s="650"/>
      <c r="N745" s="650"/>
      <c r="O745" s="650"/>
      <c r="P745" s="650"/>
      <c r="Q745" s="650"/>
      <c r="R745" s="650"/>
      <c r="S745" s="650"/>
      <c r="T745" s="650"/>
      <c r="U745" s="650"/>
      <c r="V745" s="650"/>
      <c r="W745" s="650"/>
      <c r="X745" s="650"/>
      <c r="Y745" s="650"/>
      <c r="Z745" s="650"/>
      <c r="AA745" s="650"/>
      <c r="AB745" s="650"/>
      <c r="AC745" s="650"/>
      <c r="AD745" s="650"/>
      <c r="AE745" s="650"/>
      <c r="AF745" s="650"/>
      <c r="AG745" s="650"/>
      <c r="AH745" s="650"/>
      <c r="AI745" s="650"/>
      <c r="AJ745" s="650"/>
      <c r="AK745" s="650"/>
      <c r="AL745" s="650"/>
      <c r="AM745" s="650"/>
      <c r="AN745" s="650"/>
      <c r="AO745" s="650"/>
      <c r="AP745" s="650"/>
      <c r="AQ745" s="650"/>
      <c r="AR745" s="650"/>
      <c r="AS745" s="650"/>
      <c r="AT745" s="650"/>
      <c r="AU745" s="650"/>
      <c r="AV745" s="650"/>
      <c r="AW745" s="650"/>
      <c r="AX745" s="650"/>
      <c r="AY745" s="650"/>
    </row>
    <row r="746" ht="21.75" customHeight="1">
      <c r="A746" s="650"/>
      <c r="B746" s="650"/>
      <c r="C746" s="650"/>
      <c r="D746" s="650"/>
      <c r="E746" s="650"/>
      <c r="F746" s="650"/>
      <c r="G746" s="650"/>
      <c r="H746" s="650"/>
      <c r="I746" s="650"/>
      <c r="J746" s="650"/>
      <c r="K746" s="650"/>
      <c r="L746" s="650"/>
      <c r="M746" s="650"/>
      <c r="N746" s="650"/>
      <c r="O746" s="650"/>
      <c r="P746" s="650"/>
      <c r="Q746" s="650"/>
      <c r="R746" s="650"/>
      <c r="S746" s="650"/>
      <c r="T746" s="650"/>
      <c r="U746" s="650"/>
      <c r="V746" s="650"/>
      <c r="W746" s="650"/>
      <c r="X746" s="650"/>
      <c r="Y746" s="650"/>
      <c r="Z746" s="650"/>
      <c r="AA746" s="650"/>
      <c r="AB746" s="650"/>
      <c r="AC746" s="650"/>
      <c r="AD746" s="650"/>
      <c r="AE746" s="650"/>
      <c r="AF746" s="650"/>
      <c r="AG746" s="650"/>
      <c r="AH746" s="650"/>
      <c r="AI746" s="650"/>
      <c r="AJ746" s="650"/>
      <c r="AK746" s="650"/>
      <c r="AL746" s="650"/>
      <c r="AM746" s="650"/>
      <c r="AN746" s="650"/>
      <c r="AO746" s="650"/>
      <c r="AP746" s="650"/>
      <c r="AQ746" s="650"/>
      <c r="AR746" s="650"/>
      <c r="AS746" s="650"/>
      <c r="AT746" s="650"/>
      <c r="AU746" s="650"/>
      <c r="AV746" s="650"/>
      <c r="AW746" s="650"/>
      <c r="AX746" s="650"/>
      <c r="AY746" s="650"/>
    </row>
    <row r="747" ht="21.75" customHeight="1">
      <c r="A747" s="650"/>
      <c r="B747" s="650"/>
      <c r="C747" s="650"/>
      <c r="D747" s="650"/>
      <c r="E747" s="650"/>
      <c r="F747" s="650"/>
      <c r="G747" s="650"/>
      <c r="H747" s="650"/>
      <c r="I747" s="650"/>
      <c r="J747" s="650"/>
      <c r="K747" s="650"/>
      <c r="L747" s="650"/>
      <c r="M747" s="650"/>
      <c r="N747" s="650"/>
      <c r="O747" s="650"/>
      <c r="P747" s="650"/>
      <c r="Q747" s="650"/>
      <c r="R747" s="650"/>
      <c r="S747" s="650"/>
      <c r="T747" s="650"/>
      <c r="U747" s="650"/>
      <c r="V747" s="650"/>
      <c r="W747" s="650"/>
      <c r="X747" s="650"/>
      <c r="Y747" s="650"/>
      <c r="Z747" s="650"/>
      <c r="AA747" s="650"/>
      <c r="AB747" s="650"/>
      <c r="AC747" s="650"/>
      <c r="AD747" s="650"/>
      <c r="AE747" s="650"/>
      <c r="AF747" s="650"/>
      <c r="AG747" s="650"/>
      <c r="AH747" s="650"/>
      <c r="AI747" s="650"/>
      <c r="AJ747" s="650"/>
      <c r="AK747" s="650"/>
      <c r="AL747" s="650"/>
      <c r="AM747" s="650"/>
      <c r="AN747" s="650"/>
      <c r="AO747" s="650"/>
      <c r="AP747" s="650"/>
      <c r="AQ747" s="650"/>
      <c r="AR747" s="650"/>
      <c r="AS747" s="650"/>
      <c r="AT747" s="650"/>
      <c r="AU747" s="650"/>
      <c r="AV747" s="650"/>
      <c r="AW747" s="650"/>
      <c r="AX747" s="650"/>
      <c r="AY747" s="650"/>
    </row>
    <row r="748" ht="21.75" customHeight="1">
      <c r="A748" s="650"/>
      <c r="B748" s="650"/>
      <c r="C748" s="650"/>
      <c r="D748" s="650"/>
      <c r="E748" s="650"/>
      <c r="F748" s="650"/>
      <c r="G748" s="650"/>
      <c r="H748" s="650"/>
      <c r="I748" s="650"/>
      <c r="J748" s="650"/>
      <c r="K748" s="650"/>
      <c r="L748" s="650"/>
      <c r="M748" s="650"/>
      <c r="N748" s="650"/>
      <c r="O748" s="650"/>
      <c r="P748" s="650"/>
      <c r="Q748" s="650"/>
      <c r="R748" s="650"/>
      <c r="S748" s="650"/>
      <c r="T748" s="650"/>
      <c r="U748" s="650"/>
      <c r="V748" s="650"/>
      <c r="W748" s="650"/>
      <c r="X748" s="650"/>
      <c r="Y748" s="650"/>
      <c r="Z748" s="650"/>
      <c r="AA748" s="650"/>
      <c r="AB748" s="650"/>
      <c r="AC748" s="650"/>
      <c r="AD748" s="650"/>
      <c r="AE748" s="650"/>
      <c r="AF748" s="650"/>
      <c r="AG748" s="650"/>
      <c r="AH748" s="650"/>
      <c r="AI748" s="650"/>
      <c r="AJ748" s="650"/>
      <c r="AK748" s="650"/>
      <c r="AL748" s="650"/>
      <c r="AM748" s="650"/>
      <c r="AN748" s="650"/>
      <c r="AO748" s="650"/>
      <c r="AP748" s="650"/>
      <c r="AQ748" s="650"/>
      <c r="AR748" s="650"/>
      <c r="AS748" s="650"/>
      <c r="AT748" s="650"/>
      <c r="AU748" s="650"/>
      <c r="AV748" s="650"/>
      <c r="AW748" s="650"/>
      <c r="AX748" s="650"/>
      <c r="AY748" s="650"/>
    </row>
    <row r="749" ht="21.75" customHeight="1">
      <c r="A749" s="650"/>
      <c r="B749" s="650"/>
      <c r="C749" s="650"/>
      <c r="D749" s="650"/>
      <c r="E749" s="650"/>
      <c r="F749" s="650"/>
      <c r="G749" s="650"/>
      <c r="H749" s="650"/>
      <c r="I749" s="650"/>
      <c r="J749" s="650"/>
      <c r="K749" s="650"/>
      <c r="L749" s="650"/>
      <c r="M749" s="650"/>
      <c r="N749" s="650"/>
      <c r="O749" s="650"/>
      <c r="P749" s="650"/>
      <c r="Q749" s="650"/>
      <c r="R749" s="650"/>
      <c r="S749" s="650"/>
      <c r="T749" s="650"/>
      <c r="U749" s="650"/>
      <c r="V749" s="650"/>
      <c r="W749" s="650"/>
      <c r="X749" s="650"/>
      <c r="Y749" s="650"/>
      <c r="Z749" s="650"/>
      <c r="AA749" s="650"/>
      <c r="AB749" s="650"/>
      <c r="AC749" s="650"/>
      <c r="AD749" s="650"/>
      <c r="AE749" s="650"/>
      <c r="AF749" s="650"/>
      <c r="AG749" s="650"/>
      <c r="AH749" s="650"/>
      <c r="AI749" s="650"/>
      <c r="AJ749" s="650"/>
      <c r="AK749" s="650"/>
      <c r="AL749" s="650"/>
      <c r="AM749" s="650"/>
      <c r="AN749" s="650"/>
      <c r="AO749" s="650"/>
      <c r="AP749" s="650"/>
      <c r="AQ749" s="650"/>
      <c r="AR749" s="650"/>
      <c r="AS749" s="650"/>
      <c r="AT749" s="650"/>
      <c r="AU749" s="650"/>
      <c r="AV749" s="650"/>
      <c r="AW749" s="650"/>
      <c r="AX749" s="650"/>
      <c r="AY749" s="650"/>
    </row>
    <row r="750" ht="21.75" customHeight="1">
      <c r="A750" s="650"/>
      <c r="B750" s="650"/>
      <c r="C750" s="650"/>
      <c r="D750" s="650"/>
      <c r="E750" s="650"/>
      <c r="F750" s="650"/>
      <c r="G750" s="650"/>
      <c r="H750" s="650"/>
      <c r="I750" s="650"/>
      <c r="J750" s="650"/>
      <c r="K750" s="650"/>
      <c r="L750" s="650"/>
      <c r="M750" s="650"/>
      <c r="N750" s="650"/>
      <c r="O750" s="650"/>
      <c r="P750" s="650"/>
      <c r="Q750" s="650"/>
      <c r="R750" s="650"/>
      <c r="S750" s="650"/>
      <c r="T750" s="650"/>
      <c r="U750" s="650"/>
      <c r="V750" s="650"/>
      <c r="W750" s="650"/>
      <c r="X750" s="650"/>
      <c r="Y750" s="650"/>
      <c r="Z750" s="650"/>
      <c r="AA750" s="650"/>
      <c r="AB750" s="650"/>
      <c r="AC750" s="650"/>
      <c r="AD750" s="650"/>
      <c r="AE750" s="650"/>
      <c r="AF750" s="650"/>
      <c r="AG750" s="650"/>
      <c r="AH750" s="650"/>
      <c r="AI750" s="650"/>
      <c r="AJ750" s="650"/>
      <c r="AK750" s="650"/>
      <c r="AL750" s="650"/>
      <c r="AM750" s="650"/>
      <c r="AN750" s="650"/>
      <c r="AO750" s="650"/>
      <c r="AP750" s="650"/>
      <c r="AQ750" s="650"/>
      <c r="AR750" s="650"/>
      <c r="AS750" s="650"/>
      <c r="AT750" s="650"/>
      <c r="AU750" s="650"/>
      <c r="AV750" s="650"/>
      <c r="AW750" s="650"/>
      <c r="AX750" s="650"/>
      <c r="AY750" s="650"/>
    </row>
    <row r="751" ht="21.75" customHeight="1">
      <c r="A751" s="650"/>
      <c r="B751" s="650"/>
      <c r="C751" s="650"/>
      <c r="D751" s="650"/>
      <c r="E751" s="650"/>
      <c r="F751" s="650"/>
      <c r="G751" s="650"/>
      <c r="H751" s="650"/>
      <c r="I751" s="650"/>
      <c r="J751" s="650"/>
      <c r="K751" s="650"/>
      <c r="L751" s="650"/>
      <c r="M751" s="650"/>
      <c r="N751" s="650"/>
      <c r="O751" s="650"/>
      <c r="P751" s="650"/>
      <c r="Q751" s="650"/>
      <c r="R751" s="650"/>
      <c r="S751" s="650"/>
      <c r="T751" s="650"/>
      <c r="U751" s="650"/>
      <c r="V751" s="650"/>
      <c r="W751" s="650"/>
      <c r="X751" s="650"/>
      <c r="Y751" s="650"/>
      <c r="Z751" s="650"/>
      <c r="AA751" s="650"/>
      <c r="AB751" s="650"/>
      <c r="AC751" s="650"/>
      <c r="AD751" s="650"/>
      <c r="AE751" s="650"/>
      <c r="AF751" s="650"/>
      <c r="AG751" s="650"/>
      <c r="AH751" s="650"/>
      <c r="AI751" s="650"/>
      <c r="AJ751" s="650"/>
      <c r="AK751" s="650"/>
      <c r="AL751" s="650"/>
      <c r="AM751" s="650"/>
      <c r="AN751" s="650"/>
      <c r="AO751" s="650"/>
      <c r="AP751" s="650"/>
      <c r="AQ751" s="650"/>
      <c r="AR751" s="650"/>
      <c r="AS751" s="650"/>
      <c r="AT751" s="650"/>
      <c r="AU751" s="650"/>
      <c r="AV751" s="650"/>
      <c r="AW751" s="650"/>
      <c r="AX751" s="650"/>
      <c r="AY751" s="650"/>
    </row>
    <row r="752" ht="21.75" customHeight="1">
      <c r="A752" s="650"/>
      <c r="B752" s="650"/>
      <c r="C752" s="650"/>
      <c r="D752" s="650"/>
      <c r="E752" s="650"/>
      <c r="F752" s="650"/>
      <c r="G752" s="650"/>
      <c r="H752" s="650"/>
      <c r="I752" s="650"/>
      <c r="J752" s="650"/>
      <c r="K752" s="650"/>
      <c r="L752" s="650"/>
      <c r="M752" s="650"/>
      <c r="N752" s="650"/>
      <c r="O752" s="650"/>
      <c r="P752" s="650"/>
      <c r="Q752" s="650"/>
      <c r="R752" s="650"/>
      <c r="S752" s="650"/>
      <c r="T752" s="650"/>
      <c r="U752" s="650"/>
      <c r="V752" s="650"/>
      <c r="W752" s="650"/>
      <c r="X752" s="650"/>
      <c r="Y752" s="650"/>
      <c r="Z752" s="650"/>
      <c r="AA752" s="650"/>
      <c r="AB752" s="650"/>
      <c r="AC752" s="650"/>
      <c r="AD752" s="650"/>
      <c r="AE752" s="650"/>
      <c r="AF752" s="650"/>
      <c r="AG752" s="650"/>
      <c r="AH752" s="650"/>
      <c r="AI752" s="650"/>
      <c r="AJ752" s="650"/>
      <c r="AK752" s="650"/>
      <c r="AL752" s="650"/>
      <c r="AM752" s="650"/>
      <c r="AN752" s="650"/>
      <c r="AO752" s="650"/>
      <c r="AP752" s="650"/>
      <c r="AQ752" s="650"/>
      <c r="AR752" s="650"/>
      <c r="AS752" s="650"/>
      <c r="AT752" s="650"/>
      <c r="AU752" s="650"/>
      <c r="AV752" s="650"/>
      <c r="AW752" s="650"/>
      <c r="AX752" s="650"/>
      <c r="AY752" s="650"/>
    </row>
    <row r="753" ht="21.75" customHeight="1">
      <c r="A753" s="650"/>
      <c r="B753" s="650"/>
      <c r="C753" s="650"/>
      <c r="D753" s="650"/>
      <c r="E753" s="650"/>
      <c r="F753" s="650"/>
      <c r="G753" s="650"/>
      <c r="H753" s="650"/>
      <c r="I753" s="650"/>
      <c r="J753" s="650"/>
      <c r="K753" s="650"/>
      <c r="L753" s="650"/>
      <c r="M753" s="650"/>
      <c r="N753" s="650"/>
      <c r="O753" s="650"/>
      <c r="P753" s="650"/>
      <c r="Q753" s="650"/>
      <c r="R753" s="650"/>
      <c r="S753" s="650"/>
      <c r="T753" s="650"/>
      <c r="U753" s="650"/>
      <c r="V753" s="650"/>
      <c r="W753" s="650"/>
      <c r="X753" s="650"/>
      <c r="Y753" s="650"/>
      <c r="Z753" s="650"/>
      <c r="AA753" s="650"/>
      <c r="AB753" s="650"/>
      <c r="AC753" s="650"/>
      <c r="AD753" s="650"/>
      <c r="AE753" s="650"/>
      <c r="AF753" s="650"/>
      <c r="AG753" s="650"/>
      <c r="AH753" s="650"/>
      <c r="AI753" s="650"/>
      <c r="AJ753" s="650"/>
      <c r="AK753" s="650"/>
      <c r="AL753" s="650"/>
      <c r="AM753" s="650"/>
      <c r="AN753" s="650"/>
      <c r="AO753" s="650"/>
      <c r="AP753" s="650"/>
      <c r="AQ753" s="650"/>
      <c r="AR753" s="650"/>
      <c r="AS753" s="650"/>
      <c r="AT753" s="650"/>
      <c r="AU753" s="650"/>
      <c r="AV753" s="650"/>
      <c r="AW753" s="650"/>
      <c r="AX753" s="650"/>
      <c r="AY753" s="650"/>
    </row>
    <row r="754" ht="21.75" customHeight="1">
      <c r="A754" s="650"/>
      <c r="B754" s="650"/>
      <c r="C754" s="650"/>
      <c r="D754" s="650"/>
      <c r="E754" s="650"/>
      <c r="F754" s="650"/>
      <c r="G754" s="650"/>
      <c r="H754" s="650"/>
      <c r="I754" s="650"/>
      <c r="J754" s="650"/>
      <c r="K754" s="650"/>
      <c r="L754" s="650"/>
      <c r="M754" s="650"/>
      <c r="N754" s="650"/>
      <c r="O754" s="650"/>
      <c r="P754" s="650"/>
      <c r="Q754" s="650"/>
      <c r="R754" s="650"/>
      <c r="S754" s="650"/>
      <c r="T754" s="650"/>
      <c r="U754" s="650"/>
      <c r="V754" s="650"/>
      <c r="W754" s="650"/>
      <c r="X754" s="650"/>
      <c r="Y754" s="650"/>
      <c r="Z754" s="650"/>
      <c r="AA754" s="650"/>
      <c r="AB754" s="650"/>
      <c r="AC754" s="650"/>
      <c r="AD754" s="650"/>
      <c r="AE754" s="650"/>
      <c r="AF754" s="650"/>
      <c r="AG754" s="650"/>
      <c r="AH754" s="650"/>
      <c r="AI754" s="650"/>
      <c r="AJ754" s="650"/>
      <c r="AK754" s="650"/>
      <c r="AL754" s="650"/>
      <c r="AM754" s="650"/>
      <c r="AN754" s="650"/>
      <c r="AO754" s="650"/>
      <c r="AP754" s="650"/>
      <c r="AQ754" s="650"/>
      <c r="AR754" s="650"/>
      <c r="AS754" s="650"/>
      <c r="AT754" s="650"/>
      <c r="AU754" s="650"/>
      <c r="AV754" s="650"/>
      <c r="AW754" s="650"/>
      <c r="AX754" s="650"/>
      <c r="AY754" s="650"/>
    </row>
    <row r="755" ht="21.75" customHeight="1">
      <c r="A755" s="650"/>
      <c r="B755" s="650"/>
      <c r="C755" s="650"/>
      <c r="D755" s="650"/>
      <c r="E755" s="650"/>
      <c r="F755" s="650"/>
      <c r="G755" s="650"/>
      <c r="H755" s="650"/>
      <c r="I755" s="650"/>
      <c r="J755" s="650"/>
      <c r="K755" s="650"/>
      <c r="L755" s="650"/>
      <c r="M755" s="650"/>
      <c r="N755" s="650"/>
      <c r="O755" s="650"/>
      <c r="P755" s="650"/>
      <c r="Q755" s="650"/>
      <c r="R755" s="650"/>
      <c r="S755" s="650"/>
      <c r="T755" s="650"/>
      <c r="U755" s="650"/>
      <c r="V755" s="650"/>
      <c r="W755" s="650"/>
      <c r="X755" s="650"/>
      <c r="Y755" s="650"/>
      <c r="Z755" s="650"/>
      <c r="AA755" s="650"/>
      <c r="AB755" s="650"/>
      <c r="AC755" s="650"/>
      <c r="AD755" s="650"/>
      <c r="AE755" s="650"/>
      <c r="AF755" s="650"/>
      <c r="AG755" s="650"/>
      <c r="AH755" s="650"/>
      <c r="AI755" s="650"/>
      <c r="AJ755" s="650"/>
      <c r="AK755" s="650"/>
      <c r="AL755" s="650"/>
      <c r="AM755" s="650"/>
      <c r="AN755" s="650"/>
      <c r="AO755" s="650"/>
      <c r="AP755" s="650"/>
      <c r="AQ755" s="650"/>
      <c r="AR755" s="650"/>
      <c r="AS755" s="650"/>
      <c r="AT755" s="650"/>
      <c r="AU755" s="650"/>
      <c r="AV755" s="650"/>
      <c r="AW755" s="650"/>
      <c r="AX755" s="650"/>
      <c r="AY755" s="650"/>
    </row>
    <row r="756" ht="21.75" customHeight="1">
      <c r="A756" s="650"/>
      <c r="B756" s="650"/>
      <c r="C756" s="650"/>
      <c r="D756" s="650"/>
      <c r="E756" s="650"/>
      <c r="F756" s="650"/>
      <c r="G756" s="650"/>
      <c r="H756" s="650"/>
      <c r="I756" s="650"/>
      <c r="J756" s="650"/>
      <c r="K756" s="650"/>
      <c r="L756" s="650"/>
      <c r="M756" s="650"/>
      <c r="N756" s="650"/>
      <c r="O756" s="650"/>
      <c r="P756" s="650"/>
      <c r="Q756" s="650"/>
      <c r="R756" s="650"/>
      <c r="S756" s="650"/>
      <c r="T756" s="650"/>
      <c r="U756" s="650"/>
      <c r="V756" s="650"/>
      <c r="W756" s="650"/>
      <c r="X756" s="650"/>
      <c r="Y756" s="650"/>
      <c r="Z756" s="650"/>
      <c r="AA756" s="650"/>
      <c r="AB756" s="650"/>
      <c r="AC756" s="650"/>
      <c r="AD756" s="650"/>
      <c r="AE756" s="650"/>
      <c r="AF756" s="650"/>
      <c r="AG756" s="650"/>
      <c r="AH756" s="650"/>
      <c r="AI756" s="650"/>
      <c r="AJ756" s="650"/>
      <c r="AK756" s="650"/>
      <c r="AL756" s="650"/>
      <c r="AM756" s="650"/>
      <c r="AN756" s="650"/>
      <c r="AO756" s="650"/>
      <c r="AP756" s="650"/>
      <c r="AQ756" s="650"/>
      <c r="AR756" s="650"/>
      <c r="AS756" s="650"/>
      <c r="AT756" s="650"/>
      <c r="AU756" s="650"/>
      <c r="AV756" s="650"/>
      <c r="AW756" s="650"/>
      <c r="AX756" s="650"/>
      <c r="AY756" s="650"/>
    </row>
    <row r="757" ht="21.75" customHeight="1">
      <c r="A757" s="650"/>
      <c r="B757" s="650"/>
      <c r="C757" s="650"/>
      <c r="D757" s="650"/>
      <c r="E757" s="650"/>
      <c r="F757" s="650"/>
      <c r="G757" s="650"/>
      <c r="H757" s="650"/>
      <c r="I757" s="650"/>
      <c r="J757" s="650"/>
      <c r="K757" s="650"/>
      <c r="L757" s="650"/>
      <c r="M757" s="650"/>
      <c r="N757" s="650"/>
      <c r="O757" s="650"/>
      <c r="P757" s="650"/>
      <c r="Q757" s="650"/>
      <c r="R757" s="650"/>
      <c r="S757" s="650"/>
      <c r="T757" s="650"/>
      <c r="U757" s="650"/>
      <c r="V757" s="650"/>
      <c r="W757" s="650"/>
      <c r="X757" s="650"/>
      <c r="Y757" s="650"/>
      <c r="Z757" s="650"/>
      <c r="AA757" s="650"/>
      <c r="AB757" s="650"/>
      <c r="AC757" s="650"/>
      <c r="AD757" s="650"/>
      <c r="AE757" s="650"/>
      <c r="AF757" s="650"/>
      <c r="AG757" s="650"/>
      <c r="AH757" s="650"/>
      <c r="AI757" s="650"/>
      <c r="AJ757" s="650"/>
      <c r="AK757" s="650"/>
      <c r="AL757" s="650"/>
      <c r="AM757" s="650"/>
      <c r="AN757" s="650"/>
      <c r="AO757" s="650"/>
      <c r="AP757" s="650"/>
      <c r="AQ757" s="650"/>
      <c r="AR757" s="650"/>
      <c r="AS757" s="650"/>
      <c r="AT757" s="650"/>
      <c r="AU757" s="650"/>
      <c r="AV757" s="650"/>
      <c r="AW757" s="650"/>
      <c r="AX757" s="650"/>
      <c r="AY757" s="650"/>
    </row>
    <row r="758" ht="21.75" customHeight="1">
      <c r="A758" s="650"/>
      <c r="B758" s="650"/>
      <c r="C758" s="650"/>
      <c r="D758" s="650"/>
      <c r="E758" s="650"/>
      <c r="F758" s="650"/>
      <c r="G758" s="650"/>
      <c r="H758" s="650"/>
      <c r="I758" s="650"/>
      <c r="J758" s="650"/>
      <c r="K758" s="650"/>
      <c r="L758" s="650"/>
      <c r="M758" s="650"/>
      <c r="N758" s="650"/>
      <c r="O758" s="650"/>
      <c r="P758" s="650"/>
      <c r="Q758" s="650"/>
      <c r="R758" s="650"/>
      <c r="S758" s="650"/>
      <c r="T758" s="650"/>
      <c r="U758" s="650"/>
      <c r="V758" s="650"/>
      <c r="W758" s="650"/>
      <c r="X758" s="650"/>
      <c r="Y758" s="650"/>
      <c r="Z758" s="650"/>
      <c r="AA758" s="650"/>
      <c r="AB758" s="650"/>
      <c r="AC758" s="650"/>
      <c r="AD758" s="650"/>
      <c r="AE758" s="650"/>
      <c r="AF758" s="650"/>
      <c r="AG758" s="650"/>
      <c r="AH758" s="650"/>
      <c r="AI758" s="650"/>
      <c r="AJ758" s="650"/>
      <c r="AK758" s="650"/>
      <c r="AL758" s="650"/>
      <c r="AM758" s="650"/>
      <c r="AN758" s="650"/>
      <c r="AO758" s="650"/>
      <c r="AP758" s="650"/>
      <c r="AQ758" s="650"/>
      <c r="AR758" s="650"/>
      <c r="AS758" s="650"/>
      <c r="AT758" s="650"/>
      <c r="AU758" s="650"/>
      <c r="AV758" s="650"/>
      <c r="AW758" s="650"/>
      <c r="AX758" s="650"/>
      <c r="AY758" s="650"/>
    </row>
    <row r="759" ht="21.75" customHeight="1">
      <c r="A759" s="650"/>
      <c r="B759" s="650"/>
      <c r="C759" s="650"/>
      <c r="D759" s="650"/>
      <c r="E759" s="650"/>
      <c r="F759" s="650"/>
      <c r="G759" s="650"/>
      <c r="H759" s="650"/>
      <c r="I759" s="650"/>
      <c r="J759" s="650"/>
      <c r="K759" s="650"/>
      <c r="L759" s="650"/>
      <c r="M759" s="650"/>
      <c r="N759" s="650"/>
      <c r="O759" s="650"/>
      <c r="P759" s="650"/>
      <c r="Q759" s="650"/>
      <c r="R759" s="650"/>
      <c r="S759" s="650"/>
      <c r="T759" s="650"/>
      <c r="U759" s="650"/>
      <c r="V759" s="650"/>
      <c r="W759" s="650"/>
      <c r="X759" s="650"/>
      <c r="Y759" s="650"/>
      <c r="Z759" s="650"/>
      <c r="AA759" s="650"/>
      <c r="AB759" s="650"/>
      <c r="AC759" s="650"/>
      <c r="AD759" s="650"/>
      <c r="AE759" s="650"/>
      <c r="AF759" s="650"/>
      <c r="AG759" s="650"/>
      <c r="AH759" s="650"/>
      <c r="AI759" s="650"/>
      <c r="AJ759" s="650"/>
      <c r="AK759" s="650"/>
      <c r="AL759" s="650"/>
      <c r="AM759" s="650"/>
      <c r="AN759" s="650"/>
      <c r="AO759" s="650"/>
      <c r="AP759" s="650"/>
      <c r="AQ759" s="650"/>
      <c r="AR759" s="650"/>
      <c r="AS759" s="650"/>
      <c r="AT759" s="650"/>
      <c r="AU759" s="650"/>
      <c r="AV759" s="650"/>
      <c r="AW759" s="650"/>
      <c r="AX759" s="650"/>
      <c r="AY759" s="650"/>
    </row>
    <row r="760" ht="21.75" customHeight="1">
      <c r="A760" s="650"/>
      <c r="B760" s="650"/>
      <c r="C760" s="650"/>
      <c r="D760" s="650"/>
      <c r="E760" s="650"/>
      <c r="F760" s="650"/>
      <c r="G760" s="650"/>
      <c r="H760" s="650"/>
      <c r="I760" s="650"/>
      <c r="J760" s="650"/>
      <c r="K760" s="650"/>
      <c r="L760" s="650"/>
      <c r="M760" s="650"/>
      <c r="N760" s="650"/>
      <c r="O760" s="650"/>
      <c r="P760" s="650"/>
      <c r="Q760" s="650"/>
      <c r="R760" s="650"/>
      <c r="S760" s="650"/>
      <c r="T760" s="650"/>
      <c r="U760" s="650"/>
      <c r="V760" s="650"/>
      <c r="W760" s="650"/>
      <c r="X760" s="650"/>
      <c r="Y760" s="650"/>
      <c r="Z760" s="650"/>
      <c r="AA760" s="650"/>
      <c r="AB760" s="650"/>
      <c r="AC760" s="650"/>
      <c r="AD760" s="650"/>
      <c r="AE760" s="650"/>
      <c r="AF760" s="650"/>
      <c r="AG760" s="650"/>
      <c r="AH760" s="650"/>
      <c r="AI760" s="650"/>
      <c r="AJ760" s="650"/>
      <c r="AK760" s="650"/>
      <c r="AL760" s="650"/>
      <c r="AM760" s="650"/>
      <c r="AN760" s="650"/>
      <c r="AO760" s="650"/>
      <c r="AP760" s="650"/>
      <c r="AQ760" s="650"/>
      <c r="AR760" s="650"/>
      <c r="AS760" s="650"/>
      <c r="AT760" s="650"/>
      <c r="AU760" s="650"/>
      <c r="AV760" s="650"/>
      <c r="AW760" s="650"/>
      <c r="AX760" s="650"/>
      <c r="AY760" s="650"/>
    </row>
    <row r="761" ht="21.75" customHeight="1">
      <c r="A761" s="650"/>
      <c r="B761" s="650"/>
      <c r="C761" s="650"/>
      <c r="D761" s="650"/>
      <c r="E761" s="650"/>
      <c r="F761" s="650"/>
      <c r="G761" s="650"/>
      <c r="H761" s="650"/>
      <c r="I761" s="650"/>
      <c r="J761" s="650"/>
      <c r="K761" s="650"/>
      <c r="L761" s="650"/>
      <c r="M761" s="650"/>
      <c r="N761" s="650"/>
      <c r="O761" s="650"/>
      <c r="P761" s="650"/>
      <c r="Q761" s="650"/>
      <c r="R761" s="650"/>
      <c r="S761" s="650"/>
      <c r="T761" s="650"/>
      <c r="U761" s="650"/>
      <c r="V761" s="650"/>
      <c r="W761" s="650"/>
      <c r="X761" s="650"/>
      <c r="Y761" s="650"/>
      <c r="Z761" s="650"/>
      <c r="AA761" s="650"/>
      <c r="AB761" s="650"/>
      <c r="AC761" s="650"/>
      <c r="AD761" s="650"/>
      <c r="AE761" s="650"/>
      <c r="AF761" s="650"/>
      <c r="AG761" s="650"/>
      <c r="AH761" s="650"/>
      <c r="AI761" s="650"/>
      <c r="AJ761" s="650"/>
      <c r="AK761" s="650"/>
      <c r="AL761" s="650"/>
      <c r="AM761" s="650"/>
      <c r="AN761" s="650"/>
      <c r="AO761" s="650"/>
      <c r="AP761" s="650"/>
      <c r="AQ761" s="650"/>
      <c r="AR761" s="650"/>
      <c r="AS761" s="650"/>
      <c r="AT761" s="650"/>
      <c r="AU761" s="650"/>
      <c r="AV761" s="650"/>
      <c r="AW761" s="650"/>
      <c r="AX761" s="650"/>
      <c r="AY761" s="650"/>
    </row>
    <row r="762" ht="21.75" customHeight="1">
      <c r="A762" s="650"/>
      <c r="B762" s="650"/>
      <c r="C762" s="650"/>
      <c r="D762" s="650"/>
      <c r="E762" s="650"/>
      <c r="F762" s="650"/>
      <c r="G762" s="650"/>
      <c r="H762" s="650"/>
      <c r="I762" s="650"/>
      <c r="J762" s="650"/>
      <c r="K762" s="650"/>
      <c r="L762" s="650"/>
      <c r="M762" s="650"/>
      <c r="N762" s="650"/>
      <c r="O762" s="650"/>
      <c r="P762" s="650"/>
      <c r="Q762" s="650"/>
      <c r="R762" s="650"/>
      <c r="S762" s="650"/>
      <c r="T762" s="650"/>
      <c r="U762" s="650"/>
      <c r="V762" s="650"/>
      <c r="W762" s="650"/>
      <c r="X762" s="650"/>
      <c r="Y762" s="650"/>
      <c r="Z762" s="650"/>
      <c r="AA762" s="650"/>
      <c r="AB762" s="650"/>
      <c r="AC762" s="650"/>
      <c r="AD762" s="650"/>
      <c r="AE762" s="650"/>
      <c r="AF762" s="650"/>
      <c r="AG762" s="650"/>
      <c r="AH762" s="650"/>
      <c r="AI762" s="650"/>
      <c r="AJ762" s="650"/>
      <c r="AK762" s="650"/>
      <c r="AL762" s="650"/>
      <c r="AM762" s="650"/>
      <c r="AN762" s="650"/>
      <c r="AO762" s="650"/>
      <c r="AP762" s="650"/>
      <c r="AQ762" s="650"/>
      <c r="AR762" s="650"/>
      <c r="AS762" s="650"/>
      <c r="AT762" s="650"/>
      <c r="AU762" s="650"/>
      <c r="AV762" s="650"/>
      <c r="AW762" s="650"/>
      <c r="AX762" s="650"/>
      <c r="AY762" s="650"/>
    </row>
    <row r="763" ht="21.75" customHeight="1">
      <c r="A763" s="650"/>
      <c r="B763" s="650"/>
      <c r="C763" s="650"/>
      <c r="D763" s="650"/>
      <c r="E763" s="650"/>
      <c r="F763" s="650"/>
      <c r="G763" s="650"/>
      <c r="H763" s="650"/>
      <c r="I763" s="650"/>
      <c r="J763" s="650"/>
      <c r="K763" s="650"/>
      <c r="L763" s="650"/>
      <c r="M763" s="650"/>
      <c r="N763" s="650"/>
      <c r="O763" s="650"/>
      <c r="P763" s="650"/>
      <c r="Q763" s="650"/>
      <c r="R763" s="650"/>
      <c r="S763" s="650"/>
      <c r="T763" s="650"/>
      <c r="U763" s="650"/>
      <c r="V763" s="650"/>
      <c r="W763" s="650"/>
      <c r="X763" s="650"/>
      <c r="Y763" s="650"/>
      <c r="Z763" s="650"/>
      <c r="AA763" s="650"/>
      <c r="AB763" s="650"/>
      <c r="AC763" s="650"/>
      <c r="AD763" s="650"/>
      <c r="AE763" s="650"/>
      <c r="AF763" s="650"/>
      <c r="AG763" s="650"/>
      <c r="AH763" s="650"/>
      <c r="AI763" s="650"/>
      <c r="AJ763" s="650"/>
      <c r="AK763" s="650"/>
      <c r="AL763" s="650"/>
      <c r="AM763" s="650"/>
      <c r="AN763" s="650"/>
      <c r="AO763" s="650"/>
      <c r="AP763" s="650"/>
      <c r="AQ763" s="650"/>
      <c r="AR763" s="650"/>
      <c r="AS763" s="650"/>
      <c r="AT763" s="650"/>
      <c r="AU763" s="650"/>
      <c r="AV763" s="650"/>
      <c r="AW763" s="650"/>
      <c r="AX763" s="650"/>
      <c r="AY763" s="650"/>
    </row>
    <row r="764" ht="21.75" customHeight="1">
      <c r="A764" s="650"/>
      <c r="B764" s="650"/>
      <c r="C764" s="650"/>
      <c r="D764" s="650"/>
      <c r="E764" s="650"/>
      <c r="F764" s="650"/>
      <c r="G764" s="650"/>
      <c r="H764" s="650"/>
      <c r="I764" s="650"/>
      <c r="J764" s="650"/>
      <c r="K764" s="650"/>
      <c r="L764" s="650"/>
      <c r="M764" s="650"/>
      <c r="N764" s="650"/>
      <c r="O764" s="650"/>
      <c r="P764" s="650"/>
      <c r="Q764" s="650"/>
      <c r="R764" s="650"/>
      <c r="S764" s="650"/>
      <c r="T764" s="650"/>
      <c r="U764" s="650"/>
      <c r="V764" s="650"/>
      <c r="W764" s="650"/>
      <c r="X764" s="650"/>
      <c r="Y764" s="650"/>
      <c r="Z764" s="650"/>
      <c r="AA764" s="650"/>
      <c r="AB764" s="650"/>
      <c r="AC764" s="650"/>
      <c r="AD764" s="650"/>
      <c r="AE764" s="650"/>
      <c r="AF764" s="650"/>
      <c r="AG764" s="650"/>
      <c r="AH764" s="650"/>
      <c r="AI764" s="650"/>
      <c r="AJ764" s="650"/>
      <c r="AK764" s="650"/>
      <c r="AL764" s="650"/>
      <c r="AM764" s="650"/>
      <c r="AN764" s="650"/>
      <c r="AO764" s="650"/>
      <c r="AP764" s="650"/>
      <c r="AQ764" s="650"/>
      <c r="AR764" s="650"/>
      <c r="AS764" s="650"/>
      <c r="AT764" s="650"/>
      <c r="AU764" s="650"/>
      <c r="AV764" s="650"/>
      <c r="AW764" s="650"/>
      <c r="AX764" s="650"/>
      <c r="AY764" s="650"/>
    </row>
    <row r="765" ht="21.75" customHeight="1">
      <c r="A765" s="650"/>
      <c r="B765" s="650"/>
      <c r="C765" s="650"/>
      <c r="D765" s="650"/>
      <c r="E765" s="650"/>
      <c r="F765" s="650"/>
      <c r="G765" s="650"/>
      <c r="H765" s="650"/>
      <c r="I765" s="650"/>
      <c r="J765" s="650"/>
      <c r="K765" s="650"/>
      <c r="L765" s="650"/>
      <c r="M765" s="650"/>
      <c r="N765" s="650"/>
      <c r="O765" s="650"/>
      <c r="P765" s="650"/>
      <c r="Q765" s="650"/>
      <c r="R765" s="650"/>
      <c r="S765" s="650"/>
      <c r="T765" s="650"/>
      <c r="U765" s="650"/>
      <c r="V765" s="650"/>
      <c r="W765" s="650"/>
      <c r="X765" s="650"/>
      <c r="Y765" s="650"/>
      <c r="Z765" s="650"/>
      <c r="AA765" s="650"/>
      <c r="AB765" s="650"/>
      <c r="AC765" s="650"/>
      <c r="AD765" s="650"/>
      <c r="AE765" s="650"/>
      <c r="AF765" s="650"/>
      <c r="AG765" s="650"/>
      <c r="AH765" s="650"/>
      <c r="AI765" s="650"/>
      <c r="AJ765" s="650"/>
      <c r="AK765" s="650"/>
      <c r="AL765" s="650"/>
      <c r="AM765" s="650"/>
      <c r="AN765" s="650"/>
      <c r="AO765" s="650"/>
      <c r="AP765" s="650"/>
      <c r="AQ765" s="650"/>
      <c r="AR765" s="650"/>
      <c r="AS765" s="650"/>
      <c r="AT765" s="650"/>
      <c r="AU765" s="650"/>
      <c r="AV765" s="650"/>
      <c r="AW765" s="650"/>
      <c r="AX765" s="650"/>
      <c r="AY765" s="650"/>
    </row>
    <row r="766" ht="21.75" customHeight="1">
      <c r="A766" s="650"/>
      <c r="B766" s="650"/>
      <c r="C766" s="650"/>
      <c r="D766" s="650"/>
      <c r="E766" s="650"/>
      <c r="F766" s="650"/>
      <c r="G766" s="650"/>
      <c r="H766" s="650"/>
      <c r="I766" s="650"/>
      <c r="J766" s="650"/>
      <c r="K766" s="650"/>
      <c r="L766" s="650"/>
      <c r="M766" s="650"/>
      <c r="N766" s="650"/>
      <c r="O766" s="650"/>
      <c r="P766" s="650"/>
      <c r="Q766" s="650"/>
      <c r="R766" s="650"/>
      <c r="S766" s="650"/>
      <c r="T766" s="650"/>
      <c r="U766" s="650"/>
      <c r="V766" s="650"/>
      <c r="W766" s="650"/>
      <c r="X766" s="650"/>
      <c r="Y766" s="650"/>
      <c r="Z766" s="650"/>
      <c r="AA766" s="650"/>
      <c r="AB766" s="650"/>
      <c r="AC766" s="650"/>
      <c r="AD766" s="650"/>
      <c r="AE766" s="650"/>
      <c r="AF766" s="650"/>
      <c r="AG766" s="650"/>
      <c r="AH766" s="650"/>
      <c r="AI766" s="650"/>
      <c r="AJ766" s="650"/>
      <c r="AK766" s="650"/>
      <c r="AL766" s="650"/>
      <c r="AM766" s="650"/>
      <c r="AN766" s="650"/>
      <c r="AO766" s="650"/>
      <c r="AP766" s="650"/>
      <c r="AQ766" s="650"/>
      <c r="AR766" s="650"/>
      <c r="AS766" s="650"/>
      <c r="AT766" s="650"/>
      <c r="AU766" s="650"/>
      <c r="AV766" s="650"/>
      <c r="AW766" s="650"/>
      <c r="AX766" s="650"/>
      <c r="AY766" s="650"/>
    </row>
    <row r="767" ht="21.75" customHeight="1">
      <c r="A767" s="650"/>
      <c r="B767" s="650"/>
      <c r="C767" s="650"/>
      <c r="D767" s="650"/>
      <c r="E767" s="650"/>
      <c r="F767" s="650"/>
      <c r="G767" s="650"/>
      <c r="H767" s="650"/>
      <c r="I767" s="650"/>
      <c r="J767" s="650"/>
      <c r="K767" s="650"/>
      <c r="L767" s="650"/>
      <c r="M767" s="650"/>
      <c r="N767" s="650"/>
      <c r="O767" s="650"/>
      <c r="P767" s="650"/>
      <c r="Q767" s="650"/>
      <c r="R767" s="650"/>
      <c r="S767" s="650"/>
      <c r="T767" s="650"/>
      <c r="U767" s="650"/>
      <c r="V767" s="650"/>
      <c r="W767" s="650"/>
      <c r="X767" s="650"/>
      <c r="Y767" s="650"/>
      <c r="Z767" s="650"/>
      <c r="AA767" s="650"/>
      <c r="AB767" s="650"/>
      <c r="AC767" s="650"/>
      <c r="AD767" s="650"/>
      <c r="AE767" s="650"/>
      <c r="AF767" s="650"/>
      <c r="AG767" s="650"/>
      <c r="AH767" s="650"/>
      <c r="AI767" s="650"/>
      <c r="AJ767" s="650"/>
      <c r="AK767" s="650"/>
      <c r="AL767" s="650"/>
      <c r="AM767" s="650"/>
      <c r="AN767" s="650"/>
      <c r="AO767" s="650"/>
      <c r="AP767" s="650"/>
      <c r="AQ767" s="650"/>
      <c r="AR767" s="650"/>
      <c r="AS767" s="650"/>
      <c r="AT767" s="650"/>
      <c r="AU767" s="650"/>
      <c r="AV767" s="650"/>
      <c r="AW767" s="650"/>
      <c r="AX767" s="650"/>
      <c r="AY767" s="650"/>
    </row>
    <row r="768" ht="21.75" customHeight="1">
      <c r="A768" s="650"/>
      <c r="B768" s="650"/>
      <c r="C768" s="650"/>
      <c r="D768" s="650"/>
      <c r="E768" s="650"/>
      <c r="F768" s="650"/>
      <c r="G768" s="650"/>
      <c r="H768" s="650"/>
      <c r="I768" s="650"/>
      <c r="J768" s="650"/>
      <c r="K768" s="650"/>
      <c r="L768" s="650"/>
      <c r="M768" s="650"/>
      <c r="N768" s="650"/>
      <c r="O768" s="650"/>
      <c r="P768" s="650"/>
      <c r="Q768" s="650"/>
      <c r="R768" s="650"/>
      <c r="S768" s="650"/>
      <c r="T768" s="650"/>
      <c r="U768" s="650"/>
      <c r="V768" s="650"/>
      <c r="W768" s="650"/>
      <c r="X768" s="650"/>
      <c r="Y768" s="650"/>
      <c r="Z768" s="650"/>
      <c r="AA768" s="650"/>
      <c r="AB768" s="650"/>
      <c r="AC768" s="650"/>
      <c r="AD768" s="650"/>
      <c r="AE768" s="650"/>
      <c r="AF768" s="650"/>
      <c r="AG768" s="650"/>
      <c r="AH768" s="650"/>
      <c r="AI768" s="650"/>
      <c r="AJ768" s="650"/>
      <c r="AK768" s="650"/>
      <c r="AL768" s="650"/>
      <c r="AM768" s="650"/>
      <c r="AN768" s="650"/>
      <c r="AO768" s="650"/>
      <c r="AP768" s="650"/>
      <c r="AQ768" s="650"/>
      <c r="AR768" s="650"/>
      <c r="AS768" s="650"/>
      <c r="AT768" s="650"/>
      <c r="AU768" s="650"/>
      <c r="AV768" s="650"/>
      <c r="AW768" s="650"/>
      <c r="AX768" s="650"/>
      <c r="AY768" s="650"/>
    </row>
    <row r="769" ht="21.75" customHeight="1">
      <c r="A769" s="650"/>
      <c r="B769" s="650"/>
      <c r="C769" s="650"/>
      <c r="D769" s="650"/>
      <c r="E769" s="650"/>
      <c r="F769" s="650"/>
      <c r="G769" s="650"/>
      <c r="H769" s="650"/>
      <c r="I769" s="650"/>
      <c r="J769" s="650"/>
      <c r="K769" s="650"/>
      <c r="L769" s="650"/>
      <c r="M769" s="650"/>
      <c r="N769" s="650"/>
      <c r="O769" s="650"/>
      <c r="P769" s="650"/>
      <c r="Q769" s="650"/>
      <c r="R769" s="650"/>
      <c r="S769" s="650"/>
      <c r="T769" s="650"/>
      <c r="U769" s="650"/>
      <c r="V769" s="650"/>
      <c r="W769" s="650"/>
      <c r="X769" s="650"/>
      <c r="Y769" s="650"/>
      <c r="Z769" s="650"/>
      <c r="AA769" s="650"/>
      <c r="AB769" s="650"/>
      <c r="AC769" s="650"/>
      <c r="AD769" s="650"/>
      <c r="AE769" s="650"/>
      <c r="AF769" s="650"/>
      <c r="AG769" s="650"/>
      <c r="AH769" s="650"/>
      <c r="AI769" s="650"/>
      <c r="AJ769" s="650"/>
      <c r="AK769" s="650"/>
      <c r="AL769" s="650"/>
      <c r="AM769" s="650"/>
      <c r="AN769" s="650"/>
      <c r="AO769" s="650"/>
      <c r="AP769" s="650"/>
      <c r="AQ769" s="650"/>
      <c r="AR769" s="650"/>
      <c r="AS769" s="650"/>
      <c r="AT769" s="650"/>
      <c r="AU769" s="650"/>
      <c r="AV769" s="650"/>
      <c r="AW769" s="650"/>
      <c r="AX769" s="650"/>
      <c r="AY769" s="650"/>
    </row>
    <row r="770" ht="21.75" customHeight="1">
      <c r="A770" s="650"/>
      <c r="B770" s="650"/>
      <c r="C770" s="650"/>
      <c r="D770" s="650"/>
      <c r="E770" s="650"/>
      <c r="F770" s="650"/>
      <c r="G770" s="650"/>
      <c r="H770" s="650"/>
      <c r="I770" s="650"/>
      <c r="J770" s="650"/>
      <c r="K770" s="650"/>
      <c r="L770" s="650"/>
      <c r="M770" s="650"/>
      <c r="N770" s="650"/>
      <c r="O770" s="650"/>
      <c r="P770" s="650"/>
      <c r="Q770" s="650"/>
      <c r="R770" s="650"/>
      <c r="S770" s="650"/>
      <c r="T770" s="650"/>
      <c r="U770" s="650"/>
      <c r="V770" s="650"/>
      <c r="W770" s="650"/>
      <c r="X770" s="650"/>
      <c r="Y770" s="650"/>
      <c r="Z770" s="650"/>
      <c r="AA770" s="650"/>
      <c r="AB770" s="650"/>
      <c r="AC770" s="650"/>
      <c r="AD770" s="650"/>
      <c r="AE770" s="650"/>
      <c r="AF770" s="650"/>
      <c r="AG770" s="650"/>
      <c r="AH770" s="650"/>
      <c r="AI770" s="650"/>
      <c r="AJ770" s="650"/>
      <c r="AK770" s="650"/>
      <c r="AL770" s="650"/>
      <c r="AM770" s="650"/>
      <c r="AN770" s="650"/>
      <c r="AO770" s="650"/>
      <c r="AP770" s="650"/>
      <c r="AQ770" s="650"/>
      <c r="AR770" s="650"/>
      <c r="AS770" s="650"/>
      <c r="AT770" s="650"/>
      <c r="AU770" s="650"/>
      <c r="AV770" s="650"/>
      <c r="AW770" s="650"/>
      <c r="AX770" s="650"/>
      <c r="AY770" s="650"/>
    </row>
    <row r="771" ht="21.75" customHeight="1">
      <c r="A771" s="650"/>
      <c r="B771" s="650"/>
      <c r="C771" s="650"/>
      <c r="D771" s="650"/>
      <c r="E771" s="650"/>
      <c r="F771" s="650"/>
      <c r="G771" s="650"/>
      <c r="H771" s="650"/>
      <c r="I771" s="650"/>
      <c r="J771" s="650"/>
      <c r="K771" s="650"/>
      <c r="L771" s="650"/>
      <c r="M771" s="650"/>
      <c r="N771" s="650"/>
      <c r="O771" s="650"/>
      <c r="P771" s="650"/>
      <c r="Q771" s="650"/>
      <c r="R771" s="650"/>
      <c r="S771" s="650"/>
      <c r="T771" s="650"/>
      <c r="U771" s="650"/>
      <c r="V771" s="650"/>
      <c r="W771" s="650"/>
      <c r="X771" s="650"/>
      <c r="Y771" s="650"/>
      <c r="Z771" s="650"/>
      <c r="AA771" s="650"/>
      <c r="AB771" s="650"/>
      <c r="AC771" s="650"/>
      <c r="AD771" s="650"/>
      <c r="AE771" s="650"/>
      <c r="AF771" s="650"/>
      <c r="AG771" s="650"/>
      <c r="AH771" s="650"/>
      <c r="AI771" s="650"/>
      <c r="AJ771" s="650"/>
      <c r="AK771" s="650"/>
      <c r="AL771" s="650"/>
      <c r="AM771" s="650"/>
      <c r="AN771" s="650"/>
      <c r="AO771" s="650"/>
      <c r="AP771" s="650"/>
      <c r="AQ771" s="650"/>
      <c r="AR771" s="650"/>
      <c r="AS771" s="650"/>
      <c r="AT771" s="650"/>
      <c r="AU771" s="650"/>
      <c r="AV771" s="650"/>
      <c r="AW771" s="650"/>
      <c r="AX771" s="650"/>
      <c r="AY771" s="650"/>
    </row>
    <row r="772" ht="21.75" customHeight="1">
      <c r="A772" s="650"/>
      <c r="B772" s="650"/>
      <c r="C772" s="650"/>
      <c r="D772" s="650"/>
      <c r="E772" s="650"/>
      <c r="F772" s="650"/>
      <c r="G772" s="650"/>
      <c r="H772" s="650"/>
      <c r="I772" s="650"/>
      <c r="J772" s="650"/>
      <c r="K772" s="650"/>
      <c r="L772" s="650"/>
      <c r="M772" s="650"/>
      <c r="N772" s="650"/>
      <c r="O772" s="650"/>
      <c r="P772" s="650"/>
      <c r="Q772" s="650"/>
      <c r="R772" s="650"/>
      <c r="S772" s="650"/>
      <c r="T772" s="650"/>
      <c r="U772" s="650"/>
      <c r="V772" s="650"/>
      <c r="W772" s="650"/>
      <c r="X772" s="650"/>
      <c r="Y772" s="650"/>
      <c r="Z772" s="650"/>
      <c r="AA772" s="650"/>
      <c r="AB772" s="650"/>
      <c r="AC772" s="650"/>
      <c r="AD772" s="650"/>
      <c r="AE772" s="650"/>
      <c r="AF772" s="650"/>
      <c r="AG772" s="650"/>
      <c r="AH772" s="650"/>
      <c r="AI772" s="650"/>
      <c r="AJ772" s="650"/>
      <c r="AK772" s="650"/>
      <c r="AL772" s="650"/>
      <c r="AM772" s="650"/>
      <c r="AN772" s="650"/>
      <c r="AO772" s="650"/>
      <c r="AP772" s="650"/>
      <c r="AQ772" s="650"/>
      <c r="AR772" s="650"/>
      <c r="AS772" s="650"/>
      <c r="AT772" s="650"/>
      <c r="AU772" s="650"/>
      <c r="AV772" s="650"/>
      <c r="AW772" s="650"/>
      <c r="AX772" s="650"/>
      <c r="AY772" s="650"/>
    </row>
    <row r="773" ht="21.75" customHeight="1">
      <c r="A773" s="650"/>
      <c r="B773" s="650"/>
      <c r="C773" s="650"/>
      <c r="D773" s="650"/>
      <c r="E773" s="650"/>
      <c r="F773" s="650"/>
      <c r="G773" s="650"/>
      <c r="H773" s="650"/>
      <c r="I773" s="650"/>
      <c r="J773" s="650"/>
      <c r="K773" s="650"/>
      <c r="L773" s="650"/>
      <c r="M773" s="650"/>
      <c r="N773" s="650"/>
      <c r="O773" s="650"/>
      <c r="P773" s="650"/>
      <c r="Q773" s="650"/>
      <c r="R773" s="650"/>
      <c r="S773" s="650"/>
      <c r="T773" s="650"/>
      <c r="U773" s="650"/>
      <c r="V773" s="650"/>
      <c r="W773" s="650"/>
      <c r="X773" s="650"/>
      <c r="Y773" s="650"/>
      <c r="Z773" s="650"/>
      <c r="AA773" s="650"/>
      <c r="AB773" s="650"/>
      <c r="AC773" s="650"/>
      <c r="AD773" s="650"/>
      <c r="AE773" s="650"/>
      <c r="AF773" s="650"/>
      <c r="AG773" s="650"/>
      <c r="AH773" s="650"/>
      <c r="AI773" s="650"/>
      <c r="AJ773" s="650"/>
      <c r="AK773" s="650"/>
      <c r="AL773" s="650"/>
      <c r="AM773" s="650"/>
      <c r="AN773" s="650"/>
      <c r="AO773" s="650"/>
      <c r="AP773" s="650"/>
      <c r="AQ773" s="650"/>
      <c r="AR773" s="650"/>
      <c r="AS773" s="650"/>
      <c r="AT773" s="650"/>
      <c r="AU773" s="650"/>
      <c r="AV773" s="650"/>
      <c r="AW773" s="650"/>
      <c r="AX773" s="650"/>
      <c r="AY773" s="650"/>
    </row>
    <row r="774" ht="21.75" customHeight="1">
      <c r="A774" s="650"/>
      <c r="B774" s="650"/>
      <c r="C774" s="650"/>
      <c r="D774" s="650"/>
      <c r="E774" s="650"/>
      <c r="F774" s="650"/>
      <c r="G774" s="650"/>
      <c r="H774" s="650"/>
      <c r="I774" s="650"/>
      <c r="J774" s="650"/>
      <c r="K774" s="650"/>
      <c r="L774" s="650"/>
      <c r="M774" s="650"/>
      <c r="N774" s="650"/>
      <c r="O774" s="650"/>
      <c r="P774" s="650"/>
      <c r="Q774" s="650"/>
      <c r="R774" s="650"/>
      <c r="S774" s="650"/>
      <c r="T774" s="650"/>
      <c r="U774" s="650"/>
      <c r="V774" s="650"/>
      <c r="W774" s="650"/>
      <c r="X774" s="650"/>
      <c r="Y774" s="650"/>
      <c r="Z774" s="650"/>
      <c r="AA774" s="650"/>
      <c r="AB774" s="650"/>
      <c r="AC774" s="650"/>
      <c r="AD774" s="650"/>
      <c r="AE774" s="650"/>
      <c r="AF774" s="650"/>
      <c r="AG774" s="650"/>
      <c r="AH774" s="650"/>
      <c r="AI774" s="650"/>
      <c r="AJ774" s="650"/>
      <c r="AK774" s="650"/>
      <c r="AL774" s="650"/>
      <c r="AM774" s="650"/>
      <c r="AN774" s="650"/>
      <c r="AO774" s="650"/>
      <c r="AP774" s="650"/>
      <c r="AQ774" s="650"/>
      <c r="AR774" s="650"/>
      <c r="AS774" s="650"/>
      <c r="AT774" s="650"/>
      <c r="AU774" s="650"/>
      <c r="AV774" s="650"/>
      <c r="AW774" s="650"/>
      <c r="AX774" s="650"/>
      <c r="AY774" s="650"/>
    </row>
    <row r="775" ht="21.75" customHeight="1">
      <c r="A775" s="650"/>
      <c r="B775" s="650"/>
      <c r="C775" s="650"/>
      <c r="D775" s="650"/>
      <c r="E775" s="650"/>
      <c r="F775" s="650"/>
      <c r="G775" s="650"/>
      <c r="H775" s="650"/>
      <c r="I775" s="650"/>
      <c r="J775" s="650"/>
      <c r="K775" s="650"/>
      <c r="L775" s="650"/>
      <c r="M775" s="650"/>
      <c r="N775" s="650"/>
      <c r="O775" s="650"/>
      <c r="P775" s="650"/>
      <c r="Q775" s="650"/>
      <c r="R775" s="650"/>
      <c r="S775" s="650"/>
      <c r="T775" s="650"/>
      <c r="U775" s="650"/>
      <c r="V775" s="650"/>
      <c r="W775" s="650"/>
      <c r="X775" s="650"/>
      <c r="Y775" s="650"/>
      <c r="Z775" s="650"/>
      <c r="AA775" s="650"/>
      <c r="AB775" s="650"/>
      <c r="AC775" s="650"/>
      <c r="AD775" s="650"/>
      <c r="AE775" s="650"/>
      <c r="AF775" s="650"/>
      <c r="AG775" s="650"/>
      <c r="AH775" s="650"/>
      <c r="AI775" s="650"/>
      <c r="AJ775" s="650"/>
      <c r="AK775" s="650"/>
      <c r="AL775" s="650"/>
      <c r="AM775" s="650"/>
      <c r="AN775" s="650"/>
      <c r="AO775" s="650"/>
      <c r="AP775" s="650"/>
      <c r="AQ775" s="650"/>
      <c r="AR775" s="650"/>
      <c r="AS775" s="650"/>
      <c r="AT775" s="650"/>
      <c r="AU775" s="650"/>
      <c r="AV775" s="650"/>
      <c r="AW775" s="650"/>
      <c r="AX775" s="650"/>
      <c r="AY775" s="650"/>
    </row>
    <row r="776" ht="21.75" customHeight="1">
      <c r="A776" s="650"/>
      <c r="B776" s="650"/>
      <c r="C776" s="650"/>
      <c r="D776" s="650"/>
      <c r="E776" s="650"/>
      <c r="F776" s="650"/>
      <c r="G776" s="650"/>
      <c r="H776" s="650"/>
      <c r="I776" s="650"/>
      <c r="J776" s="650"/>
      <c r="K776" s="650"/>
      <c r="L776" s="650"/>
      <c r="M776" s="650"/>
      <c r="N776" s="650"/>
      <c r="O776" s="650"/>
      <c r="P776" s="650"/>
      <c r="Q776" s="650"/>
      <c r="R776" s="650"/>
      <c r="S776" s="650"/>
      <c r="T776" s="650"/>
      <c r="U776" s="650"/>
      <c r="V776" s="650"/>
      <c r="W776" s="650"/>
      <c r="X776" s="650"/>
      <c r="Y776" s="650"/>
      <c r="Z776" s="650"/>
      <c r="AA776" s="650"/>
      <c r="AB776" s="650"/>
      <c r="AC776" s="650"/>
      <c r="AD776" s="650"/>
      <c r="AE776" s="650"/>
      <c r="AF776" s="650"/>
      <c r="AG776" s="650"/>
      <c r="AH776" s="650"/>
      <c r="AI776" s="650"/>
      <c r="AJ776" s="650"/>
      <c r="AK776" s="650"/>
      <c r="AL776" s="650"/>
      <c r="AM776" s="650"/>
      <c r="AN776" s="650"/>
      <c r="AO776" s="650"/>
      <c r="AP776" s="650"/>
      <c r="AQ776" s="650"/>
      <c r="AR776" s="650"/>
      <c r="AS776" s="650"/>
      <c r="AT776" s="650"/>
      <c r="AU776" s="650"/>
      <c r="AV776" s="650"/>
      <c r="AW776" s="650"/>
      <c r="AX776" s="650"/>
      <c r="AY776" s="650"/>
    </row>
    <row r="777" ht="21.75" customHeight="1">
      <c r="A777" s="650"/>
      <c r="B777" s="650"/>
      <c r="C777" s="650"/>
      <c r="D777" s="650"/>
      <c r="E777" s="650"/>
      <c r="F777" s="650"/>
      <c r="G777" s="650"/>
      <c r="H777" s="650"/>
      <c r="I777" s="650"/>
      <c r="J777" s="650"/>
      <c r="K777" s="650"/>
      <c r="L777" s="650"/>
      <c r="M777" s="650"/>
      <c r="N777" s="650"/>
      <c r="O777" s="650"/>
      <c r="P777" s="650"/>
      <c r="Q777" s="650"/>
      <c r="R777" s="650"/>
      <c r="S777" s="650"/>
      <c r="T777" s="650"/>
      <c r="U777" s="650"/>
      <c r="V777" s="650"/>
      <c r="W777" s="650"/>
      <c r="X777" s="650"/>
      <c r="Y777" s="650"/>
      <c r="Z777" s="650"/>
      <c r="AA777" s="650"/>
      <c r="AB777" s="650"/>
      <c r="AC777" s="650"/>
      <c r="AD777" s="650"/>
      <c r="AE777" s="650"/>
      <c r="AF777" s="650"/>
      <c r="AG777" s="650"/>
      <c r="AH777" s="650"/>
      <c r="AI777" s="650"/>
      <c r="AJ777" s="650"/>
      <c r="AK777" s="650"/>
      <c r="AL777" s="650"/>
      <c r="AM777" s="650"/>
      <c r="AN777" s="650"/>
      <c r="AO777" s="650"/>
      <c r="AP777" s="650"/>
      <c r="AQ777" s="650"/>
      <c r="AR777" s="650"/>
      <c r="AS777" s="650"/>
      <c r="AT777" s="650"/>
      <c r="AU777" s="650"/>
      <c r="AV777" s="650"/>
      <c r="AW777" s="650"/>
      <c r="AX777" s="650"/>
      <c r="AY777" s="650"/>
    </row>
    <row r="778" ht="21.75" customHeight="1">
      <c r="A778" s="650"/>
      <c r="B778" s="650"/>
      <c r="C778" s="650"/>
      <c r="D778" s="650"/>
      <c r="E778" s="650"/>
      <c r="F778" s="650"/>
      <c r="G778" s="650"/>
      <c r="H778" s="650"/>
      <c r="I778" s="650"/>
      <c r="J778" s="650"/>
      <c r="K778" s="650"/>
      <c r="L778" s="650"/>
      <c r="M778" s="650"/>
      <c r="N778" s="650"/>
      <c r="O778" s="650"/>
      <c r="P778" s="650"/>
      <c r="Q778" s="650"/>
      <c r="R778" s="650"/>
      <c r="S778" s="650"/>
      <c r="T778" s="650"/>
      <c r="U778" s="650"/>
      <c r="V778" s="650"/>
      <c r="W778" s="650"/>
      <c r="X778" s="650"/>
      <c r="Y778" s="650"/>
      <c r="Z778" s="650"/>
      <c r="AA778" s="650"/>
      <c r="AB778" s="650"/>
      <c r="AC778" s="650"/>
      <c r="AD778" s="650"/>
      <c r="AE778" s="650"/>
      <c r="AF778" s="650"/>
      <c r="AG778" s="650"/>
      <c r="AH778" s="650"/>
      <c r="AI778" s="650"/>
      <c r="AJ778" s="650"/>
      <c r="AK778" s="650"/>
      <c r="AL778" s="650"/>
      <c r="AM778" s="650"/>
      <c r="AN778" s="650"/>
      <c r="AO778" s="650"/>
      <c r="AP778" s="650"/>
      <c r="AQ778" s="650"/>
      <c r="AR778" s="650"/>
      <c r="AS778" s="650"/>
      <c r="AT778" s="650"/>
      <c r="AU778" s="650"/>
      <c r="AV778" s="650"/>
      <c r="AW778" s="650"/>
      <c r="AX778" s="650"/>
      <c r="AY778" s="650"/>
    </row>
    <row r="779" ht="21.75" customHeight="1">
      <c r="A779" s="650"/>
      <c r="B779" s="650"/>
      <c r="C779" s="650"/>
      <c r="D779" s="650"/>
      <c r="E779" s="650"/>
      <c r="F779" s="650"/>
      <c r="G779" s="650"/>
      <c r="H779" s="650"/>
      <c r="I779" s="650"/>
      <c r="J779" s="650"/>
      <c r="K779" s="650"/>
      <c r="L779" s="650"/>
      <c r="M779" s="650"/>
      <c r="N779" s="650"/>
      <c r="O779" s="650"/>
      <c r="P779" s="650"/>
      <c r="Q779" s="650"/>
      <c r="R779" s="650"/>
      <c r="S779" s="650"/>
      <c r="T779" s="650"/>
      <c r="U779" s="650"/>
      <c r="V779" s="650"/>
      <c r="W779" s="650"/>
      <c r="X779" s="650"/>
      <c r="Y779" s="650"/>
      <c r="Z779" s="650"/>
      <c r="AA779" s="650"/>
      <c r="AB779" s="650"/>
      <c r="AC779" s="650"/>
      <c r="AD779" s="650"/>
      <c r="AE779" s="650"/>
      <c r="AF779" s="650"/>
      <c r="AG779" s="650"/>
      <c r="AH779" s="650"/>
      <c r="AI779" s="650"/>
      <c r="AJ779" s="650"/>
      <c r="AK779" s="650"/>
      <c r="AL779" s="650"/>
      <c r="AM779" s="650"/>
      <c r="AN779" s="650"/>
      <c r="AO779" s="650"/>
      <c r="AP779" s="650"/>
      <c r="AQ779" s="650"/>
      <c r="AR779" s="650"/>
      <c r="AS779" s="650"/>
      <c r="AT779" s="650"/>
      <c r="AU779" s="650"/>
      <c r="AV779" s="650"/>
      <c r="AW779" s="650"/>
      <c r="AX779" s="650"/>
      <c r="AY779" s="650"/>
    </row>
    <row r="780" ht="21.75" customHeight="1">
      <c r="A780" s="650"/>
      <c r="B780" s="650"/>
      <c r="C780" s="650"/>
      <c r="D780" s="650"/>
      <c r="E780" s="650"/>
      <c r="F780" s="650"/>
      <c r="G780" s="650"/>
      <c r="H780" s="650"/>
      <c r="I780" s="650"/>
      <c r="J780" s="650"/>
      <c r="K780" s="650"/>
      <c r="L780" s="650"/>
      <c r="M780" s="650"/>
      <c r="N780" s="650"/>
      <c r="O780" s="650"/>
      <c r="P780" s="650"/>
      <c r="Q780" s="650"/>
      <c r="R780" s="650"/>
      <c r="S780" s="650"/>
      <c r="T780" s="650"/>
      <c r="U780" s="650"/>
      <c r="V780" s="650"/>
      <c r="W780" s="650"/>
      <c r="X780" s="650"/>
      <c r="Y780" s="650"/>
      <c r="Z780" s="650"/>
      <c r="AA780" s="650"/>
      <c r="AB780" s="650"/>
      <c r="AC780" s="650"/>
      <c r="AD780" s="650"/>
      <c r="AE780" s="650"/>
      <c r="AF780" s="650"/>
      <c r="AG780" s="650"/>
      <c r="AH780" s="650"/>
      <c r="AI780" s="650"/>
      <c r="AJ780" s="650"/>
      <c r="AK780" s="650"/>
      <c r="AL780" s="650"/>
      <c r="AM780" s="650"/>
      <c r="AN780" s="650"/>
      <c r="AO780" s="650"/>
      <c r="AP780" s="650"/>
      <c r="AQ780" s="650"/>
      <c r="AR780" s="650"/>
      <c r="AS780" s="650"/>
      <c r="AT780" s="650"/>
      <c r="AU780" s="650"/>
      <c r="AV780" s="650"/>
      <c r="AW780" s="650"/>
      <c r="AX780" s="650"/>
      <c r="AY780" s="650"/>
    </row>
    <row r="781" ht="21.75" customHeight="1">
      <c r="A781" s="650"/>
      <c r="B781" s="650"/>
      <c r="C781" s="650"/>
      <c r="D781" s="650"/>
      <c r="E781" s="650"/>
      <c r="F781" s="650"/>
      <c r="G781" s="650"/>
      <c r="H781" s="650"/>
      <c r="I781" s="650"/>
      <c r="J781" s="650"/>
      <c r="K781" s="650"/>
      <c r="L781" s="650"/>
      <c r="M781" s="650"/>
      <c r="N781" s="650"/>
      <c r="O781" s="650"/>
      <c r="P781" s="650"/>
      <c r="Q781" s="650"/>
      <c r="R781" s="650"/>
      <c r="S781" s="650"/>
      <c r="T781" s="650"/>
      <c r="U781" s="650"/>
      <c r="V781" s="650"/>
      <c r="W781" s="650"/>
      <c r="X781" s="650"/>
      <c r="Y781" s="650"/>
      <c r="Z781" s="650"/>
      <c r="AA781" s="650"/>
      <c r="AB781" s="650"/>
      <c r="AC781" s="650"/>
      <c r="AD781" s="650"/>
      <c r="AE781" s="650"/>
      <c r="AF781" s="650"/>
      <c r="AG781" s="650"/>
      <c r="AH781" s="650"/>
      <c r="AI781" s="650"/>
      <c r="AJ781" s="650"/>
      <c r="AK781" s="650"/>
      <c r="AL781" s="650"/>
      <c r="AM781" s="650"/>
      <c r="AN781" s="650"/>
      <c r="AO781" s="650"/>
      <c r="AP781" s="650"/>
      <c r="AQ781" s="650"/>
      <c r="AR781" s="650"/>
      <c r="AS781" s="650"/>
      <c r="AT781" s="650"/>
      <c r="AU781" s="650"/>
      <c r="AV781" s="650"/>
      <c r="AW781" s="650"/>
      <c r="AX781" s="650"/>
      <c r="AY781" s="650"/>
    </row>
    <row r="782" ht="21.75" customHeight="1">
      <c r="A782" s="650"/>
      <c r="B782" s="650"/>
      <c r="C782" s="650"/>
      <c r="D782" s="650"/>
      <c r="E782" s="650"/>
      <c r="F782" s="650"/>
      <c r="G782" s="650"/>
      <c r="H782" s="650"/>
      <c r="I782" s="650"/>
      <c r="J782" s="650"/>
      <c r="K782" s="650"/>
      <c r="L782" s="650"/>
      <c r="M782" s="650"/>
      <c r="N782" s="650"/>
      <c r="O782" s="650"/>
      <c r="P782" s="650"/>
      <c r="Q782" s="650"/>
      <c r="R782" s="650"/>
      <c r="S782" s="650"/>
      <c r="T782" s="650"/>
      <c r="U782" s="650"/>
      <c r="V782" s="650"/>
      <c r="W782" s="650"/>
      <c r="X782" s="650"/>
      <c r="Y782" s="650"/>
      <c r="Z782" s="650"/>
      <c r="AA782" s="650"/>
      <c r="AB782" s="650"/>
      <c r="AC782" s="650"/>
      <c r="AD782" s="650"/>
      <c r="AE782" s="650"/>
      <c r="AF782" s="650"/>
      <c r="AG782" s="650"/>
      <c r="AH782" s="650"/>
      <c r="AI782" s="650"/>
      <c r="AJ782" s="650"/>
      <c r="AK782" s="650"/>
      <c r="AL782" s="650"/>
      <c r="AM782" s="650"/>
      <c r="AN782" s="650"/>
      <c r="AO782" s="650"/>
      <c r="AP782" s="650"/>
      <c r="AQ782" s="650"/>
      <c r="AR782" s="650"/>
      <c r="AS782" s="650"/>
      <c r="AT782" s="650"/>
      <c r="AU782" s="650"/>
      <c r="AV782" s="650"/>
      <c r="AW782" s="650"/>
      <c r="AX782" s="650"/>
      <c r="AY782" s="650"/>
    </row>
    <row r="783" ht="21.75" customHeight="1">
      <c r="A783" s="650"/>
      <c r="B783" s="650"/>
      <c r="C783" s="650"/>
      <c r="D783" s="650"/>
      <c r="E783" s="650"/>
      <c r="F783" s="650"/>
      <c r="G783" s="650"/>
      <c r="H783" s="650"/>
      <c r="I783" s="650"/>
      <c r="J783" s="650"/>
      <c r="K783" s="650"/>
      <c r="L783" s="650"/>
      <c r="M783" s="650"/>
      <c r="N783" s="650"/>
      <c r="O783" s="650"/>
      <c r="P783" s="650"/>
      <c r="Q783" s="650"/>
      <c r="R783" s="650"/>
      <c r="S783" s="650"/>
      <c r="T783" s="650"/>
      <c r="U783" s="650"/>
      <c r="V783" s="650"/>
      <c r="W783" s="650"/>
      <c r="X783" s="650"/>
      <c r="Y783" s="650"/>
      <c r="Z783" s="650"/>
      <c r="AA783" s="650"/>
      <c r="AB783" s="650"/>
      <c r="AC783" s="650"/>
      <c r="AD783" s="650"/>
      <c r="AE783" s="650"/>
      <c r="AF783" s="650"/>
      <c r="AG783" s="650"/>
      <c r="AH783" s="650"/>
      <c r="AI783" s="650"/>
      <c r="AJ783" s="650"/>
      <c r="AK783" s="650"/>
      <c r="AL783" s="650"/>
      <c r="AM783" s="650"/>
      <c r="AN783" s="650"/>
      <c r="AO783" s="650"/>
      <c r="AP783" s="650"/>
      <c r="AQ783" s="650"/>
      <c r="AR783" s="650"/>
      <c r="AS783" s="650"/>
      <c r="AT783" s="650"/>
      <c r="AU783" s="650"/>
      <c r="AV783" s="650"/>
      <c r="AW783" s="650"/>
      <c r="AX783" s="650"/>
      <c r="AY783" s="650"/>
    </row>
    <row r="784" ht="21.75" customHeight="1">
      <c r="A784" s="650"/>
      <c r="B784" s="650"/>
      <c r="C784" s="650"/>
      <c r="D784" s="650"/>
      <c r="E784" s="650"/>
      <c r="F784" s="650"/>
      <c r="G784" s="650"/>
      <c r="H784" s="650"/>
      <c r="I784" s="650"/>
      <c r="J784" s="650"/>
      <c r="K784" s="650"/>
      <c r="L784" s="650"/>
      <c r="M784" s="650"/>
      <c r="N784" s="650"/>
      <c r="O784" s="650"/>
      <c r="P784" s="650"/>
      <c r="Q784" s="650"/>
      <c r="R784" s="650"/>
      <c r="S784" s="650"/>
      <c r="T784" s="650"/>
      <c r="U784" s="650"/>
      <c r="V784" s="650"/>
      <c r="W784" s="650"/>
      <c r="X784" s="650"/>
      <c r="Y784" s="650"/>
      <c r="Z784" s="650"/>
      <c r="AA784" s="650"/>
      <c r="AB784" s="650"/>
      <c r="AC784" s="650"/>
      <c r="AD784" s="650"/>
      <c r="AE784" s="650"/>
      <c r="AF784" s="650"/>
      <c r="AG784" s="650"/>
      <c r="AH784" s="650"/>
      <c r="AI784" s="650"/>
      <c r="AJ784" s="650"/>
      <c r="AK784" s="650"/>
      <c r="AL784" s="650"/>
      <c r="AM784" s="650"/>
      <c r="AN784" s="650"/>
      <c r="AO784" s="650"/>
      <c r="AP784" s="650"/>
      <c r="AQ784" s="650"/>
      <c r="AR784" s="650"/>
      <c r="AS784" s="650"/>
      <c r="AT784" s="650"/>
      <c r="AU784" s="650"/>
      <c r="AV784" s="650"/>
      <c r="AW784" s="650"/>
      <c r="AX784" s="650"/>
      <c r="AY784" s="650"/>
    </row>
    <row r="785" ht="21.75" customHeight="1">
      <c r="A785" s="650"/>
      <c r="B785" s="650"/>
      <c r="C785" s="650"/>
      <c r="D785" s="650"/>
      <c r="E785" s="650"/>
      <c r="F785" s="650"/>
      <c r="G785" s="650"/>
      <c r="H785" s="650"/>
      <c r="I785" s="650"/>
      <c r="J785" s="650"/>
      <c r="K785" s="650"/>
      <c r="L785" s="650"/>
      <c r="M785" s="650"/>
      <c r="N785" s="650"/>
      <c r="O785" s="650"/>
      <c r="P785" s="650"/>
      <c r="Q785" s="650"/>
      <c r="R785" s="650"/>
      <c r="S785" s="650"/>
      <c r="T785" s="650"/>
      <c r="U785" s="650"/>
      <c r="V785" s="650"/>
      <c r="W785" s="650"/>
      <c r="X785" s="650"/>
      <c r="Y785" s="650"/>
      <c r="Z785" s="650"/>
      <c r="AA785" s="650"/>
      <c r="AB785" s="650"/>
      <c r="AC785" s="650"/>
      <c r="AD785" s="650"/>
      <c r="AE785" s="650"/>
      <c r="AF785" s="650"/>
      <c r="AG785" s="650"/>
      <c r="AH785" s="650"/>
      <c r="AI785" s="650"/>
      <c r="AJ785" s="650"/>
      <c r="AK785" s="650"/>
      <c r="AL785" s="650"/>
      <c r="AM785" s="650"/>
      <c r="AN785" s="650"/>
      <c r="AO785" s="650"/>
      <c r="AP785" s="650"/>
      <c r="AQ785" s="650"/>
      <c r="AR785" s="650"/>
      <c r="AS785" s="650"/>
      <c r="AT785" s="650"/>
      <c r="AU785" s="650"/>
      <c r="AV785" s="650"/>
      <c r="AW785" s="650"/>
      <c r="AX785" s="650"/>
      <c r="AY785" s="650"/>
    </row>
    <row r="786" ht="21.75" customHeight="1">
      <c r="A786" s="650"/>
      <c r="B786" s="650"/>
      <c r="C786" s="650"/>
      <c r="D786" s="650"/>
      <c r="E786" s="650"/>
      <c r="F786" s="650"/>
      <c r="G786" s="650"/>
      <c r="H786" s="650"/>
      <c r="I786" s="650"/>
      <c r="J786" s="650"/>
      <c r="K786" s="650"/>
      <c r="L786" s="650"/>
      <c r="M786" s="650"/>
      <c r="N786" s="650"/>
      <c r="O786" s="650"/>
      <c r="P786" s="650"/>
      <c r="Q786" s="650"/>
      <c r="R786" s="650"/>
      <c r="S786" s="650"/>
      <c r="T786" s="650"/>
      <c r="U786" s="650"/>
      <c r="V786" s="650"/>
      <c r="W786" s="650"/>
      <c r="X786" s="650"/>
      <c r="Y786" s="650"/>
      <c r="Z786" s="650"/>
      <c r="AA786" s="650"/>
      <c r="AB786" s="650"/>
      <c r="AC786" s="650"/>
      <c r="AD786" s="650"/>
      <c r="AE786" s="650"/>
      <c r="AF786" s="650"/>
      <c r="AG786" s="650"/>
      <c r="AH786" s="650"/>
      <c r="AI786" s="650"/>
      <c r="AJ786" s="650"/>
      <c r="AK786" s="650"/>
      <c r="AL786" s="650"/>
      <c r="AM786" s="650"/>
      <c r="AN786" s="650"/>
      <c r="AO786" s="650"/>
      <c r="AP786" s="650"/>
      <c r="AQ786" s="650"/>
      <c r="AR786" s="650"/>
      <c r="AS786" s="650"/>
      <c r="AT786" s="650"/>
      <c r="AU786" s="650"/>
      <c r="AV786" s="650"/>
      <c r="AW786" s="650"/>
      <c r="AX786" s="650"/>
      <c r="AY786" s="650"/>
    </row>
    <row r="787" ht="21.75" customHeight="1">
      <c r="A787" s="650"/>
      <c r="B787" s="650"/>
      <c r="C787" s="650"/>
      <c r="D787" s="650"/>
      <c r="E787" s="650"/>
      <c r="F787" s="650"/>
      <c r="G787" s="650"/>
      <c r="H787" s="650"/>
      <c r="I787" s="650"/>
      <c r="J787" s="650"/>
      <c r="K787" s="650"/>
      <c r="L787" s="650"/>
      <c r="M787" s="650"/>
      <c r="N787" s="650"/>
      <c r="O787" s="650"/>
      <c r="P787" s="650"/>
      <c r="Q787" s="650"/>
      <c r="R787" s="650"/>
      <c r="S787" s="650"/>
      <c r="T787" s="650"/>
      <c r="U787" s="650"/>
      <c r="V787" s="650"/>
      <c r="W787" s="650"/>
      <c r="X787" s="650"/>
      <c r="Y787" s="650"/>
      <c r="Z787" s="650"/>
      <c r="AA787" s="650"/>
      <c r="AB787" s="650"/>
      <c r="AC787" s="650"/>
      <c r="AD787" s="650"/>
      <c r="AE787" s="650"/>
      <c r="AF787" s="650"/>
      <c r="AG787" s="650"/>
      <c r="AH787" s="650"/>
      <c r="AI787" s="650"/>
      <c r="AJ787" s="650"/>
      <c r="AK787" s="650"/>
      <c r="AL787" s="650"/>
      <c r="AM787" s="650"/>
      <c r="AN787" s="650"/>
      <c r="AO787" s="650"/>
      <c r="AP787" s="650"/>
      <c r="AQ787" s="650"/>
      <c r="AR787" s="650"/>
      <c r="AS787" s="650"/>
      <c r="AT787" s="650"/>
      <c r="AU787" s="650"/>
      <c r="AV787" s="650"/>
      <c r="AW787" s="650"/>
      <c r="AX787" s="650"/>
      <c r="AY787" s="650"/>
    </row>
    <row r="788" ht="21.75" customHeight="1">
      <c r="A788" s="650"/>
      <c r="B788" s="650"/>
      <c r="C788" s="650"/>
      <c r="D788" s="650"/>
      <c r="E788" s="650"/>
      <c r="F788" s="650"/>
      <c r="G788" s="650"/>
      <c r="H788" s="650"/>
      <c r="I788" s="650"/>
      <c r="J788" s="650"/>
      <c r="K788" s="650"/>
      <c r="L788" s="650"/>
      <c r="M788" s="650"/>
      <c r="N788" s="650"/>
      <c r="O788" s="650"/>
      <c r="P788" s="650"/>
      <c r="Q788" s="650"/>
      <c r="R788" s="650"/>
      <c r="S788" s="650"/>
      <c r="T788" s="650"/>
      <c r="U788" s="650"/>
      <c r="V788" s="650"/>
      <c r="W788" s="650"/>
      <c r="X788" s="650"/>
      <c r="Y788" s="650"/>
      <c r="Z788" s="650"/>
      <c r="AA788" s="650"/>
      <c r="AB788" s="650"/>
      <c r="AC788" s="650"/>
      <c r="AD788" s="650"/>
      <c r="AE788" s="650"/>
      <c r="AF788" s="650"/>
      <c r="AG788" s="650"/>
      <c r="AH788" s="650"/>
      <c r="AI788" s="650"/>
      <c r="AJ788" s="650"/>
      <c r="AK788" s="650"/>
      <c r="AL788" s="650"/>
      <c r="AM788" s="650"/>
      <c r="AN788" s="650"/>
      <c r="AO788" s="650"/>
      <c r="AP788" s="650"/>
      <c r="AQ788" s="650"/>
      <c r="AR788" s="650"/>
      <c r="AS788" s="650"/>
      <c r="AT788" s="650"/>
      <c r="AU788" s="650"/>
      <c r="AV788" s="650"/>
      <c r="AW788" s="650"/>
      <c r="AX788" s="650"/>
      <c r="AY788" s="650"/>
    </row>
    <row r="789" ht="21.75" customHeight="1">
      <c r="A789" s="650"/>
      <c r="B789" s="650"/>
      <c r="C789" s="650"/>
      <c r="D789" s="650"/>
      <c r="E789" s="650"/>
      <c r="F789" s="650"/>
      <c r="G789" s="650"/>
      <c r="H789" s="650"/>
      <c r="I789" s="650"/>
      <c r="J789" s="650"/>
      <c r="K789" s="650"/>
      <c r="L789" s="650"/>
      <c r="M789" s="650"/>
      <c r="N789" s="650"/>
      <c r="O789" s="650"/>
      <c r="P789" s="650"/>
      <c r="Q789" s="650"/>
      <c r="R789" s="650"/>
      <c r="S789" s="650"/>
      <c r="T789" s="650"/>
      <c r="U789" s="650"/>
      <c r="V789" s="650"/>
      <c r="W789" s="650"/>
      <c r="X789" s="650"/>
      <c r="Y789" s="650"/>
      <c r="Z789" s="650"/>
      <c r="AA789" s="650"/>
      <c r="AB789" s="650"/>
      <c r="AC789" s="650"/>
      <c r="AD789" s="650"/>
      <c r="AE789" s="650"/>
      <c r="AF789" s="650"/>
      <c r="AG789" s="650"/>
      <c r="AH789" s="650"/>
      <c r="AI789" s="650"/>
      <c r="AJ789" s="650"/>
      <c r="AK789" s="650"/>
      <c r="AL789" s="650"/>
      <c r="AM789" s="650"/>
      <c r="AN789" s="650"/>
      <c r="AO789" s="650"/>
      <c r="AP789" s="650"/>
      <c r="AQ789" s="650"/>
      <c r="AR789" s="650"/>
      <c r="AS789" s="650"/>
      <c r="AT789" s="650"/>
      <c r="AU789" s="650"/>
      <c r="AV789" s="650"/>
      <c r="AW789" s="650"/>
      <c r="AX789" s="650"/>
      <c r="AY789" s="650"/>
    </row>
    <row r="790" ht="21.75" customHeight="1">
      <c r="A790" s="650"/>
      <c r="B790" s="650"/>
      <c r="C790" s="650"/>
      <c r="D790" s="650"/>
      <c r="E790" s="650"/>
      <c r="F790" s="650"/>
      <c r="G790" s="650"/>
      <c r="H790" s="650"/>
      <c r="I790" s="650"/>
      <c r="J790" s="650"/>
      <c r="K790" s="650"/>
      <c r="L790" s="650"/>
      <c r="M790" s="650"/>
      <c r="N790" s="650"/>
      <c r="O790" s="650"/>
      <c r="P790" s="650"/>
      <c r="Q790" s="650"/>
      <c r="R790" s="650"/>
      <c r="S790" s="650"/>
      <c r="T790" s="650"/>
      <c r="U790" s="650"/>
      <c r="V790" s="650"/>
      <c r="W790" s="650"/>
      <c r="X790" s="650"/>
      <c r="Y790" s="650"/>
      <c r="Z790" s="650"/>
      <c r="AA790" s="650"/>
      <c r="AB790" s="650"/>
      <c r="AC790" s="650"/>
      <c r="AD790" s="650"/>
      <c r="AE790" s="650"/>
      <c r="AF790" s="650"/>
      <c r="AG790" s="650"/>
      <c r="AH790" s="650"/>
      <c r="AI790" s="650"/>
      <c r="AJ790" s="650"/>
      <c r="AK790" s="650"/>
      <c r="AL790" s="650"/>
      <c r="AM790" s="650"/>
      <c r="AN790" s="650"/>
      <c r="AO790" s="650"/>
      <c r="AP790" s="650"/>
      <c r="AQ790" s="650"/>
      <c r="AR790" s="650"/>
      <c r="AS790" s="650"/>
      <c r="AT790" s="650"/>
      <c r="AU790" s="650"/>
      <c r="AV790" s="650"/>
      <c r="AW790" s="650"/>
      <c r="AX790" s="650"/>
      <c r="AY790" s="650"/>
    </row>
    <row r="791" ht="21.75" customHeight="1">
      <c r="A791" s="650"/>
      <c r="B791" s="650"/>
      <c r="C791" s="650"/>
      <c r="D791" s="650"/>
      <c r="E791" s="650"/>
      <c r="F791" s="650"/>
      <c r="G791" s="650"/>
      <c r="H791" s="650"/>
      <c r="I791" s="650"/>
      <c r="J791" s="650"/>
      <c r="K791" s="650"/>
      <c r="L791" s="650"/>
      <c r="M791" s="650"/>
      <c r="N791" s="650"/>
      <c r="O791" s="650"/>
      <c r="P791" s="650"/>
      <c r="Q791" s="650"/>
      <c r="R791" s="650"/>
      <c r="S791" s="650"/>
      <c r="T791" s="650"/>
      <c r="U791" s="650"/>
      <c r="V791" s="650"/>
      <c r="W791" s="650"/>
      <c r="X791" s="650"/>
      <c r="Y791" s="650"/>
      <c r="Z791" s="650"/>
      <c r="AA791" s="650"/>
      <c r="AB791" s="650"/>
      <c r="AC791" s="650"/>
      <c r="AD791" s="650"/>
      <c r="AE791" s="650"/>
      <c r="AF791" s="650"/>
      <c r="AG791" s="650"/>
      <c r="AH791" s="650"/>
      <c r="AI791" s="650"/>
      <c r="AJ791" s="650"/>
      <c r="AK791" s="650"/>
      <c r="AL791" s="650"/>
      <c r="AM791" s="650"/>
      <c r="AN791" s="650"/>
      <c r="AO791" s="650"/>
      <c r="AP791" s="650"/>
      <c r="AQ791" s="650"/>
      <c r="AR791" s="650"/>
      <c r="AS791" s="650"/>
      <c r="AT791" s="650"/>
      <c r="AU791" s="650"/>
      <c r="AV791" s="650"/>
      <c r="AW791" s="650"/>
      <c r="AX791" s="650"/>
      <c r="AY791" s="650"/>
    </row>
    <row r="792" ht="21.75" customHeight="1">
      <c r="A792" s="650"/>
      <c r="B792" s="650"/>
      <c r="C792" s="650"/>
      <c r="D792" s="650"/>
      <c r="E792" s="650"/>
      <c r="F792" s="650"/>
      <c r="G792" s="650"/>
      <c r="H792" s="650"/>
      <c r="I792" s="650"/>
      <c r="J792" s="650"/>
      <c r="K792" s="650"/>
      <c r="L792" s="650"/>
      <c r="M792" s="650"/>
      <c r="N792" s="650"/>
      <c r="O792" s="650"/>
      <c r="P792" s="650"/>
      <c r="Q792" s="650"/>
      <c r="R792" s="650"/>
      <c r="S792" s="650"/>
      <c r="T792" s="650"/>
      <c r="U792" s="650"/>
      <c r="V792" s="650"/>
      <c r="W792" s="650"/>
      <c r="X792" s="650"/>
      <c r="Y792" s="650"/>
      <c r="Z792" s="650"/>
      <c r="AA792" s="650"/>
      <c r="AB792" s="650"/>
      <c r="AC792" s="650"/>
      <c r="AD792" s="650"/>
      <c r="AE792" s="650"/>
      <c r="AF792" s="650"/>
      <c r="AG792" s="650"/>
      <c r="AH792" s="650"/>
      <c r="AI792" s="650"/>
      <c r="AJ792" s="650"/>
      <c r="AK792" s="650"/>
      <c r="AL792" s="650"/>
      <c r="AM792" s="650"/>
      <c r="AN792" s="650"/>
      <c r="AO792" s="650"/>
      <c r="AP792" s="650"/>
      <c r="AQ792" s="650"/>
      <c r="AR792" s="650"/>
      <c r="AS792" s="650"/>
      <c r="AT792" s="650"/>
      <c r="AU792" s="650"/>
      <c r="AV792" s="650"/>
      <c r="AW792" s="650"/>
      <c r="AX792" s="650"/>
      <c r="AY792" s="650"/>
    </row>
    <row r="793" ht="21.75" customHeight="1">
      <c r="A793" s="650"/>
      <c r="B793" s="650"/>
      <c r="C793" s="650"/>
      <c r="D793" s="650"/>
      <c r="E793" s="650"/>
      <c r="F793" s="650"/>
      <c r="G793" s="650"/>
      <c r="H793" s="650"/>
      <c r="I793" s="650"/>
      <c r="J793" s="650"/>
      <c r="K793" s="650"/>
      <c r="L793" s="650"/>
      <c r="M793" s="650"/>
      <c r="N793" s="650"/>
      <c r="O793" s="650"/>
      <c r="P793" s="650"/>
      <c r="Q793" s="650"/>
      <c r="R793" s="650"/>
      <c r="S793" s="650"/>
      <c r="T793" s="650"/>
      <c r="U793" s="650"/>
      <c r="V793" s="650"/>
      <c r="W793" s="650"/>
      <c r="X793" s="650"/>
      <c r="Y793" s="650"/>
      <c r="Z793" s="650"/>
      <c r="AA793" s="650"/>
      <c r="AB793" s="650"/>
      <c r="AC793" s="650"/>
      <c r="AD793" s="650"/>
      <c r="AE793" s="650"/>
      <c r="AF793" s="650"/>
      <c r="AG793" s="650"/>
      <c r="AH793" s="650"/>
      <c r="AI793" s="650"/>
      <c r="AJ793" s="650"/>
      <c r="AK793" s="650"/>
      <c r="AL793" s="650"/>
      <c r="AM793" s="650"/>
      <c r="AN793" s="650"/>
      <c r="AO793" s="650"/>
      <c r="AP793" s="650"/>
      <c r="AQ793" s="650"/>
      <c r="AR793" s="650"/>
      <c r="AS793" s="650"/>
      <c r="AT793" s="650"/>
      <c r="AU793" s="650"/>
      <c r="AV793" s="650"/>
      <c r="AW793" s="650"/>
      <c r="AX793" s="650"/>
      <c r="AY793" s="650"/>
    </row>
    <row r="794" ht="21.75" customHeight="1">
      <c r="A794" s="650"/>
      <c r="B794" s="650"/>
      <c r="C794" s="650"/>
      <c r="D794" s="650"/>
      <c r="E794" s="650"/>
      <c r="F794" s="650"/>
      <c r="G794" s="650"/>
      <c r="H794" s="650"/>
      <c r="I794" s="650"/>
      <c r="J794" s="650"/>
      <c r="K794" s="650"/>
      <c r="L794" s="650"/>
      <c r="M794" s="650"/>
      <c r="N794" s="650"/>
      <c r="O794" s="650"/>
      <c r="P794" s="650"/>
      <c r="Q794" s="650"/>
      <c r="R794" s="650"/>
      <c r="S794" s="650"/>
      <c r="T794" s="650"/>
      <c r="U794" s="650"/>
      <c r="V794" s="650"/>
      <c r="W794" s="650"/>
      <c r="X794" s="650"/>
      <c r="Y794" s="650"/>
      <c r="Z794" s="650"/>
      <c r="AA794" s="650"/>
      <c r="AB794" s="650"/>
      <c r="AC794" s="650"/>
      <c r="AD794" s="650"/>
      <c r="AE794" s="650"/>
      <c r="AF794" s="650"/>
      <c r="AG794" s="650"/>
      <c r="AH794" s="650"/>
      <c r="AI794" s="650"/>
      <c r="AJ794" s="650"/>
      <c r="AK794" s="650"/>
      <c r="AL794" s="650"/>
      <c r="AM794" s="650"/>
      <c r="AN794" s="650"/>
      <c r="AO794" s="650"/>
      <c r="AP794" s="650"/>
      <c r="AQ794" s="650"/>
      <c r="AR794" s="650"/>
      <c r="AS794" s="650"/>
      <c r="AT794" s="650"/>
      <c r="AU794" s="650"/>
      <c r="AV794" s="650"/>
      <c r="AW794" s="650"/>
      <c r="AX794" s="650"/>
      <c r="AY794" s="650"/>
    </row>
    <row r="795" ht="21.75" customHeight="1">
      <c r="A795" s="650"/>
      <c r="B795" s="650"/>
      <c r="C795" s="650"/>
      <c r="D795" s="650"/>
      <c r="E795" s="650"/>
      <c r="F795" s="650"/>
      <c r="G795" s="650"/>
      <c r="H795" s="650"/>
      <c r="I795" s="650"/>
      <c r="J795" s="650"/>
      <c r="K795" s="650"/>
      <c r="L795" s="650"/>
      <c r="M795" s="650"/>
      <c r="N795" s="650"/>
      <c r="O795" s="650"/>
      <c r="P795" s="650"/>
      <c r="Q795" s="650"/>
      <c r="R795" s="650"/>
      <c r="S795" s="650"/>
      <c r="T795" s="650"/>
      <c r="U795" s="650"/>
      <c r="V795" s="650"/>
      <c r="W795" s="650"/>
      <c r="X795" s="650"/>
      <c r="Y795" s="650"/>
      <c r="Z795" s="650"/>
      <c r="AA795" s="650"/>
      <c r="AB795" s="650"/>
      <c r="AC795" s="650"/>
      <c r="AD795" s="650"/>
      <c r="AE795" s="650"/>
      <c r="AF795" s="650"/>
      <c r="AG795" s="650"/>
      <c r="AH795" s="650"/>
      <c r="AI795" s="650"/>
      <c r="AJ795" s="650"/>
      <c r="AK795" s="650"/>
      <c r="AL795" s="650"/>
      <c r="AM795" s="650"/>
      <c r="AN795" s="650"/>
      <c r="AO795" s="650"/>
      <c r="AP795" s="650"/>
      <c r="AQ795" s="650"/>
      <c r="AR795" s="650"/>
      <c r="AS795" s="650"/>
      <c r="AT795" s="650"/>
      <c r="AU795" s="650"/>
      <c r="AV795" s="650"/>
      <c r="AW795" s="650"/>
      <c r="AX795" s="650"/>
      <c r="AY795" s="650"/>
    </row>
    <row r="796" ht="21.75" customHeight="1">
      <c r="A796" s="650"/>
      <c r="B796" s="650"/>
      <c r="C796" s="650"/>
      <c r="D796" s="650"/>
      <c r="E796" s="650"/>
      <c r="F796" s="650"/>
      <c r="G796" s="650"/>
      <c r="H796" s="650"/>
      <c r="I796" s="650"/>
      <c r="J796" s="650"/>
      <c r="K796" s="650"/>
      <c r="L796" s="650"/>
      <c r="M796" s="650"/>
      <c r="N796" s="650"/>
      <c r="O796" s="650"/>
      <c r="P796" s="650"/>
      <c r="Q796" s="650"/>
      <c r="R796" s="650"/>
      <c r="S796" s="650"/>
      <c r="T796" s="650"/>
      <c r="U796" s="650"/>
      <c r="V796" s="650"/>
      <c r="W796" s="650"/>
      <c r="X796" s="650"/>
      <c r="Y796" s="650"/>
      <c r="Z796" s="650"/>
      <c r="AA796" s="650"/>
      <c r="AB796" s="650"/>
      <c r="AC796" s="650"/>
      <c r="AD796" s="650"/>
      <c r="AE796" s="650"/>
      <c r="AF796" s="650"/>
      <c r="AG796" s="650"/>
      <c r="AH796" s="650"/>
      <c r="AI796" s="650"/>
      <c r="AJ796" s="650"/>
      <c r="AK796" s="650"/>
      <c r="AL796" s="650"/>
      <c r="AM796" s="650"/>
      <c r="AN796" s="650"/>
      <c r="AO796" s="650"/>
      <c r="AP796" s="650"/>
      <c r="AQ796" s="650"/>
      <c r="AR796" s="650"/>
      <c r="AS796" s="650"/>
      <c r="AT796" s="650"/>
      <c r="AU796" s="650"/>
      <c r="AV796" s="650"/>
      <c r="AW796" s="650"/>
      <c r="AX796" s="650"/>
      <c r="AY796" s="650"/>
    </row>
    <row r="797" ht="21.75" customHeight="1">
      <c r="A797" s="650"/>
      <c r="B797" s="650"/>
      <c r="C797" s="650"/>
      <c r="D797" s="650"/>
      <c r="E797" s="650"/>
      <c r="F797" s="650"/>
      <c r="G797" s="650"/>
      <c r="H797" s="650"/>
      <c r="I797" s="650"/>
      <c r="J797" s="650"/>
      <c r="K797" s="650"/>
      <c r="L797" s="650"/>
      <c r="M797" s="650"/>
      <c r="N797" s="650"/>
      <c r="O797" s="650"/>
      <c r="P797" s="650"/>
      <c r="Q797" s="650"/>
      <c r="R797" s="650"/>
      <c r="S797" s="650"/>
      <c r="T797" s="650"/>
      <c r="U797" s="650"/>
      <c r="V797" s="650"/>
      <c r="W797" s="650"/>
      <c r="X797" s="650"/>
      <c r="Y797" s="650"/>
      <c r="Z797" s="650"/>
      <c r="AA797" s="650"/>
      <c r="AB797" s="650"/>
      <c r="AC797" s="650"/>
      <c r="AD797" s="650"/>
      <c r="AE797" s="650"/>
      <c r="AF797" s="650"/>
      <c r="AG797" s="650"/>
      <c r="AH797" s="650"/>
      <c r="AI797" s="650"/>
      <c r="AJ797" s="650"/>
      <c r="AK797" s="650"/>
      <c r="AL797" s="650"/>
      <c r="AM797" s="650"/>
      <c r="AN797" s="650"/>
      <c r="AO797" s="650"/>
      <c r="AP797" s="650"/>
      <c r="AQ797" s="650"/>
      <c r="AR797" s="650"/>
      <c r="AS797" s="650"/>
      <c r="AT797" s="650"/>
      <c r="AU797" s="650"/>
      <c r="AV797" s="650"/>
      <c r="AW797" s="650"/>
      <c r="AX797" s="650"/>
      <c r="AY797" s="650"/>
    </row>
    <row r="798" ht="21.75" customHeight="1">
      <c r="A798" s="650"/>
      <c r="B798" s="650"/>
      <c r="C798" s="650"/>
      <c r="D798" s="650"/>
      <c r="E798" s="650"/>
      <c r="F798" s="650"/>
      <c r="G798" s="650"/>
      <c r="H798" s="650"/>
      <c r="I798" s="650"/>
      <c r="J798" s="650"/>
      <c r="K798" s="650"/>
      <c r="L798" s="650"/>
      <c r="M798" s="650"/>
      <c r="N798" s="650"/>
      <c r="O798" s="650"/>
      <c r="P798" s="650"/>
      <c r="Q798" s="650"/>
      <c r="R798" s="650"/>
      <c r="S798" s="650"/>
      <c r="T798" s="650"/>
      <c r="U798" s="650"/>
      <c r="V798" s="650"/>
      <c r="W798" s="650"/>
      <c r="X798" s="650"/>
      <c r="Y798" s="650"/>
      <c r="Z798" s="650"/>
      <c r="AA798" s="650"/>
      <c r="AB798" s="650"/>
      <c r="AC798" s="650"/>
      <c r="AD798" s="650"/>
      <c r="AE798" s="650"/>
      <c r="AF798" s="650"/>
      <c r="AG798" s="650"/>
      <c r="AH798" s="650"/>
      <c r="AI798" s="650"/>
      <c r="AJ798" s="650"/>
      <c r="AK798" s="650"/>
      <c r="AL798" s="650"/>
      <c r="AM798" s="650"/>
      <c r="AN798" s="650"/>
      <c r="AO798" s="650"/>
      <c r="AP798" s="650"/>
      <c r="AQ798" s="650"/>
      <c r="AR798" s="650"/>
      <c r="AS798" s="650"/>
      <c r="AT798" s="650"/>
      <c r="AU798" s="650"/>
      <c r="AV798" s="650"/>
      <c r="AW798" s="650"/>
      <c r="AX798" s="650"/>
      <c r="AY798" s="650"/>
    </row>
    <row r="799" ht="21.75" customHeight="1">
      <c r="A799" s="650"/>
      <c r="B799" s="650"/>
      <c r="C799" s="650"/>
      <c r="D799" s="650"/>
      <c r="E799" s="650"/>
      <c r="F799" s="650"/>
      <c r="G799" s="650"/>
      <c r="H799" s="650"/>
      <c r="I799" s="650"/>
      <c r="J799" s="650"/>
      <c r="K799" s="650"/>
      <c r="L799" s="650"/>
      <c r="M799" s="650"/>
      <c r="N799" s="650"/>
      <c r="O799" s="650"/>
      <c r="P799" s="650"/>
      <c r="Q799" s="650"/>
      <c r="R799" s="650"/>
      <c r="S799" s="650"/>
      <c r="T799" s="650"/>
      <c r="U799" s="650"/>
      <c r="V799" s="650"/>
      <c r="W799" s="650"/>
      <c r="X799" s="650"/>
      <c r="Y799" s="650"/>
      <c r="Z799" s="650"/>
      <c r="AA799" s="650"/>
      <c r="AB799" s="650"/>
      <c r="AC799" s="650"/>
      <c r="AD799" s="650"/>
      <c r="AE799" s="650"/>
      <c r="AF799" s="650"/>
      <c r="AG799" s="650"/>
      <c r="AH799" s="650"/>
      <c r="AI799" s="650"/>
      <c r="AJ799" s="650"/>
      <c r="AK799" s="650"/>
      <c r="AL799" s="650"/>
      <c r="AM799" s="650"/>
      <c r="AN799" s="650"/>
      <c r="AO799" s="650"/>
      <c r="AP799" s="650"/>
      <c r="AQ799" s="650"/>
      <c r="AR799" s="650"/>
      <c r="AS799" s="650"/>
      <c r="AT799" s="650"/>
      <c r="AU799" s="650"/>
      <c r="AV799" s="650"/>
      <c r="AW799" s="650"/>
      <c r="AX799" s="650"/>
      <c r="AY799" s="650"/>
    </row>
    <row r="800" ht="21.75" customHeight="1">
      <c r="A800" s="650"/>
      <c r="B800" s="650"/>
      <c r="C800" s="650"/>
      <c r="D800" s="650"/>
      <c r="E800" s="650"/>
      <c r="F800" s="650"/>
      <c r="G800" s="650"/>
      <c r="H800" s="650"/>
      <c r="I800" s="650"/>
      <c r="J800" s="650"/>
      <c r="K800" s="650"/>
      <c r="L800" s="650"/>
      <c r="M800" s="650"/>
      <c r="N800" s="650"/>
      <c r="O800" s="650"/>
      <c r="P800" s="650"/>
      <c r="Q800" s="650"/>
      <c r="R800" s="650"/>
      <c r="S800" s="650"/>
      <c r="T800" s="650"/>
      <c r="U800" s="650"/>
      <c r="V800" s="650"/>
      <c r="W800" s="650"/>
      <c r="X800" s="650"/>
      <c r="Y800" s="650"/>
      <c r="Z800" s="650"/>
      <c r="AA800" s="650"/>
      <c r="AB800" s="650"/>
      <c r="AC800" s="650"/>
      <c r="AD800" s="650"/>
      <c r="AE800" s="650"/>
      <c r="AF800" s="650"/>
      <c r="AG800" s="650"/>
      <c r="AH800" s="650"/>
      <c r="AI800" s="650"/>
      <c r="AJ800" s="650"/>
      <c r="AK800" s="650"/>
      <c r="AL800" s="650"/>
      <c r="AM800" s="650"/>
      <c r="AN800" s="650"/>
      <c r="AO800" s="650"/>
      <c r="AP800" s="650"/>
      <c r="AQ800" s="650"/>
      <c r="AR800" s="650"/>
      <c r="AS800" s="650"/>
      <c r="AT800" s="650"/>
      <c r="AU800" s="650"/>
      <c r="AV800" s="650"/>
      <c r="AW800" s="650"/>
      <c r="AX800" s="650"/>
      <c r="AY800" s="650"/>
    </row>
    <row r="801" ht="21.75" customHeight="1">
      <c r="A801" s="650"/>
      <c r="B801" s="650"/>
      <c r="C801" s="650"/>
      <c r="D801" s="650"/>
      <c r="E801" s="650"/>
      <c r="F801" s="650"/>
      <c r="G801" s="650"/>
      <c r="H801" s="650"/>
      <c r="I801" s="650"/>
      <c r="J801" s="650"/>
      <c r="K801" s="650"/>
      <c r="L801" s="650"/>
      <c r="M801" s="650"/>
      <c r="N801" s="650"/>
      <c r="O801" s="650"/>
      <c r="P801" s="650"/>
      <c r="Q801" s="650"/>
      <c r="R801" s="650"/>
      <c r="S801" s="650"/>
      <c r="T801" s="650"/>
      <c r="U801" s="650"/>
      <c r="V801" s="650"/>
      <c r="W801" s="650"/>
      <c r="X801" s="650"/>
      <c r="Y801" s="650"/>
      <c r="Z801" s="650"/>
      <c r="AA801" s="650"/>
      <c r="AB801" s="650"/>
      <c r="AC801" s="650"/>
      <c r="AD801" s="650"/>
      <c r="AE801" s="650"/>
      <c r="AF801" s="650"/>
      <c r="AG801" s="650"/>
      <c r="AH801" s="650"/>
      <c r="AI801" s="650"/>
      <c r="AJ801" s="650"/>
      <c r="AK801" s="650"/>
      <c r="AL801" s="650"/>
      <c r="AM801" s="650"/>
      <c r="AN801" s="650"/>
      <c r="AO801" s="650"/>
      <c r="AP801" s="650"/>
      <c r="AQ801" s="650"/>
      <c r="AR801" s="650"/>
      <c r="AS801" s="650"/>
      <c r="AT801" s="650"/>
      <c r="AU801" s="650"/>
      <c r="AV801" s="650"/>
      <c r="AW801" s="650"/>
      <c r="AX801" s="650"/>
      <c r="AY801" s="650"/>
    </row>
    <row r="802" ht="21.75" customHeight="1">
      <c r="A802" s="650"/>
      <c r="B802" s="650"/>
      <c r="C802" s="650"/>
      <c r="D802" s="650"/>
      <c r="E802" s="650"/>
      <c r="F802" s="650"/>
      <c r="G802" s="650"/>
      <c r="H802" s="650"/>
      <c r="I802" s="650"/>
      <c r="J802" s="650"/>
      <c r="K802" s="650"/>
      <c r="L802" s="650"/>
      <c r="M802" s="650"/>
      <c r="N802" s="650"/>
      <c r="O802" s="650"/>
      <c r="P802" s="650"/>
      <c r="Q802" s="650"/>
      <c r="R802" s="650"/>
      <c r="S802" s="650"/>
      <c r="T802" s="650"/>
      <c r="U802" s="650"/>
      <c r="V802" s="650"/>
      <c r="W802" s="650"/>
      <c r="X802" s="650"/>
      <c r="Y802" s="650"/>
      <c r="Z802" s="650"/>
      <c r="AA802" s="650"/>
      <c r="AB802" s="650"/>
      <c r="AC802" s="650"/>
      <c r="AD802" s="650"/>
      <c r="AE802" s="650"/>
      <c r="AF802" s="650"/>
      <c r="AG802" s="650"/>
      <c r="AH802" s="650"/>
      <c r="AI802" s="650"/>
      <c r="AJ802" s="650"/>
      <c r="AK802" s="650"/>
      <c r="AL802" s="650"/>
      <c r="AM802" s="650"/>
      <c r="AN802" s="650"/>
      <c r="AO802" s="650"/>
      <c r="AP802" s="650"/>
      <c r="AQ802" s="650"/>
      <c r="AR802" s="650"/>
      <c r="AS802" s="650"/>
      <c r="AT802" s="650"/>
      <c r="AU802" s="650"/>
      <c r="AV802" s="650"/>
      <c r="AW802" s="650"/>
      <c r="AX802" s="650"/>
      <c r="AY802" s="650"/>
    </row>
    <row r="803" ht="21.75" customHeight="1">
      <c r="A803" s="650"/>
      <c r="B803" s="650"/>
      <c r="C803" s="650"/>
      <c r="D803" s="650"/>
      <c r="E803" s="650"/>
      <c r="F803" s="650"/>
      <c r="G803" s="650"/>
      <c r="H803" s="650"/>
      <c r="I803" s="650"/>
      <c r="J803" s="650"/>
      <c r="K803" s="650"/>
      <c r="L803" s="650"/>
      <c r="M803" s="650"/>
      <c r="N803" s="650"/>
      <c r="O803" s="650"/>
      <c r="P803" s="650"/>
      <c r="Q803" s="650"/>
      <c r="R803" s="650"/>
      <c r="S803" s="650"/>
      <c r="T803" s="650"/>
      <c r="U803" s="650"/>
      <c r="V803" s="650"/>
      <c r="W803" s="650"/>
      <c r="X803" s="650"/>
      <c r="Y803" s="650"/>
      <c r="Z803" s="650"/>
      <c r="AA803" s="650"/>
      <c r="AB803" s="650"/>
      <c r="AC803" s="650"/>
      <c r="AD803" s="650"/>
      <c r="AE803" s="650"/>
      <c r="AF803" s="650"/>
      <c r="AG803" s="650"/>
      <c r="AH803" s="650"/>
      <c r="AI803" s="650"/>
      <c r="AJ803" s="650"/>
      <c r="AK803" s="650"/>
      <c r="AL803" s="650"/>
      <c r="AM803" s="650"/>
      <c r="AN803" s="650"/>
      <c r="AO803" s="650"/>
      <c r="AP803" s="650"/>
      <c r="AQ803" s="650"/>
      <c r="AR803" s="650"/>
      <c r="AS803" s="650"/>
      <c r="AT803" s="650"/>
      <c r="AU803" s="650"/>
      <c r="AV803" s="650"/>
      <c r="AW803" s="650"/>
      <c r="AX803" s="650"/>
      <c r="AY803" s="650"/>
    </row>
    <row r="804" ht="21.75" customHeight="1">
      <c r="A804" s="650"/>
      <c r="B804" s="650"/>
      <c r="C804" s="650"/>
      <c r="D804" s="650"/>
      <c r="E804" s="650"/>
      <c r="F804" s="650"/>
      <c r="G804" s="650"/>
      <c r="H804" s="650"/>
      <c r="I804" s="650"/>
      <c r="J804" s="650"/>
      <c r="K804" s="650"/>
      <c r="L804" s="650"/>
      <c r="M804" s="650"/>
      <c r="N804" s="650"/>
      <c r="O804" s="650"/>
      <c r="P804" s="650"/>
      <c r="Q804" s="650"/>
      <c r="R804" s="650"/>
      <c r="S804" s="650"/>
      <c r="T804" s="650"/>
      <c r="U804" s="650"/>
      <c r="V804" s="650"/>
      <c r="W804" s="650"/>
      <c r="X804" s="650"/>
      <c r="Y804" s="650"/>
      <c r="Z804" s="650"/>
      <c r="AA804" s="650"/>
      <c r="AB804" s="650"/>
      <c r="AC804" s="650"/>
      <c r="AD804" s="650"/>
      <c r="AE804" s="650"/>
      <c r="AF804" s="650"/>
      <c r="AG804" s="650"/>
      <c r="AH804" s="650"/>
      <c r="AI804" s="650"/>
      <c r="AJ804" s="650"/>
      <c r="AK804" s="650"/>
      <c r="AL804" s="650"/>
      <c r="AM804" s="650"/>
      <c r="AN804" s="650"/>
      <c r="AO804" s="650"/>
      <c r="AP804" s="650"/>
      <c r="AQ804" s="650"/>
      <c r="AR804" s="650"/>
      <c r="AS804" s="650"/>
      <c r="AT804" s="650"/>
      <c r="AU804" s="650"/>
      <c r="AV804" s="650"/>
      <c r="AW804" s="650"/>
      <c r="AX804" s="650"/>
      <c r="AY804" s="650"/>
    </row>
    <row r="805" ht="21.75" customHeight="1">
      <c r="A805" s="650"/>
      <c r="B805" s="650"/>
      <c r="C805" s="650"/>
      <c r="D805" s="650"/>
      <c r="E805" s="650"/>
      <c r="F805" s="650"/>
      <c r="G805" s="650"/>
      <c r="H805" s="650"/>
      <c r="I805" s="650"/>
      <c r="J805" s="650"/>
      <c r="K805" s="650"/>
      <c r="L805" s="650"/>
      <c r="M805" s="650"/>
      <c r="N805" s="650"/>
      <c r="O805" s="650"/>
      <c r="P805" s="650"/>
      <c r="Q805" s="650"/>
      <c r="R805" s="650"/>
      <c r="S805" s="650"/>
      <c r="T805" s="650"/>
      <c r="U805" s="650"/>
      <c r="V805" s="650"/>
      <c r="W805" s="650"/>
      <c r="X805" s="650"/>
      <c r="Y805" s="650"/>
      <c r="Z805" s="650"/>
      <c r="AA805" s="650"/>
      <c r="AB805" s="650"/>
      <c r="AC805" s="650"/>
      <c r="AD805" s="650"/>
      <c r="AE805" s="650"/>
      <c r="AF805" s="650"/>
      <c r="AG805" s="650"/>
      <c r="AH805" s="650"/>
      <c r="AI805" s="650"/>
      <c r="AJ805" s="650"/>
      <c r="AK805" s="650"/>
      <c r="AL805" s="650"/>
      <c r="AM805" s="650"/>
      <c r="AN805" s="650"/>
      <c r="AO805" s="650"/>
      <c r="AP805" s="650"/>
      <c r="AQ805" s="650"/>
      <c r="AR805" s="650"/>
      <c r="AS805" s="650"/>
      <c r="AT805" s="650"/>
      <c r="AU805" s="650"/>
      <c r="AV805" s="650"/>
      <c r="AW805" s="650"/>
      <c r="AX805" s="650"/>
      <c r="AY805" s="650"/>
    </row>
    <row r="806" ht="21.75" customHeight="1">
      <c r="A806" s="650"/>
      <c r="B806" s="650"/>
      <c r="C806" s="650"/>
      <c r="D806" s="650"/>
      <c r="E806" s="650"/>
      <c r="F806" s="650"/>
      <c r="G806" s="650"/>
      <c r="H806" s="650"/>
      <c r="I806" s="650"/>
      <c r="J806" s="650"/>
      <c r="K806" s="650"/>
      <c r="L806" s="650"/>
      <c r="M806" s="650"/>
      <c r="N806" s="650"/>
      <c r="O806" s="650"/>
      <c r="P806" s="650"/>
      <c r="Q806" s="650"/>
      <c r="R806" s="650"/>
      <c r="S806" s="650"/>
      <c r="T806" s="650"/>
      <c r="U806" s="650"/>
      <c r="V806" s="650"/>
      <c r="W806" s="650"/>
      <c r="X806" s="650"/>
      <c r="Y806" s="650"/>
      <c r="Z806" s="650"/>
      <c r="AA806" s="650"/>
      <c r="AB806" s="650"/>
      <c r="AC806" s="650"/>
      <c r="AD806" s="650"/>
      <c r="AE806" s="650"/>
      <c r="AF806" s="650"/>
      <c r="AG806" s="650"/>
      <c r="AH806" s="650"/>
      <c r="AI806" s="650"/>
      <c r="AJ806" s="650"/>
      <c r="AK806" s="650"/>
      <c r="AL806" s="650"/>
      <c r="AM806" s="650"/>
      <c r="AN806" s="650"/>
      <c r="AO806" s="650"/>
      <c r="AP806" s="650"/>
      <c r="AQ806" s="650"/>
      <c r="AR806" s="650"/>
      <c r="AS806" s="650"/>
      <c r="AT806" s="650"/>
      <c r="AU806" s="650"/>
      <c r="AV806" s="650"/>
      <c r="AW806" s="650"/>
      <c r="AX806" s="650"/>
      <c r="AY806" s="650"/>
    </row>
    <row r="807" ht="21.75" customHeight="1">
      <c r="A807" s="650"/>
      <c r="B807" s="650"/>
      <c r="C807" s="650"/>
      <c r="D807" s="650"/>
      <c r="E807" s="650"/>
      <c r="F807" s="650"/>
      <c r="G807" s="650"/>
      <c r="H807" s="650"/>
      <c r="I807" s="650"/>
      <c r="J807" s="650"/>
      <c r="K807" s="650"/>
      <c r="L807" s="650"/>
      <c r="M807" s="650"/>
      <c r="N807" s="650"/>
      <c r="O807" s="650"/>
      <c r="P807" s="650"/>
      <c r="Q807" s="650"/>
      <c r="R807" s="650"/>
      <c r="S807" s="650"/>
      <c r="T807" s="650"/>
      <c r="U807" s="650"/>
      <c r="V807" s="650"/>
      <c r="W807" s="650"/>
      <c r="X807" s="650"/>
      <c r="Y807" s="650"/>
      <c r="Z807" s="650"/>
      <c r="AA807" s="650"/>
      <c r="AB807" s="650"/>
      <c r="AC807" s="650"/>
      <c r="AD807" s="650"/>
      <c r="AE807" s="650"/>
      <c r="AF807" s="650"/>
      <c r="AG807" s="650"/>
      <c r="AH807" s="650"/>
      <c r="AI807" s="650"/>
      <c r="AJ807" s="650"/>
      <c r="AK807" s="650"/>
      <c r="AL807" s="650"/>
      <c r="AM807" s="650"/>
      <c r="AN807" s="650"/>
      <c r="AO807" s="650"/>
      <c r="AP807" s="650"/>
      <c r="AQ807" s="650"/>
      <c r="AR807" s="650"/>
      <c r="AS807" s="650"/>
      <c r="AT807" s="650"/>
      <c r="AU807" s="650"/>
      <c r="AV807" s="650"/>
      <c r="AW807" s="650"/>
      <c r="AX807" s="650"/>
      <c r="AY807" s="650"/>
    </row>
    <row r="808" ht="21.75" customHeight="1">
      <c r="A808" s="650"/>
      <c r="B808" s="650"/>
      <c r="C808" s="650"/>
      <c r="D808" s="650"/>
      <c r="E808" s="650"/>
      <c r="F808" s="650"/>
      <c r="G808" s="650"/>
      <c r="H808" s="650"/>
      <c r="I808" s="650"/>
      <c r="J808" s="650"/>
      <c r="K808" s="650"/>
      <c r="L808" s="650"/>
      <c r="M808" s="650"/>
      <c r="N808" s="650"/>
      <c r="O808" s="650"/>
      <c r="P808" s="650"/>
      <c r="Q808" s="650"/>
      <c r="R808" s="650"/>
      <c r="S808" s="650"/>
      <c r="T808" s="650"/>
      <c r="U808" s="650"/>
      <c r="V808" s="650"/>
      <c r="W808" s="650"/>
      <c r="X808" s="650"/>
      <c r="Y808" s="650"/>
      <c r="Z808" s="650"/>
      <c r="AA808" s="650"/>
      <c r="AB808" s="650"/>
      <c r="AC808" s="650"/>
      <c r="AD808" s="650"/>
      <c r="AE808" s="650"/>
      <c r="AF808" s="650"/>
      <c r="AG808" s="650"/>
      <c r="AH808" s="650"/>
      <c r="AI808" s="650"/>
      <c r="AJ808" s="650"/>
      <c r="AK808" s="650"/>
      <c r="AL808" s="650"/>
      <c r="AM808" s="650"/>
      <c r="AN808" s="650"/>
      <c r="AO808" s="650"/>
      <c r="AP808" s="650"/>
      <c r="AQ808" s="650"/>
      <c r="AR808" s="650"/>
      <c r="AS808" s="650"/>
      <c r="AT808" s="650"/>
      <c r="AU808" s="650"/>
      <c r="AV808" s="650"/>
      <c r="AW808" s="650"/>
      <c r="AX808" s="650"/>
      <c r="AY808" s="650"/>
    </row>
    <row r="809" ht="21.75" customHeight="1">
      <c r="A809" s="650"/>
      <c r="B809" s="650"/>
      <c r="C809" s="650"/>
      <c r="D809" s="650"/>
      <c r="E809" s="650"/>
      <c r="F809" s="650"/>
      <c r="G809" s="650"/>
      <c r="H809" s="650"/>
      <c r="I809" s="650"/>
      <c r="J809" s="650"/>
      <c r="K809" s="650"/>
      <c r="L809" s="650"/>
      <c r="M809" s="650"/>
      <c r="N809" s="650"/>
      <c r="O809" s="650"/>
      <c r="P809" s="650"/>
      <c r="Q809" s="650"/>
      <c r="R809" s="650"/>
      <c r="S809" s="650"/>
      <c r="T809" s="650"/>
      <c r="U809" s="650"/>
      <c r="V809" s="650"/>
      <c r="W809" s="650"/>
      <c r="X809" s="650"/>
      <c r="Y809" s="650"/>
      <c r="Z809" s="650"/>
      <c r="AA809" s="650"/>
      <c r="AB809" s="650"/>
      <c r="AC809" s="650"/>
      <c r="AD809" s="650"/>
      <c r="AE809" s="650"/>
      <c r="AF809" s="650"/>
      <c r="AG809" s="650"/>
      <c r="AH809" s="650"/>
      <c r="AI809" s="650"/>
      <c r="AJ809" s="650"/>
      <c r="AK809" s="650"/>
      <c r="AL809" s="650"/>
      <c r="AM809" s="650"/>
      <c r="AN809" s="650"/>
      <c r="AO809" s="650"/>
      <c r="AP809" s="650"/>
      <c r="AQ809" s="650"/>
      <c r="AR809" s="650"/>
      <c r="AS809" s="650"/>
      <c r="AT809" s="650"/>
      <c r="AU809" s="650"/>
      <c r="AV809" s="650"/>
      <c r="AW809" s="650"/>
      <c r="AX809" s="650"/>
      <c r="AY809" s="650"/>
    </row>
    <row r="810" ht="21.75" customHeight="1">
      <c r="A810" s="650"/>
      <c r="B810" s="650"/>
      <c r="C810" s="650"/>
      <c r="D810" s="650"/>
      <c r="E810" s="650"/>
      <c r="F810" s="650"/>
      <c r="G810" s="650"/>
      <c r="H810" s="650"/>
      <c r="I810" s="650"/>
      <c r="J810" s="650"/>
      <c r="K810" s="650"/>
      <c r="L810" s="650"/>
      <c r="M810" s="650"/>
      <c r="N810" s="650"/>
      <c r="O810" s="650"/>
      <c r="P810" s="650"/>
      <c r="Q810" s="650"/>
      <c r="R810" s="650"/>
      <c r="S810" s="650"/>
      <c r="T810" s="650"/>
      <c r="U810" s="650"/>
      <c r="V810" s="650"/>
      <c r="W810" s="650"/>
      <c r="X810" s="650"/>
      <c r="Y810" s="650"/>
      <c r="Z810" s="650"/>
      <c r="AA810" s="650"/>
      <c r="AB810" s="650"/>
      <c r="AC810" s="650"/>
      <c r="AD810" s="650"/>
      <c r="AE810" s="650"/>
      <c r="AF810" s="650"/>
      <c r="AG810" s="650"/>
      <c r="AH810" s="650"/>
      <c r="AI810" s="650"/>
      <c r="AJ810" s="650"/>
      <c r="AK810" s="650"/>
      <c r="AL810" s="650"/>
      <c r="AM810" s="650"/>
      <c r="AN810" s="650"/>
      <c r="AO810" s="650"/>
      <c r="AP810" s="650"/>
      <c r="AQ810" s="650"/>
      <c r="AR810" s="650"/>
      <c r="AS810" s="650"/>
      <c r="AT810" s="650"/>
      <c r="AU810" s="650"/>
      <c r="AV810" s="650"/>
      <c r="AW810" s="650"/>
      <c r="AX810" s="650"/>
      <c r="AY810" s="650"/>
    </row>
    <row r="811" ht="21.75" customHeight="1">
      <c r="A811" s="650"/>
      <c r="B811" s="650"/>
      <c r="C811" s="650"/>
      <c r="D811" s="650"/>
      <c r="E811" s="650"/>
      <c r="F811" s="650"/>
      <c r="G811" s="650"/>
      <c r="H811" s="650"/>
      <c r="I811" s="650"/>
      <c r="J811" s="650"/>
      <c r="K811" s="650"/>
      <c r="L811" s="650"/>
      <c r="M811" s="650"/>
      <c r="N811" s="650"/>
      <c r="O811" s="650"/>
      <c r="P811" s="650"/>
      <c r="Q811" s="650"/>
      <c r="R811" s="650"/>
      <c r="S811" s="650"/>
      <c r="T811" s="650"/>
      <c r="U811" s="650"/>
      <c r="V811" s="650"/>
      <c r="W811" s="650"/>
      <c r="X811" s="650"/>
      <c r="Y811" s="650"/>
      <c r="Z811" s="650"/>
      <c r="AA811" s="650"/>
      <c r="AB811" s="650"/>
      <c r="AC811" s="650"/>
      <c r="AD811" s="650"/>
      <c r="AE811" s="650"/>
      <c r="AF811" s="650"/>
      <c r="AG811" s="650"/>
      <c r="AH811" s="650"/>
      <c r="AI811" s="650"/>
      <c r="AJ811" s="650"/>
      <c r="AK811" s="650"/>
      <c r="AL811" s="650"/>
      <c r="AM811" s="650"/>
      <c r="AN811" s="650"/>
      <c r="AO811" s="650"/>
      <c r="AP811" s="650"/>
      <c r="AQ811" s="650"/>
      <c r="AR811" s="650"/>
      <c r="AS811" s="650"/>
      <c r="AT811" s="650"/>
      <c r="AU811" s="650"/>
      <c r="AV811" s="650"/>
      <c r="AW811" s="650"/>
      <c r="AX811" s="650"/>
      <c r="AY811" s="650"/>
    </row>
    <row r="812" ht="21.75" customHeight="1">
      <c r="A812" s="650"/>
      <c r="B812" s="650"/>
      <c r="C812" s="650"/>
      <c r="D812" s="650"/>
      <c r="E812" s="650"/>
      <c r="F812" s="650"/>
      <c r="G812" s="650"/>
      <c r="H812" s="650"/>
      <c r="I812" s="650"/>
      <c r="J812" s="650"/>
      <c r="K812" s="650"/>
      <c r="L812" s="650"/>
      <c r="M812" s="650"/>
      <c r="N812" s="650"/>
      <c r="O812" s="650"/>
      <c r="P812" s="650"/>
      <c r="Q812" s="650"/>
      <c r="R812" s="650"/>
      <c r="S812" s="650"/>
      <c r="T812" s="650"/>
      <c r="U812" s="650"/>
      <c r="V812" s="650"/>
      <c r="W812" s="650"/>
      <c r="X812" s="650"/>
      <c r="Y812" s="650"/>
      <c r="Z812" s="650"/>
      <c r="AA812" s="650"/>
      <c r="AB812" s="650"/>
      <c r="AC812" s="650"/>
      <c r="AD812" s="650"/>
      <c r="AE812" s="650"/>
      <c r="AF812" s="650"/>
      <c r="AG812" s="650"/>
      <c r="AH812" s="650"/>
      <c r="AI812" s="650"/>
      <c r="AJ812" s="650"/>
      <c r="AK812" s="650"/>
      <c r="AL812" s="650"/>
      <c r="AM812" s="650"/>
      <c r="AN812" s="650"/>
      <c r="AO812" s="650"/>
      <c r="AP812" s="650"/>
      <c r="AQ812" s="650"/>
      <c r="AR812" s="650"/>
      <c r="AS812" s="650"/>
      <c r="AT812" s="650"/>
      <c r="AU812" s="650"/>
      <c r="AV812" s="650"/>
      <c r="AW812" s="650"/>
      <c r="AX812" s="650"/>
      <c r="AY812" s="650"/>
    </row>
    <row r="813" ht="21.75" customHeight="1">
      <c r="A813" s="650"/>
      <c r="B813" s="650"/>
      <c r="C813" s="650"/>
      <c r="D813" s="650"/>
      <c r="E813" s="650"/>
      <c r="F813" s="650"/>
      <c r="G813" s="650"/>
      <c r="H813" s="650"/>
      <c r="I813" s="650"/>
      <c r="J813" s="650"/>
      <c r="K813" s="650"/>
      <c r="L813" s="650"/>
      <c r="M813" s="650"/>
      <c r="N813" s="650"/>
      <c r="O813" s="650"/>
      <c r="P813" s="650"/>
      <c r="Q813" s="650"/>
      <c r="R813" s="650"/>
      <c r="S813" s="650"/>
      <c r="T813" s="650"/>
      <c r="U813" s="650"/>
      <c r="V813" s="650"/>
      <c r="W813" s="650"/>
      <c r="X813" s="650"/>
      <c r="Y813" s="650"/>
      <c r="Z813" s="650"/>
      <c r="AA813" s="650"/>
      <c r="AB813" s="650"/>
      <c r="AC813" s="650"/>
      <c r="AD813" s="650"/>
      <c r="AE813" s="650"/>
      <c r="AF813" s="650"/>
      <c r="AG813" s="650"/>
      <c r="AH813" s="650"/>
      <c r="AI813" s="650"/>
      <c r="AJ813" s="650"/>
      <c r="AK813" s="650"/>
      <c r="AL813" s="650"/>
      <c r="AM813" s="650"/>
      <c r="AN813" s="650"/>
      <c r="AO813" s="650"/>
      <c r="AP813" s="650"/>
      <c r="AQ813" s="650"/>
      <c r="AR813" s="650"/>
      <c r="AS813" s="650"/>
      <c r="AT813" s="650"/>
      <c r="AU813" s="650"/>
      <c r="AV813" s="650"/>
      <c r="AW813" s="650"/>
      <c r="AX813" s="650"/>
      <c r="AY813" s="650"/>
    </row>
    <row r="814" ht="21.75" customHeight="1">
      <c r="A814" s="650"/>
      <c r="B814" s="650"/>
      <c r="C814" s="650"/>
      <c r="D814" s="650"/>
      <c r="E814" s="650"/>
      <c r="F814" s="650"/>
      <c r="G814" s="650"/>
      <c r="H814" s="650"/>
      <c r="I814" s="650"/>
      <c r="J814" s="650"/>
      <c r="K814" s="650"/>
      <c r="L814" s="650"/>
      <c r="M814" s="650"/>
      <c r="N814" s="650"/>
      <c r="O814" s="650"/>
      <c r="P814" s="650"/>
      <c r="Q814" s="650"/>
      <c r="R814" s="650"/>
      <c r="S814" s="650"/>
      <c r="T814" s="650"/>
      <c r="U814" s="650"/>
      <c r="V814" s="650"/>
      <c r="W814" s="650"/>
      <c r="X814" s="650"/>
      <c r="Y814" s="650"/>
      <c r="Z814" s="650"/>
      <c r="AA814" s="650"/>
      <c r="AB814" s="650"/>
      <c r="AC814" s="650"/>
      <c r="AD814" s="650"/>
      <c r="AE814" s="650"/>
      <c r="AF814" s="650"/>
      <c r="AG814" s="650"/>
      <c r="AH814" s="650"/>
      <c r="AI814" s="650"/>
      <c r="AJ814" s="650"/>
      <c r="AK814" s="650"/>
      <c r="AL814" s="650"/>
      <c r="AM814" s="650"/>
      <c r="AN814" s="650"/>
      <c r="AO814" s="650"/>
      <c r="AP814" s="650"/>
      <c r="AQ814" s="650"/>
      <c r="AR814" s="650"/>
      <c r="AS814" s="650"/>
      <c r="AT814" s="650"/>
      <c r="AU814" s="650"/>
      <c r="AV814" s="650"/>
      <c r="AW814" s="650"/>
      <c r="AX814" s="650"/>
      <c r="AY814" s="650"/>
    </row>
    <row r="815" ht="21.75" customHeight="1">
      <c r="A815" s="650"/>
      <c r="B815" s="650"/>
      <c r="C815" s="650"/>
      <c r="D815" s="650"/>
      <c r="E815" s="650"/>
      <c r="F815" s="650"/>
      <c r="G815" s="650"/>
      <c r="H815" s="650"/>
      <c r="I815" s="650"/>
      <c r="J815" s="650"/>
      <c r="K815" s="650"/>
      <c r="L815" s="650"/>
      <c r="M815" s="650"/>
      <c r="N815" s="650"/>
      <c r="O815" s="650"/>
      <c r="P815" s="650"/>
      <c r="Q815" s="650"/>
      <c r="R815" s="650"/>
      <c r="S815" s="650"/>
      <c r="T815" s="650"/>
      <c r="U815" s="650"/>
      <c r="V815" s="650"/>
      <c r="W815" s="650"/>
      <c r="X815" s="650"/>
      <c r="Y815" s="650"/>
      <c r="Z815" s="650"/>
      <c r="AA815" s="650"/>
      <c r="AB815" s="650"/>
      <c r="AC815" s="650"/>
      <c r="AD815" s="650"/>
      <c r="AE815" s="650"/>
      <c r="AF815" s="650"/>
      <c r="AG815" s="650"/>
      <c r="AH815" s="650"/>
      <c r="AI815" s="650"/>
      <c r="AJ815" s="650"/>
      <c r="AK815" s="650"/>
      <c r="AL815" s="650"/>
      <c r="AM815" s="650"/>
      <c r="AN815" s="650"/>
      <c r="AO815" s="650"/>
      <c r="AP815" s="650"/>
      <c r="AQ815" s="650"/>
      <c r="AR815" s="650"/>
      <c r="AS815" s="650"/>
      <c r="AT815" s="650"/>
      <c r="AU815" s="650"/>
      <c r="AV815" s="650"/>
      <c r="AW815" s="650"/>
      <c r="AX815" s="650"/>
      <c r="AY815" s="650"/>
    </row>
    <row r="816" ht="21.75" customHeight="1">
      <c r="A816" s="650"/>
      <c r="B816" s="650"/>
      <c r="C816" s="650"/>
      <c r="D816" s="650"/>
      <c r="E816" s="650"/>
      <c r="F816" s="650"/>
      <c r="G816" s="650"/>
      <c r="H816" s="650"/>
      <c r="I816" s="650"/>
      <c r="J816" s="650"/>
      <c r="K816" s="650"/>
      <c r="L816" s="650"/>
      <c r="M816" s="650"/>
      <c r="N816" s="650"/>
      <c r="O816" s="650"/>
      <c r="P816" s="650"/>
      <c r="Q816" s="650"/>
      <c r="R816" s="650"/>
      <c r="S816" s="650"/>
      <c r="T816" s="650"/>
      <c r="U816" s="650"/>
      <c r="V816" s="650"/>
      <c r="W816" s="650"/>
      <c r="X816" s="650"/>
      <c r="Y816" s="650"/>
      <c r="Z816" s="650"/>
      <c r="AA816" s="650"/>
      <c r="AB816" s="650"/>
      <c r="AC816" s="650"/>
      <c r="AD816" s="650"/>
      <c r="AE816" s="650"/>
      <c r="AF816" s="650"/>
      <c r="AG816" s="650"/>
      <c r="AH816" s="650"/>
      <c r="AI816" s="650"/>
      <c r="AJ816" s="650"/>
      <c r="AK816" s="650"/>
      <c r="AL816" s="650"/>
      <c r="AM816" s="650"/>
      <c r="AN816" s="650"/>
      <c r="AO816" s="650"/>
      <c r="AP816" s="650"/>
      <c r="AQ816" s="650"/>
      <c r="AR816" s="650"/>
      <c r="AS816" s="650"/>
      <c r="AT816" s="650"/>
      <c r="AU816" s="650"/>
      <c r="AV816" s="650"/>
      <c r="AW816" s="650"/>
      <c r="AX816" s="650"/>
      <c r="AY816" s="650"/>
    </row>
    <row r="817" ht="21.75" customHeight="1">
      <c r="A817" s="650"/>
      <c r="B817" s="650"/>
      <c r="C817" s="650"/>
      <c r="D817" s="650"/>
      <c r="E817" s="650"/>
      <c r="F817" s="650"/>
      <c r="G817" s="650"/>
      <c r="H817" s="650"/>
      <c r="I817" s="650"/>
      <c r="J817" s="650"/>
      <c r="K817" s="650"/>
      <c r="L817" s="650"/>
      <c r="M817" s="650"/>
      <c r="N817" s="650"/>
      <c r="O817" s="650"/>
      <c r="P817" s="650"/>
      <c r="Q817" s="650"/>
      <c r="R817" s="650"/>
      <c r="S817" s="650"/>
      <c r="T817" s="650"/>
      <c r="U817" s="650"/>
      <c r="V817" s="650"/>
      <c r="W817" s="650"/>
      <c r="X817" s="650"/>
      <c r="Y817" s="650"/>
      <c r="Z817" s="650"/>
      <c r="AA817" s="650"/>
      <c r="AB817" s="650"/>
      <c r="AC817" s="650"/>
      <c r="AD817" s="650"/>
      <c r="AE817" s="650"/>
      <c r="AF817" s="650"/>
      <c r="AG817" s="650"/>
      <c r="AH817" s="650"/>
      <c r="AI817" s="650"/>
      <c r="AJ817" s="650"/>
      <c r="AK817" s="650"/>
      <c r="AL817" s="650"/>
      <c r="AM817" s="650"/>
      <c r="AN817" s="650"/>
      <c r="AO817" s="650"/>
      <c r="AP817" s="650"/>
      <c r="AQ817" s="650"/>
      <c r="AR817" s="650"/>
      <c r="AS817" s="650"/>
      <c r="AT817" s="650"/>
      <c r="AU817" s="650"/>
      <c r="AV817" s="650"/>
      <c r="AW817" s="650"/>
      <c r="AX817" s="650"/>
      <c r="AY817" s="650"/>
    </row>
    <row r="818" ht="21.75" customHeight="1">
      <c r="A818" s="650"/>
      <c r="B818" s="650"/>
      <c r="C818" s="650"/>
      <c r="D818" s="650"/>
      <c r="E818" s="650"/>
      <c r="F818" s="650"/>
      <c r="G818" s="650"/>
      <c r="H818" s="650"/>
      <c r="I818" s="650"/>
      <c r="J818" s="650"/>
      <c r="K818" s="650"/>
      <c r="L818" s="650"/>
      <c r="M818" s="650"/>
      <c r="N818" s="650"/>
      <c r="O818" s="650"/>
      <c r="P818" s="650"/>
      <c r="Q818" s="650"/>
      <c r="R818" s="650"/>
      <c r="S818" s="650"/>
      <c r="T818" s="650"/>
      <c r="U818" s="650"/>
      <c r="V818" s="650"/>
      <c r="W818" s="650"/>
      <c r="X818" s="650"/>
      <c r="Y818" s="650"/>
      <c r="Z818" s="650"/>
      <c r="AA818" s="650"/>
      <c r="AB818" s="650"/>
      <c r="AC818" s="650"/>
      <c r="AD818" s="650"/>
      <c r="AE818" s="650"/>
      <c r="AF818" s="650"/>
      <c r="AG818" s="650"/>
      <c r="AH818" s="650"/>
      <c r="AI818" s="650"/>
      <c r="AJ818" s="650"/>
      <c r="AK818" s="650"/>
      <c r="AL818" s="650"/>
      <c r="AM818" s="650"/>
      <c r="AN818" s="650"/>
      <c r="AO818" s="650"/>
      <c r="AP818" s="650"/>
      <c r="AQ818" s="650"/>
      <c r="AR818" s="650"/>
      <c r="AS818" s="650"/>
      <c r="AT818" s="650"/>
      <c r="AU818" s="650"/>
      <c r="AV818" s="650"/>
      <c r="AW818" s="650"/>
      <c r="AX818" s="650"/>
      <c r="AY818" s="650"/>
    </row>
    <row r="819" ht="21.75" customHeight="1">
      <c r="A819" s="650"/>
      <c r="B819" s="650"/>
      <c r="C819" s="650"/>
      <c r="D819" s="650"/>
      <c r="E819" s="650"/>
      <c r="F819" s="650"/>
      <c r="G819" s="650"/>
      <c r="H819" s="650"/>
      <c r="I819" s="650"/>
      <c r="J819" s="650"/>
      <c r="K819" s="650"/>
      <c r="L819" s="650"/>
      <c r="M819" s="650"/>
      <c r="N819" s="650"/>
      <c r="O819" s="650"/>
      <c r="P819" s="650"/>
      <c r="Q819" s="650"/>
      <c r="R819" s="650"/>
      <c r="S819" s="650"/>
      <c r="T819" s="650"/>
      <c r="U819" s="650"/>
      <c r="V819" s="650"/>
      <c r="W819" s="650"/>
      <c r="X819" s="650"/>
      <c r="Y819" s="650"/>
      <c r="Z819" s="650"/>
      <c r="AA819" s="650"/>
      <c r="AB819" s="650"/>
      <c r="AC819" s="650"/>
      <c r="AD819" s="650"/>
      <c r="AE819" s="650"/>
      <c r="AF819" s="650"/>
      <c r="AG819" s="650"/>
      <c r="AH819" s="650"/>
      <c r="AI819" s="650"/>
      <c r="AJ819" s="650"/>
      <c r="AK819" s="650"/>
      <c r="AL819" s="650"/>
      <c r="AM819" s="650"/>
      <c r="AN819" s="650"/>
      <c r="AO819" s="650"/>
      <c r="AP819" s="650"/>
      <c r="AQ819" s="650"/>
      <c r="AR819" s="650"/>
      <c r="AS819" s="650"/>
      <c r="AT819" s="650"/>
      <c r="AU819" s="650"/>
      <c r="AV819" s="650"/>
      <c r="AW819" s="650"/>
      <c r="AX819" s="650"/>
      <c r="AY819" s="650"/>
    </row>
    <row r="820" ht="21.75" customHeight="1">
      <c r="A820" s="650"/>
      <c r="B820" s="650"/>
      <c r="C820" s="650"/>
      <c r="D820" s="650"/>
      <c r="E820" s="650"/>
      <c r="F820" s="650"/>
      <c r="G820" s="650"/>
      <c r="H820" s="650"/>
      <c r="I820" s="650"/>
      <c r="J820" s="650"/>
      <c r="K820" s="650"/>
      <c r="L820" s="650"/>
      <c r="M820" s="650"/>
      <c r="N820" s="650"/>
      <c r="O820" s="650"/>
      <c r="P820" s="650"/>
      <c r="Q820" s="650"/>
      <c r="R820" s="650"/>
      <c r="S820" s="650"/>
      <c r="T820" s="650"/>
      <c r="U820" s="650"/>
      <c r="V820" s="650"/>
      <c r="W820" s="650"/>
      <c r="X820" s="650"/>
      <c r="Y820" s="650"/>
      <c r="Z820" s="650"/>
      <c r="AA820" s="650"/>
      <c r="AB820" s="650"/>
      <c r="AC820" s="650"/>
      <c r="AD820" s="650"/>
      <c r="AE820" s="650"/>
      <c r="AF820" s="650"/>
      <c r="AG820" s="650"/>
      <c r="AH820" s="650"/>
      <c r="AI820" s="650"/>
      <c r="AJ820" s="650"/>
      <c r="AK820" s="650"/>
      <c r="AL820" s="650"/>
      <c r="AM820" s="650"/>
      <c r="AN820" s="650"/>
      <c r="AO820" s="650"/>
      <c r="AP820" s="650"/>
      <c r="AQ820" s="650"/>
      <c r="AR820" s="650"/>
      <c r="AS820" s="650"/>
      <c r="AT820" s="650"/>
      <c r="AU820" s="650"/>
      <c r="AV820" s="650"/>
      <c r="AW820" s="650"/>
      <c r="AX820" s="650"/>
      <c r="AY820" s="650"/>
    </row>
    <row r="821" ht="21.75" customHeight="1">
      <c r="A821" s="650"/>
      <c r="B821" s="650"/>
      <c r="C821" s="650"/>
      <c r="D821" s="650"/>
      <c r="E821" s="650"/>
      <c r="F821" s="650"/>
      <c r="G821" s="650"/>
      <c r="H821" s="650"/>
      <c r="I821" s="650"/>
      <c r="J821" s="650"/>
      <c r="K821" s="650"/>
      <c r="L821" s="650"/>
      <c r="M821" s="650"/>
      <c r="N821" s="650"/>
      <c r="O821" s="650"/>
      <c r="P821" s="650"/>
      <c r="Q821" s="650"/>
      <c r="R821" s="650"/>
      <c r="S821" s="650"/>
      <c r="T821" s="650"/>
      <c r="U821" s="650"/>
      <c r="V821" s="650"/>
      <c r="W821" s="650"/>
      <c r="X821" s="650"/>
      <c r="Y821" s="650"/>
      <c r="Z821" s="650"/>
      <c r="AA821" s="650"/>
      <c r="AB821" s="650"/>
      <c r="AC821" s="650"/>
      <c r="AD821" s="650"/>
      <c r="AE821" s="650"/>
      <c r="AF821" s="650"/>
      <c r="AG821" s="650"/>
      <c r="AH821" s="650"/>
      <c r="AI821" s="650"/>
      <c r="AJ821" s="650"/>
      <c r="AK821" s="650"/>
      <c r="AL821" s="650"/>
      <c r="AM821" s="650"/>
      <c r="AN821" s="650"/>
      <c r="AO821" s="650"/>
      <c r="AP821" s="650"/>
      <c r="AQ821" s="650"/>
      <c r="AR821" s="650"/>
      <c r="AS821" s="650"/>
      <c r="AT821" s="650"/>
      <c r="AU821" s="650"/>
      <c r="AV821" s="650"/>
      <c r="AW821" s="650"/>
      <c r="AX821" s="650"/>
      <c r="AY821" s="650"/>
    </row>
    <row r="822" ht="21.75" customHeight="1">
      <c r="A822" s="650"/>
      <c r="B822" s="650"/>
      <c r="C822" s="650"/>
      <c r="D822" s="650"/>
      <c r="E822" s="650"/>
      <c r="F822" s="650"/>
      <c r="G822" s="650"/>
      <c r="H822" s="650"/>
      <c r="I822" s="650"/>
      <c r="J822" s="650"/>
      <c r="K822" s="650"/>
      <c r="L822" s="650"/>
      <c r="M822" s="650"/>
      <c r="N822" s="650"/>
      <c r="O822" s="650"/>
      <c r="P822" s="650"/>
      <c r="Q822" s="650"/>
      <c r="R822" s="650"/>
      <c r="S822" s="650"/>
      <c r="T822" s="650"/>
      <c r="U822" s="650"/>
      <c r="V822" s="650"/>
      <c r="W822" s="650"/>
      <c r="X822" s="650"/>
      <c r="Y822" s="650"/>
      <c r="Z822" s="650"/>
      <c r="AA822" s="650"/>
      <c r="AB822" s="650"/>
      <c r="AC822" s="650"/>
      <c r="AD822" s="650"/>
      <c r="AE822" s="650"/>
      <c r="AF822" s="650"/>
      <c r="AG822" s="650"/>
      <c r="AH822" s="650"/>
      <c r="AI822" s="650"/>
      <c r="AJ822" s="650"/>
      <c r="AK822" s="650"/>
      <c r="AL822" s="650"/>
      <c r="AM822" s="650"/>
      <c r="AN822" s="650"/>
      <c r="AO822" s="650"/>
      <c r="AP822" s="650"/>
      <c r="AQ822" s="650"/>
      <c r="AR822" s="650"/>
      <c r="AS822" s="650"/>
      <c r="AT822" s="650"/>
      <c r="AU822" s="650"/>
      <c r="AV822" s="650"/>
      <c r="AW822" s="650"/>
      <c r="AX822" s="650"/>
      <c r="AY822" s="650"/>
    </row>
    <row r="823" ht="21.75" customHeight="1">
      <c r="A823" s="650"/>
      <c r="B823" s="650"/>
      <c r="C823" s="650"/>
      <c r="D823" s="650"/>
      <c r="E823" s="650"/>
      <c r="F823" s="650"/>
      <c r="G823" s="650"/>
      <c r="H823" s="650"/>
      <c r="I823" s="650"/>
      <c r="J823" s="650"/>
      <c r="K823" s="650"/>
      <c r="L823" s="650"/>
      <c r="M823" s="650"/>
      <c r="N823" s="650"/>
      <c r="O823" s="650"/>
      <c r="P823" s="650"/>
      <c r="Q823" s="650"/>
      <c r="R823" s="650"/>
      <c r="S823" s="650"/>
      <c r="T823" s="650"/>
      <c r="U823" s="650"/>
      <c r="V823" s="650"/>
      <c r="W823" s="650"/>
      <c r="X823" s="650"/>
      <c r="Y823" s="650"/>
      <c r="Z823" s="650"/>
      <c r="AA823" s="650"/>
      <c r="AB823" s="650"/>
      <c r="AC823" s="650"/>
      <c r="AD823" s="650"/>
      <c r="AE823" s="650"/>
      <c r="AF823" s="650"/>
      <c r="AG823" s="650"/>
      <c r="AH823" s="650"/>
      <c r="AI823" s="650"/>
      <c r="AJ823" s="650"/>
      <c r="AK823" s="650"/>
      <c r="AL823" s="650"/>
      <c r="AM823" s="650"/>
      <c r="AN823" s="650"/>
      <c r="AO823" s="650"/>
      <c r="AP823" s="650"/>
      <c r="AQ823" s="650"/>
      <c r="AR823" s="650"/>
      <c r="AS823" s="650"/>
      <c r="AT823" s="650"/>
      <c r="AU823" s="650"/>
      <c r="AV823" s="650"/>
      <c r="AW823" s="650"/>
      <c r="AX823" s="650"/>
      <c r="AY823" s="650"/>
    </row>
    <row r="824" ht="21.75" customHeight="1">
      <c r="A824" s="650"/>
      <c r="B824" s="650"/>
      <c r="C824" s="650"/>
      <c r="D824" s="650"/>
      <c r="E824" s="650"/>
      <c r="F824" s="650"/>
      <c r="G824" s="650"/>
      <c r="H824" s="650"/>
      <c r="I824" s="650"/>
      <c r="J824" s="650"/>
      <c r="K824" s="650"/>
      <c r="L824" s="650"/>
      <c r="M824" s="650"/>
      <c r="N824" s="650"/>
      <c r="O824" s="650"/>
      <c r="P824" s="650"/>
      <c r="Q824" s="650"/>
      <c r="R824" s="650"/>
      <c r="S824" s="650"/>
      <c r="T824" s="650"/>
      <c r="U824" s="650"/>
      <c r="V824" s="650"/>
      <c r="W824" s="650"/>
      <c r="X824" s="650"/>
      <c r="Y824" s="650"/>
      <c r="Z824" s="650"/>
      <c r="AA824" s="650"/>
      <c r="AB824" s="650"/>
      <c r="AC824" s="650"/>
      <c r="AD824" s="650"/>
      <c r="AE824" s="650"/>
      <c r="AF824" s="650"/>
      <c r="AG824" s="650"/>
      <c r="AH824" s="650"/>
      <c r="AI824" s="650"/>
      <c r="AJ824" s="650"/>
      <c r="AK824" s="650"/>
      <c r="AL824" s="650"/>
      <c r="AM824" s="650"/>
      <c r="AN824" s="650"/>
      <c r="AO824" s="650"/>
      <c r="AP824" s="650"/>
      <c r="AQ824" s="650"/>
      <c r="AR824" s="650"/>
      <c r="AS824" s="650"/>
      <c r="AT824" s="650"/>
      <c r="AU824" s="650"/>
      <c r="AV824" s="650"/>
      <c r="AW824" s="650"/>
      <c r="AX824" s="650"/>
      <c r="AY824" s="650"/>
    </row>
    <row r="825" ht="21.75" customHeight="1">
      <c r="A825" s="650"/>
      <c r="B825" s="650"/>
      <c r="C825" s="650"/>
      <c r="D825" s="650"/>
      <c r="E825" s="650"/>
      <c r="F825" s="650"/>
      <c r="G825" s="650"/>
      <c r="H825" s="650"/>
      <c r="I825" s="650"/>
      <c r="J825" s="650"/>
      <c r="K825" s="650"/>
      <c r="L825" s="650"/>
      <c r="M825" s="650"/>
      <c r="N825" s="650"/>
      <c r="O825" s="650"/>
      <c r="P825" s="650"/>
      <c r="Q825" s="650"/>
      <c r="R825" s="650"/>
      <c r="S825" s="650"/>
      <c r="T825" s="650"/>
      <c r="U825" s="650"/>
      <c r="V825" s="650"/>
      <c r="W825" s="650"/>
      <c r="X825" s="650"/>
      <c r="Y825" s="650"/>
      <c r="Z825" s="650"/>
      <c r="AA825" s="650"/>
      <c r="AB825" s="650"/>
      <c r="AC825" s="650"/>
      <c r="AD825" s="650"/>
      <c r="AE825" s="650"/>
      <c r="AF825" s="650"/>
      <c r="AG825" s="650"/>
      <c r="AH825" s="650"/>
      <c r="AI825" s="650"/>
      <c r="AJ825" s="650"/>
      <c r="AK825" s="650"/>
      <c r="AL825" s="650"/>
      <c r="AM825" s="650"/>
      <c r="AN825" s="650"/>
      <c r="AO825" s="650"/>
      <c r="AP825" s="650"/>
      <c r="AQ825" s="650"/>
      <c r="AR825" s="650"/>
      <c r="AS825" s="650"/>
      <c r="AT825" s="650"/>
      <c r="AU825" s="650"/>
      <c r="AV825" s="650"/>
      <c r="AW825" s="650"/>
      <c r="AX825" s="650"/>
      <c r="AY825" s="650"/>
    </row>
    <row r="826" ht="21.75" customHeight="1">
      <c r="A826" s="650"/>
      <c r="B826" s="650"/>
      <c r="C826" s="650"/>
      <c r="D826" s="650"/>
      <c r="E826" s="650"/>
      <c r="F826" s="650"/>
      <c r="G826" s="650"/>
      <c r="H826" s="650"/>
      <c r="I826" s="650"/>
      <c r="J826" s="650"/>
      <c r="K826" s="650"/>
      <c r="L826" s="650"/>
      <c r="M826" s="650"/>
      <c r="N826" s="650"/>
      <c r="O826" s="650"/>
      <c r="P826" s="650"/>
      <c r="Q826" s="650"/>
      <c r="R826" s="650"/>
      <c r="S826" s="650"/>
      <c r="T826" s="650"/>
      <c r="U826" s="650"/>
      <c r="V826" s="650"/>
      <c r="W826" s="650"/>
      <c r="X826" s="650"/>
      <c r="Y826" s="650"/>
      <c r="Z826" s="650"/>
      <c r="AA826" s="650"/>
      <c r="AB826" s="650"/>
      <c r="AC826" s="650"/>
      <c r="AD826" s="650"/>
      <c r="AE826" s="650"/>
      <c r="AF826" s="650"/>
      <c r="AG826" s="650"/>
      <c r="AH826" s="650"/>
      <c r="AI826" s="650"/>
      <c r="AJ826" s="650"/>
      <c r="AK826" s="650"/>
      <c r="AL826" s="650"/>
      <c r="AM826" s="650"/>
      <c r="AN826" s="650"/>
      <c r="AO826" s="650"/>
      <c r="AP826" s="650"/>
      <c r="AQ826" s="650"/>
      <c r="AR826" s="650"/>
      <c r="AS826" s="650"/>
      <c r="AT826" s="650"/>
      <c r="AU826" s="650"/>
      <c r="AV826" s="650"/>
      <c r="AW826" s="650"/>
      <c r="AX826" s="650"/>
      <c r="AY826" s="650"/>
    </row>
    <row r="827" ht="21.75" customHeight="1">
      <c r="A827" s="650"/>
      <c r="B827" s="650"/>
      <c r="C827" s="650"/>
      <c r="D827" s="650"/>
      <c r="E827" s="650"/>
      <c r="F827" s="650"/>
      <c r="G827" s="650"/>
      <c r="H827" s="650"/>
      <c r="I827" s="650"/>
      <c r="J827" s="650"/>
      <c r="K827" s="650"/>
      <c r="L827" s="650"/>
      <c r="M827" s="650"/>
      <c r="N827" s="650"/>
      <c r="O827" s="650"/>
      <c r="P827" s="650"/>
      <c r="Q827" s="650"/>
      <c r="R827" s="650"/>
      <c r="S827" s="650"/>
      <c r="T827" s="650"/>
      <c r="U827" s="650"/>
      <c r="V827" s="650"/>
      <c r="W827" s="650"/>
      <c r="X827" s="650"/>
      <c r="Y827" s="650"/>
      <c r="Z827" s="650"/>
      <c r="AA827" s="650"/>
      <c r="AB827" s="650"/>
      <c r="AC827" s="650"/>
      <c r="AD827" s="650"/>
      <c r="AE827" s="650"/>
      <c r="AF827" s="650"/>
      <c r="AG827" s="650"/>
      <c r="AH827" s="650"/>
      <c r="AI827" s="650"/>
      <c r="AJ827" s="650"/>
      <c r="AK827" s="650"/>
      <c r="AL827" s="650"/>
      <c r="AM827" s="650"/>
      <c r="AN827" s="650"/>
      <c r="AO827" s="650"/>
      <c r="AP827" s="650"/>
      <c r="AQ827" s="650"/>
      <c r="AR827" s="650"/>
      <c r="AS827" s="650"/>
      <c r="AT827" s="650"/>
      <c r="AU827" s="650"/>
      <c r="AV827" s="650"/>
      <c r="AW827" s="650"/>
      <c r="AX827" s="650"/>
      <c r="AY827" s="650"/>
    </row>
    <row r="828" ht="21.75" customHeight="1">
      <c r="A828" s="650"/>
      <c r="B828" s="650"/>
      <c r="C828" s="650"/>
      <c r="D828" s="650"/>
      <c r="E828" s="650"/>
      <c r="F828" s="650"/>
      <c r="G828" s="650"/>
      <c r="H828" s="650"/>
      <c r="I828" s="650"/>
      <c r="J828" s="650"/>
      <c r="K828" s="650"/>
      <c r="L828" s="650"/>
      <c r="M828" s="650"/>
      <c r="N828" s="650"/>
      <c r="O828" s="650"/>
      <c r="P828" s="650"/>
      <c r="Q828" s="650"/>
      <c r="R828" s="650"/>
      <c r="S828" s="650"/>
      <c r="T828" s="650"/>
      <c r="U828" s="650"/>
      <c r="V828" s="650"/>
      <c r="W828" s="650"/>
      <c r="X828" s="650"/>
      <c r="Y828" s="650"/>
      <c r="Z828" s="650"/>
      <c r="AA828" s="650"/>
      <c r="AB828" s="650"/>
      <c r="AC828" s="650"/>
      <c r="AD828" s="650"/>
      <c r="AE828" s="650"/>
      <c r="AF828" s="650"/>
      <c r="AG828" s="650"/>
      <c r="AH828" s="650"/>
      <c r="AI828" s="650"/>
      <c r="AJ828" s="650"/>
      <c r="AK828" s="650"/>
      <c r="AL828" s="650"/>
      <c r="AM828" s="650"/>
      <c r="AN828" s="650"/>
      <c r="AO828" s="650"/>
      <c r="AP828" s="650"/>
      <c r="AQ828" s="650"/>
      <c r="AR828" s="650"/>
      <c r="AS828" s="650"/>
      <c r="AT828" s="650"/>
      <c r="AU828" s="650"/>
      <c r="AV828" s="650"/>
      <c r="AW828" s="650"/>
      <c r="AX828" s="650"/>
      <c r="AY828" s="650"/>
    </row>
    <row r="829" ht="21.75" customHeight="1">
      <c r="A829" s="650"/>
      <c r="B829" s="650"/>
      <c r="C829" s="650"/>
      <c r="D829" s="650"/>
      <c r="E829" s="650"/>
      <c r="F829" s="650"/>
      <c r="G829" s="650"/>
      <c r="H829" s="650"/>
      <c r="I829" s="650"/>
      <c r="J829" s="650"/>
      <c r="K829" s="650"/>
      <c r="L829" s="650"/>
      <c r="M829" s="650"/>
      <c r="N829" s="650"/>
      <c r="O829" s="650"/>
      <c r="P829" s="650"/>
      <c r="Q829" s="650"/>
      <c r="R829" s="650"/>
      <c r="S829" s="650"/>
      <c r="T829" s="650"/>
      <c r="U829" s="650"/>
      <c r="V829" s="650"/>
      <c r="W829" s="650"/>
      <c r="X829" s="650"/>
      <c r="Y829" s="650"/>
      <c r="Z829" s="650"/>
      <c r="AA829" s="650"/>
      <c r="AB829" s="650"/>
      <c r="AC829" s="650"/>
      <c r="AD829" s="650"/>
      <c r="AE829" s="650"/>
      <c r="AF829" s="650"/>
      <c r="AG829" s="650"/>
      <c r="AH829" s="650"/>
      <c r="AI829" s="650"/>
      <c r="AJ829" s="650"/>
      <c r="AK829" s="650"/>
      <c r="AL829" s="650"/>
      <c r="AM829" s="650"/>
      <c r="AN829" s="650"/>
      <c r="AO829" s="650"/>
      <c r="AP829" s="650"/>
      <c r="AQ829" s="650"/>
      <c r="AR829" s="650"/>
      <c r="AS829" s="650"/>
      <c r="AT829" s="650"/>
      <c r="AU829" s="650"/>
      <c r="AV829" s="650"/>
      <c r="AW829" s="650"/>
      <c r="AX829" s="650"/>
      <c r="AY829" s="650"/>
    </row>
    <row r="830" ht="21.75" customHeight="1">
      <c r="A830" s="650"/>
      <c r="B830" s="650"/>
      <c r="C830" s="650"/>
      <c r="D830" s="650"/>
      <c r="E830" s="650"/>
      <c r="F830" s="650"/>
      <c r="G830" s="650"/>
      <c r="H830" s="650"/>
      <c r="I830" s="650"/>
      <c r="J830" s="650"/>
      <c r="K830" s="650"/>
      <c r="L830" s="650"/>
      <c r="M830" s="650"/>
      <c r="N830" s="650"/>
      <c r="O830" s="650"/>
      <c r="P830" s="650"/>
      <c r="Q830" s="650"/>
      <c r="R830" s="650"/>
      <c r="S830" s="650"/>
      <c r="T830" s="650"/>
      <c r="U830" s="650"/>
      <c r="V830" s="650"/>
      <c r="W830" s="650"/>
      <c r="X830" s="650"/>
      <c r="Y830" s="650"/>
      <c r="Z830" s="650"/>
      <c r="AA830" s="650"/>
      <c r="AB830" s="650"/>
      <c r="AC830" s="650"/>
      <c r="AD830" s="650"/>
      <c r="AE830" s="650"/>
      <c r="AF830" s="650"/>
      <c r="AG830" s="650"/>
      <c r="AH830" s="650"/>
      <c r="AI830" s="650"/>
      <c r="AJ830" s="650"/>
      <c r="AK830" s="650"/>
      <c r="AL830" s="650"/>
      <c r="AM830" s="650"/>
      <c r="AN830" s="650"/>
      <c r="AO830" s="650"/>
      <c r="AP830" s="650"/>
      <c r="AQ830" s="650"/>
      <c r="AR830" s="650"/>
      <c r="AS830" s="650"/>
      <c r="AT830" s="650"/>
      <c r="AU830" s="650"/>
      <c r="AV830" s="650"/>
      <c r="AW830" s="650"/>
      <c r="AX830" s="650"/>
      <c r="AY830" s="650"/>
    </row>
    <row r="831" ht="21.75" customHeight="1">
      <c r="A831" s="650"/>
      <c r="B831" s="650"/>
      <c r="C831" s="650"/>
      <c r="D831" s="650"/>
      <c r="E831" s="650"/>
      <c r="F831" s="650"/>
      <c r="G831" s="650"/>
      <c r="H831" s="650"/>
      <c r="I831" s="650"/>
      <c r="J831" s="650"/>
      <c r="K831" s="650"/>
      <c r="L831" s="650"/>
      <c r="M831" s="650"/>
      <c r="N831" s="650"/>
      <c r="O831" s="650"/>
      <c r="P831" s="650"/>
      <c r="Q831" s="650"/>
      <c r="R831" s="650"/>
      <c r="S831" s="650"/>
      <c r="T831" s="650"/>
      <c r="U831" s="650"/>
      <c r="V831" s="650"/>
      <c r="W831" s="650"/>
      <c r="X831" s="650"/>
      <c r="Y831" s="650"/>
      <c r="Z831" s="650"/>
      <c r="AA831" s="650"/>
      <c r="AB831" s="650"/>
      <c r="AC831" s="650"/>
      <c r="AD831" s="650"/>
      <c r="AE831" s="650"/>
      <c r="AF831" s="650"/>
      <c r="AG831" s="650"/>
      <c r="AH831" s="650"/>
      <c r="AI831" s="650"/>
      <c r="AJ831" s="650"/>
      <c r="AK831" s="650"/>
      <c r="AL831" s="650"/>
      <c r="AM831" s="650"/>
      <c r="AN831" s="650"/>
      <c r="AO831" s="650"/>
      <c r="AP831" s="650"/>
      <c r="AQ831" s="650"/>
      <c r="AR831" s="650"/>
      <c r="AS831" s="650"/>
      <c r="AT831" s="650"/>
      <c r="AU831" s="650"/>
      <c r="AV831" s="650"/>
      <c r="AW831" s="650"/>
      <c r="AX831" s="650"/>
      <c r="AY831" s="650"/>
    </row>
    <row r="832" ht="21.75" customHeight="1">
      <c r="A832" s="650"/>
      <c r="B832" s="650"/>
      <c r="C832" s="650"/>
      <c r="D832" s="650"/>
      <c r="E832" s="650"/>
      <c r="F832" s="650"/>
      <c r="G832" s="650"/>
      <c r="H832" s="650"/>
      <c r="I832" s="650"/>
      <c r="J832" s="650"/>
      <c r="K832" s="650"/>
      <c r="L832" s="650"/>
      <c r="M832" s="650"/>
      <c r="N832" s="650"/>
      <c r="O832" s="650"/>
      <c r="P832" s="650"/>
      <c r="Q832" s="650"/>
      <c r="R832" s="650"/>
      <c r="S832" s="650"/>
      <c r="T832" s="650"/>
      <c r="U832" s="650"/>
      <c r="V832" s="650"/>
      <c r="W832" s="650"/>
      <c r="X832" s="650"/>
      <c r="Y832" s="650"/>
      <c r="Z832" s="650"/>
      <c r="AA832" s="650"/>
      <c r="AB832" s="650"/>
      <c r="AC832" s="650"/>
      <c r="AD832" s="650"/>
      <c r="AE832" s="650"/>
      <c r="AF832" s="650"/>
      <c r="AG832" s="650"/>
      <c r="AH832" s="650"/>
      <c r="AI832" s="650"/>
      <c r="AJ832" s="650"/>
      <c r="AK832" s="650"/>
      <c r="AL832" s="650"/>
      <c r="AM832" s="650"/>
      <c r="AN832" s="650"/>
      <c r="AO832" s="650"/>
      <c r="AP832" s="650"/>
      <c r="AQ832" s="650"/>
      <c r="AR832" s="650"/>
      <c r="AS832" s="650"/>
      <c r="AT832" s="650"/>
      <c r="AU832" s="650"/>
      <c r="AV832" s="650"/>
      <c r="AW832" s="650"/>
      <c r="AX832" s="650"/>
      <c r="AY832" s="650"/>
    </row>
    <row r="833" ht="21.75" customHeight="1">
      <c r="A833" s="650"/>
      <c r="B833" s="650"/>
      <c r="C833" s="650"/>
      <c r="D833" s="650"/>
      <c r="E833" s="650"/>
      <c r="F833" s="650"/>
      <c r="G833" s="650"/>
      <c r="H833" s="650"/>
      <c r="I833" s="650"/>
      <c r="J833" s="650"/>
      <c r="K833" s="650"/>
      <c r="L833" s="650"/>
      <c r="M833" s="650"/>
      <c r="N833" s="650"/>
      <c r="O833" s="650"/>
      <c r="P833" s="650"/>
      <c r="Q833" s="650"/>
      <c r="R833" s="650"/>
      <c r="S833" s="650"/>
      <c r="T833" s="650"/>
      <c r="U833" s="650"/>
      <c r="V833" s="650"/>
      <c r="W833" s="650"/>
      <c r="X833" s="650"/>
      <c r="Y833" s="650"/>
      <c r="Z833" s="650"/>
      <c r="AA833" s="650"/>
      <c r="AB833" s="650"/>
      <c r="AC833" s="650"/>
      <c r="AD833" s="650"/>
      <c r="AE833" s="650"/>
      <c r="AF833" s="650"/>
      <c r="AG833" s="650"/>
      <c r="AH833" s="650"/>
      <c r="AI833" s="650"/>
      <c r="AJ833" s="650"/>
      <c r="AK833" s="650"/>
      <c r="AL833" s="650"/>
      <c r="AM833" s="650"/>
      <c r="AN833" s="650"/>
      <c r="AO833" s="650"/>
      <c r="AP833" s="650"/>
      <c r="AQ833" s="650"/>
      <c r="AR833" s="650"/>
      <c r="AS833" s="650"/>
      <c r="AT833" s="650"/>
      <c r="AU833" s="650"/>
      <c r="AV833" s="650"/>
      <c r="AW833" s="650"/>
      <c r="AX833" s="650"/>
      <c r="AY833" s="650"/>
    </row>
    <row r="834" ht="21.75" customHeight="1">
      <c r="A834" s="650"/>
      <c r="B834" s="650"/>
      <c r="C834" s="650"/>
      <c r="D834" s="650"/>
      <c r="E834" s="650"/>
      <c r="F834" s="650"/>
      <c r="G834" s="650"/>
      <c r="H834" s="650"/>
      <c r="I834" s="650"/>
      <c r="J834" s="650"/>
      <c r="K834" s="650"/>
      <c r="L834" s="650"/>
      <c r="M834" s="650"/>
      <c r="N834" s="650"/>
      <c r="O834" s="650"/>
      <c r="P834" s="650"/>
      <c r="Q834" s="650"/>
      <c r="R834" s="650"/>
      <c r="S834" s="650"/>
      <c r="T834" s="650"/>
      <c r="U834" s="650"/>
      <c r="V834" s="650"/>
      <c r="W834" s="650"/>
      <c r="X834" s="650"/>
      <c r="Y834" s="650"/>
      <c r="Z834" s="650"/>
      <c r="AA834" s="650"/>
      <c r="AB834" s="650"/>
      <c r="AC834" s="650"/>
      <c r="AD834" s="650"/>
      <c r="AE834" s="650"/>
      <c r="AF834" s="650"/>
      <c r="AG834" s="650"/>
      <c r="AH834" s="650"/>
      <c r="AI834" s="650"/>
      <c r="AJ834" s="650"/>
      <c r="AK834" s="650"/>
      <c r="AL834" s="650"/>
      <c r="AM834" s="650"/>
      <c r="AN834" s="650"/>
      <c r="AO834" s="650"/>
      <c r="AP834" s="650"/>
      <c r="AQ834" s="650"/>
      <c r="AR834" s="650"/>
      <c r="AS834" s="650"/>
      <c r="AT834" s="650"/>
      <c r="AU834" s="650"/>
      <c r="AV834" s="650"/>
      <c r="AW834" s="650"/>
      <c r="AX834" s="650"/>
      <c r="AY834" s="650"/>
    </row>
    <row r="835" ht="21.75" customHeight="1">
      <c r="A835" s="650"/>
      <c r="B835" s="650"/>
      <c r="C835" s="650"/>
      <c r="D835" s="650"/>
      <c r="E835" s="650"/>
      <c r="F835" s="650"/>
      <c r="G835" s="650"/>
      <c r="H835" s="650"/>
      <c r="I835" s="650"/>
      <c r="J835" s="650"/>
      <c r="K835" s="650"/>
      <c r="L835" s="650"/>
      <c r="M835" s="650"/>
      <c r="N835" s="650"/>
      <c r="O835" s="650"/>
      <c r="P835" s="650"/>
      <c r="Q835" s="650"/>
      <c r="R835" s="650"/>
      <c r="S835" s="650"/>
      <c r="T835" s="650"/>
      <c r="U835" s="650"/>
      <c r="V835" s="650"/>
      <c r="W835" s="650"/>
      <c r="X835" s="650"/>
      <c r="Y835" s="650"/>
      <c r="Z835" s="650"/>
      <c r="AA835" s="650"/>
      <c r="AB835" s="650"/>
      <c r="AC835" s="650"/>
      <c r="AD835" s="650"/>
      <c r="AE835" s="650"/>
      <c r="AF835" s="650"/>
      <c r="AG835" s="650"/>
      <c r="AH835" s="650"/>
      <c r="AI835" s="650"/>
      <c r="AJ835" s="650"/>
      <c r="AK835" s="650"/>
      <c r="AL835" s="650"/>
      <c r="AM835" s="650"/>
      <c r="AN835" s="650"/>
      <c r="AO835" s="650"/>
      <c r="AP835" s="650"/>
      <c r="AQ835" s="650"/>
      <c r="AR835" s="650"/>
      <c r="AS835" s="650"/>
      <c r="AT835" s="650"/>
      <c r="AU835" s="650"/>
      <c r="AV835" s="650"/>
      <c r="AW835" s="650"/>
      <c r="AX835" s="650"/>
      <c r="AY835" s="650"/>
    </row>
    <row r="836" ht="21.75" customHeight="1">
      <c r="A836" s="650"/>
      <c r="B836" s="650"/>
      <c r="C836" s="650"/>
      <c r="D836" s="650"/>
      <c r="E836" s="650"/>
      <c r="F836" s="650"/>
      <c r="G836" s="650"/>
      <c r="H836" s="650"/>
      <c r="I836" s="650"/>
      <c r="J836" s="650"/>
      <c r="K836" s="650"/>
      <c r="L836" s="650"/>
      <c r="M836" s="650"/>
      <c r="N836" s="650"/>
      <c r="O836" s="650"/>
      <c r="P836" s="650"/>
      <c r="Q836" s="650"/>
      <c r="R836" s="650"/>
      <c r="S836" s="650"/>
      <c r="T836" s="650"/>
      <c r="U836" s="650"/>
      <c r="V836" s="650"/>
      <c r="W836" s="650"/>
      <c r="X836" s="650"/>
      <c r="Y836" s="650"/>
      <c r="Z836" s="650"/>
      <c r="AA836" s="650"/>
      <c r="AB836" s="650"/>
      <c r="AC836" s="650"/>
      <c r="AD836" s="650"/>
      <c r="AE836" s="650"/>
      <c r="AF836" s="650"/>
      <c r="AG836" s="650"/>
      <c r="AH836" s="650"/>
      <c r="AI836" s="650"/>
      <c r="AJ836" s="650"/>
      <c r="AK836" s="650"/>
      <c r="AL836" s="650"/>
      <c r="AM836" s="650"/>
      <c r="AN836" s="650"/>
      <c r="AO836" s="650"/>
      <c r="AP836" s="650"/>
      <c r="AQ836" s="650"/>
      <c r="AR836" s="650"/>
      <c r="AS836" s="650"/>
      <c r="AT836" s="650"/>
      <c r="AU836" s="650"/>
      <c r="AV836" s="650"/>
      <c r="AW836" s="650"/>
      <c r="AX836" s="650"/>
      <c r="AY836" s="650"/>
    </row>
    <row r="837" ht="21.75" customHeight="1">
      <c r="A837" s="650"/>
      <c r="B837" s="650"/>
      <c r="C837" s="650"/>
      <c r="D837" s="650"/>
      <c r="E837" s="650"/>
      <c r="F837" s="650"/>
      <c r="G837" s="650"/>
      <c r="H837" s="650"/>
      <c r="I837" s="650"/>
      <c r="J837" s="650"/>
      <c r="K837" s="650"/>
      <c r="L837" s="650"/>
      <c r="M837" s="650"/>
      <c r="N837" s="650"/>
      <c r="O837" s="650"/>
      <c r="P837" s="650"/>
      <c r="Q837" s="650"/>
      <c r="R837" s="650"/>
      <c r="S837" s="650"/>
      <c r="T837" s="650"/>
      <c r="U837" s="650"/>
      <c r="V837" s="650"/>
      <c r="W837" s="650"/>
      <c r="X837" s="650"/>
      <c r="Y837" s="650"/>
      <c r="Z837" s="650"/>
      <c r="AA837" s="650"/>
      <c r="AB837" s="650"/>
      <c r="AC837" s="650"/>
      <c r="AD837" s="650"/>
      <c r="AE837" s="650"/>
      <c r="AF837" s="650"/>
      <c r="AG837" s="650"/>
      <c r="AH837" s="650"/>
      <c r="AI837" s="650"/>
      <c r="AJ837" s="650"/>
      <c r="AK837" s="650"/>
      <c r="AL837" s="650"/>
      <c r="AM837" s="650"/>
      <c r="AN837" s="650"/>
      <c r="AO837" s="650"/>
      <c r="AP837" s="650"/>
      <c r="AQ837" s="650"/>
      <c r="AR837" s="650"/>
      <c r="AS837" s="650"/>
      <c r="AT837" s="650"/>
      <c r="AU837" s="650"/>
      <c r="AV837" s="650"/>
      <c r="AW837" s="650"/>
      <c r="AX837" s="650"/>
      <c r="AY837" s="650"/>
    </row>
    <row r="838" ht="21.75" customHeight="1">
      <c r="A838" s="650"/>
      <c r="B838" s="650"/>
      <c r="C838" s="650"/>
      <c r="D838" s="650"/>
      <c r="E838" s="650"/>
      <c r="F838" s="650"/>
      <c r="G838" s="650"/>
      <c r="H838" s="650"/>
      <c r="I838" s="650"/>
      <c r="J838" s="650"/>
      <c r="K838" s="650"/>
      <c r="L838" s="650"/>
      <c r="M838" s="650"/>
      <c r="N838" s="650"/>
      <c r="O838" s="650"/>
      <c r="P838" s="650"/>
      <c r="Q838" s="650"/>
      <c r="R838" s="650"/>
      <c r="S838" s="650"/>
      <c r="T838" s="650"/>
      <c r="U838" s="650"/>
      <c r="V838" s="650"/>
      <c r="W838" s="650"/>
      <c r="X838" s="650"/>
      <c r="Y838" s="650"/>
      <c r="Z838" s="650"/>
      <c r="AA838" s="650"/>
      <c r="AB838" s="650"/>
      <c r="AC838" s="650"/>
      <c r="AD838" s="650"/>
      <c r="AE838" s="650"/>
      <c r="AF838" s="650"/>
      <c r="AG838" s="650"/>
      <c r="AH838" s="650"/>
      <c r="AI838" s="650"/>
      <c r="AJ838" s="650"/>
      <c r="AK838" s="650"/>
      <c r="AL838" s="650"/>
      <c r="AM838" s="650"/>
      <c r="AN838" s="650"/>
      <c r="AO838" s="650"/>
      <c r="AP838" s="650"/>
      <c r="AQ838" s="650"/>
      <c r="AR838" s="650"/>
      <c r="AS838" s="650"/>
      <c r="AT838" s="650"/>
      <c r="AU838" s="650"/>
      <c r="AV838" s="650"/>
      <c r="AW838" s="650"/>
      <c r="AX838" s="650"/>
      <c r="AY838" s="650"/>
    </row>
    <row r="839" ht="21.75" customHeight="1">
      <c r="A839" s="650"/>
      <c r="B839" s="650"/>
      <c r="C839" s="650"/>
      <c r="D839" s="650"/>
      <c r="E839" s="650"/>
      <c r="F839" s="650"/>
      <c r="G839" s="650"/>
      <c r="H839" s="650"/>
      <c r="I839" s="650"/>
      <c r="J839" s="650"/>
      <c r="K839" s="650"/>
      <c r="L839" s="650"/>
      <c r="M839" s="650"/>
      <c r="N839" s="650"/>
      <c r="O839" s="650"/>
      <c r="P839" s="650"/>
      <c r="Q839" s="650"/>
      <c r="R839" s="650"/>
      <c r="S839" s="650"/>
      <c r="T839" s="650"/>
      <c r="U839" s="650"/>
      <c r="V839" s="650"/>
      <c r="W839" s="650"/>
      <c r="X839" s="650"/>
      <c r="Y839" s="650"/>
      <c r="Z839" s="650"/>
      <c r="AA839" s="650"/>
      <c r="AB839" s="650"/>
      <c r="AC839" s="650"/>
      <c r="AD839" s="650"/>
      <c r="AE839" s="650"/>
      <c r="AF839" s="650"/>
      <c r="AG839" s="650"/>
      <c r="AH839" s="650"/>
      <c r="AI839" s="650"/>
      <c r="AJ839" s="650"/>
      <c r="AK839" s="650"/>
      <c r="AL839" s="650"/>
      <c r="AM839" s="650"/>
      <c r="AN839" s="650"/>
      <c r="AO839" s="650"/>
      <c r="AP839" s="650"/>
      <c r="AQ839" s="650"/>
      <c r="AR839" s="650"/>
      <c r="AS839" s="650"/>
      <c r="AT839" s="650"/>
      <c r="AU839" s="650"/>
      <c r="AV839" s="650"/>
      <c r="AW839" s="650"/>
      <c r="AX839" s="650"/>
      <c r="AY839" s="650"/>
    </row>
    <row r="840" ht="21.75" customHeight="1">
      <c r="A840" s="650"/>
      <c r="B840" s="650"/>
      <c r="C840" s="650"/>
      <c r="D840" s="650"/>
      <c r="E840" s="650"/>
      <c r="F840" s="650"/>
      <c r="G840" s="650"/>
      <c r="H840" s="650"/>
      <c r="I840" s="650"/>
      <c r="J840" s="650"/>
      <c r="K840" s="650"/>
      <c r="L840" s="650"/>
      <c r="M840" s="650"/>
      <c r="N840" s="650"/>
      <c r="O840" s="650"/>
      <c r="P840" s="650"/>
      <c r="Q840" s="650"/>
      <c r="R840" s="650"/>
      <c r="S840" s="650"/>
      <c r="T840" s="650"/>
      <c r="U840" s="650"/>
      <c r="V840" s="650"/>
      <c r="W840" s="650"/>
      <c r="X840" s="650"/>
      <c r="Y840" s="650"/>
      <c r="Z840" s="650"/>
      <c r="AA840" s="650"/>
      <c r="AB840" s="650"/>
      <c r="AC840" s="650"/>
      <c r="AD840" s="650"/>
      <c r="AE840" s="650"/>
      <c r="AF840" s="650"/>
      <c r="AG840" s="650"/>
      <c r="AH840" s="650"/>
      <c r="AI840" s="650"/>
      <c r="AJ840" s="650"/>
      <c r="AK840" s="650"/>
      <c r="AL840" s="650"/>
      <c r="AM840" s="650"/>
      <c r="AN840" s="650"/>
      <c r="AO840" s="650"/>
      <c r="AP840" s="650"/>
      <c r="AQ840" s="650"/>
      <c r="AR840" s="650"/>
      <c r="AS840" s="650"/>
      <c r="AT840" s="650"/>
      <c r="AU840" s="650"/>
      <c r="AV840" s="650"/>
      <c r="AW840" s="650"/>
      <c r="AX840" s="650"/>
      <c r="AY840" s="650"/>
    </row>
    <row r="841" ht="21.75" customHeight="1">
      <c r="A841" s="650"/>
      <c r="B841" s="650"/>
      <c r="C841" s="650"/>
      <c r="D841" s="650"/>
      <c r="E841" s="650"/>
      <c r="F841" s="650"/>
      <c r="G841" s="650"/>
      <c r="H841" s="650"/>
      <c r="I841" s="650"/>
      <c r="J841" s="650"/>
      <c r="K841" s="650"/>
      <c r="L841" s="650"/>
      <c r="M841" s="650"/>
      <c r="N841" s="650"/>
      <c r="O841" s="650"/>
      <c r="P841" s="650"/>
      <c r="Q841" s="650"/>
      <c r="R841" s="650"/>
      <c r="S841" s="650"/>
      <c r="T841" s="650"/>
      <c r="U841" s="650"/>
      <c r="V841" s="650"/>
      <c r="W841" s="650"/>
      <c r="X841" s="650"/>
      <c r="Y841" s="650"/>
      <c r="Z841" s="650"/>
      <c r="AA841" s="650"/>
      <c r="AB841" s="650"/>
      <c r="AC841" s="650"/>
      <c r="AD841" s="650"/>
      <c r="AE841" s="650"/>
      <c r="AF841" s="650"/>
      <c r="AG841" s="650"/>
      <c r="AH841" s="650"/>
      <c r="AI841" s="650"/>
      <c r="AJ841" s="650"/>
      <c r="AK841" s="650"/>
      <c r="AL841" s="650"/>
      <c r="AM841" s="650"/>
      <c r="AN841" s="650"/>
      <c r="AO841" s="650"/>
      <c r="AP841" s="650"/>
      <c r="AQ841" s="650"/>
      <c r="AR841" s="650"/>
      <c r="AS841" s="650"/>
      <c r="AT841" s="650"/>
      <c r="AU841" s="650"/>
      <c r="AV841" s="650"/>
      <c r="AW841" s="650"/>
      <c r="AX841" s="650"/>
      <c r="AY841" s="650"/>
    </row>
    <row r="842" ht="21.75" customHeight="1">
      <c r="A842" s="650"/>
      <c r="B842" s="650"/>
      <c r="C842" s="650"/>
      <c r="D842" s="650"/>
      <c r="E842" s="650"/>
      <c r="F842" s="650"/>
      <c r="G842" s="650"/>
      <c r="H842" s="650"/>
      <c r="I842" s="650"/>
      <c r="J842" s="650"/>
      <c r="K842" s="650"/>
      <c r="L842" s="650"/>
      <c r="M842" s="650"/>
      <c r="N842" s="650"/>
      <c r="O842" s="650"/>
      <c r="P842" s="650"/>
      <c r="Q842" s="650"/>
      <c r="R842" s="650"/>
      <c r="S842" s="650"/>
      <c r="T842" s="650"/>
      <c r="U842" s="650"/>
      <c r="V842" s="650"/>
      <c r="W842" s="650"/>
      <c r="X842" s="650"/>
      <c r="Y842" s="650"/>
      <c r="Z842" s="650"/>
      <c r="AA842" s="650"/>
      <c r="AB842" s="650"/>
      <c r="AC842" s="650"/>
      <c r="AD842" s="650"/>
      <c r="AE842" s="650"/>
      <c r="AF842" s="650"/>
      <c r="AG842" s="650"/>
      <c r="AH842" s="650"/>
      <c r="AI842" s="650"/>
      <c r="AJ842" s="650"/>
      <c r="AK842" s="650"/>
      <c r="AL842" s="650"/>
      <c r="AM842" s="650"/>
      <c r="AN842" s="650"/>
      <c r="AO842" s="650"/>
      <c r="AP842" s="650"/>
      <c r="AQ842" s="650"/>
      <c r="AR842" s="650"/>
      <c r="AS842" s="650"/>
      <c r="AT842" s="650"/>
      <c r="AU842" s="650"/>
      <c r="AV842" s="650"/>
      <c r="AW842" s="650"/>
      <c r="AX842" s="650"/>
      <c r="AY842" s="650"/>
    </row>
    <row r="843" ht="21.75" customHeight="1">
      <c r="A843" s="650"/>
      <c r="B843" s="650"/>
      <c r="C843" s="650"/>
      <c r="D843" s="650"/>
      <c r="E843" s="650"/>
      <c r="F843" s="650"/>
      <c r="G843" s="650"/>
      <c r="H843" s="650"/>
      <c r="I843" s="650"/>
      <c r="J843" s="650"/>
      <c r="K843" s="650"/>
      <c r="L843" s="650"/>
      <c r="M843" s="650"/>
      <c r="N843" s="650"/>
      <c r="O843" s="650"/>
      <c r="P843" s="650"/>
      <c r="Q843" s="650"/>
      <c r="R843" s="650"/>
      <c r="S843" s="650"/>
      <c r="T843" s="650"/>
      <c r="U843" s="650"/>
      <c r="V843" s="650"/>
      <c r="W843" s="650"/>
      <c r="X843" s="650"/>
      <c r="Y843" s="650"/>
      <c r="Z843" s="650"/>
      <c r="AA843" s="650"/>
      <c r="AB843" s="650"/>
      <c r="AC843" s="650"/>
      <c r="AD843" s="650"/>
      <c r="AE843" s="650"/>
      <c r="AF843" s="650"/>
      <c r="AG843" s="650"/>
      <c r="AH843" s="650"/>
      <c r="AI843" s="650"/>
      <c r="AJ843" s="650"/>
      <c r="AK843" s="650"/>
      <c r="AL843" s="650"/>
      <c r="AM843" s="650"/>
      <c r="AN843" s="650"/>
      <c r="AO843" s="650"/>
      <c r="AP843" s="650"/>
      <c r="AQ843" s="650"/>
      <c r="AR843" s="650"/>
      <c r="AS843" s="650"/>
      <c r="AT843" s="650"/>
      <c r="AU843" s="650"/>
      <c r="AV843" s="650"/>
      <c r="AW843" s="650"/>
      <c r="AX843" s="650"/>
      <c r="AY843" s="650"/>
    </row>
    <row r="844" ht="21.75" customHeight="1">
      <c r="A844" s="650"/>
      <c r="B844" s="650"/>
      <c r="C844" s="650"/>
      <c r="D844" s="650"/>
      <c r="E844" s="650"/>
      <c r="F844" s="650"/>
      <c r="G844" s="650"/>
      <c r="H844" s="650"/>
      <c r="I844" s="650"/>
      <c r="J844" s="650"/>
      <c r="K844" s="650"/>
      <c r="L844" s="650"/>
      <c r="M844" s="650"/>
      <c r="N844" s="650"/>
      <c r="O844" s="650"/>
      <c r="P844" s="650"/>
      <c r="Q844" s="650"/>
      <c r="R844" s="650"/>
      <c r="S844" s="650"/>
      <c r="T844" s="650"/>
      <c r="U844" s="650"/>
      <c r="V844" s="650"/>
      <c r="W844" s="650"/>
      <c r="X844" s="650"/>
      <c r="Y844" s="650"/>
      <c r="Z844" s="650"/>
      <c r="AA844" s="650"/>
      <c r="AB844" s="650"/>
      <c r="AC844" s="650"/>
      <c r="AD844" s="650"/>
      <c r="AE844" s="650"/>
      <c r="AF844" s="650"/>
      <c r="AG844" s="650"/>
      <c r="AH844" s="650"/>
      <c r="AI844" s="650"/>
      <c r="AJ844" s="650"/>
      <c r="AK844" s="650"/>
      <c r="AL844" s="650"/>
      <c r="AM844" s="650"/>
      <c r="AN844" s="650"/>
      <c r="AO844" s="650"/>
      <c r="AP844" s="650"/>
      <c r="AQ844" s="650"/>
      <c r="AR844" s="650"/>
      <c r="AS844" s="650"/>
      <c r="AT844" s="650"/>
      <c r="AU844" s="650"/>
      <c r="AV844" s="650"/>
      <c r="AW844" s="650"/>
      <c r="AX844" s="650"/>
      <c r="AY844" s="650"/>
    </row>
    <row r="845" ht="21.75" customHeight="1">
      <c r="A845" s="650"/>
      <c r="B845" s="650"/>
      <c r="C845" s="650"/>
      <c r="D845" s="650"/>
      <c r="E845" s="650"/>
      <c r="F845" s="650"/>
      <c r="G845" s="650"/>
      <c r="H845" s="650"/>
      <c r="I845" s="650"/>
      <c r="J845" s="650"/>
      <c r="K845" s="650"/>
      <c r="L845" s="650"/>
      <c r="M845" s="650"/>
      <c r="N845" s="650"/>
      <c r="O845" s="650"/>
      <c r="P845" s="650"/>
      <c r="Q845" s="650"/>
      <c r="R845" s="650"/>
      <c r="S845" s="650"/>
      <c r="T845" s="650"/>
      <c r="U845" s="650"/>
      <c r="V845" s="650"/>
      <c r="W845" s="650"/>
      <c r="X845" s="650"/>
      <c r="Y845" s="650"/>
      <c r="Z845" s="650"/>
      <c r="AA845" s="650"/>
      <c r="AB845" s="650"/>
      <c r="AC845" s="650"/>
      <c r="AD845" s="650"/>
      <c r="AE845" s="650"/>
      <c r="AF845" s="650"/>
      <c r="AG845" s="650"/>
      <c r="AH845" s="650"/>
      <c r="AI845" s="650"/>
      <c r="AJ845" s="650"/>
      <c r="AK845" s="650"/>
      <c r="AL845" s="650"/>
      <c r="AM845" s="650"/>
      <c r="AN845" s="650"/>
      <c r="AO845" s="650"/>
      <c r="AP845" s="650"/>
      <c r="AQ845" s="650"/>
      <c r="AR845" s="650"/>
      <c r="AS845" s="650"/>
      <c r="AT845" s="650"/>
      <c r="AU845" s="650"/>
      <c r="AV845" s="650"/>
      <c r="AW845" s="650"/>
      <c r="AX845" s="650"/>
      <c r="AY845" s="650"/>
    </row>
    <row r="846" ht="21.75" customHeight="1">
      <c r="A846" s="650"/>
      <c r="B846" s="650"/>
      <c r="C846" s="650"/>
      <c r="D846" s="650"/>
      <c r="E846" s="650"/>
      <c r="F846" s="650"/>
      <c r="G846" s="650"/>
      <c r="H846" s="650"/>
      <c r="I846" s="650"/>
      <c r="J846" s="650"/>
      <c r="K846" s="650"/>
      <c r="L846" s="650"/>
      <c r="M846" s="650"/>
      <c r="N846" s="650"/>
      <c r="O846" s="650"/>
      <c r="P846" s="650"/>
      <c r="Q846" s="650"/>
      <c r="R846" s="650"/>
      <c r="S846" s="650"/>
      <c r="T846" s="650"/>
      <c r="U846" s="650"/>
      <c r="V846" s="650"/>
      <c r="W846" s="650"/>
      <c r="X846" s="650"/>
      <c r="Y846" s="650"/>
      <c r="Z846" s="650"/>
      <c r="AA846" s="650"/>
      <c r="AB846" s="650"/>
      <c r="AC846" s="650"/>
      <c r="AD846" s="650"/>
      <c r="AE846" s="650"/>
      <c r="AF846" s="650"/>
      <c r="AG846" s="650"/>
      <c r="AH846" s="650"/>
      <c r="AI846" s="650"/>
      <c r="AJ846" s="650"/>
      <c r="AK846" s="650"/>
      <c r="AL846" s="650"/>
      <c r="AM846" s="650"/>
      <c r="AN846" s="650"/>
      <c r="AO846" s="650"/>
      <c r="AP846" s="650"/>
      <c r="AQ846" s="650"/>
      <c r="AR846" s="650"/>
      <c r="AS846" s="650"/>
      <c r="AT846" s="650"/>
      <c r="AU846" s="650"/>
      <c r="AV846" s="650"/>
      <c r="AW846" s="650"/>
      <c r="AX846" s="650"/>
      <c r="AY846" s="650"/>
    </row>
    <row r="847" ht="21.75" customHeight="1">
      <c r="A847" s="650"/>
      <c r="B847" s="650"/>
      <c r="C847" s="650"/>
      <c r="D847" s="650"/>
      <c r="E847" s="650"/>
      <c r="F847" s="650"/>
      <c r="G847" s="650"/>
      <c r="H847" s="650"/>
      <c r="I847" s="650"/>
      <c r="J847" s="650"/>
      <c r="K847" s="650"/>
      <c r="L847" s="650"/>
      <c r="M847" s="650"/>
      <c r="N847" s="650"/>
      <c r="O847" s="650"/>
      <c r="P847" s="650"/>
      <c r="Q847" s="650"/>
      <c r="R847" s="650"/>
      <c r="S847" s="650"/>
      <c r="T847" s="650"/>
      <c r="U847" s="650"/>
      <c r="V847" s="650"/>
      <c r="W847" s="650"/>
      <c r="X847" s="650"/>
      <c r="Y847" s="650"/>
      <c r="Z847" s="650"/>
      <c r="AA847" s="650"/>
      <c r="AB847" s="650"/>
      <c r="AC847" s="650"/>
      <c r="AD847" s="650"/>
      <c r="AE847" s="650"/>
      <c r="AF847" s="650"/>
      <c r="AG847" s="650"/>
      <c r="AH847" s="650"/>
      <c r="AI847" s="650"/>
      <c r="AJ847" s="650"/>
      <c r="AK847" s="650"/>
      <c r="AL847" s="650"/>
      <c r="AM847" s="650"/>
      <c r="AN847" s="650"/>
      <c r="AO847" s="650"/>
      <c r="AP847" s="650"/>
      <c r="AQ847" s="650"/>
      <c r="AR847" s="650"/>
      <c r="AS847" s="650"/>
      <c r="AT847" s="650"/>
      <c r="AU847" s="650"/>
      <c r="AV847" s="650"/>
      <c r="AW847" s="650"/>
      <c r="AX847" s="650"/>
      <c r="AY847" s="650"/>
    </row>
    <row r="848" ht="21.75" customHeight="1">
      <c r="A848" s="650"/>
      <c r="B848" s="650"/>
      <c r="C848" s="650"/>
      <c r="D848" s="650"/>
      <c r="E848" s="650"/>
      <c r="F848" s="650"/>
      <c r="G848" s="650"/>
      <c r="H848" s="650"/>
      <c r="I848" s="650"/>
      <c r="J848" s="650"/>
      <c r="K848" s="650"/>
      <c r="L848" s="650"/>
      <c r="M848" s="650"/>
      <c r="N848" s="650"/>
      <c r="O848" s="650"/>
      <c r="P848" s="650"/>
      <c r="Q848" s="650"/>
      <c r="R848" s="650"/>
      <c r="S848" s="650"/>
      <c r="T848" s="650"/>
      <c r="U848" s="650"/>
      <c r="V848" s="650"/>
      <c r="W848" s="650"/>
      <c r="X848" s="650"/>
      <c r="Y848" s="650"/>
      <c r="Z848" s="650"/>
      <c r="AA848" s="650"/>
      <c r="AB848" s="650"/>
      <c r="AC848" s="650"/>
      <c r="AD848" s="650"/>
      <c r="AE848" s="650"/>
      <c r="AF848" s="650"/>
      <c r="AG848" s="650"/>
      <c r="AH848" s="650"/>
      <c r="AI848" s="650"/>
      <c r="AJ848" s="650"/>
      <c r="AK848" s="650"/>
      <c r="AL848" s="650"/>
      <c r="AM848" s="650"/>
      <c r="AN848" s="650"/>
      <c r="AO848" s="650"/>
      <c r="AP848" s="650"/>
      <c r="AQ848" s="650"/>
      <c r="AR848" s="650"/>
      <c r="AS848" s="650"/>
      <c r="AT848" s="650"/>
      <c r="AU848" s="650"/>
      <c r="AV848" s="650"/>
      <c r="AW848" s="650"/>
      <c r="AX848" s="650"/>
      <c r="AY848" s="650"/>
    </row>
    <row r="849" ht="21.75" customHeight="1">
      <c r="A849" s="650"/>
      <c r="B849" s="650"/>
      <c r="C849" s="650"/>
      <c r="D849" s="650"/>
      <c r="E849" s="650"/>
      <c r="F849" s="650"/>
      <c r="G849" s="650"/>
      <c r="H849" s="650"/>
      <c r="I849" s="650"/>
      <c r="J849" s="650"/>
      <c r="K849" s="650"/>
      <c r="L849" s="650"/>
      <c r="M849" s="650"/>
      <c r="N849" s="650"/>
      <c r="O849" s="650"/>
      <c r="P849" s="650"/>
      <c r="Q849" s="650"/>
      <c r="R849" s="650"/>
      <c r="S849" s="650"/>
      <c r="T849" s="650"/>
      <c r="U849" s="650"/>
      <c r="V849" s="650"/>
      <c r="W849" s="650"/>
      <c r="X849" s="650"/>
      <c r="Y849" s="650"/>
      <c r="Z849" s="650"/>
      <c r="AA849" s="650"/>
      <c r="AB849" s="650"/>
      <c r="AC849" s="650"/>
      <c r="AD849" s="650"/>
      <c r="AE849" s="650"/>
      <c r="AF849" s="650"/>
      <c r="AG849" s="650"/>
      <c r="AH849" s="650"/>
      <c r="AI849" s="650"/>
      <c r="AJ849" s="650"/>
      <c r="AK849" s="650"/>
      <c r="AL849" s="650"/>
      <c r="AM849" s="650"/>
      <c r="AN849" s="650"/>
      <c r="AO849" s="650"/>
      <c r="AP849" s="650"/>
      <c r="AQ849" s="650"/>
      <c r="AR849" s="650"/>
      <c r="AS849" s="650"/>
      <c r="AT849" s="650"/>
      <c r="AU849" s="650"/>
      <c r="AV849" s="650"/>
      <c r="AW849" s="650"/>
      <c r="AX849" s="650"/>
      <c r="AY849" s="650"/>
    </row>
    <row r="850" ht="21.75" customHeight="1">
      <c r="A850" s="650"/>
      <c r="B850" s="650"/>
      <c r="C850" s="650"/>
      <c r="D850" s="650"/>
      <c r="E850" s="650"/>
      <c r="F850" s="650"/>
      <c r="G850" s="650"/>
      <c r="H850" s="650"/>
      <c r="I850" s="650"/>
      <c r="J850" s="650"/>
      <c r="K850" s="650"/>
      <c r="L850" s="650"/>
      <c r="M850" s="650"/>
      <c r="N850" s="650"/>
      <c r="O850" s="650"/>
      <c r="P850" s="650"/>
      <c r="Q850" s="650"/>
      <c r="R850" s="650"/>
      <c r="S850" s="650"/>
      <c r="T850" s="650"/>
      <c r="U850" s="650"/>
      <c r="V850" s="650"/>
      <c r="W850" s="650"/>
      <c r="X850" s="650"/>
      <c r="Y850" s="650"/>
      <c r="Z850" s="650"/>
      <c r="AA850" s="650"/>
      <c r="AB850" s="650"/>
      <c r="AC850" s="650"/>
      <c r="AD850" s="650"/>
      <c r="AE850" s="650"/>
      <c r="AF850" s="650"/>
      <c r="AG850" s="650"/>
      <c r="AH850" s="650"/>
      <c r="AI850" s="650"/>
      <c r="AJ850" s="650"/>
      <c r="AK850" s="650"/>
      <c r="AL850" s="650"/>
      <c r="AM850" s="650"/>
      <c r="AN850" s="650"/>
      <c r="AO850" s="650"/>
      <c r="AP850" s="650"/>
      <c r="AQ850" s="650"/>
      <c r="AR850" s="650"/>
      <c r="AS850" s="650"/>
      <c r="AT850" s="650"/>
      <c r="AU850" s="650"/>
      <c r="AV850" s="650"/>
      <c r="AW850" s="650"/>
      <c r="AX850" s="650"/>
      <c r="AY850" s="650"/>
    </row>
    <row r="851" ht="21.75" customHeight="1">
      <c r="A851" s="650"/>
      <c r="B851" s="650"/>
      <c r="C851" s="650"/>
      <c r="D851" s="650"/>
      <c r="E851" s="650"/>
      <c r="F851" s="650"/>
      <c r="G851" s="650"/>
      <c r="H851" s="650"/>
      <c r="I851" s="650"/>
      <c r="J851" s="650"/>
      <c r="K851" s="650"/>
      <c r="L851" s="650"/>
      <c r="M851" s="650"/>
      <c r="N851" s="650"/>
      <c r="O851" s="650"/>
      <c r="P851" s="650"/>
      <c r="Q851" s="650"/>
      <c r="R851" s="650"/>
      <c r="S851" s="650"/>
      <c r="T851" s="650"/>
      <c r="U851" s="650"/>
      <c r="V851" s="650"/>
      <c r="W851" s="650"/>
      <c r="X851" s="650"/>
      <c r="Y851" s="650"/>
      <c r="Z851" s="650"/>
      <c r="AA851" s="650"/>
      <c r="AB851" s="650"/>
      <c r="AC851" s="650"/>
      <c r="AD851" s="650"/>
      <c r="AE851" s="650"/>
      <c r="AF851" s="650"/>
      <c r="AG851" s="650"/>
      <c r="AH851" s="650"/>
      <c r="AI851" s="650"/>
      <c r="AJ851" s="650"/>
      <c r="AK851" s="650"/>
      <c r="AL851" s="650"/>
      <c r="AM851" s="650"/>
      <c r="AN851" s="650"/>
      <c r="AO851" s="650"/>
      <c r="AP851" s="650"/>
      <c r="AQ851" s="650"/>
      <c r="AR851" s="650"/>
      <c r="AS851" s="650"/>
      <c r="AT851" s="650"/>
      <c r="AU851" s="650"/>
      <c r="AV851" s="650"/>
      <c r="AW851" s="650"/>
      <c r="AX851" s="650"/>
      <c r="AY851" s="650"/>
    </row>
    <row r="852" ht="21.75" customHeight="1">
      <c r="A852" s="650"/>
      <c r="B852" s="650"/>
      <c r="C852" s="650"/>
      <c r="D852" s="650"/>
      <c r="E852" s="650"/>
      <c r="F852" s="650"/>
      <c r="G852" s="650"/>
      <c r="H852" s="650"/>
      <c r="I852" s="650"/>
      <c r="J852" s="650"/>
      <c r="K852" s="650"/>
      <c r="L852" s="650"/>
      <c r="M852" s="650"/>
      <c r="N852" s="650"/>
      <c r="O852" s="650"/>
      <c r="P852" s="650"/>
      <c r="Q852" s="650"/>
      <c r="R852" s="650"/>
      <c r="S852" s="650"/>
      <c r="T852" s="650"/>
      <c r="U852" s="650"/>
      <c r="V852" s="650"/>
      <c r="W852" s="650"/>
      <c r="X852" s="650"/>
      <c r="Y852" s="650"/>
      <c r="Z852" s="650"/>
      <c r="AA852" s="650"/>
      <c r="AB852" s="650"/>
      <c r="AC852" s="650"/>
      <c r="AD852" s="650"/>
      <c r="AE852" s="650"/>
      <c r="AF852" s="650"/>
      <c r="AG852" s="650"/>
      <c r="AH852" s="650"/>
      <c r="AI852" s="650"/>
      <c r="AJ852" s="650"/>
      <c r="AK852" s="650"/>
      <c r="AL852" s="650"/>
      <c r="AM852" s="650"/>
      <c r="AN852" s="650"/>
      <c r="AO852" s="650"/>
      <c r="AP852" s="650"/>
      <c r="AQ852" s="650"/>
      <c r="AR852" s="650"/>
      <c r="AS852" s="650"/>
      <c r="AT852" s="650"/>
      <c r="AU852" s="650"/>
      <c r="AV852" s="650"/>
      <c r="AW852" s="650"/>
      <c r="AX852" s="650"/>
      <c r="AY852" s="650"/>
    </row>
    <row r="853" ht="21.75" customHeight="1">
      <c r="A853" s="650"/>
      <c r="B853" s="650"/>
      <c r="C853" s="650"/>
      <c r="D853" s="650"/>
      <c r="E853" s="650"/>
      <c r="F853" s="650"/>
      <c r="G853" s="650"/>
      <c r="H853" s="650"/>
      <c r="I853" s="650"/>
      <c r="J853" s="650"/>
      <c r="K853" s="650"/>
      <c r="L853" s="650"/>
      <c r="M853" s="650"/>
      <c r="N853" s="650"/>
      <c r="O853" s="650"/>
      <c r="P853" s="650"/>
      <c r="Q853" s="650"/>
      <c r="R853" s="650"/>
      <c r="S853" s="650"/>
      <c r="T853" s="650"/>
      <c r="U853" s="650"/>
      <c r="V853" s="650"/>
      <c r="W853" s="650"/>
      <c r="X853" s="650"/>
      <c r="Y853" s="650"/>
      <c r="Z853" s="650"/>
      <c r="AA853" s="650"/>
      <c r="AB853" s="650"/>
      <c r="AC853" s="650"/>
      <c r="AD853" s="650"/>
      <c r="AE853" s="650"/>
      <c r="AF853" s="650"/>
      <c r="AG853" s="650"/>
      <c r="AH853" s="650"/>
      <c r="AI853" s="650"/>
      <c r="AJ853" s="650"/>
      <c r="AK853" s="650"/>
      <c r="AL853" s="650"/>
      <c r="AM853" s="650"/>
      <c r="AN853" s="650"/>
      <c r="AO853" s="650"/>
      <c r="AP853" s="650"/>
      <c r="AQ853" s="650"/>
      <c r="AR853" s="650"/>
      <c r="AS853" s="650"/>
      <c r="AT853" s="650"/>
      <c r="AU853" s="650"/>
      <c r="AV853" s="650"/>
      <c r="AW853" s="650"/>
      <c r="AX853" s="650"/>
      <c r="AY853" s="650"/>
    </row>
    <row r="854" ht="21.75" customHeight="1">
      <c r="A854" s="650"/>
      <c r="B854" s="650"/>
      <c r="C854" s="650"/>
      <c r="D854" s="650"/>
      <c r="E854" s="650"/>
      <c r="F854" s="650"/>
      <c r="G854" s="650"/>
      <c r="H854" s="650"/>
      <c r="I854" s="650"/>
      <c r="J854" s="650"/>
      <c r="K854" s="650"/>
      <c r="L854" s="650"/>
      <c r="M854" s="650"/>
      <c r="N854" s="650"/>
      <c r="O854" s="650"/>
      <c r="P854" s="650"/>
      <c r="Q854" s="650"/>
      <c r="R854" s="650"/>
      <c r="S854" s="650"/>
      <c r="T854" s="650"/>
      <c r="U854" s="650"/>
      <c r="V854" s="650"/>
      <c r="W854" s="650"/>
      <c r="X854" s="650"/>
      <c r="Y854" s="650"/>
      <c r="Z854" s="650"/>
      <c r="AA854" s="650"/>
      <c r="AB854" s="650"/>
      <c r="AC854" s="650"/>
      <c r="AD854" s="650"/>
      <c r="AE854" s="650"/>
      <c r="AF854" s="650"/>
      <c r="AG854" s="650"/>
      <c r="AH854" s="650"/>
      <c r="AI854" s="650"/>
      <c r="AJ854" s="650"/>
      <c r="AK854" s="650"/>
      <c r="AL854" s="650"/>
      <c r="AM854" s="650"/>
      <c r="AN854" s="650"/>
      <c r="AO854" s="650"/>
      <c r="AP854" s="650"/>
      <c r="AQ854" s="650"/>
      <c r="AR854" s="650"/>
      <c r="AS854" s="650"/>
      <c r="AT854" s="650"/>
      <c r="AU854" s="650"/>
      <c r="AV854" s="650"/>
      <c r="AW854" s="650"/>
      <c r="AX854" s="650"/>
      <c r="AY854" s="650"/>
    </row>
    <row r="855" ht="21.75" customHeight="1">
      <c r="A855" s="650"/>
      <c r="B855" s="650"/>
      <c r="C855" s="650"/>
      <c r="D855" s="650"/>
      <c r="E855" s="650"/>
      <c r="F855" s="650"/>
      <c r="G855" s="650"/>
      <c r="H855" s="650"/>
      <c r="I855" s="650"/>
      <c r="J855" s="650"/>
      <c r="K855" s="650"/>
      <c r="L855" s="650"/>
      <c r="M855" s="650"/>
      <c r="N855" s="650"/>
      <c r="O855" s="650"/>
      <c r="P855" s="650"/>
      <c r="Q855" s="650"/>
      <c r="R855" s="650"/>
      <c r="S855" s="650"/>
      <c r="T855" s="650"/>
      <c r="U855" s="650"/>
      <c r="V855" s="650"/>
      <c r="W855" s="650"/>
      <c r="X855" s="650"/>
      <c r="Y855" s="650"/>
      <c r="Z855" s="650"/>
      <c r="AA855" s="650"/>
      <c r="AB855" s="650"/>
      <c r="AC855" s="650"/>
      <c r="AD855" s="650"/>
      <c r="AE855" s="650"/>
      <c r="AF855" s="650"/>
      <c r="AG855" s="650"/>
      <c r="AH855" s="650"/>
      <c r="AI855" s="650"/>
      <c r="AJ855" s="650"/>
      <c r="AK855" s="650"/>
      <c r="AL855" s="650"/>
      <c r="AM855" s="650"/>
      <c r="AN855" s="650"/>
      <c r="AO855" s="650"/>
      <c r="AP855" s="650"/>
      <c r="AQ855" s="650"/>
      <c r="AR855" s="650"/>
      <c r="AS855" s="650"/>
      <c r="AT855" s="650"/>
      <c r="AU855" s="650"/>
      <c r="AV855" s="650"/>
      <c r="AW855" s="650"/>
      <c r="AX855" s="650"/>
      <c r="AY855" s="650"/>
    </row>
    <row r="856" ht="21.75" customHeight="1">
      <c r="A856" s="650"/>
      <c r="B856" s="650"/>
      <c r="C856" s="650"/>
      <c r="D856" s="650"/>
      <c r="E856" s="650"/>
      <c r="F856" s="650"/>
      <c r="G856" s="650"/>
      <c r="H856" s="650"/>
      <c r="I856" s="650"/>
      <c r="J856" s="650"/>
      <c r="K856" s="650"/>
      <c r="L856" s="650"/>
      <c r="M856" s="650"/>
      <c r="N856" s="650"/>
      <c r="O856" s="650"/>
      <c r="P856" s="650"/>
      <c r="Q856" s="650"/>
      <c r="R856" s="650"/>
      <c r="S856" s="650"/>
      <c r="T856" s="650"/>
      <c r="U856" s="650"/>
      <c r="V856" s="650"/>
      <c r="W856" s="650"/>
      <c r="X856" s="650"/>
      <c r="Y856" s="650"/>
      <c r="Z856" s="650"/>
      <c r="AA856" s="650"/>
      <c r="AB856" s="650"/>
      <c r="AC856" s="650"/>
      <c r="AD856" s="650"/>
      <c r="AE856" s="650"/>
      <c r="AF856" s="650"/>
      <c r="AG856" s="650"/>
      <c r="AH856" s="650"/>
      <c r="AI856" s="650"/>
      <c r="AJ856" s="650"/>
      <c r="AK856" s="650"/>
      <c r="AL856" s="650"/>
      <c r="AM856" s="650"/>
      <c r="AN856" s="650"/>
      <c r="AO856" s="650"/>
      <c r="AP856" s="650"/>
      <c r="AQ856" s="650"/>
      <c r="AR856" s="650"/>
      <c r="AS856" s="650"/>
      <c r="AT856" s="650"/>
      <c r="AU856" s="650"/>
      <c r="AV856" s="650"/>
      <c r="AW856" s="650"/>
      <c r="AX856" s="650"/>
      <c r="AY856" s="650"/>
    </row>
    <row r="857" ht="21.75" customHeight="1">
      <c r="A857" s="650"/>
      <c r="B857" s="650"/>
      <c r="C857" s="650"/>
      <c r="D857" s="650"/>
      <c r="E857" s="650"/>
      <c r="F857" s="650"/>
      <c r="G857" s="650"/>
      <c r="H857" s="650"/>
      <c r="I857" s="650"/>
      <c r="J857" s="650"/>
      <c r="K857" s="650"/>
      <c r="L857" s="650"/>
      <c r="M857" s="650"/>
      <c r="N857" s="650"/>
      <c r="O857" s="650"/>
      <c r="P857" s="650"/>
      <c r="Q857" s="650"/>
      <c r="R857" s="650"/>
      <c r="S857" s="650"/>
      <c r="T857" s="650"/>
      <c r="U857" s="650"/>
      <c r="V857" s="650"/>
      <c r="W857" s="650"/>
      <c r="X857" s="650"/>
      <c r="Y857" s="650"/>
      <c r="Z857" s="650"/>
      <c r="AA857" s="650"/>
      <c r="AB857" s="650"/>
      <c r="AC857" s="650"/>
      <c r="AD857" s="650"/>
      <c r="AE857" s="650"/>
      <c r="AF857" s="650"/>
      <c r="AG857" s="650"/>
      <c r="AH857" s="650"/>
      <c r="AI857" s="650"/>
      <c r="AJ857" s="650"/>
      <c r="AK857" s="650"/>
      <c r="AL857" s="650"/>
      <c r="AM857" s="650"/>
      <c r="AN857" s="650"/>
      <c r="AO857" s="650"/>
      <c r="AP857" s="650"/>
      <c r="AQ857" s="650"/>
      <c r="AR857" s="650"/>
      <c r="AS857" s="650"/>
      <c r="AT857" s="650"/>
      <c r="AU857" s="650"/>
      <c r="AV857" s="650"/>
      <c r="AW857" s="650"/>
      <c r="AX857" s="650"/>
      <c r="AY857" s="650"/>
    </row>
    <row r="858" ht="21.75" customHeight="1">
      <c r="A858" s="650"/>
      <c r="B858" s="650"/>
      <c r="C858" s="650"/>
      <c r="D858" s="650"/>
      <c r="E858" s="650"/>
      <c r="F858" s="650"/>
      <c r="G858" s="650"/>
      <c r="H858" s="650"/>
      <c r="I858" s="650"/>
      <c r="J858" s="650"/>
      <c r="K858" s="650"/>
      <c r="L858" s="650"/>
      <c r="M858" s="650"/>
      <c r="N858" s="650"/>
      <c r="O858" s="650"/>
      <c r="P858" s="650"/>
      <c r="Q858" s="650"/>
      <c r="R858" s="650"/>
      <c r="S858" s="650"/>
      <c r="T858" s="650"/>
      <c r="U858" s="650"/>
      <c r="V858" s="650"/>
      <c r="W858" s="650"/>
      <c r="X858" s="650"/>
      <c r="Y858" s="650"/>
      <c r="Z858" s="650"/>
      <c r="AA858" s="650"/>
      <c r="AB858" s="650"/>
      <c r="AC858" s="650"/>
      <c r="AD858" s="650"/>
      <c r="AE858" s="650"/>
      <c r="AF858" s="650"/>
      <c r="AG858" s="650"/>
      <c r="AH858" s="650"/>
      <c r="AI858" s="650"/>
      <c r="AJ858" s="650"/>
      <c r="AK858" s="650"/>
      <c r="AL858" s="650"/>
      <c r="AM858" s="650"/>
      <c r="AN858" s="650"/>
      <c r="AO858" s="650"/>
      <c r="AP858" s="650"/>
      <c r="AQ858" s="650"/>
      <c r="AR858" s="650"/>
      <c r="AS858" s="650"/>
      <c r="AT858" s="650"/>
      <c r="AU858" s="650"/>
      <c r="AV858" s="650"/>
      <c r="AW858" s="650"/>
      <c r="AX858" s="650"/>
      <c r="AY858" s="650"/>
    </row>
    <row r="859" ht="21.75" customHeight="1">
      <c r="A859" s="650"/>
      <c r="B859" s="650"/>
      <c r="C859" s="650"/>
      <c r="D859" s="650"/>
      <c r="E859" s="650"/>
      <c r="F859" s="650"/>
      <c r="G859" s="650"/>
      <c r="H859" s="650"/>
      <c r="I859" s="650"/>
      <c r="J859" s="650"/>
      <c r="K859" s="650"/>
      <c r="L859" s="650"/>
      <c r="M859" s="650"/>
      <c r="N859" s="650"/>
      <c r="O859" s="650"/>
      <c r="P859" s="650"/>
      <c r="Q859" s="650"/>
      <c r="R859" s="650"/>
      <c r="S859" s="650"/>
      <c r="T859" s="650"/>
      <c r="U859" s="650"/>
      <c r="V859" s="650"/>
      <c r="W859" s="650"/>
      <c r="X859" s="650"/>
      <c r="Y859" s="650"/>
      <c r="Z859" s="650"/>
      <c r="AA859" s="650"/>
      <c r="AB859" s="650"/>
      <c r="AC859" s="650"/>
      <c r="AD859" s="650"/>
      <c r="AE859" s="650"/>
      <c r="AF859" s="650"/>
      <c r="AG859" s="650"/>
      <c r="AH859" s="650"/>
      <c r="AI859" s="650"/>
      <c r="AJ859" s="650"/>
      <c r="AK859" s="650"/>
      <c r="AL859" s="650"/>
      <c r="AM859" s="650"/>
      <c r="AN859" s="650"/>
      <c r="AO859" s="650"/>
      <c r="AP859" s="650"/>
      <c r="AQ859" s="650"/>
      <c r="AR859" s="650"/>
      <c r="AS859" s="650"/>
      <c r="AT859" s="650"/>
      <c r="AU859" s="650"/>
      <c r="AV859" s="650"/>
      <c r="AW859" s="650"/>
      <c r="AX859" s="650"/>
      <c r="AY859" s="650"/>
    </row>
    <row r="860" ht="21.75" customHeight="1">
      <c r="A860" s="650"/>
      <c r="B860" s="650"/>
      <c r="C860" s="650"/>
      <c r="D860" s="650"/>
      <c r="E860" s="650"/>
      <c r="F860" s="650"/>
      <c r="G860" s="650"/>
      <c r="H860" s="650"/>
      <c r="I860" s="650"/>
      <c r="J860" s="650"/>
      <c r="K860" s="650"/>
      <c r="L860" s="650"/>
      <c r="M860" s="650"/>
      <c r="N860" s="650"/>
      <c r="O860" s="650"/>
      <c r="P860" s="650"/>
      <c r="Q860" s="650"/>
      <c r="R860" s="650"/>
      <c r="S860" s="650"/>
      <c r="T860" s="650"/>
      <c r="U860" s="650"/>
      <c r="V860" s="650"/>
      <c r="W860" s="650"/>
      <c r="X860" s="650"/>
      <c r="Y860" s="650"/>
      <c r="Z860" s="650"/>
      <c r="AA860" s="650"/>
      <c r="AB860" s="650"/>
      <c r="AC860" s="650"/>
      <c r="AD860" s="650"/>
      <c r="AE860" s="650"/>
      <c r="AF860" s="650"/>
      <c r="AG860" s="650"/>
      <c r="AH860" s="650"/>
      <c r="AI860" s="650"/>
      <c r="AJ860" s="650"/>
      <c r="AK860" s="650"/>
      <c r="AL860" s="650"/>
      <c r="AM860" s="650"/>
      <c r="AN860" s="650"/>
      <c r="AO860" s="650"/>
      <c r="AP860" s="650"/>
      <c r="AQ860" s="650"/>
      <c r="AR860" s="650"/>
      <c r="AS860" s="650"/>
      <c r="AT860" s="650"/>
      <c r="AU860" s="650"/>
      <c r="AV860" s="650"/>
      <c r="AW860" s="650"/>
      <c r="AX860" s="650"/>
      <c r="AY860" s="650"/>
    </row>
    <row r="861" ht="21.75" customHeight="1">
      <c r="A861" s="650"/>
      <c r="B861" s="650"/>
      <c r="C861" s="650"/>
      <c r="D861" s="650"/>
      <c r="E861" s="650"/>
      <c r="F861" s="650"/>
      <c r="G861" s="650"/>
      <c r="H861" s="650"/>
      <c r="I861" s="650"/>
      <c r="J861" s="650"/>
      <c r="K861" s="650"/>
      <c r="L861" s="650"/>
      <c r="M861" s="650"/>
      <c r="N861" s="650"/>
      <c r="O861" s="650"/>
      <c r="P861" s="650"/>
      <c r="Q861" s="650"/>
      <c r="R861" s="650"/>
      <c r="S861" s="650"/>
      <c r="T861" s="650"/>
      <c r="U861" s="650"/>
      <c r="V861" s="650"/>
      <c r="W861" s="650"/>
      <c r="X861" s="650"/>
      <c r="Y861" s="650"/>
      <c r="Z861" s="650"/>
      <c r="AA861" s="650"/>
      <c r="AB861" s="650"/>
      <c r="AC861" s="650"/>
      <c r="AD861" s="650"/>
      <c r="AE861" s="650"/>
      <c r="AF861" s="650"/>
      <c r="AG861" s="650"/>
      <c r="AH861" s="650"/>
      <c r="AI861" s="650"/>
      <c r="AJ861" s="650"/>
      <c r="AK861" s="650"/>
      <c r="AL861" s="650"/>
      <c r="AM861" s="650"/>
      <c r="AN861" s="650"/>
      <c r="AO861" s="650"/>
      <c r="AP861" s="650"/>
      <c r="AQ861" s="650"/>
      <c r="AR861" s="650"/>
      <c r="AS861" s="650"/>
      <c r="AT861" s="650"/>
      <c r="AU861" s="650"/>
      <c r="AV861" s="650"/>
      <c r="AW861" s="650"/>
      <c r="AX861" s="650"/>
      <c r="AY861" s="650"/>
    </row>
    <row r="862" ht="21.75" customHeight="1">
      <c r="A862" s="650"/>
      <c r="B862" s="650"/>
      <c r="C862" s="650"/>
      <c r="D862" s="650"/>
      <c r="E862" s="650"/>
      <c r="F862" s="650"/>
      <c r="G862" s="650"/>
      <c r="H862" s="650"/>
      <c r="I862" s="650"/>
      <c r="J862" s="650"/>
      <c r="K862" s="650"/>
      <c r="L862" s="650"/>
      <c r="M862" s="650"/>
      <c r="N862" s="650"/>
      <c r="O862" s="650"/>
      <c r="P862" s="650"/>
      <c r="Q862" s="650"/>
      <c r="R862" s="650"/>
      <c r="S862" s="650"/>
      <c r="T862" s="650"/>
      <c r="U862" s="650"/>
      <c r="V862" s="650"/>
      <c r="W862" s="650"/>
      <c r="X862" s="650"/>
      <c r="Y862" s="650"/>
      <c r="Z862" s="650"/>
      <c r="AA862" s="650"/>
      <c r="AB862" s="650"/>
      <c r="AC862" s="650"/>
      <c r="AD862" s="650"/>
      <c r="AE862" s="650"/>
      <c r="AF862" s="650"/>
      <c r="AG862" s="650"/>
      <c r="AH862" s="650"/>
      <c r="AI862" s="650"/>
      <c r="AJ862" s="650"/>
      <c r="AK862" s="650"/>
      <c r="AL862" s="650"/>
      <c r="AM862" s="650"/>
      <c r="AN862" s="650"/>
      <c r="AO862" s="650"/>
      <c r="AP862" s="650"/>
      <c r="AQ862" s="650"/>
      <c r="AR862" s="650"/>
      <c r="AS862" s="650"/>
      <c r="AT862" s="650"/>
      <c r="AU862" s="650"/>
      <c r="AV862" s="650"/>
      <c r="AW862" s="650"/>
      <c r="AX862" s="650"/>
      <c r="AY862" s="650"/>
    </row>
    <row r="863" ht="21.75" customHeight="1">
      <c r="A863" s="650"/>
      <c r="B863" s="650"/>
      <c r="C863" s="650"/>
      <c r="D863" s="650"/>
      <c r="E863" s="650"/>
      <c r="F863" s="650"/>
      <c r="G863" s="650"/>
      <c r="H863" s="650"/>
      <c r="I863" s="650"/>
      <c r="J863" s="650"/>
      <c r="K863" s="650"/>
      <c r="L863" s="650"/>
      <c r="M863" s="650"/>
      <c r="N863" s="650"/>
      <c r="O863" s="650"/>
      <c r="P863" s="650"/>
      <c r="Q863" s="650"/>
      <c r="R863" s="650"/>
      <c r="S863" s="650"/>
      <c r="T863" s="650"/>
      <c r="U863" s="650"/>
      <c r="V863" s="650"/>
      <c r="W863" s="650"/>
      <c r="X863" s="650"/>
      <c r="Y863" s="650"/>
      <c r="Z863" s="650"/>
      <c r="AA863" s="650"/>
      <c r="AB863" s="650"/>
      <c r="AC863" s="650"/>
      <c r="AD863" s="650"/>
      <c r="AE863" s="650"/>
      <c r="AF863" s="650"/>
      <c r="AG863" s="650"/>
      <c r="AH863" s="650"/>
      <c r="AI863" s="650"/>
      <c r="AJ863" s="650"/>
      <c r="AK863" s="650"/>
      <c r="AL863" s="650"/>
      <c r="AM863" s="650"/>
      <c r="AN863" s="650"/>
      <c r="AO863" s="650"/>
      <c r="AP863" s="650"/>
      <c r="AQ863" s="650"/>
      <c r="AR863" s="650"/>
      <c r="AS863" s="650"/>
      <c r="AT863" s="650"/>
      <c r="AU863" s="650"/>
      <c r="AV863" s="650"/>
      <c r="AW863" s="650"/>
      <c r="AX863" s="650"/>
      <c r="AY863" s="650"/>
    </row>
    <row r="864" ht="21.75" customHeight="1">
      <c r="A864" s="650"/>
      <c r="B864" s="650"/>
      <c r="C864" s="650"/>
      <c r="D864" s="650"/>
      <c r="E864" s="650"/>
      <c r="F864" s="650"/>
      <c r="G864" s="650"/>
      <c r="H864" s="650"/>
      <c r="I864" s="650"/>
      <c r="J864" s="650"/>
      <c r="K864" s="650"/>
      <c r="L864" s="650"/>
      <c r="M864" s="650"/>
      <c r="N864" s="650"/>
      <c r="O864" s="650"/>
      <c r="P864" s="650"/>
      <c r="Q864" s="650"/>
      <c r="R864" s="650"/>
      <c r="S864" s="650"/>
      <c r="T864" s="650"/>
      <c r="U864" s="650"/>
      <c r="V864" s="650"/>
      <c r="W864" s="650"/>
      <c r="X864" s="650"/>
      <c r="Y864" s="650"/>
      <c r="Z864" s="650"/>
      <c r="AA864" s="650"/>
      <c r="AB864" s="650"/>
      <c r="AC864" s="650"/>
      <c r="AD864" s="650"/>
      <c r="AE864" s="650"/>
      <c r="AF864" s="650"/>
      <c r="AG864" s="650"/>
      <c r="AH864" s="650"/>
      <c r="AI864" s="650"/>
      <c r="AJ864" s="650"/>
      <c r="AK864" s="650"/>
      <c r="AL864" s="650"/>
      <c r="AM864" s="650"/>
      <c r="AN864" s="650"/>
      <c r="AO864" s="650"/>
      <c r="AP864" s="650"/>
      <c r="AQ864" s="650"/>
      <c r="AR864" s="650"/>
      <c r="AS864" s="650"/>
      <c r="AT864" s="650"/>
      <c r="AU864" s="650"/>
      <c r="AV864" s="650"/>
      <c r="AW864" s="650"/>
      <c r="AX864" s="650"/>
      <c r="AY864" s="650"/>
    </row>
    <row r="865" ht="21.75" customHeight="1">
      <c r="A865" s="650"/>
      <c r="B865" s="650"/>
      <c r="C865" s="650"/>
      <c r="D865" s="650"/>
      <c r="E865" s="650"/>
      <c r="F865" s="650"/>
      <c r="G865" s="650"/>
      <c r="H865" s="650"/>
      <c r="I865" s="650"/>
      <c r="J865" s="650"/>
      <c r="K865" s="650"/>
      <c r="L865" s="650"/>
      <c r="M865" s="650"/>
      <c r="N865" s="650"/>
      <c r="O865" s="650"/>
      <c r="P865" s="650"/>
      <c r="Q865" s="650"/>
      <c r="R865" s="650"/>
      <c r="S865" s="650"/>
      <c r="T865" s="650"/>
      <c r="U865" s="650"/>
      <c r="V865" s="650"/>
      <c r="W865" s="650"/>
      <c r="X865" s="650"/>
      <c r="Y865" s="650"/>
      <c r="Z865" s="650"/>
      <c r="AA865" s="650"/>
      <c r="AB865" s="650"/>
      <c r="AC865" s="650"/>
      <c r="AD865" s="650"/>
      <c r="AE865" s="650"/>
      <c r="AF865" s="650"/>
      <c r="AG865" s="650"/>
      <c r="AH865" s="650"/>
      <c r="AI865" s="650"/>
      <c r="AJ865" s="650"/>
      <c r="AK865" s="650"/>
      <c r="AL865" s="650"/>
      <c r="AM865" s="650"/>
      <c r="AN865" s="650"/>
      <c r="AO865" s="650"/>
      <c r="AP865" s="650"/>
      <c r="AQ865" s="650"/>
      <c r="AR865" s="650"/>
      <c r="AS865" s="650"/>
      <c r="AT865" s="650"/>
      <c r="AU865" s="650"/>
      <c r="AV865" s="650"/>
      <c r="AW865" s="650"/>
      <c r="AX865" s="650"/>
      <c r="AY865" s="650"/>
    </row>
    <row r="866" ht="21.75" customHeight="1">
      <c r="A866" s="650"/>
      <c r="B866" s="650"/>
      <c r="C866" s="650"/>
      <c r="D866" s="650"/>
      <c r="E866" s="650"/>
      <c r="F866" s="650"/>
      <c r="G866" s="650"/>
      <c r="H866" s="650"/>
      <c r="I866" s="650"/>
      <c r="J866" s="650"/>
      <c r="K866" s="650"/>
      <c r="L866" s="650"/>
      <c r="M866" s="650"/>
      <c r="N866" s="650"/>
      <c r="O866" s="650"/>
      <c r="P866" s="650"/>
      <c r="Q866" s="650"/>
      <c r="R866" s="650"/>
      <c r="S866" s="650"/>
      <c r="T866" s="650"/>
      <c r="U866" s="650"/>
      <c r="V866" s="650"/>
      <c r="W866" s="650"/>
      <c r="X866" s="650"/>
      <c r="Y866" s="650"/>
      <c r="Z866" s="650"/>
      <c r="AA866" s="650"/>
      <c r="AB866" s="650"/>
      <c r="AC866" s="650"/>
      <c r="AD866" s="650"/>
      <c r="AE866" s="650"/>
      <c r="AF866" s="650"/>
      <c r="AG866" s="650"/>
      <c r="AH866" s="650"/>
      <c r="AI866" s="650"/>
      <c r="AJ866" s="650"/>
      <c r="AK866" s="650"/>
      <c r="AL866" s="650"/>
      <c r="AM866" s="650"/>
      <c r="AN866" s="650"/>
      <c r="AO866" s="650"/>
      <c r="AP866" s="650"/>
      <c r="AQ866" s="650"/>
      <c r="AR866" s="650"/>
      <c r="AS866" s="650"/>
      <c r="AT866" s="650"/>
      <c r="AU866" s="650"/>
      <c r="AV866" s="650"/>
      <c r="AW866" s="650"/>
      <c r="AX866" s="650"/>
      <c r="AY866" s="650"/>
    </row>
    <row r="867" ht="21.75" customHeight="1">
      <c r="A867" s="650"/>
      <c r="B867" s="650"/>
      <c r="C867" s="650"/>
      <c r="D867" s="650"/>
      <c r="E867" s="650"/>
      <c r="F867" s="650"/>
      <c r="G867" s="650"/>
      <c r="H867" s="650"/>
      <c r="I867" s="650"/>
      <c r="J867" s="650"/>
      <c r="K867" s="650"/>
      <c r="L867" s="650"/>
      <c r="M867" s="650"/>
      <c r="N867" s="650"/>
      <c r="O867" s="650"/>
      <c r="P867" s="650"/>
      <c r="Q867" s="650"/>
      <c r="R867" s="650"/>
      <c r="S867" s="650"/>
      <c r="T867" s="650"/>
      <c r="U867" s="650"/>
      <c r="V867" s="650"/>
      <c r="W867" s="650"/>
      <c r="X867" s="650"/>
      <c r="Y867" s="650"/>
      <c r="Z867" s="650"/>
      <c r="AA867" s="650"/>
      <c r="AB867" s="650"/>
      <c r="AC867" s="650"/>
      <c r="AD867" s="650"/>
      <c r="AE867" s="650"/>
      <c r="AF867" s="650"/>
      <c r="AG867" s="650"/>
      <c r="AH867" s="650"/>
      <c r="AI867" s="650"/>
      <c r="AJ867" s="650"/>
      <c r="AK867" s="650"/>
      <c r="AL867" s="650"/>
      <c r="AM867" s="650"/>
      <c r="AN867" s="650"/>
      <c r="AO867" s="650"/>
      <c r="AP867" s="650"/>
      <c r="AQ867" s="650"/>
      <c r="AR867" s="650"/>
      <c r="AS867" s="650"/>
      <c r="AT867" s="650"/>
      <c r="AU867" s="650"/>
      <c r="AV867" s="650"/>
      <c r="AW867" s="650"/>
      <c r="AX867" s="650"/>
      <c r="AY867" s="650"/>
    </row>
    <row r="868" ht="21.75" customHeight="1">
      <c r="A868" s="650"/>
      <c r="B868" s="650"/>
      <c r="C868" s="650"/>
      <c r="D868" s="650"/>
      <c r="E868" s="650"/>
      <c r="F868" s="650"/>
      <c r="G868" s="650"/>
      <c r="H868" s="650"/>
      <c r="I868" s="650"/>
      <c r="J868" s="650"/>
      <c r="K868" s="650"/>
      <c r="L868" s="650"/>
      <c r="M868" s="650"/>
      <c r="N868" s="650"/>
      <c r="O868" s="650"/>
      <c r="P868" s="650"/>
      <c r="Q868" s="650"/>
      <c r="R868" s="650"/>
      <c r="S868" s="650"/>
      <c r="T868" s="650"/>
      <c r="U868" s="650"/>
      <c r="V868" s="650"/>
      <c r="W868" s="650"/>
      <c r="X868" s="650"/>
      <c r="Y868" s="650"/>
      <c r="Z868" s="650"/>
      <c r="AA868" s="650"/>
      <c r="AB868" s="650"/>
      <c r="AC868" s="650"/>
      <c r="AD868" s="650"/>
      <c r="AE868" s="650"/>
      <c r="AF868" s="650"/>
      <c r="AG868" s="650"/>
      <c r="AH868" s="650"/>
      <c r="AI868" s="650"/>
      <c r="AJ868" s="650"/>
      <c r="AK868" s="650"/>
      <c r="AL868" s="650"/>
      <c r="AM868" s="650"/>
      <c r="AN868" s="650"/>
      <c r="AO868" s="650"/>
      <c r="AP868" s="650"/>
      <c r="AQ868" s="650"/>
      <c r="AR868" s="650"/>
      <c r="AS868" s="650"/>
      <c r="AT868" s="650"/>
      <c r="AU868" s="650"/>
      <c r="AV868" s="650"/>
      <c r="AW868" s="650"/>
      <c r="AX868" s="650"/>
      <c r="AY868" s="650"/>
    </row>
    <row r="869" ht="21.75" customHeight="1">
      <c r="A869" s="650"/>
      <c r="B869" s="650"/>
      <c r="C869" s="650"/>
      <c r="D869" s="650"/>
      <c r="E869" s="650"/>
      <c r="F869" s="650"/>
      <c r="G869" s="650"/>
      <c r="H869" s="650"/>
      <c r="I869" s="650"/>
      <c r="J869" s="650"/>
      <c r="K869" s="650"/>
      <c r="L869" s="650"/>
      <c r="M869" s="650"/>
      <c r="N869" s="650"/>
      <c r="O869" s="650"/>
      <c r="P869" s="650"/>
      <c r="Q869" s="650"/>
      <c r="R869" s="650"/>
      <c r="S869" s="650"/>
      <c r="T869" s="650"/>
      <c r="U869" s="650"/>
      <c r="V869" s="650"/>
      <c r="W869" s="650"/>
      <c r="X869" s="650"/>
      <c r="Y869" s="650"/>
      <c r="Z869" s="650"/>
      <c r="AA869" s="650"/>
      <c r="AB869" s="650"/>
      <c r="AC869" s="650"/>
      <c r="AD869" s="650"/>
      <c r="AE869" s="650"/>
      <c r="AF869" s="650"/>
      <c r="AG869" s="650"/>
      <c r="AH869" s="650"/>
      <c r="AI869" s="650"/>
      <c r="AJ869" s="650"/>
      <c r="AK869" s="650"/>
      <c r="AL869" s="650"/>
      <c r="AM869" s="650"/>
      <c r="AN869" s="650"/>
      <c r="AO869" s="650"/>
      <c r="AP869" s="650"/>
      <c r="AQ869" s="650"/>
      <c r="AR869" s="650"/>
      <c r="AS869" s="650"/>
      <c r="AT869" s="650"/>
      <c r="AU869" s="650"/>
      <c r="AV869" s="650"/>
      <c r="AW869" s="650"/>
      <c r="AX869" s="650"/>
      <c r="AY869" s="650"/>
    </row>
    <row r="870" ht="21.75" customHeight="1">
      <c r="A870" s="650"/>
      <c r="B870" s="650"/>
      <c r="C870" s="650"/>
      <c r="D870" s="650"/>
      <c r="E870" s="650"/>
      <c r="F870" s="650"/>
      <c r="G870" s="650"/>
      <c r="H870" s="650"/>
      <c r="I870" s="650"/>
      <c r="J870" s="650"/>
      <c r="K870" s="650"/>
      <c r="L870" s="650"/>
      <c r="M870" s="650"/>
      <c r="N870" s="650"/>
      <c r="O870" s="650"/>
      <c r="P870" s="650"/>
      <c r="Q870" s="650"/>
      <c r="R870" s="650"/>
      <c r="S870" s="650"/>
      <c r="T870" s="650"/>
      <c r="U870" s="650"/>
      <c r="V870" s="650"/>
      <c r="W870" s="650"/>
      <c r="X870" s="650"/>
      <c r="Y870" s="650"/>
      <c r="Z870" s="650"/>
      <c r="AA870" s="650"/>
      <c r="AB870" s="650"/>
      <c r="AC870" s="650"/>
      <c r="AD870" s="650"/>
      <c r="AE870" s="650"/>
      <c r="AF870" s="650"/>
      <c r="AG870" s="650"/>
      <c r="AH870" s="650"/>
      <c r="AI870" s="650"/>
      <c r="AJ870" s="650"/>
      <c r="AK870" s="650"/>
      <c r="AL870" s="650"/>
      <c r="AM870" s="650"/>
      <c r="AN870" s="650"/>
      <c r="AO870" s="650"/>
      <c r="AP870" s="650"/>
      <c r="AQ870" s="650"/>
      <c r="AR870" s="650"/>
      <c r="AS870" s="650"/>
      <c r="AT870" s="650"/>
      <c r="AU870" s="650"/>
      <c r="AV870" s="650"/>
      <c r="AW870" s="650"/>
      <c r="AX870" s="650"/>
      <c r="AY870" s="650"/>
    </row>
    <row r="871" ht="21.75" customHeight="1">
      <c r="A871" s="650"/>
      <c r="B871" s="650"/>
      <c r="C871" s="650"/>
      <c r="D871" s="650"/>
      <c r="E871" s="650"/>
      <c r="F871" s="650"/>
      <c r="G871" s="650"/>
      <c r="H871" s="650"/>
      <c r="I871" s="650"/>
      <c r="J871" s="650"/>
      <c r="K871" s="650"/>
      <c r="L871" s="650"/>
      <c r="M871" s="650"/>
      <c r="N871" s="650"/>
      <c r="O871" s="650"/>
      <c r="P871" s="650"/>
      <c r="Q871" s="650"/>
      <c r="R871" s="650"/>
      <c r="S871" s="650"/>
      <c r="T871" s="650"/>
      <c r="U871" s="650"/>
      <c r="V871" s="650"/>
      <c r="W871" s="650"/>
      <c r="X871" s="650"/>
      <c r="Y871" s="650"/>
      <c r="Z871" s="650"/>
      <c r="AA871" s="650"/>
      <c r="AB871" s="650"/>
      <c r="AC871" s="650"/>
      <c r="AD871" s="650"/>
      <c r="AE871" s="650"/>
      <c r="AF871" s="650"/>
      <c r="AG871" s="650"/>
      <c r="AH871" s="650"/>
      <c r="AI871" s="650"/>
      <c r="AJ871" s="650"/>
      <c r="AK871" s="650"/>
      <c r="AL871" s="650"/>
      <c r="AM871" s="650"/>
      <c r="AN871" s="650"/>
      <c r="AO871" s="650"/>
      <c r="AP871" s="650"/>
      <c r="AQ871" s="650"/>
      <c r="AR871" s="650"/>
      <c r="AS871" s="650"/>
      <c r="AT871" s="650"/>
      <c r="AU871" s="650"/>
      <c r="AV871" s="650"/>
      <c r="AW871" s="650"/>
      <c r="AX871" s="650"/>
      <c r="AY871" s="650"/>
    </row>
    <row r="872" ht="21.75" customHeight="1">
      <c r="A872" s="650"/>
      <c r="B872" s="650"/>
      <c r="C872" s="650"/>
      <c r="D872" s="650"/>
      <c r="E872" s="650"/>
      <c r="F872" s="650"/>
      <c r="G872" s="650"/>
      <c r="H872" s="650"/>
      <c r="I872" s="650"/>
      <c r="J872" s="650"/>
      <c r="K872" s="650"/>
      <c r="L872" s="650"/>
      <c r="M872" s="650"/>
      <c r="N872" s="650"/>
      <c r="O872" s="650"/>
      <c r="P872" s="650"/>
      <c r="Q872" s="650"/>
      <c r="R872" s="650"/>
      <c r="S872" s="650"/>
      <c r="T872" s="650"/>
      <c r="U872" s="650"/>
      <c r="V872" s="650"/>
      <c r="W872" s="650"/>
      <c r="X872" s="650"/>
      <c r="Y872" s="650"/>
      <c r="Z872" s="650"/>
      <c r="AA872" s="650"/>
      <c r="AB872" s="650"/>
      <c r="AC872" s="650"/>
      <c r="AD872" s="650"/>
      <c r="AE872" s="650"/>
      <c r="AF872" s="650"/>
      <c r="AG872" s="650"/>
      <c r="AH872" s="650"/>
      <c r="AI872" s="650"/>
      <c r="AJ872" s="650"/>
      <c r="AK872" s="650"/>
      <c r="AL872" s="650"/>
      <c r="AM872" s="650"/>
      <c r="AN872" s="650"/>
      <c r="AO872" s="650"/>
      <c r="AP872" s="650"/>
      <c r="AQ872" s="650"/>
      <c r="AR872" s="650"/>
      <c r="AS872" s="650"/>
      <c r="AT872" s="650"/>
      <c r="AU872" s="650"/>
      <c r="AV872" s="650"/>
      <c r="AW872" s="650"/>
      <c r="AX872" s="650"/>
      <c r="AY872" s="650"/>
    </row>
    <row r="873" ht="21.75" customHeight="1">
      <c r="A873" s="650"/>
      <c r="B873" s="650"/>
      <c r="C873" s="650"/>
      <c r="D873" s="650"/>
      <c r="E873" s="650"/>
      <c r="F873" s="650"/>
      <c r="G873" s="650"/>
      <c r="H873" s="650"/>
      <c r="I873" s="650"/>
      <c r="J873" s="650"/>
      <c r="K873" s="650"/>
      <c r="L873" s="650"/>
      <c r="M873" s="650"/>
      <c r="N873" s="650"/>
      <c r="O873" s="650"/>
      <c r="P873" s="650"/>
      <c r="Q873" s="650"/>
      <c r="R873" s="650"/>
      <c r="S873" s="650"/>
      <c r="T873" s="650"/>
      <c r="U873" s="650"/>
      <c r="V873" s="650"/>
      <c r="W873" s="650"/>
      <c r="X873" s="650"/>
      <c r="Y873" s="650"/>
      <c r="Z873" s="650"/>
      <c r="AA873" s="650"/>
      <c r="AB873" s="650"/>
      <c r="AC873" s="650"/>
      <c r="AD873" s="650"/>
      <c r="AE873" s="650"/>
      <c r="AF873" s="650"/>
      <c r="AG873" s="650"/>
      <c r="AH873" s="650"/>
      <c r="AI873" s="650"/>
      <c r="AJ873" s="650"/>
      <c r="AK873" s="650"/>
      <c r="AL873" s="650"/>
      <c r="AM873" s="650"/>
      <c r="AN873" s="650"/>
      <c r="AO873" s="650"/>
      <c r="AP873" s="650"/>
      <c r="AQ873" s="650"/>
      <c r="AR873" s="650"/>
      <c r="AS873" s="650"/>
      <c r="AT873" s="650"/>
      <c r="AU873" s="650"/>
      <c r="AV873" s="650"/>
      <c r="AW873" s="650"/>
      <c r="AX873" s="650"/>
      <c r="AY873" s="650"/>
    </row>
    <row r="874" ht="21.75" customHeight="1">
      <c r="A874" s="650"/>
      <c r="B874" s="650"/>
      <c r="C874" s="650"/>
      <c r="D874" s="650"/>
      <c r="E874" s="650"/>
      <c r="F874" s="650"/>
      <c r="G874" s="650"/>
      <c r="H874" s="650"/>
      <c r="I874" s="650"/>
      <c r="J874" s="650"/>
      <c r="K874" s="650"/>
      <c r="L874" s="650"/>
      <c r="M874" s="650"/>
      <c r="N874" s="650"/>
      <c r="O874" s="650"/>
      <c r="P874" s="650"/>
      <c r="Q874" s="650"/>
      <c r="R874" s="650"/>
      <c r="S874" s="650"/>
      <c r="T874" s="650"/>
      <c r="U874" s="650"/>
      <c r="V874" s="650"/>
      <c r="W874" s="650"/>
      <c r="X874" s="650"/>
      <c r="Y874" s="650"/>
      <c r="Z874" s="650"/>
      <c r="AA874" s="650"/>
      <c r="AB874" s="650"/>
      <c r="AC874" s="650"/>
      <c r="AD874" s="650"/>
      <c r="AE874" s="650"/>
      <c r="AF874" s="650"/>
      <c r="AG874" s="650"/>
      <c r="AH874" s="650"/>
      <c r="AI874" s="650"/>
      <c r="AJ874" s="650"/>
      <c r="AK874" s="650"/>
      <c r="AL874" s="650"/>
      <c r="AM874" s="650"/>
      <c r="AN874" s="650"/>
      <c r="AO874" s="650"/>
      <c r="AP874" s="650"/>
      <c r="AQ874" s="650"/>
      <c r="AR874" s="650"/>
      <c r="AS874" s="650"/>
      <c r="AT874" s="650"/>
      <c r="AU874" s="650"/>
      <c r="AV874" s="650"/>
      <c r="AW874" s="650"/>
      <c r="AX874" s="650"/>
      <c r="AY874" s="650"/>
    </row>
    <row r="875" ht="21.75" customHeight="1">
      <c r="A875" s="650"/>
      <c r="B875" s="650"/>
      <c r="C875" s="650"/>
      <c r="D875" s="650"/>
      <c r="E875" s="650"/>
      <c r="F875" s="650"/>
      <c r="G875" s="650"/>
      <c r="H875" s="650"/>
      <c r="I875" s="650"/>
      <c r="J875" s="650"/>
      <c r="K875" s="650"/>
      <c r="L875" s="650"/>
      <c r="M875" s="650"/>
      <c r="N875" s="650"/>
      <c r="O875" s="650"/>
      <c r="P875" s="650"/>
      <c r="Q875" s="650"/>
      <c r="R875" s="650"/>
      <c r="S875" s="650"/>
      <c r="T875" s="650"/>
      <c r="U875" s="650"/>
      <c r="V875" s="650"/>
      <c r="W875" s="650"/>
      <c r="X875" s="650"/>
      <c r="Y875" s="650"/>
      <c r="Z875" s="650"/>
      <c r="AA875" s="650"/>
      <c r="AB875" s="650"/>
      <c r="AC875" s="650"/>
      <c r="AD875" s="650"/>
      <c r="AE875" s="650"/>
      <c r="AF875" s="650"/>
      <c r="AG875" s="650"/>
      <c r="AH875" s="650"/>
      <c r="AI875" s="650"/>
      <c r="AJ875" s="650"/>
      <c r="AK875" s="650"/>
      <c r="AL875" s="650"/>
      <c r="AM875" s="650"/>
      <c r="AN875" s="650"/>
      <c r="AO875" s="650"/>
      <c r="AP875" s="650"/>
      <c r="AQ875" s="650"/>
      <c r="AR875" s="650"/>
      <c r="AS875" s="650"/>
      <c r="AT875" s="650"/>
      <c r="AU875" s="650"/>
      <c r="AV875" s="650"/>
      <c r="AW875" s="650"/>
      <c r="AX875" s="650"/>
      <c r="AY875" s="650"/>
    </row>
    <row r="876" ht="21.75" customHeight="1">
      <c r="A876" s="650"/>
      <c r="B876" s="650"/>
      <c r="C876" s="650"/>
      <c r="D876" s="650"/>
      <c r="E876" s="650"/>
      <c r="F876" s="650"/>
      <c r="G876" s="650"/>
      <c r="H876" s="650"/>
      <c r="I876" s="650"/>
      <c r="J876" s="650"/>
      <c r="K876" s="650"/>
      <c r="L876" s="650"/>
      <c r="M876" s="650"/>
      <c r="N876" s="650"/>
      <c r="O876" s="650"/>
      <c r="P876" s="650"/>
      <c r="Q876" s="650"/>
      <c r="R876" s="650"/>
      <c r="S876" s="650"/>
      <c r="T876" s="650"/>
      <c r="U876" s="650"/>
      <c r="V876" s="650"/>
      <c r="W876" s="650"/>
      <c r="X876" s="650"/>
      <c r="Y876" s="650"/>
      <c r="Z876" s="650"/>
      <c r="AA876" s="650"/>
      <c r="AB876" s="650"/>
      <c r="AC876" s="650"/>
      <c r="AD876" s="650"/>
      <c r="AE876" s="650"/>
      <c r="AF876" s="650"/>
      <c r="AG876" s="650"/>
      <c r="AH876" s="650"/>
      <c r="AI876" s="650"/>
      <c r="AJ876" s="650"/>
      <c r="AK876" s="650"/>
      <c r="AL876" s="650"/>
      <c r="AM876" s="650"/>
      <c r="AN876" s="650"/>
      <c r="AO876" s="650"/>
      <c r="AP876" s="650"/>
      <c r="AQ876" s="650"/>
      <c r="AR876" s="650"/>
      <c r="AS876" s="650"/>
      <c r="AT876" s="650"/>
      <c r="AU876" s="650"/>
      <c r="AV876" s="650"/>
      <c r="AW876" s="650"/>
      <c r="AX876" s="650"/>
      <c r="AY876" s="650"/>
    </row>
    <row r="877" ht="21.75" customHeight="1">
      <c r="A877" s="650"/>
      <c r="B877" s="650"/>
      <c r="C877" s="650"/>
      <c r="D877" s="650"/>
      <c r="E877" s="650"/>
      <c r="F877" s="650"/>
      <c r="G877" s="650"/>
      <c r="H877" s="650"/>
      <c r="I877" s="650"/>
      <c r="J877" s="650"/>
      <c r="K877" s="650"/>
      <c r="L877" s="650"/>
      <c r="M877" s="650"/>
      <c r="N877" s="650"/>
      <c r="O877" s="650"/>
      <c r="P877" s="650"/>
      <c r="Q877" s="650"/>
      <c r="R877" s="650"/>
      <c r="S877" s="650"/>
      <c r="T877" s="650"/>
      <c r="U877" s="650"/>
      <c r="V877" s="650"/>
      <c r="W877" s="650"/>
      <c r="X877" s="650"/>
      <c r="Y877" s="650"/>
      <c r="Z877" s="650"/>
      <c r="AA877" s="650"/>
      <c r="AB877" s="650"/>
      <c r="AC877" s="650"/>
      <c r="AD877" s="650"/>
      <c r="AE877" s="650"/>
      <c r="AF877" s="650"/>
      <c r="AG877" s="650"/>
      <c r="AH877" s="650"/>
      <c r="AI877" s="650"/>
      <c r="AJ877" s="650"/>
      <c r="AK877" s="650"/>
      <c r="AL877" s="650"/>
      <c r="AM877" s="650"/>
      <c r="AN877" s="650"/>
      <c r="AO877" s="650"/>
      <c r="AP877" s="650"/>
      <c r="AQ877" s="650"/>
      <c r="AR877" s="650"/>
      <c r="AS877" s="650"/>
      <c r="AT877" s="650"/>
      <c r="AU877" s="650"/>
      <c r="AV877" s="650"/>
      <c r="AW877" s="650"/>
      <c r="AX877" s="650"/>
      <c r="AY877" s="650"/>
    </row>
    <row r="878" ht="21.75" customHeight="1">
      <c r="A878" s="650"/>
      <c r="B878" s="650"/>
      <c r="C878" s="650"/>
      <c r="D878" s="650"/>
      <c r="E878" s="650"/>
      <c r="F878" s="650"/>
      <c r="G878" s="650"/>
      <c r="H878" s="650"/>
      <c r="I878" s="650"/>
      <c r="J878" s="650"/>
      <c r="K878" s="650"/>
      <c r="L878" s="650"/>
      <c r="M878" s="650"/>
      <c r="N878" s="650"/>
      <c r="O878" s="650"/>
      <c r="P878" s="650"/>
      <c r="Q878" s="650"/>
      <c r="R878" s="650"/>
      <c r="S878" s="650"/>
      <c r="T878" s="650"/>
      <c r="U878" s="650"/>
      <c r="V878" s="650"/>
      <c r="W878" s="650"/>
      <c r="X878" s="650"/>
      <c r="Y878" s="650"/>
      <c r="Z878" s="650"/>
      <c r="AA878" s="650"/>
      <c r="AB878" s="650"/>
      <c r="AC878" s="650"/>
      <c r="AD878" s="650"/>
      <c r="AE878" s="650"/>
      <c r="AF878" s="650"/>
      <c r="AG878" s="650"/>
      <c r="AH878" s="650"/>
      <c r="AI878" s="650"/>
      <c r="AJ878" s="650"/>
      <c r="AK878" s="650"/>
      <c r="AL878" s="650"/>
      <c r="AM878" s="650"/>
      <c r="AN878" s="650"/>
      <c r="AO878" s="650"/>
      <c r="AP878" s="650"/>
      <c r="AQ878" s="650"/>
      <c r="AR878" s="650"/>
      <c r="AS878" s="650"/>
      <c r="AT878" s="650"/>
      <c r="AU878" s="650"/>
      <c r="AV878" s="650"/>
      <c r="AW878" s="650"/>
      <c r="AX878" s="650"/>
      <c r="AY878" s="650"/>
    </row>
    <row r="879" ht="21.75" customHeight="1">
      <c r="A879" s="650"/>
      <c r="B879" s="650"/>
      <c r="C879" s="650"/>
      <c r="D879" s="650"/>
      <c r="E879" s="650"/>
      <c r="F879" s="650"/>
      <c r="G879" s="650"/>
      <c r="H879" s="650"/>
      <c r="I879" s="650"/>
      <c r="J879" s="650"/>
      <c r="K879" s="650"/>
      <c r="L879" s="650"/>
      <c r="M879" s="650"/>
      <c r="N879" s="650"/>
      <c r="O879" s="650"/>
      <c r="P879" s="650"/>
      <c r="Q879" s="650"/>
      <c r="R879" s="650"/>
      <c r="S879" s="650"/>
      <c r="T879" s="650"/>
      <c r="U879" s="650"/>
      <c r="V879" s="650"/>
      <c r="W879" s="650"/>
      <c r="X879" s="650"/>
      <c r="Y879" s="650"/>
      <c r="Z879" s="650"/>
      <c r="AA879" s="650"/>
      <c r="AB879" s="650"/>
      <c r="AC879" s="650"/>
      <c r="AD879" s="650"/>
      <c r="AE879" s="650"/>
      <c r="AF879" s="650"/>
      <c r="AG879" s="650"/>
      <c r="AH879" s="650"/>
      <c r="AI879" s="650"/>
      <c r="AJ879" s="650"/>
      <c r="AK879" s="650"/>
      <c r="AL879" s="650"/>
      <c r="AM879" s="650"/>
      <c r="AN879" s="650"/>
      <c r="AO879" s="650"/>
      <c r="AP879" s="650"/>
      <c r="AQ879" s="650"/>
      <c r="AR879" s="650"/>
      <c r="AS879" s="650"/>
      <c r="AT879" s="650"/>
      <c r="AU879" s="650"/>
      <c r="AV879" s="650"/>
      <c r="AW879" s="650"/>
      <c r="AX879" s="650"/>
      <c r="AY879" s="650"/>
    </row>
    <row r="880" ht="21.75" customHeight="1">
      <c r="A880" s="650"/>
      <c r="B880" s="650"/>
      <c r="C880" s="650"/>
      <c r="D880" s="650"/>
      <c r="E880" s="650"/>
      <c r="F880" s="650"/>
      <c r="G880" s="650"/>
      <c r="H880" s="650"/>
      <c r="I880" s="650"/>
      <c r="J880" s="650"/>
      <c r="K880" s="650"/>
      <c r="L880" s="650"/>
      <c r="M880" s="650"/>
      <c r="N880" s="650"/>
      <c r="O880" s="650"/>
      <c r="P880" s="650"/>
      <c r="Q880" s="650"/>
      <c r="R880" s="650"/>
      <c r="S880" s="650"/>
      <c r="T880" s="650"/>
      <c r="U880" s="650"/>
      <c r="V880" s="650"/>
      <c r="W880" s="650"/>
      <c r="X880" s="650"/>
      <c r="Y880" s="650"/>
      <c r="Z880" s="650"/>
      <c r="AA880" s="650"/>
      <c r="AB880" s="650"/>
      <c r="AC880" s="650"/>
      <c r="AD880" s="650"/>
      <c r="AE880" s="650"/>
      <c r="AF880" s="650"/>
      <c r="AG880" s="650"/>
      <c r="AH880" s="650"/>
      <c r="AI880" s="650"/>
      <c r="AJ880" s="650"/>
      <c r="AK880" s="650"/>
      <c r="AL880" s="650"/>
      <c r="AM880" s="650"/>
      <c r="AN880" s="650"/>
      <c r="AO880" s="650"/>
      <c r="AP880" s="650"/>
      <c r="AQ880" s="650"/>
      <c r="AR880" s="650"/>
      <c r="AS880" s="650"/>
      <c r="AT880" s="650"/>
      <c r="AU880" s="650"/>
      <c r="AV880" s="650"/>
      <c r="AW880" s="650"/>
      <c r="AX880" s="650"/>
      <c r="AY880" s="650"/>
    </row>
    <row r="881" ht="21.75" customHeight="1">
      <c r="A881" s="650"/>
      <c r="B881" s="650"/>
      <c r="C881" s="650"/>
      <c r="D881" s="650"/>
      <c r="E881" s="650"/>
      <c r="F881" s="650"/>
      <c r="G881" s="650"/>
      <c r="H881" s="650"/>
      <c r="I881" s="650"/>
      <c r="J881" s="650"/>
      <c r="K881" s="650"/>
      <c r="L881" s="650"/>
      <c r="M881" s="650"/>
      <c r="N881" s="650"/>
      <c r="O881" s="650"/>
      <c r="P881" s="650"/>
      <c r="Q881" s="650"/>
      <c r="R881" s="650"/>
      <c r="S881" s="650"/>
      <c r="T881" s="650"/>
      <c r="U881" s="650"/>
      <c r="V881" s="650"/>
      <c r="W881" s="650"/>
      <c r="X881" s="650"/>
      <c r="Y881" s="650"/>
      <c r="Z881" s="650"/>
      <c r="AA881" s="650"/>
      <c r="AB881" s="650"/>
      <c r="AC881" s="650"/>
      <c r="AD881" s="650"/>
      <c r="AE881" s="650"/>
      <c r="AF881" s="650"/>
      <c r="AG881" s="650"/>
      <c r="AH881" s="650"/>
      <c r="AI881" s="650"/>
      <c r="AJ881" s="650"/>
      <c r="AK881" s="650"/>
      <c r="AL881" s="650"/>
      <c r="AM881" s="650"/>
      <c r="AN881" s="650"/>
      <c r="AO881" s="650"/>
      <c r="AP881" s="650"/>
      <c r="AQ881" s="650"/>
      <c r="AR881" s="650"/>
      <c r="AS881" s="650"/>
      <c r="AT881" s="650"/>
      <c r="AU881" s="650"/>
      <c r="AV881" s="650"/>
      <c r="AW881" s="650"/>
      <c r="AX881" s="650"/>
      <c r="AY881" s="650"/>
    </row>
    <row r="882" ht="21.75" customHeight="1">
      <c r="A882" s="650"/>
      <c r="B882" s="650"/>
      <c r="C882" s="650"/>
      <c r="D882" s="650"/>
      <c r="E882" s="650"/>
      <c r="F882" s="650"/>
      <c r="G882" s="650"/>
      <c r="H882" s="650"/>
      <c r="I882" s="650"/>
      <c r="J882" s="650"/>
      <c r="K882" s="650"/>
      <c r="L882" s="650"/>
      <c r="M882" s="650"/>
      <c r="N882" s="650"/>
      <c r="O882" s="650"/>
      <c r="P882" s="650"/>
      <c r="Q882" s="650"/>
      <c r="R882" s="650"/>
      <c r="S882" s="650"/>
      <c r="T882" s="650"/>
      <c r="U882" s="650"/>
      <c r="V882" s="650"/>
      <c r="W882" s="650"/>
      <c r="X882" s="650"/>
      <c r="Y882" s="650"/>
      <c r="Z882" s="650"/>
      <c r="AA882" s="650"/>
      <c r="AB882" s="650"/>
      <c r="AC882" s="650"/>
      <c r="AD882" s="650"/>
      <c r="AE882" s="650"/>
      <c r="AF882" s="650"/>
      <c r="AG882" s="650"/>
      <c r="AH882" s="650"/>
      <c r="AI882" s="650"/>
      <c r="AJ882" s="650"/>
      <c r="AK882" s="650"/>
      <c r="AL882" s="650"/>
      <c r="AM882" s="650"/>
      <c r="AN882" s="650"/>
      <c r="AO882" s="650"/>
      <c r="AP882" s="650"/>
      <c r="AQ882" s="650"/>
      <c r="AR882" s="650"/>
      <c r="AS882" s="650"/>
      <c r="AT882" s="650"/>
      <c r="AU882" s="650"/>
      <c r="AV882" s="650"/>
      <c r="AW882" s="650"/>
      <c r="AX882" s="650"/>
      <c r="AY882" s="650"/>
    </row>
    <row r="883" ht="21.75" customHeight="1">
      <c r="A883" s="650"/>
      <c r="B883" s="650"/>
      <c r="C883" s="650"/>
      <c r="D883" s="650"/>
      <c r="E883" s="650"/>
      <c r="F883" s="650"/>
      <c r="G883" s="650"/>
      <c r="H883" s="650"/>
      <c r="I883" s="650"/>
      <c r="J883" s="650"/>
      <c r="K883" s="650"/>
      <c r="L883" s="650"/>
      <c r="M883" s="650"/>
      <c r="N883" s="650"/>
      <c r="O883" s="650"/>
      <c r="P883" s="650"/>
      <c r="Q883" s="650"/>
      <c r="R883" s="650"/>
      <c r="S883" s="650"/>
      <c r="T883" s="650"/>
      <c r="U883" s="650"/>
      <c r="V883" s="650"/>
      <c r="W883" s="650"/>
      <c r="X883" s="650"/>
      <c r="Y883" s="650"/>
      <c r="Z883" s="650"/>
      <c r="AA883" s="650"/>
      <c r="AB883" s="650"/>
      <c r="AC883" s="650"/>
      <c r="AD883" s="650"/>
      <c r="AE883" s="650"/>
      <c r="AF883" s="650"/>
      <c r="AG883" s="650"/>
      <c r="AH883" s="650"/>
      <c r="AI883" s="650"/>
      <c r="AJ883" s="650"/>
      <c r="AK883" s="650"/>
      <c r="AL883" s="650"/>
      <c r="AM883" s="650"/>
      <c r="AN883" s="650"/>
      <c r="AO883" s="650"/>
      <c r="AP883" s="650"/>
      <c r="AQ883" s="650"/>
      <c r="AR883" s="650"/>
      <c r="AS883" s="650"/>
      <c r="AT883" s="650"/>
      <c r="AU883" s="650"/>
      <c r="AV883" s="650"/>
      <c r="AW883" s="650"/>
      <c r="AX883" s="650"/>
      <c r="AY883" s="650"/>
    </row>
    <row r="884" ht="21.75" customHeight="1">
      <c r="A884" s="650"/>
      <c r="B884" s="650"/>
      <c r="C884" s="650"/>
      <c r="D884" s="650"/>
      <c r="E884" s="650"/>
      <c r="F884" s="650"/>
      <c r="G884" s="650"/>
      <c r="H884" s="650"/>
      <c r="I884" s="650"/>
      <c r="J884" s="650"/>
      <c r="K884" s="650"/>
      <c r="L884" s="650"/>
      <c r="M884" s="650"/>
      <c r="N884" s="650"/>
      <c r="O884" s="650"/>
      <c r="P884" s="650"/>
      <c r="Q884" s="650"/>
      <c r="R884" s="650"/>
      <c r="S884" s="650"/>
      <c r="T884" s="650"/>
      <c r="U884" s="650"/>
      <c r="V884" s="650"/>
      <c r="W884" s="650"/>
      <c r="X884" s="650"/>
      <c r="Y884" s="650"/>
      <c r="Z884" s="650"/>
      <c r="AA884" s="650"/>
      <c r="AB884" s="650"/>
      <c r="AC884" s="650"/>
      <c r="AD884" s="650"/>
      <c r="AE884" s="650"/>
      <c r="AF884" s="650"/>
      <c r="AG884" s="650"/>
      <c r="AH884" s="650"/>
      <c r="AI884" s="650"/>
      <c r="AJ884" s="650"/>
      <c r="AK884" s="650"/>
      <c r="AL884" s="650"/>
      <c r="AM884" s="650"/>
      <c r="AN884" s="650"/>
      <c r="AO884" s="650"/>
      <c r="AP884" s="650"/>
      <c r="AQ884" s="650"/>
      <c r="AR884" s="650"/>
      <c r="AS884" s="650"/>
      <c r="AT884" s="650"/>
      <c r="AU884" s="650"/>
      <c r="AV884" s="650"/>
      <c r="AW884" s="650"/>
      <c r="AX884" s="650"/>
      <c r="AY884" s="650"/>
    </row>
    <row r="885" ht="21.75" customHeight="1">
      <c r="A885" s="650"/>
      <c r="B885" s="650"/>
      <c r="C885" s="650"/>
      <c r="D885" s="650"/>
      <c r="E885" s="650"/>
      <c r="F885" s="650"/>
      <c r="G885" s="650"/>
      <c r="H885" s="650"/>
      <c r="I885" s="650"/>
      <c r="J885" s="650"/>
      <c r="K885" s="650"/>
      <c r="L885" s="650"/>
      <c r="M885" s="650"/>
      <c r="N885" s="650"/>
      <c r="O885" s="650"/>
      <c r="P885" s="650"/>
      <c r="Q885" s="650"/>
      <c r="R885" s="650"/>
      <c r="S885" s="650"/>
      <c r="T885" s="650"/>
      <c r="U885" s="650"/>
      <c r="V885" s="650"/>
      <c r="W885" s="650"/>
      <c r="X885" s="650"/>
      <c r="Y885" s="650"/>
      <c r="Z885" s="650"/>
      <c r="AA885" s="650"/>
      <c r="AB885" s="650"/>
      <c r="AC885" s="650"/>
      <c r="AD885" s="650"/>
      <c r="AE885" s="650"/>
      <c r="AF885" s="650"/>
      <c r="AG885" s="650"/>
      <c r="AH885" s="650"/>
      <c r="AI885" s="650"/>
      <c r="AJ885" s="650"/>
      <c r="AK885" s="650"/>
      <c r="AL885" s="650"/>
      <c r="AM885" s="650"/>
      <c r="AN885" s="650"/>
      <c r="AO885" s="650"/>
      <c r="AP885" s="650"/>
      <c r="AQ885" s="650"/>
      <c r="AR885" s="650"/>
      <c r="AS885" s="650"/>
      <c r="AT885" s="650"/>
      <c r="AU885" s="650"/>
      <c r="AV885" s="650"/>
      <c r="AW885" s="650"/>
      <c r="AX885" s="650"/>
      <c r="AY885" s="650"/>
    </row>
    <row r="886" ht="21.75" customHeight="1">
      <c r="A886" s="650"/>
      <c r="B886" s="650"/>
      <c r="C886" s="650"/>
      <c r="D886" s="650"/>
      <c r="E886" s="650"/>
      <c r="F886" s="650"/>
      <c r="G886" s="650"/>
      <c r="H886" s="650"/>
      <c r="I886" s="650"/>
      <c r="J886" s="650"/>
      <c r="K886" s="650"/>
      <c r="L886" s="650"/>
      <c r="M886" s="650"/>
      <c r="N886" s="650"/>
      <c r="O886" s="650"/>
      <c r="P886" s="650"/>
      <c r="Q886" s="650"/>
      <c r="R886" s="650"/>
      <c r="S886" s="650"/>
      <c r="T886" s="650"/>
      <c r="U886" s="650"/>
      <c r="V886" s="650"/>
      <c r="W886" s="650"/>
      <c r="X886" s="650"/>
      <c r="Y886" s="650"/>
      <c r="Z886" s="650"/>
      <c r="AA886" s="650"/>
      <c r="AB886" s="650"/>
      <c r="AC886" s="650"/>
      <c r="AD886" s="650"/>
      <c r="AE886" s="650"/>
      <c r="AF886" s="650"/>
      <c r="AG886" s="650"/>
      <c r="AH886" s="650"/>
      <c r="AI886" s="650"/>
      <c r="AJ886" s="650"/>
      <c r="AK886" s="650"/>
      <c r="AL886" s="650"/>
      <c r="AM886" s="650"/>
      <c r="AN886" s="650"/>
      <c r="AO886" s="650"/>
      <c r="AP886" s="650"/>
      <c r="AQ886" s="650"/>
      <c r="AR886" s="650"/>
      <c r="AS886" s="650"/>
      <c r="AT886" s="650"/>
      <c r="AU886" s="650"/>
      <c r="AV886" s="650"/>
      <c r="AW886" s="650"/>
      <c r="AX886" s="650"/>
      <c r="AY886" s="650"/>
    </row>
    <row r="887" ht="21.75" customHeight="1">
      <c r="A887" s="650"/>
      <c r="B887" s="650"/>
      <c r="C887" s="650"/>
      <c r="D887" s="650"/>
      <c r="E887" s="650"/>
      <c r="F887" s="650"/>
      <c r="G887" s="650"/>
      <c r="H887" s="650"/>
      <c r="I887" s="650"/>
      <c r="J887" s="650"/>
      <c r="K887" s="650"/>
      <c r="L887" s="650"/>
      <c r="M887" s="650"/>
      <c r="N887" s="650"/>
      <c r="O887" s="650"/>
      <c r="P887" s="650"/>
      <c r="Q887" s="650"/>
      <c r="R887" s="650"/>
      <c r="S887" s="650"/>
      <c r="T887" s="650"/>
      <c r="U887" s="650"/>
      <c r="V887" s="650"/>
      <c r="W887" s="650"/>
      <c r="X887" s="650"/>
      <c r="Y887" s="650"/>
      <c r="Z887" s="650"/>
      <c r="AA887" s="650"/>
      <c r="AB887" s="650"/>
      <c r="AC887" s="650"/>
      <c r="AD887" s="650"/>
      <c r="AE887" s="650"/>
      <c r="AF887" s="650"/>
      <c r="AG887" s="650"/>
      <c r="AH887" s="650"/>
      <c r="AI887" s="650"/>
      <c r="AJ887" s="650"/>
      <c r="AK887" s="650"/>
      <c r="AL887" s="650"/>
      <c r="AM887" s="650"/>
      <c r="AN887" s="650"/>
      <c r="AO887" s="650"/>
      <c r="AP887" s="650"/>
      <c r="AQ887" s="650"/>
      <c r="AR887" s="650"/>
      <c r="AS887" s="650"/>
      <c r="AT887" s="650"/>
      <c r="AU887" s="650"/>
      <c r="AV887" s="650"/>
      <c r="AW887" s="650"/>
      <c r="AX887" s="650"/>
      <c r="AY887" s="650"/>
    </row>
    <row r="888" ht="21.75" customHeight="1">
      <c r="A888" s="650"/>
      <c r="B888" s="650"/>
      <c r="C888" s="650"/>
      <c r="D888" s="650"/>
      <c r="E888" s="650"/>
      <c r="F888" s="650"/>
      <c r="G888" s="650"/>
      <c r="H888" s="650"/>
      <c r="I888" s="650"/>
      <c r="J888" s="650"/>
      <c r="K888" s="650"/>
      <c r="L888" s="650"/>
      <c r="M888" s="650"/>
      <c r="N888" s="650"/>
      <c r="O888" s="650"/>
      <c r="P888" s="650"/>
      <c r="Q888" s="650"/>
      <c r="R888" s="650"/>
      <c r="S888" s="650"/>
      <c r="T888" s="650"/>
      <c r="U888" s="650"/>
      <c r="V888" s="650"/>
      <c r="W888" s="650"/>
      <c r="X888" s="650"/>
      <c r="Y888" s="650"/>
      <c r="Z888" s="650"/>
      <c r="AA888" s="650"/>
      <c r="AB888" s="650"/>
      <c r="AC888" s="650"/>
      <c r="AD888" s="650"/>
      <c r="AE888" s="650"/>
      <c r="AF888" s="650"/>
      <c r="AG888" s="650"/>
      <c r="AH888" s="650"/>
      <c r="AI888" s="650"/>
      <c r="AJ888" s="650"/>
      <c r="AK888" s="650"/>
      <c r="AL888" s="650"/>
      <c r="AM888" s="650"/>
      <c r="AN888" s="650"/>
      <c r="AO888" s="650"/>
      <c r="AP888" s="650"/>
      <c r="AQ888" s="650"/>
      <c r="AR888" s="650"/>
      <c r="AS888" s="650"/>
      <c r="AT888" s="650"/>
      <c r="AU888" s="650"/>
      <c r="AV888" s="650"/>
      <c r="AW888" s="650"/>
      <c r="AX888" s="650"/>
      <c r="AY888" s="650"/>
    </row>
    <row r="889" ht="21.75" customHeight="1">
      <c r="A889" s="650"/>
      <c r="B889" s="650"/>
      <c r="C889" s="650"/>
      <c r="D889" s="650"/>
      <c r="E889" s="650"/>
      <c r="F889" s="650"/>
      <c r="G889" s="650"/>
      <c r="H889" s="650"/>
      <c r="I889" s="650"/>
      <c r="J889" s="650"/>
      <c r="K889" s="650"/>
      <c r="L889" s="650"/>
      <c r="M889" s="650"/>
      <c r="N889" s="650"/>
      <c r="O889" s="650"/>
      <c r="P889" s="650"/>
      <c r="Q889" s="650"/>
      <c r="R889" s="650"/>
      <c r="S889" s="650"/>
      <c r="T889" s="650"/>
      <c r="U889" s="650"/>
      <c r="V889" s="650"/>
      <c r="W889" s="650"/>
      <c r="X889" s="650"/>
      <c r="Y889" s="650"/>
      <c r="Z889" s="650"/>
      <c r="AA889" s="650"/>
      <c r="AB889" s="650"/>
      <c r="AC889" s="650"/>
      <c r="AD889" s="650"/>
      <c r="AE889" s="650"/>
      <c r="AF889" s="650"/>
      <c r="AG889" s="650"/>
      <c r="AH889" s="650"/>
      <c r="AI889" s="650"/>
      <c r="AJ889" s="650"/>
      <c r="AK889" s="650"/>
      <c r="AL889" s="650"/>
      <c r="AM889" s="650"/>
      <c r="AN889" s="650"/>
      <c r="AO889" s="650"/>
      <c r="AP889" s="650"/>
      <c r="AQ889" s="650"/>
      <c r="AR889" s="650"/>
      <c r="AS889" s="650"/>
      <c r="AT889" s="650"/>
      <c r="AU889" s="650"/>
      <c r="AV889" s="650"/>
      <c r="AW889" s="650"/>
      <c r="AX889" s="650"/>
      <c r="AY889" s="650"/>
    </row>
    <row r="890" ht="21.75" customHeight="1">
      <c r="A890" s="650"/>
      <c r="B890" s="650"/>
      <c r="C890" s="650"/>
      <c r="D890" s="650"/>
      <c r="E890" s="650"/>
      <c r="F890" s="650"/>
      <c r="G890" s="650"/>
      <c r="H890" s="650"/>
      <c r="I890" s="650"/>
      <c r="J890" s="650"/>
      <c r="K890" s="650"/>
      <c r="L890" s="650"/>
      <c r="M890" s="650"/>
      <c r="N890" s="650"/>
      <c r="O890" s="650"/>
      <c r="P890" s="650"/>
      <c r="Q890" s="650"/>
      <c r="R890" s="650"/>
      <c r="S890" s="650"/>
      <c r="T890" s="650"/>
      <c r="U890" s="650"/>
      <c r="V890" s="650"/>
      <c r="W890" s="650"/>
      <c r="X890" s="650"/>
      <c r="Y890" s="650"/>
      <c r="Z890" s="650"/>
      <c r="AA890" s="650"/>
      <c r="AB890" s="650"/>
      <c r="AC890" s="650"/>
      <c r="AD890" s="650"/>
      <c r="AE890" s="650"/>
      <c r="AF890" s="650"/>
      <c r="AG890" s="650"/>
      <c r="AH890" s="650"/>
      <c r="AI890" s="650"/>
      <c r="AJ890" s="650"/>
      <c r="AK890" s="650"/>
      <c r="AL890" s="650"/>
      <c r="AM890" s="650"/>
      <c r="AN890" s="650"/>
      <c r="AO890" s="650"/>
      <c r="AP890" s="650"/>
      <c r="AQ890" s="650"/>
      <c r="AR890" s="650"/>
      <c r="AS890" s="650"/>
      <c r="AT890" s="650"/>
      <c r="AU890" s="650"/>
      <c r="AV890" s="650"/>
      <c r="AW890" s="650"/>
      <c r="AX890" s="650"/>
      <c r="AY890" s="650"/>
    </row>
    <row r="891" ht="21.75" customHeight="1">
      <c r="A891" s="650"/>
      <c r="B891" s="650"/>
      <c r="C891" s="650"/>
      <c r="D891" s="650"/>
      <c r="E891" s="650"/>
      <c r="F891" s="650"/>
      <c r="G891" s="650"/>
      <c r="H891" s="650"/>
      <c r="I891" s="650"/>
      <c r="J891" s="650"/>
      <c r="K891" s="650"/>
      <c r="L891" s="650"/>
      <c r="M891" s="650"/>
      <c r="N891" s="650"/>
      <c r="O891" s="650"/>
      <c r="P891" s="650"/>
      <c r="Q891" s="650"/>
      <c r="R891" s="650"/>
      <c r="S891" s="650"/>
      <c r="T891" s="650"/>
      <c r="U891" s="650"/>
      <c r="V891" s="650"/>
      <c r="W891" s="650"/>
      <c r="X891" s="650"/>
      <c r="Y891" s="650"/>
      <c r="Z891" s="650"/>
      <c r="AA891" s="650"/>
      <c r="AB891" s="650"/>
      <c r="AC891" s="650"/>
      <c r="AD891" s="650"/>
      <c r="AE891" s="650"/>
      <c r="AF891" s="650"/>
      <c r="AG891" s="650"/>
      <c r="AH891" s="650"/>
      <c r="AI891" s="650"/>
      <c r="AJ891" s="650"/>
      <c r="AK891" s="650"/>
      <c r="AL891" s="650"/>
      <c r="AM891" s="650"/>
      <c r="AN891" s="650"/>
      <c r="AO891" s="650"/>
      <c r="AP891" s="650"/>
      <c r="AQ891" s="650"/>
      <c r="AR891" s="650"/>
      <c r="AS891" s="650"/>
      <c r="AT891" s="650"/>
      <c r="AU891" s="650"/>
      <c r="AV891" s="650"/>
      <c r="AW891" s="650"/>
      <c r="AX891" s="650"/>
      <c r="AY891" s="650"/>
    </row>
    <row r="892" ht="21.75" customHeight="1">
      <c r="A892" s="650"/>
      <c r="B892" s="650"/>
      <c r="C892" s="650"/>
      <c r="D892" s="650"/>
      <c r="E892" s="650"/>
      <c r="F892" s="650"/>
      <c r="G892" s="650"/>
      <c r="H892" s="650"/>
      <c r="I892" s="650"/>
      <c r="J892" s="650"/>
      <c r="K892" s="650"/>
      <c r="L892" s="650"/>
      <c r="M892" s="650"/>
      <c r="N892" s="650"/>
      <c r="O892" s="650"/>
      <c r="P892" s="650"/>
      <c r="Q892" s="650"/>
      <c r="R892" s="650"/>
      <c r="S892" s="650"/>
      <c r="T892" s="650"/>
      <c r="U892" s="650"/>
      <c r="V892" s="650"/>
      <c r="W892" s="650"/>
      <c r="X892" s="650"/>
      <c r="Y892" s="650"/>
      <c r="Z892" s="650"/>
      <c r="AA892" s="650"/>
      <c r="AB892" s="650"/>
      <c r="AC892" s="650"/>
      <c r="AD892" s="650"/>
      <c r="AE892" s="650"/>
      <c r="AF892" s="650"/>
      <c r="AG892" s="650"/>
      <c r="AH892" s="650"/>
      <c r="AI892" s="650"/>
      <c r="AJ892" s="650"/>
      <c r="AK892" s="650"/>
      <c r="AL892" s="650"/>
      <c r="AM892" s="650"/>
      <c r="AN892" s="650"/>
      <c r="AO892" s="650"/>
      <c r="AP892" s="650"/>
      <c r="AQ892" s="650"/>
      <c r="AR892" s="650"/>
      <c r="AS892" s="650"/>
      <c r="AT892" s="650"/>
      <c r="AU892" s="650"/>
      <c r="AV892" s="650"/>
      <c r="AW892" s="650"/>
      <c r="AX892" s="650"/>
      <c r="AY892" s="650"/>
    </row>
    <row r="893" ht="21.75" customHeight="1">
      <c r="A893" s="650"/>
      <c r="B893" s="650"/>
      <c r="C893" s="650"/>
      <c r="D893" s="650"/>
      <c r="E893" s="650"/>
      <c r="F893" s="650"/>
      <c r="G893" s="650"/>
      <c r="H893" s="650"/>
      <c r="I893" s="650"/>
      <c r="J893" s="650"/>
      <c r="K893" s="650"/>
      <c r="L893" s="650"/>
      <c r="M893" s="650"/>
      <c r="N893" s="650"/>
      <c r="O893" s="650"/>
      <c r="P893" s="650"/>
      <c r="Q893" s="650"/>
      <c r="R893" s="650"/>
      <c r="S893" s="650"/>
      <c r="T893" s="650"/>
      <c r="U893" s="650"/>
      <c r="V893" s="650"/>
      <c r="W893" s="650"/>
      <c r="X893" s="650"/>
      <c r="Y893" s="650"/>
      <c r="Z893" s="650"/>
      <c r="AA893" s="650"/>
      <c r="AB893" s="650"/>
      <c r="AC893" s="650"/>
      <c r="AD893" s="650"/>
      <c r="AE893" s="650"/>
      <c r="AF893" s="650"/>
      <c r="AG893" s="650"/>
      <c r="AH893" s="650"/>
      <c r="AI893" s="650"/>
      <c r="AJ893" s="650"/>
      <c r="AK893" s="650"/>
      <c r="AL893" s="650"/>
      <c r="AM893" s="650"/>
      <c r="AN893" s="650"/>
      <c r="AO893" s="650"/>
      <c r="AP893" s="650"/>
      <c r="AQ893" s="650"/>
      <c r="AR893" s="650"/>
      <c r="AS893" s="650"/>
      <c r="AT893" s="650"/>
      <c r="AU893" s="650"/>
      <c r="AV893" s="650"/>
      <c r="AW893" s="650"/>
      <c r="AX893" s="650"/>
      <c r="AY893" s="650"/>
    </row>
    <row r="894" ht="21.75" customHeight="1">
      <c r="A894" s="650"/>
      <c r="B894" s="650"/>
      <c r="C894" s="650"/>
      <c r="D894" s="650"/>
      <c r="E894" s="650"/>
      <c r="F894" s="650"/>
      <c r="G894" s="650"/>
      <c r="H894" s="650"/>
      <c r="I894" s="650"/>
      <c r="J894" s="650"/>
      <c r="K894" s="650"/>
      <c r="L894" s="650"/>
      <c r="M894" s="650"/>
      <c r="N894" s="650"/>
      <c r="O894" s="650"/>
      <c r="P894" s="650"/>
      <c r="Q894" s="650"/>
      <c r="R894" s="650"/>
      <c r="S894" s="650"/>
      <c r="T894" s="650"/>
      <c r="U894" s="650"/>
      <c r="V894" s="650"/>
      <c r="W894" s="650"/>
      <c r="X894" s="650"/>
      <c r="Y894" s="650"/>
      <c r="Z894" s="650"/>
      <c r="AA894" s="650"/>
      <c r="AB894" s="650"/>
      <c r="AC894" s="650"/>
      <c r="AD894" s="650"/>
      <c r="AE894" s="650"/>
      <c r="AF894" s="650"/>
      <c r="AG894" s="650"/>
      <c r="AH894" s="650"/>
      <c r="AI894" s="650"/>
      <c r="AJ894" s="650"/>
      <c r="AK894" s="650"/>
      <c r="AL894" s="650"/>
      <c r="AM894" s="650"/>
      <c r="AN894" s="650"/>
      <c r="AO894" s="650"/>
      <c r="AP894" s="650"/>
      <c r="AQ894" s="650"/>
      <c r="AR894" s="650"/>
      <c r="AS894" s="650"/>
      <c r="AT894" s="650"/>
      <c r="AU894" s="650"/>
      <c r="AV894" s="650"/>
      <c r="AW894" s="650"/>
      <c r="AX894" s="650"/>
      <c r="AY894" s="650"/>
    </row>
    <row r="895" ht="21.75" customHeight="1">
      <c r="A895" s="650"/>
      <c r="B895" s="650"/>
      <c r="C895" s="650"/>
      <c r="D895" s="650"/>
      <c r="E895" s="650"/>
      <c r="F895" s="650"/>
      <c r="G895" s="650"/>
      <c r="H895" s="650"/>
      <c r="I895" s="650"/>
      <c r="J895" s="650"/>
      <c r="K895" s="650"/>
      <c r="L895" s="650"/>
      <c r="M895" s="650"/>
      <c r="N895" s="650"/>
      <c r="O895" s="650"/>
      <c r="P895" s="650"/>
      <c r="Q895" s="650"/>
      <c r="R895" s="650"/>
      <c r="S895" s="650"/>
      <c r="T895" s="650"/>
      <c r="U895" s="650"/>
      <c r="V895" s="650"/>
      <c r="W895" s="650"/>
      <c r="X895" s="650"/>
      <c r="Y895" s="650"/>
      <c r="Z895" s="650"/>
      <c r="AA895" s="650"/>
      <c r="AB895" s="650"/>
      <c r="AC895" s="650"/>
      <c r="AD895" s="650"/>
      <c r="AE895" s="650"/>
      <c r="AF895" s="650"/>
      <c r="AG895" s="650"/>
      <c r="AH895" s="650"/>
      <c r="AI895" s="650"/>
      <c r="AJ895" s="650"/>
      <c r="AK895" s="650"/>
      <c r="AL895" s="650"/>
      <c r="AM895" s="650"/>
      <c r="AN895" s="650"/>
      <c r="AO895" s="650"/>
      <c r="AP895" s="650"/>
      <c r="AQ895" s="650"/>
      <c r="AR895" s="650"/>
      <c r="AS895" s="650"/>
      <c r="AT895" s="650"/>
      <c r="AU895" s="650"/>
      <c r="AV895" s="650"/>
      <c r="AW895" s="650"/>
      <c r="AX895" s="650"/>
      <c r="AY895" s="650"/>
    </row>
    <row r="896" ht="21.75" customHeight="1">
      <c r="A896" s="650"/>
      <c r="B896" s="650"/>
      <c r="C896" s="650"/>
      <c r="D896" s="650"/>
      <c r="E896" s="650"/>
      <c r="F896" s="650"/>
      <c r="G896" s="650"/>
      <c r="H896" s="650"/>
      <c r="I896" s="650"/>
      <c r="J896" s="650"/>
      <c r="K896" s="650"/>
      <c r="L896" s="650"/>
      <c r="M896" s="650"/>
      <c r="N896" s="650"/>
      <c r="O896" s="650"/>
      <c r="P896" s="650"/>
      <c r="Q896" s="650"/>
      <c r="R896" s="650"/>
      <c r="S896" s="650"/>
      <c r="T896" s="650"/>
      <c r="U896" s="650"/>
      <c r="V896" s="650"/>
      <c r="W896" s="650"/>
      <c r="X896" s="650"/>
      <c r="Y896" s="650"/>
      <c r="Z896" s="650"/>
      <c r="AA896" s="650"/>
      <c r="AB896" s="650"/>
      <c r="AC896" s="650"/>
      <c r="AD896" s="650"/>
      <c r="AE896" s="650"/>
      <c r="AF896" s="650"/>
      <c r="AG896" s="650"/>
      <c r="AH896" s="650"/>
      <c r="AI896" s="650"/>
      <c r="AJ896" s="650"/>
      <c r="AK896" s="650"/>
      <c r="AL896" s="650"/>
      <c r="AM896" s="650"/>
      <c r="AN896" s="650"/>
      <c r="AO896" s="650"/>
      <c r="AP896" s="650"/>
      <c r="AQ896" s="650"/>
      <c r="AR896" s="650"/>
      <c r="AS896" s="650"/>
      <c r="AT896" s="650"/>
      <c r="AU896" s="650"/>
      <c r="AV896" s="650"/>
      <c r="AW896" s="650"/>
      <c r="AX896" s="650"/>
      <c r="AY896" s="650"/>
    </row>
    <row r="897" ht="21.75" customHeight="1">
      <c r="A897" s="650"/>
      <c r="B897" s="650"/>
      <c r="C897" s="650"/>
      <c r="D897" s="650"/>
      <c r="E897" s="650"/>
      <c r="F897" s="650"/>
      <c r="G897" s="650"/>
      <c r="H897" s="650"/>
      <c r="I897" s="650"/>
      <c r="J897" s="650"/>
      <c r="K897" s="650"/>
      <c r="L897" s="650"/>
      <c r="M897" s="650"/>
      <c r="N897" s="650"/>
      <c r="O897" s="650"/>
      <c r="P897" s="650"/>
      <c r="Q897" s="650"/>
      <c r="R897" s="650"/>
      <c r="S897" s="650"/>
      <c r="T897" s="650"/>
      <c r="U897" s="650"/>
      <c r="V897" s="650"/>
      <c r="W897" s="650"/>
      <c r="X897" s="650"/>
      <c r="Y897" s="650"/>
      <c r="Z897" s="650"/>
      <c r="AA897" s="650"/>
      <c r="AB897" s="650"/>
      <c r="AC897" s="650"/>
      <c r="AD897" s="650"/>
      <c r="AE897" s="650"/>
      <c r="AF897" s="650"/>
      <c r="AG897" s="650"/>
      <c r="AH897" s="650"/>
      <c r="AI897" s="650"/>
      <c r="AJ897" s="650"/>
      <c r="AK897" s="650"/>
      <c r="AL897" s="650"/>
      <c r="AM897" s="650"/>
      <c r="AN897" s="650"/>
      <c r="AO897" s="650"/>
      <c r="AP897" s="650"/>
      <c r="AQ897" s="650"/>
      <c r="AR897" s="650"/>
      <c r="AS897" s="650"/>
      <c r="AT897" s="650"/>
      <c r="AU897" s="650"/>
      <c r="AV897" s="650"/>
      <c r="AW897" s="650"/>
      <c r="AX897" s="650"/>
      <c r="AY897" s="650"/>
    </row>
    <row r="898" ht="21.75" customHeight="1">
      <c r="A898" s="650"/>
      <c r="B898" s="650"/>
      <c r="C898" s="650"/>
      <c r="D898" s="650"/>
      <c r="E898" s="650"/>
      <c r="F898" s="650"/>
      <c r="G898" s="650"/>
      <c r="H898" s="650"/>
      <c r="I898" s="650"/>
      <c r="J898" s="650"/>
      <c r="K898" s="650"/>
      <c r="L898" s="650"/>
      <c r="M898" s="650"/>
      <c r="N898" s="650"/>
      <c r="O898" s="650"/>
      <c r="P898" s="650"/>
      <c r="Q898" s="650"/>
      <c r="R898" s="650"/>
      <c r="S898" s="650"/>
      <c r="T898" s="650"/>
      <c r="U898" s="650"/>
      <c r="V898" s="650"/>
      <c r="W898" s="650"/>
      <c r="X898" s="650"/>
      <c r="Y898" s="650"/>
      <c r="Z898" s="650"/>
      <c r="AA898" s="650"/>
      <c r="AB898" s="650"/>
      <c r="AC898" s="650"/>
      <c r="AD898" s="650"/>
      <c r="AE898" s="650"/>
      <c r="AF898" s="650"/>
      <c r="AG898" s="650"/>
      <c r="AH898" s="650"/>
      <c r="AI898" s="650"/>
      <c r="AJ898" s="650"/>
      <c r="AK898" s="650"/>
      <c r="AL898" s="650"/>
      <c r="AM898" s="650"/>
      <c r="AN898" s="650"/>
      <c r="AO898" s="650"/>
      <c r="AP898" s="650"/>
      <c r="AQ898" s="650"/>
      <c r="AR898" s="650"/>
      <c r="AS898" s="650"/>
      <c r="AT898" s="650"/>
      <c r="AU898" s="650"/>
      <c r="AV898" s="650"/>
      <c r="AW898" s="650"/>
      <c r="AX898" s="650"/>
      <c r="AY898" s="650"/>
    </row>
    <row r="899" ht="21.75" customHeight="1">
      <c r="A899" s="650"/>
      <c r="B899" s="650"/>
      <c r="C899" s="650"/>
      <c r="D899" s="650"/>
      <c r="E899" s="650"/>
      <c r="F899" s="650"/>
      <c r="G899" s="650"/>
      <c r="H899" s="650"/>
      <c r="I899" s="650"/>
      <c r="J899" s="650"/>
      <c r="K899" s="650"/>
      <c r="L899" s="650"/>
      <c r="M899" s="650"/>
      <c r="N899" s="650"/>
      <c r="O899" s="650"/>
      <c r="P899" s="650"/>
      <c r="Q899" s="650"/>
      <c r="R899" s="650"/>
      <c r="S899" s="650"/>
      <c r="T899" s="650"/>
      <c r="U899" s="650"/>
      <c r="V899" s="650"/>
      <c r="W899" s="650"/>
      <c r="X899" s="650"/>
      <c r="Y899" s="650"/>
      <c r="Z899" s="650"/>
      <c r="AA899" s="650"/>
      <c r="AB899" s="650"/>
      <c r="AC899" s="650"/>
      <c r="AD899" s="650"/>
      <c r="AE899" s="650"/>
      <c r="AF899" s="650"/>
      <c r="AG899" s="650"/>
      <c r="AH899" s="650"/>
      <c r="AI899" s="650"/>
      <c r="AJ899" s="650"/>
      <c r="AK899" s="650"/>
      <c r="AL899" s="650"/>
      <c r="AM899" s="650"/>
      <c r="AN899" s="650"/>
      <c r="AO899" s="650"/>
      <c r="AP899" s="650"/>
      <c r="AQ899" s="650"/>
      <c r="AR899" s="650"/>
      <c r="AS899" s="650"/>
      <c r="AT899" s="650"/>
      <c r="AU899" s="650"/>
      <c r="AV899" s="650"/>
      <c r="AW899" s="650"/>
      <c r="AX899" s="650"/>
      <c r="AY899" s="650"/>
    </row>
    <row r="900" ht="21.75" customHeight="1">
      <c r="A900" s="650"/>
      <c r="B900" s="650"/>
      <c r="C900" s="650"/>
      <c r="D900" s="650"/>
      <c r="E900" s="650"/>
      <c r="F900" s="650"/>
      <c r="G900" s="650"/>
      <c r="H900" s="650"/>
      <c r="I900" s="650"/>
      <c r="J900" s="650"/>
      <c r="K900" s="650"/>
      <c r="L900" s="650"/>
      <c r="M900" s="650"/>
      <c r="N900" s="650"/>
      <c r="O900" s="650"/>
      <c r="P900" s="650"/>
      <c r="Q900" s="650"/>
      <c r="R900" s="650"/>
      <c r="S900" s="650"/>
      <c r="T900" s="650"/>
      <c r="U900" s="650"/>
      <c r="V900" s="650"/>
      <c r="W900" s="650"/>
      <c r="X900" s="650"/>
      <c r="Y900" s="650"/>
      <c r="Z900" s="650"/>
      <c r="AA900" s="650"/>
      <c r="AB900" s="650"/>
      <c r="AC900" s="650"/>
      <c r="AD900" s="650"/>
      <c r="AE900" s="650"/>
      <c r="AF900" s="650"/>
      <c r="AG900" s="650"/>
      <c r="AH900" s="650"/>
      <c r="AI900" s="650"/>
      <c r="AJ900" s="650"/>
      <c r="AK900" s="650"/>
      <c r="AL900" s="650"/>
      <c r="AM900" s="650"/>
      <c r="AN900" s="650"/>
      <c r="AO900" s="650"/>
      <c r="AP900" s="650"/>
      <c r="AQ900" s="650"/>
      <c r="AR900" s="650"/>
      <c r="AS900" s="650"/>
      <c r="AT900" s="650"/>
      <c r="AU900" s="650"/>
      <c r="AV900" s="650"/>
      <c r="AW900" s="650"/>
      <c r="AX900" s="650"/>
      <c r="AY900" s="650"/>
    </row>
    <row r="901" ht="21.75" customHeight="1">
      <c r="A901" s="650"/>
      <c r="B901" s="650"/>
      <c r="C901" s="650"/>
      <c r="D901" s="650"/>
      <c r="E901" s="650"/>
      <c r="F901" s="650"/>
      <c r="G901" s="650"/>
      <c r="H901" s="650"/>
      <c r="I901" s="650"/>
      <c r="J901" s="650"/>
      <c r="K901" s="650"/>
      <c r="L901" s="650"/>
      <c r="M901" s="650"/>
      <c r="N901" s="650"/>
      <c r="O901" s="650"/>
      <c r="P901" s="650"/>
      <c r="Q901" s="650"/>
      <c r="R901" s="650"/>
      <c r="S901" s="650"/>
      <c r="T901" s="650"/>
      <c r="U901" s="650"/>
      <c r="V901" s="650"/>
      <c r="W901" s="650"/>
      <c r="X901" s="650"/>
      <c r="Y901" s="650"/>
      <c r="Z901" s="650"/>
      <c r="AA901" s="650"/>
      <c r="AB901" s="650"/>
      <c r="AC901" s="650"/>
      <c r="AD901" s="650"/>
      <c r="AE901" s="650"/>
      <c r="AF901" s="650"/>
      <c r="AG901" s="650"/>
      <c r="AH901" s="650"/>
      <c r="AI901" s="650"/>
      <c r="AJ901" s="650"/>
      <c r="AK901" s="650"/>
      <c r="AL901" s="650"/>
      <c r="AM901" s="650"/>
      <c r="AN901" s="650"/>
      <c r="AO901" s="650"/>
      <c r="AP901" s="650"/>
      <c r="AQ901" s="650"/>
      <c r="AR901" s="650"/>
      <c r="AS901" s="650"/>
      <c r="AT901" s="650"/>
      <c r="AU901" s="650"/>
      <c r="AV901" s="650"/>
      <c r="AW901" s="650"/>
      <c r="AX901" s="650"/>
      <c r="AY901" s="650"/>
    </row>
    <row r="902" ht="21.75" customHeight="1">
      <c r="A902" s="650"/>
      <c r="B902" s="650"/>
      <c r="C902" s="650"/>
      <c r="D902" s="650"/>
      <c r="E902" s="650"/>
      <c r="F902" s="650"/>
      <c r="G902" s="650"/>
      <c r="H902" s="650"/>
      <c r="I902" s="650"/>
      <c r="J902" s="650"/>
      <c r="K902" s="650"/>
      <c r="L902" s="650"/>
      <c r="M902" s="650"/>
      <c r="N902" s="650"/>
      <c r="O902" s="650"/>
      <c r="P902" s="650"/>
      <c r="Q902" s="650"/>
      <c r="R902" s="650"/>
      <c r="S902" s="650"/>
      <c r="T902" s="650"/>
      <c r="U902" s="650"/>
      <c r="V902" s="650"/>
      <c r="W902" s="650"/>
      <c r="X902" s="650"/>
      <c r="Y902" s="650"/>
      <c r="Z902" s="650"/>
      <c r="AA902" s="650"/>
      <c r="AB902" s="650"/>
      <c r="AC902" s="650"/>
      <c r="AD902" s="650"/>
      <c r="AE902" s="650"/>
      <c r="AF902" s="650"/>
      <c r="AG902" s="650"/>
      <c r="AH902" s="650"/>
      <c r="AI902" s="650"/>
      <c r="AJ902" s="650"/>
      <c r="AK902" s="650"/>
      <c r="AL902" s="650"/>
      <c r="AM902" s="650"/>
      <c r="AN902" s="650"/>
      <c r="AO902" s="650"/>
      <c r="AP902" s="650"/>
      <c r="AQ902" s="650"/>
      <c r="AR902" s="650"/>
      <c r="AS902" s="650"/>
      <c r="AT902" s="650"/>
      <c r="AU902" s="650"/>
      <c r="AV902" s="650"/>
      <c r="AW902" s="650"/>
      <c r="AX902" s="650"/>
      <c r="AY902" s="650"/>
    </row>
    <row r="903" ht="21.75" customHeight="1">
      <c r="A903" s="650"/>
      <c r="B903" s="650"/>
      <c r="C903" s="650"/>
      <c r="D903" s="650"/>
      <c r="E903" s="650"/>
      <c r="F903" s="650"/>
      <c r="G903" s="650"/>
      <c r="H903" s="650"/>
      <c r="I903" s="650"/>
      <c r="J903" s="650"/>
      <c r="K903" s="650"/>
      <c r="L903" s="650"/>
      <c r="M903" s="650"/>
      <c r="N903" s="650"/>
      <c r="O903" s="650"/>
      <c r="P903" s="650"/>
      <c r="Q903" s="650"/>
      <c r="R903" s="650"/>
      <c r="S903" s="650"/>
      <c r="T903" s="650"/>
      <c r="U903" s="650"/>
      <c r="V903" s="650"/>
      <c r="W903" s="650"/>
      <c r="X903" s="650"/>
      <c r="Y903" s="650"/>
      <c r="Z903" s="650"/>
      <c r="AA903" s="650"/>
      <c r="AB903" s="650"/>
      <c r="AC903" s="650"/>
      <c r="AD903" s="650"/>
      <c r="AE903" s="650"/>
      <c r="AF903" s="650"/>
      <c r="AG903" s="650"/>
      <c r="AH903" s="650"/>
      <c r="AI903" s="650"/>
      <c r="AJ903" s="650"/>
      <c r="AK903" s="650"/>
      <c r="AL903" s="650"/>
      <c r="AM903" s="650"/>
      <c r="AN903" s="650"/>
      <c r="AO903" s="650"/>
      <c r="AP903" s="650"/>
      <c r="AQ903" s="650"/>
      <c r="AR903" s="650"/>
      <c r="AS903" s="650"/>
      <c r="AT903" s="650"/>
      <c r="AU903" s="650"/>
      <c r="AV903" s="650"/>
      <c r="AW903" s="650"/>
      <c r="AX903" s="650"/>
      <c r="AY903" s="650"/>
    </row>
    <row r="904" ht="21.75" customHeight="1">
      <c r="A904" s="650"/>
      <c r="B904" s="650"/>
      <c r="C904" s="650"/>
      <c r="D904" s="650"/>
      <c r="E904" s="650"/>
      <c r="F904" s="650"/>
      <c r="G904" s="650"/>
      <c r="H904" s="650"/>
      <c r="I904" s="650"/>
      <c r="J904" s="650"/>
      <c r="K904" s="650"/>
      <c r="L904" s="650"/>
      <c r="M904" s="650"/>
      <c r="N904" s="650"/>
      <c r="O904" s="650"/>
      <c r="P904" s="650"/>
      <c r="Q904" s="650"/>
      <c r="R904" s="650"/>
      <c r="S904" s="650"/>
      <c r="T904" s="650"/>
      <c r="U904" s="650"/>
      <c r="V904" s="650"/>
      <c r="W904" s="650"/>
      <c r="X904" s="650"/>
      <c r="Y904" s="650"/>
      <c r="Z904" s="650"/>
      <c r="AA904" s="650"/>
      <c r="AB904" s="650"/>
      <c r="AC904" s="650"/>
      <c r="AD904" s="650"/>
      <c r="AE904" s="650"/>
      <c r="AF904" s="650"/>
      <c r="AG904" s="650"/>
      <c r="AH904" s="650"/>
      <c r="AI904" s="650"/>
      <c r="AJ904" s="650"/>
      <c r="AK904" s="650"/>
      <c r="AL904" s="650"/>
      <c r="AM904" s="650"/>
      <c r="AN904" s="650"/>
      <c r="AO904" s="650"/>
      <c r="AP904" s="650"/>
      <c r="AQ904" s="650"/>
      <c r="AR904" s="650"/>
      <c r="AS904" s="650"/>
      <c r="AT904" s="650"/>
      <c r="AU904" s="650"/>
      <c r="AV904" s="650"/>
      <c r="AW904" s="650"/>
      <c r="AX904" s="650"/>
      <c r="AY904" s="650"/>
    </row>
    <row r="905" ht="21.75" customHeight="1">
      <c r="A905" s="650"/>
      <c r="B905" s="650"/>
      <c r="C905" s="650"/>
      <c r="D905" s="650"/>
      <c r="E905" s="650"/>
      <c r="F905" s="650"/>
      <c r="G905" s="650"/>
      <c r="H905" s="650"/>
      <c r="I905" s="650"/>
      <c r="J905" s="650"/>
      <c r="K905" s="650"/>
      <c r="L905" s="650"/>
      <c r="M905" s="650"/>
      <c r="N905" s="650"/>
      <c r="O905" s="650"/>
      <c r="P905" s="650"/>
      <c r="Q905" s="650"/>
      <c r="R905" s="650"/>
      <c r="S905" s="650"/>
      <c r="T905" s="650"/>
      <c r="U905" s="650"/>
      <c r="V905" s="650"/>
      <c r="W905" s="650"/>
      <c r="X905" s="650"/>
      <c r="Y905" s="650"/>
      <c r="Z905" s="650"/>
      <c r="AA905" s="650"/>
      <c r="AB905" s="650"/>
      <c r="AC905" s="650"/>
      <c r="AD905" s="650"/>
      <c r="AE905" s="650"/>
      <c r="AF905" s="650"/>
      <c r="AG905" s="650"/>
      <c r="AH905" s="650"/>
      <c r="AI905" s="650"/>
      <c r="AJ905" s="650"/>
      <c r="AK905" s="650"/>
      <c r="AL905" s="650"/>
      <c r="AM905" s="650"/>
      <c r="AN905" s="650"/>
      <c r="AO905" s="650"/>
      <c r="AP905" s="650"/>
      <c r="AQ905" s="650"/>
      <c r="AR905" s="650"/>
      <c r="AS905" s="650"/>
      <c r="AT905" s="650"/>
      <c r="AU905" s="650"/>
      <c r="AV905" s="650"/>
      <c r="AW905" s="650"/>
      <c r="AX905" s="650"/>
      <c r="AY905" s="650"/>
    </row>
    <row r="906" ht="21.75" customHeight="1">
      <c r="A906" s="650"/>
      <c r="B906" s="650"/>
      <c r="C906" s="650"/>
      <c r="D906" s="650"/>
      <c r="E906" s="650"/>
      <c r="F906" s="650"/>
      <c r="G906" s="650"/>
      <c r="H906" s="650"/>
      <c r="I906" s="650"/>
      <c r="J906" s="650"/>
      <c r="K906" s="650"/>
      <c r="L906" s="650"/>
      <c r="M906" s="650"/>
      <c r="N906" s="650"/>
      <c r="O906" s="650"/>
      <c r="P906" s="650"/>
      <c r="Q906" s="650"/>
      <c r="R906" s="650"/>
      <c r="S906" s="650"/>
      <c r="T906" s="650"/>
      <c r="U906" s="650"/>
      <c r="V906" s="650"/>
      <c r="W906" s="650"/>
      <c r="X906" s="650"/>
      <c r="Y906" s="650"/>
      <c r="Z906" s="650"/>
      <c r="AA906" s="650"/>
      <c r="AB906" s="650"/>
      <c r="AC906" s="650"/>
      <c r="AD906" s="650"/>
      <c r="AE906" s="650"/>
      <c r="AF906" s="650"/>
      <c r="AG906" s="650"/>
      <c r="AH906" s="650"/>
      <c r="AI906" s="650"/>
      <c r="AJ906" s="650"/>
      <c r="AK906" s="650"/>
      <c r="AL906" s="650"/>
      <c r="AM906" s="650"/>
      <c r="AN906" s="650"/>
      <c r="AO906" s="650"/>
      <c r="AP906" s="650"/>
      <c r="AQ906" s="650"/>
      <c r="AR906" s="650"/>
      <c r="AS906" s="650"/>
      <c r="AT906" s="650"/>
      <c r="AU906" s="650"/>
      <c r="AV906" s="650"/>
      <c r="AW906" s="650"/>
      <c r="AX906" s="650"/>
      <c r="AY906" s="650"/>
    </row>
    <row r="907" ht="21.75" customHeight="1">
      <c r="A907" s="650"/>
      <c r="B907" s="650"/>
      <c r="C907" s="650"/>
      <c r="D907" s="650"/>
      <c r="E907" s="650"/>
      <c r="F907" s="650"/>
      <c r="G907" s="650"/>
      <c r="H907" s="650"/>
      <c r="I907" s="650"/>
      <c r="J907" s="650"/>
      <c r="K907" s="650"/>
      <c r="L907" s="650"/>
      <c r="M907" s="650"/>
      <c r="N907" s="650"/>
      <c r="O907" s="650"/>
      <c r="P907" s="650"/>
      <c r="Q907" s="650"/>
      <c r="R907" s="650"/>
      <c r="S907" s="650"/>
      <c r="T907" s="650"/>
      <c r="U907" s="650"/>
      <c r="V907" s="650"/>
      <c r="W907" s="650"/>
      <c r="X907" s="650"/>
      <c r="Y907" s="650"/>
      <c r="Z907" s="650"/>
      <c r="AA907" s="650"/>
      <c r="AB907" s="650"/>
      <c r="AC907" s="650"/>
      <c r="AD907" s="650"/>
      <c r="AE907" s="650"/>
      <c r="AF907" s="650"/>
      <c r="AG907" s="650"/>
      <c r="AH907" s="650"/>
      <c r="AI907" s="650"/>
      <c r="AJ907" s="650"/>
      <c r="AK907" s="650"/>
      <c r="AL907" s="650"/>
      <c r="AM907" s="650"/>
      <c r="AN907" s="650"/>
      <c r="AO907" s="650"/>
      <c r="AP907" s="650"/>
      <c r="AQ907" s="650"/>
      <c r="AR907" s="650"/>
      <c r="AS907" s="650"/>
      <c r="AT907" s="650"/>
      <c r="AU907" s="650"/>
      <c r="AV907" s="650"/>
      <c r="AW907" s="650"/>
      <c r="AX907" s="650"/>
      <c r="AY907" s="650"/>
    </row>
    <row r="908" ht="21.75" customHeight="1">
      <c r="A908" s="650"/>
      <c r="B908" s="650"/>
      <c r="C908" s="650"/>
      <c r="D908" s="650"/>
      <c r="E908" s="650"/>
      <c r="F908" s="650"/>
      <c r="G908" s="650"/>
      <c r="H908" s="650"/>
      <c r="I908" s="650"/>
      <c r="J908" s="650"/>
      <c r="K908" s="650"/>
      <c r="L908" s="650"/>
      <c r="M908" s="650"/>
      <c r="N908" s="650"/>
      <c r="O908" s="650"/>
      <c r="P908" s="650"/>
      <c r="Q908" s="650"/>
      <c r="R908" s="650"/>
      <c r="S908" s="650"/>
      <c r="T908" s="650"/>
      <c r="U908" s="650"/>
      <c r="V908" s="650"/>
      <c r="W908" s="650"/>
      <c r="X908" s="650"/>
      <c r="Y908" s="650"/>
      <c r="Z908" s="650"/>
      <c r="AA908" s="650"/>
      <c r="AB908" s="650"/>
      <c r="AC908" s="650"/>
      <c r="AD908" s="650"/>
      <c r="AE908" s="650"/>
      <c r="AF908" s="650"/>
      <c r="AG908" s="650"/>
      <c r="AH908" s="650"/>
      <c r="AI908" s="650"/>
      <c r="AJ908" s="650"/>
      <c r="AK908" s="650"/>
      <c r="AL908" s="650"/>
      <c r="AM908" s="650"/>
      <c r="AN908" s="650"/>
      <c r="AO908" s="650"/>
      <c r="AP908" s="650"/>
      <c r="AQ908" s="650"/>
      <c r="AR908" s="650"/>
      <c r="AS908" s="650"/>
      <c r="AT908" s="650"/>
      <c r="AU908" s="650"/>
      <c r="AV908" s="650"/>
      <c r="AW908" s="650"/>
      <c r="AX908" s="650"/>
      <c r="AY908" s="650"/>
    </row>
    <row r="909" ht="21.75" customHeight="1">
      <c r="A909" s="650"/>
      <c r="B909" s="650"/>
      <c r="C909" s="650"/>
      <c r="D909" s="650"/>
      <c r="E909" s="650"/>
      <c r="F909" s="650"/>
      <c r="G909" s="650"/>
      <c r="H909" s="650"/>
      <c r="I909" s="650"/>
      <c r="J909" s="650"/>
      <c r="K909" s="650"/>
      <c r="L909" s="650"/>
      <c r="M909" s="650"/>
      <c r="N909" s="650"/>
      <c r="O909" s="650"/>
      <c r="P909" s="650"/>
      <c r="Q909" s="650"/>
      <c r="R909" s="650"/>
      <c r="S909" s="650"/>
      <c r="T909" s="650"/>
      <c r="U909" s="650"/>
      <c r="V909" s="650"/>
      <c r="W909" s="650"/>
      <c r="X909" s="650"/>
      <c r="Y909" s="650"/>
      <c r="Z909" s="650"/>
      <c r="AA909" s="650"/>
      <c r="AB909" s="650"/>
      <c r="AC909" s="650"/>
      <c r="AD909" s="650"/>
      <c r="AE909" s="650"/>
      <c r="AF909" s="650"/>
      <c r="AG909" s="650"/>
      <c r="AH909" s="650"/>
      <c r="AI909" s="650"/>
      <c r="AJ909" s="650"/>
      <c r="AK909" s="650"/>
      <c r="AL909" s="650"/>
      <c r="AM909" s="650"/>
      <c r="AN909" s="650"/>
      <c r="AO909" s="650"/>
      <c r="AP909" s="650"/>
      <c r="AQ909" s="650"/>
      <c r="AR909" s="650"/>
      <c r="AS909" s="650"/>
      <c r="AT909" s="650"/>
      <c r="AU909" s="650"/>
      <c r="AV909" s="650"/>
      <c r="AW909" s="650"/>
      <c r="AX909" s="650"/>
      <c r="AY909" s="650"/>
    </row>
    <row r="910" ht="21.75" customHeight="1">
      <c r="A910" s="650"/>
      <c r="B910" s="650"/>
      <c r="C910" s="650"/>
      <c r="D910" s="650"/>
      <c r="E910" s="650"/>
      <c r="F910" s="650"/>
      <c r="G910" s="650"/>
      <c r="H910" s="650"/>
      <c r="I910" s="650"/>
      <c r="J910" s="650"/>
      <c r="K910" s="650"/>
      <c r="L910" s="650"/>
      <c r="M910" s="650"/>
      <c r="N910" s="650"/>
      <c r="O910" s="650"/>
      <c r="P910" s="650"/>
      <c r="Q910" s="650"/>
      <c r="R910" s="650"/>
      <c r="S910" s="650"/>
      <c r="T910" s="650"/>
      <c r="U910" s="650"/>
      <c r="V910" s="650"/>
      <c r="W910" s="650"/>
      <c r="X910" s="650"/>
      <c r="Y910" s="650"/>
      <c r="Z910" s="650"/>
      <c r="AA910" s="650"/>
      <c r="AB910" s="650"/>
      <c r="AC910" s="650"/>
      <c r="AD910" s="650"/>
      <c r="AE910" s="650"/>
      <c r="AF910" s="650"/>
      <c r="AG910" s="650"/>
      <c r="AH910" s="650"/>
      <c r="AI910" s="650"/>
      <c r="AJ910" s="650"/>
      <c r="AK910" s="650"/>
      <c r="AL910" s="650"/>
      <c r="AM910" s="650"/>
      <c r="AN910" s="650"/>
      <c r="AO910" s="650"/>
      <c r="AP910" s="650"/>
      <c r="AQ910" s="650"/>
      <c r="AR910" s="650"/>
      <c r="AS910" s="650"/>
      <c r="AT910" s="650"/>
      <c r="AU910" s="650"/>
      <c r="AV910" s="650"/>
      <c r="AW910" s="650"/>
      <c r="AX910" s="650"/>
      <c r="AY910" s="650"/>
    </row>
    <row r="911" ht="21.75" customHeight="1">
      <c r="A911" s="650"/>
      <c r="B911" s="650"/>
      <c r="C911" s="650"/>
      <c r="D911" s="650"/>
      <c r="E911" s="650"/>
      <c r="F911" s="650"/>
      <c r="G911" s="650"/>
      <c r="H911" s="650"/>
      <c r="I911" s="650"/>
      <c r="J911" s="650"/>
      <c r="K911" s="650"/>
      <c r="L911" s="650"/>
      <c r="M911" s="650"/>
      <c r="N911" s="650"/>
      <c r="O911" s="650"/>
      <c r="P911" s="650"/>
      <c r="Q911" s="650"/>
      <c r="R911" s="650"/>
      <c r="S911" s="650"/>
      <c r="T911" s="650"/>
      <c r="U911" s="650"/>
      <c r="V911" s="650"/>
      <c r="W911" s="650"/>
      <c r="X911" s="650"/>
      <c r="Y911" s="650"/>
      <c r="Z911" s="650"/>
      <c r="AA911" s="650"/>
      <c r="AB911" s="650"/>
      <c r="AC911" s="650"/>
      <c r="AD911" s="650"/>
      <c r="AE911" s="650"/>
      <c r="AF911" s="650"/>
      <c r="AG911" s="650"/>
      <c r="AH911" s="650"/>
      <c r="AI911" s="650"/>
      <c r="AJ911" s="650"/>
      <c r="AK911" s="650"/>
      <c r="AL911" s="650"/>
      <c r="AM911" s="650"/>
      <c r="AN911" s="650"/>
      <c r="AO911" s="650"/>
      <c r="AP911" s="650"/>
      <c r="AQ911" s="650"/>
      <c r="AR911" s="650"/>
      <c r="AS911" s="650"/>
      <c r="AT911" s="650"/>
      <c r="AU911" s="650"/>
      <c r="AV911" s="650"/>
      <c r="AW911" s="650"/>
      <c r="AX911" s="650"/>
      <c r="AY911" s="650"/>
    </row>
    <row r="912" ht="21.75" customHeight="1">
      <c r="A912" s="650"/>
      <c r="B912" s="650"/>
      <c r="C912" s="650"/>
      <c r="D912" s="650"/>
      <c r="E912" s="650"/>
      <c r="F912" s="650"/>
      <c r="G912" s="650"/>
      <c r="H912" s="650"/>
      <c r="I912" s="650"/>
      <c r="J912" s="650"/>
      <c r="K912" s="650"/>
      <c r="L912" s="650"/>
      <c r="M912" s="650"/>
      <c r="N912" s="650"/>
      <c r="O912" s="650"/>
      <c r="P912" s="650"/>
      <c r="Q912" s="650"/>
      <c r="R912" s="650"/>
      <c r="S912" s="650"/>
      <c r="T912" s="650"/>
      <c r="U912" s="650"/>
      <c r="V912" s="650"/>
      <c r="W912" s="650"/>
      <c r="X912" s="650"/>
      <c r="Y912" s="650"/>
      <c r="Z912" s="650"/>
      <c r="AA912" s="650"/>
      <c r="AB912" s="650"/>
      <c r="AC912" s="650"/>
      <c r="AD912" s="650"/>
      <c r="AE912" s="650"/>
      <c r="AF912" s="650"/>
      <c r="AG912" s="650"/>
      <c r="AH912" s="650"/>
      <c r="AI912" s="650"/>
      <c r="AJ912" s="650"/>
      <c r="AK912" s="650"/>
      <c r="AL912" s="650"/>
      <c r="AM912" s="650"/>
      <c r="AN912" s="650"/>
      <c r="AO912" s="650"/>
      <c r="AP912" s="650"/>
      <c r="AQ912" s="650"/>
      <c r="AR912" s="650"/>
      <c r="AS912" s="650"/>
      <c r="AT912" s="650"/>
      <c r="AU912" s="650"/>
      <c r="AV912" s="650"/>
      <c r="AW912" s="650"/>
      <c r="AX912" s="650"/>
      <c r="AY912" s="650"/>
    </row>
    <row r="913" ht="21.75" customHeight="1">
      <c r="A913" s="650"/>
      <c r="B913" s="650"/>
      <c r="C913" s="650"/>
      <c r="D913" s="650"/>
      <c r="E913" s="650"/>
      <c r="F913" s="650"/>
      <c r="G913" s="650"/>
      <c r="H913" s="650"/>
      <c r="I913" s="650"/>
      <c r="J913" s="650"/>
      <c r="K913" s="650"/>
      <c r="L913" s="650"/>
      <c r="M913" s="650"/>
      <c r="N913" s="650"/>
      <c r="O913" s="650"/>
      <c r="P913" s="650"/>
      <c r="Q913" s="650"/>
      <c r="R913" s="650"/>
      <c r="S913" s="650"/>
      <c r="T913" s="650"/>
      <c r="U913" s="650"/>
      <c r="V913" s="650"/>
      <c r="W913" s="650"/>
      <c r="X913" s="650"/>
      <c r="Y913" s="650"/>
      <c r="Z913" s="650"/>
      <c r="AA913" s="650"/>
      <c r="AB913" s="650"/>
      <c r="AC913" s="650"/>
      <c r="AD913" s="650"/>
      <c r="AE913" s="650"/>
      <c r="AF913" s="650"/>
      <c r="AG913" s="650"/>
      <c r="AH913" s="650"/>
      <c r="AI913" s="650"/>
      <c r="AJ913" s="650"/>
      <c r="AK913" s="650"/>
      <c r="AL913" s="650"/>
      <c r="AM913" s="650"/>
      <c r="AN913" s="650"/>
      <c r="AO913" s="650"/>
      <c r="AP913" s="650"/>
      <c r="AQ913" s="650"/>
      <c r="AR913" s="650"/>
      <c r="AS913" s="650"/>
      <c r="AT913" s="650"/>
      <c r="AU913" s="650"/>
      <c r="AV913" s="650"/>
      <c r="AW913" s="650"/>
      <c r="AX913" s="650"/>
      <c r="AY913" s="650"/>
    </row>
    <row r="914" ht="21.75" customHeight="1">
      <c r="A914" s="650"/>
      <c r="B914" s="650"/>
      <c r="C914" s="650"/>
      <c r="D914" s="650"/>
      <c r="E914" s="650"/>
      <c r="F914" s="650"/>
      <c r="G914" s="650"/>
      <c r="H914" s="650"/>
      <c r="I914" s="650"/>
      <c r="J914" s="650"/>
      <c r="K914" s="650"/>
      <c r="L914" s="650"/>
      <c r="M914" s="650"/>
      <c r="N914" s="650"/>
      <c r="O914" s="650"/>
      <c r="P914" s="650"/>
      <c r="Q914" s="650"/>
      <c r="R914" s="650"/>
      <c r="S914" s="650"/>
      <c r="T914" s="650"/>
      <c r="U914" s="650"/>
      <c r="V914" s="650"/>
      <c r="W914" s="650"/>
      <c r="X914" s="650"/>
      <c r="Y914" s="650"/>
      <c r="Z914" s="650"/>
      <c r="AA914" s="650"/>
      <c r="AB914" s="650"/>
      <c r="AC914" s="650"/>
      <c r="AD914" s="650"/>
      <c r="AE914" s="650"/>
      <c r="AF914" s="650"/>
      <c r="AG914" s="650"/>
      <c r="AH914" s="650"/>
      <c r="AI914" s="650"/>
      <c r="AJ914" s="650"/>
      <c r="AK914" s="650"/>
      <c r="AL914" s="650"/>
      <c r="AM914" s="650"/>
      <c r="AN914" s="650"/>
      <c r="AO914" s="650"/>
      <c r="AP914" s="650"/>
      <c r="AQ914" s="650"/>
      <c r="AR914" s="650"/>
      <c r="AS914" s="650"/>
      <c r="AT914" s="650"/>
      <c r="AU914" s="650"/>
      <c r="AV914" s="650"/>
      <c r="AW914" s="650"/>
      <c r="AX914" s="650"/>
      <c r="AY914" s="650"/>
    </row>
    <row r="915" ht="21.75" customHeight="1">
      <c r="A915" s="650"/>
      <c r="B915" s="650"/>
      <c r="C915" s="650"/>
      <c r="D915" s="650"/>
      <c r="E915" s="650"/>
      <c r="F915" s="650"/>
      <c r="G915" s="650"/>
      <c r="H915" s="650"/>
      <c r="I915" s="650"/>
      <c r="J915" s="650"/>
      <c r="K915" s="650"/>
      <c r="L915" s="650"/>
      <c r="M915" s="650"/>
      <c r="N915" s="650"/>
      <c r="O915" s="650"/>
      <c r="P915" s="650"/>
      <c r="Q915" s="650"/>
      <c r="R915" s="650"/>
      <c r="S915" s="650"/>
      <c r="T915" s="650"/>
      <c r="U915" s="650"/>
      <c r="V915" s="650"/>
      <c r="W915" s="650"/>
      <c r="X915" s="650"/>
      <c r="Y915" s="650"/>
      <c r="Z915" s="650"/>
      <c r="AA915" s="650"/>
      <c r="AB915" s="650"/>
      <c r="AC915" s="650"/>
      <c r="AD915" s="650"/>
      <c r="AE915" s="650"/>
      <c r="AF915" s="650"/>
      <c r="AG915" s="650"/>
      <c r="AH915" s="650"/>
      <c r="AI915" s="650"/>
      <c r="AJ915" s="650"/>
      <c r="AK915" s="650"/>
      <c r="AL915" s="650"/>
      <c r="AM915" s="650"/>
      <c r="AN915" s="650"/>
      <c r="AO915" s="650"/>
      <c r="AP915" s="650"/>
      <c r="AQ915" s="650"/>
      <c r="AR915" s="650"/>
      <c r="AS915" s="650"/>
      <c r="AT915" s="650"/>
      <c r="AU915" s="650"/>
      <c r="AV915" s="650"/>
      <c r="AW915" s="650"/>
      <c r="AX915" s="650"/>
      <c r="AY915" s="650"/>
    </row>
    <row r="916" ht="21.75" customHeight="1">
      <c r="A916" s="650"/>
      <c r="B916" s="650"/>
      <c r="C916" s="650"/>
      <c r="D916" s="650"/>
      <c r="E916" s="650"/>
      <c r="F916" s="650"/>
      <c r="G916" s="650"/>
      <c r="H916" s="650"/>
      <c r="I916" s="650"/>
      <c r="J916" s="650"/>
      <c r="K916" s="650"/>
      <c r="L916" s="650"/>
      <c r="M916" s="650"/>
      <c r="N916" s="650"/>
      <c r="O916" s="650"/>
      <c r="P916" s="650"/>
      <c r="Q916" s="650"/>
      <c r="R916" s="650"/>
      <c r="S916" s="650"/>
      <c r="T916" s="650"/>
      <c r="U916" s="650"/>
      <c r="V916" s="650"/>
      <c r="W916" s="650"/>
      <c r="X916" s="650"/>
      <c r="Y916" s="650"/>
      <c r="Z916" s="650"/>
      <c r="AA916" s="650"/>
      <c r="AB916" s="650"/>
      <c r="AC916" s="650"/>
      <c r="AD916" s="650"/>
      <c r="AE916" s="650"/>
      <c r="AF916" s="650"/>
      <c r="AG916" s="650"/>
      <c r="AH916" s="650"/>
      <c r="AI916" s="650"/>
      <c r="AJ916" s="650"/>
      <c r="AK916" s="650"/>
      <c r="AL916" s="650"/>
      <c r="AM916" s="650"/>
      <c r="AN916" s="650"/>
      <c r="AO916" s="650"/>
      <c r="AP916" s="650"/>
      <c r="AQ916" s="650"/>
      <c r="AR916" s="650"/>
      <c r="AS916" s="650"/>
      <c r="AT916" s="650"/>
      <c r="AU916" s="650"/>
      <c r="AV916" s="650"/>
      <c r="AW916" s="650"/>
      <c r="AX916" s="650"/>
      <c r="AY916" s="650"/>
    </row>
    <row r="917" ht="21.75" customHeight="1">
      <c r="A917" s="650"/>
      <c r="B917" s="650"/>
      <c r="C917" s="650"/>
      <c r="D917" s="650"/>
      <c r="E917" s="650"/>
      <c r="F917" s="650"/>
      <c r="G917" s="650"/>
      <c r="H917" s="650"/>
      <c r="I917" s="650"/>
      <c r="J917" s="650"/>
      <c r="K917" s="650"/>
      <c r="L917" s="650"/>
      <c r="M917" s="650"/>
      <c r="N917" s="650"/>
      <c r="O917" s="650"/>
      <c r="P917" s="650"/>
      <c r="Q917" s="650"/>
      <c r="R917" s="650"/>
      <c r="S917" s="650"/>
      <c r="T917" s="650"/>
      <c r="U917" s="650"/>
      <c r="V917" s="650"/>
      <c r="W917" s="650"/>
      <c r="X917" s="650"/>
      <c r="Y917" s="650"/>
      <c r="Z917" s="650"/>
      <c r="AA917" s="650"/>
      <c r="AB917" s="650"/>
      <c r="AC917" s="650"/>
      <c r="AD917" s="650"/>
      <c r="AE917" s="650"/>
      <c r="AF917" s="650"/>
      <c r="AG917" s="650"/>
      <c r="AH917" s="650"/>
      <c r="AI917" s="650"/>
      <c r="AJ917" s="650"/>
      <c r="AK917" s="650"/>
      <c r="AL917" s="650"/>
      <c r="AM917" s="650"/>
      <c r="AN917" s="650"/>
      <c r="AO917" s="650"/>
      <c r="AP917" s="650"/>
      <c r="AQ917" s="650"/>
      <c r="AR917" s="650"/>
      <c r="AS917" s="650"/>
      <c r="AT917" s="650"/>
      <c r="AU917" s="650"/>
      <c r="AV917" s="650"/>
      <c r="AW917" s="650"/>
      <c r="AX917" s="650"/>
      <c r="AY917" s="650"/>
    </row>
    <row r="918" ht="21.75" customHeight="1">
      <c r="A918" s="650"/>
      <c r="B918" s="650"/>
      <c r="C918" s="650"/>
      <c r="D918" s="650"/>
      <c r="E918" s="650"/>
      <c r="F918" s="650"/>
      <c r="G918" s="650"/>
      <c r="H918" s="650"/>
      <c r="I918" s="650"/>
      <c r="J918" s="650"/>
      <c r="K918" s="650"/>
      <c r="L918" s="650"/>
      <c r="M918" s="650"/>
      <c r="N918" s="650"/>
      <c r="O918" s="650"/>
      <c r="P918" s="650"/>
      <c r="Q918" s="650"/>
      <c r="R918" s="650"/>
      <c r="S918" s="650"/>
      <c r="T918" s="650"/>
      <c r="U918" s="650"/>
      <c r="V918" s="650"/>
      <c r="W918" s="650"/>
      <c r="X918" s="650"/>
      <c r="Y918" s="650"/>
      <c r="Z918" s="650"/>
      <c r="AA918" s="650"/>
      <c r="AB918" s="650"/>
      <c r="AC918" s="650"/>
      <c r="AD918" s="650"/>
      <c r="AE918" s="650"/>
      <c r="AF918" s="650"/>
      <c r="AG918" s="650"/>
      <c r="AH918" s="650"/>
      <c r="AI918" s="650"/>
      <c r="AJ918" s="650"/>
      <c r="AK918" s="650"/>
      <c r="AL918" s="650"/>
      <c r="AM918" s="650"/>
      <c r="AN918" s="650"/>
      <c r="AO918" s="650"/>
      <c r="AP918" s="650"/>
      <c r="AQ918" s="650"/>
      <c r="AR918" s="650"/>
      <c r="AS918" s="650"/>
      <c r="AT918" s="650"/>
      <c r="AU918" s="650"/>
      <c r="AV918" s="650"/>
      <c r="AW918" s="650"/>
      <c r="AX918" s="650"/>
      <c r="AY918" s="650"/>
    </row>
    <row r="919" ht="21.75" customHeight="1">
      <c r="A919" s="650"/>
      <c r="B919" s="650"/>
      <c r="C919" s="650"/>
      <c r="D919" s="650"/>
      <c r="E919" s="650"/>
      <c r="F919" s="650"/>
      <c r="G919" s="650"/>
      <c r="H919" s="650"/>
      <c r="I919" s="650"/>
      <c r="J919" s="650"/>
      <c r="K919" s="650"/>
      <c r="L919" s="650"/>
      <c r="M919" s="650"/>
      <c r="N919" s="650"/>
      <c r="O919" s="650"/>
      <c r="P919" s="650"/>
      <c r="Q919" s="650"/>
      <c r="R919" s="650"/>
      <c r="S919" s="650"/>
      <c r="T919" s="650"/>
      <c r="U919" s="650"/>
      <c r="V919" s="650"/>
      <c r="W919" s="650"/>
      <c r="X919" s="650"/>
      <c r="Y919" s="650"/>
      <c r="Z919" s="650"/>
      <c r="AA919" s="650"/>
      <c r="AB919" s="650"/>
      <c r="AC919" s="650"/>
      <c r="AD919" s="650"/>
      <c r="AE919" s="650"/>
      <c r="AF919" s="650"/>
      <c r="AG919" s="650"/>
      <c r="AH919" s="650"/>
      <c r="AI919" s="650"/>
      <c r="AJ919" s="650"/>
      <c r="AK919" s="650"/>
      <c r="AL919" s="650"/>
      <c r="AM919" s="650"/>
      <c r="AN919" s="650"/>
      <c r="AO919" s="650"/>
      <c r="AP919" s="650"/>
      <c r="AQ919" s="650"/>
      <c r="AR919" s="650"/>
      <c r="AS919" s="650"/>
      <c r="AT919" s="650"/>
      <c r="AU919" s="650"/>
      <c r="AV919" s="650"/>
      <c r="AW919" s="650"/>
      <c r="AX919" s="650"/>
      <c r="AY919" s="650"/>
    </row>
    <row r="920" ht="21.75" customHeight="1">
      <c r="A920" s="650"/>
      <c r="B920" s="650"/>
      <c r="C920" s="650"/>
      <c r="D920" s="650"/>
      <c r="E920" s="650"/>
      <c r="F920" s="650"/>
      <c r="G920" s="650"/>
      <c r="H920" s="650"/>
      <c r="I920" s="650"/>
      <c r="J920" s="650"/>
      <c r="K920" s="650"/>
      <c r="L920" s="650"/>
      <c r="M920" s="650"/>
      <c r="N920" s="650"/>
      <c r="O920" s="650"/>
      <c r="P920" s="650"/>
      <c r="Q920" s="650"/>
      <c r="R920" s="650"/>
      <c r="S920" s="650"/>
      <c r="T920" s="650"/>
      <c r="U920" s="650"/>
      <c r="V920" s="650"/>
      <c r="W920" s="650"/>
      <c r="X920" s="650"/>
      <c r="Y920" s="650"/>
      <c r="Z920" s="650"/>
      <c r="AA920" s="650"/>
      <c r="AB920" s="650"/>
      <c r="AC920" s="650"/>
      <c r="AD920" s="650"/>
      <c r="AE920" s="650"/>
      <c r="AF920" s="650"/>
      <c r="AG920" s="650"/>
      <c r="AH920" s="650"/>
      <c r="AI920" s="650"/>
      <c r="AJ920" s="650"/>
      <c r="AK920" s="650"/>
      <c r="AL920" s="650"/>
      <c r="AM920" s="650"/>
      <c r="AN920" s="650"/>
      <c r="AO920" s="650"/>
      <c r="AP920" s="650"/>
      <c r="AQ920" s="650"/>
      <c r="AR920" s="650"/>
      <c r="AS920" s="650"/>
      <c r="AT920" s="650"/>
      <c r="AU920" s="650"/>
      <c r="AV920" s="650"/>
      <c r="AW920" s="650"/>
      <c r="AX920" s="650"/>
      <c r="AY920" s="650"/>
    </row>
    <row r="921" ht="21.75" customHeight="1">
      <c r="A921" s="650"/>
      <c r="B921" s="650"/>
      <c r="C921" s="650"/>
      <c r="D921" s="650"/>
      <c r="E921" s="650"/>
      <c r="F921" s="650"/>
      <c r="G921" s="650"/>
      <c r="H921" s="650"/>
      <c r="I921" s="650"/>
      <c r="J921" s="650"/>
      <c r="K921" s="650"/>
      <c r="L921" s="650"/>
      <c r="M921" s="650"/>
      <c r="N921" s="650"/>
      <c r="O921" s="650"/>
      <c r="P921" s="650"/>
      <c r="Q921" s="650"/>
      <c r="R921" s="650"/>
      <c r="S921" s="650"/>
      <c r="T921" s="650"/>
      <c r="U921" s="650"/>
      <c r="V921" s="650"/>
      <c r="W921" s="650"/>
      <c r="X921" s="650"/>
      <c r="Y921" s="650"/>
      <c r="Z921" s="650"/>
      <c r="AA921" s="650"/>
      <c r="AB921" s="650"/>
      <c r="AC921" s="650"/>
      <c r="AD921" s="650"/>
      <c r="AE921" s="650"/>
      <c r="AF921" s="650"/>
      <c r="AG921" s="650"/>
      <c r="AH921" s="650"/>
      <c r="AI921" s="650"/>
      <c r="AJ921" s="650"/>
      <c r="AK921" s="650"/>
      <c r="AL921" s="650"/>
      <c r="AM921" s="650"/>
      <c r="AN921" s="650"/>
      <c r="AO921" s="650"/>
      <c r="AP921" s="650"/>
      <c r="AQ921" s="650"/>
      <c r="AR921" s="650"/>
      <c r="AS921" s="650"/>
      <c r="AT921" s="650"/>
      <c r="AU921" s="650"/>
      <c r="AV921" s="650"/>
      <c r="AW921" s="650"/>
      <c r="AX921" s="650"/>
      <c r="AY921" s="650"/>
    </row>
    <row r="922" ht="21.75" customHeight="1">
      <c r="A922" s="650"/>
      <c r="B922" s="650"/>
      <c r="C922" s="650"/>
      <c r="D922" s="650"/>
      <c r="E922" s="650"/>
      <c r="F922" s="650"/>
      <c r="G922" s="650"/>
      <c r="H922" s="650"/>
      <c r="I922" s="650"/>
      <c r="J922" s="650"/>
      <c r="K922" s="650"/>
      <c r="L922" s="650"/>
      <c r="M922" s="650"/>
      <c r="N922" s="650"/>
      <c r="O922" s="650"/>
      <c r="P922" s="650"/>
      <c r="Q922" s="650"/>
      <c r="R922" s="650"/>
      <c r="S922" s="650"/>
      <c r="T922" s="650"/>
      <c r="U922" s="650"/>
      <c r="V922" s="650"/>
      <c r="W922" s="650"/>
      <c r="X922" s="650"/>
      <c r="Y922" s="650"/>
      <c r="Z922" s="650"/>
      <c r="AA922" s="650"/>
      <c r="AB922" s="650"/>
      <c r="AC922" s="650"/>
      <c r="AD922" s="650"/>
      <c r="AE922" s="650"/>
      <c r="AF922" s="650"/>
      <c r="AG922" s="650"/>
      <c r="AH922" s="650"/>
      <c r="AI922" s="650"/>
      <c r="AJ922" s="650"/>
      <c r="AK922" s="650"/>
      <c r="AL922" s="650"/>
      <c r="AM922" s="650"/>
      <c r="AN922" s="650"/>
      <c r="AO922" s="650"/>
      <c r="AP922" s="650"/>
      <c r="AQ922" s="650"/>
      <c r="AR922" s="650"/>
      <c r="AS922" s="650"/>
      <c r="AT922" s="650"/>
      <c r="AU922" s="650"/>
      <c r="AV922" s="650"/>
      <c r="AW922" s="650"/>
      <c r="AX922" s="650"/>
      <c r="AY922" s="650"/>
    </row>
    <row r="923" ht="21.75" customHeight="1">
      <c r="A923" s="650"/>
      <c r="B923" s="650"/>
      <c r="C923" s="650"/>
      <c r="D923" s="650"/>
      <c r="E923" s="650"/>
      <c r="F923" s="650"/>
      <c r="G923" s="650"/>
      <c r="H923" s="650"/>
      <c r="I923" s="650"/>
      <c r="J923" s="650"/>
      <c r="K923" s="650"/>
      <c r="L923" s="650"/>
      <c r="M923" s="650"/>
      <c r="N923" s="650"/>
      <c r="O923" s="650"/>
      <c r="P923" s="650"/>
      <c r="Q923" s="650"/>
      <c r="R923" s="650"/>
      <c r="S923" s="650"/>
      <c r="T923" s="650"/>
      <c r="U923" s="650"/>
      <c r="V923" s="650"/>
      <c r="W923" s="650"/>
      <c r="X923" s="650"/>
      <c r="Y923" s="650"/>
      <c r="Z923" s="650"/>
      <c r="AA923" s="650"/>
      <c r="AB923" s="650"/>
      <c r="AC923" s="650"/>
      <c r="AD923" s="650"/>
      <c r="AE923" s="650"/>
      <c r="AF923" s="650"/>
      <c r="AG923" s="650"/>
      <c r="AH923" s="650"/>
      <c r="AI923" s="650"/>
      <c r="AJ923" s="650"/>
      <c r="AK923" s="650"/>
      <c r="AL923" s="650"/>
      <c r="AM923" s="650"/>
      <c r="AN923" s="650"/>
      <c r="AO923" s="650"/>
      <c r="AP923" s="650"/>
      <c r="AQ923" s="650"/>
      <c r="AR923" s="650"/>
      <c r="AS923" s="650"/>
      <c r="AT923" s="650"/>
      <c r="AU923" s="650"/>
      <c r="AV923" s="650"/>
      <c r="AW923" s="650"/>
      <c r="AX923" s="650"/>
      <c r="AY923" s="650"/>
    </row>
    <row r="924" ht="21.75" customHeight="1">
      <c r="A924" s="650"/>
      <c r="B924" s="650"/>
      <c r="C924" s="650"/>
      <c r="D924" s="650"/>
      <c r="E924" s="650"/>
      <c r="F924" s="650"/>
      <c r="G924" s="650"/>
      <c r="H924" s="650"/>
      <c r="I924" s="650"/>
      <c r="J924" s="650"/>
      <c r="K924" s="650"/>
      <c r="L924" s="650"/>
      <c r="M924" s="650"/>
      <c r="N924" s="650"/>
      <c r="O924" s="650"/>
      <c r="P924" s="650"/>
      <c r="Q924" s="650"/>
      <c r="R924" s="650"/>
      <c r="S924" s="650"/>
      <c r="T924" s="650"/>
      <c r="U924" s="650"/>
      <c r="V924" s="650"/>
      <c r="W924" s="650"/>
      <c r="X924" s="650"/>
      <c r="Y924" s="650"/>
      <c r="Z924" s="650"/>
      <c r="AA924" s="650"/>
      <c r="AB924" s="650"/>
      <c r="AC924" s="650"/>
      <c r="AD924" s="650"/>
      <c r="AE924" s="650"/>
      <c r="AF924" s="650"/>
      <c r="AG924" s="650"/>
      <c r="AH924" s="650"/>
      <c r="AI924" s="650"/>
      <c r="AJ924" s="650"/>
      <c r="AK924" s="650"/>
      <c r="AL924" s="650"/>
      <c r="AM924" s="650"/>
      <c r="AN924" s="650"/>
      <c r="AO924" s="650"/>
      <c r="AP924" s="650"/>
      <c r="AQ924" s="650"/>
      <c r="AR924" s="650"/>
      <c r="AS924" s="650"/>
      <c r="AT924" s="650"/>
      <c r="AU924" s="650"/>
      <c r="AV924" s="650"/>
      <c r="AW924" s="650"/>
      <c r="AX924" s="650"/>
      <c r="AY924" s="650"/>
    </row>
    <row r="925" ht="21.75" customHeight="1">
      <c r="A925" s="650"/>
      <c r="B925" s="650"/>
      <c r="C925" s="650"/>
      <c r="D925" s="650"/>
      <c r="E925" s="650"/>
      <c r="F925" s="650"/>
      <c r="G925" s="650"/>
      <c r="H925" s="650"/>
      <c r="I925" s="650"/>
      <c r="J925" s="650"/>
      <c r="K925" s="650"/>
      <c r="L925" s="650"/>
      <c r="M925" s="650"/>
      <c r="N925" s="650"/>
      <c r="O925" s="650"/>
      <c r="P925" s="650"/>
      <c r="Q925" s="650"/>
      <c r="R925" s="650"/>
      <c r="S925" s="650"/>
      <c r="T925" s="650"/>
      <c r="U925" s="650"/>
      <c r="V925" s="650"/>
      <c r="W925" s="650"/>
      <c r="X925" s="650"/>
      <c r="Y925" s="650"/>
      <c r="Z925" s="650"/>
      <c r="AA925" s="650"/>
      <c r="AB925" s="650"/>
      <c r="AC925" s="650"/>
      <c r="AD925" s="650"/>
      <c r="AE925" s="650"/>
      <c r="AF925" s="650"/>
      <c r="AG925" s="650"/>
      <c r="AH925" s="650"/>
      <c r="AI925" s="650"/>
      <c r="AJ925" s="650"/>
      <c r="AK925" s="650"/>
      <c r="AL925" s="650"/>
      <c r="AM925" s="650"/>
      <c r="AN925" s="650"/>
      <c r="AO925" s="650"/>
      <c r="AP925" s="650"/>
      <c r="AQ925" s="650"/>
      <c r="AR925" s="650"/>
      <c r="AS925" s="650"/>
      <c r="AT925" s="650"/>
      <c r="AU925" s="650"/>
      <c r="AV925" s="650"/>
      <c r="AW925" s="650"/>
      <c r="AX925" s="650"/>
      <c r="AY925" s="650"/>
    </row>
    <row r="926" ht="21.75" customHeight="1">
      <c r="A926" s="650"/>
      <c r="B926" s="650"/>
      <c r="C926" s="650"/>
      <c r="D926" s="650"/>
      <c r="E926" s="650"/>
      <c r="F926" s="650"/>
      <c r="G926" s="650"/>
      <c r="H926" s="650"/>
      <c r="I926" s="650"/>
      <c r="J926" s="650"/>
      <c r="K926" s="650"/>
      <c r="L926" s="650"/>
      <c r="M926" s="650"/>
      <c r="N926" s="650"/>
      <c r="O926" s="650"/>
      <c r="P926" s="650"/>
      <c r="Q926" s="650"/>
      <c r="R926" s="650"/>
      <c r="S926" s="650"/>
      <c r="T926" s="650"/>
      <c r="U926" s="650"/>
      <c r="V926" s="650"/>
      <c r="W926" s="650"/>
      <c r="X926" s="650"/>
      <c r="Y926" s="650"/>
      <c r="Z926" s="650"/>
      <c r="AA926" s="650"/>
      <c r="AB926" s="650"/>
      <c r="AC926" s="650"/>
      <c r="AD926" s="650"/>
      <c r="AE926" s="650"/>
      <c r="AF926" s="650"/>
      <c r="AG926" s="650"/>
      <c r="AH926" s="650"/>
      <c r="AI926" s="650"/>
      <c r="AJ926" s="650"/>
      <c r="AK926" s="650"/>
      <c r="AL926" s="650"/>
      <c r="AM926" s="650"/>
      <c r="AN926" s="650"/>
      <c r="AO926" s="650"/>
      <c r="AP926" s="650"/>
      <c r="AQ926" s="650"/>
      <c r="AR926" s="650"/>
      <c r="AS926" s="650"/>
      <c r="AT926" s="650"/>
      <c r="AU926" s="650"/>
      <c r="AV926" s="650"/>
      <c r="AW926" s="650"/>
      <c r="AX926" s="650"/>
      <c r="AY926" s="650"/>
    </row>
    <row r="927" ht="21.75" customHeight="1">
      <c r="A927" s="650"/>
      <c r="B927" s="650"/>
      <c r="C927" s="650"/>
      <c r="D927" s="650"/>
      <c r="E927" s="650"/>
      <c r="F927" s="650"/>
      <c r="G927" s="650"/>
      <c r="H927" s="650"/>
      <c r="I927" s="650"/>
      <c r="J927" s="650"/>
      <c r="K927" s="650"/>
      <c r="L927" s="650"/>
      <c r="M927" s="650"/>
      <c r="N927" s="650"/>
      <c r="O927" s="650"/>
      <c r="P927" s="650"/>
      <c r="Q927" s="650"/>
      <c r="R927" s="650"/>
      <c r="S927" s="650"/>
      <c r="T927" s="650"/>
      <c r="U927" s="650"/>
      <c r="V927" s="650"/>
      <c r="W927" s="650"/>
      <c r="X927" s="650"/>
      <c r="Y927" s="650"/>
      <c r="Z927" s="650"/>
      <c r="AA927" s="650"/>
      <c r="AB927" s="650"/>
      <c r="AC927" s="650"/>
      <c r="AD927" s="650"/>
      <c r="AE927" s="650"/>
      <c r="AF927" s="650"/>
      <c r="AG927" s="650"/>
      <c r="AH927" s="650"/>
      <c r="AI927" s="650"/>
      <c r="AJ927" s="650"/>
      <c r="AK927" s="650"/>
      <c r="AL927" s="650"/>
      <c r="AM927" s="650"/>
      <c r="AN927" s="650"/>
      <c r="AO927" s="650"/>
      <c r="AP927" s="650"/>
      <c r="AQ927" s="650"/>
      <c r="AR927" s="650"/>
      <c r="AS927" s="650"/>
      <c r="AT927" s="650"/>
      <c r="AU927" s="650"/>
      <c r="AV927" s="650"/>
      <c r="AW927" s="650"/>
      <c r="AX927" s="650"/>
      <c r="AY927" s="650"/>
    </row>
    <row r="928" ht="21.75" customHeight="1">
      <c r="A928" s="650"/>
      <c r="B928" s="650"/>
      <c r="C928" s="650"/>
      <c r="D928" s="650"/>
      <c r="E928" s="650"/>
      <c r="F928" s="650"/>
      <c r="G928" s="650"/>
      <c r="H928" s="650"/>
      <c r="I928" s="650"/>
      <c r="J928" s="650"/>
      <c r="K928" s="650"/>
      <c r="L928" s="650"/>
      <c r="M928" s="650"/>
      <c r="N928" s="650"/>
      <c r="O928" s="650"/>
      <c r="P928" s="650"/>
      <c r="Q928" s="650"/>
      <c r="R928" s="650"/>
      <c r="S928" s="650"/>
      <c r="T928" s="650"/>
      <c r="U928" s="650"/>
      <c r="V928" s="650"/>
      <c r="W928" s="650"/>
      <c r="X928" s="650"/>
      <c r="Y928" s="650"/>
      <c r="Z928" s="650"/>
      <c r="AA928" s="650"/>
      <c r="AB928" s="650"/>
      <c r="AC928" s="650"/>
      <c r="AD928" s="650"/>
      <c r="AE928" s="650"/>
      <c r="AF928" s="650"/>
      <c r="AG928" s="650"/>
      <c r="AH928" s="650"/>
      <c r="AI928" s="650"/>
      <c r="AJ928" s="650"/>
      <c r="AK928" s="650"/>
      <c r="AL928" s="650"/>
      <c r="AM928" s="650"/>
      <c r="AN928" s="650"/>
      <c r="AO928" s="650"/>
      <c r="AP928" s="650"/>
      <c r="AQ928" s="650"/>
      <c r="AR928" s="650"/>
      <c r="AS928" s="650"/>
      <c r="AT928" s="650"/>
      <c r="AU928" s="650"/>
      <c r="AV928" s="650"/>
      <c r="AW928" s="650"/>
      <c r="AX928" s="650"/>
      <c r="AY928" s="650"/>
    </row>
    <row r="929" ht="21.75" customHeight="1">
      <c r="A929" s="650"/>
      <c r="B929" s="650"/>
      <c r="C929" s="650"/>
      <c r="D929" s="650"/>
      <c r="E929" s="650"/>
      <c r="F929" s="650"/>
      <c r="G929" s="650"/>
      <c r="H929" s="650"/>
      <c r="I929" s="650"/>
      <c r="J929" s="650"/>
      <c r="K929" s="650"/>
      <c r="L929" s="650"/>
      <c r="M929" s="650"/>
      <c r="N929" s="650"/>
      <c r="O929" s="650"/>
      <c r="P929" s="650"/>
      <c r="Q929" s="650"/>
      <c r="R929" s="650"/>
      <c r="S929" s="650"/>
      <c r="T929" s="650"/>
      <c r="U929" s="650"/>
      <c r="V929" s="650"/>
      <c r="W929" s="650"/>
      <c r="X929" s="650"/>
      <c r="Y929" s="650"/>
      <c r="Z929" s="650"/>
      <c r="AA929" s="650"/>
      <c r="AB929" s="650"/>
      <c r="AC929" s="650"/>
      <c r="AD929" s="650"/>
      <c r="AE929" s="650"/>
      <c r="AF929" s="650"/>
      <c r="AG929" s="650"/>
      <c r="AH929" s="650"/>
      <c r="AI929" s="650"/>
      <c r="AJ929" s="650"/>
      <c r="AK929" s="650"/>
      <c r="AL929" s="650"/>
      <c r="AM929" s="650"/>
      <c r="AN929" s="650"/>
      <c r="AO929" s="650"/>
      <c r="AP929" s="650"/>
      <c r="AQ929" s="650"/>
      <c r="AR929" s="650"/>
      <c r="AS929" s="650"/>
      <c r="AT929" s="650"/>
      <c r="AU929" s="650"/>
      <c r="AV929" s="650"/>
      <c r="AW929" s="650"/>
      <c r="AX929" s="650"/>
      <c r="AY929" s="650"/>
    </row>
    <row r="930" ht="21.75" customHeight="1">
      <c r="A930" s="650"/>
      <c r="B930" s="650"/>
      <c r="C930" s="650"/>
      <c r="D930" s="650"/>
      <c r="E930" s="650"/>
      <c r="F930" s="650"/>
      <c r="G930" s="650"/>
      <c r="H930" s="650"/>
      <c r="I930" s="650"/>
      <c r="J930" s="650"/>
      <c r="K930" s="650"/>
      <c r="L930" s="650"/>
      <c r="M930" s="650"/>
      <c r="N930" s="650"/>
      <c r="O930" s="650"/>
      <c r="P930" s="650"/>
      <c r="Q930" s="650"/>
      <c r="R930" s="650"/>
      <c r="S930" s="650"/>
      <c r="T930" s="650"/>
      <c r="U930" s="650"/>
      <c r="V930" s="650"/>
      <c r="W930" s="650"/>
      <c r="X930" s="650"/>
      <c r="Y930" s="650"/>
      <c r="Z930" s="650"/>
      <c r="AA930" s="650"/>
      <c r="AB930" s="650"/>
      <c r="AC930" s="650"/>
      <c r="AD930" s="650"/>
      <c r="AE930" s="650"/>
      <c r="AF930" s="650"/>
      <c r="AG930" s="650"/>
      <c r="AH930" s="650"/>
      <c r="AI930" s="650"/>
      <c r="AJ930" s="650"/>
      <c r="AK930" s="650"/>
      <c r="AL930" s="650"/>
      <c r="AM930" s="650"/>
      <c r="AN930" s="650"/>
      <c r="AO930" s="650"/>
      <c r="AP930" s="650"/>
      <c r="AQ930" s="650"/>
      <c r="AR930" s="650"/>
      <c r="AS930" s="650"/>
      <c r="AT930" s="650"/>
      <c r="AU930" s="650"/>
      <c r="AV930" s="650"/>
      <c r="AW930" s="650"/>
      <c r="AX930" s="650"/>
      <c r="AY930" s="650"/>
    </row>
    <row r="931" ht="21.75" customHeight="1">
      <c r="A931" s="650"/>
      <c r="B931" s="650"/>
      <c r="C931" s="650"/>
      <c r="D931" s="650"/>
      <c r="E931" s="650"/>
      <c r="F931" s="650"/>
      <c r="G931" s="650"/>
      <c r="H931" s="650"/>
      <c r="I931" s="650"/>
      <c r="J931" s="650"/>
      <c r="K931" s="650"/>
      <c r="L931" s="650"/>
      <c r="M931" s="650"/>
      <c r="N931" s="650"/>
      <c r="O931" s="650"/>
      <c r="P931" s="650"/>
      <c r="Q931" s="650"/>
      <c r="R931" s="650"/>
      <c r="S931" s="650"/>
      <c r="T931" s="650"/>
      <c r="U931" s="650"/>
      <c r="V931" s="650"/>
      <c r="W931" s="650"/>
      <c r="X931" s="650"/>
      <c r="Y931" s="650"/>
      <c r="Z931" s="650"/>
      <c r="AA931" s="650"/>
      <c r="AB931" s="650"/>
      <c r="AC931" s="650"/>
      <c r="AD931" s="650"/>
      <c r="AE931" s="650"/>
      <c r="AF931" s="650"/>
      <c r="AG931" s="650"/>
      <c r="AH931" s="650"/>
      <c r="AI931" s="650"/>
      <c r="AJ931" s="650"/>
      <c r="AK931" s="650"/>
      <c r="AL931" s="650"/>
      <c r="AM931" s="650"/>
      <c r="AN931" s="650"/>
      <c r="AO931" s="650"/>
      <c r="AP931" s="650"/>
      <c r="AQ931" s="650"/>
      <c r="AR931" s="650"/>
      <c r="AS931" s="650"/>
      <c r="AT931" s="650"/>
      <c r="AU931" s="650"/>
      <c r="AV931" s="650"/>
      <c r="AW931" s="650"/>
      <c r="AX931" s="650"/>
      <c r="AY931" s="650"/>
    </row>
    <row r="932" ht="21.75" customHeight="1">
      <c r="A932" s="650"/>
      <c r="B932" s="650"/>
      <c r="C932" s="650"/>
      <c r="D932" s="650"/>
      <c r="E932" s="650"/>
      <c r="F932" s="650"/>
      <c r="G932" s="650"/>
      <c r="H932" s="650"/>
      <c r="I932" s="650"/>
      <c r="J932" s="650"/>
      <c r="K932" s="650"/>
      <c r="L932" s="650"/>
      <c r="M932" s="650"/>
      <c r="N932" s="650"/>
      <c r="O932" s="650"/>
      <c r="P932" s="650"/>
      <c r="Q932" s="650"/>
      <c r="R932" s="650"/>
      <c r="S932" s="650"/>
      <c r="T932" s="650"/>
      <c r="U932" s="650"/>
      <c r="V932" s="650"/>
      <c r="W932" s="650"/>
      <c r="X932" s="650"/>
      <c r="Y932" s="650"/>
      <c r="Z932" s="650"/>
      <c r="AA932" s="650"/>
      <c r="AB932" s="650"/>
      <c r="AC932" s="650"/>
      <c r="AD932" s="650"/>
      <c r="AE932" s="650"/>
      <c r="AF932" s="650"/>
      <c r="AG932" s="650"/>
      <c r="AH932" s="650"/>
      <c r="AI932" s="650"/>
      <c r="AJ932" s="650"/>
      <c r="AK932" s="650"/>
      <c r="AL932" s="650"/>
      <c r="AM932" s="650"/>
      <c r="AN932" s="650"/>
      <c r="AO932" s="650"/>
      <c r="AP932" s="650"/>
      <c r="AQ932" s="650"/>
      <c r="AR932" s="650"/>
      <c r="AS932" s="650"/>
      <c r="AT932" s="650"/>
      <c r="AU932" s="650"/>
      <c r="AV932" s="650"/>
      <c r="AW932" s="650"/>
      <c r="AX932" s="650"/>
      <c r="AY932" s="650"/>
    </row>
    <row r="933" ht="21.75" customHeight="1">
      <c r="A933" s="650"/>
      <c r="B933" s="650"/>
      <c r="C933" s="650"/>
      <c r="D933" s="650"/>
      <c r="E933" s="650"/>
      <c r="F933" s="650"/>
      <c r="G933" s="650"/>
      <c r="H933" s="650"/>
      <c r="I933" s="650"/>
      <c r="J933" s="650"/>
      <c r="K933" s="650"/>
      <c r="L933" s="650"/>
      <c r="M933" s="650"/>
      <c r="N933" s="650"/>
      <c r="O933" s="650"/>
      <c r="P933" s="650"/>
      <c r="Q933" s="650"/>
      <c r="R933" s="650"/>
      <c r="S933" s="650"/>
      <c r="T933" s="650"/>
      <c r="U933" s="650"/>
      <c r="V933" s="650"/>
      <c r="W933" s="650"/>
      <c r="X933" s="650"/>
      <c r="Y933" s="650"/>
      <c r="Z933" s="650"/>
      <c r="AA933" s="650"/>
      <c r="AB933" s="650"/>
      <c r="AC933" s="650"/>
      <c r="AD933" s="650"/>
      <c r="AE933" s="650"/>
      <c r="AF933" s="650"/>
      <c r="AG933" s="650"/>
      <c r="AH933" s="650"/>
      <c r="AI933" s="650"/>
      <c r="AJ933" s="650"/>
      <c r="AK933" s="650"/>
      <c r="AL933" s="650"/>
      <c r="AM933" s="650"/>
      <c r="AN933" s="650"/>
      <c r="AO933" s="650"/>
      <c r="AP933" s="650"/>
      <c r="AQ933" s="650"/>
      <c r="AR933" s="650"/>
      <c r="AS933" s="650"/>
      <c r="AT933" s="650"/>
      <c r="AU933" s="650"/>
      <c r="AV933" s="650"/>
      <c r="AW933" s="650"/>
      <c r="AX933" s="650"/>
      <c r="AY933" s="650"/>
    </row>
    <row r="934" ht="21.75" customHeight="1">
      <c r="A934" s="650"/>
      <c r="B934" s="650"/>
      <c r="C934" s="650"/>
      <c r="D934" s="650"/>
      <c r="E934" s="650"/>
      <c r="F934" s="650"/>
      <c r="G934" s="650"/>
      <c r="H934" s="650"/>
      <c r="I934" s="650"/>
      <c r="J934" s="650"/>
      <c r="K934" s="650"/>
      <c r="L934" s="650"/>
      <c r="M934" s="650"/>
      <c r="N934" s="650"/>
      <c r="O934" s="650"/>
      <c r="P934" s="650"/>
      <c r="Q934" s="650"/>
      <c r="R934" s="650"/>
      <c r="S934" s="650"/>
      <c r="T934" s="650"/>
      <c r="U934" s="650"/>
      <c r="V934" s="650"/>
      <c r="W934" s="650"/>
      <c r="X934" s="650"/>
      <c r="Y934" s="650"/>
      <c r="Z934" s="650"/>
      <c r="AA934" s="650"/>
      <c r="AB934" s="650"/>
      <c r="AC934" s="650"/>
      <c r="AD934" s="650"/>
      <c r="AE934" s="650"/>
      <c r="AF934" s="650"/>
      <c r="AG934" s="650"/>
      <c r="AH934" s="650"/>
      <c r="AI934" s="650"/>
      <c r="AJ934" s="650"/>
      <c r="AK934" s="650"/>
      <c r="AL934" s="650"/>
      <c r="AM934" s="650"/>
      <c r="AN934" s="650"/>
      <c r="AO934" s="650"/>
      <c r="AP934" s="650"/>
      <c r="AQ934" s="650"/>
      <c r="AR934" s="650"/>
      <c r="AS934" s="650"/>
      <c r="AT934" s="650"/>
      <c r="AU934" s="650"/>
      <c r="AV934" s="650"/>
      <c r="AW934" s="650"/>
      <c r="AX934" s="650"/>
      <c r="AY934" s="650"/>
    </row>
    <row r="935" ht="21.75" customHeight="1">
      <c r="A935" s="650"/>
      <c r="B935" s="650"/>
      <c r="C935" s="650"/>
      <c r="D935" s="650"/>
      <c r="E935" s="650"/>
      <c r="F935" s="650"/>
      <c r="G935" s="650"/>
      <c r="H935" s="650"/>
      <c r="I935" s="650"/>
      <c r="J935" s="650"/>
      <c r="K935" s="650"/>
      <c r="L935" s="650"/>
      <c r="M935" s="650"/>
      <c r="N935" s="650"/>
      <c r="O935" s="650"/>
      <c r="P935" s="650"/>
      <c r="Q935" s="650"/>
      <c r="R935" s="650"/>
      <c r="S935" s="650"/>
      <c r="T935" s="650"/>
      <c r="U935" s="650"/>
      <c r="V935" s="650"/>
      <c r="W935" s="650"/>
      <c r="X935" s="650"/>
      <c r="Y935" s="650"/>
      <c r="Z935" s="650"/>
      <c r="AA935" s="650"/>
      <c r="AB935" s="650"/>
      <c r="AC935" s="650"/>
      <c r="AD935" s="650"/>
      <c r="AE935" s="650"/>
      <c r="AF935" s="650"/>
      <c r="AG935" s="650"/>
      <c r="AH935" s="650"/>
      <c r="AI935" s="650"/>
      <c r="AJ935" s="650"/>
      <c r="AK935" s="650"/>
      <c r="AL935" s="650"/>
      <c r="AM935" s="650"/>
      <c r="AN935" s="650"/>
      <c r="AO935" s="650"/>
      <c r="AP935" s="650"/>
      <c r="AQ935" s="650"/>
      <c r="AR935" s="650"/>
      <c r="AS935" s="650"/>
      <c r="AT935" s="650"/>
      <c r="AU935" s="650"/>
      <c r="AV935" s="650"/>
      <c r="AW935" s="650"/>
      <c r="AX935" s="650"/>
      <c r="AY935" s="650"/>
    </row>
    <row r="936" ht="21.75" customHeight="1">
      <c r="A936" s="650"/>
      <c r="B936" s="650"/>
      <c r="C936" s="650"/>
      <c r="D936" s="650"/>
      <c r="E936" s="650"/>
      <c r="F936" s="650"/>
      <c r="G936" s="650"/>
      <c r="H936" s="650"/>
      <c r="I936" s="650"/>
      <c r="J936" s="650"/>
      <c r="K936" s="650"/>
      <c r="L936" s="650"/>
      <c r="M936" s="650"/>
      <c r="N936" s="650"/>
      <c r="O936" s="650"/>
      <c r="P936" s="650"/>
      <c r="Q936" s="650"/>
      <c r="R936" s="650"/>
      <c r="S936" s="650"/>
      <c r="T936" s="650"/>
      <c r="U936" s="650"/>
      <c r="V936" s="650"/>
      <c r="W936" s="650"/>
      <c r="X936" s="650"/>
      <c r="Y936" s="650"/>
      <c r="Z936" s="650"/>
      <c r="AA936" s="650"/>
      <c r="AB936" s="650"/>
      <c r="AC936" s="650"/>
      <c r="AD936" s="650"/>
      <c r="AE936" s="650"/>
      <c r="AF936" s="650"/>
      <c r="AG936" s="650"/>
      <c r="AH936" s="650"/>
      <c r="AI936" s="650"/>
      <c r="AJ936" s="650"/>
      <c r="AK936" s="650"/>
      <c r="AL936" s="650"/>
      <c r="AM936" s="650"/>
      <c r="AN936" s="650"/>
      <c r="AO936" s="650"/>
      <c r="AP936" s="650"/>
      <c r="AQ936" s="650"/>
      <c r="AR936" s="650"/>
      <c r="AS936" s="650"/>
      <c r="AT936" s="650"/>
      <c r="AU936" s="650"/>
      <c r="AV936" s="650"/>
      <c r="AW936" s="650"/>
      <c r="AX936" s="650"/>
      <c r="AY936" s="650"/>
    </row>
    <row r="937" ht="21.75" customHeight="1">
      <c r="A937" s="650"/>
      <c r="B937" s="650"/>
      <c r="C937" s="650"/>
      <c r="D937" s="650"/>
      <c r="E937" s="650"/>
      <c r="F937" s="650"/>
      <c r="G937" s="650"/>
      <c r="H937" s="650"/>
      <c r="I937" s="650"/>
      <c r="J937" s="650"/>
      <c r="K937" s="650"/>
      <c r="L937" s="650"/>
      <c r="M937" s="650"/>
      <c r="N937" s="650"/>
      <c r="O937" s="650"/>
      <c r="P937" s="650"/>
      <c r="Q937" s="650"/>
      <c r="R937" s="650"/>
      <c r="S937" s="650"/>
      <c r="T937" s="650"/>
      <c r="U937" s="650"/>
      <c r="V937" s="650"/>
      <c r="W937" s="650"/>
      <c r="X937" s="650"/>
      <c r="Y937" s="650"/>
      <c r="Z937" s="650"/>
      <c r="AA937" s="650"/>
      <c r="AB937" s="650"/>
      <c r="AC937" s="650"/>
      <c r="AD937" s="650"/>
      <c r="AE937" s="650"/>
      <c r="AF937" s="650"/>
      <c r="AG937" s="650"/>
      <c r="AH937" s="650"/>
      <c r="AI937" s="650"/>
      <c r="AJ937" s="650"/>
      <c r="AK937" s="650"/>
      <c r="AL937" s="650"/>
      <c r="AM937" s="650"/>
      <c r="AN937" s="650"/>
      <c r="AO937" s="650"/>
      <c r="AP937" s="650"/>
      <c r="AQ937" s="650"/>
      <c r="AR937" s="650"/>
      <c r="AS937" s="650"/>
      <c r="AT937" s="650"/>
      <c r="AU937" s="650"/>
      <c r="AV937" s="650"/>
      <c r="AW937" s="650"/>
      <c r="AX937" s="650"/>
      <c r="AY937" s="650"/>
    </row>
    <row r="938" ht="21.75" customHeight="1">
      <c r="A938" s="650"/>
      <c r="B938" s="650"/>
      <c r="C938" s="650"/>
      <c r="D938" s="650"/>
      <c r="E938" s="650"/>
      <c r="F938" s="650"/>
      <c r="G938" s="650"/>
      <c r="H938" s="650"/>
      <c r="I938" s="650"/>
      <c r="J938" s="650"/>
      <c r="K938" s="650"/>
      <c r="L938" s="650"/>
      <c r="M938" s="650"/>
      <c r="N938" s="650"/>
      <c r="O938" s="650"/>
      <c r="P938" s="650"/>
      <c r="Q938" s="650"/>
      <c r="R938" s="650"/>
      <c r="S938" s="650"/>
      <c r="T938" s="650"/>
      <c r="U938" s="650"/>
      <c r="V938" s="650"/>
      <c r="W938" s="650"/>
      <c r="X938" s="650"/>
      <c r="Y938" s="650"/>
      <c r="Z938" s="650"/>
      <c r="AA938" s="650"/>
      <c r="AB938" s="650"/>
      <c r="AC938" s="650"/>
      <c r="AD938" s="650"/>
      <c r="AE938" s="650"/>
      <c r="AF938" s="650"/>
      <c r="AG938" s="650"/>
      <c r="AH938" s="650"/>
      <c r="AI938" s="650"/>
      <c r="AJ938" s="650"/>
      <c r="AK938" s="650"/>
      <c r="AL938" s="650"/>
      <c r="AM938" s="650"/>
      <c r="AN938" s="650"/>
      <c r="AO938" s="650"/>
      <c r="AP938" s="650"/>
      <c r="AQ938" s="650"/>
      <c r="AR938" s="650"/>
      <c r="AS938" s="650"/>
      <c r="AT938" s="650"/>
      <c r="AU938" s="650"/>
      <c r="AV938" s="650"/>
      <c r="AW938" s="650"/>
      <c r="AX938" s="650"/>
      <c r="AY938" s="650"/>
    </row>
    <row r="939" ht="21.75" customHeight="1">
      <c r="A939" s="650"/>
      <c r="B939" s="650"/>
      <c r="C939" s="650"/>
      <c r="D939" s="650"/>
      <c r="E939" s="650"/>
      <c r="F939" s="650"/>
      <c r="G939" s="650"/>
      <c r="H939" s="650"/>
      <c r="I939" s="650"/>
      <c r="J939" s="650"/>
      <c r="K939" s="650"/>
      <c r="L939" s="650"/>
      <c r="M939" s="650"/>
      <c r="N939" s="650"/>
      <c r="O939" s="650"/>
      <c r="P939" s="650"/>
      <c r="Q939" s="650"/>
      <c r="R939" s="650"/>
      <c r="S939" s="650"/>
      <c r="T939" s="650"/>
      <c r="U939" s="650"/>
      <c r="V939" s="650"/>
      <c r="W939" s="650"/>
      <c r="X939" s="650"/>
      <c r="Y939" s="650"/>
      <c r="Z939" s="650"/>
      <c r="AA939" s="650"/>
      <c r="AB939" s="650"/>
      <c r="AC939" s="650"/>
      <c r="AD939" s="650"/>
      <c r="AE939" s="650"/>
      <c r="AF939" s="650"/>
      <c r="AG939" s="650"/>
      <c r="AH939" s="650"/>
      <c r="AI939" s="650"/>
      <c r="AJ939" s="650"/>
      <c r="AK939" s="650"/>
      <c r="AL939" s="650"/>
      <c r="AM939" s="650"/>
      <c r="AN939" s="650"/>
      <c r="AO939" s="650"/>
      <c r="AP939" s="650"/>
      <c r="AQ939" s="650"/>
      <c r="AR939" s="650"/>
      <c r="AS939" s="650"/>
      <c r="AT939" s="650"/>
      <c r="AU939" s="650"/>
      <c r="AV939" s="650"/>
      <c r="AW939" s="650"/>
      <c r="AX939" s="650"/>
      <c r="AY939" s="650"/>
    </row>
    <row r="940" ht="21.75" customHeight="1">
      <c r="A940" s="650"/>
      <c r="B940" s="650"/>
      <c r="C940" s="650"/>
      <c r="D940" s="650"/>
      <c r="E940" s="650"/>
      <c r="F940" s="650"/>
      <c r="G940" s="650"/>
      <c r="H940" s="650"/>
      <c r="I940" s="650"/>
      <c r="J940" s="650"/>
      <c r="K940" s="650"/>
      <c r="L940" s="650"/>
      <c r="M940" s="650"/>
      <c r="N940" s="650"/>
      <c r="O940" s="650"/>
      <c r="P940" s="650"/>
      <c r="Q940" s="650"/>
      <c r="R940" s="650"/>
      <c r="S940" s="650"/>
      <c r="T940" s="650"/>
      <c r="U940" s="650"/>
      <c r="V940" s="650"/>
      <c r="W940" s="650"/>
      <c r="X940" s="650"/>
      <c r="Y940" s="650"/>
      <c r="Z940" s="650"/>
      <c r="AA940" s="650"/>
      <c r="AB940" s="650"/>
      <c r="AC940" s="650"/>
      <c r="AD940" s="650"/>
      <c r="AE940" s="650"/>
      <c r="AF940" s="650"/>
      <c r="AG940" s="650"/>
      <c r="AH940" s="650"/>
      <c r="AI940" s="650"/>
      <c r="AJ940" s="650"/>
      <c r="AK940" s="650"/>
      <c r="AL940" s="650"/>
      <c r="AM940" s="650"/>
      <c r="AN940" s="650"/>
      <c r="AO940" s="650"/>
      <c r="AP940" s="650"/>
      <c r="AQ940" s="650"/>
      <c r="AR940" s="650"/>
      <c r="AS940" s="650"/>
      <c r="AT940" s="650"/>
      <c r="AU940" s="650"/>
      <c r="AV940" s="650"/>
      <c r="AW940" s="650"/>
      <c r="AX940" s="650"/>
      <c r="AY940" s="650"/>
    </row>
    <row r="941" ht="21.75" customHeight="1">
      <c r="A941" s="650"/>
      <c r="B941" s="650"/>
      <c r="C941" s="650"/>
      <c r="D941" s="650"/>
      <c r="E941" s="650"/>
      <c r="F941" s="650"/>
      <c r="G941" s="650"/>
      <c r="H941" s="650"/>
      <c r="I941" s="650"/>
      <c r="J941" s="650"/>
      <c r="K941" s="650"/>
      <c r="L941" s="650"/>
      <c r="M941" s="650"/>
      <c r="N941" s="650"/>
      <c r="O941" s="650"/>
      <c r="P941" s="650"/>
      <c r="Q941" s="650"/>
      <c r="R941" s="650"/>
      <c r="S941" s="650"/>
      <c r="T941" s="650"/>
      <c r="U941" s="650"/>
      <c r="V941" s="650"/>
      <c r="W941" s="650"/>
      <c r="X941" s="650"/>
      <c r="Y941" s="650"/>
      <c r="Z941" s="650"/>
      <c r="AA941" s="650"/>
      <c r="AB941" s="650"/>
      <c r="AC941" s="650"/>
      <c r="AD941" s="650"/>
      <c r="AE941" s="650"/>
      <c r="AF941" s="650"/>
      <c r="AG941" s="650"/>
      <c r="AH941" s="650"/>
      <c r="AI941" s="650"/>
      <c r="AJ941" s="650"/>
      <c r="AK941" s="650"/>
      <c r="AL941" s="650"/>
      <c r="AM941" s="650"/>
      <c r="AN941" s="650"/>
      <c r="AO941" s="650"/>
      <c r="AP941" s="650"/>
      <c r="AQ941" s="650"/>
      <c r="AR941" s="650"/>
      <c r="AS941" s="650"/>
      <c r="AT941" s="650"/>
      <c r="AU941" s="650"/>
      <c r="AV941" s="650"/>
      <c r="AW941" s="650"/>
      <c r="AX941" s="650"/>
      <c r="AY941" s="650"/>
    </row>
    <row r="942" ht="21.75" customHeight="1">
      <c r="A942" s="650"/>
      <c r="B942" s="650"/>
      <c r="C942" s="650"/>
      <c r="D942" s="650"/>
      <c r="E942" s="650"/>
      <c r="F942" s="650"/>
      <c r="G942" s="650"/>
      <c r="H942" s="650"/>
      <c r="I942" s="650"/>
      <c r="J942" s="650"/>
      <c r="K942" s="650"/>
      <c r="L942" s="650"/>
      <c r="M942" s="650"/>
      <c r="N942" s="650"/>
      <c r="O942" s="650"/>
      <c r="P942" s="650"/>
      <c r="Q942" s="650"/>
      <c r="R942" s="650"/>
      <c r="S942" s="650"/>
      <c r="T942" s="650"/>
      <c r="U942" s="650"/>
      <c r="V942" s="650"/>
      <c r="W942" s="650"/>
      <c r="X942" s="650"/>
      <c r="Y942" s="650"/>
      <c r="Z942" s="650"/>
      <c r="AA942" s="650"/>
      <c r="AB942" s="650"/>
      <c r="AC942" s="650"/>
      <c r="AD942" s="650"/>
      <c r="AE942" s="650"/>
      <c r="AF942" s="650"/>
      <c r="AG942" s="650"/>
      <c r="AH942" s="650"/>
      <c r="AI942" s="650"/>
      <c r="AJ942" s="650"/>
      <c r="AK942" s="650"/>
      <c r="AL942" s="650"/>
      <c r="AM942" s="650"/>
      <c r="AN942" s="650"/>
      <c r="AO942" s="650"/>
      <c r="AP942" s="650"/>
      <c r="AQ942" s="650"/>
      <c r="AR942" s="650"/>
      <c r="AS942" s="650"/>
      <c r="AT942" s="650"/>
      <c r="AU942" s="650"/>
      <c r="AV942" s="650"/>
      <c r="AW942" s="650"/>
      <c r="AX942" s="650"/>
      <c r="AY942" s="650"/>
    </row>
    <row r="943" ht="21.75" customHeight="1">
      <c r="A943" s="650"/>
      <c r="B943" s="650"/>
      <c r="C943" s="650"/>
      <c r="D943" s="650"/>
      <c r="E943" s="650"/>
      <c r="F943" s="650"/>
      <c r="G943" s="650"/>
      <c r="H943" s="650"/>
      <c r="I943" s="650"/>
      <c r="J943" s="650"/>
      <c r="K943" s="650"/>
      <c r="L943" s="650"/>
      <c r="M943" s="650"/>
      <c r="N943" s="650"/>
      <c r="O943" s="650"/>
      <c r="P943" s="650"/>
      <c r="Q943" s="650"/>
      <c r="R943" s="650"/>
      <c r="S943" s="650"/>
      <c r="T943" s="650"/>
      <c r="U943" s="650"/>
      <c r="V943" s="650"/>
      <c r="W943" s="650"/>
      <c r="X943" s="650"/>
      <c r="Y943" s="650"/>
      <c r="Z943" s="650"/>
      <c r="AA943" s="650"/>
      <c r="AB943" s="650"/>
      <c r="AC943" s="650"/>
      <c r="AD943" s="650"/>
      <c r="AE943" s="650"/>
      <c r="AF943" s="650"/>
      <c r="AG943" s="650"/>
      <c r="AH943" s="650"/>
      <c r="AI943" s="650"/>
      <c r="AJ943" s="650"/>
      <c r="AK943" s="650"/>
      <c r="AL943" s="650"/>
      <c r="AM943" s="650"/>
      <c r="AN943" s="650"/>
      <c r="AO943" s="650"/>
      <c r="AP943" s="650"/>
      <c r="AQ943" s="650"/>
      <c r="AR943" s="650"/>
      <c r="AS943" s="650"/>
      <c r="AT943" s="650"/>
      <c r="AU943" s="650"/>
      <c r="AV943" s="650"/>
      <c r="AW943" s="650"/>
      <c r="AX943" s="650"/>
      <c r="AY943" s="650"/>
    </row>
    <row r="944" ht="21.75" customHeight="1">
      <c r="A944" s="650"/>
      <c r="B944" s="650"/>
      <c r="C944" s="650"/>
      <c r="D944" s="650"/>
      <c r="E944" s="650"/>
      <c r="F944" s="650"/>
      <c r="G944" s="650"/>
      <c r="H944" s="650"/>
      <c r="I944" s="650"/>
      <c r="J944" s="650"/>
      <c r="K944" s="650"/>
      <c r="L944" s="650"/>
      <c r="M944" s="650"/>
      <c r="N944" s="650"/>
      <c r="O944" s="650"/>
      <c r="P944" s="650"/>
      <c r="Q944" s="650"/>
      <c r="R944" s="650"/>
      <c r="S944" s="650"/>
      <c r="T944" s="650"/>
      <c r="U944" s="650"/>
      <c r="V944" s="650"/>
      <c r="W944" s="650"/>
      <c r="X944" s="650"/>
      <c r="Y944" s="650"/>
      <c r="Z944" s="650"/>
      <c r="AA944" s="650"/>
      <c r="AB944" s="650"/>
      <c r="AC944" s="650"/>
      <c r="AD944" s="650"/>
      <c r="AE944" s="650"/>
      <c r="AF944" s="650"/>
      <c r="AG944" s="650"/>
      <c r="AH944" s="650"/>
      <c r="AI944" s="650"/>
      <c r="AJ944" s="650"/>
      <c r="AK944" s="650"/>
      <c r="AL944" s="650"/>
      <c r="AM944" s="650"/>
      <c r="AN944" s="650"/>
      <c r="AO944" s="650"/>
      <c r="AP944" s="650"/>
      <c r="AQ944" s="650"/>
      <c r="AR944" s="650"/>
      <c r="AS944" s="650"/>
      <c r="AT944" s="650"/>
      <c r="AU944" s="650"/>
      <c r="AV944" s="650"/>
      <c r="AW944" s="650"/>
      <c r="AX944" s="650"/>
      <c r="AY944" s="650"/>
    </row>
    <row r="945" ht="21.75" customHeight="1">
      <c r="A945" s="650"/>
      <c r="B945" s="650"/>
      <c r="C945" s="650"/>
      <c r="D945" s="650"/>
      <c r="E945" s="650"/>
      <c r="F945" s="650"/>
      <c r="G945" s="650"/>
      <c r="H945" s="650"/>
      <c r="I945" s="650"/>
      <c r="J945" s="650"/>
      <c r="K945" s="650"/>
      <c r="L945" s="650"/>
      <c r="M945" s="650"/>
      <c r="N945" s="650"/>
      <c r="O945" s="650"/>
      <c r="P945" s="650"/>
      <c r="Q945" s="650"/>
      <c r="R945" s="650"/>
      <c r="S945" s="650"/>
      <c r="T945" s="650"/>
      <c r="U945" s="650"/>
      <c r="V945" s="650"/>
      <c r="W945" s="650"/>
      <c r="X945" s="650"/>
      <c r="Y945" s="650"/>
      <c r="Z945" s="650"/>
      <c r="AA945" s="650"/>
      <c r="AB945" s="650"/>
      <c r="AC945" s="650"/>
      <c r="AD945" s="650"/>
      <c r="AE945" s="650"/>
      <c r="AF945" s="650"/>
      <c r="AG945" s="650"/>
      <c r="AH945" s="650"/>
      <c r="AI945" s="650"/>
      <c r="AJ945" s="650"/>
      <c r="AK945" s="650"/>
      <c r="AL945" s="650"/>
      <c r="AM945" s="650"/>
      <c r="AN945" s="650"/>
      <c r="AO945" s="650"/>
      <c r="AP945" s="650"/>
      <c r="AQ945" s="650"/>
      <c r="AR945" s="650"/>
      <c r="AS945" s="650"/>
      <c r="AT945" s="650"/>
      <c r="AU945" s="650"/>
      <c r="AV945" s="650"/>
      <c r="AW945" s="650"/>
      <c r="AX945" s="650"/>
      <c r="AY945" s="650"/>
    </row>
    <row r="946" ht="21.75" customHeight="1">
      <c r="A946" s="650"/>
      <c r="B946" s="650"/>
      <c r="C946" s="650"/>
      <c r="D946" s="650"/>
      <c r="E946" s="650"/>
      <c r="F946" s="650"/>
      <c r="G946" s="650"/>
      <c r="H946" s="650"/>
      <c r="I946" s="650"/>
      <c r="J946" s="650"/>
      <c r="K946" s="650"/>
      <c r="L946" s="650"/>
      <c r="M946" s="650"/>
      <c r="N946" s="650"/>
      <c r="O946" s="650"/>
      <c r="P946" s="650"/>
      <c r="Q946" s="650"/>
      <c r="R946" s="650"/>
      <c r="S946" s="650"/>
      <c r="T946" s="650"/>
      <c r="U946" s="650"/>
      <c r="V946" s="650"/>
      <c r="W946" s="650"/>
      <c r="X946" s="650"/>
      <c r="Y946" s="650"/>
      <c r="Z946" s="650"/>
      <c r="AA946" s="650"/>
      <c r="AB946" s="650"/>
      <c r="AC946" s="650"/>
      <c r="AD946" s="650"/>
      <c r="AE946" s="650"/>
      <c r="AF946" s="650"/>
      <c r="AG946" s="650"/>
      <c r="AH946" s="650"/>
      <c r="AI946" s="650"/>
      <c r="AJ946" s="650"/>
      <c r="AK946" s="650"/>
      <c r="AL946" s="650"/>
      <c r="AM946" s="650"/>
      <c r="AN946" s="650"/>
      <c r="AO946" s="650"/>
      <c r="AP946" s="650"/>
      <c r="AQ946" s="650"/>
      <c r="AR946" s="650"/>
      <c r="AS946" s="650"/>
      <c r="AT946" s="650"/>
      <c r="AU946" s="650"/>
      <c r="AV946" s="650"/>
      <c r="AW946" s="650"/>
      <c r="AX946" s="650"/>
      <c r="AY946" s="650"/>
    </row>
    <row r="947" ht="21.75" customHeight="1">
      <c r="A947" s="650"/>
      <c r="B947" s="650"/>
      <c r="C947" s="650"/>
      <c r="D947" s="650"/>
      <c r="E947" s="650"/>
      <c r="F947" s="650"/>
      <c r="G947" s="650"/>
      <c r="H947" s="650"/>
      <c r="I947" s="650"/>
      <c r="J947" s="650"/>
      <c r="K947" s="650"/>
      <c r="L947" s="650"/>
      <c r="M947" s="650"/>
      <c r="N947" s="650"/>
      <c r="O947" s="650"/>
      <c r="P947" s="650"/>
      <c r="Q947" s="650"/>
      <c r="R947" s="650"/>
      <c r="S947" s="650"/>
      <c r="T947" s="650"/>
      <c r="U947" s="650"/>
      <c r="V947" s="650"/>
      <c r="W947" s="650"/>
      <c r="X947" s="650"/>
      <c r="Y947" s="650"/>
      <c r="Z947" s="650"/>
      <c r="AA947" s="650"/>
      <c r="AB947" s="650"/>
      <c r="AC947" s="650"/>
      <c r="AD947" s="650"/>
      <c r="AE947" s="650"/>
      <c r="AF947" s="650"/>
      <c r="AG947" s="650"/>
      <c r="AH947" s="650"/>
      <c r="AI947" s="650"/>
      <c r="AJ947" s="650"/>
      <c r="AK947" s="650"/>
      <c r="AL947" s="650"/>
      <c r="AM947" s="650"/>
      <c r="AN947" s="650"/>
      <c r="AO947" s="650"/>
      <c r="AP947" s="650"/>
      <c r="AQ947" s="650"/>
      <c r="AR947" s="650"/>
      <c r="AS947" s="650"/>
      <c r="AT947" s="650"/>
      <c r="AU947" s="650"/>
      <c r="AV947" s="650"/>
      <c r="AW947" s="650"/>
      <c r="AX947" s="650"/>
      <c r="AY947" s="650"/>
    </row>
    <row r="948" ht="21.75" customHeight="1">
      <c r="A948" s="650"/>
      <c r="B948" s="650"/>
      <c r="C948" s="650"/>
      <c r="D948" s="650"/>
      <c r="E948" s="650"/>
      <c r="F948" s="650"/>
      <c r="G948" s="650"/>
      <c r="H948" s="650"/>
      <c r="I948" s="650"/>
      <c r="J948" s="650"/>
      <c r="K948" s="650"/>
      <c r="L948" s="650"/>
      <c r="M948" s="650"/>
      <c r="N948" s="650"/>
      <c r="O948" s="650"/>
      <c r="P948" s="650"/>
      <c r="Q948" s="650"/>
      <c r="R948" s="650"/>
      <c r="S948" s="650"/>
      <c r="T948" s="650"/>
      <c r="U948" s="650"/>
      <c r="V948" s="650"/>
      <c r="W948" s="650"/>
      <c r="X948" s="650"/>
      <c r="Y948" s="650"/>
      <c r="Z948" s="650"/>
      <c r="AA948" s="650"/>
      <c r="AB948" s="650"/>
      <c r="AC948" s="650"/>
      <c r="AD948" s="650"/>
      <c r="AE948" s="650"/>
      <c r="AF948" s="650"/>
      <c r="AG948" s="650"/>
      <c r="AH948" s="650"/>
      <c r="AI948" s="650"/>
      <c r="AJ948" s="650"/>
      <c r="AK948" s="650"/>
      <c r="AL948" s="650"/>
      <c r="AM948" s="650"/>
      <c r="AN948" s="650"/>
      <c r="AO948" s="650"/>
      <c r="AP948" s="650"/>
      <c r="AQ948" s="650"/>
      <c r="AR948" s="650"/>
      <c r="AS948" s="650"/>
      <c r="AT948" s="650"/>
      <c r="AU948" s="650"/>
      <c r="AV948" s="650"/>
      <c r="AW948" s="650"/>
      <c r="AX948" s="650"/>
      <c r="AY948" s="650"/>
    </row>
    <row r="949" ht="21.75" customHeight="1">
      <c r="A949" s="650"/>
      <c r="B949" s="650"/>
      <c r="C949" s="650"/>
      <c r="D949" s="650"/>
      <c r="E949" s="650"/>
      <c r="F949" s="650"/>
      <c r="G949" s="650"/>
      <c r="H949" s="650"/>
      <c r="I949" s="650"/>
      <c r="J949" s="650"/>
      <c r="K949" s="650"/>
      <c r="L949" s="650"/>
      <c r="M949" s="650"/>
      <c r="N949" s="650"/>
      <c r="O949" s="650"/>
      <c r="P949" s="650"/>
      <c r="Q949" s="650"/>
      <c r="R949" s="650"/>
      <c r="S949" s="650"/>
      <c r="T949" s="650"/>
      <c r="U949" s="650"/>
      <c r="V949" s="650"/>
      <c r="W949" s="650"/>
      <c r="X949" s="650"/>
      <c r="Y949" s="650"/>
      <c r="Z949" s="650"/>
      <c r="AA949" s="650"/>
      <c r="AB949" s="650"/>
      <c r="AC949" s="650"/>
      <c r="AD949" s="650"/>
      <c r="AE949" s="650"/>
      <c r="AF949" s="650"/>
      <c r="AG949" s="650"/>
      <c r="AH949" s="650"/>
      <c r="AI949" s="650"/>
      <c r="AJ949" s="650"/>
      <c r="AK949" s="650"/>
      <c r="AL949" s="650"/>
      <c r="AM949" s="650"/>
      <c r="AN949" s="650"/>
      <c r="AO949" s="650"/>
      <c r="AP949" s="650"/>
      <c r="AQ949" s="650"/>
      <c r="AR949" s="650"/>
      <c r="AS949" s="650"/>
      <c r="AT949" s="650"/>
      <c r="AU949" s="650"/>
      <c r="AV949" s="650"/>
      <c r="AW949" s="650"/>
      <c r="AX949" s="650"/>
      <c r="AY949" s="650"/>
    </row>
    <row r="950" ht="21.75" customHeight="1">
      <c r="A950" s="650"/>
      <c r="B950" s="650"/>
      <c r="C950" s="650"/>
      <c r="D950" s="650"/>
      <c r="E950" s="650"/>
      <c r="F950" s="650"/>
      <c r="G950" s="650"/>
      <c r="H950" s="650"/>
      <c r="I950" s="650"/>
      <c r="J950" s="650"/>
      <c r="K950" s="650"/>
      <c r="L950" s="650"/>
      <c r="M950" s="650"/>
      <c r="N950" s="650"/>
      <c r="O950" s="650"/>
      <c r="P950" s="650"/>
      <c r="Q950" s="650"/>
      <c r="R950" s="650"/>
      <c r="S950" s="650"/>
      <c r="T950" s="650"/>
      <c r="U950" s="650"/>
      <c r="V950" s="650"/>
      <c r="W950" s="650"/>
      <c r="X950" s="650"/>
      <c r="Y950" s="650"/>
      <c r="Z950" s="650"/>
      <c r="AA950" s="650"/>
      <c r="AB950" s="650"/>
      <c r="AC950" s="650"/>
      <c r="AD950" s="650"/>
      <c r="AE950" s="650"/>
      <c r="AF950" s="650"/>
      <c r="AG950" s="650"/>
      <c r="AH950" s="650"/>
      <c r="AI950" s="650"/>
      <c r="AJ950" s="650"/>
      <c r="AK950" s="650"/>
      <c r="AL950" s="650"/>
      <c r="AM950" s="650"/>
      <c r="AN950" s="650"/>
      <c r="AO950" s="650"/>
      <c r="AP950" s="650"/>
      <c r="AQ950" s="650"/>
      <c r="AR950" s="650"/>
      <c r="AS950" s="650"/>
      <c r="AT950" s="650"/>
      <c r="AU950" s="650"/>
      <c r="AV950" s="650"/>
      <c r="AW950" s="650"/>
      <c r="AX950" s="650"/>
      <c r="AY950" s="650"/>
    </row>
    <row r="951" ht="21.75" customHeight="1">
      <c r="A951" s="650"/>
      <c r="B951" s="650"/>
      <c r="C951" s="650"/>
      <c r="D951" s="650"/>
      <c r="E951" s="650"/>
      <c r="F951" s="650"/>
      <c r="G951" s="650"/>
      <c r="H951" s="650"/>
      <c r="I951" s="650"/>
      <c r="J951" s="650"/>
      <c r="K951" s="650"/>
      <c r="L951" s="650"/>
      <c r="M951" s="650"/>
      <c r="N951" s="650"/>
      <c r="O951" s="650"/>
      <c r="P951" s="650"/>
      <c r="Q951" s="650"/>
      <c r="R951" s="650"/>
      <c r="S951" s="650"/>
      <c r="T951" s="650"/>
      <c r="U951" s="650"/>
      <c r="V951" s="650"/>
      <c r="W951" s="650"/>
      <c r="X951" s="650"/>
      <c r="Y951" s="650"/>
      <c r="Z951" s="650"/>
      <c r="AA951" s="650"/>
      <c r="AB951" s="650"/>
      <c r="AC951" s="650"/>
      <c r="AD951" s="650"/>
      <c r="AE951" s="650"/>
      <c r="AF951" s="650"/>
      <c r="AG951" s="650"/>
      <c r="AH951" s="650"/>
      <c r="AI951" s="650"/>
      <c r="AJ951" s="650"/>
      <c r="AK951" s="650"/>
      <c r="AL951" s="650"/>
      <c r="AM951" s="650"/>
      <c r="AN951" s="650"/>
      <c r="AO951" s="650"/>
      <c r="AP951" s="650"/>
      <c r="AQ951" s="650"/>
      <c r="AR951" s="650"/>
      <c r="AS951" s="650"/>
      <c r="AT951" s="650"/>
      <c r="AU951" s="650"/>
      <c r="AV951" s="650"/>
      <c r="AW951" s="650"/>
      <c r="AX951" s="650"/>
      <c r="AY951" s="650"/>
    </row>
    <row r="952" ht="21.75" customHeight="1">
      <c r="A952" s="650"/>
      <c r="B952" s="650"/>
      <c r="C952" s="650"/>
      <c r="D952" s="650"/>
      <c r="E952" s="650"/>
      <c r="F952" s="650"/>
      <c r="G952" s="650"/>
      <c r="H952" s="650"/>
      <c r="I952" s="650"/>
      <c r="J952" s="650"/>
      <c r="K952" s="650"/>
      <c r="L952" s="650"/>
      <c r="M952" s="650"/>
      <c r="N952" s="650"/>
      <c r="O952" s="650"/>
      <c r="P952" s="650"/>
      <c r="Q952" s="650"/>
      <c r="R952" s="650"/>
      <c r="S952" s="650"/>
      <c r="T952" s="650"/>
      <c r="U952" s="650"/>
      <c r="V952" s="650"/>
      <c r="W952" s="650"/>
      <c r="X952" s="650"/>
      <c r="Y952" s="650"/>
      <c r="Z952" s="650"/>
      <c r="AA952" s="650"/>
      <c r="AB952" s="650"/>
      <c r="AC952" s="650"/>
      <c r="AD952" s="650"/>
      <c r="AE952" s="650"/>
      <c r="AF952" s="650"/>
      <c r="AG952" s="650"/>
      <c r="AH952" s="650"/>
      <c r="AI952" s="650"/>
      <c r="AJ952" s="650"/>
      <c r="AK952" s="650"/>
      <c r="AL952" s="650"/>
      <c r="AM952" s="650"/>
      <c r="AN952" s="650"/>
      <c r="AO952" s="650"/>
      <c r="AP952" s="650"/>
      <c r="AQ952" s="650"/>
      <c r="AR952" s="650"/>
      <c r="AS952" s="650"/>
      <c r="AT952" s="650"/>
      <c r="AU952" s="650"/>
      <c r="AV952" s="650"/>
      <c r="AW952" s="650"/>
      <c r="AX952" s="650"/>
      <c r="AY952" s="650"/>
    </row>
    <row r="953" ht="21.75" customHeight="1">
      <c r="A953" s="650"/>
      <c r="B953" s="650"/>
      <c r="C953" s="650"/>
      <c r="D953" s="650"/>
      <c r="E953" s="650"/>
      <c r="F953" s="650"/>
      <c r="G953" s="650"/>
      <c r="H953" s="650"/>
      <c r="I953" s="650"/>
      <c r="J953" s="650"/>
      <c r="K953" s="650"/>
      <c r="L953" s="650"/>
      <c r="M953" s="650"/>
      <c r="N953" s="650"/>
      <c r="O953" s="650"/>
      <c r="P953" s="650"/>
      <c r="Q953" s="650"/>
      <c r="R953" s="650"/>
      <c r="S953" s="650"/>
      <c r="T953" s="650"/>
      <c r="U953" s="650"/>
      <c r="V953" s="650"/>
      <c r="W953" s="650"/>
      <c r="X953" s="650"/>
      <c r="Y953" s="650"/>
      <c r="Z953" s="650"/>
      <c r="AA953" s="650"/>
      <c r="AB953" s="650"/>
      <c r="AC953" s="650"/>
      <c r="AD953" s="650"/>
      <c r="AE953" s="650"/>
      <c r="AF953" s="650"/>
      <c r="AG953" s="650"/>
      <c r="AH953" s="650"/>
      <c r="AI953" s="650"/>
      <c r="AJ953" s="650"/>
      <c r="AK953" s="650"/>
      <c r="AL953" s="650"/>
      <c r="AM953" s="650"/>
      <c r="AN953" s="650"/>
      <c r="AO953" s="650"/>
      <c r="AP953" s="650"/>
      <c r="AQ953" s="650"/>
      <c r="AR953" s="650"/>
      <c r="AS953" s="650"/>
      <c r="AT953" s="650"/>
      <c r="AU953" s="650"/>
      <c r="AV953" s="650"/>
      <c r="AW953" s="650"/>
      <c r="AX953" s="650"/>
      <c r="AY953" s="650"/>
    </row>
    <row r="954" ht="21.75" customHeight="1">
      <c r="A954" s="650"/>
      <c r="B954" s="650"/>
      <c r="C954" s="650"/>
      <c r="D954" s="650"/>
      <c r="E954" s="650"/>
      <c r="F954" s="650"/>
      <c r="G954" s="650"/>
      <c r="H954" s="650"/>
      <c r="I954" s="650"/>
      <c r="J954" s="650"/>
      <c r="K954" s="650"/>
      <c r="L954" s="650"/>
      <c r="M954" s="650"/>
      <c r="N954" s="650"/>
      <c r="O954" s="650"/>
      <c r="P954" s="650"/>
      <c r="Q954" s="650"/>
      <c r="R954" s="650"/>
      <c r="S954" s="650"/>
      <c r="T954" s="650"/>
      <c r="U954" s="650"/>
      <c r="V954" s="650"/>
      <c r="W954" s="650"/>
      <c r="X954" s="650"/>
      <c r="Y954" s="650"/>
      <c r="Z954" s="650"/>
      <c r="AA954" s="650"/>
      <c r="AB954" s="650"/>
      <c r="AC954" s="650"/>
      <c r="AD954" s="650"/>
      <c r="AE954" s="650"/>
      <c r="AF954" s="650"/>
      <c r="AG954" s="650"/>
      <c r="AH954" s="650"/>
      <c r="AI954" s="650"/>
      <c r="AJ954" s="650"/>
      <c r="AK954" s="650"/>
      <c r="AL954" s="650"/>
      <c r="AM954" s="650"/>
      <c r="AN954" s="650"/>
      <c r="AO954" s="650"/>
      <c r="AP954" s="650"/>
      <c r="AQ954" s="650"/>
      <c r="AR954" s="650"/>
      <c r="AS954" s="650"/>
      <c r="AT954" s="650"/>
      <c r="AU954" s="650"/>
      <c r="AV954" s="650"/>
      <c r="AW954" s="650"/>
      <c r="AX954" s="650"/>
      <c r="AY954" s="650"/>
    </row>
    <row r="955" ht="21.75" customHeight="1">
      <c r="A955" s="650"/>
      <c r="B955" s="650"/>
      <c r="C955" s="650"/>
      <c r="D955" s="650"/>
      <c r="E955" s="650"/>
      <c r="F955" s="650"/>
      <c r="G955" s="650"/>
      <c r="H955" s="650"/>
      <c r="I955" s="650"/>
      <c r="J955" s="650"/>
      <c r="K955" s="650"/>
      <c r="L955" s="650"/>
      <c r="M955" s="650"/>
      <c r="N955" s="650"/>
      <c r="O955" s="650"/>
      <c r="P955" s="650"/>
      <c r="Q955" s="650"/>
      <c r="R955" s="650"/>
      <c r="S955" s="650"/>
      <c r="T955" s="650"/>
      <c r="U955" s="650"/>
      <c r="V955" s="650"/>
      <c r="W955" s="650"/>
      <c r="X955" s="650"/>
      <c r="Y955" s="650"/>
      <c r="Z955" s="650"/>
      <c r="AA955" s="650"/>
      <c r="AB955" s="650"/>
      <c r="AC955" s="650"/>
      <c r="AD955" s="650"/>
      <c r="AE955" s="650"/>
      <c r="AF955" s="650"/>
      <c r="AG955" s="650"/>
      <c r="AH955" s="650"/>
      <c r="AI955" s="650"/>
      <c r="AJ955" s="650"/>
      <c r="AK955" s="650"/>
      <c r="AL955" s="650"/>
      <c r="AM955" s="650"/>
      <c r="AN955" s="650"/>
      <c r="AO955" s="650"/>
      <c r="AP955" s="650"/>
      <c r="AQ955" s="650"/>
      <c r="AR955" s="650"/>
      <c r="AS955" s="650"/>
      <c r="AT955" s="650"/>
      <c r="AU955" s="650"/>
      <c r="AV955" s="650"/>
      <c r="AW955" s="650"/>
      <c r="AX955" s="650"/>
      <c r="AY955" s="650"/>
    </row>
    <row r="956" ht="21.75" customHeight="1">
      <c r="A956" s="650"/>
      <c r="B956" s="650"/>
      <c r="C956" s="650"/>
      <c r="D956" s="650"/>
      <c r="E956" s="650"/>
      <c r="F956" s="650"/>
      <c r="G956" s="650"/>
      <c r="H956" s="650"/>
      <c r="I956" s="650"/>
      <c r="J956" s="650"/>
      <c r="K956" s="650"/>
      <c r="L956" s="650"/>
      <c r="M956" s="650"/>
      <c r="N956" s="650"/>
      <c r="O956" s="650"/>
      <c r="P956" s="650"/>
      <c r="Q956" s="650"/>
      <c r="R956" s="650"/>
      <c r="S956" s="650"/>
      <c r="T956" s="650"/>
      <c r="U956" s="650"/>
      <c r="V956" s="650"/>
      <c r="W956" s="650"/>
      <c r="X956" s="650"/>
      <c r="Y956" s="650"/>
      <c r="Z956" s="650"/>
      <c r="AA956" s="650"/>
      <c r="AB956" s="650"/>
      <c r="AC956" s="650"/>
      <c r="AD956" s="650"/>
      <c r="AE956" s="650"/>
      <c r="AF956" s="650"/>
      <c r="AG956" s="650"/>
      <c r="AH956" s="650"/>
      <c r="AI956" s="650"/>
      <c r="AJ956" s="650"/>
      <c r="AK956" s="650"/>
      <c r="AL956" s="650"/>
      <c r="AM956" s="650"/>
      <c r="AN956" s="650"/>
      <c r="AO956" s="650"/>
      <c r="AP956" s="650"/>
      <c r="AQ956" s="650"/>
      <c r="AR956" s="650"/>
      <c r="AS956" s="650"/>
      <c r="AT956" s="650"/>
      <c r="AU956" s="650"/>
      <c r="AV956" s="650"/>
      <c r="AW956" s="650"/>
      <c r="AX956" s="650"/>
      <c r="AY956" s="650"/>
    </row>
    <row r="957" ht="21.75" customHeight="1">
      <c r="A957" s="650"/>
      <c r="B957" s="650"/>
      <c r="C957" s="650"/>
      <c r="D957" s="650"/>
      <c r="E957" s="650"/>
      <c r="F957" s="650"/>
      <c r="G957" s="650"/>
      <c r="H957" s="650"/>
      <c r="I957" s="650"/>
      <c r="J957" s="650"/>
      <c r="K957" s="650"/>
      <c r="L957" s="650"/>
      <c r="M957" s="650"/>
      <c r="N957" s="650"/>
      <c r="O957" s="650"/>
      <c r="P957" s="650"/>
      <c r="Q957" s="650"/>
      <c r="R957" s="650"/>
      <c r="S957" s="650"/>
      <c r="T957" s="650"/>
      <c r="U957" s="650"/>
      <c r="V957" s="650"/>
      <c r="W957" s="650"/>
      <c r="X957" s="650"/>
      <c r="Y957" s="650"/>
      <c r="Z957" s="650"/>
      <c r="AA957" s="650"/>
      <c r="AB957" s="650"/>
      <c r="AC957" s="650"/>
      <c r="AD957" s="650"/>
      <c r="AE957" s="650"/>
      <c r="AF957" s="650"/>
      <c r="AG957" s="650"/>
      <c r="AH957" s="650"/>
      <c r="AI957" s="650"/>
      <c r="AJ957" s="650"/>
      <c r="AK957" s="650"/>
      <c r="AL957" s="650"/>
      <c r="AM957" s="650"/>
      <c r="AN957" s="650"/>
      <c r="AO957" s="650"/>
      <c r="AP957" s="650"/>
      <c r="AQ957" s="650"/>
      <c r="AR957" s="650"/>
      <c r="AS957" s="650"/>
      <c r="AT957" s="650"/>
      <c r="AU957" s="650"/>
      <c r="AV957" s="650"/>
      <c r="AW957" s="650"/>
      <c r="AX957" s="650"/>
      <c r="AY957" s="650"/>
    </row>
    <row r="958" ht="21.75" customHeight="1">
      <c r="A958" s="650"/>
      <c r="B958" s="650"/>
      <c r="C958" s="650"/>
      <c r="D958" s="650"/>
      <c r="E958" s="650"/>
      <c r="F958" s="650"/>
      <c r="G958" s="650"/>
      <c r="H958" s="650"/>
      <c r="I958" s="650"/>
      <c r="J958" s="650"/>
      <c r="K958" s="650"/>
      <c r="L958" s="650"/>
      <c r="M958" s="650"/>
      <c r="N958" s="650"/>
      <c r="O958" s="650"/>
      <c r="P958" s="650"/>
      <c r="Q958" s="650"/>
      <c r="R958" s="650"/>
      <c r="S958" s="650"/>
      <c r="T958" s="650"/>
      <c r="U958" s="650"/>
      <c r="V958" s="650"/>
      <c r="W958" s="650"/>
      <c r="X958" s="650"/>
      <c r="Y958" s="650"/>
      <c r="Z958" s="650"/>
      <c r="AA958" s="650"/>
      <c r="AB958" s="650"/>
      <c r="AC958" s="650"/>
      <c r="AD958" s="650"/>
      <c r="AE958" s="650"/>
      <c r="AF958" s="650"/>
      <c r="AG958" s="650"/>
      <c r="AH958" s="650"/>
      <c r="AI958" s="650"/>
      <c r="AJ958" s="650"/>
      <c r="AK958" s="650"/>
      <c r="AL958" s="650"/>
      <c r="AM958" s="650"/>
      <c r="AN958" s="650"/>
      <c r="AO958" s="650"/>
      <c r="AP958" s="650"/>
      <c r="AQ958" s="650"/>
      <c r="AR958" s="650"/>
      <c r="AS958" s="650"/>
      <c r="AT958" s="650"/>
      <c r="AU958" s="650"/>
      <c r="AV958" s="650"/>
      <c r="AW958" s="650"/>
      <c r="AX958" s="650"/>
      <c r="AY958" s="650"/>
    </row>
    <row r="959" ht="21.75" customHeight="1">
      <c r="A959" s="650"/>
      <c r="B959" s="650"/>
      <c r="C959" s="650"/>
      <c r="D959" s="650"/>
      <c r="E959" s="650"/>
      <c r="F959" s="650"/>
      <c r="G959" s="650"/>
      <c r="H959" s="650"/>
      <c r="I959" s="650"/>
      <c r="J959" s="650"/>
      <c r="K959" s="650"/>
      <c r="L959" s="650"/>
      <c r="M959" s="650"/>
      <c r="N959" s="650"/>
      <c r="O959" s="650"/>
      <c r="P959" s="650"/>
      <c r="Q959" s="650"/>
      <c r="R959" s="650"/>
      <c r="S959" s="650"/>
      <c r="T959" s="650"/>
      <c r="U959" s="650"/>
      <c r="V959" s="650"/>
      <c r="W959" s="650"/>
      <c r="X959" s="650"/>
      <c r="Y959" s="650"/>
      <c r="Z959" s="650"/>
      <c r="AA959" s="650"/>
      <c r="AB959" s="650"/>
      <c r="AC959" s="650"/>
      <c r="AD959" s="650"/>
      <c r="AE959" s="650"/>
      <c r="AF959" s="650"/>
      <c r="AG959" s="650"/>
      <c r="AH959" s="650"/>
      <c r="AI959" s="650"/>
      <c r="AJ959" s="650"/>
      <c r="AK959" s="650"/>
      <c r="AL959" s="650"/>
      <c r="AM959" s="650"/>
      <c r="AN959" s="650"/>
      <c r="AO959" s="650"/>
      <c r="AP959" s="650"/>
      <c r="AQ959" s="650"/>
      <c r="AR959" s="650"/>
      <c r="AS959" s="650"/>
      <c r="AT959" s="650"/>
      <c r="AU959" s="650"/>
      <c r="AV959" s="650"/>
      <c r="AW959" s="650"/>
      <c r="AX959" s="650"/>
      <c r="AY959" s="650"/>
    </row>
    <row r="960" ht="21.75" customHeight="1">
      <c r="A960" s="650"/>
      <c r="B960" s="650"/>
      <c r="C960" s="650"/>
      <c r="D960" s="650"/>
      <c r="E960" s="650"/>
      <c r="F960" s="650"/>
      <c r="G960" s="650"/>
      <c r="H960" s="650"/>
      <c r="I960" s="650"/>
      <c r="J960" s="650"/>
      <c r="K960" s="650"/>
      <c r="L960" s="650"/>
      <c r="M960" s="650"/>
      <c r="N960" s="650"/>
      <c r="O960" s="650"/>
      <c r="P960" s="650"/>
      <c r="Q960" s="650"/>
      <c r="R960" s="650"/>
      <c r="S960" s="650"/>
      <c r="T960" s="650"/>
      <c r="U960" s="650"/>
      <c r="V960" s="650"/>
      <c r="W960" s="650"/>
      <c r="X960" s="650"/>
      <c r="Y960" s="650"/>
      <c r="Z960" s="650"/>
      <c r="AA960" s="650"/>
      <c r="AB960" s="650"/>
      <c r="AC960" s="650"/>
      <c r="AD960" s="650"/>
      <c r="AE960" s="650"/>
      <c r="AF960" s="650"/>
      <c r="AG960" s="650"/>
      <c r="AH960" s="650"/>
      <c r="AI960" s="650"/>
      <c r="AJ960" s="650"/>
      <c r="AK960" s="650"/>
      <c r="AL960" s="650"/>
      <c r="AM960" s="650"/>
      <c r="AN960" s="650"/>
      <c r="AO960" s="650"/>
      <c r="AP960" s="650"/>
      <c r="AQ960" s="650"/>
      <c r="AR960" s="650"/>
      <c r="AS960" s="650"/>
      <c r="AT960" s="650"/>
      <c r="AU960" s="650"/>
      <c r="AV960" s="650"/>
      <c r="AW960" s="650"/>
      <c r="AX960" s="650"/>
      <c r="AY960" s="650"/>
    </row>
    <row r="961" ht="21.75" customHeight="1">
      <c r="A961" s="650"/>
      <c r="B961" s="650"/>
      <c r="C961" s="650"/>
      <c r="D961" s="650"/>
      <c r="E961" s="650"/>
      <c r="F961" s="650"/>
      <c r="G961" s="650"/>
      <c r="H961" s="650"/>
      <c r="I961" s="650"/>
      <c r="J961" s="650"/>
      <c r="K961" s="650"/>
      <c r="L961" s="650"/>
      <c r="M961" s="650"/>
      <c r="N961" s="650"/>
      <c r="O961" s="650"/>
      <c r="P961" s="650"/>
      <c r="Q961" s="650"/>
      <c r="R961" s="650"/>
      <c r="S961" s="650"/>
      <c r="T961" s="650"/>
      <c r="U961" s="650"/>
      <c r="V961" s="650"/>
      <c r="W961" s="650"/>
      <c r="X961" s="650"/>
      <c r="Y961" s="650"/>
      <c r="Z961" s="650"/>
      <c r="AA961" s="650"/>
      <c r="AB961" s="650"/>
      <c r="AC961" s="650"/>
      <c r="AD961" s="650"/>
      <c r="AE961" s="650"/>
      <c r="AF961" s="650"/>
      <c r="AG961" s="650"/>
      <c r="AH961" s="650"/>
      <c r="AI961" s="650"/>
      <c r="AJ961" s="650"/>
      <c r="AK961" s="650"/>
      <c r="AL961" s="650"/>
      <c r="AM961" s="650"/>
      <c r="AN961" s="650"/>
      <c r="AO961" s="650"/>
      <c r="AP961" s="650"/>
      <c r="AQ961" s="650"/>
      <c r="AR961" s="650"/>
      <c r="AS961" s="650"/>
      <c r="AT961" s="650"/>
      <c r="AU961" s="650"/>
      <c r="AV961" s="650"/>
      <c r="AW961" s="650"/>
      <c r="AX961" s="650"/>
      <c r="AY961" s="650"/>
    </row>
    <row r="962" ht="21.75" customHeight="1">
      <c r="A962" s="650"/>
      <c r="B962" s="650"/>
      <c r="C962" s="650"/>
      <c r="D962" s="650"/>
      <c r="E962" s="650"/>
      <c r="F962" s="650"/>
      <c r="G962" s="650"/>
      <c r="H962" s="650"/>
      <c r="I962" s="650"/>
      <c r="J962" s="650"/>
      <c r="K962" s="650"/>
      <c r="L962" s="650"/>
      <c r="M962" s="650"/>
      <c r="N962" s="650"/>
      <c r="O962" s="650"/>
      <c r="P962" s="650"/>
      <c r="Q962" s="650"/>
      <c r="R962" s="650"/>
      <c r="S962" s="650"/>
      <c r="T962" s="650"/>
      <c r="U962" s="650"/>
      <c r="V962" s="650"/>
      <c r="W962" s="650"/>
      <c r="X962" s="650"/>
      <c r="Y962" s="650"/>
      <c r="Z962" s="650"/>
      <c r="AA962" s="650"/>
      <c r="AB962" s="650"/>
      <c r="AC962" s="650"/>
      <c r="AD962" s="650"/>
      <c r="AE962" s="650"/>
      <c r="AF962" s="650"/>
      <c r="AG962" s="650"/>
      <c r="AH962" s="650"/>
      <c r="AI962" s="650"/>
      <c r="AJ962" s="650"/>
      <c r="AK962" s="650"/>
      <c r="AL962" s="650"/>
      <c r="AM962" s="650"/>
      <c r="AN962" s="650"/>
      <c r="AO962" s="650"/>
      <c r="AP962" s="650"/>
      <c r="AQ962" s="650"/>
      <c r="AR962" s="650"/>
      <c r="AS962" s="650"/>
      <c r="AT962" s="650"/>
      <c r="AU962" s="650"/>
      <c r="AV962" s="650"/>
      <c r="AW962" s="650"/>
      <c r="AX962" s="650"/>
      <c r="AY962" s="650"/>
    </row>
    <row r="963" ht="21.75" customHeight="1">
      <c r="A963" s="650"/>
      <c r="B963" s="650"/>
      <c r="C963" s="650"/>
      <c r="D963" s="650"/>
      <c r="E963" s="650"/>
      <c r="F963" s="650"/>
      <c r="G963" s="650"/>
      <c r="H963" s="650"/>
      <c r="I963" s="650"/>
      <c r="J963" s="650"/>
      <c r="K963" s="650"/>
      <c r="L963" s="650"/>
      <c r="M963" s="650"/>
      <c r="N963" s="650"/>
      <c r="O963" s="650"/>
      <c r="P963" s="650"/>
      <c r="Q963" s="650"/>
      <c r="R963" s="650"/>
      <c r="S963" s="650"/>
      <c r="T963" s="650"/>
      <c r="U963" s="650"/>
      <c r="V963" s="650"/>
      <c r="W963" s="650"/>
      <c r="X963" s="650"/>
      <c r="Y963" s="650"/>
      <c r="Z963" s="650"/>
      <c r="AA963" s="650"/>
      <c r="AB963" s="650"/>
      <c r="AC963" s="650"/>
      <c r="AD963" s="650"/>
      <c r="AE963" s="650"/>
      <c r="AF963" s="650"/>
      <c r="AG963" s="650"/>
      <c r="AH963" s="650"/>
      <c r="AI963" s="650"/>
      <c r="AJ963" s="650"/>
      <c r="AK963" s="650"/>
      <c r="AL963" s="650"/>
      <c r="AM963" s="650"/>
      <c r="AN963" s="650"/>
      <c r="AO963" s="650"/>
      <c r="AP963" s="650"/>
      <c r="AQ963" s="650"/>
      <c r="AR963" s="650"/>
      <c r="AS963" s="650"/>
      <c r="AT963" s="650"/>
      <c r="AU963" s="650"/>
      <c r="AV963" s="650"/>
      <c r="AW963" s="650"/>
      <c r="AX963" s="650"/>
      <c r="AY963" s="650"/>
    </row>
    <row r="964" ht="21.75" customHeight="1">
      <c r="A964" s="650"/>
      <c r="B964" s="650"/>
      <c r="C964" s="650"/>
      <c r="D964" s="650"/>
      <c r="E964" s="650"/>
      <c r="F964" s="650"/>
      <c r="G964" s="650"/>
      <c r="H964" s="650"/>
      <c r="I964" s="650"/>
      <c r="J964" s="650"/>
      <c r="K964" s="650"/>
      <c r="L964" s="650"/>
      <c r="M964" s="650"/>
      <c r="N964" s="650"/>
      <c r="O964" s="650"/>
      <c r="P964" s="650"/>
      <c r="Q964" s="650"/>
      <c r="R964" s="650"/>
      <c r="S964" s="650"/>
      <c r="T964" s="650"/>
      <c r="U964" s="650"/>
      <c r="V964" s="650"/>
      <c r="W964" s="650"/>
      <c r="X964" s="650"/>
      <c r="Y964" s="650"/>
      <c r="Z964" s="650"/>
      <c r="AA964" s="650"/>
      <c r="AB964" s="650"/>
      <c r="AC964" s="650"/>
      <c r="AD964" s="650"/>
      <c r="AE964" s="650"/>
      <c r="AF964" s="650"/>
      <c r="AG964" s="650"/>
      <c r="AH964" s="650"/>
      <c r="AI964" s="650"/>
      <c r="AJ964" s="650"/>
      <c r="AK964" s="650"/>
      <c r="AL964" s="650"/>
      <c r="AM964" s="650"/>
      <c r="AN964" s="650"/>
      <c r="AO964" s="650"/>
      <c r="AP964" s="650"/>
      <c r="AQ964" s="650"/>
      <c r="AR964" s="650"/>
      <c r="AS964" s="650"/>
      <c r="AT964" s="650"/>
      <c r="AU964" s="650"/>
      <c r="AV964" s="650"/>
      <c r="AW964" s="650"/>
      <c r="AX964" s="650"/>
      <c r="AY964" s="650"/>
    </row>
    <row r="965" ht="21.75" customHeight="1">
      <c r="A965" s="650"/>
      <c r="B965" s="650"/>
      <c r="C965" s="650"/>
      <c r="D965" s="650"/>
      <c r="E965" s="650"/>
      <c r="F965" s="650"/>
      <c r="G965" s="650"/>
      <c r="H965" s="650"/>
      <c r="I965" s="650"/>
      <c r="J965" s="650"/>
      <c r="K965" s="650"/>
      <c r="L965" s="650"/>
      <c r="M965" s="650"/>
      <c r="N965" s="650"/>
      <c r="O965" s="650"/>
      <c r="P965" s="650"/>
      <c r="Q965" s="650"/>
      <c r="R965" s="650"/>
      <c r="S965" s="650"/>
      <c r="T965" s="650"/>
      <c r="U965" s="650"/>
      <c r="V965" s="650"/>
      <c r="W965" s="650"/>
      <c r="X965" s="650"/>
      <c r="Y965" s="650"/>
      <c r="Z965" s="650"/>
      <c r="AA965" s="650"/>
      <c r="AB965" s="650"/>
      <c r="AC965" s="650"/>
      <c r="AD965" s="650"/>
      <c r="AE965" s="650"/>
      <c r="AF965" s="650"/>
      <c r="AG965" s="650"/>
      <c r="AH965" s="650"/>
      <c r="AI965" s="650"/>
      <c r="AJ965" s="650"/>
      <c r="AK965" s="650"/>
      <c r="AL965" s="650"/>
      <c r="AM965" s="650"/>
      <c r="AN965" s="650"/>
      <c r="AO965" s="650"/>
      <c r="AP965" s="650"/>
      <c r="AQ965" s="650"/>
      <c r="AR965" s="650"/>
      <c r="AS965" s="650"/>
      <c r="AT965" s="650"/>
      <c r="AU965" s="650"/>
      <c r="AV965" s="650"/>
      <c r="AW965" s="650"/>
      <c r="AX965" s="650"/>
      <c r="AY965" s="650"/>
    </row>
    <row r="966" ht="21.75" customHeight="1">
      <c r="A966" s="650"/>
      <c r="B966" s="650"/>
      <c r="C966" s="650"/>
      <c r="D966" s="650"/>
      <c r="E966" s="650"/>
      <c r="F966" s="650"/>
      <c r="G966" s="650"/>
      <c r="H966" s="650"/>
      <c r="I966" s="650"/>
      <c r="J966" s="650"/>
      <c r="K966" s="650"/>
      <c r="L966" s="650"/>
      <c r="M966" s="650"/>
      <c r="N966" s="650"/>
      <c r="O966" s="650"/>
      <c r="P966" s="650"/>
      <c r="Q966" s="650"/>
      <c r="R966" s="650"/>
      <c r="S966" s="650"/>
      <c r="T966" s="650"/>
      <c r="U966" s="650"/>
      <c r="V966" s="650"/>
      <c r="W966" s="650"/>
      <c r="X966" s="650"/>
      <c r="Y966" s="650"/>
      <c r="Z966" s="650"/>
      <c r="AA966" s="650"/>
      <c r="AB966" s="650"/>
      <c r="AC966" s="650"/>
      <c r="AD966" s="650"/>
      <c r="AE966" s="650"/>
      <c r="AF966" s="650"/>
      <c r="AG966" s="650"/>
      <c r="AH966" s="650"/>
      <c r="AI966" s="650"/>
      <c r="AJ966" s="650"/>
      <c r="AK966" s="650"/>
      <c r="AL966" s="650"/>
      <c r="AM966" s="650"/>
      <c r="AN966" s="650"/>
      <c r="AO966" s="650"/>
      <c r="AP966" s="650"/>
      <c r="AQ966" s="650"/>
      <c r="AR966" s="650"/>
      <c r="AS966" s="650"/>
      <c r="AT966" s="650"/>
      <c r="AU966" s="650"/>
      <c r="AV966" s="650"/>
      <c r="AW966" s="650"/>
      <c r="AX966" s="650"/>
      <c r="AY966" s="650"/>
    </row>
    <row r="967" ht="21.75" customHeight="1">
      <c r="A967" s="650"/>
      <c r="B967" s="650"/>
      <c r="C967" s="650"/>
      <c r="D967" s="650"/>
      <c r="E967" s="650"/>
      <c r="F967" s="650"/>
      <c r="G967" s="650"/>
      <c r="H967" s="650"/>
      <c r="I967" s="650"/>
      <c r="J967" s="650"/>
      <c r="K967" s="650"/>
      <c r="L967" s="650"/>
      <c r="M967" s="650"/>
      <c r="N967" s="650"/>
      <c r="O967" s="650"/>
      <c r="P967" s="650"/>
      <c r="Q967" s="650"/>
      <c r="R967" s="650"/>
      <c r="S967" s="650"/>
      <c r="T967" s="650"/>
      <c r="U967" s="650"/>
      <c r="V967" s="650"/>
      <c r="W967" s="650"/>
      <c r="X967" s="650"/>
      <c r="Y967" s="650"/>
      <c r="Z967" s="650"/>
      <c r="AA967" s="650"/>
      <c r="AB967" s="650"/>
      <c r="AC967" s="650"/>
      <c r="AD967" s="650"/>
      <c r="AE967" s="650"/>
      <c r="AF967" s="650"/>
      <c r="AG967" s="650"/>
      <c r="AH967" s="650"/>
      <c r="AI967" s="650"/>
      <c r="AJ967" s="650"/>
      <c r="AK967" s="650"/>
      <c r="AL967" s="650"/>
      <c r="AM967" s="650"/>
      <c r="AN967" s="650"/>
      <c r="AO967" s="650"/>
      <c r="AP967" s="650"/>
      <c r="AQ967" s="650"/>
      <c r="AR967" s="650"/>
      <c r="AS967" s="650"/>
      <c r="AT967" s="650"/>
      <c r="AU967" s="650"/>
      <c r="AV967" s="650"/>
      <c r="AW967" s="650"/>
      <c r="AX967" s="650"/>
      <c r="AY967" s="650"/>
    </row>
    <row r="968" ht="21.75" customHeight="1">
      <c r="A968" s="650"/>
      <c r="B968" s="650"/>
      <c r="C968" s="650"/>
      <c r="D968" s="650"/>
      <c r="E968" s="650"/>
      <c r="F968" s="650"/>
      <c r="G968" s="650"/>
      <c r="H968" s="650"/>
      <c r="I968" s="650"/>
      <c r="J968" s="650"/>
      <c r="K968" s="650"/>
      <c r="L968" s="650"/>
      <c r="M968" s="650"/>
      <c r="N968" s="650"/>
      <c r="O968" s="650"/>
      <c r="P968" s="650"/>
      <c r="Q968" s="650"/>
      <c r="R968" s="650"/>
      <c r="S968" s="650"/>
      <c r="T968" s="650"/>
      <c r="U968" s="650"/>
      <c r="V968" s="650"/>
      <c r="W968" s="650"/>
      <c r="X968" s="650"/>
      <c r="Y968" s="650"/>
      <c r="Z968" s="650"/>
      <c r="AA968" s="650"/>
      <c r="AB968" s="650"/>
      <c r="AC968" s="650"/>
      <c r="AD968" s="650"/>
      <c r="AE968" s="650"/>
      <c r="AF968" s="650"/>
      <c r="AG968" s="650"/>
      <c r="AH968" s="650"/>
      <c r="AI968" s="650"/>
      <c r="AJ968" s="650"/>
      <c r="AK968" s="650"/>
      <c r="AL968" s="650"/>
      <c r="AM968" s="650"/>
      <c r="AN968" s="650"/>
      <c r="AO968" s="650"/>
      <c r="AP968" s="650"/>
      <c r="AQ968" s="650"/>
      <c r="AR968" s="650"/>
      <c r="AS968" s="650"/>
      <c r="AT968" s="650"/>
      <c r="AU968" s="650"/>
      <c r="AV968" s="650"/>
      <c r="AW968" s="650"/>
      <c r="AX968" s="650"/>
      <c r="AY968" s="650"/>
    </row>
    <row r="969" ht="21.75" customHeight="1">
      <c r="A969" s="650"/>
      <c r="B969" s="650"/>
      <c r="C969" s="650"/>
      <c r="D969" s="650"/>
      <c r="E969" s="650"/>
      <c r="F969" s="650"/>
      <c r="G969" s="650"/>
      <c r="H969" s="650"/>
      <c r="I969" s="650"/>
      <c r="J969" s="650"/>
      <c r="K969" s="650"/>
      <c r="L969" s="650"/>
      <c r="M969" s="650"/>
      <c r="N969" s="650"/>
      <c r="O969" s="650"/>
      <c r="P969" s="650"/>
      <c r="Q969" s="650"/>
      <c r="R969" s="650"/>
      <c r="S969" s="650"/>
      <c r="T969" s="650"/>
      <c r="U969" s="650"/>
      <c r="V969" s="650"/>
      <c r="W969" s="650"/>
      <c r="X969" s="650"/>
      <c r="Y969" s="650"/>
      <c r="Z969" s="650"/>
      <c r="AA969" s="650"/>
      <c r="AB969" s="650"/>
      <c r="AC969" s="650"/>
      <c r="AD969" s="650"/>
      <c r="AE969" s="650"/>
      <c r="AF969" s="650"/>
      <c r="AG969" s="650"/>
      <c r="AH969" s="650"/>
      <c r="AI969" s="650"/>
      <c r="AJ969" s="650"/>
      <c r="AK969" s="650"/>
      <c r="AL969" s="650"/>
      <c r="AM969" s="650"/>
      <c r="AN969" s="650"/>
      <c r="AO969" s="650"/>
      <c r="AP969" s="650"/>
      <c r="AQ969" s="650"/>
      <c r="AR969" s="650"/>
      <c r="AS969" s="650"/>
      <c r="AT969" s="650"/>
      <c r="AU969" s="650"/>
      <c r="AV969" s="650"/>
      <c r="AW969" s="650"/>
      <c r="AX969" s="650"/>
      <c r="AY969" s="650"/>
    </row>
    <row r="970" ht="21.75" customHeight="1">
      <c r="A970" s="650"/>
      <c r="B970" s="650"/>
      <c r="C970" s="650"/>
      <c r="D970" s="650"/>
      <c r="E970" s="650"/>
      <c r="F970" s="650"/>
      <c r="G970" s="650"/>
      <c r="H970" s="650"/>
      <c r="I970" s="650"/>
      <c r="J970" s="650"/>
      <c r="K970" s="650"/>
      <c r="L970" s="650"/>
      <c r="M970" s="650"/>
      <c r="N970" s="650"/>
      <c r="O970" s="650"/>
      <c r="P970" s="650"/>
      <c r="Q970" s="650"/>
      <c r="R970" s="650"/>
      <c r="S970" s="650"/>
      <c r="T970" s="650"/>
      <c r="U970" s="650"/>
      <c r="V970" s="650"/>
      <c r="W970" s="650"/>
      <c r="X970" s="650"/>
      <c r="Y970" s="650"/>
      <c r="Z970" s="650"/>
      <c r="AA970" s="650"/>
      <c r="AB970" s="650"/>
      <c r="AC970" s="650"/>
      <c r="AD970" s="650"/>
      <c r="AE970" s="650"/>
      <c r="AF970" s="650"/>
      <c r="AG970" s="650"/>
      <c r="AH970" s="650"/>
      <c r="AI970" s="650"/>
      <c r="AJ970" s="650"/>
      <c r="AK970" s="650"/>
      <c r="AL970" s="650"/>
      <c r="AM970" s="650"/>
      <c r="AN970" s="650"/>
      <c r="AO970" s="650"/>
      <c r="AP970" s="650"/>
      <c r="AQ970" s="650"/>
      <c r="AR970" s="650"/>
      <c r="AS970" s="650"/>
      <c r="AT970" s="650"/>
      <c r="AU970" s="650"/>
      <c r="AV970" s="650"/>
      <c r="AW970" s="650"/>
      <c r="AX970" s="650"/>
      <c r="AY970" s="650"/>
    </row>
    <row r="971" ht="21.75" customHeight="1">
      <c r="A971" s="650"/>
      <c r="B971" s="650"/>
      <c r="C971" s="650"/>
      <c r="D971" s="650"/>
      <c r="E971" s="650"/>
      <c r="F971" s="650"/>
      <c r="G971" s="650"/>
      <c r="H971" s="650"/>
      <c r="I971" s="650"/>
      <c r="J971" s="650"/>
      <c r="K971" s="650"/>
      <c r="L971" s="650"/>
      <c r="M971" s="650"/>
      <c r="N971" s="650"/>
      <c r="O971" s="650"/>
      <c r="P971" s="650"/>
      <c r="Q971" s="650"/>
      <c r="R971" s="650"/>
      <c r="S971" s="650"/>
      <c r="T971" s="650"/>
      <c r="U971" s="650"/>
      <c r="V971" s="650"/>
      <c r="W971" s="650"/>
      <c r="X971" s="650"/>
      <c r="Y971" s="650"/>
      <c r="Z971" s="650"/>
      <c r="AA971" s="650"/>
      <c r="AB971" s="650"/>
      <c r="AC971" s="650"/>
      <c r="AD971" s="650"/>
      <c r="AE971" s="650"/>
      <c r="AF971" s="650"/>
      <c r="AG971" s="650"/>
      <c r="AH971" s="650"/>
      <c r="AI971" s="650"/>
      <c r="AJ971" s="650"/>
      <c r="AK971" s="650"/>
      <c r="AL971" s="650"/>
      <c r="AM971" s="650"/>
      <c r="AN971" s="650"/>
      <c r="AO971" s="650"/>
      <c r="AP971" s="650"/>
      <c r="AQ971" s="650"/>
      <c r="AR971" s="650"/>
      <c r="AS971" s="650"/>
      <c r="AT971" s="650"/>
      <c r="AU971" s="650"/>
      <c r="AV971" s="650"/>
      <c r="AW971" s="650"/>
      <c r="AX971" s="650"/>
      <c r="AY971" s="650"/>
    </row>
    <row r="972" ht="21.75" customHeight="1">
      <c r="A972" s="650"/>
      <c r="B972" s="650"/>
      <c r="C972" s="650"/>
      <c r="D972" s="650"/>
      <c r="E972" s="650"/>
      <c r="F972" s="650"/>
      <c r="G972" s="650"/>
      <c r="H972" s="650"/>
      <c r="I972" s="650"/>
      <c r="J972" s="650"/>
      <c r="K972" s="650"/>
      <c r="L972" s="650"/>
      <c r="M972" s="650"/>
      <c r="N972" s="650"/>
      <c r="O972" s="650"/>
      <c r="P972" s="650"/>
      <c r="Q972" s="650"/>
      <c r="R972" s="650"/>
      <c r="S972" s="650"/>
      <c r="T972" s="650"/>
      <c r="U972" s="650"/>
      <c r="V972" s="650"/>
      <c r="W972" s="650"/>
      <c r="X972" s="650"/>
      <c r="Y972" s="650"/>
      <c r="Z972" s="650"/>
      <c r="AA972" s="650"/>
      <c r="AB972" s="650"/>
      <c r="AC972" s="650"/>
      <c r="AD972" s="650"/>
      <c r="AE972" s="650"/>
      <c r="AF972" s="650"/>
      <c r="AG972" s="650"/>
      <c r="AH972" s="650"/>
      <c r="AI972" s="650"/>
      <c r="AJ972" s="650"/>
      <c r="AK972" s="650"/>
      <c r="AL972" s="650"/>
      <c r="AM972" s="650"/>
      <c r="AN972" s="650"/>
      <c r="AO972" s="650"/>
      <c r="AP972" s="650"/>
      <c r="AQ972" s="650"/>
      <c r="AR972" s="650"/>
      <c r="AS972" s="650"/>
      <c r="AT972" s="650"/>
      <c r="AU972" s="650"/>
      <c r="AV972" s="650"/>
      <c r="AW972" s="650"/>
      <c r="AX972" s="650"/>
      <c r="AY972" s="650"/>
    </row>
    <row r="973" ht="21.75" customHeight="1">
      <c r="A973" s="650"/>
      <c r="B973" s="650"/>
      <c r="C973" s="650"/>
      <c r="D973" s="650"/>
      <c r="E973" s="650"/>
      <c r="F973" s="650"/>
      <c r="G973" s="650"/>
      <c r="H973" s="650"/>
      <c r="I973" s="650"/>
      <c r="J973" s="650"/>
      <c r="K973" s="650"/>
      <c r="L973" s="650"/>
      <c r="M973" s="650"/>
      <c r="N973" s="650"/>
      <c r="O973" s="650"/>
      <c r="P973" s="650"/>
      <c r="Q973" s="650"/>
      <c r="R973" s="650"/>
      <c r="S973" s="650"/>
      <c r="T973" s="650"/>
      <c r="U973" s="650"/>
      <c r="V973" s="650"/>
      <c r="W973" s="650"/>
      <c r="X973" s="650"/>
      <c r="Y973" s="650"/>
      <c r="Z973" s="650"/>
      <c r="AA973" s="650"/>
      <c r="AB973" s="650"/>
      <c r="AC973" s="650"/>
      <c r="AD973" s="650"/>
      <c r="AE973" s="650"/>
      <c r="AF973" s="650"/>
      <c r="AG973" s="650"/>
      <c r="AH973" s="650"/>
      <c r="AI973" s="650"/>
      <c r="AJ973" s="650"/>
      <c r="AK973" s="650"/>
      <c r="AL973" s="650"/>
      <c r="AM973" s="650"/>
      <c r="AN973" s="650"/>
      <c r="AO973" s="650"/>
      <c r="AP973" s="650"/>
      <c r="AQ973" s="650"/>
      <c r="AR973" s="650"/>
      <c r="AS973" s="650"/>
      <c r="AT973" s="650"/>
      <c r="AU973" s="650"/>
      <c r="AV973" s="650"/>
      <c r="AW973" s="650"/>
      <c r="AX973" s="650"/>
      <c r="AY973" s="650"/>
    </row>
    <row r="974" ht="21.75" customHeight="1">
      <c r="A974" s="650"/>
      <c r="B974" s="650"/>
      <c r="C974" s="650"/>
      <c r="D974" s="650"/>
      <c r="E974" s="650"/>
      <c r="F974" s="650"/>
      <c r="G974" s="650"/>
      <c r="H974" s="650"/>
      <c r="I974" s="650"/>
      <c r="J974" s="650"/>
      <c r="K974" s="650"/>
      <c r="L974" s="650"/>
      <c r="M974" s="650"/>
      <c r="N974" s="650"/>
      <c r="O974" s="650"/>
      <c r="P974" s="650"/>
      <c r="Q974" s="650"/>
      <c r="R974" s="650"/>
      <c r="S974" s="650"/>
      <c r="T974" s="650"/>
      <c r="U974" s="650"/>
      <c r="V974" s="650"/>
      <c r="W974" s="650"/>
      <c r="X974" s="650"/>
      <c r="Y974" s="650"/>
      <c r="Z974" s="650"/>
      <c r="AA974" s="650"/>
      <c r="AB974" s="650"/>
      <c r="AC974" s="650"/>
      <c r="AD974" s="650"/>
      <c r="AE974" s="650"/>
      <c r="AF974" s="650"/>
      <c r="AG974" s="650"/>
      <c r="AH974" s="650"/>
      <c r="AI974" s="650"/>
      <c r="AJ974" s="650"/>
      <c r="AK974" s="650"/>
      <c r="AL974" s="650"/>
      <c r="AM974" s="650"/>
      <c r="AN974" s="650"/>
      <c r="AO974" s="650"/>
      <c r="AP974" s="650"/>
      <c r="AQ974" s="650"/>
      <c r="AR974" s="650"/>
      <c r="AS974" s="650"/>
      <c r="AT974" s="650"/>
      <c r="AU974" s="650"/>
      <c r="AV974" s="650"/>
      <c r="AW974" s="650"/>
      <c r="AX974" s="650"/>
      <c r="AY974" s="650"/>
    </row>
    <row r="975" ht="21.75" customHeight="1">
      <c r="A975" s="650"/>
      <c r="B975" s="650"/>
      <c r="C975" s="650"/>
      <c r="D975" s="650"/>
      <c r="E975" s="650"/>
      <c r="F975" s="650"/>
      <c r="G975" s="650"/>
      <c r="H975" s="650"/>
      <c r="I975" s="650"/>
      <c r="J975" s="650"/>
      <c r="K975" s="650"/>
      <c r="L975" s="650"/>
      <c r="M975" s="650"/>
      <c r="N975" s="650"/>
      <c r="O975" s="650"/>
      <c r="P975" s="650"/>
      <c r="Q975" s="650"/>
      <c r="R975" s="650"/>
      <c r="S975" s="650"/>
      <c r="T975" s="650"/>
      <c r="U975" s="650"/>
      <c r="V975" s="650"/>
      <c r="W975" s="650"/>
      <c r="X975" s="650"/>
      <c r="Y975" s="650"/>
      <c r="Z975" s="650"/>
      <c r="AA975" s="650"/>
      <c r="AB975" s="650"/>
      <c r="AC975" s="650"/>
      <c r="AD975" s="650"/>
      <c r="AE975" s="650"/>
      <c r="AF975" s="650"/>
      <c r="AG975" s="650"/>
      <c r="AH975" s="650"/>
      <c r="AI975" s="650"/>
      <c r="AJ975" s="650"/>
      <c r="AK975" s="650"/>
      <c r="AL975" s="650"/>
      <c r="AM975" s="650"/>
      <c r="AN975" s="650"/>
      <c r="AO975" s="650"/>
      <c r="AP975" s="650"/>
      <c r="AQ975" s="650"/>
      <c r="AR975" s="650"/>
      <c r="AS975" s="650"/>
      <c r="AT975" s="650"/>
      <c r="AU975" s="650"/>
      <c r="AV975" s="650"/>
      <c r="AW975" s="650"/>
      <c r="AX975" s="650"/>
      <c r="AY975" s="650"/>
    </row>
    <row r="976" ht="21.75" customHeight="1">
      <c r="A976" s="650"/>
      <c r="B976" s="650"/>
      <c r="C976" s="650"/>
      <c r="D976" s="650"/>
      <c r="E976" s="650"/>
      <c r="F976" s="650"/>
      <c r="G976" s="650"/>
      <c r="H976" s="650"/>
      <c r="I976" s="650"/>
      <c r="J976" s="650"/>
      <c r="K976" s="650"/>
      <c r="L976" s="650"/>
      <c r="M976" s="650"/>
      <c r="N976" s="650"/>
      <c r="O976" s="650"/>
      <c r="P976" s="650"/>
      <c r="Q976" s="650"/>
      <c r="R976" s="650"/>
      <c r="S976" s="650"/>
      <c r="T976" s="650"/>
      <c r="U976" s="650"/>
      <c r="V976" s="650"/>
      <c r="W976" s="650"/>
      <c r="X976" s="650"/>
      <c r="Y976" s="650"/>
      <c r="Z976" s="650"/>
      <c r="AA976" s="650"/>
      <c r="AB976" s="650"/>
      <c r="AC976" s="650"/>
      <c r="AD976" s="650"/>
      <c r="AE976" s="650"/>
      <c r="AF976" s="650"/>
      <c r="AG976" s="650"/>
      <c r="AH976" s="650"/>
      <c r="AI976" s="650"/>
      <c r="AJ976" s="650"/>
      <c r="AK976" s="650"/>
      <c r="AL976" s="650"/>
      <c r="AM976" s="650"/>
      <c r="AN976" s="650"/>
      <c r="AO976" s="650"/>
      <c r="AP976" s="650"/>
      <c r="AQ976" s="650"/>
      <c r="AR976" s="650"/>
      <c r="AS976" s="650"/>
      <c r="AT976" s="650"/>
      <c r="AU976" s="650"/>
      <c r="AV976" s="650"/>
      <c r="AW976" s="650"/>
      <c r="AX976" s="650"/>
      <c r="AY976" s="650"/>
    </row>
    <row r="977" ht="21.75" customHeight="1">
      <c r="A977" s="650"/>
      <c r="B977" s="650"/>
      <c r="C977" s="650"/>
      <c r="D977" s="650"/>
      <c r="E977" s="650"/>
      <c r="F977" s="650"/>
      <c r="G977" s="650"/>
      <c r="H977" s="650"/>
      <c r="I977" s="650"/>
      <c r="J977" s="650"/>
      <c r="K977" s="650"/>
      <c r="L977" s="650"/>
      <c r="M977" s="650"/>
      <c r="N977" s="650"/>
      <c r="O977" s="650"/>
      <c r="P977" s="650"/>
      <c r="Q977" s="650"/>
      <c r="R977" s="650"/>
      <c r="S977" s="650"/>
      <c r="T977" s="650"/>
      <c r="U977" s="650"/>
      <c r="V977" s="650"/>
      <c r="W977" s="650"/>
      <c r="X977" s="650"/>
      <c r="Y977" s="650"/>
      <c r="Z977" s="650"/>
      <c r="AA977" s="650"/>
      <c r="AB977" s="650"/>
      <c r="AC977" s="650"/>
      <c r="AD977" s="650"/>
      <c r="AE977" s="650"/>
      <c r="AF977" s="650"/>
      <c r="AG977" s="650"/>
      <c r="AH977" s="650"/>
      <c r="AI977" s="650"/>
      <c r="AJ977" s="650"/>
      <c r="AK977" s="650"/>
      <c r="AL977" s="650"/>
      <c r="AM977" s="650"/>
      <c r="AN977" s="650"/>
      <c r="AO977" s="650"/>
      <c r="AP977" s="650"/>
      <c r="AQ977" s="650"/>
      <c r="AR977" s="650"/>
      <c r="AS977" s="650"/>
      <c r="AT977" s="650"/>
      <c r="AU977" s="650"/>
      <c r="AV977" s="650"/>
      <c r="AW977" s="650"/>
      <c r="AX977" s="650"/>
      <c r="AY977" s="650"/>
    </row>
    <row r="978" ht="21.75" customHeight="1">
      <c r="A978" s="650"/>
      <c r="B978" s="650"/>
      <c r="C978" s="650"/>
      <c r="D978" s="650"/>
      <c r="E978" s="650"/>
      <c r="F978" s="650"/>
      <c r="G978" s="650"/>
      <c r="H978" s="650"/>
      <c r="I978" s="650"/>
      <c r="J978" s="650"/>
      <c r="K978" s="650"/>
      <c r="L978" s="650"/>
      <c r="M978" s="650"/>
      <c r="N978" s="650"/>
      <c r="O978" s="650"/>
      <c r="P978" s="650"/>
      <c r="Q978" s="650"/>
      <c r="R978" s="650"/>
      <c r="S978" s="650"/>
      <c r="T978" s="650"/>
      <c r="U978" s="650"/>
      <c r="V978" s="650"/>
      <c r="W978" s="650"/>
      <c r="X978" s="650"/>
      <c r="Y978" s="650"/>
      <c r="Z978" s="650"/>
      <c r="AA978" s="650"/>
      <c r="AB978" s="650"/>
      <c r="AC978" s="650"/>
      <c r="AD978" s="650"/>
      <c r="AE978" s="650"/>
      <c r="AF978" s="650"/>
      <c r="AG978" s="650"/>
      <c r="AH978" s="650"/>
      <c r="AI978" s="650"/>
      <c r="AJ978" s="650"/>
      <c r="AK978" s="650"/>
      <c r="AL978" s="650"/>
      <c r="AM978" s="650"/>
      <c r="AN978" s="650"/>
      <c r="AO978" s="650"/>
      <c r="AP978" s="650"/>
      <c r="AQ978" s="650"/>
      <c r="AR978" s="650"/>
      <c r="AS978" s="650"/>
      <c r="AT978" s="650"/>
      <c r="AU978" s="650"/>
      <c r="AV978" s="650"/>
      <c r="AW978" s="650"/>
      <c r="AX978" s="650"/>
      <c r="AY978" s="650"/>
    </row>
    <row r="979" ht="21.75" customHeight="1">
      <c r="A979" s="650"/>
      <c r="B979" s="650"/>
      <c r="C979" s="650"/>
      <c r="D979" s="650"/>
      <c r="E979" s="650"/>
      <c r="F979" s="650"/>
      <c r="G979" s="650"/>
      <c r="H979" s="650"/>
      <c r="I979" s="650"/>
      <c r="J979" s="650"/>
      <c r="K979" s="650"/>
      <c r="L979" s="650"/>
      <c r="M979" s="650"/>
      <c r="N979" s="650"/>
      <c r="O979" s="650"/>
      <c r="P979" s="650"/>
      <c r="Q979" s="650"/>
      <c r="R979" s="650"/>
      <c r="S979" s="650"/>
      <c r="T979" s="650"/>
      <c r="U979" s="650"/>
      <c r="V979" s="650"/>
      <c r="W979" s="650"/>
      <c r="X979" s="650"/>
      <c r="Y979" s="650"/>
      <c r="Z979" s="650"/>
      <c r="AA979" s="650"/>
      <c r="AB979" s="650"/>
      <c r="AC979" s="650"/>
      <c r="AD979" s="650"/>
      <c r="AE979" s="650"/>
      <c r="AF979" s="650"/>
      <c r="AG979" s="650"/>
      <c r="AH979" s="650"/>
      <c r="AI979" s="650"/>
      <c r="AJ979" s="650"/>
      <c r="AK979" s="650"/>
      <c r="AL979" s="650"/>
      <c r="AM979" s="650"/>
      <c r="AN979" s="650"/>
      <c r="AO979" s="650"/>
      <c r="AP979" s="650"/>
      <c r="AQ979" s="650"/>
      <c r="AR979" s="650"/>
      <c r="AS979" s="650"/>
      <c r="AT979" s="650"/>
      <c r="AU979" s="650"/>
      <c r="AV979" s="650"/>
      <c r="AW979" s="650"/>
      <c r="AX979" s="650"/>
      <c r="AY979" s="650"/>
    </row>
    <row r="980" ht="21.75" customHeight="1">
      <c r="A980" s="650"/>
      <c r="B980" s="650"/>
      <c r="C980" s="650"/>
      <c r="D980" s="650"/>
      <c r="E980" s="650"/>
      <c r="F980" s="650"/>
      <c r="G980" s="650"/>
      <c r="H980" s="650"/>
      <c r="I980" s="650"/>
      <c r="J980" s="650"/>
      <c r="K980" s="650"/>
      <c r="L980" s="650"/>
      <c r="M980" s="650"/>
      <c r="N980" s="650"/>
      <c r="O980" s="650"/>
      <c r="P980" s="650"/>
      <c r="Q980" s="650"/>
      <c r="R980" s="650"/>
      <c r="S980" s="650"/>
      <c r="T980" s="650"/>
      <c r="U980" s="650"/>
      <c r="V980" s="650"/>
      <c r="W980" s="650"/>
      <c r="X980" s="650"/>
      <c r="Y980" s="650"/>
      <c r="Z980" s="650"/>
      <c r="AA980" s="650"/>
      <c r="AB980" s="650"/>
      <c r="AC980" s="650"/>
      <c r="AD980" s="650"/>
      <c r="AE980" s="650"/>
      <c r="AF980" s="650"/>
      <c r="AG980" s="650"/>
      <c r="AH980" s="650"/>
      <c r="AI980" s="650"/>
      <c r="AJ980" s="650"/>
      <c r="AK980" s="650"/>
      <c r="AL980" s="650"/>
      <c r="AM980" s="650"/>
      <c r="AN980" s="650"/>
      <c r="AO980" s="650"/>
      <c r="AP980" s="650"/>
      <c r="AQ980" s="650"/>
      <c r="AR980" s="650"/>
      <c r="AS980" s="650"/>
      <c r="AT980" s="650"/>
      <c r="AU980" s="650"/>
      <c r="AV980" s="650"/>
      <c r="AW980" s="650"/>
      <c r="AX980" s="650"/>
      <c r="AY980" s="650"/>
    </row>
    <row r="981" ht="21.75" customHeight="1">
      <c r="A981" s="650"/>
      <c r="B981" s="650"/>
      <c r="C981" s="650"/>
      <c r="D981" s="650"/>
      <c r="E981" s="650"/>
      <c r="F981" s="650"/>
      <c r="G981" s="650"/>
      <c r="H981" s="650"/>
      <c r="I981" s="650"/>
      <c r="J981" s="650"/>
      <c r="K981" s="650"/>
      <c r="L981" s="650"/>
      <c r="M981" s="650"/>
      <c r="N981" s="650"/>
      <c r="O981" s="650"/>
      <c r="P981" s="650"/>
      <c r="Q981" s="650"/>
      <c r="R981" s="650"/>
      <c r="S981" s="650"/>
      <c r="T981" s="650"/>
      <c r="U981" s="650"/>
      <c r="V981" s="650"/>
      <c r="W981" s="650"/>
      <c r="X981" s="650"/>
      <c r="Y981" s="650"/>
      <c r="Z981" s="650"/>
      <c r="AA981" s="650"/>
      <c r="AB981" s="650"/>
      <c r="AC981" s="650"/>
      <c r="AD981" s="650"/>
      <c r="AE981" s="650"/>
      <c r="AF981" s="650"/>
      <c r="AG981" s="650"/>
      <c r="AH981" s="650"/>
      <c r="AI981" s="650"/>
      <c r="AJ981" s="650"/>
      <c r="AK981" s="650"/>
      <c r="AL981" s="650"/>
      <c r="AM981" s="650"/>
      <c r="AN981" s="650"/>
      <c r="AO981" s="650"/>
      <c r="AP981" s="650"/>
      <c r="AQ981" s="650"/>
      <c r="AR981" s="650"/>
      <c r="AS981" s="650"/>
      <c r="AT981" s="650"/>
      <c r="AU981" s="650"/>
      <c r="AV981" s="650"/>
      <c r="AW981" s="650"/>
      <c r="AX981" s="650"/>
      <c r="AY981" s="650"/>
    </row>
    <row r="982" ht="21.75" customHeight="1">
      <c r="A982" s="650"/>
      <c r="B982" s="650"/>
      <c r="C982" s="650"/>
      <c r="D982" s="650"/>
      <c r="E982" s="650"/>
      <c r="F982" s="650"/>
      <c r="G982" s="650"/>
      <c r="H982" s="650"/>
      <c r="I982" s="650"/>
      <c r="J982" s="650"/>
      <c r="K982" s="650"/>
      <c r="L982" s="650"/>
      <c r="M982" s="650"/>
      <c r="N982" s="650"/>
      <c r="O982" s="650"/>
      <c r="P982" s="650"/>
      <c r="Q982" s="650"/>
      <c r="R982" s="650"/>
      <c r="S982" s="650"/>
      <c r="T982" s="650"/>
      <c r="U982" s="650"/>
      <c r="V982" s="650"/>
      <c r="W982" s="650"/>
      <c r="X982" s="650"/>
      <c r="Y982" s="650"/>
      <c r="Z982" s="650"/>
      <c r="AA982" s="650"/>
      <c r="AB982" s="650"/>
      <c r="AC982" s="650"/>
      <c r="AD982" s="650"/>
      <c r="AE982" s="650"/>
      <c r="AF982" s="650"/>
      <c r="AG982" s="650"/>
      <c r="AH982" s="650"/>
      <c r="AI982" s="508"/>
      <c r="AJ982" s="508"/>
      <c r="AK982" s="508"/>
      <c r="AL982" s="508"/>
      <c r="AM982" s="508"/>
      <c r="AN982" s="508"/>
      <c r="AO982" s="508"/>
      <c r="AP982" s="508"/>
      <c r="AQ982" s="508"/>
      <c r="AR982" s="508"/>
      <c r="AS982" s="508"/>
      <c r="AT982" s="508"/>
      <c r="AU982" s="508"/>
      <c r="AV982" s="508"/>
      <c r="AW982" s="508"/>
      <c r="AX982" s="650"/>
      <c r="AY982" s="650"/>
    </row>
  </sheetData>
  <mergeCells count="294">
    <mergeCell ref="M51:P52"/>
    <mergeCell ref="M53:P54"/>
    <mergeCell ref="C55:P55"/>
    <mergeCell ref="C56:D56"/>
    <mergeCell ref="E56:P56"/>
    <mergeCell ref="C57:D57"/>
    <mergeCell ref="E57:P57"/>
    <mergeCell ref="C58:D58"/>
    <mergeCell ref="E58:P58"/>
    <mergeCell ref="C59:D59"/>
    <mergeCell ref="E59:P59"/>
    <mergeCell ref="C60:D60"/>
    <mergeCell ref="E60:P60"/>
    <mergeCell ref="E61:P61"/>
    <mergeCell ref="C61:D61"/>
    <mergeCell ref="C62:D62"/>
    <mergeCell ref="E62:P62"/>
    <mergeCell ref="C63:D63"/>
    <mergeCell ref="E63:P63"/>
    <mergeCell ref="C64:D64"/>
    <mergeCell ref="E64:P64"/>
    <mergeCell ref="C65:D65"/>
    <mergeCell ref="E65:P65"/>
    <mergeCell ref="D66:P66"/>
    <mergeCell ref="D67:P67"/>
    <mergeCell ref="D68:P68"/>
    <mergeCell ref="D69:P69"/>
    <mergeCell ref="D70:P70"/>
    <mergeCell ref="D78:P78"/>
    <mergeCell ref="D79:P79"/>
    <mergeCell ref="D80:P80"/>
    <mergeCell ref="D81:P81"/>
    <mergeCell ref="D82:P82"/>
    <mergeCell ref="D83:P83"/>
    <mergeCell ref="D84:P84"/>
    <mergeCell ref="D85:P85"/>
    <mergeCell ref="D86:P86"/>
    <mergeCell ref="D87:P87"/>
    <mergeCell ref="D88:P88"/>
    <mergeCell ref="D89:P89"/>
    <mergeCell ref="D90:P90"/>
    <mergeCell ref="D91:P91"/>
    <mergeCell ref="D92:P92"/>
    <mergeCell ref="D93:P93"/>
    <mergeCell ref="D94:P94"/>
    <mergeCell ref="D95:P95"/>
    <mergeCell ref="D96:P96"/>
    <mergeCell ref="D97:P97"/>
    <mergeCell ref="D98:P98"/>
    <mergeCell ref="D99:P99"/>
    <mergeCell ref="D100:P100"/>
    <mergeCell ref="D101:P101"/>
    <mergeCell ref="D102:P102"/>
    <mergeCell ref="D103:P103"/>
    <mergeCell ref="D104:P104"/>
    <mergeCell ref="D105:P105"/>
    <mergeCell ref="D106:P106"/>
    <mergeCell ref="D107:P107"/>
    <mergeCell ref="D108:P108"/>
    <mergeCell ref="D109:P109"/>
    <mergeCell ref="D110:P110"/>
    <mergeCell ref="D111:P111"/>
    <mergeCell ref="D112:P112"/>
    <mergeCell ref="D120:P120"/>
    <mergeCell ref="D121:P121"/>
    <mergeCell ref="D122:P122"/>
    <mergeCell ref="D123:P123"/>
    <mergeCell ref="D113:P113"/>
    <mergeCell ref="D114:P114"/>
    <mergeCell ref="D115:P115"/>
    <mergeCell ref="D116:P116"/>
    <mergeCell ref="D117:P117"/>
    <mergeCell ref="D118:P118"/>
    <mergeCell ref="D119:P119"/>
    <mergeCell ref="K14:L14"/>
    <mergeCell ref="K15:L15"/>
    <mergeCell ref="K16:O16"/>
    <mergeCell ref="K18:L18"/>
    <mergeCell ref="M18:O18"/>
    <mergeCell ref="C19:P19"/>
    <mergeCell ref="E20:P20"/>
    <mergeCell ref="J21:P21"/>
    <mergeCell ref="C22:D22"/>
    <mergeCell ref="E22:O22"/>
    <mergeCell ref="C23:D23"/>
    <mergeCell ref="E23:O23"/>
    <mergeCell ref="C24:D24"/>
    <mergeCell ref="E24:O24"/>
    <mergeCell ref="C25:D25"/>
    <mergeCell ref="E25:O25"/>
    <mergeCell ref="C26:D26"/>
    <mergeCell ref="E26:O26"/>
    <mergeCell ref="C27:D27"/>
    <mergeCell ref="E27:O27"/>
    <mergeCell ref="C28:D28"/>
    <mergeCell ref="C29:D29"/>
    <mergeCell ref="C30:P30"/>
    <mergeCell ref="C31:P31"/>
    <mergeCell ref="C32:P32"/>
    <mergeCell ref="C33:P33"/>
    <mergeCell ref="C34:P34"/>
    <mergeCell ref="C35:P35"/>
    <mergeCell ref="C36:P36"/>
    <mergeCell ref="C37:P37"/>
    <mergeCell ref="C38:P38"/>
    <mergeCell ref="C39:P39"/>
    <mergeCell ref="C40:P40"/>
    <mergeCell ref="C41:P41"/>
    <mergeCell ref="C42:P42"/>
    <mergeCell ref="C43:P43"/>
    <mergeCell ref="C44:P44"/>
    <mergeCell ref="C45:P45"/>
    <mergeCell ref="C46:P46"/>
    <mergeCell ref="C47:P47"/>
    <mergeCell ref="C48:P48"/>
    <mergeCell ref="G49:K49"/>
    <mergeCell ref="D71:P71"/>
    <mergeCell ref="D72:P72"/>
    <mergeCell ref="D73:P73"/>
    <mergeCell ref="D74:P74"/>
    <mergeCell ref="D75:P75"/>
    <mergeCell ref="D76:P76"/>
    <mergeCell ref="D77:P77"/>
    <mergeCell ref="AJ9:AN9"/>
    <mergeCell ref="AK10:AP10"/>
    <mergeCell ref="AK11:AM11"/>
    <mergeCell ref="AJ12:AK12"/>
    <mergeCell ref="AQ10:AR10"/>
    <mergeCell ref="AS10:AU10"/>
    <mergeCell ref="AQ11:AV11"/>
    <mergeCell ref="AM12:AV12"/>
    <mergeCell ref="AJ13:AV13"/>
    <mergeCell ref="AK14:AL14"/>
    <mergeCell ref="AM14:AT14"/>
    <mergeCell ref="AK17:AL17"/>
    <mergeCell ref="AK18:AL18"/>
    <mergeCell ref="AK16:AL16"/>
    <mergeCell ref="AM16:AR16"/>
    <mergeCell ref="AT16:AU16"/>
    <mergeCell ref="X17:Z17"/>
    <mergeCell ref="AM17:AO17"/>
    <mergeCell ref="AB18:AF18"/>
    <mergeCell ref="AM18:AV18"/>
    <mergeCell ref="C4:P5"/>
    <mergeCell ref="U5:AF6"/>
    <mergeCell ref="AN5:AQ6"/>
    <mergeCell ref="C6:P6"/>
    <mergeCell ref="U7:AF7"/>
    <mergeCell ref="AJ7:AV7"/>
    <mergeCell ref="G8:O8"/>
    <mergeCell ref="C8:E8"/>
    <mergeCell ref="D9:H9"/>
    <mergeCell ref="U9:V9"/>
    <mergeCell ref="AQ9:AV9"/>
    <mergeCell ref="D10:E10"/>
    <mergeCell ref="F10:H10"/>
    <mergeCell ref="V10:Y10"/>
    <mergeCell ref="J9:P9"/>
    <mergeCell ref="J10:P10"/>
    <mergeCell ref="C11:D11"/>
    <mergeCell ref="E11:P11"/>
    <mergeCell ref="C12:J12"/>
    <mergeCell ref="M12:P12"/>
    <mergeCell ref="U12:V12"/>
    <mergeCell ref="V14:W14"/>
    <mergeCell ref="X15:Y15"/>
    <mergeCell ref="AA15:AF15"/>
    <mergeCell ref="AK15:AL15"/>
    <mergeCell ref="AO15:AR15"/>
    <mergeCell ref="AS15:AT15"/>
    <mergeCell ref="AU15:AV15"/>
    <mergeCell ref="K12:L12"/>
    <mergeCell ref="K13:L13"/>
    <mergeCell ref="M13:N13"/>
    <mergeCell ref="U13:AB13"/>
    <mergeCell ref="M14:O14"/>
    <mergeCell ref="E15:I15"/>
    <mergeCell ref="M15:N15"/>
    <mergeCell ref="X18:Z18"/>
    <mergeCell ref="X19:Y19"/>
    <mergeCell ref="AA19:AF19"/>
    <mergeCell ref="AK19:AL19"/>
    <mergeCell ref="AM19:AS19"/>
    <mergeCell ref="AU19:AV19"/>
    <mergeCell ref="AK20:AL20"/>
    <mergeCell ref="C20:D20"/>
    <mergeCell ref="C21:D21"/>
    <mergeCell ref="E21:F21"/>
    <mergeCell ref="U21:V21"/>
    <mergeCell ref="W21:AF21"/>
    <mergeCell ref="AJ21:AK21"/>
    <mergeCell ref="AL21:AU21"/>
    <mergeCell ref="U30:V30"/>
    <mergeCell ref="U31:AF31"/>
    <mergeCell ref="U32:AF32"/>
    <mergeCell ref="U33:AF33"/>
    <mergeCell ref="U34:AF34"/>
    <mergeCell ref="U35:AF35"/>
    <mergeCell ref="U36:AF36"/>
    <mergeCell ref="U37:AF37"/>
    <mergeCell ref="U38:AF38"/>
    <mergeCell ref="U39:AB39"/>
    <mergeCell ref="U40:AF40"/>
    <mergeCell ref="U41:AF41"/>
    <mergeCell ref="U42:AF42"/>
    <mergeCell ref="U43:AF43"/>
    <mergeCell ref="V53:W53"/>
    <mergeCell ref="U54:U55"/>
    <mergeCell ref="V54:W54"/>
    <mergeCell ref="V55:W55"/>
    <mergeCell ref="AE54:AF55"/>
    <mergeCell ref="X55:Z55"/>
    <mergeCell ref="AB55:AD55"/>
    <mergeCell ref="U44:AF44"/>
    <mergeCell ref="U48:AF48"/>
    <mergeCell ref="U50:AF50"/>
    <mergeCell ref="V52:W52"/>
    <mergeCell ref="Z52:AD52"/>
    <mergeCell ref="AE52:AF53"/>
    <mergeCell ref="AB53:AD53"/>
    <mergeCell ref="AJ38:AV38"/>
    <mergeCell ref="AJ39:AV39"/>
    <mergeCell ref="AJ40:AV40"/>
    <mergeCell ref="AJ41:AV41"/>
    <mergeCell ref="AJ42:AV42"/>
    <mergeCell ref="AJ43:AV43"/>
    <mergeCell ref="AJ44:AV44"/>
    <mergeCell ref="AT52:AV53"/>
    <mergeCell ref="AQ53:AS53"/>
    <mergeCell ref="AK53:AL53"/>
    <mergeCell ref="AK54:AL54"/>
    <mergeCell ref="AM54:AO54"/>
    <mergeCell ref="AT54:AV55"/>
    <mergeCell ref="AM55:AO55"/>
    <mergeCell ref="AQ55:AS55"/>
    <mergeCell ref="AJ45:AV46"/>
    <mergeCell ref="AJ47:AV47"/>
    <mergeCell ref="AJ48:AV48"/>
    <mergeCell ref="AJ50:AV50"/>
    <mergeCell ref="AK52:AL52"/>
    <mergeCell ref="AM52:AN52"/>
    <mergeCell ref="AJ54:AJ55"/>
    <mergeCell ref="AK55:AL55"/>
    <mergeCell ref="AJ23:AK23"/>
    <mergeCell ref="AL23:AU23"/>
    <mergeCell ref="U22:V22"/>
    <mergeCell ref="X22:Y22"/>
    <mergeCell ref="AB22:AF22"/>
    <mergeCell ref="AJ22:AK22"/>
    <mergeCell ref="AQ22:AU22"/>
    <mergeCell ref="U23:V23"/>
    <mergeCell ref="W23:AF23"/>
    <mergeCell ref="U24:V24"/>
    <mergeCell ref="W24:AF24"/>
    <mergeCell ref="AJ24:AK24"/>
    <mergeCell ref="AL24:AU24"/>
    <mergeCell ref="W25:AF25"/>
    <mergeCell ref="AJ25:AK25"/>
    <mergeCell ref="AL25:AU25"/>
    <mergeCell ref="AJ27:AK27"/>
    <mergeCell ref="AL27:AU27"/>
    <mergeCell ref="U25:V25"/>
    <mergeCell ref="U26:V26"/>
    <mergeCell ref="W26:AF26"/>
    <mergeCell ref="AJ26:AK26"/>
    <mergeCell ref="AL26:AU26"/>
    <mergeCell ref="U27:V27"/>
    <mergeCell ref="W27:AF27"/>
    <mergeCell ref="U28:V28"/>
    <mergeCell ref="W28:AF28"/>
    <mergeCell ref="AJ28:AK28"/>
    <mergeCell ref="AL28:AU28"/>
    <mergeCell ref="U29:V29"/>
    <mergeCell ref="AJ29:AK29"/>
    <mergeCell ref="AJ30:AM30"/>
    <mergeCell ref="AJ31:AV31"/>
    <mergeCell ref="AJ32:AV32"/>
    <mergeCell ref="AJ33:AV33"/>
    <mergeCell ref="AJ34:AV34"/>
    <mergeCell ref="AJ35:AV35"/>
    <mergeCell ref="AJ36:AV36"/>
    <mergeCell ref="AJ37:AV37"/>
    <mergeCell ref="D52:E52"/>
    <mergeCell ref="D53:E53"/>
    <mergeCell ref="D54:E54"/>
    <mergeCell ref="F54:H54"/>
    <mergeCell ref="C51:C52"/>
    <mergeCell ref="D51:E51"/>
    <mergeCell ref="H51:L51"/>
    <mergeCell ref="F52:H52"/>
    <mergeCell ref="J52:L52"/>
    <mergeCell ref="C53:C54"/>
    <mergeCell ref="H53:L53"/>
    <mergeCell ref="J54:L54"/>
  </mergeCells>
  <conditionalFormatting sqref="C19:C47 D19:Q46">
    <cfRule type="notContainsBlanks" dxfId="8" priority="1">
      <formula>LEN(TRIM(C19))&gt;0</formula>
    </cfRule>
  </conditionalFormatting>
  <conditionalFormatting sqref="C19:C47 D19:Q46">
    <cfRule type="notContainsBlanks" dxfId="8" priority="2">
      <formula>LEN(TRIM(C19))&gt;0</formula>
    </cfRule>
  </conditionalFormatting>
  <printOptions horizontalCentered="1"/>
  <pageMargins bottom="0.75" footer="0.0" header="0.0" left="0.25" right="0.25" top="0.75"/>
  <pageSetup fitToHeight="0" paperSize="8"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5"/>
    <col customWidth="1" min="2" max="2" width="3.5"/>
    <col customWidth="1" min="3" max="3" width="11.0"/>
    <col customWidth="1" min="4" max="4" width="15.38"/>
    <col customWidth="1" min="5" max="5" width="9.0"/>
    <col customWidth="1" min="6" max="6" width="11.5"/>
    <col customWidth="1" min="7" max="7" width="14.0"/>
    <col customWidth="1" min="8" max="8" width="11.0"/>
    <col customWidth="1" min="9" max="9" width="14.0"/>
    <col customWidth="1" min="10" max="10" width="3.25"/>
    <col customWidth="1" min="11" max="11" width="8.38"/>
    <col customWidth="1" min="12" max="12" width="13.75"/>
    <col customWidth="1" min="13" max="13" width="6.63"/>
    <col customWidth="1" min="14" max="14" width="13.38"/>
    <col customWidth="1" min="15" max="15" width="12.38"/>
    <col customWidth="1" min="16" max="16" width="3.63"/>
    <col customWidth="1" min="17" max="17" width="3.5"/>
    <col customWidth="1" min="18" max="18" width="3.38"/>
    <col customWidth="1" hidden="1" min="19" max="19" width="3.38"/>
    <col customWidth="1" hidden="1" min="20" max="20" width="3.5"/>
    <col customWidth="1" hidden="1" min="21" max="24" width="11.0"/>
    <col customWidth="1" hidden="1" min="25" max="25" width="8.5"/>
    <col customWidth="1" hidden="1" min="26" max="26" width="11.0"/>
    <col customWidth="1" hidden="1" min="27" max="27" width="14.38"/>
    <col customWidth="1" hidden="1" min="28" max="28" width="11.0"/>
    <col customWidth="1" hidden="1" min="29" max="29" width="5.5"/>
    <col customWidth="1" hidden="1" min="30" max="30" width="6.5"/>
    <col customWidth="1" hidden="1" min="31" max="32" width="11.0"/>
    <col customWidth="1" hidden="1" min="33" max="34" width="3.5"/>
    <col customWidth="1" min="35" max="35" width="4.25"/>
    <col customWidth="1" min="36" max="36" width="17.13"/>
    <col customWidth="1" min="37" max="37" width="6.5"/>
    <col customWidth="1" min="38" max="38" width="11.0"/>
    <col customWidth="1" min="39" max="39" width="12.63"/>
    <col customWidth="1" min="40" max="40" width="10.63"/>
    <col customWidth="1" min="41" max="41" width="8.0"/>
    <col customWidth="1" min="42" max="42" width="14.38"/>
    <col customWidth="1" min="43" max="43" width="6.13"/>
    <col customWidth="1" min="44" max="44" width="6.88"/>
    <col customWidth="1" min="45" max="45" width="8.63"/>
    <col customWidth="1" min="46" max="46" width="13.25"/>
    <col customWidth="1" min="47" max="47" width="19.38"/>
    <col customWidth="1" min="48" max="48" width="1.75"/>
    <col customWidth="1" min="49" max="49" width="4.63"/>
    <col customWidth="1" min="50" max="51" width="3.38"/>
  </cols>
  <sheetData>
    <row r="1" ht="6.75" customHeight="1">
      <c r="A1" s="711"/>
      <c r="B1" s="711"/>
      <c r="C1" s="711"/>
      <c r="D1" s="711"/>
      <c r="E1" s="711"/>
      <c r="F1" s="711"/>
      <c r="G1" s="711"/>
      <c r="H1" s="711"/>
      <c r="I1" s="711"/>
      <c r="J1" s="711"/>
      <c r="K1" s="711"/>
      <c r="L1" s="711"/>
      <c r="M1" s="711"/>
      <c r="N1" s="711"/>
      <c r="O1" s="711"/>
      <c r="P1" s="711"/>
      <c r="Q1" s="711"/>
      <c r="R1" s="711"/>
      <c r="S1" s="711"/>
      <c r="T1" s="711"/>
      <c r="U1" s="711"/>
      <c r="V1" s="711"/>
      <c r="W1" s="711"/>
      <c r="X1" s="711"/>
      <c r="Y1" s="711"/>
      <c r="Z1" s="711"/>
      <c r="AA1" s="711"/>
      <c r="AB1" s="711"/>
      <c r="AC1" s="711"/>
      <c r="AD1" s="711"/>
      <c r="AE1" s="711"/>
      <c r="AF1" s="711"/>
      <c r="AG1" s="711"/>
      <c r="AH1" s="711"/>
      <c r="AI1" s="711"/>
      <c r="AJ1" s="711"/>
      <c r="AK1" s="711"/>
      <c r="AL1" s="711"/>
      <c r="AM1" s="711"/>
      <c r="AN1" s="711"/>
      <c r="AO1" s="711"/>
      <c r="AP1" s="711"/>
      <c r="AQ1" s="711"/>
      <c r="AR1" s="711"/>
      <c r="AS1" s="711"/>
      <c r="AT1" s="711"/>
      <c r="AU1" s="711"/>
      <c r="AV1" s="711"/>
      <c r="AW1" s="711"/>
      <c r="AX1" s="711"/>
      <c r="AY1" s="711"/>
    </row>
    <row r="2" ht="21.75" customHeight="1">
      <c r="A2" s="711"/>
      <c r="B2" s="712"/>
      <c r="C2" s="712"/>
      <c r="D2" s="712"/>
      <c r="E2" s="712"/>
      <c r="F2" s="712"/>
      <c r="G2" s="712"/>
      <c r="H2" s="712"/>
      <c r="I2" s="712"/>
      <c r="J2" s="712"/>
      <c r="K2" s="712"/>
      <c r="L2" s="713" t="s">
        <v>2687</v>
      </c>
      <c r="M2" s="712"/>
      <c r="N2" s="712"/>
      <c r="O2" s="714" t="str">
        <f>'입주자(과거)'!C1</f>
        <v>#REF!</v>
      </c>
      <c r="P2" s="712"/>
      <c r="Q2" s="712"/>
      <c r="R2" s="712"/>
      <c r="S2" s="712"/>
      <c r="T2" s="712"/>
      <c r="U2" s="712"/>
      <c r="V2" s="712"/>
      <c r="W2" s="712"/>
      <c r="X2" s="712"/>
      <c r="Y2" s="712"/>
      <c r="Z2" s="712"/>
      <c r="AA2" s="711"/>
      <c r="AB2" s="712"/>
      <c r="AC2" s="712"/>
      <c r="AD2" s="712"/>
      <c r="AE2" s="712"/>
      <c r="AF2" s="712"/>
      <c r="AG2" s="712"/>
      <c r="AH2" s="712"/>
      <c r="AI2" s="712"/>
      <c r="AJ2" s="712"/>
      <c r="AK2" s="712"/>
      <c r="AL2" s="715" t="s">
        <v>2688</v>
      </c>
      <c r="AM2" s="712"/>
      <c r="AN2" s="712"/>
      <c r="AO2" s="712"/>
      <c r="AP2" s="712"/>
      <c r="AQ2" s="712"/>
      <c r="AR2" s="712"/>
    </row>
    <row r="3" ht="20.25" customHeight="1">
      <c r="A3" s="711"/>
      <c r="B3" s="711"/>
      <c r="C3" s="711"/>
      <c r="D3" s="711"/>
      <c r="E3" s="711"/>
      <c r="F3" s="711"/>
      <c r="G3" s="711"/>
      <c r="H3" s="711"/>
      <c r="I3" s="711"/>
      <c r="J3" s="711"/>
      <c r="K3" s="711"/>
      <c r="L3" s="711"/>
      <c r="M3" s="711"/>
      <c r="N3" s="716"/>
      <c r="O3" s="716"/>
      <c r="P3" s="711"/>
      <c r="Q3" s="711"/>
      <c r="R3" s="711"/>
      <c r="S3" s="711"/>
      <c r="T3" s="711"/>
      <c r="U3" s="711"/>
      <c r="V3" s="717"/>
      <c r="W3" s="711"/>
      <c r="X3" s="711"/>
      <c r="Y3" s="711"/>
      <c r="Z3" s="711"/>
      <c r="AA3" s="711"/>
      <c r="AB3" s="711"/>
      <c r="AC3" s="711"/>
      <c r="AD3" s="711"/>
      <c r="AE3" s="711"/>
      <c r="AF3" s="711"/>
      <c r="AG3" s="711"/>
      <c r="AH3" s="711"/>
      <c r="AI3" s="711"/>
      <c r="AJ3" s="711"/>
      <c r="AK3" s="711"/>
      <c r="AL3" s="711"/>
      <c r="AM3" s="711"/>
      <c r="AN3" s="711"/>
      <c r="AO3" s="711"/>
      <c r="AP3" s="711"/>
      <c r="AQ3" s="711"/>
      <c r="AR3" s="711"/>
      <c r="AS3" s="711"/>
      <c r="AT3" s="711"/>
      <c r="AU3" s="711"/>
      <c r="AV3" s="711"/>
      <c r="AW3" s="711"/>
      <c r="AX3" s="711"/>
      <c r="AY3" s="711"/>
    </row>
    <row r="4" ht="21.75" customHeight="1">
      <c r="A4" s="711"/>
      <c r="B4" s="718"/>
      <c r="C4" s="719"/>
      <c r="D4" s="719"/>
      <c r="E4" s="719"/>
      <c r="F4" s="719"/>
      <c r="G4" s="719"/>
      <c r="H4" s="719"/>
      <c r="I4" s="719"/>
      <c r="J4" s="719"/>
      <c r="K4" s="719"/>
      <c r="L4" s="719"/>
      <c r="M4" s="719"/>
      <c r="N4" s="719"/>
      <c r="O4" s="719"/>
      <c r="P4" s="719"/>
      <c r="Q4" s="720"/>
      <c r="R4" s="711"/>
      <c r="S4" s="711"/>
      <c r="T4" s="718"/>
      <c r="U4" s="719"/>
      <c r="V4" s="719"/>
      <c r="W4" s="719"/>
      <c r="X4" s="719"/>
      <c r="Y4" s="719"/>
      <c r="Z4" s="719"/>
      <c r="AA4" s="719"/>
      <c r="AB4" s="719"/>
      <c r="AC4" s="719"/>
      <c r="AD4" s="719"/>
      <c r="AE4" s="719"/>
      <c r="AF4" s="719"/>
      <c r="AG4" s="720"/>
      <c r="AH4" s="711"/>
      <c r="AI4" s="718"/>
      <c r="AJ4" s="719"/>
      <c r="AK4" s="719"/>
      <c r="AL4" s="719"/>
      <c r="AM4" s="719"/>
      <c r="AN4" s="719"/>
      <c r="AO4" s="719"/>
      <c r="AP4" s="719"/>
      <c r="AQ4" s="719"/>
      <c r="AR4" s="719"/>
      <c r="AS4" s="719"/>
      <c r="AT4" s="719"/>
      <c r="AU4" s="719"/>
      <c r="AV4" s="719"/>
      <c r="AW4" s="720"/>
      <c r="AX4" s="711"/>
      <c r="AY4" s="711"/>
    </row>
    <row r="5" ht="12.0" customHeight="1">
      <c r="A5" s="711"/>
      <c r="B5" s="721"/>
      <c r="C5" s="722" t="s">
        <v>2945</v>
      </c>
      <c r="Q5" s="723"/>
      <c r="R5" s="711"/>
      <c r="S5" s="711"/>
      <c r="T5" s="721"/>
      <c r="U5" s="722" t="s">
        <v>2690</v>
      </c>
      <c r="AG5" s="723"/>
      <c r="AH5" s="711"/>
      <c r="AI5" s="721"/>
      <c r="AK5" s="722"/>
      <c r="AL5" s="722"/>
      <c r="AM5" s="722"/>
      <c r="AN5" s="722" t="s">
        <v>2946</v>
      </c>
      <c r="AR5" s="722"/>
      <c r="AS5" s="722"/>
      <c r="AT5" s="722"/>
      <c r="AU5" s="722"/>
      <c r="AV5" s="722"/>
      <c r="AW5" s="723"/>
      <c r="AX5" s="711"/>
      <c r="AY5" s="711"/>
    </row>
    <row r="6" ht="21.75" customHeight="1">
      <c r="A6" s="711"/>
      <c r="B6" s="721"/>
      <c r="Q6" s="723"/>
      <c r="R6" s="711"/>
      <c r="S6" s="711"/>
      <c r="T6" s="721"/>
      <c r="AG6" s="723"/>
      <c r="AH6" s="711"/>
      <c r="AI6" s="721"/>
      <c r="AJ6" s="722"/>
      <c r="AK6" s="722"/>
      <c r="AL6" s="722"/>
      <c r="AM6" s="722"/>
      <c r="AR6" s="722"/>
      <c r="AS6" s="722"/>
      <c r="AT6" s="722"/>
      <c r="AU6" s="722"/>
      <c r="AV6" s="722"/>
      <c r="AW6" s="723"/>
      <c r="AX6" s="711"/>
      <c r="AY6" s="711"/>
    </row>
    <row r="7" ht="21.75" customHeight="1">
      <c r="A7" s="711"/>
      <c r="B7" s="721"/>
      <c r="C7" s="724" t="s">
        <v>2947</v>
      </c>
      <c r="Q7" s="723"/>
      <c r="R7" s="711"/>
      <c r="S7" s="711"/>
      <c r="T7" s="721"/>
      <c r="U7" s="724" t="s">
        <v>2692</v>
      </c>
      <c r="AG7" s="723"/>
      <c r="AH7" s="711"/>
      <c r="AI7" s="721"/>
      <c r="AJ7" s="724" t="s">
        <v>2693</v>
      </c>
      <c r="AW7" s="723"/>
      <c r="AX7" s="711"/>
      <c r="AY7" s="711"/>
    </row>
    <row r="8" ht="8.25" customHeight="1">
      <c r="A8" s="711"/>
      <c r="B8" s="721"/>
      <c r="C8" s="711"/>
      <c r="D8" s="711"/>
      <c r="E8" s="711"/>
      <c r="F8" s="711"/>
      <c r="G8" s="711"/>
      <c r="H8" s="711"/>
      <c r="I8" s="711"/>
      <c r="J8" s="711"/>
      <c r="K8" s="711"/>
      <c r="L8" s="711"/>
      <c r="M8" s="711"/>
      <c r="N8" s="711"/>
      <c r="O8" s="711"/>
      <c r="P8" s="711"/>
      <c r="Q8" s="723"/>
      <c r="R8" s="711"/>
      <c r="S8" s="711"/>
      <c r="T8" s="721"/>
      <c r="U8" s="711"/>
      <c r="V8" s="711"/>
      <c r="W8" s="711"/>
      <c r="X8" s="711"/>
      <c r="Y8" s="711"/>
      <c r="Z8" s="711"/>
      <c r="AA8" s="711"/>
      <c r="AB8" s="711"/>
      <c r="AC8" s="711"/>
      <c r="AD8" s="711"/>
      <c r="AE8" s="711"/>
      <c r="AF8" s="711"/>
      <c r="AG8" s="723"/>
      <c r="AH8" s="711"/>
      <c r="AI8" s="721"/>
      <c r="AJ8" s="711"/>
      <c r="AK8" s="711"/>
      <c r="AL8" s="711"/>
      <c r="AM8" s="711"/>
      <c r="AN8" s="711"/>
      <c r="AO8" s="711"/>
      <c r="AP8" s="711"/>
      <c r="AQ8" s="711"/>
      <c r="AR8" s="711"/>
      <c r="AS8" s="711"/>
      <c r="AT8" s="711"/>
      <c r="AU8" s="711"/>
      <c r="AV8" s="711"/>
      <c r="AW8" s="723"/>
      <c r="AX8" s="711"/>
      <c r="AY8" s="711"/>
    </row>
    <row r="9" ht="27.0" customHeight="1">
      <c r="A9" s="711"/>
      <c r="B9" s="721"/>
      <c r="C9" s="725" t="s">
        <v>2948</v>
      </c>
      <c r="F9" s="711"/>
      <c r="G9" s="711"/>
      <c r="H9" s="711"/>
      <c r="I9" s="711"/>
      <c r="J9" s="711"/>
      <c r="K9" s="711"/>
      <c r="L9" s="711"/>
      <c r="M9" s="711"/>
      <c r="N9" s="711"/>
      <c r="O9" s="711"/>
      <c r="P9" s="711"/>
      <c r="Q9" s="723"/>
      <c r="R9" s="711"/>
      <c r="S9" s="711"/>
      <c r="T9" s="721"/>
      <c r="U9" s="725" t="s">
        <v>2694</v>
      </c>
      <c r="W9" s="711"/>
      <c r="X9" s="711"/>
      <c r="Y9" s="711"/>
      <c r="Z9" s="711"/>
      <c r="AA9" s="711"/>
      <c r="AB9" s="711"/>
      <c r="AC9" s="711"/>
      <c r="AD9" s="711"/>
      <c r="AE9" s="711"/>
      <c r="AF9" s="711"/>
      <c r="AG9" s="723"/>
      <c r="AH9" s="711"/>
      <c r="AI9" s="721"/>
      <c r="AJ9" s="726" t="s">
        <v>2695</v>
      </c>
      <c r="AO9" s="711"/>
      <c r="AP9" s="711"/>
      <c r="AQ9" s="711"/>
      <c r="AR9" s="711"/>
      <c r="AS9" s="717"/>
      <c r="AT9" s="711"/>
      <c r="AU9" s="711"/>
      <c r="AV9" s="711"/>
      <c r="AW9" s="723"/>
      <c r="AX9" s="711"/>
      <c r="AY9" s="711"/>
    </row>
    <row r="10" ht="27.0" customHeight="1">
      <c r="A10" s="711"/>
      <c r="B10" s="721"/>
      <c r="C10" s="727" t="s">
        <v>1247</v>
      </c>
      <c r="D10" s="728" t="s">
        <v>2949</v>
      </c>
      <c r="E10" s="523"/>
      <c r="F10" s="523"/>
      <c r="G10" s="523"/>
      <c r="H10" s="523"/>
      <c r="I10" s="523"/>
      <c r="J10" s="523"/>
      <c r="K10" s="523"/>
      <c r="L10" s="523"/>
      <c r="M10" s="523"/>
      <c r="N10" s="523"/>
      <c r="O10" s="523"/>
      <c r="P10" s="523"/>
      <c r="Q10" s="723"/>
      <c r="R10" s="711"/>
      <c r="S10" s="711"/>
      <c r="T10" s="721"/>
      <c r="U10" s="729" t="s">
        <v>1247</v>
      </c>
      <c r="V10" s="730" t="str">
        <f>VLOOKUP($O$2,'세입자'!E38:U224,13,0)</f>
        <v>#REF!</v>
      </c>
      <c r="W10" s="523"/>
      <c r="X10" s="523"/>
      <c r="Y10" s="532"/>
      <c r="Z10" s="731"/>
      <c r="AA10" s="731"/>
      <c r="AB10" s="731"/>
      <c r="AC10" s="731"/>
      <c r="AD10" s="731"/>
      <c r="AE10" s="731"/>
      <c r="AF10" s="732"/>
      <c r="AG10" s="723"/>
      <c r="AH10" s="711"/>
      <c r="AI10" s="721"/>
      <c r="AJ10" s="733" t="s">
        <v>2698</v>
      </c>
      <c r="AK10" s="730" t="str">
        <f t="shared" ref="AK10:AK11" si="1">D10</f>
        <v>삼선동1가 239번지 301호</v>
      </c>
      <c r="AL10" s="523"/>
      <c r="AM10" s="523"/>
      <c r="AN10" s="523"/>
      <c r="AO10" s="523"/>
      <c r="AP10" s="523"/>
      <c r="AQ10" s="734" t="s">
        <v>2699</v>
      </c>
      <c r="AR10" s="532"/>
      <c r="AS10" s="731" t="s">
        <v>2950</v>
      </c>
      <c r="AT10" s="523"/>
      <c r="AU10" s="523"/>
      <c r="AV10" s="732"/>
      <c r="AW10" s="723"/>
      <c r="AX10" s="711"/>
      <c r="AY10" s="711"/>
    </row>
    <row r="11" ht="27.0" customHeight="1">
      <c r="A11" s="711"/>
      <c r="B11" s="721"/>
      <c r="C11" s="735" t="s">
        <v>2951</v>
      </c>
      <c r="D11" s="728" t="s">
        <v>2952</v>
      </c>
      <c r="E11" s="523"/>
      <c r="F11" s="736"/>
      <c r="G11" s="736"/>
      <c r="H11" s="736"/>
      <c r="I11" s="734" t="s">
        <v>2953</v>
      </c>
      <c r="J11" s="728" t="s">
        <v>2954</v>
      </c>
      <c r="K11" s="523"/>
      <c r="L11" s="523"/>
      <c r="M11" s="523"/>
      <c r="N11" s="523"/>
      <c r="O11" s="523"/>
      <c r="P11" s="532"/>
      <c r="Q11" s="723"/>
      <c r="R11" s="711"/>
      <c r="S11" s="711"/>
      <c r="T11" s="721"/>
      <c r="U11" s="737" t="s">
        <v>2696</v>
      </c>
      <c r="V11" s="738" t="str">
        <f>VLOOKUP($O$2,'세입자'!E38:U224,4,0)</f>
        <v>#REF!</v>
      </c>
      <c r="W11" s="739"/>
      <c r="X11" s="740"/>
      <c r="Y11" s="740"/>
      <c r="Z11" s="740"/>
      <c r="AA11" s="740"/>
      <c r="AB11" s="740"/>
      <c r="AC11" s="740"/>
      <c r="AD11" s="740"/>
      <c r="AE11" s="740"/>
      <c r="AF11" s="741"/>
      <c r="AG11" s="723"/>
      <c r="AH11" s="711"/>
      <c r="AI11" s="721"/>
      <c r="AJ11" s="742" t="s">
        <v>2701</v>
      </c>
      <c r="AK11" s="743" t="str">
        <f t="shared" si="1"/>
        <v>40 m2</v>
      </c>
      <c r="AL11" s="532"/>
      <c r="AM11" s="740"/>
      <c r="AN11" s="740"/>
      <c r="AO11" s="740"/>
      <c r="AP11" s="744" t="s">
        <v>2702</v>
      </c>
      <c r="AQ11" s="740" t="str">
        <f>VLOOKUP($O$2,'입주자(과거)'!$G$5:$AA$487,18,0)</f>
        <v>#REF!</v>
      </c>
      <c r="AR11" s="618"/>
      <c r="AS11" s="618"/>
      <c r="AT11" s="618"/>
      <c r="AU11" s="618"/>
      <c r="AV11" s="619"/>
      <c r="AW11" s="723"/>
      <c r="AX11" s="711"/>
      <c r="AY11" s="711"/>
    </row>
    <row r="12" ht="27.0" customHeight="1">
      <c r="A12" s="711"/>
      <c r="B12" s="721"/>
      <c r="C12" s="745" t="s">
        <v>2700</v>
      </c>
      <c r="E12" s="711"/>
      <c r="F12" s="746"/>
      <c r="Q12" s="723"/>
      <c r="R12" s="711"/>
      <c r="S12" s="711"/>
      <c r="T12" s="721"/>
      <c r="U12" s="745" t="s">
        <v>2700</v>
      </c>
      <c r="W12" s="711"/>
      <c r="X12" s="711"/>
      <c r="Y12" s="711"/>
      <c r="Z12" s="711"/>
      <c r="AA12" s="711"/>
      <c r="AB12" s="711"/>
      <c r="AC12" s="711"/>
      <c r="AD12" s="711"/>
      <c r="AE12" s="711"/>
      <c r="AF12" s="711"/>
      <c r="AG12" s="723"/>
      <c r="AH12" s="711"/>
      <c r="AI12" s="721"/>
      <c r="AJ12" s="747" t="s">
        <v>2704</v>
      </c>
      <c r="AL12" s="711"/>
      <c r="AM12" s="746"/>
      <c r="AN12" s="746"/>
      <c r="AO12" s="746"/>
      <c r="AP12" s="746"/>
      <c r="AQ12" s="726" t="s">
        <v>2955</v>
      </c>
      <c r="AW12" s="723"/>
      <c r="AX12" s="711"/>
      <c r="AY12" s="711"/>
    </row>
    <row r="13" ht="27.0" customHeight="1">
      <c r="A13" s="711"/>
      <c r="B13" s="721"/>
      <c r="C13" s="725" t="s">
        <v>2956</v>
      </c>
      <c r="K13" s="724"/>
      <c r="M13" s="725"/>
      <c r="Q13" s="723"/>
      <c r="R13" s="711"/>
      <c r="S13" s="711"/>
      <c r="T13" s="721"/>
      <c r="U13" s="725" t="s">
        <v>2707</v>
      </c>
      <c r="AC13" s="748"/>
      <c r="AD13" s="711"/>
      <c r="AE13" s="711"/>
      <c r="AF13" s="711"/>
      <c r="AG13" s="723"/>
      <c r="AH13" s="711"/>
      <c r="AI13" s="721"/>
      <c r="AJ13" s="725" t="s">
        <v>2708</v>
      </c>
      <c r="AW13" s="723"/>
      <c r="AX13" s="711"/>
      <c r="AY13" s="711"/>
    </row>
    <row r="14" ht="27.0" customHeight="1">
      <c r="A14" s="711"/>
      <c r="B14" s="721"/>
      <c r="C14" s="749" t="s">
        <v>1240</v>
      </c>
      <c r="D14" s="750">
        <v>2300000.0</v>
      </c>
      <c r="E14" s="558" t="s">
        <v>2957</v>
      </c>
      <c r="F14" s="751"/>
      <c r="G14" s="719"/>
      <c r="H14" s="719"/>
      <c r="I14" s="719"/>
      <c r="J14" s="719"/>
      <c r="K14" s="719"/>
      <c r="L14" s="719"/>
      <c r="M14" s="719"/>
      <c r="N14" s="752"/>
      <c r="O14" s="752"/>
      <c r="P14" s="732"/>
      <c r="Q14" s="723"/>
      <c r="R14" s="711"/>
      <c r="S14" s="711"/>
      <c r="T14" s="721"/>
      <c r="U14" s="753" t="s">
        <v>1240</v>
      </c>
      <c r="V14" s="754" t="str">
        <f>VLOOKUP($O$2,'세입자'!E38:U224,5,0)</f>
        <v>#REF!</v>
      </c>
      <c r="W14" s="526"/>
      <c r="X14" s="719"/>
      <c r="Y14" s="719"/>
      <c r="Z14" s="719"/>
      <c r="AA14" s="719"/>
      <c r="AB14" s="719"/>
      <c r="AC14" s="719"/>
      <c r="AD14" s="719"/>
      <c r="AE14" s="719"/>
      <c r="AF14" s="732"/>
      <c r="AG14" s="723"/>
      <c r="AH14" s="711"/>
      <c r="AI14" s="721"/>
      <c r="AJ14" s="755" t="s">
        <v>2712</v>
      </c>
      <c r="AK14" s="756">
        <f t="shared" ref="AK14:AK17" si="2">D14</f>
        <v>2300000</v>
      </c>
      <c r="AL14" s="526"/>
      <c r="AM14" s="718"/>
      <c r="AN14" s="719"/>
      <c r="AO14" s="719"/>
      <c r="AP14" s="719"/>
      <c r="AQ14" s="719"/>
      <c r="AR14" s="719"/>
      <c r="AS14" s="719"/>
      <c r="AT14" s="719"/>
      <c r="AU14" s="719"/>
      <c r="AV14" s="720"/>
      <c r="AW14" s="723"/>
      <c r="AX14" s="711"/>
      <c r="AY14" s="711"/>
    </row>
    <row r="15" ht="27.0" customHeight="1">
      <c r="A15" s="711"/>
      <c r="B15" s="721"/>
      <c r="C15" s="749" t="s">
        <v>1243</v>
      </c>
      <c r="D15" s="750">
        <v>2300000.0</v>
      </c>
      <c r="E15" s="757" t="s">
        <v>2958</v>
      </c>
      <c r="F15" s="523"/>
      <c r="G15" s="523"/>
      <c r="H15" s="523"/>
      <c r="I15" s="523"/>
      <c r="J15" s="523"/>
      <c r="K15" s="523"/>
      <c r="L15" s="523"/>
      <c r="M15" s="523"/>
      <c r="N15" s="523"/>
      <c r="O15" s="523"/>
      <c r="P15" s="532"/>
      <c r="Q15" s="723"/>
      <c r="R15" s="711"/>
      <c r="S15" s="711"/>
      <c r="T15" s="721"/>
      <c r="U15" s="758" t="s">
        <v>1243</v>
      </c>
      <c r="V15" s="759" t="str">
        <f>VLOOKUP($O$2,'세입자'!E36:U222,6,0)</f>
        <v>#REF!</v>
      </c>
      <c r="W15" s="760" t="s">
        <v>2718</v>
      </c>
      <c r="X15" s="761" t="s">
        <v>2719</v>
      </c>
      <c r="Y15" s="523"/>
      <c r="Z15" s="762" t="str">
        <f>VLOOKUP($O$2,'세입자'!E36:U222,7,0)</f>
        <v>#REF!</v>
      </c>
      <c r="AA15" s="763" t="s">
        <v>2720</v>
      </c>
      <c r="AB15" s="523"/>
      <c r="AC15" s="523"/>
      <c r="AD15" s="523"/>
      <c r="AE15" s="523"/>
      <c r="AF15" s="590"/>
      <c r="AG15" s="723"/>
      <c r="AH15" s="711"/>
      <c r="AI15" s="721"/>
      <c r="AJ15" s="755" t="s">
        <v>2721</v>
      </c>
      <c r="AK15" s="764">
        <f t="shared" si="2"/>
        <v>2300000</v>
      </c>
      <c r="AL15" s="523"/>
      <c r="AM15" s="765" t="s">
        <v>2722</v>
      </c>
      <c r="AN15" s="761" t="str">
        <f>H15</f>
        <v/>
      </c>
      <c r="AO15" s="766" t="s">
        <v>2723</v>
      </c>
      <c r="AP15" s="523"/>
      <c r="AQ15" s="523"/>
      <c r="AR15" s="523"/>
      <c r="AS15" s="767" t="s">
        <v>2724</v>
      </c>
      <c r="AT15" s="532"/>
      <c r="AU15" s="768" t="str">
        <f>'입주자(과거)'!F1</f>
        <v>#REF!</v>
      </c>
      <c r="AV15" s="532"/>
      <c r="AW15" s="723"/>
      <c r="AX15" s="711"/>
      <c r="AY15" s="711"/>
    </row>
    <row r="16" ht="27.0" customHeight="1">
      <c r="A16" s="711"/>
      <c r="B16" s="721"/>
      <c r="C16" s="735" t="s">
        <v>1244</v>
      </c>
      <c r="D16" s="769">
        <v>0.0</v>
      </c>
      <c r="E16" s="757" t="s">
        <v>2959</v>
      </c>
      <c r="F16" s="523"/>
      <c r="G16" s="523"/>
      <c r="H16" s="523"/>
      <c r="I16" s="523"/>
      <c r="J16" s="523"/>
      <c r="K16" s="523"/>
      <c r="L16" s="523"/>
      <c r="M16" s="523"/>
      <c r="N16" s="523"/>
      <c r="O16" s="523"/>
      <c r="P16" s="532"/>
      <c r="Q16" s="723"/>
      <c r="R16" s="711"/>
      <c r="S16" s="711"/>
      <c r="T16" s="721"/>
      <c r="U16" s="770"/>
      <c r="V16" s="771"/>
      <c r="W16" s="760"/>
      <c r="X16" s="761"/>
      <c r="Y16" s="761"/>
      <c r="Z16" s="761"/>
      <c r="AA16" s="762"/>
      <c r="AB16" s="772"/>
      <c r="AC16" s="772"/>
      <c r="AD16" s="761"/>
      <c r="AE16" s="761"/>
      <c r="AF16" s="773"/>
      <c r="AG16" s="723"/>
      <c r="AH16" s="711"/>
      <c r="AI16" s="721"/>
      <c r="AJ16" s="742" t="s">
        <v>2725</v>
      </c>
      <c r="AK16" s="756">
        <f t="shared" si="2"/>
        <v>0</v>
      </c>
      <c r="AL16" s="526"/>
      <c r="AM16" s="774" t="s">
        <v>2726</v>
      </c>
      <c r="AN16" s="523"/>
      <c r="AO16" s="523"/>
      <c r="AP16" s="523"/>
      <c r="AQ16" s="523"/>
      <c r="AR16" s="523"/>
      <c r="AS16" s="775" t="s">
        <v>2727</v>
      </c>
      <c r="AT16" s="776" t="str">
        <f>VLOOKUP($O$2,'입주자(과거)'!$G$5:$AA$487,17,0)</f>
        <v>#REF!</v>
      </c>
      <c r="AU16" s="777" t="s">
        <v>2960</v>
      </c>
      <c r="AV16" s="778"/>
      <c r="AW16" s="723"/>
      <c r="AX16" s="711"/>
      <c r="AY16" s="711"/>
    </row>
    <row r="17" ht="27.0" customHeight="1">
      <c r="A17" s="711"/>
      <c r="B17" s="721"/>
      <c r="C17" s="735" t="s">
        <v>2714</v>
      </c>
      <c r="D17" s="769">
        <v>4600000.0</v>
      </c>
      <c r="E17" s="757" t="s">
        <v>2730</v>
      </c>
      <c r="F17" s="523"/>
      <c r="G17" s="523"/>
      <c r="H17" s="523"/>
      <c r="I17" s="523"/>
      <c r="J17" s="772"/>
      <c r="K17" s="734" t="s">
        <v>2716</v>
      </c>
      <c r="L17" s="532"/>
      <c r="M17" s="779"/>
      <c r="N17" s="773" t="s">
        <v>2961</v>
      </c>
      <c r="O17" s="773" t="s">
        <v>2717</v>
      </c>
      <c r="P17" s="780"/>
      <c r="Q17" s="723"/>
      <c r="R17" s="711"/>
      <c r="S17" s="711"/>
      <c r="T17" s="721"/>
      <c r="U17" s="758" t="s">
        <v>1243</v>
      </c>
      <c r="V17" s="759" t="str">
        <f>VLOOKUP($O$2,'세입자'!E38:U224,6,0)</f>
        <v>#REF!</v>
      </c>
      <c r="W17" s="760" t="s">
        <v>2718</v>
      </c>
      <c r="X17" s="761" t="s">
        <v>2719</v>
      </c>
      <c r="Y17" s="523"/>
      <c r="Z17" s="762" t="str">
        <f>VLOOKUP($O$2,'세입자'!E38:U224,7,0)</f>
        <v>#REF!</v>
      </c>
      <c r="AA17" s="763" t="s">
        <v>2720</v>
      </c>
      <c r="AB17" s="523"/>
      <c r="AC17" s="523"/>
      <c r="AD17" s="523"/>
      <c r="AE17" s="523"/>
      <c r="AF17" s="590"/>
      <c r="AG17" s="723"/>
      <c r="AH17" s="711"/>
      <c r="AI17" s="721"/>
      <c r="AJ17" s="755" t="s">
        <v>2738</v>
      </c>
      <c r="AK17" s="764">
        <f t="shared" si="2"/>
        <v>4600000</v>
      </c>
      <c r="AL17" s="523"/>
      <c r="AM17" s="781" t="s">
        <v>2962</v>
      </c>
      <c r="AN17" s="523"/>
      <c r="AO17" s="523"/>
      <c r="AP17" s="523"/>
      <c r="AQ17" s="523"/>
      <c r="AR17" s="523"/>
      <c r="AS17" s="523"/>
      <c r="AT17" s="765" t="s">
        <v>2724</v>
      </c>
      <c r="AU17" s="782" t="str">
        <f>#REF!</f>
        <v>#REF!</v>
      </c>
      <c r="AV17" s="783"/>
      <c r="AW17" s="723"/>
      <c r="AX17" s="711"/>
      <c r="AY17" s="711"/>
    </row>
    <row r="18" ht="25.5" customHeight="1">
      <c r="A18" s="711"/>
      <c r="B18" s="721"/>
      <c r="C18" s="784"/>
      <c r="D18" s="618"/>
      <c r="E18" s="618"/>
      <c r="F18" s="618"/>
      <c r="G18" s="618"/>
      <c r="H18" s="618"/>
      <c r="I18" s="618"/>
      <c r="J18" s="618"/>
      <c r="K18" s="618"/>
      <c r="L18" s="618"/>
      <c r="M18" s="618"/>
      <c r="N18" s="618"/>
      <c r="O18" s="618"/>
      <c r="P18" s="618"/>
      <c r="Q18" s="723"/>
      <c r="R18" s="711"/>
      <c r="S18" s="711"/>
      <c r="T18" s="721"/>
      <c r="U18" s="785"/>
      <c r="V18" s="776"/>
      <c r="W18" s="725"/>
      <c r="X18" s="725"/>
      <c r="Y18" s="725"/>
      <c r="Z18" s="725"/>
      <c r="AA18" s="725"/>
      <c r="AB18" s="725"/>
      <c r="AC18" s="725"/>
      <c r="AD18" s="725"/>
      <c r="AE18" s="725"/>
      <c r="AF18" s="725"/>
      <c r="AG18" s="723"/>
      <c r="AH18" s="711"/>
      <c r="AI18" s="721"/>
      <c r="AJ18" s="786"/>
      <c r="AK18" s="776"/>
      <c r="AL18" s="725"/>
      <c r="AM18" s="787" t="s">
        <v>2963</v>
      </c>
      <c r="AN18" s="725"/>
      <c r="AO18" s="725"/>
      <c r="AP18" s="788" t="s">
        <v>2964</v>
      </c>
      <c r="AT18" s="725"/>
      <c r="AU18" s="725"/>
      <c r="AV18" s="725"/>
      <c r="AW18" s="723"/>
      <c r="AX18" s="711"/>
      <c r="AY18" s="711"/>
    </row>
    <row r="19" ht="47.25" customHeight="1">
      <c r="A19" s="711"/>
      <c r="B19" s="721"/>
      <c r="C19" s="789" t="s">
        <v>2965</v>
      </c>
      <c r="D19" s="527"/>
      <c r="E19" s="725" t="s">
        <v>2966</v>
      </c>
      <c r="P19" s="629"/>
      <c r="Q19" s="723"/>
      <c r="R19" s="711"/>
      <c r="S19" s="711"/>
      <c r="T19" s="721"/>
      <c r="U19" s="790" t="s">
        <v>2740</v>
      </c>
      <c r="V19" s="526"/>
      <c r="W19" s="725" t="s">
        <v>2741</v>
      </c>
      <c r="AF19" s="629"/>
      <c r="AG19" s="723"/>
      <c r="AH19" s="711"/>
      <c r="AI19" s="721"/>
      <c r="AJ19" s="790" t="s">
        <v>2747</v>
      </c>
      <c r="AK19" s="526"/>
      <c r="AL19" s="752" t="s">
        <v>2748</v>
      </c>
      <c r="AM19" s="526"/>
      <c r="AN19" s="526"/>
      <c r="AO19" s="526"/>
      <c r="AP19" s="526"/>
      <c r="AQ19" s="526"/>
      <c r="AR19" s="526"/>
      <c r="AS19" s="526"/>
      <c r="AT19" s="526"/>
      <c r="AU19" s="526"/>
      <c r="AV19" s="791"/>
      <c r="AW19" s="723"/>
      <c r="AX19" s="711"/>
      <c r="AY19" s="711"/>
    </row>
    <row r="20" ht="37.5" customHeight="1">
      <c r="A20" s="711"/>
      <c r="B20" s="721"/>
      <c r="C20" s="792" t="s">
        <v>2967</v>
      </c>
      <c r="D20" s="629"/>
      <c r="E20" s="725" t="s">
        <v>2744</v>
      </c>
      <c r="G20" s="793" t="s">
        <v>2968</v>
      </c>
      <c r="H20" s="717" t="s">
        <v>2745</v>
      </c>
      <c r="I20" s="794" t="s">
        <v>2969</v>
      </c>
      <c r="J20" s="717" t="s">
        <v>2970</v>
      </c>
      <c r="P20" s="629"/>
      <c r="Q20" s="723"/>
      <c r="R20" s="711"/>
      <c r="S20" s="711"/>
      <c r="T20" s="721"/>
      <c r="U20" s="785" t="s">
        <v>2743</v>
      </c>
      <c r="W20" s="725" t="s">
        <v>2744</v>
      </c>
      <c r="X20" s="717" t="str">
        <f>VLOOKUP($O$2,'세입자'!E38:U224,2,0)</f>
        <v>#REF!</v>
      </c>
      <c r="Z20" s="717" t="s">
        <v>2745</v>
      </c>
      <c r="AA20" s="717" t="str">
        <f>VLOOKUP($O$2,'세입자'!E38:U224,3,0)</f>
        <v>#REF!</v>
      </c>
      <c r="AB20" s="717" t="s">
        <v>2751</v>
      </c>
      <c r="AF20" s="629"/>
      <c r="AG20" s="723"/>
      <c r="AH20" s="711"/>
      <c r="AI20" s="721"/>
      <c r="AJ20" s="785" t="s">
        <v>2752</v>
      </c>
      <c r="AL20" s="725" t="s">
        <v>2753</v>
      </c>
      <c r="AM20" s="793" t="str">
        <f>G20</f>
        <v>2026.2.23</v>
      </c>
      <c r="AN20" s="717"/>
      <c r="AO20" s="717" t="s">
        <v>2754</v>
      </c>
      <c r="AP20" s="793" t="str">
        <f>I20</f>
        <v>2026.6.30</v>
      </c>
      <c r="AQ20" s="717" t="s">
        <v>2755</v>
      </c>
      <c r="AV20" s="795"/>
      <c r="AW20" s="723"/>
      <c r="AX20" s="711"/>
      <c r="AY20" s="711"/>
    </row>
    <row r="21" ht="37.5" customHeight="1">
      <c r="A21" s="711"/>
      <c r="B21" s="721"/>
      <c r="C21" s="796" t="s">
        <v>2971</v>
      </c>
      <c r="D21" s="629"/>
      <c r="E21" s="725" t="s">
        <v>2972</v>
      </c>
      <c r="P21" s="797"/>
      <c r="Q21" s="723"/>
      <c r="R21" s="711"/>
      <c r="S21" s="711"/>
      <c r="T21" s="721"/>
      <c r="U21" s="798" t="s">
        <v>2749</v>
      </c>
      <c r="W21" s="725" t="s">
        <v>2758</v>
      </c>
      <c r="AF21" s="629"/>
      <c r="AG21" s="723"/>
      <c r="AH21" s="711"/>
      <c r="AI21" s="721"/>
      <c r="AJ21" s="798" t="s">
        <v>2759</v>
      </c>
      <c r="AL21" s="725" t="s">
        <v>2973</v>
      </c>
      <c r="AV21" s="797"/>
      <c r="AW21" s="723"/>
      <c r="AX21" s="711"/>
      <c r="AY21" s="711"/>
    </row>
    <row r="22" ht="37.5" customHeight="1">
      <c r="A22" s="711"/>
      <c r="B22" s="721"/>
      <c r="C22" s="799" t="s">
        <v>2974</v>
      </c>
      <c r="D22" s="619"/>
      <c r="E22" s="760" t="s">
        <v>2975</v>
      </c>
      <c r="F22" s="618"/>
      <c r="G22" s="618"/>
      <c r="H22" s="618"/>
      <c r="I22" s="618"/>
      <c r="J22" s="618"/>
      <c r="K22" s="618"/>
      <c r="L22" s="618"/>
      <c r="M22" s="618"/>
      <c r="N22" s="618"/>
      <c r="O22" s="618"/>
      <c r="P22" s="800"/>
      <c r="Q22" s="723"/>
      <c r="R22" s="711"/>
      <c r="S22" s="711"/>
      <c r="T22" s="721"/>
      <c r="U22" s="801" t="s">
        <v>2783</v>
      </c>
      <c r="V22" s="618"/>
      <c r="W22" s="760" t="s">
        <v>2784</v>
      </c>
      <c r="X22" s="618"/>
      <c r="Y22" s="618"/>
      <c r="Z22" s="618"/>
      <c r="AA22" s="618"/>
      <c r="AB22" s="618"/>
      <c r="AC22" s="618"/>
      <c r="AD22" s="618"/>
      <c r="AE22" s="618"/>
      <c r="AF22" s="619"/>
      <c r="AG22" s="723"/>
      <c r="AH22" s="711"/>
      <c r="AI22" s="721"/>
      <c r="AJ22" s="801" t="s">
        <v>2785</v>
      </c>
      <c r="AK22" s="618"/>
      <c r="AL22" s="760" t="s">
        <v>2976</v>
      </c>
      <c r="AM22" s="618"/>
      <c r="AN22" s="618"/>
      <c r="AO22" s="618"/>
      <c r="AP22" s="618"/>
      <c r="AQ22" s="618"/>
      <c r="AR22" s="618"/>
      <c r="AS22" s="618"/>
      <c r="AT22" s="618"/>
      <c r="AU22" s="618"/>
      <c r="AV22" s="800"/>
      <c r="AW22" s="723"/>
      <c r="AX22" s="711"/>
      <c r="AY22" s="711"/>
    </row>
    <row r="23" ht="21.75" customHeight="1">
      <c r="A23" s="711"/>
      <c r="B23" s="721"/>
      <c r="C23" s="802"/>
      <c r="E23" s="711"/>
      <c r="F23" s="711"/>
      <c r="G23" s="711"/>
      <c r="H23" s="711"/>
      <c r="I23" s="711"/>
      <c r="J23" s="711"/>
      <c r="K23" s="711"/>
      <c r="L23" s="711"/>
      <c r="M23" s="711"/>
      <c r="N23" s="711"/>
      <c r="O23" s="711"/>
      <c r="P23" s="711"/>
      <c r="Q23" s="723"/>
      <c r="R23" s="711"/>
      <c r="S23" s="711"/>
      <c r="T23" s="721"/>
      <c r="U23" s="802"/>
      <c r="W23" s="711"/>
      <c r="X23" s="711"/>
      <c r="Y23" s="711"/>
      <c r="Z23" s="711"/>
      <c r="AA23" s="711"/>
      <c r="AB23" s="711"/>
      <c r="AC23" s="711"/>
      <c r="AD23" s="711"/>
      <c r="AE23" s="711"/>
      <c r="AF23" s="711"/>
      <c r="AG23" s="723"/>
      <c r="AH23" s="711"/>
      <c r="AI23" s="721"/>
      <c r="AJ23" s="802"/>
      <c r="AL23" s="711"/>
      <c r="AM23" s="711"/>
      <c r="AN23" s="711"/>
      <c r="AO23" s="711"/>
      <c r="AP23" s="711"/>
      <c r="AQ23" s="711"/>
      <c r="AR23" s="711"/>
      <c r="AS23" s="711"/>
      <c r="AT23" s="711"/>
      <c r="AU23" s="711"/>
      <c r="AV23" s="711"/>
      <c r="AW23" s="723"/>
      <c r="AX23" s="711"/>
      <c r="AY23" s="711"/>
    </row>
    <row r="24" ht="21.75" customHeight="1">
      <c r="A24" s="711"/>
      <c r="B24" s="721"/>
      <c r="C24" s="725" t="s">
        <v>2787</v>
      </c>
      <c r="E24" s="711"/>
      <c r="F24" s="711"/>
      <c r="G24" s="711"/>
      <c r="H24" s="711"/>
      <c r="I24" s="711"/>
      <c r="J24" s="711"/>
      <c r="K24" s="711"/>
      <c r="L24" s="711"/>
      <c r="M24" s="711"/>
      <c r="N24" s="711"/>
      <c r="O24" s="711"/>
      <c r="P24" s="711"/>
      <c r="Q24" s="723"/>
      <c r="R24" s="711"/>
      <c r="S24" s="711"/>
      <c r="T24" s="721"/>
      <c r="U24" s="725" t="s">
        <v>2787</v>
      </c>
      <c r="W24" s="711"/>
      <c r="X24" s="711"/>
      <c r="Y24" s="711"/>
      <c r="Z24" s="711"/>
      <c r="AA24" s="711"/>
      <c r="AB24" s="711"/>
      <c r="AC24" s="711"/>
      <c r="AD24" s="711"/>
      <c r="AE24" s="711"/>
      <c r="AF24" s="711"/>
      <c r="AG24" s="723"/>
      <c r="AH24" s="711"/>
      <c r="AI24" s="721"/>
      <c r="AJ24" s="726" t="s">
        <v>2789</v>
      </c>
      <c r="AN24" s="711"/>
      <c r="AO24" s="711"/>
      <c r="AP24" s="711"/>
      <c r="AQ24" s="711"/>
      <c r="AR24" s="711"/>
      <c r="AS24" s="711"/>
      <c r="AT24" s="711"/>
      <c r="AU24" s="711"/>
      <c r="AV24" s="711"/>
      <c r="AW24" s="723"/>
      <c r="AX24" s="711"/>
      <c r="AY24" s="711"/>
    </row>
    <row r="25" ht="36.0" customHeight="1">
      <c r="A25" s="711"/>
      <c r="B25" s="721"/>
      <c r="C25" s="725" t="s">
        <v>2977</v>
      </c>
      <c r="Q25" s="797"/>
      <c r="R25" s="711"/>
      <c r="S25" s="711"/>
      <c r="T25" s="721"/>
      <c r="U25" s="725" t="s">
        <v>2791</v>
      </c>
      <c r="AG25" s="797"/>
      <c r="AH25" s="711"/>
      <c r="AI25" s="721"/>
      <c r="AJ25" s="725" t="s">
        <v>2978</v>
      </c>
      <c r="AW25" s="797"/>
      <c r="AX25" s="711"/>
      <c r="AY25" s="711"/>
    </row>
    <row r="26" ht="36.0" customHeight="1">
      <c r="A26" s="711"/>
      <c r="B26" s="721"/>
      <c r="C26" s="725" t="s">
        <v>2979</v>
      </c>
      <c r="Q26" s="723"/>
      <c r="R26" s="711"/>
      <c r="S26" s="711"/>
      <c r="T26" s="721"/>
      <c r="U26" s="725" t="s">
        <v>2794</v>
      </c>
      <c r="AG26" s="723"/>
      <c r="AH26" s="711"/>
      <c r="AI26" s="721"/>
      <c r="AJ26" s="725" t="s">
        <v>2795</v>
      </c>
      <c r="AW26" s="723"/>
      <c r="AX26" s="711"/>
      <c r="AY26" s="711"/>
    </row>
    <row r="27" ht="24.75" customHeight="1">
      <c r="A27" s="711"/>
      <c r="B27" s="721"/>
      <c r="C27" s="725" t="s">
        <v>2980</v>
      </c>
      <c r="Q27" s="723"/>
      <c r="R27" s="711"/>
      <c r="S27" s="711"/>
      <c r="T27" s="721"/>
      <c r="U27" s="725" t="s">
        <v>2797</v>
      </c>
      <c r="AG27" s="723"/>
      <c r="AH27" s="711"/>
      <c r="AI27" s="721"/>
      <c r="AJ27" s="725" t="s">
        <v>2981</v>
      </c>
      <c r="AW27" s="723"/>
      <c r="AX27" s="711"/>
      <c r="AY27" s="711"/>
    </row>
    <row r="28" ht="21.0" customHeight="1">
      <c r="A28" s="711"/>
      <c r="B28" s="721"/>
      <c r="Q28" s="723"/>
      <c r="R28" s="711"/>
      <c r="S28" s="711"/>
      <c r="T28" s="721"/>
      <c r="U28" s="725" t="s">
        <v>2800</v>
      </c>
      <c r="AG28" s="723"/>
      <c r="AH28" s="711"/>
      <c r="AI28" s="721"/>
      <c r="AJ28" s="725" t="s">
        <v>2801</v>
      </c>
      <c r="AW28" s="723"/>
      <c r="AX28" s="711"/>
      <c r="AY28" s="711"/>
    </row>
    <row r="29" ht="36.0" customHeight="1">
      <c r="A29" s="711"/>
      <c r="B29" s="721"/>
      <c r="C29" s="725" t="s">
        <v>2982</v>
      </c>
      <c r="Q29" s="723"/>
      <c r="R29" s="711"/>
      <c r="S29" s="711"/>
      <c r="T29" s="721"/>
      <c r="U29" s="725" t="s">
        <v>2803</v>
      </c>
      <c r="AG29" s="723"/>
      <c r="AH29" s="711"/>
      <c r="AI29" s="721"/>
      <c r="AJ29" s="725" t="s">
        <v>2804</v>
      </c>
      <c r="AW29" s="723"/>
      <c r="AX29" s="711"/>
      <c r="AY29" s="711"/>
    </row>
    <row r="30" ht="36.0" customHeight="1">
      <c r="A30" s="803"/>
      <c r="B30" s="804"/>
      <c r="C30" s="725" t="s">
        <v>2983</v>
      </c>
      <c r="Q30" s="805"/>
      <c r="R30" s="803"/>
      <c r="S30" s="711"/>
      <c r="T30" s="721"/>
      <c r="U30" s="725"/>
      <c r="AG30" s="723"/>
      <c r="AH30" s="711"/>
      <c r="AI30" s="721"/>
      <c r="AJ30" s="725"/>
      <c r="AW30" s="723"/>
      <c r="AX30" s="711"/>
      <c r="AY30" s="711"/>
    </row>
    <row r="31" ht="63.75" customHeight="1">
      <c r="A31" s="803"/>
      <c r="B31" s="804"/>
      <c r="C31" s="806" t="s">
        <v>2984</v>
      </c>
      <c r="Q31" s="805"/>
      <c r="R31" s="803"/>
      <c r="S31" s="711"/>
      <c r="T31" s="721"/>
      <c r="U31" s="725"/>
      <c r="V31" s="725"/>
      <c r="W31" s="725"/>
      <c r="X31" s="725"/>
      <c r="Y31" s="725"/>
      <c r="Z31" s="725"/>
      <c r="AA31" s="725"/>
      <c r="AB31" s="725"/>
      <c r="AC31" s="725"/>
      <c r="AD31" s="725"/>
      <c r="AE31" s="725"/>
      <c r="AF31" s="725"/>
      <c r="AG31" s="723"/>
      <c r="AH31" s="711"/>
      <c r="AI31" s="721"/>
      <c r="AJ31" s="725"/>
      <c r="AK31" s="725"/>
      <c r="AL31" s="725"/>
      <c r="AM31" s="725"/>
      <c r="AN31" s="725"/>
      <c r="AO31" s="725"/>
      <c r="AP31" s="725"/>
      <c r="AQ31" s="725"/>
      <c r="AR31" s="725"/>
      <c r="AS31" s="725"/>
      <c r="AT31" s="725"/>
      <c r="AU31" s="725"/>
      <c r="AV31" s="725"/>
      <c r="AW31" s="723"/>
      <c r="AX31" s="711"/>
      <c r="AY31" s="711"/>
    </row>
    <row r="32" ht="60.0" customHeight="1">
      <c r="A32" s="803"/>
      <c r="B32" s="804"/>
      <c r="C32" s="806" t="s">
        <v>2985</v>
      </c>
      <c r="Q32" s="805"/>
      <c r="R32" s="803"/>
      <c r="S32" s="711"/>
      <c r="T32" s="721"/>
      <c r="U32" s="725"/>
      <c r="V32" s="725"/>
      <c r="W32" s="725"/>
      <c r="X32" s="725"/>
      <c r="Y32" s="725"/>
      <c r="Z32" s="725"/>
      <c r="AA32" s="725"/>
      <c r="AB32" s="725"/>
      <c r="AC32" s="725"/>
      <c r="AD32" s="725"/>
      <c r="AE32" s="725"/>
      <c r="AF32" s="725"/>
      <c r="AG32" s="723"/>
      <c r="AH32" s="711"/>
      <c r="AI32" s="721"/>
      <c r="AJ32" s="725"/>
      <c r="AK32" s="725"/>
      <c r="AL32" s="725"/>
      <c r="AM32" s="725"/>
      <c r="AN32" s="725"/>
      <c r="AO32" s="725"/>
      <c r="AP32" s="725"/>
      <c r="AQ32" s="725"/>
      <c r="AR32" s="725"/>
      <c r="AS32" s="725"/>
      <c r="AT32" s="725"/>
      <c r="AU32" s="725"/>
      <c r="AV32" s="725"/>
      <c r="AW32" s="723"/>
      <c r="AX32" s="711"/>
      <c r="AY32" s="711"/>
    </row>
    <row r="33" ht="47.25" customHeight="1">
      <c r="A33" s="711"/>
      <c r="B33" s="721"/>
      <c r="C33" s="806" t="s">
        <v>2986</v>
      </c>
      <c r="Q33" s="723"/>
      <c r="R33" s="711"/>
      <c r="S33" s="711"/>
      <c r="T33" s="721"/>
      <c r="U33" s="725" t="s">
        <v>2809</v>
      </c>
      <c r="AG33" s="723"/>
      <c r="AH33" s="711"/>
      <c r="AI33" s="721"/>
      <c r="AJ33" s="725" t="s">
        <v>2987</v>
      </c>
      <c r="AW33" s="723"/>
      <c r="AX33" s="711"/>
      <c r="AY33" s="711"/>
    </row>
    <row r="34" ht="33.0" customHeight="1">
      <c r="A34" s="711"/>
      <c r="B34" s="721"/>
      <c r="Q34" s="723"/>
      <c r="R34" s="711"/>
      <c r="S34" s="711"/>
      <c r="T34" s="721"/>
      <c r="U34" s="724"/>
      <c r="AG34" s="723"/>
      <c r="AH34" s="711"/>
      <c r="AI34" s="721"/>
      <c r="AJ34" s="725" t="s">
        <v>2837</v>
      </c>
      <c r="AW34" s="723"/>
      <c r="AX34" s="711"/>
      <c r="AY34" s="711"/>
    </row>
    <row r="35" ht="63.0" customHeight="1">
      <c r="A35" s="711"/>
      <c r="B35" s="721"/>
      <c r="C35" s="724" t="s">
        <v>2836</v>
      </c>
      <c r="Q35" s="723"/>
      <c r="R35" s="711"/>
      <c r="S35" s="711"/>
      <c r="T35" s="721"/>
      <c r="U35" s="724" t="s">
        <v>2836</v>
      </c>
      <c r="AG35" s="723"/>
      <c r="AH35" s="711"/>
      <c r="AI35" s="721"/>
      <c r="AJ35" s="724" t="s">
        <v>2838</v>
      </c>
      <c r="AW35" s="723"/>
      <c r="AX35" s="711"/>
      <c r="AY35" s="711"/>
    </row>
    <row r="36" ht="19.5" customHeight="1">
      <c r="A36" s="711"/>
      <c r="B36" s="721"/>
      <c r="C36" s="711"/>
      <c r="D36" s="711"/>
      <c r="E36" s="711"/>
      <c r="F36" s="711"/>
      <c r="G36" s="711"/>
      <c r="H36" s="711"/>
      <c r="I36" s="711"/>
      <c r="J36" s="711"/>
      <c r="K36" s="711"/>
      <c r="L36" s="711"/>
      <c r="M36" s="711"/>
      <c r="N36" s="711"/>
      <c r="O36" s="711"/>
      <c r="P36" s="711"/>
      <c r="Q36" s="723"/>
      <c r="R36" s="711"/>
      <c r="S36" s="711"/>
      <c r="T36" s="721"/>
      <c r="U36" s="711"/>
      <c r="V36" s="711"/>
      <c r="W36" s="711"/>
      <c r="X36" s="711"/>
      <c r="Y36" s="711"/>
      <c r="Z36" s="711"/>
      <c r="AA36" s="711"/>
      <c r="AB36" s="711"/>
      <c r="AC36" s="711"/>
      <c r="AD36" s="711"/>
      <c r="AE36" s="711"/>
      <c r="AF36" s="711"/>
      <c r="AG36" s="723"/>
      <c r="AH36" s="711"/>
      <c r="AI36" s="721"/>
      <c r="AJ36" s="711"/>
      <c r="AK36" s="711"/>
      <c r="AL36" s="711"/>
      <c r="AM36" s="711"/>
      <c r="AN36" s="711"/>
      <c r="AO36" s="711"/>
      <c r="AP36" s="711"/>
      <c r="AQ36" s="711"/>
      <c r="AR36" s="711"/>
      <c r="AS36" s="711"/>
      <c r="AT36" s="711"/>
      <c r="AU36" s="711"/>
      <c r="AV36" s="711"/>
      <c r="AW36" s="723"/>
      <c r="AX36" s="711"/>
      <c r="AY36" s="711"/>
    </row>
    <row r="37" ht="24.75" customHeight="1">
      <c r="A37" s="711"/>
      <c r="B37" s="721"/>
      <c r="C37" s="807" t="s">
        <v>2988</v>
      </c>
      <c r="D37" s="808" t="s">
        <v>2840</v>
      </c>
      <c r="E37" s="809"/>
      <c r="F37" s="810"/>
      <c r="G37" s="809"/>
      <c r="H37" s="811" t="s">
        <v>2841</v>
      </c>
      <c r="I37" s="812"/>
      <c r="J37" s="812"/>
      <c r="K37" s="812"/>
      <c r="L37" s="813"/>
      <c r="M37" s="814" t="s">
        <v>2717</v>
      </c>
      <c r="N37" s="815"/>
      <c r="O37" s="815"/>
      <c r="P37" s="816"/>
      <c r="Q37" s="723"/>
      <c r="R37" s="711"/>
      <c r="S37" s="711"/>
      <c r="T37" s="721"/>
      <c r="U37" s="817" t="s">
        <v>2842</v>
      </c>
      <c r="V37" s="818" t="s">
        <v>2840</v>
      </c>
      <c r="W37" s="532"/>
      <c r="X37" s="783" t="str">
        <f>VLOOKUP($O$2,'세입자'!E26:U212,1,0)</f>
        <v>#REF!</v>
      </c>
      <c r="Y37" s="819" t="s">
        <v>2841</v>
      </c>
      <c r="Z37" s="782" t="s">
        <v>2843</v>
      </c>
      <c r="AA37" s="523"/>
      <c r="AB37" s="523"/>
      <c r="AC37" s="523"/>
      <c r="AD37" s="532"/>
      <c r="AE37" s="820" t="s">
        <v>2717</v>
      </c>
      <c r="AF37" s="527"/>
      <c r="AG37" s="723"/>
      <c r="AH37" s="711"/>
      <c r="AI37" s="721"/>
      <c r="AJ37" s="817" t="s">
        <v>2989</v>
      </c>
      <c r="AK37" s="818" t="s">
        <v>2845</v>
      </c>
      <c r="AL37" s="532"/>
      <c r="AM37" s="782" t="str">
        <f t="shared" ref="AM37:AM38" si="3">F37</f>
        <v/>
      </c>
      <c r="AN37" s="532"/>
      <c r="AO37" s="819" t="s">
        <v>2698</v>
      </c>
      <c r="AP37" s="782"/>
      <c r="AQ37" s="782"/>
      <c r="AR37" s="782"/>
      <c r="AS37" s="783"/>
      <c r="AT37" s="820" t="s">
        <v>2728</v>
      </c>
      <c r="AU37" s="526"/>
      <c r="AV37" s="527"/>
      <c r="AW37" s="723"/>
      <c r="AX37" s="711"/>
      <c r="AY37" s="711"/>
    </row>
    <row r="38" ht="24.75" customHeight="1">
      <c r="A38" s="711"/>
      <c r="B38" s="721"/>
      <c r="C38" s="821"/>
      <c r="D38" s="818" t="s">
        <v>1246</v>
      </c>
      <c r="E38" s="532"/>
      <c r="F38" s="822"/>
      <c r="G38" s="532"/>
      <c r="H38" s="823" t="s">
        <v>2990</v>
      </c>
      <c r="J38" s="782"/>
      <c r="K38" s="523"/>
      <c r="L38" s="532"/>
      <c r="M38" s="663"/>
      <c r="P38" s="824"/>
      <c r="Q38" s="723"/>
      <c r="R38" s="711"/>
      <c r="S38" s="711"/>
      <c r="T38" s="721"/>
      <c r="U38" s="661"/>
      <c r="V38" s="818" t="s">
        <v>1246</v>
      </c>
      <c r="W38" s="532"/>
      <c r="X38" s="825" t="str">
        <f>VLOOKUP($O$2,'세입자'!E26:U212,11,0)</f>
        <v>#REF!</v>
      </c>
      <c r="Y38" s="523"/>
      <c r="Z38" s="532"/>
      <c r="AA38" s="823" t="s">
        <v>2848</v>
      </c>
      <c r="AB38" s="825" t="str">
        <f>VLOOKUP($O$2,'세입자'!E26:U212,10,0)</f>
        <v>#REF!</v>
      </c>
      <c r="AC38" s="523"/>
      <c r="AD38" s="532"/>
      <c r="AE38" s="663"/>
      <c r="AF38" s="629"/>
      <c r="AG38" s="723"/>
      <c r="AH38" s="711"/>
      <c r="AI38" s="721"/>
      <c r="AJ38" s="661"/>
      <c r="AK38" s="818" t="s">
        <v>2849</v>
      </c>
      <c r="AL38" s="532"/>
      <c r="AM38" s="782" t="str">
        <f t="shared" si="3"/>
        <v/>
      </c>
      <c r="AN38" s="523"/>
      <c r="AO38" s="532"/>
      <c r="AP38" s="823" t="s">
        <v>2850</v>
      </c>
      <c r="AQ38" s="782" t="str">
        <f>J38</f>
        <v/>
      </c>
      <c r="AR38" s="523"/>
      <c r="AS38" s="532"/>
      <c r="AT38" s="663"/>
      <c r="AV38" s="629"/>
      <c r="AW38" s="723"/>
      <c r="AX38" s="711"/>
      <c r="AY38" s="711"/>
    </row>
    <row r="39" ht="24.75" customHeight="1">
      <c r="A39" s="711"/>
      <c r="B39" s="721"/>
      <c r="C39" s="826" t="s">
        <v>2991</v>
      </c>
      <c r="D39" s="818" t="s">
        <v>2840</v>
      </c>
      <c r="E39" s="532"/>
      <c r="F39" s="822"/>
      <c r="G39" s="532"/>
      <c r="H39" s="819" t="s">
        <v>2841</v>
      </c>
      <c r="I39" s="782"/>
      <c r="J39" s="782"/>
      <c r="K39" s="782"/>
      <c r="L39" s="783"/>
      <c r="M39" s="663"/>
      <c r="P39" s="824"/>
      <c r="Q39" s="723"/>
      <c r="R39" s="711"/>
      <c r="S39" s="711"/>
      <c r="T39" s="721"/>
      <c r="U39" s="827"/>
      <c r="V39" s="823"/>
      <c r="W39" s="823"/>
      <c r="X39" s="828"/>
      <c r="Y39" s="828"/>
      <c r="Z39" s="828"/>
      <c r="AA39" s="819"/>
      <c r="AB39" s="828"/>
      <c r="AC39" s="828"/>
      <c r="AD39" s="828"/>
      <c r="AE39" s="663"/>
      <c r="AF39" s="629"/>
      <c r="AG39" s="723"/>
      <c r="AH39" s="711"/>
      <c r="AI39" s="721"/>
      <c r="AJ39" s="827"/>
      <c r="AK39" s="823"/>
      <c r="AL39" s="823"/>
      <c r="AM39" s="783"/>
      <c r="AN39" s="783"/>
      <c r="AO39" s="783"/>
      <c r="AP39" s="819"/>
      <c r="AQ39" s="783"/>
      <c r="AR39" s="783"/>
      <c r="AS39" s="783"/>
      <c r="AT39" s="663"/>
      <c r="AV39" s="629"/>
      <c r="AW39" s="723"/>
      <c r="AX39" s="711"/>
      <c r="AY39" s="711"/>
    </row>
    <row r="40" ht="24.75" customHeight="1">
      <c r="A40" s="711"/>
      <c r="B40" s="721"/>
      <c r="C40" s="829"/>
      <c r="D40" s="830" t="s">
        <v>1246</v>
      </c>
      <c r="E40" s="831"/>
      <c r="F40" s="832"/>
      <c r="G40" s="831"/>
      <c r="H40" s="833" t="s">
        <v>2990</v>
      </c>
      <c r="I40" s="834"/>
      <c r="J40" s="834"/>
      <c r="K40" s="834"/>
      <c r="L40" s="835"/>
      <c r="M40" s="836"/>
      <c r="N40" s="837"/>
      <c r="O40" s="837"/>
      <c r="P40" s="838"/>
      <c r="Q40" s="723"/>
      <c r="R40" s="711"/>
      <c r="S40" s="711"/>
      <c r="T40" s="721"/>
      <c r="U40" s="827" t="s">
        <v>2846</v>
      </c>
      <c r="V40" s="818" t="s">
        <v>2840</v>
      </c>
      <c r="W40" s="532"/>
      <c r="X40" s="783"/>
      <c r="Y40" s="819" t="s">
        <v>2847</v>
      </c>
      <c r="Z40" s="783"/>
      <c r="AA40" s="819" t="s">
        <v>1246</v>
      </c>
      <c r="AB40" s="782"/>
      <c r="AC40" s="523"/>
      <c r="AD40" s="532"/>
      <c r="AE40" s="666"/>
      <c r="AF40" s="619"/>
      <c r="AG40" s="723"/>
      <c r="AH40" s="711"/>
      <c r="AI40" s="721"/>
      <c r="AJ40" s="827" t="s">
        <v>2852</v>
      </c>
      <c r="AK40" s="818" t="s">
        <v>2845</v>
      </c>
      <c r="AL40" s="532"/>
      <c r="AM40" s="783"/>
      <c r="AN40" s="819" t="s">
        <v>2853</v>
      </c>
      <c r="AO40" s="783"/>
      <c r="AP40" s="819" t="s">
        <v>2849</v>
      </c>
      <c r="AQ40" s="782"/>
      <c r="AR40" s="523"/>
      <c r="AS40" s="532"/>
      <c r="AT40" s="666"/>
      <c r="AU40" s="618"/>
      <c r="AV40" s="619"/>
      <c r="AW40" s="723"/>
      <c r="AX40" s="711"/>
      <c r="AY40" s="711"/>
    </row>
    <row r="41" ht="24.75" customHeight="1">
      <c r="A41" s="711"/>
      <c r="B41" s="721"/>
      <c r="C41" s="807" t="s">
        <v>2851</v>
      </c>
      <c r="D41" s="808" t="s">
        <v>2840</v>
      </c>
      <c r="E41" s="809"/>
      <c r="F41" s="812" t="s">
        <v>216</v>
      </c>
      <c r="G41" s="839"/>
      <c r="H41" s="840" t="s">
        <v>1247</v>
      </c>
      <c r="I41" s="812" t="s">
        <v>2992</v>
      </c>
      <c r="J41" s="839"/>
      <c r="K41" s="839"/>
      <c r="L41" s="809"/>
      <c r="M41" s="814" t="s">
        <v>2717</v>
      </c>
      <c r="N41" s="815"/>
      <c r="O41" s="815"/>
      <c r="P41" s="816"/>
      <c r="Q41" s="723"/>
      <c r="R41" s="711"/>
      <c r="S41" s="711"/>
      <c r="T41" s="721"/>
      <c r="U41" s="841" t="s">
        <v>2855</v>
      </c>
      <c r="V41" s="818" t="s">
        <v>2840</v>
      </c>
      <c r="W41" s="532"/>
      <c r="X41" s="782" t="s">
        <v>33</v>
      </c>
      <c r="Y41" s="731"/>
      <c r="Z41" s="731"/>
      <c r="AA41" s="731"/>
      <c r="AB41" s="731"/>
      <c r="AC41" s="731"/>
      <c r="AD41" s="732"/>
      <c r="AE41" s="820" t="s">
        <v>2717</v>
      </c>
      <c r="AF41" s="527"/>
      <c r="AG41" s="723"/>
      <c r="AH41" s="711"/>
      <c r="AI41" s="721"/>
      <c r="AJ41" s="841" t="s">
        <v>2993</v>
      </c>
      <c r="AK41" s="818" t="s">
        <v>2845</v>
      </c>
      <c r="AL41" s="532"/>
      <c r="AM41" s="782" t="str">
        <f>VLOOKUP($O$2,'입주자(과거)'!$G$5:$AA$487,17,0)</f>
        <v>#REF!</v>
      </c>
      <c r="AN41" s="731"/>
      <c r="AO41" s="731"/>
      <c r="AP41" s="731"/>
      <c r="AQ41" s="731"/>
      <c r="AR41" s="731"/>
      <c r="AS41" s="732"/>
      <c r="AT41" s="820" t="s">
        <v>2728</v>
      </c>
      <c r="AU41" s="526"/>
      <c r="AV41" s="527"/>
      <c r="AW41" s="723"/>
      <c r="AX41" s="711"/>
      <c r="AY41" s="711"/>
    </row>
    <row r="42" ht="24.75" customHeight="1">
      <c r="A42" s="711"/>
      <c r="B42" s="721"/>
      <c r="C42" s="829"/>
      <c r="D42" s="830" t="s">
        <v>1247</v>
      </c>
      <c r="E42" s="831"/>
      <c r="F42" s="834" t="s">
        <v>2994</v>
      </c>
      <c r="G42" s="842"/>
      <c r="H42" s="833" t="s">
        <v>2995</v>
      </c>
      <c r="I42" s="834"/>
      <c r="J42" s="842"/>
      <c r="K42" s="842"/>
      <c r="L42" s="831"/>
      <c r="M42" s="836"/>
      <c r="N42" s="837"/>
      <c r="O42" s="837"/>
      <c r="P42" s="838"/>
      <c r="Q42" s="723"/>
      <c r="R42" s="711"/>
      <c r="S42" s="711"/>
      <c r="T42" s="721"/>
      <c r="U42" s="661"/>
      <c r="V42" s="818" t="s">
        <v>1246</v>
      </c>
      <c r="W42" s="532"/>
      <c r="X42" s="782" t="s">
        <v>2857</v>
      </c>
      <c r="Y42" s="523"/>
      <c r="Z42" s="532"/>
      <c r="AA42" s="823" t="s">
        <v>2848</v>
      </c>
      <c r="AB42" s="782" t="s">
        <v>2858</v>
      </c>
      <c r="AC42" s="523"/>
      <c r="AD42" s="532"/>
      <c r="AE42" s="666"/>
      <c r="AF42" s="619"/>
      <c r="AG42" s="723"/>
      <c r="AH42" s="711"/>
      <c r="AI42" s="721"/>
      <c r="AJ42" s="661"/>
      <c r="AK42" s="818" t="s">
        <v>2849</v>
      </c>
      <c r="AL42" s="532"/>
      <c r="AM42" s="782" t="str">
        <f>VLOOKUP($O$2,'입주자(과거)'!$G$5:$AA$487,19,0)</f>
        <v>#REF!</v>
      </c>
      <c r="AN42" s="523"/>
      <c r="AO42" s="532"/>
      <c r="AP42" s="823" t="s">
        <v>2850</v>
      </c>
      <c r="AQ42" s="782" t="str">
        <f>VLOOKUP($O$2,'입주자(과거)'!$G$5:$AA$487,20,0)</f>
        <v>#REF!</v>
      </c>
      <c r="AR42" s="523"/>
      <c r="AS42" s="532"/>
      <c r="AT42" s="666"/>
      <c r="AU42" s="618"/>
      <c r="AV42" s="619"/>
      <c r="AW42" s="723"/>
      <c r="AX42" s="711"/>
      <c r="AY42" s="711"/>
    </row>
    <row r="43" ht="21.75" customHeight="1">
      <c r="A43" s="711"/>
      <c r="B43" s="843"/>
      <c r="C43" s="740"/>
      <c r="D43" s="740"/>
      <c r="E43" s="740"/>
      <c r="F43" s="740"/>
      <c r="G43" s="740"/>
      <c r="H43" s="740"/>
      <c r="I43" s="740"/>
      <c r="J43" s="740"/>
      <c r="K43" s="740"/>
      <c r="L43" s="740"/>
      <c r="M43" s="740"/>
      <c r="N43" s="740"/>
      <c r="O43" s="740"/>
      <c r="P43" s="740"/>
      <c r="Q43" s="741"/>
      <c r="R43" s="711"/>
      <c r="S43" s="711"/>
      <c r="T43" s="843"/>
      <c r="U43" s="740"/>
      <c r="V43" s="740"/>
      <c r="W43" s="740"/>
      <c r="X43" s="740"/>
      <c r="Y43" s="740"/>
      <c r="Z43" s="740"/>
      <c r="AA43" s="740"/>
      <c r="AB43" s="740"/>
      <c r="AC43" s="740"/>
      <c r="AD43" s="740"/>
      <c r="AE43" s="740"/>
      <c r="AF43" s="740"/>
      <c r="AG43" s="741"/>
      <c r="AH43" s="711"/>
      <c r="AI43" s="843"/>
      <c r="AJ43" s="740"/>
      <c r="AK43" s="740"/>
      <c r="AL43" s="740"/>
      <c r="AM43" s="740"/>
      <c r="AN43" s="740"/>
      <c r="AO43" s="740"/>
      <c r="AP43" s="740"/>
      <c r="AQ43" s="740"/>
      <c r="AR43" s="740"/>
      <c r="AS43" s="740"/>
      <c r="AT43" s="740"/>
      <c r="AU43" s="740"/>
      <c r="AV43" s="740"/>
      <c r="AW43" s="741"/>
      <c r="AX43" s="711"/>
      <c r="AY43" s="711"/>
    </row>
    <row r="44" ht="23.25" customHeight="1">
      <c r="A44" s="711"/>
      <c r="B44" s="711"/>
      <c r="C44" s="711"/>
      <c r="D44" s="711"/>
      <c r="E44" s="711"/>
      <c r="F44" s="711"/>
      <c r="G44" s="711"/>
      <c r="H44" s="711"/>
      <c r="I44" s="711"/>
      <c r="J44" s="711"/>
      <c r="K44" s="711"/>
      <c r="L44" s="711"/>
      <c r="M44" s="711"/>
      <c r="N44" s="711"/>
      <c r="O44" s="711"/>
      <c r="P44" s="711"/>
      <c r="Q44" s="711"/>
      <c r="R44" s="711"/>
      <c r="S44" s="711"/>
      <c r="T44" s="711"/>
      <c r="U44" s="711"/>
      <c r="V44" s="711"/>
      <c r="W44" s="711"/>
      <c r="X44" s="711"/>
      <c r="Y44" s="711"/>
      <c r="Z44" s="711"/>
      <c r="AA44" s="711"/>
      <c r="AB44" s="711"/>
      <c r="AC44" s="711"/>
      <c r="AD44" s="711"/>
      <c r="AE44" s="711"/>
      <c r="AF44" s="711"/>
      <c r="AG44" s="711"/>
      <c r="AH44" s="711"/>
      <c r="AI44" s="711"/>
      <c r="AJ44" s="711"/>
      <c r="AK44" s="711"/>
      <c r="AL44" s="711"/>
      <c r="AM44" s="711"/>
      <c r="AN44" s="711"/>
      <c r="AO44" s="711"/>
      <c r="AP44" s="711"/>
      <c r="AQ44" s="711"/>
      <c r="AR44" s="711"/>
      <c r="AS44" s="711"/>
      <c r="AT44" s="711"/>
      <c r="AU44" s="711"/>
      <c r="AV44" s="711"/>
      <c r="AW44" s="711"/>
      <c r="AX44" s="711"/>
      <c r="AY44" s="711"/>
    </row>
    <row r="45" ht="27.75" customHeight="1">
      <c r="A45" s="711"/>
      <c r="B45" s="711"/>
      <c r="C45" s="844"/>
      <c r="E45" s="845"/>
      <c r="Q45" s="711"/>
      <c r="R45" s="711"/>
      <c r="S45" s="711"/>
      <c r="T45" s="711"/>
      <c r="U45" s="711"/>
      <c r="V45" s="711"/>
      <c r="W45" s="711"/>
      <c r="X45" s="711"/>
      <c r="Y45" s="711"/>
      <c r="Z45" s="711"/>
      <c r="AA45" s="711"/>
      <c r="AB45" s="711"/>
      <c r="AC45" s="711"/>
      <c r="AD45" s="711"/>
      <c r="AE45" s="711"/>
      <c r="AF45" s="711"/>
      <c r="AG45" s="711"/>
      <c r="AH45" s="711"/>
      <c r="AI45" s="711"/>
      <c r="AJ45" s="711"/>
      <c r="AK45" s="711"/>
      <c r="AL45" s="711"/>
      <c r="AM45" s="711"/>
      <c r="AN45" s="711"/>
      <c r="AO45" s="711"/>
      <c r="AP45" s="711"/>
      <c r="AQ45" s="711"/>
      <c r="AR45" s="711"/>
      <c r="AS45" s="711"/>
      <c r="AT45" s="711"/>
      <c r="AU45" s="711"/>
      <c r="AV45" s="711"/>
      <c r="AW45" s="711"/>
      <c r="AX45" s="711"/>
      <c r="AY45" s="711"/>
    </row>
    <row r="46" ht="27.75" customHeight="1">
      <c r="A46" s="711"/>
      <c r="B46" s="711"/>
      <c r="C46" s="844"/>
      <c r="E46" s="845"/>
      <c r="Q46" s="711"/>
      <c r="R46" s="711"/>
      <c r="S46" s="711"/>
      <c r="T46" s="711"/>
      <c r="U46" s="711"/>
      <c r="V46" s="711"/>
      <c r="W46" s="711"/>
      <c r="X46" s="711"/>
      <c r="Y46" s="711"/>
      <c r="Z46" s="711"/>
      <c r="AA46" s="711"/>
      <c r="AB46" s="711"/>
      <c r="AC46" s="711"/>
      <c r="AD46" s="711"/>
      <c r="AE46" s="711"/>
      <c r="AF46" s="711"/>
      <c r="AG46" s="711"/>
      <c r="AH46" s="711"/>
      <c r="AI46" s="711"/>
      <c r="AJ46" s="711"/>
      <c r="AK46" s="711"/>
      <c r="AL46" s="711"/>
      <c r="AM46" s="711"/>
      <c r="AN46" s="711"/>
      <c r="AO46" s="711"/>
      <c r="AP46" s="711"/>
      <c r="AQ46" s="711"/>
      <c r="AR46" s="711"/>
      <c r="AS46" s="711"/>
      <c r="AT46" s="711"/>
      <c r="AU46" s="711"/>
      <c r="AV46" s="711"/>
      <c r="AW46" s="711"/>
      <c r="AX46" s="711"/>
      <c r="AY46" s="711"/>
    </row>
    <row r="47" ht="27.75" customHeight="1">
      <c r="A47" s="711"/>
      <c r="B47" s="711"/>
      <c r="C47" s="844"/>
      <c r="E47" s="845"/>
      <c r="Q47" s="711"/>
      <c r="R47" s="711"/>
      <c r="S47" s="711"/>
      <c r="T47" s="711"/>
      <c r="U47" s="711"/>
      <c r="V47" s="711"/>
      <c r="W47" s="711"/>
      <c r="X47" s="711"/>
      <c r="Y47" s="711"/>
      <c r="Z47" s="711"/>
      <c r="AA47" s="711"/>
      <c r="AB47" s="711"/>
      <c r="AC47" s="711"/>
      <c r="AD47" s="711"/>
      <c r="AE47" s="711"/>
      <c r="AF47" s="711"/>
      <c r="AG47" s="711"/>
      <c r="AH47" s="711"/>
      <c r="AI47" s="711"/>
      <c r="AJ47" s="711"/>
      <c r="AK47" s="711"/>
      <c r="AL47" s="711"/>
      <c r="AM47" s="711"/>
      <c r="AN47" s="711"/>
      <c r="AO47" s="711"/>
      <c r="AP47" s="711"/>
      <c r="AQ47" s="711"/>
      <c r="AR47" s="711"/>
      <c r="AS47" s="711"/>
      <c r="AT47" s="711"/>
      <c r="AU47" s="711"/>
      <c r="AV47" s="711"/>
      <c r="AW47" s="711"/>
      <c r="AX47" s="711"/>
      <c r="AY47" s="711"/>
    </row>
    <row r="48" ht="27.75" customHeight="1">
      <c r="A48" s="711"/>
      <c r="B48" s="711"/>
      <c r="C48" s="844"/>
      <c r="E48" s="845"/>
      <c r="Q48" s="711"/>
      <c r="R48" s="711"/>
      <c r="S48" s="711"/>
      <c r="T48" s="711"/>
      <c r="U48" s="711"/>
      <c r="V48" s="711"/>
      <c r="W48" s="711"/>
      <c r="X48" s="711"/>
      <c r="Y48" s="711"/>
      <c r="Z48" s="711"/>
      <c r="AA48" s="711"/>
      <c r="AB48" s="711"/>
      <c r="AC48" s="711"/>
      <c r="AD48" s="711"/>
      <c r="AE48" s="711"/>
      <c r="AF48" s="711"/>
      <c r="AG48" s="711"/>
      <c r="AH48" s="711"/>
      <c r="AI48" s="711"/>
      <c r="AJ48" s="711"/>
      <c r="AK48" s="711"/>
      <c r="AL48" s="711"/>
      <c r="AM48" s="711"/>
      <c r="AN48" s="711"/>
      <c r="AO48" s="711"/>
      <c r="AP48" s="711"/>
      <c r="AQ48" s="711"/>
      <c r="AR48" s="711"/>
      <c r="AS48" s="711"/>
      <c r="AT48" s="711"/>
      <c r="AU48" s="711"/>
      <c r="AV48" s="711"/>
      <c r="AW48" s="711"/>
      <c r="AX48" s="711"/>
      <c r="AY48" s="711"/>
    </row>
    <row r="49" ht="27.75" customHeight="1">
      <c r="A49" s="711"/>
      <c r="B49" s="711"/>
      <c r="C49" s="844"/>
      <c r="E49" s="845"/>
      <c r="Q49" s="711"/>
      <c r="R49" s="711"/>
      <c r="S49" s="711"/>
      <c r="T49" s="711"/>
      <c r="U49" s="711"/>
      <c r="V49" s="711"/>
      <c r="W49" s="711"/>
      <c r="X49" s="711"/>
      <c r="Y49" s="711"/>
      <c r="Z49" s="711"/>
      <c r="AA49" s="711"/>
      <c r="AB49" s="711"/>
      <c r="AC49" s="711"/>
      <c r="AD49" s="711"/>
      <c r="AE49" s="711"/>
      <c r="AF49" s="711"/>
      <c r="AG49" s="711"/>
      <c r="AH49" s="711"/>
      <c r="AI49" s="711"/>
      <c r="AJ49" s="711"/>
      <c r="AK49" s="711"/>
      <c r="AL49" s="711"/>
      <c r="AM49" s="711"/>
      <c r="AN49" s="711"/>
      <c r="AO49" s="711"/>
      <c r="AP49" s="711"/>
      <c r="AQ49" s="711"/>
      <c r="AR49" s="711"/>
      <c r="AS49" s="711"/>
      <c r="AT49" s="711"/>
      <c r="AU49" s="711"/>
      <c r="AV49" s="711"/>
      <c r="AW49" s="711"/>
      <c r="AX49" s="711"/>
      <c r="AY49" s="711"/>
    </row>
    <row r="50" ht="27.75" customHeight="1">
      <c r="A50" s="711"/>
      <c r="B50" s="711"/>
      <c r="C50" s="844"/>
      <c r="E50" s="845"/>
      <c r="Q50" s="711"/>
      <c r="R50" s="711"/>
      <c r="S50" s="711"/>
      <c r="T50" s="711"/>
      <c r="U50" s="711"/>
      <c r="V50" s="711"/>
      <c r="W50" s="711"/>
      <c r="X50" s="711"/>
      <c r="Y50" s="711"/>
      <c r="Z50" s="711"/>
      <c r="AA50" s="711"/>
      <c r="AB50" s="711"/>
      <c r="AC50" s="711"/>
      <c r="AD50" s="711"/>
      <c r="AE50" s="711"/>
      <c r="AF50" s="711"/>
      <c r="AG50" s="711"/>
      <c r="AH50" s="711"/>
      <c r="AI50" s="711"/>
      <c r="AJ50" s="711"/>
      <c r="AK50" s="711"/>
      <c r="AL50" s="711"/>
      <c r="AM50" s="711"/>
      <c r="AN50" s="711"/>
      <c r="AO50" s="711"/>
      <c r="AP50" s="711"/>
      <c r="AQ50" s="711"/>
      <c r="AR50" s="711"/>
      <c r="AS50" s="711"/>
      <c r="AT50" s="711"/>
      <c r="AU50" s="711"/>
      <c r="AV50" s="711"/>
      <c r="AW50" s="711"/>
      <c r="AX50" s="711"/>
      <c r="AY50" s="711"/>
    </row>
    <row r="51" ht="27.75" customHeight="1">
      <c r="A51" s="711"/>
      <c r="B51" s="711"/>
      <c r="C51" s="844"/>
      <c r="E51" s="845"/>
      <c r="Q51" s="711"/>
      <c r="R51" s="711"/>
      <c r="S51" s="711"/>
      <c r="T51" s="711"/>
      <c r="U51" s="711"/>
      <c r="V51" s="711"/>
      <c r="W51" s="711"/>
      <c r="X51" s="711"/>
      <c r="Y51" s="711"/>
      <c r="Z51" s="711"/>
      <c r="AA51" s="711"/>
      <c r="AB51" s="711"/>
      <c r="AC51" s="711"/>
      <c r="AD51" s="711"/>
      <c r="AE51" s="711"/>
      <c r="AF51" s="711"/>
      <c r="AG51" s="711"/>
      <c r="AH51" s="711"/>
      <c r="AI51" s="711"/>
      <c r="AJ51" s="711"/>
      <c r="AK51" s="711"/>
      <c r="AL51" s="711"/>
      <c r="AM51" s="711"/>
      <c r="AN51" s="711"/>
      <c r="AO51" s="711"/>
      <c r="AP51" s="711"/>
      <c r="AQ51" s="711"/>
      <c r="AR51" s="711"/>
      <c r="AS51" s="711"/>
      <c r="AT51" s="711"/>
      <c r="AU51" s="711"/>
      <c r="AV51" s="711"/>
      <c r="AW51" s="711"/>
      <c r="AX51" s="711"/>
      <c r="AY51" s="711"/>
    </row>
    <row r="52" ht="27.75" customHeight="1">
      <c r="A52" s="711"/>
      <c r="B52" s="711"/>
      <c r="C52" s="844"/>
      <c r="E52" s="845"/>
      <c r="Q52" s="711"/>
      <c r="R52" s="711"/>
      <c r="S52" s="711"/>
      <c r="T52" s="711"/>
      <c r="U52" s="711"/>
      <c r="V52" s="711"/>
      <c r="W52" s="711"/>
      <c r="X52" s="711"/>
      <c r="Y52" s="711"/>
      <c r="Z52" s="711"/>
      <c r="AA52" s="711"/>
      <c r="AB52" s="711"/>
      <c r="AC52" s="711"/>
      <c r="AD52" s="711"/>
      <c r="AE52" s="711"/>
      <c r="AF52" s="711"/>
      <c r="AG52" s="711"/>
      <c r="AH52" s="711"/>
      <c r="AI52" s="711"/>
      <c r="AJ52" s="711"/>
      <c r="AK52" s="711"/>
      <c r="AL52" s="711"/>
      <c r="AM52" s="711"/>
      <c r="AN52" s="711"/>
      <c r="AO52" s="711"/>
      <c r="AP52" s="711"/>
      <c r="AQ52" s="711"/>
      <c r="AR52" s="711"/>
      <c r="AS52" s="711"/>
      <c r="AT52" s="711"/>
      <c r="AU52" s="711"/>
      <c r="AV52" s="711"/>
      <c r="AW52" s="711"/>
      <c r="AX52" s="711"/>
      <c r="AY52" s="711"/>
    </row>
    <row r="53" ht="27.75" customHeight="1">
      <c r="A53" s="711"/>
      <c r="B53" s="711"/>
      <c r="C53" s="844"/>
      <c r="E53" s="845"/>
      <c r="Q53" s="711"/>
      <c r="R53" s="711"/>
      <c r="S53" s="711"/>
      <c r="T53" s="711"/>
      <c r="U53" s="711"/>
      <c r="V53" s="711"/>
      <c r="W53" s="711"/>
      <c r="X53" s="711"/>
      <c r="Y53" s="711"/>
      <c r="Z53" s="711"/>
      <c r="AA53" s="711"/>
      <c r="AB53" s="711"/>
      <c r="AC53" s="711"/>
      <c r="AD53" s="711"/>
      <c r="AE53" s="711"/>
      <c r="AF53" s="711"/>
      <c r="AG53" s="711"/>
      <c r="AH53" s="711"/>
      <c r="AI53" s="711"/>
      <c r="AJ53" s="711"/>
      <c r="AK53" s="711"/>
      <c r="AL53" s="711"/>
      <c r="AM53" s="711"/>
      <c r="AN53" s="711"/>
      <c r="AO53" s="711"/>
      <c r="AP53" s="711"/>
      <c r="AQ53" s="711"/>
      <c r="AR53" s="711"/>
      <c r="AS53" s="711"/>
      <c r="AT53" s="711"/>
      <c r="AU53" s="711"/>
      <c r="AV53" s="711"/>
      <c r="AW53" s="711"/>
      <c r="AX53" s="711"/>
      <c r="AY53" s="711"/>
    </row>
    <row r="54" ht="27.75" customHeight="1">
      <c r="A54" s="711"/>
      <c r="B54" s="711"/>
      <c r="C54" s="844"/>
      <c r="E54" s="845"/>
      <c r="Q54" s="711"/>
      <c r="R54" s="711"/>
      <c r="S54" s="711"/>
      <c r="T54" s="711"/>
      <c r="U54" s="711"/>
      <c r="V54" s="711"/>
      <c r="W54" s="711"/>
      <c r="X54" s="711"/>
      <c r="Y54" s="711"/>
      <c r="Z54" s="711"/>
      <c r="AA54" s="711"/>
      <c r="AB54" s="711"/>
      <c r="AC54" s="711"/>
      <c r="AD54" s="711"/>
      <c r="AE54" s="711"/>
      <c r="AF54" s="711"/>
      <c r="AG54" s="711"/>
      <c r="AH54" s="711"/>
      <c r="AI54" s="711"/>
      <c r="AJ54" s="711"/>
      <c r="AK54" s="711"/>
      <c r="AL54" s="711"/>
      <c r="AM54" s="711"/>
      <c r="AN54" s="711"/>
      <c r="AO54" s="711"/>
      <c r="AP54" s="711"/>
      <c r="AQ54" s="711"/>
      <c r="AR54" s="711"/>
      <c r="AS54" s="711"/>
      <c r="AT54" s="711"/>
      <c r="AU54" s="711"/>
      <c r="AV54" s="711"/>
      <c r="AW54" s="711"/>
      <c r="AX54" s="711"/>
      <c r="AY54" s="711"/>
    </row>
    <row r="55" ht="27.75" customHeight="1">
      <c r="A55" s="711"/>
      <c r="B55" s="711"/>
      <c r="C55" s="844"/>
      <c r="E55" s="845"/>
      <c r="Q55" s="711"/>
      <c r="R55" s="711"/>
      <c r="S55" s="711"/>
      <c r="T55" s="711"/>
      <c r="U55" s="711"/>
      <c r="V55" s="711"/>
      <c r="W55" s="711"/>
      <c r="X55" s="711"/>
      <c r="Y55" s="711"/>
      <c r="Z55" s="711"/>
      <c r="AA55" s="711"/>
      <c r="AB55" s="711"/>
      <c r="AC55" s="711"/>
      <c r="AD55" s="711"/>
      <c r="AE55" s="711"/>
      <c r="AF55" s="711"/>
      <c r="AG55" s="711"/>
      <c r="AH55" s="711"/>
      <c r="AI55" s="711"/>
      <c r="AJ55" s="711"/>
      <c r="AK55" s="711"/>
      <c r="AL55" s="711"/>
      <c r="AM55" s="711"/>
      <c r="AN55" s="711"/>
      <c r="AO55" s="711"/>
      <c r="AP55" s="711"/>
      <c r="AQ55" s="711"/>
      <c r="AR55" s="711"/>
      <c r="AS55" s="711"/>
      <c r="AT55" s="711"/>
      <c r="AU55" s="711"/>
      <c r="AV55" s="711"/>
      <c r="AW55" s="711"/>
      <c r="AX55" s="711"/>
      <c r="AY55" s="711"/>
    </row>
    <row r="56" ht="27.75" customHeight="1">
      <c r="A56" s="711"/>
      <c r="B56" s="711"/>
      <c r="E56" s="845"/>
      <c r="Q56" s="711"/>
      <c r="R56" s="711"/>
      <c r="S56" s="711"/>
      <c r="T56" s="711"/>
      <c r="U56" s="711"/>
      <c r="V56" s="711"/>
      <c r="W56" s="711"/>
      <c r="X56" s="711"/>
      <c r="Y56" s="711"/>
      <c r="Z56" s="711"/>
      <c r="AA56" s="711"/>
      <c r="AB56" s="711"/>
      <c r="AC56" s="711"/>
      <c r="AD56" s="711"/>
      <c r="AE56" s="711"/>
      <c r="AF56" s="711"/>
      <c r="AG56" s="711"/>
      <c r="AH56" s="711"/>
      <c r="AI56" s="711"/>
      <c r="AJ56" s="711"/>
      <c r="AK56" s="711"/>
      <c r="AL56" s="711"/>
      <c r="AM56" s="711"/>
      <c r="AN56" s="711"/>
      <c r="AO56" s="711"/>
      <c r="AP56" s="711">
        <v>99999.0</v>
      </c>
      <c r="AQ56" s="711"/>
      <c r="AR56" s="711"/>
      <c r="AS56" s="711"/>
      <c r="AT56" s="711"/>
      <c r="AU56" s="711"/>
      <c r="AV56" s="711"/>
      <c r="AW56" s="711"/>
      <c r="AX56" s="711"/>
      <c r="AY56" s="711"/>
    </row>
    <row r="57" ht="27.75" customHeight="1">
      <c r="A57" s="711"/>
      <c r="B57" s="711"/>
      <c r="C57" s="844"/>
      <c r="E57" s="845"/>
      <c r="Q57" s="711"/>
      <c r="R57" s="711"/>
      <c r="S57" s="711"/>
      <c r="T57" s="711"/>
      <c r="U57" s="711"/>
      <c r="V57" s="711"/>
      <c r="W57" s="711"/>
      <c r="X57" s="711"/>
      <c r="Y57" s="711"/>
      <c r="Z57" s="711"/>
      <c r="AA57" s="711"/>
      <c r="AB57" s="711"/>
      <c r="AC57" s="711"/>
      <c r="AD57" s="711"/>
      <c r="AE57" s="711"/>
      <c r="AF57" s="711"/>
      <c r="AG57" s="711"/>
      <c r="AH57" s="711"/>
      <c r="AI57" s="711"/>
      <c r="AJ57" s="711"/>
      <c r="AK57" s="711"/>
      <c r="AL57" s="711"/>
      <c r="AM57" s="711"/>
      <c r="AN57" s="711"/>
      <c r="AO57" s="711"/>
      <c r="AP57" s="711"/>
      <c r="AQ57" s="711"/>
      <c r="AR57" s="711"/>
      <c r="AS57" s="711"/>
      <c r="AT57" s="711"/>
      <c r="AU57" s="711"/>
      <c r="AV57" s="711"/>
      <c r="AW57" s="711"/>
      <c r="AX57" s="711"/>
      <c r="AY57" s="711"/>
    </row>
    <row r="58" ht="21.75" customHeight="1">
      <c r="A58" s="802"/>
      <c r="B58" s="802"/>
      <c r="C58" s="846"/>
      <c r="D58" s="846"/>
      <c r="Q58" s="802"/>
      <c r="R58" s="802"/>
      <c r="S58" s="802"/>
      <c r="T58" s="802"/>
      <c r="U58" s="802"/>
      <c r="V58" s="802"/>
      <c r="W58" s="802"/>
      <c r="X58" s="802"/>
      <c r="Y58" s="802"/>
      <c r="Z58" s="802"/>
      <c r="AA58" s="802"/>
      <c r="AB58" s="802"/>
      <c r="AC58" s="802"/>
      <c r="AD58" s="802"/>
      <c r="AE58" s="802"/>
      <c r="AF58" s="802"/>
      <c r="AG58" s="802"/>
      <c r="AH58" s="802"/>
      <c r="AI58" s="802"/>
      <c r="AJ58" s="802"/>
      <c r="AK58" s="802"/>
      <c r="AL58" s="802"/>
      <c r="AM58" s="802"/>
      <c r="AN58" s="802"/>
      <c r="AO58" s="802"/>
      <c r="AP58" s="802"/>
      <c r="AQ58" s="802"/>
      <c r="AR58" s="802"/>
      <c r="AS58" s="802"/>
      <c r="AT58" s="802"/>
      <c r="AU58" s="802"/>
      <c r="AV58" s="802"/>
      <c r="AW58" s="802"/>
      <c r="AX58" s="802"/>
      <c r="AY58" s="802"/>
    </row>
    <row r="59" ht="21.75" customHeight="1">
      <c r="A59" s="802"/>
      <c r="B59" s="802"/>
      <c r="C59" s="846"/>
      <c r="D59" s="846"/>
      <c r="Q59" s="802"/>
      <c r="R59" s="802"/>
      <c r="S59" s="802"/>
      <c r="T59" s="802"/>
      <c r="U59" s="802"/>
      <c r="V59" s="802"/>
      <c r="W59" s="802"/>
      <c r="X59" s="802"/>
      <c r="Y59" s="802"/>
      <c r="Z59" s="802"/>
      <c r="AA59" s="802"/>
      <c r="AB59" s="802"/>
      <c r="AC59" s="802"/>
      <c r="AD59" s="802"/>
      <c r="AE59" s="802"/>
      <c r="AF59" s="802"/>
      <c r="AG59" s="802"/>
      <c r="AH59" s="802"/>
      <c r="AI59" s="802"/>
      <c r="AJ59" s="802"/>
      <c r="AK59" s="802"/>
      <c r="AL59" s="802"/>
      <c r="AM59" s="802"/>
      <c r="AN59" s="802"/>
      <c r="AO59" s="802"/>
      <c r="AP59" s="802"/>
      <c r="AQ59" s="802"/>
      <c r="AR59" s="802"/>
      <c r="AS59" s="802"/>
      <c r="AT59" s="802"/>
      <c r="AU59" s="802"/>
      <c r="AV59" s="802"/>
      <c r="AW59" s="802"/>
      <c r="AX59" s="802"/>
      <c r="AY59" s="802"/>
    </row>
    <row r="60" ht="21.75" customHeight="1">
      <c r="A60" s="802"/>
      <c r="B60" s="802"/>
      <c r="C60" s="846"/>
      <c r="D60" s="846"/>
      <c r="Q60" s="802"/>
      <c r="R60" s="802"/>
      <c r="S60" s="802"/>
      <c r="T60" s="802"/>
      <c r="U60" s="802"/>
      <c r="V60" s="802"/>
      <c r="W60" s="802"/>
      <c r="X60" s="802"/>
      <c r="Y60" s="802"/>
      <c r="Z60" s="802"/>
      <c r="AA60" s="802"/>
      <c r="AB60" s="802"/>
      <c r="AC60" s="802"/>
      <c r="AD60" s="802"/>
      <c r="AE60" s="802"/>
      <c r="AF60" s="802"/>
      <c r="AG60" s="802"/>
      <c r="AH60" s="802"/>
      <c r="AI60" s="802"/>
      <c r="AJ60" s="802"/>
      <c r="AK60" s="802"/>
      <c r="AL60" s="802"/>
      <c r="AM60" s="802"/>
      <c r="AN60" s="802"/>
      <c r="AO60" s="802"/>
      <c r="AP60" s="802"/>
      <c r="AQ60" s="802"/>
      <c r="AR60" s="802"/>
      <c r="AS60" s="802"/>
      <c r="AT60" s="802"/>
      <c r="AU60" s="802"/>
      <c r="AV60" s="802"/>
      <c r="AW60" s="802"/>
      <c r="AX60" s="802"/>
      <c r="AY60" s="802"/>
    </row>
    <row r="61" ht="21.75" customHeight="1">
      <c r="A61" s="802"/>
      <c r="B61" s="802"/>
      <c r="C61" s="846"/>
      <c r="D61" s="846"/>
      <c r="Q61" s="802"/>
      <c r="R61" s="802"/>
      <c r="S61" s="802"/>
      <c r="T61" s="802"/>
      <c r="U61" s="802"/>
      <c r="V61" s="802"/>
      <c r="W61" s="802"/>
      <c r="X61" s="802"/>
      <c r="Y61" s="802"/>
      <c r="Z61" s="802"/>
      <c r="AA61" s="802"/>
      <c r="AB61" s="802"/>
      <c r="AC61" s="802"/>
      <c r="AD61" s="802"/>
      <c r="AE61" s="802"/>
      <c r="AF61" s="802"/>
      <c r="AG61" s="802"/>
      <c r="AH61" s="802"/>
      <c r="AI61" s="802"/>
      <c r="AJ61" s="802"/>
      <c r="AK61" s="802"/>
      <c r="AL61" s="802"/>
      <c r="AM61" s="802"/>
      <c r="AN61" s="802"/>
      <c r="AO61" s="802"/>
      <c r="AP61" s="802"/>
      <c r="AQ61" s="802"/>
      <c r="AR61" s="802"/>
      <c r="AS61" s="802"/>
      <c r="AT61" s="802"/>
      <c r="AU61" s="802"/>
      <c r="AV61" s="802"/>
      <c r="AW61" s="802"/>
      <c r="AX61" s="802"/>
      <c r="AY61" s="802"/>
    </row>
    <row r="62" ht="21.75" customHeight="1">
      <c r="A62" s="802"/>
      <c r="B62" s="802"/>
      <c r="C62" s="846"/>
      <c r="D62" s="846"/>
      <c r="Q62" s="802"/>
      <c r="R62" s="802"/>
      <c r="S62" s="802"/>
      <c r="T62" s="802"/>
      <c r="U62" s="802"/>
      <c r="V62" s="802"/>
      <c r="W62" s="802"/>
      <c r="X62" s="802"/>
      <c r="Y62" s="802"/>
      <c r="Z62" s="802"/>
      <c r="AA62" s="802"/>
      <c r="AB62" s="802"/>
      <c r="AC62" s="802"/>
      <c r="AD62" s="802"/>
      <c r="AE62" s="802"/>
      <c r="AF62" s="802"/>
      <c r="AG62" s="802"/>
      <c r="AH62" s="802"/>
      <c r="AI62" s="802"/>
      <c r="AJ62" s="802"/>
      <c r="AK62" s="802"/>
      <c r="AL62" s="802"/>
      <c r="AM62" s="802"/>
      <c r="AN62" s="802"/>
      <c r="AO62" s="802"/>
      <c r="AP62" s="802"/>
      <c r="AQ62" s="802"/>
      <c r="AR62" s="802"/>
      <c r="AS62" s="802"/>
      <c r="AT62" s="802"/>
      <c r="AU62" s="802"/>
      <c r="AV62" s="802"/>
      <c r="AW62" s="802"/>
      <c r="AX62" s="802"/>
      <c r="AY62" s="802"/>
    </row>
    <row r="63" ht="21.75" customHeight="1">
      <c r="A63" s="802"/>
      <c r="B63" s="802"/>
      <c r="C63" s="846"/>
      <c r="D63" s="846"/>
      <c r="Q63" s="802"/>
      <c r="R63" s="802"/>
      <c r="S63" s="802"/>
      <c r="T63" s="802"/>
      <c r="U63" s="802"/>
      <c r="V63" s="802"/>
      <c r="W63" s="802"/>
      <c r="X63" s="802"/>
      <c r="Y63" s="802"/>
      <c r="Z63" s="802"/>
      <c r="AA63" s="802"/>
      <c r="AB63" s="802"/>
      <c r="AC63" s="802"/>
      <c r="AD63" s="802"/>
      <c r="AE63" s="802"/>
      <c r="AF63" s="802"/>
      <c r="AG63" s="802"/>
      <c r="AH63" s="802"/>
      <c r="AI63" s="802"/>
      <c r="AJ63" s="802"/>
      <c r="AK63" s="802"/>
      <c r="AL63" s="802"/>
      <c r="AM63" s="802"/>
      <c r="AN63" s="802"/>
      <c r="AO63" s="802"/>
      <c r="AP63" s="802"/>
      <c r="AQ63" s="802"/>
      <c r="AR63" s="802"/>
      <c r="AS63" s="802"/>
      <c r="AT63" s="802"/>
      <c r="AU63" s="802"/>
      <c r="AV63" s="802"/>
      <c r="AW63" s="802"/>
      <c r="AX63" s="802"/>
      <c r="AY63" s="802"/>
    </row>
    <row r="64" ht="21.75" customHeight="1">
      <c r="A64" s="802"/>
      <c r="B64" s="802"/>
      <c r="C64" s="846"/>
      <c r="D64" s="846"/>
      <c r="Q64" s="802"/>
      <c r="R64" s="802"/>
      <c r="S64" s="802"/>
      <c r="T64" s="802"/>
      <c r="U64" s="802"/>
      <c r="V64" s="802"/>
      <c r="W64" s="802"/>
      <c r="X64" s="802"/>
      <c r="Y64" s="802"/>
      <c r="Z64" s="802"/>
      <c r="AA64" s="802"/>
      <c r="AB64" s="802"/>
      <c r="AC64" s="802"/>
      <c r="AD64" s="802"/>
      <c r="AE64" s="802"/>
      <c r="AF64" s="802"/>
      <c r="AG64" s="802"/>
      <c r="AH64" s="802"/>
      <c r="AI64" s="802"/>
      <c r="AJ64" s="802"/>
      <c r="AK64" s="802"/>
      <c r="AL64" s="802"/>
      <c r="AM64" s="802"/>
      <c r="AN64" s="802"/>
      <c r="AO64" s="802"/>
      <c r="AP64" s="802"/>
      <c r="AQ64" s="802"/>
      <c r="AR64" s="802"/>
      <c r="AS64" s="802"/>
      <c r="AT64" s="802"/>
      <c r="AU64" s="802"/>
      <c r="AV64" s="802"/>
      <c r="AW64" s="802"/>
      <c r="AX64" s="802"/>
      <c r="AY64" s="802"/>
    </row>
    <row r="65" ht="21.75" customHeight="1">
      <c r="A65" s="802"/>
      <c r="B65" s="802"/>
      <c r="C65" s="846"/>
      <c r="D65" s="846"/>
      <c r="Q65" s="802"/>
      <c r="R65" s="802"/>
      <c r="S65" s="802"/>
      <c r="T65" s="802"/>
      <c r="U65" s="802"/>
      <c r="V65" s="802"/>
      <c r="W65" s="802"/>
      <c r="X65" s="802"/>
      <c r="Y65" s="802"/>
      <c r="Z65" s="802"/>
      <c r="AA65" s="802"/>
      <c r="AB65" s="802"/>
      <c r="AC65" s="802"/>
      <c r="AD65" s="802"/>
      <c r="AE65" s="802"/>
      <c r="AF65" s="802"/>
      <c r="AG65" s="802"/>
      <c r="AH65" s="802"/>
      <c r="AI65" s="802"/>
      <c r="AJ65" s="802"/>
      <c r="AK65" s="802"/>
      <c r="AL65" s="802"/>
      <c r="AM65" s="802"/>
      <c r="AN65" s="802"/>
      <c r="AO65" s="802"/>
      <c r="AP65" s="802"/>
      <c r="AQ65" s="802"/>
      <c r="AR65" s="802"/>
      <c r="AS65" s="802"/>
      <c r="AT65" s="802"/>
      <c r="AU65" s="802"/>
      <c r="AV65" s="802"/>
      <c r="AW65" s="802"/>
      <c r="AX65" s="802"/>
      <c r="AY65" s="802"/>
    </row>
    <row r="66" ht="21.75" customHeight="1">
      <c r="A66" s="802"/>
      <c r="B66" s="802"/>
      <c r="C66" s="846"/>
      <c r="D66" s="846"/>
      <c r="Q66" s="802"/>
      <c r="R66" s="802"/>
      <c r="S66" s="802"/>
      <c r="T66" s="802"/>
      <c r="U66" s="802"/>
      <c r="V66" s="802"/>
      <c r="W66" s="802"/>
      <c r="X66" s="802"/>
      <c r="Y66" s="802"/>
      <c r="Z66" s="802"/>
      <c r="AA66" s="802"/>
      <c r="AB66" s="802"/>
      <c r="AC66" s="802"/>
      <c r="AD66" s="802"/>
      <c r="AE66" s="802"/>
      <c r="AF66" s="802"/>
      <c r="AG66" s="802"/>
      <c r="AH66" s="802"/>
      <c r="AI66" s="802"/>
      <c r="AJ66" s="802"/>
      <c r="AK66" s="802"/>
      <c r="AL66" s="802"/>
      <c r="AM66" s="802"/>
      <c r="AN66" s="802"/>
      <c r="AO66" s="802"/>
      <c r="AP66" s="802"/>
      <c r="AQ66" s="802"/>
      <c r="AR66" s="802"/>
      <c r="AS66" s="802"/>
      <c r="AT66" s="802"/>
      <c r="AU66" s="802"/>
      <c r="AV66" s="802"/>
      <c r="AW66" s="802"/>
      <c r="AX66" s="802"/>
      <c r="AY66" s="802"/>
    </row>
    <row r="67" ht="21.75" customHeight="1">
      <c r="A67" s="802"/>
      <c r="B67" s="802"/>
      <c r="C67" s="846"/>
      <c r="D67" s="846"/>
      <c r="Q67" s="802"/>
      <c r="R67" s="802"/>
      <c r="S67" s="802"/>
      <c r="T67" s="802"/>
      <c r="U67" s="802"/>
      <c r="V67" s="802"/>
      <c r="W67" s="802"/>
      <c r="X67" s="802"/>
      <c r="Y67" s="802"/>
      <c r="Z67" s="802"/>
      <c r="AA67" s="802"/>
      <c r="AB67" s="802"/>
      <c r="AC67" s="802"/>
      <c r="AD67" s="802"/>
      <c r="AE67" s="802"/>
      <c r="AF67" s="802"/>
      <c r="AG67" s="802"/>
      <c r="AH67" s="802"/>
      <c r="AI67" s="802"/>
      <c r="AJ67" s="802"/>
      <c r="AK67" s="802"/>
      <c r="AL67" s="802"/>
      <c r="AM67" s="802"/>
      <c r="AN67" s="802"/>
      <c r="AO67" s="802"/>
      <c r="AP67" s="802"/>
      <c r="AQ67" s="802"/>
      <c r="AR67" s="802"/>
      <c r="AS67" s="802"/>
      <c r="AT67" s="802"/>
      <c r="AU67" s="802"/>
      <c r="AV67" s="802"/>
      <c r="AW67" s="802"/>
      <c r="AX67" s="802"/>
      <c r="AY67" s="802"/>
    </row>
    <row r="68" ht="21.75" customHeight="1">
      <c r="A68" s="802"/>
      <c r="B68" s="802"/>
      <c r="C68" s="846"/>
      <c r="D68" s="846"/>
      <c r="Q68" s="802"/>
      <c r="R68" s="802"/>
      <c r="S68" s="802"/>
      <c r="T68" s="802"/>
      <c r="U68" s="802"/>
      <c r="V68" s="802"/>
      <c r="W68" s="802"/>
      <c r="X68" s="802"/>
      <c r="Y68" s="802"/>
      <c r="Z68" s="802"/>
      <c r="AA68" s="802"/>
      <c r="AB68" s="802"/>
      <c r="AC68" s="802"/>
      <c r="AD68" s="802"/>
      <c r="AE68" s="802"/>
      <c r="AF68" s="802"/>
      <c r="AG68" s="802"/>
      <c r="AH68" s="802"/>
      <c r="AI68" s="802"/>
      <c r="AJ68" s="802"/>
      <c r="AK68" s="802"/>
      <c r="AL68" s="802"/>
      <c r="AM68" s="802"/>
      <c r="AN68" s="802"/>
      <c r="AO68" s="802"/>
      <c r="AP68" s="802"/>
      <c r="AQ68" s="802"/>
      <c r="AR68" s="802"/>
      <c r="AS68" s="802"/>
      <c r="AT68" s="802"/>
      <c r="AU68" s="802"/>
      <c r="AV68" s="802"/>
      <c r="AW68" s="802"/>
      <c r="AX68" s="802"/>
      <c r="AY68" s="802"/>
    </row>
    <row r="69" ht="21.75" customHeight="1">
      <c r="A69" s="802"/>
      <c r="B69" s="802"/>
      <c r="C69" s="846"/>
      <c r="D69" s="846"/>
      <c r="Q69" s="802"/>
      <c r="R69" s="802"/>
      <c r="S69" s="802"/>
      <c r="T69" s="802"/>
      <c r="U69" s="802"/>
      <c r="V69" s="802"/>
      <c r="W69" s="802"/>
      <c r="X69" s="802"/>
      <c r="Y69" s="802"/>
      <c r="Z69" s="802"/>
      <c r="AA69" s="802"/>
      <c r="AB69" s="802"/>
      <c r="AC69" s="802"/>
      <c r="AD69" s="802"/>
      <c r="AE69" s="802"/>
      <c r="AF69" s="802"/>
      <c r="AG69" s="802"/>
      <c r="AH69" s="802"/>
      <c r="AI69" s="802"/>
      <c r="AJ69" s="802"/>
      <c r="AK69" s="802"/>
      <c r="AL69" s="802"/>
      <c r="AM69" s="802"/>
      <c r="AN69" s="802"/>
      <c r="AO69" s="802"/>
      <c r="AP69" s="802"/>
      <c r="AQ69" s="802"/>
      <c r="AR69" s="802"/>
      <c r="AS69" s="802"/>
      <c r="AT69" s="802"/>
      <c r="AU69" s="802"/>
      <c r="AV69" s="802"/>
      <c r="AW69" s="802"/>
      <c r="AX69" s="802"/>
      <c r="AY69" s="802"/>
    </row>
    <row r="70" ht="21.75" customHeight="1">
      <c r="A70" s="802"/>
      <c r="B70" s="802"/>
      <c r="C70" s="846"/>
      <c r="D70" s="846"/>
      <c r="Q70" s="802"/>
      <c r="R70" s="802"/>
      <c r="S70" s="802"/>
      <c r="T70" s="802"/>
      <c r="U70" s="802"/>
      <c r="V70" s="802"/>
      <c r="W70" s="802"/>
      <c r="X70" s="802"/>
      <c r="Y70" s="802"/>
      <c r="Z70" s="802"/>
      <c r="AA70" s="802"/>
      <c r="AB70" s="802"/>
      <c r="AC70" s="802"/>
      <c r="AD70" s="802"/>
      <c r="AE70" s="802"/>
      <c r="AF70" s="802"/>
      <c r="AG70" s="802"/>
      <c r="AH70" s="802"/>
      <c r="AI70" s="802"/>
      <c r="AJ70" s="802"/>
      <c r="AK70" s="802"/>
      <c r="AL70" s="802"/>
      <c r="AM70" s="802"/>
      <c r="AN70" s="802"/>
      <c r="AO70" s="802"/>
      <c r="AP70" s="802"/>
      <c r="AQ70" s="802"/>
      <c r="AR70" s="802"/>
      <c r="AS70" s="802"/>
      <c r="AT70" s="802"/>
      <c r="AU70" s="802"/>
      <c r="AV70" s="802"/>
      <c r="AW70" s="802"/>
      <c r="AX70" s="802"/>
      <c r="AY70" s="802"/>
    </row>
    <row r="71" ht="21.75" customHeight="1">
      <c r="A71" s="802"/>
      <c r="B71" s="802"/>
      <c r="C71" s="846"/>
      <c r="D71" s="846"/>
      <c r="Q71" s="802"/>
      <c r="R71" s="802"/>
      <c r="S71" s="802"/>
      <c r="T71" s="802"/>
      <c r="U71" s="802"/>
      <c r="V71" s="802"/>
      <c r="W71" s="802"/>
      <c r="X71" s="802"/>
      <c r="Y71" s="802"/>
      <c r="Z71" s="802"/>
      <c r="AA71" s="802"/>
      <c r="AB71" s="802"/>
      <c r="AC71" s="802"/>
      <c r="AD71" s="802"/>
      <c r="AE71" s="802"/>
      <c r="AF71" s="802"/>
      <c r="AG71" s="802"/>
      <c r="AH71" s="802"/>
      <c r="AI71" s="802"/>
      <c r="AJ71" s="802"/>
      <c r="AK71" s="802"/>
      <c r="AL71" s="802"/>
      <c r="AM71" s="802"/>
      <c r="AN71" s="802"/>
      <c r="AO71" s="802"/>
      <c r="AP71" s="802"/>
      <c r="AQ71" s="802"/>
      <c r="AR71" s="802"/>
      <c r="AS71" s="802"/>
      <c r="AT71" s="802"/>
      <c r="AU71" s="802"/>
      <c r="AV71" s="802"/>
      <c r="AW71" s="802"/>
      <c r="AX71" s="802"/>
      <c r="AY71" s="802"/>
    </row>
    <row r="72" ht="21.75" customHeight="1">
      <c r="A72" s="802"/>
      <c r="B72" s="802"/>
      <c r="C72" s="846"/>
      <c r="D72" s="846"/>
      <c r="Q72" s="802"/>
      <c r="R72" s="802"/>
      <c r="S72" s="802"/>
      <c r="T72" s="802"/>
      <c r="U72" s="802"/>
      <c r="V72" s="802"/>
      <c r="W72" s="802"/>
      <c r="X72" s="802"/>
      <c r="Y72" s="802"/>
      <c r="Z72" s="802"/>
      <c r="AA72" s="802"/>
      <c r="AB72" s="802"/>
      <c r="AC72" s="802"/>
      <c r="AD72" s="802"/>
      <c r="AE72" s="802"/>
      <c r="AF72" s="802"/>
      <c r="AG72" s="802"/>
      <c r="AH72" s="802"/>
      <c r="AI72" s="802"/>
      <c r="AJ72" s="802"/>
      <c r="AK72" s="802"/>
      <c r="AL72" s="802"/>
      <c r="AM72" s="802"/>
      <c r="AN72" s="802"/>
      <c r="AO72" s="802"/>
      <c r="AP72" s="802"/>
      <c r="AQ72" s="802"/>
      <c r="AR72" s="802"/>
      <c r="AS72" s="802"/>
      <c r="AT72" s="802"/>
      <c r="AU72" s="802"/>
      <c r="AV72" s="802"/>
      <c r="AW72" s="802"/>
      <c r="AX72" s="802"/>
      <c r="AY72" s="802"/>
    </row>
    <row r="73" ht="21.75" customHeight="1">
      <c r="A73" s="802"/>
      <c r="B73" s="802"/>
      <c r="C73" s="846"/>
      <c r="D73" s="846"/>
      <c r="Q73" s="802"/>
      <c r="R73" s="802"/>
      <c r="S73" s="802"/>
      <c r="T73" s="802"/>
      <c r="U73" s="802"/>
      <c r="V73" s="802"/>
      <c r="W73" s="802"/>
      <c r="X73" s="802"/>
      <c r="Y73" s="802"/>
      <c r="Z73" s="802"/>
      <c r="AA73" s="802"/>
      <c r="AB73" s="802"/>
      <c r="AC73" s="802"/>
      <c r="AD73" s="802"/>
      <c r="AE73" s="802"/>
      <c r="AF73" s="802"/>
      <c r="AG73" s="802"/>
      <c r="AH73" s="802"/>
      <c r="AI73" s="802"/>
      <c r="AJ73" s="802"/>
      <c r="AK73" s="802"/>
      <c r="AL73" s="802"/>
      <c r="AM73" s="802"/>
      <c r="AN73" s="802"/>
      <c r="AO73" s="802"/>
      <c r="AP73" s="802"/>
      <c r="AQ73" s="802"/>
      <c r="AR73" s="802"/>
      <c r="AS73" s="802"/>
      <c r="AT73" s="802"/>
      <c r="AU73" s="802"/>
      <c r="AV73" s="802"/>
      <c r="AW73" s="802"/>
      <c r="AX73" s="802"/>
      <c r="AY73" s="802"/>
    </row>
    <row r="74" ht="21.75" customHeight="1">
      <c r="A74" s="802"/>
      <c r="B74" s="802"/>
      <c r="C74" s="846"/>
      <c r="D74" s="846"/>
      <c r="Q74" s="802"/>
      <c r="R74" s="802"/>
      <c r="S74" s="802"/>
      <c r="T74" s="802"/>
      <c r="U74" s="802"/>
      <c r="V74" s="802"/>
      <c r="W74" s="802"/>
      <c r="X74" s="802"/>
      <c r="Y74" s="802"/>
      <c r="Z74" s="802"/>
      <c r="AA74" s="802"/>
      <c r="AB74" s="802"/>
      <c r="AC74" s="802"/>
      <c r="AD74" s="802"/>
      <c r="AE74" s="802"/>
      <c r="AF74" s="802"/>
      <c r="AG74" s="802"/>
      <c r="AH74" s="802"/>
      <c r="AI74" s="802"/>
      <c r="AJ74" s="802"/>
      <c r="AK74" s="802"/>
      <c r="AL74" s="802"/>
      <c r="AM74" s="802"/>
      <c r="AN74" s="802"/>
      <c r="AO74" s="802"/>
      <c r="AP74" s="802"/>
      <c r="AQ74" s="802"/>
      <c r="AR74" s="802"/>
      <c r="AS74" s="802"/>
      <c r="AT74" s="802"/>
      <c r="AU74" s="802"/>
      <c r="AV74" s="802"/>
      <c r="AW74" s="802"/>
      <c r="AX74" s="802"/>
      <c r="AY74" s="802"/>
    </row>
    <row r="75" ht="21.75" customHeight="1">
      <c r="A75" s="802"/>
      <c r="B75" s="802"/>
      <c r="C75" s="846"/>
      <c r="D75" s="846"/>
      <c r="Q75" s="802"/>
      <c r="R75" s="802"/>
      <c r="S75" s="802"/>
      <c r="T75" s="802"/>
      <c r="U75" s="802"/>
      <c r="V75" s="802"/>
      <c r="W75" s="802"/>
      <c r="X75" s="802"/>
      <c r="Y75" s="802"/>
      <c r="Z75" s="802"/>
      <c r="AA75" s="802"/>
      <c r="AB75" s="802"/>
      <c r="AC75" s="802"/>
      <c r="AD75" s="802"/>
      <c r="AE75" s="802"/>
      <c r="AF75" s="802"/>
      <c r="AG75" s="802"/>
      <c r="AH75" s="802"/>
      <c r="AI75" s="802"/>
      <c r="AJ75" s="802"/>
      <c r="AK75" s="802"/>
      <c r="AL75" s="802"/>
      <c r="AM75" s="802"/>
      <c r="AN75" s="802"/>
      <c r="AO75" s="802"/>
      <c r="AP75" s="802"/>
      <c r="AQ75" s="802"/>
      <c r="AR75" s="802"/>
      <c r="AS75" s="802"/>
      <c r="AT75" s="802"/>
      <c r="AU75" s="802"/>
      <c r="AV75" s="802"/>
      <c r="AW75" s="802"/>
      <c r="AX75" s="802"/>
      <c r="AY75" s="802"/>
    </row>
    <row r="76" ht="21.75" customHeight="1">
      <c r="A76" s="802"/>
      <c r="B76" s="802"/>
      <c r="C76" s="846"/>
      <c r="D76" s="846"/>
      <c r="Q76" s="802"/>
      <c r="R76" s="802"/>
      <c r="S76" s="802"/>
      <c r="T76" s="802"/>
      <c r="U76" s="802"/>
      <c r="V76" s="802"/>
      <c r="W76" s="802"/>
      <c r="X76" s="802"/>
      <c r="Y76" s="802"/>
      <c r="Z76" s="802"/>
      <c r="AA76" s="802"/>
      <c r="AB76" s="802"/>
      <c r="AC76" s="802"/>
      <c r="AD76" s="802"/>
      <c r="AE76" s="802"/>
      <c r="AF76" s="802"/>
      <c r="AG76" s="802"/>
      <c r="AH76" s="802"/>
      <c r="AI76" s="802"/>
      <c r="AJ76" s="802"/>
      <c r="AK76" s="802"/>
      <c r="AL76" s="802"/>
      <c r="AM76" s="802"/>
      <c r="AN76" s="802"/>
      <c r="AO76" s="802"/>
      <c r="AP76" s="802"/>
      <c r="AQ76" s="802"/>
      <c r="AR76" s="802"/>
      <c r="AS76" s="802"/>
      <c r="AT76" s="802"/>
      <c r="AU76" s="802"/>
      <c r="AV76" s="802"/>
      <c r="AW76" s="802"/>
      <c r="AX76" s="802"/>
      <c r="AY76" s="802"/>
    </row>
    <row r="77" ht="21.75" customHeight="1">
      <c r="A77" s="802"/>
      <c r="B77" s="802"/>
      <c r="C77" s="846"/>
      <c r="D77" s="846"/>
      <c r="Q77" s="802"/>
      <c r="R77" s="802"/>
      <c r="S77" s="802"/>
      <c r="T77" s="802"/>
      <c r="U77" s="802"/>
      <c r="V77" s="802"/>
      <c r="W77" s="802"/>
      <c r="X77" s="802"/>
      <c r="Y77" s="802"/>
      <c r="Z77" s="802"/>
      <c r="AA77" s="802"/>
      <c r="AB77" s="802"/>
      <c r="AC77" s="802"/>
      <c r="AD77" s="802"/>
      <c r="AE77" s="802"/>
      <c r="AF77" s="802"/>
      <c r="AG77" s="802"/>
      <c r="AH77" s="802"/>
      <c r="AI77" s="802"/>
      <c r="AJ77" s="802"/>
      <c r="AK77" s="802"/>
      <c r="AL77" s="802"/>
      <c r="AM77" s="802"/>
      <c r="AN77" s="802"/>
      <c r="AO77" s="802"/>
      <c r="AP77" s="802"/>
      <c r="AQ77" s="802"/>
      <c r="AR77" s="802"/>
      <c r="AS77" s="802"/>
      <c r="AT77" s="802"/>
      <c r="AU77" s="802"/>
      <c r="AV77" s="802"/>
      <c r="AW77" s="802"/>
      <c r="AX77" s="802"/>
      <c r="AY77" s="802"/>
    </row>
    <row r="78" ht="21.75" customHeight="1">
      <c r="A78" s="802"/>
      <c r="B78" s="802"/>
      <c r="C78" s="846"/>
      <c r="D78" s="846"/>
      <c r="Q78" s="802"/>
      <c r="R78" s="802"/>
      <c r="S78" s="802"/>
      <c r="T78" s="802"/>
      <c r="U78" s="802"/>
      <c r="V78" s="802"/>
      <c r="W78" s="802"/>
      <c r="X78" s="802"/>
      <c r="Y78" s="802"/>
      <c r="Z78" s="802"/>
      <c r="AA78" s="802"/>
      <c r="AB78" s="802"/>
      <c r="AC78" s="802"/>
      <c r="AD78" s="802"/>
      <c r="AE78" s="802"/>
      <c r="AF78" s="802"/>
      <c r="AG78" s="802"/>
      <c r="AH78" s="802"/>
      <c r="AI78" s="802"/>
      <c r="AJ78" s="802"/>
      <c r="AK78" s="802"/>
      <c r="AL78" s="802"/>
      <c r="AM78" s="802"/>
      <c r="AN78" s="802"/>
      <c r="AO78" s="802"/>
      <c r="AP78" s="802"/>
      <c r="AQ78" s="802"/>
      <c r="AR78" s="802"/>
      <c r="AS78" s="802"/>
      <c r="AT78" s="802"/>
      <c r="AU78" s="802"/>
      <c r="AV78" s="802"/>
      <c r="AW78" s="802"/>
      <c r="AX78" s="802"/>
      <c r="AY78" s="802"/>
    </row>
    <row r="79" ht="21.75" customHeight="1">
      <c r="A79" s="802"/>
      <c r="B79" s="802"/>
      <c r="C79" s="846"/>
      <c r="D79" s="846"/>
      <c r="Q79" s="802"/>
      <c r="R79" s="802"/>
      <c r="S79" s="802"/>
      <c r="T79" s="802"/>
      <c r="U79" s="802"/>
      <c r="V79" s="802"/>
      <c r="W79" s="802"/>
      <c r="X79" s="802"/>
      <c r="Y79" s="802"/>
      <c r="Z79" s="802"/>
      <c r="AA79" s="802"/>
      <c r="AB79" s="802"/>
      <c r="AC79" s="802"/>
      <c r="AD79" s="802"/>
      <c r="AE79" s="802"/>
      <c r="AF79" s="802"/>
      <c r="AG79" s="802"/>
      <c r="AH79" s="802"/>
      <c r="AI79" s="802"/>
      <c r="AJ79" s="802"/>
      <c r="AK79" s="802"/>
      <c r="AL79" s="802"/>
      <c r="AM79" s="802"/>
      <c r="AN79" s="802"/>
      <c r="AO79" s="802"/>
      <c r="AP79" s="802"/>
      <c r="AQ79" s="802"/>
      <c r="AR79" s="802"/>
      <c r="AS79" s="802"/>
      <c r="AT79" s="802"/>
      <c r="AU79" s="802"/>
      <c r="AV79" s="802"/>
      <c r="AW79" s="802"/>
      <c r="AX79" s="802"/>
      <c r="AY79" s="802"/>
    </row>
    <row r="80" ht="21.75" customHeight="1">
      <c r="A80" s="802"/>
      <c r="B80" s="802"/>
      <c r="C80" s="846"/>
      <c r="D80" s="846"/>
      <c r="Q80" s="802"/>
      <c r="R80" s="802"/>
      <c r="S80" s="802"/>
      <c r="T80" s="802"/>
      <c r="U80" s="802"/>
      <c r="V80" s="802"/>
      <c r="W80" s="802"/>
      <c r="X80" s="802"/>
      <c r="Y80" s="802"/>
      <c r="Z80" s="802"/>
      <c r="AA80" s="802"/>
      <c r="AB80" s="802"/>
      <c r="AC80" s="802"/>
      <c r="AD80" s="802"/>
      <c r="AE80" s="802"/>
      <c r="AF80" s="802"/>
      <c r="AG80" s="802"/>
      <c r="AH80" s="802"/>
      <c r="AI80" s="802"/>
      <c r="AJ80" s="802"/>
      <c r="AK80" s="802"/>
      <c r="AL80" s="802"/>
      <c r="AM80" s="802"/>
      <c r="AN80" s="802"/>
      <c r="AO80" s="802"/>
      <c r="AP80" s="802"/>
      <c r="AQ80" s="802"/>
      <c r="AR80" s="802"/>
      <c r="AS80" s="802"/>
      <c r="AT80" s="802"/>
      <c r="AU80" s="802"/>
      <c r="AV80" s="802"/>
      <c r="AW80" s="802"/>
      <c r="AX80" s="802"/>
      <c r="AY80" s="802"/>
    </row>
    <row r="81" ht="21.75" customHeight="1">
      <c r="A81" s="802"/>
      <c r="B81" s="802"/>
      <c r="C81" s="846"/>
      <c r="D81" s="846"/>
      <c r="Q81" s="802"/>
      <c r="R81" s="802"/>
      <c r="S81" s="802"/>
      <c r="T81" s="802"/>
      <c r="U81" s="802"/>
      <c r="V81" s="802"/>
      <c r="W81" s="802"/>
      <c r="X81" s="802"/>
      <c r="Y81" s="802"/>
      <c r="Z81" s="802"/>
      <c r="AA81" s="802"/>
      <c r="AB81" s="802"/>
      <c r="AC81" s="802"/>
      <c r="AD81" s="802"/>
      <c r="AE81" s="802"/>
      <c r="AF81" s="802"/>
      <c r="AG81" s="802"/>
      <c r="AH81" s="802"/>
      <c r="AI81" s="802"/>
      <c r="AJ81" s="802"/>
      <c r="AK81" s="802"/>
      <c r="AL81" s="802"/>
      <c r="AM81" s="802"/>
      <c r="AN81" s="802"/>
      <c r="AO81" s="802"/>
      <c r="AP81" s="802"/>
      <c r="AQ81" s="802"/>
      <c r="AR81" s="802"/>
      <c r="AS81" s="802"/>
      <c r="AT81" s="802"/>
      <c r="AU81" s="802"/>
      <c r="AV81" s="802"/>
      <c r="AW81" s="802"/>
      <c r="AX81" s="802"/>
      <c r="AY81" s="802"/>
    </row>
    <row r="82" ht="21.75" customHeight="1">
      <c r="A82" s="802"/>
      <c r="B82" s="802"/>
      <c r="C82" s="846"/>
      <c r="D82" s="846"/>
      <c r="Q82" s="802"/>
      <c r="R82" s="802"/>
      <c r="S82" s="802"/>
      <c r="T82" s="802"/>
      <c r="U82" s="802"/>
      <c r="V82" s="802"/>
      <c r="W82" s="802"/>
      <c r="X82" s="802"/>
      <c r="Y82" s="802"/>
      <c r="Z82" s="802"/>
      <c r="AA82" s="802"/>
      <c r="AB82" s="802"/>
      <c r="AC82" s="802"/>
      <c r="AD82" s="802"/>
      <c r="AE82" s="802"/>
      <c r="AF82" s="802"/>
      <c r="AG82" s="802"/>
      <c r="AH82" s="802"/>
      <c r="AI82" s="802"/>
      <c r="AJ82" s="802"/>
      <c r="AK82" s="802"/>
      <c r="AL82" s="802"/>
      <c r="AM82" s="802"/>
      <c r="AN82" s="802"/>
      <c r="AO82" s="802"/>
      <c r="AP82" s="802"/>
      <c r="AQ82" s="802"/>
      <c r="AR82" s="802"/>
      <c r="AS82" s="802"/>
      <c r="AT82" s="802"/>
      <c r="AU82" s="802"/>
      <c r="AV82" s="802"/>
      <c r="AW82" s="802"/>
      <c r="AX82" s="802"/>
      <c r="AY82" s="802"/>
    </row>
    <row r="83" ht="21.75" customHeight="1">
      <c r="A83" s="802"/>
      <c r="B83" s="802"/>
      <c r="C83" s="846"/>
      <c r="D83" s="846"/>
      <c r="Q83" s="802"/>
      <c r="R83" s="802"/>
      <c r="S83" s="802"/>
      <c r="T83" s="802"/>
      <c r="U83" s="802"/>
      <c r="V83" s="802"/>
      <c r="W83" s="802"/>
      <c r="X83" s="802"/>
      <c r="Y83" s="802"/>
      <c r="Z83" s="802"/>
      <c r="AA83" s="802"/>
      <c r="AB83" s="802"/>
      <c r="AC83" s="802"/>
      <c r="AD83" s="802"/>
      <c r="AE83" s="802"/>
      <c r="AF83" s="802"/>
      <c r="AG83" s="802"/>
      <c r="AH83" s="802"/>
      <c r="AI83" s="802"/>
      <c r="AJ83" s="802"/>
      <c r="AK83" s="802"/>
      <c r="AL83" s="802"/>
      <c r="AM83" s="802"/>
      <c r="AN83" s="802"/>
      <c r="AO83" s="802"/>
      <c r="AP83" s="802"/>
      <c r="AQ83" s="802"/>
      <c r="AR83" s="802"/>
      <c r="AS83" s="802"/>
      <c r="AT83" s="802"/>
      <c r="AU83" s="802"/>
      <c r="AV83" s="802"/>
      <c r="AW83" s="802"/>
      <c r="AX83" s="802"/>
      <c r="AY83" s="802"/>
    </row>
    <row r="84" ht="21.75" customHeight="1">
      <c r="A84" s="802"/>
      <c r="B84" s="802"/>
      <c r="C84" s="846"/>
      <c r="D84" s="846"/>
      <c r="Q84" s="802"/>
      <c r="R84" s="802"/>
      <c r="S84" s="802"/>
      <c r="T84" s="802"/>
      <c r="U84" s="802"/>
      <c r="V84" s="802"/>
      <c r="W84" s="802"/>
      <c r="X84" s="802"/>
      <c r="Y84" s="802"/>
      <c r="Z84" s="802"/>
      <c r="AA84" s="802"/>
      <c r="AB84" s="802"/>
      <c r="AC84" s="802"/>
      <c r="AD84" s="802"/>
      <c r="AE84" s="802"/>
      <c r="AF84" s="802"/>
      <c r="AG84" s="802"/>
      <c r="AH84" s="802"/>
      <c r="AI84" s="802"/>
      <c r="AJ84" s="802"/>
      <c r="AK84" s="802"/>
      <c r="AL84" s="802"/>
      <c r="AM84" s="802"/>
      <c r="AN84" s="802"/>
      <c r="AO84" s="802"/>
      <c r="AP84" s="802"/>
      <c r="AQ84" s="802"/>
      <c r="AR84" s="802"/>
      <c r="AS84" s="802"/>
      <c r="AT84" s="802"/>
      <c r="AU84" s="802"/>
      <c r="AV84" s="802"/>
      <c r="AW84" s="802"/>
      <c r="AX84" s="802"/>
      <c r="AY84" s="802"/>
    </row>
    <row r="85" ht="21.75" customHeight="1">
      <c r="A85" s="802"/>
      <c r="B85" s="802"/>
      <c r="C85" s="846"/>
      <c r="D85" s="846"/>
      <c r="Q85" s="802"/>
      <c r="R85" s="802"/>
      <c r="S85" s="802"/>
      <c r="T85" s="802"/>
      <c r="U85" s="802"/>
      <c r="V85" s="802"/>
      <c r="W85" s="802"/>
      <c r="X85" s="802"/>
      <c r="Y85" s="802"/>
      <c r="Z85" s="802"/>
      <c r="AA85" s="802"/>
      <c r="AB85" s="802"/>
      <c r="AC85" s="802"/>
      <c r="AD85" s="802"/>
      <c r="AE85" s="802"/>
      <c r="AF85" s="802"/>
      <c r="AG85" s="802"/>
      <c r="AH85" s="802"/>
      <c r="AI85" s="802"/>
      <c r="AJ85" s="802"/>
      <c r="AK85" s="802"/>
      <c r="AL85" s="802"/>
      <c r="AM85" s="802"/>
      <c r="AN85" s="802"/>
      <c r="AO85" s="802"/>
      <c r="AP85" s="802"/>
      <c r="AQ85" s="802"/>
      <c r="AR85" s="802"/>
      <c r="AS85" s="802"/>
      <c r="AT85" s="802"/>
      <c r="AU85" s="802"/>
      <c r="AV85" s="802"/>
      <c r="AW85" s="802"/>
      <c r="AX85" s="802"/>
      <c r="AY85" s="802"/>
    </row>
    <row r="86" ht="21.75" customHeight="1">
      <c r="A86" s="802"/>
      <c r="B86" s="802"/>
      <c r="C86" s="846"/>
      <c r="D86" s="846"/>
      <c r="Q86" s="802"/>
      <c r="R86" s="802"/>
      <c r="S86" s="802"/>
      <c r="T86" s="802"/>
      <c r="U86" s="802"/>
      <c r="V86" s="802"/>
      <c r="W86" s="802"/>
      <c r="X86" s="802"/>
      <c r="Y86" s="802"/>
      <c r="Z86" s="802"/>
      <c r="AA86" s="802"/>
      <c r="AB86" s="802"/>
      <c r="AC86" s="802"/>
      <c r="AD86" s="802"/>
      <c r="AE86" s="802"/>
      <c r="AF86" s="802"/>
      <c r="AG86" s="802"/>
      <c r="AH86" s="802"/>
      <c r="AI86" s="802"/>
      <c r="AJ86" s="802"/>
      <c r="AK86" s="802"/>
      <c r="AL86" s="802"/>
      <c r="AM86" s="802"/>
      <c r="AN86" s="802"/>
      <c r="AO86" s="802"/>
      <c r="AP86" s="802"/>
      <c r="AQ86" s="802"/>
      <c r="AR86" s="802"/>
      <c r="AS86" s="802"/>
      <c r="AT86" s="802"/>
      <c r="AU86" s="802"/>
      <c r="AV86" s="802"/>
      <c r="AW86" s="802"/>
      <c r="AX86" s="802"/>
      <c r="AY86" s="802"/>
    </row>
    <row r="87" ht="21.75" customHeight="1">
      <c r="A87" s="802"/>
      <c r="B87" s="802"/>
      <c r="C87" s="846"/>
      <c r="D87" s="846"/>
      <c r="Q87" s="802"/>
      <c r="R87" s="802"/>
      <c r="S87" s="802"/>
      <c r="T87" s="802"/>
      <c r="U87" s="802"/>
      <c r="V87" s="802"/>
      <c r="W87" s="802"/>
      <c r="X87" s="802"/>
      <c r="Y87" s="802"/>
      <c r="Z87" s="802"/>
      <c r="AA87" s="802"/>
      <c r="AB87" s="802"/>
      <c r="AC87" s="802"/>
      <c r="AD87" s="802"/>
      <c r="AE87" s="802"/>
      <c r="AF87" s="802"/>
      <c r="AG87" s="802"/>
      <c r="AH87" s="802"/>
      <c r="AI87" s="802"/>
      <c r="AJ87" s="802"/>
      <c r="AK87" s="802"/>
      <c r="AL87" s="802"/>
      <c r="AM87" s="802"/>
      <c r="AN87" s="802"/>
      <c r="AO87" s="802"/>
      <c r="AP87" s="802"/>
      <c r="AQ87" s="802"/>
      <c r="AR87" s="802"/>
      <c r="AS87" s="802"/>
      <c r="AT87" s="802"/>
      <c r="AU87" s="802"/>
      <c r="AV87" s="802"/>
      <c r="AW87" s="802"/>
      <c r="AX87" s="802"/>
      <c r="AY87" s="802"/>
    </row>
    <row r="88" ht="21.75" customHeight="1">
      <c r="A88" s="802"/>
      <c r="B88" s="802"/>
      <c r="C88" s="846"/>
      <c r="D88" s="846"/>
      <c r="Q88" s="802"/>
      <c r="R88" s="802"/>
      <c r="S88" s="802"/>
      <c r="T88" s="802"/>
      <c r="U88" s="802"/>
      <c r="V88" s="802"/>
      <c r="W88" s="802"/>
      <c r="X88" s="802"/>
      <c r="Y88" s="802"/>
      <c r="Z88" s="802"/>
      <c r="AA88" s="802"/>
      <c r="AB88" s="802"/>
      <c r="AC88" s="802"/>
      <c r="AD88" s="802"/>
      <c r="AE88" s="802"/>
      <c r="AF88" s="802"/>
      <c r="AG88" s="802"/>
      <c r="AH88" s="802"/>
      <c r="AI88" s="802"/>
      <c r="AJ88" s="802"/>
      <c r="AK88" s="802"/>
      <c r="AL88" s="802"/>
      <c r="AM88" s="802"/>
      <c r="AN88" s="802"/>
      <c r="AO88" s="802"/>
      <c r="AP88" s="802"/>
      <c r="AQ88" s="802"/>
      <c r="AR88" s="802"/>
      <c r="AS88" s="802"/>
      <c r="AT88" s="802"/>
      <c r="AU88" s="802"/>
      <c r="AV88" s="802"/>
      <c r="AW88" s="802"/>
      <c r="AX88" s="802"/>
      <c r="AY88" s="802"/>
    </row>
    <row r="89" ht="21.75" customHeight="1">
      <c r="A89" s="802"/>
      <c r="B89" s="802"/>
      <c r="C89" s="846"/>
      <c r="D89" s="846"/>
      <c r="Q89" s="802"/>
      <c r="R89" s="802"/>
      <c r="S89" s="802"/>
      <c r="T89" s="802"/>
      <c r="U89" s="802"/>
      <c r="V89" s="802"/>
      <c r="W89" s="802"/>
      <c r="X89" s="802"/>
      <c r="Y89" s="802"/>
      <c r="Z89" s="802"/>
      <c r="AA89" s="802"/>
      <c r="AB89" s="802"/>
      <c r="AC89" s="802"/>
      <c r="AD89" s="802"/>
      <c r="AE89" s="802"/>
      <c r="AF89" s="802"/>
      <c r="AG89" s="802"/>
      <c r="AH89" s="802"/>
      <c r="AI89" s="802"/>
      <c r="AJ89" s="802"/>
      <c r="AK89" s="802"/>
      <c r="AL89" s="802"/>
      <c r="AM89" s="802"/>
      <c r="AN89" s="802"/>
      <c r="AO89" s="802"/>
      <c r="AP89" s="802"/>
      <c r="AQ89" s="802"/>
      <c r="AR89" s="802"/>
      <c r="AS89" s="802"/>
      <c r="AT89" s="802"/>
      <c r="AU89" s="802"/>
      <c r="AV89" s="802"/>
      <c r="AW89" s="802"/>
      <c r="AX89" s="802"/>
      <c r="AY89" s="802"/>
    </row>
    <row r="90" ht="21.75" customHeight="1">
      <c r="A90" s="802"/>
      <c r="B90" s="802"/>
      <c r="C90" s="846"/>
      <c r="D90" s="846"/>
      <c r="Q90" s="802"/>
      <c r="R90" s="802"/>
      <c r="S90" s="802"/>
      <c r="T90" s="802"/>
      <c r="U90" s="802"/>
      <c r="V90" s="802"/>
      <c r="W90" s="802"/>
      <c r="X90" s="802"/>
      <c r="Y90" s="802"/>
      <c r="Z90" s="802"/>
      <c r="AA90" s="802"/>
      <c r="AB90" s="802"/>
      <c r="AC90" s="802"/>
      <c r="AD90" s="802"/>
      <c r="AE90" s="802"/>
      <c r="AF90" s="802"/>
      <c r="AG90" s="802"/>
      <c r="AH90" s="802"/>
      <c r="AI90" s="802"/>
      <c r="AJ90" s="802"/>
      <c r="AK90" s="802"/>
      <c r="AL90" s="802"/>
      <c r="AM90" s="802"/>
      <c r="AN90" s="802"/>
      <c r="AO90" s="802"/>
      <c r="AP90" s="802"/>
      <c r="AQ90" s="802"/>
      <c r="AR90" s="802"/>
      <c r="AS90" s="802"/>
      <c r="AT90" s="802"/>
      <c r="AU90" s="802"/>
      <c r="AV90" s="802"/>
      <c r="AW90" s="802"/>
      <c r="AX90" s="802"/>
      <c r="AY90" s="802"/>
    </row>
    <row r="91" ht="21.75" customHeight="1">
      <c r="A91" s="802"/>
      <c r="B91" s="802"/>
      <c r="C91" s="846"/>
      <c r="D91" s="846"/>
      <c r="Q91" s="802"/>
      <c r="R91" s="802"/>
      <c r="S91" s="802"/>
      <c r="T91" s="802"/>
      <c r="U91" s="802"/>
      <c r="V91" s="802"/>
      <c r="W91" s="802"/>
      <c r="X91" s="802"/>
      <c r="Y91" s="802"/>
      <c r="Z91" s="802"/>
      <c r="AA91" s="802"/>
      <c r="AB91" s="802"/>
      <c r="AC91" s="802"/>
      <c r="AD91" s="802"/>
      <c r="AE91" s="802"/>
      <c r="AF91" s="802"/>
      <c r="AG91" s="802"/>
      <c r="AH91" s="802"/>
      <c r="AI91" s="802"/>
      <c r="AJ91" s="802"/>
      <c r="AK91" s="802"/>
      <c r="AL91" s="802"/>
      <c r="AM91" s="802"/>
      <c r="AN91" s="802"/>
      <c r="AO91" s="802"/>
      <c r="AP91" s="802"/>
      <c r="AQ91" s="802"/>
      <c r="AR91" s="802"/>
      <c r="AS91" s="802"/>
      <c r="AT91" s="802"/>
      <c r="AU91" s="802"/>
      <c r="AV91" s="802"/>
      <c r="AW91" s="802"/>
      <c r="AX91" s="802"/>
      <c r="AY91" s="802"/>
    </row>
    <row r="92" ht="21.75" customHeight="1">
      <c r="A92" s="802"/>
      <c r="B92" s="802"/>
      <c r="C92" s="846"/>
      <c r="D92" s="846"/>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802"/>
      <c r="AQ92" s="802"/>
      <c r="AR92" s="802"/>
      <c r="AS92" s="802"/>
      <c r="AT92" s="802"/>
      <c r="AU92" s="802"/>
      <c r="AV92" s="802"/>
      <c r="AW92" s="802"/>
      <c r="AX92" s="802"/>
      <c r="AY92" s="802"/>
    </row>
    <row r="93" ht="21.75" customHeight="1">
      <c r="A93" s="802"/>
      <c r="B93" s="802"/>
      <c r="C93" s="846"/>
      <c r="D93" s="846"/>
      <c r="Q93" s="802"/>
      <c r="R93" s="802"/>
      <c r="S93" s="802"/>
      <c r="T93" s="802"/>
      <c r="U93" s="802"/>
      <c r="V93" s="802"/>
      <c r="W93" s="802"/>
      <c r="X93" s="802"/>
      <c r="Y93" s="802"/>
      <c r="Z93" s="802"/>
      <c r="AA93" s="802"/>
      <c r="AB93" s="802"/>
      <c r="AC93" s="802"/>
      <c r="AD93" s="802"/>
      <c r="AE93" s="802"/>
      <c r="AF93" s="802"/>
      <c r="AG93" s="802"/>
      <c r="AH93" s="802"/>
      <c r="AI93" s="802"/>
      <c r="AJ93" s="802"/>
      <c r="AK93" s="802"/>
      <c r="AL93" s="802"/>
      <c r="AM93" s="802"/>
      <c r="AN93" s="802"/>
      <c r="AO93" s="802"/>
      <c r="AP93" s="802"/>
      <c r="AQ93" s="802"/>
      <c r="AR93" s="802"/>
      <c r="AS93" s="802"/>
      <c r="AT93" s="802"/>
      <c r="AU93" s="802"/>
      <c r="AV93" s="802"/>
      <c r="AW93" s="802"/>
      <c r="AX93" s="802"/>
      <c r="AY93" s="802"/>
    </row>
    <row r="94" ht="21.75" customHeight="1">
      <c r="A94" s="802"/>
      <c r="B94" s="802"/>
      <c r="C94" s="846"/>
      <c r="D94" s="846"/>
      <c r="Q94" s="802"/>
      <c r="R94" s="802"/>
      <c r="S94" s="802"/>
      <c r="T94" s="802"/>
      <c r="U94" s="802"/>
      <c r="V94" s="802"/>
      <c r="W94" s="802"/>
      <c r="X94" s="802"/>
      <c r="Y94" s="802"/>
      <c r="Z94" s="802"/>
      <c r="AA94" s="802"/>
      <c r="AB94" s="802"/>
      <c r="AC94" s="802"/>
      <c r="AD94" s="802"/>
      <c r="AE94" s="802"/>
      <c r="AF94" s="802"/>
      <c r="AG94" s="802"/>
      <c r="AH94" s="802"/>
      <c r="AI94" s="802"/>
      <c r="AJ94" s="802"/>
      <c r="AK94" s="802"/>
      <c r="AL94" s="802"/>
      <c r="AM94" s="802"/>
      <c r="AN94" s="802"/>
      <c r="AO94" s="802"/>
      <c r="AP94" s="802"/>
      <c r="AQ94" s="802"/>
      <c r="AR94" s="802"/>
      <c r="AS94" s="802"/>
      <c r="AT94" s="802"/>
      <c r="AU94" s="802"/>
      <c r="AV94" s="802"/>
      <c r="AW94" s="802"/>
      <c r="AX94" s="802"/>
      <c r="AY94" s="802"/>
    </row>
    <row r="95" ht="21.75" customHeight="1">
      <c r="A95" s="802"/>
      <c r="B95" s="802"/>
      <c r="C95" s="846"/>
      <c r="D95" s="846"/>
      <c r="Q95" s="802"/>
      <c r="R95" s="802"/>
      <c r="S95" s="802"/>
      <c r="T95" s="802"/>
      <c r="U95" s="802"/>
      <c r="V95" s="802"/>
      <c r="W95" s="802"/>
      <c r="X95" s="802"/>
      <c r="Y95" s="802"/>
      <c r="Z95" s="802"/>
      <c r="AA95" s="802"/>
      <c r="AB95" s="802"/>
      <c r="AC95" s="802"/>
      <c r="AD95" s="802"/>
      <c r="AE95" s="802"/>
      <c r="AF95" s="802"/>
      <c r="AG95" s="802"/>
      <c r="AH95" s="802"/>
      <c r="AI95" s="802"/>
      <c r="AJ95" s="802"/>
      <c r="AK95" s="802"/>
      <c r="AL95" s="802"/>
      <c r="AM95" s="802"/>
      <c r="AN95" s="802"/>
      <c r="AO95" s="802"/>
      <c r="AP95" s="802"/>
      <c r="AQ95" s="802"/>
      <c r="AR95" s="802"/>
      <c r="AS95" s="802"/>
      <c r="AT95" s="802"/>
      <c r="AU95" s="802"/>
      <c r="AV95" s="802"/>
      <c r="AW95" s="802"/>
      <c r="AX95" s="802"/>
      <c r="AY95" s="802"/>
    </row>
    <row r="96" ht="21.75" customHeight="1">
      <c r="A96" s="802"/>
      <c r="B96" s="802"/>
      <c r="C96" s="846"/>
      <c r="D96" s="846"/>
      <c r="Q96" s="802"/>
      <c r="R96" s="802"/>
      <c r="S96" s="802"/>
      <c r="T96" s="802"/>
      <c r="U96" s="802"/>
      <c r="V96" s="802"/>
      <c r="W96" s="802"/>
      <c r="X96" s="802"/>
      <c r="Y96" s="802"/>
      <c r="Z96" s="802"/>
      <c r="AA96" s="802"/>
      <c r="AB96" s="802"/>
      <c r="AC96" s="802"/>
      <c r="AD96" s="802"/>
      <c r="AE96" s="802"/>
      <c r="AF96" s="802"/>
      <c r="AG96" s="802"/>
      <c r="AH96" s="802"/>
      <c r="AI96" s="802"/>
      <c r="AJ96" s="802"/>
      <c r="AK96" s="802"/>
      <c r="AL96" s="802"/>
      <c r="AM96" s="802"/>
      <c r="AN96" s="802"/>
      <c r="AO96" s="802"/>
      <c r="AP96" s="802"/>
      <c r="AQ96" s="802"/>
      <c r="AR96" s="802"/>
      <c r="AS96" s="802"/>
      <c r="AT96" s="802"/>
      <c r="AU96" s="802"/>
      <c r="AV96" s="802"/>
      <c r="AW96" s="802"/>
      <c r="AX96" s="802"/>
      <c r="AY96" s="802"/>
    </row>
    <row r="97" ht="21.75" customHeight="1">
      <c r="A97" s="802"/>
      <c r="B97" s="802"/>
      <c r="C97" s="846"/>
      <c r="D97" s="846"/>
      <c r="Q97" s="802"/>
      <c r="R97" s="802"/>
      <c r="S97" s="802"/>
      <c r="T97" s="802"/>
      <c r="U97" s="802"/>
      <c r="V97" s="802"/>
      <c r="W97" s="802"/>
      <c r="X97" s="802"/>
      <c r="Y97" s="802"/>
      <c r="Z97" s="802"/>
      <c r="AA97" s="802"/>
      <c r="AB97" s="802"/>
      <c r="AC97" s="802"/>
      <c r="AD97" s="802"/>
      <c r="AE97" s="802"/>
      <c r="AF97" s="802"/>
      <c r="AG97" s="802"/>
      <c r="AH97" s="802"/>
      <c r="AI97" s="802"/>
      <c r="AJ97" s="802"/>
      <c r="AK97" s="802"/>
      <c r="AL97" s="802"/>
      <c r="AM97" s="802"/>
      <c r="AN97" s="802"/>
      <c r="AO97" s="802"/>
      <c r="AP97" s="802"/>
      <c r="AQ97" s="802"/>
      <c r="AR97" s="802"/>
      <c r="AS97" s="802"/>
      <c r="AT97" s="802"/>
      <c r="AU97" s="802"/>
      <c r="AV97" s="802"/>
      <c r="AW97" s="802"/>
      <c r="AX97" s="802"/>
      <c r="AY97" s="802"/>
    </row>
    <row r="98" ht="21.75" customHeight="1">
      <c r="A98" s="802"/>
      <c r="B98" s="802"/>
      <c r="C98" s="846"/>
      <c r="D98" s="846"/>
      <c r="Q98" s="802"/>
      <c r="R98" s="802"/>
      <c r="S98" s="802"/>
      <c r="T98" s="802"/>
      <c r="U98" s="802"/>
      <c r="V98" s="802"/>
      <c r="W98" s="802"/>
      <c r="X98" s="802"/>
      <c r="Y98" s="802"/>
      <c r="Z98" s="802"/>
      <c r="AA98" s="802"/>
      <c r="AB98" s="802"/>
      <c r="AC98" s="802"/>
      <c r="AD98" s="802"/>
      <c r="AE98" s="802"/>
      <c r="AF98" s="802"/>
      <c r="AG98" s="802"/>
      <c r="AH98" s="802"/>
      <c r="AI98" s="802"/>
      <c r="AJ98" s="802"/>
      <c r="AK98" s="802"/>
      <c r="AL98" s="802"/>
      <c r="AM98" s="802"/>
      <c r="AN98" s="802"/>
      <c r="AO98" s="802"/>
      <c r="AP98" s="802"/>
      <c r="AQ98" s="802"/>
      <c r="AR98" s="802"/>
      <c r="AS98" s="802"/>
      <c r="AT98" s="802"/>
      <c r="AU98" s="802"/>
      <c r="AV98" s="802"/>
      <c r="AW98" s="802"/>
      <c r="AX98" s="802"/>
      <c r="AY98" s="802"/>
    </row>
    <row r="99" ht="21.75" customHeight="1">
      <c r="A99" s="802"/>
      <c r="B99" s="802"/>
      <c r="C99" s="846"/>
      <c r="D99" s="846"/>
      <c r="Q99" s="802"/>
      <c r="R99" s="802"/>
      <c r="S99" s="802"/>
      <c r="T99" s="802"/>
      <c r="U99" s="802"/>
      <c r="V99" s="802"/>
      <c r="W99" s="802"/>
      <c r="X99" s="802"/>
      <c r="Y99" s="802"/>
      <c r="Z99" s="802"/>
      <c r="AA99" s="802"/>
      <c r="AB99" s="802"/>
      <c r="AC99" s="802"/>
      <c r="AD99" s="802"/>
      <c r="AE99" s="802"/>
      <c r="AF99" s="802"/>
      <c r="AG99" s="802"/>
      <c r="AH99" s="802"/>
      <c r="AI99" s="802"/>
      <c r="AJ99" s="802"/>
      <c r="AK99" s="802"/>
      <c r="AL99" s="802"/>
      <c r="AM99" s="802"/>
      <c r="AN99" s="802"/>
      <c r="AO99" s="802"/>
      <c r="AP99" s="802"/>
      <c r="AQ99" s="802"/>
      <c r="AR99" s="802"/>
      <c r="AS99" s="802"/>
      <c r="AT99" s="802"/>
      <c r="AU99" s="802"/>
      <c r="AV99" s="802"/>
      <c r="AW99" s="802"/>
      <c r="AX99" s="802"/>
      <c r="AY99" s="802"/>
    </row>
    <row r="100" ht="21.75" customHeight="1">
      <c r="A100" s="802"/>
      <c r="B100" s="802"/>
      <c r="C100" s="846"/>
      <c r="D100" s="846"/>
      <c r="Q100" s="802"/>
      <c r="R100" s="802"/>
      <c r="S100" s="802"/>
      <c r="T100" s="802"/>
      <c r="U100" s="802"/>
      <c r="V100" s="802"/>
      <c r="W100" s="802"/>
      <c r="X100" s="802"/>
      <c r="Y100" s="802"/>
      <c r="Z100" s="802"/>
      <c r="AA100" s="802"/>
      <c r="AB100" s="802"/>
      <c r="AC100" s="802"/>
      <c r="AD100" s="802"/>
      <c r="AE100" s="802"/>
      <c r="AF100" s="802"/>
      <c r="AG100" s="802"/>
      <c r="AH100" s="802"/>
      <c r="AI100" s="802"/>
      <c r="AJ100" s="802"/>
      <c r="AK100" s="802"/>
      <c r="AL100" s="802"/>
      <c r="AM100" s="802"/>
      <c r="AN100" s="802"/>
      <c r="AO100" s="802"/>
      <c r="AP100" s="802"/>
      <c r="AQ100" s="802"/>
      <c r="AR100" s="802"/>
      <c r="AS100" s="802"/>
      <c r="AT100" s="802"/>
      <c r="AU100" s="802"/>
      <c r="AV100" s="802"/>
      <c r="AW100" s="802"/>
      <c r="AX100" s="802"/>
      <c r="AY100" s="802"/>
    </row>
    <row r="101" ht="21.75" customHeight="1">
      <c r="A101" s="802"/>
      <c r="B101" s="802"/>
      <c r="C101" s="846"/>
      <c r="D101" s="846"/>
      <c r="Q101" s="802"/>
      <c r="R101" s="802"/>
      <c r="S101" s="802"/>
      <c r="T101" s="802"/>
      <c r="U101" s="802"/>
      <c r="V101" s="802"/>
      <c r="W101" s="802"/>
      <c r="X101" s="802"/>
      <c r="Y101" s="802"/>
      <c r="Z101" s="802"/>
      <c r="AA101" s="802"/>
      <c r="AB101" s="802"/>
      <c r="AC101" s="802"/>
      <c r="AD101" s="802"/>
      <c r="AE101" s="802"/>
      <c r="AF101" s="802"/>
      <c r="AG101" s="802"/>
      <c r="AH101" s="802"/>
      <c r="AI101" s="802"/>
      <c r="AJ101" s="802"/>
      <c r="AK101" s="802"/>
      <c r="AL101" s="802"/>
      <c r="AM101" s="802"/>
      <c r="AN101" s="802"/>
      <c r="AO101" s="802"/>
      <c r="AP101" s="802"/>
      <c r="AQ101" s="802"/>
      <c r="AR101" s="802"/>
      <c r="AS101" s="802"/>
      <c r="AT101" s="802"/>
      <c r="AU101" s="802"/>
      <c r="AV101" s="802"/>
      <c r="AW101" s="802"/>
      <c r="AX101" s="802"/>
      <c r="AY101" s="802"/>
    </row>
    <row r="102" ht="21.75" customHeight="1">
      <c r="A102" s="802"/>
      <c r="B102" s="802"/>
      <c r="C102" s="846"/>
      <c r="D102" s="846"/>
      <c r="Q102" s="802"/>
      <c r="R102" s="802"/>
      <c r="S102" s="802"/>
      <c r="T102" s="802"/>
      <c r="U102" s="802"/>
      <c r="V102" s="802"/>
      <c r="W102" s="802"/>
      <c r="X102" s="802"/>
      <c r="Y102" s="802"/>
      <c r="Z102" s="802"/>
      <c r="AA102" s="802"/>
      <c r="AB102" s="802"/>
      <c r="AC102" s="802"/>
      <c r="AD102" s="802"/>
      <c r="AE102" s="802"/>
      <c r="AF102" s="802"/>
      <c r="AG102" s="802"/>
      <c r="AH102" s="802"/>
      <c r="AI102" s="802"/>
      <c r="AJ102" s="802"/>
      <c r="AK102" s="802"/>
      <c r="AL102" s="802"/>
      <c r="AM102" s="802"/>
      <c r="AN102" s="802"/>
      <c r="AO102" s="802"/>
      <c r="AP102" s="802"/>
      <c r="AQ102" s="802"/>
      <c r="AR102" s="802"/>
      <c r="AS102" s="802"/>
      <c r="AT102" s="802"/>
      <c r="AU102" s="802"/>
      <c r="AV102" s="802"/>
      <c r="AW102" s="802"/>
      <c r="AX102" s="802"/>
      <c r="AY102" s="802"/>
    </row>
    <row r="103" ht="21.75" customHeight="1">
      <c r="A103" s="802"/>
      <c r="B103" s="802"/>
      <c r="C103" s="846"/>
      <c r="D103" s="846"/>
      <c r="Q103" s="802"/>
      <c r="R103" s="802"/>
      <c r="S103" s="802"/>
      <c r="T103" s="802"/>
      <c r="U103" s="802"/>
      <c r="V103" s="802"/>
      <c r="W103" s="802"/>
      <c r="X103" s="802"/>
      <c r="Y103" s="802"/>
      <c r="Z103" s="802"/>
      <c r="AA103" s="802"/>
      <c r="AB103" s="802"/>
      <c r="AC103" s="802"/>
      <c r="AD103" s="802"/>
      <c r="AE103" s="802"/>
      <c r="AF103" s="802"/>
      <c r="AG103" s="802"/>
      <c r="AH103" s="802"/>
      <c r="AI103" s="802"/>
      <c r="AJ103" s="802"/>
      <c r="AK103" s="802"/>
      <c r="AL103" s="802"/>
      <c r="AM103" s="802"/>
      <c r="AN103" s="802"/>
      <c r="AO103" s="802"/>
      <c r="AP103" s="802"/>
      <c r="AQ103" s="802"/>
      <c r="AR103" s="802"/>
      <c r="AS103" s="802"/>
      <c r="AT103" s="802"/>
      <c r="AU103" s="802"/>
      <c r="AV103" s="802"/>
      <c r="AW103" s="802"/>
      <c r="AX103" s="802"/>
      <c r="AY103" s="802"/>
    </row>
    <row r="104" ht="21.75" customHeight="1">
      <c r="A104" s="802"/>
      <c r="B104" s="802"/>
      <c r="C104" s="846"/>
      <c r="D104" s="846"/>
      <c r="Q104" s="802"/>
      <c r="R104" s="802"/>
      <c r="S104" s="802"/>
      <c r="T104" s="802"/>
      <c r="U104" s="802"/>
      <c r="V104" s="802"/>
      <c r="W104" s="802"/>
      <c r="X104" s="802"/>
      <c r="Y104" s="802"/>
      <c r="Z104" s="802"/>
      <c r="AA104" s="802"/>
      <c r="AB104" s="802"/>
      <c r="AC104" s="802"/>
      <c r="AD104" s="802"/>
      <c r="AE104" s="802"/>
      <c r="AF104" s="802"/>
      <c r="AG104" s="802"/>
      <c r="AH104" s="802"/>
      <c r="AI104" s="802"/>
      <c r="AJ104" s="802"/>
      <c r="AK104" s="802"/>
      <c r="AL104" s="802"/>
      <c r="AM104" s="802"/>
      <c r="AN104" s="802"/>
      <c r="AO104" s="802"/>
      <c r="AP104" s="802"/>
      <c r="AQ104" s="802"/>
      <c r="AR104" s="802"/>
      <c r="AS104" s="802"/>
      <c r="AT104" s="802"/>
      <c r="AU104" s="802"/>
      <c r="AV104" s="802"/>
      <c r="AW104" s="802"/>
      <c r="AX104" s="802"/>
      <c r="AY104" s="802"/>
    </row>
    <row r="105" ht="21.75" customHeight="1">
      <c r="A105" s="802"/>
      <c r="B105" s="802"/>
      <c r="C105" s="846"/>
      <c r="D105" s="846"/>
      <c r="Q105" s="802"/>
      <c r="R105" s="802"/>
      <c r="S105" s="802"/>
      <c r="T105" s="802"/>
      <c r="U105" s="802"/>
      <c r="V105" s="802"/>
      <c r="W105" s="802"/>
      <c r="X105" s="802"/>
      <c r="Y105" s="802"/>
      <c r="Z105" s="802"/>
      <c r="AA105" s="802"/>
      <c r="AB105" s="802"/>
      <c r="AC105" s="802"/>
      <c r="AD105" s="802"/>
      <c r="AE105" s="802"/>
      <c r="AF105" s="802"/>
      <c r="AG105" s="802"/>
      <c r="AH105" s="802"/>
      <c r="AI105" s="802"/>
      <c r="AJ105" s="802"/>
      <c r="AK105" s="802"/>
      <c r="AL105" s="802"/>
      <c r="AM105" s="802"/>
      <c r="AN105" s="802"/>
      <c r="AO105" s="802"/>
      <c r="AP105" s="802"/>
      <c r="AQ105" s="802"/>
      <c r="AR105" s="802"/>
      <c r="AS105" s="802"/>
      <c r="AT105" s="802"/>
      <c r="AU105" s="802"/>
      <c r="AV105" s="802"/>
      <c r="AW105" s="802"/>
      <c r="AX105" s="802"/>
      <c r="AY105" s="802"/>
    </row>
    <row r="106" ht="21.75" customHeight="1">
      <c r="A106" s="802"/>
      <c r="B106" s="802"/>
      <c r="C106" s="846"/>
      <c r="D106" s="846"/>
      <c r="Q106" s="802"/>
      <c r="R106" s="802"/>
      <c r="S106" s="802"/>
      <c r="T106" s="802"/>
      <c r="U106" s="802"/>
      <c r="V106" s="802"/>
      <c r="W106" s="802"/>
      <c r="X106" s="802"/>
      <c r="Y106" s="802"/>
      <c r="Z106" s="802"/>
      <c r="AA106" s="802"/>
      <c r="AB106" s="802"/>
      <c r="AC106" s="802"/>
      <c r="AD106" s="802"/>
      <c r="AE106" s="802"/>
      <c r="AF106" s="802"/>
      <c r="AG106" s="802"/>
      <c r="AH106" s="802"/>
      <c r="AI106" s="802"/>
      <c r="AJ106" s="802"/>
      <c r="AK106" s="802"/>
      <c r="AL106" s="802"/>
      <c r="AM106" s="802"/>
      <c r="AN106" s="802"/>
      <c r="AO106" s="802"/>
      <c r="AP106" s="802"/>
      <c r="AQ106" s="802"/>
      <c r="AR106" s="802"/>
      <c r="AS106" s="802"/>
      <c r="AT106" s="802"/>
      <c r="AU106" s="802"/>
      <c r="AV106" s="802"/>
      <c r="AW106" s="802"/>
      <c r="AX106" s="802"/>
      <c r="AY106" s="802"/>
    </row>
    <row r="107" ht="21.75" customHeight="1">
      <c r="A107" s="802"/>
      <c r="B107" s="802"/>
      <c r="C107" s="846"/>
      <c r="D107" s="846"/>
      <c r="Q107" s="802"/>
      <c r="R107" s="802"/>
      <c r="S107" s="802"/>
      <c r="T107" s="802"/>
      <c r="U107" s="802"/>
      <c r="V107" s="802"/>
      <c r="W107" s="802"/>
      <c r="X107" s="802"/>
      <c r="Y107" s="802"/>
      <c r="Z107" s="802"/>
      <c r="AA107" s="802"/>
      <c r="AB107" s="802"/>
      <c r="AC107" s="802"/>
      <c r="AD107" s="802"/>
      <c r="AE107" s="802"/>
      <c r="AF107" s="802"/>
      <c r="AG107" s="802"/>
      <c r="AH107" s="802"/>
      <c r="AI107" s="802"/>
      <c r="AJ107" s="802"/>
      <c r="AK107" s="802"/>
      <c r="AL107" s="802"/>
      <c r="AM107" s="802"/>
      <c r="AN107" s="802"/>
      <c r="AO107" s="802"/>
      <c r="AP107" s="802"/>
      <c r="AQ107" s="802"/>
      <c r="AR107" s="802"/>
      <c r="AS107" s="802"/>
      <c r="AT107" s="802"/>
      <c r="AU107" s="802"/>
      <c r="AV107" s="802"/>
      <c r="AW107" s="802"/>
      <c r="AX107" s="802"/>
      <c r="AY107" s="802"/>
    </row>
    <row r="108" ht="21.75" customHeight="1">
      <c r="A108" s="802"/>
      <c r="B108" s="802"/>
      <c r="C108" s="846"/>
      <c r="D108" s="846"/>
      <c r="Q108" s="802"/>
      <c r="R108" s="802"/>
      <c r="S108" s="802"/>
      <c r="T108" s="802"/>
      <c r="U108" s="802"/>
      <c r="V108" s="802"/>
      <c r="W108" s="802"/>
      <c r="X108" s="802"/>
      <c r="Y108" s="802"/>
      <c r="Z108" s="802"/>
      <c r="AA108" s="802"/>
      <c r="AB108" s="802"/>
      <c r="AC108" s="802"/>
      <c r="AD108" s="802"/>
      <c r="AE108" s="802"/>
      <c r="AF108" s="802"/>
      <c r="AG108" s="802"/>
      <c r="AH108" s="802"/>
      <c r="AI108" s="802"/>
      <c r="AJ108" s="802"/>
      <c r="AK108" s="802"/>
      <c r="AL108" s="802"/>
      <c r="AM108" s="802"/>
      <c r="AN108" s="802"/>
      <c r="AO108" s="802"/>
      <c r="AP108" s="802"/>
      <c r="AQ108" s="802"/>
      <c r="AR108" s="802"/>
      <c r="AS108" s="802"/>
      <c r="AT108" s="802"/>
      <c r="AU108" s="802"/>
      <c r="AV108" s="802"/>
      <c r="AW108" s="802"/>
      <c r="AX108" s="802"/>
      <c r="AY108" s="802"/>
    </row>
    <row r="109" ht="21.75" customHeight="1">
      <c r="A109" s="802"/>
      <c r="B109" s="802"/>
      <c r="C109" s="846"/>
      <c r="D109" s="846"/>
      <c r="Q109" s="802"/>
      <c r="R109" s="802"/>
      <c r="S109" s="802"/>
      <c r="T109" s="802"/>
      <c r="U109" s="802"/>
      <c r="V109" s="802"/>
      <c r="W109" s="802"/>
      <c r="X109" s="802"/>
      <c r="Y109" s="802"/>
      <c r="Z109" s="802"/>
      <c r="AA109" s="802"/>
      <c r="AB109" s="802"/>
      <c r="AC109" s="802"/>
      <c r="AD109" s="802"/>
      <c r="AE109" s="802"/>
      <c r="AF109" s="802"/>
      <c r="AG109" s="802"/>
      <c r="AH109" s="802"/>
      <c r="AI109" s="802"/>
      <c r="AJ109" s="802"/>
      <c r="AK109" s="802"/>
      <c r="AL109" s="802"/>
      <c r="AM109" s="802"/>
      <c r="AN109" s="802"/>
      <c r="AO109" s="802"/>
      <c r="AP109" s="802"/>
      <c r="AQ109" s="802"/>
      <c r="AR109" s="802"/>
      <c r="AS109" s="802"/>
      <c r="AT109" s="802"/>
      <c r="AU109" s="802"/>
      <c r="AV109" s="802"/>
      <c r="AW109" s="802"/>
      <c r="AX109" s="802"/>
      <c r="AY109" s="802"/>
    </row>
    <row r="110" ht="21.75" customHeight="1">
      <c r="A110" s="802"/>
      <c r="B110" s="802"/>
      <c r="C110" s="846"/>
      <c r="D110" s="846"/>
      <c r="Q110" s="802"/>
      <c r="R110" s="802"/>
      <c r="S110" s="802"/>
      <c r="T110" s="802"/>
      <c r="U110" s="802"/>
      <c r="V110" s="802"/>
      <c r="W110" s="802"/>
      <c r="X110" s="802"/>
      <c r="Y110" s="802"/>
      <c r="Z110" s="802"/>
      <c r="AA110" s="802"/>
      <c r="AB110" s="802"/>
      <c r="AC110" s="802"/>
      <c r="AD110" s="802"/>
      <c r="AE110" s="802"/>
      <c r="AF110" s="802"/>
      <c r="AG110" s="802"/>
      <c r="AH110" s="802"/>
      <c r="AI110" s="802"/>
      <c r="AJ110" s="802"/>
      <c r="AK110" s="802"/>
      <c r="AL110" s="802"/>
      <c r="AM110" s="802"/>
      <c r="AN110" s="802"/>
      <c r="AO110" s="802"/>
      <c r="AP110" s="802"/>
      <c r="AQ110" s="802"/>
      <c r="AR110" s="802"/>
      <c r="AS110" s="802"/>
      <c r="AT110" s="802"/>
      <c r="AU110" s="802"/>
      <c r="AV110" s="802"/>
      <c r="AW110" s="802"/>
      <c r="AX110" s="802"/>
      <c r="AY110" s="802"/>
    </row>
    <row r="111" ht="21.75" customHeight="1">
      <c r="A111" s="802"/>
      <c r="B111" s="802"/>
      <c r="C111" s="846"/>
      <c r="D111" s="846"/>
      <c r="Q111" s="802"/>
      <c r="R111" s="802"/>
      <c r="S111" s="802"/>
      <c r="T111" s="802"/>
      <c r="U111" s="802"/>
      <c r="V111" s="802"/>
      <c r="W111" s="802"/>
      <c r="X111" s="802"/>
      <c r="Y111" s="802"/>
      <c r="Z111" s="802"/>
      <c r="AA111" s="802"/>
      <c r="AB111" s="802"/>
      <c r="AC111" s="802"/>
      <c r="AD111" s="802"/>
      <c r="AE111" s="802"/>
      <c r="AF111" s="802"/>
      <c r="AG111" s="802"/>
      <c r="AH111" s="802"/>
      <c r="AI111" s="802"/>
      <c r="AJ111" s="802"/>
      <c r="AK111" s="802"/>
      <c r="AL111" s="802"/>
      <c r="AM111" s="802"/>
      <c r="AN111" s="802"/>
      <c r="AO111" s="802"/>
      <c r="AP111" s="802"/>
      <c r="AQ111" s="802"/>
      <c r="AR111" s="802"/>
      <c r="AS111" s="802"/>
      <c r="AT111" s="802"/>
      <c r="AU111" s="802"/>
      <c r="AV111" s="802"/>
      <c r="AW111" s="802"/>
      <c r="AX111" s="802"/>
      <c r="AY111" s="802"/>
    </row>
    <row r="112" ht="21.75" customHeight="1">
      <c r="A112" s="802"/>
      <c r="B112" s="802"/>
      <c r="C112" s="846"/>
      <c r="D112" s="846"/>
      <c r="Q112" s="802"/>
      <c r="R112" s="802"/>
      <c r="S112" s="802"/>
      <c r="T112" s="802"/>
      <c r="U112" s="802"/>
      <c r="V112" s="802"/>
      <c r="W112" s="802"/>
      <c r="X112" s="802"/>
      <c r="Y112" s="802"/>
      <c r="Z112" s="802"/>
      <c r="AA112" s="802"/>
      <c r="AB112" s="802"/>
      <c r="AC112" s="802"/>
      <c r="AD112" s="802"/>
      <c r="AE112" s="802"/>
      <c r="AF112" s="802"/>
      <c r="AG112" s="802"/>
      <c r="AH112" s="802"/>
      <c r="AI112" s="802"/>
      <c r="AJ112" s="802"/>
      <c r="AK112" s="802"/>
      <c r="AL112" s="802"/>
      <c r="AM112" s="802"/>
      <c r="AN112" s="802"/>
      <c r="AO112" s="802"/>
      <c r="AP112" s="802"/>
      <c r="AQ112" s="802"/>
      <c r="AR112" s="802"/>
      <c r="AS112" s="802"/>
      <c r="AT112" s="802"/>
      <c r="AU112" s="802"/>
      <c r="AV112" s="802"/>
      <c r="AW112" s="802"/>
      <c r="AX112" s="802"/>
      <c r="AY112" s="802"/>
    </row>
    <row r="113" ht="21.75" customHeight="1">
      <c r="A113" s="802"/>
      <c r="B113" s="802"/>
      <c r="C113" s="846"/>
      <c r="D113" s="846"/>
      <c r="Q113" s="802"/>
      <c r="R113" s="802"/>
      <c r="S113" s="802"/>
      <c r="T113" s="802"/>
      <c r="U113" s="802"/>
      <c r="V113" s="802"/>
      <c r="W113" s="802"/>
      <c r="X113" s="802"/>
      <c r="Y113" s="802"/>
      <c r="Z113" s="802"/>
      <c r="AA113" s="802"/>
      <c r="AB113" s="802"/>
      <c r="AC113" s="802"/>
      <c r="AD113" s="802"/>
      <c r="AE113" s="802"/>
      <c r="AF113" s="802"/>
      <c r="AG113" s="802"/>
      <c r="AH113" s="802"/>
      <c r="AI113" s="802"/>
      <c r="AJ113" s="802"/>
      <c r="AK113" s="802"/>
      <c r="AL113" s="802"/>
      <c r="AM113" s="802"/>
      <c r="AN113" s="802"/>
      <c r="AO113" s="802"/>
      <c r="AP113" s="802"/>
      <c r="AQ113" s="802"/>
      <c r="AR113" s="802"/>
      <c r="AS113" s="802"/>
      <c r="AT113" s="802"/>
      <c r="AU113" s="802"/>
      <c r="AV113" s="802"/>
      <c r="AW113" s="802"/>
      <c r="AX113" s="802"/>
      <c r="AY113" s="802"/>
    </row>
    <row r="114" ht="21.75" customHeight="1">
      <c r="A114" s="802"/>
      <c r="B114" s="802"/>
      <c r="C114" s="846"/>
      <c r="D114" s="846"/>
      <c r="Q114" s="802"/>
      <c r="R114" s="802"/>
      <c r="S114" s="802"/>
      <c r="T114" s="802"/>
      <c r="U114" s="802"/>
      <c r="V114" s="802"/>
      <c r="W114" s="802"/>
      <c r="X114" s="802"/>
      <c r="Y114" s="802"/>
      <c r="Z114" s="802"/>
      <c r="AA114" s="802"/>
      <c r="AB114" s="802"/>
      <c r="AC114" s="802"/>
      <c r="AD114" s="802"/>
      <c r="AE114" s="802"/>
      <c r="AF114" s="802"/>
      <c r="AG114" s="802"/>
      <c r="AH114" s="802"/>
      <c r="AI114" s="802"/>
      <c r="AJ114" s="802"/>
      <c r="AK114" s="802"/>
      <c r="AL114" s="802"/>
      <c r="AM114" s="802"/>
      <c r="AN114" s="802"/>
      <c r="AO114" s="802"/>
      <c r="AP114" s="802"/>
      <c r="AQ114" s="802"/>
      <c r="AR114" s="802"/>
      <c r="AS114" s="802"/>
      <c r="AT114" s="802"/>
      <c r="AU114" s="802"/>
      <c r="AV114" s="802"/>
      <c r="AW114" s="802"/>
      <c r="AX114" s="802"/>
      <c r="AY114" s="802"/>
    </row>
    <row r="115" ht="21.75" customHeight="1">
      <c r="A115" s="802"/>
      <c r="B115" s="802"/>
      <c r="C115" s="846"/>
      <c r="D115" s="846"/>
      <c r="Q115" s="802"/>
      <c r="R115" s="802"/>
      <c r="S115" s="802"/>
      <c r="T115" s="802"/>
      <c r="U115" s="802"/>
      <c r="V115" s="802"/>
      <c r="W115" s="802"/>
      <c r="X115" s="802"/>
      <c r="Y115" s="802"/>
      <c r="Z115" s="802"/>
      <c r="AA115" s="802"/>
      <c r="AB115" s="802"/>
      <c r="AC115" s="802"/>
      <c r="AD115" s="802"/>
      <c r="AE115" s="802"/>
      <c r="AF115" s="802"/>
      <c r="AG115" s="802"/>
      <c r="AH115" s="802"/>
      <c r="AI115" s="802"/>
      <c r="AJ115" s="802"/>
      <c r="AK115" s="802"/>
      <c r="AL115" s="802"/>
      <c r="AM115" s="802"/>
      <c r="AN115" s="802"/>
      <c r="AO115" s="802"/>
      <c r="AP115" s="802"/>
      <c r="AQ115" s="802"/>
      <c r="AR115" s="802"/>
      <c r="AS115" s="802"/>
      <c r="AT115" s="802"/>
      <c r="AU115" s="802"/>
      <c r="AV115" s="802"/>
      <c r="AW115" s="802"/>
      <c r="AX115" s="802"/>
      <c r="AY115" s="802"/>
    </row>
    <row r="116" ht="21.75" customHeight="1">
      <c r="A116" s="802"/>
      <c r="B116" s="802"/>
      <c r="C116" s="802"/>
      <c r="D116" s="802"/>
      <c r="E116" s="802"/>
      <c r="F116" s="802"/>
      <c r="G116" s="802"/>
      <c r="H116" s="802"/>
      <c r="I116" s="802"/>
      <c r="J116" s="802"/>
      <c r="K116" s="802"/>
      <c r="L116" s="802"/>
      <c r="M116" s="802"/>
      <c r="N116" s="802"/>
      <c r="O116" s="802"/>
      <c r="P116" s="802"/>
      <c r="Q116" s="802"/>
      <c r="R116" s="802"/>
      <c r="S116" s="802"/>
      <c r="T116" s="802"/>
      <c r="U116" s="802"/>
      <c r="V116" s="802"/>
      <c r="W116" s="802"/>
      <c r="X116" s="802"/>
      <c r="Y116" s="802"/>
      <c r="Z116" s="802"/>
      <c r="AA116" s="802"/>
      <c r="AB116" s="802"/>
      <c r="AC116" s="802"/>
      <c r="AD116" s="802"/>
      <c r="AE116" s="802"/>
      <c r="AF116" s="802"/>
      <c r="AG116" s="802"/>
      <c r="AH116" s="802"/>
      <c r="AI116" s="802"/>
      <c r="AJ116" s="802"/>
      <c r="AK116" s="802"/>
      <c r="AL116" s="802"/>
      <c r="AM116" s="802"/>
      <c r="AN116" s="802"/>
      <c r="AO116" s="802"/>
      <c r="AP116" s="802"/>
      <c r="AQ116" s="802"/>
      <c r="AR116" s="802"/>
      <c r="AS116" s="802"/>
      <c r="AT116" s="802"/>
      <c r="AU116" s="802"/>
      <c r="AV116" s="802"/>
      <c r="AW116" s="802"/>
      <c r="AX116" s="802"/>
      <c r="AY116" s="802"/>
    </row>
    <row r="117" ht="21.75" customHeight="1">
      <c r="A117" s="802"/>
      <c r="B117" s="802"/>
      <c r="C117" s="802"/>
      <c r="D117" s="802"/>
      <c r="E117" s="802"/>
      <c r="F117" s="802"/>
      <c r="G117" s="802"/>
      <c r="H117" s="802"/>
      <c r="I117" s="802"/>
      <c r="J117" s="802"/>
      <c r="K117" s="802"/>
      <c r="L117" s="802"/>
      <c r="M117" s="802"/>
      <c r="N117" s="802"/>
      <c r="O117" s="802"/>
      <c r="P117" s="802"/>
      <c r="Q117" s="802"/>
      <c r="R117" s="802"/>
      <c r="S117" s="802"/>
      <c r="T117" s="802"/>
      <c r="U117" s="802"/>
      <c r="V117" s="802"/>
      <c r="W117" s="802"/>
      <c r="X117" s="802"/>
      <c r="Y117" s="802"/>
      <c r="Z117" s="802"/>
      <c r="AA117" s="802"/>
      <c r="AB117" s="802"/>
      <c r="AC117" s="802"/>
      <c r="AD117" s="802"/>
      <c r="AE117" s="802"/>
      <c r="AF117" s="802"/>
      <c r="AG117" s="802"/>
      <c r="AH117" s="802"/>
      <c r="AI117" s="802"/>
      <c r="AJ117" s="802"/>
      <c r="AK117" s="802"/>
      <c r="AL117" s="802"/>
      <c r="AM117" s="802"/>
      <c r="AN117" s="802"/>
      <c r="AO117" s="802"/>
      <c r="AP117" s="802"/>
      <c r="AQ117" s="802"/>
      <c r="AR117" s="802"/>
      <c r="AS117" s="802"/>
      <c r="AT117" s="802"/>
      <c r="AU117" s="802"/>
      <c r="AV117" s="802"/>
      <c r="AW117" s="802"/>
      <c r="AX117" s="802"/>
      <c r="AY117" s="802"/>
    </row>
    <row r="118" ht="21.75" customHeight="1">
      <c r="A118" s="802"/>
      <c r="B118" s="802"/>
      <c r="C118" s="802"/>
      <c r="D118" s="802"/>
      <c r="E118" s="802"/>
      <c r="F118" s="802"/>
      <c r="G118" s="802"/>
      <c r="H118" s="802"/>
      <c r="I118" s="802"/>
      <c r="J118" s="802"/>
      <c r="K118" s="802"/>
      <c r="L118" s="802"/>
      <c r="M118" s="802"/>
      <c r="N118" s="802"/>
      <c r="O118" s="802"/>
      <c r="P118" s="802"/>
      <c r="Q118" s="802"/>
      <c r="R118" s="802"/>
      <c r="S118" s="802"/>
      <c r="T118" s="802"/>
      <c r="U118" s="802"/>
      <c r="V118" s="802"/>
      <c r="W118" s="802"/>
      <c r="X118" s="802"/>
      <c r="Y118" s="802"/>
      <c r="Z118" s="802"/>
      <c r="AA118" s="802"/>
      <c r="AB118" s="802"/>
      <c r="AC118" s="802"/>
      <c r="AD118" s="802"/>
      <c r="AE118" s="802"/>
      <c r="AF118" s="802"/>
      <c r="AG118" s="802"/>
      <c r="AH118" s="802"/>
      <c r="AI118" s="802"/>
      <c r="AJ118" s="802"/>
      <c r="AK118" s="802"/>
      <c r="AL118" s="802"/>
      <c r="AM118" s="802"/>
      <c r="AN118" s="802"/>
      <c r="AO118" s="802"/>
      <c r="AP118" s="802"/>
      <c r="AQ118" s="802"/>
      <c r="AR118" s="802"/>
      <c r="AS118" s="802"/>
      <c r="AT118" s="802"/>
      <c r="AU118" s="802"/>
      <c r="AV118" s="802"/>
      <c r="AW118" s="802"/>
      <c r="AX118" s="802"/>
      <c r="AY118" s="802"/>
    </row>
    <row r="119" ht="21.75" customHeight="1">
      <c r="A119" s="802"/>
      <c r="B119" s="802"/>
      <c r="C119" s="802"/>
      <c r="D119" s="802"/>
      <c r="E119" s="802"/>
      <c r="F119" s="802"/>
      <c r="G119" s="802"/>
      <c r="H119" s="802"/>
      <c r="I119" s="802"/>
      <c r="J119" s="802"/>
      <c r="K119" s="802"/>
      <c r="L119" s="802"/>
      <c r="M119" s="802"/>
      <c r="N119" s="802"/>
      <c r="O119" s="802"/>
      <c r="P119" s="802"/>
      <c r="Q119" s="802"/>
      <c r="R119" s="802"/>
      <c r="S119" s="802"/>
      <c r="T119" s="802"/>
      <c r="U119" s="802"/>
      <c r="V119" s="802"/>
      <c r="W119" s="802"/>
      <c r="X119" s="802"/>
      <c r="Y119" s="802"/>
      <c r="Z119" s="802"/>
      <c r="AA119" s="802"/>
      <c r="AB119" s="802"/>
      <c r="AC119" s="802"/>
      <c r="AD119" s="802"/>
      <c r="AE119" s="802"/>
      <c r="AF119" s="802"/>
      <c r="AG119" s="802"/>
      <c r="AH119" s="802"/>
      <c r="AI119" s="802"/>
      <c r="AJ119" s="802"/>
      <c r="AK119" s="802"/>
      <c r="AL119" s="802"/>
      <c r="AM119" s="802"/>
      <c r="AN119" s="802"/>
      <c r="AO119" s="802"/>
      <c r="AP119" s="802"/>
      <c r="AQ119" s="802"/>
      <c r="AR119" s="802"/>
      <c r="AS119" s="802"/>
      <c r="AT119" s="802"/>
      <c r="AU119" s="802"/>
      <c r="AV119" s="802"/>
      <c r="AW119" s="802"/>
      <c r="AX119" s="802"/>
      <c r="AY119" s="802"/>
    </row>
    <row r="120" ht="21.75" customHeight="1">
      <c r="A120" s="802"/>
      <c r="B120" s="802"/>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2"/>
      <c r="AD120" s="802"/>
      <c r="AE120" s="802"/>
      <c r="AF120" s="802"/>
      <c r="AG120" s="802"/>
      <c r="AH120" s="802"/>
      <c r="AI120" s="802"/>
      <c r="AJ120" s="802"/>
      <c r="AK120" s="802"/>
      <c r="AL120" s="802"/>
      <c r="AM120" s="802"/>
      <c r="AN120" s="802"/>
      <c r="AO120" s="802"/>
      <c r="AP120" s="802"/>
      <c r="AQ120" s="802"/>
      <c r="AR120" s="802"/>
      <c r="AS120" s="802"/>
      <c r="AT120" s="802"/>
      <c r="AU120" s="802"/>
      <c r="AV120" s="802"/>
      <c r="AW120" s="802"/>
      <c r="AX120" s="802"/>
      <c r="AY120" s="802"/>
    </row>
    <row r="121" ht="21.75" customHeight="1">
      <c r="A121" s="802"/>
      <c r="B121" s="802"/>
      <c r="C121" s="802"/>
      <c r="D121" s="802"/>
      <c r="E121" s="802"/>
      <c r="F121" s="802"/>
      <c r="G121" s="802"/>
      <c r="H121" s="802"/>
      <c r="I121" s="802"/>
      <c r="J121" s="802"/>
      <c r="K121" s="802"/>
      <c r="L121" s="802"/>
      <c r="M121" s="802"/>
      <c r="N121" s="802"/>
      <c r="O121" s="802"/>
      <c r="P121" s="802"/>
      <c r="Q121" s="802"/>
      <c r="R121" s="802"/>
      <c r="S121" s="802"/>
      <c r="T121" s="802"/>
      <c r="U121" s="802"/>
      <c r="V121" s="802"/>
      <c r="W121" s="802"/>
      <c r="X121" s="802"/>
      <c r="Y121" s="802"/>
      <c r="Z121" s="802"/>
      <c r="AA121" s="802"/>
      <c r="AB121" s="802"/>
      <c r="AC121" s="802"/>
      <c r="AD121" s="802"/>
      <c r="AE121" s="802"/>
      <c r="AF121" s="802"/>
      <c r="AG121" s="802"/>
      <c r="AH121" s="802"/>
      <c r="AI121" s="802"/>
      <c r="AJ121" s="802"/>
      <c r="AK121" s="802"/>
      <c r="AL121" s="802"/>
      <c r="AM121" s="802"/>
      <c r="AN121" s="802"/>
      <c r="AO121" s="802"/>
      <c r="AP121" s="802"/>
      <c r="AQ121" s="802"/>
      <c r="AR121" s="802"/>
      <c r="AS121" s="802"/>
      <c r="AT121" s="802"/>
      <c r="AU121" s="802"/>
      <c r="AV121" s="802"/>
      <c r="AW121" s="802"/>
      <c r="AX121" s="802"/>
      <c r="AY121" s="802"/>
    </row>
    <row r="122" ht="21.75" customHeight="1">
      <c r="A122" s="802"/>
      <c r="B122" s="802"/>
      <c r="C122" s="802"/>
      <c r="D122" s="802"/>
      <c r="E122" s="802"/>
      <c r="F122" s="802"/>
      <c r="G122" s="802"/>
      <c r="H122" s="802"/>
      <c r="I122" s="802"/>
      <c r="J122" s="802"/>
      <c r="K122" s="802"/>
      <c r="L122" s="802"/>
      <c r="M122" s="802"/>
      <c r="N122" s="802"/>
      <c r="O122" s="802"/>
      <c r="P122" s="802"/>
      <c r="Q122" s="802"/>
      <c r="R122" s="802"/>
      <c r="S122" s="802"/>
      <c r="T122" s="802"/>
      <c r="U122" s="802"/>
      <c r="V122" s="802"/>
      <c r="W122" s="802"/>
      <c r="X122" s="802"/>
      <c r="Y122" s="802"/>
      <c r="Z122" s="802"/>
      <c r="AA122" s="802"/>
      <c r="AB122" s="802"/>
      <c r="AC122" s="802"/>
      <c r="AD122" s="802"/>
      <c r="AE122" s="802"/>
      <c r="AF122" s="802"/>
      <c r="AG122" s="802"/>
      <c r="AH122" s="802"/>
      <c r="AI122" s="802"/>
      <c r="AJ122" s="802"/>
      <c r="AK122" s="802"/>
      <c r="AL122" s="802"/>
      <c r="AM122" s="802"/>
      <c r="AN122" s="802"/>
      <c r="AO122" s="802"/>
      <c r="AP122" s="802"/>
      <c r="AQ122" s="802"/>
      <c r="AR122" s="802"/>
      <c r="AS122" s="802"/>
      <c r="AT122" s="802"/>
      <c r="AU122" s="802"/>
      <c r="AV122" s="802"/>
      <c r="AW122" s="802"/>
      <c r="AX122" s="802"/>
      <c r="AY122" s="802"/>
    </row>
    <row r="123" ht="21.75" customHeight="1">
      <c r="A123" s="802"/>
      <c r="B123" s="802"/>
      <c r="C123" s="802"/>
      <c r="D123" s="802"/>
      <c r="E123" s="802"/>
      <c r="F123" s="802"/>
      <c r="G123" s="802"/>
      <c r="H123" s="802"/>
      <c r="I123" s="802"/>
      <c r="J123" s="802"/>
      <c r="K123" s="802"/>
      <c r="L123" s="802"/>
      <c r="M123" s="802"/>
      <c r="N123" s="802"/>
      <c r="O123" s="802"/>
      <c r="P123" s="802"/>
      <c r="Q123" s="802"/>
      <c r="R123" s="802"/>
      <c r="S123" s="802"/>
      <c r="T123" s="802"/>
      <c r="U123" s="802"/>
      <c r="V123" s="802"/>
      <c r="W123" s="802"/>
      <c r="X123" s="802"/>
      <c r="Y123" s="802"/>
      <c r="Z123" s="802"/>
      <c r="AA123" s="802"/>
      <c r="AB123" s="802"/>
      <c r="AC123" s="802"/>
      <c r="AD123" s="802"/>
      <c r="AE123" s="802"/>
      <c r="AF123" s="802"/>
      <c r="AG123" s="802"/>
      <c r="AH123" s="802"/>
      <c r="AI123" s="802"/>
      <c r="AJ123" s="802"/>
      <c r="AK123" s="802"/>
      <c r="AL123" s="802"/>
      <c r="AM123" s="802"/>
      <c r="AN123" s="802"/>
      <c r="AO123" s="802"/>
      <c r="AP123" s="802"/>
      <c r="AQ123" s="802"/>
      <c r="AR123" s="802"/>
      <c r="AS123" s="802"/>
      <c r="AT123" s="802"/>
      <c r="AU123" s="802"/>
      <c r="AV123" s="802"/>
      <c r="AW123" s="802"/>
      <c r="AX123" s="802"/>
      <c r="AY123" s="802"/>
    </row>
    <row r="124" ht="21.75" customHeight="1">
      <c r="A124" s="802"/>
      <c r="B124" s="802"/>
      <c r="C124" s="802"/>
      <c r="D124" s="802"/>
      <c r="E124" s="802"/>
      <c r="F124" s="802"/>
      <c r="G124" s="802"/>
      <c r="H124" s="802"/>
      <c r="I124" s="802"/>
      <c r="J124" s="802"/>
      <c r="K124" s="802"/>
      <c r="L124" s="802"/>
      <c r="M124" s="802"/>
      <c r="N124" s="802"/>
      <c r="O124" s="802"/>
      <c r="P124" s="802"/>
      <c r="Q124" s="802"/>
      <c r="R124" s="802"/>
      <c r="S124" s="802"/>
      <c r="T124" s="802"/>
      <c r="U124" s="802"/>
      <c r="V124" s="802"/>
      <c r="W124" s="802"/>
      <c r="X124" s="802"/>
      <c r="Y124" s="802"/>
      <c r="Z124" s="802"/>
      <c r="AA124" s="802"/>
      <c r="AB124" s="802"/>
      <c r="AC124" s="802"/>
      <c r="AD124" s="802"/>
      <c r="AE124" s="802"/>
      <c r="AF124" s="802"/>
      <c r="AG124" s="802"/>
      <c r="AH124" s="802"/>
      <c r="AI124" s="802"/>
      <c r="AJ124" s="802"/>
      <c r="AK124" s="802"/>
      <c r="AL124" s="802"/>
      <c r="AM124" s="802"/>
      <c r="AN124" s="802"/>
      <c r="AO124" s="802"/>
      <c r="AP124" s="802"/>
      <c r="AQ124" s="802"/>
      <c r="AR124" s="802"/>
      <c r="AS124" s="802"/>
      <c r="AT124" s="802"/>
      <c r="AU124" s="802"/>
      <c r="AV124" s="802"/>
      <c r="AW124" s="802"/>
      <c r="AX124" s="802"/>
      <c r="AY124" s="802"/>
    </row>
    <row r="125" ht="21.75" customHeight="1">
      <c r="A125" s="802"/>
      <c r="B125" s="802"/>
      <c r="C125" s="802"/>
      <c r="D125" s="802"/>
      <c r="E125" s="802"/>
      <c r="F125" s="802"/>
      <c r="G125" s="802"/>
      <c r="H125" s="802"/>
      <c r="I125" s="802"/>
      <c r="J125" s="802"/>
      <c r="K125" s="802"/>
      <c r="L125" s="802"/>
      <c r="M125" s="802"/>
      <c r="N125" s="802"/>
      <c r="O125" s="802"/>
      <c r="P125" s="802"/>
      <c r="Q125" s="802"/>
      <c r="R125" s="802"/>
      <c r="S125" s="802"/>
      <c r="T125" s="802"/>
      <c r="U125" s="802"/>
      <c r="V125" s="802"/>
      <c r="W125" s="802"/>
      <c r="X125" s="802"/>
      <c r="Y125" s="802"/>
      <c r="Z125" s="802"/>
      <c r="AA125" s="802"/>
      <c r="AB125" s="802"/>
      <c r="AC125" s="802"/>
      <c r="AD125" s="802"/>
      <c r="AE125" s="802"/>
      <c r="AF125" s="802"/>
      <c r="AG125" s="802"/>
      <c r="AH125" s="802"/>
      <c r="AI125" s="802"/>
      <c r="AJ125" s="802"/>
      <c r="AK125" s="802"/>
      <c r="AL125" s="802"/>
      <c r="AM125" s="802"/>
      <c r="AN125" s="802"/>
      <c r="AO125" s="802"/>
      <c r="AP125" s="802"/>
      <c r="AQ125" s="802"/>
      <c r="AR125" s="802"/>
      <c r="AS125" s="802"/>
      <c r="AT125" s="802"/>
      <c r="AU125" s="802"/>
      <c r="AV125" s="802"/>
      <c r="AW125" s="802"/>
      <c r="AX125" s="802"/>
      <c r="AY125" s="802"/>
    </row>
    <row r="126" ht="21.75" customHeight="1">
      <c r="A126" s="802"/>
      <c r="B126" s="802"/>
      <c r="C126" s="802"/>
      <c r="D126" s="802"/>
      <c r="E126" s="802"/>
      <c r="F126" s="802"/>
      <c r="G126" s="802"/>
      <c r="H126" s="802"/>
      <c r="I126" s="802"/>
      <c r="J126" s="802"/>
      <c r="K126" s="802"/>
      <c r="L126" s="802"/>
      <c r="M126" s="802"/>
      <c r="N126" s="802"/>
      <c r="O126" s="802"/>
      <c r="P126" s="802"/>
      <c r="Q126" s="802"/>
      <c r="R126" s="802"/>
      <c r="S126" s="802"/>
      <c r="T126" s="802"/>
      <c r="U126" s="802"/>
      <c r="V126" s="802"/>
      <c r="W126" s="802"/>
      <c r="X126" s="802"/>
      <c r="Y126" s="802"/>
      <c r="Z126" s="802"/>
      <c r="AA126" s="802"/>
      <c r="AB126" s="802"/>
      <c r="AC126" s="802"/>
      <c r="AD126" s="802"/>
      <c r="AE126" s="802"/>
      <c r="AF126" s="802"/>
      <c r="AG126" s="802"/>
      <c r="AH126" s="802"/>
      <c r="AI126" s="802"/>
      <c r="AJ126" s="802"/>
      <c r="AK126" s="802"/>
      <c r="AL126" s="802"/>
      <c r="AM126" s="802"/>
      <c r="AN126" s="802"/>
      <c r="AO126" s="802"/>
      <c r="AP126" s="802"/>
      <c r="AQ126" s="802"/>
      <c r="AR126" s="802"/>
      <c r="AS126" s="802"/>
      <c r="AT126" s="802"/>
      <c r="AU126" s="802"/>
      <c r="AV126" s="802"/>
      <c r="AW126" s="802"/>
      <c r="AX126" s="802"/>
      <c r="AY126" s="802"/>
    </row>
    <row r="127" ht="21.75" customHeight="1">
      <c r="A127" s="802"/>
      <c r="B127" s="802"/>
      <c r="C127" s="802"/>
      <c r="D127" s="802"/>
      <c r="E127" s="802"/>
      <c r="F127" s="802"/>
      <c r="G127" s="802"/>
      <c r="H127" s="802"/>
      <c r="I127" s="802"/>
      <c r="J127" s="802"/>
      <c r="K127" s="802"/>
      <c r="L127" s="802"/>
      <c r="M127" s="802"/>
      <c r="N127" s="802"/>
      <c r="O127" s="802"/>
      <c r="P127" s="802"/>
      <c r="Q127" s="802"/>
      <c r="R127" s="802"/>
      <c r="S127" s="802"/>
      <c r="T127" s="802"/>
      <c r="U127" s="802"/>
      <c r="V127" s="802"/>
      <c r="W127" s="802"/>
      <c r="X127" s="802"/>
      <c r="Y127" s="802"/>
      <c r="Z127" s="802"/>
      <c r="AA127" s="802"/>
      <c r="AB127" s="802"/>
      <c r="AC127" s="802"/>
      <c r="AD127" s="802"/>
      <c r="AE127" s="802"/>
      <c r="AF127" s="802"/>
      <c r="AG127" s="802"/>
      <c r="AH127" s="802"/>
      <c r="AI127" s="802"/>
      <c r="AJ127" s="802"/>
      <c r="AK127" s="802"/>
      <c r="AL127" s="802"/>
      <c r="AM127" s="802"/>
      <c r="AN127" s="802"/>
      <c r="AO127" s="802"/>
      <c r="AP127" s="802"/>
      <c r="AQ127" s="802"/>
      <c r="AR127" s="802"/>
      <c r="AS127" s="802"/>
      <c r="AT127" s="802"/>
      <c r="AU127" s="802"/>
      <c r="AV127" s="802"/>
      <c r="AW127" s="802"/>
      <c r="AX127" s="802"/>
      <c r="AY127" s="802"/>
    </row>
    <row r="128" ht="21.75" customHeight="1">
      <c r="A128" s="802"/>
      <c r="B128" s="802"/>
      <c r="C128" s="802"/>
      <c r="D128" s="802"/>
      <c r="E128" s="802"/>
      <c r="F128" s="802"/>
      <c r="G128" s="802"/>
      <c r="H128" s="802"/>
      <c r="I128" s="802"/>
      <c r="J128" s="802"/>
      <c r="K128" s="802"/>
      <c r="L128" s="802"/>
      <c r="M128" s="802"/>
      <c r="N128" s="802"/>
      <c r="O128" s="802"/>
      <c r="P128" s="802"/>
      <c r="Q128" s="802"/>
      <c r="R128" s="802"/>
      <c r="S128" s="802"/>
      <c r="T128" s="802"/>
      <c r="U128" s="802"/>
      <c r="V128" s="802"/>
      <c r="W128" s="802"/>
      <c r="X128" s="802"/>
      <c r="Y128" s="802"/>
      <c r="Z128" s="802"/>
      <c r="AA128" s="802"/>
      <c r="AB128" s="802"/>
      <c r="AC128" s="802"/>
      <c r="AD128" s="802"/>
      <c r="AE128" s="802"/>
      <c r="AF128" s="802"/>
      <c r="AG128" s="802"/>
      <c r="AH128" s="802"/>
      <c r="AI128" s="802"/>
      <c r="AJ128" s="802"/>
      <c r="AK128" s="802"/>
      <c r="AL128" s="802"/>
      <c r="AM128" s="802"/>
      <c r="AN128" s="802"/>
      <c r="AO128" s="802"/>
      <c r="AP128" s="802"/>
      <c r="AQ128" s="802"/>
      <c r="AR128" s="802"/>
      <c r="AS128" s="802"/>
      <c r="AT128" s="802"/>
      <c r="AU128" s="802"/>
      <c r="AV128" s="802"/>
      <c r="AW128" s="802"/>
      <c r="AX128" s="802"/>
      <c r="AY128" s="802"/>
    </row>
    <row r="129" ht="21.75" customHeight="1">
      <c r="A129" s="802"/>
      <c r="B129" s="802"/>
      <c r="C129" s="802"/>
      <c r="D129" s="802"/>
      <c r="E129" s="802"/>
      <c r="F129" s="802"/>
      <c r="G129" s="802"/>
      <c r="H129" s="802"/>
      <c r="I129" s="802"/>
      <c r="J129" s="802"/>
      <c r="K129" s="802"/>
      <c r="L129" s="802"/>
      <c r="M129" s="802"/>
      <c r="N129" s="802"/>
      <c r="O129" s="802"/>
      <c r="P129" s="802"/>
      <c r="Q129" s="802"/>
      <c r="R129" s="802"/>
      <c r="S129" s="802"/>
      <c r="T129" s="802"/>
      <c r="U129" s="802"/>
      <c r="V129" s="802"/>
      <c r="W129" s="802"/>
      <c r="X129" s="802"/>
      <c r="Y129" s="802"/>
      <c r="Z129" s="802"/>
      <c r="AA129" s="802"/>
      <c r="AB129" s="802"/>
      <c r="AC129" s="802"/>
      <c r="AD129" s="802"/>
      <c r="AE129" s="802"/>
      <c r="AF129" s="802"/>
      <c r="AG129" s="802"/>
      <c r="AH129" s="802"/>
      <c r="AI129" s="802"/>
      <c r="AJ129" s="802"/>
      <c r="AK129" s="802"/>
      <c r="AL129" s="802"/>
      <c r="AM129" s="802"/>
      <c r="AN129" s="802"/>
      <c r="AO129" s="802"/>
      <c r="AP129" s="802"/>
      <c r="AQ129" s="802"/>
      <c r="AR129" s="802"/>
      <c r="AS129" s="802"/>
      <c r="AT129" s="802"/>
      <c r="AU129" s="802"/>
      <c r="AV129" s="802"/>
      <c r="AW129" s="802"/>
      <c r="AX129" s="802"/>
      <c r="AY129" s="802"/>
    </row>
    <row r="130" ht="21.75" customHeight="1">
      <c r="A130" s="802"/>
      <c r="B130" s="802"/>
      <c r="C130" s="802"/>
      <c r="D130" s="802"/>
      <c r="E130" s="802"/>
      <c r="F130" s="802"/>
      <c r="G130" s="802"/>
      <c r="H130" s="802"/>
      <c r="I130" s="802"/>
      <c r="J130" s="802"/>
      <c r="K130" s="802"/>
      <c r="L130" s="802"/>
      <c r="M130" s="802"/>
      <c r="N130" s="802"/>
      <c r="O130" s="802"/>
      <c r="P130" s="802"/>
      <c r="Q130" s="802"/>
      <c r="R130" s="802"/>
      <c r="S130" s="802"/>
      <c r="T130" s="802"/>
      <c r="U130" s="802"/>
      <c r="V130" s="802"/>
      <c r="W130" s="802"/>
      <c r="X130" s="802"/>
      <c r="Y130" s="802"/>
      <c r="Z130" s="802"/>
      <c r="AA130" s="802"/>
      <c r="AB130" s="802"/>
      <c r="AC130" s="802"/>
      <c r="AD130" s="802"/>
      <c r="AE130" s="802"/>
      <c r="AF130" s="802"/>
      <c r="AG130" s="802"/>
      <c r="AH130" s="802"/>
      <c r="AI130" s="802"/>
      <c r="AJ130" s="802"/>
      <c r="AK130" s="802"/>
      <c r="AL130" s="802"/>
      <c r="AM130" s="802"/>
      <c r="AN130" s="802"/>
      <c r="AO130" s="802"/>
      <c r="AP130" s="802"/>
      <c r="AQ130" s="802"/>
      <c r="AR130" s="802"/>
      <c r="AS130" s="802"/>
      <c r="AT130" s="802"/>
      <c r="AU130" s="802"/>
      <c r="AV130" s="802"/>
      <c r="AW130" s="802"/>
      <c r="AX130" s="802"/>
      <c r="AY130" s="802"/>
    </row>
    <row r="131" ht="21.75" customHeight="1">
      <c r="A131" s="802"/>
      <c r="B131" s="802"/>
      <c r="C131" s="802"/>
      <c r="D131" s="802"/>
      <c r="E131" s="802"/>
      <c r="F131" s="802"/>
      <c r="G131" s="802"/>
      <c r="H131" s="802"/>
      <c r="I131" s="802"/>
      <c r="J131" s="802"/>
      <c r="K131" s="802"/>
      <c r="L131" s="802"/>
      <c r="M131" s="802"/>
      <c r="N131" s="802"/>
      <c r="O131" s="802"/>
      <c r="P131" s="802"/>
      <c r="Q131" s="802"/>
      <c r="R131" s="802"/>
      <c r="S131" s="802"/>
      <c r="T131" s="802"/>
      <c r="U131" s="802"/>
      <c r="V131" s="802"/>
      <c r="W131" s="802"/>
      <c r="X131" s="802"/>
      <c r="Y131" s="802"/>
      <c r="Z131" s="802"/>
      <c r="AA131" s="802"/>
      <c r="AB131" s="802"/>
      <c r="AC131" s="802"/>
      <c r="AD131" s="802"/>
      <c r="AE131" s="802"/>
      <c r="AF131" s="802"/>
      <c r="AG131" s="802"/>
      <c r="AH131" s="802"/>
      <c r="AI131" s="802"/>
      <c r="AJ131" s="802"/>
      <c r="AK131" s="802"/>
      <c r="AL131" s="802"/>
      <c r="AM131" s="802"/>
      <c r="AN131" s="802"/>
      <c r="AO131" s="802"/>
      <c r="AP131" s="802"/>
      <c r="AQ131" s="802"/>
      <c r="AR131" s="802"/>
      <c r="AS131" s="802"/>
      <c r="AT131" s="802"/>
      <c r="AU131" s="802"/>
      <c r="AV131" s="802"/>
      <c r="AW131" s="802"/>
      <c r="AX131" s="802"/>
      <c r="AY131" s="802"/>
    </row>
    <row r="132" ht="21.75" customHeight="1">
      <c r="A132" s="802"/>
      <c r="B132" s="802"/>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2"/>
      <c r="AD132" s="802"/>
      <c r="AE132" s="802"/>
      <c r="AF132" s="802"/>
      <c r="AG132" s="802"/>
      <c r="AH132" s="802"/>
      <c r="AI132" s="802"/>
      <c r="AJ132" s="802"/>
      <c r="AK132" s="802"/>
      <c r="AL132" s="802"/>
      <c r="AM132" s="802"/>
      <c r="AN132" s="802"/>
      <c r="AO132" s="802"/>
      <c r="AP132" s="802"/>
      <c r="AQ132" s="802"/>
      <c r="AR132" s="802"/>
      <c r="AS132" s="802"/>
      <c r="AT132" s="802"/>
      <c r="AU132" s="802"/>
      <c r="AV132" s="802"/>
      <c r="AW132" s="802"/>
      <c r="AX132" s="802"/>
      <c r="AY132" s="802"/>
    </row>
    <row r="133" ht="21.75" customHeight="1">
      <c r="A133" s="802"/>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2"/>
      <c r="AE133" s="802"/>
      <c r="AF133" s="802"/>
      <c r="AG133" s="802"/>
      <c r="AH133" s="802"/>
      <c r="AI133" s="802"/>
      <c r="AJ133" s="802"/>
      <c r="AK133" s="802"/>
      <c r="AL133" s="802"/>
      <c r="AM133" s="802"/>
      <c r="AN133" s="802"/>
      <c r="AO133" s="802"/>
      <c r="AP133" s="802"/>
      <c r="AQ133" s="802"/>
      <c r="AR133" s="802"/>
      <c r="AS133" s="802"/>
      <c r="AT133" s="802"/>
      <c r="AU133" s="802"/>
      <c r="AV133" s="802"/>
      <c r="AW133" s="802"/>
      <c r="AX133" s="802"/>
      <c r="AY133" s="802"/>
    </row>
    <row r="134" ht="21.75" customHeight="1">
      <c r="A134" s="802"/>
      <c r="B134" s="802"/>
      <c r="C134" s="802"/>
      <c r="D134" s="802"/>
      <c r="E134" s="802"/>
      <c r="F134" s="802"/>
      <c r="G134" s="802"/>
      <c r="H134" s="802"/>
      <c r="I134" s="802"/>
      <c r="J134" s="802"/>
      <c r="K134" s="802"/>
      <c r="L134" s="802"/>
      <c r="M134" s="802"/>
      <c r="N134" s="802"/>
      <c r="O134" s="802"/>
      <c r="P134" s="802"/>
      <c r="Q134" s="802"/>
      <c r="R134" s="802"/>
      <c r="S134" s="802"/>
      <c r="T134" s="802"/>
      <c r="U134" s="802"/>
      <c r="V134" s="802"/>
      <c r="W134" s="802"/>
      <c r="X134" s="802"/>
      <c r="Y134" s="802"/>
      <c r="Z134" s="802"/>
      <c r="AA134" s="802"/>
      <c r="AB134" s="802"/>
      <c r="AC134" s="802"/>
      <c r="AD134" s="802"/>
      <c r="AE134" s="802"/>
      <c r="AF134" s="802"/>
      <c r="AG134" s="802"/>
      <c r="AH134" s="802"/>
      <c r="AI134" s="802"/>
      <c r="AJ134" s="802"/>
      <c r="AK134" s="802"/>
      <c r="AL134" s="802"/>
      <c r="AM134" s="802"/>
      <c r="AN134" s="802"/>
      <c r="AO134" s="802"/>
      <c r="AP134" s="802"/>
      <c r="AQ134" s="802"/>
      <c r="AR134" s="802"/>
      <c r="AS134" s="802"/>
      <c r="AT134" s="802"/>
      <c r="AU134" s="802"/>
      <c r="AV134" s="802"/>
      <c r="AW134" s="802"/>
      <c r="AX134" s="802"/>
      <c r="AY134" s="802"/>
    </row>
    <row r="135" ht="21.75" customHeight="1">
      <c r="A135" s="802"/>
      <c r="B135" s="802"/>
      <c r="C135" s="802"/>
      <c r="D135" s="802"/>
      <c r="E135" s="802"/>
      <c r="F135" s="802"/>
      <c r="G135" s="802"/>
      <c r="H135" s="802"/>
      <c r="I135" s="802"/>
      <c r="J135" s="802"/>
      <c r="K135" s="802"/>
      <c r="L135" s="802"/>
      <c r="M135" s="802"/>
      <c r="N135" s="802"/>
      <c r="O135" s="802"/>
      <c r="P135" s="802"/>
      <c r="Q135" s="802"/>
      <c r="R135" s="802"/>
      <c r="S135" s="802"/>
      <c r="T135" s="802"/>
      <c r="U135" s="802"/>
      <c r="V135" s="802"/>
      <c r="W135" s="802"/>
      <c r="X135" s="802"/>
      <c r="Y135" s="802"/>
      <c r="Z135" s="802"/>
      <c r="AA135" s="802"/>
      <c r="AB135" s="802"/>
      <c r="AC135" s="802"/>
      <c r="AD135" s="802"/>
      <c r="AE135" s="802"/>
      <c r="AF135" s="802"/>
      <c r="AG135" s="802"/>
      <c r="AH135" s="802"/>
      <c r="AI135" s="802"/>
      <c r="AJ135" s="802"/>
      <c r="AK135" s="802"/>
      <c r="AL135" s="802"/>
      <c r="AM135" s="802"/>
      <c r="AN135" s="802"/>
      <c r="AO135" s="802"/>
      <c r="AP135" s="802"/>
      <c r="AQ135" s="802"/>
      <c r="AR135" s="802"/>
      <c r="AS135" s="802"/>
      <c r="AT135" s="802"/>
      <c r="AU135" s="802"/>
      <c r="AV135" s="802"/>
      <c r="AW135" s="802"/>
      <c r="AX135" s="802"/>
      <c r="AY135" s="802"/>
    </row>
    <row r="136" ht="21.75" customHeight="1">
      <c r="A136" s="802"/>
      <c r="B136" s="802"/>
      <c r="C136" s="802"/>
      <c r="D136" s="802"/>
      <c r="E136" s="802"/>
      <c r="F136" s="802"/>
      <c r="G136" s="802"/>
      <c r="H136" s="802"/>
      <c r="I136" s="802"/>
      <c r="J136" s="802"/>
      <c r="K136" s="802"/>
      <c r="L136" s="802"/>
      <c r="M136" s="802"/>
      <c r="N136" s="802"/>
      <c r="O136" s="802"/>
      <c r="P136" s="802"/>
      <c r="Q136" s="802"/>
      <c r="R136" s="802"/>
      <c r="S136" s="802"/>
      <c r="T136" s="802"/>
      <c r="U136" s="802"/>
      <c r="V136" s="802"/>
      <c r="W136" s="802"/>
      <c r="X136" s="802"/>
      <c r="Y136" s="802"/>
      <c r="Z136" s="802"/>
      <c r="AA136" s="802"/>
      <c r="AB136" s="802"/>
      <c r="AC136" s="802"/>
      <c r="AD136" s="802"/>
      <c r="AE136" s="802"/>
      <c r="AF136" s="802"/>
      <c r="AG136" s="802"/>
      <c r="AH136" s="802"/>
      <c r="AI136" s="802"/>
      <c r="AJ136" s="802"/>
      <c r="AK136" s="802"/>
      <c r="AL136" s="802"/>
      <c r="AM136" s="802"/>
      <c r="AN136" s="802"/>
      <c r="AO136" s="802"/>
      <c r="AP136" s="802"/>
      <c r="AQ136" s="802"/>
      <c r="AR136" s="802"/>
      <c r="AS136" s="802"/>
      <c r="AT136" s="802"/>
      <c r="AU136" s="802"/>
      <c r="AV136" s="802"/>
      <c r="AW136" s="802"/>
      <c r="AX136" s="802"/>
      <c r="AY136" s="802"/>
    </row>
    <row r="137" ht="21.75" customHeight="1">
      <c r="A137" s="802"/>
      <c r="B137" s="802"/>
      <c r="C137" s="802"/>
      <c r="D137" s="802"/>
      <c r="E137" s="802"/>
      <c r="F137" s="802"/>
      <c r="G137" s="802"/>
      <c r="H137" s="802"/>
      <c r="I137" s="802"/>
      <c r="J137" s="802"/>
      <c r="K137" s="802"/>
      <c r="L137" s="802"/>
      <c r="M137" s="802"/>
      <c r="N137" s="802"/>
      <c r="O137" s="802"/>
      <c r="P137" s="802"/>
      <c r="Q137" s="802"/>
      <c r="R137" s="802"/>
      <c r="S137" s="802"/>
      <c r="T137" s="802"/>
      <c r="U137" s="802"/>
      <c r="V137" s="802"/>
      <c r="W137" s="802"/>
      <c r="X137" s="802"/>
      <c r="Y137" s="802"/>
      <c r="Z137" s="802"/>
      <c r="AA137" s="802"/>
      <c r="AB137" s="802"/>
      <c r="AC137" s="802"/>
      <c r="AD137" s="802"/>
      <c r="AE137" s="802"/>
      <c r="AF137" s="802"/>
      <c r="AG137" s="802"/>
      <c r="AH137" s="802"/>
      <c r="AI137" s="802"/>
      <c r="AJ137" s="802"/>
      <c r="AK137" s="802"/>
      <c r="AL137" s="802"/>
      <c r="AM137" s="802"/>
      <c r="AN137" s="802"/>
      <c r="AO137" s="802"/>
      <c r="AP137" s="802"/>
      <c r="AQ137" s="802"/>
      <c r="AR137" s="802"/>
      <c r="AS137" s="802"/>
      <c r="AT137" s="802"/>
      <c r="AU137" s="802"/>
      <c r="AV137" s="802"/>
      <c r="AW137" s="802"/>
      <c r="AX137" s="802"/>
      <c r="AY137" s="802"/>
    </row>
    <row r="138" ht="21.75" customHeight="1">
      <c r="A138" s="802"/>
      <c r="B138" s="802"/>
      <c r="C138" s="802"/>
      <c r="D138" s="802"/>
      <c r="E138" s="802"/>
      <c r="F138" s="802"/>
      <c r="G138" s="802"/>
      <c r="H138" s="802"/>
      <c r="I138" s="802"/>
      <c r="J138" s="802"/>
      <c r="K138" s="802"/>
      <c r="L138" s="802"/>
      <c r="M138" s="802"/>
      <c r="N138" s="802"/>
      <c r="O138" s="802"/>
      <c r="P138" s="802"/>
      <c r="Q138" s="802"/>
      <c r="R138" s="802"/>
      <c r="S138" s="802"/>
      <c r="T138" s="802"/>
      <c r="U138" s="802"/>
      <c r="V138" s="802"/>
      <c r="W138" s="802"/>
      <c r="X138" s="802"/>
      <c r="Y138" s="802"/>
      <c r="Z138" s="802"/>
      <c r="AA138" s="802"/>
      <c r="AB138" s="802"/>
      <c r="AC138" s="802"/>
      <c r="AD138" s="802"/>
      <c r="AE138" s="802"/>
      <c r="AF138" s="802"/>
      <c r="AG138" s="802"/>
      <c r="AH138" s="802"/>
      <c r="AI138" s="802"/>
      <c r="AJ138" s="802"/>
      <c r="AK138" s="802"/>
      <c r="AL138" s="802"/>
      <c r="AM138" s="802"/>
      <c r="AN138" s="802"/>
      <c r="AO138" s="802"/>
      <c r="AP138" s="802"/>
      <c r="AQ138" s="802"/>
      <c r="AR138" s="802"/>
      <c r="AS138" s="802"/>
      <c r="AT138" s="802"/>
      <c r="AU138" s="802"/>
      <c r="AV138" s="802"/>
      <c r="AW138" s="802"/>
      <c r="AX138" s="802"/>
      <c r="AY138" s="802"/>
    </row>
    <row r="139" ht="21.75" customHeight="1">
      <c r="A139" s="802"/>
      <c r="B139" s="802"/>
      <c r="C139" s="802"/>
      <c r="D139" s="802"/>
      <c r="E139" s="802"/>
      <c r="F139" s="802"/>
      <c r="G139" s="802"/>
      <c r="H139" s="802"/>
      <c r="I139" s="802"/>
      <c r="J139" s="802"/>
      <c r="K139" s="802"/>
      <c r="L139" s="802"/>
      <c r="M139" s="802"/>
      <c r="N139" s="802"/>
      <c r="O139" s="802"/>
      <c r="P139" s="802"/>
      <c r="Q139" s="802"/>
      <c r="R139" s="802"/>
      <c r="S139" s="802"/>
      <c r="T139" s="802"/>
      <c r="U139" s="802"/>
      <c r="V139" s="802"/>
      <c r="W139" s="802"/>
      <c r="X139" s="802"/>
      <c r="Y139" s="802"/>
      <c r="Z139" s="802"/>
      <c r="AA139" s="802"/>
      <c r="AB139" s="802"/>
      <c r="AC139" s="802"/>
      <c r="AD139" s="802"/>
      <c r="AE139" s="802"/>
      <c r="AF139" s="802"/>
      <c r="AG139" s="802"/>
      <c r="AH139" s="802"/>
      <c r="AI139" s="802"/>
      <c r="AJ139" s="802"/>
      <c r="AK139" s="802"/>
      <c r="AL139" s="802"/>
      <c r="AM139" s="802"/>
      <c r="AN139" s="802"/>
      <c r="AO139" s="802"/>
      <c r="AP139" s="802"/>
      <c r="AQ139" s="802"/>
      <c r="AR139" s="802"/>
      <c r="AS139" s="802"/>
      <c r="AT139" s="802"/>
      <c r="AU139" s="802"/>
      <c r="AV139" s="802"/>
      <c r="AW139" s="802"/>
      <c r="AX139" s="802"/>
      <c r="AY139" s="802"/>
    </row>
    <row r="140" ht="21.75" customHeight="1">
      <c r="A140" s="802"/>
      <c r="B140" s="802"/>
      <c r="C140" s="802"/>
      <c r="D140" s="802"/>
      <c r="E140" s="802"/>
      <c r="F140" s="802"/>
      <c r="G140" s="802"/>
      <c r="H140" s="802"/>
      <c r="I140" s="802"/>
      <c r="J140" s="802"/>
      <c r="K140" s="802"/>
      <c r="L140" s="802"/>
      <c r="M140" s="802"/>
      <c r="N140" s="802"/>
      <c r="O140" s="802"/>
      <c r="P140" s="802"/>
      <c r="Q140" s="802"/>
      <c r="R140" s="802"/>
      <c r="S140" s="802"/>
      <c r="T140" s="802"/>
      <c r="U140" s="802"/>
      <c r="V140" s="802"/>
      <c r="W140" s="802"/>
      <c r="X140" s="802"/>
      <c r="Y140" s="802"/>
      <c r="Z140" s="802"/>
      <c r="AA140" s="802"/>
      <c r="AB140" s="802"/>
      <c r="AC140" s="802"/>
      <c r="AD140" s="802"/>
      <c r="AE140" s="802"/>
      <c r="AF140" s="802"/>
      <c r="AG140" s="802"/>
      <c r="AH140" s="802"/>
      <c r="AI140" s="802"/>
      <c r="AJ140" s="802"/>
      <c r="AK140" s="802"/>
      <c r="AL140" s="802"/>
      <c r="AM140" s="802"/>
      <c r="AN140" s="802"/>
      <c r="AO140" s="802"/>
      <c r="AP140" s="802"/>
      <c r="AQ140" s="802"/>
      <c r="AR140" s="802"/>
      <c r="AS140" s="802"/>
      <c r="AT140" s="802"/>
      <c r="AU140" s="802"/>
      <c r="AV140" s="802"/>
      <c r="AW140" s="802"/>
      <c r="AX140" s="802"/>
      <c r="AY140" s="802"/>
    </row>
    <row r="141" ht="21.75" customHeight="1">
      <c r="A141" s="802"/>
      <c r="B141" s="802"/>
      <c r="C141" s="802"/>
      <c r="D141" s="802"/>
      <c r="E141" s="802"/>
      <c r="F141" s="802"/>
      <c r="G141" s="802"/>
      <c r="H141" s="802"/>
      <c r="I141" s="802"/>
      <c r="J141" s="802"/>
      <c r="K141" s="802"/>
      <c r="L141" s="802"/>
      <c r="M141" s="802"/>
      <c r="N141" s="802"/>
      <c r="O141" s="802"/>
      <c r="P141" s="802"/>
      <c r="Q141" s="802"/>
      <c r="R141" s="802"/>
      <c r="S141" s="802"/>
      <c r="T141" s="802"/>
      <c r="U141" s="802"/>
      <c r="V141" s="802"/>
      <c r="W141" s="802"/>
      <c r="X141" s="802"/>
      <c r="Y141" s="802"/>
      <c r="Z141" s="802"/>
      <c r="AA141" s="802"/>
      <c r="AB141" s="802"/>
      <c r="AC141" s="802"/>
      <c r="AD141" s="802"/>
      <c r="AE141" s="802"/>
      <c r="AF141" s="802"/>
      <c r="AG141" s="802"/>
      <c r="AH141" s="802"/>
      <c r="AI141" s="802"/>
      <c r="AJ141" s="802"/>
      <c r="AK141" s="802"/>
      <c r="AL141" s="802"/>
      <c r="AM141" s="802"/>
      <c r="AN141" s="802"/>
      <c r="AO141" s="802"/>
      <c r="AP141" s="802"/>
      <c r="AQ141" s="802"/>
      <c r="AR141" s="802"/>
      <c r="AS141" s="802"/>
      <c r="AT141" s="802"/>
      <c r="AU141" s="802"/>
      <c r="AV141" s="802"/>
      <c r="AW141" s="802"/>
      <c r="AX141" s="802"/>
      <c r="AY141" s="802"/>
    </row>
    <row r="142" ht="21.75" customHeight="1">
      <c r="A142" s="802"/>
      <c r="B142" s="802"/>
      <c r="C142" s="802"/>
      <c r="D142" s="802"/>
      <c r="E142" s="802"/>
      <c r="F142" s="802"/>
      <c r="G142" s="802"/>
      <c r="H142" s="802"/>
      <c r="I142" s="802"/>
      <c r="J142" s="802"/>
      <c r="K142" s="802"/>
      <c r="L142" s="802"/>
      <c r="M142" s="802"/>
      <c r="N142" s="802"/>
      <c r="O142" s="802"/>
      <c r="P142" s="802"/>
      <c r="Q142" s="802"/>
      <c r="R142" s="802"/>
      <c r="S142" s="802"/>
      <c r="T142" s="802"/>
      <c r="U142" s="802"/>
      <c r="V142" s="802"/>
      <c r="W142" s="802"/>
      <c r="X142" s="802"/>
      <c r="Y142" s="802"/>
      <c r="Z142" s="802"/>
      <c r="AA142" s="802"/>
      <c r="AB142" s="802"/>
      <c r="AC142" s="802"/>
      <c r="AD142" s="802"/>
      <c r="AE142" s="802"/>
      <c r="AF142" s="802"/>
      <c r="AG142" s="802"/>
      <c r="AH142" s="802"/>
      <c r="AI142" s="802"/>
      <c r="AJ142" s="802"/>
      <c r="AK142" s="802"/>
      <c r="AL142" s="802"/>
      <c r="AM142" s="802"/>
      <c r="AN142" s="802"/>
      <c r="AO142" s="802"/>
      <c r="AP142" s="802"/>
      <c r="AQ142" s="802"/>
      <c r="AR142" s="802"/>
      <c r="AS142" s="802"/>
      <c r="AT142" s="802"/>
      <c r="AU142" s="802"/>
      <c r="AV142" s="802"/>
      <c r="AW142" s="802"/>
      <c r="AX142" s="802"/>
      <c r="AY142" s="802"/>
    </row>
    <row r="143" ht="21.75" customHeight="1">
      <c r="A143" s="802"/>
      <c r="B143" s="802"/>
      <c r="C143" s="802"/>
      <c r="D143" s="802"/>
      <c r="E143" s="802"/>
      <c r="F143" s="802"/>
      <c r="G143" s="802"/>
      <c r="H143" s="802"/>
      <c r="I143" s="802"/>
      <c r="J143" s="802"/>
      <c r="K143" s="802"/>
      <c r="L143" s="802"/>
      <c r="M143" s="802"/>
      <c r="N143" s="802"/>
      <c r="O143" s="802"/>
      <c r="P143" s="802"/>
      <c r="Q143" s="802"/>
      <c r="R143" s="802"/>
      <c r="S143" s="802"/>
      <c r="T143" s="802"/>
      <c r="U143" s="802"/>
      <c r="V143" s="802"/>
      <c r="W143" s="802"/>
      <c r="X143" s="802"/>
      <c r="Y143" s="802"/>
      <c r="Z143" s="802"/>
      <c r="AA143" s="802"/>
      <c r="AB143" s="802"/>
      <c r="AC143" s="802"/>
      <c r="AD143" s="802"/>
      <c r="AE143" s="802"/>
      <c r="AF143" s="802"/>
      <c r="AG143" s="802"/>
      <c r="AH143" s="802"/>
      <c r="AI143" s="802"/>
      <c r="AJ143" s="802"/>
      <c r="AK143" s="802"/>
      <c r="AL143" s="802"/>
      <c r="AM143" s="802"/>
      <c r="AN143" s="802"/>
      <c r="AO143" s="802"/>
      <c r="AP143" s="802"/>
      <c r="AQ143" s="802"/>
      <c r="AR143" s="802"/>
      <c r="AS143" s="802"/>
      <c r="AT143" s="802"/>
      <c r="AU143" s="802"/>
      <c r="AV143" s="802"/>
      <c r="AW143" s="802"/>
      <c r="AX143" s="802"/>
      <c r="AY143" s="802"/>
    </row>
    <row r="144" ht="21.75" customHeight="1">
      <c r="A144" s="802"/>
      <c r="B144" s="802"/>
      <c r="C144" s="802"/>
      <c r="D144" s="802"/>
      <c r="E144" s="802"/>
      <c r="F144" s="802"/>
      <c r="G144" s="802"/>
      <c r="H144" s="802"/>
      <c r="I144" s="802"/>
      <c r="J144" s="802"/>
      <c r="K144" s="802"/>
      <c r="L144" s="802"/>
      <c r="M144" s="802"/>
      <c r="N144" s="802"/>
      <c r="O144" s="802"/>
      <c r="P144" s="802"/>
      <c r="Q144" s="802"/>
      <c r="R144" s="802"/>
      <c r="S144" s="802"/>
      <c r="T144" s="802"/>
      <c r="U144" s="802"/>
      <c r="V144" s="802"/>
      <c r="W144" s="802"/>
      <c r="X144" s="802"/>
      <c r="Y144" s="802"/>
      <c r="Z144" s="802"/>
      <c r="AA144" s="802"/>
      <c r="AB144" s="802"/>
      <c r="AC144" s="802"/>
      <c r="AD144" s="802"/>
      <c r="AE144" s="802"/>
      <c r="AF144" s="802"/>
      <c r="AG144" s="802"/>
      <c r="AH144" s="802"/>
      <c r="AI144" s="802"/>
      <c r="AJ144" s="802"/>
      <c r="AK144" s="802"/>
      <c r="AL144" s="802"/>
      <c r="AM144" s="802"/>
      <c r="AN144" s="802"/>
      <c r="AO144" s="802"/>
      <c r="AP144" s="802"/>
      <c r="AQ144" s="802"/>
      <c r="AR144" s="802"/>
      <c r="AS144" s="802"/>
      <c r="AT144" s="802"/>
      <c r="AU144" s="802"/>
      <c r="AV144" s="802"/>
      <c r="AW144" s="802"/>
      <c r="AX144" s="802"/>
      <c r="AY144" s="802"/>
    </row>
    <row r="145" ht="21.75" customHeight="1">
      <c r="A145" s="802"/>
      <c r="B145" s="802"/>
      <c r="C145" s="802"/>
      <c r="D145" s="802"/>
      <c r="E145" s="802"/>
      <c r="F145" s="802"/>
      <c r="G145" s="802"/>
      <c r="H145" s="802"/>
      <c r="I145" s="802"/>
      <c r="J145" s="802"/>
      <c r="K145" s="802"/>
      <c r="L145" s="802"/>
      <c r="M145" s="802"/>
      <c r="N145" s="802"/>
      <c r="O145" s="802"/>
      <c r="P145" s="802"/>
      <c r="Q145" s="802"/>
      <c r="R145" s="802"/>
      <c r="S145" s="802"/>
      <c r="T145" s="802"/>
      <c r="U145" s="802"/>
      <c r="V145" s="802"/>
      <c r="W145" s="802"/>
      <c r="X145" s="802"/>
      <c r="Y145" s="802"/>
      <c r="Z145" s="802"/>
      <c r="AA145" s="802"/>
      <c r="AB145" s="802"/>
      <c r="AC145" s="802"/>
      <c r="AD145" s="802"/>
      <c r="AE145" s="802"/>
      <c r="AF145" s="802"/>
      <c r="AG145" s="802"/>
      <c r="AH145" s="802"/>
      <c r="AI145" s="802"/>
      <c r="AJ145" s="802"/>
      <c r="AK145" s="802"/>
      <c r="AL145" s="802"/>
      <c r="AM145" s="802"/>
      <c r="AN145" s="802"/>
      <c r="AO145" s="802"/>
      <c r="AP145" s="802"/>
      <c r="AQ145" s="802"/>
      <c r="AR145" s="802"/>
      <c r="AS145" s="802"/>
      <c r="AT145" s="802"/>
      <c r="AU145" s="802"/>
      <c r="AV145" s="802"/>
      <c r="AW145" s="802"/>
      <c r="AX145" s="802"/>
      <c r="AY145" s="802"/>
    </row>
    <row r="146" ht="21.75" customHeight="1">
      <c r="A146" s="802"/>
      <c r="B146" s="802"/>
      <c r="C146" s="802"/>
      <c r="D146" s="802"/>
      <c r="E146" s="802"/>
      <c r="F146" s="802"/>
      <c r="G146" s="802"/>
      <c r="H146" s="802"/>
      <c r="I146" s="802"/>
      <c r="J146" s="802"/>
      <c r="K146" s="802"/>
      <c r="L146" s="802"/>
      <c r="M146" s="802"/>
      <c r="N146" s="802"/>
      <c r="O146" s="802"/>
      <c r="P146" s="802"/>
      <c r="Q146" s="802"/>
      <c r="R146" s="802"/>
      <c r="S146" s="802"/>
      <c r="T146" s="802"/>
      <c r="U146" s="802"/>
      <c r="V146" s="802"/>
      <c r="W146" s="802"/>
      <c r="X146" s="802"/>
      <c r="Y146" s="802"/>
      <c r="Z146" s="802"/>
      <c r="AA146" s="802"/>
      <c r="AB146" s="802"/>
      <c r="AC146" s="802"/>
      <c r="AD146" s="802"/>
      <c r="AE146" s="802"/>
      <c r="AF146" s="802"/>
      <c r="AG146" s="802"/>
      <c r="AH146" s="802"/>
      <c r="AI146" s="802"/>
      <c r="AJ146" s="802"/>
      <c r="AK146" s="802"/>
      <c r="AL146" s="802"/>
      <c r="AM146" s="802"/>
      <c r="AN146" s="802"/>
      <c r="AO146" s="802"/>
      <c r="AP146" s="802"/>
      <c r="AQ146" s="802"/>
      <c r="AR146" s="802"/>
      <c r="AS146" s="802"/>
      <c r="AT146" s="802"/>
      <c r="AU146" s="802"/>
      <c r="AV146" s="802"/>
      <c r="AW146" s="802"/>
      <c r="AX146" s="802"/>
      <c r="AY146" s="802"/>
    </row>
    <row r="147" ht="21.75" customHeight="1">
      <c r="A147" s="802"/>
      <c r="B147" s="802"/>
      <c r="C147" s="802"/>
      <c r="D147" s="802"/>
      <c r="E147" s="802"/>
      <c r="F147" s="802"/>
      <c r="G147" s="802"/>
      <c r="H147" s="802"/>
      <c r="I147" s="802"/>
      <c r="J147" s="802"/>
      <c r="K147" s="802"/>
      <c r="L147" s="802"/>
      <c r="M147" s="802"/>
      <c r="N147" s="802"/>
      <c r="O147" s="802"/>
      <c r="P147" s="802"/>
      <c r="Q147" s="802"/>
      <c r="R147" s="802"/>
      <c r="S147" s="802"/>
      <c r="T147" s="802"/>
      <c r="U147" s="802"/>
      <c r="V147" s="802"/>
      <c r="W147" s="802"/>
      <c r="X147" s="802"/>
      <c r="Y147" s="802"/>
      <c r="Z147" s="802"/>
      <c r="AA147" s="802"/>
      <c r="AB147" s="802"/>
      <c r="AC147" s="802"/>
      <c r="AD147" s="802"/>
      <c r="AE147" s="802"/>
      <c r="AF147" s="802"/>
      <c r="AG147" s="802"/>
      <c r="AH147" s="802"/>
      <c r="AI147" s="802"/>
      <c r="AJ147" s="802"/>
      <c r="AK147" s="802"/>
      <c r="AL147" s="802"/>
      <c r="AM147" s="802"/>
      <c r="AN147" s="802"/>
      <c r="AO147" s="802"/>
      <c r="AP147" s="802"/>
      <c r="AQ147" s="802"/>
      <c r="AR147" s="802"/>
      <c r="AS147" s="802"/>
      <c r="AT147" s="802"/>
      <c r="AU147" s="802"/>
      <c r="AV147" s="802"/>
      <c r="AW147" s="802"/>
      <c r="AX147" s="802"/>
      <c r="AY147" s="802"/>
    </row>
    <row r="148" ht="21.75" customHeight="1">
      <c r="A148" s="802"/>
      <c r="B148" s="802"/>
      <c r="C148" s="802"/>
      <c r="D148" s="802"/>
      <c r="E148" s="802"/>
      <c r="F148" s="802"/>
      <c r="G148" s="802"/>
      <c r="H148" s="802"/>
      <c r="I148" s="802"/>
      <c r="J148" s="802"/>
      <c r="K148" s="802"/>
      <c r="L148" s="802"/>
      <c r="M148" s="802"/>
      <c r="N148" s="802"/>
      <c r="O148" s="802"/>
      <c r="P148" s="802"/>
      <c r="Q148" s="802"/>
      <c r="R148" s="802"/>
      <c r="S148" s="802"/>
      <c r="T148" s="802"/>
      <c r="U148" s="802"/>
      <c r="V148" s="802"/>
      <c r="W148" s="802"/>
      <c r="X148" s="802"/>
      <c r="Y148" s="802"/>
      <c r="Z148" s="802"/>
      <c r="AA148" s="802"/>
      <c r="AB148" s="802"/>
      <c r="AC148" s="802"/>
      <c r="AD148" s="802"/>
      <c r="AE148" s="802"/>
      <c r="AF148" s="802"/>
      <c r="AG148" s="802"/>
      <c r="AH148" s="802"/>
      <c r="AI148" s="802"/>
      <c r="AJ148" s="802"/>
      <c r="AK148" s="802"/>
      <c r="AL148" s="802"/>
      <c r="AM148" s="802"/>
      <c r="AN148" s="802"/>
      <c r="AO148" s="802"/>
      <c r="AP148" s="802"/>
      <c r="AQ148" s="802"/>
      <c r="AR148" s="802"/>
      <c r="AS148" s="802"/>
      <c r="AT148" s="802"/>
      <c r="AU148" s="802"/>
      <c r="AV148" s="802"/>
      <c r="AW148" s="802"/>
      <c r="AX148" s="802"/>
      <c r="AY148" s="802"/>
    </row>
    <row r="149" ht="21.75" customHeight="1">
      <c r="A149" s="802"/>
      <c r="B149" s="802"/>
      <c r="C149" s="802"/>
      <c r="D149" s="802"/>
      <c r="E149" s="802"/>
      <c r="F149" s="802"/>
      <c r="G149" s="802"/>
      <c r="H149" s="802"/>
      <c r="I149" s="802"/>
      <c r="J149" s="802"/>
      <c r="K149" s="802"/>
      <c r="L149" s="802"/>
      <c r="M149" s="802"/>
      <c r="N149" s="802"/>
      <c r="O149" s="802"/>
      <c r="P149" s="802"/>
      <c r="Q149" s="802"/>
      <c r="R149" s="802"/>
      <c r="S149" s="802"/>
      <c r="T149" s="802"/>
      <c r="U149" s="802"/>
      <c r="V149" s="802"/>
      <c r="W149" s="802"/>
      <c r="X149" s="802"/>
      <c r="Y149" s="802"/>
      <c r="Z149" s="802"/>
      <c r="AA149" s="802"/>
      <c r="AB149" s="802"/>
      <c r="AC149" s="802"/>
      <c r="AD149" s="802"/>
      <c r="AE149" s="802"/>
      <c r="AF149" s="802"/>
      <c r="AG149" s="802"/>
      <c r="AH149" s="802"/>
      <c r="AI149" s="802"/>
      <c r="AJ149" s="802"/>
      <c r="AK149" s="802"/>
      <c r="AL149" s="802"/>
      <c r="AM149" s="802"/>
      <c r="AN149" s="802"/>
      <c r="AO149" s="802"/>
      <c r="AP149" s="802"/>
      <c r="AQ149" s="802"/>
      <c r="AR149" s="802"/>
      <c r="AS149" s="802"/>
      <c r="AT149" s="802"/>
      <c r="AU149" s="802"/>
      <c r="AV149" s="802"/>
      <c r="AW149" s="802"/>
      <c r="AX149" s="802"/>
      <c r="AY149" s="802"/>
    </row>
    <row r="150" ht="21.75" customHeight="1">
      <c r="A150" s="802"/>
      <c r="B150" s="802"/>
      <c r="C150" s="802"/>
      <c r="D150" s="802"/>
      <c r="E150" s="802"/>
      <c r="F150" s="802"/>
      <c r="G150" s="802"/>
      <c r="H150" s="802"/>
      <c r="I150" s="802"/>
      <c r="J150" s="802"/>
      <c r="K150" s="802"/>
      <c r="L150" s="802"/>
      <c r="M150" s="802"/>
      <c r="N150" s="802"/>
      <c r="O150" s="802"/>
      <c r="P150" s="802"/>
      <c r="Q150" s="802"/>
      <c r="R150" s="802"/>
      <c r="S150" s="802"/>
      <c r="T150" s="802"/>
      <c r="U150" s="802"/>
      <c r="V150" s="802"/>
      <c r="W150" s="802"/>
      <c r="X150" s="802"/>
      <c r="Y150" s="802"/>
      <c r="Z150" s="802"/>
      <c r="AA150" s="802"/>
      <c r="AB150" s="802"/>
      <c r="AC150" s="802"/>
      <c r="AD150" s="802"/>
      <c r="AE150" s="802"/>
      <c r="AF150" s="802"/>
      <c r="AG150" s="802"/>
      <c r="AH150" s="802"/>
      <c r="AI150" s="802"/>
      <c r="AJ150" s="802"/>
      <c r="AK150" s="802"/>
      <c r="AL150" s="802"/>
      <c r="AM150" s="802"/>
      <c r="AN150" s="802"/>
      <c r="AO150" s="802"/>
      <c r="AP150" s="802"/>
      <c r="AQ150" s="802"/>
      <c r="AR150" s="802"/>
      <c r="AS150" s="802"/>
      <c r="AT150" s="802"/>
      <c r="AU150" s="802"/>
      <c r="AV150" s="802"/>
      <c r="AW150" s="802"/>
      <c r="AX150" s="802"/>
      <c r="AY150" s="802"/>
    </row>
    <row r="151" ht="21.75" customHeight="1">
      <c r="A151" s="802"/>
      <c r="B151" s="802"/>
      <c r="C151" s="802"/>
      <c r="D151" s="802"/>
      <c r="E151" s="802"/>
      <c r="F151" s="802"/>
      <c r="G151" s="802"/>
      <c r="H151" s="802"/>
      <c r="I151" s="802"/>
      <c r="J151" s="802"/>
      <c r="K151" s="802"/>
      <c r="L151" s="802"/>
      <c r="M151" s="802"/>
      <c r="N151" s="802"/>
      <c r="O151" s="802"/>
      <c r="P151" s="802"/>
      <c r="Q151" s="802"/>
      <c r="R151" s="802"/>
      <c r="S151" s="802"/>
      <c r="T151" s="802"/>
      <c r="U151" s="802"/>
      <c r="V151" s="802"/>
      <c r="W151" s="802"/>
      <c r="X151" s="802"/>
      <c r="Y151" s="802"/>
      <c r="Z151" s="802"/>
      <c r="AA151" s="802"/>
      <c r="AB151" s="802"/>
      <c r="AC151" s="802"/>
      <c r="AD151" s="802"/>
      <c r="AE151" s="802"/>
      <c r="AF151" s="802"/>
      <c r="AG151" s="802"/>
      <c r="AH151" s="802"/>
      <c r="AI151" s="802"/>
      <c r="AJ151" s="802"/>
      <c r="AK151" s="802"/>
      <c r="AL151" s="802"/>
      <c r="AM151" s="802"/>
      <c r="AN151" s="802"/>
      <c r="AO151" s="802"/>
      <c r="AP151" s="802"/>
      <c r="AQ151" s="802"/>
      <c r="AR151" s="802"/>
      <c r="AS151" s="802"/>
      <c r="AT151" s="802"/>
      <c r="AU151" s="802"/>
      <c r="AV151" s="802"/>
      <c r="AW151" s="802"/>
      <c r="AX151" s="802"/>
      <c r="AY151" s="802"/>
    </row>
    <row r="152" ht="21.75" customHeight="1">
      <c r="A152" s="802"/>
      <c r="B152" s="802"/>
      <c r="C152" s="802"/>
      <c r="D152" s="802"/>
      <c r="E152" s="802"/>
      <c r="F152" s="802"/>
      <c r="G152" s="802"/>
      <c r="H152" s="802"/>
      <c r="I152" s="802"/>
      <c r="J152" s="802"/>
      <c r="K152" s="802"/>
      <c r="L152" s="802"/>
      <c r="M152" s="802"/>
      <c r="N152" s="802"/>
      <c r="O152" s="802"/>
      <c r="P152" s="802"/>
      <c r="Q152" s="802"/>
      <c r="R152" s="802"/>
      <c r="S152" s="802"/>
      <c r="T152" s="802"/>
      <c r="U152" s="802"/>
      <c r="V152" s="802"/>
      <c r="W152" s="802"/>
      <c r="X152" s="802"/>
      <c r="Y152" s="802"/>
      <c r="Z152" s="802"/>
      <c r="AA152" s="802"/>
      <c r="AB152" s="802"/>
      <c r="AC152" s="802"/>
      <c r="AD152" s="802"/>
      <c r="AE152" s="802"/>
      <c r="AF152" s="802"/>
      <c r="AG152" s="802"/>
      <c r="AH152" s="802"/>
      <c r="AI152" s="802"/>
      <c r="AJ152" s="802"/>
      <c r="AK152" s="802"/>
      <c r="AL152" s="802"/>
      <c r="AM152" s="802"/>
      <c r="AN152" s="802"/>
      <c r="AO152" s="802"/>
      <c r="AP152" s="802"/>
      <c r="AQ152" s="802"/>
      <c r="AR152" s="802"/>
      <c r="AS152" s="802"/>
      <c r="AT152" s="802"/>
      <c r="AU152" s="802"/>
      <c r="AV152" s="802"/>
      <c r="AW152" s="802"/>
      <c r="AX152" s="802"/>
      <c r="AY152" s="802"/>
    </row>
    <row r="153" ht="21.75" customHeight="1">
      <c r="A153" s="802"/>
      <c r="B153" s="802"/>
      <c r="C153" s="802"/>
      <c r="D153" s="802"/>
      <c r="E153" s="802"/>
      <c r="F153" s="802"/>
      <c r="G153" s="802"/>
      <c r="H153" s="802"/>
      <c r="I153" s="802"/>
      <c r="J153" s="802"/>
      <c r="K153" s="802"/>
      <c r="L153" s="802"/>
      <c r="M153" s="802"/>
      <c r="N153" s="802"/>
      <c r="O153" s="802"/>
      <c r="P153" s="802"/>
      <c r="Q153" s="802"/>
      <c r="R153" s="802"/>
      <c r="S153" s="802"/>
      <c r="T153" s="802"/>
      <c r="U153" s="802"/>
      <c r="V153" s="802"/>
      <c r="W153" s="802"/>
      <c r="X153" s="802"/>
      <c r="Y153" s="802"/>
      <c r="Z153" s="802"/>
      <c r="AA153" s="802"/>
      <c r="AB153" s="802"/>
      <c r="AC153" s="802"/>
      <c r="AD153" s="802"/>
      <c r="AE153" s="802"/>
      <c r="AF153" s="802"/>
      <c r="AG153" s="802"/>
      <c r="AH153" s="802"/>
      <c r="AI153" s="802"/>
      <c r="AJ153" s="802"/>
      <c r="AK153" s="802"/>
      <c r="AL153" s="802"/>
      <c r="AM153" s="802"/>
      <c r="AN153" s="802"/>
      <c r="AO153" s="802"/>
      <c r="AP153" s="802"/>
      <c r="AQ153" s="802"/>
      <c r="AR153" s="802"/>
      <c r="AS153" s="802"/>
      <c r="AT153" s="802"/>
      <c r="AU153" s="802"/>
      <c r="AV153" s="802"/>
      <c r="AW153" s="802"/>
      <c r="AX153" s="802"/>
      <c r="AY153" s="802"/>
    </row>
    <row r="154" ht="21.75" customHeight="1">
      <c r="A154" s="802"/>
      <c r="B154" s="802"/>
      <c r="C154" s="802"/>
      <c r="D154" s="802"/>
      <c r="E154" s="802"/>
      <c r="F154" s="802"/>
      <c r="G154" s="802"/>
      <c r="H154" s="802"/>
      <c r="I154" s="802"/>
      <c r="J154" s="802"/>
      <c r="K154" s="802"/>
      <c r="L154" s="802"/>
      <c r="M154" s="802"/>
      <c r="N154" s="802"/>
      <c r="O154" s="802"/>
      <c r="P154" s="802"/>
      <c r="Q154" s="802"/>
      <c r="R154" s="802"/>
      <c r="S154" s="802"/>
      <c r="T154" s="802"/>
      <c r="U154" s="802"/>
      <c r="V154" s="802"/>
      <c r="W154" s="802"/>
      <c r="X154" s="802"/>
      <c r="Y154" s="802"/>
      <c r="Z154" s="802"/>
      <c r="AA154" s="802"/>
      <c r="AB154" s="802"/>
      <c r="AC154" s="802"/>
      <c r="AD154" s="802"/>
      <c r="AE154" s="802"/>
      <c r="AF154" s="802"/>
      <c r="AG154" s="802"/>
      <c r="AH154" s="802"/>
      <c r="AI154" s="802"/>
      <c r="AJ154" s="802"/>
      <c r="AK154" s="802"/>
      <c r="AL154" s="802"/>
      <c r="AM154" s="802"/>
      <c r="AN154" s="802"/>
      <c r="AO154" s="802"/>
      <c r="AP154" s="802"/>
      <c r="AQ154" s="802"/>
      <c r="AR154" s="802"/>
      <c r="AS154" s="802"/>
      <c r="AT154" s="802"/>
      <c r="AU154" s="802"/>
      <c r="AV154" s="802"/>
      <c r="AW154" s="802"/>
      <c r="AX154" s="802"/>
      <c r="AY154" s="802"/>
    </row>
    <row r="155" ht="21.75" customHeight="1">
      <c r="A155" s="802"/>
      <c r="B155" s="802"/>
      <c r="C155" s="802"/>
      <c r="D155" s="802"/>
      <c r="E155" s="802"/>
      <c r="F155" s="802"/>
      <c r="G155" s="802"/>
      <c r="H155" s="802"/>
      <c r="I155" s="802"/>
      <c r="J155" s="802"/>
      <c r="K155" s="802"/>
      <c r="L155" s="802"/>
      <c r="M155" s="802"/>
      <c r="N155" s="802"/>
      <c r="O155" s="802"/>
      <c r="P155" s="802"/>
      <c r="Q155" s="802"/>
      <c r="R155" s="802"/>
      <c r="S155" s="802"/>
      <c r="T155" s="802"/>
      <c r="U155" s="802"/>
      <c r="V155" s="802"/>
      <c r="W155" s="802"/>
      <c r="X155" s="802"/>
      <c r="Y155" s="802"/>
      <c r="Z155" s="802"/>
      <c r="AA155" s="802"/>
      <c r="AB155" s="802"/>
      <c r="AC155" s="802"/>
      <c r="AD155" s="802"/>
      <c r="AE155" s="802"/>
      <c r="AF155" s="802"/>
      <c r="AG155" s="802"/>
      <c r="AH155" s="802"/>
      <c r="AI155" s="802"/>
      <c r="AJ155" s="802"/>
      <c r="AK155" s="802"/>
      <c r="AL155" s="802"/>
      <c r="AM155" s="802"/>
      <c r="AN155" s="802"/>
      <c r="AO155" s="802"/>
      <c r="AP155" s="802"/>
      <c r="AQ155" s="802"/>
      <c r="AR155" s="802"/>
      <c r="AS155" s="802"/>
      <c r="AT155" s="802"/>
      <c r="AU155" s="802"/>
      <c r="AV155" s="802"/>
      <c r="AW155" s="802"/>
      <c r="AX155" s="802"/>
      <c r="AY155" s="802"/>
    </row>
    <row r="156" ht="21.75" customHeight="1">
      <c r="A156" s="802"/>
      <c r="B156" s="802"/>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2"/>
      <c r="AB156" s="802"/>
      <c r="AC156" s="802"/>
      <c r="AD156" s="802"/>
      <c r="AE156" s="802"/>
      <c r="AF156" s="802"/>
      <c r="AG156" s="802"/>
      <c r="AH156" s="802"/>
      <c r="AI156" s="802"/>
      <c r="AJ156" s="802"/>
      <c r="AK156" s="802"/>
      <c r="AL156" s="802"/>
      <c r="AM156" s="802"/>
      <c r="AN156" s="802"/>
      <c r="AO156" s="802"/>
      <c r="AP156" s="802"/>
      <c r="AQ156" s="802"/>
      <c r="AR156" s="802"/>
      <c r="AS156" s="802"/>
      <c r="AT156" s="802"/>
      <c r="AU156" s="802"/>
      <c r="AV156" s="802"/>
      <c r="AW156" s="802"/>
      <c r="AX156" s="802"/>
      <c r="AY156" s="802"/>
    </row>
    <row r="157" ht="21.75" customHeight="1">
      <c r="A157" s="802"/>
      <c r="B157" s="802"/>
      <c r="C157" s="802"/>
      <c r="D157" s="802"/>
      <c r="E157" s="802"/>
      <c r="F157" s="802"/>
      <c r="G157" s="802"/>
      <c r="H157" s="802"/>
      <c r="I157" s="802"/>
      <c r="J157" s="802"/>
      <c r="K157" s="802"/>
      <c r="L157" s="802"/>
      <c r="M157" s="802"/>
      <c r="N157" s="802"/>
      <c r="O157" s="802"/>
      <c r="P157" s="802"/>
      <c r="Q157" s="802"/>
      <c r="R157" s="802"/>
      <c r="S157" s="802"/>
      <c r="T157" s="802"/>
      <c r="U157" s="802"/>
      <c r="V157" s="802"/>
      <c r="W157" s="802"/>
      <c r="X157" s="802"/>
      <c r="Y157" s="802"/>
      <c r="Z157" s="802"/>
      <c r="AA157" s="802"/>
      <c r="AB157" s="802"/>
      <c r="AC157" s="802"/>
      <c r="AD157" s="802"/>
      <c r="AE157" s="802"/>
      <c r="AF157" s="802"/>
      <c r="AG157" s="802"/>
      <c r="AH157" s="802"/>
      <c r="AI157" s="802"/>
      <c r="AJ157" s="802"/>
      <c r="AK157" s="802"/>
      <c r="AL157" s="802"/>
      <c r="AM157" s="802"/>
      <c r="AN157" s="802"/>
      <c r="AO157" s="802"/>
      <c r="AP157" s="802"/>
      <c r="AQ157" s="802"/>
      <c r="AR157" s="802"/>
      <c r="AS157" s="802"/>
      <c r="AT157" s="802"/>
      <c r="AU157" s="802"/>
      <c r="AV157" s="802"/>
      <c r="AW157" s="802"/>
      <c r="AX157" s="802"/>
      <c r="AY157" s="802"/>
    </row>
    <row r="158" ht="21.75" customHeight="1">
      <c r="A158" s="802"/>
      <c r="B158" s="802"/>
      <c r="C158" s="802"/>
      <c r="D158" s="802"/>
      <c r="E158" s="802"/>
      <c r="F158" s="802"/>
      <c r="G158" s="802"/>
      <c r="H158" s="802"/>
      <c r="I158" s="802"/>
      <c r="J158" s="802"/>
      <c r="K158" s="802"/>
      <c r="L158" s="802"/>
      <c r="M158" s="802"/>
      <c r="N158" s="802"/>
      <c r="O158" s="802"/>
      <c r="P158" s="802"/>
      <c r="Q158" s="802"/>
      <c r="R158" s="802"/>
      <c r="S158" s="802"/>
      <c r="T158" s="802"/>
      <c r="U158" s="802"/>
      <c r="V158" s="802"/>
      <c r="W158" s="802"/>
      <c r="X158" s="802"/>
      <c r="Y158" s="802"/>
      <c r="Z158" s="802"/>
      <c r="AA158" s="802"/>
      <c r="AB158" s="802"/>
      <c r="AC158" s="802"/>
      <c r="AD158" s="802"/>
      <c r="AE158" s="802"/>
      <c r="AF158" s="802"/>
      <c r="AG158" s="802"/>
      <c r="AH158" s="802"/>
      <c r="AI158" s="802"/>
      <c r="AJ158" s="802"/>
      <c r="AK158" s="802"/>
      <c r="AL158" s="802"/>
      <c r="AM158" s="802"/>
      <c r="AN158" s="802"/>
      <c r="AO158" s="802"/>
      <c r="AP158" s="802"/>
      <c r="AQ158" s="802"/>
      <c r="AR158" s="802"/>
      <c r="AS158" s="802"/>
      <c r="AT158" s="802"/>
      <c r="AU158" s="802"/>
      <c r="AV158" s="802"/>
      <c r="AW158" s="802"/>
      <c r="AX158" s="802"/>
      <c r="AY158" s="802"/>
    </row>
    <row r="159" ht="21.75" customHeight="1">
      <c r="A159" s="802"/>
      <c r="B159" s="802"/>
      <c r="C159" s="802"/>
      <c r="D159" s="802"/>
      <c r="E159" s="802"/>
      <c r="F159" s="802"/>
      <c r="G159" s="802"/>
      <c r="H159" s="802"/>
      <c r="I159" s="802"/>
      <c r="J159" s="802"/>
      <c r="K159" s="802"/>
      <c r="L159" s="802"/>
      <c r="M159" s="802"/>
      <c r="N159" s="802"/>
      <c r="O159" s="802"/>
      <c r="P159" s="802"/>
      <c r="Q159" s="802"/>
      <c r="R159" s="802"/>
      <c r="S159" s="802"/>
      <c r="T159" s="802"/>
      <c r="U159" s="802"/>
      <c r="V159" s="802"/>
      <c r="W159" s="802"/>
      <c r="X159" s="802"/>
      <c r="Y159" s="802"/>
      <c r="Z159" s="802"/>
      <c r="AA159" s="802"/>
      <c r="AB159" s="802"/>
      <c r="AC159" s="802"/>
      <c r="AD159" s="802"/>
      <c r="AE159" s="802"/>
      <c r="AF159" s="802"/>
      <c r="AG159" s="802"/>
      <c r="AH159" s="802"/>
      <c r="AI159" s="802"/>
      <c r="AJ159" s="802"/>
      <c r="AK159" s="802"/>
      <c r="AL159" s="802"/>
      <c r="AM159" s="802"/>
      <c r="AN159" s="802"/>
      <c r="AO159" s="802"/>
      <c r="AP159" s="802"/>
      <c r="AQ159" s="802"/>
      <c r="AR159" s="802"/>
      <c r="AS159" s="802"/>
      <c r="AT159" s="802"/>
      <c r="AU159" s="802"/>
      <c r="AV159" s="802"/>
      <c r="AW159" s="802"/>
      <c r="AX159" s="802"/>
      <c r="AY159" s="802"/>
    </row>
    <row r="160" ht="21.75" customHeight="1">
      <c r="A160" s="802"/>
      <c r="B160" s="802"/>
      <c r="C160" s="802"/>
      <c r="D160" s="802"/>
      <c r="E160" s="802"/>
      <c r="F160" s="802"/>
      <c r="G160" s="802"/>
      <c r="H160" s="802"/>
      <c r="I160" s="802"/>
      <c r="J160" s="802"/>
      <c r="K160" s="802"/>
      <c r="L160" s="802"/>
      <c r="M160" s="802"/>
      <c r="N160" s="802"/>
      <c r="O160" s="802"/>
      <c r="P160" s="802"/>
      <c r="Q160" s="802"/>
      <c r="R160" s="802"/>
      <c r="S160" s="802"/>
      <c r="T160" s="802"/>
      <c r="U160" s="802"/>
      <c r="V160" s="802"/>
      <c r="W160" s="802"/>
      <c r="X160" s="802"/>
      <c r="Y160" s="802"/>
      <c r="Z160" s="802"/>
      <c r="AA160" s="802"/>
      <c r="AB160" s="802"/>
      <c r="AC160" s="802"/>
      <c r="AD160" s="802"/>
      <c r="AE160" s="802"/>
      <c r="AF160" s="802"/>
      <c r="AG160" s="802"/>
      <c r="AH160" s="802"/>
      <c r="AI160" s="802"/>
      <c r="AJ160" s="802"/>
      <c r="AK160" s="802"/>
      <c r="AL160" s="802"/>
      <c r="AM160" s="802"/>
      <c r="AN160" s="802"/>
      <c r="AO160" s="802"/>
      <c r="AP160" s="802"/>
      <c r="AQ160" s="802"/>
      <c r="AR160" s="802"/>
      <c r="AS160" s="802"/>
      <c r="AT160" s="802"/>
      <c r="AU160" s="802"/>
      <c r="AV160" s="802"/>
      <c r="AW160" s="802"/>
      <c r="AX160" s="802"/>
      <c r="AY160" s="802"/>
    </row>
    <row r="161" ht="21.75" customHeight="1">
      <c r="A161" s="802"/>
      <c r="B161" s="802"/>
      <c r="C161" s="802"/>
      <c r="D161" s="802"/>
      <c r="E161" s="802"/>
      <c r="F161" s="802"/>
      <c r="G161" s="802"/>
      <c r="H161" s="802"/>
      <c r="I161" s="802"/>
      <c r="J161" s="802"/>
      <c r="K161" s="802"/>
      <c r="L161" s="802"/>
      <c r="M161" s="802"/>
      <c r="N161" s="802"/>
      <c r="O161" s="802"/>
      <c r="P161" s="802"/>
      <c r="Q161" s="802"/>
      <c r="R161" s="802"/>
      <c r="S161" s="802"/>
      <c r="T161" s="802"/>
      <c r="U161" s="802"/>
      <c r="V161" s="802"/>
      <c r="W161" s="802"/>
      <c r="X161" s="802"/>
      <c r="Y161" s="802"/>
      <c r="Z161" s="802"/>
      <c r="AA161" s="802"/>
      <c r="AB161" s="802"/>
      <c r="AC161" s="802"/>
      <c r="AD161" s="802"/>
      <c r="AE161" s="802"/>
      <c r="AF161" s="802"/>
      <c r="AG161" s="802"/>
      <c r="AH161" s="802"/>
      <c r="AI161" s="802"/>
      <c r="AJ161" s="802"/>
      <c r="AK161" s="802"/>
      <c r="AL161" s="802"/>
      <c r="AM161" s="802"/>
      <c r="AN161" s="802"/>
      <c r="AO161" s="802"/>
      <c r="AP161" s="802"/>
      <c r="AQ161" s="802"/>
      <c r="AR161" s="802"/>
      <c r="AS161" s="802"/>
      <c r="AT161" s="802"/>
      <c r="AU161" s="802"/>
      <c r="AV161" s="802"/>
      <c r="AW161" s="802"/>
      <c r="AX161" s="802"/>
      <c r="AY161" s="802"/>
    </row>
    <row r="162" ht="21.75" customHeight="1">
      <c r="A162" s="802"/>
      <c r="B162" s="802"/>
      <c r="C162" s="802"/>
      <c r="D162" s="802"/>
      <c r="E162" s="802"/>
      <c r="F162" s="802"/>
      <c r="G162" s="802"/>
      <c r="H162" s="802"/>
      <c r="I162" s="802"/>
      <c r="J162" s="802"/>
      <c r="K162" s="802"/>
      <c r="L162" s="802"/>
      <c r="M162" s="802"/>
      <c r="N162" s="802"/>
      <c r="O162" s="802"/>
      <c r="P162" s="802"/>
      <c r="Q162" s="802"/>
      <c r="R162" s="802"/>
      <c r="S162" s="802"/>
      <c r="T162" s="802"/>
      <c r="U162" s="802"/>
      <c r="V162" s="802"/>
      <c r="W162" s="802"/>
      <c r="X162" s="802"/>
      <c r="Y162" s="802"/>
      <c r="Z162" s="802"/>
      <c r="AA162" s="802"/>
      <c r="AB162" s="802"/>
      <c r="AC162" s="802"/>
      <c r="AD162" s="802"/>
      <c r="AE162" s="802"/>
      <c r="AF162" s="802"/>
      <c r="AG162" s="802"/>
      <c r="AH162" s="802"/>
      <c r="AI162" s="802"/>
      <c r="AJ162" s="802"/>
      <c r="AK162" s="802"/>
      <c r="AL162" s="802"/>
      <c r="AM162" s="802"/>
      <c r="AN162" s="802"/>
      <c r="AO162" s="802"/>
      <c r="AP162" s="802"/>
      <c r="AQ162" s="802"/>
      <c r="AR162" s="802"/>
      <c r="AS162" s="802"/>
      <c r="AT162" s="802"/>
      <c r="AU162" s="802"/>
      <c r="AV162" s="802"/>
      <c r="AW162" s="802"/>
      <c r="AX162" s="802"/>
      <c r="AY162" s="802"/>
    </row>
    <row r="163" ht="21.75" customHeight="1">
      <c r="A163" s="802"/>
      <c r="B163" s="802"/>
      <c r="C163" s="802"/>
      <c r="D163" s="802"/>
      <c r="E163" s="802"/>
      <c r="F163" s="802"/>
      <c r="G163" s="802"/>
      <c r="H163" s="802"/>
      <c r="I163" s="802"/>
      <c r="J163" s="802"/>
      <c r="K163" s="802"/>
      <c r="L163" s="802"/>
      <c r="M163" s="802"/>
      <c r="N163" s="802"/>
      <c r="O163" s="802"/>
      <c r="P163" s="802"/>
      <c r="Q163" s="802"/>
      <c r="R163" s="802"/>
      <c r="S163" s="802"/>
      <c r="T163" s="802"/>
      <c r="U163" s="802"/>
      <c r="V163" s="802"/>
      <c r="W163" s="802"/>
      <c r="X163" s="802"/>
      <c r="Y163" s="802"/>
      <c r="Z163" s="802"/>
      <c r="AA163" s="802"/>
      <c r="AB163" s="802"/>
      <c r="AC163" s="802"/>
      <c r="AD163" s="802"/>
      <c r="AE163" s="802"/>
      <c r="AF163" s="802"/>
      <c r="AG163" s="802"/>
      <c r="AH163" s="802"/>
      <c r="AI163" s="802"/>
      <c r="AJ163" s="802"/>
      <c r="AK163" s="802"/>
      <c r="AL163" s="802"/>
      <c r="AM163" s="802"/>
      <c r="AN163" s="802"/>
      <c r="AO163" s="802"/>
      <c r="AP163" s="802"/>
      <c r="AQ163" s="802"/>
      <c r="AR163" s="802"/>
      <c r="AS163" s="802"/>
      <c r="AT163" s="802"/>
      <c r="AU163" s="802"/>
      <c r="AV163" s="802"/>
      <c r="AW163" s="802"/>
      <c r="AX163" s="802"/>
      <c r="AY163" s="802"/>
    </row>
    <row r="164" ht="21.75" customHeight="1">
      <c r="A164" s="802"/>
      <c r="B164" s="802"/>
      <c r="C164" s="802"/>
      <c r="D164" s="802"/>
      <c r="E164" s="802"/>
      <c r="F164" s="802"/>
      <c r="G164" s="802"/>
      <c r="H164" s="802"/>
      <c r="I164" s="802"/>
      <c r="J164" s="802"/>
      <c r="K164" s="802"/>
      <c r="L164" s="802"/>
      <c r="M164" s="802"/>
      <c r="N164" s="802"/>
      <c r="O164" s="802"/>
      <c r="P164" s="802"/>
      <c r="Q164" s="802"/>
      <c r="R164" s="802"/>
      <c r="S164" s="802"/>
      <c r="T164" s="802"/>
      <c r="U164" s="802"/>
      <c r="V164" s="802"/>
      <c r="W164" s="802"/>
      <c r="X164" s="802"/>
      <c r="Y164" s="802"/>
      <c r="Z164" s="802"/>
      <c r="AA164" s="802"/>
      <c r="AB164" s="802"/>
      <c r="AC164" s="802"/>
      <c r="AD164" s="802"/>
      <c r="AE164" s="802"/>
      <c r="AF164" s="802"/>
      <c r="AG164" s="802"/>
      <c r="AH164" s="802"/>
      <c r="AI164" s="802"/>
      <c r="AJ164" s="802"/>
      <c r="AK164" s="802"/>
      <c r="AL164" s="802"/>
      <c r="AM164" s="802"/>
      <c r="AN164" s="802"/>
      <c r="AO164" s="802"/>
      <c r="AP164" s="802"/>
      <c r="AQ164" s="802"/>
      <c r="AR164" s="802"/>
      <c r="AS164" s="802"/>
      <c r="AT164" s="802"/>
      <c r="AU164" s="802"/>
      <c r="AV164" s="802"/>
      <c r="AW164" s="802"/>
      <c r="AX164" s="802"/>
      <c r="AY164" s="802"/>
    </row>
    <row r="165" ht="21.75" customHeight="1">
      <c r="A165" s="802"/>
      <c r="B165" s="802"/>
      <c r="C165" s="802"/>
      <c r="D165" s="802"/>
      <c r="E165" s="802"/>
      <c r="F165" s="802"/>
      <c r="G165" s="802"/>
      <c r="H165" s="802"/>
      <c r="I165" s="802"/>
      <c r="J165" s="802"/>
      <c r="K165" s="802"/>
      <c r="L165" s="802"/>
      <c r="M165" s="802"/>
      <c r="N165" s="802"/>
      <c r="O165" s="802"/>
      <c r="P165" s="802"/>
      <c r="Q165" s="802"/>
      <c r="R165" s="802"/>
      <c r="S165" s="802"/>
      <c r="T165" s="802"/>
      <c r="U165" s="802"/>
      <c r="V165" s="802"/>
      <c r="W165" s="802"/>
      <c r="X165" s="802"/>
      <c r="Y165" s="802"/>
      <c r="Z165" s="802"/>
      <c r="AA165" s="802"/>
      <c r="AB165" s="802"/>
      <c r="AC165" s="802"/>
      <c r="AD165" s="802"/>
      <c r="AE165" s="802"/>
      <c r="AF165" s="802"/>
      <c r="AG165" s="802"/>
      <c r="AH165" s="802"/>
      <c r="AI165" s="802"/>
      <c r="AJ165" s="802"/>
      <c r="AK165" s="802"/>
      <c r="AL165" s="802"/>
      <c r="AM165" s="802"/>
      <c r="AN165" s="802"/>
      <c r="AO165" s="802"/>
      <c r="AP165" s="802"/>
      <c r="AQ165" s="802"/>
      <c r="AR165" s="802"/>
      <c r="AS165" s="802"/>
      <c r="AT165" s="802"/>
      <c r="AU165" s="802"/>
      <c r="AV165" s="802"/>
      <c r="AW165" s="802"/>
      <c r="AX165" s="802"/>
      <c r="AY165" s="802"/>
    </row>
    <row r="166" ht="21.75" customHeight="1">
      <c r="A166" s="802"/>
      <c r="B166" s="802"/>
      <c r="C166" s="802"/>
      <c r="D166" s="802"/>
      <c r="E166" s="802"/>
      <c r="F166" s="802"/>
      <c r="G166" s="802"/>
      <c r="H166" s="802"/>
      <c r="I166" s="802"/>
      <c r="J166" s="802"/>
      <c r="K166" s="802"/>
      <c r="L166" s="802"/>
      <c r="M166" s="802"/>
      <c r="N166" s="802"/>
      <c r="O166" s="802"/>
      <c r="P166" s="802"/>
      <c r="Q166" s="802"/>
      <c r="R166" s="802"/>
      <c r="S166" s="802"/>
      <c r="T166" s="802"/>
      <c r="U166" s="802"/>
      <c r="V166" s="802"/>
      <c r="W166" s="802"/>
      <c r="X166" s="802"/>
      <c r="Y166" s="802"/>
      <c r="Z166" s="802"/>
      <c r="AA166" s="802"/>
      <c r="AB166" s="802"/>
      <c r="AC166" s="802"/>
      <c r="AD166" s="802"/>
      <c r="AE166" s="802"/>
      <c r="AF166" s="802"/>
      <c r="AG166" s="802"/>
      <c r="AH166" s="802"/>
      <c r="AI166" s="802"/>
      <c r="AJ166" s="802"/>
      <c r="AK166" s="802"/>
      <c r="AL166" s="802"/>
      <c r="AM166" s="802"/>
      <c r="AN166" s="802"/>
      <c r="AO166" s="802"/>
      <c r="AP166" s="802"/>
      <c r="AQ166" s="802"/>
      <c r="AR166" s="802"/>
      <c r="AS166" s="802"/>
      <c r="AT166" s="802"/>
      <c r="AU166" s="802"/>
      <c r="AV166" s="802"/>
      <c r="AW166" s="802"/>
      <c r="AX166" s="802"/>
      <c r="AY166" s="802"/>
    </row>
    <row r="167" ht="21.75" customHeight="1">
      <c r="A167" s="802"/>
      <c r="B167" s="802"/>
      <c r="C167" s="802"/>
      <c r="D167" s="802"/>
      <c r="E167" s="802"/>
      <c r="F167" s="802"/>
      <c r="G167" s="802"/>
      <c r="H167" s="802"/>
      <c r="I167" s="802"/>
      <c r="J167" s="802"/>
      <c r="K167" s="802"/>
      <c r="L167" s="802"/>
      <c r="M167" s="802"/>
      <c r="N167" s="802"/>
      <c r="O167" s="802"/>
      <c r="P167" s="802"/>
      <c r="Q167" s="802"/>
      <c r="R167" s="802"/>
      <c r="S167" s="802"/>
      <c r="T167" s="802"/>
      <c r="U167" s="802"/>
      <c r="V167" s="802"/>
      <c r="W167" s="802"/>
      <c r="X167" s="802"/>
      <c r="Y167" s="802"/>
      <c r="Z167" s="802"/>
      <c r="AA167" s="802"/>
      <c r="AB167" s="802"/>
      <c r="AC167" s="802"/>
      <c r="AD167" s="802"/>
      <c r="AE167" s="802"/>
      <c r="AF167" s="802"/>
      <c r="AG167" s="802"/>
      <c r="AH167" s="802"/>
      <c r="AI167" s="802"/>
      <c r="AJ167" s="802"/>
      <c r="AK167" s="802"/>
      <c r="AL167" s="802"/>
      <c r="AM167" s="802"/>
      <c r="AN167" s="802"/>
      <c r="AO167" s="802"/>
      <c r="AP167" s="802"/>
      <c r="AQ167" s="802"/>
      <c r="AR167" s="802"/>
      <c r="AS167" s="802"/>
      <c r="AT167" s="802"/>
      <c r="AU167" s="802"/>
      <c r="AV167" s="802"/>
      <c r="AW167" s="802"/>
      <c r="AX167" s="802"/>
      <c r="AY167" s="802"/>
    </row>
    <row r="168" ht="21.75" customHeight="1">
      <c r="A168" s="802"/>
      <c r="B168" s="802"/>
      <c r="C168" s="802"/>
      <c r="D168" s="802"/>
      <c r="E168" s="802"/>
      <c r="F168" s="802"/>
      <c r="G168" s="802"/>
      <c r="H168" s="802"/>
      <c r="I168" s="802"/>
      <c r="J168" s="802"/>
      <c r="K168" s="802"/>
      <c r="L168" s="802"/>
      <c r="M168" s="802"/>
      <c r="N168" s="802"/>
      <c r="O168" s="802"/>
      <c r="P168" s="802"/>
      <c r="Q168" s="802"/>
      <c r="R168" s="802"/>
      <c r="S168" s="802"/>
      <c r="T168" s="802"/>
      <c r="U168" s="802"/>
      <c r="V168" s="802"/>
      <c r="W168" s="802"/>
      <c r="X168" s="802"/>
      <c r="Y168" s="802"/>
      <c r="Z168" s="802"/>
      <c r="AA168" s="802"/>
      <c r="AB168" s="802"/>
      <c r="AC168" s="802"/>
      <c r="AD168" s="802"/>
      <c r="AE168" s="802"/>
      <c r="AF168" s="802"/>
      <c r="AG168" s="802"/>
      <c r="AH168" s="802"/>
      <c r="AI168" s="802"/>
      <c r="AJ168" s="802"/>
      <c r="AK168" s="802"/>
      <c r="AL168" s="802"/>
      <c r="AM168" s="802"/>
      <c r="AN168" s="802"/>
      <c r="AO168" s="802"/>
      <c r="AP168" s="802"/>
      <c r="AQ168" s="802"/>
      <c r="AR168" s="802"/>
      <c r="AS168" s="802"/>
      <c r="AT168" s="802"/>
      <c r="AU168" s="802"/>
      <c r="AV168" s="802"/>
      <c r="AW168" s="802"/>
      <c r="AX168" s="802"/>
      <c r="AY168" s="802"/>
    </row>
    <row r="169" ht="21.75" customHeight="1">
      <c r="A169" s="802"/>
      <c r="B169" s="802"/>
      <c r="C169" s="802"/>
      <c r="D169" s="802"/>
      <c r="E169" s="802"/>
      <c r="F169" s="802"/>
      <c r="G169" s="802"/>
      <c r="H169" s="802"/>
      <c r="I169" s="802"/>
      <c r="J169" s="802"/>
      <c r="K169" s="802"/>
      <c r="L169" s="802"/>
      <c r="M169" s="802"/>
      <c r="N169" s="802"/>
      <c r="O169" s="802"/>
      <c r="P169" s="802"/>
      <c r="Q169" s="802"/>
      <c r="R169" s="802"/>
      <c r="S169" s="802"/>
      <c r="T169" s="802"/>
      <c r="U169" s="802"/>
      <c r="V169" s="802"/>
      <c r="W169" s="802"/>
      <c r="X169" s="802"/>
      <c r="Y169" s="802"/>
      <c r="Z169" s="802"/>
      <c r="AA169" s="802"/>
      <c r="AB169" s="802"/>
      <c r="AC169" s="802"/>
      <c r="AD169" s="802"/>
      <c r="AE169" s="802"/>
      <c r="AF169" s="802"/>
      <c r="AG169" s="802"/>
      <c r="AH169" s="802"/>
      <c r="AI169" s="802"/>
      <c r="AJ169" s="802"/>
      <c r="AK169" s="802"/>
      <c r="AL169" s="802"/>
      <c r="AM169" s="802"/>
      <c r="AN169" s="802"/>
      <c r="AO169" s="802"/>
      <c r="AP169" s="802"/>
      <c r="AQ169" s="802"/>
      <c r="AR169" s="802"/>
      <c r="AS169" s="802"/>
      <c r="AT169" s="802"/>
      <c r="AU169" s="802"/>
      <c r="AV169" s="802"/>
      <c r="AW169" s="802"/>
      <c r="AX169" s="802"/>
      <c r="AY169" s="802"/>
    </row>
    <row r="170" ht="21.75" customHeight="1">
      <c r="A170" s="802"/>
      <c r="B170" s="802"/>
      <c r="C170" s="802"/>
      <c r="D170" s="802"/>
      <c r="E170" s="802"/>
      <c r="F170" s="802"/>
      <c r="G170" s="802"/>
      <c r="H170" s="802"/>
      <c r="I170" s="802"/>
      <c r="J170" s="802"/>
      <c r="K170" s="802"/>
      <c r="L170" s="802"/>
      <c r="M170" s="802"/>
      <c r="N170" s="802"/>
      <c r="O170" s="802"/>
      <c r="P170" s="802"/>
      <c r="Q170" s="802"/>
      <c r="R170" s="802"/>
      <c r="S170" s="802"/>
      <c r="T170" s="802"/>
      <c r="U170" s="802"/>
      <c r="V170" s="802"/>
      <c r="W170" s="802"/>
      <c r="X170" s="802"/>
      <c r="Y170" s="802"/>
      <c r="Z170" s="802"/>
      <c r="AA170" s="802"/>
      <c r="AB170" s="802"/>
      <c r="AC170" s="802"/>
      <c r="AD170" s="802"/>
      <c r="AE170" s="802"/>
      <c r="AF170" s="802"/>
      <c r="AG170" s="802"/>
      <c r="AH170" s="802"/>
      <c r="AI170" s="802"/>
      <c r="AJ170" s="802"/>
      <c r="AK170" s="802"/>
      <c r="AL170" s="802"/>
      <c r="AM170" s="802"/>
      <c r="AN170" s="802"/>
      <c r="AO170" s="802"/>
      <c r="AP170" s="802"/>
      <c r="AQ170" s="802"/>
      <c r="AR170" s="802"/>
      <c r="AS170" s="802"/>
      <c r="AT170" s="802"/>
      <c r="AU170" s="802"/>
      <c r="AV170" s="802"/>
      <c r="AW170" s="802"/>
      <c r="AX170" s="802"/>
      <c r="AY170" s="802"/>
    </row>
    <row r="171" ht="21.75" customHeight="1">
      <c r="A171" s="802"/>
      <c r="B171" s="802"/>
      <c r="C171" s="802"/>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802"/>
      <c r="AQ171" s="802"/>
      <c r="AR171" s="802"/>
      <c r="AS171" s="802"/>
      <c r="AT171" s="802"/>
      <c r="AU171" s="802"/>
      <c r="AV171" s="802"/>
      <c r="AW171" s="802"/>
      <c r="AX171" s="802"/>
      <c r="AY171" s="802"/>
    </row>
    <row r="172" ht="21.75" customHeight="1">
      <c r="A172" s="802"/>
      <c r="B172" s="802"/>
      <c r="C172" s="802"/>
      <c r="D172" s="802"/>
      <c r="E172" s="802"/>
      <c r="F172" s="802"/>
      <c r="G172" s="802"/>
      <c r="H172" s="802"/>
      <c r="I172" s="802"/>
      <c r="J172" s="802"/>
      <c r="K172" s="802"/>
      <c r="L172" s="802"/>
      <c r="M172" s="802"/>
      <c r="N172" s="802"/>
      <c r="O172" s="802"/>
      <c r="P172" s="802"/>
      <c r="Q172" s="802"/>
      <c r="R172" s="802"/>
      <c r="S172" s="802"/>
      <c r="T172" s="802"/>
      <c r="U172" s="802"/>
      <c r="V172" s="802"/>
      <c r="W172" s="802"/>
      <c r="X172" s="802"/>
      <c r="Y172" s="802"/>
      <c r="Z172" s="802"/>
      <c r="AA172" s="802"/>
      <c r="AB172" s="802"/>
      <c r="AC172" s="802"/>
      <c r="AD172" s="802"/>
      <c r="AE172" s="802"/>
      <c r="AF172" s="802"/>
      <c r="AG172" s="802"/>
      <c r="AH172" s="802"/>
      <c r="AI172" s="802"/>
      <c r="AJ172" s="802"/>
      <c r="AK172" s="802"/>
      <c r="AL172" s="802"/>
      <c r="AM172" s="802"/>
      <c r="AN172" s="802"/>
      <c r="AO172" s="802"/>
      <c r="AP172" s="802"/>
      <c r="AQ172" s="802"/>
      <c r="AR172" s="802"/>
      <c r="AS172" s="802"/>
      <c r="AT172" s="802"/>
      <c r="AU172" s="802"/>
      <c r="AV172" s="802"/>
      <c r="AW172" s="802"/>
      <c r="AX172" s="802"/>
      <c r="AY172" s="802"/>
    </row>
    <row r="173" ht="21.75" customHeight="1">
      <c r="A173" s="802"/>
      <c r="B173" s="802"/>
      <c r="C173" s="802"/>
      <c r="D173" s="802"/>
      <c r="E173" s="802"/>
      <c r="F173" s="802"/>
      <c r="G173" s="802"/>
      <c r="H173" s="802"/>
      <c r="I173" s="802"/>
      <c r="J173" s="802"/>
      <c r="K173" s="802"/>
      <c r="L173" s="802"/>
      <c r="M173" s="802"/>
      <c r="N173" s="802"/>
      <c r="O173" s="802"/>
      <c r="P173" s="802"/>
      <c r="Q173" s="802"/>
      <c r="R173" s="802"/>
      <c r="S173" s="802"/>
      <c r="T173" s="802"/>
      <c r="U173" s="802"/>
      <c r="V173" s="802"/>
      <c r="W173" s="802"/>
      <c r="X173" s="802"/>
      <c r="Y173" s="802"/>
      <c r="Z173" s="802"/>
      <c r="AA173" s="802"/>
      <c r="AB173" s="802"/>
      <c r="AC173" s="802"/>
      <c r="AD173" s="802"/>
      <c r="AE173" s="802"/>
      <c r="AF173" s="802"/>
      <c r="AG173" s="802"/>
      <c r="AH173" s="802"/>
      <c r="AI173" s="802"/>
      <c r="AJ173" s="802"/>
      <c r="AK173" s="802"/>
      <c r="AL173" s="802"/>
      <c r="AM173" s="802"/>
      <c r="AN173" s="802"/>
      <c r="AO173" s="802"/>
      <c r="AP173" s="802"/>
      <c r="AQ173" s="802"/>
      <c r="AR173" s="802"/>
      <c r="AS173" s="802"/>
      <c r="AT173" s="802"/>
      <c r="AU173" s="802"/>
      <c r="AV173" s="802"/>
      <c r="AW173" s="802"/>
      <c r="AX173" s="802"/>
      <c r="AY173" s="802"/>
    </row>
    <row r="174" ht="21.75" customHeight="1">
      <c r="A174" s="802"/>
      <c r="B174" s="802"/>
      <c r="C174" s="802"/>
      <c r="D174" s="802"/>
      <c r="E174" s="802"/>
      <c r="F174" s="802"/>
      <c r="G174" s="802"/>
      <c r="H174" s="802"/>
      <c r="I174" s="802"/>
      <c r="J174" s="802"/>
      <c r="K174" s="802"/>
      <c r="L174" s="802"/>
      <c r="M174" s="802"/>
      <c r="N174" s="802"/>
      <c r="O174" s="802"/>
      <c r="P174" s="802"/>
      <c r="Q174" s="802"/>
      <c r="R174" s="802"/>
      <c r="S174" s="802"/>
      <c r="T174" s="802"/>
      <c r="U174" s="802"/>
      <c r="V174" s="802"/>
      <c r="W174" s="802"/>
      <c r="X174" s="802"/>
      <c r="Y174" s="802"/>
      <c r="Z174" s="802"/>
      <c r="AA174" s="802"/>
      <c r="AB174" s="802"/>
      <c r="AC174" s="802"/>
      <c r="AD174" s="802"/>
      <c r="AE174" s="802"/>
      <c r="AF174" s="802"/>
      <c r="AG174" s="802"/>
      <c r="AH174" s="802"/>
      <c r="AI174" s="802"/>
      <c r="AJ174" s="802"/>
      <c r="AK174" s="802"/>
      <c r="AL174" s="802"/>
      <c r="AM174" s="802"/>
      <c r="AN174" s="802"/>
      <c r="AO174" s="802"/>
      <c r="AP174" s="802"/>
      <c r="AQ174" s="802"/>
      <c r="AR174" s="802"/>
      <c r="AS174" s="802"/>
      <c r="AT174" s="802"/>
      <c r="AU174" s="802"/>
      <c r="AV174" s="802"/>
      <c r="AW174" s="802"/>
      <c r="AX174" s="802"/>
      <c r="AY174" s="802"/>
    </row>
    <row r="175" ht="21.75" customHeight="1">
      <c r="A175" s="802"/>
      <c r="B175" s="802"/>
      <c r="C175" s="802"/>
      <c r="D175" s="802"/>
      <c r="E175" s="802"/>
      <c r="F175" s="802"/>
      <c r="G175" s="802"/>
      <c r="H175" s="802"/>
      <c r="I175" s="802"/>
      <c r="J175" s="802"/>
      <c r="K175" s="802"/>
      <c r="L175" s="802"/>
      <c r="M175" s="802"/>
      <c r="N175" s="802"/>
      <c r="O175" s="802"/>
      <c r="P175" s="802"/>
      <c r="Q175" s="802"/>
      <c r="R175" s="802"/>
      <c r="S175" s="802"/>
      <c r="T175" s="802"/>
      <c r="U175" s="802"/>
      <c r="V175" s="802"/>
      <c r="W175" s="802"/>
      <c r="X175" s="802"/>
      <c r="Y175" s="802"/>
      <c r="Z175" s="802"/>
      <c r="AA175" s="802"/>
      <c r="AB175" s="802"/>
      <c r="AC175" s="802"/>
      <c r="AD175" s="802"/>
      <c r="AE175" s="802"/>
      <c r="AF175" s="802"/>
      <c r="AG175" s="802"/>
      <c r="AH175" s="802"/>
      <c r="AI175" s="802"/>
      <c r="AJ175" s="802"/>
      <c r="AK175" s="802"/>
      <c r="AL175" s="802"/>
      <c r="AM175" s="802"/>
      <c r="AN175" s="802"/>
      <c r="AO175" s="802"/>
      <c r="AP175" s="802"/>
      <c r="AQ175" s="802"/>
      <c r="AR175" s="802"/>
      <c r="AS175" s="802"/>
      <c r="AT175" s="802"/>
      <c r="AU175" s="802"/>
      <c r="AV175" s="802"/>
      <c r="AW175" s="802"/>
      <c r="AX175" s="802"/>
      <c r="AY175" s="802"/>
    </row>
    <row r="176" ht="21.75" customHeight="1">
      <c r="A176" s="802"/>
      <c r="B176" s="802"/>
      <c r="C176" s="802"/>
      <c r="D176" s="802"/>
      <c r="E176" s="802"/>
      <c r="F176" s="802"/>
      <c r="G176" s="802"/>
      <c r="H176" s="802"/>
      <c r="I176" s="802"/>
      <c r="J176" s="802"/>
      <c r="K176" s="802"/>
      <c r="L176" s="802"/>
      <c r="M176" s="802"/>
      <c r="N176" s="802"/>
      <c r="O176" s="802"/>
      <c r="P176" s="802"/>
      <c r="Q176" s="802"/>
      <c r="R176" s="802"/>
      <c r="S176" s="802"/>
      <c r="T176" s="802"/>
      <c r="U176" s="802"/>
      <c r="V176" s="802"/>
      <c r="W176" s="802"/>
      <c r="X176" s="802"/>
      <c r="Y176" s="802"/>
      <c r="Z176" s="802"/>
      <c r="AA176" s="802"/>
      <c r="AB176" s="802"/>
      <c r="AC176" s="802"/>
      <c r="AD176" s="802"/>
      <c r="AE176" s="802"/>
      <c r="AF176" s="802"/>
      <c r="AG176" s="802"/>
      <c r="AH176" s="802"/>
      <c r="AI176" s="802"/>
      <c r="AJ176" s="802"/>
      <c r="AK176" s="802"/>
      <c r="AL176" s="802"/>
      <c r="AM176" s="802"/>
      <c r="AN176" s="802"/>
      <c r="AO176" s="802"/>
      <c r="AP176" s="802"/>
      <c r="AQ176" s="802"/>
      <c r="AR176" s="802"/>
      <c r="AS176" s="802"/>
      <c r="AT176" s="802"/>
      <c r="AU176" s="802"/>
      <c r="AV176" s="802"/>
      <c r="AW176" s="802"/>
      <c r="AX176" s="802"/>
      <c r="AY176" s="802"/>
    </row>
    <row r="177" ht="21.75" customHeight="1">
      <c r="A177" s="802"/>
      <c r="B177" s="802"/>
      <c r="C177" s="802"/>
      <c r="D177" s="802"/>
      <c r="E177" s="802"/>
      <c r="F177" s="802"/>
      <c r="G177" s="802"/>
      <c r="H177" s="802"/>
      <c r="I177" s="802"/>
      <c r="J177" s="802"/>
      <c r="K177" s="802"/>
      <c r="L177" s="802"/>
      <c r="M177" s="802"/>
      <c r="N177" s="802"/>
      <c r="O177" s="802"/>
      <c r="P177" s="802"/>
      <c r="Q177" s="802"/>
      <c r="R177" s="802"/>
      <c r="S177" s="802"/>
      <c r="T177" s="802"/>
      <c r="U177" s="802"/>
      <c r="V177" s="802"/>
      <c r="W177" s="802"/>
      <c r="X177" s="802"/>
      <c r="Y177" s="802"/>
      <c r="Z177" s="802"/>
      <c r="AA177" s="802"/>
      <c r="AB177" s="802"/>
      <c r="AC177" s="802"/>
      <c r="AD177" s="802"/>
      <c r="AE177" s="802"/>
      <c r="AF177" s="802"/>
      <c r="AG177" s="802"/>
      <c r="AH177" s="802"/>
      <c r="AI177" s="802"/>
      <c r="AJ177" s="802"/>
      <c r="AK177" s="802"/>
      <c r="AL177" s="802"/>
      <c r="AM177" s="802"/>
      <c r="AN177" s="802"/>
      <c r="AO177" s="802"/>
      <c r="AP177" s="802"/>
      <c r="AQ177" s="802"/>
      <c r="AR177" s="802"/>
      <c r="AS177" s="802"/>
      <c r="AT177" s="802"/>
      <c r="AU177" s="802"/>
      <c r="AV177" s="802"/>
      <c r="AW177" s="802"/>
      <c r="AX177" s="802"/>
      <c r="AY177" s="802"/>
    </row>
    <row r="178" ht="21.75" customHeight="1">
      <c r="A178" s="802"/>
      <c r="B178" s="802"/>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2"/>
      <c r="AD178" s="802"/>
      <c r="AE178" s="802"/>
      <c r="AF178" s="802"/>
      <c r="AG178" s="802"/>
      <c r="AH178" s="802"/>
      <c r="AI178" s="802"/>
      <c r="AJ178" s="802"/>
      <c r="AK178" s="802"/>
      <c r="AL178" s="802"/>
      <c r="AM178" s="802"/>
      <c r="AN178" s="802"/>
      <c r="AO178" s="802"/>
      <c r="AP178" s="802"/>
      <c r="AQ178" s="802"/>
      <c r="AR178" s="802"/>
      <c r="AS178" s="802"/>
      <c r="AT178" s="802"/>
      <c r="AU178" s="802"/>
      <c r="AV178" s="802"/>
      <c r="AW178" s="802"/>
      <c r="AX178" s="802"/>
      <c r="AY178" s="802"/>
    </row>
    <row r="179" ht="21.75" customHeight="1">
      <c r="A179" s="802"/>
      <c r="B179" s="802"/>
      <c r="C179" s="802"/>
      <c r="D179" s="802"/>
      <c r="E179" s="802"/>
      <c r="F179" s="802"/>
      <c r="G179" s="802"/>
      <c r="H179" s="802"/>
      <c r="I179" s="802"/>
      <c r="J179" s="802"/>
      <c r="K179" s="802"/>
      <c r="L179" s="802"/>
      <c r="M179" s="802"/>
      <c r="N179" s="802"/>
      <c r="O179" s="802"/>
      <c r="P179" s="802"/>
      <c r="Q179" s="802"/>
      <c r="R179" s="802"/>
      <c r="S179" s="802"/>
      <c r="T179" s="802"/>
      <c r="U179" s="802"/>
      <c r="V179" s="802"/>
      <c r="W179" s="802"/>
      <c r="X179" s="802"/>
      <c r="Y179" s="802"/>
      <c r="Z179" s="802"/>
      <c r="AA179" s="802"/>
      <c r="AB179" s="802"/>
      <c r="AC179" s="802"/>
      <c r="AD179" s="802"/>
      <c r="AE179" s="802"/>
      <c r="AF179" s="802"/>
      <c r="AG179" s="802"/>
      <c r="AH179" s="802"/>
      <c r="AI179" s="802"/>
      <c r="AJ179" s="802"/>
      <c r="AK179" s="802"/>
      <c r="AL179" s="802"/>
      <c r="AM179" s="802"/>
      <c r="AN179" s="802"/>
      <c r="AO179" s="802"/>
      <c r="AP179" s="802"/>
      <c r="AQ179" s="802"/>
      <c r="AR179" s="802"/>
      <c r="AS179" s="802"/>
      <c r="AT179" s="802"/>
      <c r="AU179" s="802"/>
      <c r="AV179" s="802"/>
      <c r="AW179" s="802"/>
      <c r="AX179" s="802"/>
      <c r="AY179" s="802"/>
    </row>
    <row r="180" ht="21.75" customHeight="1">
      <c r="A180" s="802"/>
      <c r="B180" s="802"/>
      <c r="C180" s="802"/>
      <c r="D180" s="802"/>
      <c r="E180" s="802"/>
      <c r="F180" s="802"/>
      <c r="G180" s="802"/>
      <c r="H180" s="802"/>
      <c r="I180" s="802"/>
      <c r="J180" s="802"/>
      <c r="K180" s="802"/>
      <c r="L180" s="802"/>
      <c r="M180" s="802"/>
      <c r="N180" s="802"/>
      <c r="O180" s="802"/>
      <c r="P180" s="802"/>
      <c r="Q180" s="802"/>
      <c r="R180" s="802"/>
      <c r="S180" s="802"/>
      <c r="T180" s="802"/>
      <c r="U180" s="802"/>
      <c r="V180" s="802"/>
      <c r="W180" s="802"/>
      <c r="X180" s="802"/>
      <c r="Y180" s="802"/>
      <c r="Z180" s="802"/>
      <c r="AA180" s="802"/>
      <c r="AB180" s="802"/>
      <c r="AC180" s="802"/>
      <c r="AD180" s="802"/>
      <c r="AE180" s="802"/>
      <c r="AF180" s="802"/>
      <c r="AG180" s="802"/>
      <c r="AH180" s="802"/>
      <c r="AI180" s="802"/>
      <c r="AJ180" s="802"/>
      <c r="AK180" s="802"/>
      <c r="AL180" s="802"/>
      <c r="AM180" s="802"/>
      <c r="AN180" s="802"/>
      <c r="AO180" s="802"/>
      <c r="AP180" s="802"/>
      <c r="AQ180" s="802"/>
      <c r="AR180" s="802"/>
      <c r="AS180" s="802"/>
      <c r="AT180" s="802"/>
      <c r="AU180" s="802"/>
      <c r="AV180" s="802"/>
      <c r="AW180" s="802"/>
      <c r="AX180" s="802"/>
      <c r="AY180" s="802"/>
    </row>
    <row r="181" ht="21.75" customHeight="1">
      <c r="A181" s="802"/>
      <c r="B181" s="802"/>
      <c r="C181" s="802"/>
      <c r="D181" s="802"/>
      <c r="E181" s="802"/>
      <c r="F181" s="802"/>
      <c r="G181" s="802"/>
      <c r="H181" s="802"/>
      <c r="I181" s="802"/>
      <c r="J181" s="802"/>
      <c r="K181" s="802"/>
      <c r="L181" s="802"/>
      <c r="M181" s="802"/>
      <c r="N181" s="802"/>
      <c r="O181" s="802"/>
      <c r="P181" s="802"/>
      <c r="Q181" s="802"/>
      <c r="R181" s="802"/>
      <c r="S181" s="802"/>
      <c r="T181" s="802"/>
      <c r="U181" s="802"/>
      <c r="V181" s="802"/>
      <c r="W181" s="802"/>
      <c r="X181" s="802"/>
      <c r="Y181" s="802"/>
      <c r="Z181" s="802"/>
      <c r="AA181" s="802"/>
      <c r="AB181" s="802"/>
      <c r="AC181" s="802"/>
      <c r="AD181" s="802"/>
      <c r="AE181" s="802"/>
      <c r="AF181" s="802"/>
      <c r="AG181" s="802"/>
      <c r="AH181" s="802"/>
      <c r="AI181" s="802"/>
      <c r="AJ181" s="802"/>
      <c r="AK181" s="802"/>
      <c r="AL181" s="802"/>
      <c r="AM181" s="802"/>
      <c r="AN181" s="802"/>
      <c r="AO181" s="802"/>
      <c r="AP181" s="802"/>
      <c r="AQ181" s="802"/>
      <c r="AR181" s="802"/>
      <c r="AS181" s="802"/>
      <c r="AT181" s="802"/>
      <c r="AU181" s="802"/>
      <c r="AV181" s="802"/>
      <c r="AW181" s="802"/>
      <c r="AX181" s="802"/>
      <c r="AY181" s="802"/>
    </row>
    <row r="182" ht="21.75" customHeight="1">
      <c r="A182" s="802"/>
      <c r="B182" s="802"/>
      <c r="C182" s="802"/>
      <c r="D182" s="802"/>
      <c r="E182" s="802"/>
      <c r="F182" s="802"/>
      <c r="G182" s="802"/>
      <c r="H182" s="802"/>
      <c r="I182" s="802"/>
      <c r="J182" s="802"/>
      <c r="K182" s="802"/>
      <c r="L182" s="802"/>
      <c r="M182" s="802"/>
      <c r="N182" s="802"/>
      <c r="O182" s="802"/>
      <c r="P182" s="802"/>
      <c r="Q182" s="802"/>
      <c r="R182" s="802"/>
      <c r="S182" s="802"/>
      <c r="T182" s="802"/>
      <c r="U182" s="802"/>
      <c r="V182" s="802"/>
      <c r="W182" s="802"/>
      <c r="X182" s="802"/>
      <c r="Y182" s="802"/>
      <c r="Z182" s="802"/>
      <c r="AA182" s="802"/>
      <c r="AB182" s="802"/>
      <c r="AC182" s="802"/>
      <c r="AD182" s="802"/>
      <c r="AE182" s="802"/>
      <c r="AF182" s="802"/>
      <c r="AG182" s="802"/>
      <c r="AH182" s="802"/>
      <c r="AI182" s="802"/>
      <c r="AJ182" s="802"/>
      <c r="AK182" s="802"/>
      <c r="AL182" s="802"/>
      <c r="AM182" s="802"/>
      <c r="AN182" s="802"/>
      <c r="AO182" s="802"/>
      <c r="AP182" s="802"/>
      <c r="AQ182" s="802"/>
      <c r="AR182" s="802"/>
      <c r="AS182" s="802"/>
      <c r="AT182" s="802"/>
      <c r="AU182" s="802"/>
      <c r="AV182" s="802"/>
      <c r="AW182" s="802"/>
      <c r="AX182" s="802"/>
      <c r="AY182" s="802"/>
    </row>
    <row r="183" ht="21.75" customHeight="1">
      <c r="A183" s="802"/>
      <c r="B183" s="802"/>
      <c r="C183" s="802"/>
      <c r="D183" s="802"/>
      <c r="E183" s="802"/>
      <c r="F183" s="802"/>
      <c r="G183" s="802"/>
      <c r="H183" s="802"/>
      <c r="I183" s="802"/>
      <c r="J183" s="802"/>
      <c r="K183" s="802"/>
      <c r="L183" s="802"/>
      <c r="M183" s="802"/>
      <c r="N183" s="802"/>
      <c r="O183" s="802"/>
      <c r="P183" s="802"/>
      <c r="Q183" s="802"/>
      <c r="R183" s="802"/>
      <c r="S183" s="802"/>
      <c r="T183" s="802"/>
      <c r="U183" s="802"/>
      <c r="V183" s="802"/>
      <c r="W183" s="802"/>
      <c r="X183" s="802"/>
      <c r="Y183" s="802"/>
      <c r="Z183" s="802"/>
      <c r="AA183" s="802"/>
      <c r="AB183" s="802"/>
      <c r="AC183" s="802"/>
      <c r="AD183" s="802"/>
      <c r="AE183" s="802"/>
      <c r="AF183" s="802"/>
      <c r="AG183" s="802"/>
      <c r="AH183" s="802"/>
      <c r="AI183" s="802"/>
      <c r="AJ183" s="802"/>
      <c r="AK183" s="802"/>
      <c r="AL183" s="802"/>
      <c r="AM183" s="802"/>
      <c r="AN183" s="802"/>
      <c r="AO183" s="802"/>
      <c r="AP183" s="802"/>
      <c r="AQ183" s="802"/>
      <c r="AR183" s="802"/>
      <c r="AS183" s="802"/>
      <c r="AT183" s="802"/>
      <c r="AU183" s="802"/>
      <c r="AV183" s="802"/>
      <c r="AW183" s="802"/>
      <c r="AX183" s="802"/>
      <c r="AY183" s="802"/>
    </row>
    <row r="184" ht="21.75" customHeight="1">
      <c r="A184" s="802"/>
      <c r="B184" s="802"/>
      <c r="C184" s="802"/>
      <c r="D184" s="802"/>
      <c r="E184" s="802"/>
      <c r="F184" s="802"/>
      <c r="G184" s="802"/>
      <c r="H184" s="802"/>
      <c r="I184" s="802"/>
      <c r="J184" s="802"/>
      <c r="K184" s="802"/>
      <c r="L184" s="802"/>
      <c r="M184" s="802"/>
      <c r="N184" s="802"/>
      <c r="O184" s="802"/>
      <c r="P184" s="802"/>
      <c r="Q184" s="802"/>
      <c r="R184" s="802"/>
      <c r="S184" s="802"/>
      <c r="T184" s="802"/>
      <c r="U184" s="802"/>
      <c r="V184" s="802"/>
      <c r="W184" s="802"/>
      <c r="X184" s="802"/>
      <c r="Y184" s="802"/>
      <c r="Z184" s="802"/>
      <c r="AA184" s="802"/>
      <c r="AB184" s="802"/>
      <c r="AC184" s="802"/>
      <c r="AD184" s="802"/>
      <c r="AE184" s="802"/>
      <c r="AF184" s="802"/>
      <c r="AG184" s="802"/>
      <c r="AH184" s="802"/>
      <c r="AI184" s="802"/>
      <c r="AJ184" s="802"/>
      <c r="AK184" s="802"/>
      <c r="AL184" s="802"/>
      <c r="AM184" s="802"/>
      <c r="AN184" s="802"/>
      <c r="AO184" s="802"/>
      <c r="AP184" s="802"/>
      <c r="AQ184" s="802"/>
      <c r="AR184" s="802"/>
      <c r="AS184" s="802"/>
      <c r="AT184" s="802"/>
      <c r="AU184" s="802"/>
      <c r="AV184" s="802"/>
      <c r="AW184" s="802"/>
      <c r="AX184" s="802"/>
      <c r="AY184" s="802"/>
    </row>
    <row r="185" ht="21.75" customHeight="1">
      <c r="A185" s="802"/>
      <c r="B185" s="802"/>
      <c r="C185" s="802"/>
      <c r="D185" s="802"/>
      <c r="E185" s="802"/>
      <c r="F185" s="802"/>
      <c r="G185" s="802"/>
      <c r="H185" s="802"/>
      <c r="I185" s="802"/>
      <c r="J185" s="802"/>
      <c r="K185" s="802"/>
      <c r="L185" s="802"/>
      <c r="M185" s="802"/>
      <c r="N185" s="802"/>
      <c r="O185" s="802"/>
      <c r="P185" s="802"/>
      <c r="Q185" s="802"/>
      <c r="R185" s="802"/>
      <c r="S185" s="802"/>
      <c r="T185" s="802"/>
      <c r="U185" s="802"/>
      <c r="V185" s="802"/>
      <c r="W185" s="802"/>
      <c r="X185" s="802"/>
      <c r="Y185" s="802"/>
      <c r="Z185" s="802"/>
      <c r="AA185" s="802"/>
      <c r="AB185" s="802"/>
      <c r="AC185" s="802"/>
      <c r="AD185" s="802"/>
      <c r="AE185" s="802"/>
      <c r="AF185" s="802"/>
      <c r="AG185" s="802"/>
      <c r="AH185" s="802"/>
      <c r="AI185" s="802"/>
      <c r="AJ185" s="802"/>
      <c r="AK185" s="802"/>
      <c r="AL185" s="802"/>
      <c r="AM185" s="802"/>
      <c r="AN185" s="802"/>
      <c r="AO185" s="802"/>
      <c r="AP185" s="802"/>
      <c r="AQ185" s="802"/>
      <c r="AR185" s="802"/>
      <c r="AS185" s="802"/>
      <c r="AT185" s="802"/>
      <c r="AU185" s="802"/>
      <c r="AV185" s="802"/>
      <c r="AW185" s="802"/>
      <c r="AX185" s="802"/>
      <c r="AY185" s="802"/>
    </row>
    <row r="186" ht="21.75" customHeight="1">
      <c r="A186" s="802"/>
      <c r="B186" s="802"/>
      <c r="C186" s="802"/>
      <c r="D186" s="802"/>
      <c r="E186" s="802"/>
      <c r="F186" s="802"/>
      <c r="G186" s="802"/>
      <c r="H186" s="802"/>
      <c r="I186" s="802"/>
      <c r="J186" s="802"/>
      <c r="K186" s="802"/>
      <c r="L186" s="802"/>
      <c r="M186" s="802"/>
      <c r="N186" s="802"/>
      <c r="O186" s="802"/>
      <c r="P186" s="802"/>
      <c r="Q186" s="802"/>
      <c r="R186" s="802"/>
      <c r="S186" s="802"/>
      <c r="T186" s="802"/>
      <c r="U186" s="802"/>
      <c r="V186" s="802"/>
      <c r="W186" s="802"/>
      <c r="X186" s="802"/>
      <c r="Y186" s="802"/>
      <c r="Z186" s="802"/>
      <c r="AA186" s="802"/>
      <c r="AB186" s="802"/>
      <c r="AC186" s="802"/>
      <c r="AD186" s="802"/>
      <c r="AE186" s="802"/>
      <c r="AF186" s="802"/>
      <c r="AG186" s="802"/>
      <c r="AH186" s="802"/>
      <c r="AI186" s="802"/>
      <c r="AJ186" s="802"/>
      <c r="AK186" s="802"/>
      <c r="AL186" s="802"/>
      <c r="AM186" s="802"/>
      <c r="AN186" s="802"/>
      <c r="AO186" s="802"/>
      <c r="AP186" s="802"/>
      <c r="AQ186" s="802"/>
      <c r="AR186" s="802"/>
      <c r="AS186" s="802"/>
      <c r="AT186" s="802"/>
      <c r="AU186" s="802"/>
      <c r="AV186" s="802"/>
      <c r="AW186" s="802"/>
      <c r="AX186" s="802"/>
      <c r="AY186" s="802"/>
    </row>
    <row r="187" ht="21.75" customHeight="1">
      <c r="A187" s="802"/>
      <c r="B187" s="802"/>
      <c r="C187" s="802"/>
      <c r="D187" s="802"/>
      <c r="E187" s="802"/>
      <c r="F187" s="802"/>
      <c r="G187" s="802"/>
      <c r="H187" s="802"/>
      <c r="I187" s="802"/>
      <c r="J187" s="802"/>
      <c r="K187" s="802"/>
      <c r="L187" s="802"/>
      <c r="M187" s="802"/>
      <c r="N187" s="802"/>
      <c r="O187" s="802"/>
      <c r="P187" s="802"/>
      <c r="Q187" s="802"/>
      <c r="R187" s="802"/>
      <c r="S187" s="802"/>
      <c r="T187" s="802"/>
      <c r="U187" s="802"/>
      <c r="V187" s="802"/>
      <c r="W187" s="802"/>
      <c r="X187" s="802"/>
      <c r="Y187" s="802"/>
      <c r="Z187" s="802"/>
      <c r="AA187" s="802"/>
      <c r="AB187" s="802"/>
      <c r="AC187" s="802"/>
      <c r="AD187" s="802"/>
      <c r="AE187" s="802"/>
      <c r="AF187" s="802"/>
      <c r="AG187" s="802"/>
      <c r="AH187" s="802"/>
      <c r="AI187" s="802"/>
      <c r="AJ187" s="802"/>
      <c r="AK187" s="802"/>
      <c r="AL187" s="802"/>
      <c r="AM187" s="802"/>
      <c r="AN187" s="802"/>
      <c r="AO187" s="802"/>
      <c r="AP187" s="802"/>
      <c r="AQ187" s="802"/>
      <c r="AR187" s="802"/>
      <c r="AS187" s="802"/>
      <c r="AT187" s="802"/>
      <c r="AU187" s="802"/>
      <c r="AV187" s="802"/>
      <c r="AW187" s="802"/>
      <c r="AX187" s="802"/>
      <c r="AY187" s="802"/>
    </row>
    <row r="188" ht="21.75" customHeight="1">
      <c r="A188" s="802"/>
      <c r="B188" s="802"/>
      <c r="C188" s="802"/>
      <c r="D188" s="802"/>
      <c r="E188" s="802"/>
      <c r="F188" s="802"/>
      <c r="G188" s="802"/>
      <c r="H188" s="802"/>
      <c r="I188" s="802"/>
      <c r="J188" s="802"/>
      <c r="K188" s="802"/>
      <c r="L188" s="802"/>
      <c r="M188" s="802"/>
      <c r="N188" s="802"/>
      <c r="O188" s="802"/>
      <c r="P188" s="802"/>
      <c r="Q188" s="802"/>
      <c r="R188" s="802"/>
      <c r="S188" s="802"/>
      <c r="T188" s="802"/>
      <c r="U188" s="802"/>
      <c r="V188" s="802"/>
      <c r="W188" s="802"/>
      <c r="X188" s="802"/>
      <c r="Y188" s="802"/>
      <c r="Z188" s="802"/>
      <c r="AA188" s="802"/>
      <c r="AB188" s="802"/>
      <c r="AC188" s="802"/>
      <c r="AD188" s="802"/>
      <c r="AE188" s="802"/>
      <c r="AF188" s="802"/>
      <c r="AG188" s="802"/>
      <c r="AH188" s="802"/>
      <c r="AI188" s="802"/>
      <c r="AJ188" s="802"/>
      <c r="AK188" s="802"/>
      <c r="AL188" s="802"/>
      <c r="AM188" s="802"/>
      <c r="AN188" s="802"/>
      <c r="AO188" s="802"/>
      <c r="AP188" s="802"/>
      <c r="AQ188" s="802"/>
      <c r="AR188" s="802"/>
      <c r="AS188" s="802"/>
      <c r="AT188" s="802"/>
      <c r="AU188" s="802"/>
      <c r="AV188" s="802"/>
      <c r="AW188" s="802"/>
      <c r="AX188" s="802"/>
      <c r="AY188" s="802"/>
    </row>
    <row r="189" ht="21.75" customHeight="1">
      <c r="A189" s="802"/>
      <c r="B189" s="802"/>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2"/>
      <c r="AD189" s="802"/>
      <c r="AE189" s="802"/>
      <c r="AF189" s="802"/>
      <c r="AG189" s="802"/>
      <c r="AH189" s="802"/>
      <c r="AI189" s="802"/>
      <c r="AJ189" s="802"/>
      <c r="AK189" s="802"/>
      <c r="AL189" s="802"/>
      <c r="AM189" s="802"/>
      <c r="AN189" s="802"/>
      <c r="AO189" s="802"/>
      <c r="AP189" s="802"/>
      <c r="AQ189" s="802"/>
      <c r="AR189" s="802"/>
      <c r="AS189" s="802"/>
      <c r="AT189" s="802"/>
      <c r="AU189" s="802"/>
      <c r="AV189" s="802"/>
      <c r="AW189" s="802"/>
      <c r="AX189" s="802"/>
      <c r="AY189" s="802"/>
    </row>
    <row r="190" ht="21.75" customHeight="1">
      <c r="A190" s="802"/>
      <c r="B190" s="802"/>
      <c r="C190" s="802"/>
      <c r="D190" s="802"/>
      <c r="E190" s="802"/>
      <c r="F190" s="802"/>
      <c r="G190" s="802"/>
      <c r="H190" s="802"/>
      <c r="I190" s="802"/>
      <c r="J190" s="802"/>
      <c r="K190" s="802"/>
      <c r="L190" s="802"/>
      <c r="M190" s="802"/>
      <c r="N190" s="802"/>
      <c r="O190" s="802"/>
      <c r="P190" s="802"/>
      <c r="Q190" s="802"/>
      <c r="R190" s="802"/>
      <c r="S190" s="802"/>
      <c r="T190" s="802"/>
      <c r="U190" s="802"/>
      <c r="V190" s="802"/>
      <c r="W190" s="802"/>
      <c r="X190" s="802"/>
      <c r="Y190" s="802"/>
      <c r="Z190" s="802"/>
      <c r="AA190" s="802"/>
      <c r="AB190" s="802"/>
      <c r="AC190" s="802"/>
      <c r="AD190" s="802"/>
      <c r="AE190" s="802"/>
      <c r="AF190" s="802"/>
      <c r="AG190" s="802"/>
      <c r="AH190" s="802"/>
      <c r="AI190" s="802"/>
      <c r="AJ190" s="802"/>
      <c r="AK190" s="802"/>
      <c r="AL190" s="802"/>
      <c r="AM190" s="802"/>
      <c r="AN190" s="802"/>
      <c r="AO190" s="802"/>
      <c r="AP190" s="802"/>
      <c r="AQ190" s="802"/>
      <c r="AR190" s="802"/>
      <c r="AS190" s="802"/>
      <c r="AT190" s="802"/>
      <c r="AU190" s="802"/>
      <c r="AV190" s="802"/>
      <c r="AW190" s="802"/>
      <c r="AX190" s="802"/>
      <c r="AY190" s="802"/>
    </row>
    <row r="191" ht="21.75" customHeight="1">
      <c r="A191" s="802"/>
      <c r="B191" s="802"/>
      <c r="C191" s="802"/>
      <c r="D191" s="802"/>
      <c r="E191" s="802"/>
      <c r="F191" s="802"/>
      <c r="G191" s="802"/>
      <c r="H191" s="802"/>
      <c r="I191" s="802"/>
      <c r="J191" s="802"/>
      <c r="K191" s="802"/>
      <c r="L191" s="802"/>
      <c r="M191" s="802"/>
      <c r="N191" s="802"/>
      <c r="O191" s="802"/>
      <c r="P191" s="802"/>
      <c r="Q191" s="802"/>
      <c r="R191" s="802"/>
      <c r="S191" s="802"/>
      <c r="T191" s="802"/>
      <c r="U191" s="802"/>
      <c r="V191" s="802"/>
      <c r="W191" s="802"/>
      <c r="X191" s="802"/>
      <c r="Y191" s="802"/>
      <c r="Z191" s="802"/>
      <c r="AA191" s="802"/>
      <c r="AB191" s="802"/>
      <c r="AC191" s="802"/>
      <c r="AD191" s="802"/>
      <c r="AE191" s="802"/>
      <c r="AF191" s="802"/>
      <c r="AG191" s="802"/>
      <c r="AH191" s="802"/>
      <c r="AI191" s="802"/>
      <c r="AJ191" s="802"/>
      <c r="AK191" s="802"/>
      <c r="AL191" s="802"/>
      <c r="AM191" s="802"/>
      <c r="AN191" s="802"/>
      <c r="AO191" s="802"/>
      <c r="AP191" s="802"/>
      <c r="AQ191" s="802"/>
      <c r="AR191" s="802"/>
      <c r="AS191" s="802"/>
      <c r="AT191" s="802"/>
      <c r="AU191" s="802"/>
      <c r="AV191" s="802"/>
      <c r="AW191" s="802"/>
      <c r="AX191" s="802"/>
      <c r="AY191" s="802"/>
    </row>
    <row r="192" ht="21.75" customHeight="1">
      <c r="A192" s="802"/>
      <c r="B192" s="802"/>
      <c r="C192" s="802"/>
      <c r="D192" s="802"/>
      <c r="E192" s="802"/>
      <c r="F192" s="802"/>
      <c r="G192" s="802"/>
      <c r="H192" s="802"/>
      <c r="I192" s="802"/>
      <c r="J192" s="802"/>
      <c r="K192" s="802"/>
      <c r="L192" s="802"/>
      <c r="M192" s="802"/>
      <c r="N192" s="802"/>
      <c r="O192" s="802"/>
      <c r="P192" s="802"/>
      <c r="Q192" s="802"/>
      <c r="R192" s="802"/>
      <c r="S192" s="802"/>
      <c r="T192" s="802"/>
      <c r="U192" s="802"/>
      <c r="V192" s="802"/>
      <c r="W192" s="802"/>
      <c r="X192" s="802"/>
      <c r="Y192" s="802"/>
      <c r="Z192" s="802"/>
      <c r="AA192" s="802"/>
      <c r="AB192" s="802"/>
      <c r="AC192" s="802"/>
      <c r="AD192" s="802"/>
      <c r="AE192" s="802"/>
      <c r="AF192" s="802"/>
      <c r="AG192" s="802"/>
      <c r="AH192" s="802"/>
      <c r="AI192" s="802"/>
      <c r="AJ192" s="802"/>
      <c r="AK192" s="802"/>
      <c r="AL192" s="802"/>
      <c r="AM192" s="802"/>
      <c r="AN192" s="802"/>
      <c r="AO192" s="802"/>
      <c r="AP192" s="802"/>
      <c r="AQ192" s="802"/>
      <c r="AR192" s="802"/>
      <c r="AS192" s="802"/>
      <c r="AT192" s="802"/>
      <c r="AU192" s="802"/>
      <c r="AV192" s="802"/>
      <c r="AW192" s="802"/>
      <c r="AX192" s="802"/>
      <c r="AY192" s="802"/>
    </row>
    <row r="193" ht="21.75" customHeight="1">
      <c r="A193" s="802"/>
      <c r="B193" s="802"/>
      <c r="C193" s="802"/>
      <c r="D193" s="802"/>
      <c r="E193" s="802"/>
      <c r="F193" s="802"/>
      <c r="G193" s="802"/>
      <c r="H193" s="802"/>
      <c r="I193" s="802"/>
      <c r="J193" s="802"/>
      <c r="K193" s="802"/>
      <c r="L193" s="802"/>
      <c r="M193" s="802"/>
      <c r="N193" s="802"/>
      <c r="O193" s="802"/>
      <c r="P193" s="802"/>
      <c r="Q193" s="802"/>
      <c r="R193" s="802"/>
      <c r="S193" s="802"/>
      <c r="T193" s="802"/>
      <c r="U193" s="802"/>
      <c r="V193" s="802"/>
      <c r="W193" s="802"/>
      <c r="X193" s="802"/>
      <c r="Y193" s="802"/>
      <c r="Z193" s="802"/>
      <c r="AA193" s="802"/>
      <c r="AB193" s="802"/>
      <c r="AC193" s="802"/>
      <c r="AD193" s="802"/>
      <c r="AE193" s="802"/>
      <c r="AF193" s="802"/>
      <c r="AG193" s="802"/>
      <c r="AH193" s="802"/>
      <c r="AI193" s="802"/>
      <c r="AJ193" s="802"/>
      <c r="AK193" s="802"/>
      <c r="AL193" s="802"/>
      <c r="AM193" s="802"/>
      <c r="AN193" s="802"/>
      <c r="AO193" s="802"/>
      <c r="AP193" s="802"/>
      <c r="AQ193" s="802"/>
      <c r="AR193" s="802"/>
      <c r="AS193" s="802"/>
      <c r="AT193" s="802"/>
      <c r="AU193" s="802"/>
      <c r="AV193" s="802"/>
      <c r="AW193" s="802"/>
      <c r="AX193" s="802"/>
      <c r="AY193" s="802"/>
    </row>
    <row r="194" ht="21.75" customHeight="1">
      <c r="A194" s="802"/>
      <c r="B194" s="802"/>
      <c r="C194" s="802"/>
      <c r="D194" s="802"/>
      <c r="E194" s="802"/>
      <c r="F194" s="802"/>
      <c r="G194" s="802"/>
      <c r="H194" s="802"/>
      <c r="I194" s="802"/>
      <c r="J194" s="802"/>
      <c r="K194" s="802"/>
      <c r="L194" s="802"/>
      <c r="M194" s="802"/>
      <c r="N194" s="802"/>
      <c r="O194" s="802"/>
      <c r="P194" s="802"/>
      <c r="Q194" s="802"/>
      <c r="R194" s="802"/>
      <c r="S194" s="802"/>
      <c r="T194" s="802"/>
      <c r="U194" s="802"/>
      <c r="V194" s="802"/>
      <c r="W194" s="802"/>
      <c r="X194" s="802"/>
      <c r="Y194" s="802"/>
      <c r="Z194" s="802"/>
      <c r="AA194" s="802"/>
      <c r="AB194" s="802"/>
      <c r="AC194" s="802"/>
      <c r="AD194" s="802"/>
      <c r="AE194" s="802"/>
      <c r="AF194" s="802"/>
      <c r="AG194" s="802"/>
      <c r="AH194" s="802"/>
      <c r="AI194" s="802"/>
      <c r="AJ194" s="802"/>
      <c r="AK194" s="802"/>
      <c r="AL194" s="802"/>
      <c r="AM194" s="802"/>
      <c r="AN194" s="802"/>
      <c r="AO194" s="802"/>
      <c r="AP194" s="802"/>
      <c r="AQ194" s="802"/>
      <c r="AR194" s="802"/>
      <c r="AS194" s="802"/>
      <c r="AT194" s="802"/>
      <c r="AU194" s="802"/>
      <c r="AV194" s="802"/>
      <c r="AW194" s="802"/>
      <c r="AX194" s="802"/>
      <c r="AY194" s="802"/>
    </row>
    <row r="195" ht="21.75" customHeight="1">
      <c r="A195" s="802"/>
      <c r="B195" s="802"/>
      <c r="C195" s="802"/>
      <c r="D195" s="802"/>
      <c r="E195" s="802"/>
      <c r="F195" s="802"/>
      <c r="G195" s="802"/>
      <c r="H195" s="802"/>
      <c r="I195" s="802"/>
      <c r="J195" s="802"/>
      <c r="K195" s="802"/>
      <c r="L195" s="802"/>
      <c r="M195" s="802"/>
      <c r="N195" s="802"/>
      <c r="O195" s="802"/>
      <c r="P195" s="802"/>
      <c r="Q195" s="802"/>
      <c r="R195" s="802"/>
      <c r="S195" s="802"/>
      <c r="T195" s="802"/>
      <c r="U195" s="802"/>
      <c r="V195" s="802"/>
      <c r="W195" s="802"/>
      <c r="X195" s="802"/>
      <c r="Y195" s="802"/>
      <c r="Z195" s="802"/>
      <c r="AA195" s="802"/>
      <c r="AB195" s="802"/>
      <c r="AC195" s="802"/>
      <c r="AD195" s="802"/>
      <c r="AE195" s="802"/>
      <c r="AF195" s="802"/>
      <c r="AG195" s="802"/>
      <c r="AH195" s="802"/>
      <c r="AI195" s="802"/>
      <c r="AJ195" s="802"/>
      <c r="AK195" s="802"/>
      <c r="AL195" s="802"/>
      <c r="AM195" s="802"/>
      <c r="AN195" s="802"/>
      <c r="AO195" s="802"/>
      <c r="AP195" s="802"/>
      <c r="AQ195" s="802"/>
      <c r="AR195" s="802"/>
      <c r="AS195" s="802"/>
      <c r="AT195" s="802"/>
      <c r="AU195" s="802"/>
      <c r="AV195" s="802"/>
      <c r="AW195" s="802"/>
      <c r="AX195" s="802"/>
      <c r="AY195" s="802"/>
    </row>
    <row r="196" ht="21.75" customHeight="1">
      <c r="A196" s="802"/>
      <c r="B196" s="802"/>
      <c r="C196" s="802"/>
      <c r="D196" s="802"/>
      <c r="E196" s="802"/>
      <c r="F196" s="802"/>
      <c r="G196" s="802"/>
      <c r="H196" s="802"/>
      <c r="I196" s="802"/>
      <c r="J196" s="802"/>
      <c r="K196" s="802"/>
      <c r="L196" s="802"/>
      <c r="M196" s="802"/>
      <c r="N196" s="802"/>
      <c r="O196" s="802"/>
      <c r="P196" s="802"/>
      <c r="Q196" s="802"/>
      <c r="R196" s="802"/>
      <c r="S196" s="802"/>
      <c r="T196" s="802"/>
      <c r="U196" s="802"/>
      <c r="V196" s="802"/>
      <c r="W196" s="802"/>
      <c r="X196" s="802"/>
      <c r="Y196" s="802"/>
      <c r="Z196" s="802"/>
      <c r="AA196" s="802"/>
      <c r="AB196" s="802"/>
      <c r="AC196" s="802"/>
      <c r="AD196" s="802"/>
      <c r="AE196" s="802"/>
      <c r="AF196" s="802"/>
      <c r="AG196" s="802"/>
      <c r="AH196" s="802"/>
      <c r="AI196" s="802"/>
      <c r="AJ196" s="802"/>
      <c r="AK196" s="802"/>
      <c r="AL196" s="802"/>
      <c r="AM196" s="802"/>
      <c r="AN196" s="802"/>
      <c r="AO196" s="802"/>
      <c r="AP196" s="802"/>
      <c r="AQ196" s="802"/>
      <c r="AR196" s="802"/>
      <c r="AS196" s="802"/>
      <c r="AT196" s="802"/>
      <c r="AU196" s="802"/>
      <c r="AV196" s="802"/>
      <c r="AW196" s="802"/>
      <c r="AX196" s="802"/>
      <c r="AY196" s="802"/>
    </row>
    <row r="197" ht="21.75" customHeight="1">
      <c r="A197" s="802"/>
      <c r="B197" s="802"/>
      <c r="C197" s="802"/>
      <c r="D197" s="802"/>
      <c r="E197" s="802"/>
      <c r="F197" s="802"/>
      <c r="G197" s="802"/>
      <c r="H197" s="802"/>
      <c r="I197" s="802"/>
      <c r="J197" s="802"/>
      <c r="K197" s="802"/>
      <c r="L197" s="802"/>
      <c r="M197" s="802"/>
      <c r="N197" s="802"/>
      <c r="O197" s="802"/>
      <c r="P197" s="802"/>
      <c r="Q197" s="802"/>
      <c r="R197" s="802"/>
      <c r="S197" s="802"/>
      <c r="T197" s="802"/>
      <c r="U197" s="802"/>
      <c r="V197" s="802"/>
      <c r="W197" s="802"/>
      <c r="X197" s="802"/>
      <c r="Y197" s="802"/>
      <c r="Z197" s="802"/>
      <c r="AA197" s="802"/>
      <c r="AB197" s="802"/>
      <c r="AC197" s="802"/>
      <c r="AD197" s="802"/>
      <c r="AE197" s="802"/>
      <c r="AF197" s="802"/>
      <c r="AG197" s="802"/>
      <c r="AH197" s="802"/>
      <c r="AI197" s="802"/>
      <c r="AJ197" s="802"/>
      <c r="AK197" s="802"/>
      <c r="AL197" s="802"/>
      <c r="AM197" s="802"/>
      <c r="AN197" s="802"/>
      <c r="AO197" s="802"/>
      <c r="AP197" s="802"/>
      <c r="AQ197" s="802"/>
      <c r="AR197" s="802"/>
      <c r="AS197" s="802"/>
      <c r="AT197" s="802"/>
      <c r="AU197" s="802"/>
      <c r="AV197" s="802"/>
      <c r="AW197" s="802"/>
      <c r="AX197" s="802"/>
      <c r="AY197" s="802"/>
    </row>
    <row r="198" ht="21.75" customHeight="1">
      <c r="A198" s="802"/>
      <c r="B198" s="802"/>
      <c r="C198" s="802"/>
      <c r="D198" s="802"/>
      <c r="E198" s="802"/>
      <c r="F198" s="802"/>
      <c r="G198" s="802"/>
      <c r="H198" s="802"/>
      <c r="I198" s="802"/>
      <c r="J198" s="802"/>
      <c r="K198" s="802"/>
      <c r="L198" s="802"/>
      <c r="M198" s="802"/>
      <c r="N198" s="802"/>
      <c r="O198" s="802"/>
      <c r="P198" s="802"/>
      <c r="Q198" s="802"/>
      <c r="R198" s="802"/>
      <c r="S198" s="802"/>
      <c r="T198" s="802"/>
      <c r="U198" s="802"/>
      <c r="V198" s="802"/>
      <c r="W198" s="802"/>
      <c r="X198" s="802"/>
      <c r="Y198" s="802"/>
      <c r="Z198" s="802"/>
      <c r="AA198" s="802"/>
      <c r="AB198" s="802"/>
      <c r="AC198" s="802"/>
      <c r="AD198" s="802"/>
      <c r="AE198" s="802"/>
      <c r="AF198" s="802"/>
      <c r="AG198" s="802"/>
      <c r="AH198" s="802"/>
      <c r="AI198" s="802"/>
      <c r="AJ198" s="802"/>
      <c r="AK198" s="802"/>
      <c r="AL198" s="802"/>
      <c r="AM198" s="802"/>
      <c r="AN198" s="802"/>
      <c r="AO198" s="802"/>
      <c r="AP198" s="802"/>
      <c r="AQ198" s="802"/>
      <c r="AR198" s="802"/>
      <c r="AS198" s="802"/>
      <c r="AT198" s="802"/>
      <c r="AU198" s="802"/>
      <c r="AV198" s="802"/>
      <c r="AW198" s="802"/>
      <c r="AX198" s="802"/>
      <c r="AY198" s="802"/>
    </row>
    <row r="199" ht="21.75" customHeight="1">
      <c r="A199" s="802"/>
      <c r="B199" s="802"/>
      <c r="C199" s="802"/>
      <c r="D199" s="802"/>
      <c r="E199" s="802"/>
      <c r="F199" s="802"/>
      <c r="G199" s="802"/>
      <c r="H199" s="802"/>
      <c r="I199" s="802"/>
      <c r="J199" s="802"/>
      <c r="K199" s="802"/>
      <c r="L199" s="802"/>
      <c r="M199" s="802"/>
      <c r="N199" s="802"/>
      <c r="O199" s="802"/>
      <c r="P199" s="802"/>
      <c r="Q199" s="802"/>
      <c r="R199" s="802"/>
      <c r="S199" s="802"/>
      <c r="T199" s="802"/>
      <c r="U199" s="802"/>
      <c r="V199" s="802"/>
      <c r="W199" s="802"/>
      <c r="X199" s="802"/>
      <c r="Y199" s="802"/>
      <c r="Z199" s="802"/>
      <c r="AA199" s="802"/>
      <c r="AB199" s="802"/>
      <c r="AC199" s="802"/>
      <c r="AD199" s="802"/>
      <c r="AE199" s="802"/>
      <c r="AF199" s="802"/>
      <c r="AG199" s="802"/>
      <c r="AH199" s="802"/>
      <c r="AI199" s="802"/>
      <c r="AJ199" s="802"/>
      <c r="AK199" s="802"/>
      <c r="AL199" s="802"/>
      <c r="AM199" s="802"/>
      <c r="AN199" s="802"/>
      <c r="AO199" s="802"/>
      <c r="AP199" s="802"/>
      <c r="AQ199" s="802"/>
      <c r="AR199" s="802"/>
      <c r="AS199" s="802"/>
      <c r="AT199" s="802"/>
      <c r="AU199" s="802"/>
      <c r="AV199" s="802"/>
      <c r="AW199" s="802"/>
      <c r="AX199" s="802"/>
      <c r="AY199" s="802"/>
    </row>
    <row r="200" ht="21.75" customHeight="1">
      <c r="A200" s="802"/>
      <c r="B200" s="802"/>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2"/>
      <c r="Y200" s="802"/>
      <c r="Z200" s="802"/>
      <c r="AA200" s="802"/>
      <c r="AB200" s="802"/>
      <c r="AC200" s="802"/>
      <c r="AD200" s="802"/>
      <c r="AE200" s="802"/>
      <c r="AF200" s="802"/>
      <c r="AG200" s="802"/>
      <c r="AH200" s="802"/>
      <c r="AI200" s="802"/>
      <c r="AJ200" s="802"/>
      <c r="AK200" s="802"/>
      <c r="AL200" s="802"/>
      <c r="AM200" s="802"/>
      <c r="AN200" s="802"/>
      <c r="AO200" s="802"/>
      <c r="AP200" s="802"/>
      <c r="AQ200" s="802"/>
      <c r="AR200" s="802"/>
      <c r="AS200" s="802"/>
      <c r="AT200" s="802"/>
      <c r="AU200" s="802"/>
      <c r="AV200" s="802"/>
      <c r="AW200" s="802"/>
      <c r="AX200" s="802"/>
      <c r="AY200" s="802"/>
    </row>
    <row r="201" ht="21.75" customHeight="1">
      <c r="A201" s="802"/>
      <c r="B201" s="802"/>
      <c r="C201" s="802"/>
      <c r="D201" s="802"/>
      <c r="E201" s="802"/>
      <c r="F201" s="802"/>
      <c r="G201" s="802"/>
      <c r="H201" s="802"/>
      <c r="I201" s="802"/>
      <c r="J201" s="802"/>
      <c r="K201" s="802"/>
      <c r="L201" s="802"/>
      <c r="M201" s="802"/>
      <c r="N201" s="802"/>
      <c r="O201" s="802"/>
      <c r="P201" s="802"/>
      <c r="Q201" s="802"/>
      <c r="R201" s="802"/>
      <c r="S201" s="802"/>
      <c r="T201" s="802"/>
      <c r="U201" s="802"/>
      <c r="V201" s="802"/>
      <c r="W201" s="802"/>
      <c r="X201" s="802"/>
      <c r="Y201" s="802"/>
      <c r="Z201" s="802"/>
      <c r="AA201" s="802"/>
      <c r="AB201" s="802"/>
      <c r="AC201" s="802"/>
      <c r="AD201" s="802"/>
      <c r="AE201" s="802"/>
      <c r="AF201" s="802"/>
      <c r="AG201" s="802"/>
      <c r="AH201" s="802"/>
      <c r="AI201" s="802"/>
      <c r="AJ201" s="802"/>
      <c r="AK201" s="802"/>
      <c r="AL201" s="802"/>
      <c r="AM201" s="802"/>
      <c r="AN201" s="802"/>
      <c r="AO201" s="802"/>
      <c r="AP201" s="802"/>
      <c r="AQ201" s="802"/>
      <c r="AR201" s="802"/>
      <c r="AS201" s="802"/>
      <c r="AT201" s="802"/>
      <c r="AU201" s="802"/>
      <c r="AV201" s="802"/>
      <c r="AW201" s="802"/>
      <c r="AX201" s="802"/>
      <c r="AY201" s="802"/>
    </row>
    <row r="202" ht="21.75" customHeight="1">
      <c r="A202" s="802"/>
      <c r="B202" s="802"/>
      <c r="C202" s="802"/>
      <c r="D202" s="802"/>
      <c r="E202" s="802"/>
      <c r="F202" s="802"/>
      <c r="G202" s="802"/>
      <c r="H202" s="802"/>
      <c r="I202" s="802"/>
      <c r="J202" s="802"/>
      <c r="K202" s="802"/>
      <c r="L202" s="802"/>
      <c r="M202" s="802"/>
      <c r="N202" s="802"/>
      <c r="O202" s="802"/>
      <c r="P202" s="802"/>
      <c r="Q202" s="802"/>
      <c r="R202" s="802"/>
      <c r="S202" s="802"/>
      <c r="T202" s="802"/>
      <c r="U202" s="802"/>
      <c r="V202" s="802"/>
      <c r="W202" s="802"/>
      <c r="X202" s="802"/>
      <c r="Y202" s="802"/>
      <c r="Z202" s="802"/>
      <c r="AA202" s="802"/>
      <c r="AB202" s="802"/>
      <c r="AC202" s="802"/>
      <c r="AD202" s="802"/>
      <c r="AE202" s="802"/>
      <c r="AF202" s="802"/>
      <c r="AG202" s="802"/>
      <c r="AH202" s="802"/>
      <c r="AI202" s="802"/>
      <c r="AJ202" s="802"/>
      <c r="AK202" s="802"/>
      <c r="AL202" s="802"/>
      <c r="AM202" s="802"/>
      <c r="AN202" s="802"/>
      <c r="AO202" s="802"/>
      <c r="AP202" s="802"/>
      <c r="AQ202" s="802"/>
      <c r="AR202" s="802"/>
      <c r="AS202" s="802"/>
      <c r="AT202" s="802"/>
      <c r="AU202" s="802"/>
      <c r="AV202" s="802"/>
      <c r="AW202" s="802"/>
      <c r="AX202" s="802"/>
      <c r="AY202" s="802"/>
    </row>
    <row r="203" ht="21.75" customHeight="1">
      <c r="A203" s="802"/>
      <c r="B203" s="802"/>
      <c r="C203" s="802"/>
      <c r="D203" s="802"/>
      <c r="E203" s="802"/>
      <c r="F203" s="802"/>
      <c r="G203" s="802"/>
      <c r="H203" s="802"/>
      <c r="I203" s="802"/>
      <c r="J203" s="802"/>
      <c r="K203" s="802"/>
      <c r="L203" s="802"/>
      <c r="M203" s="802"/>
      <c r="N203" s="802"/>
      <c r="O203" s="802"/>
      <c r="P203" s="802"/>
      <c r="Q203" s="802"/>
      <c r="R203" s="802"/>
      <c r="S203" s="802"/>
      <c r="T203" s="802"/>
      <c r="U203" s="802"/>
      <c r="V203" s="802"/>
      <c r="W203" s="802"/>
      <c r="X203" s="802"/>
      <c r="Y203" s="802"/>
      <c r="Z203" s="802"/>
      <c r="AA203" s="802"/>
      <c r="AB203" s="802"/>
      <c r="AC203" s="802"/>
      <c r="AD203" s="802"/>
      <c r="AE203" s="802"/>
      <c r="AF203" s="802"/>
      <c r="AG203" s="802"/>
      <c r="AH203" s="802"/>
      <c r="AI203" s="802"/>
      <c r="AJ203" s="802"/>
      <c r="AK203" s="802"/>
      <c r="AL203" s="802"/>
      <c r="AM203" s="802"/>
      <c r="AN203" s="802"/>
      <c r="AO203" s="802"/>
      <c r="AP203" s="802"/>
      <c r="AQ203" s="802"/>
      <c r="AR203" s="802"/>
      <c r="AS203" s="802"/>
      <c r="AT203" s="802"/>
      <c r="AU203" s="802"/>
      <c r="AV203" s="802"/>
      <c r="AW203" s="802"/>
      <c r="AX203" s="802"/>
      <c r="AY203" s="802"/>
    </row>
    <row r="204" ht="21.75" customHeight="1">
      <c r="A204" s="802"/>
      <c r="B204" s="802"/>
      <c r="C204" s="802"/>
      <c r="D204" s="802"/>
      <c r="E204" s="802"/>
      <c r="F204" s="802"/>
      <c r="G204" s="802"/>
      <c r="H204" s="802"/>
      <c r="I204" s="802"/>
      <c r="J204" s="802"/>
      <c r="K204" s="802"/>
      <c r="L204" s="802"/>
      <c r="M204" s="802"/>
      <c r="N204" s="802"/>
      <c r="O204" s="802"/>
      <c r="P204" s="802"/>
      <c r="Q204" s="802"/>
      <c r="R204" s="802"/>
      <c r="S204" s="802"/>
      <c r="T204" s="802"/>
      <c r="U204" s="802"/>
      <c r="V204" s="802"/>
      <c r="W204" s="802"/>
      <c r="X204" s="802"/>
      <c r="Y204" s="802"/>
      <c r="Z204" s="802"/>
      <c r="AA204" s="802"/>
      <c r="AB204" s="802"/>
      <c r="AC204" s="802"/>
      <c r="AD204" s="802"/>
      <c r="AE204" s="802"/>
      <c r="AF204" s="802"/>
      <c r="AG204" s="802"/>
      <c r="AH204" s="802"/>
      <c r="AI204" s="802"/>
      <c r="AJ204" s="802"/>
      <c r="AK204" s="802"/>
      <c r="AL204" s="802"/>
      <c r="AM204" s="802"/>
      <c r="AN204" s="802"/>
      <c r="AO204" s="802"/>
      <c r="AP204" s="802"/>
      <c r="AQ204" s="802"/>
      <c r="AR204" s="802"/>
      <c r="AS204" s="802"/>
      <c r="AT204" s="802"/>
      <c r="AU204" s="802"/>
      <c r="AV204" s="802"/>
      <c r="AW204" s="802"/>
      <c r="AX204" s="802"/>
      <c r="AY204" s="802"/>
    </row>
    <row r="205" ht="21.75" customHeight="1">
      <c r="A205" s="802"/>
      <c r="B205" s="802"/>
      <c r="C205" s="802"/>
      <c r="D205" s="802"/>
      <c r="E205" s="802"/>
      <c r="F205" s="802"/>
      <c r="G205" s="802"/>
      <c r="H205" s="802"/>
      <c r="I205" s="802"/>
      <c r="J205" s="802"/>
      <c r="K205" s="802"/>
      <c r="L205" s="802"/>
      <c r="M205" s="802"/>
      <c r="N205" s="802"/>
      <c r="O205" s="802"/>
      <c r="P205" s="802"/>
      <c r="Q205" s="802"/>
      <c r="R205" s="802"/>
      <c r="S205" s="802"/>
      <c r="T205" s="802"/>
      <c r="U205" s="802"/>
      <c r="V205" s="802"/>
      <c r="W205" s="802"/>
      <c r="X205" s="802"/>
      <c r="Y205" s="802"/>
      <c r="Z205" s="802"/>
      <c r="AA205" s="802"/>
      <c r="AB205" s="802"/>
      <c r="AC205" s="802"/>
      <c r="AD205" s="802"/>
      <c r="AE205" s="802"/>
      <c r="AF205" s="802"/>
      <c r="AG205" s="802"/>
      <c r="AH205" s="802"/>
      <c r="AI205" s="802"/>
      <c r="AJ205" s="802"/>
      <c r="AK205" s="802"/>
      <c r="AL205" s="802"/>
      <c r="AM205" s="802"/>
      <c r="AN205" s="802"/>
      <c r="AO205" s="802"/>
      <c r="AP205" s="802"/>
      <c r="AQ205" s="802"/>
      <c r="AR205" s="802"/>
      <c r="AS205" s="802"/>
      <c r="AT205" s="802"/>
      <c r="AU205" s="802"/>
      <c r="AV205" s="802"/>
      <c r="AW205" s="802"/>
      <c r="AX205" s="802"/>
      <c r="AY205" s="802"/>
    </row>
    <row r="206" ht="21.75" customHeight="1">
      <c r="A206" s="802"/>
      <c r="B206" s="802"/>
      <c r="C206" s="802"/>
      <c r="D206" s="802"/>
      <c r="E206" s="802"/>
      <c r="F206" s="802"/>
      <c r="G206" s="802"/>
      <c r="H206" s="802"/>
      <c r="I206" s="802"/>
      <c r="J206" s="802"/>
      <c r="K206" s="802"/>
      <c r="L206" s="802"/>
      <c r="M206" s="802"/>
      <c r="N206" s="802"/>
      <c r="O206" s="802"/>
      <c r="P206" s="802"/>
      <c r="Q206" s="802"/>
      <c r="R206" s="802"/>
      <c r="S206" s="802"/>
      <c r="T206" s="802"/>
      <c r="U206" s="802"/>
      <c r="V206" s="802"/>
      <c r="W206" s="802"/>
      <c r="X206" s="802"/>
      <c r="Y206" s="802"/>
      <c r="Z206" s="802"/>
      <c r="AA206" s="802"/>
      <c r="AB206" s="802"/>
      <c r="AC206" s="802"/>
      <c r="AD206" s="802"/>
      <c r="AE206" s="802"/>
      <c r="AF206" s="802"/>
      <c r="AG206" s="802"/>
      <c r="AH206" s="802"/>
      <c r="AI206" s="802"/>
      <c r="AJ206" s="802"/>
      <c r="AK206" s="802"/>
      <c r="AL206" s="802"/>
      <c r="AM206" s="802"/>
      <c r="AN206" s="802"/>
      <c r="AO206" s="802"/>
      <c r="AP206" s="802"/>
      <c r="AQ206" s="802"/>
      <c r="AR206" s="802"/>
      <c r="AS206" s="802"/>
      <c r="AT206" s="802"/>
      <c r="AU206" s="802"/>
      <c r="AV206" s="802"/>
      <c r="AW206" s="802"/>
      <c r="AX206" s="802"/>
      <c r="AY206" s="802"/>
    </row>
    <row r="207" ht="21.75" customHeight="1">
      <c r="A207" s="802"/>
      <c r="B207" s="802"/>
      <c r="C207" s="802"/>
      <c r="D207" s="802"/>
      <c r="E207" s="802"/>
      <c r="F207" s="802"/>
      <c r="G207" s="802"/>
      <c r="H207" s="802"/>
      <c r="I207" s="802"/>
      <c r="J207" s="802"/>
      <c r="K207" s="802"/>
      <c r="L207" s="802"/>
      <c r="M207" s="802"/>
      <c r="N207" s="802"/>
      <c r="O207" s="802"/>
      <c r="P207" s="802"/>
      <c r="Q207" s="802"/>
      <c r="R207" s="802"/>
      <c r="S207" s="802"/>
      <c r="T207" s="802"/>
      <c r="U207" s="802"/>
      <c r="V207" s="802"/>
      <c r="W207" s="802"/>
      <c r="X207" s="802"/>
      <c r="Y207" s="802"/>
      <c r="Z207" s="802"/>
      <c r="AA207" s="802"/>
      <c r="AB207" s="802"/>
      <c r="AC207" s="802"/>
      <c r="AD207" s="802"/>
      <c r="AE207" s="802"/>
      <c r="AF207" s="802"/>
      <c r="AG207" s="802"/>
      <c r="AH207" s="802"/>
      <c r="AI207" s="802"/>
      <c r="AJ207" s="802"/>
      <c r="AK207" s="802"/>
      <c r="AL207" s="802"/>
      <c r="AM207" s="802"/>
      <c r="AN207" s="802"/>
      <c r="AO207" s="802"/>
      <c r="AP207" s="802"/>
      <c r="AQ207" s="802"/>
      <c r="AR207" s="802"/>
      <c r="AS207" s="802"/>
      <c r="AT207" s="802"/>
      <c r="AU207" s="802"/>
      <c r="AV207" s="802"/>
      <c r="AW207" s="802"/>
      <c r="AX207" s="802"/>
      <c r="AY207" s="802"/>
    </row>
    <row r="208" ht="21.75" customHeight="1">
      <c r="A208" s="802"/>
      <c r="B208" s="802"/>
      <c r="C208" s="802"/>
      <c r="D208" s="802"/>
      <c r="E208" s="802"/>
      <c r="F208" s="802"/>
      <c r="G208" s="802"/>
      <c r="H208" s="802"/>
      <c r="I208" s="802"/>
      <c r="J208" s="802"/>
      <c r="K208" s="802"/>
      <c r="L208" s="802"/>
      <c r="M208" s="802"/>
      <c r="N208" s="802"/>
      <c r="O208" s="802"/>
      <c r="P208" s="802"/>
      <c r="Q208" s="802"/>
      <c r="R208" s="802"/>
      <c r="S208" s="802"/>
      <c r="T208" s="802"/>
      <c r="U208" s="802"/>
      <c r="V208" s="802"/>
      <c r="W208" s="802"/>
      <c r="X208" s="802"/>
      <c r="Y208" s="802"/>
      <c r="Z208" s="802"/>
      <c r="AA208" s="802"/>
      <c r="AB208" s="802"/>
      <c r="AC208" s="802"/>
      <c r="AD208" s="802"/>
      <c r="AE208" s="802"/>
      <c r="AF208" s="802"/>
      <c r="AG208" s="802"/>
      <c r="AH208" s="802"/>
      <c r="AI208" s="802"/>
      <c r="AJ208" s="802"/>
      <c r="AK208" s="802"/>
      <c r="AL208" s="802"/>
      <c r="AM208" s="802"/>
      <c r="AN208" s="802"/>
      <c r="AO208" s="802"/>
      <c r="AP208" s="802"/>
      <c r="AQ208" s="802"/>
      <c r="AR208" s="802"/>
      <c r="AS208" s="802"/>
      <c r="AT208" s="802"/>
      <c r="AU208" s="802"/>
      <c r="AV208" s="802"/>
      <c r="AW208" s="802"/>
      <c r="AX208" s="802"/>
      <c r="AY208" s="802"/>
    </row>
    <row r="209" ht="21.75" customHeight="1">
      <c r="A209" s="802"/>
      <c r="B209" s="802"/>
      <c r="C209" s="802"/>
      <c r="D209" s="802"/>
      <c r="E209" s="802"/>
      <c r="F209" s="802"/>
      <c r="G209" s="802"/>
      <c r="H209" s="802"/>
      <c r="I209" s="802"/>
      <c r="J209" s="802"/>
      <c r="K209" s="802"/>
      <c r="L209" s="802"/>
      <c r="M209" s="802"/>
      <c r="N209" s="802"/>
      <c r="O209" s="802"/>
      <c r="P209" s="802"/>
      <c r="Q209" s="802"/>
      <c r="R209" s="802"/>
      <c r="S209" s="802"/>
      <c r="T209" s="802"/>
      <c r="U209" s="802"/>
      <c r="V209" s="802"/>
      <c r="W209" s="802"/>
      <c r="X209" s="802"/>
      <c r="Y209" s="802"/>
      <c r="Z209" s="802"/>
      <c r="AA209" s="802"/>
      <c r="AB209" s="802"/>
      <c r="AC209" s="802"/>
      <c r="AD209" s="802"/>
      <c r="AE209" s="802"/>
      <c r="AF209" s="802"/>
      <c r="AG209" s="802"/>
      <c r="AH209" s="802"/>
      <c r="AI209" s="802"/>
      <c r="AJ209" s="802"/>
      <c r="AK209" s="802"/>
      <c r="AL209" s="802"/>
      <c r="AM209" s="802"/>
      <c r="AN209" s="802"/>
      <c r="AO209" s="802"/>
      <c r="AP209" s="802"/>
      <c r="AQ209" s="802"/>
      <c r="AR209" s="802"/>
      <c r="AS209" s="802"/>
      <c r="AT209" s="802"/>
      <c r="AU209" s="802"/>
      <c r="AV209" s="802"/>
      <c r="AW209" s="802"/>
      <c r="AX209" s="802"/>
      <c r="AY209" s="802"/>
    </row>
    <row r="210" ht="21.75" customHeight="1">
      <c r="A210" s="802"/>
      <c r="B210" s="802"/>
      <c r="C210" s="802"/>
      <c r="D210" s="802"/>
      <c r="E210" s="802"/>
      <c r="F210" s="802"/>
      <c r="G210" s="802"/>
      <c r="H210" s="802"/>
      <c r="I210" s="802"/>
      <c r="J210" s="802"/>
      <c r="K210" s="802"/>
      <c r="L210" s="802"/>
      <c r="M210" s="802"/>
      <c r="N210" s="802"/>
      <c r="O210" s="802"/>
      <c r="P210" s="802"/>
      <c r="Q210" s="802"/>
      <c r="R210" s="802"/>
      <c r="S210" s="802"/>
      <c r="T210" s="802"/>
      <c r="U210" s="802"/>
      <c r="V210" s="802"/>
      <c r="W210" s="802"/>
      <c r="X210" s="802"/>
      <c r="Y210" s="802"/>
      <c r="Z210" s="802"/>
      <c r="AA210" s="802"/>
      <c r="AB210" s="802"/>
      <c r="AC210" s="802"/>
      <c r="AD210" s="802"/>
      <c r="AE210" s="802"/>
      <c r="AF210" s="802"/>
      <c r="AG210" s="802"/>
      <c r="AH210" s="802"/>
      <c r="AI210" s="802"/>
      <c r="AJ210" s="802"/>
      <c r="AK210" s="802"/>
      <c r="AL210" s="802"/>
      <c r="AM210" s="802"/>
      <c r="AN210" s="802"/>
      <c r="AO210" s="802"/>
      <c r="AP210" s="802"/>
      <c r="AQ210" s="802"/>
      <c r="AR210" s="802"/>
      <c r="AS210" s="802"/>
      <c r="AT210" s="802"/>
      <c r="AU210" s="802"/>
      <c r="AV210" s="802"/>
      <c r="AW210" s="802"/>
      <c r="AX210" s="802"/>
      <c r="AY210" s="802"/>
    </row>
    <row r="211" ht="21.75" customHeight="1">
      <c r="A211" s="802"/>
      <c r="B211" s="802"/>
      <c r="C211" s="802"/>
      <c r="D211" s="802"/>
      <c r="E211" s="802"/>
      <c r="F211" s="802"/>
      <c r="G211" s="802"/>
      <c r="H211" s="802"/>
      <c r="I211" s="802"/>
      <c r="J211" s="802"/>
      <c r="K211" s="802"/>
      <c r="L211" s="802"/>
      <c r="M211" s="802"/>
      <c r="N211" s="802"/>
      <c r="O211" s="802"/>
      <c r="P211" s="802"/>
      <c r="Q211" s="802"/>
      <c r="R211" s="802"/>
      <c r="S211" s="802"/>
      <c r="T211" s="802"/>
      <c r="U211" s="802"/>
      <c r="V211" s="802"/>
      <c r="W211" s="802"/>
      <c r="X211" s="802"/>
      <c r="Y211" s="802"/>
      <c r="Z211" s="802"/>
      <c r="AA211" s="802"/>
      <c r="AB211" s="802"/>
      <c r="AC211" s="802"/>
      <c r="AD211" s="802"/>
      <c r="AE211" s="802"/>
      <c r="AF211" s="802"/>
      <c r="AG211" s="802"/>
      <c r="AH211" s="802"/>
      <c r="AI211" s="802"/>
      <c r="AJ211" s="802"/>
      <c r="AK211" s="802"/>
      <c r="AL211" s="802"/>
      <c r="AM211" s="802"/>
      <c r="AN211" s="802"/>
      <c r="AO211" s="802"/>
      <c r="AP211" s="802"/>
      <c r="AQ211" s="802"/>
      <c r="AR211" s="802"/>
      <c r="AS211" s="802"/>
      <c r="AT211" s="802"/>
      <c r="AU211" s="802"/>
      <c r="AV211" s="802"/>
      <c r="AW211" s="802"/>
      <c r="AX211" s="802"/>
      <c r="AY211" s="802"/>
    </row>
    <row r="212" ht="21.75" customHeight="1">
      <c r="A212" s="802"/>
      <c r="B212" s="802"/>
      <c r="C212" s="802"/>
      <c r="D212" s="802"/>
      <c r="E212" s="802"/>
      <c r="F212" s="802"/>
      <c r="G212" s="802"/>
      <c r="H212" s="802"/>
      <c r="I212" s="802"/>
      <c r="J212" s="802"/>
      <c r="K212" s="802"/>
      <c r="L212" s="802"/>
      <c r="M212" s="802"/>
      <c r="N212" s="802"/>
      <c r="O212" s="802"/>
      <c r="P212" s="802"/>
      <c r="Q212" s="802"/>
      <c r="R212" s="802"/>
      <c r="S212" s="802"/>
      <c r="T212" s="802"/>
      <c r="U212" s="802"/>
      <c r="V212" s="802"/>
      <c r="W212" s="802"/>
      <c r="X212" s="802"/>
      <c r="Y212" s="802"/>
      <c r="Z212" s="802"/>
      <c r="AA212" s="802"/>
      <c r="AB212" s="802"/>
      <c r="AC212" s="802"/>
      <c r="AD212" s="802"/>
      <c r="AE212" s="802"/>
      <c r="AF212" s="802"/>
      <c r="AG212" s="802"/>
      <c r="AH212" s="802"/>
      <c r="AI212" s="802"/>
      <c r="AJ212" s="802"/>
      <c r="AK212" s="802"/>
      <c r="AL212" s="802"/>
      <c r="AM212" s="802"/>
      <c r="AN212" s="802"/>
      <c r="AO212" s="802"/>
      <c r="AP212" s="802"/>
      <c r="AQ212" s="802"/>
      <c r="AR212" s="802"/>
      <c r="AS212" s="802"/>
      <c r="AT212" s="802"/>
      <c r="AU212" s="802"/>
      <c r="AV212" s="802"/>
      <c r="AW212" s="802"/>
      <c r="AX212" s="802"/>
      <c r="AY212" s="802"/>
    </row>
    <row r="213" ht="21.75" customHeight="1">
      <c r="A213" s="802"/>
      <c r="B213" s="802"/>
      <c r="C213" s="802"/>
      <c r="D213" s="802"/>
      <c r="E213" s="802"/>
      <c r="F213" s="802"/>
      <c r="G213" s="802"/>
      <c r="H213" s="802"/>
      <c r="I213" s="802"/>
      <c r="J213" s="802"/>
      <c r="K213" s="802"/>
      <c r="L213" s="802"/>
      <c r="M213" s="802"/>
      <c r="N213" s="802"/>
      <c r="O213" s="802"/>
      <c r="P213" s="802"/>
      <c r="Q213" s="802"/>
      <c r="R213" s="802"/>
      <c r="S213" s="802"/>
      <c r="T213" s="802"/>
      <c r="U213" s="802"/>
      <c r="V213" s="802"/>
      <c r="W213" s="802"/>
      <c r="X213" s="802"/>
      <c r="Y213" s="802"/>
      <c r="Z213" s="802"/>
      <c r="AA213" s="802"/>
      <c r="AB213" s="802"/>
      <c r="AC213" s="802"/>
      <c r="AD213" s="802"/>
      <c r="AE213" s="802"/>
      <c r="AF213" s="802"/>
      <c r="AG213" s="802"/>
      <c r="AH213" s="802"/>
      <c r="AI213" s="802"/>
      <c r="AJ213" s="802"/>
      <c r="AK213" s="802"/>
      <c r="AL213" s="802"/>
      <c r="AM213" s="802"/>
      <c r="AN213" s="802"/>
      <c r="AO213" s="802"/>
      <c r="AP213" s="802"/>
      <c r="AQ213" s="802"/>
      <c r="AR213" s="802"/>
      <c r="AS213" s="802"/>
      <c r="AT213" s="802"/>
      <c r="AU213" s="802"/>
      <c r="AV213" s="802"/>
      <c r="AW213" s="802"/>
      <c r="AX213" s="802"/>
      <c r="AY213" s="802"/>
    </row>
    <row r="214" ht="21.75" customHeight="1">
      <c r="A214" s="802"/>
      <c r="B214" s="802"/>
      <c r="C214" s="802"/>
      <c r="D214" s="802"/>
      <c r="E214" s="802"/>
      <c r="F214" s="802"/>
      <c r="G214" s="802"/>
      <c r="H214" s="802"/>
      <c r="I214" s="802"/>
      <c r="J214" s="802"/>
      <c r="K214" s="802"/>
      <c r="L214" s="802"/>
      <c r="M214" s="802"/>
      <c r="N214" s="802"/>
      <c r="O214" s="802"/>
      <c r="P214" s="802"/>
      <c r="Q214" s="802"/>
      <c r="R214" s="802"/>
      <c r="S214" s="802"/>
      <c r="T214" s="802"/>
      <c r="U214" s="802"/>
      <c r="V214" s="802"/>
      <c r="W214" s="802"/>
      <c r="X214" s="802"/>
      <c r="Y214" s="802"/>
      <c r="Z214" s="802"/>
      <c r="AA214" s="802"/>
      <c r="AB214" s="802"/>
      <c r="AC214" s="802"/>
      <c r="AD214" s="802"/>
      <c r="AE214" s="802"/>
      <c r="AF214" s="802"/>
      <c r="AG214" s="802"/>
      <c r="AH214" s="802"/>
      <c r="AI214" s="802"/>
      <c r="AJ214" s="802"/>
      <c r="AK214" s="802"/>
      <c r="AL214" s="802"/>
      <c r="AM214" s="802"/>
      <c r="AN214" s="802"/>
      <c r="AO214" s="802"/>
      <c r="AP214" s="802"/>
      <c r="AQ214" s="802"/>
      <c r="AR214" s="802"/>
      <c r="AS214" s="802"/>
      <c r="AT214" s="802"/>
      <c r="AU214" s="802"/>
      <c r="AV214" s="802"/>
      <c r="AW214" s="802"/>
      <c r="AX214" s="802"/>
      <c r="AY214" s="802"/>
    </row>
    <row r="215" ht="21.75" customHeight="1">
      <c r="A215" s="802"/>
      <c r="B215" s="802"/>
      <c r="C215" s="802"/>
      <c r="D215" s="802"/>
      <c r="E215" s="802"/>
      <c r="F215" s="802"/>
      <c r="G215" s="802"/>
      <c r="H215" s="802"/>
      <c r="I215" s="802"/>
      <c r="J215" s="802"/>
      <c r="K215" s="802"/>
      <c r="L215" s="802"/>
      <c r="M215" s="802"/>
      <c r="N215" s="802"/>
      <c r="O215" s="802"/>
      <c r="P215" s="802"/>
      <c r="Q215" s="802"/>
      <c r="R215" s="802"/>
      <c r="S215" s="802"/>
      <c r="T215" s="802"/>
      <c r="U215" s="802"/>
      <c r="V215" s="802"/>
      <c r="W215" s="802"/>
      <c r="X215" s="802"/>
      <c r="Y215" s="802"/>
      <c r="Z215" s="802"/>
      <c r="AA215" s="802"/>
      <c r="AB215" s="802"/>
      <c r="AC215" s="802"/>
      <c r="AD215" s="802"/>
      <c r="AE215" s="802"/>
      <c r="AF215" s="802"/>
      <c r="AG215" s="802"/>
      <c r="AH215" s="802"/>
      <c r="AI215" s="802"/>
      <c r="AJ215" s="802"/>
      <c r="AK215" s="802"/>
      <c r="AL215" s="802"/>
      <c r="AM215" s="802"/>
      <c r="AN215" s="802"/>
      <c r="AO215" s="802"/>
      <c r="AP215" s="802"/>
      <c r="AQ215" s="802"/>
      <c r="AR215" s="802"/>
      <c r="AS215" s="802"/>
      <c r="AT215" s="802"/>
      <c r="AU215" s="802"/>
      <c r="AV215" s="802"/>
      <c r="AW215" s="802"/>
      <c r="AX215" s="802"/>
      <c r="AY215" s="802"/>
    </row>
    <row r="216" ht="21.75" customHeight="1">
      <c r="A216" s="802"/>
      <c r="B216" s="802"/>
      <c r="C216" s="802"/>
      <c r="D216" s="802"/>
      <c r="E216" s="802"/>
      <c r="F216" s="802"/>
      <c r="G216" s="802"/>
      <c r="H216" s="802"/>
      <c r="I216" s="802"/>
      <c r="J216" s="802"/>
      <c r="K216" s="802"/>
      <c r="L216" s="802"/>
      <c r="M216" s="802"/>
      <c r="N216" s="802"/>
      <c r="O216" s="802"/>
      <c r="P216" s="802"/>
      <c r="Q216" s="802"/>
      <c r="R216" s="802"/>
      <c r="S216" s="802"/>
      <c r="T216" s="802"/>
      <c r="U216" s="802"/>
      <c r="V216" s="802"/>
      <c r="W216" s="802"/>
      <c r="X216" s="802"/>
      <c r="Y216" s="802"/>
      <c r="Z216" s="802"/>
      <c r="AA216" s="802"/>
      <c r="AB216" s="802"/>
      <c r="AC216" s="802"/>
      <c r="AD216" s="802"/>
      <c r="AE216" s="802"/>
      <c r="AF216" s="802"/>
      <c r="AG216" s="802"/>
      <c r="AH216" s="802"/>
      <c r="AI216" s="802"/>
      <c r="AJ216" s="802"/>
      <c r="AK216" s="802"/>
      <c r="AL216" s="802"/>
      <c r="AM216" s="802"/>
      <c r="AN216" s="802"/>
      <c r="AO216" s="802"/>
      <c r="AP216" s="802"/>
      <c r="AQ216" s="802"/>
      <c r="AR216" s="802"/>
      <c r="AS216" s="802"/>
      <c r="AT216" s="802"/>
      <c r="AU216" s="802"/>
      <c r="AV216" s="802"/>
      <c r="AW216" s="802"/>
      <c r="AX216" s="802"/>
      <c r="AY216" s="802"/>
    </row>
    <row r="217" ht="21.75" customHeight="1">
      <c r="A217" s="802"/>
      <c r="B217" s="802"/>
      <c r="C217" s="802"/>
      <c r="D217" s="802"/>
      <c r="E217" s="802"/>
      <c r="F217" s="802"/>
      <c r="G217" s="802"/>
      <c r="H217" s="802"/>
      <c r="I217" s="802"/>
      <c r="J217" s="802"/>
      <c r="K217" s="802"/>
      <c r="L217" s="802"/>
      <c r="M217" s="802"/>
      <c r="N217" s="802"/>
      <c r="O217" s="802"/>
      <c r="P217" s="802"/>
      <c r="Q217" s="802"/>
      <c r="R217" s="802"/>
      <c r="S217" s="802"/>
      <c r="T217" s="802"/>
      <c r="U217" s="802"/>
      <c r="V217" s="802"/>
      <c r="W217" s="802"/>
      <c r="X217" s="802"/>
      <c r="Y217" s="802"/>
      <c r="Z217" s="802"/>
      <c r="AA217" s="802"/>
      <c r="AB217" s="802"/>
      <c r="AC217" s="802"/>
      <c r="AD217" s="802"/>
      <c r="AE217" s="802"/>
      <c r="AF217" s="802"/>
      <c r="AG217" s="802"/>
      <c r="AH217" s="802"/>
      <c r="AI217" s="802"/>
      <c r="AJ217" s="802"/>
      <c r="AK217" s="802"/>
      <c r="AL217" s="802"/>
      <c r="AM217" s="802"/>
      <c r="AN217" s="802"/>
      <c r="AO217" s="802"/>
      <c r="AP217" s="802"/>
      <c r="AQ217" s="802"/>
      <c r="AR217" s="802"/>
      <c r="AS217" s="802"/>
      <c r="AT217" s="802"/>
      <c r="AU217" s="802"/>
      <c r="AV217" s="802"/>
      <c r="AW217" s="802"/>
      <c r="AX217" s="802"/>
      <c r="AY217" s="802"/>
    </row>
    <row r="218" ht="21.75" customHeight="1">
      <c r="A218" s="802"/>
      <c r="B218" s="802"/>
      <c r="C218" s="802"/>
      <c r="D218" s="802"/>
      <c r="E218" s="802"/>
      <c r="F218" s="802"/>
      <c r="G218" s="802"/>
      <c r="H218" s="802"/>
      <c r="I218" s="802"/>
      <c r="J218" s="802"/>
      <c r="K218" s="802"/>
      <c r="L218" s="802"/>
      <c r="M218" s="802"/>
      <c r="N218" s="802"/>
      <c r="O218" s="802"/>
      <c r="P218" s="802"/>
      <c r="Q218" s="802"/>
      <c r="R218" s="802"/>
      <c r="S218" s="802"/>
      <c r="T218" s="802"/>
      <c r="U218" s="802"/>
      <c r="V218" s="802"/>
      <c r="W218" s="802"/>
      <c r="X218" s="802"/>
      <c r="Y218" s="802"/>
      <c r="Z218" s="802"/>
      <c r="AA218" s="802"/>
      <c r="AB218" s="802"/>
      <c r="AC218" s="802"/>
      <c r="AD218" s="802"/>
      <c r="AE218" s="802"/>
      <c r="AF218" s="802"/>
      <c r="AG218" s="802"/>
      <c r="AH218" s="802"/>
      <c r="AI218" s="802"/>
      <c r="AJ218" s="802"/>
      <c r="AK218" s="802"/>
      <c r="AL218" s="802"/>
      <c r="AM218" s="802"/>
      <c r="AN218" s="802"/>
      <c r="AO218" s="802"/>
      <c r="AP218" s="802"/>
      <c r="AQ218" s="802"/>
      <c r="AR218" s="802"/>
      <c r="AS218" s="802"/>
      <c r="AT218" s="802"/>
      <c r="AU218" s="802"/>
      <c r="AV218" s="802"/>
      <c r="AW218" s="802"/>
      <c r="AX218" s="802"/>
      <c r="AY218" s="802"/>
    </row>
    <row r="219" ht="21.75" customHeight="1">
      <c r="A219" s="802"/>
      <c r="B219" s="802"/>
      <c r="C219" s="802"/>
      <c r="D219" s="802"/>
      <c r="E219" s="802"/>
      <c r="F219" s="802"/>
      <c r="G219" s="802"/>
      <c r="H219" s="802"/>
      <c r="I219" s="802"/>
      <c r="J219" s="802"/>
      <c r="K219" s="802"/>
      <c r="L219" s="802"/>
      <c r="M219" s="802"/>
      <c r="N219" s="802"/>
      <c r="O219" s="802"/>
      <c r="P219" s="802"/>
      <c r="Q219" s="802"/>
      <c r="R219" s="802"/>
      <c r="S219" s="802"/>
      <c r="T219" s="802"/>
      <c r="U219" s="802"/>
      <c r="V219" s="802"/>
      <c r="W219" s="802"/>
      <c r="X219" s="802"/>
      <c r="Y219" s="802"/>
      <c r="Z219" s="802"/>
      <c r="AA219" s="802"/>
      <c r="AB219" s="802"/>
      <c r="AC219" s="802"/>
      <c r="AD219" s="802"/>
      <c r="AE219" s="802"/>
      <c r="AF219" s="802"/>
      <c r="AG219" s="802"/>
      <c r="AH219" s="802"/>
      <c r="AI219" s="802"/>
      <c r="AJ219" s="802"/>
      <c r="AK219" s="802"/>
      <c r="AL219" s="802"/>
      <c r="AM219" s="802"/>
      <c r="AN219" s="802"/>
      <c r="AO219" s="802"/>
      <c r="AP219" s="802"/>
      <c r="AQ219" s="802"/>
      <c r="AR219" s="802"/>
      <c r="AS219" s="802"/>
      <c r="AT219" s="802"/>
      <c r="AU219" s="802"/>
      <c r="AV219" s="802"/>
      <c r="AW219" s="802"/>
      <c r="AX219" s="802"/>
      <c r="AY219" s="802"/>
    </row>
    <row r="220" ht="21.75" customHeight="1">
      <c r="A220" s="802"/>
      <c r="B220" s="802"/>
      <c r="C220" s="802"/>
      <c r="D220" s="802"/>
      <c r="E220" s="802"/>
      <c r="F220" s="802"/>
      <c r="G220" s="802"/>
      <c r="H220" s="802"/>
      <c r="I220" s="802"/>
      <c r="J220" s="802"/>
      <c r="K220" s="802"/>
      <c r="L220" s="802"/>
      <c r="M220" s="802"/>
      <c r="N220" s="802"/>
      <c r="O220" s="802"/>
      <c r="P220" s="802"/>
      <c r="Q220" s="802"/>
      <c r="R220" s="802"/>
      <c r="S220" s="802"/>
      <c r="T220" s="802"/>
      <c r="U220" s="802"/>
      <c r="V220" s="802"/>
      <c r="W220" s="802"/>
      <c r="X220" s="802"/>
      <c r="Y220" s="802"/>
      <c r="Z220" s="802"/>
      <c r="AA220" s="802"/>
      <c r="AB220" s="802"/>
      <c r="AC220" s="802"/>
      <c r="AD220" s="802"/>
      <c r="AE220" s="802"/>
      <c r="AF220" s="802"/>
      <c r="AG220" s="802"/>
      <c r="AH220" s="802"/>
      <c r="AI220" s="802"/>
      <c r="AJ220" s="802"/>
      <c r="AK220" s="802"/>
      <c r="AL220" s="802"/>
      <c r="AM220" s="802"/>
      <c r="AN220" s="802"/>
      <c r="AO220" s="802"/>
      <c r="AP220" s="802"/>
      <c r="AQ220" s="802"/>
      <c r="AR220" s="802"/>
      <c r="AS220" s="802"/>
      <c r="AT220" s="802"/>
      <c r="AU220" s="802"/>
      <c r="AV220" s="802"/>
      <c r="AW220" s="802"/>
      <c r="AX220" s="802"/>
      <c r="AY220" s="802"/>
    </row>
    <row r="221" ht="21.75" customHeight="1">
      <c r="A221" s="802"/>
      <c r="B221" s="802"/>
      <c r="C221" s="802"/>
      <c r="D221" s="802"/>
      <c r="E221" s="802"/>
      <c r="F221" s="802"/>
      <c r="G221" s="802"/>
      <c r="H221" s="802"/>
      <c r="I221" s="802"/>
      <c r="J221" s="802"/>
      <c r="K221" s="802"/>
      <c r="L221" s="802"/>
      <c r="M221" s="802"/>
      <c r="N221" s="802"/>
      <c r="O221" s="802"/>
      <c r="P221" s="802"/>
      <c r="Q221" s="802"/>
      <c r="R221" s="802"/>
      <c r="S221" s="802"/>
      <c r="T221" s="802"/>
      <c r="U221" s="802"/>
      <c r="V221" s="802"/>
      <c r="W221" s="802"/>
      <c r="X221" s="802"/>
      <c r="Y221" s="802"/>
      <c r="Z221" s="802"/>
      <c r="AA221" s="802"/>
      <c r="AB221" s="802"/>
      <c r="AC221" s="802"/>
      <c r="AD221" s="802"/>
      <c r="AE221" s="802"/>
      <c r="AF221" s="802"/>
      <c r="AG221" s="802"/>
      <c r="AH221" s="802"/>
      <c r="AI221" s="802"/>
      <c r="AJ221" s="802"/>
      <c r="AK221" s="802"/>
      <c r="AL221" s="802"/>
      <c r="AM221" s="802"/>
      <c r="AN221" s="802"/>
      <c r="AO221" s="802"/>
      <c r="AP221" s="802"/>
      <c r="AQ221" s="802"/>
      <c r="AR221" s="802"/>
      <c r="AS221" s="802"/>
      <c r="AT221" s="802"/>
      <c r="AU221" s="802"/>
      <c r="AV221" s="802"/>
      <c r="AW221" s="802"/>
      <c r="AX221" s="802"/>
      <c r="AY221" s="802"/>
    </row>
    <row r="222" ht="21.75" customHeight="1">
      <c r="A222" s="802"/>
      <c r="B222" s="802"/>
      <c r="C222" s="802"/>
      <c r="D222" s="802"/>
      <c r="E222" s="802"/>
      <c r="F222" s="802"/>
      <c r="G222" s="802"/>
      <c r="H222" s="802"/>
      <c r="I222" s="802"/>
      <c r="J222" s="802"/>
      <c r="K222" s="802"/>
      <c r="L222" s="802"/>
      <c r="M222" s="802"/>
      <c r="N222" s="802"/>
      <c r="O222" s="802"/>
      <c r="P222" s="802"/>
      <c r="Q222" s="802"/>
      <c r="R222" s="802"/>
      <c r="S222" s="802"/>
      <c r="T222" s="802"/>
      <c r="U222" s="802"/>
      <c r="V222" s="802"/>
      <c r="W222" s="802"/>
      <c r="X222" s="802"/>
      <c r="Y222" s="802"/>
      <c r="Z222" s="802"/>
      <c r="AA222" s="802"/>
      <c r="AB222" s="802"/>
      <c r="AC222" s="802"/>
      <c r="AD222" s="802"/>
      <c r="AE222" s="802"/>
      <c r="AF222" s="802"/>
      <c r="AG222" s="802"/>
      <c r="AH222" s="802"/>
      <c r="AI222" s="802"/>
      <c r="AJ222" s="802"/>
      <c r="AK222" s="802"/>
      <c r="AL222" s="802"/>
      <c r="AM222" s="802"/>
      <c r="AN222" s="802"/>
      <c r="AO222" s="802"/>
      <c r="AP222" s="802"/>
      <c r="AQ222" s="802"/>
      <c r="AR222" s="802"/>
      <c r="AS222" s="802"/>
      <c r="AT222" s="802"/>
      <c r="AU222" s="802"/>
      <c r="AV222" s="802"/>
      <c r="AW222" s="802"/>
      <c r="AX222" s="802"/>
      <c r="AY222" s="802"/>
    </row>
    <row r="223" ht="21.75" customHeight="1">
      <c r="A223" s="802"/>
      <c r="B223" s="802"/>
      <c r="C223" s="802"/>
      <c r="D223" s="802"/>
      <c r="E223" s="802"/>
      <c r="F223" s="802"/>
      <c r="G223" s="802"/>
      <c r="H223" s="802"/>
      <c r="I223" s="802"/>
      <c r="J223" s="802"/>
      <c r="K223" s="802"/>
      <c r="L223" s="802"/>
      <c r="M223" s="802"/>
      <c r="N223" s="802"/>
      <c r="O223" s="802"/>
      <c r="P223" s="802"/>
      <c r="Q223" s="802"/>
      <c r="R223" s="802"/>
      <c r="S223" s="802"/>
      <c r="T223" s="802"/>
      <c r="U223" s="802"/>
      <c r="V223" s="802"/>
      <c r="W223" s="802"/>
      <c r="X223" s="802"/>
      <c r="Y223" s="802"/>
      <c r="Z223" s="802"/>
      <c r="AA223" s="802"/>
      <c r="AB223" s="802"/>
      <c r="AC223" s="802"/>
      <c r="AD223" s="802"/>
      <c r="AE223" s="802"/>
      <c r="AF223" s="802"/>
      <c r="AG223" s="802"/>
      <c r="AH223" s="802"/>
      <c r="AI223" s="802"/>
      <c r="AJ223" s="802"/>
      <c r="AK223" s="802"/>
      <c r="AL223" s="802"/>
      <c r="AM223" s="802"/>
      <c r="AN223" s="802"/>
      <c r="AO223" s="802"/>
      <c r="AP223" s="802"/>
      <c r="AQ223" s="802"/>
      <c r="AR223" s="802"/>
      <c r="AS223" s="802"/>
      <c r="AT223" s="802"/>
      <c r="AU223" s="802"/>
      <c r="AV223" s="802"/>
      <c r="AW223" s="802"/>
      <c r="AX223" s="802"/>
      <c r="AY223" s="802"/>
    </row>
    <row r="224" ht="21.75" customHeight="1">
      <c r="A224" s="802"/>
      <c r="B224" s="802"/>
      <c r="C224" s="802"/>
      <c r="D224" s="802"/>
      <c r="E224" s="802"/>
      <c r="F224" s="802"/>
      <c r="G224" s="802"/>
      <c r="H224" s="802"/>
      <c r="I224" s="802"/>
      <c r="J224" s="802"/>
      <c r="K224" s="802"/>
      <c r="L224" s="802"/>
      <c r="M224" s="802"/>
      <c r="N224" s="802"/>
      <c r="O224" s="802"/>
      <c r="P224" s="802"/>
      <c r="Q224" s="802"/>
      <c r="R224" s="802"/>
      <c r="S224" s="802"/>
      <c r="T224" s="802"/>
      <c r="U224" s="802"/>
      <c r="V224" s="802"/>
      <c r="W224" s="802"/>
      <c r="X224" s="802"/>
      <c r="Y224" s="802"/>
      <c r="Z224" s="802"/>
      <c r="AA224" s="802"/>
      <c r="AB224" s="802"/>
      <c r="AC224" s="802"/>
      <c r="AD224" s="802"/>
      <c r="AE224" s="802"/>
      <c r="AF224" s="802"/>
      <c r="AG224" s="802"/>
      <c r="AH224" s="802"/>
      <c r="AI224" s="802"/>
      <c r="AJ224" s="802"/>
      <c r="AK224" s="802"/>
      <c r="AL224" s="802"/>
      <c r="AM224" s="802"/>
      <c r="AN224" s="802"/>
      <c r="AO224" s="802"/>
      <c r="AP224" s="802"/>
      <c r="AQ224" s="802"/>
      <c r="AR224" s="802"/>
      <c r="AS224" s="802"/>
      <c r="AT224" s="802"/>
      <c r="AU224" s="802"/>
      <c r="AV224" s="802"/>
      <c r="AW224" s="802"/>
      <c r="AX224" s="802"/>
      <c r="AY224" s="802"/>
    </row>
    <row r="225" ht="21.75" customHeight="1">
      <c r="A225" s="802"/>
      <c r="B225" s="802"/>
      <c r="C225" s="802"/>
      <c r="D225" s="802"/>
      <c r="E225" s="802"/>
      <c r="F225" s="802"/>
      <c r="G225" s="802"/>
      <c r="H225" s="802"/>
      <c r="I225" s="802"/>
      <c r="J225" s="802"/>
      <c r="K225" s="802"/>
      <c r="L225" s="802"/>
      <c r="M225" s="802"/>
      <c r="N225" s="802"/>
      <c r="O225" s="802"/>
      <c r="P225" s="802"/>
      <c r="Q225" s="802"/>
      <c r="R225" s="802"/>
      <c r="S225" s="802"/>
      <c r="T225" s="802"/>
      <c r="U225" s="802"/>
      <c r="V225" s="802"/>
      <c r="W225" s="802"/>
      <c r="X225" s="802"/>
      <c r="Y225" s="802"/>
      <c r="Z225" s="802"/>
      <c r="AA225" s="802"/>
      <c r="AB225" s="802"/>
      <c r="AC225" s="802"/>
      <c r="AD225" s="802"/>
      <c r="AE225" s="802"/>
      <c r="AF225" s="802"/>
      <c r="AG225" s="802"/>
      <c r="AH225" s="802"/>
      <c r="AI225" s="802"/>
      <c r="AJ225" s="802"/>
      <c r="AK225" s="802"/>
      <c r="AL225" s="802"/>
      <c r="AM225" s="802"/>
      <c r="AN225" s="802"/>
      <c r="AO225" s="802"/>
      <c r="AP225" s="802"/>
      <c r="AQ225" s="802"/>
      <c r="AR225" s="802"/>
      <c r="AS225" s="802"/>
      <c r="AT225" s="802"/>
      <c r="AU225" s="802"/>
      <c r="AV225" s="802"/>
      <c r="AW225" s="802"/>
      <c r="AX225" s="802"/>
      <c r="AY225" s="802"/>
    </row>
    <row r="226" ht="21.75" customHeight="1">
      <c r="A226" s="802"/>
      <c r="B226" s="802"/>
      <c r="C226" s="802"/>
      <c r="D226" s="802"/>
      <c r="E226" s="802"/>
      <c r="F226" s="802"/>
      <c r="G226" s="802"/>
      <c r="H226" s="802"/>
      <c r="I226" s="802"/>
      <c r="J226" s="802"/>
      <c r="K226" s="802"/>
      <c r="L226" s="802"/>
      <c r="M226" s="802"/>
      <c r="N226" s="802"/>
      <c r="O226" s="802"/>
      <c r="P226" s="802"/>
      <c r="Q226" s="802"/>
      <c r="R226" s="802"/>
      <c r="S226" s="802"/>
      <c r="T226" s="802"/>
      <c r="U226" s="802"/>
      <c r="V226" s="802"/>
      <c r="W226" s="802"/>
      <c r="X226" s="802"/>
      <c r="Y226" s="802"/>
      <c r="Z226" s="802"/>
      <c r="AA226" s="802"/>
      <c r="AB226" s="802"/>
      <c r="AC226" s="802"/>
      <c r="AD226" s="802"/>
      <c r="AE226" s="802"/>
      <c r="AF226" s="802"/>
      <c r="AG226" s="802"/>
      <c r="AH226" s="802"/>
      <c r="AI226" s="802"/>
      <c r="AJ226" s="802"/>
      <c r="AK226" s="802"/>
      <c r="AL226" s="802"/>
      <c r="AM226" s="802"/>
      <c r="AN226" s="802"/>
      <c r="AO226" s="802"/>
      <c r="AP226" s="802"/>
      <c r="AQ226" s="802"/>
      <c r="AR226" s="802"/>
      <c r="AS226" s="802"/>
      <c r="AT226" s="802"/>
      <c r="AU226" s="802"/>
      <c r="AV226" s="802"/>
      <c r="AW226" s="802"/>
      <c r="AX226" s="802"/>
      <c r="AY226" s="802"/>
    </row>
    <row r="227" ht="21.75" customHeight="1">
      <c r="A227" s="802"/>
      <c r="B227" s="802"/>
      <c r="C227" s="802"/>
      <c r="D227" s="802"/>
      <c r="E227" s="802"/>
      <c r="F227" s="802"/>
      <c r="G227" s="802"/>
      <c r="H227" s="802"/>
      <c r="I227" s="802"/>
      <c r="J227" s="802"/>
      <c r="K227" s="802"/>
      <c r="L227" s="802"/>
      <c r="M227" s="802"/>
      <c r="N227" s="802"/>
      <c r="O227" s="802"/>
      <c r="P227" s="802"/>
      <c r="Q227" s="802"/>
      <c r="R227" s="802"/>
      <c r="S227" s="802"/>
      <c r="T227" s="802"/>
      <c r="U227" s="802"/>
      <c r="V227" s="802"/>
      <c r="W227" s="802"/>
      <c r="X227" s="802"/>
      <c r="Y227" s="802"/>
      <c r="Z227" s="802"/>
      <c r="AA227" s="802"/>
      <c r="AB227" s="802"/>
      <c r="AC227" s="802"/>
      <c r="AD227" s="802"/>
      <c r="AE227" s="802"/>
      <c r="AF227" s="802"/>
      <c r="AG227" s="802"/>
      <c r="AH227" s="802"/>
      <c r="AI227" s="802"/>
      <c r="AJ227" s="802"/>
      <c r="AK227" s="802"/>
      <c r="AL227" s="802"/>
      <c r="AM227" s="802"/>
      <c r="AN227" s="802"/>
      <c r="AO227" s="802"/>
      <c r="AP227" s="802"/>
      <c r="AQ227" s="802"/>
      <c r="AR227" s="802"/>
      <c r="AS227" s="802"/>
      <c r="AT227" s="802"/>
      <c r="AU227" s="802"/>
      <c r="AV227" s="802"/>
      <c r="AW227" s="802"/>
      <c r="AX227" s="802"/>
      <c r="AY227" s="802"/>
    </row>
    <row r="228" ht="21.75" customHeight="1">
      <c r="A228" s="802"/>
      <c r="B228" s="802"/>
      <c r="C228" s="802"/>
      <c r="D228" s="802"/>
      <c r="E228" s="802"/>
      <c r="F228" s="802"/>
      <c r="G228" s="802"/>
      <c r="H228" s="802"/>
      <c r="I228" s="802"/>
      <c r="J228" s="802"/>
      <c r="K228" s="802"/>
      <c r="L228" s="802"/>
      <c r="M228" s="802"/>
      <c r="N228" s="802"/>
      <c r="O228" s="802"/>
      <c r="P228" s="802"/>
      <c r="Q228" s="802"/>
      <c r="R228" s="802"/>
      <c r="S228" s="802"/>
      <c r="T228" s="802"/>
      <c r="U228" s="802"/>
      <c r="V228" s="802"/>
      <c r="W228" s="802"/>
      <c r="X228" s="802"/>
      <c r="Y228" s="802"/>
      <c r="Z228" s="802"/>
      <c r="AA228" s="802"/>
      <c r="AB228" s="802"/>
      <c r="AC228" s="802"/>
      <c r="AD228" s="802"/>
      <c r="AE228" s="802"/>
      <c r="AF228" s="802"/>
      <c r="AG228" s="802"/>
      <c r="AH228" s="802"/>
      <c r="AI228" s="802"/>
      <c r="AJ228" s="802"/>
      <c r="AK228" s="802"/>
      <c r="AL228" s="802"/>
      <c r="AM228" s="802"/>
      <c r="AN228" s="802"/>
      <c r="AO228" s="802"/>
      <c r="AP228" s="802"/>
      <c r="AQ228" s="802"/>
      <c r="AR228" s="802"/>
      <c r="AS228" s="802"/>
      <c r="AT228" s="802"/>
      <c r="AU228" s="802"/>
      <c r="AV228" s="802"/>
      <c r="AW228" s="802"/>
      <c r="AX228" s="802"/>
      <c r="AY228" s="802"/>
    </row>
    <row r="229" ht="21.75" customHeight="1">
      <c r="A229" s="802"/>
      <c r="B229" s="802"/>
      <c r="C229" s="802"/>
      <c r="D229" s="802"/>
      <c r="E229" s="802"/>
      <c r="F229" s="802"/>
      <c r="G229" s="802"/>
      <c r="H229" s="802"/>
      <c r="I229" s="802"/>
      <c r="J229" s="802"/>
      <c r="K229" s="802"/>
      <c r="L229" s="802"/>
      <c r="M229" s="802"/>
      <c r="N229" s="802"/>
      <c r="O229" s="802"/>
      <c r="P229" s="802"/>
      <c r="Q229" s="802"/>
      <c r="R229" s="802"/>
      <c r="S229" s="802"/>
      <c r="T229" s="802"/>
      <c r="U229" s="802"/>
      <c r="V229" s="802"/>
      <c r="W229" s="802"/>
      <c r="X229" s="802"/>
      <c r="Y229" s="802"/>
      <c r="Z229" s="802"/>
      <c r="AA229" s="802"/>
      <c r="AB229" s="802"/>
      <c r="AC229" s="802"/>
      <c r="AD229" s="802"/>
      <c r="AE229" s="802"/>
      <c r="AF229" s="802"/>
      <c r="AG229" s="802"/>
      <c r="AH229" s="802"/>
      <c r="AI229" s="802"/>
      <c r="AJ229" s="802"/>
      <c r="AK229" s="802"/>
      <c r="AL229" s="802"/>
      <c r="AM229" s="802"/>
      <c r="AN229" s="802"/>
      <c r="AO229" s="802"/>
      <c r="AP229" s="802"/>
      <c r="AQ229" s="802"/>
      <c r="AR229" s="802"/>
      <c r="AS229" s="802"/>
      <c r="AT229" s="802"/>
      <c r="AU229" s="802"/>
      <c r="AV229" s="802"/>
      <c r="AW229" s="802"/>
      <c r="AX229" s="802"/>
      <c r="AY229" s="802"/>
    </row>
    <row r="230" ht="21.75" customHeight="1">
      <c r="A230" s="802"/>
      <c r="B230" s="802"/>
      <c r="C230" s="802"/>
      <c r="D230" s="802"/>
      <c r="E230" s="802"/>
      <c r="F230" s="802"/>
      <c r="G230" s="802"/>
      <c r="H230" s="802"/>
      <c r="I230" s="802"/>
      <c r="J230" s="802"/>
      <c r="K230" s="802"/>
      <c r="L230" s="802"/>
      <c r="M230" s="802"/>
      <c r="N230" s="802"/>
      <c r="O230" s="802"/>
      <c r="P230" s="802"/>
      <c r="Q230" s="802"/>
      <c r="R230" s="802"/>
      <c r="S230" s="802"/>
      <c r="T230" s="802"/>
      <c r="U230" s="802"/>
      <c r="V230" s="802"/>
      <c r="W230" s="802"/>
      <c r="X230" s="802"/>
      <c r="Y230" s="802"/>
      <c r="Z230" s="802"/>
      <c r="AA230" s="802"/>
      <c r="AB230" s="802"/>
      <c r="AC230" s="802"/>
      <c r="AD230" s="802"/>
      <c r="AE230" s="802"/>
      <c r="AF230" s="802"/>
      <c r="AG230" s="802"/>
      <c r="AH230" s="802"/>
      <c r="AI230" s="802"/>
      <c r="AJ230" s="802"/>
      <c r="AK230" s="802"/>
      <c r="AL230" s="802"/>
      <c r="AM230" s="802"/>
      <c r="AN230" s="802"/>
      <c r="AO230" s="802"/>
      <c r="AP230" s="802"/>
      <c r="AQ230" s="802"/>
      <c r="AR230" s="802"/>
      <c r="AS230" s="802"/>
      <c r="AT230" s="802"/>
      <c r="AU230" s="802"/>
      <c r="AV230" s="802"/>
      <c r="AW230" s="802"/>
      <c r="AX230" s="802"/>
      <c r="AY230" s="802"/>
    </row>
    <row r="231" ht="21.75" customHeight="1">
      <c r="A231" s="802"/>
      <c r="B231" s="802"/>
      <c r="C231" s="802"/>
      <c r="D231" s="802"/>
      <c r="E231" s="802"/>
      <c r="F231" s="802"/>
      <c r="G231" s="802"/>
      <c r="H231" s="802"/>
      <c r="I231" s="802"/>
      <c r="J231" s="802"/>
      <c r="K231" s="802"/>
      <c r="L231" s="802"/>
      <c r="M231" s="802"/>
      <c r="N231" s="802"/>
      <c r="O231" s="802"/>
      <c r="P231" s="802"/>
      <c r="Q231" s="802"/>
      <c r="R231" s="802"/>
      <c r="S231" s="802"/>
      <c r="T231" s="802"/>
      <c r="U231" s="802"/>
      <c r="V231" s="802"/>
      <c r="W231" s="802"/>
      <c r="X231" s="802"/>
      <c r="Y231" s="802"/>
      <c r="Z231" s="802"/>
      <c r="AA231" s="802"/>
      <c r="AB231" s="802"/>
      <c r="AC231" s="802"/>
      <c r="AD231" s="802"/>
      <c r="AE231" s="802"/>
      <c r="AF231" s="802"/>
      <c r="AG231" s="802"/>
      <c r="AH231" s="802"/>
      <c r="AI231" s="802"/>
      <c r="AJ231" s="802"/>
      <c r="AK231" s="802"/>
      <c r="AL231" s="802"/>
      <c r="AM231" s="802"/>
      <c r="AN231" s="802"/>
      <c r="AO231" s="802"/>
      <c r="AP231" s="802"/>
      <c r="AQ231" s="802"/>
      <c r="AR231" s="802"/>
      <c r="AS231" s="802"/>
      <c r="AT231" s="802"/>
      <c r="AU231" s="802"/>
      <c r="AV231" s="802"/>
      <c r="AW231" s="802"/>
      <c r="AX231" s="802"/>
      <c r="AY231" s="802"/>
    </row>
    <row r="232" ht="21.75" customHeight="1">
      <c r="A232" s="802"/>
      <c r="B232" s="802"/>
      <c r="C232" s="802"/>
      <c r="D232" s="802"/>
      <c r="E232" s="802"/>
      <c r="F232" s="802"/>
      <c r="G232" s="802"/>
      <c r="H232" s="802"/>
      <c r="I232" s="802"/>
      <c r="J232" s="802"/>
      <c r="K232" s="802"/>
      <c r="L232" s="802"/>
      <c r="M232" s="802"/>
      <c r="N232" s="802"/>
      <c r="O232" s="802"/>
      <c r="P232" s="802"/>
      <c r="Q232" s="802"/>
      <c r="R232" s="802"/>
      <c r="S232" s="802"/>
      <c r="T232" s="802"/>
      <c r="U232" s="802"/>
      <c r="V232" s="802"/>
      <c r="W232" s="802"/>
      <c r="X232" s="802"/>
      <c r="Y232" s="802"/>
      <c r="Z232" s="802"/>
      <c r="AA232" s="802"/>
      <c r="AB232" s="802"/>
      <c r="AC232" s="802"/>
      <c r="AD232" s="802"/>
      <c r="AE232" s="802"/>
      <c r="AF232" s="802"/>
      <c r="AG232" s="802"/>
      <c r="AH232" s="802"/>
      <c r="AI232" s="802"/>
      <c r="AJ232" s="802"/>
      <c r="AK232" s="802"/>
      <c r="AL232" s="802"/>
      <c r="AM232" s="802"/>
      <c r="AN232" s="802"/>
      <c r="AO232" s="802"/>
      <c r="AP232" s="802"/>
      <c r="AQ232" s="802"/>
      <c r="AR232" s="802"/>
      <c r="AS232" s="802"/>
      <c r="AT232" s="802"/>
      <c r="AU232" s="802"/>
      <c r="AV232" s="802"/>
      <c r="AW232" s="802"/>
      <c r="AX232" s="802"/>
      <c r="AY232" s="802"/>
    </row>
    <row r="233" ht="21.75" customHeight="1">
      <c r="A233" s="802"/>
      <c r="B233" s="802"/>
      <c r="C233" s="802"/>
      <c r="D233" s="802"/>
      <c r="E233" s="802"/>
      <c r="F233" s="802"/>
      <c r="G233" s="802"/>
      <c r="H233" s="802"/>
      <c r="I233" s="802"/>
      <c r="J233" s="802"/>
      <c r="K233" s="802"/>
      <c r="L233" s="802"/>
      <c r="M233" s="802"/>
      <c r="N233" s="802"/>
      <c r="O233" s="802"/>
      <c r="P233" s="802"/>
      <c r="Q233" s="802"/>
      <c r="R233" s="802"/>
      <c r="S233" s="802"/>
      <c r="T233" s="802"/>
      <c r="U233" s="802"/>
      <c r="V233" s="802"/>
      <c r="W233" s="802"/>
      <c r="X233" s="802"/>
      <c r="Y233" s="802"/>
      <c r="Z233" s="802"/>
      <c r="AA233" s="802"/>
      <c r="AB233" s="802"/>
      <c r="AC233" s="802"/>
      <c r="AD233" s="802"/>
      <c r="AE233" s="802"/>
      <c r="AF233" s="802"/>
      <c r="AG233" s="802"/>
      <c r="AH233" s="802"/>
      <c r="AI233" s="802"/>
      <c r="AJ233" s="802"/>
      <c r="AK233" s="802"/>
      <c r="AL233" s="802"/>
      <c r="AM233" s="802"/>
      <c r="AN233" s="802"/>
      <c r="AO233" s="802"/>
      <c r="AP233" s="802"/>
      <c r="AQ233" s="802"/>
      <c r="AR233" s="802"/>
      <c r="AS233" s="802"/>
      <c r="AT233" s="802"/>
      <c r="AU233" s="802"/>
      <c r="AV233" s="802"/>
      <c r="AW233" s="802"/>
      <c r="AX233" s="802"/>
      <c r="AY233" s="802"/>
    </row>
    <row r="234" ht="21.75" customHeight="1">
      <c r="A234" s="802"/>
      <c r="B234" s="802"/>
      <c r="C234" s="802"/>
      <c r="D234" s="802"/>
      <c r="E234" s="802"/>
      <c r="F234" s="802"/>
      <c r="G234" s="802"/>
      <c r="H234" s="802"/>
      <c r="I234" s="802"/>
      <c r="J234" s="802"/>
      <c r="K234" s="802"/>
      <c r="L234" s="802"/>
      <c r="M234" s="802"/>
      <c r="N234" s="802"/>
      <c r="O234" s="802"/>
      <c r="P234" s="802"/>
      <c r="Q234" s="802"/>
      <c r="R234" s="802"/>
      <c r="S234" s="802"/>
      <c r="T234" s="802"/>
      <c r="U234" s="802"/>
      <c r="V234" s="802"/>
      <c r="W234" s="802"/>
      <c r="X234" s="802"/>
      <c r="Y234" s="802"/>
      <c r="Z234" s="802"/>
      <c r="AA234" s="802"/>
      <c r="AB234" s="802"/>
      <c r="AC234" s="802"/>
      <c r="AD234" s="802"/>
      <c r="AE234" s="802"/>
      <c r="AF234" s="802"/>
      <c r="AG234" s="802"/>
      <c r="AH234" s="802"/>
      <c r="AI234" s="802"/>
      <c r="AJ234" s="802"/>
      <c r="AK234" s="802"/>
      <c r="AL234" s="802"/>
      <c r="AM234" s="802"/>
      <c r="AN234" s="802"/>
      <c r="AO234" s="802"/>
      <c r="AP234" s="802"/>
      <c r="AQ234" s="802"/>
      <c r="AR234" s="802"/>
      <c r="AS234" s="802"/>
      <c r="AT234" s="802"/>
      <c r="AU234" s="802"/>
      <c r="AV234" s="802"/>
      <c r="AW234" s="802"/>
      <c r="AX234" s="802"/>
      <c r="AY234" s="802"/>
    </row>
    <row r="235" ht="21.75" customHeight="1">
      <c r="A235" s="802"/>
      <c r="B235" s="802"/>
      <c r="C235" s="802"/>
      <c r="D235" s="802"/>
      <c r="E235" s="802"/>
      <c r="F235" s="802"/>
      <c r="G235" s="802"/>
      <c r="H235" s="802"/>
      <c r="I235" s="802"/>
      <c r="J235" s="802"/>
      <c r="K235" s="802"/>
      <c r="L235" s="802"/>
      <c r="M235" s="802"/>
      <c r="N235" s="802"/>
      <c r="O235" s="802"/>
      <c r="P235" s="802"/>
      <c r="Q235" s="802"/>
      <c r="R235" s="802"/>
      <c r="S235" s="802"/>
      <c r="T235" s="802"/>
      <c r="U235" s="802"/>
      <c r="V235" s="802"/>
      <c r="W235" s="802"/>
      <c r="X235" s="802"/>
      <c r="Y235" s="802"/>
      <c r="Z235" s="802"/>
      <c r="AA235" s="802"/>
      <c r="AB235" s="802"/>
      <c r="AC235" s="802"/>
      <c r="AD235" s="802"/>
      <c r="AE235" s="802"/>
      <c r="AF235" s="802"/>
      <c r="AG235" s="802"/>
      <c r="AH235" s="802"/>
      <c r="AI235" s="802"/>
      <c r="AJ235" s="802"/>
      <c r="AK235" s="802"/>
      <c r="AL235" s="802"/>
      <c r="AM235" s="802"/>
      <c r="AN235" s="802"/>
      <c r="AO235" s="802"/>
      <c r="AP235" s="802"/>
      <c r="AQ235" s="802"/>
      <c r="AR235" s="802"/>
      <c r="AS235" s="802"/>
      <c r="AT235" s="802"/>
      <c r="AU235" s="802"/>
      <c r="AV235" s="802"/>
      <c r="AW235" s="802"/>
      <c r="AX235" s="802"/>
      <c r="AY235" s="802"/>
    </row>
    <row r="236" ht="21.75" customHeight="1">
      <c r="A236" s="802"/>
      <c r="B236" s="802"/>
      <c r="C236" s="802"/>
      <c r="D236" s="802"/>
      <c r="E236" s="802"/>
      <c r="F236" s="802"/>
      <c r="G236" s="802"/>
      <c r="H236" s="802"/>
      <c r="I236" s="802"/>
      <c r="J236" s="802"/>
      <c r="K236" s="802"/>
      <c r="L236" s="802"/>
      <c r="M236" s="802"/>
      <c r="N236" s="802"/>
      <c r="O236" s="802"/>
      <c r="P236" s="802"/>
      <c r="Q236" s="802"/>
      <c r="R236" s="802"/>
      <c r="S236" s="802"/>
      <c r="T236" s="802"/>
      <c r="U236" s="802"/>
      <c r="V236" s="802"/>
      <c r="W236" s="802"/>
      <c r="X236" s="802"/>
      <c r="Y236" s="802"/>
      <c r="Z236" s="802"/>
      <c r="AA236" s="802"/>
      <c r="AB236" s="802"/>
      <c r="AC236" s="802"/>
      <c r="AD236" s="802"/>
      <c r="AE236" s="802"/>
      <c r="AF236" s="802"/>
      <c r="AG236" s="802"/>
      <c r="AH236" s="802"/>
      <c r="AI236" s="802"/>
      <c r="AJ236" s="802"/>
      <c r="AK236" s="802"/>
      <c r="AL236" s="802"/>
      <c r="AM236" s="802"/>
      <c r="AN236" s="802"/>
      <c r="AO236" s="802"/>
      <c r="AP236" s="802"/>
      <c r="AQ236" s="802"/>
      <c r="AR236" s="802"/>
      <c r="AS236" s="802"/>
      <c r="AT236" s="802"/>
      <c r="AU236" s="802"/>
      <c r="AV236" s="802"/>
      <c r="AW236" s="802"/>
      <c r="AX236" s="802"/>
      <c r="AY236" s="802"/>
    </row>
    <row r="237" ht="21.75" customHeight="1">
      <c r="A237" s="802"/>
      <c r="B237" s="802"/>
      <c r="C237" s="802"/>
      <c r="D237" s="802"/>
      <c r="E237" s="802"/>
      <c r="F237" s="802"/>
      <c r="G237" s="802"/>
      <c r="H237" s="802"/>
      <c r="I237" s="802"/>
      <c r="J237" s="802"/>
      <c r="K237" s="802"/>
      <c r="L237" s="802"/>
      <c r="M237" s="802"/>
      <c r="N237" s="802"/>
      <c r="O237" s="802"/>
      <c r="P237" s="802"/>
      <c r="Q237" s="802"/>
      <c r="R237" s="802"/>
      <c r="S237" s="802"/>
      <c r="T237" s="802"/>
      <c r="U237" s="802"/>
      <c r="V237" s="802"/>
      <c r="W237" s="802"/>
      <c r="X237" s="802"/>
      <c r="Y237" s="802"/>
      <c r="Z237" s="802"/>
      <c r="AA237" s="802"/>
      <c r="AB237" s="802"/>
      <c r="AC237" s="802"/>
      <c r="AD237" s="802"/>
      <c r="AE237" s="802"/>
      <c r="AF237" s="802"/>
      <c r="AG237" s="802"/>
      <c r="AH237" s="802"/>
      <c r="AI237" s="802"/>
      <c r="AJ237" s="802"/>
      <c r="AK237" s="802"/>
      <c r="AL237" s="802"/>
      <c r="AM237" s="802"/>
      <c r="AN237" s="802"/>
      <c r="AO237" s="802"/>
      <c r="AP237" s="802"/>
      <c r="AQ237" s="802"/>
      <c r="AR237" s="802"/>
      <c r="AS237" s="802"/>
      <c r="AT237" s="802"/>
      <c r="AU237" s="802"/>
      <c r="AV237" s="802"/>
      <c r="AW237" s="802"/>
      <c r="AX237" s="802"/>
      <c r="AY237" s="802"/>
    </row>
    <row r="238" ht="21.75" customHeight="1">
      <c r="A238" s="802"/>
      <c r="B238" s="802"/>
      <c r="C238" s="802"/>
      <c r="D238" s="802"/>
      <c r="E238" s="802"/>
      <c r="F238" s="802"/>
      <c r="G238" s="802"/>
      <c r="H238" s="802"/>
      <c r="I238" s="802"/>
      <c r="J238" s="802"/>
      <c r="K238" s="802"/>
      <c r="L238" s="802"/>
      <c r="M238" s="802"/>
      <c r="N238" s="802"/>
      <c r="O238" s="802"/>
      <c r="P238" s="802"/>
      <c r="Q238" s="802"/>
      <c r="R238" s="802"/>
      <c r="S238" s="802"/>
      <c r="T238" s="802"/>
      <c r="U238" s="802"/>
      <c r="V238" s="802"/>
      <c r="W238" s="802"/>
      <c r="X238" s="802"/>
      <c r="Y238" s="802"/>
      <c r="Z238" s="802"/>
      <c r="AA238" s="802"/>
      <c r="AB238" s="802"/>
      <c r="AC238" s="802"/>
      <c r="AD238" s="802"/>
      <c r="AE238" s="802"/>
      <c r="AF238" s="802"/>
      <c r="AG238" s="802"/>
      <c r="AH238" s="802"/>
      <c r="AI238" s="802"/>
      <c r="AJ238" s="802"/>
      <c r="AK238" s="802"/>
      <c r="AL238" s="802"/>
      <c r="AM238" s="802"/>
      <c r="AN238" s="802"/>
      <c r="AO238" s="802"/>
      <c r="AP238" s="802"/>
      <c r="AQ238" s="802"/>
      <c r="AR238" s="802"/>
      <c r="AS238" s="802"/>
      <c r="AT238" s="802"/>
      <c r="AU238" s="802"/>
      <c r="AV238" s="802"/>
      <c r="AW238" s="802"/>
      <c r="AX238" s="802"/>
      <c r="AY238" s="802"/>
    </row>
    <row r="239" ht="21.75" customHeight="1">
      <c r="A239" s="802"/>
      <c r="B239" s="802"/>
      <c r="C239" s="802"/>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802"/>
      <c r="AQ239" s="802"/>
      <c r="AR239" s="802"/>
      <c r="AS239" s="802"/>
      <c r="AT239" s="802"/>
      <c r="AU239" s="802"/>
      <c r="AV239" s="802"/>
      <c r="AW239" s="802"/>
      <c r="AX239" s="802"/>
      <c r="AY239" s="802"/>
    </row>
    <row r="240" ht="21.75" customHeight="1">
      <c r="A240" s="802"/>
      <c r="B240" s="802"/>
      <c r="C240" s="802"/>
      <c r="D240" s="802"/>
      <c r="E240" s="802"/>
      <c r="F240" s="802"/>
      <c r="G240" s="802"/>
      <c r="H240" s="802"/>
      <c r="I240" s="802"/>
      <c r="J240" s="802"/>
      <c r="K240" s="802"/>
      <c r="L240" s="802"/>
      <c r="M240" s="802"/>
      <c r="N240" s="802"/>
      <c r="O240" s="802"/>
      <c r="P240" s="802"/>
      <c r="Q240" s="802"/>
      <c r="R240" s="802"/>
      <c r="S240" s="802"/>
      <c r="T240" s="802"/>
      <c r="U240" s="802"/>
      <c r="V240" s="802"/>
      <c r="W240" s="802"/>
      <c r="X240" s="802"/>
      <c r="Y240" s="802"/>
      <c r="Z240" s="802"/>
      <c r="AA240" s="802"/>
      <c r="AB240" s="802"/>
      <c r="AC240" s="802"/>
      <c r="AD240" s="802"/>
      <c r="AE240" s="802"/>
      <c r="AF240" s="802"/>
      <c r="AG240" s="802"/>
      <c r="AH240" s="802"/>
      <c r="AI240" s="802"/>
      <c r="AJ240" s="802"/>
      <c r="AK240" s="802"/>
      <c r="AL240" s="802"/>
      <c r="AM240" s="802"/>
      <c r="AN240" s="802"/>
      <c r="AO240" s="802"/>
      <c r="AP240" s="802"/>
      <c r="AQ240" s="802"/>
      <c r="AR240" s="802"/>
      <c r="AS240" s="802"/>
      <c r="AT240" s="802"/>
      <c r="AU240" s="802"/>
      <c r="AV240" s="802"/>
      <c r="AW240" s="802"/>
      <c r="AX240" s="802"/>
      <c r="AY240" s="802"/>
    </row>
    <row r="241" ht="21.75" customHeight="1">
      <c r="A241" s="802"/>
      <c r="B241" s="802"/>
      <c r="C241" s="802"/>
      <c r="D241" s="802"/>
      <c r="E241" s="802"/>
      <c r="F241" s="802"/>
      <c r="G241" s="802"/>
      <c r="H241" s="802"/>
      <c r="I241" s="802"/>
      <c r="J241" s="802"/>
      <c r="K241" s="802"/>
      <c r="L241" s="802"/>
      <c r="M241" s="802"/>
      <c r="N241" s="802"/>
      <c r="O241" s="802"/>
      <c r="P241" s="802"/>
      <c r="Q241" s="802"/>
      <c r="R241" s="802"/>
      <c r="S241" s="802"/>
      <c r="T241" s="802"/>
      <c r="U241" s="802"/>
      <c r="V241" s="802"/>
      <c r="W241" s="802"/>
      <c r="X241" s="802"/>
      <c r="Y241" s="802"/>
      <c r="Z241" s="802"/>
      <c r="AA241" s="802"/>
      <c r="AB241" s="802"/>
      <c r="AC241" s="802"/>
      <c r="AD241" s="802"/>
      <c r="AE241" s="802"/>
      <c r="AF241" s="802"/>
      <c r="AG241" s="802"/>
      <c r="AH241" s="802"/>
      <c r="AI241" s="802"/>
      <c r="AJ241" s="802"/>
      <c r="AK241" s="802"/>
      <c r="AL241" s="802"/>
      <c r="AM241" s="802"/>
      <c r="AN241" s="802"/>
      <c r="AO241" s="802"/>
      <c r="AP241" s="802"/>
      <c r="AQ241" s="802"/>
      <c r="AR241" s="802"/>
      <c r="AS241" s="802"/>
      <c r="AT241" s="802"/>
      <c r="AU241" s="802"/>
      <c r="AV241" s="802"/>
      <c r="AW241" s="802"/>
      <c r="AX241" s="802"/>
      <c r="AY241" s="802"/>
    </row>
    <row r="242" ht="21.75" customHeight="1">
      <c r="A242" s="802"/>
      <c r="B242" s="802"/>
      <c r="C242" s="802"/>
      <c r="D242" s="802"/>
      <c r="E242" s="802"/>
      <c r="F242" s="802"/>
      <c r="G242" s="802"/>
      <c r="H242" s="802"/>
      <c r="I242" s="802"/>
      <c r="J242" s="802"/>
      <c r="K242" s="802"/>
      <c r="L242" s="802"/>
      <c r="M242" s="802"/>
      <c r="N242" s="802"/>
      <c r="O242" s="802"/>
      <c r="P242" s="802"/>
      <c r="Q242" s="802"/>
      <c r="R242" s="802"/>
      <c r="S242" s="802"/>
      <c r="T242" s="802"/>
      <c r="U242" s="802"/>
      <c r="V242" s="802"/>
      <c r="W242" s="802"/>
      <c r="X242" s="802"/>
      <c r="Y242" s="802"/>
      <c r="Z242" s="802"/>
      <c r="AA242" s="802"/>
      <c r="AB242" s="802"/>
      <c r="AC242" s="802"/>
      <c r="AD242" s="802"/>
      <c r="AE242" s="802"/>
      <c r="AF242" s="802"/>
      <c r="AG242" s="802"/>
      <c r="AH242" s="802"/>
      <c r="AI242" s="802"/>
      <c r="AJ242" s="802"/>
      <c r="AK242" s="802"/>
      <c r="AL242" s="802"/>
      <c r="AM242" s="802"/>
      <c r="AN242" s="802"/>
      <c r="AO242" s="802"/>
      <c r="AP242" s="802"/>
      <c r="AQ242" s="802"/>
      <c r="AR242" s="802"/>
      <c r="AS242" s="802"/>
      <c r="AT242" s="802"/>
      <c r="AU242" s="802"/>
      <c r="AV242" s="802"/>
      <c r="AW242" s="802"/>
      <c r="AX242" s="802"/>
      <c r="AY242" s="802"/>
    </row>
    <row r="243" ht="21.75" customHeight="1">
      <c r="A243" s="802"/>
      <c r="B243" s="802"/>
      <c r="C243" s="802"/>
      <c r="D243" s="802"/>
      <c r="E243" s="802"/>
      <c r="F243" s="802"/>
      <c r="G243" s="802"/>
      <c r="H243" s="802"/>
      <c r="I243" s="802"/>
      <c r="J243" s="802"/>
      <c r="K243" s="802"/>
      <c r="L243" s="802"/>
      <c r="M243" s="802"/>
      <c r="N243" s="802"/>
      <c r="O243" s="802"/>
      <c r="P243" s="802"/>
      <c r="Q243" s="802"/>
      <c r="R243" s="802"/>
      <c r="S243" s="802"/>
      <c r="T243" s="802"/>
      <c r="U243" s="802"/>
      <c r="V243" s="802"/>
      <c r="W243" s="802"/>
      <c r="X243" s="802"/>
      <c r="Y243" s="802"/>
      <c r="Z243" s="802"/>
      <c r="AA243" s="802"/>
      <c r="AB243" s="802"/>
      <c r="AC243" s="802"/>
      <c r="AD243" s="802"/>
      <c r="AE243" s="802"/>
      <c r="AF243" s="802"/>
      <c r="AG243" s="802"/>
      <c r="AH243" s="802"/>
      <c r="AI243" s="802"/>
      <c r="AJ243" s="802"/>
      <c r="AK243" s="802"/>
      <c r="AL243" s="802"/>
      <c r="AM243" s="802"/>
      <c r="AN243" s="802"/>
      <c r="AO243" s="802"/>
      <c r="AP243" s="802"/>
      <c r="AQ243" s="802"/>
      <c r="AR243" s="802"/>
      <c r="AS243" s="802"/>
      <c r="AT243" s="802"/>
      <c r="AU243" s="802"/>
      <c r="AV243" s="802"/>
      <c r="AW243" s="802"/>
      <c r="AX243" s="802"/>
      <c r="AY243" s="802"/>
    </row>
    <row r="244" ht="21.75" customHeight="1">
      <c r="A244" s="802"/>
      <c r="B244" s="802"/>
      <c r="C244" s="802"/>
      <c r="D244" s="802"/>
      <c r="E244" s="802"/>
      <c r="F244" s="802"/>
      <c r="G244" s="802"/>
      <c r="H244" s="802"/>
      <c r="I244" s="802"/>
      <c r="J244" s="802"/>
      <c r="K244" s="802"/>
      <c r="L244" s="802"/>
      <c r="M244" s="802"/>
      <c r="N244" s="802"/>
      <c r="O244" s="802"/>
      <c r="P244" s="802"/>
      <c r="Q244" s="802"/>
      <c r="R244" s="802"/>
      <c r="S244" s="802"/>
      <c r="T244" s="802"/>
      <c r="U244" s="802"/>
      <c r="V244" s="802"/>
      <c r="W244" s="802"/>
      <c r="X244" s="802"/>
      <c r="Y244" s="802"/>
      <c r="Z244" s="802"/>
      <c r="AA244" s="802"/>
      <c r="AB244" s="802"/>
      <c r="AC244" s="802"/>
      <c r="AD244" s="802"/>
      <c r="AE244" s="802"/>
      <c r="AF244" s="802"/>
      <c r="AG244" s="802"/>
      <c r="AH244" s="802"/>
      <c r="AI244" s="802"/>
      <c r="AJ244" s="802"/>
      <c r="AK244" s="802"/>
      <c r="AL244" s="802"/>
      <c r="AM244" s="802"/>
      <c r="AN244" s="802"/>
      <c r="AO244" s="802"/>
      <c r="AP244" s="802"/>
      <c r="AQ244" s="802"/>
      <c r="AR244" s="802"/>
      <c r="AS244" s="802"/>
      <c r="AT244" s="802"/>
      <c r="AU244" s="802"/>
      <c r="AV244" s="802"/>
      <c r="AW244" s="802"/>
      <c r="AX244" s="802"/>
      <c r="AY244" s="802"/>
    </row>
    <row r="245" ht="21.75" customHeight="1">
      <c r="A245" s="802"/>
      <c r="B245" s="802"/>
      <c r="C245" s="802"/>
      <c r="D245" s="802"/>
      <c r="E245" s="802"/>
      <c r="F245" s="802"/>
      <c r="G245" s="802"/>
      <c r="H245" s="802"/>
      <c r="I245" s="802"/>
      <c r="J245" s="802"/>
      <c r="K245" s="802"/>
      <c r="L245" s="802"/>
      <c r="M245" s="802"/>
      <c r="N245" s="802"/>
      <c r="O245" s="802"/>
      <c r="P245" s="802"/>
      <c r="Q245" s="802"/>
      <c r="R245" s="802"/>
      <c r="S245" s="802"/>
      <c r="T245" s="802"/>
      <c r="U245" s="802"/>
      <c r="V245" s="802"/>
      <c r="W245" s="802"/>
      <c r="X245" s="802"/>
      <c r="Y245" s="802"/>
      <c r="Z245" s="802"/>
      <c r="AA245" s="802"/>
      <c r="AB245" s="802"/>
      <c r="AC245" s="802"/>
      <c r="AD245" s="802"/>
      <c r="AE245" s="802"/>
      <c r="AF245" s="802"/>
      <c r="AG245" s="802"/>
      <c r="AH245" s="802"/>
      <c r="AI245" s="802"/>
      <c r="AJ245" s="802"/>
      <c r="AK245" s="802"/>
      <c r="AL245" s="802"/>
      <c r="AM245" s="802"/>
      <c r="AN245" s="802"/>
      <c r="AO245" s="802"/>
      <c r="AP245" s="802"/>
      <c r="AQ245" s="802"/>
      <c r="AR245" s="802"/>
      <c r="AS245" s="802"/>
      <c r="AT245" s="802"/>
      <c r="AU245" s="802"/>
      <c r="AV245" s="802"/>
      <c r="AW245" s="802"/>
      <c r="AX245" s="802"/>
      <c r="AY245" s="802"/>
    </row>
    <row r="246" ht="21.75" customHeight="1">
      <c r="A246" s="802"/>
      <c r="B246" s="802"/>
      <c r="C246" s="802"/>
      <c r="D246" s="802"/>
      <c r="E246" s="802"/>
      <c r="F246" s="802"/>
      <c r="G246" s="802"/>
      <c r="H246" s="802"/>
      <c r="I246" s="802"/>
      <c r="J246" s="802"/>
      <c r="K246" s="802"/>
      <c r="L246" s="802"/>
      <c r="M246" s="802"/>
      <c r="N246" s="802"/>
      <c r="O246" s="802"/>
      <c r="P246" s="802"/>
      <c r="Q246" s="802"/>
      <c r="R246" s="802"/>
      <c r="S246" s="802"/>
      <c r="T246" s="802"/>
      <c r="U246" s="802"/>
      <c r="V246" s="802"/>
      <c r="W246" s="802"/>
      <c r="X246" s="802"/>
      <c r="Y246" s="802"/>
      <c r="Z246" s="802"/>
      <c r="AA246" s="802"/>
      <c r="AB246" s="802"/>
      <c r="AC246" s="802"/>
      <c r="AD246" s="802"/>
      <c r="AE246" s="802"/>
      <c r="AF246" s="802"/>
      <c r="AG246" s="802"/>
      <c r="AH246" s="802"/>
      <c r="AI246" s="802"/>
      <c r="AJ246" s="802"/>
      <c r="AK246" s="802"/>
      <c r="AL246" s="802"/>
      <c r="AM246" s="802"/>
      <c r="AN246" s="802"/>
      <c r="AO246" s="802"/>
      <c r="AP246" s="802"/>
      <c r="AQ246" s="802"/>
      <c r="AR246" s="802"/>
      <c r="AS246" s="802"/>
      <c r="AT246" s="802"/>
      <c r="AU246" s="802"/>
      <c r="AV246" s="802"/>
      <c r="AW246" s="802"/>
      <c r="AX246" s="802"/>
      <c r="AY246" s="802"/>
    </row>
    <row r="247" ht="21.75" customHeight="1">
      <c r="A247" s="802"/>
      <c r="B247" s="802"/>
      <c r="C247" s="802"/>
      <c r="D247" s="802"/>
      <c r="E247" s="802"/>
      <c r="F247" s="802"/>
      <c r="G247" s="802"/>
      <c r="H247" s="802"/>
      <c r="I247" s="802"/>
      <c r="J247" s="802"/>
      <c r="K247" s="802"/>
      <c r="L247" s="802"/>
      <c r="M247" s="802"/>
      <c r="N247" s="802"/>
      <c r="O247" s="802"/>
      <c r="P247" s="802"/>
      <c r="Q247" s="802"/>
      <c r="R247" s="802"/>
      <c r="S247" s="802"/>
      <c r="T247" s="802"/>
      <c r="U247" s="802"/>
      <c r="V247" s="802"/>
      <c r="W247" s="802"/>
      <c r="X247" s="802"/>
      <c r="Y247" s="802"/>
      <c r="Z247" s="802"/>
      <c r="AA247" s="802"/>
      <c r="AB247" s="802"/>
      <c r="AC247" s="802"/>
      <c r="AD247" s="802"/>
      <c r="AE247" s="802"/>
      <c r="AF247" s="802"/>
      <c r="AG247" s="802"/>
      <c r="AH247" s="802"/>
      <c r="AI247" s="802"/>
      <c r="AJ247" s="802"/>
      <c r="AK247" s="802"/>
      <c r="AL247" s="802"/>
      <c r="AM247" s="802"/>
      <c r="AN247" s="802"/>
      <c r="AO247" s="802"/>
      <c r="AP247" s="802"/>
      <c r="AQ247" s="802"/>
      <c r="AR247" s="802"/>
      <c r="AS247" s="802"/>
      <c r="AT247" s="802"/>
      <c r="AU247" s="802"/>
      <c r="AV247" s="802"/>
      <c r="AW247" s="802"/>
      <c r="AX247" s="802"/>
      <c r="AY247" s="802"/>
    </row>
    <row r="248" ht="21.75" customHeight="1">
      <c r="A248" s="802"/>
      <c r="B248" s="802"/>
      <c r="C248" s="802"/>
      <c r="D248" s="802"/>
      <c r="E248" s="802"/>
      <c r="F248" s="802"/>
      <c r="G248" s="802"/>
      <c r="H248" s="802"/>
      <c r="I248" s="802"/>
      <c r="J248" s="802"/>
      <c r="K248" s="802"/>
      <c r="L248" s="802"/>
      <c r="M248" s="802"/>
      <c r="N248" s="802"/>
      <c r="O248" s="802"/>
      <c r="P248" s="802"/>
      <c r="Q248" s="802"/>
      <c r="R248" s="802"/>
      <c r="S248" s="802"/>
      <c r="T248" s="802"/>
      <c r="U248" s="802"/>
      <c r="V248" s="802"/>
      <c r="W248" s="802"/>
      <c r="X248" s="802"/>
      <c r="Y248" s="802"/>
      <c r="Z248" s="802"/>
      <c r="AA248" s="802"/>
      <c r="AB248" s="802"/>
      <c r="AC248" s="802"/>
      <c r="AD248" s="802"/>
      <c r="AE248" s="802"/>
      <c r="AF248" s="802"/>
      <c r="AG248" s="802"/>
      <c r="AH248" s="802"/>
      <c r="AI248" s="802"/>
      <c r="AJ248" s="802"/>
      <c r="AK248" s="802"/>
      <c r="AL248" s="802"/>
      <c r="AM248" s="802"/>
      <c r="AN248" s="802"/>
      <c r="AO248" s="802"/>
      <c r="AP248" s="802"/>
      <c r="AQ248" s="802"/>
      <c r="AR248" s="802"/>
      <c r="AS248" s="802"/>
      <c r="AT248" s="802"/>
      <c r="AU248" s="802"/>
      <c r="AV248" s="802"/>
      <c r="AW248" s="802"/>
      <c r="AX248" s="802"/>
      <c r="AY248" s="802"/>
    </row>
    <row r="249" ht="21.75" customHeight="1">
      <c r="A249" s="802"/>
      <c r="B249" s="802"/>
      <c r="C249" s="802"/>
      <c r="D249" s="802"/>
      <c r="E249" s="802"/>
      <c r="F249" s="802"/>
      <c r="G249" s="802"/>
      <c r="H249" s="802"/>
      <c r="I249" s="802"/>
      <c r="J249" s="802"/>
      <c r="K249" s="802"/>
      <c r="L249" s="802"/>
      <c r="M249" s="802"/>
      <c r="N249" s="802"/>
      <c r="O249" s="802"/>
      <c r="P249" s="802"/>
      <c r="Q249" s="802"/>
      <c r="R249" s="802"/>
      <c r="S249" s="802"/>
      <c r="T249" s="802"/>
      <c r="U249" s="802"/>
      <c r="V249" s="802"/>
      <c r="W249" s="802"/>
      <c r="X249" s="802"/>
      <c r="Y249" s="802"/>
      <c r="Z249" s="802"/>
      <c r="AA249" s="802"/>
      <c r="AB249" s="802"/>
      <c r="AC249" s="802"/>
      <c r="AD249" s="802"/>
      <c r="AE249" s="802"/>
      <c r="AF249" s="802"/>
      <c r="AG249" s="802"/>
      <c r="AH249" s="802"/>
      <c r="AI249" s="802"/>
      <c r="AJ249" s="802"/>
      <c r="AK249" s="802"/>
      <c r="AL249" s="802"/>
      <c r="AM249" s="802"/>
      <c r="AN249" s="802"/>
      <c r="AO249" s="802"/>
      <c r="AP249" s="802"/>
      <c r="AQ249" s="802"/>
      <c r="AR249" s="802"/>
      <c r="AS249" s="802"/>
      <c r="AT249" s="802"/>
      <c r="AU249" s="802"/>
      <c r="AV249" s="802"/>
      <c r="AW249" s="802"/>
      <c r="AX249" s="802"/>
      <c r="AY249" s="802"/>
    </row>
    <row r="250" ht="21.75" customHeight="1">
      <c r="A250" s="802"/>
      <c r="B250" s="802"/>
      <c r="C250" s="802"/>
      <c r="D250" s="802"/>
      <c r="E250" s="802"/>
      <c r="F250" s="802"/>
      <c r="G250" s="802"/>
      <c r="H250" s="802"/>
      <c r="I250" s="802"/>
      <c r="J250" s="802"/>
      <c r="K250" s="802"/>
      <c r="L250" s="802"/>
      <c r="M250" s="802"/>
      <c r="N250" s="802"/>
      <c r="O250" s="802"/>
      <c r="P250" s="802"/>
      <c r="Q250" s="802"/>
      <c r="R250" s="802"/>
      <c r="S250" s="802"/>
      <c r="T250" s="802"/>
      <c r="U250" s="802"/>
      <c r="V250" s="802"/>
      <c r="W250" s="802"/>
      <c r="X250" s="802"/>
      <c r="Y250" s="802"/>
      <c r="Z250" s="802"/>
      <c r="AA250" s="802"/>
      <c r="AB250" s="802"/>
      <c r="AC250" s="802"/>
      <c r="AD250" s="802"/>
      <c r="AE250" s="802"/>
      <c r="AF250" s="802"/>
      <c r="AG250" s="802"/>
      <c r="AH250" s="802"/>
      <c r="AI250" s="802"/>
      <c r="AJ250" s="802"/>
      <c r="AK250" s="802"/>
      <c r="AL250" s="802"/>
      <c r="AM250" s="802"/>
      <c r="AN250" s="802"/>
      <c r="AO250" s="802"/>
      <c r="AP250" s="802"/>
      <c r="AQ250" s="802"/>
      <c r="AR250" s="802"/>
      <c r="AS250" s="802"/>
      <c r="AT250" s="802"/>
      <c r="AU250" s="802"/>
      <c r="AV250" s="802"/>
      <c r="AW250" s="802"/>
      <c r="AX250" s="802"/>
      <c r="AY250" s="802"/>
    </row>
    <row r="251" ht="21.75" customHeight="1">
      <c r="A251" s="802"/>
      <c r="B251" s="802"/>
      <c r="C251" s="802"/>
      <c r="D251" s="802"/>
      <c r="E251" s="802"/>
      <c r="F251" s="802"/>
      <c r="G251" s="802"/>
      <c r="H251" s="802"/>
      <c r="I251" s="802"/>
      <c r="J251" s="802"/>
      <c r="K251" s="802"/>
      <c r="L251" s="802"/>
      <c r="M251" s="802"/>
      <c r="N251" s="802"/>
      <c r="O251" s="802"/>
      <c r="P251" s="802"/>
      <c r="Q251" s="802"/>
      <c r="R251" s="802"/>
      <c r="S251" s="802"/>
      <c r="T251" s="802"/>
      <c r="U251" s="802"/>
      <c r="V251" s="802"/>
      <c r="W251" s="802"/>
      <c r="X251" s="802"/>
      <c r="Y251" s="802"/>
      <c r="Z251" s="802"/>
      <c r="AA251" s="802"/>
      <c r="AB251" s="802"/>
      <c r="AC251" s="802"/>
      <c r="AD251" s="802"/>
      <c r="AE251" s="802"/>
      <c r="AF251" s="802"/>
      <c r="AG251" s="802"/>
      <c r="AH251" s="802"/>
      <c r="AI251" s="802"/>
      <c r="AJ251" s="802"/>
      <c r="AK251" s="802"/>
      <c r="AL251" s="802"/>
      <c r="AM251" s="802"/>
      <c r="AN251" s="802"/>
      <c r="AO251" s="802"/>
      <c r="AP251" s="802"/>
      <c r="AQ251" s="802"/>
      <c r="AR251" s="802"/>
      <c r="AS251" s="802"/>
      <c r="AT251" s="802"/>
      <c r="AU251" s="802"/>
      <c r="AV251" s="802"/>
      <c r="AW251" s="802"/>
      <c r="AX251" s="802"/>
      <c r="AY251" s="802"/>
    </row>
    <row r="252" ht="21.75" customHeight="1">
      <c r="A252" s="802"/>
      <c r="B252" s="802"/>
      <c r="C252" s="802"/>
      <c r="D252" s="802"/>
      <c r="E252" s="802"/>
      <c r="F252" s="802"/>
      <c r="G252" s="802"/>
      <c r="H252" s="802"/>
      <c r="I252" s="802"/>
      <c r="J252" s="802"/>
      <c r="K252" s="802"/>
      <c r="L252" s="802"/>
      <c r="M252" s="802"/>
      <c r="N252" s="802"/>
      <c r="O252" s="802"/>
      <c r="P252" s="802"/>
      <c r="Q252" s="802"/>
      <c r="R252" s="802"/>
      <c r="S252" s="802"/>
      <c r="T252" s="802"/>
      <c r="U252" s="802"/>
      <c r="V252" s="802"/>
      <c r="W252" s="802"/>
      <c r="X252" s="802"/>
      <c r="Y252" s="802"/>
      <c r="Z252" s="802"/>
      <c r="AA252" s="802"/>
      <c r="AB252" s="802"/>
      <c r="AC252" s="802"/>
      <c r="AD252" s="802"/>
      <c r="AE252" s="802"/>
      <c r="AF252" s="802"/>
      <c r="AG252" s="802"/>
      <c r="AH252" s="802"/>
      <c r="AI252" s="802"/>
      <c r="AJ252" s="802"/>
      <c r="AK252" s="802"/>
      <c r="AL252" s="802"/>
      <c r="AM252" s="802"/>
      <c r="AN252" s="802"/>
      <c r="AO252" s="802"/>
      <c r="AP252" s="802"/>
      <c r="AQ252" s="802"/>
      <c r="AR252" s="802"/>
      <c r="AS252" s="802"/>
      <c r="AT252" s="802"/>
      <c r="AU252" s="802"/>
      <c r="AV252" s="802"/>
      <c r="AW252" s="802"/>
      <c r="AX252" s="802"/>
      <c r="AY252" s="802"/>
    </row>
    <row r="253" ht="21.75" customHeight="1">
      <c r="A253" s="802"/>
      <c r="B253" s="802"/>
      <c r="C253" s="802"/>
      <c r="D253" s="802"/>
      <c r="E253" s="802"/>
      <c r="F253" s="802"/>
      <c r="G253" s="802"/>
      <c r="H253" s="802"/>
      <c r="I253" s="802"/>
      <c r="J253" s="802"/>
      <c r="K253" s="802"/>
      <c r="L253" s="802"/>
      <c r="M253" s="802"/>
      <c r="N253" s="802"/>
      <c r="O253" s="802"/>
      <c r="P253" s="802"/>
      <c r="Q253" s="802"/>
      <c r="R253" s="802"/>
      <c r="S253" s="802"/>
      <c r="T253" s="802"/>
      <c r="U253" s="802"/>
      <c r="V253" s="802"/>
      <c r="W253" s="802"/>
      <c r="X253" s="802"/>
      <c r="Y253" s="802"/>
      <c r="Z253" s="802"/>
      <c r="AA253" s="802"/>
      <c r="AB253" s="802"/>
      <c r="AC253" s="802"/>
      <c r="AD253" s="802"/>
      <c r="AE253" s="802"/>
      <c r="AF253" s="802"/>
      <c r="AG253" s="802"/>
      <c r="AH253" s="802"/>
      <c r="AI253" s="802"/>
      <c r="AJ253" s="802"/>
      <c r="AK253" s="802"/>
      <c r="AL253" s="802"/>
      <c r="AM253" s="802"/>
      <c r="AN253" s="802"/>
      <c r="AO253" s="802"/>
      <c r="AP253" s="802"/>
      <c r="AQ253" s="802"/>
      <c r="AR253" s="802"/>
      <c r="AS253" s="802"/>
      <c r="AT253" s="802"/>
      <c r="AU253" s="802"/>
      <c r="AV253" s="802"/>
      <c r="AW253" s="802"/>
      <c r="AX253" s="802"/>
      <c r="AY253" s="802"/>
    </row>
    <row r="254" ht="21.75" customHeight="1">
      <c r="A254" s="802"/>
      <c r="B254" s="802"/>
      <c r="C254" s="802"/>
      <c r="D254" s="802"/>
      <c r="E254" s="802"/>
      <c r="F254" s="802"/>
      <c r="G254" s="802"/>
      <c r="H254" s="802"/>
      <c r="I254" s="802"/>
      <c r="J254" s="802"/>
      <c r="K254" s="802"/>
      <c r="L254" s="802"/>
      <c r="M254" s="802"/>
      <c r="N254" s="802"/>
      <c r="O254" s="802"/>
      <c r="P254" s="802"/>
      <c r="Q254" s="802"/>
      <c r="R254" s="802"/>
      <c r="S254" s="802"/>
      <c r="T254" s="802"/>
      <c r="U254" s="802"/>
      <c r="V254" s="802"/>
      <c r="W254" s="802"/>
      <c r="X254" s="802"/>
      <c r="Y254" s="802"/>
      <c r="Z254" s="802"/>
      <c r="AA254" s="802"/>
      <c r="AB254" s="802"/>
      <c r="AC254" s="802"/>
      <c r="AD254" s="802"/>
      <c r="AE254" s="802"/>
      <c r="AF254" s="802"/>
      <c r="AG254" s="802"/>
      <c r="AH254" s="802"/>
      <c r="AI254" s="802"/>
      <c r="AJ254" s="802"/>
      <c r="AK254" s="802"/>
      <c r="AL254" s="802"/>
      <c r="AM254" s="802"/>
      <c r="AN254" s="802"/>
      <c r="AO254" s="802"/>
      <c r="AP254" s="802"/>
      <c r="AQ254" s="802"/>
      <c r="AR254" s="802"/>
      <c r="AS254" s="802"/>
      <c r="AT254" s="802"/>
      <c r="AU254" s="802"/>
      <c r="AV254" s="802"/>
      <c r="AW254" s="802"/>
      <c r="AX254" s="802"/>
      <c r="AY254" s="802"/>
    </row>
    <row r="255" ht="21.75" customHeight="1">
      <c r="A255" s="802"/>
      <c r="B255" s="802"/>
      <c r="C255" s="802"/>
      <c r="D255" s="802"/>
      <c r="E255" s="802"/>
      <c r="F255" s="802"/>
      <c r="G255" s="802"/>
      <c r="H255" s="802"/>
      <c r="I255" s="802"/>
      <c r="J255" s="802"/>
      <c r="K255" s="802"/>
      <c r="L255" s="802"/>
      <c r="M255" s="802"/>
      <c r="N255" s="802"/>
      <c r="O255" s="802"/>
      <c r="P255" s="802"/>
      <c r="Q255" s="802"/>
      <c r="R255" s="802"/>
      <c r="S255" s="802"/>
      <c r="T255" s="802"/>
      <c r="U255" s="802"/>
      <c r="V255" s="802"/>
      <c r="W255" s="802"/>
      <c r="X255" s="802"/>
      <c r="Y255" s="802"/>
      <c r="Z255" s="802"/>
      <c r="AA255" s="802"/>
      <c r="AB255" s="802"/>
      <c r="AC255" s="802"/>
      <c r="AD255" s="802"/>
      <c r="AE255" s="802"/>
      <c r="AF255" s="802"/>
      <c r="AG255" s="802"/>
      <c r="AH255" s="802"/>
      <c r="AI255" s="802"/>
      <c r="AJ255" s="802"/>
      <c r="AK255" s="802"/>
      <c r="AL255" s="802"/>
      <c r="AM255" s="802"/>
      <c r="AN255" s="802"/>
      <c r="AO255" s="802"/>
      <c r="AP255" s="802"/>
      <c r="AQ255" s="802"/>
      <c r="AR255" s="802"/>
      <c r="AS255" s="802"/>
      <c r="AT255" s="802"/>
      <c r="AU255" s="802"/>
      <c r="AV255" s="802"/>
      <c r="AW255" s="802"/>
      <c r="AX255" s="802"/>
      <c r="AY255" s="802"/>
    </row>
    <row r="256" ht="21.75" customHeight="1">
      <c r="A256" s="802"/>
      <c r="B256" s="802"/>
      <c r="C256" s="802"/>
      <c r="D256" s="802"/>
      <c r="E256" s="802"/>
      <c r="F256" s="802"/>
      <c r="G256" s="802"/>
      <c r="H256" s="802"/>
      <c r="I256" s="802"/>
      <c r="J256" s="802"/>
      <c r="K256" s="802"/>
      <c r="L256" s="802"/>
      <c r="M256" s="802"/>
      <c r="N256" s="802"/>
      <c r="O256" s="802"/>
      <c r="P256" s="802"/>
      <c r="Q256" s="802"/>
      <c r="R256" s="802"/>
      <c r="S256" s="802"/>
      <c r="T256" s="802"/>
      <c r="U256" s="802"/>
      <c r="V256" s="802"/>
      <c r="W256" s="802"/>
      <c r="X256" s="802"/>
      <c r="Y256" s="802"/>
      <c r="Z256" s="802"/>
      <c r="AA256" s="802"/>
      <c r="AB256" s="802"/>
      <c r="AC256" s="802"/>
      <c r="AD256" s="802"/>
      <c r="AE256" s="802"/>
      <c r="AF256" s="802"/>
      <c r="AG256" s="802"/>
      <c r="AH256" s="802"/>
      <c r="AI256" s="802"/>
      <c r="AJ256" s="802"/>
      <c r="AK256" s="802"/>
      <c r="AL256" s="802"/>
      <c r="AM256" s="802"/>
      <c r="AN256" s="802"/>
      <c r="AO256" s="802"/>
      <c r="AP256" s="802"/>
      <c r="AQ256" s="802"/>
      <c r="AR256" s="802"/>
      <c r="AS256" s="802"/>
      <c r="AT256" s="802"/>
      <c r="AU256" s="802"/>
      <c r="AV256" s="802"/>
      <c r="AW256" s="802"/>
      <c r="AX256" s="802"/>
      <c r="AY256" s="802"/>
    </row>
    <row r="257" ht="21.75" customHeight="1">
      <c r="A257" s="802"/>
      <c r="B257" s="802"/>
      <c r="C257" s="802"/>
      <c r="D257" s="802"/>
      <c r="E257" s="802"/>
      <c r="F257" s="802"/>
      <c r="G257" s="802"/>
      <c r="H257" s="802"/>
      <c r="I257" s="802"/>
      <c r="J257" s="802"/>
      <c r="K257" s="802"/>
      <c r="L257" s="802"/>
      <c r="M257" s="802"/>
      <c r="N257" s="802"/>
      <c r="O257" s="802"/>
      <c r="P257" s="802"/>
      <c r="Q257" s="802"/>
      <c r="R257" s="802"/>
      <c r="S257" s="802"/>
      <c r="T257" s="802"/>
      <c r="U257" s="802"/>
      <c r="V257" s="802"/>
      <c r="W257" s="802"/>
      <c r="X257" s="802"/>
      <c r="Y257" s="802"/>
      <c r="Z257" s="802"/>
      <c r="AA257" s="802"/>
      <c r="AB257" s="802"/>
      <c r="AC257" s="802"/>
      <c r="AD257" s="802"/>
      <c r="AE257" s="802"/>
      <c r="AF257" s="802"/>
      <c r="AG257" s="802"/>
      <c r="AH257" s="802"/>
      <c r="AI257" s="802"/>
      <c r="AJ257" s="802"/>
      <c r="AK257" s="802"/>
      <c r="AL257" s="802"/>
      <c r="AM257" s="802"/>
      <c r="AN257" s="802"/>
      <c r="AO257" s="802"/>
      <c r="AP257" s="802"/>
      <c r="AQ257" s="802"/>
      <c r="AR257" s="802"/>
      <c r="AS257" s="802"/>
      <c r="AT257" s="802"/>
      <c r="AU257" s="802"/>
      <c r="AV257" s="802"/>
      <c r="AW257" s="802"/>
      <c r="AX257" s="802"/>
      <c r="AY257" s="802"/>
    </row>
    <row r="258" ht="21.75" customHeight="1">
      <c r="A258" s="802"/>
      <c r="B258" s="802"/>
      <c r="C258" s="802"/>
      <c r="D258" s="802"/>
      <c r="E258" s="802"/>
      <c r="F258" s="802"/>
      <c r="G258" s="802"/>
      <c r="H258" s="802"/>
      <c r="I258" s="802"/>
      <c r="J258" s="802"/>
      <c r="K258" s="802"/>
      <c r="L258" s="802"/>
      <c r="M258" s="802"/>
      <c r="N258" s="802"/>
      <c r="O258" s="802"/>
      <c r="P258" s="802"/>
      <c r="Q258" s="802"/>
      <c r="R258" s="802"/>
      <c r="S258" s="802"/>
      <c r="T258" s="802"/>
      <c r="U258" s="802"/>
      <c r="V258" s="802"/>
      <c r="W258" s="802"/>
      <c r="X258" s="802"/>
      <c r="Y258" s="802"/>
      <c r="Z258" s="802"/>
      <c r="AA258" s="802"/>
      <c r="AB258" s="802"/>
      <c r="AC258" s="802"/>
      <c r="AD258" s="802"/>
      <c r="AE258" s="802"/>
      <c r="AF258" s="802"/>
      <c r="AG258" s="802"/>
      <c r="AH258" s="802"/>
      <c r="AI258" s="802"/>
      <c r="AJ258" s="802"/>
      <c r="AK258" s="802"/>
      <c r="AL258" s="802"/>
      <c r="AM258" s="802"/>
      <c r="AN258" s="802"/>
      <c r="AO258" s="802"/>
      <c r="AP258" s="802"/>
      <c r="AQ258" s="802"/>
      <c r="AR258" s="802"/>
      <c r="AS258" s="802"/>
      <c r="AT258" s="802"/>
      <c r="AU258" s="802"/>
      <c r="AV258" s="802"/>
      <c r="AW258" s="802"/>
      <c r="AX258" s="802"/>
      <c r="AY258" s="802"/>
    </row>
    <row r="259" ht="21.75" customHeight="1">
      <c r="A259" s="802"/>
      <c r="B259" s="802"/>
      <c r="C259" s="802"/>
      <c r="D259" s="802"/>
      <c r="E259" s="802"/>
      <c r="F259" s="802"/>
      <c r="G259" s="802"/>
      <c r="H259" s="802"/>
      <c r="I259" s="802"/>
      <c r="J259" s="802"/>
      <c r="K259" s="802"/>
      <c r="L259" s="802"/>
      <c r="M259" s="802"/>
      <c r="N259" s="802"/>
      <c r="O259" s="802"/>
      <c r="P259" s="802"/>
      <c r="Q259" s="802"/>
      <c r="R259" s="802"/>
      <c r="S259" s="802"/>
      <c r="T259" s="802"/>
      <c r="U259" s="802"/>
      <c r="V259" s="802"/>
      <c r="W259" s="802"/>
      <c r="X259" s="802"/>
      <c r="Y259" s="802"/>
      <c r="Z259" s="802"/>
      <c r="AA259" s="802"/>
      <c r="AB259" s="802"/>
      <c r="AC259" s="802"/>
      <c r="AD259" s="802"/>
      <c r="AE259" s="802"/>
      <c r="AF259" s="802"/>
      <c r="AG259" s="802"/>
      <c r="AH259" s="802"/>
      <c r="AI259" s="802"/>
      <c r="AJ259" s="802"/>
      <c r="AK259" s="802"/>
      <c r="AL259" s="802"/>
      <c r="AM259" s="802"/>
      <c r="AN259" s="802"/>
      <c r="AO259" s="802"/>
      <c r="AP259" s="802"/>
      <c r="AQ259" s="802"/>
      <c r="AR259" s="802"/>
      <c r="AS259" s="802"/>
      <c r="AT259" s="802"/>
      <c r="AU259" s="802"/>
      <c r="AV259" s="802"/>
      <c r="AW259" s="802"/>
      <c r="AX259" s="802"/>
      <c r="AY259" s="802"/>
    </row>
    <row r="260" ht="21.75" customHeight="1">
      <c r="A260" s="802"/>
      <c r="B260" s="802"/>
      <c r="C260" s="802"/>
      <c r="D260" s="802"/>
      <c r="E260" s="802"/>
      <c r="F260" s="802"/>
      <c r="G260" s="802"/>
      <c r="H260" s="802"/>
      <c r="I260" s="802"/>
      <c r="J260" s="802"/>
      <c r="K260" s="802"/>
      <c r="L260" s="802"/>
      <c r="M260" s="802"/>
      <c r="N260" s="802"/>
      <c r="O260" s="802"/>
      <c r="P260" s="802"/>
      <c r="Q260" s="802"/>
      <c r="R260" s="802"/>
      <c r="S260" s="802"/>
      <c r="T260" s="802"/>
      <c r="U260" s="802"/>
      <c r="V260" s="802"/>
      <c r="W260" s="802"/>
      <c r="X260" s="802"/>
      <c r="Y260" s="802"/>
      <c r="Z260" s="802"/>
      <c r="AA260" s="802"/>
      <c r="AB260" s="802"/>
      <c r="AC260" s="802"/>
      <c r="AD260" s="802"/>
      <c r="AE260" s="802"/>
      <c r="AF260" s="802"/>
      <c r="AG260" s="802"/>
      <c r="AH260" s="802"/>
      <c r="AI260" s="802"/>
      <c r="AJ260" s="802"/>
      <c r="AK260" s="802"/>
      <c r="AL260" s="802"/>
      <c r="AM260" s="802"/>
      <c r="AN260" s="802"/>
      <c r="AO260" s="802"/>
      <c r="AP260" s="802"/>
      <c r="AQ260" s="802"/>
      <c r="AR260" s="802"/>
      <c r="AS260" s="802"/>
      <c r="AT260" s="802"/>
      <c r="AU260" s="802"/>
      <c r="AV260" s="802"/>
      <c r="AW260" s="802"/>
      <c r="AX260" s="802"/>
      <c r="AY260" s="802"/>
    </row>
    <row r="261" ht="21.75" customHeight="1">
      <c r="A261" s="802"/>
      <c r="B261" s="802"/>
      <c r="C261" s="802"/>
      <c r="D261" s="802"/>
      <c r="E261" s="802"/>
      <c r="F261" s="802"/>
      <c r="G261" s="802"/>
      <c r="H261" s="802"/>
      <c r="I261" s="802"/>
      <c r="J261" s="802"/>
      <c r="K261" s="802"/>
      <c r="L261" s="802"/>
      <c r="M261" s="802"/>
      <c r="N261" s="802"/>
      <c r="O261" s="802"/>
      <c r="P261" s="802"/>
      <c r="Q261" s="802"/>
      <c r="R261" s="802"/>
      <c r="S261" s="802"/>
      <c r="T261" s="802"/>
      <c r="U261" s="802"/>
      <c r="V261" s="802"/>
      <c r="W261" s="802"/>
      <c r="X261" s="802"/>
      <c r="Y261" s="802"/>
      <c r="Z261" s="802"/>
      <c r="AA261" s="802"/>
      <c r="AB261" s="802"/>
      <c r="AC261" s="802"/>
      <c r="AD261" s="802"/>
      <c r="AE261" s="802"/>
      <c r="AF261" s="802"/>
      <c r="AG261" s="802"/>
      <c r="AH261" s="802"/>
      <c r="AI261" s="802"/>
      <c r="AJ261" s="802"/>
      <c r="AK261" s="802"/>
      <c r="AL261" s="802"/>
      <c r="AM261" s="802"/>
      <c r="AN261" s="802"/>
      <c r="AO261" s="802"/>
      <c r="AP261" s="802"/>
      <c r="AQ261" s="802"/>
      <c r="AR261" s="802"/>
      <c r="AS261" s="802"/>
      <c r="AT261" s="802"/>
      <c r="AU261" s="802"/>
      <c r="AV261" s="802"/>
      <c r="AW261" s="802"/>
      <c r="AX261" s="802"/>
      <c r="AY261" s="802"/>
    </row>
    <row r="262" ht="21.75" customHeight="1">
      <c r="A262" s="802"/>
      <c r="B262" s="802"/>
      <c r="C262" s="802"/>
      <c r="D262" s="802"/>
      <c r="E262" s="802"/>
      <c r="F262" s="802"/>
      <c r="G262" s="802"/>
      <c r="H262" s="802"/>
      <c r="I262" s="802"/>
      <c r="J262" s="802"/>
      <c r="K262" s="802"/>
      <c r="L262" s="802"/>
      <c r="M262" s="802"/>
      <c r="N262" s="802"/>
      <c r="O262" s="802"/>
      <c r="P262" s="802"/>
      <c r="Q262" s="802"/>
      <c r="R262" s="802"/>
      <c r="S262" s="802"/>
      <c r="T262" s="802"/>
      <c r="U262" s="802"/>
      <c r="V262" s="802"/>
      <c r="W262" s="802"/>
      <c r="X262" s="802"/>
      <c r="Y262" s="802"/>
      <c r="Z262" s="802"/>
      <c r="AA262" s="802"/>
      <c r="AB262" s="802"/>
      <c r="AC262" s="802"/>
      <c r="AD262" s="802"/>
      <c r="AE262" s="802"/>
      <c r="AF262" s="802"/>
      <c r="AG262" s="802"/>
      <c r="AH262" s="802"/>
      <c r="AI262" s="802"/>
      <c r="AJ262" s="802"/>
      <c r="AK262" s="802"/>
      <c r="AL262" s="802"/>
      <c r="AM262" s="802"/>
      <c r="AN262" s="802"/>
      <c r="AO262" s="802"/>
      <c r="AP262" s="802"/>
      <c r="AQ262" s="802"/>
      <c r="AR262" s="802"/>
      <c r="AS262" s="802"/>
      <c r="AT262" s="802"/>
      <c r="AU262" s="802"/>
      <c r="AV262" s="802"/>
      <c r="AW262" s="802"/>
      <c r="AX262" s="802"/>
      <c r="AY262" s="802"/>
    </row>
    <row r="263" ht="21.75" customHeight="1">
      <c r="A263" s="802"/>
      <c r="B263" s="802"/>
      <c r="C263" s="802"/>
      <c r="D263" s="802"/>
      <c r="E263" s="802"/>
      <c r="F263" s="802"/>
      <c r="G263" s="802"/>
      <c r="H263" s="802"/>
      <c r="I263" s="802"/>
      <c r="J263" s="802"/>
      <c r="K263" s="802"/>
      <c r="L263" s="802"/>
      <c r="M263" s="802"/>
      <c r="N263" s="802"/>
      <c r="O263" s="802"/>
      <c r="P263" s="802"/>
      <c r="Q263" s="802"/>
      <c r="R263" s="802"/>
      <c r="S263" s="802"/>
      <c r="T263" s="802"/>
      <c r="U263" s="802"/>
      <c r="V263" s="802"/>
      <c r="W263" s="802"/>
      <c r="X263" s="802"/>
      <c r="Y263" s="802"/>
      <c r="Z263" s="802"/>
      <c r="AA263" s="802"/>
      <c r="AB263" s="802"/>
      <c r="AC263" s="802"/>
      <c r="AD263" s="802"/>
      <c r="AE263" s="802"/>
      <c r="AF263" s="802"/>
      <c r="AG263" s="802"/>
      <c r="AH263" s="802"/>
      <c r="AI263" s="802"/>
      <c r="AJ263" s="802"/>
      <c r="AK263" s="802"/>
      <c r="AL263" s="802"/>
      <c r="AM263" s="802"/>
      <c r="AN263" s="802"/>
      <c r="AO263" s="802"/>
      <c r="AP263" s="802"/>
      <c r="AQ263" s="802"/>
      <c r="AR263" s="802"/>
      <c r="AS263" s="802"/>
      <c r="AT263" s="802"/>
      <c r="AU263" s="802"/>
      <c r="AV263" s="802"/>
      <c r="AW263" s="802"/>
      <c r="AX263" s="802"/>
      <c r="AY263" s="802"/>
    </row>
    <row r="264" ht="21.75" customHeight="1">
      <c r="A264" s="802"/>
      <c r="B264" s="802"/>
      <c r="C264" s="802"/>
      <c r="D264" s="802"/>
      <c r="E264" s="802"/>
      <c r="F264" s="802"/>
      <c r="G264" s="802"/>
      <c r="H264" s="802"/>
      <c r="I264" s="802"/>
      <c r="J264" s="802"/>
      <c r="K264" s="802"/>
      <c r="L264" s="802"/>
      <c r="M264" s="802"/>
      <c r="N264" s="802"/>
      <c r="O264" s="802"/>
      <c r="P264" s="802"/>
      <c r="Q264" s="802"/>
      <c r="R264" s="802"/>
      <c r="S264" s="802"/>
      <c r="T264" s="802"/>
      <c r="U264" s="802"/>
      <c r="V264" s="802"/>
      <c r="W264" s="802"/>
      <c r="X264" s="802"/>
      <c r="Y264" s="802"/>
      <c r="Z264" s="802"/>
      <c r="AA264" s="802"/>
      <c r="AB264" s="802"/>
      <c r="AC264" s="802"/>
      <c r="AD264" s="802"/>
      <c r="AE264" s="802"/>
      <c r="AF264" s="802"/>
      <c r="AG264" s="802"/>
      <c r="AH264" s="802"/>
      <c r="AI264" s="802"/>
      <c r="AJ264" s="802"/>
      <c r="AK264" s="802"/>
      <c r="AL264" s="802"/>
      <c r="AM264" s="802"/>
      <c r="AN264" s="802"/>
      <c r="AO264" s="802"/>
      <c r="AP264" s="802"/>
      <c r="AQ264" s="802"/>
      <c r="AR264" s="802"/>
      <c r="AS264" s="802"/>
      <c r="AT264" s="802"/>
      <c r="AU264" s="802"/>
      <c r="AV264" s="802"/>
      <c r="AW264" s="802"/>
      <c r="AX264" s="802"/>
      <c r="AY264" s="802"/>
    </row>
    <row r="265" ht="21.75" customHeight="1">
      <c r="A265" s="802"/>
      <c r="B265" s="802"/>
      <c r="C265" s="802"/>
      <c r="D265" s="802"/>
      <c r="E265" s="802"/>
      <c r="F265" s="802"/>
      <c r="G265" s="802"/>
      <c r="H265" s="802"/>
      <c r="I265" s="802"/>
      <c r="J265" s="802"/>
      <c r="K265" s="802"/>
      <c r="L265" s="802"/>
      <c r="M265" s="802"/>
      <c r="N265" s="802"/>
      <c r="O265" s="802"/>
      <c r="P265" s="802"/>
      <c r="Q265" s="802"/>
      <c r="R265" s="802"/>
      <c r="S265" s="802"/>
      <c r="T265" s="802"/>
      <c r="U265" s="802"/>
      <c r="V265" s="802"/>
      <c r="W265" s="802"/>
      <c r="X265" s="802"/>
      <c r="Y265" s="802"/>
      <c r="Z265" s="802"/>
      <c r="AA265" s="802"/>
      <c r="AB265" s="802"/>
      <c r="AC265" s="802"/>
      <c r="AD265" s="802"/>
      <c r="AE265" s="802"/>
      <c r="AF265" s="802"/>
      <c r="AG265" s="802"/>
      <c r="AH265" s="802"/>
      <c r="AI265" s="802"/>
      <c r="AJ265" s="802"/>
      <c r="AK265" s="802"/>
      <c r="AL265" s="802"/>
      <c r="AM265" s="802"/>
      <c r="AN265" s="802"/>
      <c r="AO265" s="802"/>
      <c r="AP265" s="802"/>
      <c r="AQ265" s="802"/>
      <c r="AR265" s="802"/>
      <c r="AS265" s="802"/>
      <c r="AT265" s="802"/>
      <c r="AU265" s="802"/>
      <c r="AV265" s="802"/>
      <c r="AW265" s="802"/>
      <c r="AX265" s="802"/>
      <c r="AY265" s="802"/>
    </row>
    <row r="266" ht="21.75" customHeight="1">
      <c r="A266" s="802"/>
      <c r="B266" s="802"/>
      <c r="C266" s="802"/>
      <c r="D266" s="802"/>
      <c r="E266" s="802"/>
      <c r="F266" s="802"/>
      <c r="G266" s="802"/>
      <c r="H266" s="802"/>
      <c r="I266" s="802"/>
      <c r="J266" s="802"/>
      <c r="K266" s="802"/>
      <c r="L266" s="802"/>
      <c r="M266" s="802"/>
      <c r="N266" s="802"/>
      <c r="O266" s="802"/>
      <c r="P266" s="802"/>
      <c r="Q266" s="802"/>
      <c r="R266" s="802"/>
      <c r="S266" s="802"/>
      <c r="T266" s="802"/>
      <c r="U266" s="802"/>
      <c r="V266" s="802"/>
      <c r="W266" s="802"/>
      <c r="X266" s="802"/>
      <c r="Y266" s="802"/>
      <c r="Z266" s="802"/>
      <c r="AA266" s="802"/>
      <c r="AB266" s="802"/>
      <c r="AC266" s="802"/>
      <c r="AD266" s="802"/>
      <c r="AE266" s="802"/>
      <c r="AF266" s="802"/>
      <c r="AG266" s="802"/>
      <c r="AH266" s="802"/>
      <c r="AI266" s="802"/>
      <c r="AJ266" s="802"/>
      <c r="AK266" s="802"/>
      <c r="AL266" s="802"/>
      <c r="AM266" s="802"/>
      <c r="AN266" s="802"/>
      <c r="AO266" s="802"/>
      <c r="AP266" s="802"/>
      <c r="AQ266" s="802"/>
      <c r="AR266" s="802"/>
      <c r="AS266" s="802"/>
      <c r="AT266" s="802"/>
      <c r="AU266" s="802"/>
      <c r="AV266" s="802"/>
      <c r="AW266" s="802"/>
      <c r="AX266" s="802"/>
      <c r="AY266" s="802"/>
    </row>
    <row r="267" ht="21.75" customHeight="1">
      <c r="A267" s="802"/>
      <c r="B267" s="802"/>
      <c r="C267" s="802"/>
      <c r="D267" s="802"/>
      <c r="E267" s="802"/>
      <c r="F267" s="802"/>
      <c r="G267" s="802"/>
      <c r="H267" s="802"/>
      <c r="I267" s="802"/>
      <c r="J267" s="802"/>
      <c r="K267" s="802"/>
      <c r="L267" s="802"/>
      <c r="M267" s="802"/>
      <c r="N267" s="802"/>
      <c r="O267" s="802"/>
      <c r="P267" s="802"/>
      <c r="Q267" s="802"/>
      <c r="R267" s="802"/>
      <c r="S267" s="802"/>
      <c r="T267" s="802"/>
      <c r="U267" s="802"/>
      <c r="V267" s="802"/>
      <c r="W267" s="802"/>
      <c r="X267" s="802"/>
      <c r="Y267" s="802"/>
      <c r="Z267" s="802"/>
      <c r="AA267" s="802"/>
      <c r="AB267" s="802"/>
      <c r="AC267" s="802"/>
      <c r="AD267" s="802"/>
      <c r="AE267" s="802"/>
      <c r="AF267" s="802"/>
      <c r="AG267" s="802"/>
      <c r="AH267" s="802"/>
      <c r="AI267" s="802"/>
      <c r="AJ267" s="802"/>
      <c r="AK267" s="802"/>
      <c r="AL267" s="802"/>
      <c r="AM267" s="802"/>
      <c r="AN267" s="802"/>
      <c r="AO267" s="802"/>
      <c r="AP267" s="802"/>
      <c r="AQ267" s="802"/>
      <c r="AR267" s="802"/>
      <c r="AS267" s="802"/>
      <c r="AT267" s="802"/>
      <c r="AU267" s="802"/>
      <c r="AV267" s="802"/>
      <c r="AW267" s="802"/>
      <c r="AX267" s="802"/>
      <c r="AY267" s="802"/>
    </row>
    <row r="268" ht="21.75" customHeight="1">
      <c r="A268" s="802"/>
      <c r="B268" s="802"/>
      <c r="C268" s="802"/>
      <c r="D268" s="802"/>
      <c r="E268" s="802"/>
      <c r="F268" s="802"/>
      <c r="G268" s="802"/>
      <c r="H268" s="802"/>
      <c r="I268" s="802"/>
      <c r="J268" s="802"/>
      <c r="K268" s="802"/>
      <c r="L268" s="802"/>
      <c r="M268" s="802"/>
      <c r="N268" s="802"/>
      <c r="O268" s="802"/>
      <c r="P268" s="802"/>
      <c r="Q268" s="802"/>
      <c r="R268" s="802"/>
      <c r="S268" s="802"/>
      <c r="T268" s="802"/>
      <c r="U268" s="802"/>
      <c r="V268" s="802"/>
      <c r="W268" s="802"/>
      <c r="X268" s="802"/>
      <c r="Y268" s="802"/>
      <c r="Z268" s="802"/>
      <c r="AA268" s="802"/>
      <c r="AB268" s="802"/>
      <c r="AC268" s="802"/>
      <c r="AD268" s="802"/>
      <c r="AE268" s="802"/>
      <c r="AF268" s="802"/>
      <c r="AG268" s="802"/>
      <c r="AH268" s="802"/>
      <c r="AI268" s="802"/>
      <c r="AJ268" s="802"/>
      <c r="AK268" s="802"/>
      <c r="AL268" s="802"/>
      <c r="AM268" s="802"/>
      <c r="AN268" s="802"/>
      <c r="AO268" s="802"/>
      <c r="AP268" s="802"/>
      <c r="AQ268" s="802"/>
      <c r="AR268" s="802"/>
      <c r="AS268" s="802"/>
      <c r="AT268" s="802"/>
      <c r="AU268" s="802"/>
      <c r="AV268" s="802"/>
      <c r="AW268" s="802"/>
      <c r="AX268" s="802"/>
      <c r="AY268" s="802"/>
    </row>
    <row r="269" ht="21.75" customHeight="1">
      <c r="A269" s="802"/>
      <c r="B269" s="802"/>
      <c r="C269" s="802"/>
      <c r="D269" s="802"/>
      <c r="E269" s="802"/>
      <c r="F269" s="802"/>
      <c r="G269" s="802"/>
      <c r="H269" s="802"/>
      <c r="I269" s="802"/>
      <c r="J269" s="802"/>
      <c r="K269" s="802"/>
      <c r="L269" s="802"/>
      <c r="M269" s="802"/>
      <c r="N269" s="802"/>
      <c r="O269" s="802"/>
      <c r="P269" s="802"/>
      <c r="Q269" s="802"/>
      <c r="R269" s="802"/>
      <c r="S269" s="802"/>
      <c r="T269" s="802"/>
      <c r="U269" s="802"/>
      <c r="V269" s="802"/>
      <c r="W269" s="802"/>
      <c r="X269" s="802"/>
      <c r="Y269" s="802"/>
      <c r="Z269" s="802"/>
      <c r="AA269" s="802"/>
      <c r="AB269" s="802"/>
      <c r="AC269" s="802"/>
      <c r="AD269" s="802"/>
      <c r="AE269" s="802"/>
      <c r="AF269" s="802"/>
      <c r="AG269" s="802"/>
      <c r="AH269" s="802"/>
      <c r="AI269" s="802"/>
      <c r="AJ269" s="802"/>
      <c r="AK269" s="802"/>
      <c r="AL269" s="802"/>
      <c r="AM269" s="802"/>
      <c r="AN269" s="802"/>
      <c r="AO269" s="802"/>
      <c r="AP269" s="802"/>
      <c r="AQ269" s="802"/>
      <c r="AR269" s="802"/>
      <c r="AS269" s="802"/>
      <c r="AT269" s="802"/>
      <c r="AU269" s="802"/>
      <c r="AV269" s="802"/>
      <c r="AW269" s="802"/>
      <c r="AX269" s="802"/>
      <c r="AY269" s="802"/>
    </row>
    <row r="270" ht="21.75" customHeight="1">
      <c r="A270" s="802"/>
      <c r="B270" s="802"/>
      <c r="C270" s="802"/>
      <c r="D270" s="802"/>
      <c r="E270" s="802"/>
      <c r="F270" s="802"/>
      <c r="G270" s="802"/>
      <c r="H270" s="802"/>
      <c r="I270" s="802"/>
      <c r="J270" s="802"/>
      <c r="K270" s="802"/>
      <c r="L270" s="802"/>
      <c r="M270" s="802"/>
      <c r="N270" s="802"/>
      <c r="O270" s="802"/>
      <c r="P270" s="802"/>
      <c r="Q270" s="802"/>
      <c r="R270" s="802"/>
      <c r="S270" s="802"/>
      <c r="T270" s="802"/>
      <c r="U270" s="802"/>
      <c r="V270" s="802"/>
      <c r="W270" s="802"/>
      <c r="X270" s="802"/>
      <c r="Y270" s="802"/>
      <c r="Z270" s="802"/>
      <c r="AA270" s="802"/>
      <c r="AB270" s="802"/>
      <c r="AC270" s="802"/>
      <c r="AD270" s="802"/>
      <c r="AE270" s="802"/>
      <c r="AF270" s="802"/>
      <c r="AG270" s="802"/>
      <c r="AH270" s="802"/>
      <c r="AI270" s="802"/>
      <c r="AJ270" s="802"/>
      <c r="AK270" s="802"/>
      <c r="AL270" s="802"/>
      <c r="AM270" s="802"/>
      <c r="AN270" s="802"/>
      <c r="AO270" s="802"/>
      <c r="AP270" s="802"/>
      <c r="AQ270" s="802"/>
      <c r="AR270" s="802"/>
      <c r="AS270" s="802"/>
      <c r="AT270" s="802"/>
      <c r="AU270" s="802"/>
      <c r="AV270" s="802"/>
      <c r="AW270" s="802"/>
      <c r="AX270" s="802"/>
      <c r="AY270" s="802"/>
    </row>
    <row r="271" ht="21.75" customHeight="1">
      <c r="A271" s="802"/>
      <c r="B271" s="802"/>
      <c r="C271" s="802"/>
      <c r="D271" s="802"/>
      <c r="E271" s="802"/>
      <c r="F271" s="802"/>
      <c r="G271" s="802"/>
      <c r="H271" s="802"/>
      <c r="I271" s="802"/>
      <c r="J271" s="802"/>
      <c r="K271" s="802"/>
      <c r="L271" s="802"/>
      <c r="M271" s="802"/>
      <c r="N271" s="802"/>
      <c r="O271" s="802"/>
      <c r="P271" s="802"/>
      <c r="Q271" s="802"/>
      <c r="R271" s="802"/>
      <c r="S271" s="802"/>
      <c r="T271" s="802"/>
      <c r="U271" s="802"/>
      <c r="V271" s="802"/>
      <c r="W271" s="802"/>
      <c r="X271" s="802"/>
      <c r="Y271" s="802"/>
      <c r="Z271" s="802"/>
      <c r="AA271" s="802"/>
      <c r="AB271" s="802"/>
      <c r="AC271" s="802"/>
      <c r="AD271" s="802"/>
      <c r="AE271" s="802"/>
      <c r="AF271" s="802"/>
      <c r="AG271" s="802"/>
      <c r="AH271" s="802"/>
      <c r="AI271" s="802"/>
      <c r="AJ271" s="802"/>
      <c r="AK271" s="802"/>
      <c r="AL271" s="802"/>
      <c r="AM271" s="802"/>
      <c r="AN271" s="802"/>
      <c r="AO271" s="802"/>
      <c r="AP271" s="802"/>
      <c r="AQ271" s="802"/>
      <c r="AR271" s="802"/>
      <c r="AS271" s="802"/>
      <c r="AT271" s="802"/>
      <c r="AU271" s="802"/>
      <c r="AV271" s="802"/>
      <c r="AW271" s="802"/>
      <c r="AX271" s="802"/>
      <c r="AY271" s="802"/>
    </row>
    <row r="272" ht="21.75" customHeight="1">
      <c r="A272" s="802"/>
      <c r="B272" s="802"/>
      <c r="C272" s="802"/>
      <c r="D272" s="802"/>
      <c r="E272" s="802"/>
      <c r="F272" s="802"/>
      <c r="G272" s="802"/>
      <c r="H272" s="802"/>
      <c r="I272" s="802"/>
      <c r="J272" s="802"/>
      <c r="K272" s="802"/>
      <c r="L272" s="802"/>
      <c r="M272" s="802"/>
      <c r="N272" s="802"/>
      <c r="O272" s="802"/>
      <c r="P272" s="802"/>
      <c r="Q272" s="802"/>
      <c r="R272" s="802"/>
      <c r="S272" s="802"/>
      <c r="T272" s="802"/>
      <c r="U272" s="802"/>
      <c r="V272" s="802"/>
      <c r="W272" s="802"/>
      <c r="X272" s="802"/>
      <c r="Y272" s="802"/>
      <c r="Z272" s="802"/>
      <c r="AA272" s="802"/>
      <c r="AB272" s="802"/>
      <c r="AC272" s="802"/>
      <c r="AD272" s="802"/>
      <c r="AE272" s="802"/>
      <c r="AF272" s="802"/>
      <c r="AG272" s="802"/>
      <c r="AH272" s="802"/>
      <c r="AI272" s="802"/>
      <c r="AJ272" s="802"/>
      <c r="AK272" s="802"/>
      <c r="AL272" s="802"/>
      <c r="AM272" s="802"/>
      <c r="AN272" s="802"/>
      <c r="AO272" s="802"/>
      <c r="AP272" s="802"/>
      <c r="AQ272" s="802"/>
      <c r="AR272" s="802"/>
      <c r="AS272" s="802"/>
      <c r="AT272" s="802"/>
      <c r="AU272" s="802"/>
      <c r="AV272" s="802"/>
      <c r="AW272" s="802"/>
      <c r="AX272" s="802"/>
      <c r="AY272" s="802"/>
    </row>
    <row r="273" ht="21.75" customHeight="1">
      <c r="A273" s="802"/>
      <c r="B273" s="802"/>
      <c r="C273" s="802"/>
      <c r="D273" s="802"/>
      <c r="E273" s="802"/>
      <c r="F273" s="802"/>
      <c r="G273" s="802"/>
      <c r="H273" s="802"/>
      <c r="I273" s="802"/>
      <c r="J273" s="802"/>
      <c r="K273" s="802"/>
      <c r="L273" s="802"/>
      <c r="M273" s="802"/>
      <c r="N273" s="802"/>
      <c r="O273" s="802"/>
      <c r="P273" s="802"/>
      <c r="Q273" s="802"/>
      <c r="R273" s="802"/>
      <c r="S273" s="802"/>
      <c r="T273" s="802"/>
      <c r="U273" s="802"/>
      <c r="V273" s="802"/>
      <c r="W273" s="802"/>
      <c r="X273" s="802"/>
      <c r="Y273" s="802"/>
      <c r="Z273" s="802"/>
      <c r="AA273" s="802"/>
      <c r="AB273" s="802"/>
      <c r="AC273" s="802"/>
      <c r="AD273" s="802"/>
      <c r="AE273" s="802"/>
      <c r="AF273" s="802"/>
      <c r="AG273" s="802"/>
      <c r="AH273" s="802"/>
      <c r="AI273" s="802"/>
      <c r="AJ273" s="802"/>
      <c r="AK273" s="802"/>
      <c r="AL273" s="802"/>
      <c r="AM273" s="802"/>
      <c r="AN273" s="802"/>
      <c r="AO273" s="802"/>
      <c r="AP273" s="802"/>
      <c r="AQ273" s="802"/>
      <c r="AR273" s="802"/>
      <c r="AS273" s="802"/>
      <c r="AT273" s="802"/>
      <c r="AU273" s="802"/>
      <c r="AV273" s="802"/>
      <c r="AW273" s="802"/>
      <c r="AX273" s="802"/>
      <c r="AY273" s="802"/>
    </row>
    <row r="274" ht="21.75" customHeight="1">
      <c r="A274" s="802"/>
      <c r="B274" s="802"/>
      <c r="C274" s="802"/>
      <c r="D274" s="802"/>
      <c r="E274" s="802"/>
      <c r="F274" s="802"/>
      <c r="G274" s="802"/>
      <c r="H274" s="802"/>
      <c r="I274" s="802"/>
      <c r="J274" s="802"/>
      <c r="K274" s="802"/>
      <c r="L274" s="802"/>
      <c r="M274" s="802"/>
      <c r="N274" s="802"/>
      <c r="O274" s="802"/>
      <c r="P274" s="802"/>
      <c r="Q274" s="802"/>
      <c r="R274" s="802"/>
      <c r="S274" s="802"/>
      <c r="T274" s="802"/>
      <c r="U274" s="802"/>
      <c r="V274" s="802"/>
      <c r="W274" s="802"/>
      <c r="X274" s="802"/>
      <c r="Y274" s="802"/>
      <c r="Z274" s="802"/>
      <c r="AA274" s="802"/>
      <c r="AB274" s="802"/>
      <c r="AC274" s="802"/>
      <c r="AD274" s="802"/>
      <c r="AE274" s="802"/>
      <c r="AF274" s="802"/>
      <c r="AG274" s="802"/>
      <c r="AH274" s="802"/>
      <c r="AI274" s="802"/>
      <c r="AJ274" s="802"/>
      <c r="AK274" s="802"/>
      <c r="AL274" s="802"/>
      <c r="AM274" s="802"/>
      <c r="AN274" s="802"/>
      <c r="AO274" s="802"/>
      <c r="AP274" s="802"/>
      <c r="AQ274" s="802"/>
      <c r="AR274" s="802"/>
      <c r="AS274" s="802"/>
      <c r="AT274" s="802"/>
      <c r="AU274" s="802"/>
      <c r="AV274" s="802"/>
      <c r="AW274" s="802"/>
      <c r="AX274" s="802"/>
      <c r="AY274" s="802"/>
    </row>
    <row r="275" ht="21.75" customHeight="1">
      <c r="A275" s="802"/>
      <c r="B275" s="802"/>
      <c r="C275" s="802"/>
      <c r="D275" s="802"/>
      <c r="E275" s="802"/>
      <c r="F275" s="802"/>
      <c r="G275" s="802"/>
      <c r="H275" s="802"/>
      <c r="I275" s="802"/>
      <c r="J275" s="802"/>
      <c r="K275" s="802"/>
      <c r="L275" s="802"/>
      <c r="M275" s="802"/>
      <c r="N275" s="802"/>
      <c r="O275" s="802"/>
      <c r="P275" s="802"/>
      <c r="Q275" s="802"/>
      <c r="R275" s="802"/>
      <c r="S275" s="802"/>
      <c r="T275" s="802"/>
      <c r="U275" s="802"/>
      <c r="V275" s="802"/>
      <c r="W275" s="802"/>
      <c r="X275" s="802"/>
      <c r="Y275" s="802"/>
      <c r="Z275" s="802"/>
      <c r="AA275" s="802"/>
      <c r="AB275" s="802"/>
      <c r="AC275" s="802"/>
      <c r="AD275" s="802"/>
      <c r="AE275" s="802"/>
      <c r="AF275" s="802"/>
      <c r="AG275" s="802"/>
      <c r="AH275" s="802"/>
      <c r="AI275" s="802"/>
      <c r="AJ275" s="802"/>
      <c r="AK275" s="802"/>
      <c r="AL275" s="802"/>
      <c r="AM275" s="802"/>
      <c r="AN275" s="802"/>
      <c r="AO275" s="802"/>
      <c r="AP275" s="802"/>
      <c r="AQ275" s="802"/>
      <c r="AR275" s="802"/>
      <c r="AS275" s="802"/>
      <c r="AT275" s="802"/>
      <c r="AU275" s="802"/>
      <c r="AV275" s="802"/>
      <c r="AW275" s="802"/>
      <c r="AX275" s="802"/>
      <c r="AY275" s="802"/>
    </row>
    <row r="276" ht="21.75" customHeight="1">
      <c r="A276" s="802"/>
      <c r="B276" s="802"/>
      <c r="C276" s="802"/>
      <c r="D276" s="802"/>
      <c r="E276" s="802"/>
      <c r="F276" s="802"/>
      <c r="G276" s="802"/>
      <c r="H276" s="802"/>
      <c r="I276" s="802"/>
      <c r="J276" s="802"/>
      <c r="K276" s="802"/>
      <c r="L276" s="802"/>
      <c r="M276" s="802"/>
      <c r="N276" s="802"/>
      <c r="O276" s="802"/>
      <c r="P276" s="802"/>
      <c r="Q276" s="802"/>
      <c r="R276" s="802"/>
      <c r="S276" s="802"/>
      <c r="T276" s="802"/>
      <c r="U276" s="802"/>
      <c r="V276" s="802"/>
      <c r="W276" s="802"/>
      <c r="X276" s="802"/>
      <c r="Y276" s="802"/>
      <c r="Z276" s="802"/>
      <c r="AA276" s="802"/>
      <c r="AB276" s="802"/>
      <c r="AC276" s="802"/>
      <c r="AD276" s="802"/>
      <c r="AE276" s="802"/>
      <c r="AF276" s="802"/>
      <c r="AG276" s="802"/>
      <c r="AH276" s="802"/>
      <c r="AI276" s="802"/>
      <c r="AJ276" s="802"/>
      <c r="AK276" s="802"/>
      <c r="AL276" s="802"/>
      <c r="AM276" s="802"/>
      <c r="AN276" s="802"/>
      <c r="AO276" s="802"/>
      <c r="AP276" s="802"/>
      <c r="AQ276" s="802"/>
      <c r="AR276" s="802"/>
      <c r="AS276" s="802"/>
      <c r="AT276" s="802"/>
      <c r="AU276" s="802"/>
      <c r="AV276" s="802"/>
      <c r="AW276" s="802"/>
      <c r="AX276" s="802"/>
      <c r="AY276" s="802"/>
    </row>
    <row r="277" ht="21.75" customHeight="1">
      <c r="A277" s="802"/>
      <c r="B277" s="802"/>
      <c r="C277" s="802"/>
      <c r="D277" s="802"/>
      <c r="E277" s="802"/>
      <c r="F277" s="802"/>
      <c r="G277" s="802"/>
      <c r="H277" s="802"/>
      <c r="I277" s="802"/>
      <c r="J277" s="802"/>
      <c r="K277" s="802"/>
      <c r="L277" s="802"/>
      <c r="M277" s="802"/>
      <c r="N277" s="802"/>
      <c r="O277" s="802"/>
      <c r="P277" s="802"/>
      <c r="Q277" s="802"/>
      <c r="R277" s="802"/>
      <c r="S277" s="802"/>
      <c r="T277" s="802"/>
      <c r="U277" s="802"/>
      <c r="V277" s="802"/>
      <c r="W277" s="802"/>
      <c r="X277" s="802"/>
      <c r="Y277" s="802"/>
      <c r="Z277" s="802"/>
      <c r="AA277" s="802"/>
      <c r="AB277" s="802"/>
      <c r="AC277" s="802"/>
      <c r="AD277" s="802"/>
      <c r="AE277" s="802"/>
      <c r="AF277" s="802"/>
      <c r="AG277" s="802"/>
      <c r="AH277" s="802"/>
      <c r="AI277" s="802"/>
      <c r="AJ277" s="802"/>
      <c r="AK277" s="802"/>
      <c r="AL277" s="802"/>
      <c r="AM277" s="802"/>
      <c r="AN277" s="802"/>
      <c r="AO277" s="802"/>
      <c r="AP277" s="802"/>
      <c r="AQ277" s="802"/>
      <c r="AR277" s="802"/>
      <c r="AS277" s="802"/>
      <c r="AT277" s="802"/>
      <c r="AU277" s="802"/>
      <c r="AV277" s="802"/>
      <c r="AW277" s="802"/>
      <c r="AX277" s="802"/>
      <c r="AY277" s="802"/>
    </row>
    <row r="278" ht="21.75" customHeight="1">
      <c r="A278" s="802"/>
      <c r="B278" s="802"/>
      <c r="C278" s="802"/>
      <c r="D278" s="802"/>
      <c r="E278" s="802"/>
      <c r="F278" s="802"/>
      <c r="G278" s="802"/>
      <c r="H278" s="802"/>
      <c r="I278" s="802"/>
      <c r="J278" s="802"/>
      <c r="K278" s="802"/>
      <c r="L278" s="802"/>
      <c r="M278" s="802"/>
      <c r="N278" s="802"/>
      <c r="O278" s="802"/>
      <c r="P278" s="802"/>
      <c r="Q278" s="802"/>
      <c r="R278" s="802"/>
      <c r="S278" s="802"/>
      <c r="T278" s="802"/>
      <c r="U278" s="802"/>
      <c r="V278" s="802"/>
      <c r="W278" s="802"/>
      <c r="X278" s="802"/>
      <c r="Y278" s="802"/>
      <c r="Z278" s="802"/>
      <c r="AA278" s="802"/>
      <c r="AB278" s="802"/>
      <c r="AC278" s="802"/>
      <c r="AD278" s="802"/>
      <c r="AE278" s="802"/>
      <c r="AF278" s="802"/>
      <c r="AG278" s="802"/>
      <c r="AH278" s="802"/>
      <c r="AI278" s="802"/>
      <c r="AJ278" s="802"/>
      <c r="AK278" s="802"/>
      <c r="AL278" s="802"/>
      <c r="AM278" s="802"/>
      <c r="AN278" s="802"/>
      <c r="AO278" s="802"/>
      <c r="AP278" s="802"/>
      <c r="AQ278" s="802"/>
      <c r="AR278" s="802"/>
      <c r="AS278" s="802"/>
      <c r="AT278" s="802"/>
      <c r="AU278" s="802"/>
      <c r="AV278" s="802"/>
      <c r="AW278" s="802"/>
      <c r="AX278" s="802"/>
      <c r="AY278" s="802"/>
    </row>
    <row r="279" ht="21.75" customHeight="1">
      <c r="A279" s="802"/>
      <c r="B279" s="802"/>
      <c r="C279" s="802"/>
      <c r="D279" s="802"/>
      <c r="E279" s="802"/>
      <c r="F279" s="802"/>
      <c r="G279" s="802"/>
      <c r="H279" s="802"/>
      <c r="I279" s="802"/>
      <c r="J279" s="802"/>
      <c r="K279" s="802"/>
      <c r="L279" s="802"/>
      <c r="M279" s="802"/>
      <c r="N279" s="802"/>
      <c r="O279" s="802"/>
      <c r="P279" s="802"/>
      <c r="Q279" s="802"/>
      <c r="R279" s="802"/>
      <c r="S279" s="802"/>
      <c r="T279" s="802"/>
      <c r="U279" s="802"/>
      <c r="V279" s="802"/>
      <c r="W279" s="802"/>
      <c r="X279" s="802"/>
      <c r="Y279" s="802"/>
      <c r="Z279" s="802"/>
      <c r="AA279" s="802"/>
      <c r="AB279" s="802"/>
      <c r="AC279" s="802"/>
      <c r="AD279" s="802"/>
      <c r="AE279" s="802"/>
      <c r="AF279" s="802"/>
      <c r="AG279" s="802"/>
      <c r="AH279" s="802"/>
      <c r="AI279" s="802"/>
      <c r="AJ279" s="802"/>
      <c r="AK279" s="802"/>
      <c r="AL279" s="802"/>
      <c r="AM279" s="802"/>
      <c r="AN279" s="802"/>
      <c r="AO279" s="802"/>
      <c r="AP279" s="802"/>
      <c r="AQ279" s="802"/>
      <c r="AR279" s="802"/>
      <c r="AS279" s="802"/>
      <c r="AT279" s="802"/>
      <c r="AU279" s="802"/>
      <c r="AV279" s="802"/>
      <c r="AW279" s="802"/>
      <c r="AX279" s="802"/>
      <c r="AY279" s="802"/>
    </row>
    <row r="280" ht="21.75" customHeight="1">
      <c r="A280" s="802"/>
      <c r="B280" s="802"/>
      <c r="C280" s="802"/>
      <c r="D280" s="802"/>
      <c r="E280" s="802"/>
      <c r="F280" s="802"/>
      <c r="G280" s="802"/>
      <c r="H280" s="802"/>
      <c r="I280" s="802"/>
      <c r="J280" s="802"/>
      <c r="K280" s="802"/>
      <c r="L280" s="802"/>
      <c r="M280" s="802"/>
      <c r="N280" s="802"/>
      <c r="O280" s="802"/>
      <c r="P280" s="802"/>
      <c r="Q280" s="802"/>
      <c r="R280" s="802"/>
      <c r="S280" s="802"/>
      <c r="T280" s="802"/>
      <c r="U280" s="802"/>
      <c r="V280" s="802"/>
      <c r="W280" s="802"/>
      <c r="X280" s="802"/>
      <c r="Y280" s="802"/>
      <c r="Z280" s="802"/>
      <c r="AA280" s="802"/>
      <c r="AB280" s="802"/>
      <c r="AC280" s="802"/>
      <c r="AD280" s="802"/>
      <c r="AE280" s="802"/>
      <c r="AF280" s="802"/>
      <c r="AG280" s="802"/>
      <c r="AH280" s="802"/>
      <c r="AI280" s="802"/>
      <c r="AJ280" s="802"/>
      <c r="AK280" s="802"/>
      <c r="AL280" s="802"/>
      <c r="AM280" s="802"/>
      <c r="AN280" s="802"/>
      <c r="AO280" s="802"/>
      <c r="AP280" s="802"/>
      <c r="AQ280" s="802"/>
      <c r="AR280" s="802"/>
      <c r="AS280" s="802"/>
      <c r="AT280" s="802"/>
      <c r="AU280" s="802"/>
      <c r="AV280" s="802"/>
      <c r="AW280" s="802"/>
      <c r="AX280" s="802"/>
      <c r="AY280" s="802"/>
    </row>
    <row r="281" ht="21.75" customHeight="1">
      <c r="A281" s="802"/>
      <c r="B281" s="802"/>
      <c r="C281" s="802"/>
      <c r="D281" s="802"/>
      <c r="E281" s="802"/>
      <c r="F281" s="802"/>
      <c r="G281" s="802"/>
      <c r="H281" s="802"/>
      <c r="I281" s="802"/>
      <c r="J281" s="802"/>
      <c r="K281" s="802"/>
      <c r="L281" s="802"/>
      <c r="M281" s="802"/>
      <c r="N281" s="802"/>
      <c r="O281" s="802"/>
      <c r="P281" s="802"/>
      <c r="Q281" s="802"/>
      <c r="R281" s="802"/>
      <c r="S281" s="802"/>
      <c r="T281" s="802"/>
      <c r="U281" s="802"/>
      <c r="V281" s="802"/>
      <c r="W281" s="802"/>
      <c r="X281" s="802"/>
      <c r="Y281" s="802"/>
      <c r="Z281" s="802"/>
      <c r="AA281" s="802"/>
      <c r="AB281" s="802"/>
      <c r="AC281" s="802"/>
      <c r="AD281" s="802"/>
      <c r="AE281" s="802"/>
      <c r="AF281" s="802"/>
      <c r="AG281" s="802"/>
      <c r="AH281" s="802"/>
      <c r="AI281" s="802"/>
      <c r="AJ281" s="802"/>
      <c r="AK281" s="802"/>
      <c r="AL281" s="802"/>
      <c r="AM281" s="802"/>
      <c r="AN281" s="802"/>
      <c r="AO281" s="802"/>
      <c r="AP281" s="802"/>
      <c r="AQ281" s="802"/>
      <c r="AR281" s="802"/>
      <c r="AS281" s="802"/>
      <c r="AT281" s="802"/>
      <c r="AU281" s="802"/>
      <c r="AV281" s="802"/>
      <c r="AW281" s="802"/>
      <c r="AX281" s="802"/>
      <c r="AY281" s="802"/>
    </row>
    <row r="282" ht="21.75" customHeight="1">
      <c r="A282" s="802"/>
      <c r="B282" s="802"/>
      <c r="C282" s="802"/>
      <c r="D282" s="802"/>
      <c r="E282" s="802"/>
      <c r="F282" s="802"/>
      <c r="G282" s="802"/>
      <c r="H282" s="802"/>
      <c r="I282" s="802"/>
      <c r="J282" s="802"/>
      <c r="K282" s="802"/>
      <c r="L282" s="802"/>
      <c r="M282" s="802"/>
      <c r="N282" s="802"/>
      <c r="O282" s="802"/>
      <c r="P282" s="802"/>
      <c r="Q282" s="802"/>
      <c r="R282" s="802"/>
      <c r="S282" s="802"/>
      <c r="T282" s="802"/>
      <c r="U282" s="802"/>
      <c r="V282" s="802"/>
      <c r="W282" s="802"/>
      <c r="X282" s="802"/>
      <c r="Y282" s="802"/>
      <c r="Z282" s="802"/>
      <c r="AA282" s="802"/>
      <c r="AB282" s="802"/>
      <c r="AC282" s="802"/>
      <c r="AD282" s="802"/>
      <c r="AE282" s="802"/>
      <c r="AF282" s="802"/>
      <c r="AG282" s="802"/>
      <c r="AH282" s="802"/>
      <c r="AI282" s="802"/>
      <c r="AJ282" s="802"/>
      <c r="AK282" s="802"/>
      <c r="AL282" s="802"/>
      <c r="AM282" s="802"/>
      <c r="AN282" s="802"/>
      <c r="AO282" s="802"/>
      <c r="AP282" s="802"/>
      <c r="AQ282" s="802"/>
      <c r="AR282" s="802"/>
      <c r="AS282" s="802"/>
      <c r="AT282" s="802"/>
      <c r="AU282" s="802"/>
      <c r="AV282" s="802"/>
      <c r="AW282" s="802"/>
      <c r="AX282" s="802"/>
      <c r="AY282" s="802"/>
    </row>
    <row r="283" ht="21.75" customHeight="1">
      <c r="A283" s="802"/>
      <c r="B283" s="802"/>
      <c r="C283" s="802"/>
      <c r="D283" s="802"/>
      <c r="E283" s="802"/>
      <c r="F283" s="802"/>
      <c r="G283" s="802"/>
      <c r="H283" s="802"/>
      <c r="I283" s="802"/>
      <c r="J283" s="802"/>
      <c r="K283" s="802"/>
      <c r="L283" s="802"/>
      <c r="M283" s="802"/>
      <c r="N283" s="802"/>
      <c r="O283" s="802"/>
      <c r="P283" s="802"/>
      <c r="Q283" s="802"/>
      <c r="R283" s="802"/>
      <c r="S283" s="802"/>
      <c r="T283" s="802"/>
      <c r="U283" s="802"/>
      <c r="V283" s="802"/>
      <c r="W283" s="802"/>
      <c r="X283" s="802"/>
      <c r="Y283" s="802"/>
      <c r="Z283" s="802"/>
      <c r="AA283" s="802"/>
      <c r="AB283" s="802"/>
      <c r="AC283" s="802"/>
      <c r="AD283" s="802"/>
      <c r="AE283" s="802"/>
      <c r="AF283" s="802"/>
      <c r="AG283" s="802"/>
      <c r="AH283" s="802"/>
      <c r="AI283" s="802"/>
      <c r="AJ283" s="802"/>
      <c r="AK283" s="802"/>
      <c r="AL283" s="802"/>
      <c r="AM283" s="802"/>
      <c r="AN283" s="802"/>
      <c r="AO283" s="802"/>
      <c r="AP283" s="802"/>
      <c r="AQ283" s="802"/>
      <c r="AR283" s="802"/>
      <c r="AS283" s="802"/>
      <c r="AT283" s="802"/>
      <c r="AU283" s="802"/>
      <c r="AV283" s="802"/>
      <c r="AW283" s="802"/>
      <c r="AX283" s="802"/>
      <c r="AY283" s="802"/>
    </row>
    <row r="284" ht="21.75" customHeight="1">
      <c r="A284" s="802"/>
      <c r="B284" s="802"/>
      <c r="C284" s="802"/>
      <c r="D284" s="802"/>
      <c r="E284" s="802"/>
      <c r="F284" s="802"/>
      <c r="G284" s="802"/>
      <c r="H284" s="802"/>
      <c r="I284" s="802"/>
      <c r="J284" s="802"/>
      <c r="K284" s="802"/>
      <c r="L284" s="802"/>
      <c r="M284" s="802"/>
      <c r="N284" s="802"/>
      <c r="O284" s="802"/>
      <c r="P284" s="802"/>
      <c r="Q284" s="802"/>
      <c r="R284" s="802"/>
      <c r="S284" s="802"/>
      <c r="T284" s="802"/>
      <c r="U284" s="802"/>
      <c r="V284" s="802"/>
      <c r="W284" s="802"/>
      <c r="X284" s="802"/>
      <c r="Y284" s="802"/>
      <c r="Z284" s="802"/>
      <c r="AA284" s="802"/>
      <c r="AB284" s="802"/>
      <c r="AC284" s="802"/>
      <c r="AD284" s="802"/>
      <c r="AE284" s="802"/>
      <c r="AF284" s="802"/>
      <c r="AG284" s="802"/>
      <c r="AH284" s="802"/>
      <c r="AI284" s="802"/>
      <c r="AJ284" s="802"/>
      <c r="AK284" s="802"/>
      <c r="AL284" s="802"/>
      <c r="AM284" s="802"/>
      <c r="AN284" s="802"/>
      <c r="AO284" s="802"/>
      <c r="AP284" s="802"/>
      <c r="AQ284" s="802"/>
      <c r="AR284" s="802"/>
      <c r="AS284" s="802"/>
      <c r="AT284" s="802"/>
      <c r="AU284" s="802"/>
      <c r="AV284" s="802"/>
      <c r="AW284" s="802"/>
      <c r="AX284" s="802"/>
      <c r="AY284" s="802"/>
    </row>
    <row r="285" ht="21.75" customHeight="1">
      <c r="A285" s="802"/>
      <c r="B285" s="802"/>
      <c r="C285" s="802"/>
      <c r="D285" s="802"/>
      <c r="E285" s="802"/>
      <c r="F285" s="802"/>
      <c r="G285" s="802"/>
      <c r="H285" s="802"/>
      <c r="I285" s="802"/>
      <c r="J285" s="802"/>
      <c r="K285" s="802"/>
      <c r="L285" s="802"/>
      <c r="M285" s="802"/>
      <c r="N285" s="802"/>
      <c r="O285" s="802"/>
      <c r="P285" s="802"/>
      <c r="Q285" s="802"/>
      <c r="R285" s="802"/>
      <c r="S285" s="802"/>
      <c r="T285" s="802"/>
      <c r="U285" s="802"/>
      <c r="V285" s="802"/>
      <c r="W285" s="802"/>
      <c r="X285" s="802"/>
      <c r="Y285" s="802"/>
      <c r="Z285" s="802"/>
      <c r="AA285" s="802"/>
      <c r="AB285" s="802"/>
      <c r="AC285" s="802"/>
      <c r="AD285" s="802"/>
      <c r="AE285" s="802"/>
      <c r="AF285" s="802"/>
      <c r="AG285" s="802"/>
      <c r="AH285" s="802"/>
      <c r="AI285" s="802"/>
      <c r="AJ285" s="802"/>
      <c r="AK285" s="802"/>
      <c r="AL285" s="802"/>
      <c r="AM285" s="802"/>
      <c r="AN285" s="802"/>
      <c r="AO285" s="802"/>
      <c r="AP285" s="802"/>
      <c r="AQ285" s="802"/>
      <c r="AR285" s="802"/>
      <c r="AS285" s="802"/>
      <c r="AT285" s="802"/>
      <c r="AU285" s="802"/>
      <c r="AV285" s="802"/>
      <c r="AW285" s="802"/>
      <c r="AX285" s="802"/>
      <c r="AY285" s="802"/>
    </row>
    <row r="286" ht="21.75" customHeight="1">
      <c r="A286" s="802"/>
      <c r="B286" s="802"/>
      <c r="C286" s="802"/>
      <c r="D286" s="802"/>
      <c r="E286" s="802"/>
      <c r="F286" s="802"/>
      <c r="G286" s="802"/>
      <c r="H286" s="802"/>
      <c r="I286" s="802"/>
      <c r="J286" s="802"/>
      <c r="K286" s="802"/>
      <c r="L286" s="802"/>
      <c r="M286" s="802"/>
      <c r="N286" s="802"/>
      <c r="O286" s="802"/>
      <c r="P286" s="802"/>
      <c r="Q286" s="802"/>
      <c r="R286" s="802"/>
      <c r="S286" s="802"/>
      <c r="T286" s="802"/>
      <c r="U286" s="802"/>
      <c r="V286" s="802"/>
      <c r="W286" s="802"/>
      <c r="X286" s="802"/>
      <c r="Y286" s="802"/>
      <c r="Z286" s="802"/>
      <c r="AA286" s="802"/>
      <c r="AB286" s="802"/>
      <c r="AC286" s="802"/>
      <c r="AD286" s="802"/>
      <c r="AE286" s="802"/>
      <c r="AF286" s="802"/>
      <c r="AG286" s="802"/>
      <c r="AH286" s="802"/>
      <c r="AI286" s="802"/>
      <c r="AJ286" s="802"/>
      <c r="AK286" s="802"/>
      <c r="AL286" s="802"/>
      <c r="AM286" s="802"/>
      <c r="AN286" s="802"/>
      <c r="AO286" s="802"/>
      <c r="AP286" s="802"/>
      <c r="AQ286" s="802"/>
      <c r="AR286" s="802"/>
      <c r="AS286" s="802"/>
      <c r="AT286" s="802"/>
      <c r="AU286" s="802"/>
      <c r="AV286" s="802"/>
      <c r="AW286" s="802"/>
      <c r="AX286" s="802"/>
      <c r="AY286" s="802"/>
    </row>
    <row r="287" ht="21.75" customHeight="1">
      <c r="A287" s="802"/>
      <c r="B287" s="802"/>
      <c r="C287" s="802"/>
      <c r="D287" s="802"/>
      <c r="E287" s="802"/>
      <c r="F287" s="802"/>
      <c r="G287" s="802"/>
      <c r="H287" s="802"/>
      <c r="I287" s="802"/>
      <c r="J287" s="802"/>
      <c r="K287" s="802"/>
      <c r="L287" s="802"/>
      <c r="M287" s="802"/>
      <c r="N287" s="802"/>
      <c r="O287" s="802"/>
      <c r="P287" s="802"/>
      <c r="Q287" s="802"/>
      <c r="R287" s="802"/>
      <c r="S287" s="802"/>
      <c r="T287" s="802"/>
      <c r="U287" s="802"/>
      <c r="V287" s="802"/>
      <c r="W287" s="802"/>
      <c r="X287" s="802"/>
      <c r="Y287" s="802"/>
      <c r="Z287" s="802"/>
      <c r="AA287" s="802"/>
      <c r="AB287" s="802"/>
      <c r="AC287" s="802"/>
      <c r="AD287" s="802"/>
      <c r="AE287" s="802"/>
      <c r="AF287" s="802"/>
      <c r="AG287" s="802"/>
      <c r="AH287" s="802"/>
      <c r="AI287" s="802"/>
      <c r="AJ287" s="802"/>
      <c r="AK287" s="802"/>
      <c r="AL287" s="802"/>
      <c r="AM287" s="802"/>
      <c r="AN287" s="802"/>
      <c r="AO287" s="802"/>
      <c r="AP287" s="802"/>
      <c r="AQ287" s="802"/>
      <c r="AR287" s="802"/>
      <c r="AS287" s="802"/>
      <c r="AT287" s="802"/>
      <c r="AU287" s="802"/>
      <c r="AV287" s="802"/>
      <c r="AW287" s="802"/>
      <c r="AX287" s="802"/>
      <c r="AY287" s="802"/>
    </row>
    <row r="288" ht="21.75" customHeight="1">
      <c r="A288" s="802"/>
      <c r="B288" s="802"/>
      <c r="C288" s="802"/>
      <c r="D288" s="802"/>
      <c r="E288" s="802"/>
      <c r="F288" s="802"/>
      <c r="G288" s="802"/>
      <c r="H288" s="802"/>
      <c r="I288" s="802"/>
      <c r="J288" s="802"/>
      <c r="K288" s="802"/>
      <c r="L288" s="802"/>
      <c r="M288" s="802"/>
      <c r="N288" s="802"/>
      <c r="O288" s="802"/>
      <c r="P288" s="802"/>
      <c r="Q288" s="802"/>
      <c r="R288" s="802"/>
      <c r="S288" s="802"/>
      <c r="T288" s="802"/>
      <c r="U288" s="802"/>
      <c r="V288" s="802"/>
      <c r="W288" s="802"/>
      <c r="X288" s="802"/>
      <c r="Y288" s="802"/>
      <c r="Z288" s="802"/>
      <c r="AA288" s="802"/>
      <c r="AB288" s="802"/>
      <c r="AC288" s="802"/>
      <c r="AD288" s="802"/>
      <c r="AE288" s="802"/>
      <c r="AF288" s="802"/>
      <c r="AG288" s="802"/>
      <c r="AH288" s="802"/>
      <c r="AI288" s="802"/>
      <c r="AJ288" s="802"/>
      <c r="AK288" s="802"/>
      <c r="AL288" s="802"/>
      <c r="AM288" s="802"/>
      <c r="AN288" s="802"/>
      <c r="AO288" s="802"/>
      <c r="AP288" s="802"/>
      <c r="AQ288" s="802"/>
      <c r="AR288" s="802"/>
      <c r="AS288" s="802"/>
      <c r="AT288" s="802"/>
      <c r="AU288" s="802"/>
      <c r="AV288" s="802"/>
      <c r="AW288" s="802"/>
      <c r="AX288" s="802"/>
      <c r="AY288" s="802"/>
    </row>
    <row r="289" ht="21.75" customHeight="1">
      <c r="A289" s="802"/>
      <c r="B289" s="802"/>
      <c r="C289" s="802"/>
      <c r="D289" s="802"/>
      <c r="E289" s="802"/>
      <c r="F289" s="802"/>
      <c r="G289" s="802"/>
      <c r="H289" s="802"/>
      <c r="I289" s="802"/>
      <c r="J289" s="802"/>
      <c r="K289" s="802"/>
      <c r="L289" s="802"/>
      <c r="M289" s="802"/>
      <c r="N289" s="802"/>
      <c r="O289" s="802"/>
      <c r="P289" s="802"/>
      <c r="Q289" s="802"/>
      <c r="R289" s="802"/>
      <c r="S289" s="802"/>
      <c r="T289" s="802"/>
      <c r="U289" s="802"/>
      <c r="V289" s="802"/>
      <c r="W289" s="802"/>
      <c r="X289" s="802"/>
      <c r="Y289" s="802"/>
      <c r="Z289" s="802"/>
      <c r="AA289" s="802"/>
      <c r="AB289" s="802"/>
      <c r="AC289" s="802"/>
      <c r="AD289" s="802"/>
      <c r="AE289" s="802"/>
      <c r="AF289" s="802"/>
      <c r="AG289" s="802"/>
      <c r="AH289" s="802"/>
      <c r="AI289" s="802"/>
      <c r="AJ289" s="802"/>
      <c r="AK289" s="802"/>
      <c r="AL289" s="802"/>
      <c r="AM289" s="802"/>
      <c r="AN289" s="802"/>
      <c r="AO289" s="802"/>
      <c r="AP289" s="802"/>
      <c r="AQ289" s="802"/>
      <c r="AR289" s="802"/>
      <c r="AS289" s="802"/>
      <c r="AT289" s="802"/>
      <c r="AU289" s="802"/>
      <c r="AV289" s="802"/>
      <c r="AW289" s="802"/>
      <c r="AX289" s="802"/>
      <c r="AY289" s="802"/>
    </row>
    <row r="290" ht="21.75" customHeight="1">
      <c r="A290" s="802"/>
      <c r="B290" s="802"/>
      <c r="C290" s="802"/>
      <c r="D290" s="802"/>
      <c r="E290" s="802"/>
      <c r="F290" s="802"/>
      <c r="G290" s="802"/>
      <c r="H290" s="802"/>
      <c r="I290" s="802"/>
      <c r="J290" s="802"/>
      <c r="K290" s="802"/>
      <c r="L290" s="802"/>
      <c r="M290" s="802"/>
      <c r="N290" s="802"/>
      <c r="O290" s="802"/>
      <c r="P290" s="802"/>
      <c r="Q290" s="802"/>
      <c r="R290" s="802"/>
      <c r="S290" s="802"/>
      <c r="T290" s="802"/>
      <c r="U290" s="802"/>
      <c r="V290" s="802"/>
      <c r="W290" s="802"/>
      <c r="X290" s="802"/>
      <c r="Y290" s="802"/>
      <c r="Z290" s="802"/>
      <c r="AA290" s="802"/>
      <c r="AB290" s="802"/>
      <c r="AC290" s="802"/>
      <c r="AD290" s="802"/>
      <c r="AE290" s="802"/>
      <c r="AF290" s="802"/>
      <c r="AG290" s="802"/>
      <c r="AH290" s="802"/>
      <c r="AI290" s="802"/>
      <c r="AJ290" s="802"/>
      <c r="AK290" s="802"/>
      <c r="AL290" s="802"/>
      <c r="AM290" s="802"/>
      <c r="AN290" s="802"/>
      <c r="AO290" s="802"/>
      <c r="AP290" s="802"/>
      <c r="AQ290" s="802"/>
      <c r="AR290" s="802"/>
      <c r="AS290" s="802"/>
      <c r="AT290" s="802"/>
      <c r="AU290" s="802"/>
      <c r="AV290" s="802"/>
      <c r="AW290" s="802"/>
      <c r="AX290" s="802"/>
      <c r="AY290" s="802"/>
    </row>
    <row r="291" ht="21.75" customHeight="1">
      <c r="A291" s="802"/>
      <c r="B291" s="802"/>
      <c r="C291" s="802"/>
      <c r="D291" s="802"/>
      <c r="E291" s="802"/>
      <c r="F291" s="802"/>
      <c r="G291" s="802"/>
      <c r="H291" s="802"/>
      <c r="I291" s="802"/>
      <c r="J291" s="802"/>
      <c r="K291" s="802"/>
      <c r="L291" s="802"/>
      <c r="M291" s="802"/>
      <c r="N291" s="802"/>
      <c r="O291" s="802"/>
      <c r="P291" s="802"/>
      <c r="Q291" s="802"/>
      <c r="R291" s="802"/>
      <c r="S291" s="802"/>
      <c r="T291" s="802"/>
      <c r="U291" s="802"/>
      <c r="V291" s="802"/>
      <c r="W291" s="802"/>
      <c r="X291" s="802"/>
      <c r="Y291" s="802"/>
      <c r="Z291" s="802"/>
      <c r="AA291" s="802"/>
      <c r="AB291" s="802"/>
      <c r="AC291" s="802"/>
      <c r="AD291" s="802"/>
      <c r="AE291" s="802"/>
      <c r="AF291" s="802"/>
      <c r="AG291" s="802"/>
      <c r="AH291" s="802"/>
      <c r="AI291" s="802"/>
      <c r="AJ291" s="802"/>
      <c r="AK291" s="802"/>
      <c r="AL291" s="802"/>
      <c r="AM291" s="802"/>
      <c r="AN291" s="802"/>
      <c r="AO291" s="802"/>
      <c r="AP291" s="802"/>
      <c r="AQ291" s="802"/>
      <c r="AR291" s="802"/>
      <c r="AS291" s="802"/>
      <c r="AT291" s="802"/>
      <c r="AU291" s="802"/>
      <c r="AV291" s="802"/>
      <c r="AW291" s="802"/>
      <c r="AX291" s="802"/>
      <c r="AY291" s="802"/>
    </row>
    <row r="292" ht="21.75" customHeight="1">
      <c r="A292" s="802"/>
      <c r="B292" s="802"/>
      <c r="C292" s="802"/>
      <c r="D292" s="802"/>
      <c r="E292" s="802"/>
      <c r="F292" s="802"/>
      <c r="G292" s="802"/>
      <c r="H292" s="802"/>
      <c r="I292" s="802"/>
      <c r="J292" s="802"/>
      <c r="K292" s="802"/>
      <c r="L292" s="802"/>
      <c r="M292" s="802"/>
      <c r="N292" s="802"/>
      <c r="O292" s="802"/>
      <c r="P292" s="802"/>
      <c r="Q292" s="802"/>
      <c r="R292" s="802"/>
      <c r="S292" s="802"/>
      <c r="T292" s="802"/>
      <c r="U292" s="802"/>
      <c r="V292" s="802"/>
      <c r="W292" s="802"/>
      <c r="X292" s="802"/>
      <c r="Y292" s="802"/>
      <c r="Z292" s="802"/>
      <c r="AA292" s="802"/>
      <c r="AB292" s="802"/>
      <c r="AC292" s="802"/>
      <c r="AD292" s="802"/>
      <c r="AE292" s="802"/>
      <c r="AF292" s="802"/>
      <c r="AG292" s="802"/>
      <c r="AH292" s="802"/>
      <c r="AI292" s="802"/>
      <c r="AJ292" s="802"/>
      <c r="AK292" s="802"/>
      <c r="AL292" s="802"/>
      <c r="AM292" s="802"/>
      <c r="AN292" s="802"/>
      <c r="AO292" s="802"/>
      <c r="AP292" s="802"/>
      <c r="AQ292" s="802"/>
      <c r="AR292" s="802"/>
      <c r="AS292" s="802"/>
      <c r="AT292" s="802"/>
      <c r="AU292" s="802"/>
      <c r="AV292" s="802"/>
      <c r="AW292" s="802"/>
      <c r="AX292" s="802"/>
      <c r="AY292" s="802"/>
    </row>
    <row r="293" ht="21.75" customHeight="1">
      <c r="A293" s="802"/>
      <c r="B293" s="802"/>
      <c r="C293" s="802"/>
      <c r="D293" s="802"/>
      <c r="E293" s="802"/>
      <c r="F293" s="802"/>
      <c r="G293" s="802"/>
      <c r="H293" s="802"/>
      <c r="I293" s="802"/>
      <c r="J293" s="802"/>
      <c r="K293" s="802"/>
      <c r="L293" s="802"/>
      <c r="M293" s="802"/>
      <c r="N293" s="802"/>
      <c r="O293" s="802"/>
      <c r="P293" s="802"/>
      <c r="Q293" s="802"/>
      <c r="R293" s="802"/>
      <c r="S293" s="802"/>
      <c r="T293" s="802"/>
      <c r="U293" s="802"/>
      <c r="V293" s="802"/>
      <c r="W293" s="802"/>
      <c r="X293" s="802"/>
      <c r="Y293" s="802"/>
      <c r="Z293" s="802"/>
      <c r="AA293" s="802"/>
      <c r="AB293" s="802"/>
      <c r="AC293" s="802"/>
      <c r="AD293" s="802"/>
      <c r="AE293" s="802"/>
      <c r="AF293" s="802"/>
      <c r="AG293" s="802"/>
      <c r="AH293" s="802"/>
      <c r="AI293" s="802"/>
      <c r="AJ293" s="802"/>
      <c r="AK293" s="802"/>
      <c r="AL293" s="802"/>
      <c r="AM293" s="802"/>
      <c r="AN293" s="802"/>
      <c r="AO293" s="802"/>
      <c r="AP293" s="802"/>
      <c r="AQ293" s="802"/>
      <c r="AR293" s="802"/>
      <c r="AS293" s="802"/>
      <c r="AT293" s="802"/>
      <c r="AU293" s="802"/>
      <c r="AV293" s="802"/>
      <c r="AW293" s="802"/>
      <c r="AX293" s="802"/>
      <c r="AY293" s="802"/>
    </row>
    <row r="294" ht="21.75" customHeight="1">
      <c r="A294" s="802"/>
      <c r="B294" s="802"/>
      <c r="C294" s="802"/>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802"/>
      <c r="AQ294" s="802"/>
      <c r="AR294" s="802"/>
      <c r="AS294" s="802"/>
      <c r="AT294" s="802"/>
      <c r="AU294" s="802"/>
      <c r="AV294" s="802"/>
      <c r="AW294" s="802"/>
      <c r="AX294" s="802"/>
      <c r="AY294" s="802"/>
    </row>
    <row r="295" ht="21.75" customHeight="1">
      <c r="A295" s="802"/>
      <c r="B295" s="802"/>
      <c r="C295" s="802"/>
      <c r="D295" s="802"/>
      <c r="E295" s="802"/>
      <c r="F295" s="802"/>
      <c r="G295" s="802"/>
      <c r="H295" s="802"/>
      <c r="I295" s="802"/>
      <c r="J295" s="802"/>
      <c r="K295" s="802"/>
      <c r="L295" s="802"/>
      <c r="M295" s="802"/>
      <c r="N295" s="802"/>
      <c r="O295" s="802"/>
      <c r="P295" s="802"/>
      <c r="Q295" s="802"/>
      <c r="R295" s="802"/>
      <c r="S295" s="802"/>
      <c r="T295" s="802"/>
      <c r="U295" s="802"/>
      <c r="V295" s="802"/>
      <c r="W295" s="802"/>
      <c r="X295" s="802"/>
      <c r="Y295" s="802"/>
      <c r="Z295" s="802"/>
      <c r="AA295" s="802"/>
      <c r="AB295" s="802"/>
      <c r="AC295" s="802"/>
      <c r="AD295" s="802"/>
      <c r="AE295" s="802"/>
      <c r="AF295" s="802"/>
      <c r="AG295" s="802"/>
      <c r="AH295" s="802"/>
      <c r="AI295" s="802"/>
      <c r="AJ295" s="802"/>
      <c r="AK295" s="802"/>
      <c r="AL295" s="802"/>
      <c r="AM295" s="802"/>
      <c r="AN295" s="802"/>
      <c r="AO295" s="802"/>
      <c r="AP295" s="802"/>
      <c r="AQ295" s="802"/>
      <c r="AR295" s="802"/>
      <c r="AS295" s="802"/>
      <c r="AT295" s="802"/>
      <c r="AU295" s="802"/>
      <c r="AV295" s="802"/>
      <c r="AW295" s="802"/>
      <c r="AX295" s="802"/>
      <c r="AY295" s="802"/>
    </row>
    <row r="296" ht="21.75" customHeight="1">
      <c r="A296" s="802"/>
      <c r="B296" s="802"/>
      <c r="C296" s="802"/>
      <c r="D296" s="802"/>
      <c r="E296" s="802"/>
      <c r="F296" s="802"/>
      <c r="G296" s="802"/>
      <c r="H296" s="802"/>
      <c r="I296" s="802"/>
      <c r="J296" s="802"/>
      <c r="K296" s="802"/>
      <c r="L296" s="802"/>
      <c r="M296" s="802"/>
      <c r="N296" s="802"/>
      <c r="O296" s="802"/>
      <c r="P296" s="802"/>
      <c r="Q296" s="802"/>
      <c r="R296" s="802"/>
      <c r="S296" s="802"/>
      <c r="T296" s="802"/>
      <c r="U296" s="802"/>
      <c r="V296" s="802"/>
      <c r="W296" s="802"/>
      <c r="X296" s="802"/>
      <c r="Y296" s="802"/>
      <c r="Z296" s="802"/>
      <c r="AA296" s="802"/>
      <c r="AB296" s="802"/>
      <c r="AC296" s="802"/>
      <c r="AD296" s="802"/>
      <c r="AE296" s="802"/>
      <c r="AF296" s="802"/>
      <c r="AG296" s="802"/>
      <c r="AH296" s="802"/>
      <c r="AI296" s="802"/>
      <c r="AJ296" s="802"/>
      <c r="AK296" s="802"/>
      <c r="AL296" s="802"/>
      <c r="AM296" s="802"/>
      <c r="AN296" s="802"/>
      <c r="AO296" s="802"/>
      <c r="AP296" s="802"/>
      <c r="AQ296" s="802"/>
      <c r="AR296" s="802"/>
      <c r="AS296" s="802"/>
      <c r="AT296" s="802"/>
      <c r="AU296" s="802"/>
      <c r="AV296" s="802"/>
      <c r="AW296" s="802"/>
      <c r="AX296" s="802"/>
      <c r="AY296" s="802"/>
    </row>
    <row r="297" ht="21.75" customHeight="1">
      <c r="A297" s="802"/>
      <c r="B297" s="802"/>
      <c r="C297" s="802"/>
      <c r="D297" s="802"/>
      <c r="E297" s="802"/>
      <c r="F297" s="802"/>
      <c r="G297" s="802"/>
      <c r="H297" s="802"/>
      <c r="I297" s="802"/>
      <c r="J297" s="802"/>
      <c r="K297" s="802"/>
      <c r="L297" s="802"/>
      <c r="M297" s="802"/>
      <c r="N297" s="802"/>
      <c r="O297" s="802"/>
      <c r="P297" s="802"/>
      <c r="Q297" s="802"/>
      <c r="R297" s="802"/>
      <c r="S297" s="802"/>
      <c r="T297" s="802"/>
      <c r="U297" s="802"/>
      <c r="V297" s="802"/>
      <c r="W297" s="802"/>
      <c r="X297" s="802"/>
      <c r="Y297" s="802"/>
      <c r="Z297" s="802"/>
      <c r="AA297" s="802"/>
      <c r="AB297" s="802"/>
      <c r="AC297" s="802"/>
      <c r="AD297" s="802"/>
      <c r="AE297" s="802"/>
      <c r="AF297" s="802"/>
      <c r="AG297" s="802"/>
      <c r="AH297" s="802"/>
      <c r="AI297" s="802"/>
      <c r="AJ297" s="802"/>
      <c r="AK297" s="802"/>
      <c r="AL297" s="802"/>
      <c r="AM297" s="802"/>
      <c r="AN297" s="802"/>
      <c r="AO297" s="802"/>
      <c r="AP297" s="802"/>
      <c r="AQ297" s="802"/>
      <c r="AR297" s="802"/>
      <c r="AS297" s="802"/>
      <c r="AT297" s="802"/>
      <c r="AU297" s="802"/>
      <c r="AV297" s="802"/>
      <c r="AW297" s="802"/>
      <c r="AX297" s="802"/>
      <c r="AY297" s="802"/>
    </row>
    <row r="298" ht="21.75" customHeight="1">
      <c r="A298" s="802"/>
      <c r="B298" s="802"/>
      <c r="C298" s="802"/>
      <c r="D298" s="802"/>
      <c r="E298" s="802"/>
      <c r="F298" s="802"/>
      <c r="G298" s="802"/>
      <c r="H298" s="802"/>
      <c r="I298" s="802"/>
      <c r="J298" s="802"/>
      <c r="K298" s="802"/>
      <c r="L298" s="802"/>
      <c r="M298" s="802"/>
      <c r="N298" s="802"/>
      <c r="O298" s="802"/>
      <c r="P298" s="802"/>
      <c r="Q298" s="802"/>
      <c r="R298" s="802"/>
      <c r="S298" s="802"/>
      <c r="T298" s="802"/>
      <c r="U298" s="802"/>
      <c r="V298" s="802"/>
      <c r="W298" s="802"/>
      <c r="X298" s="802"/>
      <c r="Y298" s="802"/>
      <c r="Z298" s="802"/>
      <c r="AA298" s="802"/>
      <c r="AB298" s="802"/>
      <c r="AC298" s="802"/>
      <c r="AD298" s="802"/>
      <c r="AE298" s="802"/>
      <c r="AF298" s="802"/>
      <c r="AG298" s="802"/>
      <c r="AH298" s="802"/>
      <c r="AI298" s="802"/>
      <c r="AJ298" s="802"/>
      <c r="AK298" s="802"/>
      <c r="AL298" s="802"/>
      <c r="AM298" s="802"/>
      <c r="AN298" s="802"/>
      <c r="AO298" s="802"/>
      <c r="AP298" s="802"/>
      <c r="AQ298" s="802"/>
      <c r="AR298" s="802"/>
      <c r="AS298" s="802"/>
      <c r="AT298" s="802"/>
      <c r="AU298" s="802"/>
      <c r="AV298" s="802"/>
      <c r="AW298" s="802"/>
      <c r="AX298" s="802"/>
      <c r="AY298" s="802"/>
    </row>
    <row r="299" ht="21.75" customHeight="1">
      <c r="A299" s="802"/>
      <c r="B299" s="802"/>
      <c r="C299" s="802"/>
      <c r="D299" s="802"/>
      <c r="E299" s="802"/>
      <c r="F299" s="802"/>
      <c r="G299" s="802"/>
      <c r="H299" s="802"/>
      <c r="I299" s="802"/>
      <c r="J299" s="802"/>
      <c r="K299" s="802"/>
      <c r="L299" s="802"/>
      <c r="M299" s="802"/>
      <c r="N299" s="802"/>
      <c r="O299" s="802"/>
      <c r="P299" s="802"/>
      <c r="Q299" s="802"/>
      <c r="R299" s="802"/>
      <c r="S299" s="802"/>
      <c r="T299" s="802"/>
      <c r="U299" s="802"/>
      <c r="V299" s="802"/>
      <c r="W299" s="802"/>
      <c r="X299" s="802"/>
      <c r="Y299" s="802"/>
      <c r="Z299" s="802"/>
      <c r="AA299" s="802"/>
      <c r="AB299" s="802"/>
      <c r="AC299" s="802"/>
      <c r="AD299" s="802"/>
      <c r="AE299" s="802"/>
      <c r="AF299" s="802"/>
      <c r="AG299" s="802"/>
      <c r="AH299" s="802"/>
      <c r="AI299" s="802"/>
      <c r="AJ299" s="802"/>
      <c r="AK299" s="802"/>
      <c r="AL299" s="802"/>
      <c r="AM299" s="802"/>
      <c r="AN299" s="802"/>
      <c r="AO299" s="802"/>
      <c r="AP299" s="802"/>
      <c r="AQ299" s="802"/>
      <c r="AR299" s="802"/>
      <c r="AS299" s="802"/>
      <c r="AT299" s="802"/>
      <c r="AU299" s="802"/>
      <c r="AV299" s="802"/>
      <c r="AW299" s="802"/>
      <c r="AX299" s="802"/>
      <c r="AY299" s="802"/>
    </row>
    <row r="300" ht="21.75" customHeight="1">
      <c r="A300" s="802"/>
      <c r="B300" s="802"/>
      <c r="C300" s="802"/>
      <c r="D300" s="802"/>
      <c r="E300" s="802"/>
      <c r="F300" s="802"/>
      <c r="G300" s="802"/>
      <c r="H300" s="802"/>
      <c r="I300" s="802"/>
      <c r="J300" s="802"/>
      <c r="K300" s="802"/>
      <c r="L300" s="802"/>
      <c r="M300" s="802"/>
      <c r="N300" s="802"/>
      <c r="O300" s="802"/>
      <c r="P300" s="802"/>
      <c r="Q300" s="802"/>
      <c r="R300" s="802"/>
      <c r="S300" s="802"/>
      <c r="T300" s="802"/>
      <c r="U300" s="802"/>
      <c r="V300" s="802"/>
      <c r="W300" s="802"/>
      <c r="X300" s="802"/>
      <c r="Y300" s="802"/>
      <c r="Z300" s="802"/>
      <c r="AA300" s="802"/>
      <c r="AB300" s="802"/>
      <c r="AC300" s="802"/>
      <c r="AD300" s="802"/>
      <c r="AE300" s="802"/>
      <c r="AF300" s="802"/>
      <c r="AG300" s="802"/>
      <c r="AH300" s="802"/>
      <c r="AI300" s="802"/>
      <c r="AJ300" s="802"/>
      <c r="AK300" s="802"/>
      <c r="AL300" s="802"/>
      <c r="AM300" s="802"/>
      <c r="AN300" s="802"/>
      <c r="AO300" s="802"/>
      <c r="AP300" s="802"/>
      <c r="AQ300" s="802"/>
      <c r="AR300" s="802"/>
      <c r="AS300" s="802"/>
      <c r="AT300" s="802"/>
      <c r="AU300" s="802"/>
      <c r="AV300" s="802"/>
      <c r="AW300" s="802"/>
      <c r="AX300" s="802"/>
      <c r="AY300" s="802"/>
    </row>
    <row r="301" ht="21.75" customHeight="1">
      <c r="A301" s="802"/>
      <c r="B301" s="802"/>
      <c r="C301" s="802"/>
      <c r="D301" s="802"/>
      <c r="E301" s="802"/>
      <c r="F301" s="802"/>
      <c r="G301" s="802"/>
      <c r="H301" s="802"/>
      <c r="I301" s="802"/>
      <c r="J301" s="802"/>
      <c r="K301" s="802"/>
      <c r="L301" s="802"/>
      <c r="M301" s="802"/>
      <c r="N301" s="802"/>
      <c r="O301" s="802"/>
      <c r="P301" s="802"/>
      <c r="Q301" s="802"/>
      <c r="R301" s="802"/>
      <c r="S301" s="802"/>
      <c r="T301" s="802"/>
      <c r="U301" s="802"/>
      <c r="V301" s="802"/>
      <c r="W301" s="802"/>
      <c r="X301" s="802"/>
      <c r="Y301" s="802"/>
      <c r="Z301" s="802"/>
      <c r="AA301" s="802"/>
      <c r="AB301" s="802"/>
      <c r="AC301" s="802"/>
      <c r="AD301" s="802"/>
      <c r="AE301" s="802"/>
      <c r="AF301" s="802"/>
      <c r="AG301" s="802"/>
      <c r="AH301" s="802"/>
      <c r="AI301" s="802"/>
      <c r="AJ301" s="802"/>
      <c r="AK301" s="802"/>
      <c r="AL301" s="802"/>
      <c r="AM301" s="802"/>
      <c r="AN301" s="802"/>
      <c r="AO301" s="802"/>
      <c r="AP301" s="802"/>
      <c r="AQ301" s="802"/>
      <c r="AR301" s="802"/>
      <c r="AS301" s="802"/>
      <c r="AT301" s="802"/>
      <c r="AU301" s="802"/>
      <c r="AV301" s="802"/>
      <c r="AW301" s="802"/>
      <c r="AX301" s="802"/>
      <c r="AY301" s="802"/>
    </row>
    <row r="302" ht="21.75" customHeight="1">
      <c r="A302" s="802"/>
      <c r="B302" s="802"/>
      <c r="C302" s="802"/>
      <c r="D302" s="802"/>
      <c r="E302" s="802"/>
      <c r="F302" s="802"/>
      <c r="G302" s="802"/>
      <c r="H302" s="802"/>
      <c r="I302" s="802"/>
      <c r="J302" s="802"/>
      <c r="K302" s="802"/>
      <c r="L302" s="802"/>
      <c r="M302" s="802"/>
      <c r="N302" s="802"/>
      <c r="O302" s="802"/>
      <c r="P302" s="802"/>
      <c r="Q302" s="802"/>
      <c r="R302" s="802"/>
      <c r="S302" s="802"/>
      <c r="T302" s="802"/>
      <c r="U302" s="802"/>
      <c r="V302" s="802"/>
      <c r="W302" s="802"/>
      <c r="X302" s="802"/>
      <c r="Y302" s="802"/>
      <c r="Z302" s="802"/>
      <c r="AA302" s="802"/>
      <c r="AB302" s="802"/>
      <c r="AC302" s="802"/>
      <c r="AD302" s="802"/>
      <c r="AE302" s="802"/>
      <c r="AF302" s="802"/>
      <c r="AG302" s="802"/>
      <c r="AH302" s="802"/>
      <c r="AI302" s="802"/>
      <c r="AJ302" s="802"/>
      <c r="AK302" s="802"/>
      <c r="AL302" s="802"/>
      <c r="AM302" s="802"/>
      <c r="AN302" s="802"/>
      <c r="AO302" s="802"/>
      <c r="AP302" s="802"/>
      <c r="AQ302" s="802"/>
      <c r="AR302" s="802"/>
      <c r="AS302" s="802"/>
      <c r="AT302" s="802"/>
      <c r="AU302" s="802"/>
      <c r="AV302" s="802"/>
      <c r="AW302" s="802"/>
      <c r="AX302" s="802"/>
      <c r="AY302" s="802"/>
    </row>
    <row r="303" ht="21.75" customHeight="1">
      <c r="A303" s="802"/>
      <c r="B303" s="802"/>
      <c r="C303" s="802"/>
      <c r="D303" s="802"/>
      <c r="E303" s="802"/>
      <c r="F303" s="802"/>
      <c r="G303" s="802"/>
      <c r="H303" s="802"/>
      <c r="I303" s="802"/>
      <c r="J303" s="802"/>
      <c r="K303" s="802"/>
      <c r="L303" s="802"/>
      <c r="M303" s="802"/>
      <c r="N303" s="802"/>
      <c r="O303" s="802"/>
      <c r="P303" s="802"/>
      <c r="Q303" s="802"/>
      <c r="R303" s="802"/>
      <c r="S303" s="802"/>
      <c r="T303" s="802"/>
      <c r="U303" s="802"/>
      <c r="V303" s="802"/>
      <c r="W303" s="802"/>
      <c r="X303" s="802"/>
      <c r="Y303" s="802"/>
      <c r="Z303" s="802"/>
      <c r="AA303" s="802"/>
      <c r="AB303" s="802"/>
      <c r="AC303" s="802"/>
      <c r="AD303" s="802"/>
      <c r="AE303" s="802"/>
      <c r="AF303" s="802"/>
      <c r="AG303" s="802"/>
      <c r="AH303" s="802"/>
      <c r="AI303" s="802"/>
      <c r="AJ303" s="802"/>
      <c r="AK303" s="802"/>
      <c r="AL303" s="802"/>
      <c r="AM303" s="802"/>
      <c r="AN303" s="802"/>
      <c r="AO303" s="802"/>
      <c r="AP303" s="802"/>
      <c r="AQ303" s="802"/>
      <c r="AR303" s="802"/>
      <c r="AS303" s="802"/>
      <c r="AT303" s="802"/>
      <c r="AU303" s="802"/>
      <c r="AV303" s="802"/>
      <c r="AW303" s="802"/>
      <c r="AX303" s="802"/>
      <c r="AY303" s="802"/>
    </row>
    <row r="304" ht="21.75" customHeight="1">
      <c r="A304" s="802"/>
      <c r="B304" s="802"/>
      <c r="C304" s="802"/>
      <c r="D304" s="802"/>
      <c r="E304" s="802"/>
      <c r="F304" s="802"/>
      <c r="G304" s="802"/>
      <c r="H304" s="802"/>
      <c r="I304" s="802"/>
      <c r="J304" s="802"/>
      <c r="K304" s="802"/>
      <c r="L304" s="802"/>
      <c r="M304" s="802"/>
      <c r="N304" s="802"/>
      <c r="O304" s="802"/>
      <c r="P304" s="802"/>
      <c r="Q304" s="802"/>
      <c r="R304" s="802"/>
      <c r="S304" s="802"/>
      <c r="T304" s="802"/>
      <c r="U304" s="802"/>
      <c r="V304" s="802"/>
      <c r="W304" s="802"/>
      <c r="X304" s="802"/>
      <c r="Y304" s="802"/>
      <c r="Z304" s="802"/>
      <c r="AA304" s="802"/>
      <c r="AB304" s="802"/>
      <c r="AC304" s="802"/>
      <c r="AD304" s="802"/>
      <c r="AE304" s="802"/>
      <c r="AF304" s="802"/>
      <c r="AG304" s="802"/>
      <c r="AH304" s="802"/>
      <c r="AI304" s="802"/>
      <c r="AJ304" s="802"/>
      <c r="AK304" s="802"/>
      <c r="AL304" s="802"/>
      <c r="AM304" s="802"/>
      <c r="AN304" s="802"/>
      <c r="AO304" s="802"/>
      <c r="AP304" s="802"/>
      <c r="AQ304" s="802"/>
      <c r="AR304" s="802"/>
      <c r="AS304" s="802"/>
      <c r="AT304" s="802"/>
      <c r="AU304" s="802"/>
      <c r="AV304" s="802"/>
      <c r="AW304" s="802"/>
      <c r="AX304" s="802"/>
      <c r="AY304" s="802"/>
    </row>
    <row r="305" ht="21.75" customHeight="1">
      <c r="A305" s="802"/>
      <c r="B305" s="802"/>
      <c r="C305" s="802"/>
      <c r="D305" s="802"/>
      <c r="E305" s="802"/>
      <c r="F305" s="802"/>
      <c r="G305" s="802"/>
      <c r="H305" s="802"/>
      <c r="I305" s="802"/>
      <c r="J305" s="802"/>
      <c r="K305" s="802"/>
      <c r="L305" s="802"/>
      <c r="M305" s="802"/>
      <c r="N305" s="802"/>
      <c r="O305" s="802"/>
      <c r="P305" s="802"/>
      <c r="Q305" s="802"/>
      <c r="R305" s="802"/>
      <c r="S305" s="802"/>
      <c r="T305" s="802"/>
      <c r="U305" s="802"/>
      <c r="V305" s="802"/>
      <c r="W305" s="802"/>
      <c r="X305" s="802"/>
      <c r="Y305" s="802"/>
      <c r="Z305" s="802"/>
      <c r="AA305" s="802"/>
      <c r="AB305" s="802"/>
      <c r="AC305" s="802"/>
      <c r="AD305" s="802"/>
      <c r="AE305" s="802"/>
      <c r="AF305" s="802"/>
      <c r="AG305" s="802"/>
      <c r="AH305" s="802"/>
      <c r="AI305" s="802"/>
      <c r="AJ305" s="802"/>
      <c r="AK305" s="802"/>
      <c r="AL305" s="802"/>
      <c r="AM305" s="802"/>
      <c r="AN305" s="802"/>
      <c r="AO305" s="802"/>
      <c r="AP305" s="802"/>
      <c r="AQ305" s="802"/>
      <c r="AR305" s="802"/>
      <c r="AS305" s="802"/>
      <c r="AT305" s="802"/>
      <c r="AU305" s="802"/>
      <c r="AV305" s="802"/>
      <c r="AW305" s="802"/>
      <c r="AX305" s="802"/>
      <c r="AY305" s="802"/>
    </row>
    <row r="306" ht="21.75" customHeight="1">
      <c r="A306" s="802"/>
      <c r="B306" s="802"/>
      <c r="C306" s="802"/>
      <c r="D306" s="802"/>
      <c r="E306" s="802"/>
      <c r="F306" s="802"/>
      <c r="G306" s="802"/>
      <c r="H306" s="802"/>
      <c r="I306" s="802"/>
      <c r="J306" s="802"/>
      <c r="K306" s="802"/>
      <c r="L306" s="802"/>
      <c r="M306" s="802"/>
      <c r="N306" s="802"/>
      <c r="O306" s="802"/>
      <c r="P306" s="802"/>
      <c r="Q306" s="802"/>
      <c r="R306" s="802"/>
      <c r="S306" s="802"/>
      <c r="T306" s="802"/>
      <c r="U306" s="802"/>
      <c r="V306" s="802"/>
      <c r="W306" s="802"/>
      <c r="X306" s="802"/>
      <c r="Y306" s="802"/>
      <c r="Z306" s="802"/>
      <c r="AA306" s="802"/>
      <c r="AB306" s="802"/>
      <c r="AC306" s="802"/>
      <c r="AD306" s="802"/>
      <c r="AE306" s="802"/>
      <c r="AF306" s="802"/>
      <c r="AG306" s="802"/>
      <c r="AH306" s="802"/>
      <c r="AI306" s="802"/>
      <c r="AJ306" s="802"/>
      <c r="AK306" s="802"/>
      <c r="AL306" s="802"/>
      <c r="AM306" s="802"/>
      <c r="AN306" s="802"/>
      <c r="AO306" s="802"/>
      <c r="AP306" s="802"/>
      <c r="AQ306" s="802"/>
      <c r="AR306" s="802"/>
      <c r="AS306" s="802"/>
      <c r="AT306" s="802"/>
      <c r="AU306" s="802"/>
      <c r="AV306" s="802"/>
      <c r="AW306" s="802"/>
      <c r="AX306" s="802"/>
      <c r="AY306" s="802"/>
    </row>
    <row r="307" ht="21.75" customHeight="1">
      <c r="A307" s="802"/>
      <c r="B307" s="802"/>
      <c r="C307" s="802"/>
      <c r="D307" s="802"/>
      <c r="E307" s="802"/>
      <c r="F307" s="802"/>
      <c r="G307" s="802"/>
      <c r="H307" s="802"/>
      <c r="I307" s="802"/>
      <c r="J307" s="802"/>
      <c r="K307" s="802"/>
      <c r="L307" s="802"/>
      <c r="M307" s="802"/>
      <c r="N307" s="802"/>
      <c r="O307" s="802"/>
      <c r="P307" s="802"/>
      <c r="Q307" s="802"/>
      <c r="R307" s="802"/>
      <c r="S307" s="802"/>
      <c r="T307" s="802"/>
      <c r="U307" s="802"/>
      <c r="V307" s="802"/>
      <c r="W307" s="802"/>
      <c r="X307" s="802"/>
      <c r="Y307" s="802"/>
      <c r="Z307" s="802"/>
      <c r="AA307" s="802"/>
      <c r="AB307" s="802"/>
      <c r="AC307" s="802"/>
      <c r="AD307" s="802"/>
      <c r="AE307" s="802"/>
      <c r="AF307" s="802"/>
      <c r="AG307" s="802"/>
      <c r="AH307" s="802"/>
      <c r="AI307" s="802"/>
      <c r="AJ307" s="802"/>
      <c r="AK307" s="802"/>
      <c r="AL307" s="802"/>
      <c r="AM307" s="802"/>
      <c r="AN307" s="802"/>
      <c r="AO307" s="802"/>
      <c r="AP307" s="802"/>
      <c r="AQ307" s="802"/>
      <c r="AR307" s="802"/>
      <c r="AS307" s="802"/>
      <c r="AT307" s="802"/>
      <c r="AU307" s="802"/>
      <c r="AV307" s="802"/>
      <c r="AW307" s="802"/>
      <c r="AX307" s="802"/>
      <c r="AY307" s="802"/>
    </row>
    <row r="308" ht="21.75" customHeight="1">
      <c r="A308" s="802"/>
      <c r="B308" s="802"/>
      <c r="C308" s="802"/>
      <c r="D308" s="802"/>
      <c r="E308" s="802"/>
      <c r="F308" s="802"/>
      <c r="G308" s="802"/>
      <c r="H308" s="802"/>
      <c r="I308" s="802"/>
      <c r="J308" s="802"/>
      <c r="K308" s="802"/>
      <c r="L308" s="802"/>
      <c r="M308" s="802"/>
      <c r="N308" s="802"/>
      <c r="O308" s="802"/>
      <c r="P308" s="802"/>
      <c r="Q308" s="802"/>
      <c r="R308" s="802"/>
      <c r="S308" s="802"/>
      <c r="T308" s="802"/>
      <c r="U308" s="802"/>
      <c r="V308" s="802"/>
      <c r="W308" s="802"/>
      <c r="X308" s="802"/>
      <c r="Y308" s="802"/>
      <c r="Z308" s="802"/>
      <c r="AA308" s="802"/>
      <c r="AB308" s="802"/>
      <c r="AC308" s="802"/>
      <c r="AD308" s="802"/>
      <c r="AE308" s="802"/>
      <c r="AF308" s="802"/>
      <c r="AG308" s="802"/>
      <c r="AH308" s="802"/>
      <c r="AI308" s="802"/>
      <c r="AJ308" s="802"/>
      <c r="AK308" s="802"/>
      <c r="AL308" s="802"/>
      <c r="AM308" s="802"/>
      <c r="AN308" s="802"/>
      <c r="AO308" s="802"/>
      <c r="AP308" s="802"/>
      <c r="AQ308" s="802"/>
      <c r="AR308" s="802"/>
      <c r="AS308" s="802"/>
      <c r="AT308" s="802"/>
      <c r="AU308" s="802"/>
      <c r="AV308" s="802"/>
      <c r="AW308" s="802"/>
      <c r="AX308" s="802"/>
      <c r="AY308" s="802"/>
    </row>
    <row r="309" ht="21.75" customHeight="1">
      <c r="A309" s="802"/>
      <c r="B309" s="802"/>
      <c r="C309" s="802"/>
      <c r="D309" s="802"/>
      <c r="E309" s="802"/>
      <c r="F309" s="802"/>
      <c r="G309" s="802"/>
      <c r="H309" s="802"/>
      <c r="I309" s="802"/>
      <c r="J309" s="802"/>
      <c r="K309" s="802"/>
      <c r="L309" s="802"/>
      <c r="M309" s="802"/>
      <c r="N309" s="802"/>
      <c r="O309" s="802"/>
      <c r="P309" s="802"/>
      <c r="Q309" s="802"/>
      <c r="R309" s="802"/>
      <c r="S309" s="802"/>
      <c r="T309" s="802"/>
      <c r="U309" s="802"/>
      <c r="V309" s="802"/>
      <c r="W309" s="802"/>
      <c r="X309" s="802"/>
      <c r="Y309" s="802"/>
      <c r="Z309" s="802"/>
      <c r="AA309" s="802"/>
      <c r="AB309" s="802"/>
      <c r="AC309" s="802"/>
      <c r="AD309" s="802"/>
      <c r="AE309" s="802"/>
      <c r="AF309" s="802"/>
      <c r="AG309" s="802"/>
      <c r="AH309" s="802"/>
      <c r="AI309" s="802"/>
      <c r="AJ309" s="802"/>
      <c r="AK309" s="802"/>
      <c r="AL309" s="802"/>
      <c r="AM309" s="802"/>
      <c r="AN309" s="802"/>
      <c r="AO309" s="802"/>
      <c r="AP309" s="802"/>
      <c r="AQ309" s="802"/>
      <c r="AR309" s="802"/>
      <c r="AS309" s="802"/>
      <c r="AT309" s="802"/>
      <c r="AU309" s="802"/>
      <c r="AV309" s="802"/>
      <c r="AW309" s="802"/>
      <c r="AX309" s="802"/>
      <c r="AY309" s="802"/>
    </row>
    <row r="310" ht="21.75" customHeight="1">
      <c r="A310" s="802"/>
      <c r="B310" s="802"/>
      <c r="C310" s="802"/>
      <c r="D310" s="802"/>
      <c r="E310" s="802"/>
      <c r="F310" s="802"/>
      <c r="G310" s="802"/>
      <c r="H310" s="802"/>
      <c r="I310" s="802"/>
      <c r="J310" s="802"/>
      <c r="K310" s="802"/>
      <c r="L310" s="802"/>
      <c r="M310" s="802"/>
      <c r="N310" s="802"/>
      <c r="O310" s="802"/>
      <c r="P310" s="802"/>
      <c r="Q310" s="802"/>
      <c r="R310" s="802"/>
      <c r="S310" s="802"/>
      <c r="T310" s="802"/>
      <c r="U310" s="802"/>
      <c r="V310" s="802"/>
      <c r="W310" s="802"/>
      <c r="X310" s="802"/>
      <c r="Y310" s="802"/>
      <c r="Z310" s="802"/>
      <c r="AA310" s="802"/>
      <c r="AB310" s="802"/>
      <c r="AC310" s="802"/>
      <c r="AD310" s="802"/>
      <c r="AE310" s="802"/>
      <c r="AF310" s="802"/>
      <c r="AG310" s="802"/>
      <c r="AH310" s="802"/>
      <c r="AI310" s="802"/>
      <c r="AJ310" s="802"/>
      <c r="AK310" s="802"/>
      <c r="AL310" s="802"/>
      <c r="AM310" s="802"/>
      <c r="AN310" s="802"/>
      <c r="AO310" s="802"/>
      <c r="AP310" s="802"/>
      <c r="AQ310" s="802"/>
      <c r="AR310" s="802"/>
      <c r="AS310" s="802"/>
      <c r="AT310" s="802"/>
      <c r="AU310" s="802"/>
      <c r="AV310" s="802"/>
      <c r="AW310" s="802"/>
      <c r="AX310" s="802"/>
      <c r="AY310" s="802"/>
    </row>
    <row r="311" ht="21.75" customHeight="1">
      <c r="A311" s="802"/>
      <c r="B311" s="802"/>
      <c r="C311" s="802"/>
      <c r="D311" s="802"/>
      <c r="E311" s="802"/>
      <c r="F311" s="802"/>
      <c r="G311" s="802"/>
      <c r="H311" s="802"/>
      <c r="I311" s="802"/>
      <c r="J311" s="802"/>
      <c r="K311" s="802"/>
      <c r="L311" s="802"/>
      <c r="M311" s="802"/>
      <c r="N311" s="802"/>
      <c r="O311" s="802"/>
      <c r="P311" s="802"/>
      <c r="Q311" s="802"/>
      <c r="R311" s="802"/>
      <c r="S311" s="802"/>
      <c r="T311" s="802"/>
      <c r="U311" s="802"/>
      <c r="V311" s="802"/>
      <c r="W311" s="802"/>
      <c r="X311" s="802"/>
      <c r="Y311" s="802"/>
      <c r="Z311" s="802"/>
      <c r="AA311" s="802"/>
      <c r="AB311" s="802"/>
      <c r="AC311" s="802"/>
      <c r="AD311" s="802"/>
      <c r="AE311" s="802"/>
      <c r="AF311" s="802"/>
      <c r="AG311" s="802"/>
      <c r="AH311" s="802"/>
      <c r="AI311" s="802"/>
      <c r="AJ311" s="802"/>
      <c r="AK311" s="802"/>
      <c r="AL311" s="802"/>
      <c r="AM311" s="802"/>
      <c r="AN311" s="802"/>
      <c r="AO311" s="802"/>
      <c r="AP311" s="802"/>
      <c r="AQ311" s="802"/>
      <c r="AR311" s="802"/>
      <c r="AS311" s="802"/>
      <c r="AT311" s="802"/>
      <c r="AU311" s="802"/>
      <c r="AV311" s="802"/>
      <c r="AW311" s="802"/>
      <c r="AX311" s="802"/>
      <c r="AY311" s="802"/>
    </row>
    <row r="312" ht="21.75" customHeight="1">
      <c r="A312" s="802"/>
      <c r="B312" s="802"/>
      <c r="C312" s="802"/>
      <c r="D312" s="802"/>
      <c r="E312" s="802"/>
      <c r="F312" s="802"/>
      <c r="G312" s="802"/>
      <c r="H312" s="802"/>
      <c r="I312" s="802"/>
      <c r="J312" s="802"/>
      <c r="K312" s="802"/>
      <c r="L312" s="802"/>
      <c r="M312" s="802"/>
      <c r="N312" s="802"/>
      <c r="O312" s="802"/>
      <c r="P312" s="802"/>
      <c r="Q312" s="802"/>
      <c r="R312" s="802"/>
      <c r="S312" s="802"/>
      <c r="T312" s="802"/>
      <c r="U312" s="802"/>
      <c r="V312" s="802"/>
      <c r="W312" s="802"/>
      <c r="X312" s="802"/>
      <c r="Y312" s="802"/>
      <c r="Z312" s="802"/>
      <c r="AA312" s="802"/>
      <c r="AB312" s="802"/>
      <c r="AC312" s="802"/>
      <c r="AD312" s="802"/>
      <c r="AE312" s="802"/>
      <c r="AF312" s="802"/>
      <c r="AG312" s="802"/>
      <c r="AH312" s="802"/>
      <c r="AI312" s="802"/>
      <c r="AJ312" s="802"/>
      <c r="AK312" s="802"/>
      <c r="AL312" s="802"/>
      <c r="AM312" s="802"/>
      <c r="AN312" s="802"/>
      <c r="AO312" s="802"/>
      <c r="AP312" s="802"/>
      <c r="AQ312" s="802"/>
      <c r="AR312" s="802"/>
      <c r="AS312" s="802"/>
      <c r="AT312" s="802"/>
      <c r="AU312" s="802"/>
      <c r="AV312" s="802"/>
      <c r="AW312" s="802"/>
      <c r="AX312" s="802"/>
      <c r="AY312" s="802"/>
    </row>
    <row r="313" ht="21.75" customHeight="1">
      <c r="A313" s="802"/>
      <c r="B313" s="802"/>
      <c r="C313" s="802"/>
      <c r="D313" s="802"/>
      <c r="E313" s="802"/>
      <c r="F313" s="802"/>
      <c r="G313" s="802"/>
      <c r="H313" s="802"/>
      <c r="I313" s="802"/>
      <c r="J313" s="802"/>
      <c r="K313" s="802"/>
      <c r="L313" s="802"/>
      <c r="M313" s="802"/>
      <c r="N313" s="802"/>
      <c r="O313" s="802"/>
      <c r="P313" s="802"/>
      <c r="Q313" s="802"/>
      <c r="R313" s="802"/>
      <c r="S313" s="802"/>
      <c r="T313" s="802"/>
      <c r="U313" s="802"/>
      <c r="V313" s="802"/>
      <c r="W313" s="802"/>
      <c r="X313" s="802"/>
      <c r="Y313" s="802"/>
      <c r="Z313" s="802"/>
      <c r="AA313" s="802"/>
      <c r="AB313" s="802"/>
      <c r="AC313" s="802"/>
      <c r="AD313" s="802"/>
      <c r="AE313" s="802"/>
      <c r="AF313" s="802"/>
      <c r="AG313" s="802"/>
      <c r="AH313" s="802"/>
      <c r="AI313" s="802"/>
      <c r="AJ313" s="802"/>
      <c r="AK313" s="802"/>
      <c r="AL313" s="802"/>
      <c r="AM313" s="802"/>
      <c r="AN313" s="802"/>
      <c r="AO313" s="802"/>
      <c r="AP313" s="802"/>
      <c r="AQ313" s="802"/>
      <c r="AR313" s="802"/>
      <c r="AS313" s="802"/>
      <c r="AT313" s="802"/>
      <c r="AU313" s="802"/>
      <c r="AV313" s="802"/>
      <c r="AW313" s="802"/>
      <c r="AX313" s="802"/>
      <c r="AY313" s="802"/>
    </row>
    <row r="314" ht="21.75" customHeight="1">
      <c r="A314" s="802"/>
      <c r="B314" s="802"/>
      <c r="C314" s="802"/>
      <c r="D314" s="802"/>
      <c r="E314" s="802"/>
      <c r="F314" s="802"/>
      <c r="G314" s="802"/>
      <c r="H314" s="802"/>
      <c r="I314" s="802"/>
      <c r="J314" s="802"/>
      <c r="K314" s="802"/>
      <c r="L314" s="802"/>
      <c r="M314" s="802"/>
      <c r="N314" s="802"/>
      <c r="O314" s="802"/>
      <c r="P314" s="802"/>
      <c r="Q314" s="802"/>
      <c r="R314" s="802"/>
      <c r="S314" s="802"/>
      <c r="T314" s="802"/>
      <c r="U314" s="802"/>
      <c r="V314" s="802"/>
      <c r="W314" s="802"/>
      <c r="X314" s="802"/>
      <c r="Y314" s="802"/>
      <c r="Z314" s="802"/>
      <c r="AA314" s="802"/>
      <c r="AB314" s="802"/>
      <c r="AC314" s="802"/>
      <c r="AD314" s="802"/>
      <c r="AE314" s="802"/>
      <c r="AF314" s="802"/>
      <c r="AG314" s="802"/>
      <c r="AH314" s="802"/>
      <c r="AI314" s="802"/>
      <c r="AJ314" s="802"/>
      <c r="AK314" s="802"/>
      <c r="AL314" s="802"/>
      <c r="AM314" s="802"/>
      <c r="AN314" s="802"/>
      <c r="AO314" s="802"/>
      <c r="AP314" s="802"/>
      <c r="AQ314" s="802"/>
      <c r="AR314" s="802"/>
      <c r="AS314" s="802"/>
      <c r="AT314" s="802"/>
      <c r="AU314" s="802"/>
      <c r="AV314" s="802"/>
      <c r="AW314" s="802"/>
      <c r="AX314" s="802"/>
      <c r="AY314" s="802"/>
    </row>
    <row r="315" ht="21.75" customHeight="1">
      <c r="A315" s="802"/>
      <c r="B315" s="802"/>
      <c r="C315" s="802"/>
      <c r="D315" s="802"/>
      <c r="E315" s="802"/>
      <c r="F315" s="802"/>
      <c r="G315" s="802"/>
      <c r="H315" s="802"/>
      <c r="I315" s="802"/>
      <c r="J315" s="802"/>
      <c r="K315" s="802"/>
      <c r="L315" s="802"/>
      <c r="M315" s="802"/>
      <c r="N315" s="802"/>
      <c r="O315" s="802"/>
      <c r="P315" s="802"/>
      <c r="Q315" s="802"/>
      <c r="R315" s="802"/>
      <c r="S315" s="802"/>
      <c r="T315" s="802"/>
      <c r="U315" s="802"/>
      <c r="V315" s="802"/>
      <c r="W315" s="802"/>
      <c r="X315" s="802"/>
      <c r="Y315" s="802"/>
      <c r="Z315" s="802"/>
      <c r="AA315" s="802"/>
      <c r="AB315" s="802"/>
      <c r="AC315" s="802"/>
      <c r="AD315" s="802"/>
      <c r="AE315" s="802"/>
      <c r="AF315" s="802"/>
      <c r="AG315" s="802"/>
      <c r="AH315" s="802"/>
      <c r="AI315" s="802"/>
      <c r="AJ315" s="802"/>
      <c r="AK315" s="802"/>
      <c r="AL315" s="802"/>
      <c r="AM315" s="802"/>
      <c r="AN315" s="802"/>
      <c r="AO315" s="802"/>
      <c r="AP315" s="802"/>
      <c r="AQ315" s="802"/>
      <c r="AR315" s="802"/>
      <c r="AS315" s="802"/>
      <c r="AT315" s="802"/>
      <c r="AU315" s="802"/>
      <c r="AV315" s="802"/>
      <c r="AW315" s="802"/>
      <c r="AX315" s="802"/>
      <c r="AY315" s="802"/>
    </row>
    <row r="316" ht="21.75" customHeight="1">
      <c r="A316" s="802"/>
      <c r="B316" s="802"/>
      <c r="C316" s="802"/>
      <c r="D316" s="802"/>
      <c r="E316" s="802"/>
      <c r="F316" s="802"/>
      <c r="G316" s="802"/>
      <c r="H316" s="802"/>
      <c r="I316" s="802"/>
      <c r="J316" s="802"/>
      <c r="K316" s="802"/>
      <c r="L316" s="802"/>
      <c r="M316" s="802"/>
      <c r="N316" s="802"/>
      <c r="O316" s="802"/>
      <c r="P316" s="802"/>
      <c r="Q316" s="802"/>
      <c r="R316" s="802"/>
      <c r="S316" s="802"/>
      <c r="T316" s="802"/>
      <c r="U316" s="802"/>
      <c r="V316" s="802"/>
      <c r="W316" s="802"/>
      <c r="X316" s="802"/>
      <c r="Y316" s="802"/>
      <c r="Z316" s="802"/>
      <c r="AA316" s="802"/>
      <c r="AB316" s="802"/>
      <c r="AC316" s="802"/>
      <c r="AD316" s="802"/>
      <c r="AE316" s="802"/>
      <c r="AF316" s="802"/>
      <c r="AG316" s="802"/>
      <c r="AH316" s="802"/>
      <c r="AI316" s="802"/>
      <c r="AJ316" s="802"/>
      <c r="AK316" s="802"/>
      <c r="AL316" s="802"/>
      <c r="AM316" s="802"/>
      <c r="AN316" s="802"/>
      <c r="AO316" s="802"/>
      <c r="AP316" s="802"/>
      <c r="AQ316" s="802"/>
      <c r="AR316" s="802"/>
      <c r="AS316" s="802"/>
      <c r="AT316" s="802"/>
      <c r="AU316" s="802"/>
      <c r="AV316" s="802"/>
      <c r="AW316" s="802"/>
      <c r="AX316" s="802"/>
      <c r="AY316" s="802"/>
    </row>
    <row r="317" ht="21.75" customHeight="1">
      <c r="A317" s="802"/>
      <c r="B317" s="802"/>
      <c r="C317" s="802"/>
      <c r="D317" s="802"/>
      <c r="E317" s="802"/>
      <c r="F317" s="802"/>
      <c r="G317" s="802"/>
      <c r="H317" s="802"/>
      <c r="I317" s="802"/>
      <c r="J317" s="802"/>
      <c r="K317" s="802"/>
      <c r="L317" s="802"/>
      <c r="M317" s="802"/>
      <c r="N317" s="802"/>
      <c r="O317" s="802"/>
      <c r="P317" s="802"/>
      <c r="Q317" s="802"/>
      <c r="R317" s="802"/>
      <c r="S317" s="802"/>
      <c r="T317" s="802"/>
      <c r="U317" s="802"/>
      <c r="V317" s="802"/>
      <c r="W317" s="802"/>
      <c r="X317" s="802"/>
      <c r="Y317" s="802"/>
      <c r="Z317" s="802"/>
      <c r="AA317" s="802"/>
      <c r="AB317" s="802"/>
      <c r="AC317" s="802"/>
      <c r="AD317" s="802"/>
      <c r="AE317" s="802"/>
      <c r="AF317" s="802"/>
      <c r="AG317" s="802"/>
      <c r="AH317" s="802"/>
      <c r="AI317" s="802"/>
      <c r="AJ317" s="802"/>
      <c r="AK317" s="802"/>
      <c r="AL317" s="802"/>
      <c r="AM317" s="802"/>
      <c r="AN317" s="802"/>
      <c r="AO317" s="802"/>
      <c r="AP317" s="802"/>
      <c r="AQ317" s="802"/>
      <c r="AR317" s="802"/>
      <c r="AS317" s="802"/>
      <c r="AT317" s="802"/>
      <c r="AU317" s="802"/>
      <c r="AV317" s="802"/>
      <c r="AW317" s="802"/>
      <c r="AX317" s="802"/>
      <c r="AY317" s="802"/>
    </row>
    <row r="318" ht="21.75" customHeight="1">
      <c r="A318" s="802"/>
      <c r="B318" s="802"/>
      <c r="C318" s="802"/>
      <c r="D318" s="802"/>
      <c r="E318" s="802"/>
      <c r="F318" s="802"/>
      <c r="G318" s="802"/>
      <c r="H318" s="802"/>
      <c r="I318" s="802"/>
      <c r="J318" s="802"/>
      <c r="K318" s="802"/>
      <c r="L318" s="802"/>
      <c r="M318" s="802"/>
      <c r="N318" s="802"/>
      <c r="O318" s="802"/>
      <c r="P318" s="802"/>
      <c r="Q318" s="802"/>
      <c r="R318" s="802"/>
      <c r="S318" s="802"/>
      <c r="T318" s="802"/>
      <c r="U318" s="802"/>
      <c r="V318" s="802"/>
      <c r="W318" s="802"/>
      <c r="X318" s="802"/>
      <c r="Y318" s="802"/>
      <c r="Z318" s="802"/>
      <c r="AA318" s="802"/>
      <c r="AB318" s="802"/>
      <c r="AC318" s="802"/>
      <c r="AD318" s="802"/>
      <c r="AE318" s="802"/>
      <c r="AF318" s="802"/>
      <c r="AG318" s="802"/>
      <c r="AH318" s="802"/>
      <c r="AI318" s="802"/>
      <c r="AJ318" s="802"/>
      <c r="AK318" s="802"/>
      <c r="AL318" s="802"/>
      <c r="AM318" s="802"/>
      <c r="AN318" s="802"/>
      <c r="AO318" s="802"/>
      <c r="AP318" s="802"/>
      <c r="AQ318" s="802"/>
      <c r="AR318" s="802"/>
      <c r="AS318" s="802"/>
      <c r="AT318" s="802"/>
      <c r="AU318" s="802"/>
      <c r="AV318" s="802"/>
      <c r="AW318" s="802"/>
      <c r="AX318" s="802"/>
      <c r="AY318" s="802"/>
    </row>
    <row r="319" ht="21.75" customHeight="1">
      <c r="A319" s="802"/>
      <c r="B319" s="802"/>
      <c r="C319" s="802"/>
      <c r="D319" s="802"/>
      <c r="E319" s="802"/>
      <c r="F319" s="802"/>
      <c r="G319" s="802"/>
      <c r="H319" s="802"/>
      <c r="I319" s="802"/>
      <c r="J319" s="802"/>
      <c r="K319" s="802"/>
      <c r="L319" s="802"/>
      <c r="M319" s="802"/>
      <c r="N319" s="802"/>
      <c r="O319" s="802"/>
      <c r="P319" s="802"/>
      <c r="Q319" s="802"/>
      <c r="R319" s="802"/>
      <c r="S319" s="802"/>
      <c r="T319" s="802"/>
      <c r="U319" s="802"/>
      <c r="V319" s="802"/>
      <c r="W319" s="802"/>
      <c r="X319" s="802"/>
      <c r="Y319" s="802"/>
      <c r="Z319" s="802"/>
      <c r="AA319" s="802"/>
      <c r="AB319" s="802"/>
      <c r="AC319" s="802"/>
      <c r="AD319" s="802"/>
      <c r="AE319" s="802"/>
      <c r="AF319" s="802"/>
      <c r="AG319" s="802"/>
      <c r="AH319" s="802"/>
      <c r="AI319" s="802"/>
      <c r="AJ319" s="802"/>
      <c r="AK319" s="802"/>
      <c r="AL319" s="802"/>
      <c r="AM319" s="802"/>
      <c r="AN319" s="802"/>
      <c r="AO319" s="802"/>
      <c r="AP319" s="802"/>
      <c r="AQ319" s="802"/>
      <c r="AR319" s="802"/>
      <c r="AS319" s="802"/>
      <c r="AT319" s="802"/>
      <c r="AU319" s="802"/>
      <c r="AV319" s="802"/>
      <c r="AW319" s="802"/>
      <c r="AX319" s="802"/>
      <c r="AY319" s="802"/>
    </row>
    <row r="320" ht="21.75" customHeight="1">
      <c r="A320" s="802"/>
      <c r="B320" s="802"/>
      <c r="C320" s="802"/>
      <c r="D320" s="802"/>
      <c r="E320" s="802"/>
      <c r="F320" s="802"/>
      <c r="G320" s="802"/>
      <c r="H320" s="802"/>
      <c r="I320" s="802"/>
      <c r="J320" s="802"/>
      <c r="K320" s="802"/>
      <c r="L320" s="802"/>
      <c r="M320" s="802"/>
      <c r="N320" s="802"/>
      <c r="O320" s="802"/>
      <c r="P320" s="802"/>
      <c r="Q320" s="802"/>
      <c r="R320" s="802"/>
      <c r="S320" s="802"/>
      <c r="T320" s="802"/>
      <c r="U320" s="802"/>
      <c r="V320" s="802"/>
      <c r="W320" s="802"/>
      <c r="X320" s="802"/>
      <c r="Y320" s="802"/>
      <c r="Z320" s="802"/>
      <c r="AA320" s="802"/>
      <c r="AB320" s="802"/>
      <c r="AC320" s="802"/>
      <c r="AD320" s="802"/>
      <c r="AE320" s="802"/>
      <c r="AF320" s="802"/>
      <c r="AG320" s="802"/>
      <c r="AH320" s="802"/>
      <c r="AI320" s="802"/>
      <c r="AJ320" s="802"/>
      <c r="AK320" s="802"/>
      <c r="AL320" s="802"/>
      <c r="AM320" s="802"/>
      <c r="AN320" s="802"/>
      <c r="AO320" s="802"/>
      <c r="AP320" s="802"/>
      <c r="AQ320" s="802"/>
      <c r="AR320" s="802"/>
      <c r="AS320" s="802"/>
      <c r="AT320" s="802"/>
      <c r="AU320" s="802"/>
      <c r="AV320" s="802"/>
      <c r="AW320" s="802"/>
      <c r="AX320" s="802"/>
      <c r="AY320" s="802"/>
    </row>
    <row r="321" ht="21.75" customHeight="1">
      <c r="A321" s="802"/>
      <c r="B321" s="802"/>
      <c r="C321" s="802"/>
      <c r="D321" s="802"/>
      <c r="E321" s="802"/>
      <c r="F321" s="802"/>
      <c r="G321" s="802"/>
      <c r="H321" s="802"/>
      <c r="I321" s="802"/>
      <c r="J321" s="802"/>
      <c r="K321" s="802"/>
      <c r="L321" s="802"/>
      <c r="M321" s="802"/>
      <c r="N321" s="802"/>
      <c r="O321" s="802"/>
      <c r="P321" s="802"/>
      <c r="Q321" s="802"/>
      <c r="R321" s="802"/>
      <c r="S321" s="802"/>
      <c r="T321" s="802"/>
      <c r="U321" s="802"/>
      <c r="V321" s="802"/>
      <c r="W321" s="802"/>
      <c r="X321" s="802"/>
      <c r="Y321" s="802"/>
      <c r="Z321" s="802"/>
      <c r="AA321" s="802"/>
      <c r="AB321" s="802"/>
      <c r="AC321" s="802"/>
      <c r="AD321" s="802"/>
      <c r="AE321" s="802"/>
      <c r="AF321" s="802"/>
      <c r="AG321" s="802"/>
      <c r="AH321" s="802"/>
      <c r="AI321" s="802"/>
      <c r="AJ321" s="802"/>
      <c r="AK321" s="802"/>
      <c r="AL321" s="802"/>
      <c r="AM321" s="802"/>
      <c r="AN321" s="802"/>
      <c r="AO321" s="802"/>
      <c r="AP321" s="802"/>
      <c r="AQ321" s="802"/>
      <c r="AR321" s="802"/>
      <c r="AS321" s="802"/>
      <c r="AT321" s="802"/>
      <c r="AU321" s="802"/>
      <c r="AV321" s="802"/>
      <c r="AW321" s="802"/>
      <c r="AX321" s="802"/>
      <c r="AY321" s="802"/>
    </row>
    <row r="322" ht="21.75" customHeight="1">
      <c r="A322" s="802"/>
      <c r="B322" s="802"/>
      <c r="C322" s="802"/>
      <c r="D322" s="802"/>
      <c r="E322" s="802"/>
      <c r="F322" s="802"/>
      <c r="G322" s="802"/>
      <c r="H322" s="802"/>
      <c r="I322" s="802"/>
      <c r="J322" s="802"/>
      <c r="K322" s="802"/>
      <c r="L322" s="802"/>
      <c r="M322" s="802"/>
      <c r="N322" s="802"/>
      <c r="O322" s="802"/>
      <c r="P322" s="802"/>
      <c r="Q322" s="802"/>
      <c r="R322" s="802"/>
      <c r="S322" s="802"/>
      <c r="T322" s="802"/>
      <c r="U322" s="802"/>
      <c r="V322" s="802"/>
      <c r="W322" s="802"/>
      <c r="X322" s="802"/>
      <c r="Y322" s="802"/>
      <c r="Z322" s="802"/>
      <c r="AA322" s="802"/>
      <c r="AB322" s="802"/>
      <c r="AC322" s="802"/>
      <c r="AD322" s="802"/>
      <c r="AE322" s="802"/>
      <c r="AF322" s="802"/>
      <c r="AG322" s="802"/>
      <c r="AH322" s="802"/>
      <c r="AI322" s="802"/>
      <c r="AJ322" s="802"/>
      <c r="AK322" s="802"/>
      <c r="AL322" s="802"/>
      <c r="AM322" s="802"/>
      <c r="AN322" s="802"/>
      <c r="AO322" s="802"/>
      <c r="AP322" s="802"/>
      <c r="AQ322" s="802"/>
      <c r="AR322" s="802"/>
      <c r="AS322" s="802"/>
      <c r="AT322" s="802"/>
      <c r="AU322" s="802"/>
      <c r="AV322" s="802"/>
      <c r="AW322" s="802"/>
      <c r="AX322" s="802"/>
      <c r="AY322" s="802"/>
    </row>
    <row r="323" ht="21.75" customHeight="1">
      <c r="A323" s="802"/>
      <c r="B323" s="802"/>
      <c r="C323" s="802"/>
      <c r="D323" s="802"/>
      <c r="E323" s="802"/>
      <c r="F323" s="802"/>
      <c r="G323" s="802"/>
      <c r="H323" s="802"/>
      <c r="I323" s="802"/>
      <c r="J323" s="802"/>
      <c r="K323" s="802"/>
      <c r="L323" s="802"/>
      <c r="M323" s="802"/>
      <c r="N323" s="802"/>
      <c r="O323" s="802"/>
      <c r="P323" s="802"/>
      <c r="Q323" s="802"/>
      <c r="R323" s="802"/>
      <c r="S323" s="802"/>
      <c r="T323" s="802"/>
      <c r="U323" s="802"/>
      <c r="V323" s="802"/>
      <c r="W323" s="802"/>
      <c r="X323" s="802"/>
      <c r="Y323" s="802"/>
      <c r="Z323" s="802"/>
      <c r="AA323" s="802"/>
      <c r="AB323" s="802"/>
      <c r="AC323" s="802"/>
      <c r="AD323" s="802"/>
      <c r="AE323" s="802"/>
      <c r="AF323" s="802"/>
      <c r="AG323" s="802"/>
      <c r="AH323" s="802"/>
      <c r="AI323" s="802"/>
      <c r="AJ323" s="802"/>
      <c r="AK323" s="802"/>
      <c r="AL323" s="802"/>
      <c r="AM323" s="802"/>
      <c r="AN323" s="802"/>
      <c r="AO323" s="802"/>
      <c r="AP323" s="802"/>
      <c r="AQ323" s="802"/>
      <c r="AR323" s="802"/>
      <c r="AS323" s="802"/>
      <c r="AT323" s="802"/>
      <c r="AU323" s="802"/>
      <c r="AV323" s="802"/>
      <c r="AW323" s="802"/>
      <c r="AX323" s="802"/>
      <c r="AY323" s="802"/>
    </row>
    <row r="324" ht="21.75" customHeight="1">
      <c r="A324" s="802"/>
      <c r="B324" s="802"/>
      <c r="C324" s="802"/>
      <c r="D324" s="802"/>
      <c r="E324" s="802"/>
      <c r="F324" s="802"/>
      <c r="G324" s="802"/>
      <c r="H324" s="802"/>
      <c r="I324" s="802"/>
      <c r="J324" s="802"/>
      <c r="K324" s="802"/>
      <c r="L324" s="802"/>
      <c r="M324" s="802"/>
      <c r="N324" s="802"/>
      <c r="O324" s="802"/>
      <c r="P324" s="802"/>
      <c r="Q324" s="802"/>
      <c r="R324" s="802"/>
      <c r="S324" s="802"/>
      <c r="T324" s="802"/>
      <c r="U324" s="802"/>
      <c r="V324" s="802"/>
      <c r="W324" s="802"/>
      <c r="X324" s="802"/>
      <c r="Y324" s="802"/>
      <c r="Z324" s="802"/>
      <c r="AA324" s="802"/>
      <c r="AB324" s="802"/>
      <c r="AC324" s="802"/>
      <c r="AD324" s="802"/>
      <c r="AE324" s="802"/>
      <c r="AF324" s="802"/>
      <c r="AG324" s="802"/>
      <c r="AH324" s="802"/>
      <c r="AI324" s="802"/>
      <c r="AJ324" s="802"/>
      <c r="AK324" s="802"/>
      <c r="AL324" s="802"/>
      <c r="AM324" s="802"/>
      <c r="AN324" s="802"/>
      <c r="AO324" s="802"/>
      <c r="AP324" s="802"/>
      <c r="AQ324" s="802"/>
      <c r="AR324" s="802"/>
      <c r="AS324" s="802"/>
      <c r="AT324" s="802"/>
      <c r="AU324" s="802"/>
      <c r="AV324" s="802"/>
      <c r="AW324" s="802"/>
      <c r="AX324" s="802"/>
      <c r="AY324" s="802"/>
    </row>
    <row r="325" ht="21.75" customHeight="1">
      <c r="A325" s="802"/>
      <c r="B325" s="802"/>
      <c r="C325" s="802"/>
      <c r="D325" s="802"/>
      <c r="E325" s="802"/>
      <c r="F325" s="802"/>
      <c r="G325" s="802"/>
      <c r="H325" s="802"/>
      <c r="I325" s="802"/>
      <c r="J325" s="802"/>
      <c r="K325" s="802"/>
      <c r="L325" s="802"/>
      <c r="M325" s="802"/>
      <c r="N325" s="802"/>
      <c r="O325" s="802"/>
      <c r="P325" s="802"/>
      <c r="Q325" s="802"/>
      <c r="R325" s="802"/>
      <c r="S325" s="802"/>
      <c r="T325" s="802"/>
      <c r="U325" s="802"/>
      <c r="V325" s="802"/>
      <c r="W325" s="802"/>
      <c r="X325" s="802"/>
      <c r="Y325" s="802"/>
      <c r="Z325" s="802"/>
      <c r="AA325" s="802"/>
      <c r="AB325" s="802"/>
      <c r="AC325" s="802"/>
      <c r="AD325" s="802"/>
      <c r="AE325" s="802"/>
      <c r="AF325" s="802"/>
      <c r="AG325" s="802"/>
      <c r="AH325" s="802"/>
      <c r="AI325" s="802"/>
      <c r="AJ325" s="802"/>
      <c r="AK325" s="802"/>
      <c r="AL325" s="802"/>
      <c r="AM325" s="802"/>
      <c r="AN325" s="802"/>
      <c r="AO325" s="802"/>
      <c r="AP325" s="802"/>
      <c r="AQ325" s="802"/>
      <c r="AR325" s="802"/>
      <c r="AS325" s="802"/>
      <c r="AT325" s="802"/>
      <c r="AU325" s="802"/>
      <c r="AV325" s="802"/>
      <c r="AW325" s="802"/>
      <c r="AX325" s="802"/>
      <c r="AY325" s="802"/>
    </row>
    <row r="326" ht="21.75" customHeight="1">
      <c r="A326" s="802"/>
      <c r="B326" s="802"/>
      <c r="C326" s="802"/>
      <c r="D326" s="802"/>
      <c r="E326" s="802"/>
      <c r="F326" s="802"/>
      <c r="G326" s="802"/>
      <c r="H326" s="802"/>
      <c r="I326" s="802"/>
      <c r="J326" s="802"/>
      <c r="K326" s="802"/>
      <c r="L326" s="802"/>
      <c r="M326" s="802"/>
      <c r="N326" s="802"/>
      <c r="O326" s="802"/>
      <c r="P326" s="802"/>
      <c r="Q326" s="802"/>
      <c r="R326" s="802"/>
      <c r="S326" s="802"/>
      <c r="T326" s="802"/>
      <c r="U326" s="802"/>
      <c r="V326" s="802"/>
      <c r="W326" s="802"/>
      <c r="X326" s="802"/>
      <c r="Y326" s="802"/>
      <c r="Z326" s="802"/>
      <c r="AA326" s="802"/>
      <c r="AB326" s="802"/>
      <c r="AC326" s="802"/>
      <c r="AD326" s="802"/>
      <c r="AE326" s="802"/>
      <c r="AF326" s="802"/>
      <c r="AG326" s="802"/>
      <c r="AH326" s="802"/>
      <c r="AI326" s="802"/>
      <c r="AJ326" s="802"/>
      <c r="AK326" s="802"/>
      <c r="AL326" s="802"/>
      <c r="AM326" s="802"/>
      <c r="AN326" s="802"/>
      <c r="AO326" s="802"/>
      <c r="AP326" s="802"/>
      <c r="AQ326" s="802"/>
      <c r="AR326" s="802"/>
      <c r="AS326" s="802"/>
      <c r="AT326" s="802"/>
      <c r="AU326" s="802"/>
      <c r="AV326" s="802"/>
      <c r="AW326" s="802"/>
      <c r="AX326" s="802"/>
      <c r="AY326" s="802"/>
    </row>
    <row r="327" ht="21.75" customHeight="1">
      <c r="A327" s="802"/>
      <c r="B327" s="802"/>
      <c r="C327" s="802"/>
      <c r="D327" s="802"/>
      <c r="E327" s="802"/>
      <c r="F327" s="802"/>
      <c r="G327" s="802"/>
      <c r="H327" s="802"/>
      <c r="I327" s="802"/>
      <c r="J327" s="802"/>
      <c r="K327" s="802"/>
      <c r="L327" s="802"/>
      <c r="M327" s="802"/>
      <c r="N327" s="802"/>
      <c r="O327" s="802"/>
      <c r="P327" s="802"/>
      <c r="Q327" s="802"/>
      <c r="R327" s="802"/>
      <c r="S327" s="802"/>
      <c r="T327" s="802"/>
      <c r="U327" s="802"/>
      <c r="V327" s="802"/>
      <c r="W327" s="802"/>
      <c r="X327" s="802"/>
      <c r="Y327" s="802"/>
      <c r="Z327" s="802"/>
      <c r="AA327" s="802"/>
      <c r="AB327" s="802"/>
      <c r="AC327" s="802"/>
      <c r="AD327" s="802"/>
      <c r="AE327" s="802"/>
      <c r="AF327" s="802"/>
      <c r="AG327" s="802"/>
      <c r="AH327" s="802"/>
      <c r="AI327" s="802"/>
      <c r="AJ327" s="802"/>
      <c r="AK327" s="802"/>
      <c r="AL327" s="802"/>
      <c r="AM327" s="802"/>
      <c r="AN327" s="802"/>
      <c r="AO327" s="802"/>
      <c r="AP327" s="802"/>
      <c r="AQ327" s="802"/>
      <c r="AR327" s="802"/>
      <c r="AS327" s="802"/>
      <c r="AT327" s="802"/>
      <c r="AU327" s="802"/>
      <c r="AV327" s="802"/>
      <c r="AW327" s="802"/>
      <c r="AX327" s="802"/>
      <c r="AY327" s="802"/>
    </row>
    <row r="328" ht="21.75" customHeight="1">
      <c r="A328" s="802"/>
      <c r="B328" s="802"/>
      <c r="C328" s="802"/>
      <c r="D328" s="802"/>
      <c r="E328" s="802"/>
      <c r="F328" s="802"/>
      <c r="G328" s="802"/>
      <c r="H328" s="802"/>
      <c r="I328" s="802"/>
      <c r="J328" s="802"/>
      <c r="K328" s="802"/>
      <c r="L328" s="802"/>
      <c r="M328" s="802"/>
      <c r="N328" s="802"/>
      <c r="O328" s="802"/>
      <c r="P328" s="802"/>
      <c r="Q328" s="802"/>
      <c r="R328" s="802"/>
      <c r="S328" s="802"/>
      <c r="T328" s="802"/>
      <c r="U328" s="802"/>
      <c r="V328" s="802"/>
      <c r="W328" s="802"/>
      <c r="X328" s="802"/>
      <c r="Y328" s="802"/>
      <c r="Z328" s="802"/>
      <c r="AA328" s="802"/>
      <c r="AB328" s="802"/>
      <c r="AC328" s="802"/>
      <c r="AD328" s="802"/>
      <c r="AE328" s="802"/>
      <c r="AF328" s="802"/>
      <c r="AG328" s="802"/>
      <c r="AH328" s="802"/>
      <c r="AI328" s="802"/>
      <c r="AJ328" s="802"/>
      <c r="AK328" s="802"/>
      <c r="AL328" s="802"/>
      <c r="AM328" s="802"/>
      <c r="AN328" s="802"/>
      <c r="AO328" s="802"/>
      <c r="AP328" s="802"/>
      <c r="AQ328" s="802"/>
      <c r="AR328" s="802"/>
      <c r="AS328" s="802"/>
      <c r="AT328" s="802"/>
      <c r="AU328" s="802"/>
      <c r="AV328" s="802"/>
      <c r="AW328" s="802"/>
      <c r="AX328" s="802"/>
      <c r="AY328" s="802"/>
    </row>
    <row r="329" ht="21.75" customHeight="1">
      <c r="A329" s="802"/>
      <c r="B329" s="802"/>
      <c r="C329" s="802"/>
      <c r="D329" s="802"/>
      <c r="E329" s="802"/>
      <c r="F329" s="802"/>
      <c r="G329" s="802"/>
      <c r="H329" s="802"/>
      <c r="I329" s="802"/>
      <c r="J329" s="802"/>
      <c r="K329" s="802"/>
      <c r="L329" s="802"/>
      <c r="M329" s="802"/>
      <c r="N329" s="802"/>
      <c r="O329" s="802"/>
      <c r="P329" s="802"/>
      <c r="Q329" s="802"/>
      <c r="R329" s="802"/>
      <c r="S329" s="802"/>
      <c r="T329" s="802"/>
      <c r="U329" s="802"/>
      <c r="V329" s="802"/>
      <c r="W329" s="802"/>
      <c r="X329" s="802"/>
      <c r="Y329" s="802"/>
      <c r="Z329" s="802"/>
      <c r="AA329" s="802"/>
      <c r="AB329" s="802"/>
      <c r="AC329" s="802"/>
      <c r="AD329" s="802"/>
      <c r="AE329" s="802"/>
      <c r="AF329" s="802"/>
      <c r="AG329" s="802"/>
      <c r="AH329" s="802"/>
      <c r="AI329" s="802"/>
      <c r="AJ329" s="802"/>
      <c r="AK329" s="802"/>
      <c r="AL329" s="802"/>
      <c r="AM329" s="802"/>
      <c r="AN329" s="802"/>
      <c r="AO329" s="802"/>
      <c r="AP329" s="802"/>
      <c r="AQ329" s="802"/>
      <c r="AR329" s="802"/>
      <c r="AS329" s="802"/>
      <c r="AT329" s="802"/>
      <c r="AU329" s="802"/>
      <c r="AV329" s="802"/>
      <c r="AW329" s="802"/>
      <c r="AX329" s="802"/>
      <c r="AY329" s="802"/>
    </row>
    <row r="330" ht="21.75" customHeight="1">
      <c r="A330" s="802"/>
      <c r="B330" s="802"/>
      <c r="C330" s="802"/>
      <c r="D330" s="802"/>
      <c r="E330" s="802"/>
      <c r="F330" s="802"/>
      <c r="G330" s="802"/>
      <c r="H330" s="802"/>
      <c r="I330" s="802"/>
      <c r="J330" s="802"/>
      <c r="K330" s="802"/>
      <c r="L330" s="802"/>
      <c r="M330" s="802"/>
      <c r="N330" s="802"/>
      <c r="O330" s="802"/>
      <c r="P330" s="802"/>
      <c r="Q330" s="802"/>
      <c r="R330" s="802"/>
      <c r="S330" s="802"/>
      <c r="T330" s="802"/>
      <c r="U330" s="802"/>
      <c r="V330" s="802"/>
      <c r="W330" s="802"/>
      <c r="X330" s="802"/>
      <c r="Y330" s="802"/>
      <c r="Z330" s="802"/>
      <c r="AA330" s="802"/>
      <c r="AB330" s="802"/>
      <c r="AC330" s="802"/>
      <c r="AD330" s="802"/>
      <c r="AE330" s="802"/>
      <c r="AF330" s="802"/>
      <c r="AG330" s="802"/>
      <c r="AH330" s="802"/>
      <c r="AI330" s="802"/>
      <c r="AJ330" s="802"/>
      <c r="AK330" s="802"/>
      <c r="AL330" s="802"/>
      <c r="AM330" s="802"/>
      <c r="AN330" s="802"/>
      <c r="AO330" s="802"/>
      <c r="AP330" s="802"/>
      <c r="AQ330" s="802"/>
      <c r="AR330" s="802"/>
      <c r="AS330" s="802"/>
      <c r="AT330" s="802"/>
      <c r="AU330" s="802"/>
      <c r="AV330" s="802"/>
      <c r="AW330" s="802"/>
      <c r="AX330" s="802"/>
      <c r="AY330" s="802"/>
    </row>
    <row r="331" ht="21.75" customHeight="1">
      <c r="A331" s="802"/>
      <c r="B331" s="802"/>
      <c r="C331" s="802"/>
      <c r="D331" s="802"/>
      <c r="E331" s="802"/>
      <c r="F331" s="802"/>
      <c r="G331" s="802"/>
      <c r="H331" s="802"/>
      <c r="I331" s="802"/>
      <c r="J331" s="802"/>
      <c r="K331" s="802"/>
      <c r="L331" s="802"/>
      <c r="M331" s="802"/>
      <c r="N331" s="802"/>
      <c r="O331" s="802"/>
      <c r="P331" s="802"/>
      <c r="Q331" s="802"/>
      <c r="R331" s="802"/>
      <c r="S331" s="802"/>
      <c r="T331" s="802"/>
      <c r="U331" s="802"/>
      <c r="V331" s="802"/>
      <c r="W331" s="802"/>
      <c r="X331" s="802"/>
      <c r="Y331" s="802"/>
      <c r="Z331" s="802"/>
      <c r="AA331" s="802"/>
      <c r="AB331" s="802"/>
      <c r="AC331" s="802"/>
      <c r="AD331" s="802"/>
      <c r="AE331" s="802"/>
      <c r="AF331" s="802"/>
      <c r="AG331" s="802"/>
      <c r="AH331" s="802"/>
      <c r="AI331" s="802"/>
      <c r="AJ331" s="802"/>
      <c r="AK331" s="802"/>
      <c r="AL331" s="802"/>
      <c r="AM331" s="802"/>
      <c r="AN331" s="802"/>
      <c r="AO331" s="802"/>
      <c r="AP331" s="802"/>
      <c r="AQ331" s="802"/>
      <c r="AR331" s="802"/>
      <c r="AS331" s="802"/>
      <c r="AT331" s="802"/>
      <c r="AU331" s="802"/>
      <c r="AV331" s="802"/>
      <c r="AW331" s="802"/>
      <c r="AX331" s="802"/>
      <c r="AY331" s="802"/>
    </row>
    <row r="332" ht="21.75" customHeight="1">
      <c r="A332" s="802"/>
      <c r="B332" s="802"/>
      <c r="C332" s="802"/>
      <c r="D332" s="802"/>
      <c r="E332" s="802"/>
      <c r="F332" s="802"/>
      <c r="G332" s="802"/>
      <c r="H332" s="802"/>
      <c r="I332" s="802"/>
      <c r="J332" s="802"/>
      <c r="K332" s="802"/>
      <c r="L332" s="802"/>
      <c r="M332" s="802"/>
      <c r="N332" s="802"/>
      <c r="O332" s="802"/>
      <c r="P332" s="802"/>
      <c r="Q332" s="802"/>
      <c r="R332" s="802"/>
      <c r="S332" s="802"/>
      <c r="T332" s="802"/>
      <c r="U332" s="802"/>
      <c r="V332" s="802"/>
      <c r="W332" s="802"/>
      <c r="X332" s="802"/>
      <c r="Y332" s="802"/>
      <c r="Z332" s="802"/>
      <c r="AA332" s="802"/>
      <c r="AB332" s="802"/>
      <c r="AC332" s="802"/>
      <c r="AD332" s="802"/>
      <c r="AE332" s="802"/>
      <c r="AF332" s="802"/>
      <c r="AG332" s="802"/>
      <c r="AH332" s="802"/>
      <c r="AI332" s="802"/>
      <c r="AJ332" s="802"/>
      <c r="AK332" s="802"/>
      <c r="AL332" s="802"/>
      <c r="AM332" s="802"/>
      <c r="AN332" s="802"/>
      <c r="AO332" s="802"/>
      <c r="AP332" s="802"/>
      <c r="AQ332" s="802"/>
      <c r="AR332" s="802"/>
      <c r="AS332" s="802"/>
      <c r="AT332" s="802"/>
      <c r="AU332" s="802"/>
      <c r="AV332" s="802"/>
      <c r="AW332" s="802"/>
      <c r="AX332" s="802"/>
      <c r="AY332" s="802"/>
    </row>
    <row r="333" ht="21.75" customHeight="1">
      <c r="A333" s="802"/>
      <c r="B333" s="802"/>
      <c r="C333" s="802"/>
      <c r="D333" s="802"/>
      <c r="E333" s="802"/>
      <c r="F333" s="802"/>
      <c r="G333" s="802"/>
      <c r="H333" s="802"/>
      <c r="I333" s="802"/>
      <c r="J333" s="802"/>
      <c r="K333" s="802"/>
      <c r="L333" s="802"/>
      <c r="M333" s="802"/>
      <c r="N333" s="802"/>
      <c r="O333" s="802"/>
      <c r="P333" s="802"/>
      <c r="Q333" s="802"/>
      <c r="R333" s="802"/>
      <c r="S333" s="802"/>
      <c r="T333" s="802"/>
      <c r="U333" s="802"/>
      <c r="V333" s="802"/>
      <c r="W333" s="802"/>
      <c r="X333" s="802"/>
      <c r="Y333" s="802"/>
      <c r="Z333" s="802"/>
      <c r="AA333" s="802"/>
      <c r="AB333" s="802"/>
      <c r="AC333" s="802"/>
      <c r="AD333" s="802"/>
      <c r="AE333" s="802"/>
      <c r="AF333" s="802"/>
      <c r="AG333" s="802"/>
      <c r="AH333" s="802"/>
      <c r="AI333" s="802"/>
      <c r="AJ333" s="802"/>
      <c r="AK333" s="802"/>
      <c r="AL333" s="802"/>
      <c r="AM333" s="802"/>
      <c r="AN333" s="802"/>
      <c r="AO333" s="802"/>
      <c r="AP333" s="802"/>
      <c r="AQ333" s="802"/>
      <c r="AR333" s="802"/>
      <c r="AS333" s="802"/>
      <c r="AT333" s="802"/>
      <c r="AU333" s="802"/>
      <c r="AV333" s="802"/>
      <c r="AW333" s="802"/>
      <c r="AX333" s="802"/>
      <c r="AY333" s="802"/>
    </row>
    <row r="334" ht="21.75" customHeight="1">
      <c r="A334" s="802"/>
      <c r="B334" s="802"/>
      <c r="C334" s="802"/>
      <c r="D334" s="802"/>
      <c r="E334" s="802"/>
      <c r="F334" s="802"/>
      <c r="G334" s="802"/>
      <c r="H334" s="802"/>
      <c r="I334" s="802"/>
      <c r="J334" s="802"/>
      <c r="K334" s="802"/>
      <c r="L334" s="802"/>
      <c r="M334" s="802"/>
      <c r="N334" s="802"/>
      <c r="O334" s="802"/>
      <c r="P334" s="802"/>
      <c r="Q334" s="802"/>
      <c r="R334" s="802"/>
      <c r="S334" s="802"/>
      <c r="T334" s="802"/>
      <c r="U334" s="802"/>
      <c r="V334" s="802"/>
      <c r="W334" s="802"/>
      <c r="X334" s="802"/>
      <c r="Y334" s="802"/>
      <c r="Z334" s="802"/>
      <c r="AA334" s="802"/>
      <c r="AB334" s="802"/>
      <c r="AC334" s="802"/>
      <c r="AD334" s="802"/>
      <c r="AE334" s="802"/>
      <c r="AF334" s="802"/>
      <c r="AG334" s="802"/>
      <c r="AH334" s="802"/>
      <c r="AI334" s="802"/>
      <c r="AJ334" s="802"/>
      <c r="AK334" s="802"/>
      <c r="AL334" s="802"/>
      <c r="AM334" s="802"/>
      <c r="AN334" s="802"/>
      <c r="AO334" s="802"/>
      <c r="AP334" s="802"/>
      <c r="AQ334" s="802"/>
      <c r="AR334" s="802"/>
      <c r="AS334" s="802"/>
      <c r="AT334" s="802"/>
      <c r="AU334" s="802"/>
      <c r="AV334" s="802"/>
      <c r="AW334" s="802"/>
      <c r="AX334" s="802"/>
      <c r="AY334" s="802"/>
    </row>
    <row r="335" ht="21.75" customHeight="1">
      <c r="A335" s="802"/>
      <c r="B335" s="802"/>
      <c r="C335" s="802"/>
      <c r="D335" s="802"/>
      <c r="E335" s="802"/>
      <c r="F335" s="802"/>
      <c r="G335" s="802"/>
      <c r="H335" s="802"/>
      <c r="I335" s="802"/>
      <c r="J335" s="802"/>
      <c r="K335" s="802"/>
      <c r="L335" s="802"/>
      <c r="M335" s="802"/>
      <c r="N335" s="802"/>
      <c r="O335" s="802"/>
      <c r="P335" s="802"/>
      <c r="Q335" s="802"/>
      <c r="R335" s="802"/>
      <c r="S335" s="802"/>
      <c r="T335" s="802"/>
      <c r="U335" s="802"/>
      <c r="V335" s="802"/>
      <c r="W335" s="802"/>
      <c r="X335" s="802"/>
      <c r="Y335" s="802"/>
      <c r="Z335" s="802"/>
      <c r="AA335" s="802"/>
      <c r="AB335" s="802"/>
      <c r="AC335" s="802"/>
      <c r="AD335" s="802"/>
      <c r="AE335" s="802"/>
      <c r="AF335" s="802"/>
      <c r="AG335" s="802"/>
      <c r="AH335" s="802"/>
      <c r="AI335" s="802"/>
      <c r="AJ335" s="802"/>
      <c r="AK335" s="802"/>
      <c r="AL335" s="802"/>
      <c r="AM335" s="802"/>
      <c r="AN335" s="802"/>
      <c r="AO335" s="802"/>
      <c r="AP335" s="802"/>
      <c r="AQ335" s="802"/>
      <c r="AR335" s="802"/>
      <c r="AS335" s="802"/>
      <c r="AT335" s="802"/>
      <c r="AU335" s="802"/>
      <c r="AV335" s="802"/>
      <c r="AW335" s="802"/>
      <c r="AX335" s="802"/>
      <c r="AY335" s="802"/>
    </row>
    <row r="336" ht="21.75" customHeight="1">
      <c r="A336" s="802"/>
      <c r="B336" s="802"/>
      <c r="C336" s="802"/>
      <c r="D336" s="802"/>
      <c r="E336" s="802"/>
      <c r="F336" s="802"/>
      <c r="G336" s="802"/>
      <c r="H336" s="802"/>
      <c r="I336" s="802"/>
      <c r="J336" s="802"/>
      <c r="K336" s="802"/>
      <c r="L336" s="802"/>
      <c r="M336" s="802"/>
      <c r="N336" s="802"/>
      <c r="O336" s="802"/>
      <c r="P336" s="802"/>
      <c r="Q336" s="802"/>
      <c r="R336" s="802"/>
      <c r="S336" s="802"/>
      <c r="T336" s="802"/>
      <c r="U336" s="802"/>
      <c r="V336" s="802"/>
      <c r="W336" s="802"/>
      <c r="X336" s="802"/>
      <c r="Y336" s="802"/>
      <c r="Z336" s="802"/>
      <c r="AA336" s="802"/>
      <c r="AB336" s="802"/>
      <c r="AC336" s="802"/>
      <c r="AD336" s="802"/>
      <c r="AE336" s="802"/>
      <c r="AF336" s="802"/>
      <c r="AG336" s="802"/>
      <c r="AH336" s="802"/>
      <c r="AI336" s="802"/>
      <c r="AJ336" s="802"/>
      <c r="AK336" s="802"/>
      <c r="AL336" s="802"/>
      <c r="AM336" s="802"/>
      <c r="AN336" s="802"/>
      <c r="AO336" s="802"/>
      <c r="AP336" s="802"/>
      <c r="AQ336" s="802"/>
      <c r="AR336" s="802"/>
      <c r="AS336" s="802"/>
      <c r="AT336" s="802"/>
      <c r="AU336" s="802"/>
      <c r="AV336" s="802"/>
      <c r="AW336" s="802"/>
      <c r="AX336" s="802"/>
      <c r="AY336" s="802"/>
    </row>
    <row r="337" ht="21.75" customHeight="1">
      <c r="A337" s="802"/>
      <c r="B337" s="802"/>
      <c r="C337" s="802"/>
      <c r="D337" s="802"/>
      <c r="E337" s="802"/>
      <c r="F337" s="802"/>
      <c r="G337" s="802"/>
      <c r="H337" s="802"/>
      <c r="I337" s="802"/>
      <c r="J337" s="802"/>
      <c r="K337" s="802"/>
      <c r="L337" s="802"/>
      <c r="M337" s="802"/>
      <c r="N337" s="802"/>
      <c r="O337" s="802"/>
      <c r="P337" s="802"/>
      <c r="Q337" s="802"/>
      <c r="R337" s="802"/>
      <c r="S337" s="802"/>
      <c r="T337" s="802"/>
      <c r="U337" s="802"/>
      <c r="V337" s="802"/>
      <c r="W337" s="802"/>
      <c r="X337" s="802"/>
      <c r="Y337" s="802"/>
      <c r="Z337" s="802"/>
      <c r="AA337" s="802"/>
      <c r="AB337" s="802"/>
      <c r="AC337" s="802"/>
      <c r="AD337" s="802"/>
      <c r="AE337" s="802"/>
      <c r="AF337" s="802"/>
      <c r="AG337" s="802"/>
      <c r="AH337" s="802"/>
      <c r="AI337" s="802"/>
      <c r="AJ337" s="802"/>
      <c r="AK337" s="802"/>
      <c r="AL337" s="802"/>
      <c r="AM337" s="802"/>
      <c r="AN337" s="802"/>
      <c r="AO337" s="802"/>
      <c r="AP337" s="802"/>
      <c r="AQ337" s="802"/>
      <c r="AR337" s="802"/>
      <c r="AS337" s="802"/>
      <c r="AT337" s="802"/>
      <c r="AU337" s="802"/>
      <c r="AV337" s="802"/>
      <c r="AW337" s="802"/>
      <c r="AX337" s="802"/>
      <c r="AY337" s="802"/>
    </row>
    <row r="338" ht="21.75" customHeight="1">
      <c r="A338" s="802"/>
      <c r="B338" s="802"/>
      <c r="C338" s="802"/>
      <c r="D338" s="802"/>
      <c r="E338" s="802"/>
      <c r="F338" s="802"/>
      <c r="G338" s="802"/>
      <c r="H338" s="802"/>
      <c r="I338" s="802"/>
      <c r="J338" s="802"/>
      <c r="K338" s="802"/>
      <c r="L338" s="802"/>
      <c r="M338" s="802"/>
      <c r="N338" s="802"/>
      <c r="O338" s="802"/>
      <c r="P338" s="802"/>
      <c r="Q338" s="802"/>
      <c r="R338" s="802"/>
      <c r="S338" s="802"/>
      <c r="T338" s="802"/>
      <c r="U338" s="802"/>
      <c r="V338" s="802"/>
      <c r="W338" s="802"/>
      <c r="X338" s="802"/>
      <c r="Y338" s="802"/>
      <c r="Z338" s="802"/>
      <c r="AA338" s="802"/>
      <c r="AB338" s="802"/>
      <c r="AC338" s="802"/>
      <c r="AD338" s="802"/>
      <c r="AE338" s="802"/>
      <c r="AF338" s="802"/>
      <c r="AG338" s="802"/>
      <c r="AH338" s="802"/>
      <c r="AI338" s="802"/>
      <c r="AJ338" s="802"/>
      <c r="AK338" s="802"/>
      <c r="AL338" s="802"/>
      <c r="AM338" s="802"/>
      <c r="AN338" s="802"/>
      <c r="AO338" s="802"/>
      <c r="AP338" s="802"/>
      <c r="AQ338" s="802"/>
      <c r="AR338" s="802"/>
      <c r="AS338" s="802"/>
      <c r="AT338" s="802"/>
      <c r="AU338" s="802"/>
      <c r="AV338" s="802"/>
      <c r="AW338" s="802"/>
      <c r="AX338" s="802"/>
      <c r="AY338" s="802"/>
    </row>
    <row r="339" ht="21.75" customHeight="1">
      <c r="A339" s="802"/>
      <c r="B339" s="802"/>
      <c r="C339" s="802"/>
      <c r="D339" s="802"/>
      <c r="E339" s="802"/>
      <c r="F339" s="802"/>
      <c r="G339" s="802"/>
      <c r="H339" s="802"/>
      <c r="I339" s="802"/>
      <c r="J339" s="802"/>
      <c r="K339" s="802"/>
      <c r="L339" s="802"/>
      <c r="M339" s="802"/>
      <c r="N339" s="802"/>
      <c r="O339" s="802"/>
      <c r="P339" s="802"/>
      <c r="Q339" s="802"/>
      <c r="R339" s="802"/>
      <c r="S339" s="802"/>
      <c r="T339" s="802"/>
      <c r="U339" s="802"/>
      <c r="V339" s="802"/>
      <c r="W339" s="802"/>
      <c r="X339" s="802"/>
      <c r="Y339" s="802"/>
      <c r="Z339" s="802"/>
      <c r="AA339" s="802"/>
      <c r="AB339" s="802"/>
      <c r="AC339" s="802"/>
      <c r="AD339" s="802"/>
      <c r="AE339" s="802"/>
      <c r="AF339" s="802"/>
      <c r="AG339" s="802"/>
      <c r="AH339" s="802"/>
      <c r="AI339" s="802"/>
      <c r="AJ339" s="802"/>
      <c r="AK339" s="802"/>
      <c r="AL339" s="802"/>
      <c r="AM339" s="802"/>
      <c r="AN339" s="802"/>
      <c r="AO339" s="802"/>
      <c r="AP339" s="802"/>
      <c r="AQ339" s="802"/>
      <c r="AR339" s="802"/>
      <c r="AS339" s="802"/>
      <c r="AT339" s="802"/>
      <c r="AU339" s="802"/>
      <c r="AV339" s="802"/>
      <c r="AW339" s="802"/>
      <c r="AX339" s="802"/>
      <c r="AY339" s="802"/>
    </row>
    <row r="340" ht="21.75" customHeight="1">
      <c r="A340" s="802"/>
      <c r="B340" s="802"/>
      <c r="C340" s="802"/>
      <c r="D340" s="802"/>
      <c r="E340" s="802"/>
      <c r="F340" s="802"/>
      <c r="G340" s="802"/>
      <c r="H340" s="802"/>
      <c r="I340" s="802"/>
      <c r="J340" s="802"/>
      <c r="K340" s="802"/>
      <c r="L340" s="802"/>
      <c r="M340" s="802"/>
      <c r="N340" s="802"/>
      <c r="O340" s="802"/>
      <c r="P340" s="802"/>
      <c r="Q340" s="802"/>
      <c r="R340" s="802"/>
      <c r="S340" s="802"/>
      <c r="T340" s="802"/>
      <c r="U340" s="802"/>
      <c r="V340" s="802"/>
      <c r="W340" s="802"/>
      <c r="X340" s="802"/>
      <c r="Y340" s="802"/>
      <c r="Z340" s="802"/>
      <c r="AA340" s="802"/>
      <c r="AB340" s="802"/>
      <c r="AC340" s="802"/>
      <c r="AD340" s="802"/>
      <c r="AE340" s="802"/>
      <c r="AF340" s="802"/>
      <c r="AG340" s="802"/>
      <c r="AH340" s="802"/>
      <c r="AI340" s="802"/>
      <c r="AJ340" s="802"/>
      <c r="AK340" s="802"/>
      <c r="AL340" s="802"/>
      <c r="AM340" s="802"/>
      <c r="AN340" s="802"/>
      <c r="AO340" s="802"/>
      <c r="AP340" s="802"/>
      <c r="AQ340" s="802"/>
      <c r="AR340" s="802"/>
      <c r="AS340" s="802"/>
      <c r="AT340" s="802"/>
      <c r="AU340" s="802"/>
      <c r="AV340" s="802"/>
      <c r="AW340" s="802"/>
      <c r="AX340" s="802"/>
      <c r="AY340" s="802"/>
    </row>
    <row r="341" ht="21.75" customHeight="1">
      <c r="A341" s="802"/>
      <c r="B341" s="802"/>
      <c r="C341" s="802"/>
      <c r="D341" s="802"/>
      <c r="E341" s="802"/>
      <c r="F341" s="802"/>
      <c r="G341" s="802"/>
      <c r="H341" s="802"/>
      <c r="I341" s="802"/>
      <c r="J341" s="802"/>
      <c r="K341" s="802"/>
      <c r="L341" s="802"/>
      <c r="M341" s="802"/>
      <c r="N341" s="802"/>
      <c r="O341" s="802"/>
      <c r="P341" s="802"/>
      <c r="Q341" s="802"/>
      <c r="R341" s="802"/>
      <c r="S341" s="802"/>
      <c r="T341" s="802"/>
      <c r="U341" s="802"/>
      <c r="V341" s="802"/>
      <c r="W341" s="802"/>
      <c r="X341" s="802"/>
      <c r="Y341" s="802"/>
      <c r="Z341" s="802"/>
      <c r="AA341" s="802"/>
      <c r="AB341" s="802"/>
      <c r="AC341" s="802"/>
      <c r="AD341" s="802"/>
      <c r="AE341" s="802"/>
      <c r="AF341" s="802"/>
      <c r="AG341" s="802"/>
      <c r="AH341" s="802"/>
      <c r="AI341" s="802"/>
      <c r="AJ341" s="802"/>
      <c r="AK341" s="802"/>
      <c r="AL341" s="802"/>
      <c r="AM341" s="802"/>
      <c r="AN341" s="802"/>
      <c r="AO341" s="802"/>
      <c r="AP341" s="802"/>
      <c r="AQ341" s="802"/>
      <c r="AR341" s="802"/>
      <c r="AS341" s="802"/>
      <c r="AT341" s="802"/>
      <c r="AU341" s="802"/>
      <c r="AV341" s="802"/>
      <c r="AW341" s="802"/>
      <c r="AX341" s="802"/>
      <c r="AY341" s="802"/>
    </row>
    <row r="342" ht="21.75" customHeight="1">
      <c r="A342" s="802"/>
      <c r="B342" s="802"/>
      <c r="C342" s="802"/>
      <c r="D342" s="802"/>
      <c r="E342" s="802"/>
      <c r="F342" s="802"/>
      <c r="G342" s="802"/>
      <c r="H342" s="802"/>
      <c r="I342" s="802"/>
      <c r="J342" s="802"/>
      <c r="K342" s="802"/>
      <c r="L342" s="802"/>
      <c r="M342" s="802"/>
      <c r="N342" s="802"/>
      <c r="O342" s="802"/>
      <c r="P342" s="802"/>
      <c r="Q342" s="802"/>
      <c r="R342" s="802"/>
      <c r="S342" s="802"/>
      <c r="T342" s="802"/>
      <c r="U342" s="802"/>
      <c r="V342" s="802"/>
      <c r="W342" s="802"/>
      <c r="X342" s="802"/>
      <c r="Y342" s="802"/>
      <c r="Z342" s="802"/>
      <c r="AA342" s="802"/>
      <c r="AB342" s="802"/>
      <c r="AC342" s="802"/>
      <c r="AD342" s="802"/>
      <c r="AE342" s="802"/>
      <c r="AF342" s="802"/>
      <c r="AG342" s="802"/>
      <c r="AH342" s="802"/>
      <c r="AI342" s="802"/>
      <c r="AJ342" s="802"/>
      <c r="AK342" s="802"/>
      <c r="AL342" s="802"/>
      <c r="AM342" s="802"/>
      <c r="AN342" s="802"/>
      <c r="AO342" s="802"/>
      <c r="AP342" s="802"/>
      <c r="AQ342" s="802"/>
      <c r="AR342" s="802"/>
      <c r="AS342" s="802"/>
      <c r="AT342" s="802"/>
      <c r="AU342" s="802"/>
      <c r="AV342" s="802"/>
      <c r="AW342" s="802"/>
      <c r="AX342" s="802"/>
      <c r="AY342" s="802"/>
    </row>
    <row r="343" ht="21.75" customHeight="1">
      <c r="A343" s="802"/>
      <c r="B343" s="802"/>
      <c r="C343" s="802"/>
      <c r="D343" s="802"/>
      <c r="E343" s="802"/>
      <c r="F343" s="802"/>
      <c r="G343" s="802"/>
      <c r="H343" s="802"/>
      <c r="I343" s="802"/>
      <c r="J343" s="802"/>
      <c r="K343" s="802"/>
      <c r="L343" s="802"/>
      <c r="M343" s="802"/>
      <c r="N343" s="802"/>
      <c r="O343" s="802"/>
      <c r="P343" s="802"/>
      <c r="Q343" s="802"/>
      <c r="R343" s="802"/>
      <c r="S343" s="802"/>
      <c r="T343" s="802"/>
      <c r="U343" s="802"/>
      <c r="V343" s="802"/>
      <c r="W343" s="802"/>
      <c r="X343" s="802"/>
      <c r="Y343" s="802"/>
      <c r="Z343" s="802"/>
      <c r="AA343" s="802"/>
      <c r="AB343" s="802"/>
      <c r="AC343" s="802"/>
      <c r="AD343" s="802"/>
      <c r="AE343" s="802"/>
      <c r="AF343" s="802"/>
      <c r="AG343" s="802"/>
      <c r="AH343" s="802"/>
      <c r="AI343" s="802"/>
      <c r="AJ343" s="802"/>
      <c r="AK343" s="802"/>
      <c r="AL343" s="802"/>
      <c r="AM343" s="802"/>
      <c r="AN343" s="802"/>
      <c r="AO343" s="802"/>
      <c r="AP343" s="802"/>
      <c r="AQ343" s="802"/>
      <c r="AR343" s="802"/>
      <c r="AS343" s="802"/>
      <c r="AT343" s="802"/>
      <c r="AU343" s="802"/>
      <c r="AV343" s="802"/>
      <c r="AW343" s="802"/>
      <c r="AX343" s="802"/>
      <c r="AY343" s="802"/>
    </row>
    <row r="344" ht="21.75" customHeight="1">
      <c r="A344" s="802"/>
      <c r="B344" s="802"/>
      <c r="C344" s="802"/>
      <c r="D344" s="802"/>
      <c r="E344" s="802"/>
      <c r="F344" s="802"/>
      <c r="G344" s="802"/>
      <c r="H344" s="802"/>
      <c r="I344" s="802"/>
      <c r="J344" s="802"/>
      <c r="K344" s="802"/>
      <c r="L344" s="802"/>
      <c r="M344" s="802"/>
      <c r="N344" s="802"/>
      <c r="O344" s="802"/>
      <c r="P344" s="802"/>
      <c r="Q344" s="802"/>
      <c r="R344" s="802"/>
      <c r="S344" s="802"/>
      <c r="T344" s="802"/>
      <c r="U344" s="802"/>
      <c r="V344" s="802"/>
      <c r="W344" s="802"/>
      <c r="X344" s="802"/>
      <c r="Y344" s="802"/>
      <c r="Z344" s="802"/>
      <c r="AA344" s="802"/>
      <c r="AB344" s="802"/>
      <c r="AC344" s="802"/>
      <c r="AD344" s="802"/>
      <c r="AE344" s="802"/>
      <c r="AF344" s="802"/>
      <c r="AG344" s="802"/>
      <c r="AH344" s="802"/>
      <c r="AI344" s="802"/>
      <c r="AJ344" s="802"/>
      <c r="AK344" s="802"/>
      <c r="AL344" s="802"/>
      <c r="AM344" s="802"/>
      <c r="AN344" s="802"/>
      <c r="AO344" s="802"/>
      <c r="AP344" s="802"/>
      <c r="AQ344" s="802"/>
      <c r="AR344" s="802"/>
      <c r="AS344" s="802"/>
      <c r="AT344" s="802"/>
      <c r="AU344" s="802"/>
      <c r="AV344" s="802"/>
      <c r="AW344" s="802"/>
      <c r="AX344" s="802"/>
      <c r="AY344" s="802"/>
    </row>
    <row r="345" ht="21.75" customHeight="1">
      <c r="A345" s="802"/>
      <c r="B345" s="802"/>
      <c r="C345" s="802"/>
      <c r="D345" s="802"/>
      <c r="E345" s="802"/>
      <c r="F345" s="802"/>
      <c r="G345" s="802"/>
      <c r="H345" s="802"/>
      <c r="I345" s="802"/>
      <c r="J345" s="802"/>
      <c r="K345" s="802"/>
      <c r="L345" s="802"/>
      <c r="M345" s="802"/>
      <c r="N345" s="802"/>
      <c r="O345" s="802"/>
      <c r="P345" s="802"/>
      <c r="Q345" s="802"/>
      <c r="R345" s="802"/>
      <c r="S345" s="802"/>
      <c r="T345" s="802"/>
      <c r="U345" s="802"/>
      <c r="V345" s="802"/>
      <c r="W345" s="802"/>
      <c r="X345" s="802"/>
      <c r="Y345" s="802"/>
      <c r="Z345" s="802"/>
      <c r="AA345" s="802"/>
      <c r="AB345" s="802"/>
      <c r="AC345" s="802"/>
      <c r="AD345" s="802"/>
      <c r="AE345" s="802"/>
      <c r="AF345" s="802"/>
      <c r="AG345" s="802"/>
      <c r="AH345" s="802"/>
      <c r="AI345" s="802"/>
      <c r="AJ345" s="802"/>
      <c r="AK345" s="802"/>
      <c r="AL345" s="802"/>
      <c r="AM345" s="802"/>
      <c r="AN345" s="802"/>
      <c r="AO345" s="802"/>
      <c r="AP345" s="802"/>
      <c r="AQ345" s="802"/>
      <c r="AR345" s="802"/>
      <c r="AS345" s="802"/>
      <c r="AT345" s="802"/>
      <c r="AU345" s="802"/>
      <c r="AV345" s="802"/>
      <c r="AW345" s="802"/>
      <c r="AX345" s="802"/>
      <c r="AY345" s="802"/>
    </row>
    <row r="346" ht="21.75" customHeight="1">
      <c r="A346" s="802"/>
      <c r="B346" s="802"/>
      <c r="C346" s="802"/>
      <c r="D346" s="802"/>
      <c r="E346" s="802"/>
      <c r="F346" s="802"/>
      <c r="G346" s="802"/>
      <c r="H346" s="802"/>
      <c r="I346" s="802"/>
      <c r="J346" s="802"/>
      <c r="K346" s="802"/>
      <c r="L346" s="802"/>
      <c r="M346" s="802"/>
      <c r="N346" s="802"/>
      <c r="O346" s="802"/>
      <c r="P346" s="802"/>
      <c r="Q346" s="802"/>
      <c r="R346" s="802"/>
      <c r="S346" s="802"/>
      <c r="T346" s="802"/>
      <c r="U346" s="802"/>
      <c r="V346" s="802"/>
      <c r="W346" s="802"/>
      <c r="X346" s="802"/>
      <c r="Y346" s="802"/>
      <c r="Z346" s="802"/>
      <c r="AA346" s="802"/>
      <c r="AB346" s="802"/>
      <c r="AC346" s="802"/>
      <c r="AD346" s="802"/>
      <c r="AE346" s="802"/>
      <c r="AF346" s="802"/>
      <c r="AG346" s="802"/>
      <c r="AH346" s="802"/>
      <c r="AI346" s="802"/>
      <c r="AJ346" s="802"/>
      <c r="AK346" s="802"/>
      <c r="AL346" s="802"/>
      <c r="AM346" s="802"/>
      <c r="AN346" s="802"/>
      <c r="AO346" s="802"/>
      <c r="AP346" s="802"/>
      <c r="AQ346" s="802"/>
      <c r="AR346" s="802"/>
      <c r="AS346" s="802"/>
      <c r="AT346" s="802"/>
      <c r="AU346" s="802"/>
      <c r="AV346" s="802"/>
      <c r="AW346" s="802"/>
      <c r="AX346" s="802"/>
      <c r="AY346" s="802"/>
    </row>
    <row r="347" ht="21.75" customHeight="1">
      <c r="A347" s="802"/>
      <c r="B347" s="802"/>
      <c r="C347" s="802"/>
      <c r="D347" s="802"/>
      <c r="E347" s="802"/>
      <c r="F347" s="802"/>
      <c r="G347" s="802"/>
      <c r="H347" s="802"/>
      <c r="I347" s="802"/>
      <c r="J347" s="802"/>
      <c r="K347" s="802"/>
      <c r="L347" s="802"/>
      <c r="M347" s="802"/>
      <c r="N347" s="802"/>
      <c r="O347" s="802"/>
      <c r="P347" s="802"/>
      <c r="Q347" s="802"/>
      <c r="R347" s="802"/>
      <c r="S347" s="802"/>
      <c r="T347" s="802"/>
      <c r="U347" s="802"/>
      <c r="V347" s="802"/>
      <c r="W347" s="802"/>
      <c r="X347" s="802"/>
      <c r="Y347" s="802"/>
      <c r="Z347" s="802"/>
      <c r="AA347" s="802"/>
      <c r="AB347" s="802"/>
      <c r="AC347" s="802"/>
      <c r="AD347" s="802"/>
      <c r="AE347" s="802"/>
      <c r="AF347" s="802"/>
      <c r="AG347" s="802"/>
      <c r="AH347" s="802"/>
      <c r="AI347" s="802"/>
      <c r="AJ347" s="802"/>
      <c r="AK347" s="802"/>
      <c r="AL347" s="802"/>
      <c r="AM347" s="802"/>
      <c r="AN347" s="802"/>
      <c r="AO347" s="802"/>
      <c r="AP347" s="802"/>
      <c r="AQ347" s="802"/>
      <c r="AR347" s="802"/>
      <c r="AS347" s="802"/>
      <c r="AT347" s="802"/>
      <c r="AU347" s="802"/>
      <c r="AV347" s="802"/>
      <c r="AW347" s="802"/>
      <c r="AX347" s="802"/>
      <c r="AY347" s="802"/>
    </row>
    <row r="348" ht="21.75" customHeight="1">
      <c r="A348" s="802"/>
      <c r="B348" s="802"/>
      <c r="C348" s="802"/>
      <c r="D348" s="802"/>
      <c r="E348" s="802"/>
      <c r="F348" s="802"/>
      <c r="G348" s="802"/>
      <c r="H348" s="802"/>
      <c r="I348" s="802"/>
      <c r="J348" s="802"/>
      <c r="K348" s="802"/>
      <c r="L348" s="802"/>
      <c r="M348" s="802"/>
      <c r="N348" s="802"/>
      <c r="O348" s="802"/>
      <c r="P348" s="802"/>
      <c r="Q348" s="802"/>
      <c r="R348" s="802"/>
      <c r="S348" s="802"/>
      <c r="T348" s="802"/>
      <c r="U348" s="802"/>
      <c r="V348" s="802"/>
      <c r="W348" s="802"/>
      <c r="X348" s="802"/>
      <c r="Y348" s="802"/>
      <c r="Z348" s="802"/>
      <c r="AA348" s="802"/>
      <c r="AB348" s="802"/>
      <c r="AC348" s="802"/>
      <c r="AD348" s="802"/>
      <c r="AE348" s="802"/>
      <c r="AF348" s="802"/>
      <c r="AG348" s="802"/>
      <c r="AH348" s="802"/>
      <c r="AI348" s="802"/>
      <c r="AJ348" s="802"/>
      <c r="AK348" s="802"/>
      <c r="AL348" s="802"/>
      <c r="AM348" s="802"/>
      <c r="AN348" s="802"/>
      <c r="AO348" s="802"/>
      <c r="AP348" s="802"/>
      <c r="AQ348" s="802"/>
      <c r="AR348" s="802"/>
      <c r="AS348" s="802"/>
      <c r="AT348" s="802"/>
      <c r="AU348" s="802"/>
      <c r="AV348" s="802"/>
      <c r="AW348" s="802"/>
      <c r="AX348" s="802"/>
      <c r="AY348" s="802"/>
    </row>
    <row r="349" ht="21.75" customHeight="1">
      <c r="A349" s="802"/>
      <c r="B349" s="802"/>
      <c r="C349" s="802"/>
      <c r="D349" s="802"/>
      <c r="E349" s="802"/>
      <c r="F349" s="802"/>
      <c r="G349" s="802"/>
      <c r="H349" s="802"/>
      <c r="I349" s="802"/>
      <c r="J349" s="802"/>
      <c r="K349" s="802"/>
      <c r="L349" s="802"/>
      <c r="M349" s="802"/>
      <c r="N349" s="802"/>
      <c r="O349" s="802"/>
      <c r="P349" s="802"/>
      <c r="Q349" s="802"/>
      <c r="R349" s="802"/>
      <c r="S349" s="802"/>
      <c r="T349" s="802"/>
      <c r="U349" s="802"/>
      <c r="V349" s="802"/>
      <c r="W349" s="802"/>
      <c r="X349" s="802"/>
      <c r="Y349" s="802"/>
      <c r="Z349" s="802"/>
      <c r="AA349" s="802"/>
      <c r="AB349" s="802"/>
      <c r="AC349" s="802"/>
      <c r="AD349" s="802"/>
      <c r="AE349" s="802"/>
      <c r="AF349" s="802"/>
      <c r="AG349" s="802"/>
      <c r="AH349" s="802"/>
      <c r="AI349" s="802"/>
      <c r="AJ349" s="802"/>
      <c r="AK349" s="802"/>
      <c r="AL349" s="802"/>
      <c r="AM349" s="802"/>
      <c r="AN349" s="802"/>
      <c r="AO349" s="802"/>
      <c r="AP349" s="802"/>
      <c r="AQ349" s="802"/>
      <c r="AR349" s="802"/>
      <c r="AS349" s="802"/>
      <c r="AT349" s="802"/>
      <c r="AU349" s="802"/>
      <c r="AV349" s="802"/>
      <c r="AW349" s="802"/>
      <c r="AX349" s="802"/>
      <c r="AY349" s="802"/>
    </row>
    <row r="350" ht="21.75" customHeight="1">
      <c r="A350" s="802"/>
      <c r="B350" s="802"/>
      <c r="C350" s="802"/>
      <c r="D350" s="802"/>
      <c r="E350" s="802"/>
      <c r="F350" s="802"/>
      <c r="G350" s="802"/>
      <c r="H350" s="802"/>
      <c r="I350" s="802"/>
      <c r="J350" s="802"/>
      <c r="K350" s="802"/>
      <c r="L350" s="802"/>
      <c r="M350" s="802"/>
      <c r="N350" s="802"/>
      <c r="O350" s="802"/>
      <c r="P350" s="802"/>
      <c r="Q350" s="802"/>
      <c r="R350" s="802"/>
      <c r="S350" s="802"/>
      <c r="T350" s="802"/>
      <c r="U350" s="802"/>
      <c r="V350" s="802"/>
      <c r="W350" s="802"/>
      <c r="X350" s="802"/>
      <c r="Y350" s="802"/>
      <c r="Z350" s="802"/>
      <c r="AA350" s="802"/>
      <c r="AB350" s="802"/>
      <c r="AC350" s="802"/>
      <c r="AD350" s="802"/>
      <c r="AE350" s="802"/>
      <c r="AF350" s="802"/>
      <c r="AG350" s="802"/>
      <c r="AH350" s="802"/>
      <c r="AI350" s="802"/>
      <c r="AJ350" s="802"/>
      <c r="AK350" s="802"/>
      <c r="AL350" s="802"/>
      <c r="AM350" s="802"/>
      <c r="AN350" s="802"/>
      <c r="AO350" s="802"/>
      <c r="AP350" s="802"/>
      <c r="AQ350" s="802"/>
      <c r="AR350" s="802"/>
      <c r="AS350" s="802"/>
      <c r="AT350" s="802"/>
      <c r="AU350" s="802"/>
      <c r="AV350" s="802"/>
      <c r="AW350" s="802"/>
      <c r="AX350" s="802"/>
      <c r="AY350" s="802"/>
    </row>
    <row r="351" ht="21.75" customHeight="1">
      <c r="A351" s="802"/>
      <c r="B351" s="802"/>
      <c r="C351" s="802"/>
      <c r="D351" s="802"/>
      <c r="E351" s="802"/>
      <c r="F351" s="802"/>
      <c r="G351" s="802"/>
      <c r="H351" s="802"/>
      <c r="I351" s="802"/>
      <c r="J351" s="802"/>
      <c r="K351" s="802"/>
      <c r="L351" s="802"/>
      <c r="M351" s="802"/>
      <c r="N351" s="802"/>
      <c r="O351" s="802"/>
      <c r="P351" s="802"/>
      <c r="Q351" s="802"/>
      <c r="R351" s="802"/>
      <c r="S351" s="802"/>
      <c r="T351" s="802"/>
      <c r="U351" s="802"/>
      <c r="V351" s="802"/>
      <c r="W351" s="802"/>
      <c r="X351" s="802"/>
      <c r="Y351" s="802"/>
      <c r="Z351" s="802"/>
      <c r="AA351" s="802"/>
      <c r="AB351" s="802"/>
      <c r="AC351" s="802"/>
      <c r="AD351" s="802"/>
      <c r="AE351" s="802"/>
      <c r="AF351" s="802"/>
      <c r="AG351" s="802"/>
      <c r="AH351" s="802"/>
      <c r="AI351" s="802"/>
      <c r="AJ351" s="802"/>
      <c r="AK351" s="802"/>
      <c r="AL351" s="802"/>
      <c r="AM351" s="802"/>
      <c r="AN351" s="802"/>
      <c r="AO351" s="802"/>
      <c r="AP351" s="802"/>
      <c r="AQ351" s="802"/>
      <c r="AR351" s="802"/>
      <c r="AS351" s="802"/>
      <c r="AT351" s="802"/>
      <c r="AU351" s="802"/>
      <c r="AV351" s="802"/>
      <c r="AW351" s="802"/>
      <c r="AX351" s="802"/>
      <c r="AY351" s="802"/>
    </row>
    <row r="352" ht="21.75" customHeight="1">
      <c r="A352" s="802"/>
      <c r="B352" s="802"/>
      <c r="C352" s="802"/>
      <c r="D352" s="802"/>
      <c r="E352" s="802"/>
      <c r="F352" s="802"/>
      <c r="G352" s="802"/>
      <c r="H352" s="802"/>
      <c r="I352" s="802"/>
      <c r="J352" s="802"/>
      <c r="K352" s="802"/>
      <c r="L352" s="802"/>
      <c r="M352" s="802"/>
      <c r="N352" s="802"/>
      <c r="O352" s="802"/>
      <c r="P352" s="802"/>
      <c r="Q352" s="802"/>
      <c r="R352" s="802"/>
      <c r="S352" s="802"/>
      <c r="T352" s="802"/>
      <c r="U352" s="802"/>
      <c r="V352" s="802"/>
      <c r="W352" s="802"/>
      <c r="X352" s="802"/>
      <c r="Y352" s="802"/>
      <c r="Z352" s="802"/>
      <c r="AA352" s="802"/>
      <c r="AB352" s="802"/>
      <c r="AC352" s="802"/>
      <c r="AD352" s="802"/>
      <c r="AE352" s="802"/>
      <c r="AF352" s="802"/>
      <c r="AG352" s="802"/>
      <c r="AH352" s="802"/>
      <c r="AI352" s="802"/>
      <c r="AJ352" s="802"/>
      <c r="AK352" s="802"/>
      <c r="AL352" s="802"/>
      <c r="AM352" s="802"/>
      <c r="AN352" s="802"/>
      <c r="AO352" s="802"/>
      <c r="AP352" s="802"/>
      <c r="AQ352" s="802"/>
      <c r="AR352" s="802"/>
      <c r="AS352" s="802"/>
      <c r="AT352" s="802"/>
      <c r="AU352" s="802"/>
      <c r="AV352" s="802"/>
      <c r="AW352" s="802"/>
      <c r="AX352" s="802"/>
      <c r="AY352" s="802"/>
    </row>
    <row r="353" ht="21.75" customHeight="1">
      <c r="A353" s="802"/>
      <c r="B353" s="802"/>
      <c r="C353" s="802"/>
      <c r="D353" s="802"/>
      <c r="E353" s="802"/>
      <c r="F353" s="802"/>
      <c r="G353" s="802"/>
      <c r="H353" s="802"/>
      <c r="I353" s="802"/>
      <c r="J353" s="802"/>
      <c r="K353" s="802"/>
      <c r="L353" s="802"/>
      <c r="M353" s="802"/>
      <c r="N353" s="802"/>
      <c r="O353" s="802"/>
      <c r="P353" s="802"/>
      <c r="Q353" s="802"/>
      <c r="R353" s="802"/>
      <c r="S353" s="802"/>
      <c r="T353" s="802"/>
      <c r="U353" s="802"/>
      <c r="V353" s="802"/>
      <c r="W353" s="802"/>
      <c r="X353" s="802"/>
      <c r="Y353" s="802"/>
      <c r="Z353" s="802"/>
      <c r="AA353" s="802"/>
      <c r="AB353" s="802"/>
      <c r="AC353" s="802"/>
      <c r="AD353" s="802"/>
      <c r="AE353" s="802"/>
      <c r="AF353" s="802"/>
      <c r="AG353" s="802"/>
      <c r="AH353" s="802"/>
      <c r="AI353" s="802"/>
      <c r="AJ353" s="802"/>
      <c r="AK353" s="802"/>
      <c r="AL353" s="802"/>
      <c r="AM353" s="802"/>
      <c r="AN353" s="802"/>
      <c r="AO353" s="802"/>
      <c r="AP353" s="802"/>
      <c r="AQ353" s="802"/>
      <c r="AR353" s="802"/>
      <c r="AS353" s="802"/>
      <c r="AT353" s="802"/>
      <c r="AU353" s="802"/>
      <c r="AV353" s="802"/>
      <c r="AW353" s="802"/>
      <c r="AX353" s="802"/>
      <c r="AY353" s="802"/>
    </row>
    <row r="354" ht="21.75" customHeight="1">
      <c r="A354" s="802"/>
      <c r="B354" s="802"/>
      <c r="C354" s="802"/>
      <c r="D354" s="802"/>
      <c r="E354" s="802"/>
      <c r="F354" s="802"/>
      <c r="G354" s="802"/>
      <c r="H354" s="802"/>
      <c r="I354" s="802"/>
      <c r="J354" s="802"/>
      <c r="K354" s="802"/>
      <c r="L354" s="802"/>
      <c r="M354" s="802"/>
      <c r="N354" s="802"/>
      <c r="O354" s="802"/>
      <c r="P354" s="802"/>
      <c r="Q354" s="802"/>
      <c r="R354" s="802"/>
      <c r="S354" s="802"/>
      <c r="T354" s="802"/>
      <c r="U354" s="802"/>
      <c r="V354" s="802"/>
      <c r="W354" s="802"/>
      <c r="X354" s="802"/>
      <c r="Y354" s="802"/>
      <c r="Z354" s="802"/>
      <c r="AA354" s="802"/>
      <c r="AB354" s="802"/>
      <c r="AC354" s="802"/>
      <c r="AD354" s="802"/>
      <c r="AE354" s="802"/>
      <c r="AF354" s="802"/>
      <c r="AG354" s="802"/>
      <c r="AH354" s="802"/>
      <c r="AI354" s="802"/>
      <c r="AJ354" s="802"/>
      <c r="AK354" s="802"/>
      <c r="AL354" s="802"/>
      <c r="AM354" s="802"/>
      <c r="AN354" s="802"/>
      <c r="AO354" s="802"/>
      <c r="AP354" s="802"/>
      <c r="AQ354" s="802"/>
      <c r="AR354" s="802"/>
      <c r="AS354" s="802"/>
      <c r="AT354" s="802"/>
      <c r="AU354" s="802"/>
      <c r="AV354" s="802"/>
      <c r="AW354" s="802"/>
      <c r="AX354" s="802"/>
      <c r="AY354" s="802"/>
    </row>
    <row r="355" ht="21.75" customHeight="1">
      <c r="A355" s="802"/>
      <c r="B355" s="802"/>
      <c r="C355" s="802"/>
      <c r="D355" s="802"/>
      <c r="E355" s="802"/>
      <c r="F355" s="802"/>
      <c r="G355" s="802"/>
      <c r="H355" s="802"/>
      <c r="I355" s="802"/>
      <c r="J355" s="802"/>
      <c r="K355" s="802"/>
      <c r="L355" s="802"/>
      <c r="M355" s="802"/>
      <c r="N355" s="802"/>
      <c r="O355" s="802"/>
      <c r="P355" s="802"/>
      <c r="Q355" s="802"/>
      <c r="R355" s="802"/>
      <c r="S355" s="802"/>
      <c r="T355" s="802"/>
      <c r="U355" s="802"/>
      <c r="V355" s="802"/>
      <c r="W355" s="802"/>
      <c r="X355" s="802"/>
      <c r="Y355" s="802"/>
      <c r="Z355" s="802"/>
      <c r="AA355" s="802"/>
      <c r="AB355" s="802"/>
      <c r="AC355" s="802"/>
      <c r="AD355" s="802"/>
      <c r="AE355" s="802"/>
      <c r="AF355" s="802"/>
      <c r="AG355" s="802"/>
      <c r="AH355" s="802"/>
      <c r="AI355" s="802"/>
      <c r="AJ355" s="802"/>
      <c r="AK355" s="802"/>
      <c r="AL355" s="802"/>
      <c r="AM355" s="802"/>
      <c r="AN355" s="802"/>
      <c r="AO355" s="802"/>
      <c r="AP355" s="802"/>
      <c r="AQ355" s="802"/>
      <c r="AR355" s="802"/>
      <c r="AS355" s="802"/>
      <c r="AT355" s="802"/>
      <c r="AU355" s="802"/>
      <c r="AV355" s="802"/>
      <c r="AW355" s="802"/>
      <c r="AX355" s="802"/>
      <c r="AY355" s="802"/>
    </row>
    <row r="356" ht="21.75" customHeight="1">
      <c r="A356" s="802"/>
      <c r="B356" s="802"/>
      <c r="C356" s="802"/>
      <c r="D356" s="802"/>
      <c r="E356" s="802"/>
      <c r="F356" s="802"/>
      <c r="G356" s="802"/>
      <c r="H356" s="802"/>
      <c r="I356" s="802"/>
      <c r="J356" s="802"/>
      <c r="K356" s="802"/>
      <c r="L356" s="802"/>
      <c r="M356" s="802"/>
      <c r="N356" s="802"/>
      <c r="O356" s="802"/>
      <c r="P356" s="802"/>
      <c r="Q356" s="802"/>
      <c r="R356" s="802"/>
      <c r="S356" s="802"/>
      <c r="T356" s="802"/>
      <c r="U356" s="802"/>
      <c r="V356" s="802"/>
      <c r="W356" s="802"/>
      <c r="X356" s="802"/>
      <c r="Y356" s="802"/>
      <c r="Z356" s="802"/>
      <c r="AA356" s="802"/>
      <c r="AB356" s="802"/>
      <c r="AC356" s="802"/>
      <c r="AD356" s="802"/>
      <c r="AE356" s="802"/>
      <c r="AF356" s="802"/>
      <c r="AG356" s="802"/>
      <c r="AH356" s="802"/>
      <c r="AI356" s="802"/>
      <c r="AJ356" s="802"/>
      <c r="AK356" s="802"/>
      <c r="AL356" s="802"/>
      <c r="AM356" s="802"/>
      <c r="AN356" s="802"/>
      <c r="AO356" s="802"/>
      <c r="AP356" s="802"/>
      <c r="AQ356" s="802"/>
      <c r="AR356" s="802"/>
      <c r="AS356" s="802"/>
      <c r="AT356" s="802"/>
      <c r="AU356" s="802"/>
      <c r="AV356" s="802"/>
      <c r="AW356" s="802"/>
      <c r="AX356" s="802"/>
      <c r="AY356" s="802"/>
    </row>
    <row r="357" ht="21.75" customHeight="1">
      <c r="A357" s="802"/>
      <c r="B357" s="802"/>
      <c r="C357" s="802"/>
      <c r="D357" s="802"/>
      <c r="E357" s="802"/>
      <c r="F357" s="802"/>
      <c r="G357" s="802"/>
      <c r="H357" s="802"/>
      <c r="I357" s="802"/>
      <c r="J357" s="802"/>
      <c r="K357" s="802"/>
      <c r="L357" s="802"/>
      <c r="M357" s="802"/>
      <c r="N357" s="802"/>
      <c r="O357" s="802"/>
      <c r="P357" s="802"/>
      <c r="Q357" s="802"/>
      <c r="R357" s="802"/>
      <c r="S357" s="802"/>
      <c r="T357" s="802"/>
      <c r="U357" s="802"/>
      <c r="V357" s="802"/>
      <c r="W357" s="802"/>
      <c r="X357" s="802"/>
      <c r="Y357" s="802"/>
      <c r="Z357" s="802"/>
      <c r="AA357" s="802"/>
      <c r="AB357" s="802"/>
      <c r="AC357" s="802"/>
      <c r="AD357" s="802"/>
      <c r="AE357" s="802"/>
      <c r="AF357" s="802"/>
      <c r="AG357" s="802"/>
      <c r="AH357" s="802"/>
      <c r="AI357" s="802"/>
      <c r="AJ357" s="802"/>
      <c r="AK357" s="802"/>
      <c r="AL357" s="802"/>
      <c r="AM357" s="802"/>
      <c r="AN357" s="802"/>
      <c r="AO357" s="802"/>
      <c r="AP357" s="802"/>
      <c r="AQ357" s="802"/>
      <c r="AR357" s="802"/>
      <c r="AS357" s="802"/>
      <c r="AT357" s="802"/>
      <c r="AU357" s="802"/>
      <c r="AV357" s="802"/>
      <c r="AW357" s="802"/>
      <c r="AX357" s="802"/>
      <c r="AY357" s="802"/>
    </row>
    <row r="358" ht="21.75" customHeight="1">
      <c r="A358" s="802"/>
      <c r="B358" s="802"/>
      <c r="C358" s="802"/>
      <c r="D358" s="802"/>
      <c r="E358" s="802"/>
      <c r="F358" s="802"/>
      <c r="G358" s="802"/>
      <c r="H358" s="802"/>
      <c r="I358" s="802"/>
      <c r="J358" s="802"/>
      <c r="K358" s="802"/>
      <c r="L358" s="802"/>
      <c r="M358" s="802"/>
      <c r="N358" s="802"/>
      <c r="O358" s="802"/>
      <c r="P358" s="802"/>
      <c r="Q358" s="802"/>
      <c r="R358" s="802"/>
      <c r="S358" s="802"/>
      <c r="T358" s="802"/>
      <c r="U358" s="802"/>
      <c r="V358" s="802"/>
      <c r="W358" s="802"/>
      <c r="X358" s="802"/>
      <c r="Y358" s="802"/>
      <c r="Z358" s="802"/>
      <c r="AA358" s="802"/>
      <c r="AB358" s="802"/>
      <c r="AC358" s="802"/>
      <c r="AD358" s="802"/>
      <c r="AE358" s="802"/>
      <c r="AF358" s="802"/>
      <c r="AG358" s="802"/>
      <c r="AH358" s="802"/>
      <c r="AI358" s="802"/>
      <c r="AJ358" s="802"/>
      <c r="AK358" s="802"/>
      <c r="AL358" s="802"/>
      <c r="AM358" s="802"/>
      <c r="AN358" s="802"/>
      <c r="AO358" s="802"/>
      <c r="AP358" s="802"/>
      <c r="AQ358" s="802"/>
      <c r="AR358" s="802"/>
      <c r="AS358" s="802"/>
      <c r="AT358" s="802"/>
      <c r="AU358" s="802"/>
      <c r="AV358" s="802"/>
      <c r="AW358" s="802"/>
      <c r="AX358" s="802"/>
      <c r="AY358" s="802"/>
    </row>
    <row r="359" ht="21.75" customHeight="1">
      <c r="A359" s="802"/>
      <c r="B359" s="802"/>
      <c r="C359" s="802"/>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802"/>
      <c r="AQ359" s="802"/>
      <c r="AR359" s="802"/>
      <c r="AS359" s="802"/>
      <c r="AT359" s="802"/>
      <c r="AU359" s="802"/>
      <c r="AV359" s="802"/>
      <c r="AW359" s="802"/>
      <c r="AX359" s="802"/>
      <c r="AY359" s="802"/>
    </row>
    <row r="360" ht="21.75" customHeight="1">
      <c r="A360" s="802"/>
      <c r="B360" s="802"/>
      <c r="C360" s="802"/>
      <c r="D360" s="802"/>
      <c r="E360" s="802"/>
      <c r="F360" s="802"/>
      <c r="G360" s="802"/>
      <c r="H360" s="802"/>
      <c r="I360" s="802"/>
      <c r="J360" s="802"/>
      <c r="K360" s="802"/>
      <c r="L360" s="802"/>
      <c r="M360" s="802"/>
      <c r="N360" s="802"/>
      <c r="O360" s="802"/>
      <c r="P360" s="802"/>
      <c r="Q360" s="802"/>
      <c r="R360" s="802"/>
      <c r="S360" s="802"/>
      <c r="T360" s="802"/>
      <c r="U360" s="802"/>
      <c r="V360" s="802"/>
      <c r="W360" s="802"/>
      <c r="X360" s="802"/>
      <c r="Y360" s="802"/>
      <c r="Z360" s="802"/>
      <c r="AA360" s="802"/>
      <c r="AB360" s="802"/>
      <c r="AC360" s="802"/>
      <c r="AD360" s="802"/>
      <c r="AE360" s="802"/>
      <c r="AF360" s="802"/>
      <c r="AG360" s="802"/>
      <c r="AH360" s="802"/>
      <c r="AI360" s="802"/>
      <c r="AJ360" s="802"/>
      <c r="AK360" s="802"/>
      <c r="AL360" s="802"/>
      <c r="AM360" s="802"/>
      <c r="AN360" s="802"/>
      <c r="AO360" s="802"/>
      <c r="AP360" s="802"/>
      <c r="AQ360" s="802"/>
      <c r="AR360" s="802"/>
      <c r="AS360" s="802"/>
      <c r="AT360" s="802"/>
      <c r="AU360" s="802"/>
      <c r="AV360" s="802"/>
      <c r="AW360" s="802"/>
      <c r="AX360" s="802"/>
      <c r="AY360" s="802"/>
    </row>
    <row r="361" ht="21.75" customHeight="1">
      <c r="A361" s="802"/>
      <c r="B361" s="802"/>
      <c r="C361" s="802"/>
      <c r="D361" s="802"/>
      <c r="E361" s="802"/>
      <c r="F361" s="802"/>
      <c r="G361" s="802"/>
      <c r="H361" s="802"/>
      <c r="I361" s="802"/>
      <c r="J361" s="802"/>
      <c r="K361" s="802"/>
      <c r="L361" s="802"/>
      <c r="M361" s="802"/>
      <c r="N361" s="802"/>
      <c r="O361" s="802"/>
      <c r="P361" s="802"/>
      <c r="Q361" s="802"/>
      <c r="R361" s="802"/>
      <c r="S361" s="802"/>
      <c r="T361" s="802"/>
      <c r="U361" s="802"/>
      <c r="V361" s="802"/>
      <c r="W361" s="802"/>
      <c r="X361" s="802"/>
      <c r="Y361" s="802"/>
      <c r="Z361" s="802"/>
      <c r="AA361" s="802"/>
      <c r="AB361" s="802"/>
      <c r="AC361" s="802"/>
      <c r="AD361" s="802"/>
      <c r="AE361" s="802"/>
      <c r="AF361" s="802"/>
      <c r="AG361" s="802"/>
      <c r="AH361" s="802"/>
      <c r="AI361" s="802"/>
      <c r="AJ361" s="802"/>
      <c r="AK361" s="802"/>
      <c r="AL361" s="802"/>
      <c r="AM361" s="802"/>
      <c r="AN361" s="802"/>
      <c r="AO361" s="802"/>
      <c r="AP361" s="802"/>
      <c r="AQ361" s="802"/>
      <c r="AR361" s="802"/>
      <c r="AS361" s="802"/>
      <c r="AT361" s="802"/>
      <c r="AU361" s="802"/>
      <c r="AV361" s="802"/>
      <c r="AW361" s="802"/>
      <c r="AX361" s="802"/>
      <c r="AY361" s="802"/>
    </row>
    <row r="362" ht="21.75" customHeight="1">
      <c r="A362" s="802"/>
      <c r="B362" s="802"/>
      <c r="C362" s="802"/>
      <c r="D362" s="802"/>
      <c r="E362" s="802"/>
      <c r="F362" s="802"/>
      <c r="G362" s="802"/>
      <c r="H362" s="802"/>
      <c r="I362" s="802"/>
      <c r="J362" s="802"/>
      <c r="K362" s="802"/>
      <c r="L362" s="802"/>
      <c r="M362" s="802"/>
      <c r="N362" s="802"/>
      <c r="O362" s="802"/>
      <c r="P362" s="802"/>
      <c r="Q362" s="802"/>
      <c r="R362" s="802"/>
      <c r="S362" s="802"/>
      <c r="T362" s="802"/>
      <c r="U362" s="802"/>
      <c r="V362" s="802"/>
      <c r="W362" s="802"/>
      <c r="X362" s="802"/>
      <c r="Y362" s="802"/>
      <c r="Z362" s="802"/>
      <c r="AA362" s="802"/>
      <c r="AB362" s="802"/>
      <c r="AC362" s="802"/>
      <c r="AD362" s="802"/>
      <c r="AE362" s="802"/>
      <c r="AF362" s="802"/>
      <c r="AG362" s="802"/>
      <c r="AH362" s="802"/>
      <c r="AI362" s="802"/>
      <c r="AJ362" s="802"/>
      <c r="AK362" s="802"/>
      <c r="AL362" s="802"/>
      <c r="AM362" s="802"/>
      <c r="AN362" s="802"/>
      <c r="AO362" s="802"/>
      <c r="AP362" s="802"/>
      <c r="AQ362" s="802"/>
      <c r="AR362" s="802"/>
      <c r="AS362" s="802"/>
      <c r="AT362" s="802"/>
      <c r="AU362" s="802"/>
      <c r="AV362" s="802"/>
      <c r="AW362" s="802"/>
      <c r="AX362" s="802"/>
      <c r="AY362" s="802"/>
    </row>
    <row r="363" ht="21.75" customHeight="1">
      <c r="A363" s="802"/>
      <c r="B363" s="802"/>
      <c r="C363" s="802"/>
      <c r="D363" s="802"/>
      <c r="E363" s="802"/>
      <c r="F363" s="802"/>
      <c r="G363" s="802"/>
      <c r="H363" s="802"/>
      <c r="I363" s="802"/>
      <c r="J363" s="802"/>
      <c r="K363" s="802"/>
      <c r="L363" s="802"/>
      <c r="M363" s="802"/>
      <c r="N363" s="802"/>
      <c r="O363" s="802"/>
      <c r="P363" s="802"/>
      <c r="Q363" s="802"/>
      <c r="R363" s="802"/>
      <c r="S363" s="802"/>
      <c r="T363" s="802"/>
      <c r="U363" s="802"/>
      <c r="V363" s="802"/>
      <c r="W363" s="802"/>
      <c r="X363" s="802"/>
      <c r="Y363" s="802"/>
      <c r="Z363" s="802"/>
      <c r="AA363" s="802"/>
      <c r="AB363" s="802"/>
      <c r="AC363" s="802"/>
      <c r="AD363" s="802"/>
      <c r="AE363" s="802"/>
      <c r="AF363" s="802"/>
      <c r="AG363" s="802"/>
      <c r="AH363" s="802"/>
      <c r="AI363" s="802"/>
      <c r="AJ363" s="802"/>
      <c r="AK363" s="802"/>
      <c r="AL363" s="802"/>
      <c r="AM363" s="802"/>
      <c r="AN363" s="802"/>
      <c r="AO363" s="802"/>
      <c r="AP363" s="802"/>
      <c r="AQ363" s="802"/>
      <c r="AR363" s="802"/>
      <c r="AS363" s="802"/>
      <c r="AT363" s="802"/>
      <c r="AU363" s="802"/>
      <c r="AV363" s="802"/>
      <c r="AW363" s="802"/>
      <c r="AX363" s="802"/>
      <c r="AY363" s="802"/>
    </row>
    <row r="364" ht="21.75" customHeight="1">
      <c r="A364" s="802"/>
      <c r="B364" s="802"/>
      <c r="C364" s="802"/>
      <c r="D364" s="802"/>
      <c r="E364" s="802"/>
      <c r="F364" s="802"/>
      <c r="G364" s="802"/>
      <c r="H364" s="802"/>
      <c r="I364" s="802"/>
      <c r="J364" s="802"/>
      <c r="K364" s="802"/>
      <c r="L364" s="802"/>
      <c r="M364" s="802"/>
      <c r="N364" s="802"/>
      <c r="O364" s="802"/>
      <c r="P364" s="802"/>
      <c r="Q364" s="802"/>
      <c r="R364" s="802"/>
      <c r="S364" s="802"/>
      <c r="T364" s="802"/>
      <c r="U364" s="802"/>
      <c r="V364" s="802"/>
      <c r="W364" s="802"/>
      <c r="X364" s="802"/>
      <c r="Y364" s="802"/>
      <c r="Z364" s="802"/>
      <c r="AA364" s="802"/>
      <c r="AB364" s="802"/>
      <c r="AC364" s="802"/>
      <c r="AD364" s="802"/>
      <c r="AE364" s="802"/>
      <c r="AF364" s="802"/>
      <c r="AG364" s="802"/>
      <c r="AH364" s="802"/>
      <c r="AI364" s="802"/>
      <c r="AJ364" s="802"/>
      <c r="AK364" s="802"/>
      <c r="AL364" s="802"/>
      <c r="AM364" s="802"/>
      <c r="AN364" s="802"/>
      <c r="AO364" s="802"/>
      <c r="AP364" s="802"/>
      <c r="AQ364" s="802"/>
      <c r="AR364" s="802"/>
      <c r="AS364" s="802"/>
      <c r="AT364" s="802"/>
      <c r="AU364" s="802"/>
      <c r="AV364" s="802"/>
      <c r="AW364" s="802"/>
      <c r="AX364" s="802"/>
      <c r="AY364" s="802"/>
    </row>
    <row r="365" ht="21.75" customHeight="1">
      <c r="A365" s="802"/>
      <c r="B365" s="802"/>
      <c r="C365" s="802"/>
      <c r="D365" s="802"/>
      <c r="E365" s="802"/>
      <c r="F365" s="802"/>
      <c r="G365" s="802"/>
      <c r="H365" s="802"/>
      <c r="I365" s="802"/>
      <c r="J365" s="802"/>
      <c r="K365" s="802"/>
      <c r="L365" s="802"/>
      <c r="M365" s="802"/>
      <c r="N365" s="802"/>
      <c r="O365" s="802"/>
      <c r="P365" s="802"/>
      <c r="Q365" s="802"/>
      <c r="R365" s="802"/>
      <c r="S365" s="802"/>
      <c r="T365" s="802"/>
      <c r="U365" s="802"/>
      <c r="V365" s="802"/>
      <c r="W365" s="802"/>
      <c r="X365" s="802"/>
      <c r="Y365" s="802"/>
      <c r="Z365" s="802"/>
      <c r="AA365" s="802"/>
      <c r="AB365" s="802"/>
      <c r="AC365" s="802"/>
      <c r="AD365" s="802"/>
      <c r="AE365" s="802"/>
      <c r="AF365" s="802"/>
      <c r="AG365" s="802"/>
      <c r="AH365" s="802"/>
      <c r="AI365" s="802"/>
      <c r="AJ365" s="802"/>
      <c r="AK365" s="802"/>
      <c r="AL365" s="802"/>
      <c r="AM365" s="802"/>
      <c r="AN365" s="802"/>
      <c r="AO365" s="802"/>
      <c r="AP365" s="802"/>
      <c r="AQ365" s="802"/>
      <c r="AR365" s="802"/>
      <c r="AS365" s="802"/>
      <c r="AT365" s="802"/>
      <c r="AU365" s="802"/>
      <c r="AV365" s="802"/>
      <c r="AW365" s="802"/>
      <c r="AX365" s="802"/>
      <c r="AY365" s="802"/>
    </row>
    <row r="366" ht="21.75" customHeight="1">
      <c r="A366" s="802"/>
      <c r="B366" s="802"/>
      <c r="C366" s="802"/>
      <c r="D366" s="802"/>
      <c r="E366" s="802"/>
      <c r="F366" s="802"/>
      <c r="G366" s="802"/>
      <c r="H366" s="802"/>
      <c r="I366" s="802"/>
      <c r="J366" s="802"/>
      <c r="K366" s="802"/>
      <c r="L366" s="802"/>
      <c r="M366" s="802"/>
      <c r="N366" s="802"/>
      <c r="O366" s="802"/>
      <c r="P366" s="802"/>
      <c r="Q366" s="802"/>
      <c r="R366" s="802"/>
      <c r="S366" s="802"/>
      <c r="T366" s="802"/>
      <c r="U366" s="802"/>
      <c r="V366" s="802"/>
      <c r="W366" s="802"/>
      <c r="X366" s="802"/>
      <c r="Y366" s="802"/>
      <c r="Z366" s="802"/>
      <c r="AA366" s="802"/>
      <c r="AB366" s="802"/>
      <c r="AC366" s="802"/>
      <c r="AD366" s="802"/>
      <c r="AE366" s="802"/>
      <c r="AF366" s="802"/>
      <c r="AG366" s="802"/>
      <c r="AH366" s="802"/>
      <c r="AI366" s="802"/>
      <c r="AJ366" s="802"/>
      <c r="AK366" s="802"/>
      <c r="AL366" s="802"/>
      <c r="AM366" s="802"/>
      <c r="AN366" s="802"/>
      <c r="AO366" s="802"/>
      <c r="AP366" s="802"/>
      <c r="AQ366" s="802"/>
      <c r="AR366" s="802"/>
      <c r="AS366" s="802"/>
      <c r="AT366" s="802"/>
      <c r="AU366" s="802"/>
      <c r="AV366" s="802"/>
      <c r="AW366" s="802"/>
      <c r="AX366" s="802"/>
      <c r="AY366" s="802"/>
    </row>
    <row r="367" ht="21.75" customHeight="1">
      <c r="A367" s="802"/>
      <c r="B367" s="802"/>
      <c r="C367" s="802"/>
      <c r="D367" s="802"/>
      <c r="E367" s="802"/>
      <c r="F367" s="802"/>
      <c r="G367" s="802"/>
      <c r="H367" s="802"/>
      <c r="I367" s="802"/>
      <c r="J367" s="802"/>
      <c r="K367" s="802"/>
      <c r="L367" s="802"/>
      <c r="M367" s="802"/>
      <c r="N367" s="802"/>
      <c r="O367" s="802"/>
      <c r="P367" s="802"/>
      <c r="Q367" s="802"/>
      <c r="R367" s="802"/>
      <c r="S367" s="802"/>
      <c r="T367" s="802"/>
      <c r="U367" s="802"/>
      <c r="V367" s="802"/>
      <c r="W367" s="802"/>
      <c r="X367" s="802"/>
      <c r="Y367" s="802"/>
      <c r="Z367" s="802"/>
      <c r="AA367" s="802"/>
      <c r="AB367" s="802"/>
      <c r="AC367" s="802"/>
      <c r="AD367" s="802"/>
      <c r="AE367" s="802"/>
      <c r="AF367" s="802"/>
      <c r="AG367" s="802"/>
      <c r="AH367" s="802"/>
      <c r="AI367" s="802"/>
      <c r="AJ367" s="802"/>
      <c r="AK367" s="802"/>
      <c r="AL367" s="802"/>
      <c r="AM367" s="802"/>
      <c r="AN367" s="802"/>
      <c r="AO367" s="802"/>
      <c r="AP367" s="802"/>
      <c r="AQ367" s="802"/>
      <c r="AR367" s="802"/>
      <c r="AS367" s="802"/>
      <c r="AT367" s="802"/>
      <c r="AU367" s="802"/>
      <c r="AV367" s="802"/>
      <c r="AW367" s="802"/>
      <c r="AX367" s="802"/>
      <c r="AY367" s="802"/>
    </row>
    <row r="368" ht="21.75" customHeight="1">
      <c r="A368" s="802"/>
      <c r="B368" s="802"/>
      <c r="C368" s="802"/>
      <c r="D368" s="802"/>
      <c r="E368" s="802"/>
      <c r="F368" s="802"/>
      <c r="G368" s="802"/>
      <c r="H368" s="802"/>
      <c r="I368" s="802"/>
      <c r="J368" s="802"/>
      <c r="K368" s="802"/>
      <c r="L368" s="802"/>
      <c r="M368" s="802"/>
      <c r="N368" s="802"/>
      <c r="O368" s="802"/>
      <c r="P368" s="802"/>
      <c r="Q368" s="802"/>
      <c r="R368" s="802"/>
      <c r="S368" s="802"/>
      <c r="T368" s="802"/>
      <c r="U368" s="802"/>
      <c r="V368" s="802"/>
      <c r="W368" s="802"/>
      <c r="X368" s="802"/>
      <c r="Y368" s="802"/>
      <c r="Z368" s="802"/>
      <c r="AA368" s="802"/>
      <c r="AB368" s="802"/>
      <c r="AC368" s="802"/>
      <c r="AD368" s="802"/>
      <c r="AE368" s="802"/>
      <c r="AF368" s="802"/>
      <c r="AG368" s="802"/>
      <c r="AH368" s="802"/>
      <c r="AI368" s="802"/>
      <c r="AJ368" s="802"/>
      <c r="AK368" s="802"/>
      <c r="AL368" s="802"/>
      <c r="AM368" s="802"/>
      <c r="AN368" s="802"/>
      <c r="AO368" s="802"/>
      <c r="AP368" s="802"/>
      <c r="AQ368" s="802"/>
      <c r="AR368" s="802"/>
      <c r="AS368" s="802"/>
      <c r="AT368" s="802"/>
      <c r="AU368" s="802"/>
      <c r="AV368" s="802"/>
      <c r="AW368" s="802"/>
      <c r="AX368" s="802"/>
      <c r="AY368" s="802"/>
    </row>
    <row r="369" ht="21.75" customHeight="1">
      <c r="A369" s="802"/>
      <c r="B369" s="802"/>
      <c r="C369" s="802"/>
      <c r="D369" s="802"/>
      <c r="E369" s="802"/>
      <c r="F369" s="802"/>
      <c r="G369" s="802"/>
      <c r="H369" s="802"/>
      <c r="I369" s="802"/>
      <c r="J369" s="802"/>
      <c r="K369" s="802"/>
      <c r="L369" s="802"/>
      <c r="M369" s="802"/>
      <c r="N369" s="802"/>
      <c r="O369" s="802"/>
      <c r="P369" s="802"/>
      <c r="Q369" s="802"/>
      <c r="R369" s="802"/>
      <c r="S369" s="802"/>
      <c r="T369" s="802"/>
      <c r="U369" s="802"/>
      <c r="V369" s="802"/>
      <c r="W369" s="802"/>
      <c r="X369" s="802"/>
      <c r="Y369" s="802"/>
      <c r="Z369" s="802"/>
      <c r="AA369" s="802"/>
      <c r="AB369" s="802"/>
      <c r="AC369" s="802"/>
      <c r="AD369" s="802"/>
      <c r="AE369" s="802"/>
      <c r="AF369" s="802"/>
      <c r="AG369" s="802"/>
      <c r="AH369" s="802"/>
      <c r="AI369" s="802"/>
      <c r="AJ369" s="802"/>
      <c r="AK369" s="802"/>
      <c r="AL369" s="802"/>
      <c r="AM369" s="802"/>
      <c r="AN369" s="802"/>
      <c r="AO369" s="802"/>
      <c r="AP369" s="802"/>
      <c r="AQ369" s="802"/>
      <c r="AR369" s="802"/>
      <c r="AS369" s="802"/>
      <c r="AT369" s="802"/>
      <c r="AU369" s="802"/>
      <c r="AV369" s="802"/>
      <c r="AW369" s="802"/>
      <c r="AX369" s="802"/>
      <c r="AY369" s="802"/>
    </row>
    <row r="370" ht="21.75" customHeight="1">
      <c r="A370" s="802"/>
      <c r="B370" s="802"/>
      <c r="C370" s="802"/>
      <c r="D370" s="802"/>
      <c r="E370" s="802"/>
      <c r="F370" s="802"/>
      <c r="G370" s="802"/>
      <c r="H370" s="802"/>
      <c r="I370" s="802"/>
      <c r="J370" s="802"/>
      <c r="K370" s="802"/>
      <c r="L370" s="802"/>
      <c r="M370" s="802"/>
      <c r="N370" s="802"/>
      <c r="O370" s="802"/>
      <c r="P370" s="802"/>
      <c r="Q370" s="802"/>
      <c r="R370" s="802"/>
      <c r="S370" s="802"/>
      <c r="T370" s="802"/>
      <c r="U370" s="802"/>
      <c r="V370" s="802"/>
      <c r="W370" s="802"/>
      <c r="X370" s="802"/>
      <c r="Y370" s="802"/>
      <c r="Z370" s="802"/>
      <c r="AA370" s="802"/>
      <c r="AB370" s="802"/>
      <c r="AC370" s="802"/>
      <c r="AD370" s="802"/>
      <c r="AE370" s="802"/>
      <c r="AF370" s="802"/>
      <c r="AG370" s="802"/>
      <c r="AH370" s="802"/>
      <c r="AI370" s="802"/>
      <c r="AJ370" s="802"/>
      <c r="AK370" s="802"/>
      <c r="AL370" s="802"/>
      <c r="AM370" s="802"/>
      <c r="AN370" s="802"/>
      <c r="AO370" s="802"/>
      <c r="AP370" s="802"/>
      <c r="AQ370" s="802"/>
      <c r="AR370" s="802"/>
      <c r="AS370" s="802"/>
      <c r="AT370" s="802"/>
      <c r="AU370" s="802"/>
      <c r="AV370" s="802"/>
      <c r="AW370" s="802"/>
      <c r="AX370" s="802"/>
      <c r="AY370" s="802"/>
    </row>
    <row r="371" ht="21.75" customHeight="1">
      <c r="A371" s="802"/>
      <c r="B371" s="802"/>
      <c r="C371" s="802"/>
      <c r="D371" s="802"/>
      <c r="E371" s="802"/>
      <c r="F371" s="802"/>
      <c r="G371" s="802"/>
      <c r="H371" s="802"/>
      <c r="I371" s="802"/>
      <c r="J371" s="802"/>
      <c r="K371" s="802"/>
      <c r="L371" s="802"/>
      <c r="M371" s="802"/>
      <c r="N371" s="802"/>
      <c r="O371" s="802"/>
      <c r="P371" s="802"/>
      <c r="Q371" s="802"/>
      <c r="R371" s="802"/>
      <c r="S371" s="802"/>
      <c r="T371" s="802"/>
      <c r="U371" s="802"/>
      <c r="V371" s="802"/>
      <c r="W371" s="802"/>
      <c r="X371" s="802"/>
      <c r="Y371" s="802"/>
      <c r="Z371" s="802"/>
      <c r="AA371" s="802"/>
      <c r="AB371" s="802"/>
      <c r="AC371" s="802"/>
      <c r="AD371" s="802"/>
      <c r="AE371" s="802"/>
      <c r="AF371" s="802"/>
      <c r="AG371" s="802"/>
      <c r="AH371" s="802"/>
      <c r="AI371" s="802"/>
      <c r="AJ371" s="802"/>
      <c r="AK371" s="802"/>
      <c r="AL371" s="802"/>
      <c r="AM371" s="802"/>
      <c r="AN371" s="802"/>
      <c r="AO371" s="802"/>
      <c r="AP371" s="802"/>
      <c r="AQ371" s="802"/>
      <c r="AR371" s="802"/>
      <c r="AS371" s="802"/>
      <c r="AT371" s="802"/>
      <c r="AU371" s="802"/>
      <c r="AV371" s="802"/>
      <c r="AW371" s="802"/>
      <c r="AX371" s="802"/>
      <c r="AY371" s="802"/>
    </row>
    <row r="372" ht="21.75" customHeight="1">
      <c r="A372" s="802"/>
      <c r="B372" s="802"/>
      <c r="C372" s="802"/>
      <c r="D372" s="802"/>
      <c r="E372" s="802"/>
      <c r="F372" s="802"/>
      <c r="G372" s="802"/>
      <c r="H372" s="802"/>
      <c r="I372" s="802"/>
      <c r="J372" s="802"/>
      <c r="K372" s="802"/>
      <c r="L372" s="802"/>
      <c r="M372" s="802"/>
      <c r="N372" s="802"/>
      <c r="O372" s="802"/>
      <c r="P372" s="802"/>
      <c r="Q372" s="802"/>
      <c r="R372" s="802"/>
      <c r="S372" s="802"/>
      <c r="T372" s="802"/>
      <c r="U372" s="802"/>
      <c r="V372" s="802"/>
      <c r="W372" s="802"/>
      <c r="X372" s="802"/>
      <c r="Y372" s="802"/>
      <c r="Z372" s="802"/>
      <c r="AA372" s="802"/>
      <c r="AB372" s="802"/>
      <c r="AC372" s="802"/>
      <c r="AD372" s="802"/>
      <c r="AE372" s="802"/>
      <c r="AF372" s="802"/>
      <c r="AG372" s="802"/>
      <c r="AH372" s="802"/>
      <c r="AI372" s="802"/>
      <c r="AJ372" s="802"/>
      <c r="AK372" s="802"/>
      <c r="AL372" s="802"/>
      <c r="AM372" s="802"/>
      <c r="AN372" s="802"/>
      <c r="AO372" s="802"/>
      <c r="AP372" s="802"/>
      <c r="AQ372" s="802"/>
      <c r="AR372" s="802"/>
      <c r="AS372" s="802"/>
      <c r="AT372" s="802"/>
      <c r="AU372" s="802"/>
      <c r="AV372" s="802"/>
      <c r="AW372" s="802"/>
      <c r="AX372" s="802"/>
      <c r="AY372" s="802"/>
    </row>
    <row r="373" ht="21.75" customHeight="1">
      <c r="A373" s="802"/>
      <c r="B373" s="802"/>
      <c r="C373" s="802"/>
      <c r="D373" s="802"/>
      <c r="E373" s="802"/>
      <c r="F373" s="802"/>
      <c r="G373" s="802"/>
      <c r="H373" s="802"/>
      <c r="I373" s="802"/>
      <c r="J373" s="802"/>
      <c r="K373" s="802"/>
      <c r="L373" s="802"/>
      <c r="M373" s="802"/>
      <c r="N373" s="802"/>
      <c r="O373" s="802"/>
      <c r="P373" s="802"/>
      <c r="Q373" s="802"/>
      <c r="R373" s="802"/>
      <c r="S373" s="802"/>
      <c r="T373" s="802"/>
      <c r="U373" s="802"/>
      <c r="V373" s="802"/>
      <c r="W373" s="802"/>
      <c r="X373" s="802"/>
      <c r="Y373" s="802"/>
      <c r="Z373" s="802"/>
      <c r="AA373" s="802"/>
      <c r="AB373" s="802"/>
      <c r="AC373" s="802"/>
      <c r="AD373" s="802"/>
      <c r="AE373" s="802"/>
      <c r="AF373" s="802"/>
      <c r="AG373" s="802"/>
      <c r="AH373" s="802"/>
      <c r="AI373" s="802"/>
      <c r="AJ373" s="802"/>
      <c r="AK373" s="802"/>
      <c r="AL373" s="802"/>
      <c r="AM373" s="802"/>
      <c r="AN373" s="802"/>
      <c r="AO373" s="802"/>
      <c r="AP373" s="802"/>
      <c r="AQ373" s="802"/>
      <c r="AR373" s="802"/>
      <c r="AS373" s="802"/>
      <c r="AT373" s="802"/>
      <c r="AU373" s="802"/>
      <c r="AV373" s="802"/>
      <c r="AW373" s="802"/>
      <c r="AX373" s="802"/>
      <c r="AY373" s="802"/>
    </row>
    <row r="374" ht="21.75" customHeight="1">
      <c r="A374" s="802"/>
      <c r="B374" s="802"/>
      <c r="C374" s="802"/>
      <c r="D374" s="802"/>
      <c r="E374" s="802"/>
      <c r="F374" s="802"/>
      <c r="G374" s="802"/>
      <c r="H374" s="802"/>
      <c r="I374" s="802"/>
      <c r="J374" s="802"/>
      <c r="K374" s="802"/>
      <c r="L374" s="802"/>
      <c r="M374" s="802"/>
      <c r="N374" s="802"/>
      <c r="O374" s="802"/>
      <c r="P374" s="802"/>
      <c r="Q374" s="802"/>
      <c r="R374" s="802"/>
      <c r="S374" s="802"/>
      <c r="T374" s="802"/>
      <c r="U374" s="802"/>
      <c r="V374" s="802"/>
      <c r="W374" s="802"/>
      <c r="X374" s="802"/>
      <c r="Y374" s="802"/>
      <c r="Z374" s="802"/>
      <c r="AA374" s="802"/>
      <c r="AB374" s="802"/>
      <c r="AC374" s="802"/>
      <c r="AD374" s="802"/>
      <c r="AE374" s="802"/>
      <c r="AF374" s="802"/>
      <c r="AG374" s="802"/>
      <c r="AH374" s="802"/>
      <c r="AI374" s="802"/>
      <c r="AJ374" s="802"/>
      <c r="AK374" s="802"/>
      <c r="AL374" s="802"/>
      <c r="AM374" s="802"/>
      <c r="AN374" s="802"/>
      <c r="AO374" s="802"/>
      <c r="AP374" s="802"/>
      <c r="AQ374" s="802"/>
      <c r="AR374" s="802"/>
      <c r="AS374" s="802"/>
      <c r="AT374" s="802"/>
      <c r="AU374" s="802"/>
      <c r="AV374" s="802"/>
      <c r="AW374" s="802"/>
      <c r="AX374" s="802"/>
      <c r="AY374" s="802"/>
    </row>
    <row r="375" ht="21.75" customHeight="1">
      <c r="A375" s="802"/>
      <c r="B375" s="802"/>
      <c r="C375" s="802"/>
      <c r="D375" s="802"/>
      <c r="E375" s="802"/>
      <c r="F375" s="802"/>
      <c r="G375" s="802"/>
      <c r="H375" s="802"/>
      <c r="I375" s="802"/>
      <c r="J375" s="802"/>
      <c r="K375" s="802"/>
      <c r="L375" s="802"/>
      <c r="M375" s="802"/>
      <c r="N375" s="802"/>
      <c r="O375" s="802"/>
      <c r="P375" s="802"/>
      <c r="Q375" s="802"/>
      <c r="R375" s="802"/>
      <c r="S375" s="802"/>
      <c r="T375" s="802"/>
      <c r="U375" s="802"/>
      <c r="V375" s="802"/>
      <c r="W375" s="802"/>
      <c r="X375" s="802"/>
      <c r="Y375" s="802"/>
      <c r="Z375" s="802"/>
      <c r="AA375" s="802"/>
      <c r="AB375" s="802"/>
      <c r="AC375" s="802"/>
      <c r="AD375" s="802"/>
      <c r="AE375" s="802"/>
      <c r="AF375" s="802"/>
      <c r="AG375" s="802"/>
      <c r="AH375" s="802"/>
      <c r="AI375" s="802"/>
      <c r="AJ375" s="802"/>
      <c r="AK375" s="802"/>
      <c r="AL375" s="802"/>
      <c r="AM375" s="802"/>
      <c r="AN375" s="802"/>
      <c r="AO375" s="802"/>
      <c r="AP375" s="802"/>
      <c r="AQ375" s="802"/>
      <c r="AR375" s="802"/>
      <c r="AS375" s="802"/>
      <c r="AT375" s="802"/>
      <c r="AU375" s="802"/>
      <c r="AV375" s="802"/>
      <c r="AW375" s="802"/>
      <c r="AX375" s="802"/>
      <c r="AY375" s="802"/>
    </row>
    <row r="376" ht="21.75" customHeight="1">
      <c r="A376" s="802"/>
      <c r="B376" s="802"/>
      <c r="C376" s="802"/>
      <c r="D376" s="802"/>
      <c r="E376" s="802"/>
      <c r="F376" s="802"/>
      <c r="G376" s="802"/>
      <c r="H376" s="802"/>
      <c r="I376" s="802"/>
      <c r="J376" s="802"/>
      <c r="K376" s="802"/>
      <c r="L376" s="802"/>
      <c r="M376" s="802"/>
      <c r="N376" s="802"/>
      <c r="O376" s="802"/>
      <c r="P376" s="802"/>
      <c r="Q376" s="802"/>
      <c r="R376" s="802"/>
      <c r="S376" s="802"/>
      <c r="T376" s="802"/>
      <c r="U376" s="802"/>
      <c r="V376" s="802"/>
      <c r="W376" s="802"/>
      <c r="X376" s="802"/>
      <c r="Y376" s="802"/>
      <c r="Z376" s="802"/>
      <c r="AA376" s="802"/>
      <c r="AB376" s="802"/>
      <c r="AC376" s="802"/>
      <c r="AD376" s="802"/>
      <c r="AE376" s="802"/>
      <c r="AF376" s="802"/>
      <c r="AG376" s="802"/>
      <c r="AH376" s="802"/>
      <c r="AI376" s="802"/>
      <c r="AJ376" s="802"/>
      <c r="AK376" s="802"/>
      <c r="AL376" s="802"/>
      <c r="AM376" s="802"/>
      <c r="AN376" s="802"/>
      <c r="AO376" s="802"/>
      <c r="AP376" s="802"/>
      <c r="AQ376" s="802"/>
      <c r="AR376" s="802"/>
      <c r="AS376" s="802"/>
      <c r="AT376" s="802"/>
      <c r="AU376" s="802"/>
      <c r="AV376" s="802"/>
      <c r="AW376" s="802"/>
      <c r="AX376" s="802"/>
      <c r="AY376" s="802"/>
    </row>
    <row r="377" ht="21.75" customHeight="1">
      <c r="A377" s="802"/>
      <c r="B377" s="802"/>
      <c r="C377" s="802"/>
      <c r="D377" s="802"/>
      <c r="E377" s="802"/>
      <c r="F377" s="802"/>
      <c r="G377" s="802"/>
      <c r="H377" s="802"/>
      <c r="I377" s="802"/>
      <c r="J377" s="802"/>
      <c r="K377" s="802"/>
      <c r="L377" s="802"/>
      <c r="M377" s="802"/>
      <c r="N377" s="802"/>
      <c r="O377" s="802"/>
      <c r="P377" s="802"/>
      <c r="Q377" s="802"/>
      <c r="R377" s="802"/>
      <c r="S377" s="802"/>
      <c r="T377" s="802"/>
      <c r="U377" s="802"/>
      <c r="V377" s="802"/>
      <c r="W377" s="802"/>
      <c r="X377" s="802"/>
      <c r="Y377" s="802"/>
      <c r="Z377" s="802"/>
      <c r="AA377" s="802"/>
      <c r="AB377" s="802"/>
      <c r="AC377" s="802"/>
      <c r="AD377" s="802"/>
      <c r="AE377" s="802"/>
      <c r="AF377" s="802"/>
      <c r="AG377" s="802"/>
      <c r="AH377" s="802"/>
      <c r="AI377" s="802"/>
      <c r="AJ377" s="802"/>
      <c r="AK377" s="802"/>
      <c r="AL377" s="802"/>
      <c r="AM377" s="802"/>
      <c r="AN377" s="802"/>
      <c r="AO377" s="802"/>
      <c r="AP377" s="802"/>
      <c r="AQ377" s="802"/>
      <c r="AR377" s="802"/>
      <c r="AS377" s="802"/>
      <c r="AT377" s="802"/>
      <c r="AU377" s="802"/>
      <c r="AV377" s="802"/>
      <c r="AW377" s="802"/>
      <c r="AX377" s="802"/>
      <c r="AY377" s="802"/>
    </row>
    <row r="378" ht="21.75" customHeight="1">
      <c r="A378" s="802"/>
      <c r="B378" s="802"/>
      <c r="C378" s="802"/>
      <c r="D378" s="802"/>
      <c r="E378" s="802"/>
      <c r="F378" s="802"/>
      <c r="G378" s="802"/>
      <c r="H378" s="802"/>
      <c r="I378" s="802"/>
      <c r="J378" s="802"/>
      <c r="K378" s="802"/>
      <c r="L378" s="802"/>
      <c r="M378" s="802"/>
      <c r="N378" s="802"/>
      <c r="O378" s="802"/>
      <c r="P378" s="802"/>
      <c r="Q378" s="802"/>
      <c r="R378" s="802"/>
      <c r="S378" s="802"/>
      <c r="T378" s="802"/>
      <c r="U378" s="802"/>
      <c r="V378" s="802"/>
      <c r="W378" s="802"/>
      <c r="X378" s="802"/>
      <c r="Y378" s="802"/>
      <c r="Z378" s="802"/>
      <c r="AA378" s="802"/>
      <c r="AB378" s="802"/>
      <c r="AC378" s="802"/>
      <c r="AD378" s="802"/>
      <c r="AE378" s="802"/>
      <c r="AF378" s="802"/>
      <c r="AG378" s="802"/>
      <c r="AH378" s="802"/>
      <c r="AI378" s="802"/>
      <c r="AJ378" s="802"/>
      <c r="AK378" s="802"/>
      <c r="AL378" s="802"/>
      <c r="AM378" s="802"/>
      <c r="AN378" s="802"/>
      <c r="AO378" s="802"/>
      <c r="AP378" s="802"/>
      <c r="AQ378" s="802"/>
      <c r="AR378" s="802"/>
      <c r="AS378" s="802"/>
      <c r="AT378" s="802"/>
      <c r="AU378" s="802"/>
      <c r="AV378" s="802"/>
      <c r="AW378" s="802"/>
      <c r="AX378" s="802"/>
      <c r="AY378" s="802"/>
    </row>
    <row r="379" ht="21.75" customHeight="1">
      <c r="A379" s="802"/>
      <c r="B379" s="802"/>
      <c r="C379" s="802"/>
      <c r="D379" s="802"/>
      <c r="E379" s="802"/>
      <c r="F379" s="802"/>
      <c r="G379" s="802"/>
      <c r="H379" s="802"/>
      <c r="I379" s="802"/>
      <c r="J379" s="802"/>
      <c r="K379" s="802"/>
      <c r="L379" s="802"/>
      <c r="M379" s="802"/>
      <c r="N379" s="802"/>
      <c r="O379" s="802"/>
      <c r="P379" s="802"/>
      <c r="Q379" s="802"/>
      <c r="R379" s="802"/>
      <c r="S379" s="802"/>
      <c r="T379" s="802"/>
      <c r="U379" s="802"/>
      <c r="V379" s="802"/>
      <c r="W379" s="802"/>
      <c r="X379" s="802"/>
      <c r="Y379" s="802"/>
      <c r="Z379" s="802"/>
      <c r="AA379" s="802"/>
      <c r="AB379" s="802"/>
      <c r="AC379" s="802"/>
      <c r="AD379" s="802"/>
      <c r="AE379" s="802"/>
      <c r="AF379" s="802"/>
      <c r="AG379" s="802"/>
      <c r="AH379" s="802"/>
      <c r="AI379" s="802"/>
      <c r="AJ379" s="802"/>
      <c r="AK379" s="802"/>
      <c r="AL379" s="802"/>
      <c r="AM379" s="802"/>
      <c r="AN379" s="802"/>
      <c r="AO379" s="802"/>
      <c r="AP379" s="802"/>
      <c r="AQ379" s="802"/>
      <c r="AR379" s="802"/>
      <c r="AS379" s="802"/>
      <c r="AT379" s="802"/>
      <c r="AU379" s="802"/>
      <c r="AV379" s="802"/>
      <c r="AW379" s="802"/>
      <c r="AX379" s="802"/>
      <c r="AY379" s="802"/>
    </row>
    <row r="380" ht="21.75" customHeight="1">
      <c r="A380" s="802"/>
      <c r="B380" s="802"/>
      <c r="C380" s="802"/>
      <c r="D380" s="802"/>
      <c r="E380" s="802"/>
      <c r="F380" s="802"/>
      <c r="G380" s="802"/>
      <c r="H380" s="802"/>
      <c r="I380" s="802"/>
      <c r="J380" s="802"/>
      <c r="K380" s="802"/>
      <c r="L380" s="802"/>
      <c r="M380" s="802"/>
      <c r="N380" s="802"/>
      <c r="O380" s="802"/>
      <c r="P380" s="802"/>
      <c r="Q380" s="802"/>
      <c r="R380" s="802"/>
      <c r="S380" s="802"/>
      <c r="T380" s="802"/>
      <c r="U380" s="802"/>
      <c r="V380" s="802"/>
      <c r="W380" s="802"/>
      <c r="X380" s="802"/>
      <c r="Y380" s="802"/>
      <c r="Z380" s="802"/>
      <c r="AA380" s="802"/>
      <c r="AB380" s="802"/>
      <c r="AC380" s="802"/>
      <c r="AD380" s="802"/>
      <c r="AE380" s="802"/>
      <c r="AF380" s="802"/>
      <c r="AG380" s="802"/>
      <c r="AH380" s="802"/>
      <c r="AI380" s="802"/>
      <c r="AJ380" s="802"/>
      <c r="AK380" s="802"/>
      <c r="AL380" s="802"/>
      <c r="AM380" s="802"/>
      <c r="AN380" s="802"/>
      <c r="AO380" s="802"/>
      <c r="AP380" s="802"/>
      <c r="AQ380" s="802"/>
      <c r="AR380" s="802"/>
      <c r="AS380" s="802"/>
      <c r="AT380" s="802"/>
      <c r="AU380" s="802"/>
      <c r="AV380" s="802"/>
      <c r="AW380" s="802"/>
      <c r="AX380" s="802"/>
      <c r="AY380" s="802"/>
    </row>
    <row r="381" ht="21.75" customHeight="1">
      <c r="A381" s="802"/>
      <c r="B381" s="802"/>
      <c r="C381" s="802"/>
      <c r="D381" s="802"/>
      <c r="E381" s="802"/>
      <c r="F381" s="802"/>
      <c r="G381" s="802"/>
      <c r="H381" s="802"/>
      <c r="I381" s="802"/>
      <c r="J381" s="802"/>
      <c r="K381" s="802"/>
      <c r="L381" s="802"/>
      <c r="M381" s="802"/>
      <c r="N381" s="802"/>
      <c r="O381" s="802"/>
      <c r="P381" s="802"/>
      <c r="Q381" s="802"/>
      <c r="R381" s="802"/>
      <c r="S381" s="802"/>
      <c r="T381" s="802"/>
      <c r="U381" s="802"/>
      <c r="V381" s="802"/>
      <c r="W381" s="802"/>
      <c r="X381" s="802"/>
      <c r="Y381" s="802"/>
      <c r="Z381" s="802"/>
      <c r="AA381" s="802"/>
      <c r="AB381" s="802"/>
      <c r="AC381" s="802"/>
      <c r="AD381" s="802"/>
      <c r="AE381" s="802"/>
      <c r="AF381" s="802"/>
      <c r="AG381" s="802"/>
      <c r="AH381" s="802"/>
      <c r="AI381" s="802"/>
      <c r="AJ381" s="802"/>
      <c r="AK381" s="802"/>
      <c r="AL381" s="802"/>
      <c r="AM381" s="802"/>
      <c r="AN381" s="802"/>
      <c r="AO381" s="802"/>
      <c r="AP381" s="802"/>
      <c r="AQ381" s="802"/>
      <c r="AR381" s="802"/>
      <c r="AS381" s="802"/>
      <c r="AT381" s="802"/>
      <c r="AU381" s="802"/>
      <c r="AV381" s="802"/>
      <c r="AW381" s="802"/>
      <c r="AX381" s="802"/>
      <c r="AY381" s="802"/>
    </row>
    <row r="382" ht="21.75" customHeight="1">
      <c r="A382" s="802"/>
      <c r="B382" s="802"/>
      <c r="C382" s="802"/>
      <c r="D382" s="802"/>
      <c r="E382" s="802"/>
      <c r="F382" s="802"/>
      <c r="G382" s="802"/>
      <c r="H382" s="802"/>
      <c r="I382" s="802"/>
      <c r="J382" s="802"/>
      <c r="K382" s="802"/>
      <c r="L382" s="802"/>
      <c r="M382" s="802"/>
      <c r="N382" s="802"/>
      <c r="O382" s="802"/>
      <c r="P382" s="802"/>
      <c r="Q382" s="802"/>
      <c r="R382" s="802"/>
      <c r="S382" s="802"/>
      <c r="T382" s="802"/>
      <c r="U382" s="802"/>
      <c r="V382" s="802"/>
      <c r="W382" s="802"/>
      <c r="X382" s="802"/>
      <c r="Y382" s="802"/>
      <c r="Z382" s="802"/>
      <c r="AA382" s="802"/>
      <c r="AB382" s="802"/>
      <c r="AC382" s="802"/>
      <c r="AD382" s="802"/>
      <c r="AE382" s="802"/>
      <c r="AF382" s="802"/>
      <c r="AG382" s="802"/>
      <c r="AH382" s="802"/>
      <c r="AI382" s="802"/>
      <c r="AJ382" s="802"/>
      <c r="AK382" s="802"/>
      <c r="AL382" s="802"/>
      <c r="AM382" s="802"/>
      <c r="AN382" s="802"/>
      <c r="AO382" s="802"/>
      <c r="AP382" s="802"/>
      <c r="AQ382" s="802"/>
      <c r="AR382" s="802"/>
      <c r="AS382" s="802"/>
      <c r="AT382" s="802"/>
      <c r="AU382" s="802"/>
      <c r="AV382" s="802"/>
      <c r="AW382" s="802"/>
      <c r="AX382" s="802"/>
      <c r="AY382" s="802"/>
    </row>
    <row r="383" ht="21.75" customHeight="1">
      <c r="A383" s="802"/>
      <c r="B383" s="802"/>
      <c r="C383" s="802"/>
      <c r="D383" s="802"/>
      <c r="E383" s="802"/>
      <c r="F383" s="802"/>
      <c r="G383" s="802"/>
      <c r="H383" s="802"/>
      <c r="I383" s="802"/>
      <c r="J383" s="802"/>
      <c r="K383" s="802"/>
      <c r="L383" s="802"/>
      <c r="M383" s="802"/>
      <c r="N383" s="802"/>
      <c r="O383" s="802"/>
      <c r="P383" s="802"/>
      <c r="Q383" s="802"/>
      <c r="R383" s="802"/>
      <c r="S383" s="802"/>
      <c r="T383" s="802"/>
      <c r="U383" s="802"/>
      <c r="V383" s="802"/>
      <c r="W383" s="802"/>
      <c r="X383" s="802"/>
      <c r="Y383" s="802"/>
      <c r="Z383" s="802"/>
      <c r="AA383" s="802"/>
      <c r="AB383" s="802"/>
      <c r="AC383" s="802"/>
      <c r="AD383" s="802"/>
      <c r="AE383" s="802"/>
      <c r="AF383" s="802"/>
      <c r="AG383" s="802"/>
      <c r="AH383" s="802"/>
      <c r="AI383" s="802"/>
      <c r="AJ383" s="802"/>
      <c r="AK383" s="802"/>
      <c r="AL383" s="802"/>
      <c r="AM383" s="802"/>
      <c r="AN383" s="802"/>
      <c r="AO383" s="802"/>
      <c r="AP383" s="802"/>
      <c r="AQ383" s="802"/>
      <c r="AR383" s="802"/>
      <c r="AS383" s="802"/>
      <c r="AT383" s="802"/>
      <c r="AU383" s="802"/>
      <c r="AV383" s="802"/>
      <c r="AW383" s="802"/>
      <c r="AX383" s="802"/>
      <c r="AY383" s="802"/>
    </row>
    <row r="384" ht="21.75" customHeight="1">
      <c r="A384" s="802"/>
      <c r="B384" s="802"/>
      <c r="C384" s="802"/>
      <c r="D384" s="802"/>
      <c r="E384" s="802"/>
      <c r="F384" s="802"/>
      <c r="G384" s="802"/>
      <c r="H384" s="802"/>
      <c r="I384" s="802"/>
      <c r="J384" s="802"/>
      <c r="K384" s="802"/>
      <c r="L384" s="802"/>
      <c r="M384" s="802"/>
      <c r="N384" s="802"/>
      <c r="O384" s="802"/>
      <c r="P384" s="802"/>
      <c r="Q384" s="802"/>
      <c r="R384" s="802"/>
      <c r="S384" s="802"/>
      <c r="T384" s="802"/>
      <c r="U384" s="802"/>
      <c r="V384" s="802"/>
      <c r="W384" s="802"/>
      <c r="X384" s="802"/>
      <c r="Y384" s="802"/>
      <c r="Z384" s="802"/>
      <c r="AA384" s="802"/>
      <c r="AB384" s="802"/>
      <c r="AC384" s="802"/>
      <c r="AD384" s="802"/>
      <c r="AE384" s="802"/>
      <c r="AF384" s="802"/>
      <c r="AG384" s="802"/>
      <c r="AH384" s="802"/>
      <c r="AI384" s="802"/>
      <c r="AJ384" s="802"/>
      <c r="AK384" s="802"/>
      <c r="AL384" s="802"/>
      <c r="AM384" s="802"/>
      <c r="AN384" s="802"/>
      <c r="AO384" s="802"/>
      <c r="AP384" s="802"/>
      <c r="AQ384" s="802"/>
      <c r="AR384" s="802"/>
      <c r="AS384" s="802"/>
      <c r="AT384" s="802"/>
      <c r="AU384" s="802"/>
      <c r="AV384" s="802"/>
      <c r="AW384" s="802"/>
      <c r="AX384" s="802"/>
      <c r="AY384" s="802"/>
    </row>
    <row r="385" ht="21.75" customHeight="1">
      <c r="A385" s="802"/>
      <c r="B385" s="802"/>
      <c r="C385" s="802"/>
      <c r="D385" s="802"/>
      <c r="E385" s="802"/>
      <c r="F385" s="802"/>
      <c r="G385" s="802"/>
      <c r="H385" s="802"/>
      <c r="I385" s="802"/>
      <c r="J385" s="802"/>
      <c r="K385" s="802"/>
      <c r="L385" s="802"/>
      <c r="M385" s="802"/>
      <c r="N385" s="802"/>
      <c r="O385" s="802"/>
      <c r="P385" s="802"/>
      <c r="Q385" s="802"/>
      <c r="R385" s="802"/>
      <c r="S385" s="802"/>
      <c r="T385" s="802"/>
      <c r="U385" s="802"/>
      <c r="V385" s="802"/>
      <c r="W385" s="802"/>
      <c r="X385" s="802"/>
      <c r="Y385" s="802"/>
      <c r="Z385" s="802"/>
      <c r="AA385" s="802"/>
      <c r="AB385" s="802"/>
      <c r="AC385" s="802"/>
      <c r="AD385" s="802"/>
      <c r="AE385" s="802"/>
      <c r="AF385" s="802"/>
      <c r="AG385" s="802"/>
      <c r="AH385" s="802"/>
      <c r="AI385" s="802"/>
      <c r="AJ385" s="802"/>
      <c r="AK385" s="802"/>
      <c r="AL385" s="802"/>
      <c r="AM385" s="802"/>
      <c r="AN385" s="802"/>
      <c r="AO385" s="802"/>
      <c r="AP385" s="802"/>
      <c r="AQ385" s="802"/>
      <c r="AR385" s="802"/>
      <c r="AS385" s="802"/>
      <c r="AT385" s="802"/>
      <c r="AU385" s="802"/>
      <c r="AV385" s="802"/>
      <c r="AW385" s="802"/>
      <c r="AX385" s="802"/>
      <c r="AY385" s="802"/>
    </row>
    <row r="386" ht="21.75" customHeight="1">
      <c r="A386" s="802"/>
      <c r="B386" s="802"/>
      <c r="C386" s="802"/>
      <c r="D386" s="802"/>
      <c r="E386" s="802"/>
      <c r="F386" s="802"/>
      <c r="G386" s="802"/>
      <c r="H386" s="802"/>
      <c r="I386" s="802"/>
      <c r="J386" s="802"/>
      <c r="K386" s="802"/>
      <c r="L386" s="802"/>
      <c r="M386" s="802"/>
      <c r="N386" s="802"/>
      <c r="O386" s="802"/>
      <c r="P386" s="802"/>
      <c r="Q386" s="802"/>
      <c r="R386" s="802"/>
      <c r="S386" s="802"/>
      <c r="T386" s="802"/>
      <c r="U386" s="802"/>
      <c r="V386" s="802"/>
      <c r="W386" s="802"/>
      <c r="X386" s="802"/>
      <c r="Y386" s="802"/>
      <c r="Z386" s="802"/>
      <c r="AA386" s="802"/>
      <c r="AB386" s="802"/>
      <c r="AC386" s="802"/>
      <c r="AD386" s="802"/>
      <c r="AE386" s="802"/>
      <c r="AF386" s="802"/>
      <c r="AG386" s="802"/>
      <c r="AH386" s="802"/>
      <c r="AI386" s="802"/>
      <c r="AJ386" s="802"/>
      <c r="AK386" s="802"/>
      <c r="AL386" s="802"/>
      <c r="AM386" s="802"/>
      <c r="AN386" s="802"/>
      <c r="AO386" s="802"/>
      <c r="AP386" s="802"/>
      <c r="AQ386" s="802"/>
      <c r="AR386" s="802"/>
      <c r="AS386" s="802"/>
      <c r="AT386" s="802"/>
      <c r="AU386" s="802"/>
      <c r="AV386" s="802"/>
      <c r="AW386" s="802"/>
      <c r="AX386" s="802"/>
      <c r="AY386" s="802"/>
    </row>
    <row r="387" ht="21.75" customHeight="1">
      <c r="A387" s="802"/>
      <c r="B387" s="802"/>
      <c r="C387" s="802"/>
      <c r="D387" s="802"/>
      <c r="E387" s="802"/>
      <c r="F387" s="802"/>
      <c r="G387" s="802"/>
      <c r="H387" s="802"/>
      <c r="I387" s="802"/>
      <c r="J387" s="802"/>
      <c r="K387" s="802"/>
      <c r="L387" s="802"/>
      <c r="M387" s="802"/>
      <c r="N387" s="802"/>
      <c r="O387" s="802"/>
      <c r="P387" s="802"/>
      <c r="Q387" s="802"/>
      <c r="R387" s="802"/>
      <c r="S387" s="802"/>
      <c r="T387" s="802"/>
      <c r="U387" s="802"/>
      <c r="V387" s="802"/>
      <c r="W387" s="802"/>
      <c r="X387" s="802"/>
      <c r="Y387" s="802"/>
      <c r="Z387" s="802"/>
      <c r="AA387" s="802"/>
      <c r="AB387" s="802"/>
      <c r="AC387" s="802"/>
      <c r="AD387" s="802"/>
      <c r="AE387" s="802"/>
      <c r="AF387" s="802"/>
      <c r="AG387" s="802"/>
      <c r="AH387" s="802"/>
      <c r="AI387" s="802"/>
      <c r="AJ387" s="802"/>
      <c r="AK387" s="802"/>
      <c r="AL387" s="802"/>
      <c r="AM387" s="802"/>
      <c r="AN387" s="802"/>
      <c r="AO387" s="802"/>
      <c r="AP387" s="802"/>
      <c r="AQ387" s="802"/>
      <c r="AR387" s="802"/>
      <c r="AS387" s="802"/>
      <c r="AT387" s="802"/>
      <c r="AU387" s="802"/>
      <c r="AV387" s="802"/>
      <c r="AW387" s="802"/>
      <c r="AX387" s="802"/>
      <c r="AY387" s="802"/>
    </row>
    <row r="388" ht="21.75" customHeight="1">
      <c r="A388" s="802"/>
      <c r="B388" s="802"/>
      <c r="C388" s="802"/>
      <c r="D388" s="802"/>
      <c r="E388" s="802"/>
      <c r="F388" s="802"/>
      <c r="G388" s="802"/>
      <c r="H388" s="802"/>
      <c r="I388" s="802"/>
      <c r="J388" s="802"/>
      <c r="K388" s="802"/>
      <c r="L388" s="802"/>
      <c r="M388" s="802"/>
      <c r="N388" s="802"/>
      <c r="O388" s="802"/>
      <c r="P388" s="802"/>
      <c r="Q388" s="802"/>
      <c r="R388" s="802"/>
      <c r="S388" s="802"/>
      <c r="T388" s="802"/>
      <c r="U388" s="802"/>
      <c r="V388" s="802"/>
      <c r="W388" s="802"/>
      <c r="X388" s="802"/>
      <c r="Y388" s="802"/>
      <c r="Z388" s="802"/>
      <c r="AA388" s="802"/>
      <c r="AB388" s="802"/>
      <c r="AC388" s="802"/>
      <c r="AD388" s="802"/>
      <c r="AE388" s="802"/>
      <c r="AF388" s="802"/>
      <c r="AG388" s="802"/>
      <c r="AH388" s="802"/>
      <c r="AI388" s="802"/>
      <c r="AJ388" s="802"/>
      <c r="AK388" s="802"/>
      <c r="AL388" s="802"/>
      <c r="AM388" s="802"/>
      <c r="AN388" s="802"/>
      <c r="AO388" s="802"/>
      <c r="AP388" s="802"/>
      <c r="AQ388" s="802"/>
      <c r="AR388" s="802"/>
      <c r="AS388" s="802"/>
      <c r="AT388" s="802"/>
      <c r="AU388" s="802"/>
      <c r="AV388" s="802"/>
      <c r="AW388" s="802"/>
      <c r="AX388" s="802"/>
      <c r="AY388" s="802"/>
    </row>
    <row r="389" ht="21.75" customHeight="1">
      <c r="A389" s="802"/>
      <c r="B389" s="802"/>
      <c r="C389" s="802"/>
      <c r="D389" s="802"/>
      <c r="E389" s="802"/>
      <c r="F389" s="802"/>
      <c r="G389" s="802"/>
      <c r="H389" s="802"/>
      <c r="I389" s="802"/>
      <c r="J389" s="802"/>
      <c r="K389" s="802"/>
      <c r="L389" s="802"/>
      <c r="M389" s="802"/>
      <c r="N389" s="802"/>
      <c r="O389" s="802"/>
      <c r="P389" s="802"/>
      <c r="Q389" s="802"/>
      <c r="R389" s="802"/>
      <c r="S389" s="802"/>
      <c r="T389" s="802"/>
      <c r="U389" s="802"/>
      <c r="V389" s="802"/>
      <c r="W389" s="802"/>
      <c r="X389" s="802"/>
      <c r="Y389" s="802"/>
      <c r="Z389" s="802"/>
      <c r="AA389" s="802"/>
      <c r="AB389" s="802"/>
      <c r="AC389" s="802"/>
      <c r="AD389" s="802"/>
      <c r="AE389" s="802"/>
      <c r="AF389" s="802"/>
      <c r="AG389" s="802"/>
      <c r="AH389" s="802"/>
      <c r="AI389" s="802"/>
      <c r="AJ389" s="802"/>
      <c r="AK389" s="802"/>
      <c r="AL389" s="802"/>
      <c r="AM389" s="802"/>
      <c r="AN389" s="802"/>
      <c r="AO389" s="802"/>
      <c r="AP389" s="802"/>
      <c r="AQ389" s="802"/>
      <c r="AR389" s="802"/>
      <c r="AS389" s="802"/>
      <c r="AT389" s="802"/>
      <c r="AU389" s="802"/>
      <c r="AV389" s="802"/>
      <c r="AW389" s="802"/>
      <c r="AX389" s="802"/>
      <c r="AY389" s="802"/>
    </row>
    <row r="390" ht="21.75" customHeight="1">
      <c r="A390" s="802"/>
      <c r="B390" s="802"/>
      <c r="C390" s="802"/>
      <c r="D390" s="802"/>
      <c r="E390" s="802"/>
      <c r="F390" s="802"/>
      <c r="G390" s="802"/>
      <c r="H390" s="802"/>
      <c r="I390" s="802"/>
      <c r="J390" s="802"/>
      <c r="K390" s="802"/>
      <c r="L390" s="802"/>
      <c r="M390" s="802"/>
      <c r="N390" s="802"/>
      <c r="O390" s="802"/>
      <c r="P390" s="802"/>
      <c r="Q390" s="802"/>
      <c r="R390" s="802"/>
      <c r="S390" s="802"/>
      <c r="T390" s="802"/>
      <c r="U390" s="802"/>
      <c r="V390" s="802"/>
      <c r="W390" s="802"/>
      <c r="X390" s="802"/>
      <c r="Y390" s="802"/>
      <c r="Z390" s="802"/>
      <c r="AA390" s="802"/>
      <c r="AB390" s="802"/>
      <c r="AC390" s="802"/>
      <c r="AD390" s="802"/>
      <c r="AE390" s="802"/>
      <c r="AF390" s="802"/>
      <c r="AG390" s="802"/>
      <c r="AH390" s="802"/>
      <c r="AI390" s="802"/>
      <c r="AJ390" s="802"/>
      <c r="AK390" s="802"/>
      <c r="AL390" s="802"/>
      <c r="AM390" s="802"/>
      <c r="AN390" s="802"/>
      <c r="AO390" s="802"/>
      <c r="AP390" s="802"/>
      <c r="AQ390" s="802"/>
      <c r="AR390" s="802"/>
      <c r="AS390" s="802"/>
      <c r="AT390" s="802"/>
      <c r="AU390" s="802"/>
      <c r="AV390" s="802"/>
      <c r="AW390" s="802"/>
      <c r="AX390" s="802"/>
      <c r="AY390" s="802"/>
    </row>
    <row r="391" ht="21.75" customHeight="1">
      <c r="A391" s="802"/>
      <c r="B391" s="802"/>
      <c r="C391" s="802"/>
      <c r="D391" s="802"/>
      <c r="E391" s="802"/>
      <c r="F391" s="802"/>
      <c r="G391" s="802"/>
      <c r="H391" s="802"/>
      <c r="I391" s="802"/>
      <c r="J391" s="802"/>
      <c r="K391" s="802"/>
      <c r="L391" s="802"/>
      <c r="M391" s="802"/>
      <c r="N391" s="802"/>
      <c r="O391" s="802"/>
      <c r="P391" s="802"/>
      <c r="Q391" s="802"/>
      <c r="R391" s="802"/>
      <c r="S391" s="802"/>
      <c r="T391" s="802"/>
      <c r="U391" s="802"/>
      <c r="V391" s="802"/>
      <c r="W391" s="802"/>
      <c r="X391" s="802"/>
      <c r="Y391" s="802"/>
      <c r="Z391" s="802"/>
      <c r="AA391" s="802"/>
      <c r="AB391" s="802"/>
      <c r="AC391" s="802"/>
      <c r="AD391" s="802"/>
      <c r="AE391" s="802"/>
      <c r="AF391" s="802"/>
      <c r="AG391" s="802"/>
      <c r="AH391" s="802"/>
      <c r="AI391" s="802"/>
      <c r="AJ391" s="802"/>
      <c r="AK391" s="802"/>
      <c r="AL391" s="802"/>
      <c r="AM391" s="802"/>
      <c r="AN391" s="802"/>
      <c r="AO391" s="802"/>
      <c r="AP391" s="802"/>
      <c r="AQ391" s="802"/>
      <c r="AR391" s="802"/>
      <c r="AS391" s="802"/>
      <c r="AT391" s="802"/>
      <c r="AU391" s="802"/>
      <c r="AV391" s="802"/>
      <c r="AW391" s="802"/>
      <c r="AX391" s="802"/>
      <c r="AY391" s="802"/>
    </row>
    <row r="392" ht="21.75" customHeight="1">
      <c r="A392" s="802"/>
      <c r="B392" s="802"/>
      <c r="C392" s="802"/>
      <c r="D392" s="802"/>
      <c r="E392" s="802"/>
      <c r="F392" s="802"/>
      <c r="G392" s="802"/>
      <c r="H392" s="802"/>
      <c r="I392" s="802"/>
      <c r="J392" s="802"/>
      <c r="K392" s="802"/>
      <c r="L392" s="802"/>
      <c r="M392" s="802"/>
      <c r="N392" s="802"/>
      <c r="O392" s="802"/>
      <c r="P392" s="802"/>
      <c r="Q392" s="802"/>
      <c r="R392" s="802"/>
      <c r="S392" s="802"/>
      <c r="T392" s="802"/>
      <c r="U392" s="802"/>
      <c r="V392" s="802"/>
      <c r="W392" s="802"/>
      <c r="X392" s="802"/>
      <c r="Y392" s="802"/>
      <c r="Z392" s="802"/>
      <c r="AA392" s="802"/>
      <c r="AB392" s="802"/>
      <c r="AC392" s="802"/>
      <c r="AD392" s="802"/>
      <c r="AE392" s="802"/>
      <c r="AF392" s="802"/>
      <c r="AG392" s="802"/>
      <c r="AH392" s="802"/>
      <c r="AI392" s="802"/>
      <c r="AJ392" s="802"/>
      <c r="AK392" s="802"/>
      <c r="AL392" s="802"/>
      <c r="AM392" s="802"/>
      <c r="AN392" s="802"/>
      <c r="AO392" s="802"/>
      <c r="AP392" s="802"/>
      <c r="AQ392" s="802"/>
      <c r="AR392" s="802"/>
      <c r="AS392" s="802"/>
      <c r="AT392" s="802"/>
      <c r="AU392" s="802"/>
      <c r="AV392" s="802"/>
      <c r="AW392" s="802"/>
      <c r="AX392" s="802"/>
      <c r="AY392" s="802"/>
    </row>
    <row r="393" ht="21.75" customHeight="1">
      <c r="A393" s="802"/>
      <c r="B393" s="802"/>
      <c r="C393" s="802"/>
      <c r="D393" s="802"/>
      <c r="E393" s="802"/>
      <c r="F393" s="802"/>
      <c r="G393" s="802"/>
      <c r="H393" s="802"/>
      <c r="I393" s="802"/>
      <c r="J393" s="802"/>
      <c r="K393" s="802"/>
      <c r="L393" s="802"/>
      <c r="M393" s="802"/>
      <c r="N393" s="802"/>
      <c r="O393" s="802"/>
      <c r="P393" s="802"/>
      <c r="Q393" s="802"/>
      <c r="R393" s="802"/>
      <c r="S393" s="802"/>
      <c r="T393" s="802"/>
      <c r="U393" s="802"/>
      <c r="V393" s="802"/>
      <c r="W393" s="802"/>
      <c r="X393" s="802"/>
      <c r="Y393" s="802"/>
      <c r="Z393" s="802"/>
      <c r="AA393" s="802"/>
      <c r="AB393" s="802"/>
      <c r="AC393" s="802"/>
      <c r="AD393" s="802"/>
      <c r="AE393" s="802"/>
      <c r="AF393" s="802"/>
      <c r="AG393" s="802"/>
      <c r="AH393" s="802"/>
      <c r="AI393" s="802"/>
      <c r="AJ393" s="802"/>
      <c r="AK393" s="802"/>
      <c r="AL393" s="802"/>
      <c r="AM393" s="802"/>
      <c r="AN393" s="802"/>
      <c r="AO393" s="802"/>
      <c r="AP393" s="802"/>
      <c r="AQ393" s="802"/>
      <c r="AR393" s="802"/>
      <c r="AS393" s="802"/>
      <c r="AT393" s="802"/>
      <c r="AU393" s="802"/>
      <c r="AV393" s="802"/>
      <c r="AW393" s="802"/>
      <c r="AX393" s="802"/>
      <c r="AY393" s="802"/>
    </row>
    <row r="394" ht="21.75" customHeight="1">
      <c r="A394" s="802"/>
      <c r="B394" s="802"/>
      <c r="C394" s="802"/>
      <c r="D394" s="802"/>
      <c r="E394" s="802"/>
      <c r="F394" s="802"/>
      <c r="G394" s="802"/>
      <c r="H394" s="802"/>
      <c r="I394" s="802"/>
      <c r="J394" s="802"/>
      <c r="K394" s="802"/>
      <c r="L394" s="802"/>
      <c r="M394" s="802"/>
      <c r="N394" s="802"/>
      <c r="O394" s="802"/>
      <c r="P394" s="802"/>
      <c r="Q394" s="802"/>
      <c r="R394" s="802"/>
      <c r="S394" s="802"/>
      <c r="T394" s="802"/>
      <c r="U394" s="802"/>
      <c r="V394" s="802"/>
      <c r="W394" s="802"/>
      <c r="X394" s="802"/>
      <c r="Y394" s="802"/>
      <c r="Z394" s="802"/>
      <c r="AA394" s="802"/>
      <c r="AB394" s="802"/>
      <c r="AC394" s="802"/>
      <c r="AD394" s="802"/>
      <c r="AE394" s="802"/>
      <c r="AF394" s="802"/>
      <c r="AG394" s="802"/>
      <c r="AH394" s="802"/>
      <c r="AI394" s="802"/>
      <c r="AJ394" s="802"/>
      <c r="AK394" s="802"/>
      <c r="AL394" s="802"/>
      <c r="AM394" s="802"/>
      <c r="AN394" s="802"/>
      <c r="AO394" s="802"/>
      <c r="AP394" s="802"/>
      <c r="AQ394" s="802"/>
      <c r="AR394" s="802"/>
      <c r="AS394" s="802"/>
      <c r="AT394" s="802"/>
      <c r="AU394" s="802"/>
      <c r="AV394" s="802"/>
      <c r="AW394" s="802"/>
      <c r="AX394" s="802"/>
      <c r="AY394" s="802"/>
    </row>
    <row r="395" ht="21.75" customHeight="1">
      <c r="A395" s="802"/>
      <c r="B395" s="802"/>
      <c r="C395" s="802"/>
      <c r="D395" s="802"/>
      <c r="E395" s="802"/>
      <c r="F395" s="802"/>
      <c r="G395" s="802"/>
      <c r="H395" s="802"/>
      <c r="I395" s="802"/>
      <c r="J395" s="802"/>
      <c r="K395" s="802"/>
      <c r="L395" s="802"/>
      <c r="M395" s="802"/>
      <c r="N395" s="802"/>
      <c r="O395" s="802"/>
      <c r="P395" s="802"/>
      <c r="Q395" s="802"/>
      <c r="R395" s="802"/>
      <c r="S395" s="802"/>
      <c r="T395" s="802"/>
      <c r="U395" s="802"/>
      <c r="V395" s="802"/>
      <c r="W395" s="802"/>
      <c r="X395" s="802"/>
      <c r="Y395" s="802"/>
      <c r="Z395" s="802"/>
      <c r="AA395" s="802"/>
      <c r="AB395" s="802"/>
      <c r="AC395" s="802"/>
      <c r="AD395" s="802"/>
      <c r="AE395" s="802"/>
      <c r="AF395" s="802"/>
      <c r="AG395" s="802"/>
      <c r="AH395" s="802"/>
      <c r="AI395" s="802"/>
      <c r="AJ395" s="802"/>
      <c r="AK395" s="802"/>
      <c r="AL395" s="802"/>
      <c r="AM395" s="802"/>
      <c r="AN395" s="802"/>
      <c r="AO395" s="802"/>
      <c r="AP395" s="802"/>
      <c r="AQ395" s="802"/>
      <c r="AR395" s="802"/>
      <c r="AS395" s="802"/>
      <c r="AT395" s="802"/>
      <c r="AU395" s="802"/>
      <c r="AV395" s="802"/>
      <c r="AW395" s="802"/>
      <c r="AX395" s="802"/>
      <c r="AY395" s="802"/>
    </row>
    <row r="396" ht="21.75" customHeight="1">
      <c r="A396" s="802"/>
      <c r="B396" s="802"/>
      <c r="C396" s="802"/>
      <c r="D396" s="802"/>
      <c r="E396" s="802"/>
      <c r="F396" s="802"/>
      <c r="G396" s="802"/>
      <c r="H396" s="802"/>
      <c r="I396" s="802"/>
      <c r="J396" s="802"/>
      <c r="K396" s="802"/>
      <c r="L396" s="802"/>
      <c r="M396" s="802"/>
      <c r="N396" s="802"/>
      <c r="O396" s="802"/>
      <c r="P396" s="802"/>
      <c r="Q396" s="802"/>
      <c r="R396" s="802"/>
      <c r="S396" s="802"/>
      <c r="T396" s="802"/>
      <c r="U396" s="802"/>
      <c r="V396" s="802"/>
      <c r="W396" s="802"/>
      <c r="X396" s="802"/>
      <c r="Y396" s="802"/>
      <c r="Z396" s="802"/>
      <c r="AA396" s="802"/>
      <c r="AB396" s="802"/>
      <c r="AC396" s="802"/>
      <c r="AD396" s="802"/>
      <c r="AE396" s="802"/>
      <c r="AF396" s="802"/>
      <c r="AG396" s="802"/>
      <c r="AH396" s="802"/>
      <c r="AI396" s="802"/>
      <c r="AJ396" s="802"/>
      <c r="AK396" s="802"/>
      <c r="AL396" s="802"/>
      <c r="AM396" s="802"/>
      <c r="AN396" s="802"/>
      <c r="AO396" s="802"/>
      <c r="AP396" s="802"/>
      <c r="AQ396" s="802"/>
      <c r="AR396" s="802"/>
      <c r="AS396" s="802"/>
      <c r="AT396" s="802"/>
      <c r="AU396" s="802"/>
      <c r="AV396" s="802"/>
      <c r="AW396" s="802"/>
      <c r="AX396" s="802"/>
      <c r="AY396" s="802"/>
    </row>
    <row r="397" ht="21.75" customHeight="1">
      <c r="A397" s="802"/>
      <c r="B397" s="802"/>
      <c r="C397" s="802"/>
      <c r="D397" s="802"/>
      <c r="E397" s="802"/>
      <c r="F397" s="802"/>
      <c r="G397" s="802"/>
      <c r="H397" s="802"/>
      <c r="I397" s="802"/>
      <c r="J397" s="802"/>
      <c r="K397" s="802"/>
      <c r="L397" s="802"/>
      <c r="M397" s="802"/>
      <c r="N397" s="802"/>
      <c r="O397" s="802"/>
      <c r="P397" s="802"/>
      <c r="Q397" s="802"/>
      <c r="R397" s="802"/>
      <c r="S397" s="802"/>
      <c r="T397" s="802"/>
      <c r="U397" s="802"/>
      <c r="V397" s="802"/>
      <c r="W397" s="802"/>
      <c r="X397" s="802"/>
      <c r="Y397" s="802"/>
      <c r="Z397" s="802"/>
      <c r="AA397" s="802"/>
      <c r="AB397" s="802"/>
      <c r="AC397" s="802"/>
      <c r="AD397" s="802"/>
      <c r="AE397" s="802"/>
      <c r="AF397" s="802"/>
      <c r="AG397" s="802"/>
      <c r="AH397" s="802"/>
      <c r="AI397" s="802"/>
      <c r="AJ397" s="802"/>
      <c r="AK397" s="802"/>
      <c r="AL397" s="802"/>
      <c r="AM397" s="802"/>
      <c r="AN397" s="802"/>
      <c r="AO397" s="802"/>
      <c r="AP397" s="802"/>
      <c r="AQ397" s="802"/>
      <c r="AR397" s="802"/>
      <c r="AS397" s="802"/>
      <c r="AT397" s="802"/>
      <c r="AU397" s="802"/>
      <c r="AV397" s="802"/>
      <c r="AW397" s="802"/>
      <c r="AX397" s="802"/>
      <c r="AY397" s="802"/>
    </row>
    <row r="398" ht="21.75" customHeight="1">
      <c r="A398" s="802"/>
      <c r="B398" s="802"/>
      <c r="C398" s="802"/>
      <c r="D398" s="802"/>
      <c r="E398" s="802"/>
      <c r="F398" s="802"/>
      <c r="G398" s="802"/>
      <c r="H398" s="802"/>
      <c r="I398" s="802"/>
      <c r="J398" s="802"/>
      <c r="K398" s="802"/>
      <c r="L398" s="802"/>
      <c r="M398" s="802"/>
      <c r="N398" s="802"/>
      <c r="O398" s="802"/>
      <c r="P398" s="802"/>
      <c r="Q398" s="802"/>
      <c r="R398" s="802"/>
      <c r="S398" s="802"/>
      <c r="T398" s="802"/>
      <c r="U398" s="802"/>
      <c r="V398" s="802"/>
      <c r="W398" s="802"/>
      <c r="X398" s="802"/>
      <c r="Y398" s="802"/>
      <c r="Z398" s="802"/>
      <c r="AA398" s="802"/>
      <c r="AB398" s="802"/>
      <c r="AC398" s="802"/>
      <c r="AD398" s="802"/>
      <c r="AE398" s="802"/>
      <c r="AF398" s="802"/>
      <c r="AG398" s="802"/>
      <c r="AH398" s="802"/>
      <c r="AI398" s="802"/>
      <c r="AJ398" s="802"/>
      <c r="AK398" s="802"/>
      <c r="AL398" s="802"/>
      <c r="AM398" s="802"/>
      <c r="AN398" s="802"/>
      <c r="AO398" s="802"/>
      <c r="AP398" s="802"/>
      <c r="AQ398" s="802"/>
      <c r="AR398" s="802"/>
      <c r="AS398" s="802"/>
      <c r="AT398" s="802"/>
      <c r="AU398" s="802"/>
      <c r="AV398" s="802"/>
      <c r="AW398" s="802"/>
      <c r="AX398" s="802"/>
      <c r="AY398" s="802"/>
    </row>
    <row r="399" ht="21.75" customHeight="1">
      <c r="A399" s="802"/>
      <c r="B399" s="802"/>
      <c r="C399" s="802"/>
      <c r="D399" s="802"/>
      <c r="E399" s="802"/>
      <c r="F399" s="802"/>
      <c r="G399" s="802"/>
      <c r="H399" s="802"/>
      <c r="I399" s="802"/>
      <c r="J399" s="802"/>
      <c r="K399" s="802"/>
      <c r="L399" s="802"/>
      <c r="M399" s="802"/>
      <c r="N399" s="802"/>
      <c r="O399" s="802"/>
      <c r="P399" s="802"/>
      <c r="Q399" s="802"/>
      <c r="R399" s="802"/>
      <c r="S399" s="802"/>
      <c r="T399" s="802"/>
      <c r="U399" s="802"/>
      <c r="V399" s="802"/>
      <c r="W399" s="802"/>
      <c r="X399" s="802"/>
      <c r="Y399" s="802"/>
      <c r="Z399" s="802"/>
      <c r="AA399" s="802"/>
      <c r="AB399" s="802"/>
      <c r="AC399" s="802"/>
      <c r="AD399" s="802"/>
      <c r="AE399" s="802"/>
      <c r="AF399" s="802"/>
      <c r="AG399" s="802"/>
      <c r="AH399" s="802"/>
      <c r="AI399" s="802"/>
      <c r="AJ399" s="802"/>
      <c r="AK399" s="802"/>
      <c r="AL399" s="802"/>
      <c r="AM399" s="802"/>
      <c r="AN399" s="802"/>
      <c r="AO399" s="802"/>
      <c r="AP399" s="802"/>
      <c r="AQ399" s="802"/>
      <c r="AR399" s="802"/>
      <c r="AS399" s="802"/>
      <c r="AT399" s="802"/>
      <c r="AU399" s="802"/>
      <c r="AV399" s="802"/>
      <c r="AW399" s="802"/>
      <c r="AX399" s="802"/>
      <c r="AY399" s="802"/>
    </row>
    <row r="400" ht="21.75" customHeight="1">
      <c r="A400" s="802"/>
      <c r="B400" s="802"/>
      <c r="C400" s="802"/>
      <c r="D400" s="802"/>
      <c r="E400" s="802"/>
      <c r="F400" s="802"/>
      <c r="G400" s="802"/>
      <c r="H400" s="802"/>
      <c r="I400" s="802"/>
      <c r="J400" s="802"/>
      <c r="K400" s="802"/>
      <c r="L400" s="802"/>
      <c r="M400" s="802"/>
      <c r="N400" s="802"/>
      <c r="O400" s="802"/>
      <c r="P400" s="802"/>
      <c r="Q400" s="802"/>
      <c r="R400" s="802"/>
      <c r="S400" s="802"/>
      <c r="T400" s="802"/>
      <c r="U400" s="802"/>
      <c r="V400" s="802"/>
      <c r="W400" s="802"/>
      <c r="X400" s="802"/>
      <c r="Y400" s="802"/>
      <c r="Z400" s="802"/>
      <c r="AA400" s="802"/>
      <c r="AB400" s="802"/>
      <c r="AC400" s="802"/>
      <c r="AD400" s="802"/>
      <c r="AE400" s="802"/>
      <c r="AF400" s="802"/>
      <c r="AG400" s="802"/>
      <c r="AH400" s="802"/>
      <c r="AI400" s="802"/>
      <c r="AJ400" s="802"/>
      <c r="AK400" s="802"/>
      <c r="AL400" s="802"/>
      <c r="AM400" s="802"/>
      <c r="AN400" s="802"/>
      <c r="AO400" s="802"/>
      <c r="AP400" s="802"/>
      <c r="AQ400" s="802"/>
      <c r="AR400" s="802"/>
      <c r="AS400" s="802"/>
      <c r="AT400" s="802"/>
      <c r="AU400" s="802"/>
      <c r="AV400" s="802"/>
      <c r="AW400" s="802"/>
      <c r="AX400" s="802"/>
      <c r="AY400" s="802"/>
    </row>
    <row r="401" ht="21.75" customHeight="1">
      <c r="A401" s="802"/>
      <c r="B401" s="802"/>
      <c r="C401" s="802"/>
      <c r="D401" s="802"/>
      <c r="E401" s="802"/>
      <c r="F401" s="802"/>
      <c r="G401" s="802"/>
      <c r="H401" s="802"/>
      <c r="I401" s="802"/>
      <c r="J401" s="802"/>
      <c r="K401" s="802"/>
      <c r="L401" s="802"/>
      <c r="M401" s="802"/>
      <c r="N401" s="802"/>
      <c r="O401" s="802"/>
      <c r="P401" s="802"/>
      <c r="Q401" s="802"/>
      <c r="R401" s="802"/>
      <c r="S401" s="802"/>
      <c r="T401" s="802"/>
      <c r="U401" s="802"/>
      <c r="V401" s="802"/>
      <c r="W401" s="802"/>
      <c r="X401" s="802"/>
      <c r="Y401" s="802"/>
      <c r="Z401" s="802"/>
      <c r="AA401" s="802"/>
      <c r="AB401" s="802"/>
      <c r="AC401" s="802"/>
      <c r="AD401" s="802"/>
      <c r="AE401" s="802"/>
      <c r="AF401" s="802"/>
      <c r="AG401" s="802"/>
      <c r="AH401" s="802"/>
      <c r="AI401" s="802"/>
      <c r="AJ401" s="802"/>
      <c r="AK401" s="802"/>
      <c r="AL401" s="802"/>
      <c r="AM401" s="802"/>
      <c r="AN401" s="802"/>
      <c r="AO401" s="802"/>
      <c r="AP401" s="802"/>
      <c r="AQ401" s="802"/>
      <c r="AR401" s="802"/>
      <c r="AS401" s="802"/>
      <c r="AT401" s="802"/>
      <c r="AU401" s="802"/>
      <c r="AV401" s="802"/>
      <c r="AW401" s="802"/>
      <c r="AX401" s="802"/>
      <c r="AY401" s="802"/>
    </row>
    <row r="402" ht="21.75" customHeight="1">
      <c r="A402" s="802"/>
      <c r="B402" s="802"/>
      <c r="C402" s="802"/>
      <c r="D402" s="802"/>
      <c r="E402" s="802"/>
      <c r="F402" s="802"/>
      <c r="G402" s="802"/>
      <c r="H402" s="802"/>
      <c r="I402" s="802"/>
      <c r="J402" s="802"/>
      <c r="K402" s="802"/>
      <c r="L402" s="802"/>
      <c r="M402" s="802"/>
      <c r="N402" s="802"/>
      <c r="O402" s="802"/>
      <c r="P402" s="802"/>
      <c r="Q402" s="802"/>
      <c r="R402" s="802"/>
      <c r="S402" s="802"/>
      <c r="T402" s="802"/>
      <c r="U402" s="802"/>
      <c r="V402" s="802"/>
      <c r="W402" s="802"/>
      <c r="X402" s="802"/>
      <c r="Y402" s="802"/>
      <c r="Z402" s="802"/>
      <c r="AA402" s="802"/>
      <c r="AB402" s="802"/>
      <c r="AC402" s="802"/>
      <c r="AD402" s="802"/>
      <c r="AE402" s="802"/>
      <c r="AF402" s="802"/>
      <c r="AG402" s="802"/>
      <c r="AH402" s="802"/>
      <c r="AI402" s="802"/>
      <c r="AJ402" s="802"/>
      <c r="AK402" s="802"/>
      <c r="AL402" s="802"/>
      <c r="AM402" s="802"/>
      <c r="AN402" s="802"/>
      <c r="AO402" s="802"/>
      <c r="AP402" s="802"/>
      <c r="AQ402" s="802"/>
      <c r="AR402" s="802"/>
      <c r="AS402" s="802"/>
      <c r="AT402" s="802"/>
      <c r="AU402" s="802"/>
      <c r="AV402" s="802"/>
      <c r="AW402" s="802"/>
      <c r="AX402" s="802"/>
      <c r="AY402" s="802"/>
    </row>
    <row r="403" ht="21.75" customHeight="1">
      <c r="A403" s="802"/>
      <c r="B403" s="802"/>
      <c r="C403" s="802"/>
      <c r="D403" s="802"/>
      <c r="E403" s="802"/>
      <c r="F403" s="802"/>
      <c r="G403" s="802"/>
      <c r="H403" s="802"/>
      <c r="I403" s="802"/>
      <c r="J403" s="802"/>
      <c r="K403" s="802"/>
      <c r="L403" s="802"/>
      <c r="M403" s="802"/>
      <c r="N403" s="802"/>
      <c r="O403" s="802"/>
      <c r="P403" s="802"/>
      <c r="Q403" s="802"/>
      <c r="R403" s="802"/>
      <c r="S403" s="802"/>
      <c r="T403" s="802"/>
      <c r="U403" s="802"/>
      <c r="V403" s="802"/>
      <c r="W403" s="802"/>
      <c r="X403" s="802"/>
      <c r="Y403" s="802"/>
      <c r="Z403" s="802"/>
      <c r="AA403" s="802"/>
      <c r="AB403" s="802"/>
      <c r="AC403" s="802"/>
      <c r="AD403" s="802"/>
      <c r="AE403" s="802"/>
      <c r="AF403" s="802"/>
      <c r="AG403" s="802"/>
      <c r="AH403" s="802"/>
      <c r="AI403" s="802"/>
      <c r="AJ403" s="802"/>
      <c r="AK403" s="802"/>
      <c r="AL403" s="802"/>
      <c r="AM403" s="802"/>
      <c r="AN403" s="802"/>
      <c r="AO403" s="802"/>
      <c r="AP403" s="802"/>
      <c r="AQ403" s="802"/>
      <c r="AR403" s="802"/>
      <c r="AS403" s="802"/>
      <c r="AT403" s="802"/>
      <c r="AU403" s="802"/>
      <c r="AV403" s="802"/>
      <c r="AW403" s="802"/>
      <c r="AX403" s="802"/>
      <c r="AY403" s="802"/>
    </row>
    <row r="404" ht="21.75" customHeight="1">
      <c r="A404" s="802"/>
      <c r="B404" s="802"/>
      <c r="C404" s="802"/>
      <c r="D404" s="802"/>
      <c r="E404" s="802"/>
      <c r="F404" s="802"/>
      <c r="G404" s="802"/>
      <c r="H404" s="802"/>
      <c r="I404" s="802"/>
      <c r="J404" s="802"/>
      <c r="K404" s="802"/>
      <c r="L404" s="802"/>
      <c r="M404" s="802"/>
      <c r="N404" s="802"/>
      <c r="O404" s="802"/>
      <c r="P404" s="802"/>
      <c r="Q404" s="802"/>
      <c r="R404" s="802"/>
      <c r="S404" s="802"/>
      <c r="T404" s="802"/>
      <c r="U404" s="802"/>
      <c r="V404" s="802"/>
      <c r="W404" s="802"/>
      <c r="X404" s="802"/>
      <c r="Y404" s="802"/>
      <c r="Z404" s="802"/>
      <c r="AA404" s="802"/>
      <c r="AB404" s="802"/>
      <c r="AC404" s="802"/>
      <c r="AD404" s="802"/>
      <c r="AE404" s="802"/>
      <c r="AF404" s="802"/>
      <c r="AG404" s="802"/>
      <c r="AH404" s="802"/>
      <c r="AI404" s="802"/>
      <c r="AJ404" s="802"/>
      <c r="AK404" s="802"/>
      <c r="AL404" s="802"/>
      <c r="AM404" s="802"/>
      <c r="AN404" s="802"/>
      <c r="AO404" s="802"/>
      <c r="AP404" s="802"/>
      <c r="AQ404" s="802"/>
      <c r="AR404" s="802"/>
      <c r="AS404" s="802"/>
      <c r="AT404" s="802"/>
      <c r="AU404" s="802"/>
      <c r="AV404" s="802"/>
      <c r="AW404" s="802"/>
      <c r="AX404" s="802"/>
      <c r="AY404" s="802"/>
    </row>
    <row r="405" ht="21.75" customHeight="1">
      <c r="A405" s="802"/>
      <c r="B405" s="802"/>
      <c r="C405" s="802"/>
      <c r="D405" s="802"/>
      <c r="E405" s="802"/>
      <c r="F405" s="802"/>
      <c r="G405" s="802"/>
      <c r="H405" s="802"/>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802"/>
      <c r="AQ405" s="802"/>
      <c r="AR405" s="802"/>
      <c r="AS405" s="802"/>
      <c r="AT405" s="802"/>
      <c r="AU405" s="802"/>
      <c r="AV405" s="802"/>
      <c r="AW405" s="802"/>
      <c r="AX405" s="802"/>
      <c r="AY405" s="802"/>
    </row>
    <row r="406" ht="21.75" customHeight="1">
      <c r="A406" s="802"/>
      <c r="B406" s="802"/>
      <c r="C406" s="802"/>
      <c r="D406" s="802"/>
      <c r="E406" s="802"/>
      <c r="F406" s="802"/>
      <c r="G406" s="802"/>
      <c r="H406" s="802"/>
      <c r="I406" s="802"/>
      <c r="J406" s="802"/>
      <c r="K406" s="802"/>
      <c r="L406" s="802"/>
      <c r="M406" s="802"/>
      <c r="N406" s="802"/>
      <c r="O406" s="802"/>
      <c r="P406" s="802"/>
      <c r="Q406" s="802"/>
      <c r="R406" s="802"/>
      <c r="S406" s="802"/>
      <c r="T406" s="802"/>
      <c r="U406" s="802"/>
      <c r="V406" s="802"/>
      <c r="W406" s="802"/>
      <c r="X406" s="802"/>
      <c r="Y406" s="802"/>
      <c r="Z406" s="802"/>
      <c r="AA406" s="802"/>
      <c r="AB406" s="802"/>
      <c r="AC406" s="802"/>
      <c r="AD406" s="802"/>
      <c r="AE406" s="802"/>
      <c r="AF406" s="802"/>
      <c r="AG406" s="802"/>
      <c r="AH406" s="802"/>
      <c r="AI406" s="802"/>
      <c r="AJ406" s="802"/>
      <c r="AK406" s="802"/>
      <c r="AL406" s="802"/>
      <c r="AM406" s="802"/>
      <c r="AN406" s="802"/>
      <c r="AO406" s="802"/>
      <c r="AP406" s="802"/>
      <c r="AQ406" s="802"/>
      <c r="AR406" s="802"/>
      <c r="AS406" s="802"/>
      <c r="AT406" s="802"/>
      <c r="AU406" s="802"/>
      <c r="AV406" s="802"/>
      <c r="AW406" s="802"/>
      <c r="AX406" s="802"/>
      <c r="AY406" s="802"/>
    </row>
    <row r="407" ht="21.75" customHeight="1">
      <c r="A407" s="802"/>
      <c r="B407" s="802"/>
      <c r="C407" s="802"/>
      <c r="D407" s="802"/>
      <c r="E407" s="802"/>
      <c r="F407" s="802"/>
      <c r="G407" s="802"/>
      <c r="H407" s="802"/>
      <c r="I407" s="802"/>
      <c r="J407" s="802"/>
      <c r="K407" s="802"/>
      <c r="L407" s="802"/>
      <c r="M407" s="802"/>
      <c r="N407" s="802"/>
      <c r="O407" s="802"/>
      <c r="P407" s="802"/>
      <c r="Q407" s="802"/>
      <c r="R407" s="802"/>
      <c r="S407" s="802"/>
      <c r="T407" s="802"/>
      <c r="U407" s="802"/>
      <c r="V407" s="802"/>
      <c r="W407" s="802"/>
      <c r="X407" s="802"/>
      <c r="Y407" s="802"/>
      <c r="Z407" s="802"/>
      <c r="AA407" s="802"/>
      <c r="AB407" s="802"/>
      <c r="AC407" s="802"/>
      <c r="AD407" s="802"/>
      <c r="AE407" s="802"/>
      <c r="AF407" s="802"/>
      <c r="AG407" s="802"/>
      <c r="AH407" s="802"/>
      <c r="AI407" s="802"/>
      <c r="AJ407" s="802"/>
      <c r="AK407" s="802"/>
      <c r="AL407" s="802"/>
      <c r="AM407" s="802"/>
      <c r="AN407" s="802"/>
      <c r="AO407" s="802"/>
      <c r="AP407" s="802"/>
      <c r="AQ407" s="802"/>
      <c r="AR407" s="802"/>
      <c r="AS407" s="802"/>
      <c r="AT407" s="802"/>
      <c r="AU407" s="802"/>
      <c r="AV407" s="802"/>
      <c r="AW407" s="802"/>
      <c r="AX407" s="802"/>
      <c r="AY407" s="802"/>
    </row>
    <row r="408" ht="21.75" customHeight="1">
      <c r="A408" s="802"/>
      <c r="B408" s="802"/>
      <c r="C408" s="802"/>
      <c r="D408" s="802"/>
      <c r="E408" s="802"/>
      <c r="F408" s="802"/>
      <c r="G408" s="802"/>
      <c r="H408" s="802"/>
      <c r="I408" s="802"/>
      <c r="J408" s="802"/>
      <c r="K408" s="802"/>
      <c r="L408" s="802"/>
      <c r="M408" s="802"/>
      <c r="N408" s="802"/>
      <c r="O408" s="802"/>
      <c r="P408" s="802"/>
      <c r="Q408" s="802"/>
      <c r="R408" s="802"/>
      <c r="S408" s="802"/>
      <c r="T408" s="802"/>
      <c r="U408" s="802"/>
      <c r="V408" s="802"/>
      <c r="W408" s="802"/>
      <c r="X408" s="802"/>
      <c r="Y408" s="802"/>
      <c r="Z408" s="802"/>
      <c r="AA408" s="802"/>
      <c r="AB408" s="802"/>
      <c r="AC408" s="802"/>
      <c r="AD408" s="802"/>
      <c r="AE408" s="802"/>
      <c r="AF408" s="802"/>
      <c r="AG408" s="802"/>
      <c r="AH408" s="802"/>
      <c r="AI408" s="802"/>
      <c r="AJ408" s="802"/>
      <c r="AK408" s="802"/>
      <c r="AL408" s="802"/>
      <c r="AM408" s="802"/>
      <c r="AN408" s="802"/>
      <c r="AO408" s="802"/>
      <c r="AP408" s="802"/>
      <c r="AQ408" s="802"/>
      <c r="AR408" s="802"/>
      <c r="AS408" s="802"/>
      <c r="AT408" s="802"/>
      <c r="AU408" s="802"/>
      <c r="AV408" s="802"/>
      <c r="AW408" s="802"/>
      <c r="AX408" s="802"/>
      <c r="AY408" s="802"/>
    </row>
    <row r="409" ht="21.75" customHeight="1">
      <c r="A409" s="802"/>
      <c r="B409" s="802"/>
      <c r="C409" s="802"/>
      <c r="D409" s="802"/>
      <c r="E409" s="802"/>
      <c r="F409" s="802"/>
      <c r="G409" s="802"/>
      <c r="H409" s="802"/>
      <c r="I409" s="802"/>
      <c r="J409" s="802"/>
      <c r="K409" s="802"/>
      <c r="L409" s="802"/>
      <c r="M409" s="802"/>
      <c r="N409" s="802"/>
      <c r="O409" s="802"/>
      <c r="P409" s="802"/>
      <c r="Q409" s="802"/>
      <c r="R409" s="802"/>
      <c r="S409" s="802"/>
      <c r="T409" s="802"/>
      <c r="U409" s="802"/>
      <c r="V409" s="802"/>
      <c r="W409" s="802"/>
      <c r="X409" s="802"/>
      <c r="Y409" s="802"/>
      <c r="Z409" s="802"/>
      <c r="AA409" s="802"/>
      <c r="AB409" s="802"/>
      <c r="AC409" s="802"/>
      <c r="AD409" s="802"/>
      <c r="AE409" s="802"/>
      <c r="AF409" s="802"/>
      <c r="AG409" s="802"/>
      <c r="AH409" s="802"/>
      <c r="AI409" s="802"/>
      <c r="AJ409" s="802"/>
      <c r="AK409" s="802"/>
      <c r="AL409" s="802"/>
      <c r="AM409" s="802"/>
      <c r="AN409" s="802"/>
      <c r="AO409" s="802"/>
      <c r="AP409" s="802"/>
      <c r="AQ409" s="802"/>
      <c r="AR409" s="802"/>
      <c r="AS409" s="802"/>
      <c r="AT409" s="802"/>
      <c r="AU409" s="802"/>
      <c r="AV409" s="802"/>
      <c r="AW409" s="802"/>
      <c r="AX409" s="802"/>
      <c r="AY409" s="802"/>
    </row>
    <row r="410" ht="21.75" customHeight="1">
      <c r="A410" s="802"/>
      <c r="B410" s="802"/>
      <c r="C410" s="802"/>
      <c r="D410" s="802"/>
      <c r="E410" s="802"/>
      <c r="F410" s="802"/>
      <c r="G410" s="802"/>
      <c r="H410" s="802"/>
      <c r="I410" s="802"/>
      <c r="J410" s="802"/>
      <c r="K410" s="802"/>
      <c r="L410" s="802"/>
      <c r="M410" s="802"/>
      <c r="N410" s="802"/>
      <c r="O410" s="802"/>
      <c r="P410" s="802"/>
      <c r="Q410" s="802"/>
      <c r="R410" s="802"/>
      <c r="S410" s="802"/>
      <c r="T410" s="802"/>
      <c r="U410" s="802"/>
      <c r="V410" s="802"/>
      <c r="W410" s="802"/>
      <c r="X410" s="802"/>
      <c r="Y410" s="802"/>
      <c r="Z410" s="802"/>
      <c r="AA410" s="802"/>
      <c r="AB410" s="802"/>
      <c r="AC410" s="802"/>
      <c r="AD410" s="802"/>
      <c r="AE410" s="802"/>
      <c r="AF410" s="802"/>
      <c r="AG410" s="802"/>
      <c r="AH410" s="802"/>
      <c r="AI410" s="802"/>
      <c r="AJ410" s="802"/>
      <c r="AK410" s="802"/>
      <c r="AL410" s="802"/>
      <c r="AM410" s="802"/>
      <c r="AN410" s="802"/>
      <c r="AO410" s="802"/>
      <c r="AP410" s="802"/>
      <c r="AQ410" s="802"/>
      <c r="AR410" s="802"/>
      <c r="AS410" s="802"/>
      <c r="AT410" s="802"/>
      <c r="AU410" s="802"/>
      <c r="AV410" s="802"/>
      <c r="AW410" s="802"/>
      <c r="AX410" s="802"/>
      <c r="AY410" s="802"/>
    </row>
    <row r="411" ht="21.75" customHeight="1">
      <c r="A411" s="802"/>
      <c r="B411" s="802"/>
      <c r="C411" s="802"/>
      <c r="D411" s="802"/>
      <c r="E411" s="802"/>
      <c r="F411" s="802"/>
      <c r="G411" s="802"/>
      <c r="H411" s="802"/>
      <c r="I411" s="802"/>
      <c r="J411" s="802"/>
      <c r="K411" s="802"/>
      <c r="L411" s="802"/>
      <c r="M411" s="802"/>
      <c r="N411" s="802"/>
      <c r="O411" s="802"/>
      <c r="P411" s="802"/>
      <c r="Q411" s="802"/>
      <c r="R411" s="802"/>
      <c r="S411" s="802"/>
      <c r="T411" s="802"/>
      <c r="U411" s="802"/>
      <c r="V411" s="802"/>
      <c r="W411" s="802"/>
      <c r="X411" s="802"/>
      <c r="Y411" s="802"/>
      <c r="Z411" s="802"/>
      <c r="AA411" s="802"/>
      <c r="AB411" s="802"/>
      <c r="AC411" s="802"/>
      <c r="AD411" s="802"/>
      <c r="AE411" s="802"/>
      <c r="AF411" s="802"/>
      <c r="AG411" s="802"/>
      <c r="AH411" s="802"/>
      <c r="AI411" s="802"/>
      <c r="AJ411" s="802"/>
      <c r="AK411" s="802"/>
      <c r="AL411" s="802"/>
      <c r="AM411" s="802"/>
      <c r="AN411" s="802"/>
      <c r="AO411" s="802"/>
      <c r="AP411" s="802"/>
      <c r="AQ411" s="802"/>
      <c r="AR411" s="802"/>
      <c r="AS411" s="802"/>
      <c r="AT411" s="802"/>
      <c r="AU411" s="802"/>
      <c r="AV411" s="802"/>
      <c r="AW411" s="802"/>
      <c r="AX411" s="802"/>
      <c r="AY411" s="802"/>
    </row>
    <row r="412" ht="21.75" customHeight="1">
      <c r="A412" s="802"/>
      <c r="B412" s="802"/>
      <c r="C412" s="802"/>
      <c r="D412" s="802"/>
      <c r="E412" s="802"/>
      <c r="F412" s="802"/>
      <c r="G412" s="802"/>
      <c r="H412" s="802"/>
      <c r="I412" s="802"/>
      <c r="J412" s="802"/>
      <c r="K412" s="802"/>
      <c r="L412" s="802"/>
      <c r="M412" s="802"/>
      <c r="N412" s="802"/>
      <c r="O412" s="802"/>
      <c r="P412" s="802"/>
      <c r="Q412" s="802"/>
      <c r="R412" s="802"/>
      <c r="S412" s="802"/>
      <c r="T412" s="802"/>
      <c r="U412" s="802"/>
      <c r="V412" s="802"/>
      <c r="W412" s="802"/>
      <c r="X412" s="802"/>
      <c r="Y412" s="802"/>
      <c r="Z412" s="802"/>
      <c r="AA412" s="802"/>
      <c r="AB412" s="802"/>
      <c r="AC412" s="802"/>
      <c r="AD412" s="802"/>
      <c r="AE412" s="802"/>
      <c r="AF412" s="802"/>
      <c r="AG412" s="802"/>
      <c r="AH412" s="802"/>
      <c r="AI412" s="802"/>
      <c r="AJ412" s="802"/>
      <c r="AK412" s="802"/>
      <c r="AL412" s="802"/>
      <c r="AM412" s="802"/>
      <c r="AN412" s="802"/>
      <c r="AO412" s="802"/>
      <c r="AP412" s="802"/>
      <c r="AQ412" s="802"/>
      <c r="AR412" s="802"/>
      <c r="AS412" s="802"/>
      <c r="AT412" s="802"/>
      <c r="AU412" s="802"/>
      <c r="AV412" s="802"/>
      <c r="AW412" s="802"/>
      <c r="AX412" s="802"/>
      <c r="AY412" s="802"/>
    </row>
    <row r="413" ht="21.75" customHeight="1">
      <c r="A413" s="802"/>
      <c r="B413" s="802"/>
      <c r="C413" s="802"/>
      <c r="D413" s="802"/>
      <c r="E413" s="802"/>
      <c r="F413" s="802"/>
      <c r="G413" s="802"/>
      <c r="H413" s="802"/>
      <c r="I413" s="802"/>
      <c r="J413" s="802"/>
      <c r="K413" s="802"/>
      <c r="L413" s="802"/>
      <c r="M413" s="802"/>
      <c r="N413" s="802"/>
      <c r="O413" s="802"/>
      <c r="P413" s="802"/>
      <c r="Q413" s="802"/>
      <c r="R413" s="802"/>
      <c r="S413" s="802"/>
      <c r="T413" s="802"/>
      <c r="U413" s="802"/>
      <c r="V413" s="802"/>
      <c r="W413" s="802"/>
      <c r="X413" s="802"/>
      <c r="Y413" s="802"/>
      <c r="Z413" s="802"/>
      <c r="AA413" s="802"/>
      <c r="AB413" s="802"/>
      <c r="AC413" s="802"/>
      <c r="AD413" s="802"/>
      <c r="AE413" s="802"/>
      <c r="AF413" s="802"/>
      <c r="AG413" s="802"/>
      <c r="AH413" s="802"/>
      <c r="AI413" s="802"/>
      <c r="AJ413" s="802"/>
      <c r="AK413" s="802"/>
      <c r="AL413" s="802"/>
      <c r="AM413" s="802"/>
      <c r="AN413" s="802"/>
      <c r="AO413" s="802"/>
      <c r="AP413" s="802"/>
      <c r="AQ413" s="802"/>
      <c r="AR413" s="802"/>
      <c r="AS413" s="802"/>
      <c r="AT413" s="802"/>
      <c r="AU413" s="802"/>
      <c r="AV413" s="802"/>
      <c r="AW413" s="802"/>
      <c r="AX413" s="802"/>
      <c r="AY413" s="802"/>
    </row>
    <row r="414" ht="21.75" customHeight="1">
      <c r="A414" s="802"/>
      <c r="B414" s="802"/>
      <c r="C414" s="802"/>
      <c r="D414" s="802"/>
      <c r="E414" s="802"/>
      <c r="F414" s="802"/>
      <c r="G414" s="802"/>
      <c r="H414" s="802"/>
      <c r="I414" s="802"/>
      <c r="J414" s="802"/>
      <c r="K414" s="802"/>
      <c r="L414" s="802"/>
      <c r="M414" s="802"/>
      <c r="N414" s="802"/>
      <c r="O414" s="802"/>
      <c r="P414" s="802"/>
      <c r="Q414" s="802"/>
      <c r="R414" s="802"/>
      <c r="S414" s="802"/>
      <c r="T414" s="802"/>
      <c r="U414" s="802"/>
      <c r="V414" s="802"/>
      <c r="W414" s="802"/>
      <c r="X414" s="802"/>
      <c r="Y414" s="802"/>
      <c r="Z414" s="802"/>
      <c r="AA414" s="802"/>
      <c r="AB414" s="802"/>
      <c r="AC414" s="802"/>
      <c r="AD414" s="802"/>
      <c r="AE414" s="802"/>
      <c r="AF414" s="802"/>
      <c r="AG414" s="802"/>
      <c r="AH414" s="802"/>
      <c r="AI414" s="802"/>
      <c r="AJ414" s="802"/>
      <c r="AK414" s="802"/>
      <c r="AL414" s="802"/>
      <c r="AM414" s="802"/>
      <c r="AN414" s="802"/>
      <c r="AO414" s="802"/>
      <c r="AP414" s="802"/>
      <c r="AQ414" s="802"/>
      <c r="AR414" s="802"/>
      <c r="AS414" s="802"/>
      <c r="AT414" s="802"/>
      <c r="AU414" s="802"/>
      <c r="AV414" s="802"/>
      <c r="AW414" s="802"/>
      <c r="AX414" s="802"/>
      <c r="AY414" s="802"/>
    </row>
    <row r="415" ht="21.75" customHeight="1">
      <c r="A415" s="802"/>
      <c r="B415" s="802"/>
      <c r="C415" s="802"/>
      <c r="D415" s="802"/>
      <c r="E415" s="802"/>
      <c r="F415" s="802"/>
      <c r="G415" s="802"/>
      <c r="H415" s="802"/>
      <c r="I415" s="802"/>
      <c r="J415" s="802"/>
      <c r="K415" s="802"/>
      <c r="L415" s="802"/>
      <c r="M415" s="802"/>
      <c r="N415" s="802"/>
      <c r="O415" s="802"/>
      <c r="P415" s="802"/>
      <c r="Q415" s="802"/>
      <c r="R415" s="802"/>
      <c r="S415" s="802"/>
      <c r="T415" s="802"/>
      <c r="U415" s="802"/>
      <c r="V415" s="802"/>
      <c r="W415" s="802"/>
      <c r="X415" s="802"/>
      <c r="Y415" s="802"/>
      <c r="Z415" s="802"/>
      <c r="AA415" s="802"/>
      <c r="AB415" s="802"/>
      <c r="AC415" s="802"/>
      <c r="AD415" s="802"/>
      <c r="AE415" s="802"/>
      <c r="AF415" s="802"/>
      <c r="AG415" s="802"/>
      <c r="AH415" s="802"/>
      <c r="AI415" s="802"/>
      <c r="AJ415" s="802"/>
      <c r="AK415" s="802"/>
      <c r="AL415" s="802"/>
      <c r="AM415" s="802"/>
      <c r="AN415" s="802"/>
      <c r="AO415" s="802"/>
      <c r="AP415" s="802"/>
      <c r="AQ415" s="802"/>
      <c r="AR415" s="802"/>
      <c r="AS415" s="802"/>
      <c r="AT415" s="802"/>
      <c r="AU415" s="802"/>
      <c r="AV415" s="802"/>
      <c r="AW415" s="802"/>
      <c r="AX415" s="802"/>
      <c r="AY415" s="802"/>
    </row>
    <row r="416" ht="21.75" customHeight="1">
      <c r="A416" s="802"/>
      <c r="B416" s="802"/>
      <c r="C416" s="802"/>
      <c r="D416" s="802"/>
      <c r="E416" s="802"/>
      <c r="F416" s="802"/>
      <c r="G416" s="802"/>
      <c r="H416" s="802"/>
      <c r="I416" s="802"/>
      <c r="J416" s="802"/>
      <c r="K416" s="802"/>
      <c r="L416" s="802"/>
      <c r="M416" s="802"/>
      <c r="N416" s="802"/>
      <c r="O416" s="802"/>
      <c r="P416" s="802"/>
      <c r="Q416" s="802"/>
      <c r="R416" s="802"/>
      <c r="S416" s="802"/>
      <c r="T416" s="802"/>
      <c r="U416" s="802"/>
      <c r="V416" s="802"/>
      <c r="W416" s="802"/>
      <c r="X416" s="802"/>
      <c r="Y416" s="802"/>
      <c r="Z416" s="802"/>
      <c r="AA416" s="802"/>
      <c r="AB416" s="802"/>
      <c r="AC416" s="802"/>
      <c r="AD416" s="802"/>
      <c r="AE416" s="802"/>
      <c r="AF416" s="802"/>
      <c r="AG416" s="802"/>
      <c r="AH416" s="802"/>
      <c r="AI416" s="802"/>
      <c r="AJ416" s="802"/>
      <c r="AK416" s="802"/>
      <c r="AL416" s="802"/>
      <c r="AM416" s="802"/>
      <c r="AN416" s="802"/>
      <c r="AO416" s="802"/>
      <c r="AP416" s="802"/>
      <c r="AQ416" s="802"/>
      <c r="AR416" s="802"/>
      <c r="AS416" s="802"/>
      <c r="AT416" s="802"/>
      <c r="AU416" s="802"/>
      <c r="AV416" s="802"/>
      <c r="AW416" s="802"/>
      <c r="AX416" s="802"/>
      <c r="AY416" s="802"/>
    </row>
    <row r="417" ht="21.75" customHeight="1">
      <c r="A417" s="802"/>
      <c r="B417" s="802"/>
      <c r="C417" s="802"/>
      <c r="D417" s="802"/>
      <c r="E417" s="802"/>
      <c r="F417" s="802"/>
      <c r="G417" s="802"/>
      <c r="H417" s="802"/>
      <c r="I417" s="802"/>
      <c r="J417" s="802"/>
      <c r="K417" s="802"/>
      <c r="L417" s="802"/>
      <c r="M417" s="802"/>
      <c r="N417" s="802"/>
      <c r="O417" s="802"/>
      <c r="P417" s="802"/>
      <c r="Q417" s="802"/>
      <c r="R417" s="802"/>
      <c r="S417" s="802"/>
      <c r="T417" s="802"/>
      <c r="U417" s="802"/>
      <c r="V417" s="802"/>
      <c r="W417" s="802"/>
      <c r="X417" s="802"/>
      <c r="Y417" s="802"/>
      <c r="Z417" s="802"/>
      <c r="AA417" s="802"/>
      <c r="AB417" s="802"/>
      <c r="AC417" s="802"/>
      <c r="AD417" s="802"/>
      <c r="AE417" s="802"/>
      <c r="AF417" s="802"/>
      <c r="AG417" s="802"/>
      <c r="AH417" s="802"/>
      <c r="AI417" s="802"/>
      <c r="AJ417" s="802"/>
      <c r="AK417" s="802"/>
      <c r="AL417" s="802"/>
      <c r="AM417" s="802"/>
      <c r="AN417" s="802"/>
      <c r="AO417" s="802"/>
      <c r="AP417" s="802"/>
      <c r="AQ417" s="802"/>
      <c r="AR417" s="802"/>
      <c r="AS417" s="802"/>
      <c r="AT417" s="802"/>
      <c r="AU417" s="802"/>
      <c r="AV417" s="802"/>
      <c r="AW417" s="802"/>
      <c r="AX417" s="802"/>
      <c r="AY417" s="802"/>
    </row>
    <row r="418" ht="21.75" customHeight="1">
      <c r="A418" s="802"/>
      <c r="B418" s="802"/>
      <c r="C418" s="802"/>
      <c r="D418" s="802"/>
      <c r="E418" s="802"/>
      <c r="F418" s="802"/>
      <c r="G418" s="802"/>
      <c r="H418" s="802"/>
      <c r="I418" s="802"/>
      <c r="J418" s="802"/>
      <c r="K418" s="802"/>
      <c r="L418" s="802"/>
      <c r="M418" s="802"/>
      <c r="N418" s="802"/>
      <c r="O418" s="802"/>
      <c r="P418" s="802"/>
      <c r="Q418" s="802"/>
      <c r="R418" s="802"/>
      <c r="S418" s="802"/>
      <c r="T418" s="802"/>
      <c r="U418" s="802"/>
      <c r="V418" s="802"/>
      <c r="W418" s="802"/>
      <c r="X418" s="802"/>
      <c r="Y418" s="802"/>
      <c r="Z418" s="802"/>
      <c r="AA418" s="802"/>
      <c r="AB418" s="802"/>
      <c r="AC418" s="802"/>
      <c r="AD418" s="802"/>
      <c r="AE418" s="802"/>
      <c r="AF418" s="802"/>
      <c r="AG418" s="802"/>
      <c r="AH418" s="802"/>
      <c r="AI418" s="802"/>
      <c r="AJ418" s="802"/>
      <c r="AK418" s="802"/>
      <c r="AL418" s="802"/>
      <c r="AM418" s="802"/>
      <c r="AN418" s="802"/>
      <c r="AO418" s="802"/>
      <c r="AP418" s="802"/>
      <c r="AQ418" s="802"/>
      <c r="AR418" s="802"/>
      <c r="AS418" s="802"/>
      <c r="AT418" s="802"/>
      <c r="AU418" s="802"/>
      <c r="AV418" s="802"/>
      <c r="AW418" s="802"/>
      <c r="AX418" s="802"/>
      <c r="AY418" s="802"/>
    </row>
    <row r="419" ht="21.75" customHeight="1">
      <c r="A419" s="802"/>
      <c r="B419" s="802"/>
      <c r="C419" s="802"/>
      <c r="D419" s="802"/>
      <c r="E419" s="802"/>
      <c r="F419" s="802"/>
      <c r="G419" s="802"/>
      <c r="H419" s="802"/>
      <c r="I419" s="802"/>
      <c r="J419" s="802"/>
      <c r="K419" s="802"/>
      <c r="L419" s="802"/>
      <c r="M419" s="802"/>
      <c r="N419" s="802"/>
      <c r="O419" s="802"/>
      <c r="P419" s="802"/>
      <c r="Q419" s="802"/>
      <c r="R419" s="802"/>
      <c r="S419" s="802"/>
      <c r="T419" s="802"/>
      <c r="U419" s="802"/>
      <c r="V419" s="802"/>
      <c r="W419" s="802"/>
      <c r="X419" s="802"/>
      <c r="Y419" s="802"/>
      <c r="Z419" s="802"/>
      <c r="AA419" s="802"/>
      <c r="AB419" s="802"/>
      <c r="AC419" s="802"/>
      <c r="AD419" s="802"/>
      <c r="AE419" s="802"/>
      <c r="AF419" s="802"/>
      <c r="AG419" s="802"/>
      <c r="AH419" s="802"/>
      <c r="AI419" s="802"/>
      <c r="AJ419" s="802"/>
      <c r="AK419" s="802"/>
      <c r="AL419" s="802"/>
      <c r="AM419" s="802"/>
      <c r="AN419" s="802"/>
      <c r="AO419" s="802"/>
      <c r="AP419" s="802"/>
      <c r="AQ419" s="802"/>
      <c r="AR419" s="802"/>
      <c r="AS419" s="802"/>
      <c r="AT419" s="802"/>
      <c r="AU419" s="802"/>
      <c r="AV419" s="802"/>
      <c r="AW419" s="802"/>
      <c r="AX419" s="802"/>
      <c r="AY419" s="802"/>
    </row>
    <row r="420" ht="21.75" customHeight="1">
      <c r="A420" s="802"/>
      <c r="B420" s="802"/>
      <c r="C420" s="802"/>
      <c r="D420" s="802"/>
      <c r="E420" s="802"/>
      <c r="F420" s="802"/>
      <c r="G420" s="802"/>
      <c r="H420" s="802"/>
      <c r="I420" s="802"/>
      <c r="J420" s="802"/>
      <c r="K420" s="802"/>
      <c r="L420" s="802"/>
      <c r="M420" s="802"/>
      <c r="N420" s="802"/>
      <c r="O420" s="802"/>
      <c r="P420" s="802"/>
      <c r="Q420" s="802"/>
      <c r="R420" s="802"/>
      <c r="S420" s="802"/>
      <c r="T420" s="802"/>
      <c r="U420" s="802"/>
      <c r="V420" s="802"/>
      <c r="W420" s="802"/>
      <c r="X420" s="802"/>
      <c r="Y420" s="802"/>
      <c r="Z420" s="802"/>
      <c r="AA420" s="802"/>
      <c r="AB420" s="802"/>
      <c r="AC420" s="802"/>
      <c r="AD420" s="802"/>
      <c r="AE420" s="802"/>
      <c r="AF420" s="802"/>
      <c r="AG420" s="802"/>
      <c r="AH420" s="802"/>
      <c r="AI420" s="802"/>
      <c r="AJ420" s="802"/>
      <c r="AK420" s="802"/>
      <c r="AL420" s="802"/>
      <c r="AM420" s="802"/>
      <c r="AN420" s="802"/>
      <c r="AO420" s="802"/>
      <c r="AP420" s="802"/>
      <c r="AQ420" s="802"/>
      <c r="AR420" s="802"/>
      <c r="AS420" s="802"/>
      <c r="AT420" s="802"/>
      <c r="AU420" s="802"/>
      <c r="AV420" s="802"/>
      <c r="AW420" s="802"/>
      <c r="AX420" s="802"/>
      <c r="AY420" s="802"/>
    </row>
    <row r="421" ht="21.75" customHeight="1">
      <c r="A421" s="802"/>
      <c r="B421" s="802"/>
      <c r="C421" s="802"/>
      <c r="D421" s="802"/>
      <c r="E421" s="802"/>
      <c r="F421" s="802"/>
      <c r="G421" s="802"/>
      <c r="H421" s="802"/>
      <c r="I421" s="802"/>
      <c r="J421" s="802"/>
      <c r="K421" s="802"/>
      <c r="L421" s="802"/>
      <c r="M421" s="802"/>
      <c r="N421" s="802"/>
      <c r="O421" s="802"/>
      <c r="P421" s="802"/>
      <c r="Q421" s="802"/>
      <c r="R421" s="802"/>
      <c r="S421" s="802"/>
      <c r="T421" s="802"/>
      <c r="U421" s="802"/>
      <c r="V421" s="802"/>
      <c r="W421" s="802"/>
      <c r="X421" s="802"/>
      <c r="Y421" s="802"/>
      <c r="Z421" s="802"/>
      <c r="AA421" s="802"/>
      <c r="AB421" s="802"/>
      <c r="AC421" s="802"/>
      <c r="AD421" s="802"/>
      <c r="AE421" s="802"/>
      <c r="AF421" s="802"/>
      <c r="AG421" s="802"/>
      <c r="AH421" s="802"/>
      <c r="AI421" s="802"/>
      <c r="AJ421" s="802"/>
      <c r="AK421" s="802"/>
      <c r="AL421" s="802"/>
      <c r="AM421" s="802"/>
      <c r="AN421" s="802"/>
      <c r="AO421" s="802"/>
      <c r="AP421" s="802"/>
      <c r="AQ421" s="802"/>
      <c r="AR421" s="802"/>
      <c r="AS421" s="802"/>
      <c r="AT421" s="802"/>
      <c r="AU421" s="802"/>
      <c r="AV421" s="802"/>
      <c r="AW421" s="802"/>
      <c r="AX421" s="802"/>
      <c r="AY421" s="802"/>
    </row>
    <row r="422" ht="21.75" customHeight="1">
      <c r="A422" s="802"/>
      <c r="B422" s="802"/>
      <c r="C422" s="802"/>
      <c r="D422" s="802"/>
      <c r="E422" s="802"/>
      <c r="F422" s="802"/>
      <c r="G422" s="802"/>
      <c r="H422" s="802"/>
      <c r="I422" s="802"/>
      <c r="J422" s="802"/>
      <c r="K422" s="802"/>
      <c r="L422" s="802"/>
      <c r="M422" s="802"/>
      <c r="N422" s="802"/>
      <c r="O422" s="802"/>
      <c r="P422" s="802"/>
      <c r="Q422" s="802"/>
      <c r="R422" s="802"/>
      <c r="S422" s="802"/>
      <c r="T422" s="802"/>
      <c r="U422" s="802"/>
      <c r="V422" s="802"/>
      <c r="W422" s="802"/>
      <c r="X422" s="802"/>
      <c r="Y422" s="802"/>
      <c r="Z422" s="802"/>
      <c r="AA422" s="802"/>
      <c r="AB422" s="802"/>
      <c r="AC422" s="802"/>
      <c r="AD422" s="802"/>
      <c r="AE422" s="802"/>
      <c r="AF422" s="802"/>
      <c r="AG422" s="802"/>
      <c r="AH422" s="802"/>
      <c r="AI422" s="802"/>
      <c r="AJ422" s="802"/>
      <c r="AK422" s="802"/>
      <c r="AL422" s="802"/>
      <c r="AM422" s="802"/>
      <c r="AN422" s="802"/>
      <c r="AO422" s="802"/>
      <c r="AP422" s="802"/>
      <c r="AQ422" s="802"/>
      <c r="AR422" s="802"/>
      <c r="AS422" s="802"/>
      <c r="AT422" s="802"/>
      <c r="AU422" s="802"/>
      <c r="AV422" s="802"/>
      <c r="AW422" s="802"/>
      <c r="AX422" s="802"/>
      <c r="AY422" s="802"/>
    </row>
    <row r="423" ht="21.75" customHeight="1">
      <c r="A423" s="802"/>
      <c r="B423" s="802"/>
      <c r="C423" s="802"/>
      <c r="D423" s="802"/>
      <c r="E423" s="802"/>
      <c r="F423" s="802"/>
      <c r="G423" s="802"/>
      <c r="H423" s="802"/>
      <c r="I423" s="802"/>
      <c r="J423" s="802"/>
      <c r="K423" s="802"/>
      <c r="L423" s="802"/>
      <c r="M423" s="802"/>
      <c r="N423" s="802"/>
      <c r="O423" s="802"/>
      <c r="P423" s="802"/>
      <c r="Q423" s="802"/>
      <c r="R423" s="802"/>
      <c r="S423" s="802"/>
      <c r="T423" s="802"/>
      <c r="U423" s="802"/>
      <c r="V423" s="802"/>
      <c r="W423" s="802"/>
      <c r="X423" s="802"/>
      <c r="Y423" s="802"/>
      <c r="Z423" s="802"/>
      <c r="AA423" s="802"/>
      <c r="AB423" s="802"/>
      <c r="AC423" s="802"/>
      <c r="AD423" s="802"/>
      <c r="AE423" s="802"/>
      <c r="AF423" s="802"/>
      <c r="AG423" s="802"/>
      <c r="AH423" s="802"/>
      <c r="AI423" s="802"/>
      <c r="AJ423" s="802"/>
      <c r="AK423" s="802"/>
      <c r="AL423" s="802"/>
      <c r="AM423" s="802"/>
      <c r="AN423" s="802"/>
      <c r="AO423" s="802"/>
      <c r="AP423" s="802"/>
      <c r="AQ423" s="802"/>
      <c r="AR423" s="802"/>
      <c r="AS423" s="802"/>
      <c r="AT423" s="802"/>
      <c r="AU423" s="802"/>
      <c r="AV423" s="802"/>
      <c r="AW423" s="802"/>
      <c r="AX423" s="802"/>
      <c r="AY423" s="802"/>
    </row>
    <row r="424" ht="21.75" customHeight="1">
      <c r="A424" s="802"/>
      <c r="B424" s="802"/>
      <c r="C424" s="802"/>
      <c r="D424" s="802"/>
      <c r="E424" s="802"/>
      <c r="F424" s="802"/>
      <c r="G424" s="802"/>
      <c r="H424" s="802"/>
      <c r="I424" s="802"/>
      <c r="J424" s="802"/>
      <c r="K424" s="802"/>
      <c r="L424" s="802"/>
      <c r="M424" s="802"/>
      <c r="N424" s="802"/>
      <c r="O424" s="802"/>
      <c r="P424" s="802"/>
      <c r="Q424" s="802"/>
      <c r="R424" s="802"/>
      <c r="S424" s="802"/>
      <c r="T424" s="802"/>
      <c r="U424" s="802"/>
      <c r="V424" s="802"/>
      <c r="W424" s="802"/>
      <c r="X424" s="802"/>
      <c r="Y424" s="802"/>
      <c r="Z424" s="802"/>
      <c r="AA424" s="802"/>
      <c r="AB424" s="802"/>
      <c r="AC424" s="802"/>
      <c r="AD424" s="802"/>
      <c r="AE424" s="802"/>
      <c r="AF424" s="802"/>
      <c r="AG424" s="802"/>
      <c r="AH424" s="802"/>
      <c r="AI424" s="802"/>
      <c r="AJ424" s="802"/>
      <c r="AK424" s="802"/>
      <c r="AL424" s="802"/>
      <c r="AM424" s="802"/>
      <c r="AN424" s="802"/>
      <c r="AO424" s="802"/>
      <c r="AP424" s="802"/>
      <c r="AQ424" s="802"/>
      <c r="AR424" s="802"/>
      <c r="AS424" s="802"/>
      <c r="AT424" s="802"/>
      <c r="AU424" s="802"/>
      <c r="AV424" s="802"/>
      <c r="AW424" s="802"/>
      <c r="AX424" s="802"/>
      <c r="AY424" s="802"/>
    </row>
    <row r="425" ht="21.75" customHeight="1">
      <c r="A425" s="802"/>
      <c r="B425" s="802"/>
      <c r="C425" s="802"/>
      <c r="D425" s="802"/>
      <c r="E425" s="802"/>
      <c r="F425" s="802"/>
      <c r="G425" s="802"/>
      <c r="H425" s="802"/>
      <c r="I425" s="802"/>
      <c r="J425" s="802"/>
      <c r="K425" s="802"/>
      <c r="L425" s="802"/>
      <c r="M425" s="802"/>
      <c r="N425" s="802"/>
      <c r="O425" s="802"/>
      <c r="P425" s="802"/>
      <c r="Q425" s="802"/>
      <c r="R425" s="802"/>
      <c r="S425" s="802"/>
      <c r="T425" s="802"/>
      <c r="U425" s="802"/>
      <c r="V425" s="802"/>
      <c r="W425" s="802"/>
      <c r="X425" s="802"/>
      <c r="Y425" s="802"/>
      <c r="Z425" s="802"/>
      <c r="AA425" s="802"/>
      <c r="AB425" s="802"/>
      <c r="AC425" s="802"/>
      <c r="AD425" s="802"/>
      <c r="AE425" s="802"/>
      <c r="AF425" s="802"/>
      <c r="AG425" s="802"/>
      <c r="AH425" s="802"/>
      <c r="AI425" s="802"/>
      <c r="AJ425" s="802"/>
      <c r="AK425" s="802"/>
      <c r="AL425" s="802"/>
      <c r="AM425" s="802"/>
      <c r="AN425" s="802"/>
      <c r="AO425" s="802"/>
      <c r="AP425" s="802"/>
      <c r="AQ425" s="802"/>
      <c r="AR425" s="802"/>
      <c r="AS425" s="802"/>
      <c r="AT425" s="802"/>
      <c r="AU425" s="802"/>
      <c r="AV425" s="802"/>
      <c r="AW425" s="802"/>
      <c r="AX425" s="802"/>
      <c r="AY425" s="802"/>
    </row>
    <row r="426" ht="21.75" customHeight="1">
      <c r="A426" s="802"/>
      <c r="B426" s="802"/>
      <c r="C426" s="802"/>
      <c r="D426" s="802"/>
      <c r="E426" s="802"/>
      <c r="F426" s="802"/>
      <c r="G426" s="802"/>
      <c r="H426" s="802"/>
      <c r="I426" s="802"/>
      <c r="J426" s="802"/>
      <c r="K426" s="802"/>
      <c r="L426" s="802"/>
      <c r="M426" s="802"/>
      <c r="N426" s="802"/>
      <c r="O426" s="802"/>
      <c r="P426" s="802"/>
      <c r="Q426" s="802"/>
      <c r="R426" s="802"/>
      <c r="S426" s="802"/>
      <c r="T426" s="802"/>
      <c r="U426" s="802"/>
      <c r="V426" s="802"/>
      <c r="W426" s="802"/>
      <c r="X426" s="802"/>
      <c r="Y426" s="802"/>
      <c r="Z426" s="802"/>
      <c r="AA426" s="802"/>
      <c r="AB426" s="802"/>
      <c r="AC426" s="802"/>
      <c r="AD426" s="802"/>
      <c r="AE426" s="802"/>
      <c r="AF426" s="802"/>
      <c r="AG426" s="802"/>
      <c r="AH426" s="802"/>
      <c r="AI426" s="802"/>
      <c r="AJ426" s="802"/>
      <c r="AK426" s="802"/>
      <c r="AL426" s="802"/>
      <c r="AM426" s="802"/>
      <c r="AN426" s="802"/>
      <c r="AO426" s="802"/>
      <c r="AP426" s="802"/>
      <c r="AQ426" s="802"/>
      <c r="AR426" s="802"/>
      <c r="AS426" s="802"/>
      <c r="AT426" s="802"/>
      <c r="AU426" s="802"/>
      <c r="AV426" s="802"/>
      <c r="AW426" s="802"/>
      <c r="AX426" s="802"/>
      <c r="AY426" s="802"/>
    </row>
    <row r="427" ht="21.75" customHeight="1">
      <c r="A427" s="802"/>
      <c r="B427" s="802"/>
      <c r="C427" s="802"/>
      <c r="D427" s="802"/>
      <c r="E427" s="802"/>
      <c r="F427" s="802"/>
      <c r="G427" s="802"/>
      <c r="H427" s="802"/>
      <c r="I427" s="802"/>
      <c r="J427" s="802"/>
      <c r="K427" s="802"/>
      <c r="L427" s="802"/>
      <c r="M427" s="802"/>
      <c r="N427" s="802"/>
      <c r="O427" s="802"/>
      <c r="P427" s="802"/>
      <c r="Q427" s="802"/>
      <c r="R427" s="802"/>
      <c r="S427" s="802"/>
      <c r="T427" s="802"/>
      <c r="U427" s="802"/>
      <c r="V427" s="802"/>
      <c r="W427" s="802"/>
      <c r="X427" s="802"/>
      <c r="Y427" s="802"/>
      <c r="Z427" s="802"/>
      <c r="AA427" s="802"/>
      <c r="AB427" s="802"/>
      <c r="AC427" s="802"/>
      <c r="AD427" s="802"/>
      <c r="AE427" s="802"/>
      <c r="AF427" s="802"/>
      <c r="AG427" s="802"/>
      <c r="AH427" s="802"/>
      <c r="AI427" s="802"/>
      <c r="AJ427" s="802"/>
      <c r="AK427" s="802"/>
      <c r="AL427" s="802"/>
      <c r="AM427" s="802"/>
      <c r="AN427" s="802"/>
      <c r="AO427" s="802"/>
      <c r="AP427" s="802"/>
      <c r="AQ427" s="802"/>
      <c r="AR427" s="802"/>
      <c r="AS427" s="802"/>
      <c r="AT427" s="802"/>
      <c r="AU427" s="802"/>
      <c r="AV427" s="802"/>
      <c r="AW427" s="802"/>
      <c r="AX427" s="802"/>
      <c r="AY427" s="802"/>
    </row>
    <row r="428" ht="21.75" customHeight="1">
      <c r="A428" s="802"/>
      <c r="B428" s="802"/>
      <c r="C428" s="802"/>
      <c r="D428" s="802"/>
      <c r="E428" s="802"/>
      <c r="F428" s="802"/>
      <c r="G428" s="802"/>
      <c r="H428" s="802"/>
      <c r="I428" s="802"/>
      <c r="J428" s="802"/>
      <c r="K428" s="802"/>
      <c r="L428" s="802"/>
      <c r="M428" s="802"/>
      <c r="N428" s="802"/>
      <c r="O428" s="802"/>
      <c r="P428" s="802"/>
      <c r="Q428" s="802"/>
      <c r="R428" s="802"/>
      <c r="S428" s="802"/>
      <c r="T428" s="802"/>
      <c r="U428" s="802"/>
      <c r="V428" s="802"/>
      <c r="W428" s="802"/>
      <c r="X428" s="802"/>
      <c r="Y428" s="802"/>
      <c r="Z428" s="802"/>
      <c r="AA428" s="802"/>
      <c r="AB428" s="802"/>
      <c r="AC428" s="802"/>
      <c r="AD428" s="802"/>
      <c r="AE428" s="802"/>
      <c r="AF428" s="802"/>
      <c r="AG428" s="802"/>
      <c r="AH428" s="802"/>
      <c r="AI428" s="802"/>
      <c r="AJ428" s="802"/>
      <c r="AK428" s="802"/>
      <c r="AL428" s="802"/>
      <c r="AM428" s="802"/>
      <c r="AN428" s="802"/>
      <c r="AO428" s="802"/>
      <c r="AP428" s="802"/>
      <c r="AQ428" s="802"/>
      <c r="AR428" s="802"/>
      <c r="AS428" s="802"/>
      <c r="AT428" s="802"/>
      <c r="AU428" s="802"/>
      <c r="AV428" s="802"/>
      <c r="AW428" s="802"/>
      <c r="AX428" s="802"/>
      <c r="AY428" s="802"/>
    </row>
    <row r="429" ht="21.75" customHeight="1">
      <c r="A429" s="802"/>
      <c r="B429" s="802"/>
      <c r="C429" s="802"/>
      <c r="D429" s="802"/>
      <c r="E429" s="802"/>
      <c r="F429" s="802"/>
      <c r="G429" s="802"/>
      <c r="H429" s="802"/>
      <c r="I429" s="802"/>
      <c r="J429" s="802"/>
      <c r="K429" s="802"/>
      <c r="L429" s="802"/>
      <c r="M429" s="802"/>
      <c r="N429" s="802"/>
      <c r="O429" s="802"/>
      <c r="P429" s="802"/>
      <c r="Q429" s="802"/>
      <c r="R429" s="802"/>
      <c r="S429" s="802"/>
      <c r="T429" s="802"/>
      <c r="U429" s="802"/>
      <c r="V429" s="802"/>
      <c r="W429" s="802"/>
      <c r="X429" s="802"/>
      <c r="Y429" s="802"/>
      <c r="Z429" s="802"/>
      <c r="AA429" s="802"/>
      <c r="AB429" s="802"/>
      <c r="AC429" s="802"/>
      <c r="AD429" s="802"/>
      <c r="AE429" s="802"/>
      <c r="AF429" s="802"/>
      <c r="AG429" s="802"/>
      <c r="AH429" s="802"/>
      <c r="AI429" s="802"/>
      <c r="AJ429" s="802"/>
      <c r="AK429" s="802"/>
      <c r="AL429" s="802"/>
      <c r="AM429" s="802"/>
      <c r="AN429" s="802"/>
      <c r="AO429" s="802"/>
      <c r="AP429" s="802"/>
      <c r="AQ429" s="802"/>
      <c r="AR429" s="802"/>
      <c r="AS429" s="802"/>
      <c r="AT429" s="802"/>
      <c r="AU429" s="802"/>
      <c r="AV429" s="802"/>
      <c r="AW429" s="802"/>
      <c r="AX429" s="802"/>
      <c r="AY429" s="802"/>
    </row>
    <row r="430" ht="21.75" customHeight="1">
      <c r="A430" s="802"/>
      <c r="B430" s="802"/>
      <c r="C430" s="802"/>
      <c r="D430" s="802"/>
      <c r="E430" s="802"/>
      <c r="F430" s="802"/>
      <c r="G430" s="802"/>
      <c r="H430" s="802"/>
      <c r="I430" s="802"/>
      <c r="J430" s="802"/>
      <c r="K430" s="802"/>
      <c r="L430" s="802"/>
      <c r="M430" s="802"/>
      <c r="N430" s="802"/>
      <c r="O430" s="802"/>
      <c r="P430" s="802"/>
      <c r="Q430" s="802"/>
      <c r="R430" s="802"/>
      <c r="S430" s="802"/>
      <c r="T430" s="802"/>
      <c r="U430" s="802"/>
      <c r="V430" s="802"/>
      <c r="W430" s="802"/>
      <c r="X430" s="802"/>
      <c r="Y430" s="802"/>
      <c r="Z430" s="802"/>
      <c r="AA430" s="802"/>
      <c r="AB430" s="802"/>
      <c r="AC430" s="802"/>
      <c r="AD430" s="802"/>
      <c r="AE430" s="802"/>
      <c r="AF430" s="802"/>
      <c r="AG430" s="802"/>
      <c r="AH430" s="802"/>
      <c r="AI430" s="802"/>
      <c r="AJ430" s="802"/>
      <c r="AK430" s="802"/>
      <c r="AL430" s="802"/>
      <c r="AM430" s="802"/>
      <c r="AN430" s="802"/>
      <c r="AO430" s="802"/>
      <c r="AP430" s="802"/>
      <c r="AQ430" s="802"/>
      <c r="AR430" s="802"/>
      <c r="AS430" s="802"/>
      <c r="AT430" s="802"/>
      <c r="AU430" s="802"/>
      <c r="AV430" s="802"/>
      <c r="AW430" s="802"/>
      <c r="AX430" s="802"/>
      <c r="AY430" s="802"/>
    </row>
    <row r="431" ht="21.75" customHeight="1">
      <c r="A431" s="802"/>
      <c r="B431" s="802"/>
      <c r="C431" s="802"/>
      <c r="D431" s="802"/>
      <c r="E431" s="802"/>
      <c r="F431" s="802"/>
      <c r="G431" s="802"/>
      <c r="H431" s="802"/>
      <c r="I431" s="802"/>
      <c r="J431" s="802"/>
      <c r="K431" s="802"/>
      <c r="L431" s="802"/>
      <c r="M431" s="802"/>
      <c r="N431" s="802"/>
      <c r="O431" s="802"/>
      <c r="P431" s="802"/>
      <c r="Q431" s="802"/>
      <c r="R431" s="802"/>
      <c r="S431" s="802"/>
      <c r="T431" s="802"/>
      <c r="U431" s="802"/>
      <c r="V431" s="802"/>
      <c r="W431" s="802"/>
      <c r="X431" s="802"/>
      <c r="Y431" s="802"/>
      <c r="Z431" s="802"/>
      <c r="AA431" s="802"/>
      <c r="AB431" s="802"/>
      <c r="AC431" s="802"/>
      <c r="AD431" s="802"/>
      <c r="AE431" s="802"/>
      <c r="AF431" s="802"/>
      <c r="AG431" s="802"/>
      <c r="AH431" s="802"/>
      <c r="AI431" s="802"/>
      <c r="AJ431" s="802"/>
      <c r="AK431" s="802"/>
      <c r="AL431" s="802"/>
      <c r="AM431" s="802"/>
      <c r="AN431" s="802"/>
      <c r="AO431" s="802"/>
      <c r="AP431" s="802"/>
      <c r="AQ431" s="802"/>
      <c r="AR431" s="802"/>
      <c r="AS431" s="802"/>
      <c r="AT431" s="802"/>
      <c r="AU431" s="802"/>
      <c r="AV431" s="802"/>
      <c r="AW431" s="802"/>
      <c r="AX431" s="802"/>
      <c r="AY431" s="802"/>
    </row>
    <row r="432" ht="21.75" customHeight="1">
      <c r="A432" s="802"/>
      <c r="B432" s="802"/>
      <c r="C432" s="802"/>
      <c r="D432" s="802"/>
      <c r="E432" s="802"/>
      <c r="F432" s="802"/>
      <c r="G432" s="802"/>
      <c r="H432" s="802"/>
      <c r="I432" s="802"/>
      <c r="J432" s="802"/>
      <c r="K432" s="802"/>
      <c r="L432" s="802"/>
      <c r="M432" s="802"/>
      <c r="N432" s="802"/>
      <c r="O432" s="802"/>
      <c r="P432" s="802"/>
      <c r="Q432" s="802"/>
      <c r="R432" s="802"/>
      <c r="S432" s="802"/>
      <c r="T432" s="802"/>
      <c r="U432" s="802"/>
      <c r="V432" s="802"/>
      <c r="W432" s="802"/>
      <c r="X432" s="802"/>
      <c r="Y432" s="802"/>
      <c r="Z432" s="802"/>
      <c r="AA432" s="802"/>
      <c r="AB432" s="802"/>
      <c r="AC432" s="802"/>
      <c r="AD432" s="802"/>
      <c r="AE432" s="802"/>
      <c r="AF432" s="802"/>
      <c r="AG432" s="802"/>
      <c r="AH432" s="802"/>
      <c r="AI432" s="802"/>
      <c r="AJ432" s="802"/>
      <c r="AK432" s="802"/>
      <c r="AL432" s="802"/>
      <c r="AM432" s="802"/>
      <c r="AN432" s="802"/>
      <c r="AO432" s="802"/>
      <c r="AP432" s="802"/>
      <c r="AQ432" s="802"/>
      <c r="AR432" s="802"/>
      <c r="AS432" s="802"/>
      <c r="AT432" s="802"/>
      <c r="AU432" s="802"/>
      <c r="AV432" s="802"/>
      <c r="AW432" s="802"/>
      <c r="AX432" s="802"/>
      <c r="AY432" s="802"/>
    </row>
    <row r="433" ht="21.75" customHeight="1">
      <c r="A433" s="802"/>
      <c r="B433" s="802"/>
      <c r="C433" s="802"/>
      <c r="D433" s="802"/>
      <c r="E433" s="802"/>
      <c r="F433" s="802"/>
      <c r="G433" s="802"/>
      <c r="H433" s="802"/>
      <c r="I433" s="802"/>
      <c r="J433" s="802"/>
      <c r="K433" s="802"/>
      <c r="L433" s="802"/>
      <c r="M433" s="802"/>
      <c r="N433" s="802"/>
      <c r="O433" s="802"/>
      <c r="P433" s="802"/>
      <c r="Q433" s="802"/>
      <c r="R433" s="802"/>
      <c r="S433" s="802"/>
      <c r="T433" s="802"/>
      <c r="U433" s="802"/>
      <c r="V433" s="802"/>
      <c r="W433" s="802"/>
      <c r="X433" s="802"/>
      <c r="Y433" s="802"/>
      <c r="Z433" s="802"/>
      <c r="AA433" s="802"/>
      <c r="AB433" s="802"/>
      <c r="AC433" s="802"/>
      <c r="AD433" s="802"/>
      <c r="AE433" s="802"/>
      <c r="AF433" s="802"/>
      <c r="AG433" s="802"/>
      <c r="AH433" s="802"/>
      <c r="AI433" s="802"/>
      <c r="AJ433" s="802"/>
      <c r="AK433" s="802"/>
      <c r="AL433" s="802"/>
      <c r="AM433" s="802"/>
      <c r="AN433" s="802"/>
      <c r="AO433" s="802"/>
      <c r="AP433" s="802"/>
      <c r="AQ433" s="802"/>
      <c r="AR433" s="802"/>
      <c r="AS433" s="802"/>
      <c r="AT433" s="802"/>
      <c r="AU433" s="802"/>
      <c r="AV433" s="802"/>
      <c r="AW433" s="802"/>
      <c r="AX433" s="802"/>
      <c r="AY433" s="802"/>
    </row>
    <row r="434" ht="21.75" customHeight="1">
      <c r="A434" s="802"/>
      <c r="B434" s="802"/>
      <c r="C434" s="802"/>
      <c r="D434" s="802"/>
      <c r="E434" s="802"/>
      <c r="F434" s="802"/>
      <c r="G434" s="802"/>
      <c r="H434" s="802"/>
      <c r="I434" s="802"/>
      <c r="J434" s="802"/>
      <c r="K434" s="802"/>
      <c r="L434" s="802"/>
      <c r="M434" s="802"/>
      <c r="N434" s="802"/>
      <c r="O434" s="802"/>
      <c r="P434" s="802"/>
      <c r="Q434" s="802"/>
      <c r="R434" s="802"/>
      <c r="S434" s="802"/>
      <c r="T434" s="802"/>
      <c r="U434" s="802"/>
      <c r="V434" s="802"/>
      <c r="W434" s="802"/>
      <c r="X434" s="802"/>
      <c r="Y434" s="802"/>
      <c r="Z434" s="802"/>
      <c r="AA434" s="802"/>
      <c r="AB434" s="802"/>
      <c r="AC434" s="802"/>
      <c r="AD434" s="802"/>
      <c r="AE434" s="802"/>
      <c r="AF434" s="802"/>
      <c r="AG434" s="802"/>
      <c r="AH434" s="802"/>
      <c r="AI434" s="802"/>
      <c r="AJ434" s="802"/>
      <c r="AK434" s="802"/>
      <c r="AL434" s="802"/>
      <c r="AM434" s="802"/>
      <c r="AN434" s="802"/>
      <c r="AO434" s="802"/>
      <c r="AP434" s="802"/>
      <c r="AQ434" s="802"/>
      <c r="AR434" s="802"/>
      <c r="AS434" s="802"/>
      <c r="AT434" s="802"/>
      <c r="AU434" s="802"/>
      <c r="AV434" s="802"/>
      <c r="AW434" s="802"/>
      <c r="AX434" s="802"/>
      <c r="AY434" s="802"/>
    </row>
    <row r="435" ht="21.75" customHeight="1">
      <c r="A435" s="802"/>
      <c r="B435" s="802"/>
      <c r="C435" s="802"/>
      <c r="D435" s="802"/>
      <c r="E435" s="802"/>
      <c r="F435" s="802"/>
      <c r="G435" s="802"/>
      <c r="H435" s="802"/>
      <c r="I435" s="802"/>
      <c r="J435" s="802"/>
      <c r="K435" s="802"/>
      <c r="L435" s="802"/>
      <c r="M435" s="802"/>
      <c r="N435" s="802"/>
      <c r="O435" s="802"/>
      <c r="P435" s="802"/>
      <c r="Q435" s="802"/>
      <c r="R435" s="802"/>
      <c r="S435" s="802"/>
      <c r="T435" s="802"/>
      <c r="U435" s="802"/>
      <c r="V435" s="802"/>
      <c r="W435" s="802"/>
      <c r="X435" s="802"/>
      <c r="Y435" s="802"/>
      <c r="Z435" s="802"/>
      <c r="AA435" s="802"/>
      <c r="AB435" s="802"/>
      <c r="AC435" s="802"/>
      <c r="AD435" s="802"/>
      <c r="AE435" s="802"/>
      <c r="AF435" s="802"/>
      <c r="AG435" s="802"/>
      <c r="AH435" s="802"/>
      <c r="AI435" s="802"/>
      <c r="AJ435" s="802"/>
      <c r="AK435" s="802"/>
      <c r="AL435" s="802"/>
      <c r="AM435" s="802"/>
      <c r="AN435" s="802"/>
      <c r="AO435" s="802"/>
      <c r="AP435" s="802"/>
      <c r="AQ435" s="802"/>
      <c r="AR435" s="802"/>
      <c r="AS435" s="802"/>
      <c r="AT435" s="802"/>
      <c r="AU435" s="802"/>
      <c r="AV435" s="802"/>
      <c r="AW435" s="802"/>
      <c r="AX435" s="802"/>
      <c r="AY435" s="802"/>
    </row>
    <row r="436" ht="21.75" customHeight="1">
      <c r="A436" s="802"/>
      <c r="B436" s="802"/>
      <c r="C436" s="802"/>
      <c r="D436" s="802"/>
      <c r="E436" s="802"/>
      <c r="F436" s="802"/>
      <c r="G436" s="802"/>
      <c r="H436" s="802"/>
      <c r="I436" s="802"/>
      <c r="J436" s="802"/>
      <c r="K436" s="802"/>
      <c r="L436" s="802"/>
      <c r="M436" s="802"/>
      <c r="N436" s="802"/>
      <c r="O436" s="802"/>
      <c r="P436" s="802"/>
      <c r="Q436" s="802"/>
      <c r="R436" s="802"/>
      <c r="S436" s="802"/>
      <c r="T436" s="802"/>
      <c r="U436" s="802"/>
      <c r="V436" s="802"/>
      <c r="W436" s="802"/>
      <c r="X436" s="802"/>
      <c r="Y436" s="802"/>
      <c r="Z436" s="802"/>
      <c r="AA436" s="802"/>
      <c r="AB436" s="802"/>
      <c r="AC436" s="802"/>
      <c r="AD436" s="802"/>
      <c r="AE436" s="802"/>
      <c r="AF436" s="802"/>
      <c r="AG436" s="802"/>
      <c r="AH436" s="802"/>
      <c r="AI436" s="802"/>
      <c r="AJ436" s="802"/>
      <c r="AK436" s="802"/>
      <c r="AL436" s="802"/>
      <c r="AM436" s="802"/>
      <c r="AN436" s="802"/>
      <c r="AO436" s="802"/>
      <c r="AP436" s="802"/>
      <c r="AQ436" s="802"/>
      <c r="AR436" s="802"/>
      <c r="AS436" s="802"/>
      <c r="AT436" s="802"/>
      <c r="AU436" s="802"/>
      <c r="AV436" s="802"/>
      <c r="AW436" s="802"/>
      <c r="AX436" s="802"/>
      <c r="AY436" s="802"/>
    </row>
    <row r="437" ht="21.75" customHeight="1">
      <c r="A437" s="802"/>
      <c r="B437" s="802"/>
      <c r="C437" s="802"/>
      <c r="D437" s="802"/>
      <c r="E437" s="802"/>
      <c r="F437" s="802"/>
      <c r="G437" s="802"/>
      <c r="H437" s="802"/>
      <c r="I437" s="802"/>
      <c r="J437" s="802"/>
      <c r="K437" s="802"/>
      <c r="L437" s="802"/>
      <c r="M437" s="802"/>
      <c r="N437" s="802"/>
      <c r="O437" s="802"/>
      <c r="P437" s="802"/>
      <c r="Q437" s="802"/>
      <c r="R437" s="802"/>
      <c r="S437" s="802"/>
      <c r="T437" s="802"/>
      <c r="U437" s="802"/>
      <c r="V437" s="802"/>
      <c r="W437" s="802"/>
      <c r="X437" s="802"/>
      <c r="Y437" s="802"/>
      <c r="Z437" s="802"/>
      <c r="AA437" s="802"/>
      <c r="AB437" s="802"/>
      <c r="AC437" s="802"/>
      <c r="AD437" s="802"/>
      <c r="AE437" s="802"/>
      <c r="AF437" s="802"/>
      <c r="AG437" s="802"/>
      <c r="AH437" s="802"/>
      <c r="AI437" s="802"/>
      <c r="AJ437" s="802"/>
      <c r="AK437" s="802"/>
      <c r="AL437" s="802"/>
      <c r="AM437" s="802"/>
      <c r="AN437" s="802"/>
      <c r="AO437" s="802"/>
      <c r="AP437" s="802"/>
      <c r="AQ437" s="802"/>
      <c r="AR437" s="802"/>
      <c r="AS437" s="802"/>
      <c r="AT437" s="802"/>
      <c r="AU437" s="802"/>
      <c r="AV437" s="802"/>
      <c r="AW437" s="802"/>
      <c r="AX437" s="802"/>
      <c r="AY437" s="802"/>
    </row>
    <row r="438" ht="21.75" customHeight="1">
      <c r="A438" s="802"/>
      <c r="B438" s="802"/>
      <c r="C438" s="802"/>
      <c r="D438" s="802"/>
      <c r="E438" s="802"/>
      <c r="F438" s="802"/>
      <c r="G438" s="802"/>
      <c r="H438" s="802"/>
      <c r="I438" s="802"/>
      <c r="J438" s="802"/>
      <c r="K438" s="802"/>
      <c r="L438" s="802"/>
      <c r="M438" s="802"/>
      <c r="N438" s="802"/>
      <c r="O438" s="802"/>
      <c r="P438" s="802"/>
      <c r="Q438" s="802"/>
      <c r="R438" s="802"/>
      <c r="S438" s="802"/>
      <c r="T438" s="802"/>
      <c r="U438" s="802"/>
      <c r="V438" s="802"/>
      <c r="W438" s="802"/>
      <c r="X438" s="802"/>
      <c r="Y438" s="802"/>
      <c r="Z438" s="802"/>
      <c r="AA438" s="802"/>
      <c r="AB438" s="802"/>
      <c r="AC438" s="802"/>
      <c r="AD438" s="802"/>
      <c r="AE438" s="802"/>
      <c r="AF438" s="802"/>
      <c r="AG438" s="802"/>
      <c r="AH438" s="802"/>
      <c r="AI438" s="802"/>
      <c r="AJ438" s="802"/>
      <c r="AK438" s="802"/>
      <c r="AL438" s="802"/>
      <c r="AM438" s="802"/>
      <c r="AN438" s="802"/>
      <c r="AO438" s="802"/>
      <c r="AP438" s="802"/>
      <c r="AQ438" s="802"/>
      <c r="AR438" s="802"/>
      <c r="AS438" s="802"/>
      <c r="AT438" s="802"/>
      <c r="AU438" s="802"/>
      <c r="AV438" s="802"/>
      <c r="AW438" s="802"/>
      <c r="AX438" s="802"/>
      <c r="AY438" s="802"/>
    </row>
    <row r="439" ht="21.75" customHeight="1">
      <c r="A439" s="802"/>
      <c r="B439" s="802"/>
      <c r="C439" s="802"/>
      <c r="D439" s="802"/>
      <c r="E439" s="802"/>
      <c r="F439" s="802"/>
      <c r="G439" s="802"/>
      <c r="H439" s="802"/>
      <c r="I439" s="802"/>
      <c r="J439" s="802"/>
      <c r="K439" s="802"/>
      <c r="L439" s="802"/>
      <c r="M439" s="802"/>
      <c r="N439" s="802"/>
      <c r="O439" s="802"/>
      <c r="P439" s="802"/>
      <c r="Q439" s="802"/>
      <c r="R439" s="802"/>
      <c r="S439" s="802"/>
      <c r="T439" s="802"/>
      <c r="U439" s="802"/>
      <c r="V439" s="802"/>
      <c r="W439" s="802"/>
      <c r="X439" s="802"/>
      <c r="Y439" s="802"/>
      <c r="Z439" s="802"/>
      <c r="AA439" s="802"/>
      <c r="AB439" s="802"/>
      <c r="AC439" s="802"/>
      <c r="AD439" s="802"/>
      <c r="AE439" s="802"/>
      <c r="AF439" s="802"/>
      <c r="AG439" s="802"/>
      <c r="AH439" s="802"/>
      <c r="AI439" s="802"/>
      <c r="AJ439" s="802"/>
      <c r="AK439" s="802"/>
      <c r="AL439" s="802"/>
      <c r="AM439" s="802"/>
      <c r="AN439" s="802"/>
      <c r="AO439" s="802"/>
      <c r="AP439" s="802"/>
      <c r="AQ439" s="802"/>
      <c r="AR439" s="802"/>
      <c r="AS439" s="802"/>
      <c r="AT439" s="802"/>
      <c r="AU439" s="802"/>
      <c r="AV439" s="802"/>
      <c r="AW439" s="802"/>
      <c r="AX439" s="802"/>
      <c r="AY439" s="802"/>
    </row>
    <row r="440" ht="21.75" customHeight="1">
      <c r="A440" s="802"/>
      <c r="B440" s="802"/>
      <c r="C440" s="802"/>
      <c r="D440" s="802"/>
      <c r="E440" s="802"/>
      <c r="F440" s="802"/>
      <c r="G440" s="802"/>
      <c r="H440" s="802"/>
      <c r="I440" s="802"/>
      <c r="J440" s="802"/>
      <c r="K440" s="802"/>
      <c r="L440" s="802"/>
      <c r="M440" s="802"/>
      <c r="N440" s="802"/>
      <c r="O440" s="802"/>
      <c r="P440" s="802"/>
      <c r="Q440" s="802"/>
      <c r="R440" s="802"/>
      <c r="S440" s="802"/>
      <c r="T440" s="802"/>
      <c r="U440" s="802"/>
      <c r="V440" s="802"/>
      <c r="W440" s="802"/>
      <c r="X440" s="802"/>
      <c r="Y440" s="802"/>
      <c r="Z440" s="802"/>
      <c r="AA440" s="802"/>
      <c r="AB440" s="802"/>
      <c r="AC440" s="802"/>
      <c r="AD440" s="802"/>
      <c r="AE440" s="802"/>
      <c r="AF440" s="802"/>
      <c r="AG440" s="802"/>
      <c r="AH440" s="802"/>
      <c r="AI440" s="802"/>
      <c r="AJ440" s="802"/>
      <c r="AK440" s="802"/>
      <c r="AL440" s="802"/>
      <c r="AM440" s="802"/>
      <c r="AN440" s="802"/>
      <c r="AO440" s="802"/>
      <c r="AP440" s="802"/>
      <c r="AQ440" s="802"/>
      <c r="AR440" s="802"/>
      <c r="AS440" s="802"/>
      <c r="AT440" s="802"/>
      <c r="AU440" s="802"/>
      <c r="AV440" s="802"/>
      <c r="AW440" s="802"/>
      <c r="AX440" s="802"/>
      <c r="AY440" s="802"/>
    </row>
    <row r="441" ht="21.75" customHeight="1">
      <c r="A441" s="802"/>
      <c r="B441" s="802"/>
      <c r="C441" s="802"/>
      <c r="D441" s="802"/>
      <c r="E441" s="802"/>
      <c r="F441" s="802"/>
      <c r="G441" s="802"/>
      <c r="H441" s="802"/>
      <c r="I441" s="802"/>
      <c r="J441" s="802"/>
      <c r="K441" s="802"/>
      <c r="L441" s="802"/>
      <c r="M441" s="802"/>
      <c r="N441" s="802"/>
      <c r="O441" s="802"/>
      <c r="P441" s="802"/>
      <c r="Q441" s="802"/>
      <c r="R441" s="802"/>
      <c r="S441" s="802"/>
      <c r="T441" s="802"/>
      <c r="U441" s="802"/>
      <c r="V441" s="802"/>
      <c r="W441" s="802"/>
      <c r="X441" s="802"/>
      <c r="Y441" s="802"/>
      <c r="Z441" s="802"/>
      <c r="AA441" s="802"/>
      <c r="AB441" s="802"/>
      <c r="AC441" s="802"/>
      <c r="AD441" s="802"/>
      <c r="AE441" s="802"/>
      <c r="AF441" s="802"/>
      <c r="AG441" s="802"/>
      <c r="AH441" s="802"/>
      <c r="AI441" s="802"/>
      <c r="AJ441" s="802"/>
      <c r="AK441" s="802"/>
      <c r="AL441" s="802"/>
      <c r="AM441" s="802"/>
      <c r="AN441" s="802"/>
      <c r="AO441" s="802"/>
      <c r="AP441" s="802"/>
      <c r="AQ441" s="802"/>
      <c r="AR441" s="802"/>
      <c r="AS441" s="802"/>
      <c r="AT441" s="802"/>
      <c r="AU441" s="802"/>
      <c r="AV441" s="802"/>
      <c r="AW441" s="802"/>
      <c r="AX441" s="802"/>
      <c r="AY441" s="802"/>
    </row>
    <row r="442" ht="21.75" customHeight="1">
      <c r="A442" s="802"/>
      <c r="B442" s="802"/>
      <c r="C442" s="802"/>
      <c r="D442" s="802"/>
      <c r="E442" s="802"/>
      <c r="F442" s="802"/>
      <c r="G442" s="802"/>
      <c r="H442" s="802"/>
      <c r="I442" s="802"/>
      <c r="J442" s="802"/>
      <c r="K442" s="802"/>
      <c r="L442" s="802"/>
      <c r="M442" s="802"/>
      <c r="N442" s="802"/>
      <c r="O442" s="802"/>
      <c r="P442" s="802"/>
      <c r="Q442" s="802"/>
      <c r="R442" s="802"/>
      <c r="S442" s="802"/>
      <c r="T442" s="802"/>
      <c r="U442" s="802"/>
      <c r="V442" s="802"/>
      <c r="W442" s="802"/>
      <c r="X442" s="802"/>
      <c r="Y442" s="802"/>
      <c r="Z442" s="802"/>
      <c r="AA442" s="802"/>
      <c r="AB442" s="802"/>
      <c r="AC442" s="802"/>
      <c r="AD442" s="802"/>
      <c r="AE442" s="802"/>
      <c r="AF442" s="802"/>
      <c r="AG442" s="802"/>
      <c r="AH442" s="802"/>
      <c r="AI442" s="802"/>
      <c r="AJ442" s="802"/>
      <c r="AK442" s="802"/>
      <c r="AL442" s="802"/>
      <c r="AM442" s="802"/>
      <c r="AN442" s="802"/>
      <c r="AO442" s="802"/>
      <c r="AP442" s="802"/>
      <c r="AQ442" s="802"/>
      <c r="AR442" s="802"/>
      <c r="AS442" s="802"/>
      <c r="AT442" s="802"/>
      <c r="AU442" s="802"/>
      <c r="AV442" s="802"/>
      <c r="AW442" s="802"/>
      <c r="AX442" s="802"/>
      <c r="AY442" s="802"/>
    </row>
    <row r="443" ht="21.75" customHeight="1">
      <c r="A443" s="802"/>
      <c r="B443" s="802"/>
      <c r="C443" s="802"/>
      <c r="D443" s="802"/>
      <c r="E443" s="802"/>
      <c r="F443" s="802"/>
      <c r="G443" s="802"/>
      <c r="H443" s="802"/>
      <c r="I443" s="802"/>
      <c r="J443" s="802"/>
      <c r="K443" s="802"/>
      <c r="L443" s="802"/>
      <c r="M443" s="802"/>
      <c r="N443" s="802"/>
      <c r="O443" s="802"/>
      <c r="P443" s="802"/>
      <c r="Q443" s="802"/>
      <c r="R443" s="802"/>
      <c r="S443" s="802"/>
      <c r="T443" s="802"/>
      <c r="U443" s="802"/>
      <c r="V443" s="802"/>
      <c r="W443" s="802"/>
      <c r="X443" s="802"/>
      <c r="Y443" s="802"/>
      <c r="Z443" s="802"/>
      <c r="AA443" s="802"/>
      <c r="AB443" s="802"/>
      <c r="AC443" s="802"/>
      <c r="AD443" s="802"/>
      <c r="AE443" s="802"/>
      <c r="AF443" s="802"/>
      <c r="AG443" s="802"/>
      <c r="AH443" s="802"/>
      <c r="AI443" s="802"/>
      <c r="AJ443" s="802"/>
      <c r="AK443" s="802"/>
      <c r="AL443" s="802"/>
      <c r="AM443" s="802"/>
      <c r="AN443" s="802"/>
      <c r="AO443" s="802"/>
      <c r="AP443" s="802"/>
      <c r="AQ443" s="802"/>
      <c r="AR443" s="802"/>
      <c r="AS443" s="802"/>
      <c r="AT443" s="802"/>
      <c r="AU443" s="802"/>
      <c r="AV443" s="802"/>
      <c r="AW443" s="802"/>
      <c r="AX443" s="802"/>
      <c r="AY443" s="802"/>
    </row>
    <row r="444" ht="21.75" customHeight="1">
      <c r="A444" s="802"/>
      <c r="B444" s="802"/>
      <c r="C444" s="802"/>
      <c r="D444" s="802"/>
      <c r="E444" s="802"/>
      <c r="F444" s="802"/>
      <c r="G444" s="802"/>
      <c r="H444" s="802"/>
      <c r="I444" s="802"/>
      <c r="J444" s="802"/>
      <c r="K444" s="802"/>
      <c r="L444" s="802"/>
      <c r="M444" s="802"/>
      <c r="N444" s="802"/>
      <c r="O444" s="802"/>
      <c r="P444" s="802"/>
      <c r="Q444" s="802"/>
      <c r="R444" s="802"/>
      <c r="S444" s="802"/>
      <c r="T444" s="802"/>
      <c r="U444" s="802"/>
      <c r="V444" s="802"/>
      <c r="W444" s="802"/>
      <c r="X444" s="802"/>
      <c r="Y444" s="802"/>
      <c r="Z444" s="802"/>
      <c r="AA444" s="802"/>
      <c r="AB444" s="802"/>
      <c r="AC444" s="802"/>
      <c r="AD444" s="802"/>
      <c r="AE444" s="802"/>
      <c r="AF444" s="802"/>
      <c r="AG444" s="802"/>
      <c r="AH444" s="802"/>
      <c r="AI444" s="802"/>
      <c r="AJ444" s="802"/>
      <c r="AK444" s="802"/>
      <c r="AL444" s="802"/>
      <c r="AM444" s="802"/>
      <c r="AN444" s="802"/>
      <c r="AO444" s="802"/>
      <c r="AP444" s="802"/>
      <c r="AQ444" s="802"/>
      <c r="AR444" s="802"/>
      <c r="AS444" s="802"/>
      <c r="AT444" s="802"/>
      <c r="AU444" s="802"/>
      <c r="AV444" s="802"/>
      <c r="AW444" s="802"/>
      <c r="AX444" s="802"/>
      <c r="AY444" s="802"/>
    </row>
    <row r="445" ht="21.75" customHeight="1">
      <c r="A445" s="802"/>
      <c r="B445" s="802"/>
      <c r="C445" s="802"/>
      <c r="D445" s="802"/>
      <c r="E445" s="802"/>
      <c r="F445" s="802"/>
      <c r="G445" s="802"/>
      <c r="H445" s="802"/>
      <c r="I445" s="802"/>
      <c r="J445" s="802"/>
      <c r="K445" s="802"/>
      <c r="L445" s="802"/>
      <c r="M445" s="802"/>
      <c r="N445" s="802"/>
      <c r="O445" s="802"/>
      <c r="P445" s="802"/>
      <c r="Q445" s="802"/>
      <c r="R445" s="802"/>
      <c r="S445" s="802"/>
      <c r="T445" s="802"/>
      <c r="U445" s="802"/>
      <c r="V445" s="802"/>
      <c r="W445" s="802"/>
      <c r="X445" s="802"/>
      <c r="Y445" s="802"/>
      <c r="Z445" s="802"/>
      <c r="AA445" s="802"/>
      <c r="AB445" s="802"/>
      <c r="AC445" s="802"/>
      <c r="AD445" s="802"/>
      <c r="AE445" s="802"/>
      <c r="AF445" s="802"/>
      <c r="AG445" s="802"/>
      <c r="AH445" s="802"/>
      <c r="AI445" s="802"/>
      <c r="AJ445" s="802"/>
      <c r="AK445" s="802"/>
      <c r="AL445" s="802"/>
      <c r="AM445" s="802"/>
      <c r="AN445" s="802"/>
      <c r="AO445" s="802"/>
      <c r="AP445" s="802"/>
      <c r="AQ445" s="802"/>
      <c r="AR445" s="802"/>
      <c r="AS445" s="802"/>
      <c r="AT445" s="802"/>
      <c r="AU445" s="802"/>
      <c r="AV445" s="802"/>
      <c r="AW445" s="802"/>
      <c r="AX445" s="802"/>
      <c r="AY445" s="802"/>
    </row>
    <row r="446" ht="21.75" customHeight="1">
      <c r="A446" s="802"/>
      <c r="B446" s="802"/>
      <c r="C446" s="802"/>
      <c r="D446" s="802"/>
      <c r="E446" s="802"/>
      <c r="F446" s="802"/>
      <c r="G446" s="802"/>
      <c r="H446" s="802"/>
      <c r="I446" s="802"/>
      <c r="J446" s="802"/>
      <c r="K446" s="802"/>
      <c r="L446" s="802"/>
      <c r="M446" s="802"/>
      <c r="N446" s="802"/>
      <c r="O446" s="802"/>
      <c r="P446" s="802"/>
      <c r="Q446" s="802"/>
      <c r="R446" s="802"/>
      <c r="S446" s="802"/>
      <c r="T446" s="802"/>
      <c r="U446" s="802"/>
      <c r="V446" s="802"/>
      <c r="W446" s="802"/>
      <c r="X446" s="802"/>
      <c r="Y446" s="802"/>
      <c r="Z446" s="802"/>
      <c r="AA446" s="802"/>
      <c r="AB446" s="802"/>
      <c r="AC446" s="802"/>
      <c r="AD446" s="802"/>
      <c r="AE446" s="802"/>
      <c r="AF446" s="802"/>
      <c r="AG446" s="802"/>
      <c r="AH446" s="802"/>
      <c r="AI446" s="802"/>
      <c r="AJ446" s="802"/>
      <c r="AK446" s="802"/>
      <c r="AL446" s="802"/>
      <c r="AM446" s="802"/>
      <c r="AN446" s="802"/>
      <c r="AO446" s="802"/>
      <c r="AP446" s="802"/>
      <c r="AQ446" s="802"/>
      <c r="AR446" s="802"/>
      <c r="AS446" s="802"/>
      <c r="AT446" s="802"/>
      <c r="AU446" s="802"/>
      <c r="AV446" s="802"/>
      <c r="AW446" s="802"/>
      <c r="AX446" s="802"/>
      <c r="AY446" s="802"/>
    </row>
    <row r="447" ht="21.75" customHeight="1">
      <c r="A447" s="802"/>
      <c r="B447" s="802"/>
      <c r="C447" s="802"/>
      <c r="D447" s="802"/>
      <c r="E447" s="802"/>
      <c r="F447" s="802"/>
      <c r="G447" s="802"/>
      <c r="H447" s="802"/>
      <c r="I447" s="802"/>
      <c r="J447" s="802"/>
      <c r="K447" s="802"/>
      <c r="L447" s="802"/>
      <c r="M447" s="802"/>
      <c r="N447" s="802"/>
      <c r="O447" s="802"/>
      <c r="P447" s="802"/>
      <c r="Q447" s="802"/>
      <c r="R447" s="802"/>
      <c r="S447" s="802"/>
      <c r="T447" s="802"/>
      <c r="U447" s="802"/>
      <c r="V447" s="802"/>
      <c r="W447" s="802"/>
      <c r="X447" s="802"/>
      <c r="Y447" s="802"/>
      <c r="Z447" s="802"/>
      <c r="AA447" s="802"/>
      <c r="AB447" s="802"/>
      <c r="AC447" s="802"/>
      <c r="AD447" s="802"/>
      <c r="AE447" s="802"/>
      <c r="AF447" s="802"/>
      <c r="AG447" s="802"/>
      <c r="AH447" s="802"/>
      <c r="AI447" s="802"/>
      <c r="AJ447" s="802"/>
      <c r="AK447" s="802"/>
      <c r="AL447" s="802"/>
      <c r="AM447" s="802"/>
      <c r="AN447" s="802"/>
      <c r="AO447" s="802"/>
      <c r="AP447" s="802"/>
      <c r="AQ447" s="802"/>
      <c r="AR447" s="802"/>
      <c r="AS447" s="802"/>
      <c r="AT447" s="802"/>
      <c r="AU447" s="802"/>
      <c r="AV447" s="802"/>
      <c r="AW447" s="802"/>
      <c r="AX447" s="802"/>
      <c r="AY447" s="802"/>
    </row>
    <row r="448" ht="21.75" customHeight="1">
      <c r="A448" s="802"/>
      <c r="B448" s="802"/>
      <c r="C448" s="802"/>
      <c r="D448" s="802"/>
      <c r="E448" s="802"/>
      <c r="F448" s="802"/>
      <c r="G448" s="802"/>
      <c r="H448" s="802"/>
      <c r="I448" s="802"/>
      <c r="J448" s="802"/>
      <c r="K448" s="802"/>
      <c r="L448" s="802"/>
      <c r="M448" s="802"/>
      <c r="N448" s="802"/>
      <c r="O448" s="802"/>
      <c r="P448" s="802"/>
      <c r="Q448" s="802"/>
      <c r="R448" s="802"/>
      <c r="S448" s="802"/>
      <c r="T448" s="802"/>
      <c r="U448" s="802"/>
      <c r="V448" s="802"/>
      <c r="W448" s="802"/>
      <c r="X448" s="802"/>
      <c r="Y448" s="802"/>
      <c r="Z448" s="802"/>
      <c r="AA448" s="802"/>
      <c r="AB448" s="802"/>
      <c r="AC448" s="802"/>
      <c r="AD448" s="802"/>
      <c r="AE448" s="802"/>
      <c r="AF448" s="802"/>
      <c r="AG448" s="802"/>
      <c r="AH448" s="802"/>
      <c r="AI448" s="802"/>
      <c r="AJ448" s="802"/>
      <c r="AK448" s="802"/>
      <c r="AL448" s="802"/>
      <c r="AM448" s="802"/>
      <c r="AN448" s="802"/>
      <c r="AO448" s="802"/>
      <c r="AP448" s="802"/>
      <c r="AQ448" s="802"/>
      <c r="AR448" s="802"/>
      <c r="AS448" s="802"/>
      <c r="AT448" s="802"/>
      <c r="AU448" s="802"/>
      <c r="AV448" s="802"/>
      <c r="AW448" s="802"/>
      <c r="AX448" s="802"/>
      <c r="AY448" s="802"/>
    </row>
    <row r="449" ht="21.75" customHeight="1">
      <c r="A449" s="802"/>
      <c r="B449" s="802"/>
      <c r="C449" s="802"/>
      <c r="D449" s="802"/>
      <c r="E449" s="802"/>
      <c r="F449" s="802"/>
      <c r="G449" s="802"/>
      <c r="H449" s="802"/>
      <c r="I449" s="802"/>
      <c r="J449" s="802"/>
      <c r="K449" s="802"/>
      <c r="L449" s="802"/>
      <c r="M449" s="802"/>
      <c r="N449" s="802"/>
      <c r="O449" s="802"/>
      <c r="P449" s="802"/>
      <c r="Q449" s="802"/>
      <c r="R449" s="802"/>
      <c r="S449" s="802"/>
      <c r="T449" s="802"/>
      <c r="U449" s="802"/>
      <c r="V449" s="802"/>
      <c r="W449" s="802"/>
      <c r="X449" s="802"/>
      <c r="Y449" s="802"/>
      <c r="Z449" s="802"/>
      <c r="AA449" s="802"/>
      <c r="AB449" s="802"/>
      <c r="AC449" s="802"/>
      <c r="AD449" s="802"/>
      <c r="AE449" s="802"/>
      <c r="AF449" s="802"/>
      <c r="AG449" s="802"/>
      <c r="AH449" s="802"/>
      <c r="AI449" s="802"/>
      <c r="AJ449" s="802"/>
      <c r="AK449" s="802"/>
      <c r="AL449" s="802"/>
      <c r="AM449" s="802"/>
      <c r="AN449" s="802"/>
      <c r="AO449" s="802"/>
      <c r="AP449" s="802"/>
      <c r="AQ449" s="802"/>
      <c r="AR449" s="802"/>
      <c r="AS449" s="802"/>
      <c r="AT449" s="802"/>
      <c r="AU449" s="802"/>
      <c r="AV449" s="802"/>
      <c r="AW449" s="802"/>
      <c r="AX449" s="802"/>
      <c r="AY449" s="802"/>
    </row>
    <row r="450" ht="21.75" customHeight="1">
      <c r="A450" s="802"/>
      <c r="B450" s="802"/>
      <c r="C450" s="802"/>
      <c r="D450" s="802"/>
      <c r="E450" s="802"/>
      <c r="F450" s="802"/>
      <c r="G450" s="802"/>
      <c r="H450" s="802"/>
      <c r="I450" s="802"/>
      <c r="J450" s="802"/>
      <c r="K450" s="802"/>
      <c r="L450" s="802"/>
      <c r="M450" s="802"/>
      <c r="N450" s="802"/>
      <c r="O450" s="802"/>
      <c r="P450" s="802"/>
      <c r="Q450" s="802"/>
      <c r="R450" s="802"/>
      <c r="S450" s="802"/>
      <c r="T450" s="802"/>
      <c r="U450" s="802"/>
      <c r="V450" s="802"/>
      <c r="W450" s="802"/>
      <c r="X450" s="802"/>
      <c r="Y450" s="802"/>
      <c r="Z450" s="802"/>
      <c r="AA450" s="802"/>
      <c r="AB450" s="802"/>
      <c r="AC450" s="802"/>
      <c r="AD450" s="802"/>
      <c r="AE450" s="802"/>
      <c r="AF450" s="802"/>
      <c r="AG450" s="802"/>
      <c r="AH450" s="802"/>
      <c r="AI450" s="802"/>
      <c r="AJ450" s="802"/>
      <c r="AK450" s="802"/>
      <c r="AL450" s="802"/>
      <c r="AM450" s="802"/>
      <c r="AN450" s="802"/>
      <c r="AO450" s="802"/>
      <c r="AP450" s="802"/>
      <c r="AQ450" s="802"/>
      <c r="AR450" s="802"/>
      <c r="AS450" s="802"/>
      <c r="AT450" s="802"/>
      <c r="AU450" s="802"/>
      <c r="AV450" s="802"/>
      <c r="AW450" s="802"/>
      <c r="AX450" s="802"/>
      <c r="AY450" s="802"/>
    </row>
    <row r="451" ht="21.75" customHeight="1">
      <c r="A451" s="802"/>
      <c r="B451" s="802"/>
      <c r="C451" s="802"/>
      <c r="D451" s="802"/>
      <c r="E451" s="802"/>
      <c r="F451" s="802"/>
      <c r="G451" s="802"/>
      <c r="H451" s="802"/>
      <c r="I451" s="802"/>
      <c r="J451" s="802"/>
      <c r="K451" s="802"/>
      <c r="L451" s="802"/>
      <c r="M451" s="802"/>
      <c r="N451" s="802"/>
      <c r="O451" s="802"/>
      <c r="P451" s="802"/>
      <c r="Q451" s="802"/>
      <c r="R451" s="802"/>
      <c r="S451" s="802"/>
      <c r="T451" s="802"/>
      <c r="U451" s="802"/>
      <c r="V451" s="802"/>
      <c r="W451" s="802"/>
      <c r="X451" s="802"/>
      <c r="Y451" s="802"/>
      <c r="Z451" s="802"/>
      <c r="AA451" s="802"/>
      <c r="AB451" s="802"/>
      <c r="AC451" s="802"/>
      <c r="AD451" s="802"/>
      <c r="AE451" s="802"/>
      <c r="AF451" s="802"/>
      <c r="AG451" s="802"/>
      <c r="AH451" s="802"/>
      <c r="AI451" s="802"/>
      <c r="AJ451" s="802"/>
      <c r="AK451" s="802"/>
      <c r="AL451" s="802"/>
      <c r="AM451" s="802"/>
      <c r="AN451" s="802"/>
      <c r="AO451" s="802"/>
      <c r="AP451" s="802"/>
      <c r="AQ451" s="802"/>
      <c r="AR451" s="802"/>
      <c r="AS451" s="802"/>
      <c r="AT451" s="802"/>
      <c r="AU451" s="802"/>
      <c r="AV451" s="802"/>
      <c r="AW451" s="802"/>
      <c r="AX451" s="802"/>
      <c r="AY451" s="802"/>
    </row>
    <row r="452" ht="21.75" customHeight="1">
      <c r="A452" s="802"/>
      <c r="B452" s="802"/>
      <c r="C452" s="802"/>
      <c r="D452" s="802"/>
      <c r="E452" s="802"/>
      <c r="F452" s="802"/>
      <c r="G452" s="802"/>
      <c r="H452" s="802"/>
      <c r="I452" s="802"/>
      <c r="J452" s="802"/>
      <c r="K452" s="802"/>
      <c r="L452" s="802"/>
      <c r="M452" s="802"/>
      <c r="N452" s="802"/>
      <c r="O452" s="802"/>
      <c r="P452" s="802"/>
      <c r="Q452" s="802"/>
      <c r="R452" s="802"/>
      <c r="S452" s="802"/>
      <c r="T452" s="802"/>
      <c r="U452" s="802"/>
      <c r="V452" s="802"/>
      <c r="W452" s="802"/>
      <c r="X452" s="802"/>
      <c r="Y452" s="802"/>
      <c r="Z452" s="802"/>
      <c r="AA452" s="802"/>
      <c r="AB452" s="802"/>
      <c r="AC452" s="802"/>
      <c r="AD452" s="802"/>
      <c r="AE452" s="802"/>
      <c r="AF452" s="802"/>
      <c r="AG452" s="802"/>
      <c r="AH452" s="802"/>
      <c r="AI452" s="802"/>
      <c r="AJ452" s="802"/>
      <c r="AK452" s="802"/>
      <c r="AL452" s="802"/>
      <c r="AM452" s="802"/>
      <c r="AN452" s="802"/>
      <c r="AO452" s="802"/>
      <c r="AP452" s="802"/>
      <c r="AQ452" s="802"/>
      <c r="AR452" s="802"/>
      <c r="AS452" s="802"/>
      <c r="AT452" s="802"/>
      <c r="AU452" s="802"/>
      <c r="AV452" s="802"/>
      <c r="AW452" s="802"/>
      <c r="AX452" s="802"/>
      <c r="AY452" s="802"/>
    </row>
    <row r="453" ht="21.75" customHeight="1">
      <c r="A453" s="802"/>
      <c r="B453" s="802"/>
      <c r="C453" s="802"/>
      <c r="D453" s="802"/>
      <c r="E453" s="802"/>
      <c r="F453" s="802"/>
      <c r="G453" s="802"/>
      <c r="H453" s="802"/>
      <c r="I453" s="802"/>
      <c r="J453" s="802"/>
      <c r="K453" s="802"/>
      <c r="L453" s="802"/>
      <c r="M453" s="802"/>
      <c r="N453" s="802"/>
      <c r="O453" s="802"/>
      <c r="P453" s="802"/>
      <c r="Q453" s="802"/>
      <c r="R453" s="802"/>
      <c r="S453" s="802"/>
      <c r="T453" s="802"/>
      <c r="U453" s="802"/>
      <c r="V453" s="802"/>
      <c r="W453" s="802"/>
      <c r="X453" s="802"/>
      <c r="Y453" s="802"/>
      <c r="Z453" s="802"/>
      <c r="AA453" s="802"/>
      <c r="AB453" s="802"/>
      <c r="AC453" s="802"/>
      <c r="AD453" s="802"/>
      <c r="AE453" s="802"/>
      <c r="AF453" s="802"/>
      <c r="AG453" s="802"/>
      <c r="AH453" s="802"/>
      <c r="AI453" s="802"/>
      <c r="AJ453" s="802"/>
      <c r="AK453" s="802"/>
      <c r="AL453" s="802"/>
      <c r="AM453" s="802"/>
      <c r="AN453" s="802"/>
      <c r="AO453" s="802"/>
      <c r="AP453" s="802"/>
      <c r="AQ453" s="802"/>
      <c r="AR453" s="802"/>
      <c r="AS453" s="802"/>
      <c r="AT453" s="802"/>
      <c r="AU453" s="802"/>
      <c r="AV453" s="802"/>
      <c r="AW453" s="802"/>
      <c r="AX453" s="802"/>
      <c r="AY453" s="802"/>
    </row>
    <row r="454" ht="21.75" customHeight="1">
      <c r="A454" s="802"/>
      <c r="B454" s="802"/>
      <c r="C454" s="802"/>
      <c r="D454" s="802"/>
      <c r="E454" s="802"/>
      <c r="F454" s="802"/>
      <c r="G454" s="802"/>
      <c r="H454" s="802"/>
      <c r="I454" s="802"/>
      <c r="J454" s="802"/>
      <c r="K454" s="802"/>
      <c r="L454" s="802"/>
      <c r="M454" s="802"/>
      <c r="N454" s="802"/>
      <c r="O454" s="802"/>
      <c r="P454" s="802"/>
      <c r="Q454" s="802"/>
      <c r="R454" s="802"/>
      <c r="S454" s="802"/>
      <c r="T454" s="802"/>
      <c r="U454" s="802"/>
      <c r="V454" s="802"/>
      <c r="W454" s="802"/>
      <c r="X454" s="802"/>
      <c r="Y454" s="802"/>
      <c r="Z454" s="802"/>
      <c r="AA454" s="802"/>
      <c r="AB454" s="802"/>
      <c r="AC454" s="802"/>
      <c r="AD454" s="802"/>
      <c r="AE454" s="802"/>
      <c r="AF454" s="802"/>
      <c r="AG454" s="802"/>
      <c r="AH454" s="802"/>
      <c r="AI454" s="802"/>
      <c r="AJ454" s="802"/>
      <c r="AK454" s="802"/>
      <c r="AL454" s="802"/>
      <c r="AM454" s="802"/>
      <c r="AN454" s="802"/>
      <c r="AO454" s="802"/>
      <c r="AP454" s="802"/>
      <c r="AQ454" s="802"/>
      <c r="AR454" s="802"/>
      <c r="AS454" s="802"/>
      <c r="AT454" s="802"/>
      <c r="AU454" s="802"/>
      <c r="AV454" s="802"/>
      <c r="AW454" s="802"/>
      <c r="AX454" s="802"/>
      <c r="AY454" s="802"/>
    </row>
    <row r="455" ht="21.75" customHeight="1">
      <c r="A455" s="802"/>
      <c r="B455" s="802"/>
      <c r="C455" s="802"/>
      <c r="D455" s="802"/>
      <c r="E455" s="802"/>
      <c r="F455" s="802"/>
      <c r="G455" s="802"/>
      <c r="H455" s="802"/>
      <c r="I455" s="802"/>
      <c r="J455" s="802"/>
      <c r="K455" s="802"/>
      <c r="L455" s="802"/>
      <c r="M455" s="802"/>
      <c r="N455" s="802"/>
      <c r="O455" s="802"/>
      <c r="P455" s="802"/>
      <c r="Q455" s="802"/>
      <c r="R455" s="802"/>
      <c r="S455" s="802"/>
      <c r="T455" s="802"/>
      <c r="U455" s="802"/>
      <c r="V455" s="802"/>
      <c r="W455" s="802"/>
      <c r="X455" s="802"/>
      <c r="Y455" s="802"/>
      <c r="Z455" s="802"/>
      <c r="AA455" s="802"/>
      <c r="AB455" s="802"/>
      <c r="AC455" s="802"/>
      <c r="AD455" s="802"/>
      <c r="AE455" s="802"/>
      <c r="AF455" s="802"/>
      <c r="AG455" s="802"/>
      <c r="AH455" s="802"/>
      <c r="AI455" s="802"/>
      <c r="AJ455" s="802"/>
      <c r="AK455" s="802"/>
      <c r="AL455" s="802"/>
      <c r="AM455" s="802"/>
      <c r="AN455" s="802"/>
      <c r="AO455" s="802"/>
      <c r="AP455" s="802"/>
      <c r="AQ455" s="802"/>
      <c r="AR455" s="802"/>
      <c r="AS455" s="802"/>
      <c r="AT455" s="802"/>
      <c r="AU455" s="802"/>
      <c r="AV455" s="802"/>
      <c r="AW455" s="802"/>
      <c r="AX455" s="802"/>
      <c r="AY455" s="802"/>
    </row>
    <row r="456" ht="21.75" customHeight="1">
      <c r="A456" s="802"/>
      <c r="B456" s="802"/>
      <c r="C456" s="802"/>
      <c r="D456" s="802"/>
      <c r="E456" s="802"/>
      <c r="F456" s="802"/>
      <c r="G456" s="802"/>
      <c r="H456" s="802"/>
      <c r="I456" s="802"/>
      <c r="J456" s="802"/>
      <c r="K456" s="802"/>
      <c r="L456" s="802"/>
      <c r="M456" s="802"/>
      <c r="N456" s="802"/>
      <c r="O456" s="802"/>
      <c r="P456" s="802"/>
      <c r="Q456" s="802"/>
      <c r="R456" s="802"/>
      <c r="S456" s="802"/>
      <c r="T456" s="802"/>
      <c r="U456" s="802"/>
      <c r="V456" s="802"/>
      <c r="W456" s="802"/>
      <c r="X456" s="802"/>
      <c r="Y456" s="802"/>
      <c r="Z456" s="802"/>
      <c r="AA456" s="802"/>
      <c r="AB456" s="802"/>
      <c r="AC456" s="802"/>
      <c r="AD456" s="802"/>
      <c r="AE456" s="802"/>
      <c r="AF456" s="802"/>
      <c r="AG456" s="802"/>
      <c r="AH456" s="802"/>
      <c r="AI456" s="802"/>
      <c r="AJ456" s="802"/>
      <c r="AK456" s="802"/>
      <c r="AL456" s="802"/>
      <c r="AM456" s="802"/>
      <c r="AN456" s="802"/>
      <c r="AO456" s="802"/>
      <c r="AP456" s="802"/>
      <c r="AQ456" s="802"/>
      <c r="AR456" s="802"/>
      <c r="AS456" s="802"/>
      <c r="AT456" s="802"/>
      <c r="AU456" s="802"/>
      <c r="AV456" s="802"/>
      <c r="AW456" s="802"/>
      <c r="AX456" s="802"/>
      <c r="AY456" s="802"/>
    </row>
    <row r="457" ht="21.75" customHeight="1">
      <c r="A457" s="802"/>
      <c r="B457" s="802"/>
      <c r="C457" s="802"/>
      <c r="D457" s="802"/>
      <c r="E457" s="802"/>
      <c r="F457" s="802"/>
      <c r="G457" s="802"/>
      <c r="H457" s="802"/>
      <c r="I457" s="802"/>
      <c r="J457" s="802"/>
      <c r="K457" s="802"/>
      <c r="L457" s="802"/>
      <c r="M457" s="802"/>
      <c r="N457" s="802"/>
      <c r="O457" s="802"/>
      <c r="P457" s="802"/>
      <c r="Q457" s="802"/>
      <c r="R457" s="802"/>
      <c r="S457" s="802"/>
      <c r="T457" s="802"/>
      <c r="U457" s="802"/>
      <c r="V457" s="802"/>
      <c r="W457" s="802"/>
      <c r="X457" s="802"/>
      <c r="Y457" s="802"/>
      <c r="Z457" s="802"/>
      <c r="AA457" s="802"/>
      <c r="AB457" s="802"/>
      <c r="AC457" s="802"/>
      <c r="AD457" s="802"/>
      <c r="AE457" s="802"/>
      <c r="AF457" s="802"/>
      <c r="AG457" s="802"/>
      <c r="AH457" s="802"/>
      <c r="AI457" s="802"/>
      <c r="AJ457" s="802"/>
      <c r="AK457" s="802"/>
      <c r="AL457" s="802"/>
      <c r="AM457" s="802"/>
      <c r="AN457" s="802"/>
      <c r="AO457" s="802"/>
      <c r="AP457" s="802"/>
      <c r="AQ457" s="802"/>
      <c r="AR457" s="802"/>
      <c r="AS457" s="802"/>
      <c r="AT457" s="802"/>
      <c r="AU457" s="802"/>
      <c r="AV457" s="802"/>
      <c r="AW457" s="802"/>
      <c r="AX457" s="802"/>
      <c r="AY457" s="802"/>
    </row>
    <row r="458" ht="21.75" customHeight="1">
      <c r="A458" s="802"/>
      <c r="B458" s="802"/>
      <c r="C458" s="802"/>
      <c r="D458" s="802"/>
      <c r="E458" s="802"/>
      <c r="F458" s="802"/>
      <c r="G458" s="802"/>
      <c r="H458" s="802"/>
      <c r="I458" s="802"/>
      <c r="J458" s="802"/>
      <c r="K458" s="802"/>
      <c r="L458" s="802"/>
      <c r="M458" s="802"/>
      <c r="N458" s="802"/>
      <c r="O458" s="802"/>
      <c r="P458" s="802"/>
      <c r="Q458" s="802"/>
      <c r="R458" s="802"/>
      <c r="S458" s="802"/>
      <c r="T458" s="802"/>
      <c r="U458" s="802"/>
      <c r="V458" s="802"/>
      <c r="W458" s="802"/>
      <c r="X458" s="802"/>
      <c r="Y458" s="802"/>
      <c r="Z458" s="802"/>
      <c r="AA458" s="802"/>
      <c r="AB458" s="802"/>
      <c r="AC458" s="802"/>
      <c r="AD458" s="802"/>
      <c r="AE458" s="802"/>
      <c r="AF458" s="802"/>
      <c r="AG458" s="802"/>
      <c r="AH458" s="802"/>
      <c r="AI458" s="802"/>
      <c r="AJ458" s="802"/>
      <c r="AK458" s="802"/>
      <c r="AL458" s="802"/>
      <c r="AM458" s="802"/>
      <c r="AN458" s="802"/>
      <c r="AO458" s="802"/>
      <c r="AP458" s="802"/>
      <c r="AQ458" s="802"/>
      <c r="AR458" s="802"/>
      <c r="AS458" s="802"/>
      <c r="AT458" s="802"/>
      <c r="AU458" s="802"/>
      <c r="AV458" s="802"/>
      <c r="AW458" s="802"/>
      <c r="AX458" s="802"/>
      <c r="AY458" s="802"/>
    </row>
    <row r="459" ht="21.75" customHeight="1">
      <c r="A459" s="802"/>
      <c r="B459" s="802"/>
      <c r="C459" s="802"/>
      <c r="D459" s="802"/>
      <c r="E459" s="802"/>
      <c r="F459" s="802"/>
      <c r="G459" s="802"/>
      <c r="H459" s="802"/>
      <c r="I459" s="802"/>
      <c r="J459" s="802"/>
      <c r="K459" s="802"/>
      <c r="L459" s="802"/>
      <c r="M459" s="802"/>
      <c r="N459" s="802"/>
      <c r="O459" s="802"/>
      <c r="P459" s="802"/>
      <c r="Q459" s="802"/>
      <c r="R459" s="802"/>
      <c r="S459" s="802"/>
      <c r="T459" s="802"/>
      <c r="U459" s="802"/>
      <c r="V459" s="802"/>
      <c r="W459" s="802"/>
      <c r="X459" s="802"/>
      <c r="Y459" s="802"/>
      <c r="Z459" s="802"/>
      <c r="AA459" s="802"/>
      <c r="AB459" s="802"/>
      <c r="AC459" s="802"/>
      <c r="AD459" s="802"/>
      <c r="AE459" s="802"/>
      <c r="AF459" s="802"/>
      <c r="AG459" s="802"/>
      <c r="AH459" s="802"/>
      <c r="AI459" s="802"/>
      <c r="AJ459" s="802"/>
      <c r="AK459" s="802"/>
      <c r="AL459" s="802"/>
      <c r="AM459" s="802"/>
      <c r="AN459" s="802"/>
      <c r="AO459" s="802"/>
      <c r="AP459" s="802"/>
      <c r="AQ459" s="802"/>
      <c r="AR459" s="802"/>
      <c r="AS459" s="802"/>
      <c r="AT459" s="802"/>
      <c r="AU459" s="802"/>
      <c r="AV459" s="802"/>
      <c r="AW459" s="802"/>
      <c r="AX459" s="802"/>
      <c r="AY459" s="802"/>
    </row>
    <row r="460" ht="21.75" customHeight="1">
      <c r="A460" s="802"/>
      <c r="B460" s="802"/>
      <c r="C460" s="802"/>
      <c r="D460" s="802"/>
      <c r="E460" s="802"/>
      <c r="F460" s="802"/>
      <c r="G460" s="802"/>
      <c r="H460" s="802"/>
      <c r="I460" s="802"/>
      <c r="J460" s="802"/>
      <c r="K460" s="802"/>
      <c r="L460" s="802"/>
      <c r="M460" s="802"/>
      <c r="N460" s="802"/>
      <c r="O460" s="802"/>
      <c r="P460" s="802"/>
      <c r="Q460" s="802"/>
      <c r="R460" s="802"/>
      <c r="S460" s="802"/>
      <c r="T460" s="802"/>
      <c r="U460" s="802"/>
      <c r="V460" s="802"/>
      <c r="W460" s="802"/>
      <c r="X460" s="802"/>
      <c r="Y460" s="802"/>
      <c r="Z460" s="802"/>
      <c r="AA460" s="802"/>
      <c r="AB460" s="802"/>
      <c r="AC460" s="802"/>
      <c r="AD460" s="802"/>
      <c r="AE460" s="802"/>
      <c r="AF460" s="802"/>
      <c r="AG460" s="802"/>
      <c r="AH460" s="802"/>
      <c r="AI460" s="802"/>
      <c r="AJ460" s="802"/>
      <c r="AK460" s="802"/>
      <c r="AL460" s="802"/>
      <c r="AM460" s="802"/>
      <c r="AN460" s="802"/>
      <c r="AO460" s="802"/>
      <c r="AP460" s="802"/>
      <c r="AQ460" s="802"/>
      <c r="AR460" s="802"/>
      <c r="AS460" s="802"/>
      <c r="AT460" s="802"/>
      <c r="AU460" s="802"/>
      <c r="AV460" s="802"/>
      <c r="AW460" s="802"/>
      <c r="AX460" s="802"/>
      <c r="AY460" s="802"/>
    </row>
    <row r="461" ht="21.75" customHeight="1">
      <c r="A461" s="802"/>
      <c r="B461" s="802"/>
      <c r="C461" s="802"/>
      <c r="D461" s="802"/>
      <c r="E461" s="802"/>
      <c r="F461" s="802"/>
      <c r="G461" s="802"/>
      <c r="H461" s="802"/>
      <c r="I461" s="802"/>
      <c r="J461" s="802"/>
      <c r="K461" s="802"/>
      <c r="L461" s="802"/>
      <c r="M461" s="802"/>
      <c r="N461" s="802"/>
      <c r="O461" s="802"/>
      <c r="P461" s="802"/>
      <c r="Q461" s="802"/>
      <c r="R461" s="802"/>
      <c r="S461" s="802"/>
      <c r="T461" s="802"/>
      <c r="U461" s="802"/>
      <c r="V461" s="802"/>
      <c r="W461" s="802"/>
      <c r="X461" s="802"/>
      <c r="Y461" s="802"/>
      <c r="Z461" s="802"/>
      <c r="AA461" s="802"/>
      <c r="AB461" s="802"/>
      <c r="AC461" s="802"/>
      <c r="AD461" s="802"/>
      <c r="AE461" s="802"/>
      <c r="AF461" s="802"/>
      <c r="AG461" s="802"/>
      <c r="AH461" s="802"/>
      <c r="AI461" s="802"/>
      <c r="AJ461" s="802"/>
      <c r="AK461" s="802"/>
      <c r="AL461" s="802"/>
      <c r="AM461" s="802"/>
      <c r="AN461" s="802"/>
      <c r="AO461" s="802"/>
      <c r="AP461" s="802"/>
      <c r="AQ461" s="802"/>
      <c r="AR461" s="802"/>
      <c r="AS461" s="802"/>
      <c r="AT461" s="802"/>
      <c r="AU461" s="802"/>
      <c r="AV461" s="802"/>
      <c r="AW461" s="802"/>
      <c r="AX461" s="802"/>
      <c r="AY461" s="802"/>
    </row>
    <row r="462" ht="21.75" customHeight="1">
      <c r="A462" s="802"/>
      <c r="B462" s="802"/>
      <c r="C462" s="802"/>
      <c r="D462" s="802"/>
      <c r="E462" s="802"/>
      <c r="F462" s="802"/>
      <c r="G462" s="802"/>
      <c r="H462" s="802"/>
      <c r="I462" s="802"/>
      <c r="J462" s="802"/>
      <c r="K462" s="802"/>
      <c r="L462" s="802"/>
      <c r="M462" s="802"/>
      <c r="N462" s="802"/>
      <c r="O462" s="802"/>
      <c r="P462" s="802"/>
      <c r="Q462" s="802"/>
      <c r="R462" s="802"/>
      <c r="S462" s="802"/>
      <c r="T462" s="802"/>
      <c r="U462" s="802"/>
      <c r="V462" s="802"/>
      <c r="W462" s="802"/>
      <c r="X462" s="802"/>
      <c r="Y462" s="802"/>
      <c r="Z462" s="802"/>
      <c r="AA462" s="802"/>
      <c r="AB462" s="802"/>
      <c r="AC462" s="802"/>
      <c r="AD462" s="802"/>
      <c r="AE462" s="802"/>
      <c r="AF462" s="802"/>
      <c r="AG462" s="802"/>
      <c r="AH462" s="802"/>
      <c r="AI462" s="802"/>
      <c r="AJ462" s="802"/>
      <c r="AK462" s="802"/>
      <c r="AL462" s="802"/>
      <c r="AM462" s="802"/>
      <c r="AN462" s="802"/>
      <c r="AO462" s="802"/>
      <c r="AP462" s="802"/>
      <c r="AQ462" s="802"/>
      <c r="AR462" s="802"/>
      <c r="AS462" s="802"/>
      <c r="AT462" s="802"/>
      <c r="AU462" s="802"/>
      <c r="AV462" s="802"/>
      <c r="AW462" s="802"/>
      <c r="AX462" s="802"/>
      <c r="AY462" s="802"/>
    </row>
    <row r="463" ht="21.75" customHeight="1">
      <c r="A463" s="802"/>
      <c r="B463" s="802"/>
      <c r="C463" s="802"/>
      <c r="D463" s="802"/>
      <c r="E463" s="802"/>
      <c r="F463" s="802"/>
      <c r="G463" s="802"/>
      <c r="H463" s="802"/>
      <c r="I463" s="802"/>
      <c r="J463" s="802"/>
      <c r="K463" s="802"/>
      <c r="L463" s="802"/>
      <c r="M463" s="802"/>
      <c r="N463" s="802"/>
      <c r="O463" s="802"/>
      <c r="P463" s="802"/>
      <c r="Q463" s="802"/>
      <c r="R463" s="802"/>
      <c r="S463" s="802"/>
      <c r="T463" s="802"/>
      <c r="U463" s="802"/>
      <c r="V463" s="802"/>
      <c r="W463" s="802"/>
      <c r="X463" s="802"/>
      <c r="Y463" s="802"/>
      <c r="Z463" s="802"/>
      <c r="AA463" s="802"/>
      <c r="AB463" s="802"/>
      <c r="AC463" s="802"/>
      <c r="AD463" s="802"/>
      <c r="AE463" s="802"/>
      <c r="AF463" s="802"/>
      <c r="AG463" s="802"/>
      <c r="AH463" s="802"/>
      <c r="AI463" s="802"/>
      <c r="AJ463" s="802"/>
      <c r="AK463" s="802"/>
      <c r="AL463" s="802"/>
      <c r="AM463" s="802"/>
      <c r="AN463" s="802"/>
      <c r="AO463" s="802"/>
      <c r="AP463" s="802"/>
      <c r="AQ463" s="802"/>
      <c r="AR463" s="802"/>
      <c r="AS463" s="802"/>
      <c r="AT463" s="802"/>
      <c r="AU463" s="802"/>
      <c r="AV463" s="802"/>
      <c r="AW463" s="802"/>
      <c r="AX463" s="802"/>
      <c r="AY463" s="802"/>
    </row>
    <row r="464" ht="21.75" customHeight="1">
      <c r="A464" s="802"/>
      <c r="B464" s="802"/>
      <c r="C464" s="802"/>
      <c r="D464" s="802"/>
      <c r="E464" s="802"/>
      <c r="F464" s="802"/>
      <c r="G464" s="802"/>
      <c r="H464" s="802"/>
      <c r="I464" s="802"/>
      <c r="J464" s="802"/>
      <c r="K464" s="802"/>
      <c r="L464" s="802"/>
      <c r="M464" s="802"/>
      <c r="N464" s="802"/>
      <c r="O464" s="802"/>
      <c r="P464" s="802"/>
      <c r="Q464" s="802"/>
      <c r="R464" s="802"/>
      <c r="S464" s="802"/>
      <c r="T464" s="802"/>
      <c r="U464" s="802"/>
      <c r="V464" s="802"/>
      <c r="W464" s="802"/>
      <c r="X464" s="802"/>
      <c r="Y464" s="802"/>
      <c r="Z464" s="802"/>
      <c r="AA464" s="802"/>
      <c r="AB464" s="802"/>
      <c r="AC464" s="802"/>
      <c r="AD464" s="802"/>
      <c r="AE464" s="802"/>
      <c r="AF464" s="802"/>
      <c r="AG464" s="802"/>
      <c r="AH464" s="802"/>
      <c r="AI464" s="802"/>
      <c r="AJ464" s="802"/>
      <c r="AK464" s="802"/>
      <c r="AL464" s="802"/>
      <c r="AM464" s="802"/>
      <c r="AN464" s="802"/>
      <c r="AO464" s="802"/>
      <c r="AP464" s="802"/>
      <c r="AQ464" s="802"/>
      <c r="AR464" s="802"/>
      <c r="AS464" s="802"/>
      <c r="AT464" s="802"/>
      <c r="AU464" s="802"/>
      <c r="AV464" s="802"/>
      <c r="AW464" s="802"/>
      <c r="AX464" s="802"/>
      <c r="AY464" s="802"/>
    </row>
    <row r="465" ht="21.75" customHeight="1">
      <c r="A465" s="802"/>
      <c r="B465" s="802"/>
      <c r="C465" s="802"/>
      <c r="D465" s="802"/>
      <c r="E465" s="802"/>
      <c r="F465" s="802"/>
      <c r="G465" s="802"/>
      <c r="H465" s="802"/>
      <c r="I465" s="802"/>
      <c r="J465" s="802"/>
      <c r="K465" s="802"/>
      <c r="L465" s="802"/>
      <c r="M465" s="802"/>
      <c r="N465" s="802"/>
      <c r="O465" s="802"/>
      <c r="P465" s="802"/>
      <c r="Q465" s="802"/>
      <c r="R465" s="802"/>
      <c r="S465" s="802"/>
      <c r="T465" s="802"/>
      <c r="U465" s="802"/>
      <c r="V465" s="802"/>
      <c r="W465" s="802"/>
      <c r="X465" s="802"/>
      <c r="Y465" s="802"/>
      <c r="Z465" s="802"/>
      <c r="AA465" s="802"/>
      <c r="AB465" s="802"/>
      <c r="AC465" s="802"/>
      <c r="AD465" s="802"/>
      <c r="AE465" s="802"/>
      <c r="AF465" s="802"/>
      <c r="AG465" s="802"/>
      <c r="AH465" s="802"/>
      <c r="AI465" s="802"/>
      <c r="AJ465" s="802"/>
      <c r="AK465" s="802"/>
      <c r="AL465" s="802"/>
      <c r="AM465" s="802"/>
      <c r="AN465" s="802"/>
      <c r="AO465" s="802"/>
      <c r="AP465" s="802"/>
      <c r="AQ465" s="802"/>
      <c r="AR465" s="802"/>
      <c r="AS465" s="802"/>
      <c r="AT465" s="802"/>
      <c r="AU465" s="802"/>
      <c r="AV465" s="802"/>
      <c r="AW465" s="802"/>
      <c r="AX465" s="802"/>
      <c r="AY465" s="802"/>
    </row>
    <row r="466" ht="21.75" customHeight="1">
      <c r="A466" s="802"/>
      <c r="B466" s="802"/>
      <c r="C466" s="802"/>
      <c r="D466" s="802"/>
      <c r="E466" s="802"/>
      <c r="F466" s="802"/>
      <c r="G466" s="802"/>
      <c r="H466" s="802"/>
      <c r="I466" s="802"/>
      <c r="J466" s="802"/>
      <c r="K466" s="802"/>
      <c r="L466" s="802"/>
      <c r="M466" s="802"/>
      <c r="N466" s="802"/>
      <c r="O466" s="802"/>
      <c r="P466" s="802"/>
      <c r="Q466" s="802"/>
      <c r="R466" s="802"/>
      <c r="S466" s="802"/>
      <c r="T466" s="802"/>
      <c r="U466" s="802"/>
      <c r="V466" s="802"/>
      <c r="W466" s="802"/>
      <c r="X466" s="802"/>
      <c r="Y466" s="802"/>
      <c r="Z466" s="802"/>
      <c r="AA466" s="802"/>
      <c r="AB466" s="802"/>
      <c r="AC466" s="802"/>
      <c r="AD466" s="802"/>
      <c r="AE466" s="802"/>
      <c r="AF466" s="802"/>
      <c r="AG466" s="802"/>
      <c r="AH466" s="802"/>
      <c r="AI466" s="802"/>
      <c r="AJ466" s="802"/>
      <c r="AK466" s="802"/>
      <c r="AL466" s="802"/>
      <c r="AM466" s="802"/>
      <c r="AN466" s="802"/>
      <c r="AO466" s="802"/>
      <c r="AP466" s="802"/>
      <c r="AQ466" s="802"/>
      <c r="AR466" s="802"/>
      <c r="AS466" s="802"/>
      <c r="AT466" s="802"/>
      <c r="AU466" s="802"/>
      <c r="AV466" s="802"/>
      <c r="AW466" s="802"/>
      <c r="AX466" s="802"/>
      <c r="AY466" s="802"/>
    </row>
    <row r="467" ht="21.75" customHeight="1">
      <c r="A467" s="802"/>
      <c r="B467" s="802"/>
      <c r="C467" s="802"/>
      <c r="D467" s="802"/>
      <c r="E467" s="802"/>
      <c r="F467" s="802"/>
      <c r="G467" s="802"/>
      <c r="H467" s="802"/>
      <c r="I467" s="802"/>
      <c r="J467" s="802"/>
      <c r="K467" s="802"/>
      <c r="L467" s="802"/>
      <c r="M467" s="802"/>
      <c r="N467" s="802"/>
      <c r="O467" s="802"/>
      <c r="P467" s="802"/>
      <c r="Q467" s="802"/>
      <c r="R467" s="802"/>
      <c r="S467" s="802"/>
      <c r="T467" s="802"/>
      <c r="U467" s="802"/>
      <c r="V467" s="802"/>
      <c r="W467" s="802"/>
      <c r="X467" s="802"/>
      <c r="Y467" s="802"/>
      <c r="Z467" s="802"/>
      <c r="AA467" s="802"/>
      <c r="AB467" s="802"/>
      <c r="AC467" s="802"/>
      <c r="AD467" s="802"/>
      <c r="AE467" s="802"/>
      <c r="AF467" s="802"/>
      <c r="AG467" s="802"/>
      <c r="AH467" s="802"/>
      <c r="AI467" s="802"/>
      <c r="AJ467" s="802"/>
      <c r="AK467" s="802"/>
      <c r="AL467" s="802"/>
      <c r="AM467" s="802"/>
      <c r="AN467" s="802"/>
      <c r="AO467" s="802"/>
      <c r="AP467" s="802"/>
      <c r="AQ467" s="802"/>
      <c r="AR467" s="802"/>
      <c r="AS467" s="802"/>
      <c r="AT467" s="802"/>
      <c r="AU467" s="802"/>
      <c r="AV467" s="802"/>
      <c r="AW467" s="802"/>
      <c r="AX467" s="802"/>
      <c r="AY467" s="802"/>
    </row>
    <row r="468" ht="21.75" customHeight="1">
      <c r="A468" s="802"/>
      <c r="B468" s="802"/>
      <c r="C468" s="802"/>
      <c r="D468" s="802"/>
      <c r="E468" s="802"/>
      <c r="F468" s="802"/>
      <c r="G468" s="802"/>
      <c r="H468" s="802"/>
      <c r="I468" s="802"/>
      <c r="J468" s="802"/>
      <c r="K468" s="802"/>
      <c r="L468" s="802"/>
      <c r="M468" s="802"/>
      <c r="N468" s="802"/>
      <c r="O468" s="802"/>
      <c r="P468" s="802"/>
      <c r="Q468" s="802"/>
      <c r="R468" s="802"/>
      <c r="S468" s="802"/>
      <c r="T468" s="802"/>
      <c r="U468" s="802"/>
      <c r="V468" s="802"/>
      <c r="W468" s="802"/>
      <c r="X468" s="802"/>
      <c r="Y468" s="802"/>
      <c r="Z468" s="802"/>
      <c r="AA468" s="802"/>
      <c r="AB468" s="802"/>
      <c r="AC468" s="802"/>
      <c r="AD468" s="802"/>
      <c r="AE468" s="802"/>
      <c r="AF468" s="802"/>
      <c r="AG468" s="802"/>
      <c r="AH468" s="802"/>
      <c r="AI468" s="802"/>
      <c r="AJ468" s="802"/>
      <c r="AK468" s="802"/>
      <c r="AL468" s="802"/>
      <c r="AM468" s="802"/>
      <c r="AN468" s="802"/>
      <c r="AO468" s="802"/>
      <c r="AP468" s="802"/>
      <c r="AQ468" s="802"/>
      <c r="AR468" s="802"/>
      <c r="AS468" s="802"/>
      <c r="AT468" s="802"/>
      <c r="AU468" s="802"/>
      <c r="AV468" s="802"/>
      <c r="AW468" s="802"/>
      <c r="AX468" s="802"/>
      <c r="AY468" s="802"/>
    </row>
    <row r="469" ht="21.75" customHeight="1">
      <c r="A469" s="802"/>
      <c r="B469" s="802"/>
      <c r="C469" s="802"/>
      <c r="D469" s="802"/>
      <c r="E469" s="802"/>
      <c r="F469" s="802"/>
      <c r="G469" s="802"/>
      <c r="H469" s="802"/>
      <c r="I469" s="802"/>
      <c r="J469" s="802"/>
      <c r="K469" s="802"/>
      <c r="L469" s="802"/>
      <c r="M469" s="802"/>
      <c r="N469" s="802"/>
      <c r="O469" s="802"/>
      <c r="P469" s="802"/>
      <c r="Q469" s="802"/>
      <c r="R469" s="802"/>
      <c r="S469" s="802"/>
      <c r="T469" s="802"/>
      <c r="U469" s="802"/>
      <c r="V469" s="802"/>
      <c r="W469" s="802"/>
      <c r="X469" s="802"/>
      <c r="Y469" s="802"/>
      <c r="Z469" s="802"/>
      <c r="AA469" s="802"/>
      <c r="AB469" s="802"/>
      <c r="AC469" s="802"/>
      <c r="AD469" s="802"/>
      <c r="AE469" s="802"/>
      <c r="AF469" s="802"/>
      <c r="AG469" s="802"/>
      <c r="AH469" s="802"/>
      <c r="AI469" s="802"/>
      <c r="AJ469" s="802"/>
      <c r="AK469" s="802"/>
      <c r="AL469" s="802"/>
      <c r="AM469" s="802"/>
      <c r="AN469" s="802"/>
      <c r="AO469" s="802"/>
      <c r="AP469" s="802"/>
      <c r="AQ469" s="802"/>
      <c r="AR469" s="802"/>
      <c r="AS469" s="802"/>
      <c r="AT469" s="802"/>
      <c r="AU469" s="802"/>
      <c r="AV469" s="802"/>
      <c r="AW469" s="802"/>
      <c r="AX469" s="802"/>
      <c r="AY469" s="802"/>
    </row>
    <row r="470" ht="21.75" customHeight="1">
      <c r="A470" s="802"/>
      <c r="B470" s="802"/>
      <c r="C470" s="802"/>
      <c r="D470" s="802"/>
      <c r="E470" s="802"/>
      <c r="F470" s="802"/>
      <c r="G470" s="802"/>
      <c r="H470" s="802"/>
      <c r="I470" s="802"/>
      <c r="J470" s="802"/>
      <c r="K470" s="802"/>
      <c r="L470" s="802"/>
      <c r="M470" s="802"/>
      <c r="N470" s="802"/>
      <c r="O470" s="802"/>
      <c r="P470" s="802"/>
      <c r="Q470" s="802"/>
      <c r="R470" s="802"/>
      <c r="S470" s="802"/>
      <c r="T470" s="802"/>
      <c r="U470" s="802"/>
      <c r="V470" s="802"/>
      <c r="W470" s="802"/>
      <c r="X470" s="802"/>
      <c r="Y470" s="802"/>
      <c r="Z470" s="802"/>
      <c r="AA470" s="802"/>
      <c r="AB470" s="802"/>
      <c r="AC470" s="802"/>
      <c r="AD470" s="802"/>
      <c r="AE470" s="802"/>
      <c r="AF470" s="802"/>
      <c r="AG470" s="802"/>
      <c r="AH470" s="802"/>
      <c r="AI470" s="802"/>
      <c r="AJ470" s="802"/>
      <c r="AK470" s="802"/>
      <c r="AL470" s="802"/>
      <c r="AM470" s="802"/>
      <c r="AN470" s="802"/>
      <c r="AO470" s="802"/>
      <c r="AP470" s="802"/>
      <c r="AQ470" s="802"/>
      <c r="AR470" s="802"/>
      <c r="AS470" s="802"/>
      <c r="AT470" s="802"/>
      <c r="AU470" s="802"/>
      <c r="AV470" s="802"/>
      <c r="AW470" s="802"/>
      <c r="AX470" s="802"/>
      <c r="AY470" s="802"/>
    </row>
    <row r="471" ht="21.75" customHeight="1">
      <c r="A471" s="802"/>
      <c r="B471" s="802"/>
      <c r="C471" s="802"/>
      <c r="D471" s="802"/>
      <c r="E471" s="802"/>
      <c r="F471" s="802"/>
      <c r="G471" s="802"/>
      <c r="H471" s="802"/>
      <c r="I471" s="802"/>
      <c r="J471" s="802"/>
      <c r="K471" s="802"/>
      <c r="L471" s="802"/>
      <c r="M471" s="802"/>
      <c r="N471" s="802"/>
      <c r="O471" s="802"/>
      <c r="P471" s="802"/>
      <c r="Q471" s="802"/>
      <c r="R471" s="802"/>
      <c r="S471" s="802"/>
      <c r="T471" s="802"/>
      <c r="U471" s="802"/>
      <c r="V471" s="802"/>
      <c r="W471" s="802"/>
      <c r="X471" s="802"/>
      <c r="Y471" s="802"/>
      <c r="Z471" s="802"/>
      <c r="AA471" s="802"/>
      <c r="AB471" s="802"/>
      <c r="AC471" s="802"/>
      <c r="AD471" s="802"/>
      <c r="AE471" s="802"/>
      <c r="AF471" s="802"/>
      <c r="AG471" s="802"/>
      <c r="AH471" s="802"/>
      <c r="AI471" s="802"/>
      <c r="AJ471" s="802"/>
      <c r="AK471" s="802"/>
      <c r="AL471" s="802"/>
      <c r="AM471" s="802"/>
      <c r="AN471" s="802"/>
      <c r="AO471" s="802"/>
      <c r="AP471" s="802"/>
      <c r="AQ471" s="802"/>
      <c r="AR471" s="802"/>
      <c r="AS471" s="802"/>
      <c r="AT471" s="802"/>
      <c r="AU471" s="802"/>
      <c r="AV471" s="802"/>
      <c r="AW471" s="802"/>
      <c r="AX471" s="802"/>
      <c r="AY471" s="802"/>
    </row>
    <row r="472" ht="21.75" customHeight="1">
      <c r="A472" s="802"/>
      <c r="B472" s="802"/>
      <c r="C472" s="802"/>
      <c r="D472" s="802"/>
      <c r="E472" s="802"/>
      <c r="F472" s="802"/>
      <c r="G472" s="802"/>
      <c r="H472" s="802"/>
      <c r="I472" s="802"/>
      <c r="J472" s="802"/>
      <c r="K472" s="802"/>
      <c r="L472" s="802"/>
      <c r="M472" s="802"/>
      <c r="N472" s="802"/>
      <c r="O472" s="802"/>
      <c r="P472" s="802"/>
      <c r="Q472" s="802"/>
      <c r="R472" s="802"/>
      <c r="S472" s="802"/>
      <c r="T472" s="802"/>
      <c r="U472" s="802"/>
      <c r="V472" s="802"/>
      <c r="W472" s="802"/>
      <c r="X472" s="802"/>
      <c r="Y472" s="802"/>
      <c r="Z472" s="802"/>
      <c r="AA472" s="802"/>
      <c r="AB472" s="802"/>
      <c r="AC472" s="802"/>
      <c r="AD472" s="802"/>
      <c r="AE472" s="802"/>
      <c r="AF472" s="802"/>
      <c r="AG472" s="802"/>
      <c r="AH472" s="802"/>
      <c r="AI472" s="802"/>
      <c r="AJ472" s="802"/>
      <c r="AK472" s="802"/>
      <c r="AL472" s="802"/>
      <c r="AM472" s="802"/>
      <c r="AN472" s="802"/>
      <c r="AO472" s="802"/>
      <c r="AP472" s="802"/>
      <c r="AQ472" s="802"/>
      <c r="AR472" s="802"/>
      <c r="AS472" s="802"/>
      <c r="AT472" s="802"/>
      <c r="AU472" s="802"/>
      <c r="AV472" s="802"/>
      <c r="AW472" s="802"/>
      <c r="AX472" s="802"/>
      <c r="AY472" s="802"/>
    </row>
    <row r="473" ht="21.75" customHeight="1">
      <c r="A473" s="802"/>
      <c r="B473" s="802"/>
      <c r="C473" s="802"/>
      <c r="D473" s="802"/>
      <c r="E473" s="802"/>
      <c r="F473" s="802"/>
      <c r="G473" s="802"/>
      <c r="H473" s="802"/>
      <c r="I473" s="802"/>
      <c r="J473" s="802"/>
      <c r="K473" s="802"/>
      <c r="L473" s="802"/>
      <c r="M473" s="802"/>
      <c r="N473" s="802"/>
      <c r="O473" s="802"/>
      <c r="P473" s="802"/>
      <c r="Q473" s="802"/>
      <c r="R473" s="802"/>
      <c r="S473" s="802"/>
      <c r="T473" s="802"/>
      <c r="U473" s="802"/>
      <c r="V473" s="802"/>
      <c r="W473" s="802"/>
      <c r="X473" s="802"/>
      <c r="Y473" s="802"/>
      <c r="Z473" s="802"/>
      <c r="AA473" s="802"/>
      <c r="AB473" s="802"/>
      <c r="AC473" s="802"/>
      <c r="AD473" s="802"/>
      <c r="AE473" s="802"/>
      <c r="AF473" s="802"/>
      <c r="AG473" s="802"/>
      <c r="AH473" s="802"/>
      <c r="AI473" s="802"/>
      <c r="AJ473" s="802"/>
      <c r="AK473" s="802"/>
      <c r="AL473" s="802"/>
      <c r="AM473" s="802"/>
      <c r="AN473" s="802"/>
      <c r="AO473" s="802"/>
      <c r="AP473" s="802"/>
      <c r="AQ473" s="802"/>
      <c r="AR473" s="802"/>
      <c r="AS473" s="802"/>
      <c r="AT473" s="802"/>
      <c r="AU473" s="802"/>
      <c r="AV473" s="802"/>
      <c r="AW473" s="802"/>
      <c r="AX473" s="802"/>
      <c r="AY473" s="802"/>
    </row>
    <row r="474" ht="21.75" customHeight="1">
      <c r="A474" s="802"/>
      <c r="B474" s="802"/>
      <c r="C474" s="802"/>
      <c r="D474" s="802"/>
      <c r="E474" s="802"/>
      <c r="F474" s="802"/>
      <c r="G474" s="802"/>
      <c r="H474" s="802"/>
      <c r="I474" s="802"/>
      <c r="J474" s="802"/>
      <c r="K474" s="802"/>
      <c r="L474" s="802"/>
      <c r="M474" s="802"/>
      <c r="N474" s="802"/>
      <c r="O474" s="802"/>
      <c r="P474" s="802"/>
      <c r="Q474" s="802"/>
      <c r="R474" s="802"/>
      <c r="S474" s="802"/>
      <c r="T474" s="802"/>
      <c r="U474" s="802"/>
      <c r="V474" s="802"/>
      <c r="W474" s="802"/>
      <c r="X474" s="802"/>
      <c r="Y474" s="802"/>
      <c r="Z474" s="802"/>
      <c r="AA474" s="802"/>
      <c r="AB474" s="802"/>
      <c r="AC474" s="802"/>
      <c r="AD474" s="802"/>
      <c r="AE474" s="802"/>
      <c r="AF474" s="802"/>
      <c r="AG474" s="802"/>
      <c r="AH474" s="802"/>
      <c r="AI474" s="802"/>
      <c r="AJ474" s="802"/>
      <c r="AK474" s="802"/>
      <c r="AL474" s="802"/>
      <c r="AM474" s="802"/>
      <c r="AN474" s="802"/>
      <c r="AO474" s="802"/>
      <c r="AP474" s="802"/>
      <c r="AQ474" s="802"/>
      <c r="AR474" s="802"/>
      <c r="AS474" s="802"/>
      <c r="AT474" s="802"/>
      <c r="AU474" s="802"/>
      <c r="AV474" s="802"/>
      <c r="AW474" s="802"/>
      <c r="AX474" s="802"/>
      <c r="AY474" s="802"/>
    </row>
    <row r="475" ht="21.75" customHeight="1">
      <c r="A475" s="802"/>
      <c r="B475" s="802"/>
      <c r="C475" s="802"/>
      <c r="D475" s="802"/>
      <c r="E475" s="802"/>
      <c r="F475" s="802"/>
      <c r="G475" s="802"/>
      <c r="H475" s="802"/>
      <c r="I475" s="802"/>
      <c r="J475" s="802"/>
      <c r="K475" s="802"/>
      <c r="L475" s="802"/>
      <c r="M475" s="802"/>
      <c r="N475" s="802"/>
      <c r="O475" s="802"/>
      <c r="P475" s="802"/>
      <c r="Q475" s="802"/>
      <c r="R475" s="802"/>
      <c r="S475" s="802"/>
      <c r="T475" s="802"/>
      <c r="U475" s="802"/>
      <c r="V475" s="802"/>
      <c r="W475" s="802"/>
      <c r="X475" s="802"/>
      <c r="Y475" s="802"/>
      <c r="Z475" s="802"/>
      <c r="AA475" s="802"/>
      <c r="AB475" s="802"/>
      <c r="AC475" s="802"/>
      <c r="AD475" s="802"/>
      <c r="AE475" s="802"/>
      <c r="AF475" s="802"/>
      <c r="AG475" s="802"/>
      <c r="AH475" s="802"/>
      <c r="AI475" s="802"/>
      <c r="AJ475" s="802"/>
      <c r="AK475" s="802"/>
      <c r="AL475" s="802"/>
      <c r="AM475" s="802"/>
      <c r="AN475" s="802"/>
      <c r="AO475" s="802"/>
      <c r="AP475" s="802"/>
      <c r="AQ475" s="802"/>
      <c r="AR475" s="802"/>
      <c r="AS475" s="802"/>
      <c r="AT475" s="802"/>
      <c r="AU475" s="802"/>
      <c r="AV475" s="802"/>
      <c r="AW475" s="802"/>
      <c r="AX475" s="802"/>
      <c r="AY475" s="802"/>
    </row>
    <row r="476" ht="21.75" customHeight="1">
      <c r="A476" s="802"/>
      <c r="B476" s="802"/>
      <c r="C476" s="802"/>
      <c r="D476" s="802"/>
      <c r="E476" s="802"/>
      <c r="F476" s="802"/>
      <c r="G476" s="802"/>
      <c r="H476" s="802"/>
      <c r="I476" s="802"/>
      <c r="J476" s="802"/>
      <c r="K476" s="802"/>
      <c r="L476" s="802"/>
      <c r="M476" s="802"/>
      <c r="N476" s="802"/>
      <c r="O476" s="802"/>
      <c r="P476" s="802"/>
      <c r="Q476" s="802"/>
      <c r="R476" s="802"/>
      <c r="S476" s="802"/>
      <c r="T476" s="802"/>
      <c r="U476" s="802"/>
      <c r="V476" s="802"/>
      <c r="W476" s="802"/>
      <c r="X476" s="802"/>
      <c r="Y476" s="802"/>
      <c r="Z476" s="802"/>
      <c r="AA476" s="802"/>
      <c r="AB476" s="802"/>
      <c r="AC476" s="802"/>
      <c r="AD476" s="802"/>
      <c r="AE476" s="802"/>
      <c r="AF476" s="802"/>
      <c r="AG476" s="802"/>
      <c r="AH476" s="802"/>
      <c r="AI476" s="802"/>
      <c r="AJ476" s="802"/>
      <c r="AK476" s="802"/>
      <c r="AL476" s="802"/>
      <c r="AM476" s="802"/>
      <c r="AN476" s="802"/>
      <c r="AO476" s="802"/>
      <c r="AP476" s="802"/>
      <c r="AQ476" s="802"/>
      <c r="AR476" s="802"/>
      <c r="AS476" s="802"/>
      <c r="AT476" s="802"/>
      <c r="AU476" s="802"/>
      <c r="AV476" s="802"/>
      <c r="AW476" s="802"/>
      <c r="AX476" s="802"/>
      <c r="AY476" s="802"/>
    </row>
    <row r="477" ht="21.75" customHeight="1">
      <c r="A477" s="802"/>
      <c r="B477" s="802"/>
      <c r="C477" s="802"/>
      <c r="D477" s="802"/>
      <c r="E477" s="802"/>
      <c r="F477" s="802"/>
      <c r="G477" s="802"/>
      <c r="H477" s="802"/>
      <c r="I477" s="802"/>
      <c r="J477" s="802"/>
      <c r="K477" s="802"/>
      <c r="L477" s="802"/>
      <c r="M477" s="802"/>
      <c r="N477" s="802"/>
      <c r="O477" s="802"/>
      <c r="P477" s="802"/>
      <c r="Q477" s="802"/>
      <c r="R477" s="802"/>
      <c r="S477" s="802"/>
      <c r="T477" s="802"/>
      <c r="U477" s="802"/>
      <c r="V477" s="802"/>
      <c r="W477" s="802"/>
      <c r="X477" s="802"/>
      <c r="Y477" s="802"/>
      <c r="Z477" s="802"/>
      <c r="AA477" s="802"/>
      <c r="AB477" s="802"/>
      <c r="AC477" s="802"/>
      <c r="AD477" s="802"/>
      <c r="AE477" s="802"/>
      <c r="AF477" s="802"/>
      <c r="AG477" s="802"/>
      <c r="AH477" s="802"/>
      <c r="AI477" s="802"/>
      <c r="AJ477" s="802"/>
      <c r="AK477" s="802"/>
      <c r="AL477" s="802"/>
      <c r="AM477" s="802"/>
      <c r="AN477" s="802"/>
      <c r="AO477" s="802"/>
      <c r="AP477" s="802"/>
      <c r="AQ477" s="802"/>
      <c r="AR477" s="802"/>
      <c r="AS477" s="802"/>
      <c r="AT477" s="802"/>
      <c r="AU477" s="802"/>
      <c r="AV477" s="802"/>
      <c r="AW477" s="802"/>
      <c r="AX477" s="802"/>
      <c r="AY477" s="802"/>
    </row>
    <row r="478" ht="21.75" customHeight="1">
      <c r="A478" s="802"/>
      <c r="B478" s="802"/>
      <c r="C478" s="802"/>
      <c r="D478" s="802"/>
      <c r="E478" s="802"/>
      <c r="F478" s="802"/>
      <c r="G478" s="802"/>
      <c r="H478" s="802"/>
      <c r="I478" s="802"/>
      <c r="J478" s="802"/>
      <c r="K478" s="802"/>
      <c r="L478" s="802"/>
      <c r="M478" s="802"/>
      <c r="N478" s="802"/>
      <c r="O478" s="802"/>
      <c r="P478" s="802"/>
      <c r="Q478" s="802"/>
      <c r="R478" s="802"/>
      <c r="S478" s="802"/>
      <c r="T478" s="802"/>
      <c r="U478" s="802"/>
      <c r="V478" s="802"/>
      <c r="W478" s="802"/>
      <c r="X478" s="802"/>
      <c r="Y478" s="802"/>
      <c r="Z478" s="802"/>
      <c r="AA478" s="802"/>
      <c r="AB478" s="802"/>
      <c r="AC478" s="802"/>
      <c r="AD478" s="802"/>
      <c r="AE478" s="802"/>
      <c r="AF478" s="802"/>
      <c r="AG478" s="802"/>
      <c r="AH478" s="802"/>
      <c r="AI478" s="802"/>
      <c r="AJ478" s="802"/>
      <c r="AK478" s="802"/>
      <c r="AL478" s="802"/>
      <c r="AM478" s="802"/>
      <c r="AN478" s="802"/>
      <c r="AO478" s="802"/>
      <c r="AP478" s="802"/>
      <c r="AQ478" s="802"/>
      <c r="AR478" s="802"/>
      <c r="AS478" s="802"/>
      <c r="AT478" s="802"/>
      <c r="AU478" s="802"/>
      <c r="AV478" s="802"/>
      <c r="AW478" s="802"/>
      <c r="AX478" s="802"/>
      <c r="AY478" s="802"/>
    </row>
    <row r="479" ht="21.75" customHeight="1">
      <c r="A479" s="802"/>
      <c r="B479" s="802"/>
      <c r="C479" s="802"/>
      <c r="D479" s="802"/>
      <c r="E479" s="802"/>
      <c r="F479" s="802"/>
      <c r="G479" s="802"/>
      <c r="H479" s="802"/>
      <c r="I479" s="802"/>
      <c r="J479" s="802"/>
      <c r="K479" s="802"/>
      <c r="L479" s="802"/>
      <c r="M479" s="802"/>
      <c r="N479" s="802"/>
      <c r="O479" s="802"/>
      <c r="P479" s="802"/>
      <c r="Q479" s="802"/>
      <c r="R479" s="802"/>
      <c r="S479" s="802"/>
      <c r="T479" s="802"/>
      <c r="U479" s="802"/>
      <c r="V479" s="802"/>
      <c r="W479" s="802"/>
      <c r="X479" s="802"/>
      <c r="Y479" s="802"/>
      <c r="Z479" s="802"/>
      <c r="AA479" s="802"/>
      <c r="AB479" s="802"/>
      <c r="AC479" s="802"/>
      <c r="AD479" s="802"/>
      <c r="AE479" s="802"/>
      <c r="AF479" s="802"/>
      <c r="AG479" s="802"/>
      <c r="AH479" s="802"/>
      <c r="AI479" s="802"/>
      <c r="AJ479" s="802"/>
      <c r="AK479" s="802"/>
      <c r="AL479" s="802"/>
      <c r="AM479" s="802"/>
      <c r="AN479" s="802"/>
      <c r="AO479" s="802"/>
      <c r="AP479" s="802"/>
      <c r="AQ479" s="802"/>
      <c r="AR479" s="802"/>
      <c r="AS479" s="802"/>
      <c r="AT479" s="802"/>
      <c r="AU479" s="802"/>
      <c r="AV479" s="802"/>
      <c r="AW479" s="802"/>
      <c r="AX479" s="802"/>
      <c r="AY479" s="802"/>
    </row>
    <row r="480" ht="21.75" customHeight="1">
      <c r="A480" s="802"/>
      <c r="B480" s="802"/>
      <c r="C480" s="802"/>
      <c r="D480" s="802"/>
      <c r="E480" s="802"/>
      <c r="F480" s="802"/>
      <c r="G480" s="802"/>
      <c r="H480" s="802"/>
      <c r="I480" s="802"/>
      <c r="J480" s="802"/>
      <c r="K480" s="802"/>
      <c r="L480" s="802"/>
      <c r="M480" s="802"/>
      <c r="N480" s="802"/>
      <c r="O480" s="802"/>
      <c r="P480" s="802"/>
      <c r="Q480" s="802"/>
      <c r="R480" s="802"/>
      <c r="S480" s="802"/>
      <c r="T480" s="802"/>
      <c r="U480" s="802"/>
      <c r="V480" s="802"/>
      <c r="W480" s="802"/>
      <c r="X480" s="802"/>
      <c r="Y480" s="802"/>
      <c r="Z480" s="802"/>
      <c r="AA480" s="802"/>
      <c r="AB480" s="802"/>
      <c r="AC480" s="802"/>
      <c r="AD480" s="802"/>
      <c r="AE480" s="802"/>
      <c r="AF480" s="802"/>
      <c r="AG480" s="802"/>
      <c r="AH480" s="802"/>
      <c r="AI480" s="802"/>
      <c r="AJ480" s="802"/>
      <c r="AK480" s="802"/>
      <c r="AL480" s="802"/>
      <c r="AM480" s="802"/>
      <c r="AN480" s="802"/>
      <c r="AO480" s="802"/>
      <c r="AP480" s="802"/>
      <c r="AQ480" s="802"/>
      <c r="AR480" s="802"/>
      <c r="AS480" s="802"/>
      <c r="AT480" s="802"/>
      <c r="AU480" s="802"/>
      <c r="AV480" s="802"/>
      <c r="AW480" s="802"/>
      <c r="AX480" s="802"/>
      <c r="AY480" s="802"/>
    </row>
    <row r="481" ht="21.75" customHeight="1">
      <c r="A481" s="802"/>
      <c r="B481" s="802"/>
      <c r="C481" s="802"/>
      <c r="D481" s="802"/>
      <c r="E481" s="802"/>
      <c r="F481" s="802"/>
      <c r="G481" s="802"/>
      <c r="H481" s="802"/>
      <c r="I481" s="802"/>
      <c r="J481" s="802"/>
      <c r="K481" s="802"/>
      <c r="L481" s="802"/>
      <c r="M481" s="802"/>
      <c r="N481" s="802"/>
      <c r="O481" s="802"/>
      <c r="P481" s="802"/>
      <c r="Q481" s="802"/>
      <c r="R481" s="802"/>
      <c r="S481" s="802"/>
      <c r="T481" s="802"/>
      <c r="U481" s="802"/>
      <c r="V481" s="802"/>
      <c r="W481" s="802"/>
      <c r="X481" s="802"/>
      <c r="Y481" s="802"/>
      <c r="Z481" s="802"/>
      <c r="AA481" s="802"/>
      <c r="AB481" s="802"/>
      <c r="AC481" s="802"/>
      <c r="AD481" s="802"/>
      <c r="AE481" s="802"/>
      <c r="AF481" s="802"/>
      <c r="AG481" s="802"/>
      <c r="AH481" s="802"/>
      <c r="AI481" s="802"/>
      <c r="AJ481" s="802"/>
      <c r="AK481" s="802"/>
      <c r="AL481" s="802"/>
      <c r="AM481" s="802"/>
      <c r="AN481" s="802"/>
      <c r="AO481" s="802"/>
      <c r="AP481" s="802"/>
      <c r="AQ481" s="802"/>
      <c r="AR481" s="802"/>
      <c r="AS481" s="802"/>
      <c r="AT481" s="802"/>
      <c r="AU481" s="802"/>
      <c r="AV481" s="802"/>
      <c r="AW481" s="802"/>
      <c r="AX481" s="802"/>
      <c r="AY481" s="802"/>
    </row>
    <row r="482" ht="21.75" customHeight="1">
      <c r="A482" s="802"/>
      <c r="B482" s="802"/>
      <c r="C482" s="802"/>
      <c r="D482" s="802"/>
      <c r="E482" s="802"/>
      <c r="F482" s="802"/>
      <c r="G482" s="802"/>
      <c r="H482" s="802"/>
      <c r="I482" s="802"/>
      <c r="J482" s="802"/>
      <c r="K482" s="802"/>
      <c r="L482" s="802"/>
      <c r="M482" s="802"/>
      <c r="N482" s="802"/>
      <c r="O482" s="802"/>
      <c r="P482" s="802"/>
      <c r="Q482" s="802"/>
      <c r="R482" s="802"/>
      <c r="S482" s="802"/>
      <c r="T482" s="802"/>
      <c r="U482" s="802"/>
      <c r="V482" s="802"/>
      <c r="W482" s="802"/>
      <c r="X482" s="802"/>
      <c r="Y482" s="802"/>
      <c r="Z482" s="802"/>
      <c r="AA482" s="802"/>
      <c r="AB482" s="802"/>
      <c r="AC482" s="802"/>
      <c r="AD482" s="802"/>
      <c r="AE482" s="802"/>
      <c r="AF482" s="802"/>
      <c r="AG482" s="802"/>
      <c r="AH482" s="802"/>
      <c r="AI482" s="802"/>
      <c r="AJ482" s="802"/>
      <c r="AK482" s="802"/>
      <c r="AL482" s="802"/>
      <c r="AM482" s="802"/>
      <c r="AN482" s="802"/>
      <c r="AO482" s="802"/>
      <c r="AP482" s="802"/>
      <c r="AQ482" s="802"/>
      <c r="AR482" s="802"/>
      <c r="AS482" s="802"/>
      <c r="AT482" s="802"/>
      <c r="AU482" s="802"/>
      <c r="AV482" s="802"/>
      <c r="AW482" s="802"/>
      <c r="AX482" s="802"/>
      <c r="AY482" s="802"/>
    </row>
    <row r="483" ht="21.75" customHeight="1">
      <c r="A483" s="802"/>
      <c r="B483" s="802"/>
      <c r="C483" s="802"/>
      <c r="D483" s="802"/>
      <c r="E483" s="802"/>
      <c r="F483" s="802"/>
      <c r="G483" s="802"/>
      <c r="H483" s="802"/>
      <c r="I483" s="802"/>
      <c r="J483" s="802"/>
      <c r="K483" s="802"/>
      <c r="L483" s="802"/>
      <c r="M483" s="802"/>
      <c r="N483" s="802"/>
      <c r="O483" s="802"/>
      <c r="P483" s="802"/>
      <c r="Q483" s="802"/>
      <c r="R483" s="802"/>
      <c r="S483" s="802"/>
      <c r="T483" s="802"/>
      <c r="U483" s="802"/>
      <c r="V483" s="802"/>
      <c r="W483" s="802"/>
      <c r="X483" s="802"/>
      <c r="Y483" s="802"/>
      <c r="Z483" s="802"/>
      <c r="AA483" s="802"/>
      <c r="AB483" s="802"/>
      <c r="AC483" s="802"/>
      <c r="AD483" s="802"/>
      <c r="AE483" s="802"/>
      <c r="AF483" s="802"/>
      <c r="AG483" s="802"/>
      <c r="AH483" s="802"/>
      <c r="AI483" s="802"/>
      <c r="AJ483" s="802"/>
      <c r="AK483" s="802"/>
      <c r="AL483" s="802"/>
      <c r="AM483" s="802"/>
      <c r="AN483" s="802"/>
      <c r="AO483" s="802"/>
      <c r="AP483" s="802"/>
      <c r="AQ483" s="802"/>
      <c r="AR483" s="802"/>
      <c r="AS483" s="802"/>
      <c r="AT483" s="802"/>
      <c r="AU483" s="802"/>
      <c r="AV483" s="802"/>
      <c r="AW483" s="802"/>
      <c r="AX483" s="802"/>
      <c r="AY483" s="802"/>
    </row>
    <row r="484" ht="21.75" customHeight="1">
      <c r="A484" s="802"/>
      <c r="B484" s="802"/>
      <c r="C484" s="802"/>
      <c r="D484" s="802"/>
      <c r="E484" s="802"/>
      <c r="F484" s="802"/>
      <c r="G484" s="802"/>
      <c r="H484" s="802"/>
      <c r="I484" s="802"/>
      <c r="J484" s="802"/>
      <c r="K484" s="802"/>
      <c r="L484" s="802"/>
      <c r="M484" s="802"/>
      <c r="N484" s="802"/>
      <c r="O484" s="802"/>
      <c r="P484" s="802"/>
      <c r="Q484" s="802"/>
      <c r="R484" s="802"/>
      <c r="S484" s="802"/>
      <c r="T484" s="802"/>
      <c r="U484" s="802"/>
      <c r="V484" s="802"/>
      <c r="W484" s="802"/>
      <c r="X484" s="802"/>
      <c r="Y484" s="802"/>
      <c r="Z484" s="802"/>
      <c r="AA484" s="802"/>
      <c r="AB484" s="802"/>
      <c r="AC484" s="802"/>
      <c r="AD484" s="802"/>
      <c r="AE484" s="802"/>
      <c r="AF484" s="802"/>
      <c r="AG484" s="802"/>
      <c r="AH484" s="802"/>
      <c r="AI484" s="802"/>
      <c r="AJ484" s="802"/>
      <c r="AK484" s="802"/>
      <c r="AL484" s="802"/>
      <c r="AM484" s="802"/>
      <c r="AN484" s="802"/>
      <c r="AO484" s="802"/>
      <c r="AP484" s="802"/>
      <c r="AQ484" s="802"/>
      <c r="AR484" s="802"/>
      <c r="AS484" s="802"/>
      <c r="AT484" s="802"/>
      <c r="AU484" s="802"/>
      <c r="AV484" s="802"/>
      <c r="AW484" s="802"/>
      <c r="AX484" s="802"/>
      <c r="AY484" s="802"/>
    </row>
    <row r="485" ht="21.75" customHeight="1">
      <c r="A485" s="802"/>
      <c r="B485" s="802"/>
      <c r="C485" s="802"/>
      <c r="D485" s="802"/>
      <c r="E485" s="802"/>
      <c r="F485" s="802"/>
      <c r="G485" s="802"/>
      <c r="H485" s="802"/>
      <c r="I485" s="802"/>
      <c r="J485" s="802"/>
      <c r="K485" s="802"/>
      <c r="L485" s="802"/>
      <c r="M485" s="802"/>
      <c r="N485" s="802"/>
      <c r="O485" s="802"/>
      <c r="P485" s="802"/>
      <c r="Q485" s="802"/>
      <c r="R485" s="802"/>
      <c r="S485" s="802"/>
      <c r="T485" s="802"/>
      <c r="U485" s="802"/>
      <c r="V485" s="802"/>
      <c r="W485" s="802"/>
      <c r="X485" s="802"/>
      <c r="Y485" s="802"/>
      <c r="Z485" s="802"/>
      <c r="AA485" s="802"/>
      <c r="AB485" s="802"/>
      <c r="AC485" s="802"/>
      <c r="AD485" s="802"/>
      <c r="AE485" s="802"/>
      <c r="AF485" s="802"/>
      <c r="AG485" s="802"/>
      <c r="AH485" s="802"/>
      <c r="AI485" s="802"/>
      <c r="AJ485" s="802"/>
      <c r="AK485" s="802"/>
      <c r="AL485" s="802"/>
      <c r="AM485" s="802"/>
      <c r="AN485" s="802"/>
      <c r="AO485" s="802"/>
      <c r="AP485" s="802"/>
      <c r="AQ485" s="802"/>
      <c r="AR485" s="802"/>
      <c r="AS485" s="802"/>
      <c r="AT485" s="802"/>
      <c r="AU485" s="802"/>
      <c r="AV485" s="802"/>
      <c r="AW485" s="802"/>
      <c r="AX485" s="802"/>
      <c r="AY485" s="802"/>
    </row>
    <row r="486" ht="21.75" customHeight="1">
      <c r="A486" s="802"/>
      <c r="B486" s="802"/>
      <c r="C486" s="802"/>
      <c r="D486" s="802"/>
      <c r="E486" s="802"/>
      <c r="F486" s="802"/>
      <c r="G486" s="802"/>
      <c r="H486" s="802"/>
      <c r="I486" s="802"/>
      <c r="J486" s="802"/>
      <c r="K486" s="802"/>
      <c r="L486" s="802"/>
      <c r="M486" s="802"/>
      <c r="N486" s="802"/>
      <c r="O486" s="802"/>
      <c r="P486" s="802"/>
      <c r="Q486" s="802"/>
      <c r="R486" s="802"/>
      <c r="S486" s="802"/>
      <c r="T486" s="802"/>
      <c r="U486" s="802"/>
      <c r="V486" s="802"/>
      <c r="W486" s="802"/>
      <c r="X486" s="802"/>
      <c r="Y486" s="802"/>
      <c r="Z486" s="802"/>
      <c r="AA486" s="802"/>
      <c r="AB486" s="802"/>
      <c r="AC486" s="802"/>
      <c r="AD486" s="802"/>
      <c r="AE486" s="802"/>
      <c r="AF486" s="802"/>
      <c r="AG486" s="802"/>
      <c r="AH486" s="802"/>
      <c r="AI486" s="802"/>
      <c r="AJ486" s="802"/>
      <c r="AK486" s="802"/>
      <c r="AL486" s="802"/>
      <c r="AM486" s="802"/>
      <c r="AN486" s="802"/>
      <c r="AO486" s="802"/>
      <c r="AP486" s="802"/>
      <c r="AQ486" s="802"/>
      <c r="AR486" s="802"/>
      <c r="AS486" s="802"/>
      <c r="AT486" s="802"/>
      <c r="AU486" s="802"/>
      <c r="AV486" s="802"/>
      <c r="AW486" s="802"/>
      <c r="AX486" s="802"/>
      <c r="AY486" s="802"/>
    </row>
    <row r="487" ht="21.75" customHeight="1">
      <c r="A487" s="802"/>
      <c r="B487" s="802"/>
      <c r="C487" s="802"/>
      <c r="D487" s="802"/>
      <c r="E487" s="802"/>
      <c r="F487" s="802"/>
      <c r="G487" s="802"/>
      <c r="H487" s="802"/>
      <c r="I487" s="802"/>
      <c r="J487" s="802"/>
      <c r="K487" s="802"/>
      <c r="L487" s="802"/>
      <c r="M487" s="802"/>
      <c r="N487" s="802"/>
      <c r="O487" s="802"/>
      <c r="P487" s="802"/>
      <c r="Q487" s="802"/>
      <c r="R487" s="802"/>
      <c r="S487" s="802"/>
      <c r="T487" s="802"/>
      <c r="U487" s="802"/>
      <c r="V487" s="802"/>
      <c r="W487" s="802"/>
      <c r="X487" s="802"/>
      <c r="Y487" s="802"/>
      <c r="Z487" s="802"/>
      <c r="AA487" s="802"/>
      <c r="AB487" s="802"/>
      <c r="AC487" s="802"/>
      <c r="AD487" s="802"/>
      <c r="AE487" s="802"/>
      <c r="AF487" s="802"/>
      <c r="AG487" s="802"/>
      <c r="AH487" s="802"/>
      <c r="AI487" s="802"/>
      <c r="AJ487" s="802"/>
      <c r="AK487" s="802"/>
      <c r="AL487" s="802"/>
      <c r="AM487" s="802"/>
      <c r="AN487" s="802"/>
      <c r="AO487" s="802"/>
      <c r="AP487" s="802"/>
      <c r="AQ487" s="802"/>
      <c r="AR487" s="802"/>
      <c r="AS487" s="802"/>
      <c r="AT487" s="802"/>
      <c r="AU487" s="802"/>
      <c r="AV487" s="802"/>
      <c r="AW487" s="802"/>
      <c r="AX487" s="802"/>
      <c r="AY487" s="802"/>
    </row>
    <row r="488" ht="21.75" customHeight="1">
      <c r="A488" s="802"/>
      <c r="B488" s="802"/>
      <c r="C488" s="802"/>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802"/>
      <c r="AQ488" s="802"/>
      <c r="AR488" s="802"/>
      <c r="AS488" s="802"/>
      <c r="AT488" s="802"/>
      <c r="AU488" s="802"/>
      <c r="AV488" s="802"/>
      <c r="AW488" s="802"/>
      <c r="AX488" s="802"/>
      <c r="AY488" s="802"/>
    </row>
    <row r="489" ht="21.75" customHeight="1">
      <c r="A489" s="802"/>
      <c r="B489" s="802"/>
      <c r="C489" s="802"/>
      <c r="D489" s="802"/>
      <c r="E489" s="802"/>
      <c r="F489" s="802"/>
      <c r="G489" s="802"/>
      <c r="H489" s="802"/>
      <c r="I489" s="802"/>
      <c r="J489" s="802"/>
      <c r="K489" s="802"/>
      <c r="L489" s="802"/>
      <c r="M489" s="802"/>
      <c r="N489" s="802"/>
      <c r="O489" s="802"/>
      <c r="P489" s="802"/>
      <c r="Q489" s="802"/>
      <c r="R489" s="802"/>
      <c r="S489" s="802"/>
      <c r="T489" s="802"/>
      <c r="U489" s="802"/>
      <c r="V489" s="802"/>
      <c r="W489" s="802"/>
      <c r="X489" s="802"/>
      <c r="Y489" s="802"/>
      <c r="Z489" s="802"/>
      <c r="AA489" s="802"/>
      <c r="AB489" s="802"/>
      <c r="AC489" s="802"/>
      <c r="AD489" s="802"/>
      <c r="AE489" s="802"/>
      <c r="AF489" s="802"/>
      <c r="AG489" s="802"/>
      <c r="AH489" s="802"/>
      <c r="AI489" s="802"/>
      <c r="AJ489" s="802"/>
      <c r="AK489" s="802"/>
      <c r="AL489" s="802"/>
      <c r="AM489" s="802"/>
      <c r="AN489" s="802"/>
      <c r="AO489" s="802"/>
      <c r="AP489" s="802"/>
      <c r="AQ489" s="802"/>
      <c r="AR489" s="802"/>
      <c r="AS489" s="802"/>
      <c r="AT489" s="802"/>
      <c r="AU489" s="802"/>
      <c r="AV489" s="802"/>
      <c r="AW489" s="802"/>
      <c r="AX489" s="802"/>
      <c r="AY489" s="802"/>
    </row>
    <row r="490" ht="21.75" customHeight="1">
      <c r="A490" s="802"/>
      <c r="B490" s="802"/>
      <c r="C490" s="802"/>
      <c r="D490" s="802"/>
      <c r="E490" s="802"/>
      <c r="F490" s="802"/>
      <c r="G490" s="802"/>
      <c r="H490" s="802"/>
      <c r="I490" s="802"/>
      <c r="J490" s="802"/>
      <c r="K490" s="802"/>
      <c r="L490" s="802"/>
      <c r="M490" s="802"/>
      <c r="N490" s="802"/>
      <c r="O490" s="802"/>
      <c r="P490" s="802"/>
      <c r="Q490" s="802"/>
      <c r="R490" s="802"/>
      <c r="S490" s="802"/>
      <c r="T490" s="802"/>
      <c r="U490" s="802"/>
      <c r="V490" s="802"/>
      <c r="W490" s="802"/>
      <c r="X490" s="802"/>
      <c r="Y490" s="802"/>
      <c r="Z490" s="802"/>
      <c r="AA490" s="802"/>
      <c r="AB490" s="802"/>
      <c r="AC490" s="802"/>
      <c r="AD490" s="802"/>
      <c r="AE490" s="802"/>
      <c r="AF490" s="802"/>
      <c r="AG490" s="802"/>
      <c r="AH490" s="802"/>
      <c r="AI490" s="802"/>
      <c r="AJ490" s="802"/>
      <c r="AK490" s="802"/>
      <c r="AL490" s="802"/>
      <c r="AM490" s="802"/>
      <c r="AN490" s="802"/>
      <c r="AO490" s="802"/>
      <c r="AP490" s="802"/>
      <c r="AQ490" s="802"/>
      <c r="AR490" s="802"/>
      <c r="AS490" s="802"/>
      <c r="AT490" s="802"/>
      <c r="AU490" s="802"/>
      <c r="AV490" s="802"/>
      <c r="AW490" s="802"/>
      <c r="AX490" s="802"/>
      <c r="AY490" s="802"/>
    </row>
    <row r="491" ht="21.75" customHeight="1">
      <c r="A491" s="802"/>
      <c r="B491" s="802"/>
      <c r="C491" s="802"/>
      <c r="D491" s="802"/>
      <c r="E491" s="802"/>
      <c r="F491" s="802"/>
      <c r="G491" s="802"/>
      <c r="H491" s="802"/>
      <c r="I491" s="802"/>
      <c r="J491" s="802"/>
      <c r="K491" s="802"/>
      <c r="L491" s="802"/>
      <c r="M491" s="802"/>
      <c r="N491" s="802"/>
      <c r="O491" s="802"/>
      <c r="P491" s="802"/>
      <c r="Q491" s="802"/>
      <c r="R491" s="802"/>
      <c r="S491" s="802"/>
      <c r="T491" s="802"/>
      <c r="U491" s="802"/>
      <c r="V491" s="802"/>
      <c r="W491" s="802"/>
      <c r="X491" s="802"/>
      <c r="Y491" s="802"/>
      <c r="Z491" s="802"/>
      <c r="AA491" s="802"/>
      <c r="AB491" s="802"/>
      <c r="AC491" s="802"/>
      <c r="AD491" s="802"/>
      <c r="AE491" s="802"/>
      <c r="AF491" s="802"/>
      <c r="AG491" s="802"/>
      <c r="AH491" s="802"/>
      <c r="AI491" s="802"/>
      <c r="AJ491" s="802"/>
      <c r="AK491" s="802"/>
      <c r="AL491" s="802"/>
      <c r="AM491" s="802"/>
      <c r="AN491" s="802"/>
      <c r="AO491" s="802"/>
      <c r="AP491" s="802"/>
      <c r="AQ491" s="802"/>
      <c r="AR491" s="802"/>
      <c r="AS491" s="802"/>
      <c r="AT491" s="802"/>
      <c r="AU491" s="802"/>
      <c r="AV491" s="802"/>
      <c r="AW491" s="802"/>
      <c r="AX491" s="802"/>
      <c r="AY491" s="802"/>
    </row>
    <row r="492" ht="21.75" customHeight="1">
      <c r="A492" s="802"/>
      <c r="B492" s="802"/>
      <c r="C492" s="802"/>
      <c r="D492" s="802"/>
      <c r="E492" s="802"/>
      <c r="F492" s="802"/>
      <c r="G492" s="802"/>
      <c r="H492" s="802"/>
      <c r="I492" s="802"/>
      <c r="J492" s="802"/>
      <c r="K492" s="802"/>
      <c r="L492" s="802"/>
      <c r="M492" s="802"/>
      <c r="N492" s="802"/>
      <c r="O492" s="802"/>
      <c r="P492" s="802"/>
      <c r="Q492" s="802"/>
      <c r="R492" s="802"/>
      <c r="S492" s="802"/>
      <c r="T492" s="802"/>
      <c r="U492" s="802"/>
      <c r="V492" s="802"/>
      <c r="W492" s="802"/>
      <c r="X492" s="802"/>
      <c r="Y492" s="802"/>
      <c r="Z492" s="802"/>
      <c r="AA492" s="802"/>
      <c r="AB492" s="802"/>
      <c r="AC492" s="802"/>
      <c r="AD492" s="802"/>
      <c r="AE492" s="802"/>
      <c r="AF492" s="802"/>
      <c r="AG492" s="802"/>
      <c r="AH492" s="802"/>
      <c r="AI492" s="802"/>
      <c r="AJ492" s="802"/>
      <c r="AK492" s="802"/>
      <c r="AL492" s="802"/>
      <c r="AM492" s="802"/>
      <c r="AN492" s="802"/>
      <c r="AO492" s="802"/>
      <c r="AP492" s="802"/>
      <c r="AQ492" s="802"/>
      <c r="AR492" s="802"/>
      <c r="AS492" s="802"/>
      <c r="AT492" s="802"/>
      <c r="AU492" s="802"/>
      <c r="AV492" s="802"/>
      <c r="AW492" s="802"/>
      <c r="AX492" s="802"/>
      <c r="AY492" s="802"/>
    </row>
    <row r="493" ht="21.75" customHeight="1">
      <c r="A493" s="802"/>
      <c r="B493" s="802"/>
      <c r="C493" s="802"/>
      <c r="D493" s="802"/>
      <c r="E493" s="802"/>
      <c r="F493" s="802"/>
      <c r="G493" s="802"/>
      <c r="H493" s="802"/>
      <c r="I493" s="802"/>
      <c r="J493" s="802"/>
      <c r="K493" s="802"/>
      <c r="L493" s="802"/>
      <c r="M493" s="802"/>
      <c r="N493" s="802"/>
      <c r="O493" s="802"/>
      <c r="P493" s="802"/>
      <c r="Q493" s="802"/>
      <c r="R493" s="802"/>
      <c r="S493" s="802"/>
      <c r="T493" s="802"/>
      <c r="U493" s="802"/>
      <c r="V493" s="802"/>
      <c r="W493" s="802"/>
      <c r="X493" s="802"/>
      <c r="Y493" s="802"/>
      <c r="Z493" s="802"/>
      <c r="AA493" s="802"/>
      <c r="AB493" s="802"/>
      <c r="AC493" s="802"/>
      <c r="AD493" s="802"/>
      <c r="AE493" s="802"/>
      <c r="AF493" s="802"/>
      <c r="AG493" s="802"/>
      <c r="AH493" s="802"/>
      <c r="AI493" s="802"/>
      <c r="AJ493" s="802"/>
      <c r="AK493" s="802"/>
      <c r="AL493" s="802"/>
      <c r="AM493" s="802"/>
      <c r="AN493" s="802"/>
      <c r="AO493" s="802"/>
      <c r="AP493" s="802"/>
      <c r="AQ493" s="802"/>
      <c r="AR493" s="802"/>
      <c r="AS493" s="802"/>
      <c r="AT493" s="802"/>
      <c r="AU493" s="802"/>
      <c r="AV493" s="802"/>
      <c r="AW493" s="802"/>
      <c r="AX493" s="802"/>
      <c r="AY493" s="802"/>
    </row>
    <row r="494" ht="21.75" customHeight="1">
      <c r="A494" s="802"/>
      <c r="B494" s="802"/>
      <c r="C494" s="802"/>
      <c r="D494" s="802"/>
      <c r="E494" s="802"/>
      <c r="F494" s="802"/>
      <c r="G494" s="802"/>
      <c r="H494" s="802"/>
      <c r="I494" s="802"/>
      <c r="J494" s="802"/>
      <c r="K494" s="802"/>
      <c r="L494" s="802"/>
      <c r="M494" s="802"/>
      <c r="N494" s="802"/>
      <c r="O494" s="802"/>
      <c r="P494" s="802"/>
      <c r="Q494" s="802"/>
      <c r="R494" s="802"/>
      <c r="S494" s="802"/>
      <c r="T494" s="802"/>
      <c r="U494" s="802"/>
      <c r="V494" s="802"/>
      <c r="W494" s="802"/>
      <c r="X494" s="802"/>
      <c r="Y494" s="802"/>
      <c r="Z494" s="802"/>
      <c r="AA494" s="802"/>
      <c r="AB494" s="802"/>
      <c r="AC494" s="802"/>
      <c r="AD494" s="802"/>
      <c r="AE494" s="802"/>
      <c r="AF494" s="802"/>
      <c r="AG494" s="802"/>
      <c r="AH494" s="802"/>
      <c r="AI494" s="802"/>
      <c r="AJ494" s="802"/>
      <c r="AK494" s="802"/>
      <c r="AL494" s="802"/>
      <c r="AM494" s="802"/>
      <c r="AN494" s="802"/>
      <c r="AO494" s="802"/>
      <c r="AP494" s="802"/>
      <c r="AQ494" s="802"/>
      <c r="AR494" s="802"/>
      <c r="AS494" s="802"/>
      <c r="AT494" s="802"/>
      <c r="AU494" s="802"/>
      <c r="AV494" s="802"/>
      <c r="AW494" s="802"/>
      <c r="AX494" s="802"/>
      <c r="AY494" s="802"/>
    </row>
    <row r="495" ht="21.75" customHeight="1">
      <c r="A495" s="802"/>
      <c r="B495" s="802"/>
      <c r="C495" s="802"/>
      <c r="D495" s="802"/>
      <c r="E495" s="802"/>
      <c r="F495" s="802"/>
      <c r="G495" s="802"/>
      <c r="H495" s="802"/>
      <c r="I495" s="802"/>
      <c r="J495" s="802"/>
      <c r="K495" s="802"/>
      <c r="L495" s="802"/>
      <c r="M495" s="802"/>
      <c r="N495" s="802"/>
      <c r="O495" s="802"/>
      <c r="P495" s="802"/>
      <c r="Q495" s="802"/>
      <c r="R495" s="802"/>
      <c r="S495" s="802"/>
      <c r="T495" s="802"/>
      <c r="U495" s="802"/>
      <c r="V495" s="802"/>
      <c r="W495" s="802"/>
      <c r="X495" s="802"/>
      <c r="Y495" s="802"/>
      <c r="Z495" s="802"/>
      <c r="AA495" s="802"/>
      <c r="AB495" s="802"/>
      <c r="AC495" s="802"/>
      <c r="AD495" s="802"/>
      <c r="AE495" s="802"/>
      <c r="AF495" s="802"/>
      <c r="AG495" s="802"/>
      <c r="AH495" s="802"/>
      <c r="AI495" s="802"/>
      <c r="AJ495" s="802"/>
      <c r="AK495" s="802"/>
      <c r="AL495" s="802"/>
      <c r="AM495" s="802"/>
      <c r="AN495" s="802"/>
      <c r="AO495" s="802"/>
      <c r="AP495" s="802"/>
      <c r="AQ495" s="802"/>
      <c r="AR495" s="802"/>
      <c r="AS495" s="802"/>
      <c r="AT495" s="802"/>
      <c r="AU495" s="802"/>
      <c r="AV495" s="802"/>
      <c r="AW495" s="802"/>
      <c r="AX495" s="802"/>
      <c r="AY495" s="802"/>
    </row>
    <row r="496" ht="21.75" customHeight="1">
      <c r="A496" s="802"/>
      <c r="B496" s="802"/>
      <c r="C496" s="802"/>
      <c r="D496" s="802"/>
      <c r="E496" s="802"/>
      <c r="F496" s="802"/>
      <c r="G496" s="802"/>
      <c r="H496" s="802"/>
      <c r="I496" s="802"/>
      <c r="J496" s="802"/>
      <c r="K496" s="802"/>
      <c r="L496" s="802"/>
      <c r="M496" s="802"/>
      <c r="N496" s="802"/>
      <c r="O496" s="802"/>
      <c r="P496" s="802"/>
      <c r="Q496" s="802"/>
      <c r="R496" s="802"/>
      <c r="S496" s="802"/>
      <c r="T496" s="802"/>
      <c r="U496" s="802"/>
      <c r="V496" s="802"/>
      <c r="W496" s="802"/>
      <c r="X496" s="802"/>
      <c r="Y496" s="802"/>
      <c r="Z496" s="802"/>
      <c r="AA496" s="802"/>
      <c r="AB496" s="802"/>
      <c r="AC496" s="802"/>
      <c r="AD496" s="802"/>
      <c r="AE496" s="802"/>
      <c r="AF496" s="802"/>
      <c r="AG496" s="802"/>
      <c r="AH496" s="802"/>
      <c r="AI496" s="802"/>
      <c r="AJ496" s="802"/>
      <c r="AK496" s="802"/>
      <c r="AL496" s="802"/>
      <c r="AM496" s="802"/>
      <c r="AN496" s="802"/>
      <c r="AO496" s="802"/>
      <c r="AP496" s="802"/>
      <c r="AQ496" s="802"/>
      <c r="AR496" s="802"/>
      <c r="AS496" s="802"/>
      <c r="AT496" s="802"/>
      <c r="AU496" s="802"/>
      <c r="AV496" s="802"/>
      <c r="AW496" s="802"/>
      <c r="AX496" s="802"/>
      <c r="AY496" s="802"/>
    </row>
    <row r="497" ht="21.75" customHeight="1">
      <c r="A497" s="802"/>
      <c r="B497" s="802"/>
      <c r="C497" s="802"/>
      <c r="D497" s="802"/>
      <c r="E497" s="802"/>
      <c r="F497" s="802"/>
      <c r="G497" s="802"/>
      <c r="H497" s="802"/>
      <c r="I497" s="802"/>
      <c r="J497" s="802"/>
      <c r="K497" s="802"/>
      <c r="L497" s="802"/>
      <c r="M497" s="802"/>
      <c r="N497" s="802"/>
      <c r="O497" s="802"/>
      <c r="P497" s="802"/>
      <c r="Q497" s="802"/>
      <c r="R497" s="802"/>
      <c r="S497" s="802"/>
      <c r="T497" s="802"/>
      <c r="U497" s="802"/>
      <c r="V497" s="802"/>
      <c r="W497" s="802"/>
      <c r="X497" s="802"/>
      <c r="Y497" s="802"/>
      <c r="Z497" s="802"/>
      <c r="AA497" s="802"/>
      <c r="AB497" s="802"/>
      <c r="AC497" s="802"/>
      <c r="AD497" s="802"/>
      <c r="AE497" s="802"/>
      <c r="AF497" s="802"/>
      <c r="AG497" s="802"/>
      <c r="AH497" s="802"/>
      <c r="AI497" s="802"/>
      <c r="AJ497" s="802"/>
      <c r="AK497" s="802"/>
      <c r="AL497" s="802"/>
      <c r="AM497" s="802"/>
      <c r="AN497" s="802"/>
      <c r="AO497" s="802"/>
      <c r="AP497" s="802"/>
      <c r="AQ497" s="802"/>
      <c r="AR497" s="802"/>
      <c r="AS497" s="802"/>
      <c r="AT497" s="802"/>
      <c r="AU497" s="802"/>
      <c r="AV497" s="802"/>
      <c r="AW497" s="802"/>
      <c r="AX497" s="802"/>
      <c r="AY497" s="802"/>
    </row>
    <row r="498" ht="21.75" customHeight="1">
      <c r="A498" s="802"/>
      <c r="B498" s="802"/>
      <c r="C498" s="802"/>
      <c r="D498" s="802"/>
      <c r="E498" s="802"/>
      <c r="F498" s="802"/>
      <c r="G498" s="802"/>
      <c r="H498" s="802"/>
      <c r="I498" s="802"/>
      <c r="J498" s="802"/>
      <c r="K498" s="802"/>
      <c r="L498" s="802"/>
      <c r="M498" s="802"/>
      <c r="N498" s="802"/>
      <c r="O498" s="802"/>
      <c r="P498" s="802"/>
      <c r="Q498" s="802"/>
      <c r="R498" s="802"/>
      <c r="S498" s="802"/>
      <c r="T498" s="802"/>
      <c r="U498" s="802"/>
      <c r="V498" s="802"/>
      <c r="W498" s="802"/>
      <c r="X498" s="802"/>
      <c r="Y498" s="802"/>
      <c r="Z498" s="802"/>
      <c r="AA498" s="802"/>
      <c r="AB498" s="802"/>
      <c r="AC498" s="802"/>
      <c r="AD498" s="802"/>
      <c r="AE498" s="802"/>
      <c r="AF498" s="802"/>
      <c r="AG498" s="802"/>
      <c r="AH498" s="802"/>
      <c r="AI498" s="802"/>
      <c r="AJ498" s="802"/>
      <c r="AK498" s="802"/>
      <c r="AL498" s="802"/>
      <c r="AM498" s="802"/>
      <c r="AN498" s="802"/>
      <c r="AO498" s="802"/>
      <c r="AP498" s="802"/>
      <c r="AQ498" s="802"/>
      <c r="AR498" s="802"/>
      <c r="AS498" s="802"/>
      <c r="AT498" s="802"/>
      <c r="AU498" s="802"/>
      <c r="AV498" s="802"/>
      <c r="AW498" s="802"/>
      <c r="AX498" s="802"/>
      <c r="AY498" s="802"/>
    </row>
    <row r="499" ht="21.75" customHeight="1">
      <c r="A499" s="802"/>
      <c r="B499" s="802"/>
      <c r="C499" s="802"/>
      <c r="D499" s="802"/>
      <c r="E499" s="802"/>
      <c r="F499" s="802"/>
      <c r="G499" s="802"/>
      <c r="H499" s="802"/>
      <c r="I499" s="802"/>
      <c r="J499" s="802"/>
      <c r="K499" s="802"/>
      <c r="L499" s="802"/>
      <c r="M499" s="802"/>
      <c r="N499" s="802"/>
      <c r="O499" s="802"/>
      <c r="P499" s="802"/>
      <c r="Q499" s="802"/>
      <c r="R499" s="802"/>
      <c r="S499" s="802"/>
      <c r="T499" s="802"/>
      <c r="U499" s="802"/>
      <c r="V499" s="802"/>
      <c r="W499" s="802"/>
      <c r="X499" s="802"/>
      <c r="Y499" s="802"/>
      <c r="Z499" s="802"/>
      <c r="AA499" s="802"/>
      <c r="AB499" s="802"/>
      <c r="AC499" s="802"/>
      <c r="AD499" s="802"/>
      <c r="AE499" s="802"/>
      <c r="AF499" s="802"/>
      <c r="AG499" s="802"/>
      <c r="AH499" s="802"/>
      <c r="AI499" s="802"/>
      <c r="AJ499" s="802"/>
      <c r="AK499" s="802"/>
      <c r="AL499" s="802"/>
      <c r="AM499" s="802"/>
      <c r="AN499" s="802"/>
      <c r="AO499" s="802"/>
      <c r="AP499" s="802"/>
      <c r="AQ499" s="802"/>
      <c r="AR499" s="802"/>
      <c r="AS499" s="802"/>
      <c r="AT499" s="802"/>
      <c r="AU499" s="802"/>
      <c r="AV499" s="802"/>
      <c r="AW499" s="802"/>
      <c r="AX499" s="802"/>
      <c r="AY499" s="802"/>
    </row>
    <row r="500" ht="21.75" customHeight="1">
      <c r="A500" s="802"/>
      <c r="B500" s="802"/>
      <c r="C500" s="802"/>
      <c r="D500" s="802"/>
      <c r="E500" s="802"/>
      <c r="F500" s="802"/>
      <c r="G500" s="802"/>
      <c r="H500" s="802"/>
      <c r="I500" s="802"/>
      <c r="J500" s="802"/>
      <c r="K500" s="802"/>
      <c r="L500" s="802"/>
      <c r="M500" s="802"/>
      <c r="N500" s="802"/>
      <c r="O500" s="802"/>
      <c r="P500" s="802"/>
      <c r="Q500" s="802"/>
      <c r="R500" s="802"/>
      <c r="S500" s="802"/>
      <c r="T500" s="802"/>
      <c r="U500" s="802"/>
      <c r="V500" s="802"/>
      <c r="W500" s="802"/>
      <c r="X500" s="802"/>
      <c r="Y500" s="802"/>
      <c r="Z500" s="802"/>
      <c r="AA500" s="802"/>
      <c r="AB500" s="802"/>
      <c r="AC500" s="802"/>
      <c r="AD500" s="802"/>
      <c r="AE500" s="802"/>
      <c r="AF500" s="802"/>
      <c r="AG500" s="802"/>
      <c r="AH500" s="802"/>
      <c r="AI500" s="802"/>
      <c r="AJ500" s="802"/>
      <c r="AK500" s="802"/>
      <c r="AL500" s="802"/>
      <c r="AM500" s="802"/>
      <c r="AN500" s="802"/>
      <c r="AO500" s="802"/>
      <c r="AP500" s="802"/>
      <c r="AQ500" s="802"/>
      <c r="AR500" s="802"/>
      <c r="AS500" s="802"/>
      <c r="AT500" s="802"/>
      <c r="AU500" s="802"/>
      <c r="AV500" s="802"/>
      <c r="AW500" s="802"/>
      <c r="AX500" s="802"/>
      <c r="AY500" s="802"/>
    </row>
    <row r="501" ht="21.75" customHeight="1">
      <c r="A501" s="802"/>
      <c r="B501" s="802"/>
      <c r="C501" s="802"/>
      <c r="D501" s="802"/>
      <c r="E501" s="802"/>
      <c r="F501" s="802"/>
      <c r="G501" s="802"/>
      <c r="H501" s="802"/>
      <c r="I501" s="802"/>
      <c r="J501" s="802"/>
      <c r="K501" s="802"/>
      <c r="L501" s="802"/>
      <c r="M501" s="802"/>
      <c r="N501" s="802"/>
      <c r="O501" s="802"/>
      <c r="P501" s="802"/>
      <c r="Q501" s="802"/>
      <c r="R501" s="802"/>
      <c r="S501" s="802"/>
      <c r="T501" s="802"/>
      <c r="U501" s="802"/>
      <c r="V501" s="802"/>
      <c r="W501" s="802"/>
      <c r="X501" s="802"/>
      <c r="Y501" s="802"/>
      <c r="Z501" s="802"/>
      <c r="AA501" s="802"/>
      <c r="AB501" s="802"/>
      <c r="AC501" s="802"/>
      <c r="AD501" s="802"/>
      <c r="AE501" s="802"/>
      <c r="AF501" s="802"/>
      <c r="AG501" s="802"/>
      <c r="AH501" s="802"/>
      <c r="AI501" s="802"/>
      <c r="AJ501" s="802"/>
      <c r="AK501" s="802"/>
      <c r="AL501" s="802"/>
      <c r="AM501" s="802"/>
      <c r="AN501" s="802"/>
      <c r="AO501" s="802"/>
      <c r="AP501" s="802"/>
      <c r="AQ501" s="802"/>
      <c r="AR501" s="802"/>
      <c r="AS501" s="802"/>
      <c r="AT501" s="802"/>
      <c r="AU501" s="802"/>
      <c r="AV501" s="802"/>
      <c r="AW501" s="802"/>
      <c r="AX501" s="802"/>
      <c r="AY501" s="802"/>
    </row>
    <row r="502" ht="21.75" customHeight="1">
      <c r="A502" s="802"/>
      <c r="B502" s="802"/>
      <c r="C502" s="802"/>
      <c r="D502" s="802"/>
      <c r="E502" s="802"/>
      <c r="F502" s="802"/>
      <c r="G502" s="802"/>
      <c r="H502" s="802"/>
      <c r="I502" s="802"/>
      <c r="J502" s="802"/>
      <c r="K502" s="802"/>
      <c r="L502" s="802"/>
      <c r="M502" s="802"/>
      <c r="N502" s="802"/>
      <c r="O502" s="802"/>
      <c r="P502" s="802"/>
      <c r="Q502" s="802"/>
      <c r="R502" s="802"/>
      <c r="S502" s="802"/>
      <c r="T502" s="802"/>
      <c r="U502" s="802"/>
      <c r="V502" s="802"/>
      <c r="W502" s="802"/>
      <c r="X502" s="802"/>
      <c r="Y502" s="802"/>
      <c r="Z502" s="802"/>
      <c r="AA502" s="802"/>
      <c r="AB502" s="802"/>
      <c r="AC502" s="802"/>
      <c r="AD502" s="802"/>
      <c r="AE502" s="802"/>
      <c r="AF502" s="802"/>
      <c r="AG502" s="802"/>
      <c r="AH502" s="802"/>
      <c r="AI502" s="802"/>
      <c r="AJ502" s="802"/>
      <c r="AK502" s="802"/>
      <c r="AL502" s="802"/>
      <c r="AM502" s="802"/>
      <c r="AN502" s="802"/>
      <c r="AO502" s="802"/>
      <c r="AP502" s="802"/>
      <c r="AQ502" s="802"/>
      <c r="AR502" s="802"/>
      <c r="AS502" s="802"/>
      <c r="AT502" s="802"/>
      <c r="AU502" s="802"/>
      <c r="AV502" s="802"/>
      <c r="AW502" s="802"/>
      <c r="AX502" s="802"/>
      <c r="AY502" s="802"/>
    </row>
    <row r="503" ht="21.75" customHeight="1">
      <c r="A503" s="802"/>
      <c r="B503" s="802"/>
      <c r="C503" s="802"/>
      <c r="D503" s="802"/>
      <c r="E503" s="802"/>
      <c r="F503" s="802"/>
      <c r="G503" s="802"/>
      <c r="H503" s="802"/>
      <c r="I503" s="802"/>
      <c r="J503" s="802"/>
      <c r="K503" s="802"/>
      <c r="L503" s="802"/>
      <c r="M503" s="802"/>
      <c r="N503" s="802"/>
      <c r="O503" s="802"/>
      <c r="P503" s="802"/>
      <c r="Q503" s="802"/>
      <c r="R503" s="802"/>
      <c r="S503" s="802"/>
      <c r="T503" s="802"/>
      <c r="U503" s="802"/>
      <c r="V503" s="802"/>
      <c r="W503" s="802"/>
      <c r="X503" s="802"/>
      <c r="Y503" s="802"/>
      <c r="Z503" s="802"/>
      <c r="AA503" s="802"/>
      <c r="AB503" s="802"/>
      <c r="AC503" s="802"/>
      <c r="AD503" s="802"/>
      <c r="AE503" s="802"/>
      <c r="AF503" s="802"/>
      <c r="AG503" s="802"/>
      <c r="AH503" s="802"/>
      <c r="AI503" s="802"/>
      <c r="AJ503" s="802"/>
      <c r="AK503" s="802"/>
      <c r="AL503" s="802"/>
      <c r="AM503" s="802"/>
      <c r="AN503" s="802"/>
      <c r="AO503" s="802"/>
      <c r="AP503" s="802"/>
      <c r="AQ503" s="802"/>
      <c r="AR503" s="802"/>
      <c r="AS503" s="802"/>
      <c r="AT503" s="802"/>
      <c r="AU503" s="802"/>
      <c r="AV503" s="802"/>
      <c r="AW503" s="802"/>
      <c r="AX503" s="802"/>
      <c r="AY503" s="802"/>
    </row>
    <row r="504" ht="21.75" customHeight="1">
      <c r="A504" s="802"/>
      <c r="B504" s="802"/>
      <c r="C504" s="802"/>
      <c r="D504" s="802"/>
      <c r="E504" s="802"/>
      <c r="F504" s="802"/>
      <c r="G504" s="802"/>
      <c r="H504" s="802"/>
      <c r="I504" s="802"/>
      <c r="J504" s="802"/>
      <c r="K504" s="802"/>
      <c r="L504" s="802"/>
      <c r="M504" s="802"/>
      <c r="N504" s="802"/>
      <c r="O504" s="802"/>
      <c r="P504" s="802"/>
      <c r="Q504" s="802"/>
      <c r="R504" s="802"/>
      <c r="S504" s="802"/>
      <c r="T504" s="802"/>
      <c r="U504" s="802"/>
      <c r="V504" s="802"/>
      <c r="W504" s="802"/>
      <c r="X504" s="802"/>
      <c r="Y504" s="802"/>
      <c r="Z504" s="802"/>
      <c r="AA504" s="802"/>
      <c r="AB504" s="802"/>
      <c r="AC504" s="802"/>
      <c r="AD504" s="802"/>
      <c r="AE504" s="802"/>
      <c r="AF504" s="802"/>
      <c r="AG504" s="802"/>
      <c r="AH504" s="802"/>
      <c r="AI504" s="802"/>
      <c r="AJ504" s="802"/>
      <c r="AK504" s="802"/>
      <c r="AL504" s="802"/>
      <c r="AM504" s="802"/>
      <c r="AN504" s="802"/>
      <c r="AO504" s="802"/>
      <c r="AP504" s="802"/>
      <c r="AQ504" s="802"/>
      <c r="AR504" s="802"/>
      <c r="AS504" s="802"/>
      <c r="AT504" s="802"/>
      <c r="AU504" s="802"/>
      <c r="AV504" s="802"/>
      <c r="AW504" s="802"/>
      <c r="AX504" s="802"/>
      <c r="AY504" s="802"/>
    </row>
    <row r="505" ht="21.75" customHeight="1">
      <c r="A505" s="802"/>
      <c r="B505" s="802"/>
      <c r="C505" s="802"/>
      <c r="D505" s="802"/>
      <c r="E505" s="802"/>
      <c r="F505" s="802"/>
      <c r="G505" s="802"/>
      <c r="H505" s="802"/>
      <c r="I505" s="802"/>
      <c r="J505" s="802"/>
      <c r="K505" s="802"/>
      <c r="L505" s="802"/>
      <c r="M505" s="802"/>
      <c r="N505" s="802"/>
      <c r="O505" s="802"/>
      <c r="P505" s="802"/>
      <c r="Q505" s="802"/>
      <c r="R505" s="802"/>
      <c r="S505" s="802"/>
      <c r="T505" s="802"/>
      <c r="U505" s="802"/>
      <c r="V505" s="802"/>
      <c r="W505" s="802"/>
      <c r="X505" s="802"/>
      <c r="Y505" s="802"/>
      <c r="Z505" s="802"/>
      <c r="AA505" s="802"/>
      <c r="AB505" s="802"/>
      <c r="AC505" s="802"/>
      <c r="AD505" s="802"/>
      <c r="AE505" s="802"/>
      <c r="AF505" s="802"/>
      <c r="AG505" s="802"/>
      <c r="AH505" s="802"/>
      <c r="AI505" s="802"/>
      <c r="AJ505" s="802"/>
      <c r="AK505" s="802"/>
      <c r="AL505" s="802"/>
      <c r="AM505" s="802"/>
      <c r="AN505" s="802"/>
      <c r="AO505" s="802"/>
      <c r="AP505" s="802"/>
      <c r="AQ505" s="802"/>
      <c r="AR505" s="802"/>
      <c r="AS505" s="802"/>
      <c r="AT505" s="802"/>
      <c r="AU505" s="802"/>
      <c r="AV505" s="802"/>
      <c r="AW505" s="802"/>
      <c r="AX505" s="802"/>
      <c r="AY505" s="802"/>
    </row>
    <row r="506" ht="21.75" customHeight="1">
      <c r="A506" s="802"/>
      <c r="B506" s="802"/>
      <c r="C506" s="802"/>
      <c r="D506" s="802"/>
      <c r="E506" s="802"/>
      <c r="F506" s="802"/>
      <c r="G506" s="802"/>
      <c r="H506" s="802"/>
      <c r="I506" s="802"/>
      <c r="J506" s="802"/>
      <c r="K506" s="802"/>
      <c r="L506" s="802"/>
      <c r="M506" s="802"/>
      <c r="N506" s="802"/>
      <c r="O506" s="802"/>
      <c r="P506" s="802"/>
      <c r="Q506" s="802"/>
      <c r="R506" s="802"/>
      <c r="S506" s="802"/>
      <c r="T506" s="802"/>
      <c r="U506" s="802"/>
      <c r="V506" s="802"/>
      <c r="W506" s="802"/>
      <c r="X506" s="802"/>
      <c r="Y506" s="802"/>
      <c r="Z506" s="802"/>
      <c r="AA506" s="802"/>
      <c r="AB506" s="802"/>
      <c r="AC506" s="802"/>
      <c r="AD506" s="802"/>
      <c r="AE506" s="802"/>
      <c r="AF506" s="802"/>
      <c r="AG506" s="802"/>
      <c r="AH506" s="802"/>
      <c r="AI506" s="802"/>
      <c r="AJ506" s="802"/>
      <c r="AK506" s="802"/>
      <c r="AL506" s="802"/>
      <c r="AM506" s="802"/>
      <c r="AN506" s="802"/>
      <c r="AO506" s="802"/>
      <c r="AP506" s="802"/>
      <c r="AQ506" s="802"/>
      <c r="AR506" s="802"/>
      <c r="AS506" s="802"/>
      <c r="AT506" s="802"/>
      <c r="AU506" s="802"/>
      <c r="AV506" s="802"/>
      <c r="AW506" s="802"/>
      <c r="AX506" s="802"/>
      <c r="AY506" s="802"/>
    </row>
    <row r="507" ht="21.75" customHeight="1">
      <c r="A507" s="802"/>
      <c r="B507" s="802"/>
      <c r="C507" s="802"/>
      <c r="D507" s="802"/>
      <c r="E507" s="802"/>
      <c r="F507" s="802"/>
      <c r="G507" s="802"/>
      <c r="H507" s="802"/>
      <c r="I507" s="802"/>
      <c r="J507" s="802"/>
      <c r="K507" s="802"/>
      <c r="L507" s="802"/>
      <c r="M507" s="802"/>
      <c r="N507" s="802"/>
      <c r="O507" s="802"/>
      <c r="P507" s="802"/>
      <c r="Q507" s="802"/>
      <c r="R507" s="802"/>
      <c r="S507" s="802"/>
      <c r="T507" s="802"/>
      <c r="U507" s="802"/>
      <c r="V507" s="802"/>
      <c r="W507" s="802"/>
      <c r="X507" s="802"/>
      <c r="Y507" s="802"/>
      <c r="Z507" s="802"/>
      <c r="AA507" s="802"/>
      <c r="AB507" s="802"/>
      <c r="AC507" s="802"/>
      <c r="AD507" s="802"/>
      <c r="AE507" s="802"/>
      <c r="AF507" s="802"/>
      <c r="AG507" s="802"/>
      <c r="AH507" s="802"/>
      <c r="AI507" s="802"/>
      <c r="AJ507" s="802"/>
      <c r="AK507" s="802"/>
      <c r="AL507" s="802"/>
      <c r="AM507" s="802"/>
      <c r="AN507" s="802"/>
      <c r="AO507" s="802"/>
      <c r="AP507" s="802"/>
      <c r="AQ507" s="802"/>
      <c r="AR507" s="802"/>
      <c r="AS507" s="802"/>
      <c r="AT507" s="802"/>
      <c r="AU507" s="802"/>
      <c r="AV507" s="802"/>
      <c r="AW507" s="802"/>
      <c r="AX507" s="802"/>
      <c r="AY507" s="802"/>
    </row>
    <row r="508" ht="21.75" customHeight="1">
      <c r="A508" s="802"/>
      <c r="B508" s="802"/>
      <c r="C508" s="802"/>
      <c r="D508" s="802"/>
      <c r="E508" s="802"/>
      <c r="F508" s="802"/>
      <c r="G508" s="802"/>
      <c r="H508" s="802"/>
      <c r="I508" s="802"/>
      <c r="J508" s="802"/>
      <c r="K508" s="802"/>
      <c r="L508" s="802"/>
      <c r="M508" s="802"/>
      <c r="N508" s="802"/>
      <c r="O508" s="802"/>
      <c r="P508" s="802"/>
      <c r="Q508" s="802"/>
      <c r="R508" s="802"/>
      <c r="S508" s="802"/>
      <c r="T508" s="802"/>
      <c r="U508" s="802"/>
      <c r="V508" s="802"/>
      <c r="W508" s="802"/>
      <c r="X508" s="802"/>
      <c r="Y508" s="802"/>
      <c r="Z508" s="802"/>
      <c r="AA508" s="802"/>
      <c r="AB508" s="802"/>
      <c r="AC508" s="802"/>
      <c r="AD508" s="802"/>
      <c r="AE508" s="802"/>
      <c r="AF508" s="802"/>
      <c r="AG508" s="802"/>
      <c r="AH508" s="802"/>
      <c r="AI508" s="802"/>
      <c r="AJ508" s="802"/>
      <c r="AK508" s="802"/>
      <c r="AL508" s="802"/>
      <c r="AM508" s="802"/>
      <c r="AN508" s="802"/>
      <c r="AO508" s="802"/>
      <c r="AP508" s="802"/>
      <c r="AQ508" s="802"/>
      <c r="AR508" s="802"/>
      <c r="AS508" s="802"/>
      <c r="AT508" s="802"/>
      <c r="AU508" s="802"/>
      <c r="AV508" s="802"/>
      <c r="AW508" s="802"/>
      <c r="AX508" s="802"/>
      <c r="AY508" s="802"/>
    </row>
    <row r="509" ht="21.75" customHeight="1">
      <c r="A509" s="802"/>
      <c r="B509" s="802"/>
      <c r="C509" s="802"/>
      <c r="D509" s="802"/>
      <c r="E509" s="802"/>
      <c r="F509" s="802"/>
      <c r="G509" s="802"/>
      <c r="H509" s="802"/>
      <c r="I509" s="802"/>
      <c r="J509" s="802"/>
      <c r="K509" s="802"/>
      <c r="L509" s="802"/>
      <c r="M509" s="802"/>
      <c r="N509" s="802"/>
      <c r="O509" s="802"/>
      <c r="P509" s="802"/>
      <c r="Q509" s="802"/>
      <c r="R509" s="802"/>
      <c r="S509" s="802"/>
      <c r="T509" s="802"/>
      <c r="U509" s="802"/>
      <c r="V509" s="802"/>
      <c r="W509" s="802"/>
      <c r="X509" s="802"/>
      <c r="Y509" s="802"/>
      <c r="Z509" s="802"/>
      <c r="AA509" s="802"/>
      <c r="AB509" s="802"/>
      <c r="AC509" s="802"/>
      <c r="AD509" s="802"/>
      <c r="AE509" s="802"/>
      <c r="AF509" s="802"/>
      <c r="AG509" s="802"/>
      <c r="AH509" s="802"/>
      <c r="AI509" s="802"/>
      <c r="AJ509" s="802"/>
      <c r="AK509" s="802"/>
      <c r="AL509" s="802"/>
      <c r="AM509" s="802"/>
      <c r="AN509" s="802"/>
      <c r="AO509" s="802"/>
      <c r="AP509" s="802"/>
      <c r="AQ509" s="802"/>
      <c r="AR509" s="802"/>
      <c r="AS509" s="802"/>
      <c r="AT509" s="802"/>
      <c r="AU509" s="802"/>
      <c r="AV509" s="802"/>
      <c r="AW509" s="802"/>
      <c r="AX509" s="802"/>
      <c r="AY509" s="802"/>
    </row>
    <row r="510" ht="21.75" customHeight="1">
      <c r="A510" s="802"/>
      <c r="B510" s="802"/>
      <c r="C510" s="802"/>
      <c r="D510" s="802"/>
      <c r="E510" s="802"/>
      <c r="F510" s="802"/>
      <c r="G510" s="802"/>
      <c r="H510" s="802"/>
      <c r="I510" s="802"/>
      <c r="J510" s="802"/>
      <c r="K510" s="802"/>
      <c r="L510" s="802"/>
      <c r="M510" s="802"/>
      <c r="N510" s="802"/>
      <c r="O510" s="802"/>
      <c r="P510" s="802"/>
      <c r="Q510" s="802"/>
      <c r="R510" s="802"/>
      <c r="S510" s="802"/>
      <c r="T510" s="802"/>
      <c r="U510" s="802"/>
      <c r="V510" s="802"/>
      <c r="W510" s="802"/>
      <c r="X510" s="802"/>
      <c r="Y510" s="802"/>
      <c r="Z510" s="802"/>
      <c r="AA510" s="802"/>
      <c r="AB510" s="802"/>
      <c r="AC510" s="802"/>
      <c r="AD510" s="802"/>
      <c r="AE510" s="802"/>
      <c r="AF510" s="802"/>
      <c r="AG510" s="802"/>
      <c r="AH510" s="802"/>
      <c r="AI510" s="802"/>
      <c r="AJ510" s="802"/>
      <c r="AK510" s="802"/>
      <c r="AL510" s="802"/>
      <c r="AM510" s="802"/>
      <c r="AN510" s="802"/>
      <c r="AO510" s="802"/>
      <c r="AP510" s="802"/>
      <c r="AQ510" s="802"/>
      <c r="AR510" s="802"/>
      <c r="AS510" s="802"/>
      <c r="AT510" s="802"/>
      <c r="AU510" s="802"/>
      <c r="AV510" s="802"/>
      <c r="AW510" s="802"/>
      <c r="AX510" s="802"/>
      <c r="AY510" s="802"/>
    </row>
    <row r="511" ht="21.75" customHeight="1">
      <c r="A511" s="802"/>
      <c r="B511" s="802"/>
      <c r="C511" s="802"/>
      <c r="D511" s="802"/>
      <c r="E511" s="802"/>
      <c r="F511" s="802"/>
      <c r="G511" s="802"/>
      <c r="H511" s="802"/>
      <c r="I511" s="802"/>
      <c r="J511" s="802"/>
      <c r="K511" s="802"/>
      <c r="L511" s="802"/>
      <c r="M511" s="802"/>
      <c r="N511" s="802"/>
      <c r="O511" s="802"/>
      <c r="P511" s="802"/>
      <c r="Q511" s="802"/>
      <c r="R511" s="802"/>
      <c r="S511" s="802"/>
      <c r="T511" s="802"/>
      <c r="U511" s="802"/>
      <c r="V511" s="802"/>
      <c r="W511" s="802"/>
      <c r="X511" s="802"/>
      <c r="Y511" s="802"/>
      <c r="Z511" s="802"/>
      <c r="AA511" s="802"/>
      <c r="AB511" s="802"/>
      <c r="AC511" s="802"/>
      <c r="AD511" s="802"/>
      <c r="AE511" s="802"/>
      <c r="AF511" s="802"/>
      <c r="AG511" s="802"/>
      <c r="AH511" s="802"/>
      <c r="AI511" s="802"/>
      <c r="AJ511" s="802"/>
      <c r="AK511" s="802"/>
      <c r="AL511" s="802"/>
      <c r="AM511" s="802"/>
      <c r="AN511" s="802"/>
      <c r="AO511" s="802"/>
      <c r="AP511" s="802"/>
      <c r="AQ511" s="802"/>
      <c r="AR511" s="802"/>
      <c r="AS511" s="802"/>
      <c r="AT511" s="802"/>
      <c r="AU511" s="802"/>
      <c r="AV511" s="802"/>
      <c r="AW511" s="802"/>
      <c r="AX511" s="802"/>
      <c r="AY511" s="802"/>
    </row>
    <row r="512" ht="21.75" customHeight="1">
      <c r="A512" s="802"/>
      <c r="B512" s="802"/>
      <c r="C512" s="802"/>
      <c r="D512" s="802"/>
      <c r="E512" s="802"/>
      <c r="F512" s="802"/>
      <c r="G512" s="802"/>
      <c r="H512" s="802"/>
      <c r="I512" s="802"/>
      <c r="J512" s="802"/>
      <c r="K512" s="802"/>
      <c r="L512" s="802"/>
      <c r="M512" s="802"/>
      <c r="N512" s="802"/>
      <c r="O512" s="802"/>
      <c r="P512" s="802"/>
      <c r="Q512" s="802"/>
      <c r="R512" s="802"/>
      <c r="S512" s="802"/>
      <c r="T512" s="802"/>
      <c r="U512" s="802"/>
      <c r="V512" s="802"/>
      <c r="W512" s="802"/>
      <c r="X512" s="802"/>
      <c r="Y512" s="802"/>
      <c r="Z512" s="802"/>
      <c r="AA512" s="802"/>
      <c r="AB512" s="802"/>
      <c r="AC512" s="802"/>
      <c r="AD512" s="802"/>
      <c r="AE512" s="802"/>
      <c r="AF512" s="802"/>
      <c r="AG512" s="802"/>
      <c r="AH512" s="802"/>
      <c r="AI512" s="802"/>
      <c r="AJ512" s="802"/>
      <c r="AK512" s="802"/>
      <c r="AL512" s="802"/>
      <c r="AM512" s="802"/>
      <c r="AN512" s="802"/>
      <c r="AO512" s="802"/>
      <c r="AP512" s="802"/>
      <c r="AQ512" s="802"/>
      <c r="AR512" s="802"/>
      <c r="AS512" s="802"/>
      <c r="AT512" s="802"/>
      <c r="AU512" s="802"/>
      <c r="AV512" s="802"/>
      <c r="AW512" s="802"/>
      <c r="AX512" s="802"/>
      <c r="AY512" s="802"/>
    </row>
    <row r="513" ht="21.75" customHeight="1">
      <c r="A513" s="802"/>
      <c r="B513" s="802"/>
      <c r="C513" s="802"/>
      <c r="D513" s="802"/>
      <c r="E513" s="802"/>
      <c r="F513" s="802"/>
      <c r="G513" s="802"/>
      <c r="H513" s="802"/>
      <c r="I513" s="802"/>
      <c r="J513" s="802"/>
      <c r="K513" s="802"/>
      <c r="L513" s="802"/>
      <c r="M513" s="802"/>
      <c r="N513" s="802"/>
      <c r="O513" s="802"/>
      <c r="P513" s="802"/>
      <c r="Q513" s="802"/>
      <c r="R513" s="802"/>
      <c r="S513" s="802"/>
      <c r="T513" s="802"/>
      <c r="U513" s="802"/>
      <c r="V513" s="802"/>
      <c r="W513" s="802"/>
      <c r="X513" s="802"/>
      <c r="Y513" s="802"/>
      <c r="Z513" s="802"/>
      <c r="AA513" s="802"/>
      <c r="AB513" s="802"/>
      <c r="AC513" s="802"/>
      <c r="AD513" s="802"/>
      <c r="AE513" s="802"/>
      <c r="AF513" s="802"/>
      <c r="AG513" s="802"/>
      <c r="AH513" s="802"/>
      <c r="AI513" s="802"/>
      <c r="AJ513" s="802"/>
      <c r="AK513" s="802"/>
      <c r="AL513" s="802"/>
      <c r="AM513" s="802"/>
      <c r="AN513" s="802"/>
      <c r="AO513" s="802"/>
      <c r="AP513" s="802"/>
      <c r="AQ513" s="802"/>
      <c r="AR513" s="802"/>
      <c r="AS513" s="802"/>
      <c r="AT513" s="802"/>
      <c r="AU513" s="802"/>
      <c r="AV513" s="802"/>
      <c r="AW513" s="802"/>
      <c r="AX513" s="802"/>
      <c r="AY513" s="802"/>
    </row>
    <row r="514" ht="21.75" customHeight="1">
      <c r="A514" s="802"/>
      <c r="B514" s="802"/>
      <c r="C514" s="802"/>
      <c r="D514" s="802"/>
      <c r="E514" s="802"/>
      <c r="F514" s="802"/>
      <c r="G514" s="802"/>
      <c r="H514" s="802"/>
      <c r="I514" s="802"/>
      <c r="J514" s="802"/>
      <c r="K514" s="802"/>
      <c r="L514" s="802"/>
      <c r="M514" s="802"/>
      <c r="N514" s="802"/>
      <c r="O514" s="802"/>
      <c r="P514" s="802"/>
      <c r="Q514" s="802"/>
      <c r="R514" s="802"/>
      <c r="S514" s="802"/>
      <c r="T514" s="802"/>
      <c r="U514" s="802"/>
      <c r="V514" s="802"/>
      <c r="W514" s="802"/>
      <c r="X514" s="802"/>
      <c r="Y514" s="802"/>
      <c r="Z514" s="802"/>
      <c r="AA514" s="802"/>
      <c r="AB514" s="802"/>
      <c r="AC514" s="802"/>
      <c r="AD514" s="802"/>
      <c r="AE514" s="802"/>
      <c r="AF514" s="802"/>
      <c r="AG514" s="802"/>
      <c r="AH514" s="802"/>
      <c r="AI514" s="802"/>
      <c r="AJ514" s="802"/>
      <c r="AK514" s="802"/>
      <c r="AL514" s="802"/>
      <c r="AM514" s="802"/>
      <c r="AN514" s="802"/>
      <c r="AO514" s="802"/>
      <c r="AP514" s="802"/>
      <c r="AQ514" s="802"/>
      <c r="AR514" s="802"/>
      <c r="AS514" s="802"/>
      <c r="AT514" s="802"/>
      <c r="AU514" s="802"/>
      <c r="AV514" s="802"/>
      <c r="AW514" s="802"/>
      <c r="AX514" s="802"/>
      <c r="AY514" s="802"/>
    </row>
    <row r="515" ht="21.75" customHeight="1">
      <c r="A515" s="802"/>
      <c r="B515" s="802"/>
      <c r="C515" s="802"/>
      <c r="D515" s="802"/>
      <c r="E515" s="802"/>
      <c r="F515" s="802"/>
      <c r="G515" s="802"/>
      <c r="H515" s="802"/>
      <c r="I515" s="802"/>
      <c r="J515" s="802"/>
      <c r="K515" s="802"/>
      <c r="L515" s="802"/>
      <c r="M515" s="802"/>
      <c r="N515" s="802"/>
      <c r="O515" s="802"/>
      <c r="P515" s="802"/>
      <c r="Q515" s="802"/>
      <c r="R515" s="802"/>
      <c r="S515" s="802"/>
      <c r="T515" s="802"/>
      <c r="U515" s="802"/>
      <c r="V515" s="802"/>
      <c r="W515" s="802"/>
      <c r="X515" s="802"/>
      <c r="Y515" s="802"/>
      <c r="Z515" s="802"/>
      <c r="AA515" s="802"/>
      <c r="AB515" s="802"/>
      <c r="AC515" s="802"/>
      <c r="AD515" s="802"/>
      <c r="AE515" s="802"/>
      <c r="AF515" s="802"/>
      <c r="AG515" s="802"/>
      <c r="AH515" s="802"/>
      <c r="AI515" s="802"/>
      <c r="AJ515" s="802"/>
      <c r="AK515" s="802"/>
      <c r="AL515" s="802"/>
      <c r="AM515" s="802"/>
      <c r="AN515" s="802"/>
      <c r="AO515" s="802"/>
      <c r="AP515" s="802"/>
      <c r="AQ515" s="802"/>
      <c r="AR515" s="802"/>
      <c r="AS515" s="802"/>
      <c r="AT515" s="802"/>
      <c r="AU515" s="802"/>
      <c r="AV515" s="802"/>
      <c r="AW515" s="802"/>
      <c r="AX515" s="802"/>
      <c r="AY515" s="802"/>
    </row>
    <row r="516" ht="21.75" customHeight="1">
      <c r="A516" s="802"/>
      <c r="B516" s="802"/>
      <c r="C516" s="802"/>
      <c r="D516" s="802"/>
      <c r="E516" s="802"/>
      <c r="F516" s="802"/>
      <c r="G516" s="802"/>
      <c r="H516" s="802"/>
      <c r="I516" s="802"/>
      <c r="J516" s="802"/>
      <c r="K516" s="802"/>
      <c r="L516" s="802"/>
      <c r="M516" s="802"/>
      <c r="N516" s="802"/>
      <c r="O516" s="802"/>
      <c r="P516" s="802"/>
      <c r="Q516" s="802"/>
      <c r="R516" s="802"/>
      <c r="S516" s="802"/>
      <c r="T516" s="802"/>
      <c r="U516" s="802"/>
      <c r="V516" s="802"/>
      <c r="W516" s="802"/>
      <c r="X516" s="802"/>
      <c r="Y516" s="802"/>
      <c r="Z516" s="802"/>
      <c r="AA516" s="802"/>
      <c r="AB516" s="802"/>
      <c r="AC516" s="802"/>
      <c r="AD516" s="802"/>
      <c r="AE516" s="802"/>
      <c r="AF516" s="802"/>
      <c r="AG516" s="802"/>
      <c r="AH516" s="802"/>
      <c r="AI516" s="802"/>
      <c r="AJ516" s="802"/>
      <c r="AK516" s="802"/>
      <c r="AL516" s="802"/>
      <c r="AM516" s="802"/>
      <c r="AN516" s="802"/>
      <c r="AO516" s="802"/>
      <c r="AP516" s="802"/>
      <c r="AQ516" s="802"/>
      <c r="AR516" s="802"/>
      <c r="AS516" s="802"/>
      <c r="AT516" s="802"/>
      <c r="AU516" s="802"/>
      <c r="AV516" s="802"/>
      <c r="AW516" s="802"/>
      <c r="AX516" s="802"/>
      <c r="AY516" s="802"/>
    </row>
    <row r="517" ht="21.75" customHeight="1">
      <c r="A517" s="802"/>
      <c r="B517" s="802"/>
      <c r="C517" s="802"/>
      <c r="D517" s="802"/>
      <c r="E517" s="802"/>
      <c r="F517" s="802"/>
      <c r="G517" s="802"/>
      <c r="H517" s="802"/>
      <c r="I517" s="802"/>
      <c r="J517" s="802"/>
      <c r="K517" s="802"/>
      <c r="L517" s="802"/>
      <c r="M517" s="802"/>
      <c r="N517" s="802"/>
      <c r="O517" s="802"/>
      <c r="P517" s="802"/>
      <c r="Q517" s="802"/>
      <c r="R517" s="802"/>
      <c r="S517" s="802"/>
      <c r="T517" s="802"/>
      <c r="U517" s="802"/>
      <c r="V517" s="802"/>
      <c r="W517" s="802"/>
      <c r="X517" s="802"/>
      <c r="Y517" s="802"/>
      <c r="Z517" s="802"/>
      <c r="AA517" s="802"/>
      <c r="AB517" s="802"/>
      <c r="AC517" s="802"/>
      <c r="AD517" s="802"/>
      <c r="AE517" s="802"/>
      <c r="AF517" s="802"/>
      <c r="AG517" s="802"/>
      <c r="AH517" s="802"/>
      <c r="AI517" s="802"/>
      <c r="AJ517" s="802"/>
      <c r="AK517" s="802"/>
      <c r="AL517" s="802"/>
      <c r="AM517" s="802"/>
      <c r="AN517" s="802"/>
      <c r="AO517" s="802"/>
      <c r="AP517" s="802"/>
      <c r="AQ517" s="802"/>
      <c r="AR517" s="802"/>
      <c r="AS517" s="802"/>
      <c r="AT517" s="802"/>
      <c r="AU517" s="802"/>
      <c r="AV517" s="802"/>
      <c r="AW517" s="802"/>
      <c r="AX517" s="802"/>
      <c r="AY517" s="802"/>
    </row>
    <row r="518" ht="21.75" customHeight="1">
      <c r="A518" s="802"/>
      <c r="B518" s="802"/>
      <c r="C518" s="802"/>
      <c r="D518" s="802"/>
      <c r="E518" s="802"/>
      <c r="F518" s="802"/>
      <c r="G518" s="802"/>
      <c r="H518" s="802"/>
      <c r="I518" s="802"/>
      <c r="J518" s="802"/>
      <c r="K518" s="802"/>
      <c r="L518" s="802"/>
      <c r="M518" s="802"/>
      <c r="N518" s="802"/>
      <c r="O518" s="802"/>
      <c r="P518" s="802"/>
      <c r="Q518" s="802"/>
      <c r="R518" s="802"/>
      <c r="S518" s="802"/>
      <c r="T518" s="802"/>
      <c r="U518" s="802"/>
      <c r="V518" s="802"/>
      <c r="W518" s="802"/>
      <c r="X518" s="802"/>
      <c r="Y518" s="802"/>
      <c r="Z518" s="802"/>
      <c r="AA518" s="802"/>
      <c r="AB518" s="802"/>
      <c r="AC518" s="802"/>
      <c r="AD518" s="802"/>
      <c r="AE518" s="802"/>
      <c r="AF518" s="802"/>
      <c r="AG518" s="802"/>
      <c r="AH518" s="802"/>
      <c r="AI518" s="802"/>
      <c r="AJ518" s="802"/>
      <c r="AK518" s="802"/>
      <c r="AL518" s="802"/>
      <c r="AM518" s="802"/>
      <c r="AN518" s="802"/>
      <c r="AO518" s="802"/>
      <c r="AP518" s="802"/>
      <c r="AQ518" s="802"/>
      <c r="AR518" s="802"/>
      <c r="AS518" s="802"/>
      <c r="AT518" s="802"/>
      <c r="AU518" s="802"/>
      <c r="AV518" s="802"/>
      <c r="AW518" s="802"/>
      <c r="AX518" s="802"/>
      <c r="AY518" s="802"/>
    </row>
    <row r="519" ht="21.75" customHeight="1">
      <c r="A519" s="802"/>
      <c r="B519" s="802"/>
      <c r="C519" s="802"/>
      <c r="D519" s="802"/>
      <c r="E519" s="802"/>
      <c r="F519" s="802"/>
      <c r="G519" s="802"/>
      <c r="H519" s="802"/>
      <c r="I519" s="802"/>
      <c r="J519" s="802"/>
      <c r="K519" s="802"/>
      <c r="L519" s="802"/>
      <c r="M519" s="802"/>
      <c r="N519" s="802"/>
      <c r="O519" s="802"/>
      <c r="P519" s="802"/>
      <c r="Q519" s="802"/>
      <c r="R519" s="802"/>
      <c r="S519" s="802"/>
      <c r="T519" s="802"/>
      <c r="U519" s="802"/>
      <c r="V519" s="802"/>
      <c r="W519" s="802"/>
      <c r="X519" s="802"/>
      <c r="Y519" s="802"/>
      <c r="Z519" s="802"/>
      <c r="AA519" s="802"/>
      <c r="AB519" s="802"/>
      <c r="AC519" s="802"/>
      <c r="AD519" s="802"/>
      <c r="AE519" s="802"/>
      <c r="AF519" s="802"/>
      <c r="AG519" s="802"/>
      <c r="AH519" s="802"/>
      <c r="AI519" s="802"/>
      <c r="AJ519" s="802"/>
      <c r="AK519" s="802"/>
      <c r="AL519" s="802"/>
      <c r="AM519" s="802"/>
      <c r="AN519" s="802"/>
      <c r="AO519" s="802"/>
      <c r="AP519" s="802"/>
      <c r="AQ519" s="802"/>
      <c r="AR519" s="802"/>
      <c r="AS519" s="802"/>
      <c r="AT519" s="802"/>
      <c r="AU519" s="802"/>
      <c r="AV519" s="802"/>
      <c r="AW519" s="802"/>
      <c r="AX519" s="802"/>
      <c r="AY519" s="802"/>
    </row>
    <row r="520" ht="21.75" customHeight="1">
      <c r="A520" s="802"/>
      <c r="B520" s="802"/>
      <c r="C520" s="802"/>
      <c r="D520" s="802"/>
      <c r="E520" s="802"/>
      <c r="F520" s="802"/>
      <c r="G520" s="802"/>
      <c r="H520" s="802"/>
      <c r="I520" s="802"/>
      <c r="J520" s="802"/>
      <c r="K520" s="802"/>
      <c r="L520" s="802"/>
      <c r="M520" s="802"/>
      <c r="N520" s="802"/>
      <c r="O520" s="802"/>
      <c r="P520" s="802"/>
      <c r="Q520" s="802"/>
      <c r="R520" s="802"/>
      <c r="S520" s="802"/>
      <c r="T520" s="802"/>
      <c r="U520" s="802"/>
      <c r="V520" s="802"/>
      <c r="W520" s="802"/>
      <c r="X520" s="802"/>
      <c r="Y520" s="802"/>
      <c r="Z520" s="802"/>
      <c r="AA520" s="802"/>
      <c r="AB520" s="802"/>
      <c r="AC520" s="802"/>
      <c r="AD520" s="802"/>
      <c r="AE520" s="802"/>
      <c r="AF520" s="802"/>
      <c r="AG520" s="802"/>
      <c r="AH520" s="802"/>
      <c r="AI520" s="802"/>
      <c r="AJ520" s="802"/>
      <c r="AK520" s="802"/>
      <c r="AL520" s="802"/>
      <c r="AM520" s="802"/>
      <c r="AN520" s="802"/>
      <c r="AO520" s="802"/>
      <c r="AP520" s="802"/>
      <c r="AQ520" s="802"/>
      <c r="AR520" s="802"/>
      <c r="AS520" s="802"/>
      <c r="AT520" s="802"/>
      <c r="AU520" s="802"/>
      <c r="AV520" s="802"/>
      <c r="AW520" s="802"/>
      <c r="AX520" s="802"/>
      <c r="AY520" s="802"/>
    </row>
    <row r="521" ht="21.75" customHeight="1">
      <c r="A521" s="802"/>
      <c r="B521" s="802"/>
      <c r="C521" s="802"/>
      <c r="D521" s="802"/>
      <c r="E521" s="802"/>
      <c r="F521" s="802"/>
      <c r="G521" s="802"/>
      <c r="H521" s="802"/>
      <c r="I521" s="802"/>
      <c r="J521" s="802"/>
      <c r="K521" s="802"/>
      <c r="L521" s="802"/>
      <c r="M521" s="802"/>
      <c r="N521" s="802"/>
      <c r="O521" s="802"/>
      <c r="P521" s="802"/>
      <c r="Q521" s="802"/>
      <c r="R521" s="802"/>
      <c r="S521" s="802"/>
      <c r="T521" s="802"/>
      <c r="U521" s="802"/>
      <c r="V521" s="802"/>
      <c r="W521" s="802"/>
      <c r="X521" s="802"/>
      <c r="Y521" s="802"/>
      <c r="Z521" s="802"/>
      <c r="AA521" s="802"/>
      <c r="AB521" s="802"/>
      <c r="AC521" s="802"/>
      <c r="AD521" s="802"/>
      <c r="AE521" s="802"/>
      <c r="AF521" s="802"/>
      <c r="AG521" s="802"/>
      <c r="AH521" s="802"/>
      <c r="AI521" s="802"/>
      <c r="AJ521" s="802"/>
      <c r="AK521" s="802"/>
      <c r="AL521" s="802"/>
      <c r="AM521" s="802"/>
      <c r="AN521" s="802"/>
      <c r="AO521" s="802"/>
      <c r="AP521" s="802"/>
      <c r="AQ521" s="802"/>
      <c r="AR521" s="802"/>
      <c r="AS521" s="802"/>
      <c r="AT521" s="802"/>
      <c r="AU521" s="802"/>
      <c r="AV521" s="802"/>
      <c r="AW521" s="802"/>
      <c r="AX521" s="802"/>
      <c r="AY521" s="802"/>
    </row>
    <row r="522" ht="21.75" customHeight="1">
      <c r="A522" s="802"/>
      <c r="B522" s="802"/>
      <c r="C522" s="802"/>
      <c r="D522" s="802"/>
      <c r="E522" s="802"/>
      <c r="F522" s="802"/>
      <c r="G522" s="802"/>
      <c r="H522" s="802"/>
      <c r="I522" s="802"/>
      <c r="J522" s="802"/>
      <c r="K522" s="802"/>
      <c r="L522" s="802"/>
      <c r="M522" s="802"/>
      <c r="N522" s="802"/>
      <c r="O522" s="802"/>
      <c r="P522" s="802"/>
      <c r="Q522" s="802"/>
      <c r="R522" s="802"/>
      <c r="S522" s="802"/>
      <c r="T522" s="802"/>
      <c r="U522" s="802"/>
      <c r="V522" s="802"/>
      <c r="W522" s="802"/>
      <c r="X522" s="802"/>
      <c r="Y522" s="802"/>
      <c r="Z522" s="802"/>
      <c r="AA522" s="802"/>
      <c r="AB522" s="802"/>
      <c r="AC522" s="802"/>
      <c r="AD522" s="802"/>
      <c r="AE522" s="802"/>
      <c r="AF522" s="802"/>
      <c r="AG522" s="802"/>
      <c r="AH522" s="802"/>
      <c r="AI522" s="802"/>
      <c r="AJ522" s="802"/>
      <c r="AK522" s="802"/>
      <c r="AL522" s="802"/>
      <c r="AM522" s="802"/>
      <c r="AN522" s="802"/>
      <c r="AO522" s="802"/>
      <c r="AP522" s="802"/>
      <c r="AQ522" s="802"/>
      <c r="AR522" s="802"/>
      <c r="AS522" s="802"/>
      <c r="AT522" s="802"/>
      <c r="AU522" s="802"/>
      <c r="AV522" s="802"/>
      <c r="AW522" s="802"/>
      <c r="AX522" s="802"/>
      <c r="AY522" s="802"/>
    </row>
    <row r="523" ht="21.75" customHeight="1">
      <c r="A523" s="802"/>
      <c r="B523" s="802"/>
      <c r="C523" s="802"/>
      <c r="D523" s="802"/>
      <c r="E523" s="802"/>
      <c r="F523" s="802"/>
      <c r="G523" s="802"/>
      <c r="H523" s="802"/>
      <c r="I523" s="802"/>
      <c r="J523" s="802"/>
      <c r="K523" s="802"/>
      <c r="L523" s="802"/>
      <c r="M523" s="802"/>
      <c r="N523" s="802"/>
      <c r="O523" s="802"/>
      <c r="P523" s="802"/>
      <c r="Q523" s="802"/>
      <c r="R523" s="802"/>
      <c r="S523" s="802"/>
      <c r="T523" s="802"/>
      <c r="U523" s="802"/>
      <c r="V523" s="802"/>
      <c r="W523" s="802"/>
      <c r="X523" s="802"/>
      <c r="Y523" s="802"/>
      <c r="Z523" s="802"/>
      <c r="AA523" s="802"/>
      <c r="AB523" s="802"/>
      <c r="AC523" s="802"/>
      <c r="AD523" s="802"/>
      <c r="AE523" s="802"/>
      <c r="AF523" s="802"/>
      <c r="AG523" s="802"/>
      <c r="AH523" s="802"/>
      <c r="AI523" s="802"/>
      <c r="AJ523" s="802"/>
      <c r="AK523" s="802"/>
      <c r="AL523" s="802"/>
      <c r="AM523" s="802"/>
      <c r="AN523" s="802"/>
      <c r="AO523" s="802"/>
      <c r="AP523" s="802"/>
      <c r="AQ523" s="802"/>
      <c r="AR523" s="802"/>
      <c r="AS523" s="802"/>
      <c r="AT523" s="802"/>
      <c r="AU523" s="802"/>
      <c r="AV523" s="802"/>
      <c r="AW523" s="802"/>
      <c r="AX523" s="802"/>
      <c r="AY523" s="802"/>
    </row>
    <row r="524" ht="21.75" customHeight="1">
      <c r="A524" s="802"/>
      <c r="B524" s="802"/>
      <c r="C524" s="802"/>
      <c r="D524" s="802"/>
      <c r="E524" s="802"/>
      <c r="F524" s="802"/>
      <c r="G524" s="802"/>
      <c r="H524" s="802"/>
      <c r="I524" s="802"/>
      <c r="J524" s="802"/>
      <c r="K524" s="802"/>
      <c r="L524" s="802"/>
      <c r="M524" s="802"/>
      <c r="N524" s="802"/>
      <c r="O524" s="802"/>
      <c r="P524" s="802"/>
      <c r="Q524" s="802"/>
      <c r="R524" s="802"/>
      <c r="S524" s="802"/>
      <c r="T524" s="802"/>
      <c r="U524" s="802"/>
      <c r="V524" s="802"/>
      <c r="W524" s="802"/>
      <c r="X524" s="802"/>
      <c r="Y524" s="802"/>
      <c r="Z524" s="802"/>
      <c r="AA524" s="802"/>
      <c r="AB524" s="802"/>
      <c r="AC524" s="802"/>
      <c r="AD524" s="802"/>
      <c r="AE524" s="802"/>
      <c r="AF524" s="802"/>
      <c r="AG524" s="802"/>
      <c r="AH524" s="802"/>
      <c r="AI524" s="802"/>
      <c r="AJ524" s="802"/>
      <c r="AK524" s="802"/>
      <c r="AL524" s="802"/>
      <c r="AM524" s="802"/>
      <c r="AN524" s="802"/>
      <c r="AO524" s="802"/>
      <c r="AP524" s="802"/>
      <c r="AQ524" s="802"/>
      <c r="AR524" s="802"/>
      <c r="AS524" s="802"/>
      <c r="AT524" s="802"/>
      <c r="AU524" s="802"/>
      <c r="AV524" s="802"/>
      <c r="AW524" s="802"/>
      <c r="AX524" s="802"/>
      <c r="AY524" s="802"/>
    </row>
    <row r="525" ht="21.75" customHeight="1">
      <c r="A525" s="802"/>
      <c r="B525" s="802"/>
      <c r="C525" s="802"/>
      <c r="D525" s="802"/>
      <c r="E525" s="802"/>
      <c r="F525" s="802"/>
      <c r="G525" s="802"/>
      <c r="H525" s="802"/>
      <c r="I525" s="802"/>
      <c r="J525" s="802"/>
      <c r="K525" s="802"/>
      <c r="L525" s="802"/>
      <c r="M525" s="802"/>
      <c r="N525" s="802"/>
      <c r="O525" s="802"/>
      <c r="P525" s="802"/>
      <c r="Q525" s="802"/>
      <c r="R525" s="802"/>
      <c r="S525" s="802"/>
      <c r="T525" s="802"/>
      <c r="U525" s="802"/>
      <c r="V525" s="802"/>
      <c r="W525" s="802"/>
      <c r="X525" s="802"/>
      <c r="Y525" s="802"/>
      <c r="Z525" s="802"/>
      <c r="AA525" s="802"/>
      <c r="AB525" s="802"/>
      <c r="AC525" s="802"/>
      <c r="AD525" s="802"/>
      <c r="AE525" s="802"/>
      <c r="AF525" s="802"/>
      <c r="AG525" s="802"/>
      <c r="AH525" s="802"/>
      <c r="AI525" s="802"/>
      <c r="AJ525" s="802"/>
      <c r="AK525" s="802"/>
      <c r="AL525" s="802"/>
      <c r="AM525" s="802"/>
      <c r="AN525" s="802"/>
      <c r="AO525" s="802"/>
      <c r="AP525" s="802"/>
      <c r="AQ525" s="802"/>
      <c r="AR525" s="802"/>
      <c r="AS525" s="802"/>
      <c r="AT525" s="802"/>
      <c r="AU525" s="802"/>
      <c r="AV525" s="802"/>
      <c r="AW525" s="802"/>
      <c r="AX525" s="802"/>
      <c r="AY525" s="802"/>
    </row>
    <row r="526" ht="21.75" customHeight="1">
      <c r="A526" s="802"/>
      <c r="B526" s="802"/>
      <c r="C526" s="802"/>
      <c r="D526" s="802"/>
      <c r="E526" s="802"/>
      <c r="F526" s="802"/>
      <c r="G526" s="802"/>
      <c r="H526" s="802"/>
      <c r="I526" s="802"/>
      <c r="J526" s="802"/>
      <c r="K526" s="802"/>
      <c r="L526" s="802"/>
      <c r="M526" s="802"/>
      <c r="N526" s="802"/>
      <c r="O526" s="802"/>
      <c r="P526" s="802"/>
      <c r="Q526" s="802"/>
      <c r="R526" s="802"/>
      <c r="S526" s="802"/>
      <c r="T526" s="802"/>
      <c r="U526" s="802"/>
      <c r="V526" s="802"/>
      <c r="W526" s="802"/>
      <c r="X526" s="802"/>
      <c r="Y526" s="802"/>
      <c r="Z526" s="802"/>
      <c r="AA526" s="802"/>
      <c r="AB526" s="802"/>
      <c r="AC526" s="802"/>
      <c r="AD526" s="802"/>
      <c r="AE526" s="802"/>
      <c r="AF526" s="802"/>
      <c r="AG526" s="802"/>
      <c r="AH526" s="802"/>
      <c r="AI526" s="802"/>
      <c r="AJ526" s="802"/>
      <c r="AK526" s="802"/>
      <c r="AL526" s="802"/>
      <c r="AM526" s="802"/>
      <c r="AN526" s="802"/>
      <c r="AO526" s="802"/>
      <c r="AP526" s="802"/>
      <c r="AQ526" s="802"/>
      <c r="AR526" s="802"/>
      <c r="AS526" s="802"/>
      <c r="AT526" s="802"/>
      <c r="AU526" s="802"/>
      <c r="AV526" s="802"/>
      <c r="AW526" s="802"/>
      <c r="AX526" s="802"/>
      <c r="AY526" s="802"/>
    </row>
    <row r="527" ht="21.75" customHeight="1">
      <c r="A527" s="802"/>
      <c r="B527" s="802"/>
      <c r="C527" s="802"/>
      <c r="D527" s="802"/>
      <c r="E527" s="802"/>
      <c r="F527" s="802"/>
      <c r="G527" s="802"/>
      <c r="H527" s="802"/>
      <c r="I527" s="802"/>
      <c r="J527" s="802"/>
      <c r="K527" s="802"/>
      <c r="L527" s="802"/>
      <c r="M527" s="802"/>
      <c r="N527" s="802"/>
      <c r="O527" s="802"/>
      <c r="P527" s="802"/>
      <c r="Q527" s="802"/>
      <c r="R527" s="802"/>
      <c r="S527" s="802"/>
      <c r="T527" s="802"/>
      <c r="U527" s="802"/>
      <c r="V527" s="802"/>
      <c r="W527" s="802"/>
      <c r="X527" s="802"/>
      <c r="Y527" s="802"/>
      <c r="Z527" s="802"/>
      <c r="AA527" s="802"/>
      <c r="AB527" s="802"/>
      <c r="AC527" s="802"/>
      <c r="AD527" s="802"/>
      <c r="AE527" s="802"/>
      <c r="AF527" s="802"/>
      <c r="AG527" s="802"/>
      <c r="AH527" s="802"/>
      <c r="AI527" s="802"/>
      <c r="AJ527" s="802"/>
      <c r="AK527" s="802"/>
      <c r="AL527" s="802"/>
      <c r="AM527" s="802"/>
      <c r="AN527" s="802"/>
      <c r="AO527" s="802"/>
      <c r="AP527" s="802"/>
      <c r="AQ527" s="802"/>
      <c r="AR527" s="802"/>
      <c r="AS527" s="802"/>
      <c r="AT527" s="802"/>
      <c r="AU527" s="802"/>
      <c r="AV527" s="802"/>
      <c r="AW527" s="802"/>
      <c r="AX527" s="802"/>
      <c r="AY527" s="802"/>
    </row>
    <row r="528" ht="21.75" customHeight="1">
      <c r="A528" s="802"/>
      <c r="B528" s="802"/>
      <c r="C528" s="802"/>
      <c r="D528" s="802"/>
      <c r="E528" s="802"/>
      <c r="F528" s="802"/>
      <c r="G528" s="802"/>
      <c r="H528" s="802"/>
      <c r="I528" s="802"/>
      <c r="J528" s="802"/>
      <c r="K528" s="802"/>
      <c r="L528" s="802"/>
      <c r="M528" s="802"/>
      <c r="N528" s="802"/>
      <c r="O528" s="802"/>
      <c r="P528" s="802"/>
      <c r="Q528" s="802"/>
      <c r="R528" s="802"/>
      <c r="S528" s="802"/>
      <c r="T528" s="802"/>
      <c r="U528" s="802"/>
      <c r="V528" s="802"/>
      <c r="W528" s="802"/>
      <c r="X528" s="802"/>
      <c r="Y528" s="802"/>
      <c r="Z528" s="802"/>
      <c r="AA528" s="802"/>
      <c r="AB528" s="802"/>
      <c r="AC528" s="802"/>
      <c r="AD528" s="802"/>
      <c r="AE528" s="802"/>
      <c r="AF528" s="802"/>
      <c r="AG528" s="802"/>
      <c r="AH528" s="802"/>
      <c r="AI528" s="802"/>
      <c r="AJ528" s="802"/>
      <c r="AK528" s="802"/>
      <c r="AL528" s="802"/>
      <c r="AM528" s="802"/>
      <c r="AN528" s="802"/>
      <c r="AO528" s="802"/>
      <c r="AP528" s="802"/>
      <c r="AQ528" s="802"/>
      <c r="AR528" s="802"/>
      <c r="AS528" s="802"/>
      <c r="AT528" s="802"/>
      <c r="AU528" s="802"/>
      <c r="AV528" s="802"/>
      <c r="AW528" s="802"/>
      <c r="AX528" s="802"/>
      <c r="AY528" s="802"/>
    </row>
    <row r="529" ht="21.75" customHeight="1">
      <c r="A529" s="802"/>
      <c r="B529" s="802"/>
      <c r="C529" s="802"/>
      <c r="D529" s="802"/>
      <c r="E529" s="802"/>
      <c r="F529" s="802"/>
      <c r="G529" s="802"/>
      <c r="H529" s="802"/>
      <c r="I529" s="802"/>
      <c r="J529" s="802"/>
      <c r="K529" s="802"/>
      <c r="L529" s="802"/>
      <c r="M529" s="802"/>
      <c r="N529" s="802"/>
      <c r="O529" s="802"/>
      <c r="P529" s="802"/>
      <c r="Q529" s="802"/>
      <c r="R529" s="802"/>
      <c r="S529" s="802"/>
      <c r="T529" s="802"/>
      <c r="U529" s="802"/>
      <c r="V529" s="802"/>
      <c r="W529" s="802"/>
      <c r="X529" s="802"/>
      <c r="Y529" s="802"/>
      <c r="Z529" s="802"/>
      <c r="AA529" s="802"/>
      <c r="AB529" s="802"/>
      <c r="AC529" s="802"/>
      <c r="AD529" s="802"/>
      <c r="AE529" s="802"/>
      <c r="AF529" s="802"/>
      <c r="AG529" s="802"/>
      <c r="AH529" s="802"/>
      <c r="AI529" s="802"/>
      <c r="AJ529" s="802"/>
      <c r="AK529" s="802"/>
      <c r="AL529" s="802"/>
      <c r="AM529" s="802"/>
      <c r="AN529" s="802"/>
      <c r="AO529" s="802"/>
      <c r="AP529" s="802"/>
      <c r="AQ529" s="802"/>
      <c r="AR529" s="802"/>
      <c r="AS529" s="802"/>
      <c r="AT529" s="802"/>
      <c r="AU529" s="802"/>
      <c r="AV529" s="802"/>
      <c r="AW529" s="802"/>
      <c r="AX529" s="802"/>
      <c r="AY529" s="802"/>
    </row>
    <row r="530" ht="21.75" customHeight="1">
      <c r="A530" s="802"/>
      <c r="B530" s="802"/>
      <c r="C530" s="802"/>
      <c r="D530" s="802"/>
      <c r="E530" s="802"/>
      <c r="F530" s="802"/>
      <c r="G530" s="802"/>
      <c r="H530" s="802"/>
      <c r="I530" s="802"/>
      <c r="J530" s="802"/>
      <c r="K530" s="802"/>
      <c r="L530" s="802"/>
      <c r="M530" s="802"/>
      <c r="N530" s="802"/>
      <c r="O530" s="802"/>
      <c r="P530" s="802"/>
      <c r="Q530" s="802"/>
      <c r="R530" s="802"/>
      <c r="S530" s="802"/>
      <c r="T530" s="802"/>
      <c r="U530" s="802"/>
      <c r="V530" s="802"/>
      <c r="W530" s="802"/>
      <c r="X530" s="802"/>
      <c r="Y530" s="802"/>
      <c r="Z530" s="802"/>
      <c r="AA530" s="802"/>
      <c r="AB530" s="802"/>
      <c r="AC530" s="802"/>
      <c r="AD530" s="802"/>
      <c r="AE530" s="802"/>
      <c r="AF530" s="802"/>
      <c r="AG530" s="802"/>
      <c r="AH530" s="802"/>
      <c r="AI530" s="802"/>
      <c r="AJ530" s="802"/>
      <c r="AK530" s="802"/>
      <c r="AL530" s="802"/>
      <c r="AM530" s="802"/>
      <c r="AN530" s="802"/>
      <c r="AO530" s="802"/>
      <c r="AP530" s="802"/>
      <c r="AQ530" s="802"/>
      <c r="AR530" s="802"/>
      <c r="AS530" s="802"/>
      <c r="AT530" s="802"/>
      <c r="AU530" s="802"/>
      <c r="AV530" s="802"/>
      <c r="AW530" s="802"/>
      <c r="AX530" s="802"/>
      <c r="AY530" s="802"/>
    </row>
    <row r="531" ht="21.75" customHeight="1">
      <c r="A531" s="802"/>
      <c r="B531" s="802"/>
      <c r="C531" s="802"/>
      <c r="D531" s="802"/>
      <c r="E531" s="802"/>
      <c r="F531" s="802"/>
      <c r="G531" s="802"/>
      <c r="H531" s="802"/>
      <c r="I531" s="802"/>
      <c r="J531" s="802"/>
      <c r="K531" s="802"/>
      <c r="L531" s="802"/>
      <c r="M531" s="802"/>
      <c r="N531" s="802"/>
      <c r="O531" s="802"/>
      <c r="P531" s="802"/>
      <c r="Q531" s="802"/>
      <c r="R531" s="802"/>
      <c r="S531" s="802"/>
      <c r="T531" s="802"/>
      <c r="U531" s="802"/>
      <c r="V531" s="802"/>
      <c r="W531" s="802"/>
      <c r="X531" s="802"/>
      <c r="Y531" s="802"/>
      <c r="Z531" s="802"/>
      <c r="AA531" s="802"/>
      <c r="AB531" s="802"/>
      <c r="AC531" s="802"/>
      <c r="AD531" s="802"/>
      <c r="AE531" s="802"/>
      <c r="AF531" s="802"/>
      <c r="AG531" s="802"/>
      <c r="AH531" s="802"/>
      <c r="AI531" s="802"/>
      <c r="AJ531" s="802"/>
      <c r="AK531" s="802"/>
      <c r="AL531" s="802"/>
      <c r="AM531" s="802"/>
      <c r="AN531" s="802"/>
      <c r="AO531" s="802"/>
      <c r="AP531" s="802"/>
      <c r="AQ531" s="802"/>
      <c r="AR531" s="802"/>
      <c r="AS531" s="802"/>
      <c r="AT531" s="802"/>
      <c r="AU531" s="802"/>
      <c r="AV531" s="802"/>
      <c r="AW531" s="802"/>
      <c r="AX531" s="802"/>
      <c r="AY531" s="802"/>
    </row>
    <row r="532" ht="21.75" customHeight="1">
      <c r="A532" s="802"/>
      <c r="B532" s="802"/>
      <c r="C532" s="802"/>
      <c r="D532" s="802"/>
      <c r="E532" s="802"/>
      <c r="F532" s="802"/>
      <c r="G532" s="802"/>
      <c r="H532" s="802"/>
      <c r="I532" s="802"/>
      <c r="J532" s="802"/>
      <c r="K532" s="802"/>
      <c r="L532" s="802"/>
      <c r="M532" s="802"/>
      <c r="N532" s="802"/>
      <c r="O532" s="802"/>
      <c r="P532" s="802"/>
      <c r="Q532" s="802"/>
      <c r="R532" s="802"/>
      <c r="S532" s="802"/>
      <c r="T532" s="802"/>
      <c r="U532" s="802"/>
      <c r="V532" s="802"/>
      <c r="W532" s="802"/>
      <c r="X532" s="802"/>
      <c r="Y532" s="802"/>
      <c r="Z532" s="802"/>
      <c r="AA532" s="802"/>
      <c r="AB532" s="802"/>
      <c r="AC532" s="802"/>
      <c r="AD532" s="802"/>
      <c r="AE532" s="802"/>
      <c r="AF532" s="802"/>
      <c r="AG532" s="802"/>
      <c r="AH532" s="802"/>
      <c r="AI532" s="802"/>
      <c r="AJ532" s="802"/>
      <c r="AK532" s="802"/>
      <c r="AL532" s="802"/>
      <c r="AM532" s="802"/>
      <c r="AN532" s="802"/>
      <c r="AO532" s="802"/>
      <c r="AP532" s="802"/>
      <c r="AQ532" s="802"/>
      <c r="AR532" s="802"/>
      <c r="AS532" s="802"/>
      <c r="AT532" s="802"/>
      <c r="AU532" s="802"/>
      <c r="AV532" s="802"/>
      <c r="AW532" s="802"/>
      <c r="AX532" s="802"/>
      <c r="AY532" s="802"/>
    </row>
    <row r="533" ht="21.75" customHeight="1">
      <c r="A533" s="802"/>
      <c r="B533" s="802"/>
      <c r="C533" s="802"/>
      <c r="D533" s="802"/>
      <c r="E533" s="802"/>
      <c r="F533" s="802"/>
      <c r="G533" s="802"/>
      <c r="H533" s="802"/>
      <c r="I533" s="802"/>
      <c r="J533" s="802"/>
      <c r="K533" s="802"/>
      <c r="L533" s="802"/>
      <c r="M533" s="802"/>
      <c r="N533" s="802"/>
      <c r="O533" s="802"/>
      <c r="P533" s="802"/>
      <c r="Q533" s="802"/>
      <c r="R533" s="802"/>
      <c r="S533" s="802"/>
      <c r="T533" s="802"/>
      <c r="U533" s="802"/>
      <c r="V533" s="802"/>
      <c r="W533" s="802"/>
      <c r="X533" s="802"/>
      <c r="Y533" s="802"/>
      <c r="Z533" s="802"/>
      <c r="AA533" s="802"/>
      <c r="AB533" s="802"/>
      <c r="AC533" s="802"/>
      <c r="AD533" s="802"/>
      <c r="AE533" s="802"/>
      <c r="AF533" s="802"/>
      <c r="AG533" s="802"/>
      <c r="AH533" s="802"/>
      <c r="AI533" s="802"/>
      <c r="AJ533" s="802"/>
      <c r="AK533" s="802"/>
      <c r="AL533" s="802"/>
      <c r="AM533" s="802"/>
      <c r="AN533" s="802"/>
      <c r="AO533" s="802"/>
      <c r="AP533" s="802"/>
      <c r="AQ533" s="802"/>
      <c r="AR533" s="802"/>
      <c r="AS533" s="802"/>
      <c r="AT533" s="802"/>
      <c r="AU533" s="802"/>
      <c r="AV533" s="802"/>
      <c r="AW533" s="802"/>
      <c r="AX533" s="802"/>
      <c r="AY533" s="802"/>
    </row>
    <row r="534" ht="21.75" customHeight="1">
      <c r="A534" s="802"/>
      <c r="B534" s="802"/>
      <c r="C534" s="802"/>
      <c r="D534" s="802"/>
      <c r="E534" s="802"/>
      <c r="F534" s="802"/>
      <c r="G534" s="802"/>
      <c r="H534" s="802"/>
      <c r="I534" s="802"/>
      <c r="J534" s="802"/>
      <c r="K534" s="802"/>
      <c r="L534" s="802"/>
      <c r="M534" s="802"/>
      <c r="N534" s="802"/>
      <c r="O534" s="802"/>
      <c r="P534" s="802"/>
      <c r="Q534" s="802"/>
      <c r="R534" s="802"/>
      <c r="S534" s="802"/>
      <c r="T534" s="802"/>
      <c r="U534" s="802"/>
      <c r="V534" s="802"/>
      <c r="W534" s="802"/>
      <c r="X534" s="802"/>
      <c r="Y534" s="802"/>
      <c r="Z534" s="802"/>
      <c r="AA534" s="802"/>
      <c r="AB534" s="802"/>
      <c r="AC534" s="802"/>
      <c r="AD534" s="802"/>
      <c r="AE534" s="802"/>
      <c r="AF534" s="802"/>
      <c r="AG534" s="802"/>
      <c r="AH534" s="802"/>
      <c r="AI534" s="802"/>
      <c r="AJ534" s="802"/>
      <c r="AK534" s="802"/>
      <c r="AL534" s="802"/>
      <c r="AM534" s="802"/>
      <c r="AN534" s="802"/>
      <c r="AO534" s="802"/>
      <c r="AP534" s="802"/>
      <c r="AQ534" s="802"/>
      <c r="AR534" s="802"/>
      <c r="AS534" s="802"/>
      <c r="AT534" s="802"/>
      <c r="AU534" s="802"/>
      <c r="AV534" s="802"/>
      <c r="AW534" s="802"/>
      <c r="AX534" s="802"/>
      <c r="AY534" s="802"/>
    </row>
    <row r="535" ht="21.75" customHeight="1">
      <c r="A535" s="802"/>
      <c r="B535" s="802"/>
      <c r="C535" s="802"/>
      <c r="D535" s="802"/>
      <c r="E535" s="802"/>
      <c r="F535" s="802"/>
      <c r="G535" s="802"/>
      <c r="H535" s="802"/>
      <c r="I535" s="802"/>
      <c r="J535" s="802"/>
      <c r="K535" s="802"/>
      <c r="L535" s="802"/>
      <c r="M535" s="802"/>
      <c r="N535" s="802"/>
      <c r="O535" s="802"/>
      <c r="P535" s="802"/>
      <c r="Q535" s="802"/>
      <c r="R535" s="802"/>
      <c r="S535" s="802"/>
      <c r="T535" s="802"/>
      <c r="U535" s="802"/>
      <c r="V535" s="802"/>
      <c r="W535" s="802"/>
      <c r="X535" s="802"/>
      <c r="Y535" s="802"/>
      <c r="Z535" s="802"/>
      <c r="AA535" s="802"/>
      <c r="AB535" s="802"/>
      <c r="AC535" s="802"/>
      <c r="AD535" s="802"/>
      <c r="AE535" s="802"/>
      <c r="AF535" s="802"/>
      <c r="AG535" s="802"/>
      <c r="AH535" s="802"/>
      <c r="AI535" s="802"/>
      <c r="AJ535" s="802"/>
      <c r="AK535" s="802"/>
      <c r="AL535" s="802"/>
      <c r="AM535" s="802"/>
      <c r="AN535" s="802"/>
      <c r="AO535" s="802"/>
      <c r="AP535" s="802"/>
      <c r="AQ535" s="802"/>
      <c r="AR535" s="802"/>
      <c r="AS535" s="802"/>
      <c r="AT535" s="802"/>
      <c r="AU535" s="802"/>
      <c r="AV535" s="802"/>
      <c r="AW535" s="802"/>
      <c r="AX535" s="802"/>
      <c r="AY535" s="802"/>
    </row>
    <row r="536" ht="21.75" customHeight="1">
      <c r="A536" s="802"/>
      <c r="B536" s="802"/>
      <c r="C536" s="802"/>
      <c r="D536" s="802"/>
      <c r="E536" s="802"/>
      <c r="F536" s="802"/>
      <c r="G536" s="802"/>
      <c r="H536" s="802"/>
      <c r="I536" s="802"/>
      <c r="J536" s="802"/>
      <c r="K536" s="802"/>
      <c r="L536" s="802"/>
      <c r="M536" s="802"/>
      <c r="N536" s="802"/>
      <c r="O536" s="802"/>
      <c r="P536" s="802"/>
      <c r="Q536" s="802"/>
      <c r="R536" s="802"/>
      <c r="S536" s="802"/>
      <c r="T536" s="802"/>
      <c r="U536" s="802"/>
      <c r="V536" s="802"/>
      <c r="W536" s="802"/>
      <c r="X536" s="802"/>
      <c r="Y536" s="802"/>
      <c r="Z536" s="802"/>
      <c r="AA536" s="802"/>
      <c r="AB536" s="802"/>
      <c r="AC536" s="802"/>
      <c r="AD536" s="802"/>
      <c r="AE536" s="802"/>
      <c r="AF536" s="802"/>
      <c r="AG536" s="802"/>
      <c r="AH536" s="802"/>
      <c r="AI536" s="802"/>
      <c r="AJ536" s="802"/>
      <c r="AK536" s="802"/>
      <c r="AL536" s="802"/>
      <c r="AM536" s="802"/>
      <c r="AN536" s="802"/>
      <c r="AO536" s="802"/>
      <c r="AP536" s="802"/>
      <c r="AQ536" s="802"/>
      <c r="AR536" s="802"/>
      <c r="AS536" s="802"/>
      <c r="AT536" s="802"/>
      <c r="AU536" s="802"/>
      <c r="AV536" s="802"/>
      <c r="AW536" s="802"/>
      <c r="AX536" s="802"/>
      <c r="AY536" s="802"/>
    </row>
    <row r="537" ht="21.75" customHeight="1">
      <c r="A537" s="802"/>
      <c r="B537" s="802"/>
      <c r="C537" s="802"/>
      <c r="D537" s="802"/>
      <c r="E537" s="802"/>
      <c r="F537" s="802"/>
      <c r="G537" s="802"/>
      <c r="H537" s="802"/>
      <c r="I537" s="802"/>
      <c r="J537" s="802"/>
      <c r="K537" s="802"/>
      <c r="L537" s="802"/>
      <c r="M537" s="802"/>
      <c r="N537" s="802"/>
      <c r="O537" s="802"/>
      <c r="P537" s="802"/>
      <c r="Q537" s="802"/>
      <c r="R537" s="802"/>
      <c r="S537" s="802"/>
      <c r="T537" s="802"/>
      <c r="U537" s="802"/>
      <c r="V537" s="802"/>
      <c r="W537" s="802"/>
      <c r="X537" s="802"/>
      <c r="Y537" s="802"/>
      <c r="Z537" s="802"/>
      <c r="AA537" s="802"/>
      <c r="AB537" s="802"/>
      <c r="AC537" s="802"/>
      <c r="AD537" s="802"/>
      <c r="AE537" s="802"/>
      <c r="AF537" s="802"/>
      <c r="AG537" s="802"/>
      <c r="AH537" s="802"/>
      <c r="AI537" s="802"/>
      <c r="AJ537" s="802"/>
      <c r="AK537" s="802"/>
      <c r="AL537" s="802"/>
      <c r="AM537" s="802"/>
      <c r="AN537" s="802"/>
      <c r="AO537" s="802"/>
      <c r="AP537" s="802"/>
      <c r="AQ537" s="802"/>
      <c r="AR537" s="802"/>
      <c r="AS537" s="802"/>
      <c r="AT537" s="802"/>
      <c r="AU537" s="802"/>
      <c r="AV537" s="802"/>
      <c r="AW537" s="802"/>
      <c r="AX537" s="802"/>
      <c r="AY537" s="802"/>
    </row>
    <row r="538" ht="21.75" customHeight="1">
      <c r="A538" s="802"/>
      <c r="B538" s="802"/>
      <c r="C538" s="802"/>
      <c r="D538" s="802"/>
      <c r="E538" s="802"/>
      <c r="F538" s="802"/>
      <c r="G538" s="802"/>
      <c r="H538" s="802"/>
      <c r="I538" s="802"/>
      <c r="J538" s="802"/>
      <c r="K538" s="802"/>
      <c r="L538" s="802"/>
      <c r="M538" s="802"/>
      <c r="N538" s="802"/>
      <c r="O538" s="802"/>
      <c r="P538" s="802"/>
      <c r="Q538" s="802"/>
      <c r="R538" s="802"/>
      <c r="S538" s="802"/>
      <c r="T538" s="802"/>
      <c r="U538" s="802"/>
      <c r="V538" s="802"/>
      <c r="W538" s="802"/>
      <c r="X538" s="802"/>
      <c r="Y538" s="802"/>
      <c r="Z538" s="802"/>
      <c r="AA538" s="802"/>
      <c r="AB538" s="802"/>
      <c r="AC538" s="802"/>
      <c r="AD538" s="802"/>
      <c r="AE538" s="802"/>
      <c r="AF538" s="802"/>
      <c r="AG538" s="802"/>
      <c r="AH538" s="802"/>
      <c r="AI538" s="802"/>
      <c r="AJ538" s="802"/>
      <c r="AK538" s="802"/>
      <c r="AL538" s="802"/>
      <c r="AM538" s="802"/>
      <c r="AN538" s="802"/>
      <c r="AO538" s="802"/>
      <c r="AP538" s="802"/>
      <c r="AQ538" s="802"/>
      <c r="AR538" s="802"/>
      <c r="AS538" s="802"/>
      <c r="AT538" s="802"/>
      <c r="AU538" s="802"/>
      <c r="AV538" s="802"/>
      <c r="AW538" s="802"/>
      <c r="AX538" s="802"/>
      <c r="AY538" s="802"/>
    </row>
    <row r="539" ht="21.75" customHeight="1">
      <c r="A539" s="802"/>
      <c r="B539" s="802"/>
      <c r="C539" s="802"/>
      <c r="D539" s="802"/>
      <c r="E539" s="802"/>
      <c r="F539" s="802"/>
      <c r="G539" s="802"/>
      <c r="H539" s="802"/>
      <c r="I539" s="802"/>
      <c r="J539" s="802"/>
      <c r="K539" s="802"/>
      <c r="L539" s="802"/>
      <c r="M539" s="802"/>
      <c r="N539" s="802"/>
      <c r="O539" s="802"/>
      <c r="P539" s="802"/>
      <c r="Q539" s="802"/>
      <c r="R539" s="802"/>
      <c r="S539" s="802"/>
      <c r="T539" s="802"/>
      <c r="U539" s="802"/>
      <c r="V539" s="802"/>
      <c r="W539" s="802"/>
      <c r="X539" s="802"/>
      <c r="Y539" s="802"/>
      <c r="Z539" s="802"/>
      <c r="AA539" s="802"/>
      <c r="AB539" s="802"/>
      <c r="AC539" s="802"/>
      <c r="AD539" s="802"/>
      <c r="AE539" s="802"/>
      <c r="AF539" s="802"/>
      <c r="AG539" s="802"/>
      <c r="AH539" s="802"/>
      <c r="AI539" s="802"/>
      <c r="AJ539" s="802"/>
      <c r="AK539" s="802"/>
      <c r="AL539" s="802"/>
      <c r="AM539" s="802"/>
      <c r="AN539" s="802"/>
      <c r="AO539" s="802"/>
      <c r="AP539" s="802"/>
      <c r="AQ539" s="802"/>
      <c r="AR539" s="802"/>
      <c r="AS539" s="802"/>
      <c r="AT539" s="802"/>
      <c r="AU539" s="802"/>
      <c r="AV539" s="802"/>
      <c r="AW539" s="802"/>
      <c r="AX539" s="802"/>
      <c r="AY539" s="802"/>
    </row>
    <row r="540" ht="21.75" customHeight="1">
      <c r="A540" s="802"/>
      <c r="B540" s="802"/>
      <c r="C540" s="802"/>
      <c r="D540" s="802"/>
      <c r="E540" s="802"/>
      <c r="F540" s="802"/>
      <c r="G540" s="802"/>
      <c r="H540" s="802"/>
      <c r="I540" s="802"/>
      <c r="J540" s="802"/>
      <c r="K540" s="802"/>
      <c r="L540" s="802"/>
      <c r="M540" s="802"/>
      <c r="N540" s="802"/>
      <c r="O540" s="802"/>
      <c r="P540" s="802"/>
      <c r="Q540" s="802"/>
      <c r="R540" s="802"/>
      <c r="S540" s="802"/>
      <c r="T540" s="802"/>
      <c r="U540" s="802"/>
      <c r="V540" s="802"/>
      <c r="W540" s="802"/>
      <c r="X540" s="802"/>
      <c r="Y540" s="802"/>
      <c r="Z540" s="802"/>
      <c r="AA540" s="802"/>
      <c r="AB540" s="802"/>
      <c r="AC540" s="802"/>
      <c r="AD540" s="802"/>
      <c r="AE540" s="802"/>
      <c r="AF540" s="802"/>
      <c r="AG540" s="802"/>
      <c r="AH540" s="802"/>
      <c r="AI540" s="802"/>
      <c r="AJ540" s="802"/>
      <c r="AK540" s="802"/>
      <c r="AL540" s="802"/>
      <c r="AM540" s="802"/>
      <c r="AN540" s="802"/>
      <c r="AO540" s="802"/>
      <c r="AP540" s="802"/>
      <c r="AQ540" s="802"/>
      <c r="AR540" s="802"/>
      <c r="AS540" s="802"/>
      <c r="AT540" s="802"/>
      <c r="AU540" s="802"/>
      <c r="AV540" s="802"/>
      <c r="AW540" s="802"/>
      <c r="AX540" s="802"/>
      <c r="AY540" s="802"/>
    </row>
    <row r="541" ht="21.75" customHeight="1">
      <c r="A541" s="802"/>
      <c r="B541" s="802"/>
      <c r="C541" s="802"/>
      <c r="D541" s="802"/>
      <c r="E541" s="802"/>
      <c r="F541" s="802"/>
      <c r="G541" s="802"/>
      <c r="H541" s="802"/>
      <c r="I541" s="802"/>
      <c r="J541" s="802"/>
      <c r="K541" s="802"/>
      <c r="L541" s="802"/>
      <c r="M541" s="802"/>
      <c r="N541" s="802"/>
      <c r="O541" s="802"/>
      <c r="P541" s="802"/>
      <c r="Q541" s="802"/>
      <c r="R541" s="802"/>
      <c r="S541" s="802"/>
      <c r="T541" s="802"/>
      <c r="U541" s="802"/>
      <c r="V541" s="802"/>
      <c r="W541" s="802"/>
      <c r="X541" s="802"/>
      <c r="Y541" s="802"/>
      <c r="Z541" s="802"/>
      <c r="AA541" s="802"/>
      <c r="AB541" s="802"/>
      <c r="AC541" s="802"/>
      <c r="AD541" s="802"/>
      <c r="AE541" s="802"/>
      <c r="AF541" s="802"/>
      <c r="AG541" s="802"/>
      <c r="AH541" s="802"/>
      <c r="AI541" s="802"/>
      <c r="AJ541" s="802"/>
      <c r="AK541" s="802"/>
      <c r="AL541" s="802"/>
      <c r="AM541" s="802"/>
      <c r="AN541" s="802"/>
      <c r="AO541" s="802"/>
      <c r="AP541" s="802"/>
      <c r="AQ541" s="802"/>
      <c r="AR541" s="802"/>
      <c r="AS541" s="802"/>
      <c r="AT541" s="802"/>
      <c r="AU541" s="802"/>
      <c r="AV541" s="802"/>
      <c r="AW541" s="802"/>
      <c r="AX541" s="802"/>
      <c r="AY541" s="802"/>
    </row>
    <row r="542" ht="21.75" customHeight="1">
      <c r="A542" s="802"/>
      <c r="B542" s="802"/>
      <c r="C542" s="802"/>
      <c r="D542" s="802"/>
      <c r="E542" s="802"/>
      <c r="F542" s="802"/>
      <c r="G542" s="802"/>
      <c r="H542" s="802"/>
      <c r="I542" s="802"/>
      <c r="J542" s="802"/>
      <c r="K542" s="802"/>
      <c r="L542" s="802"/>
      <c r="M542" s="802"/>
      <c r="N542" s="802"/>
      <c r="O542" s="802"/>
      <c r="P542" s="802"/>
      <c r="Q542" s="802"/>
      <c r="R542" s="802"/>
      <c r="S542" s="802"/>
      <c r="T542" s="802"/>
      <c r="U542" s="802"/>
      <c r="V542" s="802"/>
      <c r="W542" s="802"/>
      <c r="X542" s="802"/>
      <c r="Y542" s="802"/>
      <c r="Z542" s="802"/>
      <c r="AA542" s="802"/>
      <c r="AB542" s="802"/>
      <c r="AC542" s="802"/>
      <c r="AD542" s="802"/>
      <c r="AE542" s="802"/>
      <c r="AF542" s="802"/>
      <c r="AG542" s="802"/>
      <c r="AH542" s="802"/>
      <c r="AI542" s="802"/>
      <c r="AJ542" s="802"/>
      <c r="AK542" s="802"/>
      <c r="AL542" s="802"/>
      <c r="AM542" s="802"/>
      <c r="AN542" s="802"/>
      <c r="AO542" s="802"/>
      <c r="AP542" s="802"/>
      <c r="AQ542" s="802"/>
      <c r="AR542" s="802"/>
      <c r="AS542" s="802"/>
      <c r="AT542" s="802"/>
      <c r="AU542" s="802"/>
      <c r="AV542" s="802"/>
      <c r="AW542" s="802"/>
      <c r="AX542" s="802"/>
      <c r="AY542" s="802"/>
    </row>
    <row r="543" ht="21.75" customHeight="1">
      <c r="A543" s="802"/>
      <c r="B543" s="802"/>
      <c r="C543" s="802"/>
      <c r="D543" s="802"/>
      <c r="E543" s="802"/>
      <c r="F543" s="802"/>
      <c r="G543" s="802"/>
      <c r="H543" s="802"/>
      <c r="I543" s="802"/>
      <c r="J543" s="802"/>
      <c r="K543" s="802"/>
      <c r="L543" s="802"/>
      <c r="M543" s="802"/>
      <c r="N543" s="802"/>
      <c r="O543" s="802"/>
      <c r="P543" s="802"/>
      <c r="Q543" s="802"/>
      <c r="R543" s="802"/>
      <c r="S543" s="802"/>
      <c r="T543" s="802"/>
      <c r="U543" s="802"/>
      <c r="V543" s="802"/>
      <c r="W543" s="802"/>
      <c r="X543" s="802"/>
      <c r="Y543" s="802"/>
      <c r="Z543" s="802"/>
      <c r="AA543" s="802"/>
      <c r="AB543" s="802"/>
      <c r="AC543" s="802"/>
      <c r="AD543" s="802"/>
      <c r="AE543" s="802"/>
      <c r="AF543" s="802"/>
      <c r="AG543" s="802"/>
      <c r="AH543" s="802"/>
      <c r="AI543" s="802"/>
      <c r="AJ543" s="802"/>
      <c r="AK543" s="802"/>
      <c r="AL543" s="802"/>
      <c r="AM543" s="802"/>
      <c r="AN543" s="802"/>
      <c r="AO543" s="802"/>
      <c r="AP543" s="802"/>
      <c r="AQ543" s="802"/>
      <c r="AR543" s="802"/>
      <c r="AS543" s="802"/>
      <c r="AT543" s="802"/>
      <c r="AU543" s="802"/>
      <c r="AV543" s="802"/>
      <c r="AW543" s="802"/>
      <c r="AX543" s="802"/>
      <c r="AY543" s="802"/>
    </row>
    <row r="544" ht="21.75" customHeight="1">
      <c r="A544" s="802"/>
      <c r="B544" s="802"/>
      <c r="C544" s="802"/>
      <c r="D544" s="802"/>
      <c r="E544" s="802"/>
      <c r="F544" s="802"/>
      <c r="G544" s="802"/>
      <c r="H544" s="802"/>
      <c r="I544" s="802"/>
      <c r="J544" s="802"/>
      <c r="K544" s="802"/>
      <c r="L544" s="802"/>
      <c r="M544" s="802"/>
      <c r="N544" s="802"/>
      <c r="O544" s="802"/>
      <c r="P544" s="802"/>
      <c r="Q544" s="802"/>
      <c r="R544" s="802"/>
      <c r="S544" s="802"/>
      <c r="T544" s="802"/>
      <c r="U544" s="802"/>
      <c r="V544" s="802"/>
      <c r="W544" s="802"/>
      <c r="X544" s="802"/>
      <c r="Y544" s="802"/>
      <c r="Z544" s="802"/>
      <c r="AA544" s="802"/>
      <c r="AB544" s="802"/>
      <c r="AC544" s="802"/>
      <c r="AD544" s="802"/>
      <c r="AE544" s="802"/>
      <c r="AF544" s="802"/>
      <c r="AG544" s="802"/>
      <c r="AH544" s="802"/>
      <c r="AI544" s="802"/>
      <c r="AJ544" s="802"/>
      <c r="AK544" s="802"/>
      <c r="AL544" s="802"/>
      <c r="AM544" s="802"/>
      <c r="AN544" s="802"/>
      <c r="AO544" s="802"/>
      <c r="AP544" s="802"/>
      <c r="AQ544" s="802"/>
      <c r="AR544" s="802"/>
      <c r="AS544" s="802"/>
      <c r="AT544" s="802"/>
      <c r="AU544" s="802"/>
      <c r="AV544" s="802"/>
      <c r="AW544" s="802"/>
      <c r="AX544" s="802"/>
      <c r="AY544" s="802"/>
    </row>
    <row r="545" ht="21.75" customHeight="1">
      <c r="A545" s="802"/>
      <c r="B545" s="802"/>
      <c r="C545" s="802"/>
      <c r="D545" s="802"/>
      <c r="E545" s="802"/>
      <c r="F545" s="802"/>
      <c r="G545" s="802"/>
      <c r="H545" s="802"/>
      <c r="I545" s="802"/>
      <c r="J545" s="802"/>
      <c r="K545" s="802"/>
      <c r="L545" s="802"/>
      <c r="M545" s="802"/>
      <c r="N545" s="802"/>
      <c r="O545" s="802"/>
      <c r="P545" s="802"/>
      <c r="Q545" s="802"/>
      <c r="R545" s="802"/>
      <c r="S545" s="802"/>
      <c r="T545" s="802"/>
      <c r="U545" s="802"/>
      <c r="V545" s="802"/>
      <c r="W545" s="802"/>
      <c r="X545" s="802"/>
      <c r="Y545" s="802"/>
      <c r="Z545" s="802"/>
      <c r="AA545" s="802"/>
      <c r="AB545" s="802"/>
      <c r="AC545" s="802"/>
      <c r="AD545" s="802"/>
      <c r="AE545" s="802"/>
      <c r="AF545" s="802"/>
      <c r="AG545" s="802"/>
      <c r="AH545" s="802"/>
      <c r="AI545" s="802"/>
      <c r="AJ545" s="802"/>
      <c r="AK545" s="802"/>
      <c r="AL545" s="802"/>
      <c r="AM545" s="802"/>
      <c r="AN545" s="802"/>
      <c r="AO545" s="802"/>
      <c r="AP545" s="802"/>
      <c r="AQ545" s="802"/>
      <c r="AR545" s="802"/>
      <c r="AS545" s="802"/>
      <c r="AT545" s="802"/>
      <c r="AU545" s="802"/>
      <c r="AV545" s="802"/>
      <c r="AW545" s="802"/>
      <c r="AX545" s="802"/>
      <c r="AY545" s="802"/>
    </row>
    <row r="546" ht="21.75" customHeight="1">
      <c r="A546" s="802"/>
      <c r="B546" s="802"/>
      <c r="C546" s="802"/>
      <c r="D546" s="802"/>
      <c r="E546" s="802"/>
      <c r="F546" s="802"/>
      <c r="G546" s="802"/>
      <c r="H546" s="802"/>
      <c r="I546" s="802"/>
      <c r="J546" s="802"/>
      <c r="K546" s="802"/>
      <c r="L546" s="802"/>
      <c r="M546" s="802"/>
      <c r="N546" s="802"/>
      <c r="O546" s="802"/>
      <c r="P546" s="802"/>
      <c r="Q546" s="802"/>
      <c r="R546" s="802"/>
      <c r="S546" s="802"/>
      <c r="T546" s="802"/>
      <c r="U546" s="802"/>
      <c r="V546" s="802"/>
      <c r="W546" s="802"/>
      <c r="X546" s="802"/>
      <c r="Y546" s="802"/>
      <c r="Z546" s="802"/>
      <c r="AA546" s="802"/>
      <c r="AB546" s="802"/>
      <c r="AC546" s="802"/>
      <c r="AD546" s="802"/>
      <c r="AE546" s="802"/>
      <c r="AF546" s="802"/>
      <c r="AG546" s="802"/>
      <c r="AH546" s="802"/>
      <c r="AI546" s="802"/>
      <c r="AJ546" s="802"/>
      <c r="AK546" s="802"/>
      <c r="AL546" s="802"/>
      <c r="AM546" s="802"/>
      <c r="AN546" s="802"/>
      <c r="AO546" s="802"/>
      <c r="AP546" s="802"/>
      <c r="AQ546" s="802"/>
      <c r="AR546" s="802"/>
      <c r="AS546" s="802"/>
      <c r="AT546" s="802"/>
      <c r="AU546" s="802"/>
      <c r="AV546" s="802"/>
      <c r="AW546" s="802"/>
      <c r="AX546" s="802"/>
      <c r="AY546" s="802"/>
    </row>
    <row r="547" ht="21.75" customHeight="1">
      <c r="A547" s="802"/>
      <c r="B547" s="802"/>
      <c r="C547" s="802"/>
      <c r="D547" s="802"/>
      <c r="E547" s="802"/>
      <c r="F547" s="802"/>
      <c r="G547" s="802"/>
      <c r="H547" s="802"/>
      <c r="I547" s="802"/>
      <c r="J547" s="802"/>
      <c r="K547" s="802"/>
      <c r="L547" s="802"/>
      <c r="M547" s="802"/>
      <c r="N547" s="802"/>
      <c r="O547" s="802"/>
      <c r="P547" s="802"/>
      <c r="Q547" s="802"/>
      <c r="R547" s="802"/>
      <c r="S547" s="802"/>
      <c r="T547" s="802"/>
      <c r="U547" s="802"/>
      <c r="V547" s="802"/>
      <c r="W547" s="802"/>
      <c r="X547" s="802"/>
      <c r="Y547" s="802"/>
      <c r="Z547" s="802"/>
      <c r="AA547" s="802"/>
      <c r="AB547" s="802"/>
      <c r="AC547" s="802"/>
      <c r="AD547" s="802"/>
      <c r="AE547" s="802"/>
      <c r="AF547" s="802"/>
      <c r="AG547" s="802"/>
      <c r="AH547" s="802"/>
      <c r="AI547" s="802"/>
      <c r="AJ547" s="802"/>
      <c r="AK547" s="802"/>
      <c r="AL547" s="802"/>
      <c r="AM547" s="802"/>
      <c r="AN547" s="802"/>
      <c r="AO547" s="802"/>
      <c r="AP547" s="802"/>
      <c r="AQ547" s="802"/>
      <c r="AR547" s="802"/>
      <c r="AS547" s="802"/>
      <c r="AT547" s="802"/>
      <c r="AU547" s="802"/>
      <c r="AV547" s="802"/>
      <c r="AW547" s="802"/>
      <c r="AX547" s="802"/>
      <c r="AY547" s="802"/>
    </row>
    <row r="548" ht="21.75" customHeight="1">
      <c r="A548" s="802"/>
      <c r="B548" s="802"/>
      <c r="C548" s="802"/>
      <c r="D548" s="802"/>
      <c r="E548" s="802"/>
      <c r="F548" s="802"/>
      <c r="G548" s="802"/>
      <c r="H548" s="802"/>
      <c r="I548" s="802"/>
      <c r="J548" s="802"/>
      <c r="K548" s="802"/>
      <c r="L548" s="802"/>
      <c r="M548" s="802"/>
      <c r="N548" s="802"/>
      <c r="O548" s="802"/>
      <c r="P548" s="802"/>
      <c r="Q548" s="802"/>
      <c r="R548" s="802"/>
      <c r="S548" s="802"/>
      <c r="T548" s="802"/>
      <c r="U548" s="802"/>
      <c r="V548" s="802"/>
      <c r="W548" s="802"/>
      <c r="X548" s="802"/>
      <c r="Y548" s="802"/>
      <c r="Z548" s="802"/>
      <c r="AA548" s="802"/>
      <c r="AB548" s="802"/>
      <c r="AC548" s="802"/>
      <c r="AD548" s="802"/>
      <c r="AE548" s="802"/>
      <c r="AF548" s="802"/>
      <c r="AG548" s="802"/>
      <c r="AH548" s="802"/>
      <c r="AI548" s="802"/>
      <c r="AJ548" s="802"/>
      <c r="AK548" s="802"/>
      <c r="AL548" s="802"/>
      <c r="AM548" s="802"/>
      <c r="AN548" s="802"/>
      <c r="AO548" s="802"/>
      <c r="AP548" s="802"/>
      <c r="AQ548" s="802"/>
      <c r="AR548" s="802"/>
      <c r="AS548" s="802"/>
      <c r="AT548" s="802"/>
      <c r="AU548" s="802"/>
      <c r="AV548" s="802"/>
      <c r="AW548" s="802"/>
      <c r="AX548" s="802"/>
      <c r="AY548" s="802"/>
    </row>
    <row r="549" ht="21.75" customHeight="1">
      <c r="A549" s="802"/>
      <c r="B549" s="802"/>
      <c r="C549" s="802"/>
      <c r="D549" s="802"/>
      <c r="E549" s="802"/>
      <c r="F549" s="802"/>
      <c r="G549" s="802"/>
      <c r="H549" s="802"/>
      <c r="I549" s="802"/>
      <c r="J549" s="802"/>
      <c r="K549" s="802"/>
      <c r="L549" s="802"/>
      <c r="M549" s="802"/>
      <c r="N549" s="802"/>
      <c r="O549" s="802"/>
      <c r="P549" s="802"/>
      <c r="Q549" s="802"/>
      <c r="R549" s="802"/>
      <c r="S549" s="802"/>
      <c r="T549" s="802"/>
      <c r="U549" s="802"/>
      <c r="V549" s="802"/>
      <c r="W549" s="802"/>
      <c r="X549" s="802"/>
      <c r="Y549" s="802"/>
      <c r="Z549" s="802"/>
      <c r="AA549" s="802"/>
      <c r="AB549" s="802"/>
      <c r="AC549" s="802"/>
      <c r="AD549" s="802"/>
      <c r="AE549" s="802"/>
      <c r="AF549" s="802"/>
      <c r="AG549" s="802"/>
      <c r="AH549" s="802"/>
      <c r="AI549" s="802"/>
      <c r="AJ549" s="802"/>
      <c r="AK549" s="802"/>
      <c r="AL549" s="802"/>
      <c r="AM549" s="802"/>
      <c r="AN549" s="802"/>
      <c r="AO549" s="802"/>
      <c r="AP549" s="802"/>
      <c r="AQ549" s="802"/>
      <c r="AR549" s="802"/>
      <c r="AS549" s="802"/>
      <c r="AT549" s="802"/>
      <c r="AU549" s="802"/>
      <c r="AV549" s="802"/>
      <c r="AW549" s="802"/>
      <c r="AX549" s="802"/>
      <c r="AY549" s="802"/>
    </row>
    <row r="550" ht="21.75" customHeight="1">
      <c r="A550" s="802"/>
      <c r="B550" s="802"/>
      <c r="C550" s="802"/>
      <c r="D550" s="802"/>
      <c r="E550" s="802"/>
      <c r="F550" s="802"/>
      <c r="G550" s="802"/>
      <c r="H550" s="802"/>
      <c r="I550" s="802"/>
      <c r="J550" s="802"/>
      <c r="K550" s="802"/>
      <c r="L550" s="802"/>
      <c r="M550" s="802"/>
      <c r="N550" s="802"/>
      <c r="O550" s="802"/>
      <c r="P550" s="802"/>
      <c r="Q550" s="802"/>
      <c r="R550" s="802"/>
      <c r="S550" s="802"/>
      <c r="T550" s="802"/>
      <c r="U550" s="802"/>
      <c r="V550" s="802"/>
      <c r="W550" s="802"/>
      <c r="X550" s="802"/>
      <c r="Y550" s="802"/>
      <c r="Z550" s="802"/>
      <c r="AA550" s="802"/>
      <c r="AB550" s="802"/>
      <c r="AC550" s="802"/>
      <c r="AD550" s="802"/>
      <c r="AE550" s="802"/>
      <c r="AF550" s="802"/>
      <c r="AG550" s="802"/>
      <c r="AH550" s="802"/>
      <c r="AI550" s="802"/>
      <c r="AJ550" s="802"/>
      <c r="AK550" s="802"/>
      <c r="AL550" s="802"/>
      <c r="AM550" s="802"/>
      <c r="AN550" s="802"/>
      <c r="AO550" s="802"/>
      <c r="AP550" s="802"/>
      <c r="AQ550" s="802"/>
      <c r="AR550" s="802"/>
      <c r="AS550" s="802"/>
      <c r="AT550" s="802"/>
      <c r="AU550" s="802"/>
      <c r="AV550" s="802"/>
      <c r="AW550" s="802"/>
      <c r="AX550" s="802"/>
      <c r="AY550" s="802"/>
    </row>
    <row r="551" ht="21.75" customHeight="1">
      <c r="A551" s="802"/>
      <c r="B551" s="802"/>
      <c r="C551" s="802"/>
      <c r="D551" s="802"/>
      <c r="E551" s="802"/>
      <c r="F551" s="802"/>
      <c r="G551" s="802"/>
      <c r="H551" s="802"/>
      <c r="I551" s="802"/>
      <c r="J551" s="802"/>
      <c r="K551" s="802"/>
      <c r="L551" s="802"/>
      <c r="M551" s="802"/>
      <c r="N551" s="802"/>
      <c r="O551" s="802"/>
      <c r="P551" s="802"/>
      <c r="Q551" s="802"/>
      <c r="R551" s="802"/>
      <c r="S551" s="802"/>
      <c r="T551" s="802"/>
      <c r="U551" s="802"/>
      <c r="V551" s="802"/>
      <c r="W551" s="802"/>
      <c r="X551" s="802"/>
      <c r="Y551" s="802"/>
      <c r="Z551" s="802"/>
      <c r="AA551" s="802"/>
      <c r="AB551" s="802"/>
      <c r="AC551" s="802"/>
      <c r="AD551" s="802"/>
      <c r="AE551" s="802"/>
      <c r="AF551" s="802"/>
      <c r="AG551" s="802"/>
      <c r="AH551" s="802"/>
      <c r="AI551" s="802"/>
      <c r="AJ551" s="802"/>
      <c r="AK551" s="802"/>
      <c r="AL551" s="802"/>
      <c r="AM551" s="802"/>
      <c r="AN551" s="802"/>
      <c r="AO551" s="802"/>
      <c r="AP551" s="802"/>
      <c r="AQ551" s="802"/>
      <c r="AR551" s="802"/>
      <c r="AS551" s="802"/>
      <c r="AT551" s="802"/>
      <c r="AU551" s="802"/>
      <c r="AV551" s="802"/>
      <c r="AW551" s="802"/>
      <c r="AX551" s="802"/>
      <c r="AY551" s="802"/>
    </row>
    <row r="552" ht="21.75" customHeight="1">
      <c r="A552" s="802"/>
      <c r="B552" s="802"/>
      <c r="C552" s="802"/>
      <c r="D552" s="802"/>
      <c r="E552" s="802"/>
      <c r="F552" s="802"/>
      <c r="G552" s="802"/>
      <c r="H552" s="802"/>
      <c r="I552" s="802"/>
      <c r="J552" s="802"/>
      <c r="K552" s="802"/>
      <c r="L552" s="802"/>
      <c r="M552" s="802"/>
      <c r="N552" s="802"/>
      <c r="O552" s="802"/>
      <c r="P552" s="802"/>
      <c r="Q552" s="802"/>
      <c r="R552" s="802"/>
      <c r="S552" s="802"/>
      <c r="T552" s="802"/>
      <c r="U552" s="802"/>
      <c r="V552" s="802"/>
      <c r="W552" s="802"/>
      <c r="X552" s="802"/>
      <c r="Y552" s="802"/>
      <c r="Z552" s="802"/>
      <c r="AA552" s="802"/>
      <c r="AB552" s="802"/>
      <c r="AC552" s="802"/>
      <c r="AD552" s="802"/>
      <c r="AE552" s="802"/>
      <c r="AF552" s="802"/>
      <c r="AG552" s="802"/>
      <c r="AH552" s="802"/>
      <c r="AI552" s="802"/>
      <c r="AJ552" s="802"/>
      <c r="AK552" s="802"/>
      <c r="AL552" s="802"/>
      <c r="AM552" s="802"/>
      <c r="AN552" s="802"/>
      <c r="AO552" s="802"/>
      <c r="AP552" s="802"/>
      <c r="AQ552" s="802"/>
      <c r="AR552" s="802"/>
      <c r="AS552" s="802"/>
      <c r="AT552" s="802"/>
      <c r="AU552" s="802"/>
      <c r="AV552" s="802"/>
      <c r="AW552" s="802"/>
      <c r="AX552" s="802"/>
      <c r="AY552" s="802"/>
    </row>
    <row r="553" ht="21.75" customHeight="1">
      <c r="A553" s="802"/>
      <c r="B553" s="802"/>
      <c r="C553" s="802"/>
      <c r="D553" s="802"/>
      <c r="E553" s="802"/>
      <c r="F553" s="802"/>
      <c r="G553" s="802"/>
      <c r="H553" s="802"/>
      <c r="I553" s="802"/>
      <c r="J553" s="802"/>
      <c r="K553" s="802"/>
      <c r="L553" s="802"/>
      <c r="M553" s="802"/>
      <c r="N553" s="802"/>
      <c r="O553" s="802"/>
      <c r="P553" s="802"/>
      <c r="Q553" s="802"/>
      <c r="R553" s="802"/>
      <c r="S553" s="802"/>
      <c r="T553" s="802"/>
      <c r="U553" s="802"/>
      <c r="V553" s="802"/>
      <c r="W553" s="802"/>
      <c r="X553" s="802"/>
      <c r="Y553" s="802"/>
      <c r="Z553" s="802"/>
      <c r="AA553" s="802"/>
      <c r="AB553" s="802"/>
      <c r="AC553" s="802"/>
      <c r="AD553" s="802"/>
      <c r="AE553" s="802"/>
      <c r="AF553" s="802"/>
      <c r="AG553" s="802"/>
      <c r="AH553" s="802"/>
      <c r="AI553" s="802"/>
      <c r="AJ553" s="802"/>
      <c r="AK553" s="802"/>
      <c r="AL553" s="802"/>
      <c r="AM553" s="802"/>
      <c r="AN553" s="802"/>
      <c r="AO553" s="802"/>
      <c r="AP553" s="802"/>
      <c r="AQ553" s="802"/>
      <c r="AR553" s="802"/>
      <c r="AS553" s="802"/>
      <c r="AT553" s="802"/>
      <c r="AU553" s="802"/>
      <c r="AV553" s="802"/>
      <c r="AW553" s="802"/>
      <c r="AX553" s="802"/>
      <c r="AY553" s="802"/>
    </row>
    <row r="554" ht="21.75" customHeight="1">
      <c r="A554" s="802"/>
      <c r="B554" s="802"/>
      <c r="C554" s="802"/>
      <c r="D554" s="802"/>
      <c r="E554" s="802"/>
      <c r="F554" s="802"/>
      <c r="G554" s="802"/>
      <c r="H554" s="802"/>
      <c r="I554" s="802"/>
      <c r="J554" s="802"/>
      <c r="K554" s="802"/>
      <c r="L554" s="802"/>
      <c r="M554" s="802"/>
      <c r="N554" s="802"/>
      <c r="O554" s="802"/>
      <c r="P554" s="802"/>
      <c r="Q554" s="802"/>
      <c r="R554" s="802"/>
      <c r="S554" s="802"/>
      <c r="T554" s="802"/>
      <c r="U554" s="802"/>
      <c r="V554" s="802"/>
      <c r="W554" s="802"/>
      <c r="X554" s="802"/>
      <c r="Y554" s="802"/>
      <c r="Z554" s="802"/>
      <c r="AA554" s="802"/>
      <c r="AB554" s="802"/>
      <c r="AC554" s="802"/>
      <c r="AD554" s="802"/>
      <c r="AE554" s="802"/>
      <c r="AF554" s="802"/>
      <c r="AG554" s="802"/>
      <c r="AH554" s="802"/>
      <c r="AI554" s="802"/>
      <c r="AJ554" s="802"/>
      <c r="AK554" s="802"/>
      <c r="AL554" s="802"/>
      <c r="AM554" s="802"/>
      <c r="AN554" s="802"/>
      <c r="AO554" s="802"/>
      <c r="AP554" s="802"/>
      <c r="AQ554" s="802"/>
      <c r="AR554" s="802"/>
      <c r="AS554" s="802"/>
      <c r="AT554" s="802"/>
      <c r="AU554" s="802"/>
      <c r="AV554" s="802"/>
      <c r="AW554" s="802"/>
      <c r="AX554" s="802"/>
      <c r="AY554" s="802"/>
    </row>
    <row r="555" ht="21.75" customHeight="1">
      <c r="A555" s="802"/>
      <c r="B555" s="802"/>
      <c r="C555" s="802"/>
      <c r="D555" s="802"/>
      <c r="E555" s="802"/>
      <c r="F555" s="802"/>
      <c r="G555" s="802"/>
      <c r="H555" s="802"/>
      <c r="I555" s="802"/>
      <c r="J555" s="802"/>
      <c r="K555" s="802"/>
      <c r="L555" s="802"/>
      <c r="M555" s="802"/>
      <c r="N555" s="802"/>
      <c r="O555" s="802"/>
      <c r="P555" s="802"/>
      <c r="Q555" s="802"/>
      <c r="R555" s="802"/>
      <c r="S555" s="802"/>
      <c r="T555" s="802"/>
      <c r="U555" s="802"/>
      <c r="V555" s="802"/>
      <c r="W555" s="802"/>
      <c r="X555" s="802"/>
      <c r="Y555" s="802"/>
      <c r="Z555" s="802"/>
      <c r="AA555" s="802"/>
      <c r="AB555" s="802"/>
      <c r="AC555" s="802"/>
      <c r="AD555" s="802"/>
      <c r="AE555" s="802"/>
      <c r="AF555" s="802"/>
      <c r="AG555" s="802"/>
      <c r="AH555" s="802"/>
      <c r="AI555" s="802"/>
      <c r="AJ555" s="802"/>
      <c r="AK555" s="802"/>
      <c r="AL555" s="802"/>
      <c r="AM555" s="802"/>
      <c r="AN555" s="802"/>
      <c r="AO555" s="802"/>
      <c r="AP555" s="802"/>
      <c r="AQ555" s="802"/>
      <c r="AR555" s="802"/>
      <c r="AS555" s="802"/>
      <c r="AT555" s="802"/>
      <c r="AU555" s="802"/>
      <c r="AV555" s="802"/>
      <c r="AW555" s="802"/>
      <c r="AX555" s="802"/>
      <c r="AY555" s="802"/>
    </row>
    <row r="556" ht="21.75" customHeight="1">
      <c r="A556" s="802"/>
      <c r="B556" s="802"/>
      <c r="C556" s="802"/>
      <c r="D556" s="802"/>
      <c r="E556" s="802"/>
      <c r="F556" s="802"/>
      <c r="G556" s="802"/>
      <c r="H556" s="802"/>
      <c r="I556" s="802"/>
      <c r="J556" s="802"/>
      <c r="K556" s="802"/>
      <c r="L556" s="802"/>
      <c r="M556" s="802"/>
      <c r="N556" s="802"/>
      <c r="O556" s="802"/>
      <c r="P556" s="802"/>
      <c r="Q556" s="802"/>
      <c r="R556" s="802"/>
      <c r="S556" s="802"/>
      <c r="T556" s="802"/>
      <c r="U556" s="802"/>
      <c r="V556" s="802"/>
      <c r="W556" s="802"/>
      <c r="X556" s="802"/>
      <c r="Y556" s="802"/>
      <c r="Z556" s="802"/>
      <c r="AA556" s="802"/>
      <c r="AB556" s="802"/>
      <c r="AC556" s="802"/>
      <c r="AD556" s="802"/>
      <c r="AE556" s="802"/>
      <c r="AF556" s="802"/>
      <c r="AG556" s="802"/>
      <c r="AH556" s="802"/>
      <c r="AI556" s="802"/>
      <c r="AJ556" s="802"/>
      <c r="AK556" s="802"/>
      <c r="AL556" s="802"/>
      <c r="AM556" s="802"/>
      <c r="AN556" s="802"/>
      <c r="AO556" s="802"/>
      <c r="AP556" s="802"/>
      <c r="AQ556" s="802"/>
      <c r="AR556" s="802"/>
      <c r="AS556" s="802"/>
      <c r="AT556" s="802"/>
      <c r="AU556" s="802"/>
      <c r="AV556" s="802"/>
      <c r="AW556" s="802"/>
      <c r="AX556" s="802"/>
      <c r="AY556" s="802"/>
    </row>
    <row r="557" ht="21.75" customHeight="1">
      <c r="A557" s="802"/>
      <c r="B557" s="802"/>
      <c r="C557" s="802"/>
      <c r="D557" s="802"/>
      <c r="E557" s="802"/>
      <c r="F557" s="802"/>
      <c r="G557" s="802"/>
      <c r="H557" s="802"/>
      <c r="I557" s="802"/>
      <c r="J557" s="802"/>
      <c r="K557" s="802"/>
      <c r="L557" s="802"/>
      <c r="M557" s="802"/>
      <c r="N557" s="802"/>
      <c r="O557" s="802"/>
      <c r="P557" s="802"/>
      <c r="Q557" s="802"/>
      <c r="R557" s="802"/>
      <c r="S557" s="802"/>
      <c r="T557" s="802"/>
      <c r="U557" s="802"/>
      <c r="V557" s="802"/>
      <c r="W557" s="802"/>
      <c r="X557" s="802"/>
      <c r="Y557" s="802"/>
      <c r="Z557" s="802"/>
      <c r="AA557" s="802"/>
      <c r="AB557" s="802"/>
      <c r="AC557" s="802"/>
      <c r="AD557" s="802"/>
      <c r="AE557" s="802"/>
      <c r="AF557" s="802"/>
      <c r="AG557" s="802"/>
      <c r="AH557" s="802"/>
      <c r="AI557" s="802"/>
      <c r="AJ557" s="802"/>
      <c r="AK557" s="802"/>
      <c r="AL557" s="802"/>
      <c r="AM557" s="802"/>
      <c r="AN557" s="802"/>
      <c r="AO557" s="802"/>
      <c r="AP557" s="802"/>
      <c r="AQ557" s="802"/>
      <c r="AR557" s="802"/>
      <c r="AS557" s="802"/>
      <c r="AT557" s="802"/>
      <c r="AU557" s="802"/>
      <c r="AV557" s="802"/>
      <c r="AW557" s="802"/>
      <c r="AX557" s="802"/>
      <c r="AY557" s="802"/>
    </row>
    <row r="558" ht="21.75" customHeight="1">
      <c r="A558" s="802"/>
      <c r="B558" s="802"/>
      <c r="C558" s="802"/>
      <c r="D558" s="802"/>
      <c r="E558" s="802"/>
      <c r="F558" s="802"/>
      <c r="G558" s="802"/>
      <c r="H558" s="802"/>
      <c r="I558" s="802"/>
      <c r="J558" s="802"/>
      <c r="K558" s="802"/>
      <c r="L558" s="802"/>
      <c r="M558" s="802"/>
      <c r="N558" s="802"/>
      <c r="O558" s="802"/>
      <c r="P558" s="802"/>
      <c r="Q558" s="802"/>
      <c r="R558" s="802"/>
      <c r="S558" s="802"/>
      <c r="T558" s="802"/>
      <c r="U558" s="802"/>
      <c r="V558" s="802"/>
      <c r="W558" s="802"/>
      <c r="X558" s="802"/>
      <c r="Y558" s="802"/>
      <c r="Z558" s="802"/>
      <c r="AA558" s="802"/>
      <c r="AB558" s="802"/>
      <c r="AC558" s="802"/>
      <c r="AD558" s="802"/>
      <c r="AE558" s="802"/>
      <c r="AF558" s="802"/>
      <c r="AG558" s="802"/>
      <c r="AH558" s="802"/>
      <c r="AI558" s="802"/>
      <c r="AJ558" s="802"/>
      <c r="AK558" s="802"/>
      <c r="AL558" s="802"/>
      <c r="AM558" s="802"/>
      <c r="AN558" s="802"/>
      <c r="AO558" s="802"/>
      <c r="AP558" s="802"/>
      <c r="AQ558" s="802"/>
      <c r="AR558" s="802"/>
      <c r="AS558" s="802"/>
      <c r="AT558" s="802"/>
      <c r="AU558" s="802"/>
      <c r="AV558" s="802"/>
      <c r="AW558" s="802"/>
      <c r="AX558" s="802"/>
      <c r="AY558" s="802"/>
    </row>
    <row r="559" ht="21.75" customHeight="1">
      <c r="A559" s="802"/>
      <c r="B559" s="802"/>
      <c r="C559" s="802"/>
      <c r="D559" s="802"/>
      <c r="E559" s="802"/>
      <c r="F559" s="802"/>
      <c r="G559" s="802"/>
      <c r="H559" s="802"/>
      <c r="I559" s="802"/>
      <c r="J559" s="802"/>
      <c r="K559" s="802"/>
      <c r="L559" s="802"/>
      <c r="M559" s="802"/>
      <c r="N559" s="802"/>
      <c r="O559" s="802"/>
      <c r="P559" s="802"/>
      <c r="Q559" s="802"/>
      <c r="R559" s="802"/>
      <c r="S559" s="802"/>
      <c r="T559" s="802"/>
      <c r="U559" s="802"/>
      <c r="V559" s="802"/>
      <c r="W559" s="802"/>
      <c r="X559" s="802"/>
      <c r="Y559" s="802"/>
      <c r="Z559" s="802"/>
      <c r="AA559" s="802"/>
      <c r="AB559" s="802"/>
      <c r="AC559" s="802"/>
      <c r="AD559" s="802"/>
      <c r="AE559" s="802"/>
      <c r="AF559" s="802"/>
      <c r="AG559" s="802"/>
      <c r="AH559" s="802"/>
      <c r="AI559" s="802"/>
      <c r="AJ559" s="802"/>
      <c r="AK559" s="802"/>
      <c r="AL559" s="802"/>
      <c r="AM559" s="802"/>
      <c r="AN559" s="802"/>
      <c r="AO559" s="802"/>
      <c r="AP559" s="802"/>
      <c r="AQ559" s="802"/>
      <c r="AR559" s="802"/>
      <c r="AS559" s="802"/>
      <c r="AT559" s="802"/>
      <c r="AU559" s="802"/>
      <c r="AV559" s="802"/>
      <c r="AW559" s="802"/>
      <c r="AX559" s="802"/>
      <c r="AY559" s="802"/>
    </row>
    <row r="560" ht="21.75" customHeight="1">
      <c r="A560" s="802"/>
      <c r="B560" s="802"/>
      <c r="C560" s="802"/>
      <c r="D560" s="802"/>
      <c r="E560" s="802"/>
      <c r="F560" s="802"/>
      <c r="G560" s="802"/>
      <c r="H560" s="802"/>
      <c r="I560" s="802"/>
      <c r="J560" s="802"/>
      <c r="K560" s="802"/>
      <c r="L560" s="802"/>
      <c r="M560" s="802"/>
      <c r="N560" s="802"/>
      <c r="O560" s="802"/>
      <c r="P560" s="802"/>
      <c r="Q560" s="802"/>
      <c r="R560" s="802"/>
      <c r="S560" s="802"/>
      <c r="T560" s="802"/>
      <c r="U560" s="802"/>
      <c r="V560" s="802"/>
      <c r="W560" s="802"/>
      <c r="X560" s="802"/>
      <c r="Y560" s="802"/>
      <c r="Z560" s="802"/>
      <c r="AA560" s="802"/>
      <c r="AB560" s="802"/>
      <c r="AC560" s="802"/>
      <c r="AD560" s="802"/>
      <c r="AE560" s="802"/>
      <c r="AF560" s="802"/>
      <c r="AG560" s="802"/>
      <c r="AH560" s="802"/>
      <c r="AI560" s="802"/>
      <c r="AJ560" s="802"/>
      <c r="AK560" s="802"/>
      <c r="AL560" s="802"/>
      <c r="AM560" s="802"/>
      <c r="AN560" s="802"/>
      <c r="AO560" s="802"/>
      <c r="AP560" s="802"/>
      <c r="AQ560" s="802"/>
      <c r="AR560" s="802"/>
      <c r="AS560" s="802"/>
      <c r="AT560" s="802"/>
      <c r="AU560" s="802"/>
      <c r="AV560" s="802"/>
      <c r="AW560" s="802"/>
      <c r="AX560" s="802"/>
      <c r="AY560" s="802"/>
    </row>
    <row r="561" ht="21.75" customHeight="1">
      <c r="A561" s="802"/>
      <c r="B561" s="802"/>
      <c r="C561" s="802"/>
      <c r="D561" s="802"/>
      <c r="E561" s="802"/>
      <c r="F561" s="802"/>
      <c r="G561" s="802"/>
      <c r="H561" s="802"/>
      <c r="I561" s="802"/>
      <c r="J561" s="802"/>
      <c r="K561" s="802"/>
      <c r="L561" s="802"/>
      <c r="M561" s="802"/>
      <c r="N561" s="802"/>
      <c r="O561" s="802"/>
      <c r="P561" s="802"/>
      <c r="Q561" s="802"/>
      <c r="R561" s="802"/>
      <c r="S561" s="802"/>
      <c r="T561" s="802"/>
      <c r="U561" s="802"/>
      <c r="V561" s="802"/>
      <c r="W561" s="802"/>
      <c r="X561" s="802"/>
      <c r="Y561" s="802"/>
      <c r="Z561" s="802"/>
      <c r="AA561" s="802"/>
      <c r="AB561" s="802"/>
      <c r="AC561" s="802"/>
      <c r="AD561" s="802"/>
      <c r="AE561" s="802"/>
      <c r="AF561" s="802"/>
      <c r="AG561" s="802"/>
      <c r="AH561" s="802"/>
      <c r="AI561" s="802"/>
      <c r="AJ561" s="802"/>
      <c r="AK561" s="802"/>
      <c r="AL561" s="802"/>
      <c r="AM561" s="802"/>
      <c r="AN561" s="802"/>
      <c r="AO561" s="802"/>
      <c r="AP561" s="802"/>
      <c r="AQ561" s="802"/>
      <c r="AR561" s="802"/>
      <c r="AS561" s="802"/>
      <c r="AT561" s="802"/>
      <c r="AU561" s="802"/>
      <c r="AV561" s="802"/>
      <c r="AW561" s="802"/>
      <c r="AX561" s="802"/>
      <c r="AY561" s="802"/>
    </row>
    <row r="562" ht="21.75" customHeight="1">
      <c r="A562" s="802"/>
      <c r="B562" s="802"/>
      <c r="C562" s="802"/>
      <c r="D562" s="802"/>
      <c r="E562" s="802"/>
      <c r="F562" s="802"/>
      <c r="G562" s="802"/>
      <c r="H562" s="802"/>
      <c r="I562" s="802"/>
      <c r="J562" s="802"/>
      <c r="K562" s="802"/>
      <c r="L562" s="802"/>
      <c r="M562" s="802"/>
      <c r="N562" s="802"/>
      <c r="O562" s="802"/>
      <c r="P562" s="802"/>
      <c r="Q562" s="802"/>
      <c r="R562" s="802"/>
      <c r="S562" s="802"/>
      <c r="T562" s="802"/>
      <c r="U562" s="802"/>
      <c r="V562" s="802"/>
      <c r="W562" s="802"/>
      <c r="X562" s="802"/>
      <c r="Y562" s="802"/>
      <c r="Z562" s="802"/>
      <c r="AA562" s="802"/>
      <c r="AB562" s="802"/>
      <c r="AC562" s="802"/>
      <c r="AD562" s="802"/>
      <c r="AE562" s="802"/>
      <c r="AF562" s="802"/>
      <c r="AG562" s="802"/>
      <c r="AH562" s="802"/>
      <c r="AI562" s="802"/>
      <c r="AJ562" s="802"/>
      <c r="AK562" s="802"/>
      <c r="AL562" s="802"/>
      <c r="AM562" s="802"/>
      <c r="AN562" s="802"/>
      <c r="AO562" s="802"/>
      <c r="AP562" s="802"/>
      <c r="AQ562" s="802"/>
      <c r="AR562" s="802"/>
      <c r="AS562" s="802"/>
      <c r="AT562" s="802"/>
      <c r="AU562" s="802"/>
      <c r="AV562" s="802"/>
      <c r="AW562" s="802"/>
      <c r="AX562" s="802"/>
      <c r="AY562" s="802"/>
    </row>
    <row r="563" ht="21.75" customHeight="1">
      <c r="A563" s="802"/>
      <c r="B563" s="802"/>
      <c r="C563" s="802"/>
      <c r="D563" s="802"/>
      <c r="E563" s="802"/>
      <c r="F563" s="802"/>
      <c r="G563" s="802"/>
      <c r="H563" s="802"/>
      <c r="I563" s="802"/>
      <c r="J563" s="802"/>
      <c r="K563" s="802"/>
      <c r="L563" s="802"/>
      <c r="M563" s="802"/>
      <c r="N563" s="802"/>
      <c r="O563" s="802"/>
      <c r="P563" s="802"/>
      <c r="Q563" s="802"/>
      <c r="R563" s="802"/>
      <c r="S563" s="802"/>
      <c r="T563" s="802"/>
      <c r="U563" s="802"/>
      <c r="V563" s="802"/>
      <c r="W563" s="802"/>
      <c r="X563" s="802"/>
      <c r="Y563" s="802"/>
      <c r="Z563" s="802"/>
      <c r="AA563" s="802"/>
      <c r="AB563" s="802"/>
      <c r="AC563" s="802"/>
      <c r="AD563" s="802"/>
      <c r="AE563" s="802"/>
      <c r="AF563" s="802"/>
      <c r="AG563" s="802"/>
      <c r="AH563" s="802"/>
      <c r="AI563" s="802"/>
      <c r="AJ563" s="802"/>
      <c r="AK563" s="802"/>
      <c r="AL563" s="802"/>
      <c r="AM563" s="802"/>
      <c r="AN563" s="802"/>
      <c r="AO563" s="802"/>
      <c r="AP563" s="802"/>
      <c r="AQ563" s="802"/>
      <c r="AR563" s="802"/>
      <c r="AS563" s="802"/>
      <c r="AT563" s="802"/>
      <c r="AU563" s="802"/>
      <c r="AV563" s="802"/>
      <c r="AW563" s="802"/>
      <c r="AX563" s="802"/>
      <c r="AY563" s="802"/>
    </row>
    <row r="564" ht="21.75" customHeight="1">
      <c r="A564" s="802"/>
      <c r="B564" s="802"/>
      <c r="C564" s="802"/>
      <c r="D564" s="802"/>
      <c r="E564" s="802"/>
      <c r="F564" s="802"/>
      <c r="G564" s="802"/>
      <c r="H564" s="802"/>
      <c r="I564" s="802"/>
      <c r="J564" s="802"/>
      <c r="K564" s="802"/>
      <c r="L564" s="802"/>
      <c r="M564" s="802"/>
      <c r="N564" s="802"/>
      <c r="O564" s="802"/>
      <c r="P564" s="802"/>
      <c r="Q564" s="802"/>
      <c r="R564" s="802"/>
      <c r="S564" s="802"/>
      <c r="T564" s="802"/>
      <c r="U564" s="802"/>
      <c r="V564" s="802"/>
      <c r="W564" s="802"/>
      <c r="X564" s="802"/>
      <c r="Y564" s="802"/>
      <c r="Z564" s="802"/>
      <c r="AA564" s="802"/>
      <c r="AB564" s="802"/>
      <c r="AC564" s="802"/>
      <c r="AD564" s="802"/>
      <c r="AE564" s="802"/>
      <c r="AF564" s="802"/>
      <c r="AG564" s="802"/>
      <c r="AH564" s="802"/>
      <c r="AI564" s="802"/>
      <c r="AJ564" s="802"/>
      <c r="AK564" s="802"/>
      <c r="AL564" s="802"/>
      <c r="AM564" s="802"/>
      <c r="AN564" s="802"/>
      <c r="AO564" s="802"/>
      <c r="AP564" s="802"/>
      <c r="AQ564" s="802"/>
      <c r="AR564" s="802"/>
      <c r="AS564" s="802"/>
      <c r="AT564" s="802"/>
      <c r="AU564" s="802"/>
      <c r="AV564" s="802"/>
      <c r="AW564" s="802"/>
      <c r="AX564" s="802"/>
      <c r="AY564" s="802"/>
    </row>
    <row r="565" ht="21.75" customHeight="1">
      <c r="A565" s="802"/>
      <c r="B565" s="802"/>
      <c r="C565" s="802"/>
      <c r="D565" s="802"/>
      <c r="E565" s="802"/>
      <c r="F565" s="802"/>
      <c r="G565" s="802"/>
      <c r="H565" s="802"/>
      <c r="I565" s="802"/>
      <c r="J565" s="802"/>
      <c r="K565" s="802"/>
      <c r="L565" s="802"/>
      <c r="M565" s="802"/>
      <c r="N565" s="802"/>
      <c r="O565" s="802"/>
      <c r="P565" s="802"/>
      <c r="Q565" s="802"/>
      <c r="R565" s="802"/>
      <c r="S565" s="802"/>
      <c r="T565" s="802"/>
      <c r="U565" s="802"/>
      <c r="V565" s="802"/>
      <c r="W565" s="802"/>
      <c r="X565" s="802"/>
      <c r="Y565" s="802"/>
      <c r="Z565" s="802"/>
      <c r="AA565" s="802"/>
      <c r="AB565" s="802"/>
      <c r="AC565" s="802"/>
      <c r="AD565" s="802"/>
      <c r="AE565" s="802"/>
      <c r="AF565" s="802"/>
      <c r="AG565" s="802"/>
      <c r="AH565" s="802"/>
      <c r="AI565" s="802"/>
      <c r="AJ565" s="802"/>
      <c r="AK565" s="802"/>
      <c r="AL565" s="802"/>
      <c r="AM565" s="802"/>
      <c r="AN565" s="802"/>
      <c r="AO565" s="802"/>
      <c r="AP565" s="802"/>
      <c r="AQ565" s="802"/>
      <c r="AR565" s="802"/>
      <c r="AS565" s="802"/>
      <c r="AT565" s="802"/>
      <c r="AU565" s="802"/>
      <c r="AV565" s="802"/>
      <c r="AW565" s="802"/>
      <c r="AX565" s="802"/>
      <c r="AY565" s="802"/>
    </row>
    <row r="566" ht="21.75" customHeight="1">
      <c r="A566" s="802"/>
      <c r="B566" s="802"/>
      <c r="C566" s="802"/>
      <c r="D566" s="802"/>
      <c r="E566" s="802"/>
      <c r="F566" s="802"/>
      <c r="G566" s="802"/>
      <c r="H566" s="802"/>
      <c r="I566" s="802"/>
      <c r="J566" s="802"/>
      <c r="K566" s="802"/>
      <c r="L566" s="802"/>
      <c r="M566" s="802"/>
      <c r="N566" s="802"/>
      <c r="O566" s="802"/>
      <c r="P566" s="802"/>
      <c r="Q566" s="802"/>
      <c r="R566" s="802"/>
      <c r="S566" s="802"/>
      <c r="T566" s="802"/>
      <c r="U566" s="802"/>
      <c r="V566" s="802"/>
      <c r="W566" s="802"/>
      <c r="X566" s="802"/>
      <c r="Y566" s="802"/>
      <c r="Z566" s="802"/>
      <c r="AA566" s="802"/>
      <c r="AB566" s="802"/>
      <c r="AC566" s="802"/>
      <c r="AD566" s="802"/>
      <c r="AE566" s="802"/>
      <c r="AF566" s="802"/>
      <c r="AG566" s="802"/>
      <c r="AH566" s="802"/>
      <c r="AI566" s="802"/>
      <c r="AJ566" s="802"/>
      <c r="AK566" s="802"/>
      <c r="AL566" s="802"/>
      <c r="AM566" s="802"/>
      <c r="AN566" s="802"/>
      <c r="AO566" s="802"/>
      <c r="AP566" s="802"/>
      <c r="AQ566" s="802"/>
      <c r="AR566" s="802"/>
      <c r="AS566" s="802"/>
      <c r="AT566" s="802"/>
      <c r="AU566" s="802"/>
      <c r="AV566" s="802"/>
      <c r="AW566" s="802"/>
      <c r="AX566" s="802"/>
      <c r="AY566" s="802"/>
    </row>
    <row r="567" ht="21.75" customHeight="1">
      <c r="A567" s="802"/>
      <c r="B567" s="802"/>
      <c r="C567" s="802"/>
      <c r="D567" s="802"/>
      <c r="E567" s="802"/>
      <c r="F567" s="802"/>
      <c r="G567" s="802"/>
      <c r="H567" s="802"/>
      <c r="I567" s="802"/>
      <c r="J567" s="802"/>
      <c r="K567" s="802"/>
      <c r="L567" s="802"/>
      <c r="M567" s="802"/>
      <c r="N567" s="802"/>
      <c r="O567" s="802"/>
      <c r="P567" s="802"/>
      <c r="Q567" s="802"/>
      <c r="R567" s="802"/>
      <c r="S567" s="802"/>
      <c r="T567" s="802"/>
      <c r="U567" s="802"/>
      <c r="V567" s="802"/>
      <c r="W567" s="802"/>
      <c r="X567" s="802"/>
      <c r="Y567" s="802"/>
      <c r="Z567" s="802"/>
      <c r="AA567" s="802"/>
      <c r="AB567" s="802"/>
      <c r="AC567" s="802"/>
      <c r="AD567" s="802"/>
      <c r="AE567" s="802"/>
      <c r="AF567" s="802"/>
      <c r="AG567" s="802"/>
      <c r="AH567" s="802"/>
      <c r="AI567" s="802"/>
      <c r="AJ567" s="802"/>
      <c r="AK567" s="802"/>
      <c r="AL567" s="802"/>
      <c r="AM567" s="802"/>
      <c r="AN567" s="802"/>
      <c r="AO567" s="802"/>
      <c r="AP567" s="802"/>
      <c r="AQ567" s="802"/>
      <c r="AR567" s="802"/>
      <c r="AS567" s="802"/>
      <c r="AT567" s="802"/>
      <c r="AU567" s="802"/>
      <c r="AV567" s="802"/>
      <c r="AW567" s="802"/>
      <c r="AX567" s="802"/>
      <c r="AY567" s="802"/>
    </row>
    <row r="568" ht="21.75" customHeight="1">
      <c r="A568" s="802"/>
      <c r="B568" s="802"/>
      <c r="C568" s="802"/>
      <c r="D568" s="802"/>
      <c r="E568" s="802"/>
      <c r="F568" s="802"/>
      <c r="G568" s="802"/>
      <c r="H568" s="802"/>
      <c r="I568" s="802"/>
      <c r="J568" s="802"/>
      <c r="K568" s="802"/>
      <c r="L568" s="802"/>
      <c r="M568" s="802"/>
      <c r="N568" s="802"/>
      <c r="O568" s="802"/>
      <c r="P568" s="802"/>
      <c r="Q568" s="802"/>
      <c r="R568" s="802"/>
      <c r="S568" s="802"/>
      <c r="T568" s="802"/>
      <c r="U568" s="802"/>
      <c r="V568" s="802"/>
      <c r="W568" s="802"/>
      <c r="X568" s="802"/>
      <c r="Y568" s="802"/>
      <c r="Z568" s="802"/>
      <c r="AA568" s="802"/>
      <c r="AB568" s="802"/>
      <c r="AC568" s="802"/>
      <c r="AD568" s="802"/>
      <c r="AE568" s="802"/>
      <c r="AF568" s="802"/>
      <c r="AG568" s="802"/>
      <c r="AH568" s="802"/>
      <c r="AI568" s="802"/>
      <c r="AJ568" s="802"/>
      <c r="AK568" s="802"/>
      <c r="AL568" s="802"/>
      <c r="AM568" s="802"/>
      <c r="AN568" s="802"/>
      <c r="AO568" s="802"/>
      <c r="AP568" s="802"/>
      <c r="AQ568" s="802"/>
      <c r="AR568" s="802"/>
      <c r="AS568" s="802"/>
      <c r="AT568" s="802"/>
      <c r="AU568" s="802"/>
      <c r="AV568" s="802"/>
      <c r="AW568" s="802"/>
      <c r="AX568" s="802"/>
      <c r="AY568" s="802"/>
    </row>
    <row r="569" ht="21.75" customHeight="1">
      <c r="A569" s="802"/>
      <c r="B569" s="802"/>
      <c r="C569" s="802"/>
      <c r="D569" s="802"/>
      <c r="E569" s="802"/>
      <c r="F569" s="802"/>
      <c r="G569" s="802"/>
      <c r="H569" s="802"/>
      <c r="I569" s="802"/>
      <c r="J569" s="802"/>
      <c r="K569" s="802"/>
      <c r="L569" s="802"/>
      <c r="M569" s="802"/>
      <c r="N569" s="802"/>
      <c r="O569" s="802"/>
      <c r="P569" s="802"/>
      <c r="Q569" s="802"/>
      <c r="R569" s="802"/>
      <c r="S569" s="802"/>
      <c r="T569" s="802"/>
      <c r="U569" s="802"/>
      <c r="V569" s="802"/>
      <c r="W569" s="802"/>
      <c r="X569" s="802"/>
      <c r="Y569" s="802"/>
      <c r="Z569" s="802"/>
      <c r="AA569" s="802"/>
      <c r="AB569" s="802"/>
      <c r="AC569" s="802"/>
      <c r="AD569" s="802"/>
      <c r="AE569" s="802"/>
      <c r="AF569" s="802"/>
      <c r="AG569" s="802"/>
      <c r="AH569" s="802"/>
      <c r="AI569" s="802"/>
      <c r="AJ569" s="802"/>
      <c r="AK569" s="802"/>
      <c r="AL569" s="802"/>
      <c r="AM569" s="802"/>
      <c r="AN569" s="802"/>
      <c r="AO569" s="802"/>
      <c r="AP569" s="802"/>
      <c r="AQ569" s="802"/>
      <c r="AR569" s="802"/>
      <c r="AS569" s="802"/>
      <c r="AT569" s="802"/>
      <c r="AU569" s="802"/>
      <c r="AV569" s="802"/>
      <c r="AW569" s="802"/>
      <c r="AX569" s="802"/>
      <c r="AY569" s="802"/>
    </row>
    <row r="570" ht="21.75" customHeight="1">
      <c r="A570" s="802"/>
      <c r="B570" s="802"/>
      <c r="C570" s="802"/>
      <c r="D570" s="802"/>
      <c r="E570" s="802"/>
      <c r="F570" s="802"/>
      <c r="G570" s="802"/>
      <c r="H570" s="802"/>
      <c r="I570" s="802"/>
      <c r="J570" s="802"/>
      <c r="K570" s="802"/>
      <c r="L570" s="802"/>
      <c r="M570" s="802"/>
      <c r="N570" s="802"/>
      <c r="O570" s="802"/>
      <c r="P570" s="802"/>
      <c r="Q570" s="802"/>
      <c r="R570" s="802"/>
      <c r="S570" s="802"/>
      <c r="T570" s="802"/>
      <c r="U570" s="802"/>
      <c r="V570" s="802"/>
      <c r="W570" s="802"/>
      <c r="X570" s="802"/>
      <c r="Y570" s="802"/>
      <c r="Z570" s="802"/>
      <c r="AA570" s="802"/>
      <c r="AB570" s="802"/>
      <c r="AC570" s="802"/>
      <c r="AD570" s="802"/>
      <c r="AE570" s="802"/>
      <c r="AF570" s="802"/>
      <c r="AG570" s="802"/>
      <c r="AH570" s="802"/>
      <c r="AI570" s="802"/>
      <c r="AJ570" s="802"/>
      <c r="AK570" s="802"/>
      <c r="AL570" s="802"/>
      <c r="AM570" s="802"/>
      <c r="AN570" s="802"/>
      <c r="AO570" s="802"/>
      <c r="AP570" s="802"/>
      <c r="AQ570" s="802"/>
      <c r="AR570" s="802"/>
      <c r="AS570" s="802"/>
      <c r="AT570" s="802"/>
      <c r="AU570" s="802"/>
      <c r="AV570" s="802"/>
      <c r="AW570" s="802"/>
      <c r="AX570" s="802"/>
      <c r="AY570" s="802"/>
    </row>
    <row r="571" ht="21.75" customHeight="1">
      <c r="A571" s="802"/>
      <c r="B571" s="802"/>
      <c r="C571" s="802"/>
      <c r="D571" s="802"/>
      <c r="E571" s="802"/>
      <c r="F571" s="802"/>
      <c r="G571" s="802"/>
      <c r="H571" s="802"/>
      <c r="I571" s="802"/>
      <c r="J571" s="802"/>
      <c r="K571" s="802"/>
      <c r="L571" s="802"/>
      <c r="M571" s="802"/>
      <c r="N571" s="802"/>
      <c r="O571" s="802"/>
      <c r="P571" s="802"/>
      <c r="Q571" s="802"/>
      <c r="R571" s="802"/>
      <c r="S571" s="802"/>
      <c r="T571" s="802"/>
      <c r="U571" s="802"/>
      <c r="V571" s="802"/>
      <c r="W571" s="802"/>
      <c r="X571" s="802"/>
      <c r="Y571" s="802"/>
      <c r="Z571" s="802"/>
      <c r="AA571" s="802"/>
      <c r="AB571" s="802"/>
      <c r="AC571" s="802"/>
      <c r="AD571" s="802"/>
      <c r="AE571" s="802"/>
      <c r="AF571" s="802"/>
      <c r="AG571" s="802"/>
      <c r="AH571" s="802"/>
      <c r="AI571" s="802"/>
      <c r="AJ571" s="802"/>
      <c r="AK571" s="802"/>
      <c r="AL571" s="802"/>
      <c r="AM571" s="802"/>
      <c r="AN571" s="802"/>
      <c r="AO571" s="802"/>
      <c r="AP571" s="802"/>
      <c r="AQ571" s="802"/>
      <c r="AR571" s="802"/>
      <c r="AS571" s="802"/>
      <c r="AT571" s="802"/>
      <c r="AU571" s="802"/>
      <c r="AV571" s="802"/>
      <c r="AW571" s="802"/>
      <c r="AX571" s="802"/>
      <c r="AY571" s="802"/>
    </row>
    <row r="572" ht="21.75" customHeight="1">
      <c r="A572" s="802"/>
      <c r="B572" s="802"/>
      <c r="C572" s="802"/>
      <c r="D572" s="802"/>
      <c r="E572" s="802"/>
      <c r="F572" s="802"/>
      <c r="G572" s="802"/>
      <c r="H572" s="802"/>
      <c r="I572" s="802"/>
      <c r="J572" s="802"/>
      <c r="K572" s="802"/>
      <c r="L572" s="802"/>
      <c r="M572" s="802"/>
      <c r="N572" s="802"/>
      <c r="O572" s="802"/>
      <c r="P572" s="802"/>
      <c r="Q572" s="802"/>
      <c r="R572" s="802"/>
      <c r="S572" s="802"/>
      <c r="T572" s="802"/>
      <c r="U572" s="802"/>
      <c r="V572" s="802"/>
      <c r="W572" s="802"/>
      <c r="X572" s="802"/>
      <c r="Y572" s="802"/>
      <c r="Z572" s="802"/>
      <c r="AA572" s="802"/>
      <c r="AB572" s="802"/>
      <c r="AC572" s="802"/>
      <c r="AD572" s="802"/>
      <c r="AE572" s="802"/>
      <c r="AF572" s="802"/>
      <c r="AG572" s="802"/>
      <c r="AH572" s="802"/>
      <c r="AI572" s="802"/>
      <c r="AJ572" s="802"/>
      <c r="AK572" s="802"/>
      <c r="AL572" s="802"/>
      <c r="AM572" s="802"/>
      <c r="AN572" s="802"/>
      <c r="AO572" s="802"/>
      <c r="AP572" s="802"/>
      <c r="AQ572" s="802"/>
      <c r="AR572" s="802"/>
      <c r="AS572" s="802"/>
      <c r="AT572" s="802"/>
      <c r="AU572" s="802"/>
      <c r="AV572" s="802"/>
      <c r="AW572" s="802"/>
      <c r="AX572" s="802"/>
      <c r="AY572" s="802"/>
    </row>
    <row r="573" ht="21.75" customHeight="1">
      <c r="A573" s="802"/>
      <c r="B573" s="802"/>
      <c r="C573" s="802"/>
      <c r="D573" s="802"/>
      <c r="E573" s="802"/>
      <c r="F573" s="802"/>
      <c r="G573" s="802"/>
      <c r="H573" s="802"/>
      <c r="I573" s="802"/>
      <c r="J573" s="802"/>
      <c r="K573" s="802"/>
      <c r="L573" s="802"/>
      <c r="M573" s="802"/>
      <c r="N573" s="802"/>
      <c r="O573" s="802"/>
      <c r="P573" s="802"/>
      <c r="Q573" s="802"/>
      <c r="R573" s="802"/>
      <c r="S573" s="802"/>
      <c r="T573" s="802"/>
      <c r="U573" s="802"/>
      <c r="V573" s="802"/>
      <c r="W573" s="802"/>
      <c r="X573" s="802"/>
      <c r="Y573" s="802"/>
      <c r="Z573" s="802"/>
      <c r="AA573" s="802"/>
      <c r="AB573" s="802"/>
      <c r="AC573" s="802"/>
      <c r="AD573" s="802"/>
      <c r="AE573" s="802"/>
      <c r="AF573" s="802"/>
      <c r="AG573" s="802"/>
      <c r="AH573" s="802"/>
      <c r="AI573" s="802"/>
      <c r="AJ573" s="802"/>
      <c r="AK573" s="802"/>
      <c r="AL573" s="802"/>
      <c r="AM573" s="802"/>
      <c r="AN573" s="802"/>
      <c r="AO573" s="802"/>
      <c r="AP573" s="802"/>
      <c r="AQ573" s="802"/>
      <c r="AR573" s="802"/>
      <c r="AS573" s="802"/>
      <c r="AT573" s="802"/>
      <c r="AU573" s="802"/>
      <c r="AV573" s="802"/>
      <c r="AW573" s="802"/>
      <c r="AX573" s="802"/>
      <c r="AY573" s="802"/>
    </row>
    <row r="574" ht="21.75" customHeight="1">
      <c r="A574" s="802"/>
      <c r="B574" s="802"/>
      <c r="C574" s="802"/>
      <c r="D574" s="802"/>
      <c r="E574" s="802"/>
      <c r="F574" s="802"/>
      <c r="G574" s="802"/>
      <c r="H574" s="802"/>
      <c r="I574" s="802"/>
      <c r="J574" s="802"/>
      <c r="K574" s="802"/>
      <c r="L574" s="802"/>
      <c r="M574" s="802"/>
      <c r="N574" s="802"/>
      <c r="O574" s="802"/>
      <c r="P574" s="802"/>
      <c r="Q574" s="802"/>
      <c r="R574" s="802"/>
      <c r="S574" s="802"/>
      <c r="T574" s="802"/>
      <c r="U574" s="802"/>
      <c r="V574" s="802"/>
      <c r="W574" s="802"/>
      <c r="X574" s="802"/>
      <c r="Y574" s="802"/>
      <c r="Z574" s="802"/>
      <c r="AA574" s="802"/>
      <c r="AB574" s="802"/>
      <c r="AC574" s="802"/>
      <c r="AD574" s="802"/>
      <c r="AE574" s="802"/>
      <c r="AF574" s="802"/>
      <c r="AG574" s="802"/>
      <c r="AH574" s="802"/>
      <c r="AI574" s="802"/>
      <c r="AJ574" s="802"/>
      <c r="AK574" s="802"/>
      <c r="AL574" s="802"/>
      <c r="AM574" s="802"/>
      <c r="AN574" s="802"/>
      <c r="AO574" s="802"/>
      <c r="AP574" s="802"/>
      <c r="AQ574" s="802"/>
      <c r="AR574" s="802"/>
      <c r="AS574" s="802"/>
      <c r="AT574" s="802"/>
      <c r="AU574" s="802"/>
      <c r="AV574" s="802"/>
      <c r="AW574" s="802"/>
      <c r="AX574" s="802"/>
      <c r="AY574" s="802"/>
    </row>
    <row r="575" ht="21.75" customHeight="1">
      <c r="A575" s="802"/>
      <c r="B575" s="802"/>
      <c r="C575" s="802"/>
      <c r="D575" s="802"/>
      <c r="E575" s="802"/>
      <c r="F575" s="802"/>
      <c r="G575" s="802"/>
      <c r="H575" s="802"/>
      <c r="I575" s="802"/>
      <c r="J575" s="802"/>
      <c r="K575" s="802"/>
      <c r="L575" s="802"/>
      <c r="M575" s="802"/>
      <c r="N575" s="802"/>
      <c r="O575" s="802"/>
      <c r="P575" s="802"/>
      <c r="Q575" s="802"/>
      <c r="R575" s="802"/>
      <c r="S575" s="802"/>
      <c r="T575" s="802"/>
      <c r="U575" s="802"/>
      <c r="V575" s="802"/>
      <c r="W575" s="802"/>
      <c r="X575" s="802"/>
      <c r="Y575" s="802"/>
      <c r="Z575" s="802"/>
      <c r="AA575" s="802"/>
      <c r="AB575" s="802"/>
      <c r="AC575" s="802"/>
      <c r="AD575" s="802"/>
      <c r="AE575" s="802"/>
      <c r="AF575" s="802"/>
      <c r="AG575" s="802"/>
      <c r="AH575" s="802"/>
      <c r="AI575" s="802"/>
      <c r="AJ575" s="802"/>
      <c r="AK575" s="802"/>
      <c r="AL575" s="802"/>
      <c r="AM575" s="802"/>
      <c r="AN575" s="802"/>
      <c r="AO575" s="802"/>
      <c r="AP575" s="802"/>
      <c r="AQ575" s="802"/>
      <c r="AR575" s="802"/>
      <c r="AS575" s="802"/>
      <c r="AT575" s="802"/>
      <c r="AU575" s="802"/>
      <c r="AV575" s="802"/>
      <c r="AW575" s="802"/>
      <c r="AX575" s="802"/>
      <c r="AY575" s="802"/>
    </row>
    <row r="576" ht="21.75" customHeight="1">
      <c r="A576" s="802"/>
      <c r="B576" s="802"/>
      <c r="C576" s="802"/>
      <c r="D576" s="802"/>
      <c r="E576" s="802"/>
      <c r="F576" s="802"/>
      <c r="G576" s="802"/>
      <c r="H576" s="802"/>
      <c r="I576" s="802"/>
      <c r="J576" s="802"/>
      <c r="K576" s="802"/>
      <c r="L576" s="802"/>
      <c r="M576" s="802"/>
      <c r="N576" s="802"/>
      <c r="O576" s="802"/>
      <c r="P576" s="802"/>
      <c r="Q576" s="802"/>
      <c r="R576" s="802"/>
      <c r="S576" s="802"/>
      <c r="T576" s="802"/>
      <c r="U576" s="802"/>
      <c r="V576" s="802"/>
      <c r="W576" s="802"/>
      <c r="X576" s="802"/>
      <c r="Y576" s="802"/>
      <c r="Z576" s="802"/>
      <c r="AA576" s="802"/>
      <c r="AB576" s="802"/>
      <c r="AC576" s="802"/>
      <c r="AD576" s="802"/>
      <c r="AE576" s="802"/>
      <c r="AF576" s="802"/>
      <c r="AG576" s="802"/>
      <c r="AH576" s="802"/>
      <c r="AI576" s="802"/>
      <c r="AJ576" s="802"/>
      <c r="AK576" s="802"/>
      <c r="AL576" s="802"/>
      <c r="AM576" s="802"/>
      <c r="AN576" s="802"/>
      <c r="AO576" s="802"/>
      <c r="AP576" s="802"/>
      <c r="AQ576" s="802"/>
      <c r="AR576" s="802"/>
      <c r="AS576" s="802"/>
      <c r="AT576" s="802"/>
      <c r="AU576" s="802"/>
      <c r="AV576" s="802"/>
      <c r="AW576" s="802"/>
      <c r="AX576" s="802"/>
      <c r="AY576" s="802"/>
    </row>
    <row r="577" ht="21.75" customHeight="1">
      <c r="A577" s="802"/>
      <c r="B577" s="802"/>
      <c r="C577" s="802"/>
      <c r="D577" s="802"/>
      <c r="E577" s="802"/>
      <c r="F577" s="802"/>
      <c r="G577" s="802"/>
      <c r="H577" s="802"/>
      <c r="I577" s="802"/>
      <c r="J577" s="802"/>
      <c r="K577" s="802"/>
      <c r="L577" s="802"/>
      <c r="M577" s="802"/>
      <c r="N577" s="802"/>
      <c r="O577" s="802"/>
      <c r="P577" s="802"/>
      <c r="Q577" s="802"/>
      <c r="R577" s="802"/>
      <c r="S577" s="802"/>
      <c r="T577" s="802"/>
      <c r="U577" s="802"/>
      <c r="V577" s="802"/>
      <c r="W577" s="802"/>
      <c r="X577" s="802"/>
      <c r="Y577" s="802"/>
      <c r="Z577" s="802"/>
      <c r="AA577" s="802"/>
      <c r="AB577" s="802"/>
      <c r="AC577" s="802"/>
      <c r="AD577" s="802"/>
      <c r="AE577" s="802"/>
      <c r="AF577" s="802"/>
      <c r="AG577" s="802"/>
      <c r="AH577" s="802"/>
      <c r="AI577" s="802"/>
      <c r="AJ577" s="802"/>
      <c r="AK577" s="802"/>
      <c r="AL577" s="802"/>
      <c r="AM577" s="802"/>
      <c r="AN577" s="802"/>
      <c r="AO577" s="802"/>
      <c r="AP577" s="802"/>
      <c r="AQ577" s="802"/>
      <c r="AR577" s="802"/>
      <c r="AS577" s="802"/>
      <c r="AT577" s="802"/>
      <c r="AU577" s="802"/>
      <c r="AV577" s="802"/>
      <c r="AW577" s="802"/>
      <c r="AX577" s="802"/>
      <c r="AY577" s="802"/>
    </row>
    <row r="578" ht="21.75" customHeight="1">
      <c r="A578" s="802"/>
      <c r="B578" s="802"/>
      <c r="C578" s="802"/>
      <c r="D578" s="802"/>
      <c r="E578" s="802"/>
      <c r="F578" s="802"/>
      <c r="G578" s="802"/>
      <c r="H578" s="802"/>
      <c r="I578" s="802"/>
      <c r="J578" s="802"/>
      <c r="K578" s="802"/>
      <c r="L578" s="802"/>
      <c r="M578" s="802"/>
      <c r="N578" s="802"/>
      <c r="O578" s="802"/>
      <c r="P578" s="802"/>
      <c r="Q578" s="802"/>
      <c r="R578" s="802"/>
      <c r="S578" s="802"/>
      <c r="T578" s="802"/>
      <c r="U578" s="802"/>
      <c r="V578" s="802"/>
      <c r="W578" s="802"/>
      <c r="X578" s="802"/>
      <c r="Y578" s="802"/>
      <c r="Z578" s="802"/>
      <c r="AA578" s="802"/>
      <c r="AB578" s="802"/>
      <c r="AC578" s="802"/>
      <c r="AD578" s="802"/>
      <c r="AE578" s="802"/>
      <c r="AF578" s="802"/>
      <c r="AG578" s="802"/>
      <c r="AH578" s="802"/>
      <c r="AI578" s="802"/>
      <c r="AJ578" s="802"/>
      <c r="AK578" s="802"/>
      <c r="AL578" s="802"/>
      <c r="AM578" s="802"/>
      <c r="AN578" s="802"/>
      <c r="AO578" s="802"/>
      <c r="AP578" s="802"/>
      <c r="AQ578" s="802"/>
      <c r="AR578" s="802"/>
      <c r="AS578" s="802"/>
      <c r="AT578" s="802"/>
      <c r="AU578" s="802"/>
      <c r="AV578" s="802"/>
      <c r="AW578" s="802"/>
      <c r="AX578" s="802"/>
      <c r="AY578" s="802"/>
    </row>
    <row r="579" ht="21.75" customHeight="1">
      <c r="A579" s="802"/>
      <c r="B579" s="802"/>
      <c r="C579" s="802"/>
      <c r="D579" s="802"/>
      <c r="E579" s="802"/>
      <c r="F579" s="802"/>
      <c r="G579" s="802"/>
      <c r="H579" s="802"/>
      <c r="I579" s="802"/>
      <c r="J579" s="802"/>
      <c r="K579" s="802"/>
      <c r="L579" s="802"/>
      <c r="M579" s="802"/>
      <c r="N579" s="802"/>
      <c r="O579" s="802"/>
      <c r="P579" s="802"/>
      <c r="Q579" s="802"/>
      <c r="R579" s="802"/>
      <c r="S579" s="802"/>
      <c r="T579" s="802"/>
      <c r="U579" s="802"/>
      <c r="V579" s="802"/>
      <c r="W579" s="802"/>
      <c r="X579" s="802"/>
      <c r="Y579" s="802"/>
      <c r="Z579" s="802"/>
      <c r="AA579" s="802"/>
      <c r="AB579" s="802"/>
      <c r="AC579" s="802"/>
      <c r="AD579" s="802"/>
      <c r="AE579" s="802"/>
      <c r="AF579" s="802"/>
      <c r="AG579" s="802"/>
      <c r="AH579" s="802"/>
      <c r="AI579" s="802"/>
      <c r="AJ579" s="802"/>
      <c r="AK579" s="802"/>
      <c r="AL579" s="802"/>
      <c r="AM579" s="802"/>
      <c r="AN579" s="802"/>
      <c r="AO579" s="802"/>
      <c r="AP579" s="802"/>
      <c r="AQ579" s="802"/>
      <c r="AR579" s="802"/>
      <c r="AS579" s="802"/>
      <c r="AT579" s="802"/>
      <c r="AU579" s="802"/>
      <c r="AV579" s="802"/>
      <c r="AW579" s="802"/>
      <c r="AX579" s="802"/>
      <c r="AY579" s="802"/>
    </row>
    <row r="580" ht="21.75" customHeight="1">
      <c r="A580" s="802"/>
      <c r="B580" s="802"/>
      <c r="C580" s="802"/>
      <c r="D580" s="802"/>
      <c r="E580" s="802"/>
      <c r="F580" s="802"/>
      <c r="G580" s="802"/>
      <c r="H580" s="802"/>
      <c r="I580" s="802"/>
      <c r="J580" s="802"/>
      <c r="K580" s="802"/>
      <c r="L580" s="802"/>
      <c r="M580" s="802"/>
      <c r="N580" s="802"/>
      <c r="O580" s="802"/>
      <c r="P580" s="802"/>
      <c r="Q580" s="802"/>
      <c r="R580" s="802"/>
      <c r="S580" s="802"/>
      <c r="T580" s="802"/>
      <c r="U580" s="802"/>
      <c r="V580" s="802"/>
      <c r="W580" s="802"/>
      <c r="X580" s="802"/>
      <c r="Y580" s="802"/>
      <c r="Z580" s="802"/>
      <c r="AA580" s="802"/>
      <c r="AB580" s="802"/>
      <c r="AC580" s="802"/>
      <c r="AD580" s="802"/>
      <c r="AE580" s="802"/>
      <c r="AF580" s="802"/>
      <c r="AG580" s="802"/>
      <c r="AH580" s="802"/>
      <c r="AI580" s="802"/>
      <c r="AJ580" s="802"/>
      <c r="AK580" s="802"/>
      <c r="AL580" s="802"/>
      <c r="AM580" s="802"/>
      <c r="AN580" s="802"/>
      <c r="AO580" s="802"/>
      <c r="AP580" s="802"/>
      <c r="AQ580" s="802"/>
      <c r="AR580" s="802"/>
      <c r="AS580" s="802"/>
      <c r="AT580" s="802"/>
      <c r="AU580" s="802"/>
      <c r="AV580" s="802"/>
      <c r="AW580" s="802"/>
      <c r="AX580" s="802"/>
      <c r="AY580" s="802"/>
    </row>
    <row r="581" ht="21.75" customHeight="1">
      <c r="A581" s="802"/>
      <c r="B581" s="802"/>
      <c r="C581" s="802"/>
      <c r="D581" s="802"/>
      <c r="E581" s="802"/>
      <c r="F581" s="802"/>
      <c r="G581" s="802"/>
      <c r="H581" s="802"/>
      <c r="I581" s="802"/>
      <c r="J581" s="802"/>
      <c r="K581" s="802"/>
      <c r="L581" s="802"/>
      <c r="M581" s="802"/>
      <c r="N581" s="802"/>
      <c r="O581" s="802"/>
      <c r="P581" s="802"/>
      <c r="Q581" s="802"/>
      <c r="R581" s="802"/>
      <c r="S581" s="802"/>
      <c r="T581" s="802"/>
      <c r="U581" s="802"/>
      <c r="V581" s="802"/>
      <c r="W581" s="802"/>
      <c r="X581" s="802"/>
      <c r="Y581" s="802"/>
      <c r="Z581" s="802"/>
      <c r="AA581" s="802"/>
      <c r="AB581" s="802"/>
      <c r="AC581" s="802"/>
      <c r="AD581" s="802"/>
      <c r="AE581" s="802"/>
      <c r="AF581" s="802"/>
      <c r="AG581" s="802"/>
      <c r="AH581" s="802"/>
      <c r="AI581" s="802"/>
      <c r="AJ581" s="802"/>
      <c r="AK581" s="802"/>
      <c r="AL581" s="802"/>
      <c r="AM581" s="802"/>
      <c r="AN581" s="802"/>
      <c r="AO581" s="802"/>
      <c r="AP581" s="802"/>
      <c r="AQ581" s="802"/>
      <c r="AR581" s="802"/>
      <c r="AS581" s="802"/>
      <c r="AT581" s="802"/>
      <c r="AU581" s="802"/>
      <c r="AV581" s="802"/>
      <c r="AW581" s="802"/>
      <c r="AX581" s="802"/>
      <c r="AY581" s="802"/>
    </row>
    <row r="582" ht="21.75" customHeight="1">
      <c r="A582" s="802"/>
      <c r="B582" s="802"/>
      <c r="C582" s="802"/>
      <c r="D582" s="802"/>
      <c r="E582" s="802"/>
      <c r="F582" s="802"/>
      <c r="G582" s="802"/>
      <c r="H582" s="802"/>
      <c r="I582" s="802"/>
      <c r="J582" s="802"/>
      <c r="K582" s="802"/>
      <c r="L582" s="802"/>
      <c r="M582" s="802"/>
      <c r="N582" s="802"/>
      <c r="O582" s="802"/>
      <c r="P582" s="802"/>
      <c r="Q582" s="802"/>
      <c r="R582" s="802"/>
      <c r="S582" s="802"/>
      <c r="T582" s="802"/>
      <c r="U582" s="802"/>
      <c r="V582" s="802"/>
      <c r="W582" s="802"/>
      <c r="X582" s="802"/>
      <c r="Y582" s="802"/>
      <c r="Z582" s="802"/>
      <c r="AA582" s="802"/>
      <c r="AB582" s="802"/>
      <c r="AC582" s="802"/>
      <c r="AD582" s="802"/>
      <c r="AE582" s="802"/>
      <c r="AF582" s="802"/>
      <c r="AG582" s="802"/>
      <c r="AH582" s="802"/>
      <c r="AI582" s="802"/>
      <c r="AJ582" s="802"/>
      <c r="AK582" s="802"/>
      <c r="AL582" s="802"/>
      <c r="AM582" s="802"/>
      <c r="AN582" s="802"/>
      <c r="AO582" s="802"/>
      <c r="AP582" s="802"/>
      <c r="AQ582" s="802"/>
      <c r="AR582" s="802"/>
      <c r="AS582" s="802"/>
      <c r="AT582" s="802"/>
      <c r="AU582" s="802"/>
      <c r="AV582" s="802"/>
      <c r="AW582" s="802"/>
      <c r="AX582" s="802"/>
      <c r="AY582" s="802"/>
    </row>
    <row r="583" ht="21.75" customHeight="1">
      <c r="A583" s="802"/>
      <c r="B583" s="802"/>
      <c r="C583" s="802"/>
      <c r="D583" s="802"/>
      <c r="E583" s="802"/>
      <c r="F583" s="802"/>
      <c r="G583" s="802"/>
      <c r="H583" s="802"/>
      <c r="I583" s="802"/>
      <c r="J583" s="802"/>
      <c r="K583" s="802"/>
      <c r="L583" s="802"/>
      <c r="M583" s="802"/>
      <c r="N583" s="802"/>
      <c r="O583" s="802"/>
      <c r="P583" s="802"/>
      <c r="Q583" s="802"/>
      <c r="R583" s="802"/>
      <c r="S583" s="802"/>
      <c r="T583" s="802"/>
      <c r="U583" s="802"/>
      <c r="V583" s="802"/>
      <c r="W583" s="802"/>
      <c r="X583" s="802"/>
      <c r="Y583" s="802"/>
      <c r="Z583" s="802"/>
      <c r="AA583" s="802"/>
      <c r="AB583" s="802"/>
      <c r="AC583" s="802"/>
      <c r="AD583" s="802"/>
      <c r="AE583" s="802"/>
      <c r="AF583" s="802"/>
      <c r="AG583" s="802"/>
      <c r="AH583" s="802"/>
      <c r="AI583" s="802"/>
      <c r="AJ583" s="802"/>
      <c r="AK583" s="802"/>
      <c r="AL583" s="802"/>
      <c r="AM583" s="802"/>
      <c r="AN583" s="802"/>
      <c r="AO583" s="802"/>
      <c r="AP583" s="802"/>
      <c r="AQ583" s="802"/>
      <c r="AR583" s="802"/>
      <c r="AS583" s="802"/>
      <c r="AT583" s="802"/>
      <c r="AU583" s="802"/>
      <c r="AV583" s="802"/>
      <c r="AW583" s="802"/>
      <c r="AX583" s="802"/>
      <c r="AY583" s="802"/>
    </row>
    <row r="584" ht="21.75" customHeight="1">
      <c r="A584" s="802"/>
      <c r="B584" s="802"/>
      <c r="C584" s="802"/>
      <c r="D584" s="802"/>
      <c r="E584" s="802"/>
      <c r="F584" s="802"/>
      <c r="G584" s="802"/>
      <c r="H584" s="802"/>
      <c r="I584" s="802"/>
      <c r="J584" s="802"/>
      <c r="K584" s="802"/>
      <c r="L584" s="802"/>
      <c r="M584" s="802"/>
      <c r="N584" s="802"/>
      <c r="O584" s="802"/>
      <c r="P584" s="802"/>
      <c r="Q584" s="802"/>
      <c r="R584" s="802"/>
      <c r="S584" s="802"/>
      <c r="T584" s="802"/>
      <c r="U584" s="802"/>
      <c r="V584" s="802"/>
      <c r="W584" s="802"/>
      <c r="X584" s="802"/>
      <c r="Y584" s="802"/>
      <c r="Z584" s="802"/>
      <c r="AA584" s="802"/>
      <c r="AB584" s="802"/>
      <c r="AC584" s="802"/>
      <c r="AD584" s="802"/>
      <c r="AE584" s="802"/>
      <c r="AF584" s="802"/>
      <c r="AG584" s="802"/>
      <c r="AH584" s="802"/>
      <c r="AI584" s="802"/>
      <c r="AJ584" s="802"/>
      <c r="AK584" s="802"/>
      <c r="AL584" s="802"/>
      <c r="AM584" s="802"/>
      <c r="AN584" s="802"/>
      <c r="AO584" s="802"/>
      <c r="AP584" s="802"/>
      <c r="AQ584" s="802"/>
      <c r="AR584" s="802"/>
      <c r="AS584" s="802"/>
      <c r="AT584" s="802"/>
      <c r="AU584" s="802"/>
      <c r="AV584" s="802"/>
      <c r="AW584" s="802"/>
      <c r="AX584" s="802"/>
      <c r="AY584" s="802"/>
    </row>
    <row r="585" ht="21.75" customHeight="1">
      <c r="A585" s="802"/>
      <c r="B585" s="802"/>
      <c r="C585" s="802"/>
      <c r="D585" s="802"/>
      <c r="E585" s="802"/>
      <c r="F585" s="802"/>
      <c r="G585" s="802"/>
      <c r="H585" s="802"/>
      <c r="I585" s="802"/>
      <c r="J585" s="802"/>
      <c r="K585" s="802"/>
      <c r="L585" s="802"/>
      <c r="M585" s="802"/>
      <c r="N585" s="802"/>
      <c r="O585" s="802"/>
      <c r="P585" s="802"/>
      <c r="Q585" s="802"/>
      <c r="R585" s="802"/>
      <c r="S585" s="802"/>
      <c r="T585" s="802"/>
      <c r="U585" s="802"/>
      <c r="V585" s="802"/>
      <c r="W585" s="802"/>
      <c r="X585" s="802"/>
      <c r="Y585" s="802"/>
      <c r="Z585" s="802"/>
      <c r="AA585" s="802"/>
      <c r="AB585" s="802"/>
      <c r="AC585" s="802"/>
      <c r="AD585" s="802"/>
      <c r="AE585" s="802"/>
      <c r="AF585" s="802"/>
      <c r="AG585" s="802"/>
      <c r="AH585" s="802"/>
      <c r="AI585" s="802"/>
      <c r="AJ585" s="802"/>
      <c r="AK585" s="802"/>
      <c r="AL585" s="802"/>
      <c r="AM585" s="802"/>
      <c r="AN585" s="802"/>
      <c r="AO585" s="802"/>
      <c r="AP585" s="802"/>
      <c r="AQ585" s="802"/>
      <c r="AR585" s="802"/>
      <c r="AS585" s="802"/>
      <c r="AT585" s="802"/>
      <c r="AU585" s="802"/>
      <c r="AV585" s="802"/>
      <c r="AW585" s="802"/>
      <c r="AX585" s="802"/>
      <c r="AY585" s="802"/>
    </row>
    <row r="586" ht="21.75" customHeight="1">
      <c r="A586" s="802"/>
      <c r="B586" s="802"/>
      <c r="C586" s="802"/>
      <c r="D586" s="802"/>
      <c r="E586" s="802"/>
      <c r="F586" s="802"/>
      <c r="G586" s="802"/>
      <c r="H586" s="802"/>
      <c r="I586" s="802"/>
      <c r="J586" s="802"/>
      <c r="K586" s="802"/>
      <c r="L586" s="802"/>
      <c r="M586" s="802"/>
      <c r="N586" s="802"/>
      <c r="O586" s="802"/>
      <c r="P586" s="802"/>
      <c r="Q586" s="802"/>
      <c r="R586" s="802"/>
      <c r="S586" s="802"/>
      <c r="T586" s="802"/>
      <c r="U586" s="802"/>
      <c r="V586" s="802"/>
      <c r="W586" s="802"/>
      <c r="X586" s="802"/>
      <c r="Y586" s="802"/>
      <c r="Z586" s="802"/>
      <c r="AA586" s="802"/>
      <c r="AB586" s="802"/>
      <c r="AC586" s="802"/>
      <c r="AD586" s="802"/>
      <c r="AE586" s="802"/>
      <c r="AF586" s="802"/>
      <c r="AG586" s="802"/>
      <c r="AH586" s="802"/>
      <c r="AI586" s="802"/>
      <c r="AJ586" s="802"/>
      <c r="AK586" s="802"/>
      <c r="AL586" s="802"/>
      <c r="AM586" s="802"/>
      <c r="AN586" s="802"/>
      <c r="AO586" s="802"/>
      <c r="AP586" s="802"/>
      <c r="AQ586" s="802"/>
      <c r="AR586" s="802"/>
      <c r="AS586" s="802"/>
      <c r="AT586" s="802"/>
      <c r="AU586" s="802"/>
      <c r="AV586" s="802"/>
      <c r="AW586" s="802"/>
      <c r="AX586" s="802"/>
      <c r="AY586" s="802"/>
    </row>
    <row r="587" ht="21.75" customHeight="1">
      <c r="A587" s="802"/>
      <c r="B587" s="802"/>
      <c r="C587" s="802"/>
      <c r="D587" s="802"/>
      <c r="E587" s="802"/>
      <c r="F587" s="802"/>
      <c r="G587" s="802"/>
      <c r="H587" s="802"/>
      <c r="I587" s="802"/>
      <c r="J587" s="802"/>
      <c r="K587" s="802"/>
      <c r="L587" s="802"/>
      <c r="M587" s="802"/>
      <c r="N587" s="802"/>
      <c r="O587" s="802"/>
      <c r="P587" s="802"/>
      <c r="Q587" s="802"/>
      <c r="R587" s="802"/>
      <c r="S587" s="802"/>
      <c r="T587" s="802"/>
      <c r="U587" s="802"/>
      <c r="V587" s="802"/>
      <c r="W587" s="802"/>
      <c r="X587" s="802"/>
      <c r="Y587" s="802"/>
      <c r="Z587" s="802"/>
      <c r="AA587" s="802"/>
      <c r="AB587" s="802"/>
      <c r="AC587" s="802"/>
      <c r="AD587" s="802"/>
      <c r="AE587" s="802"/>
      <c r="AF587" s="802"/>
      <c r="AG587" s="802"/>
      <c r="AH587" s="802"/>
      <c r="AI587" s="802"/>
      <c r="AJ587" s="802"/>
      <c r="AK587" s="802"/>
      <c r="AL587" s="802"/>
      <c r="AM587" s="802"/>
      <c r="AN587" s="802"/>
      <c r="AO587" s="802"/>
      <c r="AP587" s="802"/>
      <c r="AQ587" s="802"/>
      <c r="AR587" s="802"/>
      <c r="AS587" s="802"/>
      <c r="AT587" s="802"/>
      <c r="AU587" s="802"/>
      <c r="AV587" s="802"/>
      <c r="AW587" s="802"/>
      <c r="AX587" s="802"/>
      <c r="AY587" s="802"/>
    </row>
    <row r="588" ht="21.75" customHeight="1">
      <c r="A588" s="802"/>
      <c r="B588" s="802"/>
      <c r="C588" s="802"/>
      <c r="D588" s="802"/>
      <c r="E588" s="802"/>
      <c r="F588" s="802"/>
      <c r="G588" s="802"/>
      <c r="H588" s="802"/>
      <c r="I588" s="802"/>
      <c r="J588" s="802"/>
      <c r="K588" s="802"/>
      <c r="L588" s="802"/>
      <c r="M588" s="802"/>
      <c r="N588" s="802"/>
      <c r="O588" s="802"/>
      <c r="P588" s="802"/>
      <c r="Q588" s="802"/>
      <c r="R588" s="802"/>
      <c r="S588" s="802"/>
      <c r="T588" s="802"/>
      <c r="U588" s="802"/>
      <c r="V588" s="802"/>
      <c r="W588" s="802"/>
      <c r="X588" s="802"/>
      <c r="Y588" s="802"/>
      <c r="Z588" s="802"/>
      <c r="AA588" s="802"/>
      <c r="AB588" s="802"/>
      <c r="AC588" s="802"/>
      <c r="AD588" s="802"/>
      <c r="AE588" s="802"/>
      <c r="AF588" s="802"/>
      <c r="AG588" s="802"/>
      <c r="AH588" s="802"/>
      <c r="AI588" s="802"/>
      <c r="AJ588" s="802"/>
      <c r="AK588" s="802"/>
      <c r="AL588" s="802"/>
      <c r="AM588" s="802"/>
      <c r="AN588" s="802"/>
      <c r="AO588" s="802"/>
      <c r="AP588" s="802"/>
      <c r="AQ588" s="802"/>
      <c r="AR588" s="802"/>
      <c r="AS588" s="802"/>
      <c r="AT588" s="802"/>
      <c r="AU588" s="802"/>
      <c r="AV588" s="802"/>
      <c r="AW588" s="802"/>
      <c r="AX588" s="802"/>
      <c r="AY588" s="802"/>
    </row>
    <row r="589" ht="21.75" customHeight="1">
      <c r="A589" s="802"/>
      <c r="B589" s="802"/>
      <c r="C589" s="802"/>
      <c r="D589" s="802"/>
      <c r="E589" s="802"/>
      <c r="F589" s="802"/>
      <c r="G589" s="802"/>
      <c r="H589" s="802"/>
      <c r="I589" s="802"/>
      <c r="J589" s="802"/>
      <c r="K589" s="802"/>
      <c r="L589" s="802"/>
      <c r="M589" s="802"/>
      <c r="N589" s="802"/>
      <c r="O589" s="802"/>
      <c r="P589" s="802"/>
      <c r="Q589" s="802"/>
      <c r="R589" s="802"/>
      <c r="S589" s="802"/>
      <c r="T589" s="802"/>
      <c r="U589" s="802"/>
      <c r="V589" s="802"/>
      <c r="W589" s="802"/>
      <c r="X589" s="802"/>
      <c r="Y589" s="802"/>
      <c r="Z589" s="802"/>
      <c r="AA589" s="802"/>
      <c r="AB589" s="802"/>
      <c r="AC589" s="802"/>
      <c r="AD589" s="802"/>
      <c r="AE589" s="802"/>
      <c r="AF589" s="802"/>
      <c r="AG589" s="802"/>
      <c r="AH589" s="802"/>
      <c r="AI589" s="802"/>
      <c r="AJ589" s="802"/>
      <c r="AK589" s="802"/>
      <c r="AL589" s="802"/>
      <c r="AM589" s="802"/>
      <c r="AN589" s="802"/>
      <c r="AO589" s="802"/>
      <c r="AP589" s="802"/>
      <c r="AQ589" s="802"/>
      <c r="AR589" s="802"/>
      <c r="AS589" s="802"/>
      <c r="AT589" s="802"/>
      <c r="AU589" s="802"/>
      <c r="AV589" s="802"/>
      <c r="AW589" s="802"/>
      <c r="AX589" s="802"/>
      <c r="AY589" s="802"/>
    </row>
    <row r="590" ht="21.75" customHeight="1">
      <c r="A590" s="802"/>
      <c r="B590" s="802"/>
      <c r="C590" s="802"/>
      <c r="D590" s="802"/>
      <c r="E590" s="802"/>
      <c r="F590" s="802"/>
      <c r="G590" s="802"/>
      <c r="H590" s="802"/>
      <c r="I590" s="802"/>
      <c r="J590" s="802"/>
      <c r="K590" s="802"/>
      <c r="L590" s="802"/>
      <c r="M590" s="802"/>
      <c r="N590" s="802"/>
      <c r="O590" s="802"/>
      <c r="P590" s="802"/>
      <c r="Q590" s="802"/>
      <c r="R590" s="802"/>
      <c r="S590" s="802"/>
      <c r="T590" s="802"/>
      <c r="U590" s="802"/>
      <c r="V590" s="802"/>
      <c r="W590" s="802"/>
      <c r="X590" s="802"/>
      <c r="Y590" s="802"/>
      <c r="Z590" s="802"/>
      <c r="AA590" s="802"/>
      <c r="AB590" s="802"/>
      <c r="AC590" s="802"/>
      <c r="AD590" s="802"/>
      <c r="AE590" s="802"/>
      <c r="AF590" s="802"/>
      <c r="AG590" s="802"/>
      <c r="AH590" s="802"/>
      <c r="AI590" s="802"/>
      <c r="AJ590" s="802"/>
      <c r="AK590" s="802"/>
      <c r="AL590" s="802"/>
      <c r="AM590" s="802"/>
      <c r="AN590" s="802"/>
      <c r="AO590" s="802"/>
      <c r="AP590" s="802"/>
      <c r="AQ590" s="802"/>
      <c r="AR590" s="802"/>
      <c r="AS590" s="802"/>
      <c r="AT590" s="802"/>
      <c r="AU590" s="802"/>
      <c r="AV590" s="802"/>
      <c r="AW590" s="802"/>
      <c r="AX590" s="802"/>
      <c r="AY590" s="802"/>
    </row>
    <row r="591" ht="21.75" customHeight="1">
      <c r="A591" s="802"/>
      <c r="B591" s="802"/>
      <c r="C591" s="802"/>
      <c r="D591" s="802"/>
      <c r="E591" s="802"/>
      <c r="F591" s="802"/>
      <c r="G591" s="802"/>
      <c r="H591" s="802"/>
      <c r="I591" s="802"/>
      <c r="J591" s="802"/>
      <c r="K591" s="802"/>
      <c r="L591" s="802"/>
      <c r="M591" s="802"/>
      <c r="N591" s="802"/>
      <c r="O591" s="802"/>
      <c r="P591" s="802"/>
      <c r="Q591" s="802"/>
      <c r="R591" s="802"/>
      <c r="S591" s="802"/>
      <c r="T591" s="802"/>
      <c r="U591" s="802"/>
      <c r="V591" s="802"/>
      <c r="W591" s="802"/>
      <c r="X591" s="802"/>
      <c r="Y591" s="802"/>
      <c r="Z591" s="802"/>
      <c r="AA591" s="802"/>
      <c r="AB591" s="802"/>
      <c r="AC591" s="802"/>
      <c r="AD591" s="802"/>
      <c r="AE591" s="802"/>
      <c r="AF591" s="802"/>
      <c r="AG591" s="802"/>
      <c r="AH591" s="802"/>
      <c r="AI591" s="802"/>
      <c r="AJ591" s="802"/>
      <c r="AK591" s="802"/>
      <c r="AL591" s="802"/>
      <c r="AM591" s="802"/>
      <c r="AN591" s="802"/>
      <c r="AO591" s="802"/>
      <c r="AP591" s="802"/>
      <c r="AQ591" s="802"/>
      <c r="AR591" s="802"/>
      <c r="AS591" s="802"/>
      <c r="AT591" s="802"/>
      <c r="AU591" s="802"/>
      <c r="AV591" s="802"/>
      <c r="AW591" s="802"/>
      <c r="AX591" s="802"/>
      <c r="AY591" s="802"/>
    </row>
    <row r="592" ht="21.75" customHeight="1">
      <c r="A592" s="802"/>
      <c r="B592" s="802"/>
      <c r="C592" s="802"/>
      <c r="D592" s="802"/>
      <c r="E592" s="802"/>
      <c r="F592" s="802"/>
      <c r="G592" s="802"/>
      <c r="H592" s="802"/>
      <c r="I592" s="802"/>
      <c r="J592" s="802"/>
      <c r="K592" s="802"/>
      <c r="L592" s="802"/>
      <c r="M592" s="802"/>
      <c r="N592" s="802"/>
      <c r="O592" s="802"/>
      <c r="P592" s="802"/>
      <c r="Q592" s="802"/>
      <c r="R592" s="802"/>
      <c r="S592" s="802"/>
      <c r="T592" s="802"/>
      <c r="U592" s="802"/>
      <c r="V592" s="802"/>
      <c r="W592" s="802"/>
      <c r="X592" s="802"/>
      <c r="Y592" s="802"/>
      <c r="Z592" s="802"/>
      <c r="AA592" s="802"/>
      <c r="AB592" s="802"/>
      <c r="AC592" s="802"/>
      <c r="AD592" s="802"/>
      <c r="AE592" s="802"/>
      <c r="AF592" s="802"/>
      <c r="AG592" s="802"/>
      <c r="AH592" s="802"/>
      <c r="AI592" s="802"/>
      <c r="AJ592" s="802"/>
      <c r="AK592" s="802"/>
      <c r="AL592" s="802"/>
      <c r="AM592" s="802"/>
      <c r="AN592" s="802"/>
      <c r="AO592" s="802"/>
      <c r="AP592" s="802"/>
      <c r="AQ592" s="802"/>
      <c r="AR592" s="802"/>
      <c r="AS592" s="802"/>
      <c r="AT592" s="802"/>
      <c r="AU592" s="802"/>
      <c r="AV592" s="802"/>
      <c r="AW592" s="802"/>
      <c r="AX592" s="802"/>
      <c r="AY592" s="802"/>
    </row>
    <row r="593" ht="21.75" customHeight="1">
      <c r="A593" s="802"/>
      <c r="B593" s="802"/>
      <c r="C593" s="802"/>
      <c r="D593" s="802"/>
      <c r="E593" s="802"/>
      <c r="F593" s="802"/>
      <c r="G593" s="802"/>
      <c r="H593" s="802"/>
      <c r="I593" s="802"/>
      <c r="J593" s="802"/>
      <c r="K593" s="802"/>
      <c r="L593" s="802"/>
      <c r="M593" s="802"/>
      <c r="N593" s="802"/>
      <c r="O593" s="802"/>
      <c r="P593" s="802"/>
      <c r="Q593" s="802"/>
      <c r="R593" s="802"/>
      <c r="S593" s="802"/>
      <c r="T593" s="802"/>
      <c r="U593" s="802"/>
      <c r="V593" s="802"/>
      <c r="W593" s="802"/>
      <c r="X593" s="802"/>
      <c r="Y593" s="802"/>
      <c r="Z593" s="802"/>
      <c r="AA593" s="802"/>
      <c r="AB593" s="802"/>
      <c r="AC593" s="802"/>
      <c r="AD593" s="802"/>
      <c r="AE593" s="802"/>
      <c r="AF593" s="802"/>
      <c r="AG593" s="802"/>
      <c r="AH593" s="802"/>
      <c r="AI593" s="802"/>
      <c r="AJ593" s="802"/>
      <c r="AK593" s="802"/>
      <c r="AL593" s="802"/>
      <c r="AM593" s="802"/>
      <c r="AN593" s="802"/>
      <c r="AO593" s="802"/>
      <c r="AP593" s="802"/>
      <c r="AQ593" s="802"/>
      <c r="AR593" s="802"/>
      <c r="AS593" s="802"/>
      <c r="AT593" s="802"/>
      <c r="AU593" s="802"/>
      <c r="AV593" s="802"/>
      <c r="AW593" s="802"/>
      <c r="AX593" s="802"/>
      <c r="AY593" s="802"/>
    </row>
    <row r="594" ht="21.75" customHeight="1">
      <c r="A594" s="802"/>
      <c r="B594" s="802"/>
      <c r="C594" s="802"/>
      <c r="D594" s="802"/>
      <c r="E594" s="802"/>
      <c r="F594" s="802"/>
      <c r="G594" s="802"/>
      <c r="H594" s="802"/>
      <c r="I594" s="802"/>
      <c r="J594" s="802"/>
      <c r="K594" s="802"/>
      <c r="L594" s="802"/>
      <c r="M594" s="802"/>
      <c r="N594" s="802"/>
      <c r="O594" s="802"/>
      <c r="P594" s="802"/>
      <c r="Q594" s="802"/>
      <c r="R594" s="802"/>
      <c r="S594" s="802"/>
      <c r="T594" s="802"/>
      <c r="U594" s="802"/>
      <c r="V594" s="802"/>
      <c r="W594" s="802"/>
      <c r="X594" s="802"/>
      <c r="Y594" s="802"/>
      <c r="Z594" s="802"/>
      <c r="AA594" s="802"/>
      <c r="AB594" s="802"/>
      <c r="AC594" s="802"/>
      <c r="AD594" s="802"/>
      <c r="AE594" s="802"/>
      <c r="AF594" s="802"/>
      <c r="AG594" s="802"/>
      <c r="AH594" s="802"/>
      <c r="AI594" s="802"/>
      <c r="AJ594" s="802"/>
      <c r="AK594" s="802"/>
      <c r="AL594" s="802"/>
      <c r="AM594" s="802"/>
      <c r="AN594" s="802"/>
      <c r="AO594" s="802"/>
      <c r="AP594" s="802"/>
      <c r="AQ594" s="802"/>
      <c r="AR594" s="802"/>
      <c r="AS594" s="802"/>
      <c r="AT594" s="802"/>
      <c r="AU594" s="802"/>
      <c r="AV594" s="802"/>
      <c r="AW594" s="802"/>
      <c r="AX594" s="802"/>
      <c r="AY594" s="802"/>
    </row>
    <row r="595" ht="21.75" customHeight="1">
      <c r="A595" s="802"/>
      <c r="B595" s="802"/>
      <c r="C595" s="802"/>
      <c r="D595" s="802"/>
      <c r="E595" s="802"/>
      <c r="F595" s="802"/>
      <c r="G595" s="802"/>
      <c r="H595" s="802"/>
      <c r="I595" s="802"/>
      <c r="J595" s="802"/>
      <c r="K595" s="802"/>
      <c r="L595" s="802"/>
      <c r="M595" s="802"/>
      <c r="N595" s="802"/>
      <c r="O595" s="802"/>
      <c r="P595" s="802"/>
      <c r="Q595" s="802"/>
      <c r="R595" s="802"/>
      <c r="S595" s="802"/>
      <c r="T595" s="802"/>
      <c r="U595" s="802"/>
      <c r="V595" s="802"/>
      <c r="W595" s="802"/>
      <c r="X595" s="802"/>
      <c r="Y595" s="802"/>
      <c r="Z595" s="802"/>
      <c r="AA595" s="802"/>
      <c r="AB595" s="802"/>
      <c r="AC595" s="802"/>
      <c r="AD595" s="802"/>
      <c r="AE595" s="802"/>
      <c r="AF595" s="802"/>
      <c r="AG595" s="802"/>
      <c r="AH595" s="802"/>
      <c r="AI595" s="802"/>
      <c r="AJ595" s="802"/>
      <c r="AK595" s="802"/>
      <c r="AL595" s="802"/>
      <c r="AM595" s="802"/>
      <c r="AN595" s="802"/>
      <c r="AO595" s="802"/>
      <c r="AP595" s="802"/>
      <c r="AQ595" s="802"/>
      <c r="AR595" s="802"/>
      <c r="AS595" s="802"/>
      <c r="AT595" s="802"/>
      <c r="AU595" s="802"/>
      <c r="AV595" s="802"/>
      <c r="AW595" s="802"/>
      <c r="AX595" s="802"/>
      <c r="AY595" s="802"/>
    </row>
    <row r="596" ht="21.75" customHeight="1">
      <c r="A596" s="802"/>
      <c r="B596" s="802"/>
      <c r="C596" s="802"/>
      <c r="D596" s="802"/>
      <c r="E596" s="802"/>
      <c r="F596" s="802"/>
      <c r="G596" s="802"/>
      <c r="H596" s="802"/>
      <c r="I596" s="802"/>
      <c r="J596" s="802"/>
      <c r="K596" s="802"/>
      <c r="L596" s="802"/>
      <c r="M596" s="802"/>
      <c r="N596" s="802"/>
      <c r="O596" s="802"/>
      <c r="P596" s="802"/>
      <c r="Q596" s="802"/>
      <c r="R596" s="802"/>
      <c r="S596" s="802"/>
      <c r="T596" s="802"/>
      <c r="U596" s="802"/>
      <c r="V596" s="802"/>
      <c r="W596" s="802"/>
      <c r="X596" s="802"/>
      <c r="Y596" s="802"/>
      <c r="Z596" s="802"/>
      <c r="AA596" s="802"/>
      <c r="AB596" s="802"/>
      <c r="AC596" s="802"/>
      <c r="AD596" s="802"/>
      <c r="AE596" s="802"/>
      <c r="AF596" s="802"/>
      <c r="AG596" s="802"/>
      <c r="AH596" s="802"/>
      <c r="AI596" s="802"/>
      <c r="AJ596" s="802"/>
      <c r="AK596" s="802"/>
      <c r="AL596" s="802"/>
      <c r="AM596" s="802"/>
      <c r="AN596" s="802"/>
      <c r="AO596" s="802"/>
      <c r="AP596" s="802"/>
      <c r="AQ596" s="802"/>
      <c r="AR596" s="802"/>
      <c r="AS596" s="802"/>
      <c r="AT596" s="802"/>
      <c r="AU596" s="802"/>
      <c r="AV596" s="802"/>
      <c r="AW596" s="802"/>
      <c r="AX596" s="802"/>
      <c r="AY596" s="802"/>
    </row>
    <row r="597" ht="21.75" customHeight="1">
      <c r="A597" s="802"/>
      <c r="B597" s="802"/>
      <c r="C597" s="802"/>
      <c r="D597" s="802"/>
      <c r="E597" s="802"/>
      <c r="F597" s="802"/>
      <c r="G597" s="802"/>
      <c r="H597" s="802"/>
      <c r="I597" s="802"/>
      <c r="J597" s="802"/>
      <c r="K597" s="802"/>
      <c r="L597" s="802"/>
      <c r="M597" s="802"/>
      <c r="N597" s="802"/>
      <c r="O597" s="802"/>
      <c r="P597" s="802"/>
      <c r="Q597" s="802"/>
      <c r="R597" s="802"/>
      <c r="S597" s="802"/>
      <c r="T597" s="802"/>
      <c r="U597" s="802"/>
      <c r="V597" s="802"/>
      <c r="W597" s="802"/>
      <c r="X597" s="802"/>
      <c r="Y597" s="802"/>
      <c r="Z597" s="802"/>
      <c r="AA597" s="802"/>
      <c r="AB597" s="802"/>
      <c r="AC597" s="802"/>
      <c r="AD597" s="802"/>
      <c r="AE597" s="802"/>
      <c r="AF597" s="802"/>
      <c r="AG597" s="802"/>
      <c r="AH597" s="802"/>
      <c r="AI597" s="802"/>
      <c r="AJ597" s="802"/>
      <c r="AK597" s="802"/>
      <c r="AL597" s="802"/>
      <c r="AM597" s="802"/>
      <c r="AN597" s="802"/>
      <c r="AO597" s="802"/>
      <c r="AP597" s="802"/>
      <c r="AQ597" s="802"/>
      <c r="AR597" s="802"/>
      <c r="AS597" s="802"/>
      <c r="AT597" s="802"/>
      <c r="AU597" s="802"/>
      <c r="AV597" s="802"/>
      <c r="AW597" s="802"/>
      <c r="AX597" s="802"/>
      <c r="AY597" s="802"/>
    </row>
    <row r="598" ht="21.75" customHeight="1">
      <c r="A598" s="802"/>
      <c r="B598" s="802"/>
      <c r="C598" s="802"/>
      <c r="D598" s="802"/>
      <c r="E598" s="802"/>
      <c r="F598" s="802"/>
      <c r="G598" s="802"/>
      <c r="H598" s="802"/>
      <c r="I598" s="802"/>
      <c r="J598" s="802"/>
      <c r="K598" s="802"/>
      <c r="L598" s="802"/>
      <c r="M598" s="802"/>
      <c r="N598" s="802"/>
      <c r="O598" s="802"/>
      <c r="P598" s="802"/>
      <c r="Q598" s="802"/>
      <c r="R598" s="802"/>
      <c r="S598" s="802"/>
      <c r="T598" s="802"/>
      <c r="U598" s="802"/>
      <c r="V598" s="802"/>
      <c r="W598" s="802"/>
      <c r="X598" s="802"/>
      <c r="Y598" s="802"/>
      <c r="Z598" s="802"/>
      <c r="AA598" s="802"/>
      <c r="AB598" s="802"/>
      <c r="AC598" s="802"/>
      <c r="AD598" s="802"/>
      <c r="AE598" s="802"/>
      <c r="AF598" s="802"/>
      <c r="AG598" s="802"/>
      <c r="AH598" s="802"/>
      <c r="AI598" s="802"/>
      <c r="AJ598" s="802"/>
      <c r="AK598" s="802"/>
      <c r="AL598" s="802"/>
      <c r="AM598" s="802"/>
      <c r="AN598" s="802"/>
      <c r="AO598" s="802"/>
      <c r="AP598" s="802"/>
      <c r="AQ598" s="802"/>
      <c r="AR598" s="802"/>
      <c r="AS598" s="802"/>
      <c r="AT598" s="802"/>
      <c r="AU598" s="802"/>
      <c r="AV598" s="802"/>
      <c r="AW598" s="802"/>
      <c r="AX598" s="802"/>
      <c r="AY598" s="802"/>
    </row>
    <row r="599" ht="21.75" customHeight="1">
      <c r="A599" s="802"/>
      <c r="B599" s="802"/>
      <c r="C599" s="802"/>
      <c r="D599" s="802"/>
      <c r="E599" s="802"/>
      <c r="F599" s="802"/>
      <c r="G599" s="802"/>
      <c r="H599" s="802"/>
      <c r="I599" s="802"/>
      <c r="J599" s="802"/>
      <c r="K599" s="802"/>
      <c r="L599" s="802"/>
      <c r="M599" s="802"/>
      <c r="N599" s="802"/>
      <c r="O599" s="802"/>
      <c r="P599" s="802"/>
      <c r="Q599" s="802"/>
      <c r="R599" s="802"/>
      <c r="S599" s="802"/>
      <c r="T599" s="802"/>
      <c r="U599" s="802"/>
      <c r="V599" s="802"/>
      <c r="W599" s="802"/>
      <c r="X599" s="802"/>
      <c r="Y599" s="802"/>
      <c r="Z599" s="802"/>
      <c r="AA599" s="802"/>
      <c r="AB599" s="802"/>
      <c r="AC599" s="802"/>
      <c r="AD599" s="802"/>
      <c r="AE599" s="802"/>
      <c r="AF599" s="802"/>
      <c r="AG599" s="802"/>
      <c r="AH599" s="802"/>
      <c r="AI599" s="802"/>
      <c r="AJ599" s="802"/>
      <c r="AK599" s="802"/>
      <c r="AL599" s="802"/>
      <c r="AM599" s="802"/>
      <c r="AN599" s="802"/>
      <c r="AO599" s="802"/>
      <c r="AP599" s="802"/>
      <c r="AQ599" s="802"/>
      <c r="AR599" s="802"/>
      <c r="AS599" s="802"/>
      <c r="AT599" s="802"/>
      <c r="AU599" s="802"/>
      <c r="AV599" s="802"/>
      <c r="AW599" s="802"/>
      <c r="AX599" s="802"/>
      <c r="AY599" s="802"/>
    </row>
    <row r="600" ht="21.75" customHeight="1">
      <c r="A600" s="802"/>
      <c r="B600" s="802"/>
      <c r="C600" s="802"/>
      <c r="D600" s="802"/>
      <c r="E600" s="802"/>
      <c r="F600" s="802"/>
      <c r="G600" s="802"/>
      <c r="H600" s="802"/>
      <c r="I600" s="802"/>
      <c r="J600" s="802"/>
      <c r="K600" s="802"/>
      <c r="L600" s="802"/>
      <c r="M600" s="802"/>
      <c r="N600" s="802"/>
      <c r="O600" s="802"/>
      <c r="P600" s="802"/>
      <c r="Q600" s="802"/>
      <c r="R600" s="802"/>
      <c r="S600" s="802"/>
      <c r="T600" s="802"/>
      <c r="U600" s="802"/>
      <c r="V600" s="802"/>
      <c r="W600" s="802"/>
      <c r="X600" s="802"/>
      <c r="Y600" s="802"/>
      <c r="Z600" s="802"/>
      <c r="AA600" s="802"/>
      <c r="AB600" s="802"/>
      <c r="AC600" s="802"/>
      <c r="AD600" s="802"/>
      <c r="AE600" s="802"/>
      <c r="AF600" s="802"/>
      <c r="AG600" s="802"/>
      <c r="AH600" s="802"/>
      <c r="AI600" s="802"/>
      <c r="AJ600" s="802"/>
      <c r="AK600" s="802"/>
      <c r="AL600" s="802"/>
      <c r="AM600" s="802"/>
      <c r="AN600" s="802"/>
      <c r="AO600" s="802"/>
      <c r="AP600" s="802"/>
      <c r="AQ600" s="802"/>
      <c r="AR600" s="802"/>
      <c r="AS600" s="802"/>
      <c r="AT600" s="802"/>
      <c r="AU600" s="802"/>
      <c r="AV600" s="802"/>
      <c r="AW600" s="802"/>
      <c r="AX600" s="802"/>
      <c r="AY600" s="802"/>
    </row>
    <row r="601" ht="21.75" customHeight="1">
      <c r="A601" s="802"/>
      <c r="B601" s="802"/>
      <c r="C601" s="802"/>
      <c r="D601" s="802"/>
      <c r="E601" s="802"/>
      <c r="F601" s="802"/>
      <c r="G601" s="802"/>
      <c r="H601" s="802"/>
      <c r="I601" s="802"/>
      <c r="J601" s="802"/>
      <c r="K601" s="802"/>
      <c r="L601" s="802"/>
      <c r="M601" s="802"/>
      <c r="N601" s="802"/>
      <c r="O601" s="802"/>
      <c r="P601" s="802"/>
      <c r="Q601" s="802"/>
      <c r="R601" s="802"/>
      <c r="S601" s="802"/>
      <c r="T601" s="802"/>
      <c r="U601" s="802"/>
      <c r="V601" s="802"/>
      <c r="W601" s="802"/>
      <c r="X601" s="802"/>
      <c r="Y601" s="802"/>
      <c r="Z601" s="802"/>
      <c r="AA601" s="802"/>
      <c r="AB601" s="802"/>
      <c r="AC601" s="802"/>
      <c r="AD601" s="802"/>
      <c r="AE601" s="802"/>
      <c r="AF601" s="802"/>
      <c r="AG601" s="802"/>
      <c r="AH601" s="802"/>
      <c r="AI601" s="802"/>
      <c r="AJ601" s="802"/>
      <c r="AK601" s="802"/>
      <c r="AL601" s="802"/>
      <c r="AM601" s="802"/>
      <c r="AN601" s="802"/>
      <c r="AO601" s="802"/>
      <c r="AP601" s="802"/>
      <c r="AQ601" s="802"/>
      <c r="AR601" s="802"/>
      <c r="AS601" s="802"/>
      <c r="AT601" s="802"/>
      <c r="AU601" s="802"/>
      <c r="AV601" s="802"/>
      <c r="AW601" s="802"/>
      <c r="AX601" s="802"/>
      <c r="AY601" s="802"/>
    </row>
    <row r="602" ht="21.75" customHeight="1">
      <c r="A602" s="802"/>
      <c r="B602" s="802"/>
      <c r="C602" s="802"/>
      <c r="D602" s="802"/>
      <c r="E602" s="802"/>
      <c r="F602" s="802"/>
      <c r="G602" s="802"/>
      <c r="H602" s="802"/>
      <c r="I602" s="802"/>
      <c r="J602" s="802"/>
      <c r="K602" s="802"/>
      <c r="L602" s="802"/>
      <c r="M602" s="802"/>
      <c r="N602" s="802"/>
      <c r="O602" s="802"/>
      <c r="P602" s="802"/>
      <c r="Q602" s="802"/>
      <c r="R602" s="802"/>
      <c r="S602" s="802"/>
      <c r="T602" s="802"/>
      <c r="U602" s="802"/>
      <c r="V602" s="802"/>
      <c r="W602" s="802"/>
      <c r="X602" s="802"/>
      <c r="Y602" s="802"/>
      <c r="Z602" s="802"/>
      <c r="AA602" s="802"/>
      <c r="AB602" s="802"/>
      <c r="AC602" s="802"/>
      <c r="AD602" s="802"/>
      <c r="AE602" s="802"/>
      <c r="AF602" s="802"/>
      <c r="AG602" s="802"/>
      <c r="AH602" s="802"/>
      <c r="AI602" s="802"/>
      <c r="AJ602" s="802"/>
      <c r="AK602" s="802"/>
      <c r="AL602" s="802"/>
      <c r="AM602" s="802"/>
      <c r="AN602" s="802"/>
      <c r="AO602" s="802"/>
      <c r="AP602" s="802"/>
      <c r="AQ602" s="802"/>
      <c r="AR602" s="802"/>
      <c r="AS602" s="802"/>
      <c r="AT602" s="802"/>
      <c r="AU602" s="802"/>
      <c r="AV602" s="802"/>
      <c r="AW602" s="802"/>
      <c r="AX602" s="802"/>
      <c r="AY602" s="802"/>
    </row>
    <row r="603" ht="21.75" customHeight="1">
      <c r="A603" s="802"/>
      <c r="B603" s="802"/>
      <c r="C603" s="802"/>
      <c r="D603" s="802"/>
      <c r="E603" s="802"/>
      <c r="F603" s="802"/>
      <c r="G603" s="802"/>
      <c r="H603" s="802"/>
      <c r="I603" s="802"/>
      <c r="J603" s="802"/>
      <c r="K603" s="802"/>
      <c r="L603" s="802"/>
      <c r="M603" s="802"/>
      <c r="N603" s="802"/>
      <c r="O603" s="802"/>
      <c r="P603" s="802"/>
      <c r="Q603" s="802"/>
      <c r="R603" s="802"/>
      <c r="S603" s="802"/>
      <c r="T603" s="802"/>
      <c r="U603" s="802"/>
      <c r="V603" s="802"/>
      <c r="W603" s="802"/>
      <c r="X603" s="802"/>
      <c r="Y603" s="802"/>
      <c r="Z603" s="802"/>
      <c r="AA603" s="802"/>
      <c r="AB603" s="802"/>
      <c r="AC603" s="802"/>
      <c r="AD603" s="802"/>
      <c r="AE603" s="802"/>
      <c r="AF603" s="802"/>
      <c r="AG603" s="802"/>
      <c r="AH603" s="802"/>
      <c r="AI603" s="802"/>
      <c r="AJ603" s="802"/>
      <c r="AK603" s="802"/>
      <c r="AL603" s="802"/>
      <c r="AM603" s="802"/>
      <c r="AN603" s="802"/>
      <c r="AO603" s="802"/>
      <c r="AP603" s="802"/>
      <c r="AQ603" s="802"/>
      <c r="AR603" s="802"/>
      <c r="AS603" s="802"/>
      <c r="AT603" s="802"/>
      <c r="AU603" s="802"/>
      <c r="AV603" s="802"/>
      <c r="AW603" s="802"/>
      <c r="AX603" s="802"/>
      <c r="AY603" s="802"/>
    </row>
    <row r="604" ht="21.75" customHeight="1">
      <c r="A604" s="802"/>
      <c r="B604" s="802"/>
      <c r="C604" s="802"/>
      <c r="D604" s="802"/>
      <c r="E604" s="802"/>
      <c r="F604" s="802"/>
      <c r="G604" s="802"/>
      <c r="H604" s="802"/>
      <c r="I604" s="802"/>
      <c r="J604" s="802"/>
      <c r="K604" s="802"/>
      <c r="L604" s="802"/>
      <c r="M604" s="802"/>
      <c r="N604" s="802"/>
      <c r="O604" s="802"/>
      <c r="P604" s="802"/>
      <c r="Q604" s="802"/>
      <c r="R604" s="802"/>
      <c r="S604" s="802"/>
      <c r="T604" s="802"/>
      <c r="U604" s="802"/>
      <c r="V604" s="802"/>
      <c r="W604" s="802"/>
      <c r="X604" s="802"/>
      <c r="Y604" s="802"/>
      <c r="Z604" s="802"/>
      <c r="AA604" s="802"/>
      <c r="AB604" s="802"/>
      <c r="AC604" s="802"/>
      <c r="AD604" s="802"/>
      <c r="AE604" s="802"/>
      <c r="AF604" s="802"/>
      <c r="AG604" s="802"/>
      <c r="AH604" s="802"/>
      <c r="AI604" s="802"/>
      <c r="AJ604" s="802"/>
      <c r="AK604" s="802"/>
      <c r="AL604" s="802"/>
      <c r="AM604" s="802"/>
      <c r="AN604" s="802"/>
      <c r="AO604" s="802"/>
      <c r="AP604" s="802"/>
      <c r="AQ604" s="802"/>
      <c r="AR604" s="802"/>
      <c r="AS604" s="802"/>
      <c r="AT604" s="802"/>
      <c r="AU604" s="802"/>
      <c r="AV604" s="802"/>
      <c r="AW604" s="802"/>
      <c r="AX604" s="802"/>
      <c r="AY604" s="802"/>
    </row>
    <row r="605" ht="21.75" customHeight="1">
      <c r="A605" s="802"/>
      <c r="B605" s="802"/>
      <c r="C605" s="802"/>
      <c r="D605" s="802"/>
      <c r="E605" s="802"/>
      <c r="F605" s="802"/>
      <c r="G605" s="802"/>
      <c r="H605" s="802"/>
      <c r="I605" s="802"/>
      <c r="J605" s="802"/>
      <c r="K605" s="802"/>
      <c r="L605" s="802"/>
      <c r="M605" s="802"/>
      <c r="N605" s="802"/>
      <c r="O605" s="802"/>
      <c r="P605" s="802"/>
      <c r="Q605" s="802"/>
      <c r="R605" s="802"/>
      <c r="S605" s="802"/>
      <c r="T605" s="802"/>
      <c r="U605" s="802"/>
      <c r="V605" s="802"/>
      <c r="W605" s="802"/>
      <c r="X605" s="802"/>
      <c r="Y605" s="802"/>
      <c r="Z605" s="802"/>
      <c r="AA605" s="802"/>
      <c r="AB605" s="802"/>
      <c r="AC605" s="802"/>
      <c r="AD605" s="802"/>
      <c r="AE605" s="802"/>
      <c r="AF605" s="802"/>
      <c r="AG605" s="802"/>
      <c r="AH605" s="802"/>
      <c r="AI605" s="802"/>
      <c r="AJ605" s="802"/>
      <c r="AK605" s="802"/>
      <c r="AL605" s="802"/>
      <c r="AM605" s="802"/>
      <c r="AN605" s="802"/>
      <c r="AO605" s="802"/>
      <c r="AP605" s="802"/>
      <c r="AQ605" s="802"/>
      <c r="AR605" s="802"/>
      <c r="AS605" s="802"/>
      <c r="AT605" s="802"/>
      <c r="AU605" s="802"/>
      <c r="AV605" s="802"/>
      <c r="AW605" s="802"/>
      <c r="AX605" s="802"/>
      <c r="AY605" s="802"/>
    </row>
    <row r="606" ht="21.75" customHeight="1">
      <c r="A606" s="802"/>
      <c r="B606" s="802"/>
      <c r="C606" s="802"/>
      <c r="D606" s="802"/>
      <c r="E606" s="802"/>
      <c r="F606" s="802"/>
      <c r="G606" s="802"/>
      <c r="H606" s="802"/>
      <c r="I606" s="802"/>
      <c r="J606" s="802"/>
      <c r="K606" s="802"/>
      <c r="L606" s="802"/>
      <c r="M606" s="802"/>
      <c r="N606" s="802"/>
      <c r="O606" s="802"/>
      <c r="P606" s="802"/>
      <c r="Q606" s="802"/>
      <c r="R606" s="802"/>
      <c r="S606" s="802"/>
      <c r="T606" s="802"/>
      <c r="U606" s="802"/>
      <c r="V606" s="802"/>
      <c r="W606" s="802"/>
      <c r="X606" s="802"/>
      <c r="Y606" s="802"/>
      <c r="Z606" s="802"/>
      <c r="AA606" s="802"/>
      <c r="AB606" s="802"/>
      <c r="AC606" s="802"/>
      <c r="AD606" s="802"/>
      <c r="AE606" s="802"/>
      <c r="AF606" s="802"/>
      <c r="AG606" s="802"/>
      <c r="AH606" s="802"/>
      <c r="AI606" s="802"/>
      <c r="AJ606" s="802"/>
      <c r="AK606" s="802"/>
      <c r="AL606" s="802"/>
      <c r="AM606" s="802"/>
      <c r="AN606" s="802"/>
      <c r="AO606" s="802"/>
      <c r="AP606" s="802"/>
      <c r="AQ606" s="802"/>
      <c r="AR606" s="802"/>
      <c r="AS606" s="802"/>
      <c r="AT606" s="802"/>
      <c r="AU606" s="802"/>
      <c r="AV606" s="802"/>
      <c r="AW606" s="802"/>
      <c r="AX606" s="802"/>
      <c r="AY606" s="802"/>
    </row>
    <row r="607" ht="21.75" customHeight="1">
      <c r="A607" s="802"/>
      <c r="B607" s="802"/>
      <c r="C607" s="802"/>
      <c r="D607" s="802"/>
      <c r="E607" s="802"/>
      <c r="F607" s="802"/>
      <c r="G607" s="802"/>
      <c r="H607" s="802"/>
      <c r="I607" s="802"/>
      <c r="J607" s="802"/>
      <c r="K607" s="802"/>
      <c r="L607" s="802"/>
      <c r="M607" s="802"/>
      <c r="N607" s="802"/>
      <c r="O607" s="802"/>
      <c r="P607" s="802"/>
      <c r="Q607" s="802"/>
      <c r="R607" s="802"/>
      <c r="S607" s="802"/>
      <c r="T607" s="802"/>
      <c r="U607" s="802"/>
      <c r="V607" s="802"/>
      <c r="W607" s="802"/>
      <c r="X607" s="802"/>
      <c r="Y607" s="802"/>
      <c r="Z607" s="802"/>
      <c r="AA607" s="802"/>
      <c r="AB607" s="802"/>
      <c r="AC607" s="802"/>
      <c r="AD607" s="802"/>
      <c r="AE607" s="802"/>
      <c r="AF607" s="802"/>
      <c r="AG607" s="802"/>
      <c r="AH607" s="802"/>
      <c r="AI607" s="802"/>
      <c r="AJ607" s="802"/>
      <c r="AK607" s="802"/>
      <c r="AL607" s="802"/>
      <c r="AM607" s="802"/>
      <c r="AN607" s="802"/>
      <c r="AO607" s="802"/>
      <c r="AP607" s="802"/>
      <c r="AQ607" s="802"/>
      <c r="AR607" s="802"/>
      <c r="AS607" s="802"/>
      <c r="AT607" s="802"/>
      <c r="AU607" s="802"/>
      <c r="AV607" s="802"/>
      <c r="AW607" s="802"/>
      <c r="AX607" s="802"/>
      <c r="AY607" s="802"/>
    </row>
    <row r="608" ht="21.75" customHeight="1">
      <c r="A608" s="802"/>
      <c r="B608" s="802"/>
      <c r="C608" s="802"/>
      <c r="D608" s="802"/>
      <c r="E608" s="802"/>
      <c r="F608" s="802"/>
      <c r="G608" s="802"/>
      <c r="H608" s="802"/>
      <c r="I608" s="802"/>
      <c r="J608" s="802"/>
      <c r="K608" s="802"/>
      <c r="L608" s="802"/>
      <c r="M608" s="802"/>
      <c r="N608" s="802"/>
      <c r="O608" s="802"/>
      <c r="P608" s="802"/>
      <c r="Q608" s="802"/>
      <c r="R608" s="802"/>
      <c r="S608" s="802"/>
      <c r="T608" s="802"/>
      <c r="U608" s="802"/>
      <c r="V608" s="802"/>
      <c r="W608" s="802"/>
      <c r="X608" s="802"/>
      <c r="Y608" s="802"/>
      <c r="Z608" s="802"/>
      <c r="AA608" s="802"/>
      <c r="AB608" s="802"/>
      <c r="AC608" s="802"/>
      <c r="AD608" s="802"/>
      <c r="AE608" s="802"/>
      <c r="AF608" s="802"/>
      <c r="AG608" s="802"/>
      <c r="AH608" s="802"/>
      <c r="AI608" s="802"/>
      <c r="AJ608" s="802"/>
      <c r="AK608" s="802"/>
      <c r="AL608" s="802"/>
      <c r="AM608" s="802"/>
      <c r="AN608" s="802"/>
      <c r="AO608" s="802"/>
      <c r="AP608" s="802"/>
      <c r="AQ608" s="802"/>
      <c r="AR608" s="802"/>
      <c r="AS608" s="802"/>
      <c r="AT608" s="802"/>
      <c r="AU608" s="802"/>
      <c r="AV608" s="802"/>
      <c r="AW608" s="802"/>
      <c r="AX608" s="802"/>
      <c r="AY608" s="802"/>
    </row>
    <row r="609" ht="21.75" customHeight="1">
      <c r="A609" s="802"/>
      <c r="B609" s="802"/>
      <c r="C609" s="802"/>
      <c r="D609" s="802"/>
      <c r="E609" s="802"/>
      <c r="F609" s="802"/>
      <c r="G609" s="802"/>
      <c r="H609" s="802"/>
      <c r="I609" s="802"/>
      <c r="J609" s="802"/>
      <c r="K609" s="802"/>
      <c r="L609" s="802"/>
      <c r="M609" s="802"/>
      <c r="N609" s="802"/>
      <c r="O609" s="802"/>
      <c r="P609" s="802"/>
      <c r="Q609" s="802"/>
      <c r="R609" s="802"/>
      <c r="S609" s="802"/>
      <c r="T609" s="802"/>
      <c r="U609" s="802"/>
      <c r="V609" s="802"/>
      <c r="W609" s="802"/>
      <c r="X609" s="802"/>
      <c r="Y609" s="802"/>
      <c r="Z609" s="802"/>
      <c r="AA609" s="802"/>
      <c r="AB609" s="802"/>
      <c r="AC609" s="802"/>
      <c r="AD609" s="802"/>
      <c r="AE609" s="802"/>
      <c r="AF609" s="802"/>
      <c r="AG609" s="802"/>
      <c r="AH609" s="802"/>
      <c r="AI609" s="802"/>
      <c r="AJ609" s="802"/>
      <c r="AK609" s="802"/>
      <c r="AL609" s="802"/>
      <c r="AM609" s="802"/>
      <c r="AN609" s="802"/>
      <c r="AO609" s="802"/>
      <c r="AP609" s="802"/>
      <c r="AQ609" s="802"/>
      <c r="AR609" s="802"/>
      <c r="AS609" s="802"/>
      <c r="AT609" s="802"/>
      <c r="AU609" s="802"/>
      <c r="AV609" s="802"/>
      <c r="AW609" s="802"/>
      <c r="AX609" s="802"/>
      <c r="AY609" s="802"/>
    </row>
    <row r="610" ht="21.75" customHeight="1">
      <c r="A610" s="802"/>
      <c r="B610" s="802"/>
      <c r="C610" s="802"/>
      <c r="D610" s="802"/>
      <c r="E610" s="802"/>
      <c r="F610" s="802"/>
      <c r="G610" s="802"/>
      <c r="H610" s="802"/>
      <c r="I610" s="802"/>
      <c r="J610" s="802"/>
      <c r="K610" s="802"/>
      <c r="L610" s="802"/>
      <c r="M610" s="802"/>
      <c r="N610" s="802"/>
      <c r="O610" s="802"/>
      <c r="P610" s="802"/>
      <c r="Q610" s="802"/>
      <c r="R610" s="802"/>
      <c r="S610" s="802"/>
      <c r="T610" s="802"/>
      <c r="U610" s="802"/>
      <c r="V610" s="802"/>
      <c r="W610" s="802"/>
      <c r="X610" s="802"/>
      <c r="Y610" s="802"/>
      <c r="Z610" s="802"/>
      <c r="AA610" s="802"/>
      <c r="AB610" s="802"/>
      <c r="AC610" s="802"/>
      <c r="AD610" s="802"/>
      <c r="AE610" s="802"/>
      <c r="AF610" s="802"/>
      <c r="AG610" s="802"/>
      <c r="AH610" s="802"/>
      <c r="AI610" s="802"/>
      <c r="AJ610" s="802"/>
      <c r="AK610" s="802"/>
      <c r="AL610" s="802"/>
      <c r="AM610" s="802"/>
      <c r="AN610" s="802"/>
      <c r="AO610" s="802"/>
      <c r="AP610" s="802"/>
      <c r="AQ610" s="802"/>
      <c r="AR610" s="802"/>
      <c r="AS610" s="802"/>
      <c r="AT610" s="802"/>
      <c r="AU610" s="802"/>
      <c r="AV610" s="802"/>
      <c r="AW610" s="802"/>
      <c r="AX610" s="802"/>
      <c r="AY610" s="802"/>
    </row>
    <row r="611" ht="21.75" customHeight="1">
      <c r="A611" s="802"/>
      <c r="B611" s="802"/>
      <c r="C611" s="802"/>
      <c r="D611" s="802"/>
      <c r="E611" s="802"/>
      <c r="F611" s="802"/>
      <c r="G611" s="802"/>
      <c r="H611" s="802"/>
      <c r="I611" s="802"/>
      <c r="J611" s="802"/>
      <c r="K611" s="802"/>
      <c r="L611" s="802"/>
      <c r="M611" s="802"/>
      <c r="N611" s="802"/>
      <c r="O611" s="802"/>
      <c r="P611" s="802"/>
      <c r="Q611" s="802"/>
      <c r="R611" s="802"/>
      <c r="S611" s="802"/>
      <c r="T611" s="802"/>
      <c r="U611" s="802"/>
      <c r="V611" s="802"/>
      <c r="W611" s="802"/>
      <c r="X611" s="802"/>
      <c r="Y611" s="802"/>
      <c r="Z611" s="802"/>
      <c r="AA611" s="802"/>
      <c r="AB611" s="802"/>
      <c r="AC611" s="802"/>
      <c r="AD611" s="802"/>
      <c r="AE611" s="802"/>
      <c r="AF611" s="802"/>
      <c r="AG611" s="802"/>
      <c r="AH611" s="802"/>
      <c r="AI611" s="802"/>
      <c r="AJ611" s="802"/>
      <c r="AK611" s="802"/>
      <c r="AL611" s="802"/>
      <c r="AM611" s="802"/>
      <c r="AN611" s="802"/>
      <c r="AO611" s="802"/>
      <c r="AP611" s="802"/>
      <c r="AQ611" s="802"/>
      <c r="AR611" s="802"/>
      <c r="AS611" s="802"/>
      <c r="AT611" s="802"/>
      <c r="AU611" s="802"/>
      <c r="AV611" s="802"/>
      <c r="AW611" s="802"/>
      <c r="AX611" s="802"/>
      <c r="AY611" s="802"/>
    </row>
    <row r="612" ht="21.75" customHeight="1">
      <c r="A612" s="802"/>
      <c r="B612" s="802"/>
      <c r="C612" s="802"/>
      <c r="D612" s="802"/>
      <c r="E612" s="802"/>
      <c r="F612" s="802"/>
      <c r="G612" s="802"/>
      <c r="H612" s="802"/>
      <c r="I612" s="802"/>
      <c r="J612" s="802"/>
      <c r="K612" s="802"/>
      <c r="L612" s="802"/>
      <c r="M612" s="802"/>
      <c r="N612" s="802"/>
      <c r="O612" s="802"/>
      <c r="P612" s="802"/>
      <c r="Q612" s="802"/>
      <c r="R612" s="802"/>
      <c r="S612" s="802"/>
      <c r="T612" s="802"/>
      <c r="U612" s="802"/>
      <c r="V612" s="802"/>
      <c r="W612" s="802"/>
      <c r="X612" s="802"/>
      <c r="Y612" s="802"/>
      <c r="Z612" s="802"/>
      <c r="AA612" s="802"/>
      <c r="AB612" s="802"/>
      <c r="AC612" s="802"/>
      <c r="AD612" s="802"/>
      <c r="AE612" s="802"/>
      <c r="AF612" s="802"/>
      <c r="AG612" s="802"/>
      <c r="AH612" s="802"/>
      <c r="AI612" s="802"/>
      <c r="AJ612" s="802"/>
      <c r="AK612" s="802"/>
      <c r="AL612" s="802"/>
      <c r="AM612" s="802"/>
      <c r="AN612" s="802"/>
      <c r="AO612" s="802"/>
      <c r="AP612" s="802"/>
      <c r="AQ612" s="802"/>
      <c r="AR612" s="802"/>
      <c r="AS612" s="802"/>
      <c r="AT612" s="802"/>
      <c r="AU612" s="802"/>
      <c r="AV612" s="802"/>
      <c r="AW612" s="802"/>
      <c r="AX612" s="802"/>
      <c r="AY612" s="802"/>
    </row>
    <row r="613" ht="21.75" customHeight="1">
      <c r="A613" s="802"/>
      <c r="B613" s="802"/>
      <c r="C613" s="802"/>
      <c r="D613" s="802"/>
      <c r="E613" s="802"/>
      <c r="F613" s="802"/>
      <c r="G613" s="802"/>
      <c r="H613" s="802"/>
      <c r="I613" s="802"/>
      <c r="J613" s="802"/>
      <c r="K613" s="802"/>
      <c r="L613" s="802"/>
      <c r="M613" s="802"/>
      <c r="N613" s="802"/>
      <c r="O613" s="802"/>
      <c r="P613" s="802"/>
      <c r="Q613" s="802"/>
      <c r="R613" s="802"/>
      <c r="S613" s="802"/>
      <c r="T613" s="802"/>
      <c r="U613" s="802"/>
      <c r="V613" s="802"/>
      <c r="W613" s="802"/>
      <c r="X613" s="802"/>
      <c r="Y613" s="802"/>
      <c r="Z613" s="802"/>
      <c r="AA613" s="802"/>
      <c r="AB613" s="802"/>
      <c r="AC613" s="802"/>
      <c r="AD613" s="802"/>
      <c r="AE613" s="802"/>
      <c r="AF613" s="802"/>
      <c r="AG613" s="802"/>
      <c r="AH613" s="802"/>
      <c r="AI613" s="802"/>
      <c r="AJ613" s="802"/>
      <c r="AK613" s="802"/>
      <c r="AL613" s="802"/>
      <c r="AM613" s="802"/>
      <c r="AN613" s="802"/>
      <c r="AO613" s="802"/>
      <c r="AP613" s="802"/>
      <c r="AQ613" s="802"/>
      <c r="AR613" s="802"/>
      <c r="AS613" s="802"/>
      <c r="AT613" s="802"/>
      <c r="AU613" s="802"/>
      <c r="AV613" s="802"/>
      <c r="AW613" s="802"/>
      <c r="AX613" s="802"/>
      <c r="AY613" s="802"/>
    </row>
    <row r="614" ht="21.75" customHeight="1">
      <c r="A614" s="802"/>
      <c r="B614" s="802"/>
      <c r="C614" s="802"/>
      <c r="D614" s="802"/>
      <c r="E614" s="802"/>
      <c r="F614" s="802"/>
      <c r="G614" s="802"/>
      <c r="H614" s="802"/>
      <c r="I614" s="802"/>
      <c r="J614" s="802"/>
      <c r="K614" s="802"/>
      <c r="L614" s="802"/>
      <c r="M614" s="802"/>
      <c r="N614" s="802"/>
      <c r="O614" s="802"/>
      <c r="P614" s="802"/>
      <c r="Q614" s="802"/>
      <c r="R614" s="802"/>
      <c r="S614" s="802"/>
      <c r="T614" s="802"/>
      <c r="U614" s="802"/>
      <c r="V614" s="802"/>
      <c r="W614" s="802"/>
      <c r="X614" s="802"/>
      <c r="Y614" s="802"/>
      <c r="Z614" s="802"/>
      <c r="AA614" s="802"/>
      <c r="AB614" s="802"/>
      <c r="AC614" s="802"/>
      <c r="AD614" s="802"/>
      <c r="AE614" s="802"/>
      <c r="AF614" s="802"/>
      <c r="AG614" s="802"/>
      <c r="AH614" s="802"/>
      <c r="AI614" s="802"/>
      <c r="AJ614" s="802"/>
      <c r="AK614" s="802"/>
      <c r="AL614" s="802"/>
      <c r="AM614" s="802"/>
      <c r="AN614" s="802"/>
      <c r="AO614" s="802"/>
      <c r="AP614" s="802"/>
      <c r="AQ614" s="802"/>
      <c r="AR614" s="802"/>
      <c r="AS614" s="802"/>
      <c r="AT614" s="802"/>
      <c r="AU614" s="802"/>
      <c r="AV614" s="802"/>
      <c r="AW614" s="802"/>
      <c r="AX614" s="802"/>
      <c r="AY614" s="802"/>
    </row>
    <row r="615" ht="21.75" customHeight="1">
      <c r="A615" s="802"/>
      <c r="B615" s="802"/>
      <c r="C615" s="802"/>
      <c r="D615" s="802"/>
      <c r="E615" s="802"/>
      <c r="F615" s="802"/>
      <c r="G615" s="802"/>
      <c r="H615" s="802"/>
      <c r="I615" s="802"/>
      <c r="J615" s="802"/>
      <c r="K615" s="802"/>
      <c r="L615" s="802"/>
      <c r="M615" s="802"/>
      <c r="N615" s="802"/>
      <c r="O615" s="802"/>
      <c r="P615" s="802"/>
      <c r="Q615" s="802"/>
      <c r="R615" s="802"/>
      <c r="S615" s="802"/>
      <c r="T615" s="802"/>
      <c r="U615" s="802"/>
      <c r="V615" s="802"/>
      <c r="W615" s="802"/>
      <c r="X615" s="802"/>
      <c r="Y615" s="802"/>
      <c r="Z615" s="802"/>
      <c r="AA615" s="802"/>
      <c r="AB615" s="802"/>
      <c r="AC615" s="802"/>
      <c r="AD615" s="802"/>
      <c r="AE615" s="802"/>
      <c r="AF615" s="802"/>
      <c r="AG615" s="802"/>
      <c r="AH615" s="802"/>
      <c r="AI615" s="802"/>
      <c r="AJ615" s="802"/>
      <c r="AK615" s="802"/>
      <c r="AL615" s="802"/>
      <c r="AM615" s="802"/>
      <c r="AN615" s="802"/>
      <c r="AO615" s="802"/>
      <c r="AP615" s="802"/>
      <c r="AQ615" s="802"/>
      <c r="AR615" s="802"/>
      <c r="AS615" s="802"/>
      <c r="AT615" s="802"/>
      <c r="AU615" s="802"/>
      <c r="AV615" s="802"/>
      <c r="AW615" s="802"/>
      <c r="AX615" s="802"/>
      <c r="AY615" s="802"/>
    </row>
    <row r="616" ht="21.75" customHeight="1">
      <c r="A616" s="802"/>
      <c r="B616" s="802"/>
      <c r="C616" s="802"/>
      <c r="D616" s="802"/>
      <c r="E616" s="802"/>
      <c r="F616" s="802"/>
      <c r="G616" s="802"/>
      <c r="H616" s="802"/>
      <c r="I616" s="802"/>
      <c r="J616" s="802"/>
      <c r="K616" s="802"/>
      <c r="L616" s="802"/>
      <c r="M616" s="802"/>
      <c r="N616" s="802"/>
      <c r="O616" s="802"/>
      <c r="P616" s="802"/>
      <c r="Q616" s="802"/>
      <c r="R616" s="802"/>
      <c r="S616" s="802"/>
      <c r="T616" s="802"/>
      <c r="U616" s="802"/>
      <c r="V616" s="802"/>
      <c r="W616" s="802"/>
      <c r="X616" s="802"/>
      <c r="Y616" s="802"/>
      <c r="Z616" s="802"/>
      <c r="AA616" s="802"/>
      <c r="AB616" s="802"/>
      <c r="AC616" s="802"/>
      <c r="AD616" s="802"/>
      <c r="AE616" s="802"/>
      <c r="AF616" s="802"/>
      <c r="AG616" s="802"/>
      <c r="AH616" s="802"/>
      <c r="AI616" s="802"/>
      <c r="AJ616" s="802"/>
      <c r="AK616" s="802"/>
      <c r="AL616" s="802"/>
      <c r="AM616" s="802"/>
      <c r="AN616" s="802"/>
      <c r="AO616" s="802"/>
      <c r="AP616" s="802"/>
      <c r="AQ616" s="802"/>
      <c r="AR616" s="802"/>
      <c r="AS616" s="802"/>
      <c r="AT616" s="802"/>
      <c r="AU616" s="802"/>
      <c r="AV616" s="802"/>
      <c r="AW616" s="802"/>
      <c r="AX616" s="802"/>
      <c r="AY616" s="802"/>
    </row>
    <row r="617" ht="21.75" customHeight="1">
      <c r="A617" s="802"/>
      <c r="B617" s="802"/>
      <c r="C617" s="802"/>
      <c r="D617" s="802"/>
      <c r="E617" s="802"/>
      <c r="F617" s="802"/>
      <c r="G617" s="802"/>
      <c r="H617" s="802"/>
      <c r="I617" s="802"/>
      <c r="J617" s="802"/>
      <c r="K617" s="802"/>
      <c r="L617" s="802"/>
      <c r="M617" s="802"/>
      <c r="N617" s="802"/>
      <c r="O617" s="802"/>
      <c r="P617" s="802"/>
      <c r="Q617" s="802"/>
      <c r="R617" s="802"/>
      <c r="S617" s="802"/>
      <c r="T617" s="802"/>
      <c r="U617" s="802"/>
      <c r="V617" s="802"/>
      <c r="W617" s="802"/>
      <c r="X617" s="802"/>
      <c r="Y617" s="802"/>
      <c r="Z617" s="802"/>
      <c r="AA617" s="802"/>
      <c r="AB617" s="802"/>
      <c r="AC617" s="802"/>
      <c r="AD617" s="802"/>
      <c r="AE617" s="802"/>
      <c r="AF617" s="802"/>
      <c r="AG617" s="802"/>
      <c r="AH617" s="802"/>
      <c r="AI617" s="802"/>
      <c r="AJ617" s="802"/>
      <c r="AK617" s="802"/>
      <c r="AL617" s="802"/>
      <c r="AM617" s="802"/>
      <c r="AN617" s="802"/>
      <c r="AO617" s="802"/>
      <c r="AP617" s="802"/>
      <c r="AQ617" s="802"/>
      <c r="AR617" s="802"/>
      <c r="AS617" s="802"/>
      <c r="AT617" s="802"/>
      <c r="AU617" s="802"/>
      <c r="AV617" s="802"/>
      <c r="AW617" s="802"/>
      <c r="AX617" s="802"/>
      <c r="AY617" s="802"/>
    </row>
    <row r="618" ht="21.75" customHeight="1">
      <c r="A618" s="802"/>
      <c r="B618" s="802"/>
      <c r="C618" s="802"/>
      <c r="D618" s="802"/>
      <c r="E618" s="802"/>
      <c r="F618" s="802"/>
      <c r="G618" s="802"/>
      <c r="H618" s="802"/>
      <c r="I618" s="802"/>
      <c r="J618" s="802"/>
      <c r="K618" s="802"/>
      <c r="L618" s="802"/>
      <c r="M618" s="802"/>
      <c r="N618" s="802"/>
      <c r="O618" s="802"/>
      <c r="P618" s="802"/>
      <c r="Q618" s="802"/>
      <c r="R618" s="802"/>
      <c r="S618" s="802"/>
      <c r="T618" s="802"/>
      <c r="U618" s="802"/>
      <c r="V618" s="802"/>
      <c r="W618" s="802"/>
      <c r="X618" s="802"/>
      <c r="Y618" s="802"/>
      <c r="Z618" s="802"/>
      <c r="AA618" s="802"/>
      <c r="AB618" s="802"/>
      <c r="AC618" s="802"/>
      <c r="AD618" s="802"/>
      <c r="AE618" s="802"/>
      <c r="AF618" s="802"/>
      <c r="AG618" s="802"/>
      <c r="AH618" s="802"/>
      <c r="AI618" s="802"/>
      <c r="AJ618" s="802"/>
      <c r="AK618" s="802"/>
      <c r="AL618" s="802"/>
      <c r="AM618" s="802"/>
      <c r="AN618" s="802"/>
      <c r="AO618" s="802"/>
      <c r="AP618" s="802"/>
      <c r="AQ618" s="802"/>
      <c r="AR618" s="802"/>
      <c r="AS618" s="802"/>
      <c r="AT618" s="802"/>
      <c r="AU618" s="802"/>
      <c r="AV618" s="802"/>
      <c r="AW618" s="802"/>
      <c r="AX618" s="802"/>
      <c r="AY618" s="802"/>
    </row>
    <row r="619" ht="21.75" customHeight="1">
      <c r="A619" s="802"/>
      <c r="B619" s="802"/>
      <c r="C619" s="802"/>
      <c r="D619" s="802"/>
      <c r="E619" s="802"/>
      <c r="F619" s="802"/>
      <c r="G619" s="802"/>
      <c r="H619" s="802"/>
      <c r="I619" s="802"/>
      <c r="J619" s="802"/>
      <c r="K619" s="802"/>
      <c r="L619" s="802"/>
      <c r="M619" s="802"/>
      <c r="N619" s="802"/>
      <c r="O619" s="802"/>
      <c r="P619" s="802"/>
      <c r="Q619" s="802"/>
      <c r="R619" s="802"/>
      <c r="S619" s="802"/>
      <c r="T619" s="802"/>
      <c r="U619" s="802"/>
      <c r="V619" s="802"/>
      <c r="W619" s="802"/>
      <c r="X619" s="802"/>
      <c r="Y619" s="802"/>
      <c r="Z619" s="802"/>
      <c r="AA619" s="802"/>
      <c r="AB619" s="802"/>
      <c r="AC619" s="802"/>
      <c r="AD619" s="802"/>
      <c r="AE619" s="802"/>
      <c r="AF619" s="802"/>
      <c r="AG619" s="802"/>
      <c r="AH619" s="802"/>
      <c r="AI619" s="802"/>
      <c r="AJ619" s="802"/>
      <c r="AK619" s="802"/>
      <c r="AL619" s="802"/>
      <c r="AM619" s="802"/>
      <c r="AN619" s="802"/>
      <c r="AO619" s="802"/>
      <c r="AP619" s="802"/>
      <c r="AQ619" s="802"/>
      <c r="AR619" s="802"/>
      <c r="AS619" s="802"/>
      <c r="AT619" s="802"/>
      <c r="AU619" s="802"/>
      <c r="AV619" s="802"/>
      <c r="AW619" s="802"/>
      <c r="AX619" s="802"/>
      <c r="AY619" s="802"/>
    </row>
    <row r="620" ht="21.75" customHeight="1">
      <c r="A620" s="802"/>
      <c r="B620" s="802"/>
      <c r="C620" s="802"/>
      <c r="D620" s="802"/>
      <c r="E620" s="802"/>
      <c r="F620" s="802"/>
      <c r="G620" s="802"/>
      <c r="H620" s="802"/>
      <c r="I620" s="802"/>
      <c r="J620" s="802"/>
      <c r="K620" s="802"/>
      <c r="L620" s="802"/>
      <c r="M620" s="802"/>
      <c r="N620" s="802"/>
      <c r="O620" s="802"/>
      <c r="P620" s="802"/>
      <c r="Q620" s="802"/>
      <c r="R620" s="802"/>
      <c r="S620" s="802"/>
      <c r="T620" s="802"/>
      <c r="U620" s="802"/>
      <c r="V620" s="802"/>
      <c r="W620" s="802"/>
      <c r="X620" s="802"/>
      <c r="Y620" s="802"/>
      <c r="Z620" s="802"/>
      <c r="AA620" s="802"/>
      <c r="AB620" s="802"/>
      <c r="AC620" s="802"/>
      <c r="AD620" s="802"/>
      <c r="AE620" s="802"/>
      <c r="AF620" s="802"/>
      <c r="AG620" s="802"/>
      <c r="AH620" s="802"/>
      <c r="AI620" s="802"/>
      <c r="AJ620" s="802"/>
      <c r="AK620" s="802"/>
      <c r="AL620" s="802"/>
      <c r="AM620" s="802"/>
      <c r="AN620" s="802"/>
      <c r="AO620" s="802"/>
      <c r="AP620" s="802"/>
      <c r="AQ620" s="802"/>
      <c r="AR620" s="802"/>
      <c r="AS620" s="802"/>
      <c r="AT620" s="802"/>
      <c r="AU620" s="802"/>
      <c r="AV620" s="802"/>
      <c r="AW620" s="802"/>
      <c r="AX620" s="802"/>
      <c r="AY620" s="802"/>
    </row>
    <row r="621" ht="21.75" customHeight="1">
      <c r="A621" s="802"/>
      <c r="B621" s="802"/>
      <c r="C621" s="802"/>
      <c r="D621" s="802"/>
      <c r="E621" s="802"/>
      <c r="F621" s="802"/>
      <c r="G621" s="802"/>
      <c r="H621" s="802"/>
      <c r="I621" s="802"/>
      <c r="J621" s="802"/>
      <c r="K621" s="802"/>
      <c r="L621" s="802"/>
      <c r="M621" s="802"/>
      <c r="N621" s="802"/>
      <c r="O621" s="802"/>
      <c r="P621" s="802"/>
      <c r="Q621" s="802"/>
      <c r="R621" s="802"/>
      <c r="S621" s="802"/>
      <c r="T621" s="802"/>
      <c r="U621" s="802"/>
      <c r="V621" s="802"/>
      <c r="W621" s="802"/>
      <c r="X621" s="802"/>
      <c r="Y621" s="802"/>
      <c r="Z621" s="802"/>
      <c r="AA621" s="802"/>
      <c r="AB621" s="802"/>
      <c r="AC621" s="802"/>
      <c r="AD621" s="802"/>
      <c r="AE621" s="802"/>
      <c r="AF621" s="802"/>
      <c r="AG621" s="802"/>
      <c r="AH621" s="802"/>
      <c r="AI621" s="802"/>
      <c r="AJ621" s="802"/>
      <c r="AK621" s="802"/>
      <c r="AL621" s="802"/>
      <c r="AM621" s="802"/>
      <c r="AN621" s="802"/>
      <c r="AO621" s="802"/>
      <c r="AP621" s="802"/>
      <c r="AQ621" s="802"/>
      <c r="AR621" s="802"/>
      <c r="AS621" s="802"/>
      <c r="AT621" s="802"/>
      <c r="AU621" s="802"/>
      <c r="AV621" s="802"/>
      <c r="AW621" s="802"/>
      <c r="AX621" s="802"/>
      <c r="AY621" s="802"/>
    </row>
    <row r="622" ht="21.75" customHeight="1">
      <c r="A622" s="802"/>
      <c r="B622" s="802"/>
      <c r="C622" s="802"/>
      <c r="D622" s="802"/>
      <c r="E622" s="802"/>
      <c r="F622" s="802"/>
      <c r="G622" s="802"/>
      <c r="H622" s="802"/>
      <c r="I622" s="802"/>
      <c r="J622" s="802"/>
      <c r="K622" s="802"/>
      <c r="L622" s="802"/>
      <c r="M622" s="802"/>
      <c r="N622" s="802"/>
      <c r="O622" s="802"/>
      <c r="P622" s="802"/>
      <c r="Q622" s="802"/>
      <c r="R622" s="802"/>
      <c r="S622" s="802"/>
      <c r="T622" s="802"/>
      <c r="U622" s="802"/>
      <c r="V622" s="802"/>
      <c r="W622" s="802"/>
      <c r="X622" s="802"/>
      <c r="Y622" s="802"/>
      <c r="Z622" s="802"/>
      <c r="AA622" s="802"/>
      <c r="AB622" s="802"/>
      <c r="AC622" s="802"/>
      <c r="AD622" s="802"/>
      <c r="AE622" s="802"/>
      <c r="AF622" s="802"/>
      <c r="AG622" s="802"/>
      <c r="AH622" s="802"/>
      <c r="AI622" s="802"/>
      <c r="AJ622" s="802"/>
      <c r="AK622" s="802"/>
      <c r="AL622" s="802"/>
      <c r="AM622" s="802"/>
      <c r="AN622" s="802"/>
      <c r="AO622" s="802"/>
      <c r="AP622" s="802"/>
      <c r="AQ622" s="802"/>
      <c r="AR622" s="802"/>
      <c r="AS622" s="802"/>
      <c r="AT622" s="802"/>
      <c r="AU622" s="802"/>
      <c r="AV622" s="802"/>
      <c r="AW622" s="802"/>
      <c r="AX622" s="802"/>
      <c r="AY622" s="802"/>
    </row>
    <row r="623" ht="21.75" customHeight="1">
      <c r="A623" s="802"/>
      <c r="B623" s="802"/>
      <c r="C623" s="802"/>
      <c r="D623" s="802"/>
      <c r="E623" s="802"/>
      <c r="F623" s="802"/>
      <c r="G623" s="802"/>
      <c r="H623" s="802"/>
      <c r="I623" s="802"/>
      <c r="J623" s="802"/>
      <c r="K623" s="802"/>
      <c r="L623" s="802"/>
      <c r="M623" s="802"/>
      <c r="N623" s="802"/>
      <c r="O623" s="802"/>
      <c r="P623" s="802"/>
      <c r="Q623" s="802"/>
      <c r="R623" s="802"/>
      <c r="S623" s="802"/>
      <c r="T623" s="802"/>
      <c r="U623" s="802"/>
      <c r="V623" s="802"/>
      <c r="W623" s="802"/>
      <c r="X623" s="802"/>
      <c r="Y623" s="802"/>
      <c r="Z623" s="802"/>
      <c r="AA623" s="802"/>
      <c r="AB623" s="802"/>
      <c r="AC623" s="802"/>
      <c r="AD623" s="802"/>
      <c r="AE623" s="802"/>
      <c r="AF623" s="802"/>
      <c r="AG623" s="802"/>
      <c r="AH623" s="802"/>
      <c r="AI623" s="802"/>
      <c r="AJ623" s="802"/>
      <c r="AK623" s="802"/>
      <c r="AL623" s="802"/>
      <c r="AM623" s="802"/>
      <c r="AN623" s="802"/>
      <c r="AO623" s="802"/>
      <c r="AP623" s="802"/>
      <c r="AQ623" s="802"/>
      <c r="AR623" s="802"/>
      <c r="AS623" s="802"/>
      <c r="AT623" s="802"/>
      <c r="AU623" s="802"/>
      <c r="AV623" s="802"/>
      <c r="AW623" s="802"/>
      <c r="AX623" s="802"/>
      <c r="AY623" s="802"/>
    </row>
    <row r="624" ht="21.75" customHeight="1">
      <c r="A624" s="802"/>
      <c r="B624" s="802"/>
      <c r="C624" s="802"/>
      <c r="D624" s="802"/>
      <c r="E624" s="802"/>
      <c r="F624" s="802"/>
      <c r="G624" s="802"/>
      <c r="H624" s="802"/>
      <c r="I624" s="802"/>
      <c r="J624" s="802"/>
      <c r="K624" s="802"/>
      <c r="L624" s="802"/>
      <c r="M624" s="802"/>
      <c r="N624" s="802"/>
      <c r="O624" s="802"/>
      <c r="P624" s="802"/>
      <c r="Q624" s="802"/>
      <c r="R624" s="802"/>
      <c r="S624" s="802"/>
      <c r="T624" s="802"/>
      <c r="U624" s="802"/>
      <c r="V624" s="802"/>
      <c r="W624" s="802"/>
      <c r="X624" s="802"/>
      <c r="Y624" s="802"/>
      <c r="Z624" s="802"/>
      <c r="AA624" s="802"/>
      <c r="AB624" s="802"/>
      <c r="AC624" s="802"/>
      <c r="AD624" s="802"/>
      <c r="AE624" s="802"/>
      <c r="AF624" s="802"/>
      <c r="AG624" s="802"/>
      <c r="AH624" s="802"/>
      <c r="AI624" s="802"/>
      <c r="AJ624" s="802"/>
      <c r="AK624" s="802"/>
      <c r="AL624" s="802"/>
      <c r="AM624" s="802"/>
      <c r="AN624" s="802"/>
      <c r="AO624" s="802"/>
      <c r="AP624" s="802"/>
      <c r="AQ624" s="802"/>
      <c r="AR624" s="802"/>
      <c r="AS624" s="802"/>
      <c r="AT624" s="802"/>
      <c r="AU624" s="802"/>
      <c r="AV624" s="802"/>
      <c r="AW624" s="802"/>
      <c r="AX624" s="802"/>
      <c r="AY624" s="802"/>
    </row>
    <row r="625" ht="21.75" customHeight="1">
      <c r="A625" s="802"/>
      <c r="B625" s="802"/>
      <c r="C625" s="802"/>
      <c r="D625" s="802"/>
      <c r="E625" s="802"/>
      <c r="F625" s="802"/>
      <c r="G625" s="802"/>
      <c r="H625" s="802"/>
      <c r="I625" s="802"/>
      <c r="J625" s="802"/>
      <c r="K625" s="802"/>
      <c r="L625" s="802"/>
      <c r="M625" s="802"/>
      <c r="N625" s="802"/>
      <c r="O625" s="802"/>
      <c r="P625" s="802"/>
      <c r="Q625" s="802"/>
      <c r="R625" s="802"/>
      <c r="S625" s="802"/>
      <c r="T625" s="802"/>
      <c r="U625" s="802"/>
      <c r="V625" s="802"/>
      <c r="W625" s="802"/>
      <c r="X625" s="802"/>
      <c r="Y625" s="802"/>
      <c r="Z625" s="802"/>
      <c r="AA625" s="802"/>
      <c r="AB625" s="802"/>
      <c r="AC625" s="802"/>
      <c r="AD625" s="802"/>
      <c r="AE625" s="802"/>
      <c r="AF625" s="802"/>
      <c r="AG625" s="802"/>
      <c r="AH625" s="802"/>
      <c r="AI625" s="802"/>
      <c r="AJ625" s="802"/>
      <c r="AK625" s="802"/>
      <c r="AL625" s="802"/>
      <c r="AM625" s="802"/>
      <c r="AN625" s="802"/>
      <c r="AO625" s="802"/>
      <c r="AP625" s="802"/>
      <c r="AQ625" s="802"/>
      <c r="AR625" s="802"/>
      <c r="AS625" s="802"/>
      <c r="AT625" s="802"/>
      <c r="AU625" s="802"/>
      <c r="AV625" s="802"/>
      <c r="AW625" s="802"/>
      <c r="AX625" s="802"/>
      <c r="AY625" s="802"/>
    </row>
    <row r="626" ht="21.75" customHeight="1">
      <c r="A626" s="802"/>
      <c r="B626" s="802"/>
      <c r="C626" s="802"/>
      <c r="D626" s="802"/>
      <c r="E626" s="802"/>
      <c r="F626" s="802"/>
      <c r="G626" s="802"/>
      <c r="H626" s="802"/>
      <c r="I626" s="802"/>
      <c r="J626" s="802"/>
      <c r="K626" s="802"/>
      <c r="L626" s="802"/>
      <c r="M626" s="802"/>
      <c r="N626" s="802"/>
      <c r="O626" s="802"/>
      <c r="P626" s="802"/>
      <c r="Q626" s="802"/>
      <c r="R626" s="802"/>
      <c r="S626" s="802"/>
      <c r="T626" s="802"/>
      <c r="U626" s="802"/>
      <c r="V626" s="802"/>
      <c r="W626" s="802"/>
      <c r="X626" s="802"/>
      <c r="Y626" s="802"/>
      <c r="Z626" s="802"/>
      <c r="AA626" s="802"/>
      <c r="AB626" s="802"/>
      <c r="AC626" s="802"/>
      <c r="AD626" s="802"/>
      <c r="AE626" s="802"/>
      <c r="AF626" s="802"/>
      <c r="AG626" s="802"/>
      <c r="AH626" s="802"/>
      <c r="AI626" s="802"/>
      <c r="AJ626" s="802"/>
      <c r="AK626" s="802"/>
      <c r="AL626" s="802"/>
      <c r="AM626" s="802"/>
      <c r="AN626" s="802"/>
      <c r="AO626" s="802"/>
      <c r="AP626" s="802"/>
      <c r="AQ626" s="802"/>
      <c r="AR626" s="802"/>
      <c r="AS626" s="802"/>
      <c r="AT626" s="802"/>
      <c r="AU626" s="802"/>
      <c r="AV626" s="802"/>
      <c r="AW626" s="802"/>
      <c r="AX626" s="802"/>
      <c r="AY626" s="802"/>
    </row>
    <row r="627" ht="21.75" customHeight="1">
      <c r="A627" s="802"/>
      <c r="B627" s="802"/>
      <c r="C627" s="802"/>
      <c r="D627" s="802"/>
      <c r="E627" s="802"/>
      <c r="F627" s="802"/>
      <c r="G627" s="802"/>
      <c r="H627" s="802"/>
      <c r="I627" s="802"/>
      <c r="J627" s="802"/>
      <c r="K627" s="802"/>
      <c r="L627" s="802"/>
      <c r="M627" s="802"/>
      <c r="N627" s="802"/>
      <c r="O627" s="802"/>
      <c r="P627" s="802"/>
      <c r="Q627" s="802"/>
      <c r="R627" s="802"/>
      <c r="S627" s="802"/>
      <c r="T627" s="802"/>
      <c r="U627" s="802"/>
      <c r="V627" s="802"/>
      <c r="W627" s="802"/>
      <c r="X627" s="802"/>
      <c r="Y627" s="802"/>
      <c r="Z627" s="802"/>
      <c r="AA627" s="802"/>
      <c r="AB627" s="802"/>
      <c r="AC627" s="802"/>
      <c r="AD627" s="802"/>
      <c r="AE627" s="802"/>
      <c r="AF627" s="802"/>
      <c r="AG627" s="802"/>
      <c r="AH627" s="802"/>
      <c r="AI627" s="802"/>
      <c r="AJ627" s="802"/>
      <c r="AK627" s="802"/>
      <c r="AL627" s="802"/>
      <c r="AM627" s="802"/>
      <c r="AN627" s="802"/>
      <c r="AO627" s="802"/>
      <c r="AP627" s="802"/>
      <c r="AQ627" s="802"/>
      <c r="AR627" s="802"/>
      <c r="AS627" s="802"/>
      <c r="AT627" s="802"/>
      <c r="AU627" s="802"/>
      <c r="AV627" s="802"/>
      <c r="AW627" s="802"/>
      <c r="AX627" s="802"/>
      <c r="AY627" s="802"/>
    </row>
    <row r="628" ht="21.75" customHeight="1">
      <c r="A628" s="802"/>
      <c r="B628" s="802"/>
      <c r="C628" s="802"/>
      <c r="D628" s="802"/>
      <c r="E628" s="802"/>
      <c r="F628" s="802"/>
      <c r="G628" s="802"/>
      <c r="H628" s="802"/>
      <c r="I628" s="802"/>
      <c r="J628" s="802"/>
      <c r="K628" s="802"/>
      <c r="L628" s="802"/>
      <c r="M628" s="802"/>
      <c r="N628" s="802"/>
      <c r="O628" s="802"/>
      <c r="P628" s="802"/>
      <c r="Q628" s="802"/>
      <c r="R628" s="802"/>
      <c r="S628" s="802"/>
      <c r="T628" s="802"/>
      <c r="U628" s="802"/>
      <c r="V628" s="802"/>
      <c r="W628" s="802"/>
      <c r="X628" s="802"/>
      <c r="Y628" s="802"/>
      <c r="Z628" s="802"/>
      <c r="AA628" s="802"/>
      <c r="AB628" s="802"/>
      <c r="AC628" s="802"/>
      <c r="AD628" s="802"/>
      <c r="AE628" s="802"/>
      <c r="AF628" s="802"/>
      <c r="AG628" s="802"/>
      <c r="AH628" s="802"/>
      <c r="AI628" s="802"/>
      <c r="AJ628" s="802"/>
      <c r="AK628" s="802"/>
      <c r="AL628" s="802"/>
      <c r="AM628" s="802"/>
      <c r="AN628" s="802"/>
      <c r="AO628" s="802"/>
      <c r="AP628" s="802"/>
      <c r="AQ628" s="802"/>
      <c r="AR628" s="802"/>
      <c r="AS628" s="802"/>
      <c r="AT628" s="802"/>
      <c r="AU628" s="802"/>
      <c r="AV628" s="802"/>
      <c r="AW628" s="802"/>
      <c r="AX628" s="802"/>
      <c r="AY628" s="802"/>
    </row>
    <row r="629" ht="21.75" customHeight="1">
      <c r="A629" s="802"/>
      <c r="B629" s="802"/>
      <c r="C629" s="802"/>
      <c r="D629" s="802"/>
      <c r="E629" s="802"/>
      <c r="F629" s="802"/>
      <c r="G629" s="802"/>
      <c r="H629" s="802"/>
      <c r="I629" s="802"/>
      <c r="J629" s="802"/>
      <c r="K629" s="802"/>
      <c r="L629" s="802"/>
      <c r="M629" s="802"/>
      <c r="N629" s="802"/>
      <c r="O629" s="802"/>
      <c r="P629" s="802"/>
      <c r="Q629" s="802"/>
      <c r="R629" s="802"/>
      <c r="S629" s="802"/>
      <c r="T629" s="802"/>
      <c r="U629" s="802"/>
      <c r="V629" s="802"/>
      <c r="W629" s="802"/>
      <c r="X629" s="802"/>
      <c r="Y629" s="802"/>
      <c r="Z629" s="802"/>
      <c r="AA629" s="802"/>
      <c r="AB629" s="802"/>
      <c r="AC629" s="802"/>
      <c r="AD629" s="802"/>
      <c r="AE629" s="802"/>
      <c r="AF629" s="802"/>
      <c r="AG629" s="802"/>
      <c r="AH629" s="802"/>
      <c r="AI629" s="802"/>
      <c r="AJ629" s="802"/>
      <c r="AK629" s="802"/>
      <c r="AL629" s="802"/>
      <c r="AM629" s="802"/>
      <c r="AN629" s="802"/>
      <c r="AO629" s="802"/>
      <c r="AP629" s="802"/>
      <c r="AQ629" s="802"/>
      <c r="AR629" s="802"/>
      <c r="AS629" s="802"/>
      <c r="AT629" s="802"/>
      <c r="AU629" s="802"/>
      <c r="AV629" s="802"/>
      <c r="AW629" s="802"/>
      <c r="AX629" s="802"/>
      <c r="AY629" s="802"/>
    </row>
    <row r="630" ht="21.75" customHeight="1">
      <c r="A630" s="802"/>
      <c r="B630" s="802"/>
      <c r="C630" s="802"/>
      <c r="D630" s="802"/>
      <c r="E630" s="802"/>
      <c r="F630" s="802"/>
      <c r="G630" s="802"/>
      <c r="H630" s="802"/>
      <c r="I630" s="802"/>
      <c r="J630" s="802"/>
      <c r="K630" s="802"/>
      <c r="L630" s="802"/>
      <c r="M630" s="802"/>
      <c r="N630" s="802"/>
      <c r="O630" s="802"/>
      <c r="P630" s="802"/>
      <c r="Q630" s="802"/>
      <c r="R630" s="802"/>
      <c r="S630" s="802"/>
      <c r="T630" s="802"/>
      <c r="U630" s="802"/>
      <c r="V630" s="802"/>
      <c r="W630" s="802"/>
      <c r="X630" s="802"/>
      <c r="Y630" s="802"/>
      <c r="Z630" s="802"/>
      <c r="AA630" s="802"/>
      <c r="AB630" s="802"/>
      <c r="AC630" s="802"/>
      <c r="AD630" s="802"/>
      <c r="AE630" s="802"/>
      <c r="AF630" s="802"/>
      <c r="AG630" s="802"/>
      <c r="AH630" s="802"/>
      <c r="AI630" s="802"/>
      <c r="AJ630" s="802"/>
      <c r="AK630" s="802"/>
      <c r="AL630" s="802"/>
      <c r="AM630" s="802"/>
      <c r="AN630" s="802"/>
      <c r="AO630" s="802"/>
      <c r="AP630" s="802"/>
      <c r="AQ630" s="802"/>
      <c r="AR630" s="802"/>
      <c r="AS630" s="802"/>
      <c r="AT630" s="802"/>
      <c r="AU630" s="802"/>
      <c r="AV630" s="802"/>
      <c r="AW630" s="802"/>
      <c r="AX630" s="802"/>
      <c r="AY630" s="802"/>
    </row>
    <row r="631" ht="21.75" customHeight="1">
      <c r="A631" s="802"/>
      <c r="B631" s="802"/>
      <c r="C631" s="802"/>
      <c r="D631" s="802"/>
      <c r="E631" s="802"/>
      <c r="F631" s="802"/>
      <c r="G631" s="802"/>
      <c r="H631" s="802"/>
      <c r="I631" s="802"/>
      <c r="J631" s="802"/>
      <c r="K631" s="802"/>
      <c r="L631" s="802"/>
      <c r="M631" s="802"/>
      <c r="N631" s="802"/>
      <c r="O631" s="802"/>
      <c r="P631" s="802"/>
      <c r="Q631" s="802"/>
      <c r="R631" s="802"/>
      <c r="S631" s="802"/>
      <c r="T631" s="802"/>
      <c r="U631" s="802"/>
      <c r="V631" s="802"/>
      <c r="W631" s="802"/>
      <c r="X631" s="802"/>
      <c r="Y631" s="802"/>
      <c r="Z631" s="802"/>
      <c r="AA631" s="802"/>
      <c r="AB631" s="802"/>
      <c r="AC631" s="802"/>
      <c r="AD631" s="802"/>
      <c r="AE631" s="802"/>
      <c r="AF631" s="802"/>
      <c r="AG631" s="802"/>
      <c r="AH631" s="802"/>
      <c r="AI631" s="802"/>
      <c r="AJ631" s="802"/>
      <c r="AK631" s="802"/>
      <c r="AL631" s="802"/>
      <c r="AM631" s="802"/>
      <c r="AN631" s="802"/>
      <c r="AO631" s="802"/>
      <c r="AP631" s="802"/>
      <c r="AQ631" s="802"/>
      <c r="AR631" s="802"/>
      <c r="AS631" s="802"/>
      <c r="AT631" s="802"/>
      <c r="AU631" s="802"/>
      <c r="AV631" s="802"/>
      <c r="AW631" s="802"/>
      <c r="AX631" s="802"/>
      <c r="AY631" s="802"/>
    </row>
    <row r="632" ht="21.75" customHeight="1">
      <c r="A632" s="802"/>
      <c r="B632" s="802"/>
      <c r="C632" s="802"/>
      <c r="D632" s="802"/>
      <c r="E632" s="802"/>
      <c r="F632" s="802"/>
      <c r="G632" s="802"/>
      <c r="H632" s="802"/>
      <c r="I632" s="802"/>
      <c r="J632" s="802"/>
      <c r="K632" s="802"/>
      <c r="L632" s="802"/>
      <c r="M632" s="802"/>
      <c r="N632" s="802"/>
      <c r="O632" s="802"/>
      <c r="P632" s="802"/>
      <c r="Q632" s="802"/>
      <c r="R632" s="802"/>
      <c r="S632" s="802"/>
      <c r="T632" s="802"/>
      <c r="U632" s="802"/>
      <c r="V632" s="802"/>
      <c r="W632" s="802"/>
      <c r="X632" s="802"/>
      <c r="Y632" s="802"/>
      <c r="Z632" s="802"/>
      <c r="AA632" s="802"/>
      <c r="AB632" s="802"/>
      <c r="AC632" s="802"/>
      <c r="AD632" s="802"/>
      <c r="AE632" s="802"/>
      <c r="AF632" s="802"/>
      <c r="AG632" s="802"/>
      <c r="AH632" s="802"/>
      <c r="AI632" s="802"/>
      <c r="AJ632" s="802"/>
      <c r="AK632" s="802"/>
      <c r="AL632" s="802"/>
      <c r="AM632" s="802"/>
      <c r="AN632" s="802"/>
      <c r="AO632" s="802"/>
      <c r="AP632" s="802"/>
      <c r="AQ632" s="802"/>
      <c r="AR632" s="802"/>
      <c r="AS632" s="802"/>
      <c r="AT632" s="802"/>
      <c r="AU632" s="802"/>
      <c r="AV632" s="802"/>
      <c r="AW632" s="802"/>
      <c r="AX632" s="802"/>
      <c r="AY632" s="802"/>
    </row>
    <row r="633" ht="21.75" customHeight="1">
      <c r="A633" s="802"/>
      <c r="B633" s="802"/>
      <c r="C633" s="802"/>
      <c r="D633" s="802"/>
      <c r="E633" s="802"/>
      <c r="F633" s="802"/>
      <c r="G633" s="802"/>
      <c r="H633" s="802"/>
      <c r="I633" s="802"/>
      <c r="J633" s="802"/>
      <c r="K633" s="802"/>
      <c r="L633" s="802"/>
      <c r="M633" s="802"/>
      <c r="N633" s="802"/>
      <c r="O633" s="802"/>
      <c r="P633" s="802"/>
      <c r="Q633" s="802"/>
      <c r="R633" s="802"/>
      <c r="S633" s="802"/>
      <c r="T633" s="802"/>
      <c r="U633" s="802"/>
      <c r="V633" s="802"/>
      <c r="W633" s="802"/>
      <c r="X633" s="802"/>
      <c r="Y633" s="802"/>
      <c r="Z633" s="802"/>
      <c r="AA633" s="802"/>
      <c r="AB633" s="802"/>
      <c r="AC633" s="802"/>
      <c r="AD633" s="802"/>
      <c r="AE633" s="802"/>
      <c r="AF633" s="802"/>
      <c r="AG633" s="802"/>
      <c r="AH633" s="802"/>
      <c r="AI633" s="802"/>
      <c r="AJ633" s="802"/>
      <c r="AK633" s="802"/>
      <c r="AL633" s="802"/>
      <c r="AM633" s="802"/>
      <c r="AN633" s="802"/>
      <c r="AO633" s="802"/>
      <c r="AP633" s="802"/>
      <c r="AQ633" s="802"/>
      <c r="AR633" s="802"/>
      <c r="AS633" s="802"/>
      <c r="AT633" s="802"/>
      <c r="AU633" s="802"/>
      <c r="AV633" s="802"/>
      <c r="AW633" s="802"/>
      <c r="AX633" s="802"/>
      <c r="AY633" s="802"/>
    </row>
    <row r="634" ht="21.75" customHeight="1">
      <c r="A634" s="802"/>
      <c r="B634" s="802"/>
      <c r="C634" s="802"/>
      <c r="D634" s="802"/>
      <c r="E634" s="802"/>
      <c r="F634" s="802"/>
      <c r="G634" s="802"/>
      <c r="H634" s="802"/>
      <c r="I634" s="802"/>
      <c r="J634" s="802"/>
      <c r="K634" s="802"/>
      <c r="L634" s="802"/>
      <c r="M634" s="802"/>
      <c r="N634" s="802"/>
      <c r="O634" s="802"/>
      <c r="P634" s="802"/>
      <c r="Q634" s="802"/>
      <c r="R634" s="802"/>
      <c r="S634" s="802"/>
      <c r="T634" s="802"/>
      <c r="U634" s="802"/>
      <c r="V634" s="802"/>
      <c r="W634" s="802"/>
      <c r="X634" s="802"/>
      <c r="Y634" s="802"/>
      <c r="Z634" s="802"/>
      <c r="AA634" s="802"/>
      <c r="AB634" s="802"/>
      <c r="AC634" s="802"/>
      <c r="AD634" s="802"/>
      <c r="AE634" s="802"/>
      <c r="AF634" s="802"/>
      <c r="AG634" s="802"/>
      <c r="AH634" s="802"/>
      <c r="AI634" s="802"/>
      <c r="AJ634" s="802"/>
      <c r="AK634" s="802"/>
      <c r="AL634" s="802"/>
      <c r="AM634" s="802"/>
      <c r="AN634" s="802"/>
      <c r="AO634" s="802"/>
      <c r="AP634" s="802"/>
      <c r="AQ634" s="802"/>
      <c r="AR634" s="802"/>
      <c r="AS634" s="802"/>
      <c r="AT634" s="802"/>
      <c r="AU634" s="802"/>
      <c r="AV634" s="802"/>
      <c r="AW634" s="802"/>
      <c r="AX634" s="802"/>
      <c r="AY634" s="802"/>
    </row>
    <row r="635" ht="21.75" customHeight="1">
      <c r="A635" s="802"/>
      <c r="B635" s="802"/>
      <c r="C635" s="802"/>
      <c r="D635" s="802"/>
      <c r="E635" s="802"/>
      <c r="F635" s="802"/>
      <c r="G635" s="802"/>
      <c r="H635" s="802"/>
      <c r="I635" s="802"/>
      <c r="J635" s="802"/>
      <c r="K635" s="802"/>
      <c r="L635" s="802"/>
      <c r="M635" s="802"/>
      <c r="N635" s="802"/>
      <c r="O635" s="802"/>
      <c r="P635" s="802"/>
      <c r="Q635" s="802"/>
      <c r="R635" s="802"/>
      <c r="S635" s="802"/>
      <c r="T635" s="802"/>
      <c r="U635" s="802"/>
      <c r="V635" s="802"/>
      <c r="W635" s="802"/>
      <c r="X635" s="802"/>
      <c r="Y635" s="802"/>
      <c r="Z635" s="802"/>
      <c r="AA635" s="802"/>
      <c r="AB635" s="802"/>
      <c r="AC635" s="802"/>
      <c r="AD635" s="802"/>
      <c r="AE635" s="802"/>
      <c r="AF635" s="802"/>
      <c r="AG635" s="802"/>
      <c r="AH635" s="802"/>
      <c r="AI635" s="802"/>
      <c r="AJ635" s="802"/>
      <c r="AK635" s="802"/>
      <c r="AL635" s="802"/>
      <c r="AM635" s="802"/>
      <c r="AN635" s="802"/>
      <c r="AO635" s="802"/>
      <c r="AP635" s="802"/>
      <c r="AQ635" s="802"/>
      <c r="AR635" s="802"/>
      <c r="AS635" s="802"/>
      <c r="AT635" s="802"/>
      <c r="AU635" s="802"/>
      <c r="AV635" s="802"/>
      <c r="AW635" s="802"/>
      <c r="AX635" s="802"/>
      <c r="AY635" s="802"/>
    </row>
    <row r="636" ht="21.75" customHeight="1">
      <c r="A636" s="802"/>
      <c r="B636" s="802"/>
      <c r="C636" s="802"/>
      <c r="D636" s="802"/>
      <c r="E636" s="802"/>
      <c r="F636" s="802"/>
      <c r="G636" s="802"/>
      <c r="H636" s="802"/>
      <c r="I636" s="802"/>
      <c r="J636" s="802"/>
      <c r="K636" s="802"/>
      <c r="L636" s="802"/>
      <c r="M636" s="802"/>
      <c r="N636" s="802"/>
      <c r="O636" s="802"/>
      <c r="P636" s="802"/>
      <c r="Q636" s="802"/>
      <c r="R636" s="802"/>
      <c r="S636" s="802"/>
      <c r="T636" s="802"/>
      <c r="U636" s="802"/>
      <c r="V636" s="802"/>
      <c r="W636" s="802"/>
      <c r="X636" s="802"/>
      <c r="Y636" s="802"/>
      <c r="Z636" s="802"/>
      <c r="AA636" s="802"/>
      <c r="AB636" s="802"/>
      <c r="AC636" s="802"/>
      <c r="AD636" s="802"/>
      <c r="AE636" s="802"/>
      <c r="AF636" s="802"/>
      <c r="AG636" s="802"/>
      <c r="AH636" s="802"/>
      <c r="AI636" s="802"/>
      <c r="AJ636" s="802"/>
      <c r="AK636" s="802"/>
      <c r="AL636" s="802"/>
      <c r="AM636" s="802"/>
      <c r="AN636" s="802"/>
      <c r="AO636" s="802"/>
      <c r="AP636" s="802"/>
      <c r="AQ636" s="802"/>
      <c r="AR636" s="802"/>
      <c r="AS636" s="802"/>
      <c r="AT636" s="802"/>
      <c r="AU636" s="802"/>
      <c r="AV636" s="802"/>
      <c r="AW636" s="802"/>
      <c r="AX636" s="802"/>
      <c r="AY636" s="802"/>
    </row>
    <row r="637" ht="21.75" customHeight="1">
      <c r="A637" s="802"/>
      <c r="B637" s="802"/>
      <c r="C637" s="802"/>
      <c r="D637" s="802"/>
      <c r="E637" s="802"/>
      <c r="F637" s="802"/>
      <c r="G637" s="802"/>
      <c r="H637" s="802"/>
      <c r="I637" s="802"/>
      <c r="J637" s="802"/>
      <c r="K637" s="802"/>
      <c r="L637" s="802"/>
      <c r="M637" s="802"/>
      <c r="N637" s="802"/>
      <c r="O637" s="802"/>
      <c r="P637" s="802"/>
      <c r="Q637" s="802"/>
      <c r="R637" s="802"/>
      <c r="S637" s="802"/>
      <c r="T637" s="802"/>
      <c r="U637" s="802"/>
      <c r="V637" s="802"/>
      <c r="W637" s="802"/>
      <c r="X637" s="802"/>
      <c r="Y637" s="802"/>
      <c r="Z637" s="802"/>
      <c r="AA637" s="802"/>
      <c r="AB637" s="802"/>
      <c r="AC637" s="802"/>
      <c r="AD637" s="802"/>
      <c r="AE637" s="802"/>
      <c r="AF637" s="802"/>
      <c r="AG637" s="802"/>
      <c r="AH637" s="802"/>
      <c r="AI637" s="802"/>
      <c r="AJ637" s="802"/>
      <c r="AK637" s="802"/>
      <c r="AL637" s="802"/>
      <c r="AM637" s="802"/>
      <c r="AN637" s="802"/>
      <c r="AO637" s="802"/>
      <c r="AP637" s="802"/>
      <c r="AQ637" s="802"/>
      <c r="AR637" s="802"/>
      <c r="AS637" s="802"/>
      <c r="AT637" s="802"/>
      <c r="AU637" s="802"/>
      <c r="AV637" s="802"/>
      <c r="AW637" s="802"/>
      <c r="AX637" s="802"/>
      <c r="AY637" s="802"/>
    </row>
    <row r="638" ht="21.75" customHeight="1">
      <c r="A638" s="802"/>
      <c r="B638" s="802"/>
      <c r="C638" s="802"/>
      <c r="D638" s="802"/>
      <c r="E638" s="802"/>
      <c r="F638" s="802"/>
      <c r="G638" s="802"/>
      <c r="H638" s="802"/>
      <c r="I638" s="802"/>
      <c r="J638" s="802"/>
      <c r="K638" s="802"/>
      <c r="L638" s="802"/>
      <c r="M638" s="802"/>
      <c r="N638" s="802"/>
      <c r="O638" s="802"/>
      <c r="P638" s="802"/>
      <c r="Q638" s="802"/>
      <c r="R638" s="802"/>
      <c r="S638" s="802"/>
      <c r="T638" s="802"/>
      <c r="U638" s="802"/>
      <c r="V638" s="802"/>
      <c r="W638" s="802"/>
      <c r="X638" s="802"/>
      <c r="Y638" s="802"/>
      <c r="Z638" s="802"/>
      <c r="AA638" s="802"/>
      <c r="AB638" s="802"/>
      <c r="AC638" s="802"/>
      <c r="AD638" s="802"/>
      <c r="AE638" s="802"/>
      <c r="AF638" s="802"/>
      <c r="AG638" s="802"/>
      <c r="AH638" s="802"/>
      <c r="AI638" s="802"/>
      <c r="AJ638" s="802"/>
      <c r="AK638" s="802"/>
      <c r="AL638" s="802"/>
      <c r="AM638" s="802"/>
      <c r="AN638" s="802"/>
      <c r="AO638" s="802"/>
      <c r="AP638" s="802"/>
      <c r="AQ638" s="802"/>
      <c r="AR638" s="802"/>
      <c r="AS638" s="802"/>
      <c r="AT638" s="802"/>
      <c r="AU638" s="802"/>
      <c r="AV638" s="802"/>
      <c r="AW638" s="802"/>
      <c r="AX638" s="802"/>
      <c r="AY638" s="802"/>
    </row>
    <row r="639" ht="21.75" customHeight="1">
      <c r="A639" s="802"/>
      <c r="B639" s="802"/>
      <c r="C639" s="802"/>
      <c r="D639" s="802"/>
      <c r="E639" s="802"/>
      <c r="F639" s="802"/>
      <c r="G639" s="802"/>
      <c r="H639" s="802"/>
      <c r="I639" s="802"/>
      <c r="J639" s="802"/>
      <c r="K639" s="802"/>
      <c r="L639" s="802"/>
      <c r="M639" s="802"/>
      <c r="N639" s="802"/>
      <c r="O639" s="802"/>
      <c r="P639" s="802"/>
      <c r="Q639" s="802"/>
      <c r="R639" s="802"/>
      <c r="S639" s="802"/>
      <c r="T639" s="802"/>
      <c r="U639" s="802"/>
      <c r="V639" s="802"/>
      <c r="W639" s="802"/>
      <c r="X639" s="802"/>
      <c r="Y639" s="802"/>
      <c r="Z639" s="802"/>
      <c r="AA639" s="802"/>
      <c r="AB639" s="802"/>
      <c r="AC639" s="802"/>
      <c r="AD639" s="802"/>
      <c r="AE639" s="802"/>
      <c r="AF639" s="802"/>
      <c r="AG639" s="802"/>
      <c r="AH639" s="802"/>
      <c r="AI639" s="802"/>
      <c r="AJ639" s="802"/>
      <c r="AK639" s="802"/>
      <c r="AL639" s="802"/>
      <c r="AM639" s="802"/>
      <c r="AN639" s="802"/>
      <c r="AO639" s="802"/>
      <c r="AP639" s="802"/>
      <c r="AQ639" s="802"/>
      <c r="AR639" s="802"/>
      <c r="AS639" s="802"/>
      <c r="AT639" s="802"/>
      <c r="AU639" s="802"/>
      <c r="AV639" s="802"/>
      <c r="AW639" s="802"/>
      <c r="AX639" s="802"/>
      <c r="AY639" s="802"/>
    </row>
    <row r="640" ht="21.75" customHeight="1">
      <c r="A640" s="802"/>
      <c r="B640" s="802"/>
      <c r="C640" s="802"/>
      <c r="D640" s="802"/>
      <c r="E640" s="802"/>
      <c r="F640" s="802"/>
      <c r="G640" s="802"/>
      <c r="H640" s="802"/>
      <c r="I640" s="802"/>
      <c r="J640" s="802"/>
      <c r="K640" s="802"/>
      <c r="L640" s="802"/>
      <c r="M640" s="802"/>
      <c r="N640" s="802"/>
      <c r="O640" s="802"/>
      <c r="P640" s="802"/>
      <c r="Q640" s="802"/>
      <c r="R640" s="802"/>
      <c r="S640" s="802"/>
      <c r="T640" s="802"/>
      <c r="U640" s="802"/>
      <c r="V640" s="802"/>
      <c r="W640" s="802"/>
      <c r="X640" s="802"/>
      <c r="Y640" s="802"/>
      <c r="Z640" s="802"/>
      <c r="AA640" s="802"/>
      <c r="AB640" s="802"/>
      <c r="AC640" s="802"/>
      <c r="AD640" s="802"/>
      <c r="AE640" s="802"/>
      <c r="AF640" s="802"/>
      <c r="AG640" s="802"/>
      <c r="AH640" s="802"/>
      <c r="AI640" s="802"/>
      <c r="AJ640" s="802"/>
      <c r="AK640" s="802"/>
      <c r="AL640" s="802"/>
      <c r="AM640" s="802"/>
      <c r="AN640" s="802"/>
      <c r="AO640" s="802"/>
      <c r="AP640" s="802"/>
      <c r="AQ640" s="802"/>
      <c r="AR640" s="802"/>
      <c r="AS640" s="802"/>
      <c r="AT640" s="802"/>
      <c r="AU640" s="802"/>
      <c r="AV640" s="802"/>
      <c r="AW640" s="802"/>
      <c r="AX640" s="802"/>
      <c r="AY640" s="802"/>
    </row>
    <row r="641" ht="21.75" customHeight="1">
      <c r="A641" s="802"/>
      <c r="B641" s="802"/>
      <c r="C641" s="802"/>
      <c r="D641" s="802"/>
      <c r="E641" s="802"/>
      <c r="F641" s="802"/>
      <c r="G641" s="802"/>
      <c r="H641" s="802"/>
      <c r="I641" s="802"/>
      <c r="J641" s="802"/>
      <c r="K641" s="802"/>
      <c r="L641" s="802"/>
      <c r="M641" s="802"/>
      <c r="N641" s="802"/>
      <c r="O641" s="802"/>
      <c r="P641" s="802"/>
      <c r="Q641" s="802"/>
      <c r="R641" s="802"/>
      <c r="S641" s="802"/>
      <c r="T641" s="802"/>
      <c r="U641" s="802"/>
      <c r="V641" s="802"/>
      <c r="W641" s="802"/>
      <c r="X641" s="802"/>
      <c r="Y641" s="802"/>
      <c r="Z641" s="802"/>
      <c r="AA641" s="802"/>
      <c r="AB641" s="802"/>
      <c r="AC641" s="802"/>
      <c r="AD641" s="802"/>
      <c r="AE641" s="802"/>
      <c r="AF641" s="802"/>
      <c r="AG641" s="802"/>
      <c r="AH641" s="802"/>
      <c r="AI641" s="802"/>
      <c r="AJ641" s="802"/>
      <c r="AK641" s="802"/>
      <c r="AL641" s="802"/>
      <c r="AM641" s="802"/>
      <c r="AN641" s="802"/>
      <c r="AO641" s="802"/>
      <c r="AP641" s="802"/>
      <c r="AQ641" s="802"/>
      <c r="AR641" s="802"/>
      <c r="AS641" s="802"/>
      <c r="AT641" s="802"/>
      <c r="AU641" s="802"/>
      <c r="AV641" s="802"/>
      <c r="AW641" s="802"/>
      <c r="AX641" s="802"/>
      <c r="AY641" s="802"/>
    </row>
    <row r="642" ht="21.75" customHeight="1">
      <c r="A642" s="802"/>
      <c r="B642" s="802"/>
      <c r="C642" s="802"/>
      <c r="D642" s="802"/>
      <c r="E642" s="802"/>
      <c r="F642" s="802"/>
      <c r="G642" s="802"/>
      <c r="H642" s="802"/>
      <c r="I642" s="802"/>
      <c r="J642" s="802"/>
      <c r="K642" s="802"/>
      <c r="L642" s="802"/>
      <c r="M642" s="802"/>
      <c r="N642" s="802"/>
      <c r="O642" s="802"/>
      <c r="P642" s="802"/>
      <c r="Q642" s="802"/>
      <c r="R642" s="802"/>
      <c r="S642" s="802"/>
      <c r="T642" s="802"/>
      <c r="U642" s="802"/>
      <c r="V642" s="802"/>
      <c r="W642" s="802"/>
      <c r="X642" s="802"/>
      <c r="Y642" s="802"/>
      <c r="Z642" s="802"/>
      <c r="AA642" s="802"/>
      <c r="AB642" s="802"/>
      <c r="AC642" s="802"/>
      <c r="AD642" s="802"/>
      <c r="AE642" s="802"/>
      <c r="AF642" s="802"/>
      <c r="AG642" s="802"/>
      <c r="AH642" s="802"/>
      <c r="AI642" s="802"/>
      <c r="AJ642" s="802"/>
      <c r="AK642" s="802"/>
      <c r="AL642" s="802"/>
      <c r="AM642" s="802"/>
      <c r="AN642" s="802"/>
      <c r="AO642" s="802"/>
      <c r="AP642" s="802"/>
      <c r="AQ642" s="802"/>
      <c r="AR642" s="802"/>
      <c r="AS642" s="802"/>
      <c r="AT642" s="802"/>
      <c r="AU642" s="802"/>
      <c r="AV642" s="802"/>
      <c r="AW642" s="802"/>
      <c r="AX642" s="802"/>
      <c r="AY642" s="802"/>
    </row>
    <row r="643" ht="21.75" customHeight="1">
      <c r="A643" s="802"/>
      <c r="B643" s="802"/>
      <c r="C643" s="802"/>
      <c r="D643" s="802"/>
      <c r="E643" s="802"/>
      <c r="F643" s="802"/>
      <c r="G643" s="802"/>
      <c r="H643" s="802"/>
      <c r="I643" s="802"/>
      <c r="J643" s="802"/>
      <c r="K643" s="802"/>
      <c r="L643" s="802"/>
      <c r="M643" s="802"/>
      <c r="N643" s="802"/>
      <c r="O643" s="802"/>
      <c r="P643" s="802"/>
      <c r="Q643" s="802"/>
      <c r="R643" s="802"/>
      <c r="S643" s="802"/>
      <c r="T643" s="802"/>
      <c r="U643" s="802"/>
      <c r="V643" s="802"/>
      <c r="W643" s="802"/>
      <c r="X643" s="802"/>
      <c r="Y643" s="802"/>
      <c r="Z643" s="802"/>
      <c r="AA643" s="802"/>
      <c r="AB643" s="802"/>
      <c r="AC643" s="802"/>
      <c r="AD643" s="802"/>
      <c r="AE643" s="802"/>
      <c r="AF643" s="802"/>
      <c r="AG643" s="802"/>
      <c r="AH643" s="802"/>
      <c r="AI643" s="802"/>
      <c r="AJ643" s="802"/>
      <c r="AK643" s="802"/>
      <c r="AL643" s="802"/>
      <c r="AM643" s="802"/>
      <c r="AN643" s="802"/>
      <c r="AO643" s="802"/>
      <c r="AP643" s="802"/>
      <c r="AQ643" s="802"/>
      <c r="AR643" s="802"/>
      <c r="AS643" s="802"/>
      <c r="AT643" s="802"/>
      <c r="AU643" s="802"/>
      <c r="AV643" s="802"/>
      <c r="AW643" s="802"/>
      <c r="AX643" s="802"/>
      <c r="AY643" s="802"/>
    </row>
    <row r="644" ht="21.75" customHeight="1">
      <c r="A644" s="802"/>
      <c r="B644" s="802"/>
      <c r="C644" s="802"/>
      <c r="D644" s="802"/>
      <c r="E644" s="802"/>
      <c r="F644" s="802"/>
      <c r="G644" s="802"/>
      <c r="H644" s="802"/>
      <c r="I644" s="802"/>
      <c r="J644" s="802"/>
      <c r="K644" s="802"/>
      <c r="L644" s="802"/>
      <c r="M644" s="802"/>
      <c r="N644" s="802"/>
      <c r="O644" s="802"/>
      <c r="P644" s="802"/>
      <c r="Q644" s="802"/>
      <c r="R644" s="802"/>
      <c r="S644" s="802"/>
      <c r="T644" s="802"/>
      <c r="U644" s="802"/>
      <c r="V644" s="802"/>
      <c r="W644" s="802"/>
      <c r="X644" s="802"/>
      <c r="Y644" s="802"/>
      <c r="Z644" s="802"/>
      <c r="AA644" s="802"/>
      <c r="AB644" s="802"/>
      <c r="AC644" s="802"/>
      <c r="AD644" s="802"/>
      <c r="AE644" s="802"/>
      <c r="AF644" s="802"/>
      <c r="AG644" s="802"/>
      <c r="AH644" s="802"/>
      <c r="AI644" s="802"/>
      <c r="AJ644" s="802"/>
      <c r="AK644" s="802"/>
      <c r="AL644" s="802"/>
      <c r="AM644" s="802"/>
      <c r="AN644" s="802"/>
      <c r="AO644" s="802"/>
      <c r="AP644" s="802"/>
      <c r="AQ644" s="802"/>
      <c r="AR644" s="802"/>
      <c r="AS644" s="802"/>
      <c r="AT644" s="802"/>
      <c r="AU644" s="802"/>
      <c r="AV644" s="802"/>
      <c r="AW644" s="802"/>
      <c r="AX644" s="802"/>
      <c r="AY644" s="802"/>
    </row>
    <row r="645" ht="21.75" customHeight="1">
      <c r="A645" s="802"/>
      <c r="B645" s="802"/>
      <c r="C645" s="802"/>
      <c r="D645" s="802"/>
      <c r="E645" s="802"/>
      <c r="F645" s="802"/>
      <c r="G645" s="802"/>
      <c r="H645" s="802"/>
      <c r="I645" s="802"/>
      <c r="J645" s="802"/>
      <c r="K645" s="802"/>
      <c r="L645" s="802"/>
      <c r="M645" s="802"/>
      <c r="N645" s="802"/>
      <c r="O645" s="802"/>
      <c r="P645" s="802"/>
      <c r="Q645" s="802"/>
      <c r="R645" s="802"/>
      <c r="S645" s="802"/>
      <c r="T645" s="802"/>
      <c r="U645" s="802"/>
      <c r="V645" s="802"/>
      <c r="W645" s="802"/>
      <c r="X645" s="802"/>
      <c r="Y645" s="802"/>
      <c r="Z645" s="802"/>
      <c r="AA645" s="802"/>
      <c r="AB645" s="802"/>
      <c r="AC645" s="802"/>
      <c r="AD645" s="802"/>
      <c r="AE645" s="802"/>
      <c r="AF645" s="802"/>
      <c r="AG645" s="802"/>
      <c r="AH645" s="802"/>
      <c r="AI645" s="802"/>
      <c r="AJ645" s="802"/>
      <c r="AK645" s="802"/>
      <c r="AL645" s="802"/>
      <c r="AM645" s="802"/>
      <c r="AN645" s="802"/>
      <c r="AO645" s="802"/>
      <c r="AP645" s="802"/>
      <c r="AQ645" s="802"/>
      <c r="AR645" s="802"/>
      <c r="AS645" s="802"/>
      <c r="AT645" s="802"/>
      <c r="AU645" s="802"/>
      <c r="AV645" s="802"/>
      <c r="AW645" s="802"/>
      <c r="AX645" s="802"/>
      <c r="AY645" s="802"/>
    </row>
    <row r="646" ht="21.75" customHeight="1">
      <c r="A646" s="802"/>
      <c r="B646" s="802"/>
      <c r="C646" s="802"/>
      <c r="D646" s="802"/>
      <c r="E646" s="802"/>
      <c r="F646" s="802"/>
      <c r="G646" s="802"/>
      <c r="H646" s="802"/>
      <c r="I646" s="802"/>
      <c r="J646" s="802"/>
      <c r="K646" s="802"/>
      <c r="L646" s="802"/>
      <c r="M646" s="802"/>
      <c r="N646" s="802"/>
      <c r="O646" s="802"/>
      <c r="P646" s="802"/>
      <c r="Q646" s="802"/>
      <c r="R646" s="802"/>
      <c r="S646" s="802"/>
      <c r="T646" s="802"/>
      <c r="U646" s="802"/>
      <c r="V646" s="802"/>
      <c r="W646" s="802"/>
      <c r="X646" s="802"/>
      <c r="Y646" s="802"/>
      <c r="Z646" s="802"/>
      <c r="AA646" s="802"/>
      <c r="AB646" s="802"/>
      <c r="AC646" s="802"/>
      <c r="AD646" s="802"/>
      <c r="AE646" s="802"/>
      <c r="AF646" s="802"/>
      <c r="AG646" s="802"/>
      <c r="AH646" s="802"/>
      <c r="AI646" s="802"/>
      <c r="AJ646" s="802"/>
      <c r="AK646" s="802"/>
      <c r="AL646" s="802"/>
      <c r="AM646" s="802"/>
      <c r="AN646" s="802"/>
      <c r="AO646" s="802"/>
      <c r="AP646" s="802"/>
      <c r="AQ646" s="802"/>
      <c r="AR646" s="802"/>
      <c r="AS646" s="802"/>
      <c r="AT646" s="802"/>
      <c r="AU646" s="802"/>
      <c r="AV646" s="802"/>
      <c r="AW646" s="802"/>
      <c r="AX646" s="802"/>
      <c r="AY646" s="802"/>
    </row>
    <row r="647" ht="21.75" customHeight="1">
      <c r="A647" s="802"/>
      <c r="B647" s="802"/>
      <c r="C647" s="802"/>
      <c r="D647" s="802"/>
      <c r="E647" s="802"/>
      <c r="F647" s="802"/>
      <c r="G647" s="802"/>
      <c r="H647" s="802"/>
      <c r="I647" s="802"/>
      <c r="J647" s="802"/>
      <c r="K647" s="802"/>
      <c r="L647" s="802"/>
      <c r="M647" s="802"/>
      <c r="N647" s="802"/>
      <c r="O647" s="802"/>
      <c r="P647" s="802"/>
      <c r="Q647" s="802"/>
      <c r="R647" s="802"/>
      <c r="S647" s="802"/>
      <c r="T647" s="802"/>
      <c r="U647" s="802"/>
      <c r="V647" s="802"/>
      <c r="W647" s="802"/>
      <c r="X647" s="802"/>
      <c r="Y647" s="802"/>
      <c r="Z647" s="802"/>
      <c r="AA647" s="802"/>
      <c r="AB647" s="802"/>
      <c r="AC647" s="802"/>
      <c r="AD647" s="802"/>
      <c r="AE647" s="802"/>
      <c r="AF647" s="802"/>
      <c r="AG647" s="802"/>
      <c r="AH647" s="802"/>
      <c r="AI647" s="802"/>
      <c r="AJ647" s="802"/>
      <c r="AK647" s="802"/>
      <c r="AL647" s="802"/>
      <c r="AM647" s="802"/>
      <c r="AN647" s="802"/>
      <c r="AO647" s="802"/>
      <c r="AP647" s="802"/>
      <c r="AQ647" s="802"/>
      <c r="AR647" s="802"/>
      <c r="AS647" s="802"/>
      <c r="AT647" s="802"/>
      <c r="AU647" s="802"/>
      <c r="AV647" s="802"/>
      <c r="AW647" s="802"/>
      <c r="AX647" s="802"/>
      <c r="AY647" s="802"/>
    </row>
    <row r="648" ht="21.75" customHeight="1">
      <c r="A648" s="802"/>
      <c r="B648" s="802"/>
      <c r="C648" s="802"/>
      <c r="D648" s="802"/>
      <c r="E648" s="802"/>
      <c r="F648" s="802"/>
      <c r="G648" s="802"/>
      <c r="H648" s="802"/>
      <c r="I648" s="802"/>
      <c r="J648" s="802"/>
      <c r="K648" s="802"/>
      <c r="L648" s="802"/>
      <c r="M648" s="802"/>
      <c r="N648" s="802"/>
      <c r="O648" s="802"/>
      <c r="P648" s="802"/>
      <c r="Q648" s="802"/>
      <c r="R648" s="802"/>
      <c r="S648" s="802"/>
      <c r="T648" s="802"/>
      <c r="U648" s="802"/>
      <c r="V648" s="802"/>
      <c r="W648" s="802"/>
      <c r="X648" s="802"/>
      <c r="Y648" s="802"/>
      <c r="Z648" s="802"/>
      <c r="AA648" s="802"/>
      <c r="AB648" s="802"/>
      <c r="AC648" s="802"/>
      <c r="AD648" s="802"/>
      <c r="AE648" s="802"/>
      <c r="AF648" s="802"/>
      <c r="AG648" s="802"/>
      <c r="AH648" s="802"/>
      <c r="AI648" s="802"/>
      <c r="AJ648" s="802"/>
      <c r="AK648" s="802"/>
      <c r="AL648" s="802"/>
      <c r="AM648" s="802"/>
      <c r="AN648" s="802"/>
      <c r="AO648" s="802"/>
      <c r="AP648" s="802"/>
      <c r="AQ648" s="802"/>
      <c r="AR648" s="802"/>
      <c r="AS648" s="802"/>
      <c r="AT648" s="802"/>
      <c r="AU648" s="802"/>
      <c r="AV648" s="802"/>
      <c r="AW648" s="802"/>
      <c r="AX648" s="802"/>
      <c r="AY648" s="802"/>
    </row>
    <row r="649" ht="21.75" customHeight="1">
      <c r="A649" s="802"/>
      <c r="B649" s="802"/>
      <c r="C649" s="802"/>
      <c r="D649" s="802"/>
      <c r="E649" s="802"/>
      <c r="F649" s="802"/>
      <c r="G649" s="802"/>
      <c r="H649" s="802"/>
      <c r="I649" s="802"/>
      <c r="J649" s="802"/>
      <c r="K649" s="802"/>
      <c r="L649" s="802"/>
      <c r="M649" s="802"/>
      <c r="N649" s="802"/>
      <c r="O649" s="802"/>
      <c r="P649" s="802"/>
      <c r="Q649" s="802"/>
      <c r="R649" s="802"/>
      <c r="S649" s="802"/>
      <c r="T649" s="802"/>
      <c r="U649" s="802"/>
      <c r="V649" s="802"/>
      <c r="W649" s="802"/>
      <c r="X649" s="802"/>
      <c r="Y649" s="802"/>
      <c r="Z649" s="802"/>
      <c r="AA649" s="802"/>
      <c r="AB649" s="802"/>
      <c r="AC649" s="802"/>
      <c r="AD649" s="802"/>
      <c r="AE649" s="802"/>
      <c r="AF649" s="802"/>
      <c r="AG649" s="802"/>
      <c r="AH649" s="802"/>
      <c r="AI649" s="802"/>
      <c r="AJ649" s="802"/>
      <c r="AK649" s="802"/>
      <c r="AL649" s="802"/>
      <c r="AM649" s="802"/>
      <c r="AN649" s="802"/>
      <c r="AO649" s="802"/>
      <c r="AP649" s="802"/>
      <c r="AQ649" s="802"/>
      <c r="AR649" s="802"/>
      <c r="AS649" s="802"/>
      <c r="AT649" s="802"/>
      <c r="AU649" s="802"/>
      <c r="AV649" s="802"/>
      <c r="AW649" s="802"/>
      <c r="AX649" s="802"/>
      <c r="AY649" s="802"/>
    </row>
    <row r="650" ht="21.75" customHeight="1">
      <c r="A650" s="802"/>
      <c r="B650" s="802"/>
      <c r="C650" s="802"/>
      <c r="D650" s="802"/>
      <c r="E650" s="802"/>
      <c r="F650" s="802"/>
      <c r="G650" s="802"/>
      <c r="H650" s="802"/>
      <c r="I650" s="802"/>
      <c r="J650" s="802"/>
      <c r="K650" s="802"/>
      <c r="L650" s="802"/>
      <c r="M650" s="802"/>
      <c r="N650" s="802"/>
      <c r="O650" s="802"/>
      <c r="P650" s="802"/>
      <c r="Q650" s="802"/>
      <c r="R650" s="802"/>
      <c r="S650" s="802"/>
      <c r="T650" s="802"/>
      <c r="U650" s="802"/>
      <c r="V650" s="802"/>
      <c r="W650" s="802"/>
      <c r="X650" s="802"/>
      <c r="Y650" s="802"/>
      <c r="Z650" s="802"/>
      <c r="AA650" s="802"/>
      <c r="AB650" s="802"/>
      <c r="AC650" s="802"/>
      <c r="AD650" s="802"/>
      <c r="AE650" s="802"/>
      <c r="AF650" s="802"/>
      <c r="AG650" s="802"/>
      <c r="AH650" s="802"/>
      <c r="AI650" s="802"/>
      <c r="AJ650" s="802"/>
      <c r="AK650" s="802"/>
      <c r="AL650" s="802"/>
      <c r="AM650" s="802"/>
      <c r="AN650" s="802"/>
      <c r="AO650" s="802"/>
      <c r="AP650" s="802"/>
      <c r="AQ650" s="802"/>
      <c r="AR650" s="802"/>
      <c r="AS650" s="802"/>
      <c r="AT650" s="802"/>
      <c r="AU650" s="802"/>
      <c r="AV650" s="802"/>
      <c r="AW650" s="802"/>
      <c r="AX650" s="802"/>
      <c r="AY650" s="802"/>
    </row>
    <row r="651" ht="21.75" customHeight="1">
      <c r="A651" s="802"/>
      <c r="B651" s="802"/>
      <c r="C651" s="802"/>
      <c r="D651" s="802"/>
      <c r="E651" s="802"/>
      <c r="F651" s="802"/>
      <c r="G651" s="802"/>
      <c r="H651" s="802"/>
      <c r="I651" s="802"/>
      <c r="J651" s="802"/>
      <c r="K651" s="802"/>
      <c r="L651" s="802"/>
      <c r="M651" s="802"/>
      <c r="N651" s="802"/>
      <c r="O651" s="802"/>
      <c r="P651" s="802"/>
      <c r="Q651" s="802"/>
      <c r="R651" s="802"/>
      <c r="S651" s="802"/>
      <c r="T651" s="802"/>
      <c r="U651" s="802"/>
      <c r="V651" s="802"/>
      <c r="W651" s="802"/>
      <c r="X651" s="802"/>
      <c r="Y651" s="802"/>
      <c r="Z651" s="802"/>
      <c r="AA651" s="802"/>
      <c r="AB651" s="802"/>
      <c r="AC651" s="802"/>
      <c r="AD651" s="802"/>
      <c r="AE651" s="802"/>
      <c r="AF651" s="802"/>
      <c r="AG651" s="802"/>
      <c r="AH651" s="802"/>
      <c r="AI651" s="802"/>
      <c r="AJ651" s="802"/>
      <c r="AK651" s="802"/>
      <c r="AL651" s="802"/>
      <c r="AM651" s="802"/>
      <c r="AN651" s="802"/>
      <c r="AO651" s="802"/>
      <c r="AP651" s="802"/>
      <c r="AQ651" s="802"/>
      <c r="AR651" s="802"/>
      <c r="AS651" s="802"/>
      <c r="AT651" s="802"/>
      <c r="AU651" s="802"/>
      <c r="AV651" s="802"/>
      <c r="AW651" s="802"/>
      <c r="AX651" s="802"/>
      <c r="AY651" s="802"/>
    </row>
    <row r="652" ht="21.75" customHeight="1">
      <c r="A652" s="802"/>
      <c r="B652" s="802"/>
      <c r="C652" s="802"/>
      <c r="D652" s="802"/>
      <c r="E652" s="802"/>
      <c r="F652" s="802"/>
      <c r="G652" s="802"/>
      <c r="H652" s="802"/>
      <c r="I652" s="802"/>
      <c r="J652" s="802"/>
      <c r="K652" s="802"/>
      <c r="L652" s="802"/>
      <c r="M652" s="802"/>
      <c r="N652" s="802"/>
      <c r="O652" s="802"/>
      <c r="P652" s="802"/>
      <c r="Q652" s="802"/>
      <c r="R652" s="802"/>
      <c r="S652" s="802"/>
      <c r="T652" s="802"/>
      <c r="U652" s="802"/>
      <c r="V652" s="802"/>
      <c r="W652" s="802"/>
      <c r="X652" s="802"/>
      <c r="Y652" s="802"/>
      <c r="Z652" s="802"/>
      <c r="AA652" s="802"/>
      <c r="AB652" s="802"/>
      <c r="AC652" s="802"/>
      <c r="AD652" s="802"/>
      <c r="AE652" s="802"/>
      <c r="AF652" s="802"/>
      <c r="AG652" s="802"/>
      <c r="AH652" s="802"/>
      <c r="AI652" s="802"/>
      <c r="AJ652" s="802"/>
      <c r="AK652" s="802"/>
      <c r="AL652" s="802"/>
      <c r="AM652" s="802"/>
      <c r="AN652" s="802"/>
      <c r="AO652" s="802"/>
      <c r="AP652" s="802"/>
      <c r="AQ652" s="802"/>
      <c r="AR652" s="802"/>
      <c r="AS652" s="802"/>
      <c r="AT652" s="802"/>
      <c r="AU652" s="802"/>
      <c r="AV652" s="802"/>
      <c r="AW652" s="802"/>
      <c r="AX652" s="802"/>
      <c r="AY652" s="802"/>
    </row>
    <row r="653" ht="21.75" customHeight="1">
      <c r="A653" s="802"/>
      <c r="B653" s="802"/>
      <c r="C653" s="802"/>
      <c r="D653" s="802"/>
      <c r="E653" s="802"/>
      <c r="F653" s="802"/>
      <c r="G653" s="802"/>
      <c r="H653" s="802"/>
      <c r="I653" s="802"/>
      <c r="J653" s="802"/>
      <c r="K653" s="802"/>
      <c r="L653" s="802"/>
      <c r="M653" s="802"/>
      <c r="N653" s="802"/>
      <c r="O653" s="802"/>
      <c r="P653" s="802"/>
      <c r="Q653" s="802"/>
      <c r="R653" s="802"/>
      <c r="S653" s="802"/>
      <c r="T653" s="802"/>
      <c r="U653" s="802"/>
      <c r="V653" s="802"/>
      <c r="W653" s="802"/>
      <c r="X653" s="802"/>
      <c r="Y653" s="802"/>
      <c r="Z653" s="802"/>
      <c r="AA653" s="802"/>
      <c r="AB653" s="802"/>
      <c r="AC653" s="802"/>
      <c r="AD653" s="802"/>
      <c r="AE653" s="802"/>
      <c r="AF653" s="802"/>
      <c r="AG653" s="802"/>
      <c r="AH653" s="802"/>
      <c r="AI653" s="802"/>
      <c r="AJ653" s="802"/>
      <c r="AK653" s="802"/>
      <c r="AL653" s="802"/>
      <c r="AM653" s="802"/>
      <c r="AN653" s="802"/>
      <c r="AO653" s="802"/>
      <c r="AP653" s="802"/>
      <c r="AQ653" s="802"/>
      <c r="AR653" s="802"/>
      <c r="AS653" s="802"/>
      <c r="AT653" s="802"/>
      <c r="AU653" s="802"/>
      <c r="AV653" s="802"/>
      <c r="AW653" s="802"/>
      <c r="AX653" s="802"/>
      <c r="AY653" s="802"/>
    </row>
    <row r="654" ht="21.75" customHeight="1">
      <c r="A654" s="802"/>
      <c r="B654" s="802"/>
      <c r="C654" s="802"/>
      <c r="D654" s="802"/>
      <c r="E654" s="802"/>
      <c r="F654" s="802"/>
      <c r="G654" s="802"/>
      <c r="H654" s="802"/>
      <c r="I654" s="802"/>
      <c r="J654" s="802"/>
      <c r="K654" s="802"/>
      <c r="L654" s="802"/>
      <c r="M654" s="802"/>
      <c r="N654" s="802"/>
      <c r="O654" s="802"/>
      <c r="P654" s="802"/>
      <c r="Q654" s="802"/>
      <c r="R654" s="802"/>
      <c r="S654" s="802"/>
      <c r="T654" s="802"/>
      <c r="U654" s="802"/>
      <c r="V654" s="802"/>
      <c r="W654" s="802"/>
      <c r="X654" s="802"/>
      <c r="Y654" s="802"/>
      <c r="Z654" s="802"/>
      <c r="AA654" s="802"/>
      <c r="AB654" s="802"/>
      <c r="AC654" s="802"/>
      <c r="AD654" s="802"/>
      <c r="AE654" s="802"/>
      <c r="AF654" s="802"/>
      <c r="AG654" s="802"/>
      <c r="AH654" s="802"/>
      <c r="AI654" s="802"/>
      <c r="AJ654" s="802"/>
      <c r="AK654" s="802"/>
      <c r="AL654" s="802"/>
      <c r="AM654" s="802"/>
      <c r="AN654" s="802"/>
      <c r="AO654" s="802"/>
      <c r="AP654" s="802"/>
      <c r="AQ654" s="802"/>
      <c r="AR654" s="802"/>
      <c r="AS654" s="802"/>
      <c r="AT654" s="802"/>
      <c r="AU654" s="802"/>
      <c r="AV654" s="802"/>
      <c r="AW654" s="802"/>
      <c r="AX654" s="802"/>
      <c r="AY654" s="802"/>
    </row>
    <row r="655" ht="21.75" customHeight="1">
      <c r="A655" s="802"/>
      <c r="B655" s="802"/>
      <c r="C655" s="802"/>
      <c r="D655" s="802"/>
      <c r="E655" s="802"/>
      <c r="F655" s="802"/>
      <c r="G655" s="802"/>
      <c r="H655" s="802"/>
      <c r="I655" s="802"/>
      <c r="J655" s="802"/>
      <c r="K655" s="802"/>
      <c r="L655" s="802"/>
      <c r="M655" s="802"/>
      <c r="N655" s="802"/>
      <c r="O655" s="802"/>
      <c r="P655" s="802"/>
      <c r="Q655" s="802"/>
      <c r="R655" s="802"/>
      <c r="S655" s="802"/>
      <c r="T655" s="802"/>
      <c r="U655" s="802"/>
      <c r="V655" s="802"/>
      <c r="W655" s="802"/>
      <c r="X655" s="802"/>
      <c r="Y655" s="802"/>
      <c r="Z655" s="802"/>
      <c r="AA655" s="802"/>
      <c r="AB655" s="802"/>
      <c r="AC655" s="802"/>
      <c r="AD655" s="802"/>
      <c r="AE655" s="802"/>
      <c r="AF655" s="802"/>
      <c r="AG655" s="802"/>
      <c r="AH655" s="802"/>
      <c r="AI655" s="802"/>
      <c r="AJ655" s="802"/>
      <c r="AK655" s="802"/>
      <c r="AL655" s="802"/>
      <c r="AM655" s="802"/>
      <c r="AN655" s="802"/>
      <c r="AO655" s="802"/>
      <c r="AP655" s="802"/>
      <c r="AQ655" s="802"/>
      <c r="AR655" s="802"/>
      <c r="AS655" s="802"/>
      <c r="AT655" s="802"/>
      <c r="AU655" s="802"/>
      <c r="AV655" s="802"/>
      <c r="AW655" s="802"/>
      <c r="AX655" s="802"/>
      <c r="AY655" s="802"/>
    </row>
    <row r="656" ht="21.75" customHeight="1">
      <c r="A656" s="802"/>
      <c r="B656" s="802"/>
      <c r="C656" s="802"/>
      <c r="D656" s="802"/>
      <c r="E656" s="802"/>
      <c r="F656" s="802"/>
      <c r="G656" s="802"/>
      <c r="H656" s="802"/>
      <c r="I656" s="802"/>
      <c r="J656" s="802"/>
      <c r="K656" s="802"/>
      <c r="L656" s="802"/>
      <c r="M656" s="802"/>
      <c r="N656" s="802"/>
      <c r="O656" s="802"/>
      <c r="P656" s="802"/>
      <c r="Q656" s="802"/>
      <c r="R656" s="802"/>
      <c r="S656" s="802"/>
      <c r="T656" s="802"/>
      <c r="U656" s="802"/>
      <c r="V656" s="802"/>
      <c r="W656" s="802"/>
      <c r="X656" s="802"/>
      <c r="Y656" s="802"/>
      <c r="Z656" s="802"/>
      <c r="AA656" s="802"/>
      <c r="AB656" s="802"/>
      <c r="AC656" s="802"/>
      <c r="AD656" s="802"/>
      <c r="AE656" s="802"/>
      <c r="AF656" s="802"/>
      <c r="AG656" s="802"/>
      <c r="AH656" s="802"/>
      <c r="AI656" s="802"/>
      <c r="AJ656" s="802"/>
      <c r="AK656" s="802"/>
      <c r="AL656" s="802"/>
      <c r="AM656" s="802"/>
      <c r="AN656" s="802"/>
      <c r="AO656" s="802"/>
      <c r="AP656" s="802"/>
      <c r="AQ656" s="802"/>
      <c r="AR656" s="802"/>
      <c r="AS656" s="802"/>
      <c r="AT656" s="802"/>
      <c r="AU656" s="802"/>
      <c r="AV656" s="802"/>
      <c r="AW656" s="802"/>
      <c r="AX656" s="802"/>
      <c r="AY656" s="802"/>
    </row>
    <row r="657" ht="21.75" customHeight="1">
      <c r="A657" s="802"/>
      <c r="B657" s="802"/>
      <c r="C657" s="802"/>
      <c r="D657" s="802"/>
      <c r="E657" s="802"/>
      <c r="F657" s="802"/>
      <c r="G657" s="802"/>
      <c r="H657" s="802"/>
      <c r="I657" s="802"/>
      <c r="J657" s="802"/>
      <c r="K657" s="802"/>
      <c r="L657" s="802"/>
      <c r="M657" s="802"/>
      <c r="N657" s="802"/>
      <c r="O657" s="802"/>
      <c r="P657" s="802"/>
      <c r="Q657" s="802"/>
      <c r="R657" s="802"/>
      <c r="S657" s="802"/>
      <c r="T657" s="802"/>
      <c r="U657" s="802"/>
      <c r="V657" s="802"/>
      <c r="W657" s="802"/>
      <c r="X657" s="802"/>
      <c r="Y657" s="802"/>
      <c r="Z657" s="802"/>
      <c r="AA657" s="802"/>
      <c r="AB657" s="802"/>
      <c r="AC657" s="802"/>
      <c r="AD657" s="802"/>
      <c r="AE657" s="802"/>
      <c r="AF657" s="802"/>
      <c r="AG657" s="802"/>
      <c r="AH657" s="802"/>
      <c r="AI657" s="802"/>
      <c r="AJ657" s="802"/>
      <c r="AK657" s="802"/>
      <c r="AL657" s="802"/>
      <c r="AM657" s="802"/>
      <c r="AN657" s="802"/>
      <c r="AO657" s="802"/>
      <c r="AP657" s="802"/>
      <c r="AQ657" s="802"/>
      <c r="AR657" s="802"/>
      <c r="AS657" s="802"/>
      <c r="AT657" s="802"/>
      <c r="AU657" s="802"/>
      <c r="AV657" s="802"/>
      <c r="AW657" s="802"/>
      <c r="AX657" s="802"/>
      <c r="AY657" s="802"/>
    </row>
    <row r="658" ht="21.75" customHeight="1">
      <c r="A658" s="802"/>
      <c r="B658" s="802"/>
      <c r="C658" s="802"/>
      <c r="D658" s="802"/>
      <c r="E658" s="802"/>
      <c r="F658" s="802"/>
      <c r="G658" s="802"/>
      <c r="H658" s="802"/>
      <c r="I658" s="802"/>
      <c r="J658" s="802"/>
      <c r="K658" s="802"/>
      <c r="L658" s="802"/>
      <c r="M658" s="802"/>
      <c r="N658" s="802"/>
      <c r="O658" s="802"/>
      <c r="P658" s="802"/>
      <c r="Q658" s="802"/>
      <c r="R658" s="802"/>
      <c r="S658" s="802"/>
      <c r="T658" s="802"/>
      <c r="U658" s="802"/>
      <c r="V658" s="802"/>
      <c r="W658" s="802"/>
      <c r="X658" s="802"/>
      <c r="Y658" s="802"/>
      <c r="Z658" s="802"/>
      <c r="AA658" s="802"/>
      <c r="AB658" s="802"/>
      <c r="AC658" s="802"/>
      <c r="AD658" s="802"/>
      <c r="AE658" s="802"/>
      <c r="AF658" s="802"/>
      <c r="AG658" s="802"/>
      <c r="AH658" s="802"/>
      <c r="AI658" s="802"/>
      <c r="AJ658" s="802"/>
      <c r="AK658" s="802"/>
      <c r="AL658" s="802"/>
      <c r="AM658" s="802"/>
      <c r="AN658" s="802"/>
      <c r="AO658" s="802"/>
      <c r="AP658" s="802"/>
      <c r="AQ658" s="802"/>
      <c r="AR658" s="802"/>
      <c r="AS658" s="802"/>
      <c r="AT658" s="802"/>
      <c r="AU658" s="802"/>
      <c r="AV658" s="802"/>
      <c r="AW658" s="802"/>
      <c r="AX658" s="802"/>
      <c r="AY658" s="802"/>
    </row>
    <row r="659" ht="21.75" customHeight="1">
      <c r="A659" s="802"/>
      <c r="B659" s="802"/>
      <c r="C659" s="802"/>
      <c r="D659" s="802"/>
      <c r="E659" s="802"/>
      <c r="F659" s="802"/>
      <c r="G659" s="802"/>
      <c r="H659" s="802"/>
      <c r="I659" s="802"/>
      <c r="J659" s="802"/>
      <c r="K659" s="802"/>
      <c r="L659" s="802"/>
      <c r="M659" s="802"/>
      <c r="N659" s="802"/>
      <c r="O659" s="802"/>
      <c r="P659" s="802"/>
      <c r="Q659" s="802"/>
      <c r="R659" s="802"/>
      <c r="S659" s="802"/>
      <c r="T659" s="802"/>
      <c r="U659" s="802"/>
      <c r="V659" s="802"/>
      <c r="W659" s="802"/>
      <c r="X659" s="802"/>
      <c r="Y659" s="802"/>
      <c r="Z659" s="802"/>
      <c r="AA659" s="802"/>
      <c r="AB659" s="802"/>
      <c r="AC659" s="802"/>
      <c r="AD659" s="802"/>
      <c r="AE659" s="802"/>
      <c r="AF659" s="802"/>
      <c r="AG659" s="802"/>
      <c r="AH659" s="802"/>
      <c r="AI659" s="802"/>
      <c r="AJ659" s="802"/>
      <c r="AK659" s="802"/>
      <c r="AL659" s="802"/>
      <c r="AM659" s="802"/>
      <c r="AN659" s="802"/>
      <c r="AO659" s="802"/>
      <c r="AP659" s="802"/>
      <c r="AQ659" s="802"/>
      <c r="AR659" s="802"/>
      <c r="AS659" s="802"/>
      <c r="AT659" s="802"/>
      <c r="AU659" s="802"/>
      <c r="AV659" s="802"/>
      <c r="AW659" s="802"/>
      <c r="AX659" s="802"/>
      <c r="AY659" s="802"/>
    </row>
    <row r="660" ht="21.75" customHeight="1">
      <c r="A660" s="802"/>
      <c r="B660" s="802"/>
      <c r="C660" s="802"/>
      <c r="D660" s="802"/>
      <c r="E660" s="802"/>
      <c r="F660" s="802"/>
      <c r="G660" s="802"/>
      <c r="H660" s="802"/>
      <c r="I660" s="802"/>
      <c r="J660" s="802"/>
      <c r="K660" s="802"/>
      <c r="L660" s="802"/>
      <c r="M660" s="802"/>
      <c r="N660" s="802"/>
      <c r="O660" s="802"/>
      <c r="P660" s="802"/>
      <c r="Q660" s="802"/>
      <c r="R660" s="802"/>
      <c r="S660" s="802"/>
      <c r="T660" s="802"/>
      <c r="U660" s="802"/>
      <c r="V660" s="802"/>
      <c r="W660" s="802"/>
      <c r="X660" s="802"/>
      <c r="Y660" s="802"/>
      <c r="Z660" s="802"/>
      <c r="AA660" s="802"/>
      <c r="AB660" s="802"/>
      <c r="AC660" s="802"/>
      <c r="AD660" s="802"/>
      <c r="AE660" s="802"/>
      <c r="AF660" s="802"/>
      <c r="AG660" s="802"/>
      <c r="AH660" s="802"/>
      <c r="AI660" s="802"/>
      <c r="AJ660" s="802"/>
      <c r="AK660" s="802"/>
      <c r="AL660" s="802"/>
      <c r="AM660" s="802"/>
      <c r="AN660" s="802"/>
      <c r="AO660" s="802"/>
      <c r="AP660" s="802"/>
      <c r="AQ660" s="802"/>
      <c r="AR660" s="802"/>
      <c r="AS660" s="802"/>
      <c r="AT660" s="802"/>
      <c r="AU660" s="802"/>
      <c r="AV660" s="802"/>
      <c r="AW660" s="802"/>
      <c r="AX660" s="802"/>
      <c r="AY660" s="802"/>
    </row>
    <row r="661" ht="21.75" customHeight="1">
      <c r="A661" s="802"/>
      <c r="B661" s="802"/>
      <c r="C661" s="802"/>
      <c r="D661" s="802"/>
      <c r="E661" s="802"/>
      <c r="F661" s="802"/>
      <c r="G661" s="802"/>
      <c r="H661" s="802"/>
      <c r="I661" s="802"/>
      <c r="J661" s="802"/>
      <c r="K661" s="802"/>
      <c r="L661" s="802"/>
      <c r="M661" s="802"/>
      <c r="N661" s="802"/>
      <c r="O661" s="802"/>
      <c r="P661" s="802"/>
      <c r="Q661" s="802"/>
      <c r="R661" s="802"/>
      <c r="S661" s="802"/>
      <c r="T661" s="802"/>
      <c r="U661" s="802"/>
      <c r="V661" s="802"/>
      <c r="W661" s="802"/>
      <c r="X661" s="802"/>
      <c r="Y661" s="802"/>
      <c r="Z661" s="802"/>
      <c r="AA661" s="802"/>
      <c r="AB661" s="802"/>
      <c r="AC661" s="802"/>
      <c r="AD661" s="802"/>
      <c r="AE661" s="802"/>
      <c r="AF661" s="802"/>
      <c r="AG661" s="802"/>
      <c r="AH661" s="802"/>
      <c r="AI661" s="802"/>
      <c r="AJ661" s="802"/>
      <c r="AK661" s="802"/>
      <c r="AL661" s="802"/>
      <c r="AM661" s="802"/>
      <c r="AN661" s="802"/>
      <c r="AO661" s="802"/>
      <c r="AP661" s="802"/>
      <c r="AQ661" s="802"/>
      <c r="AR661" s="802"/>
      <c r="AS661" s="802"/>
      <c r="AT661" s="802"/>
      <c r="AU661" s="802"/>
      <c r="AV661" s="802"/>
      <c r="AW661" s="802"/>
      <c r="AX661" s="802"/>
      <c r="AY661" s="802"/>
    </row>
    <row r="662" ht="21.75" customHeight="1">
      <c r="A662" s="802"/>
      <c r="B662" s="802"/>
      <c r="C662" s="802"/>
      <c r="D662" s="802"/>
      <c r="E662" s="802"/>
      <c r="F662" s="802"/>
      <c r="G662" s="802"/>
      <c r="H662" s="802"/>
      <c r="I662" s="802"/>
      <c r="J662" s="802"/>
      <c r="K662" s="802"/>
      <c r="L662" s="802"/>
      <c r="M662" s="802"/>
      <c r="N662" s="802"/>
      <c r="O662" s="802"/>
      <c r="P662" s="802"/>
      <c r="Q662" s="802"/>
      <c r="R662" s="802"/>
      <c r="S662" s="802"/>
      <c r="T662" s="802"/>
      <c r="U662" s="802"/>
      <c r="V662" s="802"/>
      <c r="W662" s="802"/>
      <c r="X662" s="802"/>
      <c r="Y662" s="802"/>
      <c r="Z662" s="802"/>
      <c r="AA662" s="802"/>
      <c r="AB662" s="802"/>
      <c r="AC662" s="802"/>
      <c r="AD662" s="802"/>
      <c r="AE662" s="802"/>
      <c r="AF662" s="802"/>
      <c r="AG662" s="802"/>
      <c r="AH662" s="802"/>
      <c r="AI662" s="802"/>
      <c r="AJ662" s="802"/>
      <c r="AK662" s="802"/>
      <c r="AL662" s="802"/>
      <c r="AM662" s="802"/>
      <c r="AN662" s="802"/>
      <c r="AO662" s="802"/>
      <c r="AP662" s="802"/>
      <c r="AQ662" s="802"/>
      <c r="AR662" s="802"/>
      <c r="AS662" s="802"/>
      <c r="AT662" s="802"/>
      <c r="AU662" s="802"/>
      <c r="AV662" s="802"/>
      <c r="AW662" s="802"/>
      <c r="AX662" s="802"/>
      <c r="AY662" s="802"/>
    </row>
    <row r="663" ht="21.75" customHeight="1">
      <c r="A663" s="802"/>
      <c r="B663" s="802"/>
      <c r="C663" s="802"/>
      <c r="D663" s="802"/>
      <c r="E663" s="802"/>
      <c r="F663" s="802"/>
      <c r="G663" s="802"/>
      <c r="H663" s="802"/>
      <c r="I663" s="802"/>
      <c r="J663" s="802"/>
      <c r="K663" s="802"/>
      <c r="L663" s="802"/>
      <c r="M663" s="802"/>
      <c r="N663" s="802"/>
      <c r="O663" s="802"/>
      <c r="P663" s="802"/>
      <c r="Q663" s="802"/>
      <c r="R663" s="802"/>
      <c r="S663" s="802"/>
      <c r="T663" s="802"/>
      <c r="U663" s="802"/>
      <c r="V663" s="802"/>
      <c r="W663" s="802"/>
      <c r="X663" s="802"/>
      <c r="Y663" s="802"/>
      <c r="Z663" s="802"/>
      <c r="AA663" s="802"/>
      <c r="AB663" s="802"/>
      <c r="AC663" s="802"/>
      <c r="AD663" s="802"/>
      <c r="AE663" s="802"/>
      <c r="AF663" s="802"/>
      <c r="AG663" s="802"/>
      <c r="AH663" s="802"/>
      <c r="AI663" s="802"/>
      <c r="AJ663" s="802"/>
      <c r="AK663" s="802"/>
      <c r="AL663" s="802"/>
      <c r="AM663" s="802"/>
      <c r="AN663" s="802"/>
      <c r="AO663" s="802"/>
      <c r="AP663" s="802"/>
      <c r="AQ663" s="802"/>
      <c r="AR663" s="802"/>
      <c r="AS663" s="802"/>
      <c r="AT663" s="802"/>
      <c r="AU663" s="802"/>
      <c r="AV663" s="802"/>
      <c r="AW663" s="802"/>
      <c r="AX663" s="802"/>
      <c r="AY663" s="802"/>
    </row>
    <row r="664" ht="21.75" customHeight="1">
      <c r="A664" s="802"/>
      <c r="B664" s="802"/>
      <c r="C664" s="802"/>
      <c r="D664" s="802"/>
      <c r="E664" s="802"/>
      <c r="F664" s="802"/>
      <c r="G664" s="802"/>
      <c r="H664" s="802"/>
      <c r="I664" s="802"/>
      <c r="J664" s="802"/>
      <c r="K664" s="802"/>
      <c r="L664" s="802"/>
      <c r="M664" s="802"/>
      <c r="N664" s="802"/>
      <c r="O664" s="802"/>
      <c r="P664" s="802"/>
      <c r="Q664" s="802"/>
      <c r="R664" s="802"/>
      <c r="S664" s="802"/>
      <c r="T664" s="802"/>
      <c r="U664" s="802"/>
      <c r="V664" s="802"/>
      <c r="W664" s="802"/>
      <c r="X664" s="802"/>
      <c r="Y664" s="802"/>
      <c r="Z664" s="802"/>
      <c r="AA664" s="802"/>
      <c r="AB664" s="802"/>
      <c r="AC664" s="802"/>
      <c r="AD664" s="802"/>
      <c r="AE664" s="802"/>
      <c r="AF664" s="802"/>
      <c r="AG664" s="802"/>
      <c r="AH664" s="802"/>
      <c r="AI664" s="802"/>
      <c r="AJ664" s="802"/>
      <c r="AK664" s="802"/>
      <c r="AL664" s="802"/>
      <c r="AM664" s="802"/>
      <c r="AN664" s="802"/>
      <c r="AO664" s="802"/>
      <c r="AP664" s="802"/>
      <c r="AQ664" s="802"/>
      <c r="AR664" s="802"/>
      <c r="AS664" s="802"/>
      <c r="AT664" s="802"/>
      <c r="AU664" s="802"/>
      <c r="AV664" s="802"/>
      <c r="AW664" s="802"/>
      <c r="AX664" s="802"/>
      <c r="AY664" s="802"/>
    </row>
    <row r="665" ht="21.75" customHeight="1">
      <c r="A665" s="802"/>
      <c r="B665" s="802"/>
      <c r="C665" s="802"/>
      <c r="D665" s="802"/>
      <c r="E665" s="802"/>
      <c r="F665" s="802"/>
      <c r="G665" s="802"/>
      <c r="H665" s="802"/>
      <c r="I665" s="802"/>
      <c r="J665" s="802"/>
      <c r="K665" s="802"/>
      <c r="L665" s="802"/>
      <c r="M665" s="802"/>
      <c r="N665" s="802"/>
      <c r="O665" s="802"/>
      <c r="P665" s="802"/>
      <c r="Q665" s="802"/>
      <c r="R665" s="802"/>
      <c r="S665" s="802"/>
      <c r="T665" s="802"/>
      <c r="U665" s="802"/>
      <c r="V665" s="802"/>
      <c r="W665" s="802"/>
      <c r="X665" s="802"/>
      <c r="Y665" s="802"/>
      <c r="Z665" s="802"/>
      <c r="AA665" s="802"/>
      <c r="AB665" s="802"/>
      <c r="AC665" s="802"/>
      <c r="AD665" s="802"/>
      <c r="AE665" s="802"/>
      <c r="AF665" s="802"/>
      <c r="AG665" s="802"/>
      <c r="AH665" s="802"/>
      <c r="AI665" s="802"/>
      <c r="AJ665" s="802"/>
      <c r="AK665" s="802"/>
      <c r="AL665" s="802"/>
      <c r="AM665" s="802"/>
      <c r="AN665" s="802"/>
      <c r="AO665" s="802"/>
      <c r="AP665" s="802"/>
      <c r="AQ665" s="802"/>
      <c r="AR665" s="802"/>
      <c r="AS665" s="802"/>
      <c r="AT665" s="802"/>
      <c r="AU665" s="802"/>
      <c r="AV665" s="802"/>
      <c r="AW665" s="802"/>
      <c r="AX665" s="802"/>
      <c r="AY665" s="802"/>
    </row>
    <row r="666" ht="21.75" customHeight="1">
      <c r="A666" s="802"/>
      <c r="B666" s="802"/>
      <c r="C666" s="802"/>
      <c r="D666" s="802"/>
      <c r="E666" s="802"/>
      <c r="F666" s="802"/>
      <c r="G666" s="802"/>
      <c r="H666" s="802"/>
      <c r="I666" s="802"/>
      <c r="J666" s="802"/>
      <c r="K666" s="802"/>
      <c r="L666" s="802"/>
      <c r="M666" s="802"/>
      <c r="N666" s="802"/>
      <c r="O666" s="802"/>
      <c r="P666" s="802"/>
      <c r="Q666" s="802"/>
      <c r="R666" s="802"/>
      <c r="S666" s="802"/>
      <c r="T666" s="802"/>
      <c r="U666" s="802"/>
      <c r="V666" s="802"/>
      <c r="W666" s="802"/>
      <c r="X666" s="802"/>
      <c r="Y666" s="802"/>
      <c r="Z666" s="802"/>
      <c r="AA666" s="802"/>
      <c r="AB666" s="802"/>
      <c r="AC666" s="802"/>
      <c r="AD666" s="802"/>
      <c r="AE666" s="802"/>
      <c r="AF666" s="802"/>
      <c r="AG666" s="802"/>
      <c r="AH666" s="802"/>
      <c r="AI666" s="802"/>
      <c r="AJ666" s="802"/>
      <c r="AK666" s="802"/>
      <c r="AL666" s="802"/>
      <c r="AM666" s="802"/>
      <c r="AN666" s="802"/>
      <c r="AO666" s="802"/>
      <c r="AP666" s="802"/>
      <c r="AQ666" s="802"/>
      <c r="AR666" s="802"/>
      <c r="AS666" s="802"/>
      <c r="AT666" s="802"/>
      <c r="AU666" s="802"/>
      <c r="AV666" s="802"/>
      <c r="AW666" s="802"/>
      <c r="AX666" s="802"/>
      <c r="AY666" s="802"/>
    </row>
    <row r="667" ht="21.75" customHeight="1">
      <c r="A667" s="802"/>
      <c r="B667" s="802"/>
      <c r="C667" s="802"/>
      <c r="D667" s="802"/>
      <c r="E667" s="802"/>
      <c r="F667" s="802"/>
      <c r="G667" s="802"/>
      <c r="H667" s="802"/>
      <c r="I667" s="802"/>
      <c r="J667" s="802"/>
      <c r="K667" s="802"/>
      <c r="L667" s="802"/>
      <c r="M667" s="802"/>
      <c r="N667" s="802"/>
      <c r="O667" s="802"/>
      <c r="P667" s="802"/>
      <c r="Q667" s="802"/>
      <c r="R667" s="802"/>
      <c r="S667" s="802"/>
      <c r="T667" s="802"/>
      <c r="U667" s="802"/>
      <c r="V667" s="802"/>
      <c r="W667" s="802"/>
      <c r="X667" s="802"/>
      <c r="Y667" s="802"/>
      <c r="Z667" s="802"/>
      <c r="AA667" s="802"/>
      <c r="AB667" s="802"/>
      <c r="AC667" s="802"/>
      <c r="AD667" s="802"/>
      <c r="AE667" s="802"/>
      <c r="AF667" s="802"/>
      <c r="AG667" s="802"/>
      <c r="AH667" s="802"/>
      <c r="AI667" s="802"/>
      <c r="AJ667" s="802"/>
      <c r="AK667" s="802"/>
      <c r="AL667" s="802"/>
      <c r="AM667" s="802"/>
      <c r="AN667" s="802"/>
      <c r="AO667" s="802"/>
      <c r="AP667" s="802"/>
      <c r="AQ667" s="802"/>
      <c r="AR667" s="802"/>
      <c r="AS667" s="802"/>
      <c r="AT667" s="802"/>
      <c r="AU667" s="802"/>
      <c r="AV667" s="802"/>
      <c r="AW667" s="802"/>
      <c r="AX667" s="802"/>
      <c r="AY667" s="802"/>
    </row>
    <row r="668" ht="21.75" customHeight="1">
      <c r="A668" s="802"/>
      <c r="B668" s="802"/>
      <c r="C668" s="802"/>
      <c r="D668" s="802"/>
      <c r="E668" s="802"/>
      <c r="F668" s="802"/>
      <c r="G668" s="802"/>
      <c r="H668" s="802"/>
      <c r="I668" s="802"/>
      <c r="J668" s="802"/>
      <c r="K668" s="802"/>
      <c r="L668" s="802"/>
      <c r="M668" s="802"/>
      <c r="N668" s="802"/>
      <c r="O668" s="802"/>
      <c r="P668" s="802"/>
      <c r="Q668" s="802"/>
      <c r="R668" s="802"/>
      <c r="S668" s="802"/>
      <c r="T668" s="802"/>
      <c r="U668" s="802"/>
      <c r="V668" s="802"/>
      <c r="W668" s="802"/>
      <c r="X668" s="802"/>
      <c r="Y668" s="802"/>
      <c r="Z668" s="802"/>
      <c r="AA668" s="802"/>
      <c r="AB668" s="802"/>
      <c r="AC668" s="802"/>
      <c r="AD668" s="802"/>
      <c r="AE668" s="802"/>
      <c r="AF668" s="802"/>
      <c r="AG668" s="802"/>
      <c r="AH668" s="802"/>
      <c r="AI668" s="802"/>
      <c r="AJ668" s="802"/>
      <c r="AK668" s="802"/>
      <c r="AL668" s="802"/>
      <c r="AM668" s="802"/>
      <c r="AN668" s="802"/>
      <c r="AO668" s="802"/>
      <c r="AP668" s="802"/>
      <c r="AQ668" s="802"/>
      <c r="AR668" s="802"/>
      <c r="AS668" s="802"/>
      <c r="AT668" s="802"/>
      <c r="AU668" s="802"/>
      <c r="AV668" s="802"/>
      <c r="AW668" s="802"/>
      <c r="AX668" s="802"/>
      <c r="AY668" s="802"/>
    </row>
    <row r="669" ht="21.75" customHeight="1">
      <c r="A669" s="802"/>
      <c r="B669" s="802"/>
      <c r="C669" s="802"/>
      <c r="D669" s="802"/>
      <c r="E669" s="802"/>
      <c r="F669" s="802"/>
      <c r="G669" s="802"/>
      <c r="H669" s="802"/>
      <c r="I669" s="802"/>
      <c r="J669" s="802"/>
      <c r="K669" s="802"/>
      <c r="L669" s="802"/>
      <c r="M669" s="802"/>
      <c r="N669" s="802"/>
      <c r="O669" s="802"/>
      <c r="P669" s="802"/>
      <c r="Q669" s="802"/>
      <c r="R669" s="802"/>
      <c r="S669" s="802"/>
      <c r="T669" s="802"/>
      <c r="U669" s="802"/>
      <c r="V669" s="802"/>
      <c r="W669" s="802"/>
      <c r="X669" s="802"/>
      <c r="Y669" s="802"/>
      <c r="Z669" s="802"/>
      <c r="AA669" s="802"/>
      <c r="AB669" s="802"/>
      <c r="AC669" s="802"/>
      <c r="AD669" s="802"/>
      <c r="AE669" s="802"/>
      <c r="AF669" s="802"/>
      <c r="AG669" s="802"/>
      <c r="AH669" s="802"/>
      <c r="AI669" s="802"/>
      <c r="AJ669" s="802"/>
      <c r="AK669" s="802"/>
      <c r="AL669" s="802"/>
      <c r="AM669" s="802"/>
      <c r="AN669" s="802"/>
      <c r="AO669" s="802"/>
      <c r="AP669" s="802"/>
      <c r="AQ669" s="802"/>
      <c r="AR669" s="802"/>
      <c r="AS669" s="802"/>
      <c r="AT669" s="802"/>
      <c r="AU669" s="802"/>
      <c r="AV669" s="802"/>
      <c r="AW669" s="802"/>
      <c r="AX669" s="802"/>
      <c r="AY669" s="802"/>
    </row>
    <row r="670" ht="21.75" customHeight="1">
      <c r="A670" s="802"/>
      <c r="B670" s="802"/>
      <c r="C670" s="802"/>
      <c r="D670" s="802"/>
      <c r="E670" s="802"/>
      <c r="F670" s="802"/>
      <c r="G670" s="802"/>
      <c r="H670" s="802"/>
      <c r="I670" s="802"/>
      <c r="J670" s="802"/>
      <c r="K670" s="802"/>
      <c r="L670" s="802"/>
      <c r="M670" s="802"/>
      <c r="N670" s="802"/>
      <c r="O670" s="802"/>
      <c r="P670" s="802"/>
      <c r="Q670" s="802"/>
      <c r="R670" s="802"/>
      <c r="S670" s="802"/>
      <c r="T670" s="802"/>
      <c r="U670" s="802"/>
      <c r="V670" s="802"/>
      <c r="W670" s="802"/>
      <c r="X670" s="802"/>
      <c r="Y670" s="802"/>
      <c r="Z670" s="802"/>
      <c r="AA670" s="802"/>
      <c r="AB670" s="802"/>
      <c r="AC670" s="802"/>
      <c r="AD670" s="802"/>
      <c r="AE670" s="802"/>
      <c r="AF670" s="802"/>
      <c r="AG670" s="802"/>
      <c r="AH670" s="802"/>
      <c r="AI670" s="802"/>
      <c r="AJ670" s="802"/>
      <c r="AK670" s="802"/>
      <c r="AL670" s="802"/>
      <c r="AM670" s="802"/>
      <c r="AN670" s="802"/>
      <c r="AO670" s="802"/>
      <c r="AP670" s="802"/>
      <c r="AQ670" s="802"/>
      <c r="AR670" s="802"/>
      <c r="AS670" s="802"/>
      <c r="AT670" s="802"/>
      <c r="AU670" s="802"/>
      <c r="AV670" s="802"/>
      <c r="AW670" s="802"/>
      <c r="AX670" s="802"/>
      <c r="AY670" s="802"/>
    </row>
    <row r="671" ht="21.75" customHeight="1">
      <c r="A671" s="802"/>
      <c r="B671" s="802"/>
      <c r="C671" s="802"/>
      <c r="D671" s="802"/>
      <c r="E671" s="802"/>
      <c r="F671" s="802"/>
      <c r="G671" s="802"/>
      <c r="H671" s="802"/>
      <c r="I671" s="802"/>
      <c r="J671" s="802"/>
      <c r="K671" s="802"/>
      <c r="L671" s="802"/>
      <c r="M671" s="802"/>
      <c r="N671" s="802"/>
      <c r="O671" s="802"/>
      <c r="P671" s="802"/>
      <c r="Q671" s="802"/>
      <c r="R671" s="802"/>
      <c r="S671" s="802"/>
      <c r="T671" s="802"/>
      <c r="U671" s="802"/>
      <c r="V671" s="802"/>
      <c r="W671" s="802"/>
      <c r="X671" s="802"/>
      <c r="Y671" s="802"/>
      <c r="Z671" s="802"/>
      <c r="AA671" s="802"/>
      <c r="AB671" s="802"/>
      <c r="AC671" s="802"/>
      <c r="AD671" s="802"/>
      <c r="AE671" s="802"/>
      <c r="AF671" s="802"/>
      <c r="AG671" s="802"/>
      <c r="AH671" s="802"/>
      <c r="AI671" s="802"/>
      <c r="AJ671" s="802"/>
      <c r="AK671" s="802"/>
      <c r="AL671" s="802"/>
      <c r="AM671" s="802"/>
      <c r="AN671" s="802"/>
      <c r="AO671" s="802"/>
      <c r="AP671" s="802"/>
      <c r="AQ671" s="802"/>
      <c r="AR671" s="802"/>
      <c r="AS671" s="802"/>
      <c r="AT671" s="802"/>
      <c r="AU671" s="802"/>
      <c r="AV671" s="802"/>
      <c r="AW671" s="802"/>
      <c r="AX671" s="802"/>
      <c r="AY671" s="802"/>
    </row>
    <row r="672" ht="21.75" customHeight="1">
      <c r="A672" s="802"/>
      <c r="B672" s="802"/>
      <c r="C672" s="802"/>
      <c r="D672" s="802"/>
      <c r="E672" s="802"/>
      <c r="F672" s="802"/>
      <c r="G672" s="802"/>
      <c r="H672" s="802"/>
      <c r="I672" s="802"/>
      <c r="J672" s="802"/>
      <c r="K672" s="802"/>
      <c r="L672" s="802"/>
      <c r="M672" s="802"/>
      <c r="N672" s="802"/>
      <c r="O672" s="802"/>
      <c r="P672" s="802"/>
      <c r="Q672" s="802"/>
      <c r="R672" s="802"/>
      <c r="S672" s="802"/>
      <c r="T672" s="802"/>
      <c r="U672" s="802"/>
      <c r="V672" s="802"/>
      <c r="W672" s="802"/>
      <c r="X672" s="802"/>
      <c r="Y672" s="802"/>
      <c r="Z672" s="802"/>
      <c r="AA672" s="802"/>
      <c r="AB672" s="802"/>
      <c r="AC672" s="802"/>
      <c r="AD672" s="802"/>
      <c r="AE672" s="802"/>
      <c r="AF672" s="802"/>
      <c r="AG672" s="802"/>
      <c r="AH672" s="802"/>
      <c r="AI672" s="802"/>
      <c r="AJ672" s="802"/>
      <c r="AK672" s="802"/>
      <c r="AL672" s="802"/>
      <c r="AM672" s="802"/>
      <c r="AN672" s="802"/>
      <c r="AO672" s="802"/>
      <c r="AP672" s="802"/>
      <c r="AQ672" s="802"/>
      <c r="AR672" s="802"/>
      <c r="AS672" s="802"/>
      <c r="AT672" s="802"/>
      <c r="AU672" s="802"/>
      <c r="AV672" s="802"/>
      <c r="AW672" s="802"/>
      <c r="AX672" s="802"/>
      <c r="AY672" s="802"/>
    </row>
    <row r="673" ht="21.75" customHeight="1">
      <c r="A673" s="802"/>
      <c r="B673" s="802"/>
      <c r="C673" s="802"/>
      <c r="D673" s="802"/>
      <c r="E673" s="802"/>
      <c r="F673" s="802"/>
      <c r="G673" s="802"/>
      <c r="H673" s="802"/>
      <c r="I673" s="802"/>
      <c r="J673" s="802"/>
      <c r="K673" s="802"/>
      <c r="L673" s="802"/>
      <c r="M673" s="802"/>
      <c r="N673" s="802"/>
      <c r="O673" s="802"/>
      <c r="P673" s="802"/>
      <c r="Q673" s="802"/>
      <c r="R673" s="802"/>
      <c r="S673" s="802"/>
      <c r="T673" s="802"/>
      <c r="U673" s="802"/>
      <c r="V673" s="802"/>
      <c r="W673" s="802"/>
      <c r="X673" s="802"/>
      <c r="Y673" s="802"/>
      <c r="Z673" s="802"/>
      <c r="AA673" s="802"/>
      <c r="AB673" s="802"/>
      <c r="AC673" s="802"/>
      <c r="AD673" s="802"/>
      <c r="AE673" s="802"/>
      <c r="AF673" s="802"/>
      <c r="AG673" s="802"/>
      <c r="AH673" s="802"/>
      <c r="AI673" s="802"/>
      <c r="AJ673" s="802"/>
      <c r="AK673" s="802"/>
      <c r="AL673" s="802"/>
      <c r="AM673" s="802"/>
      <c r="AN673" s="802"/>
      <c r="AO673" s="802"/>
      <c r="AP673" s="802"/>
      <c r="AQ673" s="802"/>
      <c r="AR673" s="802"/>
      <c r="AS673" s="802"/>
      <c r="AT673" s="802"/>
      <c r="AU673" s="802"/>
      <c r="AV673" s="802"/>
      <c r="AW673" s="802"/>
      <c r="AX673" s="802"/>
      <c r="AY673" s="802"/>
    </row>
    <row r="674" ht="21.75" customHeight="1">
      <c r="A674" s="802"/>
      <c r="B674" s="802"/>
      <c r="C674" s="802"/>
      <c r="D674" s="802"/>
      <c r="E674" s="802"/>
      <c r="F674" s="802"/>
      <c r="G674" s="802"/>
      <c r="H674" s="802"/>
      <c r="I674" s="802"/>
      <c r="J674" s="802"/>
      <c r="K674" s="802"/>
      <c r="L674" s="802"/>
      <c r="M674" s="802"/>
      <c r="N674" s="802"/>
      <c r="O674" s="802"/>
      <c r="P674" s="802"/>
      <c r="Q674" s="802"/>
      <c r="R674" s="802"/>
      <c r="S674" s="802"/>
      <c r="T674" s="802"/>
      <c r="U674" s="802"/>
      <c r="V674" s="802"/>
      <c r="W674" s="802"/>
      <c r="X674" s="802"/>
      <c r="Y674" s="802"/>
      <c r="Z674" s="802"/>
      <c r="AA674" s="802"/>
      <c r="AB674" s="802"/>
      <c r="AC674" s="802"/>
      <c r="AD674" s="802"/>
      <c r="AE674" s="802"/>
      <c r="AF674" s="802"/>
      <c r="AG674" s="802"/>
      <c r="AH674" s="802"/>
      <c r="AI674" s="802"/>
      <c r="AJ674" s="802"/>
      <c r="AK674" s="802"/>
      <c r="AL674" s="802"/>
      <c r="AM674" s="802"/>
      <c r="AN674" s="802"/>
      <c r="AO674" s="802"/>
      <c r="AP674" s="802"/>
      <c r="AQ674" s="802"/>
      <c r="AR674" s="802"/>
      <c r="AS674" s="802"/>
      <c r="AT674" s="802"/>
      <c r="AU674" s="802"/>
      <c r="AV674" s="802"/>
      <c r="AW674" s="802"/>
      <c r="AX674" s="802"/>
      <c r="AY674" s="802"/>
    </row>
    <row r="675" ht="21.75" customHeight="1">
      <c r="A675" s="802"/>
      <c r="B675" s="802"/>
      <c r="C675" s="802"/>
      <c r="D675" s="802"/>
      <c r="E675" s="802"/>
      <c r="F675" s="802"/>
      <c r="G675" s="802"/>
      <c r="H675" s="802"/>
      <c r="I675" s="802"/>
      <c r="J675" s="802"/>
      <c r="K675" s="802"/>
      <c r="L675" s="802"/>
      <c r="M675" s="802"/>
      <c r="N675" s="802"/>
      <c r="O675" s="802"/>
      <c r="P675" s="802"/>
      <c r="Q675" s="802"/>
      <c r="R675" s="802"/>
      <c r="S675" s="802"/>
      <c r="T675" s="802"/>
      <c r="U675" s="802"/>
      <c r="V675" s="802"/>
      <c r="W675" s="802"/>
      <c r="X675" s="802"/>
      <c r="Y675" s="802"/>
      <c r="Z675" s="802"/>
      <c r="AA675" s="802"/>
      <c r="AB675" s="802"/>
      <c r="AC675" s="802"/>
      <c r="AD675" s="802"/>
      <c r="AE675" s="802"/>
      <c r="AF675" s="802"/>
      <c r="AG675" s="802"/>
      <c r="AH675" s="802"/>
      <c r="AI675" s="802"/>
      <c r="AJ675" s="802"/>
      <c r="AK675" s="802"/>
      <c r="AL675" s="802"/>
      <c r="AM675" s="802"/>
      <c r="AN675" s="802"/>
      <c r="AO675" s="802"/>
      <c r="AP675" s="802"/>
      <c r="AQ675" s="802"/>
      <c r="AR675" s="802"/>
      <c r="AS675" s="802"/>
      <c r="AT675" s="802"/>
      <c r="AU675" s="802"/>
      <c r="AV675" s="802"/>
      <c r="AW675" s="802"/>
      <c r="AX675" s="802"/>
      <c r="AY675" s="802"/>
    </row>
    <row r="676" ht="21.75" customHeight="1">
      <c r="A676" s="802"/>
      <c r="B676" s="802"/>
      <c r="C676" s="802"/>
      <c r="D676" s="802"/>
      <c r="E676" s="802"/>
      <c r="F676" s="802"/>
      <c r="G676" s="802"/>
      <c r="H676" s="802"/>
      <c r="I676" s="802"/>
      <c r="J676" s="802"/>
      <c r="K676" s="802"/>
      <c r="L676" s="802"/>
      <c r="M676" s="802"/>
      <c r="N676" s="802"/>
      <c r="O676" s="802"/>
      <c r="P676" s="802"/>
      <c r="Q676" s="802"/>
      <c r="R676" s="802"/>
      <c r="S676" s="802"/>
      <c r="T676" s="802"/>
      <c r="U676" s="802"/>
      <c r="V676" s="802"/>
      <c r="W676" s="802"/>
      <c r="X676" s="802"/>
      <c r="Y676" s="802"/>
      <c r="Z676" s="802"/>
      <c r="AA676" s="802"/>
      <c r="AB676" s="802"/>
      <c r="AC676" s="802"/>
      <c r="AD676" s="802"/>
      <c r="AE676" s="802"/>
      <c r="AF676" s="802"/>
      <c r="AG676" s="802"/>
      <c r="AH676" s="802"/>
      <c r="AI676" s="802"/>
      <c r="AJ676" s="802"/>
      <c r="AK676" s="802"/>
      <c r="AL676" s="802"/>
      <c r="AM676" s="802"/>
      <c r="AN676" s="802"/>
      <c r="AO676" s="802"/>
      <c r="AP676" s="802"/>
      <c r="AQ676" s="802"/>
      <c r="AR676" s="802"/>
      <c r="AS676" s="802"/>
      <c r="AT676" s="802"/>
      <c r="AU676" s="802"/>
      <c r="AV676" s="802"/>
      <c r="AW676" s="802"/>
      <c r="AX676" s="802"/>
      <c r="AY676" s="802"/>
    </row>
    <row r="677" ht="21.75" customHeight="1">
      <c r="A677" s="802"/>
      <c r="B677" s="802"/>
      <c r="C677" s="802"/>
      <c r="D677" s="802"/>
      <c r="E677" s="802"/>
      <c r="F677" s="802"/>
      <c r="G677" s="802"/>
      <c r="H677" s="802"/>
      <c r="I677" s="802"/>
      <c r="J677" s="802"/>
      <c r="K677" s="802"/>
      <c r="L677" s="802"/>
      <c r="M677" s="802"/>
      <c r="N677" s="802"/>
      <c r="O677" s="802"/>
      <c r="P677" s="802"/>
      <c r="Q677" s="802"/>
      <c r="R677" s="802"/>
      <c r="S677" s="802"/>
      <c r="T677" s="802"/>
      <c r="U677" s="802"/>
      <c r="V677" s="802"/>
      <c r="W677" s="802"/>
      <c r="X677" s="802"/>
      <c r="Y677" s="802"/>
      <c r="Z677" s="802"/>
      <c r="AA677" s="802"/>
      <c r="AB677" s="802"/>
      <c r="AC677" s="802"/>
      <c r="AD677" s="802"/>
      <c r="AE677" s="802"/>
      <c r="AF677" s="802"/>
      <c r="AG677" s="802"/>
      <c r="AH677" s="802"/>
      <c r="AI677" s="802"/>
      <c r="AJ677" s="802"/>
      <c r="AK677" s="802"/>
      <c r="AL677" s="802"/>
      <c r="AM677" s="802"/>
      <c r="AN677" s="802"/>
      <c r="AO677" s="802"/>
      <c r="AP677" s="802"/>
      <c r="AQ677" s="802"/>
      <c r="AR677" s="802"/>
      <c r="AS677" s="802"/>
      <c r="AT677" s="802"/>
      <c r="AU677" s="802"/>
      <c r="AV677" s="802"/>
      <c r="AW677" s="802"/>
      <c r="AX677" s="802"/>
      <c r="AY677" s="802"/>
    </row>
    <row r="678" ht="21.75" customHeight="1">
      <c r="A678" s="802"/>
      <c r="B678" s="802"/>
      <c r="C678" s="802"/>
      <c r="D678" s="802"/>
      <c r="E678" s="802"/>
      <c r="F678" s="802"/>
      <c r="G678" s="802"/>
      <c r="H678" s="802"/>
      <c r="I678" s="802"/>
      <c r="J678" s="802"/>
      <c r="K678" s="802"/>
      <c r="L678" s="802"/>
      <c r="M678" s="802"/>
      <c r="N678" s="802"/>
      <c r="O678" s="802"/>
      <c r="P678" s="802"/>
      <c r="Q678" s="802"/>
      <c r="R678" s="802"/>
      <c r="S678" s="802"/>
      <c r="T678" s="802"/>
      <c r="U678" s="802"/>
      <c r="V678" s="802"/>
      <c r="W678" s="802"/>
      <c r="X678" s="802"/>
      <c r="Y678" s="802"/>
      <c r="Z678" s="802"/>
      <c r="AA678" s="802"/>
      <c r="AB678" s="802"/>
      <c r="AC678" s="802"/>
      <c r="AD678" s="802"/>
      <c r="AE678" s="802"/>
      <c r="AF678" s="802"/>
      <c r="AG678" s="802"/>
      <c r="AH678" s="802"/>
      <c r="AI678" s="802"/>
      <c r="AJ678" s="802"/>
      <c r="AK678" s="802"/>
      <c r="AL678" s="802"/>
      <c r="AM678" s="802"/>
      <c r="AN678" s="802"/>
      <c r="AO678" s="802"/>
      <c r="AP678" s="802"/>
      <c r="AQ678" s="802"/>
      <c r="AR678" s="802"/>
      <c r="AS678" s="802"/>
      <c r="AT678" s="802"/>
      <c r="AU678" s="802"/>
      <c r="AV678" s="802"/>
      <c r="AW678" s="802"/>
      <c r="AX678" s="802"/>
      <c r="AY678" s="802"/>
    </row>
    <row r="679" ht="21.75" customHeight="1">
      <c r="A679" s="802"/>
      <c r="B679" s="802"/>
      <c r="C679" s="802"/>
      <c r="D679" s="802"/>
      <c r="E679" s="802"/>
      <c r="F679" s="802"/>
      <c r="G679" s="802"/>
      <c r="H679" s="802"/>
      <c r="I679" s="802"/>
      <c r="J679" s="802"/>
      <c r="K679" s="802"/>
      <c r="L679" s="802"/>
      <c r="M679" s="802"/>
      <c r="N679" s="802"/>
      <c r="O679" s="802"/>
      <c r="P679" s="802"/>
      <c r="Q679" s="802"/>
      <c r="R679" s="802"/>
      <c r="S679" s="802"/>
      <c r="T679" s="802"/>
      <c r="U679" s="802"/>
      <c r="V679" s="802"/>
      <c r="W679" s="802"/>
      <c r="X679" s="802"/>
      <c r="Y679" s="802"/>
      <c r="Z679" s="802"/>
      <c r="AA679" s="802"/>
      <c r="AB679" s="802"/>
      <c r="AC679" s="802"/>
      <c r="AD679" s="802"/>
      <c r="AE679" s="802"/>
      <c r="AF679" s="802"/>
      <c r="AG679" s="802"/>
      <c r="AH679" s="802"/>
      <c r="AI679" s="802"/>
      <c r="AJ679" s="802"/>
      <c r="AK679" s="802"/>
      <c r="AL679" s="802"/>
      <c r="AM679" s="802"/>
      <c r="AN679" s="802"/>
      <c r="AO679" s="802"/>
      <c r="AP679" s="802"/>
      <c r="AQ679" s="802"/>
      <c r="AR679" s="802"/>
      <c r="AS679" s="802"/>
      <c r="AT679" s="802"/>
      <c r="AU679" s="802"/>
      <c r="AV679" s="802"/>
      <c r="AW679" s="802"/>
      <c r="AX679" s="802"/>
      <c r="AY679" s="802"/>
    </row>
    <row r="680" ht="21.75" customHeight="1">
      <c r="A680" s="802"/>
      <c r="B680" s="802"/>
      <c r="C680" s="802"/>
      <c r="D680" s="802"/>
      <c r="E680" s="802"/>
      <c r="F680" s="802"/>
      <c r="G680" s="802"/>
      <c r="H680" s="802"/>
      <c r="I680" s="802"/>
      <c r="J680" s="802"/>
      <c r="K680" s="802"/>
      <c r="L680" s="802"/>
      <c r="M680" s="802"/>
      <c r="N680" s="802"/>
      <c r="O680" s="802"/>
      <c r="P680" s="802"/>
      <c r="Q680" s="802"/>
      <c r="R680" s="802"/>
      <c r="S680" s="802"/>
      <c r="T680" s="802"/>
      <c r="U680" s="802"/>
      <c r="V680" s="802"/>
      <c r="W680" s="802"/>
      <c r="X680" s="802"/>
      <c r="Y680" s="802"/>
      <c r="Z680" s="802"/>
      <c r="AA680" s="802"/>
      <c r="AB680" s="802"/>
      <c r="AC680" s="802"/>
      <c r="AD680" s="802"/>
      <c r="AE680" s="802"/>
      <c r="AF680" s="802"/>
      <c r="AG680" s="802"/>
      <c r="AH680" s="802"/>
      <c r="AI680" s="802"/>
      <c r="AJ680" s="802"/>
      <c r="AK680" s="802"/>
      <c r="AL680" s="802"/>
      <c r="AM680" s="802"/>
      <c r="AN680" s="802"/>
      <c r="AO680" s="802"/>
      <c r="AP680" s="802"/>
      <c r="AQ680" s="802"/>
      <c r="AR680" s="802"/>
      <c r="AS680" s="802"/>
      <c r="AT680" s="802"/>
      <c r="AU680" s="802"/>
      <c r="AV680" s="802"/>
      <c r="AW680" s="802"/>
      <c r="AX680" s="802"/>
      <c r="AY680" s="802"/>
    </row>
    <row r="681" ht="21.75" customHeight="1">
      <c r="A681" s="802"/>
      <c r="B681" s="802"/>
      <c r="C681" s="802"/>
      <c r="D681" s="802"/>
      <c r="E681" s="802"/>
      <c r="F681" s="802"/>
      <c r="G681" s="802"/>
      <c r="H681" s="802"/>
      <c r="I681" s="802"/>
      <c r="J681" s="802"/>
      <c r="K681" s="802"/>
      <c r="L681" s="802"/>
      <c r="M681" s="802"/>
      <c r="N681" s="802"/>
      <c r="O681" s="802"/>
      <c r="P681" s="802"/>
      <c r="Q681" s="802"/>
      <c r="R681" s="802"/>
      <c r="S681" s="802"/>
      <c r="T681" s="802"/>
      <c r="U681" s="802"/>
      <c r="V681" s="802"/>
      <c r="W681" s="802"/>
      <c r="X681" s="802"/>
      <c r="Y681" s="802"/>
      <c r="Z681" s="802"/>
      <c r="AA681" s="802"/>
      <c r="AB681" s="802"/>
      <c r="AC681" s="802"/>
      <c r="AD681" s="802"/>
      <c r="AE681" s="802"/>
      <c r="AF681" s="802"/>
      <c r="AG681" s="802"/>
      <c r="AH681" s="802"/>
      <c r="AI681" s="802"/>
      <c r="AJ681" s="802"/>
      <c r="AK681" s="802"/>
      <c r="AL681" s="802"/>
      <c r="AM681" s="802"/>
      <c r="AN681" s="802"/>
      <c r="AO681" s="802"/>
      <c r="AP681" s="802"/>
      <c r="AQ681" s="802"/>
      <c r="AR681" s="802"/>
      <c r="AS681" s="802"/>
      <c r="AT681" s="802"/>
      <c r="AU681" s="802"/>
      <c r="AV681" s="802"/>
      <c r="AW681" s="802"/>
      <c r="AX681" s="802"/>
      <c r="AY681" s="802"/>
    </row>
    <row r="682" ht="21.75" customHeight="1">
      <c r="A682" s="802"/>
      <c r="B682" s="802"/>
      <c r="C682" s="802"/>
      <c r="D682" s="802"/>
      <c r="E682" s="802"/>
      <c r="F682" s="802"/>
      <c r="G682" s="802"/>
      <c r="H682" s="802"/>
      <c r="I682" s="802"/>
      <c r="J682" s="802"/>
      <c r="K682" s="802"/>
      <c r="L682" s="802"/>
      <c r="M682" s="802"/>
      <c r="N682" s="802"/>
      <c r="O682" s="802"/>
      <c r="P682" s="802"/>
      <c r="Q682" s="802"/>
      <c r="R682" s="802"/>
      <c r="S682" s="802"/>
      <c r="T682" s="802"/>
      <c r="U682" s="802"/>
      <c r="V682" s="802"/>
      <c r="W682" s="802"/>
      <c r="X682" s="802"/>
      <c r="Y682" s="802"/>
      <c r="Z682" s="802"/>
      <c r="AA682" s="802"/>
      <c r="AB682" s="802"/>
      <c r="AC682" s="802"/>
      <c r="AD682" s="802"/>
      <c r="AE682" s="802"/>
      <c r="AF682" s="802"/>
      <c r="AG682" s="802"/>
      <c r="AH682" s="802"/>
      <c r="AI682" s="802"/>
      <c r="AJ682" s="802"/>
      <c r="AK682" s="802"/>
      <c r="AL682" s="802"/>
      <c r="AM682" s="802"/>
      <c r="AN682" s="802"/>
      <c r="AO682" s="802"/>
      <c r="AP682" s="802"/>
      <c r="AQ682" s="802"/>
      <c r="AR682" s="802"/>
      <c r="AS682" s="802"/>
      <c r="AT682" s="802"/>
      <c r="AU682" s="802"/>
      <c r="AV682" s="802"/>
      <c r="AW682" s="802"/>
      <c r="AX682" s="802"/>
      <c r="AY682" s="802"/>
    </row>
    <row r="683" ht="21.75" customHeight="1">
      <c r="A683" s="802"/>
      <c r="B683" s="802"/>
      <c r="C683" s="802"/>
      <c r="D683" s="802"/>
      <c r="E683" s="802"/>
      <c r="F683" s="802"/>
      <c r="G683" s="802"/>
      <c r="H683" s="802"/>
      <c r="I683" s="802"/>
      <c r="J683" s="802"/>
      <c r="K683" s="802"/>
      <c r="L683" s="802"/>
      <c r="M683" s="802"/>
      <c r="N683" s="802"/>
      <c r="O683" s="802"/>
      <c r="P683" s="802"/>
      <c r="Q683" s="802"/>
      <c r="R683" s="802"/>
      <c r="S683" s="802"/>
      <c r="T683" s="802"/>
      <c r="U683" s="802"/>
      <c r="V683" s="802"/>
      <c r="W683" s="802"/>
      <c r="X683" s="802"/>
      <c r="Y683" s="802"/>
      <c r="Z683" s="802"/>
      <c r="AA683" s="802"/>
      <c r="AB683" s="802"/>
      <c r="AC683" s="802"/>
      <c r="AD683" s="802"/>
      <c r="AE683" s="802"/>
      <c r="AF683" s="802"/>
      <c r="AG683" s="802"/>
      <c r="AH683" s="802"/>
      <c r="AI683" s="802"/>
      <c r="AJ683" s="802"/>
      <c r="AK683" s="802"/>
      <c r="AL683" s="802"/>
      <c r="AM683" s="802"/>
      <c r="AN683" s="802"/>
      <c r="AO683" s="802"/>
      <c r="AP683" s="802"/>
      <c r="AQ683" s="802"/>
      <c r="AR683" s="802"/>
      <c r="AS683" s="802"/>
      <c r="AT683" s="802"/>
      <c r="AU683" s="802"/>
      <c r="AV683" s="802"/>
      <c r="AW683" s="802"/>
      <c r="AX683" s="802"/>
      <c r="AY683" s="802"/>
    </row>
    <row r="684" ht="21.75" customHeight="1">
      <c r="A684" s="802"/>
      <c r="B684" s="802"/>
      <c r="C684" s="802"/>
      <c r="D684" s="802"/>
      <c r="E684" s="802"/>
      <c r="F684" s="802"/>
      <c r="G684" s="802"/>
      <c r="H684" s="802"/>
      <c r="I684" s="802"/>
      <c r="J684" s="802"/>
      <c r="K684" s="802"/>
      <c r="L684" s="802"/>
      <c r="M684" s="802"/>
      <c r="N684" s="802"/>
      <c r="O684" s="802"/>
      <c r="P684" s="802"/>
      <c r="Q684" s="802"/>
      <c r="R684" s="802"/>
      <c r="S684" s="802"/>
      <c r="T684" s="802"/>
      <c r="U684" s="802"/>
      <c r="V684" s="802"/>
      <c r="W684" s="802"/>
      <c r="X684" s="802"/>
      <c r="Y684" s="802"/>
      <c r="Z684" s="802"/>
      <c r="AA684" s="802"/>
      <c r="AB684" s="802"/>
      <c r="AC684" s="802"/>
      <c r="AD684" s="802"/>
      <c r="AE684" s="802"/>
      <c r="AF684" s="802"/>
      <c r="AG684" s="802"/>
      <c r="AH684" s="802"/>
      <c r="AI684" s="802"/>
      <c r="AJ684" s="802"/>
      <c r="AK684" s="802"/>
      <c r="AL684" s="802"/>
      <c r="AM684" s="802"/>
      <c r="AN684" s="802"/>
      <c r="AO684" s="802"/>
      <c r="AP684" s="802"/>
      <c r="AQ684" s="802"/>
      <c r="AR684" s="802"/>
      <c r="AS684" s="802"/>
      <c r="AT684" s="802"/>
      <c r="AU684" s="802"/>
      <c r="AV684" s="802"/>
      <c r="AW684" s="802"/>
      <c r="AX684" s="802"/>
      <c r="AY684" s="802"/>
    </row>
    <row r="685" ht="21.75" customHeight="1">
      <c r="A685" s="802"/>
      <c r="B685" s="802"/>
      <c r="C685" s="802"/>
      <c r="D685" s="802"/>
      <c r="E685" s="802"/>
      <c r="F685" s="802"/>
      <c r="G685" s="802"/>
      <c r="H685" s="802"/>
      <c r="I685" s="802"/>
      <c r="J685" s="802"/>
      <c r="K685" s="802"/>
      <c r="L685" s="802"/>
      <c r="M685" s="802"/>
      <c r="N685" s="802"/>
      <c r="O685" s="802"/>
      <c r="P685" s="802"/>
      <c r="Q685" s="802"/>
      <c r="R685" s="802"/>
      <c r="S685" s="802"/>
      <c r="T685" s="802"/>
      <c r="U685" s="802"/>
      <c r="V685" s="802"/>
      <c r="W685" s="802"/>
      <c r="X685" s="802"/>
      <c r="Y685" s="802"/>
      <c r="Z685" s="802"/>
      <c r="AA685" s="802"/>
      <c r="AB685" s="802"/>
      <c r="AC685" s="802"/>
      <c r="AD685" s="802"/>
      <c r="AE685" s="802"/>
      <c r="AF685" s="802"/>
      <c r="AG685" s="802"/>
      <c r="AH685" s="802"/>
      <c r="AI685" s="802"/>
      <c r="AJ685" s="802"/>
      <c r="AK685" s="802"/>
      <c r="AL685" s="802"/>
      <c r="AM685" s="802"/>
      <c r="AN685" s="802"/>
      <c r="AO685" s="802"/>
      <c r="AP685" s="802"/>
      <c r="AQ685" s="802"/>
      <c r="AR685" s="802"/>
      <c r="AS685" s="802"/>
      <c r="AT685" s="802"/>
      <c r="AU685" s="802"/>
      <c r="AV685" s="802"/>
      <c r="AW685" s="802"/>
      <c r="AX685" s="802"/>
      <c r="AY685" s="802"/>
    </row>
    <row r="686" ht="21.75" customHeight="1">
      <c r="A686" s="802"/>
      <c r="B686" s="802"/>
      <c r="C686" s="802"/>
      <c r="D686" s="802"/>
      <c r="E686" s="802"/>
      <c r="F686" s="802"/>
      <c r="G686" s="802"/>
      <c r="H686" s="802"/>
      <c r="I686" s="802"/>
      <c r="J686" s="802"/>
      <c r="K686" s="802"/>
      <c r="L686" s="802"/>
      <c r="M686" s="802"/>
      <c r="N686" s="802"/>
      <c r="O686" s="802"/>
      <c r="P686" s="802"/>
      <c r="Q686" s="802"/>
      <c r="R686" s="802"/>
      <c r="S686" s="802"/>
      <c r="T686" s="802"/>
      <c r="U686" s="802"/>
      <c r="V686" s="802"/>
      <c r="W686" s="802"/>
      <c r="X686" s="802"/>
      <c r="Y686" s="802"/>
      <c r="Z686" s="802"/>
      <c r="AA686" s="802"/>
      <c r="AB686" s="802"/>
      <c r="AC686" s="802"/>
      <c r="AD686" s="802"/>
      <c r="AE686" s="802"/>
      <c r="AF686" s="802"/>
      <c r="AG686" s="802"/>
      <c r="AH686" s="802"/>
      <c r="AI686" s="802"/>
      <c r="AJ686" s="802"/>
      <c r="AK686" s="802"/>
      <c r="AL686" s="802"/>
      <c r="AM686" s="802"/>
      <c r="AN686" s="802"/>
      <c r="AO686" s="802"/>
      <c r="AP686" s="802"/>
      <c r="AQ686" s="802"/>
      <c r="AR686" s="802"/>
      <c r="AS686" s="802"/>
      <c r="AT686" s="802"/>
      <c r="AU686" s="802"/>
      <c r="AV686" s="802"/>
      <c r="AW686" s="802"/>
      <c r="AX686" s="802"/>
      <c r="AY686" s="802"/>
    </row>
    <row r="687" ht="21.75" customHeight="1">
      <c r="A687" s="802"/>
      <c r="B687" s="802"/>
      <c r="C687" s="802"/>
      <c r="D687" s="802"/>
      <c r="E687" s="802"/>
      <c r="F687" s="802"/>
      <c r="G687" s="802"/>
      <c r="H687" s="802"/>
      <c r="I687" s="802"/>
      <c r="J687" s="802"/>
      <c r="K687" s="802"/>
      <c r="L687" s="802"/>
      <c r="M687" s="802"/>
      <c r="N687" s="802"/>
      <c r="O687" s="802"/>
      <c r="P687" s="802"/>
      <c r="Q687" s="802"/>
      <c r="R687" s="802"/>
      <c r="S687" s="802"/>
      <c r="T687" s="802"/>
      <c r="U687" s="802"/>
      <c r="V687" s="802"/>
      <c r="W687" s="802"/>
      <c r="X687" s="802"/>
      <c r="Y687" s="802"/>
      <c r="Z687" s="802"/>
      <c r="AA687" s="802"/>
      <c r="AB687" s="802"/>
      <c r="AC687" s="802"/>
      <c r="AD687" s="802"/>
      <c r="AE687" s="802"/>
      <c r="AF687" s="802"/>
      <c r="AG687" s="802"/>
      <c r="AH687" s="802"/>
      <c r="AI687" s="802"/>
      <c r="AJ687" s="802"/>
      <c r="AK687" s="802"/>
      <c r="AL687" s="802"/>
      <c r="AM687" s="802"/>
      <c r="AN687" s="802"/>
      <c r="AO687" s="802"/>
      <c r="AP687" s="802"/>
      <c r="AQ687" s="802"/>
      <c r="AR687" s="802"/>
      <c r="AS687" s="802"/>
      <c r="AT687" s="802"/>
      <c r="AU687" s="802"/>
      <c r="AV687" s="802"/>
      <c r="AW687" s="802"/>
      <c r="AX687" s="802"/>
      <c r="AY687" s="802"/>
    </row>
    <row r="688" ht="21.75" customHeight="1">
      <c r="A688" s="802"/>
      <c r="B688" s="802"/>
      <c r="C688" s="802"/>
      <c r="D688" s="802"/>
      <c r="E688" s="802"/>
      <c r="F688" s="802"/>
      <c r="G688" s="802"/>
      <c r="H688" s="802"/>
      <c r="I688" s="802"/>
      <c r="J688" s="802"/>
      <c r="K688" s="802"/>
      <c r="L688" s="802"/>
      <c r="M688" s="802"/>
      <c r="N688" s="802"/>
      <c r="O688" s="802"/>
      <c r="P688" s="802"/>
      <c r="Q688" s="802"/>
      <c r="R688" s="802"/>
      <c r="S688" s="802"/>
      <c r="T688" s="802"/>
      <c r="U688" s="802"/>
      <c r="V688" s="802"/>
      <c r="W688" s="802"/>
      <c r="X688" s="802"/>
      <c r="Y688" s="802"/>
      <c r="Z688" s="802"/>
      <c r="AA688" s="802"/>
      <c r="AB688" s="802"/>
      <c r="AC688" s="802"/>
      <c r="AD688" s="802"/>
      <c r="AE688" s="802"/>
      <c r="AF688" s="802"/>
      <c r="AG688" s="802"/>
      <c r="AH688" s="802"/>
      <c r="AI688" s="802"/>
      <c r="AJ688" s="802"/>
      <c r="AK688" s="802"/>
      <c r="AL688" s="802"/>
      <c r="AM688" s="802"/>
      <c r="AN688" s="802"/>
      <c r="AO688" s="802"/>
      <c r="AP688" s="802"/>
      <c r="AQ688" s="802"/>
      <c r="AR688" s="802"/>
      <c r="AS688" s="802"/>
      <c r="AT688" s="802"/>
      <c r="AU688" s="802"/>
      <c r="AV688" s="802"/>
      <c r="AW688" s="802"/>
      <c r="AX688" s="802"/>
      <c r="AY688" s="802"/>
    </row>
    <row r="689" ht="21.75" customHeight="1">
      <c r="A689" s="802"/>
      <c r="B689" s="802"/>
      <c r="C689" s="802"/>
      <c r="D689" s="802"/>
      <c r="E689" s="802"/>
      <c r="F689" s="802"/>
      <c r="G689" s="802"/>
      <c r="H689" s="802"/>
      <c r="I689" s="802"/>
      <c r="J689" s="802"/>
      <c r="K689" s="802"/>
      <c r="L689" s="802"/>
      <c r="M689" s="802"/>
      <c r="N689" s="802"/>
      <c r="O689" s="802"/>
      <c r="P689" s="802"/>
      <c r="Q689" s="802"/>
      <c r="R689" s="802"/>
      <c r="S689" s="802"/>
      <c r="T689" s="802"/>
      <c r="U689" s="802"/>
      <c r="V689" s="802"/>
      <c r="W689" s="802"/>
      <c r="X689" s="802"/>
      <c r="Y689" s="802"/>
      <c r="Z689" s="802"/>
      <c r="AA689" s="802"/>
      <c r="AB689" s="802"/>
      <c r="AC689" s="802"/>
      <c r="AD689" s="802"/>
      <c r="AE689" s="802"/>
      <c r="AF689" s="802"/>
      <c r="AG689" s="802"/>
      <c r="AH689" s="802"/>
      <c r="AI689" s="802"/>
      <c r="AJ689" s="802"/>
      <c r="AK689" s="802"/>
      <c r="AL689" s="802"/>
      <c r="AM689" s="802"/>
      <c r="AN689" s="802"/>
      <c r="AO689" s="802"/>
      <c r="AP689" s="802"/>
      <c r="AQ689" s="802"/>
      <c r="AR689" s="802"/>
      <c r="AS689" s="802"/>
      <c r="AT689" s="802"/>
      <c r="AU689" s="802"/>
      <c r="AV689" s="802"/>
      <c r="AW689" s="802"/>
      <c r="AX689" s="802"/>
      <c r="AY689" s="802"/>
    </row>
    <row r="690" ht="21.75" customHeight="1">
      <c r="A690" s="802"/>
      <c r="B690" s="802"/>
      <c r="C690" s="802"/>
      <c r="D690" s="802"/>
      <c r="E690" s="802"/>
      <c r="F690" s="802"/>
      <c r="G690" s="802"/>
      <c r="H690" s="802"/>
      <c r="I690" s="802"/>
      <c r="J690" s="802"/>
      <c r="K690" s="802"/>
      <c r="L690" s="802"/>
      <c r="M690" s="802"/>
      <c r="N690" s="802"/>
      <c r="O690" s="802"/>
      <c r="P690" s="802"/>
      <c r="Q690" s="802"/>
      <c r="R690" s="802"/>
      <c r="S690" s="802"/>
      <c r="T690" s="802"/>
      <c r="U690" s="802"/>
      <c r="V690" s="802"/>
      <c r="W690" s="802"/>
      <c r="X690" s="802"/>
      <c r="Y690" s="802"/>
      <c r="Z690" s="802"/>
      <c r="AA690" s="802"/>
      <c r="AB690" s="802"/>
      <c r="AC690" s="802"/>
      <c r="AD690" s="802"/>
      <c r="AE690" s="802"/>
      <c r="AF690" s="802"/>
      <c r="AG690" s="802"/>
      <c r="AH690" s="802"/>
      <c r="AI690" s="802"/>
      <c r="AJ690" s="802"/>
      <c r="AK690" s="802"/>
      <c r="AL690" s="802"/>
      <c r="AM690" s="802"/>
      <c r="AN690" s="802"/>
      <c r="AO690" s="802"/>
      <c r="AP690" s="802"/>
      <c r="AQ690" s="802"/>
      <c r="AR690" s="802"/>
      <c r="AS690" s="802"/>
      <c r="AT690" s="802"/>
      <c r="AU690" s="802"/>
      <c r="AV690" s="802"/>
      <c r="AW690" s="802"/>
      <c r="AX690" s="802"/>
      <c r="AY690" s="802"/>
    </row>
    <row r="691" ht="21.75" customHeight="1">
      <c r="A691" s="802"/>
      <c r="B691" s="802"/>
      <c r="C691" s="802"/>
      <c r="D691" s="802"/>
      <c r="E691" s="802"/>
      <c r="F691" s="802"/>
      <c r="G691" s="802"/>
      <c r="H691" s="802"/>
      <c r="I691" s="802"/>
      <c r="J691" s="802"/>
      <c r="K691" s="802"/>
      <c r="L691" s="802"/>
      <c r="M691" s="802"/>
      <c r="N691" s="802"/>
      <c r="O691" s="802"/>
      <c r="P691" s="802"/>
      <c r="Q691" s="802"/>
      <c r="R691" s="802"/>
      <c r="S691" s="802"/>
      <c r="T691" s="802"/>
      <c r="U691" s="802"/>
      <c r="V691" s="802"/>
      <c r="W691" s="802"/>
      <c r="X691" s="802"/>
      <c r="Y691" s="802"/>
      <c r="Z691" s="802"/>
      <c r="AA691" s="802"/>
      <c r="AB691" s="802"/>
      <c r="AC691" s="802"/>
      <c r="AD691" s="802"/>
      <c r="AE691" s="802"/>
      <c r="AF691" s="802"/>
      <c r="AG691" s="802"/>
      <c r="AH691" s="802"/>
      <c r="AI691" s="802"/>
      <c r="AJ691" s="802"/>
      <c r="AK691" s="802"/>
      <c r="AL691" s="802"/>
      <c r="AM691" s="802"/>
      <c r="AN691" s="802"/>
      <c r="AO691" s="802"/>
      <c r="AP691" s="802"/>
      <c r="AQ691" s="802"/>
      <c r="AR691" s="802"/>
      <c r="AS691" s="802"/>
      <c r="AT691" s="802"/>
      <c r="AU691" s="802"/>
      <c r="AV691" s="802"/>
      <c r="AW691" s="802"/>
      <c r="AX691" s="802"/>
      <c r="AY691" s="802"/>
    </row>
    <row r="692" ht="21.75" customHeight="1">
      <c r="A692" s="802"/>
      <c r="B692" s="802"/>
      <c r="C692" s="802"/>
      <c r="D692" s="802"/>
      <c r="E692" s="802"/>
      <c r="F692" s="802"/>
      <c r="G692" s="802"/>
      <c r="H692" s="802"/>
      <c r="I692" s="802"/>
      <c r="J692" s="802"/>
      <c r="K692" s="802"/>
      <c r="L692" s="802"/>
      <c r="M692" s="802"/>
      <c r="N692" s="802"/>
      <c r="O692" s="802"/>
      <c r="P692" s="802"/>
      <c r="Q692" s="802"/>
      <c r="R692" s="802"/>
      <c r="S692" s="802"/>
      <c r="T692" s="802"/>
      <c r="U692" s="802"/>
      <c r="V692" s="802"/>
      <c r="W692" s="802"/>
      <c r="X692" s="802"/>
      <c r="Y692" s="802"/>
      <c r="Z692" s="802"/>
      <c r="AA692" s="802"/>
      <c r="AB692" s="802"/>
      <c r="AC692" s="802"/>
      <c r="AD692" s="802"/>
      <c r="AE692" s="802"/>
      <c r="AF692" s="802"/>
      <c r="AG692" s="802"/>
      <c r="AH692" s="802"/>
      <c r="AI692" s="802"/>
      <c r="AJ692" s="802"/>
      <c r="AK692" s="802"/>
      <c r="AL692" s="802"/>
      <c r="AM692" s="802"/>
      <c r="AN692" s="802"/>
      <c r="AO692" s="802"/>
      <c r="AP692" s="802"/>
      <c r="AQ692" s="802"/>
      <c r="AR692" s="802"/>
      <c r="AS692" s="802"/>
      <c r="AT692" s="802"/>
      <c r="AU692" s="802"/>
      <c r="AV692" s="802"/>
      <c r="AW692" s="802"/>
      <c r="AX692" s="802"/>
      <c r="AY692" s="802"/>
    </row>
    <row r="693" ht="21.75" customHeight="1">
      <c r="A693" s="802"/>
      <c r="B693" s="802"/>
      <c r="C693" s="802"/>
      <c r="D693" s="802"/>
      <c r="E693" s="802"/>
      <c r="F693" s="802"/>
      <c r="G693" s="802"/>
      <c r="H693" s="802"/>
      <c r="I693" s="802"/>
      <c r="J693" s="802"/>
      <c r="K693" s="802"/>
      <c r="L693" s="802"/>
      <c r="M693" s="802"/>
      <c r="N693" s="802"/>
      <c r="O693" s="802"/>
      <c r="P693" s="802"/>
      <c r="Q693" s="802"/>
      <c r="R693" s="802"/>
      <c r="S693" s="802"/>
      <c r="T693" s="802"/>
      <c r="U693" s="802"/>
      <c r="V693" s="802"/>
      <c r="W693" s="802"/>
      <c r="X693" s="802"/>
      <c r="Y693" s="802"/>
      <c r="Z693" s="802"/>
      <c r="AA693" s="802"/>
      <c r="AB693" s="802"/>
      <c r="AC693" s="802"/>
      <c r="AD693" s="802"/>
      <c r="AE693" s="802"/>
      <c r="AF693" s="802"/>
      <c r="AG693" s="802"/>
      <c r="AH693" s="802"/>
      <c r="AI693" s="802"/>
      <c r="AJ693" s="802"/>
      <c r="AK693" s="802"/>
      <c r="AL693" s="802"/>
      <c r="AM693" s="802"/>
      <c r="AN693" s="802"/>
      <c r="AO693" s="802"/>
      <c r="AP693" s="802"/>
      <c r="AQ693" s="802"/>
      <c r="AR693" s="802"/>
      <c r="AS693" s="802"/>
      <c r="AT693" s="802"/>
      <c r="AU693" s="802"/>
      <c r="AV693" s="802"/>
      <c r="AW693" s="802"/>
      <c r="AX693" s="802"/>
      <c r="AY693" s="802"/>
    </row>
    <row r="694" ht="21.75" customHeight="1">
      <c r="A694" s="802"/>
      <c r="B694" s="802"/>
      <c r="C694" s="802"/>
      <c r="D694" s="802"/>
      <c r="E694" s="802"/>
      <c r="F694" s="802"/>
      <c r="G694" s="802"/>
      <c r="H694" s="802"/>
      <c r="I694" s="802"/>
      <c r="J694" s="802"/>
      <c r="K694" s="802"/>
      <c r="L694" s="802"/>
      <c r="M694" s="802"/>
      <c r="N694" s="802"/>
      <c r="O694" s="802"/>
      <c r="P694" s="802"/>
      <c r="Q694" s="802"/>
      <c r="R694" s="802"/>
      <c r="S694" s="802"/>
      <c r="T694" s="802"/>
      <c r="U694" s="802"/>
      <c r="V694" s="802"/>
      <c r="W694" s="802"/>
      <c r="X694" s="802"/>
      <c r="Y694" s="802"/>
      <c r="Z694" s="802"/>
      <c r="AA694" s="802"/>
      <c r="AB694" s="802"/>
      <c r="AC694" s="802"/>
      <c r="AD694" s="802"/>
      <c r="AE694" s="802"/>
      <c r="AF694" s="802"/>
      <c r="AG694" s="802"/>
      <c r="AH694" s="802"/>
      <c r="AI694" s="802"/>
      <c r="AJ694" s="802"/>
      <c r="AK694" s="802"/>
      <c r="AL694" s="802"/>
      <c r="AM694" s="802"/>
      <c r="AN694" s="802"/>
      <c r="AO694" s="802"/>
      <c r="AP694" s="802"/>
      <c r="AQ694" s="802"/>
      <c r="AR694" s="802"/>
      <c r="AS694" s="802"/>
      <c r="AT694" s="802"/>
      <c r="AU694" s="802"/>
      <c r="AV694" s="802"/>
      <c r="AW694" s="802"/>
      <c r="AX694" s="802"/>
      <c r="AY694" s="802"/>
    </row>
    <row r="695" ht="21.75" customHeight="1">
      <c r="A695" s="802"/>
      <c r="B695" s="802"/>
      <c r="C695" s="802"/>
      <c r="D695" s="802"/>
      <c r="E695" s="802"/>
      <c r="F695" s="802"/>
      <c r="G695" s="802"/>
      <c r="H695" s="802"/>
      <c r="I695" s="802"/>
      <c r="J695" s="802"/>
      <c r="K695" s="802"/>
      <c r="L695" s="802"/>
      <c r="M695" s="802"/>
      <c r="N695" s="802"/>
      <c r="O695" s="802"/>
      <c r="P695" s="802"/>
      <c r="Q695" s="802"/>
      <c r="R695" s="802"/>
      <c r="S695" s="802"/>
      <c r="T695" s="802"/>
      <c r="U695" s="802"/>
      <c r="V695" s="802"/>
      <c r="W695" s="802"/>
      <c r="X695" s="802"/>
      <c r="Y695" s="802"/>
      <c r="Z695" s="802"/>
      <c r="AA695" s="802"/>
      <c r="AB695" s="802"/>
      <c r="AC695" s="802"/>
      <c r="AD695" s="802"/>
      <c r="AE695" s="802"/>
      <c r="AF695" s="802"/>
      <c r="AG695" s="802"/>
      <c r="AH695" s="802"/>
      <c r="AI695" s="802"/>
      <c r="AJ695" s="802"/>
      <c r="AK695" s="802"/>
      <c r="AL695" s="802"/>
      <c r="AM695" s="802"/>
      <c r="AN695" s="802"/>
      <c r="AO695" s="802"/>
      <c r="AP695" s="802"/>
      <c r="AQ695" s="802"/>
      <c r="AR695" s="802"/>
      <c r="AS695" s="802"/>
      <c r="AT695" s="802"/>
      <c r="AU695" s="802"/>
      <c r="AV695" s="802"/>
      <c r="AW695" s="802"/>
      <c r="AX695" s="802"/>
      <c r="AY695" s="802"/>
    </row>
    <row r="696" ht="21.75" customHeight="1">
      <c r="A696" s="802"/>
      <c r="B696" s="802"/>
      <c r="C696" s="802"/>
      <c r="D696" s="802"/>
      <c r="E696" s="802"/>
      <c r="F696" s="802"/>
      <c r="G696" s="802"/>
      <c r="H696" s="802"/>
      <c r="I696" s="802"/>
      <c r="J696" s="802"/>
      <c r="K696" s="802"/>
      <c r="L696" s="802"/>
      <c r="M696" s="802"/>
      <c r="N696" s="802"/>
      <c r="O696" s="802"/>
      <c r="P696" s="802"/>
      <c r="Q696" s="802"/>
      <c r="R696" s="802"/>
      <c r="S696" s="802"/>
      <c r="T696" s="802"/>
      <c r="U696" s="802"/>
      <c r="V696" s="802"/>
      <c r="W696" s="802"/>
      <c r="X696" s="802"/>
      <c r="Y696" s="802"/>
      <c r="Z696" s="802"/>
      <c r="AA696" s="802"/>
      <c r="AB696" s="802"/>
      <c r="AC696" s="802"/>
      <c r="AD696" s="802"/>
      <c r="AE696" s="802"/>
      <c r="AF696" s="802"/>
      <c r="AG696" s="802"/>
      <c r="AH696" s="802"/>
      <c r="AI696" s="802"/>
      <c r="AJ696" s="802"/>
      <c r="AK696" s="802"/>
      <c r="AL696" s="802"/>
      <c r="AM696" s="802"/>
      <c r="AN696" s="802"/>
      <c r="AO696" s="802"/>
      <c r="AP696" s="802"/>
      <c r="AQ696" s="802"/>
      <c r="AR696" s="802"/>
      <c r="AS696" s="802"/>
      <c r="AT696" s="802"/>
      <c r="AU696" s="802"/>
      <c r="AV696" s="802"/>
      <c r="AW696" s="802"/>
      <c r="AX696" s="802"/>
      <c r="AY696" s="802"/>
    </row>
    <row r="697" ht="21.75" customHeight="1">
      <c r="A697" s="802"/>
      <c r="B697" s="802"/>
      <c r="C697" s="802"/>
      <c r="D697" s="802"/>
      <c r="E697" s="802"/>
      <c r="F697" s="802"/>
      <c r="G697" s="802"/>
      <c r="H697" s="802"/>
      <c r="I697" s="802"/>
      <c r="J697" s="802"/>
      <c r="K697" s="802"/>
      <c r="L697" s="802"/>
      <c r="M697" s="802"/>
      <c r="N697" s="802"/>
      <c r="O697" s="802"/>
      <c r="P697" s="802"/>
      <c r="Q697" s="802"/>
      <c r="R697" s="802"/>
      <c r="S697" s="802"/>
      <c r="T697" s="802"/>
      <c r="U697" s="802"/>
      <c r="V697" s="802"/>
      <c r="W697" s="802"/>
      <c r="X697" s="802"/>
      <c r="Y697" s="802"/>
      <c r="Z697" s="802"/>
      <c r="AA697" s="802"/>
      <c r="AB697" s="802"/>
      <c r="AC697" s="802"/>
      <c r="AD697" s="802"/>
      <c r="AE697" s="802"/>
      <c r="AF697" s="802"/>
      <c r="AG697" s="802"/>
      <c r="AH697" s="802"/>
      <c r="AI697" s="802"/>
      <c r="AJ697" s="802"/>
      <c r="AK697" s="802"/>
      <c r="AL697" s="802"/>
      <c r="AM697" s="802"/>
      <c r="AN697" s="802"/>
      <c r="AO697" s="802"/>
      <c r="AP697" s="802"/>
      <c r="AQ697" s="802"/>
      <c r="AR697" s="802"/>
      <c r="AS697" s="802"/>
      <c r="AT697" s="802"/>
      <c r="AU697" s="802"/>
      <c r="AV697" s="802"/>
      <c r="AW697" s="802"/>
      <c r="AX697" s="802"/>
      <c r="AY697" s="802"/>
    </row>
    <row r="698" ht="21.75" customHeight="1">
      <c r="A698" s="802"/>
      <c r="B698" s="802"/>
      <c r="C698" s="802"/>
      <c r="D698" s="802"/>
      <c r="E698" s="802"/>
      <c r="F698" s="802"/>
      <c r="G698" s="802"/>
      <c r="H698" s="802"/>
      <c r="I698" s="802"/>
      <c r="J698" s="802"/>
      <c r="K698" s="802"/>
      <c r="L698" s="802"/>
      <c r="M698" s="802"/>
      <c r="N698" s="802"/>
      <c r="O698" s="802"/>
      <c r="P698" s="802"/>
      <c r="Q698" s="802"/>
      <c r="R698" s="802"/>
      <c r="S698" s="802"/>
      <c r="T698" s="802"/>
      <c r="U698" s="802"/>
      <c r="V698" s="802"/>
      <c r="W698" s="802"/>
      <c r="X698" s="802"/>
      <c r="Y698" s="802"/>
      <c r="Z698" s="802"/>
      <c r="AA698" s="802"/>
      <c r="AB698" s="802"/>
      <c r="AC698" s="802"/>
      <c r="AD698" s="802"/>
      <c r="AE698" s="802"/>
      <c r="AF698" s="802"/>
      <c r="AG698" s="802"/>
      <c r="AH698" s="802"/>
      <c r="AI698" s="802"/>
      <c r="AJ698" s="802"/>
      <c r="AK698" s="802"/>
      <c r="AL698" s="802"/>
      <c r="AM698" s="802"/>
      <c r="AN698" s="802"/>
      <c r="AO698" s="802"/>
      <c r="AP698" s="802"/>
      <c r="AQ698" s="802"/>
      <c r="AR698" s="802"/>
      <c r="AS698" s="802"/>
      <c r="AT698" s="802"/>
      <c r="AU698" s="802"/>
      <c r="AV698" s="802"/>
      <c r="AW698" s="802"/>
      <c r="AX698" s="802"/>
      <c r="AY698" s="802"/>
    </row>
    <row r="699" ht="21.75" customHeight="1">
      <c r="A699" s="802"/>
      <c r="B699" s="802"/>
      <c r="C699" s="802"/>
      <c r="D699" s="802"/>
      <c r="E699" s="802"/>
      <c r="F699" s="802"/>
      <c r="G699" s="802"/>
      <c r="H699" s="802"/>
      <c r="I699" s="802"/>
      <c r="J699" s="802"/>
      <c r="K699" s="802"/>
      <c r="L699" s="802"/>
      <c r="M699" s="802"/>
      <c r="N699" s="802"/>
      <c r="O699" s="802"/>
      <c r="P699" s="802"/>
      <c r="Q699" s="802"/>
      <c r="R699" s="802"/>
      <c r="S699" s="802"/>
      <c r="T699" s="802"/>
      <c r="U699" s="802"/>
      <c r="V699" s="802"/>
      <c r="W699" s="802"/>
      <c r="X699" s="802"/>
      <c r="Y699" s="802"/>
      <c r="Z699" s="802"/>
      <c r="AA699" s="802"/>
      <c r="AB699" s="802"/>
      <c r="AC699" s="802"/>
      <c r="AD699" s="802"/>
      <c r="AE699" s="802"/>
      <c r="AF699" s="802"/>
      <c r="AG699" s="802"/>
      <c r="AH699" s="802"/>
      <c r="AI699" s="802"/>
      <c r="AJ699" s="802"/>
      <c r="AK699" s="802"/>
      <c r="AL699" s="802"/>
      <c r="AM699" s="802"/>
      <c r="AN699" s="802"/>
      <c r="AO699" s="802"/>
      <c r="AP699" s="802"/>
      <c r="AQ699" s="802"/>
      <c r="AR699" s="802"/>
      <c r="AS699" s="802"/>
      <c r="AT699" s="802"/>
      <c r="AU699" s="802"/>
      <c r="AV699" s="802"/>
      <c r="AW699" s="802"/>
      <c r="AX699" s="802"/>
      <c r="AY699" s="802"/>
    </row>
    <row r="700" ht="21.75" customHeight="1">
      <c r="A700" s="802"/>
      <c r="B700" s="802"/>
      <c r="C700" s="802"/>
      <c r="D700" s="802"/>
      <c r="E700" s="802"/>
      <c r="F700" s="802"/>
      <c r="G700" s="802"/>
      <c r="H700" s="802"/>
      <c r="I700" s="802"/>
      <c r="J700" s="802"/>
      <c r="K700" s="802"/>
      <c r="L700" s="802"/>
      <c r="M700" s="802"/>
      <c r="N700" s="802"/>
      <c r="O700" s="802"/>
      <c r="P700" s="802"/>
      <c r="Q700" s="802"/>
      <c r="R700" s="802"/>
      <c r="S700" s="802"/>
      <c r="T700" s="802"/>
      <c r="U700" s="802"/>
      <c r="V700" s="802"/>
      <c r="W700" s="802"/>
      <c r="X700" s="802"/>
      <c r="Y700" s="802"/>
      <c r="Z700" s="802"/>
      <c r="AA700" s="802"/>
      <c r="AB700" s="802"/>
      <c r="AC700" s="802"/>
      <c r="AD700" s="802"/>
      <c r="AE700" s="802"/>
      <c r="AF700" s="802"/>
      <c r="AG700" s="802"/>
      <c r="AH700" s="802"/>
      <c r="AI700" s="802"/>
      <c r="AJ700" s="802"/>
      <c r="AK700" s="802"/>
      <c r="AL700" s="802"/>
      <c r="AM700" s="802"/>
      <c r="AN700" s="802"/>
      <c r="AO700" s="802"/>
      <c r="AP700" s="802"/>
      <c r="AQ700" s="802"/>
      <c r="AR700" s="802"/>
      <c r="AS700" s="802"/>
      <c r="AT700" s="802"/>
      <c r="AU700" s="802"/>
      <c r="AV700" s="802"/>
      <c r="AW700" s="802"/>
      <c r="AX700" s="802"/>
      <c r="AY700" s="802"/>
    </row>
    <row r="701" ht="21.75" customHeight="1">
      <c r="A701" s="802"/>
      <c r="B701" s="802"/>
      <c r="C701" s="802"/>
      <c r="D701" s="802"/>
      <c r="E701" s="802"/>
      <c r="F701" s="802"/>
      <c r="G701" s="802"/>
      <c r="H701" s="802"/>
      <c r="I701" s="802"/>
      <c r="J701" s="802"/>
      <c r="K701" s="802"/>
      <c r="L701" s="802"/>
      <c r="M701" s="802"/>
      <c r="N701" s="802"/>
      <c r="O701" s="802"/>
      <c r="P701" s="802"/>
      <c r="Q701" s="802"/>
      <c r="R701" s="802"/>
      <c r="S701" s="802"/>
      <c r="T701" s="802"/>
      <c r="U701" s="802"/>
      <c r="V701" s="802"/>
      <c r="W701" s="802"/>
      <c r="X701" s="802"/>
      <c r="Y701" s="802"/>
      <c r="Z701" s="802"/>
      <c r="AA701" s="802"/>
      <c r="AB701" s="802"/>
      <c r="AC701" s="802"/>
      <c r="AD701" s="802"/>
      <c r="AE701" s="802"/>
      <c r="AF701" s="802"/>
      <c r="AG701" s="802"/>
      <c r="AH701" s="802"/>
      <c r="AI701" s="802"/>
      <c r="AJ701" s="802"/>
      <c r="AK701" s="802"/>
      <c r="AL701" s="802"/>
      <c r="AM701" s="802"/>
      <c r="AN701" s="802"/>
      <c r="AO701" s="802"/>
      <c r="AP701" s="802"/>
      <c r="AQ701" s="802"/>
      <c r="AR701" s="802"/>
      <c r="AS701" s="802"/>
      <c r="AT701" s="802"/>
      <c r="AU701" s="802"/>
      <c r="AV701" s="802"/>
      <c r="AW701" s="802"/>
      <c r="AX701" s="802"/>
      <c r="AY701" s="802"/>
    </row>
    <row r="702" ht="21.75" customHeight="1">
      <c r="A702" s="802"/>
      <c r="B702" s="802"/>
      <c r="C702" s="802"/>
      <c r="D702" s="802"/>
      <c r="E702" s="802"/>
      <c r="F702" s="802"/>
      <c r="G702" s="802"/>
      <c r="H702" s="802"/>
      <c r="I702" s="802"/>
      <c r="J702" s="802"/>
      <c r="K702" s="802"/>
      <c r="L702" s="802"/>
      <c r="M702" s="802"/>
      <c r="N702" s="802"/>
      <c r="O702" s="802"/>
      <c r="P702" s="802"/>
      <c r="Q702" s="802"/>
      <c r="R702" s="802"/>
      <c r="S702" s="802"/>
      <c r="T702" s="802"/>
      <c r="U702" s="802"/>
      <c r="V702" s="802"/>
      <c r="W702" s="802"/>
      <c r="X702" s="802"/>
      <c r="Y702" s="802"/>
      <c r="Z702" s="802"/>
      <c r="AA702" s="802"/>
      <c r="AB702" s="802"/>
      <c r="AC702" s="802"/>
      <c r="AD702" s="802"/>
      <c r="AE702" s="802"/>
      <c r="AF702" s="802"/>
      <c r="AG702" s="802"/>
      <c r="AH702" s="802"/>
      <c r="AI702" s="802"/>
      <c r="AJ702" s="802"/>
      <c r="AK702" s="802"/>
      <c r="AL702" s="802"/>
      <c r="AM702" s="802"/>
      <c r="AN702" s="802"/>
      <c r="AO702" s="802"/>
      <c r="AP702" s="802"/>
      <c r="AQ702" s="802"/>
      <c r="AR702" s="802"/>
      <c r="AS702" s="802"/>
      <c r="AT702" s="802"/>
      <c r="AU702" s="802"/>
      <c r="AV702" s="802"/>
      <c r="AW702" s="802"/>
      <c r="AX702" s="802"/>
      <c r="AY702" s="802"/>
    </row>
    <row r="703" ht="21.75" customHeight="1">
      <c r="A703" s="802"/>
      <c r="B703" s="802"/>
      <c r="C703" s="802"/>
      <c r="D703" s="802"/>
      <c r="E703" s="802"/>
      <c r="F703" s="802"/>
      <c r="G703" s="802"/>
      <c r="H703" s="802"/>
      <c r="I703" s="802"/>
      <c r="J703" s="802"/>
      <c r="K703" s="802"/>
      <c r="L703" s="802"/>
      <c r="M703" s="802"/>
      <c r="N703" s="802"/>
      <c r="O703" s="802"/>
      <c r="P703" s="802"/>
      <c r="Q703" s="802"/>
      <c r="R703" s="802"/>
      <c r="S703" s="802"/>
      <c r="T703" s="802"/>
      <c r="U703" s="802"/>
      <c r="V703" s="802"/>
      <c r="W703" s="802"/>
      <c r="X703" s="802"/>
      <c r="Y703" s="802"/>
      <c r="Z703" s="802"/>
      <c r="AA703" s="802"/>
      <c r="AB703" s="802"/>
      <c r="AC703" s="802"/>
      <c r="AD703" s="802"/>
      <c r="AE703" s="802"/>
      <c r="AF703" s="802"/>
      <c r="AG703" s="802"/>
      <c r="AH703" s="802"/>
      <c r="AI703" s="802"/>
      <c r="AJ703" s="802"/>
      <c r="AK703" s="802"/>
      <c r="AL703" s="802"/>
      <c r="AM703" s="802"/>
      <c r="AN703" s="802"/>
      <c r="AO703" s="802"/>
      <c r="AP703" s="802"/>
      <c r="AQ703" s="802"/>
      <c r="AR703" s="802"/>
      <c r="AS703" s="802"/>
      <c r="AT703" s="802"/>
      <c r="AU703" s="802"/>
      <c r="AV703" s="802"/>
      <c r="AW703" s="802"/>
      <c r="AX703" s="802"/>
      <c r="AY703" s="802"/>
    </row>
    <row r="704" ht="21.75" customHeight="1">
      <c r="A704" s="802"/>
      <c r="B704" s="802"/>
      <c r="C704" s="802"/>
      <c r="D704" s="802"/>
      <c r="E704" s="802"/>
      <c r="F704" s="802"/>
      <c r="G704" s="802"/>
      <c r="H704" s="802"/>
      <c r="I704" s="802"/>
      <c r="J704" s="802"/>
      <c r="K704" s="802"/>
      <c r="L704" s="802"/>
      <c r="M704" s="802"/>
      <c r="N704" s="802"/>
      <c r="O704" s="802"/>
      <c r="P704" s="802"/>
      <c r="Q704" s="802"/>
      <c r="R704" s="802"/>
      <c r="S704" s="802"/>
      <c r="T704" s="802"/>
      <c r="U704" s="802"/>
      <c r="V704" s="802"/>
      <c r="W704" s="802"/>
      <c r="X704" s="802"/>
      <c r="Y704" s="802"/>
      <c r="Z704" s="802"/>
      <c r="AA704" s="802"/>
      <c r="AB704" s="802"/>
      <c r="AC704" s="802"/>
      <c r="AD704" s="802"/>
      <c r="AE704" s="802"/>
      <c r="AF704" s="802"/>
      <c r="AG704" s="802"/>
      <c r="AH704" s="802"/>
      <c r="AI704" s="802"/>
      <c r="AJ704" s="802"/>
      <c r="AK704" s="802"/>
      <c r="AL704" s="802"/>
      <c r="AM704" s="802"/>
      <c r="AN704" s="802"/>
      <c r="AO704" s="802"/>
      <c r="AP704" s="802"/>
      <c r="AQ704" s="802"/>
      <c r="AR704" s="802"/>
      <c r="AS704" s="802"/>
      <c r="AT704" s="802"/>
      <c r="AU704" s="802"/>
      <c r="AV704" s="802"/>
      <c r="AW704" s="802"/>
      <c r="AX704" s="802"/>
      <c r="AY704" s="802"/>
    </row>
    <row r="705" ht="21.75" customHeight="1">
      <c r="A705" s="802"/>
      <c r="B705" s="802"/>
      <c r="C705" s="802"/>
      <c r="D705" s="802"/>
      <c r="E705" s="802"/>
      <c r="F705" s="802"/>
      <c r="G705" s="802"/>
      <c r="H705" s="802"/>
      <c r="I705" s="802"/>
      <c r="J705" s="802"/>
      <c r="K705" s="802"/>
      <c r="L705" s="802"/>
      <c r="M705" s="802"/>
      <c r="N705" s="802"/>
      <c r="O705" s="802"/>
      <c r="P705" s="802"/>
      <c r="Q705" s="802"/>
      <c r="R705" s="802"/>
      <c r="S705" s="802"/>
      <c r="T705" s="802"/>
      <c r="U705" s="802"/>
      <c r="V705" s="802"/>
      <c r="W705" s="802"/>
      <c r="X705" s="802"/>
      <c r="Y705" s="802"/>
      <c r="Z705" s="802"/>
      <c r="AA705" s="802"/>
      <c r="AB705" s="802"/>
      <c r="AC705" s="802"/>
      <c r="AD705" s="802"/>
      <c r="AE705" s="802"/>
      <c r="AF705" s="802"/>
      <c r="AG705" s="802"/>
      <c r="AH705" s="802"/>
      <c r="AI705" s="802"/>
      <c r="AJ705" s="802"/>
      <c r="AK705" s="802"/>
      <c r="AL705" s="802"/>
      <c r="AM705" s="802"/>
      <c r="AN705" s="802"/>
      <c r="AO705" s="802"/>
      <c r="AP705" s="802"/>
      <c r="AQ705" s="802"/>
      <c r="AR705" s="802"/>
      <c r="AS705" s="802"/>
      <c r="AT705" s="802"/>
      <c r="AU705" s="802"/>
      <c r="AV705" s="802"/>
      <c r="AW705" s="802"/>
      <c r="AX705" s="802"/>
      <c r="AY705" s="802"/>
    </row>
    <row r="706" ht="21.75" customHeight="1">
      <c r="A706" s="802"/>
      <c r="B706" s="802"/>
      <c r="C706" s="802"/>
      <c r="D706" s="802"/>
      <c r="E706" s="802"/>
      <c r="F706" s="802"/>
      <c r="G706" s="802"/>
      <c r="H706" s="802"/>
      <c r="I706" s="802"/>
      <c r="J706" s="802"/>
      <c r="K706" s="802"/>
      <c r="L706" s="802"/>
      <c r="M706" s="802"/>
      <c r="N706" s="802"/>
      <c r="O706" s="802"/>
      <c r="P706" s="802"/>
      <c r="Q706" s="802"/>
      <c r="R706" s="802"/>
      <c r="S706" s="802"/>
      <c r="T706" s="802"/>
      <c r="U706" s="802"/>
      <c r="V706" s="802"/>
      <c r="W706" s="802"/>
      <c r="X706" s="802"/>
      <c r="Y706" s="802"/>
      <c r="Z706" s="802"/>
      <c r="AA706" s="802"/>
      <c r="AB706" s="802"/>
      <c r="AC706" s="802"/>
      <c r="AD706" s="802"/>
      <c r="AE706" s="802"/>
      <c r="AF706" s="802"/>
      <c r="AG706" s="802"/>
      <c r="AH706" s="802"/>
      <c r="AI706" s="802"/>
      <c r="AJ706" s="802"/>
      <c r="AK706" s="802"/>
      <c r="AL706" s="802"/>
      <c r="AM706" s="802"/>
      <c r="AN706" s="802"/>
      <c r="AO706" s="802"/>
      <c r="AP706" s="802"/>
      <c r="AQ706" s="802"/>
      <c r="AR706" s="802"/>
      <c r="AS706" s="802"/>
      <c r="AT706" s="802"/>
      <c r="AU706" s="802"/>
      <c r="AV706" s="802"/>
      <c r="AW706" s="802"/>
      <c r="AX706" s="802"/>
      <c r="AY706" s="802"/>
    </row>
    <row r="707" ht="21.75" customHeight="1">
      <c r="A707" s="802"/>
      <c r="B707" s="802"/>
      <c r="C707" s="802"/>
      <c r="D707" s="802"/>
      <c r="E707" s="802"/>
      <c r="F707" s="802"/>
      <c r="G707" s="802"/>
      <c r="H707" s="802"/>
      <c r="I707" s="802"/>
      <c r="J707" s="802"/>
      <c r="K707" s="802"/>
      <c r="L707" s="802"/>
      <c r="M707" s="802"/>
      <c r="N707" s="802"/>
      <c r="O707" s="802"/>
      <c r="P707" s="802"/>
      <c r="Q707" s="802"/>
      <c r="R707" s="802"/>
      <c r="S707" s="802"/>
      <c r="T707" s="802"/>
      <c r="U707" s="802"/>
      <c r="V707" s="802"/>
      <c r="W707" s="802"/>
      <c r="X707" s="802"/>
      <c r="Y707" s="802"/>
      <c r="Z707" s="802"/>
      <c r="AA707" s="802"/>
      <c r="AB707" s="802"/>
      <c r="AC707" s="802"/>
      <c r="AD707" s="802"/>
      <c r="AE707" s="802"/>
      <c r="AF707" s="802"/>
      <c r="AG707" s="802"/>
      <c r="AH707" s="802"/>
      <c r="AI707" s="802"/>
      <c r="AJ707" s="802"/>
      <c r="AK707" s="802"/>
      <c r="AL707" s="802"/>
      <c r="AM707" s="802"/>
      <c r="AN707" s="802"/>
      <c r="AO707" s="802"/>
      <c r="AP707" s="802"/>
      <c r="AQ707" s="802"/>
      <c r="AR707" s="802"/>
      <c r="AS707" s="802"/>
      <c r="AT707" s="802"/>
      <c r="AU707" s="802"/>
      <c r="AV707" s="802"/>
      <c r="AW707" s="802"/>
      <c r="AX707" s="802"/>
      <c r="AY707" s="802"/>
    </row>
    <row r="708" ht="21.75" customHeight="1">
      <c r="A708" s="802"/>
      <c r="B708" s="802"/>
      <c r="C708" s="802"/>
      <c r="D708" s="802"/>
      <c r="E708" s="802"/>
      <c r="F708" s="802"/>
      <c r="G708" s="802"/>
      <c r="H708" s="802"/>
      <c r="I708" s="802"/>
      <c r="J708" s="802"/>
      <c r="K708" s="802"/>
      <c r="L708" s="802"/>
      <c r="M708" s="802"/>
      <c r="N708" s="802"/>
      <c r="O708" s="802"/>
      <c r="P708" s="802"/>
      <c r="Q708" s="802"/>
      <c r="R708" s="802"/>
      <c r="S708" s="802"/>
      <c r="T708" s="802"/>
      <c r="U708" s="802"/>
      <c r="V708" s="802"/>
      <c r="W708" s="802"/>
      <c r="X708" s="802"/>
      <c r="Y708" s="802"/>
      <c r="Z708" s="802"/>
      <c r="AA708" s="802"/>
      <c r="AB708" s="802"/>
      <c r="AC708" s="802"/>
      <c r="AD708" s="802"/>
      <c r="AE708" s="802"/>
      <c r="AF708" s="802"/>
      <c r="AG708" s="802"/>
      <c r="AH708" s="802"/>
      <c r="AI708" s="802"/>
      <c r="AJ708" s="802"/>
      <c r="AK708" s="802"/>
      <c r="AL708" s="802"/>
      <c r="AM708" s="802"/>
      <c r="AN708" s="802"/>
      <c r="AO708" s="802"/>
      <c r="AP708" s="802"/>
      <c r="AQ708" s="802"/>
      <c r="AR708" s="802"/>
      <c r="AS708" s="802"/>
      <c r="AT708" s="802"/>
      <c r="AU708" s="802"/>
      <c r="AV708" s="802"/>
      <c r="AW708" s="802"/>
      <c r="AX708" s="802"/>
      <c r="AY708" s="802"/>
    </row>
    <row r="709" ht="21.75" customHeight="1">
      <c r="A709" s="802"/>
      <c r="B709" s="802"/>
      <c r="C709" s="802"/>
      <c r="D709" s="802"/>
      <c r="E709" s="802"/>
      <c r="F709" s="802"/>
      <c r="G709" s="802"/>
      <c r="H709" s="802"/>
      <c r="I709" s="802"/>
      <c r="J709" s="802"/>
      <c r="K709" s="802"/>
      <c r="L709" s="802"/>
      <c r="M709" s="802"/>
      <c r="N709" s="802"/>
      <c r="O709" s="802"/>
      <c r="P709" s="802"/>
      <c r="Q709" s="802"/>
      <c r="R709" s="802"/>
      <c r="S709" s="802"/>
      <c r="T709" s="802"/>
      <c r="U709" s="802"/>
      <c r="V709" s="802"/>
      <c r="W709" s="802"/>
      <c r="X709" s="802"/>
      <c r="Y709" s="802"/>
      <c r="Z709" s="802"/>
      <c r="AA709" s="802"/>
      <c r="AB709" s="802"/>
      <c r="AC709" s="802"/>
      <c r="AD709" s="802"/>
      <c r="AE709" s="802"/>
      <c r="AF709" s="802"/>
      <c r="AG709" s="802"/>
      <c r="AH709" s="802"/>
      <c r="AI709" s="802"/>
      <c r="AJ709" s="802"/>
      <c r="AK709" s="802"/>
      <c r="AL709" s="802"/>
      <c r="AM709" s="802"/>
      <c r="AN709" s="802"/>
      <c r="AO709" s="802"/>
      <c r="AP709" s="802"/>
      <c r="AQ709" s="802"/>
      <c r="AR709" s="802"/>
      <c r="AS709" s="802"/>
      <c r="AT709" s="802"/>
      <c r="AU709" s="802"/>
      <c r="AV709" s="802"/>
      <c r="AW709" s="802"/>
      <c r="AX709" s="802"/>
      <c r="AY709" s="802"/>
    </row>
    <row r="710" ht="21.75" customHeight="1">
      <c r="A710" s="802"/>
      <c r="B710" s="802"/>
      <c r="C710" s="802"/>
      <c r="D710" s="802"/>
      <c r="E710" s="802"/>
      <c r="F710" s="802"/>
      <c r="G710" s="802"/>
      <c r="H710" s="802"/>
      <c r="I710" s="802"/>
      <c r="J710" s="802"/>
      <c r="K710" s="802"/>
      <c r="L710" s="802"/>
      <c r="M710" s="802"/>
      <c r="N710" s="802"/>
      <c r="O710" s="802"/>
      <c r="P710" s="802"/>
      <c r="Q710" s="802"/>
      <c r="R710" s="802"/>
      <c r="S710" s="802"/>
      <c r="T710" s="802"/>
      <c r="U710" s="802"/>
      <c r="V710" s="802"/>
      <c r="W710" s="802"/>
      <c r="X710" s="802"/>
      <c r="Y710" s="802"/>
      <c r="Z710" s="802"/>
      <c r="AA710" s="802"/>
      <c r="AB710" s="802"/>
      <c r="AC710" s="802"/>
      <c r="AD710" s="802"/>
      <c r="AE710" s="802"/>
      <c r="AF710" s="802"/>
      <c r="AG710" s="802"/>
      <c r="AH710" s="802"/>
      <c r="AI710" s="802"/>
      <c r="AJ710" s="802"/>
      <c r="AK710" s="802"/>
      <c r="AL710" s="802"/>
      <c r="AM710" s="802"/>
      <c r="AN710" s="802"/>
      <c r="AO710" s="802"/>
      <c r="AP710" s="802"/>
      <c r="AQ710" s="802"/>
      <c r="AR710" s="802"/>
      <c r="AS710" s="802"/>
      <c r="AT710" s="802"/>
      <c r="AU710" s="802"/>
      <c r="AV710" s="802"/>
      <c r="AW710" s="802"/>
      <c r="AX710" s="802"/>
      <c r="AY710" s="802"/>
    </row>
    <row r="711" ht="21.75" customHeight="1">
      <c r="A711" s="802"/>
      <c r="B711" s="802"/>
      <c r="C711" s="802"/>
      <c r="D711" s="802"/>
      <c r="E711" s="802"/>
      <c r="F711" s="802"/>
      <c r="G711" s="802"/>
      <c r="H711" s="802"/>
      <c r="I711" s="802"/>
      <c r="J711" s="802"/>
      <c r="K711" s="802"/>
      <c r="L711" s="802"/>
      <c r="M711" s="802"/>
      <c r="N711" s="802"/>
      <c r="O711" s="802"/>
      <c r="P711" s="802"/>
      <c r="Q711" s="802"/>
      <c r="R711" s="802"/>
      <c r="S711" s="802"/>
      <c r="T711" s="802"/>
      <c r="U711" s="802"/>
      <c r="V711" s="802"/>
      <c r="W711" s="802"/>
      <c r="X711" s="802"/>
      <c r="Y711" s="802"/>
      <c r="Z711" s="802"/>
      <c r="AA711" s="802"/>
      <c r="AB711" s="802"/>
      <c r="AC711" s="802"/>
      <c r="AD711" s="802"/>
      <c r="AE711" s="802"/>
      <c r="AF711" s="802"/>
      <c r="AG711" s="802"/>
      <c r="AH711" s="802"/>
      <c r="AI711" s="802"/>
      <c r="AJ711" s="802"/>
      <c r="AK711" s="802"/>
      <c r="AL711" s="802"/>
      <c r="AM711" s="802"/>
      <c r="AN711" s="802"/>
      <c r="AO711" s="802"/>
      <c r="AP711" s="802"/>
      <c r="AQ711" s="802"/>
      <c r="AR711" s="802"/>
      <c r="AS711" s="802"/>
      <c r="AT711" s="802"/>
      <c r="AU711" s="802"/>
      <c r="AV711" s="802"/>
      <c r="AW711" s="802"/>
      <c r="AX711" s="802"/>
      <c r="AY711" s="802"/>
    </row>
    <row r="712" ht="21.75" customHeight="1">
      <c r="A712" s="802"/>
      <c r="B712" s="802"/>
      <c r="C712" s="802"/>
      <c r="D712" s="802"/>
      <c r="E712" s="802"/>
      <c r="F712" s="802"/>
      <c r="G712" s="802"/>
      <c r="H712" s="802"/>
      <c r="I712" s="802"/>
      <c r="J712" s="802"/>
      <c r="K712" s="802"/>
      <c r="L712" s="802"/>
      <c r="M712" s="802"/>
      <c r="N712" s="802"/>
      <c r="O712" s="802"/>
      <c r="P712" s="802"/>
      <c r="Q712" s="802"/>
      <c r="R712" s="802"/>
      <c r="S712" s="802"/>
      <c r="T712" s="802"/>
      <c r="U712" s="802"/>
      <c r="V712" s="802"/>
      <c r="W712" s="802"/>
      <c r="X712" s="802"/>
      <c r="Y712" s="802"/>
      <c r="Z712" s="802"/>
      <c r="AA712" s="802"/>
      <c r="AB712" s="802"/>
      <c r="AC712" s="802"/>
      <c r="AD712" s="802"/>
      <c r="AE712" s="802"/>
      <c r="AF712" s="802"/>
      <c r="AG712" s="802"/>
      <c r="AH712" s="802"/>
      <c r="AI712" s="802"/>
      <c r="AJ712" s="802"/>
      <c r="AK712" s="802"/>
      <c r="AL712" s="802"/>
      <c r="AM712" s="802"/>
      <c r="AN712" s="802"/>
      <c r="AO712" s="802"/>
      <c r="AP712" s="802"/>
      <c r="AQ712" s="802"/>
      <c r="AR712" s="802"/>
      <c r="AS712" s="802"/>
      <c r="AT712" s="802"/>
      <c r="AU712" s="802"/>
      <c r="AV712" s="802"/>
      <c r="AW712" s="802"/>
      <c r="AX712" s="802"/>
      <c r="AY712" s="802"/>
    </row>
    <row r="713" ht="21.75" customHeight="1">
      <c r="A713" s="802"/>
      <c r="B713" s="802"/>
      <c r="C713" s="802"/>
      <c r="D713" s="802"/>
      <c r="E713" s="802"/>
      <c r="F713" s="802"/>
      <c r="G713" s="802"/>
      <c r="H713" s="802"/>
      <c r="I713" s="802"/>
      <c r="J713" s="802"/>
      <c r="K713" s="802"/>
      <c r="L713" s="802"/>
      <c r="M713" s="802"/>
      <c r="N713" s="802"/>
      <c r="O713" s="802"/>
      <c r="P713" s="802"/>
      <c r="Q713" s="802"/>
      <c r="R713" s="802"/>
      <c r="S713" s="802"/>
      <c r="T713" s="802"/>
      <c r="U713" s="802"/>
      <c r="V713" s="802"/>
      <c r="W713" s="802"/>
      <c r="X713" s="802"/>
      <c r="Y713" s="802"/>
      <c r="Z713" s="802"/>
      <c r="AA713" s="802"/>
      <c r="AB713" s="802"/>
      <c r="AC713" s="802"/>
      <c r="AD713" s="802"/>
      <c r="AE713" s="802"/>
      <c r="AF713" s="802"/>
      <c r="AG713" s="802"/>
      <c r="AH713" s="802"/>
      <c r="AI713" s="802"/>
      <c r="AJ713" s="802"/>
      <c r="AK713" s="802"/>
      <c r="AL713" s="802"/>
      <c r="AM713" s="802"/>
      <c r="AN713" s="802"/>
      <c r="AO713" s="802"/>
      <c r="AP713" s="802"/>
      <c r="AQ713" s="802"/>
      <c r="AR713" s="802"/>
      <c r="AS713" s="802"/>
      <c r="AT713" s="802"/>
      <c r="AU713" s="802"/>
      <c r="AV713" s="802"/>
      <c r="AW713" s="802"/>
      <c r="AX713" s="802"/>
      <c r="AY713" s="802"/>
    </row>
    <row r="714" ht="21.75" customHeight="1">
      <c r="A714" s="802"/>
      <c r="B714" s="802"/>
      <c r="C714" s="802"/>
      <c r="D714" s="802"/>
      <c r="E714" s="802"/>
      <c r="F714" s="802"/>
      <c r="G714" s="802"/>
      <c r="H714" s="802"/>
      <c r="I714" s="802"/>
      <c r="J714" s="802"/>
      <c r="K714" s="802"/>
      <c r="L714" s="802"/>
      <c r="M714" s="802"/>
      <c r="N714" s="802"/>
      <c r="O714" s="802"/>
      <c r="P714" s="802"/>
      <c r="Q714" s="802"/>
      <c r="R714" s="802"/>
      <c r="S714" s="802"/>
      <c r="T714" s="802"/>
      <c r="U714" s="802"/>
      <c r="V714" s="802"/>
      <c r="W714" s="802"/>
      <c r="X714" s="802"/>
      <c r="Y714" s="802"/>
      <c r="Z714" s="802"/>
      <c r="AA714" s="802"/>
      <c r="AB714" s="802"/>
      <c r="AC714" s="802"/>
      <c r="AD714" s="802"/>
      <c r="AE714" s="802"/>
      <c r="AF714" s="802"/>
      <c r="AG714" s="802"/>
      <c r="AH714" s="802"/>
      <c r="AI714" s="802"/>
      <c r="AJ714" s="802"/>
      <c r="AK714" s="802"/>
      <c r="AL714" s="802"/>
      <c r="AM714" s="802"/>
      <c r="AN714" s="802"/>
      <c r="AO714" s="802"/>
      <c r="AP714" s="802"/>
      <c r="AQ714" s="802"/>
      <c r="AR714" s="802"/>
      <c r="AS714" s="802"/>
      <c r="AT714" s="802"/>
      <c r="AU714" s="802"/>
      <c r="AV714" s="802"/>
      <c r="AW714" s="802"/>
      <c r="AX714" s="802"/>
      <c r="AY714" s="802"/>
    </row>
    <row r="715" ht="21.75" customHeight="1">
      <c r="A715" s="802"/>
      <c r="B715" s="802"/>
      <c r="C715" s="802"/>
      <c r="D715" s="802"/>
      <c r="E715" s="802"/>
      <c r="F715" s="802"/>
      <c r="G715" s="802"/>
      <c r="H715" s="802"/>
      <c r="I715" s="802"/>
      <c r="J715" s="802"/>
      <c r="K715" s="802"/>
      <c r="L715" s="802"/>
      <c r="M715" s="802"/>
      <c r="N715" s="802"/>
      <c r="O715" s="802"/>
      <c r="P715" s="802"/>
      <c r="Q715" s="802"/>
      <c r="R715" s="802"/>
      <c r="S715" s="802"/>
      <c r="T715" s="802"/>
      <c r="U715" s="802"/>
      <c r="V715" s="802"/>
      <c r="W715" s="802"/>
      <c r="X715" s="802"/>
      <c r="Y715" s="802"/>
      <c r="Z715" s="802"/>
      <c r="AA715" s="802"/>
      <c r="AB715" s="802"/>
      <c r="AC715" s="802"/>
      <c r="AD715" s="802"/>
      <c r="AE715" s="802"/>
      <c r="AF715" s="802"/>
      <c r="AG715" s="802"/>
      <c r="AH715" s="802"/>
      <c r="AI715" s="802"/>
      <c r="AJ715" s="802"/>
      <c r="AK715" s="802"/>
      <c r="AL715" s="802"/>
      <c r="AM715" s="802"/>
      <c r="AN715" s="802"/>
      <c r="AO715" s="802"/>
      <c r="AP715" s="802"/>
      <c r="AQ715" s="802"/>
      <c r="AR715" s="802"/>
      <c r="AS715" s="802"/>
      <c r="AT715" s="802"/>
      <c r="AU715" s="802"/>
      <c r="AV715" s="802"/>
      <c r="AW715" s="802"/>
      <c r="AX715" s="802"/>
      <c r="AY715" s="802"/>
    </row>
    <row r="716" ht="21.75" customHeight="1">
      <c r="A716" s="802"/>
      <c r="B716" s="802"/>
      <c r="C716" s="802"/>
      <c r="D716" s="802"/>
      <c r="E716" s="802"/>
      <c r="F716" s="802"/>
      <c r="G716" s="802"/>
      <c r="H716" s="802"/>
      <c r="I716" s="802"/>
      <c r="J716" s="802"/>
      <c r="K716" s="802"/>
      <c r="L716" s="802"/>
      <c r="M716" s="802"/>
      <c r="N716" s="802"/>
      <c r="O716" s="802"/>
      <c r="P716" s="802"/>
      <c r="Q716" s="802"/>
      <c r="R716" s="802"/>
      <c r="S716" s="802"/>
      <c r="T716" s="802"/>
      <c r="U716" s="802"/>
      <c r="V716" s="802"/>
      <c r="W716" s="802"/>
      <c r="X716" s="802"/>
      <c r="Y716" s="802"/>
      <c r="Z716" s="802"/>
      <c r="AA716" s="802"/>
      <c r="AB716" s="802"/>
      <c r="AC716" s="802"/>
      <c r="AD716" s="802"/>
      <c r="AE716" s="802"/>
      <c r="AF716" s="802"/>
      <c r="AG716" s="802"/>
      <c r="AH716" s="802"/>
      <c r="AI716" s="802"/>
      <c r="AJ716" s="802"/>
      <c r="AK716" s="802"/>
      <c r="AL716" s="802"/>
      <c r="AM716" s="802"/>
      <c r="AN716" s="802"/>
      <c r="AO716" s="802"/>
      <c r="AP716" s="802"/>
      <c r="AQ716" s="802"/>
      <c r="AR716" s="802"/>
      <c r="AS716" s="802"/>
      <c r="AT716" s="802"/>
      <c r="AU716" s="802"/>
      <c r="AV716" s="802"/>
      <c r="AW716" s="802"/>
      <c r="AX716" s="802"/>
      <c r="AY716" s="802"/>
    </row>
    <row r="717" ht="21.75" customHeight="1">
      <c r="A717" s="802"/>
      <c r="B717" s="802"/>
      <c r="C717" s="802"/>
      <c r="D717" s="802"/>
      <c r="E717" s="802"/>
      <c r="F717" s="802"/>
      <c r="G717" s="802"/>
      <c r="H717" s="802"/>
      <c r="I717" s="802"/>
      <c r="J717" s="802"/>
      <c r="K717" s="802"/>
      <c r="L717" s="802"/>
      <c r="M717" s="802"/>
      <c r="N717" s="802"/>
      <c r="O717" s="802"/>
      <c r="P717" s="802"/>
      <c r="Q717" s="802"/>
      <c r="R717" s="802"/>
      <c r="S717" s="802"/>
      <c r="T717" s="802"/>
      <c r="U717" s="802"/>
      <c r="V717" s="802"/>
      <c r="W717" s="802"/>
      <c r="X717" s="802"/>
      <c r="Y717" s="802"/>
      <c r="Z717" s="802"/>
      <c r="AA717" s="802"/>
      <c r="AB717" s="802"/>
      <c r="AC717" s="802"/>
      <c r="AD717" s="802"/>
      <c r="AE717" s="802"/>
      <c r="AF717" s="802"/>
      <c r="AG717" s="802"/>
      <c r="AH717" s="802"/>
      <c r="AI717" s="802"/>
      <c r="AJ717" s="802"/>
      <c r="AK717" s="802"/>
      <c r="AL717" s="802"/>
      <c r="AM717" s="802"/>
      <c r="AN717" s="802"/>
      <c r="AO717" s="802"/>
      <c r="AP717" s="802"/>
      <c r="AQ717" s="802"/>
      <c r="AR717" s="802"/>
      <c r="AS717" s="802"/>
      <c r="AT717" s="802"/>
      <c r="AU717" s="802"/>
      <c r="AV717" s="802"/>
      <c r="AW717" s="802"/>
      <c r="AX717" s="802"/>
      <c r="AY717" s="802"/>
    </row>
    <row r="718" ht="21.75" customHeight="1">
      <c r="A718" s="802"/>
      <c r="B718" s="802"/>
      <c r="C718" s="802"/>
      <c r="D718" s="802"/>
      <c r="E718" s="802"/>
      <c r="F718" s="802"/>
      <c r="G718" s="802"/>
      <c r="H718" s="802"/>
      <c r="I718" s="802"/>
      <c r="J718" s="802"/>
      <c r="K718" s="802"/>
      <c r="L718" s="802"/>
      <c r="M718" s="802"/>
      <c r="N718" s="802"/>
      <c r="O718" s="802"/>
      <c r="P718" s="802"/>
      <c r="Q718" s="802"/>
      <c r="R718" s="802"/>
      <c r="S718" s="802"/>
      <c r="T718" s="802"/>
      <c r="U718" s="802"/>
      <c r="V718" s="802"/>
      <c r="W718" s="802"/>
      <c r="X718" s="802"/>
      <c r="Y718" s="802"/>
      <c r="Z718" s="802"/>
      <c r="AA718" s="802"/>
      <c r="AB718" s="802"/>
      <c r="AC718" s="802"/>
      <c r="AD718" s="802"/>
      <c r="AE718" s="802"/>
      <c r="AF718" s="802"/>
      <c r="AG718" s="802"/>
      <c r="AH718" s="802"/>
      <c r="AI718" s="802"/>
      <c r="AJ718" s="802"/>
      <c r="AK718" s="802"/>
      <c r="AL718" s="802"/>
      <c r="AM718" s="802"/>
      <c r="AN718" s="802"/>
      <c r="AO718" s="802"/>
      <c r="AP718" s="802"/>
      <c r="AQ718" s="802"/>
      <c r="AR718" s="802"/>
      <c r="AS718" s="802"/>
      <c r="AT718" s="802"/>
      <c r="AU718" s="802"/>
      <c r="AV718" s="802"/>
      <c r="AW718" s="802"/>
      <c r="AX718" s="802"/>
      <c r="AY718" s="802"/>
    </row>
    <row r="719" ht="21.75" customHeight="1">
      <c r="A719" s="802"/>
      <c r="B719" s="802"/>
      <c r="C719" s="802"/>
      <c r="D719" s="802"/>
      <c r="E719" s="802"/>
      <c r="F719" s="802"/>
      <c r="G719" s="802"/>
      <c r="H719" s="802"/>
      <c r="I719" s="802"/>
      <c r="J719" s="802"/>
      <c r="K719" s="802"/>
      <c r="L719" s="802"/>
      <c r="M719" s="802"/>
      <c r="N719" s="802"/>
      <c r="O719" s="802"/>
      <c r="P719" s="802"/>
      <c r="Q719" s="802"/>
      <c r="R719" s="802"/>
      <c r="S719" s="802"/>
      <c r="T719" s="802"/>
      <c r="U719" s="802"/>
      <c r="V719" s="802"/>
      <c r="W719" s="802"/>
      <c r="X719" s="802"/>
      <c r="Y719" s="802"/>
      <c r="Z719" s="802"/>
      <c r="AA719" s="802"/>
      <c r="AB719" s="802"/>
      <c r="AC719" s="802"/>
      <c r="AD719" s="802"/>
      <c r="AE719" s="802"/>
      <c r="AF719" s="802"/>
      <c r="AG719" s="802"/>
      <c r="AH719" s="802"/>
      <c r="AI719" s="802"/>
      <c r="AJ719" s="802"/>
      <c r="AK719" s="802"/>
      <c r="AL719" s="802"/>
      <c r="AM719" s="802"/>
      <c r="AN719" s="802"/>
      <c r="AO719" s="802"/>
      <c r="AP719" s="802"/>
      <c r="AQ719" s="802"/>
      <c r="AR719" s="802"/>
      <c r="AS719" s="802"/>
      <c r="AT719" s="802"/>
      <c r="AU719" s="802"/>
      <c r="AV719" s="802"/>
      <c r="AW719" s="802"/>
      <c r="AX719" s="802"/>
      <c r="AY719" s="802"/>
    </row>
    <row r="720" ht="21.75" customHeight="1">
      <c r="A720" s="802"/>
      <c r="B720" s="802"/>
      <c r="C720" s="802"/>
      <c r="D720" s="802"/>
      <c r="E720" s="802"/>
      <c r="F720" s="802"/>
      <c r="G720" s="802"/>
      <c r="H720" s="802"/>
      <c r="I720" s="802"/>
      <c r="J720" s="802"/>
      <c r="K720" s="802"/>
      <c r="L720" s="802"/>
      <c r="M720" s="802"/>
      <c r="N720" s="802"/>
      <c r="O720" s="802"/>
      <c r="P720" s="802"/>
      <c r="Q720" s="802"/>
      <c r="R720" s="802"/>
      <c r="S720" s="802"/>
      <c r="T720" s="802"/>
      <c r="U720" s="802"/>
      <c r="V720" s="802"/>
      <c r="W720" s="802"/>
      <c r="X720" s="802"/>
      <c r="Y720" s="802"/>
      <c r="Z720" s="802"/>
      <c r="AA720" s="802"/>
      <c r="AB720" s="802"/>
      <c r="AC720" s="802"/>
      <c r="AD720" s="802"/>
      <c r="AE720" s="802"/>
      <c r="AF720" s="802"/>
      <c r="AG720" s="802"/>
      <c r="AH720" s="802"/>
      <c r="AI720" s="802"/>
      <c r="AJ720" s="802"/>
      <c r="AK720" s="802"/>
      <c r="AL720" s="802"/>
      <c r="AM720" s="802"/>
      <c r="AN720" s="802"/>
      <c r="AO720" s="802"/>
      <c r="AP720" s="802"/>
      <c r="AQ720" s="802"/>
      <c r="AR720" s="802"/>
      <c r="AS720" s="802"/>
      <c r="AT720" s="802"/>
      <c r="AU720" s="802"/>
      <c r="AV720" s="802"/>
      <c r="AW720" s="802"/>
      <c r="AX720" s="802"/>
      <c r="AY720" s="802"/>
    </row>
    <row r="721" ht="21.75" customHeight="1">
      <c r="A721" s="802"/>
      <c r="B721" s="802"/>
      <c r="C721" s="802"/>
      <c r="D721" s="802"/>
      <c r="E721" s="802"/>
      <c r="F721" s="802"/>
      <c r="G721" s="802"/>
      <c r="H721" s="802"/>
      <c r="I721" s="802"/>
      <c r="J721" s="802"/>
      <c r="K721" s="802"/>
      <c r="L721" s="802"/>
      <c r="M721" s="802"/>
      <c r="N721" s="802"/>
      <c r="O721" s="802"/>
      <c r="P721" s="802"/>
      <c r="Q721" s="802"/>
      <c r="R721" s="802"/>
      <c r="S721" s="802"/>
      <c r="T721" s="802"/>
      <c r="U721" s="802"/>
      <c r="V721" s="802"/>
      <c r="W721" s="802"/>
      <c r="X721" s="802"/>
      <c r="Y721" s="802"/>
      <c r="Z721" s="802"/>
      <c r="AA721" s="802"/>
      <c r="AB721" s="802"/>
      <c r="AC721" s="802"/>
      <c r="AD721" s="802"/>
      <c r="AE721" s="802"/>
      <c r="AF721" s="802"/>
      <c r="AG721" s="802"/>
      <c r="AH721" s="802"/>
      <c r="AI721" s="802"/>
      <c r="AJ721" s="802"/>
      <c r="AK721" s="802"/>
      <c r="AL721" s="802"/>
      <c r="AM721" s="802"/>
      <c r="AN721" s="802"/>
      <c r="AO721" s="802"/>
      <c r="AP721" s="802"/>
      <c r="AQ721" s="802"/>
      <c r="AR721" s="802"/>
      <c r="AS721" s="802"/>
      <c r="AT721" s="802"/>
      <c r="AU721" s="802"/>
      <c r="AV721" s="802"/>
      <c r="AW721" s="802"/>
      <c r="AX721" s="802"/>
      <c r="AY721" s="802"/>
    </row>
    <row r="722" ht="21.75" customHeight="1">
      <c r="A722" s="802"/>
      <c r="B722" s="802"/>
      <c r="C722" s="802"/>
      <c r="D722" s="802"/>
      <c r="E722" s="802"/>
      <c r="F722" s="802"/>
      <c r="G722" s="802"/>
      <c r="H722" s="802"/>
      <c r="I722" s="802"/>
      <c r="J722" s="802"/>
      <c r="K722" s="802"/>
      <c r="L722" s="802"/>
      <c r="M722" s="802"/>
      <c r="N722" s="802"/>
      <c r="O722" s="802"/>
      <c r="P722" s="802"/>
      <c r="Q722" s="802"/>
      <c r="R722" s="802"/>
      <c r="S722" s="802"/>
      <c r="T722" s="802"/>
      <c r="U722" s="802"/>
      <c r="V722" s="802"/>
      <c r="W722" s="802"/>
      <c r="X722" s="802"/>
      <c r="Y722" s="802"/>
      <c r="Z722" s="802"/>
      <c r="AA722" s="802"/>
      <c r="AB722" s="802"/>
      <c r="AC722" s="802"/>
      <c r="AD722" s="802"/>
      <c r="AE722" s="802"/>
      <c r="AF722" s="802"/>
      <c r="AG722" s="802"/>
      <c r="AH722" s="802"/>
      <c r="AI722" s="802"/>
      <c r="AJ722" s="802"/>
      <c r="AK722" s="802"/>
      <c r="AL722" s="802"/>
      <c r="AM722" s="802"/>
      <c r="AN722" s="802"/>
      <c r="AO722" s="802"/>
      <c r="AP722" s="802"/>
      <c r="AQ722" s="802"/>
      <c r="AR722" s="802"/>
      <c r="AS722" s="802"/>
      <c r="AT722" s="802"/>
      <c r="AU722" s="802"/>
      <c r="AV722" s="802"/>
      <c r="AW722" s="802"/>
      <c r="AX722" s="802"/>
      <c r="AY722" s="802"/>
    </row>
    <row r="723" ht="21.75" customHeight="1">
      <c r="A723" s="802"/>
      <c r="B723" s="802"/>
      <c r="C723" s="802"/>
      <c r="D723" s="802"/>
      <c r="E723" s="802"/>
      <c r="F723" s="802"/>
      <c r="G723" s="802"/>
      <c r="H723" s="802"/>
      <c r="I723" s="802"/>
      <c r="J723" s="802"/>
      <c r="K723" s="802"/>
      <c r="L723" s="802"/>
      <c r="M723" s="802"/>
      <c r="N723" s="802"/>
      <c r="O723" s="802"/>
      <c r="P723" s="802"/>
      <c r="Q723" s="802"/>
      <c r="R723" s="802"/>
      <c r="S723" s="802"/>
      <c r="T723" s="802"/>
      <c r="U723" s="802"/>
      <c r="V723" s="802"/>
      <c r="W723" s="802"/>
      <c r="X723" s="802"/>
      <c r="Y723" s="802"/>
      <c r="Z723" s="802"/>
      <c r="AA723" s="802"/>
      <c r="AB723" s="802"/>
      <c r="AC723" s="802"/>
      <c r="AD723" s="802"/>
      <c r="AE723" s="802"/>
      <c r="AF723" s="802"/>
      <c r="AG723" s="802"/>
      <c r="AH723" s="802"/>
      <c r="AI723" s="802"/>
      <c r="AJ723" s="802"/>
      <c r="AK723" s="802"/>
      <c r="AL723" s="802"/>
      <c r="AM723" s="802"/>
      <c r="AN723" s="802"/>
      <c r="AO723" s="802"/>
      <c r="AP723" s="802"/>
      <c r="AQ723" s="802"/>
      <c r="AR723" s="802"/>
      <c r="AS723" s="802"/>
      <c r="AT723" s="802"/>
      <c r="AU723" s="802"/>
      <c r="AV723" s="802"/>
      <c r="AW723" s="802"/>
      <c r="AX723" s="802"/>
      <c r="AY723" s="802"/>
    </row>
    <row r="724" ht="21.75" customHeight="1">
      <c r="A724" s="802"/>
      <c r="B724" s="802"/>
      <c r="C724" s="802"/>
      <c r="D724" s="802"/>
      <c r="E724" s="802"/>
      <c r="F724" s="802"/>
      <c r="G724" s="802"/>
      <c r="H724" s="802"/>
      <c r="I724" s="802"/>
      <c r="J724" s="802"/>
      <c r="K724" s="802"/>
      <c r="L724" s="802"/>
      <c r="M724" s="802"/>
      <c r="N724" s="802"/>
      <c r="O724" s="802"/>
      <c r="P724" s="802"/>
      <c r="Q724" s="802"/>
      <c r="R724" s="802"/>
      <c r="S724" s="802"/>
      <c r="T724" s="802"/>
      <c r="U724" s="802"/>
      <c r="V724" s="802"/>
      <c r="W724" s="802"/>
      <c r="X724" s="802"/>
      <c r="Y724" s="802"/>
      <c r="Z724" s="802"/>
      <c r="AA724" s="802"/>
      <c r="AB724" s="802"/>
      <c r="AC724" s="802"/>
      <c r="AD724" s="802"/>
      <c r="AE724" s="802"/>
      <c r="AF724" s="802"/>
      <c r="AG724" s="802"/>
      <c r="AH724" s="802"/>
      <c r="AI724" s="802"/>
      <c r="AJ724" s="802"/>
      <c r="AK724" s="802"/>
      <c r="AL724" s="802"/>
      <c r="AM724" s="802"/>
      <c r="AN724" s="802"/>
      <c r="AO724" s="802"/>
      <c r="AP724" s="802"/>
      <c r="AQ724" s="802"/>
      <c r="AR724" s="802"/>
      <c r="AS724" s="802"/>
      <c r="AT724" s="802"/>
      <c r="AU724" s="802"/>
      <c r="AV724" s="802"/>
      <c r="AW724" s="802"/>
      <c r="AX724" s="802"/>
      <c r="AY724" s="802"/>
    </row>
    <row r="725" ht="21.75" customHeight="1">
      <c r="A725" s="802"/>
      <c r="B725" s="802"/>
      <c r="C725" s="802"/>
      <c r="D725" s="802"/>
      <c r="E725" s="802"/>
      <c r="F725" s="802"/>
      <c r="G725" s="802"/>
      <c r="H725" s="802"/>
      <c r="I725" s="802"/>
      <c r="J725" s="802"/>
      <c r="K725" s="802"/>
      <c r="L725" s="802"/>
      <c r="M725" s="802"/>
      <c r="N725" s="802"/>
      <c r="O725" s="802"/>
      <c r="P725" s="802"/>
      <c r="Q725" s="802"/>
      <c r="R725" s="802"/>
      <c r="S725" s="802"/>
      <c r="T725" s="802"/>
      <c r="U725" s="802"/>
      <c r="V725" s="802"/>
      <c r="W725" s="802"/>
      <c r="X725" s="802"/>
      <c r="Y725" s="802"/>
      <c r="Z725" s="802"/>
      <c r="AA725" s="802"/>
      <c r="AB725" s="802"/>
      <c r="AC725" s="802"/>
      <c r="AD725" s="802"/>
      <c r="AE725" s="802"/>
      <c r="AF725" s="802"/>
      <c r="AG725" s="802"/>
      <c r="AH725" s="802"/>
      <c r="AI725" s="802"/>
      <c r="AJ725" s="802"/>
      <c r="AK725" s="802"/>
      <c r="AL725" s="802"/>
      <c r="AM725" s="802"/>
      <c r="AN725" s="802"/>
      <c r="AO725" s="802"/>
      <c r="AP725" s="802"/>
      <c r="AQ725" s="802"/>
      <c r="AR725" s="802"/>
      <c r="AS725" s="802"/>
      <c r="AT725" s="802"/>
      <c r="AU725" s="802"/>
      <c r="AV725" s="802"/>
      <c r="AW725" s="802"/>
      <c r="AX725" s="802"/>
      <c r="AY725" s="802"/>
    </row>
    <row r="726" ht="21.75" customHeight="1">
      <c r="A726" s="802"/>
      <c r="B726" s="802"/>
      <c r="C726" s="802"/>
      <c r="D726" s="802"/>
      <c r="E726" s="802"/>
      <c r="F726" s="802"/>
      <c r="G726" s="802"/>
      <c r="H726" s="802"/>
      <c r="I726" s="802"/>
      <c r="J726" s="802"/>
      <c r="K726" s="802"/>
      <c r="L726" s="802"/>
      <c r="M726" s="802"/>
      <c r="N726" s="802"/>
      <c r="O726" s="802"/>
      <c r="P726" s="802"/>
      <c r="Q726" s="802"/>
      <c r="R726" s="802"/>
      <c r="S726" s="802"/>
      <c r="T726" s="802"/>
      <c r="U726" s="802"/>
      <c r="V726" s="802"/>
      <c r="W726" s="802"/>
      <c r="X726" s="802"/>
      <c r="Y726" s="802"/>
      <c r="Z726" s="802"/>
      <c r="AA726" s="802"/>
      <c r="AB726" s="802"/>
      <c r="AC726" s="802"/>
      <c r="AD726" s="802"/>
      <c r="AE726" s="802"/>
      <c r="AF726" s="802"/>
      <c r="AG726" s="802"/>
      <c r="AH726" s="802"/>
      <c r="AI726" s="802"/>
      <c r="AJ726" s="802"/>
      <c r="AK726" s="802"/>
      <c r="AL726" s="802"/>
      <c r="AM726" s="802"/>
      <c r="AN726" s="802"/>
      <c r="AO726" s="802"/>
      <c r="AP726" s="802"/>
      <c r="AQ726" s="802"/>
      <c r="AR726" s="802"/>
      <c r="AS726" s="802"/>
      <c r="AT726" s="802"/>
      <c r="AU726" s="802"/>
      <c r="AV726" s="802"/>
      <c r="AW726" s="802"/>
      <c r="AX726" s="802"/>
      <c r="AY726" s="802"/>
    </row>
    <row r="727" ht="21.75" customHeight="1">
      <c r="A727" s="802"/>
      <c r="B727" s="802"/>
      <c r="C727" s="802"/>
      <c r="D727" s="802"/>
      <c r="E727" s="802"/>
      <c r="F727" s="802"/>
      <c r="G727" s="802"/>
      <c r="H727" s="802"/>
      <c r="I727" s="802"/>
      <c r="J727" s="802"/>
      <c r="K727" s="802"/>
      <c r="L727" s="802"/>
      <c r="M727" s="802"/>
      <c r="N727" s="802"/>
      <c r="O727" s="802"/>
      <c r="P727" s="802"/>
      <c r="Q727" s="802"/>
      <c r="R727" s="802"/>
      <c r="S727" s="802"/>
      <c r="T727" s="802"/>
      <c r="U727" s="802"/>
      <c r="V727" s="802"/>
      <c r="W727" s="802"/>
      <c r="X727" s="802"/>
      <c r="Y727" s="802"/>
      <c r="Z727" s="802"/>
      <c r="AA727" s="802"/>
      <c r="AB727" s="802"/>
      <c r="AC727" s="802"/>
      <c r="AD727" s="802"/>
      <c r="AE727" s="802"/>
      <c r="AF727" s="802"/>
      <c r="AG727" s="802"/>
      <c r="AH727" s="802"/>
      <c r="AI727" s="802"/>
      <c r="AJ727" s="802"/>
      <c r="AK727" s="802"/>
      <c r="AL727" s="802"/>
      <c r="AM727" s="802"/>
      <c r="AN727" s="802"/>
      <c r="AO727" s="802"/>
      <c r="AP727" s="802"/>
      <c r="AQ727" s="802"/>
      <c r="AR727" s="802"/>
      <c r="AS727" s="802"/>
      <c r="AT727" s="802"/>
      <c r="AU727" s="802"/>
      <c r="AV727" s="802"/>
      <c r="AW727" s="802"/>
      <c r="AX727" s="802"/>
      <c r="AY727" s="802"/>
    </row>
    <row r="728" ht="21.75" customHeight="1">
      <c r="A728" s="802"/>
      <c r="B728" s="802"/>
      <c r="C728" s="802"/>
      <c r="D728" s="802"/>
      <c r="E728" s="802"/>
      <c r="F728" s="802"/>
      <c r="G728" s="802"/>
      <c r="H728" s="802"/>
      <c r="I728" s="802"/>
      <c r="J728" s="802"/>
      <c r="K728" s="802"/>
      <c r="L728" s="802"/>
      <c r="M728" s="802"/>
      <c r="N728" s="802"/>
      <c r="O728" s="802"/>
      <c r="P728" s="802"/>
      <c r="Q728" s="802"/>
      <c r="R728" s="802"/>
      <c r="S728" s="802"/>
      <c r="T728" s="802"/>
      <c r="U728" s="802"/>
      <c r="V728" s="802"/>
      <c r="W728" s="802"/>
      <c r="X728" s="802"/>
      <c r="Y728" s="802"/>
      <c r="Z728" s="802"/>
      <c r="AA728" s="802"/>
      <c r="AB728" s="802"/>
      <c r="AC728" s="802"/>
      <c r="AD728" s="802"/>
      <c r="AE728" s="802"/>
      <c r="AF728" s="802"/>
      <c r="AG728" s="802"/>
      <c r="AH728" s="802"/>
      <c r="AI728" s="802"/>
      <c r="AJ728" s="802"/>
      <c r="AK728" s="802"/>
      <c r="AL728" s="802"/>
      <c r="AM728" s="802"/>
      <c r="AN728" s="802"/>
      <c r="AO728" s="802"/>
      <c r="AP728" s="802"/>
      <c r="AQ728" s="802"/>
      <c r="AR728" s="802"/>
      <c r="AS728" s="802"/>
      <c r="AT728" s="802"/>
      <c r="AU728" s="802"/>
      <c r="AV728" s="802"/>
      <c r="AW728" s="802"/>
      <c r="AX728" s="802"/>
      <c r="AY728" s="802"/>
    </row>
    <row r="729" ht="21.75" customHeight="1">
      <c r="A729" s="802"/>
      <c r="B729" s="802"/>
      <c r="C729" s="802"/>
      <c r="D729" s="802"/>
      <c r="E729" s="802"/>
      <c r="F729" s="802"/>
      <c r="G729" s="802"/>
      <c r="H729" s="802"/>
      <c r="I729" s="802"/>
      <c r="J729" s="802"/>
      <c r="K729" s="802"/>
      <c r="L729" s="802"/>
      <c r="M729" s="802"/>
      <c r="N729" s="802"/>
      <c r="O729" s="802"/>
      <c r="P729" s="802"/>
      <c r="Q729" s="802"/>
      <c r="R729" s="802"/>
      <c r="S729" s="802"/>
      <c r="T729" s="802"/>
      <c r="U729" s="802"/>
      <c r="V729" s="802"/>
      <c r="W729" s="802"/>
      <c r="X729" s="802"/>
      <c r="Y729" s="802"/>
      <c r="Z729" s="802"/>
      <c r="AA729" s="802"/>
      <c r="AB729" s="802"/>
      <c r="AC729" s="802"/>
      <c r="AD729" s="802"/>
      <c r="AE729" s="802"/>
      <c r="AF729" s="802"/>
      <c r="AG729" s="802"/>
      <c r="AH729" s="802"/>
      <c r="AI729" s="802"/>
      <c r="AJ729" s="802"/>
      <c r="AK729" s="802"/>
      <c r="AL729" s="802"/>
      <c r="AM729" s="802"/>
      <c r="AN729" s="802"/>
      <c r="AO729" s="802"/>
      <c r="AP729" s="802"/>
      <c r="AQ729" s="802"/>
      <c r="AR729" s="802"/>
      <c r="AS729" s="802"/>
      <c r="AT729" s="802"/>
      <c r="AU729" s="802"/>
      <c r="AV729" s="802"/>
      <c r="AW729" s="802"/>
      <c r="AX729" s="802"/>
      <c r="AY729" s="802"/>
    </row>
    <row r="730" ht="21.75" customHeight="1">
      <c r="A730" s="802"/>
      <c r="B730" s="802"/>
      <c r="C730" s="802"/>
      <c r="D730" s="802"/>
      <c r="E730" s="802"/>
      <c r="F730" s="802"/>
      <c r="G730" s="802"/>
      <c r="H730" s="802"/>
      <c r="I730" s="802"/>
      <c r="J730" s="802"/>
      <c r="K730" s="802"/>
      <c r="L730" s="802"/>
      <c r="M730" s="802"/>
      <c r="N730" s="802"/>
      <c r="O730" s="802"/>
      <c r="P730" s="802"/>
      <c r="Q730" s="802"/>
      <c r="R730" s="802"/>
      <c r="S730" s="802"/>
      <c r="T730" s="802"/>
      <c r="U730" s="802"/>
      <c r="V730" s="802"/>
      <c r="W730" s="802"/>
      <c r="X730" s="802"/>
      <c r="Y730" s="802"/>
      <c r="Z730" s="802"/>
      <c r="AA730" s="802"/>
      <c r="AB730" s="802"/>
      <c r="AC730" s="802"/>
      <c r="AD730" s="802"/>
      <c r="AE730" s="802"/>
      <c r="AF730" s="802"/>
      <c r="AG730" s="802"/>
      <c r="AH730" s="802"/>
      <c r="AI730" s="802"/>
      <c r="AJ730" s="802"/>
      <c r="AK730" s="802"/>
      <c r="AL730" s="802"/>
      <c r="AM730" s="802"/>
      <c r="AN730" s="802"/>
      <c r="AO730" s="802"/>
      <c r="AP730" s="802"/>
      <c r="AQ730" s="802"/>
      <c r="AR730" s="802"/>
      <c r="AS730" s="802"/>
      <c r="AT730" s="802"/>
      <c r="AU730" s="802"/>
      <c r="AV730" s="802"/>
      <c r="AW730" s="802"/>
      <c r="AX730" s="802"/>
      <c r="AY730" s="802"/>
    </row>
    <row r="731" ht="21.75" customHeight="1">
      <c r="A731" s="802"/>
      <c r="B731" s="802"/>
      <c r="C731" s="802"/>
      <c r="D731" s="802"/>
      <c r="E731" s="802"/>
      <c r="F731" s="802"/>
      <c r="G731" s="802"/>
      <c r="H731" s="802"/>
      <c r="I731" s="802"/>
      <c r="J731" s="802"/>
      <c r="K731" s="802"/>
      <c r="L731" s="802"/>
      <c r="M731" s="802"/>
      <c r="N731" s="802"/>
      <c r="O731" s="802"/>
      <c r="P731" s="802"/>
      <c r="Q731" s="802"/>
      <c r="R731" s="802"/>
      <c r="S731" s="802"/>
      <c r="T731" s="802"/>
      <c r="U731" s="802"/>
      <c r="V731" s="802"/>
      <c r="W731" s="802"/>
      <c r="X731" s="802"/>
      <c r="Y731" s="802"/>
      <c r="Z731" s="802"/>
      <c r="AA731" s="802"/>
      <c r="AB731" s="802"/>
      <c r="AC731" s="802"/>
      <c r="AD731" s="802"/>
      <c r="AE731" s="802"/>
      <c r="AF731" s="802"/>
      <c r="AG731" s="802"/>
      <c r="AH731" s="802"/>
      <c r="AI731" s="802"/>
      <c r="AJ731" s="802"/>
      <c r="AK731" s="802"/>
      <c r="AL731" s="802"/>
      <c r="AM731" s="802"/>
      <c r="AN731" s="802"/>
      <c r="AO731" s="802"/>
      <c r="AP731" s="802"/>
      <c r="AQ731" s="802"/>
      <c r="AR731" s="802"/>
      <c r="AS731" s="802"/>
      <c r="AT731" s="802"/>
      <c r="AU731" s="802"/>
      <c r="AV731" s="802"/>
      <c r="AW731" s="802"/>
      <c r="AX731" s="802"/>
      <c r="AY731" s="802"/>
    </row>
    <row r="732" ht="21.75" customHeight="1">
      <c r="A732" s="802"/>
      <c r="B732" s="802"/>
      <c r="C732" s="802"/>
      <c r="D732" s="802"/>
      <c r="E732" s="802"/>
      <c r="F732" s="802"/>
      <c r="G732" s="802"/>
      <c r="H732" s="802"/>
      <c r="I732" s="802"/>
      <c r="J732" s="802"/>
      <c r="K732" s="802"/>
      <c r="L732" s="802"/>
      <c r="M732" s="802"/>
      <c r="N732" s="802"/>
      <c r="O732" s="802"/>
      <c r="P732" s="802"/>
      <c r="Q732" s="802"/>
      <c r="R732" s="802"/>
      <c r="S732" s="802"/>
      <c r="T732" s="802"/>
      <c r="U732" s="802"/>
      <c r="V732" s="802"/>
      <c r="W732" s="802"/>
      <c r="X732" s="802"/>
      <c r="Y732" s="802"/>
      <c r="Z732" s="802"/>
      <c r="AA732" s="802"/>
      <c r="AB732" s="802"/>
      <c r="AC732" s="802"/>
      <c r="AD732" s="802"/>
      <c r="AE732" s="802"/>
      <c r="AF732" s="802"/>
      <c r="AG732" s="802"/>
      <c r="AH732" s="802"/>
      <c r="AI732" s="802"/>
      <c r="AJ732" s="802"/>
      <c r="AK732" s="802"/>
      <c r="AL732" s="802"/>
      <c r="AM732" s="802"/>
      <c r="AN732" s="802"/>
      <c r="AO732" s="802"/>
      <c r="AP732" s="802"/>
      <c r="AQ732" s="802"/>
      <c r="AR732" s="802"/>
      <c r="AS732" s="802"/>
      <c r="AT732" s="802"/>
      <c r="AU732" s="802"/>
      <c r="AV732" s="802"/>
      <c r="AW732" s="802"/>
      <c r="AX732" s="802"/>
      <c r="AY732" s="802"/>
    </row>
    <row r="733" ht="21.75" customHeight="1">
      <c r="A733" s="802"/>
      <c r="B733" s="802"/>
      <c r="C733" s="802"/>
      <c r="D733" s="802"/>
      <c r="E733" s="802"/>
      <c r="F733" s="802"/>
      <c r="G733" s="802"/>
      <c r="H733" s="802"/>
      <c r="I733" s="802"/>
      <c r="J733" s="802"/>
      <c r="K733" s="802"/>
      <c r="L733" s="802"/>
      <c r="M733" s="802"/>
      <c r="N733" s="802"/>
      <c r="O733" s="802"/>
      <c r="P733" s="802"/>
      <c r="Q733" s="802"/>
      <c r="R733" s="802"/>
      <c r="S733" s="802"/>
      <c r="T733" s="802"/>
      <c r="U733" s="802"/>
      <c r="V733" s="802"/>
      <c r="W733" s="802"/>
      <c r="X733" s="802"/>
      <c r="Y733" s="802"/>
      <c r="Z733" s="802"/>
      <c r="AA733" s="802"/>
      <c r="AB733" s="802"/>
      <c r="AC733" s="802"/>
      <c r="AD733" s="802"/>
      <c r="AE733" s="802"/>
      <c r="AF733" s="802"/>
      <c r="AG733" s="802"/>
      <c r="AH733" s="802"/>
      <c r="AI733" s="802"/>
      <c r="AJ733" s="802"/>
      <c r="AK733" s="802"/>
      <c r="AL733" s="802"/>
      <c r="AM733" s="802"/>
      <c r="AN733" s="802"/>
      <c r="AO733" s="802"/>
      <c r="AP733" s="802"/>
      <c r="AQ733" s="802"/>
      <c r="AR733" s="802"/>
      <c r="AS733" s="802"/>
      <c r="AT733" s="802"/>
      <c r="AU733" s="802"/>
      <c r="AV733" s="802"/>
      <c r="AW733" s="802"/>
      <c r="AX733" s="802"/>
      <c r="AY733" s="802"/>
    </row>
    <row r="734" ht="21.75" customHeight="1">
      <c r="A734" s="802"/>
      <c r="B734" s="802"/>
      <c r="C734" s="802"/>
      <c r="D734" s="802"/>
      <c r="E734" s="802"/>
      <c r="F734" s="802"/>
      <c r="G734" s="802"/>
      <c r="H734" s="802"/>
      <c r="I734" s="802"/>
      <c r="J734" s="802"/>
      <c r="K734" s="802"/>
      <c r="L734" s="802"/>
      <c r="M734" s="802"/>
      <c r="N734" s="802"/>
      <c r="O734" s="802"/>
      <c r="P734" s="802"/>
      <c r="Q734" s="802"/>
      <c r="R734" s="802"/>
      <c r="S734" s="802"/>
      <c r="T734" s="802"/>
      <c r="U734" s="802"/>
      <c r="V734" s="802"/>
      <c r="W734" s="802"/>
      <c r="X734" s="802"/>
      <c r="Y734" s="802"/>
      <c r="Z734" s="802"/>
      <c r="AA734" s="802"/>
      <c r="AB734" s="802"/>
      <c r="AC734" s="802"/>
      <c r="AD734" s="802"/>
      <c r="AE734" s="802"/>
      <c r="AF734" s="802"/>
      <c r="AG734" s="802"/>
      <c r="AH734" s="802"/>
      <c r="AI734" s="802"/>
      <c r="AJ734" s="802"/>
      <c r="AK734" s="802"/>
      <c r="AL734" s="802"/>
      <c r="AM734" s="802"/>
      <c r="AN734" s="802"/>
      <c r="AO734" s="802"/>
      <c r="AP734" s="802"/>
      <c r="AQ734" s="802"/>
      <c r="AR734" s="802"/>
      <c r="AS734" s="802"/>
      <c r="AT734" s="802"/>
      <c r="AU734" s="802"/>
      <c r="AV734" s="802"/>
      <c r="AW734" s="802"/>
      <c r="AX734" s="802"/>
      <c r="AY734" s="802"/>
    </row>
    <row r="735" ht="21.75" customHeight="1">
      <c r="A735" s="802"/>
      <c r="B735" s="802"/>
      <c r="C735" s="802"/>
      <c r="D735" s="802"/>
      <c r="E735" s="802"/>
      <c r="F735" s="802"/>
      <c r="G735" s="802"/>
      <c r="H735" s="802"/>
      <c r="I735" s="802"/>
      <c r="J735" s="802"/>
      <c r="K735" s="802"/>
      <c r="L735" s="802"/>
      <c r="M735" s="802"/>
      <c r="N735" s="802"/>
      <c r="O735" s="802"/>
      <c r="P735" s="802"/>
      <c r="Q735" s="802"/>
      <c r="R735" s="802"/>
      <c r="S735" s="802"/>
      <c r="T735" s="802"/>
      <c r="U735" s="802"/>
      <c r="V735" s="802"/>
      <c r="W735" s="802"/>
      <c r="X735" s="802"/>
      <c r="Y735" s="802"/>
      <c r="Z735" s="802"/>
      <c r="AA735" s="802"/>
      <c r="AB735" s="802"/>
      <c r="AC735" s="802"/>
      <c r="AD735" s="802"/>
      <c r="AE735" s="802"/>
      <c r="AF735" s="802"/>
      <c r="AG735" s="802"/>
      <c r="AH735" s="802"/>
      <c r="AI735" s="802"/>
      <c r="AJ735" s="802"/>
      <c r="AK735" s="802"/>
      <c r="AL735" s="802"/>
      <c r="AM735" s="802"/>
      <c r="AN735" s="802"/>
      <c r="AO735" s="802"/>
      <c r="AP735" s="802"/>
      <c r="AQ735" s="802"/>
      <c r="AR735" s="802"/>
      <c r="AS735" s="802"/>
      <c r="AT735" s="802"/>
      <c r="AU735" s="802"/>
      <c r="AV735" s="802"/>
      <c r="AW735" s="802"/>
      <c r="AX735" s="802"/>
      <c r="AY735" s="802"/>
    </row>
    <row r="736" ht="21.75" customHeight="1">
      <c r="A736" s="802"/>
      <c r="B736" s="802"/>
      <c r="C736" s="802"/>
      <c r="D736" s="802"/>
      <c r="E736" s="802"/>
      <c r="F736" s="802"/>
      <c r="G736" s="802"/>
      <c r="H736" s="802"/>
      <c r="I736" s="802"/>
      <c r="J736" s="802"/>
      <c r="K736" s="802"/>
      <c r="L736" s="802"/>
      <c r="M736" s="802"/>
      <c r="N736" s="802"/>
      <c r="O736" s="802"/>
      <c r="P736" s="802"/>
      <c r="Q736" s="802"/>
      <c r="R736" s="802"/>
      <c r="S736" s="802"/>
      <c r="T736" s="802"/>
      <c r="U736" s="802"/>
      <c r="V736" s="802"/>
      <c r="W736" s="802"/>
      <c r="X736" s="802"/>
      <c r="Y736" s="802"/>
      <c r="Z736" s="802"/>
      <c r="AA736" s="802"/>
      <c r="AB736" s="802"/>
      <c r="AC736" s="802"/>
      <c r="AD736" s="802"/>
      <c r="AE736" s="802"/>
      <c r="AF736" s="802"/>
      <c r="AG736" s="802"/>
      <c r="AH736" s="802"/>
      <c r="AI736" s="802"/>
      <c r="AJ736" s="802"/>
      <c r="AK736" s="802"/>
      <c r="AL736" s="802"/>
      <c r="AM736" s="802"/>
      <c r="AN736" s="802"/>
      <c r="AO736" s="802"/>
      <c r="AP736" s="802"/>
      <c r="AQ736" s="802"/>
      <c r="AR736" s="802"/>
      <c r="AS736" s="802"/>
      <c r="AT736" s="802"/>
      <c r="AU736" s="802"/>
      <c r="AV736" s="802"/>
      <c r="AW736" s="802"/>
      <c r="AX736" s="802"/>
      <c r="AY736" s="802"/>
    </row>
    <row r="737" ht="21.75" customHeight="1">
      <c r="A737" s="802"/>
      <c r="B737" s="802"/>
      <c r="C737" s="802"/>
      <c r="D737" s="802"/>
      <c r="E737" s="802"/>
      <c r="F737" s="802"/>
      <c r="G737" s="802"/>
      <c r="H737" s="802"/>
      <c r="I737" s="802"/>
      <c r="J737" s="802"/>
      <c r="K737" s="802"/>
      <c r="L737" s="802"/>
      <c r="M737" s="802"/>
      <c r="N737" s="802"/>
      <c r="O737" s="802"/>
      <c r="P737" s="802"/>
      <c r="Q737" s="802"/>
      <c r="R737" s="802"/>
      <c r="S737" s="802"/>
      <c r="T737" s="802"/>
      <c r="U737" s="802"/>
      <c r="V737" s="802"/>
      <c r="W737" s="802"/>
      <c r="X737" s="802"/>
      <c r="Y737" s="802"/>
      <c r="Z737" s="802"/>
      <c r="AA737" s="802"/>
      <c r="AB737" s="802"/>
      <c r="AC737" s="802"/>
      <c r="AD737" s="802"/>
      <c r="AE737" s="802"/>
      <c r="AF737" s="802"/>
      <c r="AG737" s="802"/>
      <c r="AH737" s="802"/>
      <c r="AI737" s="802"/>
      <c r="AJ737" s="802"/>
      <c r="AK737" s="802"/>
      <c r="AL737" s="802"/>
      <c r="AM737" s="802"/>
      <c r="AN737" s="802"/>
      <c r="AO737" s="802"/>
      <c r="AP737" s="802"/>
      <c r="AQ737" s="802"/>
      <c r="AR737" s="802"/>
      <c r="AS737" s="802"/>
      <c r="AT737" s="802"/>
      <c r="AU737" s="802"/>
      <c r="AV737" s="802"/>
      <c r="AW737" s="802"/>
      <c r="AX737" s="802"/>
      <c r="AY737" s="802"/>
    </row>
    <row r="738" ht="21.75" customHeight="1">
      <c r="A738" s="802"/>
      <c r="B738" s="802"/>
      <c r="C738" s="802"/>
      <c r="D738" s="802"/>
      <c r="E738" s="802"/>
      <c r="F738" s="802"/>
      <c r="G738" s="802"/>
      <c r="H738" s="802"/>
      <c r="I738" s="802"/>
      <c r="J738" s="802"/>
      <c r="K738" s="802"/>
      <c r="L738" s="802"/>
      <c r="M738" s="802"/>
      <c r="N738" s="802"/>
      <c r="O738" s="802"/>
      <c r="P738" s="802"/>
      <c r="Q738" s="802"/>
      <c r="R738" s="802"/>
      <c r="S738" s="802"/>
      <c r="T738" s="802"/>
      <c r="U738" s="802"/>
      <c r="V738" s="802"/>
      <c r="W738" s="802"/>
      <c r="X738" s="802"/>
      <c r="Y738" s="802"/>
      <c r="Z738" s="802"/>
      <c r="AA738" s="802"/>
      <c r="AB738" s="802"/>
      <c r="AC738" s="802"/>
      <c r="AD738" s="802"/>
      <c r="AE738" s="802"/>
      <c r="AF738" s="802"/>
      <c r="AG738" s="802"/>
      <c r="AH738" s="802"/>
      <c r="AI738" s="802"/>
      <c r="AJ738" s="802"/>
      <c r="AK738" s="802"/>
      <c r="AL738" s="802"/>
      <c r="AM738" s="802"/>
      <c r="AN738" s="802"/>
      <c r="AO738" s="802"/>
      <c r="AP738" s="802"/>
      <c r="AQ738" s="802"/>
      <c r="AR738" s="802"/>
      <c r="AS738" s="802"/>
      <c r="AT738" s="802"/>
      <c r="AU738" s="802"/>
      <c r="AV738" s="802"/>
      <c r="AW738" s="802"/>
      <c r="AX738" s="802"/>
      <c r="AY738" s="802"/>
    </row>
    <row r="739" ht="21.75" customHeight="1">
      <c r="A739" s="802"/>
      <c r="B739" s="802"/>
      <c r="C739" s="802"/>
      <c r="D739" s="802"/>
      <c r="E739" s="802"/>
      <c r="F739" s="802"/>
      <c r="G739" s="802"/>
      <c r="H739" s="802"/>
      <c r="I739" s="802"/>
      <c r="J739" s="802"/>
      <c r="K739" s="802"/>
      <c r="L739" s="802"/>
      <c r="M739" s="802"/>
      <c r="N739" s="802"/>
      <c r="O739" s="802"/>
      <c r="P739" s="802"/>
      <c r="Q739" s="802"/>
      <c r="R739" s="802"/>
      <c r="S739" s="802"/>
      <c r="T739" s="802"/>
      <c r="U739" s="802"/>
      <c r="V739" s="802"/>
      <c r="W739" s="802"/>
      <c r="X739" s="802"/>
      <c r="Y739" s="802"/>
      <c r="Z739" s="802"/>
      <c r="AA739" s="802"/>
      <c r="AB739" s="802"/>
      <c r="AC739" s="802"/>
      <c r="AD739" s="802"/>
      <c r="AE739" s="802"/>
      <c r="AF739" s="802"/>
      <c r="AG739" s="802"/>
      <c r="AH739" s="802"/>
      <c r="AI739" s="802"/>
      <c r="AJ739" s="802"/>
      <c r="AK739" s="802"/>
      <c r="AL739" s="802"/>
      <c r="AM739" s="802"/>
      <c r="AN739" s="802"/>
      <c r="AO739" s="802"/>
      <c r="AP739" s="802"/>
      <c r="AQ739" s="802"/>
      <c r="AR739" s="802"/>
      <c r="AS739" s="802"/>
      <c r="AT739" s="802"/>
      <c r="AU739" s="802"/>
      <c r="AV739" s="802"/>
      <c r="AW739" s="802"/>
      <c r="AX739" s="802"/>
      <c r="AY739" s="802"/>
    </row>
    <row r="740" ht="21.75" customHeight="1">
      <c r="A740" s="802"/>
      <c r="B740" s="802"/>
      <c r="C740" s="802"/>
      <c r="D740" s="802"/>
      <c r="E740" s="802"/>
      <c r="F740" s="802"/>
      <c r="G740" s="802"/>
      <c r="H740" s="802"/>
      <c r="I740" s="802"/>
      <c r="J740" s="802"/>
      <c r="K740" s="802"/>
      <c r="L740" s="802"/>
      <c r="M740" s="802"/>
      <c r="N740" s="802"/>
      <c r="O740" s="802"/>
      <c r="P740" s="802"/>
      <c r="Q740" s="802"/>
      <c r="R740" s="802"/>
      <c r="S740" s="802"/>
      <c r="T740" s="802"/>
      <c r="U740" s="802"/>
      <c r="V740" s="802"/>
      <c r="W740" s="802"/>
      <c r="X740" s="802"/>
      <c r="Y740" s="802"/>
      <c r="Z740" s="802"/>
      <c r="AA740" s="802"/>
      <c r="AB740" s="802"/>
      <c r="AC740" s="802"/>
      <c r="AD740" s="802"/>
      <c r="AE740" s="802"/>
      <c r="AF740" s="802"/>
      <c r="AG740" s="802"/>
      <c r="AH740" s="802"/>
      <c r="AI740" s="802"/>
      <c r="AJ740" s="802"/>
      <c r="AK740" s="802"/>
      <c r="AL740" s="802"/>
      <c r="AM740" s="802"/>
      <c r="AN740" s="802"/>
      <c r="AO740" s="802"/>
      <c r="AP740" s="802"/>
      <c r="AQ740" s="802"/>
      <c r="AR740" s="802"/>
      <c r="AS740" s="802"/>
      <c r="AT740" s="802"/>
      <c r="AU740" s="802"/>
      <c r="AV740" s="802"/>
      <c r="AW740" s="802"/>
      <c r="AX740" s="802"/>
      <c r="AY740" s="802"/>
    </row>
    <row r="741" ht="21.75" customHeight="1">
      <c r="A741" s="802"/>
      <c r="B741" s="802"/>
      <c r="C741" s="802"/>
      <c r="D741" s="802"/>
      <c r="E741" s="802"/>
      <c r="F741" s="802"/>
      <c r="G741" s="802"/>
      <c r="H741" s="802"/>
      <c r="I741" s="802"/>
      <c r="J741" s="802"/>
      <c r="K741" s="802"/>
      <c r="L741" s="802"/>
      <c r="M741" s="802"/>
      <c r="N741" s="802"/>
      <c r="O741" s="802"/>
      <c r="P741" s="802"/>
      <c r="Q741" s="802"/>
      <c r="R741" s="802"/>
      <c r="S741" s="802"/>
      <c r="T741" s="802"/>
      <c r="U741" s="802"/>
      <c r="V741" s="802"/>
      <c r="W741" s="802"/>
      <c r="X741" s="802"/>
      <c r="Y741" s="802"/>
      <c r="Z741" s="802"/>
      <c r="AA741" s="802"/>
      <c r="AB741" s="802"/>
      <c r="AC741" s="802"/>
      <c r="AD741" s="802"/>
      <c r="AE741" s="802"/>
      <c r="AF741" s="802"/>
      <c r="AG741" s="802"/>
      <c r="AH741" s="802"/>
      <c r="AI741" s="802"/>
      <c r="AJ741" s="802"/>
      <c r="AK741" s="802"/>
      <c r="AL741" s="802"/>
      <c r="AM741" s="802"/>
      <c r="AN741" s="802"/>
      <c r="AO741" s="802"/>
      <c r="AP741" s="802"/>
      <c r="AQ741" s="802"/>
      <c r="AR741" s="802"/>
      <c r="AS741" s="802"/>
      <c r="AT741" s="802"/>
      <c r="AU741" s="802"/>
      <c r="AV741" s="802"/>
      <c r="AW741" s="802"/>
      <c r="AX741" s="802"/>
      <c r="AY741" s="802"/>
    </row>
    <row r="742" ht="21.75" customHeight="1">
      <c r="A742" s="802"/>
      <c r="B742" s="802"/>
      <c r="C742" s="802"/>
      <c r="D742" s="802"/>
      <c r="E742" s="802"/>
      <c r="F742" s="802"/>
      <c r="G742" s="802"/>
      <c r="H742" s="802"/>
      <c r="I742" s="802"/>
      <c r="J742" s="802"/>
      <c r="K742" s="802"/>
      <c r="L742" s="802"/>
      <c r="M742" s="802"/>
      <c r="N742" s="802"/>
      <c r="O742" s="802"/>
      <c r="P742" s="802"/>
      <c r="Q742" s="802"/>
      <c r="R742" s="802"/>
      <c r="S742" s="802"/>
      <c r="T742" s="802"/>
      <c r="U742" s="802"/>
      <c r="V742" s="802"/>
      <c r="W742" s="802"/>
      <c r="X742" s="802"/>
      <c r="Y742" s="802"/>
      <c r="Z742" s="802"/>
      <c r="AA742" s="802"/>
      <c r="AB742" s="802"/>
      <c r="AC742" s="802"/>
      <c r="AD742" s="802"/>
      <c r="AE742" s="802"/>
      <c r="AF742" s="802"/>
      <c r="AG742" s="802"/>
      <c r="AH742" s="802"/>
      <c r="AI742" s="802"/>
      <c r="AJ742" s="802"/>
      <c r="AK742" s="802"/>
      <c r="AL742" s="802"/>
      <c r="AM742" s="802"/>
      <c r="AN742" s="802"/>
      <c r="AO742" s="802"/>
      <c r="AP742" s="802"/>
      <c r="AQ742" s="802"/>
      <c r="AR742" s="802"/>
      <c r="AS742" s="802"/>
      <c r="AT742" s="802"/>
      <c r="AU742" s="802"/>
      <c r="AV742" s="802"/>
      <c r="AW742" s="802"/>
      <c r="AX742" s="802"/>
      <c r="AY742" s="802"/>
    </row>
    <row r="743" ht="21.75" customHeight="1">
      <c r="A743" s="802"/>
      <c r="B743" s="802"/>
      <c r="C743" s="802"/>
      <c r="D743" s="802"/>
      <c r="E743" s="802"/>
      <c r="F743" s="802"/>
      <c r="G743" s="802"/>
      <c r="H743" s="802"/>
      <c r="I743" s="802"/>
      <c r="J743" s="802"/>
      <c r="K743" s="802"/>
      <c r="L743" s="802"/>
      <c r="M743" s="802"/>
      <c r="N743" s="802"/>
      <c r="O743" s="802"/>
      <c r="P743" s="802"/>
      <c r="Q743" s="802"/>
      <c r="R743" s="802"/>
      <c r="S743" s="802"/>
      <c r="T743" s="802"/>
      <c r="U743" s="802"/>
      <c r="V743" s="802"/>
      <c r="W743" s="802"/>
      <c r="X743" s="802"/>
      <c r="Y743" s="802"/>
      <c r="Z743" s="802"/>
      <c r="AA743" s="802"/>
      <c r="AB743" s="802"/>
      <c r="AC743" s="802"/>
      <c r="AD743" s="802"/>
      <c r="AE743" s="802"/>
      <c r="AF743" s="802"/>
      <c r="AG743" s="802"/>
      <c r="AH743" s="802"/>
      <c r="AI743" s="802"/>
      <c r="AJ743" s="802"/>
      <c r="AK743" s="802"/>
      <c r="AL743" s="802"/>
      <c r="AM743" s="802"/>
      <c r="AN743" s="802"/>
      <c r="AO743" s="802"/>
      <c r="AP743" s="802"/>
      <c r="AQ743" s="802"/>
      <c r="AR743" s="802"/>
      <c r="AS743" s="802"/>
      <c r="AT743" s="802"/>
      <c r="AU743" s="802"/>
      <c r="AV743" s="802"/>
      <c r="AW743" s="802"/>
      <c r="AX743" s="802"/>
      <c r="AY743" s="802"/>
    </row>
    <row r="744" ht="21.75" customHeight="1">
      <c r="A744" s="802"/>
      <c r="B744" s="802"/>
      <c r="C744" s="802"/>
      <c r="D744" s="802"/>
      <c r="E744" s="802"/>
      <c r="F744" s="802"/>
      <c r="G744" s="802"/>
      <c r="H744" s="802"/>
      <c r="I744" s="802"/>
      <c r="J744" s="802"/>
      <c r="K744" s="802"/>
      <c r="L744" s="802"/>
      <c r="M744" s="802"/>
      <c r="N744" s="802"/>
      <c r="O744" s="802"/>
      <c r="P744" s="802"/>
      <c r="Q744" s="802"/>
      <c r="R744" s="802"/>
      <c r="S744" s="802"/>
      <c r="T744" s="802"/>
      <c r="U744" s="802"/>
      <c r="V744" s="802"/>
      <c r="W744" s="802"/>
      <c r="X744" s="802"/>
      <c r="Y744" s="802"/>
      <c r="Z744" s="802"/>
      <c r="AA744" s="802"/>
      <c r="AB744" s="802"/>
      <c r="AC744" s="802"/>
      <c r="AD744" s="802"/>
      <c r="AE744" s="802"/>
      <c r="AF744" s="802"/>
      <c r="AG744" s="802"/>
      <c r="AH744" s="802"/>
      <c r="AI744" s="802"/>
      <c r="AJ744" s="802"/>
      <c r="AK744" s="802"/>
      <c r="AL744" s="802"/>
      <c r="AM744" s="802"/>
      <c r="AN744" s="802"/>
      <c r="AO744" s="802"/>
      <c r="AP744" s="802"/>
      <c r="AQ744" s="802"/>
      <c r="AR744" s="802"/>
      <c r="AS744" s="802"/>
      <c r="AT744" s="802"/>
      <c r="AU744" s="802"/>
      <c r="AV744" s="802"/>
      <c r="AW744" s="802"/>
      <c r="AX744" s="802"/>
      <c r="AY744" s="802"/>
    </row>
    <row r="745" ht="21.75" customHeight="1">
      <c r="A745" s="802"/>
      <c r="B745" s="802"/>
      <c r="C745" s="802"/>
      <c r="D745" s="802"/>
      <c r="E745" s="802"/>
      <c r="F745" s="802"/>
      <c r="G745" s="802"/>
      <c r="H745" s="802"/>
      <c r="I745" s="802"/>
      <c r="J745" s="802"/>
      <c r="K745" s="802"/>
      <c r="L745" s="802"/>
      <c r="M745" s="802"/>
      <c r="N745" s="802"/>
      <c r="O745" s="802"/>
      <c r="P745" s="802"/>
      <c r="Q745" s="802"/>
      <c r="R745" s="802"/>
      <c r="S745" s="802"/>
      <c r="T745" s="802"/>
      <c r="U745" s="802"/>
      <c r="V745" s="802"/>
      <c r="W745" s="802"/>
      <c r="X745" s="802"/>
      <c r="Y745" s="802"/>
      <c r="Z745" s="802"/>
      <c r="AA745" s="802"/>
      <c r="AB745" s="802"/>
      <c r="AC745" s="802"/>
      <c r="AD745" s="802"/>
      <c r="AE745" s="802"/>
      <c r="AF745" s="802"/>
      <c r="AG745" s="802"/>
      <c r="AH745" s="802"/>
      <c r="AI745" s="802"/>
      <c r="AJ745" s="802"/>
      <c r="AK745" s="802"/>
      <c r="AL745" s="802"/>
      <c r="AM745" s="802"/>
      <c r="AN745" s="802"/>
      <c r="AO745" s="802"/>
      <c r="AP745" s="802"/>
      <c r="AQ745" s="802"/>
      <c r="AR745" s="802"/>
      <c r="AS745" s="802"/>
      <c r="AT745" s="802"/>
      <c r="AU745" s="802"/>
      <c r="AV745" s="802"/>
      <c r="AW745" s="802"/>
      <c r="AX745" s="802"/>
      <c r="AY745" s="802"/>
    </row>
    <row r="746" ht="21.75" customHeight="1">
      <c r="A746" s="802"/>
      <c r="B746" s="802"/>
      <c r="C746" s="802"/>
      <c r="D746" s="802"/>
      <c r="E746" s="802"/>
      <c r="F746" s="802"/>
      <c r="G746" s="802"/>
      <c r="H746" s="802"/>
      <c r="I746" s="802"/>
      <c r="J746" s="802"/>
      <c r="K746" s="802"/>
      <c r="L746" s="802"/>
      <c r="M746" s="802"/>
      <c r="N746" s="802"/>
      <c r="O746" s="802"/>
      <c r="P746" s="802"/>
      <c r="Q746" s="802"/>
      <c r="R746" s="802"/>
      <c r="S746" s="802"/>
      <c r="T746" s="802"/>
      <c r="U746" s="802"/>
      <c r="V746" s="802"/>
      <c r="W746" s="802"/>
      <c r="X746" s="802"/>
      <c r="Y746" s="802"/>
      <c r="Z746" s="802"/>
      <c r="AA746" s="802"/>
      <c r="AB746" s="802"/>
      <c r="AC746" s="802"/>
      <c r="AD746" s="802"/>
      <c r="AE746" s="802"/>
      <c r="AF746" s="802"/>
      <c r="AG746" s="802"/>
      <c r="AH746" s="802"/>
      <c r="AI746" s="802"/>
      <c r="AJ746" s="802"/>
      <c r="AK746" s="802"/>
      <c r="AL746" s="802"/>
      <c r="AM746" s="802"/>
      <c r="AN746" s="802"/>
      <c r="AO746" s="802"/>
      <c r="AP746" s="802"/>
      <c r="AQ746" s="802"/>
      <c r="AR746" s="802"/>
      <c r="AS746" s="802"/>
      <c r="AT746" s="802"/>
      <c r="AU746" s="802"/>
      <c r="AV746" s="802"/>
      <c r="AW746" s="802"/>
      <c r="AX746" s="802"/>
      <c r="AY746" s="802"/>
    </row>
    <row r="747" ht="21.75" customHeight="1">
      <c r="A747" s="802"/>
      <c r="B747" s="802"/>
      <c r="C747" s="802"/>
      <c r="D747" s="802"/>
      <c r="E747" s="802"/>
      <c r="F747" s="802"/>
      <c r="G747" s="802"/>
      <c r="H747" s="802"/>
      <c r="I747" s="802"/>
      <c r="J747" s="802"/>
      <c r="K747" s="802"/>
      <c r="L747" s="802"/>
      <c r="M747" s="802"/>
      <c r="N747" s="802"/>
      <c r="O747" s="802"/>
      <c r="P747" s="802"/>
      <c r="Q747" s="802"/>
      <c r="R747" s="802"/>
      <c r="S747" s="802"/>
      <c r="T747" s="802"/>
      <c r="U747" s="802"/>
      <c r="V747" s="802"/>
      <c r="W747" s="802"/>
      <c r="X747" s="802"/>
      <c r="Y747" s="802"/>
      <c r="Z747" s="802"/>
      <c r="AA747" s="802"/>
      <c r="AB747" s="802"/>
      <c r="AC747" s="802"/>
      <c r="AD747" s="802"/>
      <c r="AE747" s="802"/>
      <c r="AF747" s="802"/>
      <c r="AG747" s="802"/>
      <c r="AH747" s="802"/>
      <c r="AI747" s="802"/>
      <c r="AJ747" s="802"/>
      <c r="AK747" s="802"/>
      <c r="AL747" s="802"/>
      <c r="AM747" s="802"/>
      <c r="AN747" s="802"/>
      <c r="AO747" s="802"/>
      <c r="AP747" s="802"/>
      <c r="AQ747" s="802"/>
      <c r="AR747" s="802"/>
      <c r="AS747" s="802"/>
      <c r="AT747" s="802"/>
      <c r="AU747" s="802"/>
      <c r="AV747" s="802"/>
      <c r="AW747" s="802"/>
      <c r="AX747" s="802"/>
      <c r="AY747" s="802"/>
    </row>
    <row r="748" ht="21.75" customHeight="1">
      <c r="A748" s="802"/>
      <c r="B748" s="802"/>
      <c r="C748" s="802"/>
      <c r="D748" s="802"/>
      <c r="E748" s="802"/>
      <c r="F748" s="802"/>
      <c r="G748" s="802"/>
      <c r="H748" s="802"/>
      <c r="I748" s="802"/>
      <c r="J748" s="802"/>
      <c r="K748" s="802"/>
      <c r="L748" s="802"/>
      <c r="M748" s="802"/>
      <c r="N748" s="802"/>
      <c r="O748" s="802"/>
      <c r="P748" s="802"/>
      <c r="Q748" s="802"/>
      <c r="R748" s="802"/>
      <c r="S748" s="802"/>
      <c r="T748" s="802"/>
      <c r="U748" s="802"/>
      <c r="V748" s="802"/>
      <c r="W748" s="802"/>
      <c r="X748" s="802"/>
      <c r="Y748" s="802"/>
      <c r="Z748" s="802"/>
      <c r="AA748" s="802"/>
      <c r="AB748" s="802"/>
      <c r="AC748" s="802"/>
      <c r="AD748" s="802"/>
      <c r="AE748" s="802"/>
      <c r="AF748" s="802"/>
      <c r="AG748" s="802"/>
      <c r="AH748" s="802"/>
      <c r="AI748" s="802"/>
      <c r="AJ748" s="802"/>
      <c r="AK748" s="802"/>
      <c r="AL748" s="802"/>
      <c r="AM748" s="802"/>
      <c r="AN748" s="802"/>
      <c r="AO748" s="802"/>
      <c r="AP748" s="802"/>
      <c r="AQ748" s="802"/>
      <c r="AR748" s="802"/>
      <c r="AS748" s="802"/>
      <c r="AT748" s="802"/>
      <c r="AU748" s="802"/>
      <c r="AV748" s="802"/>
      <c r="AW748" s="802"/>
      <c r="AX748" s="802"/>
      <c r="AY748" s="802"/>
    </row>
    <row r="749" ht="21.75" customHeight="1">
      <c r="A749" s="802"/>
      <c r="B749" s="802"/>
      <c r="C749" s="802"/>
      <c r="D749" s="802"/>
      <c r="E749" s="802"/>
      <c r="F749" s="802"/>
      <c r="G749" s="802"/>
      <c r="H749" s="802"/>
      <c r="I749" s="802"/>
      <c r="J749" s="802"/>
      <c r="K749" s="802"/>
      <c r="L749" s="802"/>
      <c r="M749" s="802"/>
      <c r="N749" s="802"/>
      <c r="O749" s="802"/>
      <c r="P749" s="802"/>
      <c r="Q749" s="802"/>
      <c r="R749" s="802"/>
      <c r="S749" s="802"/>
      <c r="T749" s="802"/>
      <c r="U749" s="802"/>
      <c r="V749" s="802"/>
      <c r="W749" s="802"/>
      <c r="X749" s="802"/>
      <c r="Y749" s="802"/>
      <c r="Z749" s="802"/>
      <c r="AA749" s="802"/>
      <c r="AB749" s="802"/>
      <c r="AC749" s="802"/>
      <c r="AD749" s="802"/>
      <c r="AE749" s="802"/>
      <c r="AF749" s="802"/>
      <c r="AG749" s="802"/>
      <c r="AH749" s="802"/>
      <c r="AI749" s="802"/>
      <c r="AJ749" s="802"/>
      <c r="AK749" s="802"/>
      <c r="AL749" s="802"/>
      <c r="AM749" s="802"/>
      <c r="AN749" s="802"/>
      <c r="AO749" s="802"/>
      <c r="AP749" s="802"/>
      <c r="AQ749" s="802"/>
      <c r="AR749" s="802"/>
      <c r="AS749" s="802"/>
      <c r="AT749" s="802"/>
      <c r="AU749" s="802"/>
      <c r="AV749" s="802"/>
      <c r="AW749" s="802"/>
      <c r="AX749" s="802"/>
      <c r="AY749" s="802"/>
    </row>
    <row r="750" ht="21.75" customHeight="1">
      <c r="A750" s="802"/>
      <c r="B750" s="802"/>
      <c r="C750" s="802"/>
      <c r="D750" s="802"/>
      <c r="E750" s="802"/>
      <c r="F750" s="802"/>
      <c r="G750" s="802"/>
      <c r="H750" s="802"/>
      <c r="I750" s="802"/>
      <c r="J750" s="802"/>
      <c r="K750" s="802"/>
      <c r="L750" s="802"/>
      <c r="M750" s="802"/>
      <c r="N750" s="802"/>
      <c r="O750" s="802"/>
      <c r="P750" s="802"/>
      <c r="Q750" s="802"/>
      <c r="R750" s="802"/>
      <c r="S750" s="802"/>
      <c r="T750" s="802"/>
      <c r="U750" s="802"/>
      <c r="V750" s="802"/>
      <c r="W750" s="802"/>
      <c r="X750" s="802"/>
      <c r="Y750" s="802"/>
      <c r="Z750" s="802"/>
      <c r="AA750" s="802"/>
      <c r="AB750" s="802"/>
      <c r="AC750" s="802"/>
      <c r="AD750" s="802"/>
      <c r="AE750" s="802"/>
      <c r="AF750" s="802"/>
      <c r="AG750" s="802"/>
      <c r="AH750" s="802"/>
      <c r="AI750" s="802"/>
      <c r="AJ750" s="802"/>
      <c r="AK750" s="802"/>
      <c r="AL750" s="802"/>
      <c r="AM750" s="802"/>
      <c r="AN750" s="802"/>
      <c r="AO750" s="802"/>
      <c r="AP750" s="802"/>
      <c r="AQ750" s="802"/>
      <c r="AR750" s="802"/>
      <c r="AS750" s="802"/>
      <c r="AT750" s="802"/>
      <c r="AU750" s="802"/>
      <c r="AV750" s="802"/>
      <c r="AW750" s="802"/>
      <c r="AX750" s="802"/>
      <c r="AY750" s="802"/>
    </row>
    <row r="751" ht="21.75" customHeight="1">
      <c r="A751" s="802"/>
      <c r="B751" s="802"/>
      <c r="C751" s="802"/>
      <c r="D751" s="802"/>
      <c r="E751" s="802"/>
      <c r="F751" s="802"/>
      <c r="G751" s="802"/>
      <c r="H751" s="802"/>
      <c r="I751" s="802"/>
      <c r="J751" s="802"/>
      <c r="K751" s="802"/>
      <c r="L751" s="802"/>
      <c r="M751" s="802"/>
      <c r="N751" s="802"/>
      <c r="O751" s="802"/>
      <c r="P751" s="802"/>
      <c r="Q751" s="802"/>
      <c r="R751" s="802"/>
      <c r="S751" s="802"/>
      <c r="T751" s="802"/>
      <c r="U751" s="802"/>
      <c r="V751" s="802"/>
      <c r="W751" s="802"/>
      <c r="X751" s="802"/>
      <c r="Y751" s="802"/>
      <c r="Z751" s="802"/>
      <c r="AA751" s="802"/>
      <c r="AB751" s="802"/>
      <c r="AC751" s="802"/>
      <c r="AD751" s="802"/>
      <c r="AE751" s="802"/>
      <c r="AF751" s="802"/>
      <c r="AG751" s="802"/>
      <c r="AH751" s="802"/>
      <c r="AI751" s="802"/>
      <c r="AJ751" s="802"/>
      <c r="AK751" s="802"/>
      <c r="AL751" s="802"/>
      <c r="AM751" s="802"/>
      <c r="AN751" s="802"/>
      <c r="AO751" s="802"/>
      <c r="AP751" s="802"/>
      <c r="AQ751" s="802"/>
      <c r="AR751" s="802"/>
      <c r="AS751" s="802"/>
      <c r="AT751" s="802"/>
      <c r="AU751" s="802"/>
      <c r="AV751" s="802"/>
      <c r="AW751" s="802"/>
      <c r="AX751" s="802"/>
      <c r="AY751" s="802"/>
    </row>
    <row r="752" ht="21.75" customHeight="1">
      <c r="A752" s="802"/>
      <c r="B752" s="802"/>
      <c r="C752" s="802"/>
      <c r="D752" s="802"/>
      <c r="E752" s="802"/>
      <c r="F752" s="802"/>
      <c r="G752" s="802"/>
      <c r="H752" s="802"/>
      <c r="I752" s="802"/>
      <c r="J752" s="802"/>
      <c r="K752" s="802"/>
      <c r="L752" s="802"/>
      <c r="M752" s="802"/>
      <c r="N752" s="802"/>
      <c r="O752" s="802"/>
      <c r="P752" s="802"/>
      <c r="Q752" s="802"/>
      <c r="R752" s="802"/>
      <c r="S752" s="802"/>
      <c r="T752" s="802"/>
      <c r="U752" s="802"/>
      <c r="V752" s="802"/>
      <c r="W752" s="802"/>
      <c r="X752" s="802"/>
      <c r="Y752" s="802"/>
      <c r="Z752" s="802"/>
      <c r="AA752" s="802"/>
      <c r="AB752" s="802"/>
      <c r="AC752" s="802"/>
      <c r="AD752" s="802"/>
      <c r="AE752" s="802"/>
      <c r="AF752" s="802"/>
      <c r="AG752" s="802"/>
      <c r="AH752" s="802"/>
      <c r="AI752" s="802"/>
      <c r="AJ752" s="802"/>
      <c r="AK752" s="802"/>
      <c r="AL752" s="802"/>
      <c r="AM752" s="802"/>
      <c r="AN752" s="802"/>
      <c r="AO752" s="802"/>
      <c r="AP752" s="802"/>
      <c r="AQ752" s="802"/>
      <c r="AR752" s="802"/>
      <c r="AS752" s="802"/>
      <c r="AT752" s="802"/>
      <c r="AU752" s="802"/>
      <c r="AV752" s="802"/>
      <c r="AW752" s="802"/>
      <c r="AX752" s="802"/>
      <c r="AY752" s="802"/>
    </row>
    <row r="753" ht="21.75" customHeight="1">
      <c r="A753" s="802"/>
      <c r="B753" s="802"/>
      <c r="C753" s="802"/>
      <c r="D753" s="802"/>
      <c r="E753" s="802"/>
      <c r="F753" s="802"/>
      <c r="G753" s="802"/>
      <c r="H753" s="802"/>
      <c r="I753" s="802"/>
      <c r="J753" s="802"/>
      <c r="K753" s="802"/>
      <c r="L753" s="802"/>
      <c r="M753" s="802"/>
      <c r="N753" s="802"/>
      <c r="O753" s="802"/>
      <c r="P753" s="802"/>
      <c r="Q753" s="802"/>
      <c r="R753" s="802"/>
      <c r="S753" s="802"/>
      <c r="T753" s="802"/>
      <c r="U753" s="802"/>
      <c r="V753" s="802"/>
      <c r="W753" s="802"/>
      <c r="X753" s="802"/>
      <c r="Y753" s="802"/>
      <c r="Z753" s="802"/>
      <c r="AA753" s="802"/>
      <c r="AB753" s="802"/>
      <c r="AC753" s="802"/>
      <c r="AD753" s="802"/>
      <c r="AE753" s="802"/>
      <c r="AF753" s="802"/>
      <c r="AG753" s="802"/>
      <c r="AH753" s="802"/>
      <c r="AI753" s="802"/>
      <c r="AJ753" s="802"/>
      <c r="AK753" s="802"/>
      <c r="AL753" s="802"/>
      <c r="AM753" s="802"/>
      <c r="AN753" s="802"/>
      <c r="AO753" s="802"/>
      <c r="AP753" s="802"/>
      <c r="AQ753" s="802"/>
      <c r="AR753" s="802"/>
      <c r="AS753" s="802"/>
      <c r="AT753" s="802"/>
      <c r="AU753" s="802"/>
      <c r="AV753" s="802"/>
      <c r="AW753" s="802"/>
      <c r="AX753" s="802"/>
      <c r="AY753" s="802"/>
    </row>
    <row r="754" ht="21.75" customHeight="1">
      <c r="A754" s="802"/>
      <c r="B754" s="802"/>
      <c r="C754" s="802"/>
      <c r="D754" s="802"/>
      <c r="E754" s="802"/>
      <c r="F754" s="802"/>
      <c r="G754" s="802"/>
      <c r="H754" s="802"/>
      <c r="I754" s="802"/>
      <c r="J754" s="802"/>
      <c r="K754" s="802"/>
      <c r="L754" s="802"/>
      <c r="M754" s="802"/>
      <c r="N754" s="802"/>
      <c r="O754" s="802"/>
      <c r="P754" s="802"/>
      <c r="Q754" s="802"/>
      <c r="R754" s="802"/>
      <c r="S754" s="802"/>
      <c r="T754" s="802"/>
      <c r="U754" s="802"/>
      <c r="V754" s="802"/>
      <c r="W754" s="802"/>
      <c r="X754" s="802"/>
      <c r="Y754" s="802"/>
      <c r="Z754" s="802"/>
      <c r="AA754" s="802"/>
      <c r="AB754" s="802"/>
      <c r="AC754" s="802"/>
      <c r="AD754" s="802"/>
      <c r="AE754" s="802"/>
      <c r="AF754" s="802"/>
      <c r="AG754" s="802"/>
      <c r="AH754" s="802"/>
      <c r="AI754" s="802"/>
      <c r="AJ754" s="802"/>
      <c r="AK754" s="802"/>
      <c r="AL754" s="802"/>
      <c r="AM754" s="802"/>
      <c r="AN754" s="802"/>
      <c r="AO754" s="802"/>
      <c r="AP754" s="802"/>
      <c r="AQ754" s="802"/>
      <c r="AR754" s="802"/>
      <c r="AS754" s="802"/>
      <c r="AT754" s="802"/>
      <c r="AU754" s="802"/>
      <c r="AV754" s="802"/>
      <c r="AW754" s="802"/>
      <c r="AX754" s="802"/>
      <c r="AY754" s="802"/>
    </row>
    <row r="755" ht="21.75" customHeight="1">
      <c r="A755" s="802"/>
      <c r="B755" s="802"/>
      <c r="C755" s="802"/>
      <c r="D755" s="802"/>
      <c r="E755" s="802"/>
      <c r="F755" s="802"/>
      <c r="G755" s="802"/>
      <c r="H755" s="802"/>
      <c r="I755" s="802"/>
      <c r="J755" s="802"/>
      <c r="K755" s="802"/>
      <c r="L755" s="802"/>
      <c r="M755" s="802"/>
      <c r="N755" s="802"/>
      <c r="O755" s="802"/>
      <c r="P755" s="802"/>
      <c r="Q755" s="802"/>
      <c r="R755" s="802"/>
      <c r="S755" s="802"/>
      <c r="T755" s="802"/>
      <c r="U755" s="802"/>
      <c r="V755" s="802"/>
      <c r="W755" s="802"/>
      <c r="X755" s="802"/>
      <c r="Y755" s="802"/>
      <c r="Z755" s="802"/>
      <c r="AA755" s="802"/>
      <c r="AB755" s="802"/>
      <c r="AC755" s="802"/>
      <c r="AD755" s="802"/>
      <c r="AE755" s="802"/>
      <c r="AF755" s="802"/>
      <c r="AG755" s="802"/>
      <c r="AH755" s="802"/>
      <c r="AI755" s="802"/>
      <c r="AJ755" s="802"/>
      <c r="AK755" s="802"/>
      <c r="AL755" s="802"/>
      <c r="AM755" s="802"/>
      <c r="AN755" s="802"/>
      <c r="AO755" s="802"/>
      <c r="AP755" s="802"/>
      <c r="AQ755" s="802"/>
      <c r="AR755" s="802"/>
      <c r="AS755" s="802"/>
      <c r="AT755" s="802"/>
      <c r="AU755" s="802"/>
      <c r="AV755" s="802"/>
      <c r="AW755" s="802"/>
      <c r="AX755" s="802"/>
      <c r="AY755" s="802"/>
    </row>
    <row r="756" ht="21.75" customHeight="1">
      <c r="A756" s="802"/>
      <c r="B756" s="802"/>
      <c r="C756" s="802"/>
      <c r="D756" s="802"/>
      <c r="E756" s="802"/>
      <c r="F756" s="802"/>
      <c r="G756" s="802"/>
      <c r="H756" s="802"/>
      <c r="I756" s="802"/>
      <c r="J756" s="802"/>
      <c r="K756" s="802"/>
      <c r="L756" s="802"/>
      <c r="M756" s="802"/>
      <c r="N756" s="802"/>
      <c r="O756" s="802"/>
      <c r="P756" s="802"/>
      <c r="Q756" s="802"/>
      <c r="R756" s="802"/>
      <c r="S756" s="802"/>
      <c r="T756" s="802"/>
      <c r="U756" s="802"/>
      <c r="V756" s="802"/>
      <c r="W756" s="802"/>
      <c r="X756" s="802"/>
      <c r="Y756" s="802"/>
      <c r="Z756" s="802"/>
      <c r="AA756" s="802"/>
      <c r="AB756" s="802"/>
      <c r="AC756" s="802"/>
      <c r="AD756" s="802"/>
      <c r="AE756" s="802"/>
      <c r="AF756" s="802"/>
      <c r="AG756" s="802"/>
      <c r="AH756" s="802"/>
      <c r="AI756" s="802"/>
      <c r="AJ756" s="802"/>
      <c r="AK756" s="802"/>
      <c r="AL756" s="802"/>
      <c r="AM756" s="802"/>
      <c r="AN756" s="802"/>
      <c r="AO756" s="802"/>
      <c r="AP756" s="802"/>
      <c r="AQ756" s="802"/>
      <c r="AR756" s="802"/>
      <c r="AS756" s="802"/>
      <c r="AT756" s="802"/>
      <c r="AU756" s="802"/>
      <c r="AV756" s="802"/>
      <c r="AW756" s="802"/>
      <c r="AX756" s="802"/>
      <c r="AY756" s="802"/>
    </row>
    <row r="757" ht="21.75" customHeight="1">
      <c r="A757" s="802"/>
      <c r="B757" s="802"/>
      <c r="C757" s="802"/>
      <c r="D757" s="802"/>
      <c r="E757" s="802"/>
      <c r="F757" s="802"/>
      <c r="G757" s="802"/>
      <c r="H757" s="802"/>
      <c r="I757" s="802"/>
      <c r="J757" s="802"/>
      <c r="K757" s="802"/>
      <c r="L757" s="802"/>
      <c r="M757" s="802"/>
      <c r="N757" s="802"/>
      <c r="O757" s="802"/>
      <c r="P757" s="802"/>
      <c r="Q757" s="802"/>
      <c r="R757" s="802"/>
      <c r="S757" s="802"/>
      <c r="T757" s="802"/>
      <c r="U757" s="802"/>
      <c r="V757" s="802"/>
      <c r="W757" s="802"/>
      <c r="X757" s="802"/>
      <c r="Y757" s="802"/>
      <c r="Z757" s="802"/>
      <c r="AA757" s="802"/>
      <c r="AB757" s="802"/>
      <c r="AC757" s="802"/>
      <c r="AD757" s="802"/>
      <c r="AE757" s="802"/>
      <c r="AF757" s="802"/>
      <c r="AG757" s="802"/>
      <c r="AH757" s="802"/>
      <c r="AI757" s="802"/>
      <c r="AJ757" s="802"/>
      <c r="AK757" s="802"/>
      <c r="AL757" s="802"/>
      <c r="AM757" s="802"/>
      <c r="AN757" s="802"/>
      <c r="AO757" s="802"/>
      <c r="AP757" s="802"/>
      <c r="AQ757" s="802"/>
      <c r="AR757" s="802"/>
      <c r="AS757" s="802"/>
      <c r="AT757" s="802"/>
      <c r="AU757" s="802"/>
      <c r="AV757" s="802"/>
      <c r="AW757" s="802"/>
      <c r="AX757" s="802"/>
      <c r="AY757" s="802"/>
    </row>
    <row r="758" ht="21.75" customHeight="1">
      <c r="A758" s="802"/>
      <c r="B758" s="802"/>
      <c r="C758" s="802"/>
      <c r="D758" s="802"/>
      <c r="E758" s="802"/>
      <c r="F758" s="802"/>
      <c r="G758" s="802"/>
      <c r="H758" s="802"/>
      <c r="I758" s="802"/>
      <c r="J758" s="802"/>
      <c r="K758" s="802"/>
      <c r="L758" s="802"/>
      <c r="M758" s="802"/>
      <c r="N758" s="802"/>
      <c r="O758" s="802"/>
      <c r="P758" s="802"/>
      <c r="Q758" s="802"/>
      <c r="R758" s="802"/>
      <c r="S758" s="802"/>
      <c r="T758" s="802"/>
      <c r="U758" s="802"/>
      <c r="V758" s="802"/>
      <c r="W758" s="802"/>
      <c r="X758" s="802"/>
      <c r="Y758" s="802"/>
      <c r="Z758" s="802"/>
      <c r="AA758" s="802"/>
      <c r="AB758" s="802"/>
      <c r="AC758" s="802"/>
      <c r="AD758" s="802"/>
      <c r="AE758" s="802"/>
      <c r="AF758" s="802"/>
      <c r="AG758" s="802"/>
      <c r="AH758" s="802"/>
      <c r="AI758" s="802"/>
      <c r="AJ758" s="802"/>
      <c r="AK758" s="802"/>
      <c r="AL758" s="802"/>
      <c r="AM758" s="802"/>
      <c r="AN758" s="802"/>
      <c r="AO758" s="802"/>
      <c r="AP758" s="802"/>
      <c r="AQ758" s="802"/>
      <c r="AR758" s="802"/>
      <c r="AS758" s="802"/>
      <c r="AT758" s="802"/>
      <c r="AU758" s="802"/>
      <c r="AV758" s="802"/>
      <c r="AW758" s="802"/>
      <c r="AX758" s="802"/>
      <c r="AY758" s="802"/>
    </row>
    <row r="759" ht="21.75" customHeight="1">
      <c r="A759" s="802"/>
      <c r="B759" s="802"/>
      <c r="C759" s="802"/>
      <c r="D759" s="802"/>
      <c r="E759" s="802"/>
      <c r="F759" s="802"/>
      <c r="G759" s="802"/>
      <c r="H759" s="802"/>
      <c r="I759" s="802"/>
      <c r="J759" s="802"/>
      <c r="K759" s="802"/>
      <c r="L759" s="802"/>
      <c r="M759" s="802"/>
      <c r="N759" s="802"/>
      <c r="O759" s="802"/>
      <c r="P759" s="802"/>
      <c r="Q759" s="802"/>
      <c r="R759" s="802"/>
      <c r="S759" s="802"/>
      <c r="T759" s="802"/>
      <c r="U759" s="802"/>
      <c r="V759" s="802"/>
      <c r="W759" s="802"/>
      <c r="X759" s="802"/>
      <c r="Y759" s="802"/>
      <c r="Z759" s="802"/>
      <c r="AA759" s="802"/>
      <c r="AB759" s="802"/>
      <c r="AC759" s="802"/>
      <c r="AD759" s="802"/>
      <c r="AE759" s="802"/>
      <c r="AF759" s="802"/>
      <c r="AG759" s="802"/>
      <c r="AH759" s="802"/>
      <c r="AI759" s="802"/>
      <c r="AJ759" s="802"/>
      <c r="AK759" s="802"/>
      <c r="AL759" s="802"/>
      <c r="AM759" s="802"/>
      <c r="AN759" s="802"/>
      <c r="AO759" s="802"/>
      <c r="AP759" s="802"/>
      <c r="AQ759" s="802"/>
      <c r="AR759" s="802"/>
      <c r="AS759" s="802"/>
      <c r="AT759" s="802"/>
      <c r="AU759" s="802"/>
      <c r="AV759" s="802"/>
      <c r="AW759" s="802"/>
      <c r="AX759" s="802"/>
      <c r="AY759" s="802"/>
    </row>
    <row r="760" ht="21.75" customHeight="1">
      <c r="A760" s="802"/>
      <c r="B760" s="802"/>
      <c r="C760" s="802"/>
      <c r="D760" s="802"/>
      <c r="E760" s="802"/>
      <c r="F760" s="802"/>
      <c r="G760" s="802"/>
      <c r="H760" s="802"/>
      <c r="I760" s="802"/>
      <c r="J760" s="802"/>
      <c r="K760" s="802"/>
      <c r="L760" s="802"/>
      <c r="M760" s="802"/>
      <c r="N760" s="802"/>
      <c r="O760" s="802"/>
      <c r="P760" s="802"/>
      <c r="Q760" s="802"/>
      <c r="R760" s="802"/>
      <c r="S760" s="802"/>
      <c r="T760" s="802"/>
      <c r="U760" s="802"/>
      <c r="V760" s="802"/>
      <c r="W760" s="802"/>
      <c r="X760" s="802"/>
      <c r="Y760" s="802"/>
      <c r="Z760" s="802"/>
      <c r="AA760" s="802"/>
      <c r="AB760" s="802"/>
      <c r="AC760" s="802"/>
      <c r="AD760" s="802"/>
      <c r="AE760" s="802"/>
      <c r="AF760" s="802"/>
      <c r="AG760" s="802"/>
      <c r="AH760" s="802"/>
      <c r="AI760" s="802"/>
      <c r="AJ760" s="802"/>
      <c r="AK760" s="802"/>
      <c r="AL760" s="802"/>
      <c r="AM760" s="802"/>
      <c r="AN760" s="802"/>
      <c r="AO760" s="802"/>
      <c r="AP760" s="802"/>
      <c r="AQ760" s="802"/>
      <c r="AR760" s="802"/>
      <c r="AS760" s="802"/>
      <c r="AT760" s="802"/>
      <c r="AU760" s="802"/>
      <c r="AV760" s="802"/>
      <c r="AW760" s="802"/>
      <c r="AX760" s="802"/>
      <c r="AY760" s="802"/>
    </row>
    <row r="761" ht="21.75" customHeight="1">
      <c r="A761" s="802"/>
      <c r="B761" s="802"/>
      <c r="C761" s="802"/>
      <c r="D761" s="802"/>
      <c r="E761" s="802"/>
      <c r="F761" s="802"/>
      <c r="G761" s="802"/>
      <c r="H761" s="802"/>
      <c r="I761" s="802"/>
      <c r="J761" s="802"/>
      <c r="K761" s="802"/>
      <c r="L761" s="802"/>
      <c r="M761" s="802"/>
      <c r="N761" s="802"/>
      <c r="O761" s="802"/>
      <c r="P761" s="802"/>
      <c r="Q761" s="802"/>
      <c r="R761" s="802"/>
      <c r="S761" s="802"/>
      <c r="T761" s="802"/>
      <c r="U761" s="802"/>
      <c r="V761" s="802"/>
      <c r="W761" s="802"/>
      <c r="X761" s="802"/>
      <c r="Y761" s="802"/>
      <c r="Z761" s="802"/>
      <c r="AA761" s="802"/>
      <c r="AB761" s="802"/>
      <c r="AC761" s="802"/>
      <c r="AD761" s="802"/>
      <c r="AE761" s="802"/>
      <c r="AF761" s="802"/>
      <c r="AG761" s="802"/>
      <c r="AH761" s="802"/>
      <c r="AI761" s="802"/>
      <c r="AJ761" s="802"/>
      <c r="AK761" s="802"/>
      <c r="AL761" s="802"/>
      <c r="AM761" s="802"/>
      <c r="AN761" s="802"/>
      <c r="AO761" s="802"/>
      <c r="AP761" s="802"/>
      <c r="AQ761" s="802"/>
      <c r="AR761" s="802"/>
      <c r="AS761" s="802"/>
      <c r="AT761" s="802"/>
      <c r="AU761" s="802"/>
      <c r="AV761" s="802"/>
      <c r="AW761" s="802"/>
      <c r="AX761" s="802"/>
      <c r="AY761" s="802"/>
    </row>
    <row r="762" ht="21.75" customHeight="1">
      <c r="A762" s="802"/>
      <c r="B762" s="802"/>
      <c r="C762" s="802"/>
      <c r="D762" s="802"/>
      <c r="E762" s="802"/>
      <c r="F762" s="802"/>
      <c r="G762" s="802"/>
      <c r="H762" s="802"/>
      <c r="I762" s="802"/>
      <c r="J762" s="802"/>
      <c r="K762" s="802"/>
      <c r="L762" s="802"/>
      <c r="M762" s="802"/>
      <c r="N762" s="802"/>
      <c r="O762" s="802"/>
      <c r="P762" s="802"/>
      <c r="Q762" s="802"/>
      <c r="R762" s="802"/>
      <c r="S762" s="802"/>
      <c r="T762" s="802"/>
      <c r="U762" s="802"/>
      <c r="V762" s="802"/>
      <c r="W762" s="802"/>
      <c r="X762" s="802"/>
      <c r="Y762" s="802"/>
      <c r="Z762" s="802"/>
      <c r="AA762" s="802"/>
      <c r="AB762" s="802"/>
      <c r="AC762" s="802"/>
      <c r="AD762" s="802"/>
      <c r="AE762" s="802"/>
      <c r="AF762" s="802"/>
      <c r="AG762" s="802"/>
      <c r="AH762" s="802"/>
      <c r="AI762" s="802"/>
      <c r="AJ762" s="802"/>
      <c r="AK762" s="802"/>
      <c r="AL762" s="802"/>
      <c r="AM762" s="802"/>
      <c r="AN762" s="802"/>
      <c r="AO762" s="802"/>
      <c r="AP762" s="802"/>
      <c r="AQ762" s="802"/>
      <c r="AR762" s="802"/>
      <c r="AS762" s="802"/>
      <c r="AT762" s="802"/>
      <c r="AU762" s="802"/>
      <c r="AV762" s="802"/>
      <c r="AW762" s="802"/>
      <c r="AX762" s="802"/>
      <c r="AY762" s="802"/>
    </row>
    <row r="763" ht="21.75" customHeight="1">
      <c r="A763" s="802"/>
      <c r="B763" s="802"/>
      <c r="C763" s="802"/>
      <c r="D763" s="802"/>
      <c r="E763" s="802"/>
      <c r="F763" s="802"/>
      <c r="G763" s="802"/>
      <c r="H763" s="802"/>
      <c r="I763" s="802"/>
      <c r="J763" s="802"/>
      <c r="K763" s="802"/>
      <c r="L763" s="802"/>
      <c r="M763" s="802"/>
      <c r="N763" s="802"/>
      <c r="O763" s="802"/>
      <c r="P763" s="802"/>
      <c r="Q763" s="802"/>
      <c r="R763" s="802"/>
      <c r="S763" s="802"/>
      <c r="T763" s="802"/>
      <c r="U763" s="802"/>
      <c r="V763" s="802"/>
      <c r="W763" s="802"/>
      <c r="X763" s="802"/>
      <c r="Y763" s="802"/>
      <c r="Z763" s="802"/>
      <c r="AA763" s="802"/>
      <c r="AB763" s="802"/>
      <c r="AC763" s="802"/>
      <c r="AD763" s="802"/>
      <c r="AE763" s="802"/>
      <c r="AF763" s="802"/>
      <c r="AG763" s="802"/>
      <c r="AH763" s="802"/>
      <c r="AI763" s="802"/>
      <c r="AJ763" s="802"/>
      <c r="AK763" s="802"/>
      <c r="AL763" s="802"/>
      <c r="AM763" s="802"/>
      <c r="AN763" s="802"/>
      <c r="AO763" s="802"/>
      <c r="AP763" s="802"/>
      <c r="AQ763" s="802"/>
      <c r="AR763" s="802"/>
      <c r="AS763" s="802"/>
      <c r="AT763" s="802"/>
      <c r="AU763" s="802"/>
      <c r="AV763" s="802"/>
      <c r="AW763" s="802"/>
      <c r="AX763" s="802"/>
      <c r="AY763" s="802"/>
    </row>
    <row r="764" ht="21.75" customHeight="1">
      <c r="A764" s="802"/>
      <c r="B764" s="802"/>
      <c r="C764" s="802"/>
      <c r="D764" s="802"/>
      <c r="E764" s="802"/>
      <c r="F764" s="802"/>
      <c r="G764" s="802"/>
      <c r="H764" s="802"/>
      <c r="I764" s="802"/>
      <c r="J764" s="802"/>
      <c r="K764" s="802"/>
      <c r="L764" s="802"/>
      <c r="M764" s="802"/>
      <c r="N764" s="802"/>
      <c r="O764" s="802"/>
      <c r="P764" s="802"/>
      <c r="Q764" s="802"/>
      <c r="R764" s="802"/>
      <c r="S764" s="802"/>
      <c r="T764" s="802"/>
      <c r="U764" s="802"/>
      <c r="V764" s="802"/>
      <c r="W764" s="802"/>
      <c r="X764" s="802"/>
      <c r="Y764" s="802"/>
      <c r="Z764" s="802"/>
      <c r="AA764" s="802"/>
      <c r="AB764" s="802"/>
      <c r="AC764" s="802"/>
      <c r="AD764" s="802"/>
      <c r="AE764" s="802"/>
      <c r="AF764" s="802"/>
      <c r="AG764" s="802"/>
      <c r="AH764" s="802"/>
      <c r="AI764" s="802"/>
      <c r="AJ764" s="802"/>
      <c r="AK764" s="802"/>
      <c r="AL764" s="802"/>
      <c r="AM764" s="802"/>
      <c r="AN764" s="802"/>
      <c r="AO764" s="802"/>
      <c r="AP764" s="802"/>
      <c r="AQ764" s="802"/>
      <c r="AR764" s="802"/>
      <c r="AS764" s="802"/>
      <c r="AT764" s="802"/>
      <c r="AU764" s="802"/>
      <c r="AV764" s="802"/>
      <c r="AW764" s="802"/>
      <c r="AX764" s="802"/>
      <c r="AY764" s="802"/>
    </row>
    <row r="765" ht="21.75" customHeight="1">
      <c r="A765" s="802"/>
      <c r="B765" s="802"/>
      <c r="C765" s="802"/>
      <c r="D765" s="802"/>
      <c r="E765" s="802"/>
      <c r="F765" s="802"/>
      <c r="G765" s="802"/>
      <c r="H765" s="802"/>
      <c r="I765" s="802"/>
      <c r="J765" s="802"/>
      <c r="K765" s="802"/>
      <c r="L765" s="802"/>
      <c r="M765" s="802"/>
      <c r="N765" s="802"/>
      <c r="O765" s="802"/>
      <c r="P765" s="802"/>
      <c r="Q765" s="802"/>
      <c r="R765" s="802"/>
      <c r="S765" s="802"/>
      <c r="T765" s="802"/>
      <c r="U765" s="802"/>
      <c r="V765" s="802"/>
      <c r="W765" s="802"/>
      <c r="X765" s="802"/>
      <c r="Y765" s="802"/>
      <c r="Z765" s="802"/>
      <c r="AA765" s="802"/>
      <c r="AB765" s="802"/>
      <c r="AC765" s="802"/>
      <c r="AD765" s="802"/>
      <c r="AE765" s="802"/>
      <c r="AF765" s="802"/>
      <c r="AG765" s="802"/>
      <c r="AH765" s="802"/>
      <c r="AI765" s="802"/>
      <c r="AJ765" s="802"/>
      <c r="AK765" s="802"/>
      <c r="AL765" s="802"/>
      <c r="AM765" s="802"/>
      <c r="AN765" s="802"/>
      <c r="AO765" s="802"/>
      <c r="AP765" s="802"/>
      <c r="AQ765" s="802"/>
      <c r="AR765" s="802"/>
      <c r="AS765" s="802"/>
      <c r="AT765" s="802"/>
      <c r="AU765" s="802"/>
      <c r="AV765" s="802"/>
      <c r="AW765" s="802"/>
      <c r="AX765" s="802"/>
      <c r="AY765" s="802"/>
    </row>
    <row r="766" ht="21.75" customHeight="1">
      <c r="A766" s="802"/>
      <c r="B766" s="802"/>
      <c r="C766" s="802"/>
      <c r="D766" s="802"/>
      <c r="E766" s="802"/>
      <c r="F766" s="802"/>
      <c r="G766" s="802"/>
      <c r="H766" s="802"/>
      <c r="I766" s="802"/>
      <c r="J766" s="802"/>
      <c r="K766" s="802"/>
      <c r="L766" s="802"/>
      <c r="M766" s="802"/>
      <c r="N766" s="802"/>
      <c r="O766" s="802"/>
      <c r="P766" s="802"/>
      <c r="Q766" s="802"/>
      <c r="R766" s="802"/>
      <c r="S766" s="802"/>
      <c r="T766" s="802"/>
      <c r="U766" s="802"/>
      <c r="V766" s="802"/>
      <c r="W766" s="802"/>
      <c r="X766" s="802"/>
      <c r="Y766" s="802"/>
      <c r="Z766" s="802"/>
      <c r="AA766" s="802"/>
      <c r="AB766" s="802"/>
      <c r="AC766" s="802"/>
      <c r="AD766" s="802"/>
      <c r="AE766" s="802"/>
      <c r="AF766" s="802"/>
      <c r="AG766" s="802"/>
      <c r="AH766" s="802"/>
      <c r="AI766" s="802"/>
      <c r="AJ766" s="802"/>
      <c r="AK766" s="802"/>
      <c r="AL766" s="802"/>
      <c r="AM766" s="802"/>
      <c r="AN766" s="802"/>
      <c r="AO766" s="802"/>
      <c r="AP766" s="802"/>
      <c r="AQ766" s="802"/>
      <c r="AR766" s="802"/>
      <c r="AS766" s="802"/>
      <c r="AT766" s="802"/>
      <c r="AU766" s="802"/>
      <c r="AV766" s="802"/>
      <c r="AW766" s="802"/>
      <c r="AX766" s="802"/>
      <c r="AY766" s="802"/>
    </row>
    <row r="767" ht="21.75" customHeight="1">
      <c r="A767" s="802"/>
      <c r="B767" s="802"/>
      <c r="C767" s="802"/>
      <c r="D767" s="802"/>
      <c r="E767" s="802"/>
      <c r="F767" s="802"/>
      <c r="G767" s="802"/>
      <c r="H767" s="802"/>
      <c r="I767" s="802"/>
      <c r="J767" s="802"/>
      <c r="K767" s="802"/>
      <c r="L767" s="802"/>
      <c r="M767" s="802"/>
      <c r="N767" s="802"/>
      <c r="O767" s="802"/>
      <c r="P767" s="802"/>
      <c r="Q767" s="802"/>
      <c r="R767" s="802"/>
      <c r="S767" s="802"/>
      <c r="T767" s="802"/>
      <c r="U767" s="802"/>
      <c r="V767" s="802"/>
      <c r="W767" s="802"/>
      <c r="X767" s="802"/>
      <c r="Y767" s="802"/>
      <c r="Z767" s="802"/>
      <c r="AA767" s="802"/>
      <c r="AB767" s="802"/>
      <c r="AC767" s="802"/>
      <c r="AD767" s="802"/>
      <c r="AE767" s="802"/>
      <c r="AF767" s="802"/>
      <c r="AG767" s="802"/>
      <c r="AH767" s="802"/>
      <c r="AI767" s="802"/>
      <c r="AJ767" s="802"/>
      <c r="AK767" s="802"/>
      <c r="AL767" s="802"/>
      <c r="AM767" s="802"/>
      <c r="AN767" s="802"/>
      <c r="AO767" s="802"/>
      <c r="AP767" s="802"/>
      <c r="AQ767" s="802"/>
      <c r="AR767" s="802"/>
      <c r="AS767" s="802"/>
      <c r="AT767" s="802"/>
      <c r="AU767" s="802"/>
      <c r="AV767" s="802"/>
      <c r="AW767" s="802"/>
      <c r="AX767" s="802"/>
      <c r="AY767" s="802"/>
    </row>
    <row r="768" ht="21.75" customHeight="1">
      <c r="A768" s="802"/>
      <c r="B768" s="802"/>
      <c r="C768" s="802"/>
      <c r="D768" s="802"/>
      <c r="E768" s="802"/>
      <c r="F768" s="802"/>
      <c r="G768" s="802"/>
      <c r="H768" s="802"/>
      <c r="I768" s="802"/>
      <c r="J768" s="802"/>
      <c r="K768" s="802"/>
      <c r="L768" s="802"/>
      <c r="M768" s="802"/>
      <c r="N768" s="802"/>
      <c r="O768" s="802"/>
      <c r="P768" s="802"/>
      <c r="Q768" s="802"/>
      <c r="R768" s="802"/>
      <c r="S768" s="802"/>
      <c r="T768" s="802"/>
      <c r="U768" s="802"/>
      <c r="V768" s="802"/>
      <c r="W768" s="802"/>
      <c r="X768" s="802"/>
      <c r="Y768" s="802"/>
      <c r="Z768" s="802"/>
      <c r="AA768" s="802"/>
      <c r="AB768" s="802"/>
      <c r="AC768" s="802"/>
      <c r="AD768" s="802"/>
      <c r="AE768" s="802"/>
      <c r="AF768" s="802"/>
      <c r="AG768" s="802"/>
      <c r="AH768" s="802"/>
      <c r="AI768" s="802"/>
      <c r="AJ768" s="802"/>
      <c r="AK768" s="802"/>
      <c r="AL768" s="802"/>
      <c r="AM768" s="802"/>
      <c r="AN768" s="802"/>
      <c r="AO768" s="802"/>
      <c r="AP768" s="802"/>
      <c r="AQ768" s="802"/>
      <c r="AR768" s="802"/>
      <c r="AS768" s="802"/>
      <c r="AT768" s="802"/>
      <c r="AU768" s="802"/>
      <c r="AV768" s="802"/>
      <c r="AW768" s="802"/>
      <c r="AX768" s="802"/>
      <c r="AY768" s="802"/>
    </row>
    <row r="769" ht="21.75" customHeight="1">
      <c r="A769" s="802"/>
      <c r="B769" s="802"/>
      <c r="C769" s="802"/>
      <c r="D769" s="802"/>
      <c r="E769" s="802"/>
      <c r="F769" s="802"/>
      <c r="G769" s="802"/>
      <c r="H769" s="802"/>
      <c r="I769" s="802"/>
      <c r="J769" s="802"/>
      <c r="K769" s="802"/>
      <c r="L769" s="802"/>
      <c r="M769" s="802"/>
      <c r="N769" s="802"/>
      <c r="O769" s="802"/>
      <c r="P769" s="802"/>
      <c r="Q769" s="802"/>
      <c r="R769" s="802"/>
      <c r="S769" s="802"/>
      <c r="T769" s="802"/>
      <c r="U769" s="802"/>
      <c r="V769" s="802"/>
      <c r="W769" s="802"/>
      <c r="X769" s="802"/>
      <c r="Y769" s="802"/>
      <c r="Z769" s="802"/>
      <c r="AA769" s="802"/>
      <c r="AB769" s="802"/>
      <c r="AC769" s="802"/>
      <c r="AD769" s="802"/>
      <c r="AE769" s="802"/>
      <c r="AF769" s="802"/>
      <c r="AG769" s="802"/>
      <c r="AH769" s="802"/>
      <c r="AI769" s="802"/>
      <c r="AJ769" s="802"/>
      <c r="AK769" s="802"/>
      <c r="AL769" s="802"/>
      <c r="AM769" s="802"/>
      <c r="AN769" s="802"/>
      <c r="AO769" s="802"/>
      <c r="AP769" s="802"/>
      <c r="AQ769" s="802"/>
      <c r="AR769" s="802"/>
      <c r="AS769" s="802"/>
      <c r="AT769" s="802"/>
      <c r="AU769" s="802"/>
      <c r="AV769" s="802"/>
      <c r="AW769" s="802"/>
      <c r="AX769" s="802"/>
      <c r="AY769" s="802"/>
    </row>
    <row r="770" ht="21.75" customHeight="1">
      <c r="A770" s="802"/>
      <c r="B770" s="802"/>
      <c r="C770" s="802"/>
      <c r="D770" s="802"/>
      <c r="E770" s="802"/>
      <c r="F770" s="802"/>
      <c r="G770" s="802"/>
      <c r="H770" s="802"/>
      <c r="I770" s="802"/>
      <c r="J770" s="802"/>
      <c r="K770" s="802"/>
      <c r="L770" s="802"/>
      <c r="M770" s="802"/>
      <c r="N770" s="802"/>
      <c r="O770" s="802"/>
      <c r="P770" s="802"/>
      <c r="Q770" s="802"/>
      <c r="R770" s="802"/>
      <c r="S770" s="802"/>
      <c r="T770" s="802"/>
      <c r="U770" s="802"/>
      <c r="V770" s="802"/>
      <c r="W770" s="802"/>
      <c r="X770" s="802"/>
      <c r="Y770" s="802"/>
      <c r="Z770" s="802"/>
      <c r="AA770" s="802"/>
      <c r="AB770" s="802"/>
      <c r="AC770" s="802"/>
      <c r="AD770" s="802"/>
      <c r="AE770" s="802"/>
      <c r="AF770" s="802"/>
      <c r="AG770" s="802"/>
      <c r="AH770" s="802"/>
      <c r="AI770" s="802"/>
      <c r="AJ770" s="802"/>
      <c r="AK770" s="802"/>
      <c r="AL770" s="802"/>
      <c r="AM770" s="802"/>
      <c r="AN770" s="802"/>
      <c r="AO770" s="802"/>
      <c r="AP770" s="802"/>
      <c r="AQ770" s="802"/>
      <c r="AR770" s="802"/>
      <c r="AS770" s="802"/>
      <c r="AT770" s="802"/>
      <c r="AU770" s="802"/>
      <c r="AV770" s="802"/>
      <c r="AW770" s="802"/>
      <c r="AX770" s="802"/>
      <c r="AY770" s="802"/>
    </row>
    <row r="771" ht="21.75" customHeight="1">
      <c r="A771" s="802"/>
      <c r="B771" s="802"/>
      <c r="C771" s="802"/>
      <c r="D771" s="802"/>
      <c r="E771" s="802"/>
      <c r="F771" s="802"/>
      <c r="G771" s="802"/>
      <c r="H771" s="802"/>
      <c r="I771" s="802"/>
      <c r="J771" s="802"/>
      <c r="K771" s="802"/>
      <c r="L771" s="802"/>
      <c r="M771" s="802"/>
      <c r="N771" s="802"/>
      <c r="O771" s="802"/>
      <c r="P771" s="802"/>
      <c r="Q771" s="802"/>
      <c r="R771" s="802"/>
      <c r="S771" s="802"/>
      <c r="T771" s="802"/>
      <c r="U771" s="802"/>
      <c r="V771" s="802"/>
      <c r="W771" s="802"/>
      <c r="X771" s="802"/>
      <c r="Y771" s="802"/>
      <c r="Z771" s="802"/>
      <c r="AA771" s="802"/>
      <c r="AB771" s="802"/>
      <c r="AC771" s="802"/>
      <c r="AD771" s="802"/>
      <c r="AE771" s="802"/>
      <c r="AF771" s="802"/>
      <c r="AG771" s="802"/>
      <c r="AH771" s="802"/>
      <c r="AI771" s="802"/>
      <c r="AJ771" s="802"/>
      <c r="AK771" s="802"/>
      <c r="AL771" s="802"/>
      <c r="AM771" s="802"/>
      <c r="AN771" s="802"/>
      <c r="AO771" s="802"/>
      <c r="AP771" s="802"/>
      <c r="AQ771" s="802"/>
      <c r="AR771" s="802"/>
      <c r="AS771" s="802"/>
      <c r="AT771" s="802"/>
      <c r="AU771" s="802"/>
      <c r="AV771" s="802"/>
      <c r="AW771" s="802"/>
      <c r="AX771" s="802"/>
      <c r="AY771" s="802"/>
    </row>
    <row r="772" ht="21.75" customHeight="1">
      <c r="A772" s="802"/>
      <c r="B772" s="802"/>
      <c r="C772" s="802"/>
      <c r="D772" s="802"/>
      <c r="E772" s="802"/>
      <c r="F772" s="802"/>
      <c r="G772" s="802"/>
      <c r="H772" s="802"/>
      <c r="I772" s="802"/>
      <c r="J772" s="802"/>
      <c r="K772" s="802"/>
      <c r="L772" s="802"/>
      <c r="M772" s="802"/>
      <c r="N772" s="802"/>
      <c r="O772" s="802"/>
      <c r="P772" s="802"/>
      <c r="Q772" s="802"/>
      <c r="R772" s="802"/>
      <c r="S772" s="802"/>
      <c r="T772" s="802"/>
      <c r="U772" s="802"/>
      <c r="V772" s="802"/>
      <c r="W772" s="802"/>
      <c r="X772" s="802"/>
      <c r="Y772" s="802"/>
      <c r="Z772" s="802"/>
      <c r="AA772" s="802"/>
      <c r="AB772" s="802"/>
      <c r="AC772" s="802"/>
      <c r="AD772" s="802"/>
      <c r="AE772" s="802"/>
      <c r="AF772" s="802"/>
      <c r="AG772" s="802"/>
      <c r="AH772" s="802"/>
      <c r="AI772" s="802"/>
      <c r="AJ772" s="802"/>
      <c r="AK772" s="802"/>
      <c r="AL772" s="802"/>
      <c r="AM772" s="802"/>
      <c r="AN772" s="802"/>
      <c r="AO772" s="802"/>
      <c r="AP772" s="802"/>
      <c r="AQ772" s="802"/>
      <c r="AR772" s="802"/>
      <c r="AS772" s="802"/>
      <c r="AT772" s="802"/>
      <c r="AU772" s="802"/>
      <c r="AV772" s="802"/>
      <c r="AW772" s="802"/>
      <c r="AX772" s="802"/>
      <c r="AY772" s="802"/>
    </row>
    <row r="773" ht="21.75" customHeight="1">
      <c r="A773" s="802"/>
      <c r="B773" s="802"/>
      <c r="C773" s="802"/>
      <c r="D773" s="802"/>
      <c r="E773" s="802"/>
      <c r="F773" s="802"/>
      <c r="G773" s="802"/>
      <c r="H773" s="802"/>
      <c r="I773" s="802"/>
      <c r="J773" s="802"/>
      <c r="K773" s="802"/>
      <c r="L773" s="802"/>
      <c r="M773" s="802"/>
      <c r="N773" s="802"/>
      <c r="O773" s="802"/>
      <c r="P773" s="802"/>
      <c r="Q773" s="802"/>
      <c r="R773" s="802"/>
      <c r="S773" s="802"/>
      <c r="T773" s="802"/>
      <c r="U773" s="802"/>
      <c r="V773" s="802"/>
      <c r="W773" s="802"/>
      <c r="X773" s="802"/>
      <c r="Y773" s="802"/>
      <c r="Z773" s="802"/>
      <c r="AA773" s="802"/>
      <c r="AB773" s="802"/>
      <c r="AC773" s="802"/>
      <c r="AD773" s="802"/>
      <c r="AE773" s="802"/>
      <c r="AF773" s="802"/>
      <c r="AG773" s="802"/>
      <c r="AH773" s="802"/>
      <c r="AI773" s="802"/>
      <c r="AJ773" s="802"/>
      <c r="AK773" s="802"/>
      <c r="AL773" s="802"/>
      <c r="AM773" s="802"/>
      <c r="AN773" s="802"/>
      <c r="AO773" s="802"/>
      <c r="AP773" s="802"/>
      <c r="AQ773" s="802"/>
      <c r="AR773" s="802"/>
      <c r="AS773" s="802"/>
      <c r="AT773" s="802"/>
      <c r="AU773" s="802"/>
      <c r="AV773" s="802"/>
      <c r="AW773" s="802"/>
      <c r="AX773" s="802"/>
      <c r="AY773" s="802"/>
    </row>
    <row r="774" ht="21.75" customHeight="1">
      <c r="A774" s="802"/>
      <c r="B774" s="802"/>
      <c r="C774" s="802"/>
      <c r="D774" s="802"/>
      <c r="E774" s="802"/>
      <c r="F774" s="802"/>
      <c r="G774" s="802"/>
      <c r="H774" s="802"/>
      <c r="I774" s="802"/>
      <c r="J774" s="802"/>
      <c r="K774" s="802"/>
      <c r="L774" s="802"/>
      <c r="M774" s="802"/>
      <c r="N774" s="802"/>
      <c r="O774" s="802"/>
      <c r="P774" s="802"/>
      <c r="Q774" s="802"/>
      <c r="R774" s="802"/>
      <c r="S774" s="802"/>
      <c r="T774" s="802"/>
      <c r="U774" s="802"/>
      <c r="V774" s="802"/>
      <c r="W774" s="802"/>
      <c r="X774" s="802"/>
      <c r="Y774" s="802"/>
      <c r="Z774" s="802"/>
      <c r="AA774" s="802"/>
      <c r="AB774" s="802"/>
      <c r="AC774" s="802"/>
      <c r="AD774" s="802"/>
      <c r="AE774" s="802"/>
      <c r="AF774" s="802"/>
      <c r="AG774" s="802"/>
      <c r="AH774" s="802"/>
      <c r="AI774" s="802"/>
      <c r="AJ774" s="802"/>
      <c r="AK774" s="802"/>
      <c r="AL774" s="802"/>
      <c r="AM774" s="802"/>
      <c r="AN774" s="802"/>
      <c r="AO774" s="802"/>
      <c r="AP774" s="802"/>
      <c r="AQ774" s="802"/>
      <c r="AR774" s="802"/>
      <c r="AS774" s="802"/>
      <c r="AT774" s="802"/>
      <c r="AU774" s="802"/>
      <c r="AV774" s="802"/>
      <c r="AW774" s="802"/>
      <c r="AX774" s="802"/>
      <c r="AY774" s="802"/>
    </row>
    <row r="775" ht="21.75" customHeight="1">
      <c r="A775" s="802"/>
      <c r="B775" s="802"/>
      <c r="C775" s="802"/>
      <c r="D775" s="802"/>
      <c r="E775" s="802"/>
      <c r="F775" s="802"/>
      <c r="G775" s="802"/>
      <c r="H775" s="802"/>
      <c r="I775" s="802"/>
      <c r="J775" s="802"/>
      <c r="K775" s="802"/>
      <c r="L775" s="802"/>
      <c r="M775" s="802"/>
      <c r="N775" s="802"/>
      <c r="O775" s="802"/>
      <c r="P775" s="802"/>
      <c r="Q775" s="802"/>
      <c r="R775" s="802"/>
      <c r="S775" s="802"/>
      <c r="T775" s="802"/>
      <c r="U775" s="802"/>
      <c r="V775" s="802"/>
      <c r="W775" s="802"/>
      <c r="X775" s="802"/>
      <c r="Y775" s="802"/>
      <c r="Z775" s="802"/>
      <c r="AA775" s="802"/>
      <c r="AB775" s="802"/>
      <c r="AC775" s="802"/>
      <c r="AD775" s="802"/>
      <c r="AE775" s="802"/>
      <c r="AF775" s="802"/>
      <c r="AG775" s="802"/>
      <c r="AH775" s="802"/>
      <c r="AI775" s="802"/>
      <c r="AJ775" s="802"/>
      <c r="AK775" s="802"/>
      <c r="AL775" s="802"/>
      <c r="AM775" s="802"/>
      <c r="AN775" s="802"/>
      <c r="AO775" s="802"/>
      <c r="AP775" s="802"/>
      <c r="AQ775" s="802"/>
      <c r="AR775" s="802"/>
      <c r="AS775" s="802"/>
      <c r="AT775" s="802"/>
      <c r="AU775" s="802"/>
      <c r="AV775" s="802"/>
      <c r="AW775" s="802"/>
      <c r="AX775" s="802"/>
      <c r="AY775" s="802"/>
    </row>
    <row r="776" ht="21.75" customHeight="1">
      <c r="A776" s="802"/>
      <c r="B776" s="802"/>
      <c r="C776" s="802"/>
      <c r="D776" s="802"/>
      <c r="E776" s="802"/>
      <c r="F776" s="802"/>
      <c r="G776" s="802"/>
      <c r="H776" s="802"/>
      <c r="I776" s="802"/>
      <c r="J776" s="802"/>
      <c r="K776" s="802"/>
      <c r="L776" s="802"/>
      <c r="M776" s="802"/>
      <c r="N776" s="802"/>
      <c r="O776" s="802"/>
      <c r="P776" s="802"/>
      <c r="Q776" s="802"/>
      <c r="R776" s="802"/>
      <c r="S776" s="802"/>
      <c r="T776" s="802"/>
      <c r="U776" s="802"/>
      <c r="V776" s="802"/>
      <c r="W776" s="802"/>
      <c r="X776" s="802"/>
      <c r="Y776" s="802"/>
      <c r="Z776" s="802"/>
      <c r="AA776" s="802"/>
      <c r="AB776" s="802"/>
      <c r="AC776" s="802"/>
      <c r="AD776" s="802"/>
      <c r="AE776" s="802"/>
      <c r="AF776" s="802"/>
      <c r="AG776" s="802"/>
      <c r="AH776" s="802"/>
      <c r="AI776" s="802"/>
      <c r="AJ776" s="802"/>
      <c r="AK776" s="802"/>
      <c r="AL776" s="802"/>
      <c r="AM776" s="802"/>
      <c r="AN776" s="802"/>
      <c r="AO776" s="802"/>
      <c r="AP776" s="802"/>
      <c r="AQ776" s="802"/>
      <c r="AR776" s="802"/>
      <c r="AS776" s="802"/>
      <c r="AT776" s="802"/>
      <c r="AU776" s="802"/>
      <c r="AV776" s="802"/>
      <c r="AW776" s="802"/>
      <c r="AX776" s="802"/>
      <c r="AY776" s="802"/>
    </row>
    <row r="777" ht="21.75" customHeight="1">
      <c r="A777" s="802"/>
      <c r="B777" s="802"/>
      <c r="C777" s="802"/>
      <c r="D777" s="802"/>
      <c r="E777" s="802"/>
      <c r="F777" s="802"/>
      <c r="G777" s="802"/>
      <c r="H777" s="802"/>
      <c r="I777" s="802"/>
      <c r="J777" s="802"/>
      <c r="K777" s="802"/>
      <c r="L777" s="802"/>
      <c r="M777" s="802"/>
      <c r="N777" s="802"/>
      <c r="O777" s="802"/>
      <c r="P777" s="802"/>
      <c r="Q777" s="802"/>
      <c r="R777" s="802"/>
      <c r="S777" s="802"/>
      <c r="T777" s="802"/>
      <c r="U777" s="802"/>
      <c r="V777" s="802"/>
      <c r="W777" s="802"/>
      <c r="X777" s="802"/>
      <c r="Y777" s="802"/>
      <c r="Z777" s="802"/>
      <c r="AA777" s="802"/>
      <c r="AB777" s="802"/>
      <c r="AC777" s="802"/>
      <c r="AD777" s="802"/>
      <c r="AE777" s="802"/>
      <c r="AF777" s="802"/>
      <c r="AG777" s="802"/>
      <c r="AH777" s="802"/>
      <c r="AI777" s="802"/>
      <c r="AJ777" s="802"/>
      <c r="AK777" s="802"/>
      <c r="AL777" s="802"/>
      <c r="AM777" s="802"/>
      <c r="AN777" s="802"/>
      <c r="AO777" s="802"/>
      <c r="AP777" s="802"/>
      <c r="AQ777" s="802"/>
      <c r="AR777" s="802"/>
      <c r="AS777" s="802"/>
      <c r="AT777" s="802"/>
      <c r="AU777" s="802"/>
      <c r="AV777" s="802"/>
      <c r="AW777" s="802"/>
      <c r="AX777" s="802"/>
      <c r="AY777" s="802"/>
    </row>
    <row r="778" ht="21.75" customHeight="1">
      <c r="A778" s="802"/>
      <c r="B778" s="802"/>
      <c r="C778" s="802"/>
      <c r="D778" s="802"/>
      <c r="E778" s="802"/>
      <c r="F778" s="802"/>
      <c r="G778" s="802"/>
      <c r="H778" s="802"/>
      <c r="I778" s="802"/>
      <c r="J778" s="802"/>
      <c r="K778" s="802"/>
      <c r="L778" s="802"/>
      <c r="M778" s="802"/>
      <c r="N778" s="802"/>
      <c r="O778" s="802"/>
      <c r="P778" s="802"/>
      <c r="Q778" s="802"/>
      <c r="R778" s="802"/>
      <c r="S778" s="802"/>
      <c r="T778" s="802"/>
      <c r="U778" s="802"/>
      <c r="V778" s="802"/>
      <c r="W778" s="802"/>
      <c r="X778" s="802"/>
      <c r="Y778" s="802"/>
      <c r="Z778" s="802"/>
      <c r="AA778" s="802"/>
      <c r="AB778" s="802"/>
      <c r="AC778" s="802"/>
      <c r="AD778" s="802"/>
      <c r="AE778" s="802"/>
      <c r="AF778" s="802"/>
      <c r="AG778" s="802"/>
      <c r="AH778" s="802"/>
      <c r="AI778" s="802"/>
      <c r="AJ778" s="802"/>
      <c r="AK778" s="802"/>
      <c r="AL778" s="802"/>
      <c r="AM778" s="802"/>
      <c r="AN778" s="802"/>
      <c r="AO778" s="802"/>
      <c r="AP778" s="802"/>
      <c r="AQ778" s="802"/>
      <c r="AR778" s="802"/>
      <c r="AS778" s="802"/>
      <c r="AT778" s="802"/>
      <c r="AU778" s="802"/>
      <c r="AV778" s="802"/>
      <c r="AW778" s="802"/>
      <c r="AX778" s="802"/>
      <c r="AY778" s="802"/>
    </row>
    <row r="779" ht="21.75" customHeight="1">
      <c r="A779" s="802"/>
      <c r="B779" s="802"/>
      <c r="C779" s="802"/>
      <c r="D779" s="802"/>
      <c r="E779" s="802"/>
      <c r="F779" s="802"/>
      <c r="G779" s="802"/>
      <c r="H779" s="802"/>
      <c r="I779" s="802"/>
      <c r="J779" s="802"/>
      <c r="K779" s="802"/>
      <c r="L779" s="802"/>
      <c r="M779" s="802"/>
      <c r="N779" s="802"/>
      <c r="O779" s="802"/>
      <c r="P779" s="802"/>
      <c r="Q779" s="802"/>
      <c r="R779" s="802"/>
      <c r="S779" s="802"/>
      <c r="T779" s="802"/>
      <c r="U779" s="802"/>
      <c r="V779" s="802"/>
      <c r="W779" s="802"/>
      <c r="X779" s="802"/>
      <c r="Y779" s="802"/>
      <c r="Z779" s="802"/>
      <c r="AA779" s="802"/>
      <c r="AB779" s="802"/>
      <c r="AC779" s="802"/>
      <c r="AD779" s="802"/>
      <c r="AE779" s="802"/>
      <c r="AF779" s="802"/>
      <c r="AG779" s="802"/>
      <c r="AH779" s="802"/>
      <c r="AI779" s="802"/>
      <c r="AJ779" s="802"/>
      <c r="AK779" s="802"/>
      <c r="AL779" s="802"/>
      <c r="AM779" s="802"/>
      <c r="AN779" s="802"/>
      <c r="AO779" s="802"/>
      <c r="AP779" s="802"/>
      <c r="AQ779" s="802"/>
      <c r="AR779" s="802"/>
      <c r="AS779" s="802"/>
      <c r="AT779" s="802"/>
      <c r="AU779" s="802"/>
      <c r="AV779" s="802"/>
      <c r="AW779" s="802"/>
      <c r="AX779" s="802"/>
      <c r="AY779" s="802"/>
    </row>
    <row r="780" ht="21.75" customHeight="1">
      <c r="A780" s="802"/>
      <c r="B780" s="802"/>
      <c r="C780" s="802"/>
      <c r="D780" s="802"/>
      <c r="E780" s="802"/>
      <c r="F780" s="802"/>
      <c r="G780" s="802"/>
      <c r="H780" s="802"/>
      <c r="I780" s="802"/>
      <c r="J780" s="802"/>
      <c r="K780" s="802"/>
      <c r="L780" s="802"/>
      <c r="M780" s="802"/>
      <c r="N780" s="802"/>
      <c r="O780" s="802"/>
      <c r="P780" s="802"/>
      <c r="Q780" s="802"/>
      <c r="R780" s="802"/>
      <c r="S780" s="802"/>
      <c r="T780" s="802"/>
      <c r="U780" s="802"/>
      <c r="V780" s="802"/>
      <c r="W780" s="802"/>
      <c r="X780" s="802"/>
      <c r="Y780" s="802"/>
      <c r="Z780" s="802"/>
      <c r="AA780" s="802"/>
      <c r="AB780" s="802"/>
      <c r="AC780" s="802"/>
      <c r="AD780" s="802"/>
      <c r="AE780" s="802"/>
      <c r="AF780" s="802"/>
      <c r="AG780" s="802"/>
      <c r="AH780" s="802"/>
      <c r="AI780" s="802"/>
      <c r="AJ780" s="802"/>
      <c r="AK780" s="802"/>
      <c r="AL780" s="802"/>
      <c r="AM780" s="802"/>
      <c r="AN780" s="802"/>
      <c r="AO780" s="802"/>
      <c r="AP780" s="802"/>
      <c r="AQ780" s="802"/>
      <c r="AR780" s="802"/>
      <c r="AS780" s="802"/>
      <c r="AT780" s="802"/>
      <c r="AU780" s="802"/>
      <c r="AV780" s="802"/>
      <c r="AW780" s="802"/>
      <c r="AX780" s="802"/>
      <c r="AY780" s="802"/>
    </row>
    <row r="781" ht="21.75" customHeight="1">
      <c r="A781" s="802"/>
      <c r="B781" s="802"/>
      <c r="C781" s="802"/>
      <c r="D781" s="802"/>
      <c r="E781" s="802"/>
      <c r="F781" s="802"/>
      <c r="G781" s="802"/>
      <c r="H781" s="802"/>
      <c r="I781" s="802"/>
      <c r="J781" s="802"/>
      <c r="K781" s="802"/>
      <c r="L781" s="802"/>
      <c r="M781" s="802"/>
      <c r="N781" s="802"/>
      <c r="O781" s="802"/>
      <c r="P781" s="802"/>
      <c r="Q781" s="802"/>
      <c r="R781" s="802"/>
      <c r="S781" s="802"/>
      <c r="T781" s="802"/>
      <c r="U781" s="802"/>
      <c r="V781" s="802"/>
      <c r="W781" s="802"/>
      <c r="X781" s="802"/>
      <c r="Y781" s="802"/>
      <c r="Z781" s="802"/>
      <c r="AA781" s="802"/>
      <c r="AB781" s="802"/>
      <c r="AC781" s="802"/>
      <c r="AD781" s="802"/>
      <c r="AE781" s="802"/>
      <c r="AF781" s="802"/>
      <c r="AG781" s="802"/>
      <c r="AH781" s="802"/>
      <c r="AI781" s="802"/>
      <c r="AJ781" s="802"/>
      <c r="AK781" s="802"/>
      <c r="AL781" s="802"/>
      <c r="AM781" s="802"/>
      <c r="AN781" s="802"/>
      <c r="AO781" s="802"/>
      <c r="AP781" s="802"/>
      <c r="AQ781" s="802"/>
      <c r="AR781" s="802"/>
      <c r="AS781" s="802"/>
      <c r="AT781" s="802"/>
      <c r="AU781" s="802"/>
      <c r="AV781" s="802"/>
      <c r="AW781" s="802"/>
      <c r="AX781" s="802"/>
      <c r="AY781" s="802"/>
    </row>
    <row r="782" ht="21.75" customHeight="1">
      <c r="A782" s="802"/>
      <c r="B782" s="802"/>
      <c r="C782" s="802"/>
      <c r="D782" s="802"/>
      <c r="E782" s="802"/>
      <c r="F782" s="802"/>
      <c r="G782" s="802"/>
      <c r="H782" s="802"/>
      <c r="I782" s="802"/>
      <c r="J782" s="802"/>
      <c r="K782" s="802"/>
      <c r="L782" s="802"/>
      <c r="M782" s="802"/>
      <c r="N782" s="802"/>
      <c r="O782" s="802"/>
      <c r="P782" s="802"/>
      <c r="Q782" s="802"/>
      <c r="R782" s="802"/>
      <c r="S782" s="802"/>
      <c r="T782" s="802"/>
      <c r="U782" s="802"/>
      <c r="V782" s="802"/>
      <c r="W782" s="802"/>
      <c r="X782" s="802"/>
      <c r="Y782" s="802"/>
      <c r="Z782" s="802"/>
      <c r="AA782" s="802"/>
      <c r="AB782" s="802"/>
      <c r="AC782" s="802"/>
      <c r="AD782" s="802"/>
      <c r="AE782" s="802"/>
      <c r="AF782" s="802"/>
      <c r="AG782" s="802"/>
      <c r="AH782" s="802"/>
      <c r="AI782" s="802"/>
      <c r="AJ782" s="802"/>
      <c r="AK782" s="802"/>
      <c r="AL782" s="802"/>
      <c r="AM782" s="802"/>
      <c r="AN782" s="802"/>
      <c r="AO782" s="802"/>
      <c r="AP782" s="802"/>
      <c r="AQ782" s="802"/>
      <c r="AR782" s="802"/>
      <c r="AS782" s="802"/>
      <c r="AT782" s="802"/>
      <c r="AU782" s="802"/>
      <c r="AV782" s="802"/>
      <c r="AW782" s="802"/>
      <c r="AX782" s="802"/>
      <c r="AY782" s="802"/>
    </row>
    <row r="783" ht="21.75" customHeight="1">
      <c r="A783" s="802"/>
      <c r="B783" s="802"/>
      <c r="C783" s="802"/>
      <c r="D783" s="802"/>
      <c r="E783" s="802"/>
      <c r="F783" s="802"/>
      <c r="G783" s="802"/>
      <c r="H783" s="802"/>
      <c r="I783" s="802"/>
      <c r="J783" s="802"/>
      <c r="K783" s="802"/>
      <c r="L783" s="802"/>
      <c r="M783" s="802"/>
      <c r="N783" s="802"/>
      <c r="O783" s="802"/>
      <c r="P783" s="802"/>
      <c r="Q783" s="802"/>
      <c r="R783" s="802"/>
      <c r="S783" s="802"/>
      <c r="T783" s="802"/>
      <c r="U783" s="802"/>
      <c r="V783" s="802"/>
      <c r="W783" s="802"/>
      <c r="X783" s="802"/>
      <c r="Y783" s="802"/>
      <c r="Z783" s="802"/>
      <c r="AA783" s="802"/>
      <c r="AB783" s="802"/>
      <c r="AC783" s="802"/>
      <c r="AD783" s="802"/>
      <c r="AE783" s="802"/>
      <c r="AF783" s="802"/>
      <c r="AG783" s="802"/>
      <c r="AH783" s="802"/>
      <c r="AI783" s="802"/>
      <c r="AJ783" s="802"/>
      <c r="AK783" s="802"/>
      <c r="AL783" s="802"/>
      <c r="AM783" s="802"/>
      <c r="AN783" s="802"/>
      <c r="AO783" s="802"/>
      <c r="AP783" s="802"/>
      <c r="AQ783" s="802"/>
      <c r="AR783" s="802"/>
      <c r="AS783" s="802"/>
      <c r="AT783" s="802"/>
      <c r="AU783" s="802"/>
      <c r="AV783" s="802"/>
      <c r="AW783" s="802"/>
      <c r="AX783" s="802"/>
      <c r="AY783" s="802"/>
    </row>
    <row r="784" ht="21.75" customHeight="1">
      <c r="A784" s="802"/>
      <c r="B784" s="802"/>
      <c r="C784" s="802"/>
      <c r="D784" s="802"/>
      <c r="E784" s="802"/>
      <c r="F784" s="802"/>
      <c r="G784" s="802"/>
      <c r="H784" s="802"/>
      <c r="I784" s="802"/>
      <c r="J784" s="802"/>
      <c r="K784" s="802"/>
      <c r="L784" s="802"/>
      <c r="M784" s="802"/>
      <c r="N784" s="802"/>
      <c r="O784" s="802"/>
      <c r="P784" s="802"/>
      <c r="Q784" s="802"/>
      <c r="R784" s="802"/>
      <c r="S784" s="802"/>
      <c r="T784" s="802"/>
      <c r="U784" s="802"/>
      <c r="V784" s="802"/>
      <c r="W784" s="802"/>
      <c r="X784" s="802"/>
      <c r="Y784" s="802"/>
      <c r="Z784" s="802"/>
      <c r="AA784" s="802"/>
      <c r="AB784" s="802"/>
      <c r="AC784" s="802"/>
      <c r="AD784" s="802"/>
      <c r="AE784" s="802"/>
      <c r="AF784" s="802"/>
      <c r="AG784" s="802"/>
      <c r="AH784" s="802"/>
      <c r="AI784" s="802"/>
      <c r="AJ784" s="802"/>
      <c r="AK784" s="802"/>
      <c r="AL784" s="802"/>
      <c r="AM784" s="802"/>
      <c r="AN784" s="802"/>
      <c r="AO784" s="802"/>
      <c r="AP784" s="802"/>
      <c r="AQ784" s="802"/>
      <c r="AR784" s="802"/>
      <c r="AS784" s="802"/>
      <c r="AT784" s="802"/>
      <c r="AU784" s="802"/>
      <c r="AV784" s="802"/>
      <c r="AW784" s="802"/>
      <c r="AX784" s="802"/>
      <c r="AY784" s="802"/>
    </row>
    <row r="785" ht="21.75" customHeight="1">
      <c r="A785" s="802"/>
      <c r="B785" s="802"/>
      <c r="C785" s="802"/>
      <c r="D785" s="802"/>
      <c r="E785" s="802"/>
      <c r="F785" s="802"/>
      <c r="G785" s="802"/>
      <c r="H785" s="802"/>
      <c r="I785" s="802"/>
      <c r="J785" s="802"/>
      <c r="K785" s="802"/>
      <c r="L785" s="802"/>
      <c r="M785" s="802"/>
      <c r="N785" s="802"/>
      <c r="O785" s="802"/>
      <c r="P785" s="802"/>
      <c r="Q785" s="802"/>
      <c r="R785" s="802"/>
      <c r="S785" s="802"/>
      <c r="T785" s="802"/>
      <c r="U785" s="802"/>
      <c r="V785" s="802"/>
      <c r="W785" s="802"/>
      <c r="X785" s="802"/>
      <c r="Y785" s="802"/>
      <c r="Z785" s="802"/>
      <c r="AA785" s="802"/>
      <c r="AB785" s="802"/>
      <c r="AC785" s="802"/>
      <c r="AD785" s="802"/>
      <c r="AE785" s="802"/>
      <c r="AF785" s="802"/>
      <c r="AG785" s="802"/>
      <c r="AH785" s="802"/>
      <c r="AI785" s="802"/>
      <c r="AJ785" s="802"/>
      <c r="AK785" s="802"/>
      <c r="AL785" s="802"/>
      <c r="AM785" s="802"/>
      <c r="AN785" s="802"/>
      <c r="AO785" s="802"/>
      <c r="AP785" s="802"/>
      <c r="AQ785" s="802"/>
      <c r="AR785" s="802"/>
      <c r="AS785" s="802"/>
      <c r="AT785" s="802"/>
      <c r="AU785" s="802"/>
      <c r="AV785" s="802"/>
      <c r="AW785" s="802"/>
      <c r="AX785" s="802"/>
      <c r="AY785" s="802"/>
    </row>
    <row r="786" ht="21.75" customHeight="1">
      <c r="A786" s="802"/>
      <c r="B786" s="802"/>
      <c r="C786" s="802"/>
      <c r="D786" s="802"/>
      <c r="E786" s="802"/>
      <c r="F786" s="802"/>
      <c r="G786" s="802"/>
      <c r="H786" s="802"/>
      <c r="I786" s="802"/>
      <c r="J786" s="802"/>
      <c r="K786" s="802"/>
      <c r="L786" s="802"/>
      <c r="M786" s="802"/>
      <c r="N786" s="802"/>
      <c r="O786" s="802"/>
      <c r="P786" s="802"/>
      <c r="Q786" s="802"/>
      <c r="R786" s="802"/>
      <c r="S786" s="802"/>
      <c r="T786" s="802"/>
      <c r="U786" s="802"/>
      <c r="V786" s="802"/>
      <c r="W786" s="802"/>
      <c r="X786" s="802"/>
      <c r="Y786" s="802"/>
      <c r="Z786" s="802"/>
      <c r="AA786" s="802"/>
      <c r="AB786" s="802"/>
      <c r="AC786" s="802"/>
      <c r="AD786" s="802"/>
      <c r="AE786" s="802"/>
      <c r="AF786" s="802"/>
      <c r="AG786" s="802"/>
      <c r="AH786" s="802"/>
      <c r="AI786" s="802"/>
      <c r="AJ786" s="802"/>
      <c r="AK786" s="802"/>
      <c r="AL786" s="802"/>
      <c r="AM786" s="802"/>
      <c r="AN786" s="802"/>
      <c r="AO786" s="802"/>
      <c r="AP786" s="802"/>
      <c r="AQ786" s="802"/>
      <c r="AR786" s="802"/>
      <c r="AS786" s="802"/>
      <c r="AT786" s="802"/>
      <c r="AU786" s="802"/>
      <c r="AV786" s="802"/>
      <c r="AW786" s="802"/>
      <c r="AX786" s="802"/>
      <c r="AY786" s="802"/>
    </row>
    <row r="787" ht="21.75" customHeight="1">
      <c r="A787" s="802"/>
      <c r="B787" s="802"/>
      <c r="C787" s="802"/>
      <c r="D787" s="802"/>
      <c r="E787" s="802"/>
      <c r="F787" s="802"/>
      <c r="G787" s="802"/>
      <c r="H787" s="802"/>
      <c r="I787" s="802"/>
      <c r="J787" s="802"/>
      <c r="K787" s="802"/>
      <c r="L787" s="802"/>
      <c r="M787" s="802"/>
      <c r="N787" s="802"/>
      <c r="O787" s="802"/>
      <c r="P787" s="802"/>
      <c r="Q787" s="802"/>
      <c r="R787" s="802"/>
      <c r="S787" s="802"/>
      <c r="T787" s="802"/>
      <c r="U787" s="802"/>
      <c r="V787" s="802"/>
      <c r="W787" s="802"/>
      <c r="X787" s="802"/>
      <c r="Y787" s="802"/>
      <c r="Z787" s="802"/>
      <c r="AA787" s="802"/>
      <c r="AB787" s="802"/>
      <c r="AC787" s="802"/>
      <c r="AD787" s="802"/>
      <c r="AE787" s="802"/>
      <c r="AF787" s="802"/>
      <c r="AG787" s="802"/>
      <c r="AH787" s="802"/>
      <c r="AI787" s="802"/>
      <c r="AJ787" s="802"/>
      <c r="AK787" s="802"/>
      <c r="AL787" s="802"/>
      <c r="AM787" s="802"/>
      <c r="AN787" s="802"/>
      <c r="AO787" s="802"/>
      <c r="AP787" s="802"/>
      <c r="AQ787" s="802"/>
      <c r="AR787" s="802"/>
      <c r="AS787" s="802"/>
      <c r="AT787" s="802"/>
      <c r="AU787" s="802"/>
      <c r="AV787" s="802"/>
      <c r="AW787" s="802"/>
      <c r="AX787" s="802"/>
      <c r="AY787" s="802"/>
    </row>
    <row r="788" ht="21.75" customHeight="1">
      <c r="A788" s="802"/>
      <c r="B788" s="802"/>
      <c r="C788" s="802"/>
      <c r="D788" s="802"/>
      <c r="E788" s="802"/>
      <c r="F788" s="802"/>
      <c r="G788" s="802"/>
      <c r="H788" s="802"/>
      <c r="I788" s="802"/>
      <c r="J788" s="802"/>
      <c r="K788" s="802"/>
      <c r="L788" s="802"/>
      <c r="M788" s="802"/>
      <c r="N788" s="802"/>
      <c r="O788" s="802"/>
      <c r="P788" s="802"/>
      <c r="Q788" s="802"/>
      <c r="R788" s="802"/>
      <c r="S788" s="802"/>
      <c r="T788" s="802"/>
      <c r="U788" s="802"/>
      <c r="V788" s="802"/>
      <c r="W788" s="802"/>
      <c r="X788" s="802"/>
      <c r="Y788" s="802"/>
      <c r="Z788" s="802"/>
      <c r="AA788" s="802"/>
      <c r="AB788" s="802"/>
      <c r="AC788" s="802"/>
      <c r="AD788" s="802"/>
      <c r="AE788" s="802"/>
      <c r="AF788" s="802"/>
      <c r="AG788" s="802"/>
      <c r="AH788" s="802"/>
      <c r="AI788" s="802"/>
      <c r="AJ788" s="802"/>
      <c r="AK788" s="802"/>
      <c r="AL788" s="802"/>
      <c r="AM788" s="802"/>
      <c r="AN788" s="802"/>
      <c r="AO788" s="802"/>
      <c r="AP788" s="802"/>
      <c r="AQ788" s="802"/>
      <c r="AR788" s="802"/>
      <c r="AS788" s="802"/>
      <c r="AT788" s="802"/>
      <c r="AU788" s="802"/>
      <c r="AV788" s="802"/>
      <c r="AW788" s="802"/>
      <c r="AX788" s="802"/>
      <c r="AY788" s="802"/>
    </row>
    <row r="789" ht="21.75" customHeight="1">
      <c r="A789" s="802"/>
      <c r="B789" s="802"/>
      <c r="C789" s="802"/>
      <c r="D789" s="802"/>
      <c r="E789" s="802"/>
      <c r="F789" s="802"/>
      <c r="G789" s="802"/>
      <c r="H789" s="802"/>
      <c r="I789" s="802"/>
      <c r="J789" s="802"/>
      <c r="K789" s="802"/>
      <c r="L789" s="802"/>
      <c r="M789" s="802"/>
      <c r="N789" s="802"/>
      <c r="O789" s="802"/>
      <c r="P789" s="802"/>
      <c r="Q789" s="802"/>
      <c r="R789" s="802"/>
      <c r="S789" s="802"/>
      <c r="T789" s="802"/>
      <c r="U789" s="802"/>
      <c r="V789" s="802"/>
      <c r="W789" s="802"/>
      <c r="X789" s="802"/>
      <c r="Y789" s="802"/>
      <c r="Z789" s="802"/>
      <c r="AA789" s="802"/>
      <c r="AB789" s="802"/>
      <c r="AC789" s="802"/>
      <c r="AD789" s="802"/>
      <c r="AE789" s="802"/>
      <c r="AF789" s="802"/>
      <c r="AG789" s="802"/>
      <c r="AH789" s="802"/>
      <c r="AI789" s="802"/>
      <c r="AJ789" s="802"/>
      <c r="AK789" s="802"/>
      <c r="AL789" s="802"/>
      <c r="AM789" s="802"/>
      <c r="AN789" s="802"/>
      <c r="AO789" s="802"/>
      <c r="AP789" s="802"/>
      <c r="AQ789" s="802"/>
      <c r="AR789" s="802"/>
      <c r="AS789" s="802"/>
      <c r="AT789" s="802"/>
      <c r="AU789" s="802"/>
      <c r="AV789" s="802"/>
      <c r="AW789" s="802"/>
      <c r="AX789" s="802"/>
      <c r="AY789" s="802"/>
    </row>
    <row r="790" ht="21.75" customHeight="1">
      <c r="A790" s="802"/>
      <c r="B790" s="802"/>
      <c r="C790" s="802"/>
      <c r="D790" s="802"/>
      <c r="E790" s="802"/>
      <c r="F790" s="802"/>
      <c r="G790" s="802"/>
      <c r="H790" s="802"/>
      <c r="I790" s="802"/>
      <c r="J790" s="802"/>
      <c r="K790" s="802"/>
      <c r="L790" s="802"/>
      <c r="M790" s="802"/>
      <c r="N790" s="802"/>
      <c r="O790" s="802"/>
      <c r="P790" s="802"/>
      <c r="Q790" s="802"/>
      <c r="R790" s="802"/>
      <c r="S790" s="802"/>
      <c r="T790" s="802"/>
      <c r="U790" s="802"/>
      <c r="V790" s="802"/>
      <c r="W790" s="802"/>
      <c r="X790" s="802"/>
      <c r="Y790" s="802"/>
      <c r="Z790" s="802"/>
      <c r="AA790" s="802"/>
      <c r="AB790" s="802"/>
      <c r="AC790" s="802"/>
      <c r="AD790" s="802"/>
      <c r="AE790" s="802"/>
      <c r="AF790" s="802"/>
      <c r="AG790" s="802"/>
      <c r="AH790" s="802"/>
      <c r="AI790" s="802"/>
      <c r="AJ790" s="802"/>
      <c r="AK790" s="802"/>
      <c r="AL790" s="802"/>
      <c r="AM790" s="802"/>
      <c r="AN790" s="802"/>
      <c r="AO790" s="802"/>
      <c r="AP790" s="802"/>
      <c r="AQ790" s="802"/>
      <c r="AR790" s="802"/>
      <c r="AS790" s="802"/>
      <c r="AT790" s="802"/>
      <c r="AU790" s="802"/>
      <c r="AV790" s="802"/>
      <c r="AW790" s="802"/>
      <c r="AX790" s="802"/>
      <c r="AY790" s="802"/>
    </row>
    <row r="791" ht="21.75" customHeight="1">
      <c r="A791" s="802"/>
      <c r="B791" s="802"/>
      <c r="C791" s="802"/>
      <c r="D791" s="802"/>
      <c r="E791" s="802"/>
      <c r="F791" s="802"/>
      <c r="G791" s="802"/>
      <c r="H791" s="802"/>
      <c r="I791" s="802"/>
      <c r="J791" s="802"/>
      <c r="K791" s="802"/>
      <c r="L791" s="802"/>
      <c r="M791" s="802"/>
      <c r="N791" s="802"/>
      <c r="O791" s="802"/>
      <c r="P791" s="802"/>
      <c r="Q791" s="802"/>
      <c r="R791" s="802"/>
      <c r="S791" s="802"/>
      <c r="T791" s="802"/>
      <c r="U791" s="802"/>
      <c r="V791" s="802"/>
      <c r="W791" s="802"/>
      <c r="X791" s="802"/>
      <c r="Y791" s="802"/>
      <c r="Z791" s="802"/>
      <c r="AA791" s="802"/>
      <c r="AB791" s="802"/>
      <c r="AC791" s="802"/>
      <c r="AD791" s="802"/>
      <c r="AE791" s="802"/>
      <c r="AF791" s="802"/>
      <c r="AG791" s="802"/>
      <c r="AH791" s="802"/>
      <c r="AI791" s="802"/>
      <c r="AJ791" s="802"/>
      <c r="AK791" s="802"/>
      <c r="AL791" s="802"/>
      <c r="AM791" s="802"/>
      <c r="AN791" s="802"/>
      <c r="AO791" s="802"/>
      <c r="AP791" s="802"/>
      <c r="AQ791" s="802"/>
      <c r="AR791" s="802"/>
      <c r="AS791" s="802"/>
      <c r="AT791" s="802"/>
      <c r="AU791" s="802"/>
      <c r="AV791" s="802"/>
      <c r="AW791" s="802"/>
      <c r="AX791" s="802"/>
      <c r="AY791" s="802"/>
    </row>
    <row r="792" ht="21.75" customHeight="1">
      <c r="A792" s="802"/>
      <c r="B792" s="802"/>
      <c r="C792" s="802"/>
      <c r="D792" s="802"/>
      <c r="E792" s="802"/>
      <c r="F792" s="802"/>
      <c r="G792" s="802"/>
      <c r="H792" s="802"/>
      <c r="I792" s="802"/>
      <c r="J792" s="802"/>
      <c r="K792" s="802"/>
      <c r="L792" s="802"/>
      <c r="M792" s="802"/>
      <c r="N792" s="802"/>
      <c r="O792" s="802"/>
      <c r="P792" s="802"/>
      <c r="Q792" s="802"/>
      <c r="R792" s="802"/>
      <c r="S792" s="802"/>
      <c r="T792" s="802"/>
      <c r="U792" s="802"/>
      <c r="V792" s="802"/>
      <c r="W792" s="802"/>
      <c r="X792" s="802"/>
      <c r="Y792" s="802"/>
      <c r="Z792" s="802"/>
      <c r="AA792" s="802"/>
      <c r="AB792" s="802"/>
      <c r="AC792" s="802"/>
      <c r="AD792" s="802"/>
      <c r="AE792" s="802"/>
      <c r="AF792" s="802"/>
      <c r="AG792" s="802"/>
      <c r="AH792" s="802"/>
      <c r="AI792" s="802"/>
      <c r="AJ792" s="802"/>
      <c r="AK792" s="802"/>
      <c r="AL792" s="802"/>
      <c r="AM792" s="802"/>
      <c r="AN792" s="802"/>
      <c r="AO792" s="802"/>
      <c r="AP792" s="802"/>
      <c r="AQ792" s="802"/>
      <c r="AR792" s="802"/>
      <c r="AS792" s="802"/>
      <c r="AT792" s="802"/>
      <c r="AU792" s="802"/>
      <c r="AV792" s="802"/>
      <c r="AW792" s="802"/>
      <c r="AX792" s="802"/>
      <c r="AY792" s="802"/>
    </row>
    <row r="793" ht="21.75" customHeight="1">
      <c r="A793" s="802"/>
      <c r="B793" s="802"/>
      <c r="C793" s="802"/>
      <c r="D793" s="802"/>
      <c r="E793" s="802"/>
      <c r="F793" s="802"/>
      <c r="G793" s="802"/>
      <c r="H793" s="802"/>
      <c r="I793" s="802"/>
      <c r="J793" s="802"/>
      <c r="K793" s="802"/>
      <c r="L793" s="802"/>
      <c r="M793" s="802"/>
      <c r="N793" s="802"/>
      <c r="O793" s="802"/>
      <c r="P793" s="802"/>
      <c r="Q793" s="802"/>
      <c r="R793" s="802"/>
      <c r="S793" s="802"/>
      <c r="T793" s="802"/>
      <c r="U793" s="802"/>
      <c r="V793" s="802"/>
      <c r="W793" s="802"/>
      <c r="X793" s="802"/>
      <c r="Y793" s="802"/>
      <c r="Z793" s="802"/>
      <c r="AA793" s="802"/>
      <c r="AB793" s="802"/>
      <c r="AC793" s="802"/>
      <c r="AD793" s="802"/>
      <c r="AE793" s="802"/>
      <c r="AF793" s="802"/>
      <c r="AG793" s="802"/>
      <c r="AH793" s="802"/>
      <c r="AI793" s="802"/>
      <c r="AJ793" s="802"/>
      <c r="AK793" s="802"/>
      <c r="AL793" s="802"/>
      <c r="AM793" s="802"/>
      <c r="AN793" s="802"/>
      <c r="AO793" s="802"/>
      <c r="AP793" s="802"/>
      <c r="AQ793" s="802"/>
      <c r="AR793" s="802"/>
      <c r="AS793" s="802"/>
      <c r="AT793" s="802"/>
      <c r="AU793" s="802"/>
      <c r="AV793" s="802"/>
      <c r="AW793" s="802"/>
      <c r="AX793" s="802"/>
      <c r="AY793" s="802"/>
    </row>
    <row r="794" ht="21.75" customHeight="1">
      <c r="A794" s="802"/>
      <c r="B794" s="802"/>
      <c r="C794" s="802"/>
      <c r="D794" s="802"/>
      <c r="E794" s="802"/>
      <c r="F794" s="802"/>
      <c r="G794" s="802"/>
      <c r="H794" s="802"/>
      <c r="I794" s="802"/>
      <c r="J794" s="802"/>
      <c r="K794" s="802"/>
      <c r="L794" s="802"/>
      <c r="M794" s="802"/>
      <c r="N794" s="802"/>
      <c r="O794" s="802"/>
      <c r="P794" s="802"/>
      <c r="Q794" s="802"/>
      <c r="R794" s="802"/>
      <c r="S794" s="802"/>
      <c r="T794" s="802"/>
      <c r="U794" s="802"/>
      <c r="V794" s="802"/>
      <c r="W794" s="802"/>
      <c r="X794" s="802"/>
      <c r="Y794" s="802"/>
      <c r="Z794" s="802"/>
      <c r="AA794" s="802"/>
      <c r="AB794" s="802"/>
      <c r="AC794" s="802"/>
      <c r="AD794" s="802"/>
      <c r="AE794" s="802"/>
      <c r="AF794" s="802"/>
      <c r="AG794" s="802"/>
      <c r="AH794" s="802"/>
      <c r="AI794" s="802"/>
      <c r="AJ794" s="802"/>
      <c r="AK794" s="802"/>
      <c r="AL794" s="802"/>
      <c r="AM794" s="802"/>
      <c r="AN794" s="802"/>
      <c r="AO794" s="802"/>
      <c r="AP794" s="802"/>
      <c r="AQ794" s="802"/>
      <c r="AR794" s="802"/>
      <c r="AS794" s="802"/>
      <c r="AT794" s="802"/>
      <c r="AU794" s="802"/>
      <c r="AV794" s="802"/>
      <c r="AW794" s="802"/>
      <c r="AX794" s="802"/>
      <c r="AY794" s="802"/>
    </row>
    <row r="795" ht="21.75" customHeight="1">
      <c r="A795" s="802"/>
      <c r="B795" s="802"/>
      <c r="C795" s="802"/>
      <c r="D795" s="802"/>
      <c r="E795" s="802"/>
      <c r="F795" s="802"/>
      <c r="G795" s="802"/>
      <c r="H795" s="802"/>
      <c r="I795" s="802"/>
      <c r="J795" s="802"/>
      <c r="K795" s="802"/>
      <c r="L795" s="802"/>
      <c r="M795" s="802"/>
      <c r="N795" s="802"/>
      <c r="O795" s="802"/>
      <c r="P795" s="802"/>
      <c r="Q795" s="802"/>
      <c r="R795" s="802"/>
      <c r="S795" s="802"/>
      <c r="T795" s="802"/>
      <c r="U795" s="802"/>
      <c r="V795" s="802"/>
      <c r="W795" s="802"/>
      <c r="X795" s="802"/>
      <c r="Y795" s="802"/>
      <c r="Z795" s="802"/>
      <c r="AA795" s="802"/>
      <c r="AB795" s="802"/>
      <c r="AC795" s="802"/>
      <c r="AD795" s="802"/>
      <c r="AE795" s="802"/>
      <c r="AF795" s="802"/>
      <c r="AG795" s="802"/>
      <c r="AH795" s="802"/>
      <c r="AI795" s="802"/>
      <c r="AJ795" s="802"/>
      <c r="AK795" s="802"/>
      <c r="AL795" s="802"/>
      <c r="AM795" s="802"/>
      <c r="AN795" s="802"/>
      <c r="AO795" s="802"/>
      <c r="AP795" s="802"/>
      <c r="AQ795" s="802"/>
      <c r="AR795" s="802"/>
      <c r="AS795" s="802"/>
      <c r="AT795" s="802"/>
      <c r="AU795" s="802"/>
      <c r="AV795" s="802"/>
      <c r="AW795" s="802"/>
      <c r="AX795" s="802"/>
      <c r="AY795" s="802"/>
    </row>
    <row r="796" ht="21.75" customHeight="1">
      <c r="A796" s="802"/>
      <c r="B796" s="802"/>
      <c r="C796" s="802"/>
      <c r="D796" s="802"/>
      <c r="E796" s="802"/>
      <c r="F796" s="802"/>
      <c r="G796" s="802"/>
      <c r="H796" s="802"/>
      <c r="I796" s="802"/>
      <c r="J796" s="802"/>
      <c r="K796" s="802"/>
      <c r="L796" s="802"/>
      <c r="M796" s="802"/>
      <c r="N796" s="802"/>
      <c r="O796" s="802"/>
      <c r="P796" s="802"/>
      <c r="Q796" s="802"/>
      <c r="R796" s="802"/>
      <c r="S796" s="802"/>
      <c r="T796" s="802"/>
      <c r="U796" s="802"/>
      <c r="V796" s="802"/>
      <c r="W796" s="802"/>
      <c r="X796" s="802"/>
      <c r="Y796" s="802"/>
      <c r="Z796" s="802"/>
      <c r="AA796" s="802"/>
      <c r="AB796" s="802"/>
      <c r="AC796" s="802"/>
      <c r="AD796" s="802"/>
      <c r="AE796" s="802"/>
      <c r="AF796" s="802"/>
      <c r="AG796" s="802"/>
      <c r="AH796" s="802"/>
      <c r="AI796" s="802"/>
      <c r="AJ796" s="802"/>
      <c r="AK796" s="802"/>
      <c r="AL796" s="802"/>
      <c r="AM796" s="802"/>
      <c r="AN796" s="802"/>
      <c r="AO796" s="802"/>
      <c r="AP796" s="802"/>
      <c r="AQ796" s="802"/>
      <c r="AR796" s="802"/>
      <c r="AS796" s="802"/>
      <c r="AT796" s="802"/>
      <c r="AU796" s="802"/>
      <c r="AV796" s="802"/>
      <c r="AW796" s="802"/>
      <c r="AX796" s="802"/>
      <c r="AY796" s="802"/>
    </row>
    <row r="797" ht="21.75" customHeight="1">
      <c r="A797" s="802"/>
      <c r="B797" s="802"/>
      <c r="C797" s="802"/>
      <c r="D797" s="802"/>
      <c r="E797" s="802"/>
      <c r="F797" s="802"/>
      <c r="G797" s="802"/>
      <c r="H797" s="802"/>
      <c r="I797" s="802"/>
      <c r="J797" s="802"/>
      <c r="K797" s="802"/>
      <c r="L797" s="802"/>
      <c r="M797" s="802"/>
      <c r="N797" s="802"/>
      <c r="O797" s="802"/>
      <c r="P797" s="802"/>
      <c r="Q797" s="802"/>
      <c r="R797" s="802"/>
      <c r="S797" s="802"/>
      <c r="T797" s="802"/>
      <c r="U797" s="802"/>
      <c r="V797" s="802"/>
      <c r="W797" s="802"/>
      <c r="X797" s="802"/>
      <c r="Y797" s="802"/>
      <c r="Z797" s="802"/>
      <c r="AA797" s="802"/>
      <c r="AB797" s="802"/>
      <c r="AC797" s="802"/>
      <c r="AD797" s="802"/>
      <c r="AE797" s="802"/>
      <c r="AF797" s="802"/>
      <c r="AG797" s="802"/>
      <c r="AH797" s="802"/>
      <c r="AI797" s="802"/>
      <c r="AJ797" s="802"/>
      <c r="AK797" s="802"/>
      <c r="AL797" s="802"/>
      <c r="AM797" s="802"/>
      <c r="AN797" s="802"/>
      <c r="AO797" s="802"/>
      <c r="AP797" s="802"/>
      <c r="AQ797" s="802"/>
      <c r="AR797" s="802"/>
      <c r="AS797" s="802"/>
      <c r="AT797" s="802"/>
      <c r="AU797" s="802"/>
      <c r="AV797" s="802"/>
      <c r="AW797" s="802"/>
      <c r="AX797" s="802"/>
      <c r="AY797" s="802"/>
    </row>
    <row r="798" ht="21.75" customHeight="1">
      <c r="A798" s="802"/>
      <c r="B798" s="802"/>
      <c r="C798" s="802"/>
      <c r="D798" s="802"/>
      <c r="E798" s="802"/>
      <c r="F798" s="802"/>
      <c r="G798" s="802"/>
      <c r="H798" s="802"/>
      <c r="I798" s="802"/>
      <c r="J798" s="802"/>
      <c r="K798" s="802"/>
      <c r="L798" s="802"/>
      <c r="M798" s="802"/>
      <c r="N798" s="802"/>
      <c r="O798" s="802"/>
      <c r="P798" s="802"/>
      <c r="Q798" s="802"/>
      <c r="R798" s="802"/>
      <c r="S798" s="802"/>
      <c r="T798" s="802"/>
      <c r="U798" s="802"/>
      <c r="V798" s="802"/>
      <c r="W798" s="802"/>
      <c r="X798" s="802"/>
      <c r="Y798" s="802"/>
      <c r="Z798" s="802"/>
      <c r="AA798" s="802"/>
      <c r="AB798" s="802"/>
      <c r="AC798" s="802"/>
      <c r="AD798" s="802"/>
      <c r="AE798" s="802"/>
      <c r="AF798" s="802"/>
      <c r="AG798" s="802"/>
      <c r="AH798" s="802"/>
      <c r="AI798" s="802"/>
      <c r="AJ798" s="802"/>
      <c r="AK798" s="802"/>
      <c r="AL798" s="802"/>
      <c r="AM798" s="802"/>
      <c r="AN798" s="802"/>
      <c r="AO798" s="802"/>
      <c r="AP798" s="802"/>
      <c r="AQ798" s="802"/>
      <c r="AR798" s="802"/>
      <c r="AS798" s="802"/>
      <c r="AT798" s="802"/>
      <c r="AU798" s="802"/>
      <c r="AV798" s="802"/>
      <c r="AW798" s="802"/>
      <c r="AX798" s="802"/>
      <c r="AY798" s="802"/>
    </row>
    <row r="799" ht="21.75" customHeight="1">
      <c r="A799" s="802"/>
      <c r="B799" s="802"/>
      <c r="C799" s="802"/>
      <c r="D799" s="802"/>
      <c r="E799" s="802"/>
      <c r="F799" s="802"/>
      <c r="G799" s="802"/>
      <c r="H799" s="802"/>
      <c r="I799" s="802"/>
      <c r="J799" s="802"/>
      <c r="K799" s="802"/>
      <c r="L799" s="802"/>
      <c r="M799" s="802"/>
      <c r="N799" s="802"/>
      <c r="O799" s="802"/>
      <c r="P799" s="802"/>
      <c r="Q799" s="802"/>
      <c r="R799" s="802"/>
      <c r="S799" s="802"/>
      <c r="T799" s="802"/>
      <c r="U799" s="802"/>
      <c r="V799" s="802"/>
      <c r="W799" s="802"/>
      <c r="X799" s="802"/>
      <c r="Y799" s="802"/>
      <c r="Z799" s="802"/>
      <c r="AA799" s="802"/>
      <c r="AB799" s="802"/>
      <c r="AC799" s="802"/>
      <c r="AD799" s="802"/>
      <c r="AE799" s="802"/>
      <c r="AF799" s="802"/>
      <c r="AG799" s="802"/>
      <c r="AH799" s="802"/>
      <c r="AI799" s="802"/>
      <c r="AJ799" s="802"/>
      <c r="AK799" s="802"/>
      <c r="AL799" s="802"/>
      <c r="AM799" s="802"/>
      <c r="AN799" s="802"/>
      <c r="AO799" s="802"/>
      <c r="AP799" s="802"/>
      <c r="AQ799" s="802"/>
      <c r="AR799" s="802"/>
      <c r="AS799" s="802"/>
      <c r="AT799" s="802"/>
      <c r="AU799" s="802"/>
      <c r="AV799" s="802"/>
      <c r="AW799" s="802"/>
      <c r="AX799" s="802"/>
      <c r="AY799" s="802"/>
    </row>
    <row r="800" ht="21.75" customHeight="1">
      <c r="A800" s="802"/>
      <c r="B800" s="802"/>
      <c r="C800" s="802"/>
      <c r="D800" s="802"/>
      <c r="E800" s="802"/>
      <c r="F800" s="802"/>
      <c r="G800" s="802"/>
      <c r="H800" s="802"/>
      <c r="I800" s="802"/>
      <c r="J800" s="802"/>
      <c r="K800" s="802"/>
      <c r="L800" s="802"/>
      <c r="M800" s="802"/>
      <c r="N800" s="802"/>
      <c r="O800" s="802"/>
      <c r="P800" s="802"/>
      <c r="Q800" s="802"/>
      <c r="R800" s="802"/>
      <c r="S800" s="802"/>
      <c r="T800" s="802"/>
      <c r="U800" s="802"/>
      <c r="V800" s="802"/>
      <c r="W800" s="802"/>
      <c r="X800" s="802"/>
      <c r="Y800" s="802"/>
      <c r="Z800" s="802"/>
      <c r="AA800" s="802"/>
      <c r="AB800" s="802"/>
      <c r="AC800" s="802"/>
      <c r="AD800" s="802"/>
      <c r="AE800" s="802"/>
      <c r="AF800" s="802"/>
      <c r="AG800" s="802"/>
      <c r="AH800" s="802"/>
      <c r="AI800" s="802"/>
      <c r="AJ800" s="802"/>
      <c r="AK800" s="802"/>
      <c r="AL800" s="802"/>
      <c r="AM800" s="802"/>
      <c r="AN800" s="802"/>
      <c r="AO800" s="802"/>
      <c r="AP800" s="802"/>
      <c r="AQ800" s="802"/>
      <c r="AR800" s="802"/>
      <c r="AS800" s="802"/>
      <c r="AT800" s="802"/>
      <c r="AU800" s="802"/>
      <c r="AV800" s="802"/>
      <c r="AW800" s="802"/>
      <c r="AX800" s="802"/>
      <c r="AY800" s="802"/>
    </row>
    <row r="801" ht="21.75" customHeight="1">
      <c r="A801" s="802"/>
      <c r="B801" s="802"/>
      <c r="C801" s="802"/>
      <c r="D801" s="802"/>
      <c r="E801" s="802"/>
      <c r="F801" s="802"/>
      <c r="G801" s="802"/>
      <c r="H801" s="802"/>
      <c r="I801" s="802"/>
      <c r="J801" s="802"/>
      <c r="K801" s="802"/>
      <c r="L801" s="802"/>
      <c r="M801" s="802"/>
      <c r="N801" s="802"/>
      <c r="O801" s="802"/>
      <c r="P801" s="802"/>
      <c r="Q801" s="802"/>
      <c r="R801" s="802"/>
      <c r="S801" s="802"/>
      <c r="T801" s="802"/>
      <c r="U801" s="802"/>
      <c r="V801" s="802"/>
      <c r="W801" s="802"/>
      <c r="X801" s="802"/>
      <c r="Y801" s="802"/>
      <c r="Z801" s="802"/>
      <c r="AA801" s="802"/>
      <c r="AB801" s="802"/>
      <c r="AC801" s="802"/>
      <c r="AD801" s="802"/>
      <c r="AE801" s="802"/>
      <c r="AF801" s="802"/>
      <c r="AG801" s="802"/>
      <c r="AH801" s="802"/>
      <c r="AI801" s="802"/>
      <c r="AJ801" s="802"/>
      <c r="AK801" s="802"/>
      <c r="AL801" s="802"/>
      <c r="AM801" s="802"/>
      <c r="AN801" s="802"/>
      <c r="AO801" s="802"/>
      <c r="AP801" s="802"/>
      <c r="AQ801" s="802"/>
      <c r="AR801" s="802"/>
      <c r="AS801" s="802"/>
      <c r="AT801" s="802"/>
      <c r="AU801" s="802"/>
      <c r="AV801" s="802"/>
      <c r="AW801" s="802"/>
      <c r="AX801" s="802"/>
      <c r="AY801" s="802"/>
    </row>
    <row r="802" ht="21.75" customHeight="1">
      <c r="A802" s="802"/>
      <c r="B802" s="802"/>
      <c r="C802" s="802"/>
      <c r="D802" s="802"/>
      <c r="E802" s="802"/>
      <c r="F802" s="802"/>
      <c r="G802" s="802"/>
      <c r="H802" s="802"/>
      <c r="I802" s="802"/>
      <c r="J802" s="802"/>
      <c r="K802" s="802"/>
      <c r="L802" s="802"/>
      <c r="M802" s="802"/>
      <c r="N802" s="802"/>
      <c r="O802" s="802"/>
      <c r="P802" s="802"/>
      <c r="Q802" s="802"/>
      <c r="R802" s="802"/>
      <c r="S802" s="802"/>
      <c r="T802" s="802"/>
      <c r="U802" s="802"/>
      <c r="V802" s="802"/>
      <c r="W802" s="802"/>
      <c r="X802" s="802"/>
      <c r="Y802" s="802"/>
      <c r="Z802" s="802"/>
      <c r="AA802" s="802"/>
      <c r="AB802" s="802"/>
      <c r="AC802" s="802"/>
      <c r="AD802" s="802"/>
      <c r="AE802" s="802"/>
      <c r="AF802" s="802"/>
      <c r="AG802" s="802"/>
      <c r="AH802" s="802"/>
      <c r="AI802" s="802"/>
      <c r="AJ802" s="802"/>
      <c r="AK802" s="802"/>
      <c r="AL802" s="802"/>
      <c r="AM802" s="802"/>
      <c r="AN802" s="802"/>
      <c r="AO802" s="802"/>
      <c r="AP802" s="802"/>
      <c r="AQ802" s="802"/>
      <c r="AR802" s="802"/>
      <c r="AS802" s="802"/>
      <c r="AT802" s="802"/>
      <c r="AU802" s="802"/>
      <c r="AV802" s="802"/>
      <c r="AW802" s="802"/>
      <c r="AX802" s="802"/>
      <c r="AY802" s="802"/>
    </row>
    <row r="803" ht="21.75" customHeight="1">
      <c r="A803" s="802"/>
      <c r="B803" s="802"/>
      <c r="C803" s="802"/>
      <c r="D803" s="802"/>
      <c r="E803" s="802"/>
      <c r="F803" s="802"/>
      <c r="G803" s="802"/>
      <c r="H803" s="802"/>
      <c r="I803" s="802"/>
      <c r="J803" s="802"/>
      <c r="K803" s="802"/>
      <c r="L803" s="802"/>
      <c r="M803" s="802"/>
      <c r="N803" s="802"/>
      <c r="O803" s="802"/>
      <c r="P803" s="802"/>
      <c r="Q803" s="802"/>
      <c r="R803" s="802"/>
      <c r="S803" s="802"/>
      <c r="T803" s="802"/>
      <c r="U803" s="802"/>
      <c r="V803" s="802"/>
      <c r="W803" s="802"/>
      <c r="X803" s="802"/>
      <c r="Y803" s="802"/>
      <c r="Z803" s="802"/>
      <c r="AA803" s="802"/>
      <c r="AB803" s="802"/>
      <c r="AC803" s="802"/>
      <c r="AD803" s="802"/>
      <c r="AE803" s="802"/>
      <c r="AF803" s="802"/>
      <c r="AG803" s="802"/>
      <c r="AH803" s="802"/>
      <c r="AI803" s="802"/>
      <c r="AJ803" s="802"/>
      <c r="AK803" s="802"/>
      <c r="AL803" s="802"/>
      <c r="AM803" s="802"/>
      <c r="AN803" s="802"/>
      <c r="AO803" s="802"/>
      <c r="AP803" s="802"/>
      <c r="AQ803" s="802"/>
      <c r="AR803" s="802"/>
      <c r="AS803" s="802"/>
      <c r="AT803" s="802"/>
      <c r="AU803" s="802"/>
      <c r="AV803" s="802"/>
      <c r="AW803" s="802"/>
      <c r="AX803" s="802"/>
      <c r="AY803" s="802"/>
    </row>
    <row r="804" ht="21.75" customHeight="1">
      <c r="A804" s="802"/>
      <c r="B804" s="802"/>
      <c r="C804" s="802"/>
      <c r="D804" s="802"/>
      <c r="E804" s="802"/>
      <c r="F804" s="802"/>
      <c r="G804" s="802"/>
      <c r="H804" s="802"/>
      <c r="I804" s="802"/>
      <c r="J804" s="802"/>
      <c r="K804" s="802"/>
      <c r="L804" s="802"/>
      <c r="M804" s="802"/>
      <c r="N804" s="802"/>
      <c r="O804" s="802"/>
      <c r="P804" s="802"/>
      <c r="Q804" s="802"/>
      <c r="R804" s="802"/>
      <c r="S804" s="802"/>
      <c r="T804" s="802"/>
      <c r="U804" s="802"/>
      <c r="V804" s="802"/>
      <c r="W804" s="802"/>
      <c r="X804" s="802"/>
      <c r="Y804" s="802"/>
      <c r="Z804" s="802"/>
      <c r="AA804" s="802"/>
      <c r="AB804" s="802"/>
      <c r="AC804" s="802"/>
      <c r="AD804" s="802"/>
      <c r="AE804" s="802"/>
      <c r="AF804" s="802"/>
      <c r="AG804" s="802"/>
      <c r="AH804" s="802"/>
      <c r="AI804" s="802"/>
      <c r="AJ804" s="802"/>
      <c r="AK804" s="802"/>
      <c r="AL804" s="802"/>
      <c r="AM804" s="802"/>
      <c r="AN804" s="802"/>
      <c r="AO804" s="802"/>
      <c r="AP804" s="802"/>
      <c r="AQ804" s="802"/>
      <c r="AR804" s="802"/>
      <c r="AS804" s="802"/>
      <c r="AT804" s="802"/>
      <c r="AU804" s="802"/>
      <c r="AV804" s="802"/>
      <c r="AW804" s="802"/>
      <c r="AX804" s="802"/>
      <c r="AY804" s="802"/>
    </row>
    <row r="805" ht="21.75" customHeight="1">
      <c r="A805" s="802"/>
      <c r="B805" s="802"/>
      <c r="C805" s="802"/>
      <c r="D805" s="802"/>
      <c r="E805" s="802"/>
      <c r="F805" s="802"/>
      <c r="G805" s="802"/>
      <c r="H805" s="802"/>
      <c r="I805" s="802"/>
      <c r="J805" s="802"/>
      <c r="K805" s="802"/>
      <c r="L805" s="802"/>
      <c r="M805" s="802"/>
      <c r="N805" s="802"/>
      <c r="O805" s="802"/>
      <c r="P805" s="802"/>
      <c r="Q805" s="802"/>
      <c r="R805" s="802"/>
      <c r="S805" s="802"/>
      <c r="T805" s="802"/>
      <c r="U805" s="802"/>
      <c r="V805" s="802"/>
      <c r="W805" s="802"/>
      <c r="X805" s="802"/>
      <c r="Y805" s="802"/>
      <c r="Z805" s="802"/>
      <c r="AA805" s="802"/>
      <c r="AB805" s="802"/>
      <c r="AC805" s="802"/>
      <c r="AD805" s="802"/>
      <c r="AE805" s="802"/>
      <c r="AF805" s="802"/>
      <c r="AG805" s="802"/>
      <c r="AH805" s="802"/>
      <c r="AI805" s="802"/>
      <c r="AJ805" s="802"/>
      <c r="AK805" s="802"/>
      <c r="AL805" s="802"/>
      <c r="AM805" s="802"/>
      <c r="AN805" s="802"/>
      <c r="AO805" s="802"/>
      <c r="AP805" s="802"/>
      <c r="AQ805" s="802"/>
      <c r="AR805" s="802"/>
      <c r="AS805" s="802"/>
      <c r="AT805" s="802"/>
      <c r="AU805" s="802"/>
      <c r="AV805" s="802"/>
      <c r="AW805" s="802"/>
      <c r="AX805" s="802"/>
      <c r="AY805" s="802"/>
    </row>
    <row r="806" ht="21.75" customHeight="1">
      <c r="A806" s="802"/>
      <c r="B806" s="802"/>
      <c r="C806" s="802"/>
      <c r="D806" s="802"/>
      <c r="E806" s="802"/>
      <c r="F806" s="802"/>
      <c r="G806" s="802"/>
      <c r="H806" s="802"/>
      <c r="I806" s="802"/>
      <c r="J806" s="802"/>
      <c r="K806" s="802"/>
      <c r="L806" s="802"/>
      <c r="M806" s="802"/>
      <c r="N806" s="802"/>
      <c r="O806" s="802"/>
      <c r="P806" s="802"/>
      <c r="Q806" s="802"/>
      <c r="R806" s="802"/>
      <c r="S806" s="802"/>
      <c r="T806" s="802"/>
      <c r="U806" s="802"/>
      <c r="V806" s="802"/>
      <c r="W806" s="802"/>
      <c r="X806" s="802"/>
      <c r="Y806" s="802"/>
      <c r="Z806" s="802"/>
      <c r="AA806" s="802"/>
      <c r="AB806" s="802"/>
      <c r="AC806" s="802"/>
      <c r="AD806" s="802"/>
      <c r="AE806" s="802"/>
      <c r="AF806" s="802"/>
      <c r="AG806" s="802"/>
      <c r="AH806" s="802"/>
      <c r="AI806" s="802"/>
      <c r="AJ806" s="802"/>
      <c r="AK806" s="802"/>
      <c r="AL806" s="802"/>
      <c r="AM806" s="802"/>
      <c r="AN806" s="802"/>
      <c r="AO806" s="802"/>
      <c r="AP806" s="802"/>
      <c r="AQ806" s="802"/>
      <c r="AR806" s="802"/>
      <c r="AS806" s="802"/>
      <c r="AT806" s="802"/>
      <c r="AU806" s="802"/>
      <c r="AV806" s="802"/>
      <c r="AW806" s="802"/>
      <c r="AX806" s="802"/>
      <c r="AY806" s="802"/>
    </row>
    <row r="807" ht="21.75" customHeight="1">
      <c r="A807" s="802"/>
      <c r="B807" s="802"/>
      <c r="C807" s="802"/>
      <c r="D807" s="802"/>
      <c r="E807" s="802"/>
      <c r="F807" s="802"/>
      <c r="G807" s="802"/>
      <c r="H807" s="802"/>
      <c r="I807" s="802"/>
      <c r="J807" s="802"/>
      <c r="K807" s="802"/>
      <c r="L807" s="802"/>
      <c r="M807" s="802"/>
      <c r="N807" s="802"/>
      <c r="O807" s="802"/>
      <c r="P807" s="802"/>
      <c r="Q807" s="802"/>
      <c r="R807" s="802"/>
      <c r="S807" s="802"/>
      <c r="T807" s="802"/>
      <c r="U807" s="802"/>
      <c r="V807" s="802"/>
      <c r="W807" s="802"/>
      <c r="X807" s="802"/>
      <c r="Y807" s="802"/>
      <c r="Z807" s="802"/>
      <c r="AA807" s="802"/>
      <c r="AB807" s="802"/>
      <c r="AC807" s="802"/>
      <c r="AD807" s="802"/>
      <c r="AE807" s="802"/>
      <c r="AF807" s="802"/>
      <c r="AG807" s="802"/>
      <c r="AH807" s="802"/>
      <c r="AI807" s="802"/>
      <c r="AJ807" s="802"/>
      <c r="AK807" s="802"/>
      <c r="AL807" s="802"/>
      <c r="AM807" s="802"/>
      <c r="AN807" s="802"/>
      <c r="AO807" s="802"/>
      <c r="AP807" s="802"/>
      <c r="AQ807" s="802"/>
      <c r="AR807" s="802"/>
      <c r="AS807" s="802"/>
      <c r="AT807" s="802"/>
      <c r="AU807" s="802"/>
      <c r="AV807" s="802"/>
      <c r="AW807" s="802"/>
      <c r="AX807" s="802"/>
      <c r="AY807" s="802"/>
    </row>
    <row r="808" ht="21.75" customHeight="1">
      <c r="A808" s="802"/>
      <c r="B808" s="802"/>
      <c r="C808" s="802"/>
      <c r="D808" s="802"/>
      <c r="E808" s="802"/>
      <c r="F808" s="802"/>
      <c r="G808" s="802"/>
      <c r="H808" s="802"/>
      <c r="I808" s="802"/>
      <c r="J808" s="802"/>
      <c r="K808" s="802"/>
      <c r="L808" s="802"/>
      <c r="M808" s="802"/>
      <c r="N808" s="802"/>
      <c r="O808" s="802"/>
      <c r="P808" s="802"/>
      <c r="Q808" s="802"/>
      <c r="R808" s="802"/>
      <c r="S808" s="802"/>
      <c r="T808" s="802"/>
      <c r="U808" s="802"/>
      <c r="V808" s="802"/>
      <c r="W808" s="802"/>
      <c r="X808" s="802"/>
      <c r="Y808" s="802"/>
      <c r="Z808" s="802"/>
      <c r="AA808" s="802"/>
      <c r="AB808" s="802"/>
      <c r="AC808" s="802"/>
      <c r="AD808" s="802"/>
      <c r="AE808" s="802"/>
      <c r="AF808" s="802"/>
      <c r="AG808" s="802"/>
      <c r="AH808" s="802"/>
      <c r="AI808" s="802"/>
      <c r="AJ808" s="802"/>
      <c r="AK808" s="802"/>
      <c r="AL808" s="802"/>
      <c r="AM808" s="802"/>
      <c r="AN808" s="802"/>
      <c r="AO808" s="802"/>
      <c r="AP808" s="802"/>
      <c r="AQ808" s="802"/>
      <c r="AR808" s="802"/>
      <c r="AS808" s="802"/>
      <c r="AT808" s="802"/>
      <c r="AU808" s="802"/>
      <c r="AV808" s="802"/>
      <c r="AW808" s="802"/>
      <c r="AX808" s="802"/>
      <c r="AY808" s="802"/>
    </row>
    <row r="809" ht="21.75" customHeight="1">
      <c r="A809" s="802"/>
      <c r="B809" s="802"/>
      <c r="C809" s="802"/>
      <c r="D809" s="802"/>
      <c r="E809" s="802"/>
      <c r="F809" s="802"/>
      <c r="G809" s="802"/>
      <c r="H809" s="802"/>
      <c r="I809" s="802"/>
      <c r="J809" s="802"/>
      <c r="K809" s="802"/>
      <c r="L809" s="802"/>
      <c r="M809" s="802"/>
      <c r="N809" s="802"/>
      <c r="O809" s="802"/>
      <c r="P809" s="802"/>
      <c r="Q809" s="802"/>
      <c r="R809" s="802"/>
      <c r="S809" s="802"/>
      <c r="T809" s="802"/>
      <c r="U809" s="802"/>
      <c r="V809" s="802"/>
      <c r="W809" s="802"/>
      <c r="X809" s="802"/>
      <c r="Y809" s="802"/>
      <c r="Z809" s="802"/>
      <c r="AA809" s="802"/>
      <c r="AB809" s="802"/>
      <c r="AC809" s="802"/>
      <c r="AD809" s="802"/>
      <c r="AE809" s="802"/>
      <c r="AF809" s="802"/>
      <c r="AG809" s="802"/>
      <c r="AH809" s="802"/>
      <c r="AI809" s="802"/>
      <c r="AJ809" s="802"/>
      <c r="AK809" s="802"/>
      <c r="AL809" s="802"/>
      <c r="AM809" s="802"/>
      <c r="AN809" s="802"/>
      <c r="AO809" s="802"/>
      <c r="AP809" s="802"/>
      <c r="AQ809" s="802"/>
      <c r="AR809" s="802"/>
      <c r="AS809" s="802"/>
      <c r="AT809" s="802"/>
      <c r="AU809" s="802"/>
      <c r="AV809" s="802"/>
      <c r="AW809" s="802"/>
      <c r="AX809" s="802"/>
      <c r="AY809" s="802"/>
    </row>
    <row r="810" ht="21.75" customHeight="1">
      <c r="A810" s="802"/>
      <c r="B810" s="802"/>
      <c r="C810" s="802"/>
      <c r="D810" s="802"/>
      <c r="E810" s="802"/>
      <c r="F810" s="802"/>
      <c r="G810" s="802"/>
      <c r="H810" s="802"/>
      <c r="I810" s="802"/>
      <c r="J810" s="802"/>
      <c r="K810" s="802"/>
      <c r="L810" s="802"/>
      <c r="M810" s="802"/>
      <c r="N810" s="802"/>
      <c r="O810" s="802"/>
      <c r="P810" s="802"/>
      <c r="Q810" s="802"/>
      <c r="R810" s="802"/>
      <c r="S810" s="802"/>
      <c r="T810" s="802"/>
      <c r="U810" s="802"/>
      <c r="V810" s="802"/>
      <c r="W810" s="802"/>
      <c r="X810" s="802"/>
      <c r="Y810" s="802"/>
      <c r="Z810" s="802"/>
      <c r="AA810" s="802"/>
      <c r="AB810" s="802"/>
      <c r="AC810" s="802"/>
      <c r="AD810" s="802"/>
      <c r="AE810" s="802"/>
      <c r="AF810" s="802"/>
      <c r="AG810" s="802"/>
      <c r="AH810" s="802"/>
      <c r="AI810" s="802"/>
      <c r="AJ810" s="802"/>
      <c r="AK810" s="802"/>
      <c r="AL810" s="802"/>
      <c r="AM810" s="802"/>
      <c r="AN810" s="802"/>
      <c r="AO810" s="802"/>
      <c r="AP810" s="802"/>
      <c r="AQ810" s="802"/>
      <c r="AR810" s="802"/>
      <c r="AS810" s="802"/>
      <c r="AT810" s="802"/>
      <c r="AU810" s="802"/>
      <c r="AV810" s="802"/>
      <c r="AW810" s="802"/>
      <c r="AX810" s="802"/>
      <c r="AY810" s="802"/>
    </row>
    <row r="811" ht="21.75" customHeight="1">
      <c r="A811" s="802"/>
      <c r="B811" s="802"/>
      <c r="C811" s="802"/>
      <c r="D811" s="802"/>
      <c r="E811" s="802"/>
      <c r="F811" s="802"/>
      <c r="G811" s="802"/>
      <c r="H811" s="802"/>
      <c r="I811" s="802"/>
      <c r="J811" s="802"/>
      <c r="K811" s="802"/>
      <c r="L811" s="802"/>
      <c r="M811" s="802"/>
      <c r="N811" s="802"/>
      <c r="O811" s="802"/>
      <c r="P811" s="802"/>
      <c r="Q811" s="802"/>
      <c r="R811" s="802"/>
      <c r="S811" s="802"/>
      <c r="T811" s="802"/>
      <c r="U811" s="802"/>
      <c r="V811" s="802"/>
      <c r="W811" s="802"/>
      <c r="X811" s="802"/>
      <c r="Y811" s="802"/>
      <c r="Z811" s="802"/>
      <c r="AA811" s="802"/>
      <c r="AB811" s="802"/>
      <c r="AC811" s="802"/>
      <c r="AD811" s="802"/>
      <c r="AE811" s="802"/>
      <c r="AF811" s="802"/>
      <c r="AG811" s="802"/>
      <c r="AH811" s="802"/>
      <c r="AI811" s="802"/>
      <c r="AJ811" s="802"/>
      <c r="AK811" s="802"/>
      <c r="AL811" s="802"/>
      <c r="AM811" s="802"/>
      <c r="AN811" s="802"/>
      <c r="AO811" s="802"/>
      <c r="AP811" s="802"/>
      <c r="AQ811" s="802"/>
      <c r="AR811" s="802"/>
      <c r="AS811" s="802"/>
      <c r="AT811" s="802"/>
      <c r="AU811" s="802"/>
      <c r="AV811" s="802"/>
      <c r="AW811" s="802"/>
      <c r="AX811" s="802"/>
      <c r="AY811" s="802"/>
    </row>
    <row r="812" ht="21.75" customHeight="1">
      <c r="A812" s="802"/>
      <c r="B812" s="802"/>
      <c r="C812" s="802"/>
      <c r="D812" s="802"/>
      <c r="E812" s="802"/>
      <c r="F812" s="802"/>
      <c r="G812" s="802"/>
      <c r="H812" s="802"/>
      <c r="I812" s="802"/>
      <c r="J812" s="802"/>
      <c r="K812" s="802"/>
      <c r="L812" s="802"/>
      <c r="M812" s="802"/>
      <c r="N812" s="802"/>
      <c r="O812" s="802"/>
      <c r="P812" s="802"/>
      <c r="Q812" s="802"/>
      <c r="R812" s="802"/>
      <c r="S812" s="802"/>
      <c r="T812" s="802"/>
      <c r="U812" s="802"/>
      <c r="V812" s="802"/>
      <c r="W812" s="802"/>
      <c r="X812" s="802"/>
      <c r="Y812" s="802"/>
      <c r="Z812" s="802"/>
      <c r="AA812" s="802"/>
      <c r="AB812" s="802"/>
      <c r="AC812" s="802"/>
      <c r="AD812" s="802"/>
      <c r="AE812" s="802"/>
      <c r="AF812" s="802"/>
      <c r="AG812" s="802"/>
      <c r="AH812" s="802"/>
      <c r="AI812" s="802"/>
      <c r="AJ812" s="802"/>
      <c r="AK812" s="802"/>
      <c r="AL812" s="802"/>
      <c r="AM812" s="802"/>
      <c r="AN812" s="802"/>
      <c r="AO812" s="802"/>
      <c r="AP812" s="802"/>
      <c r="AQ812" s="802"/>
      <c r="AR812" s="802"/>
      <c r="AS812" s="802"/>
      <c r="AT812" s="802"/>
      <c r="AU812" s="802"/>
      <c r="AV812" s="802"/>
      <c r="AW812" s="802"/>
      <c r="AX812" s="802"/>
      <c r="AY812" s="802"/>
    </row>
    <row r="813" ht="21.75" customHeight="1">
      <c r="A813" s="802"/>
      <c r="B813" s="802"/>
      <c r="C813" s="802"/>
      <c r="D813" s="802"/>
      <c r="E813" s="802"/>
      <c r="F813" s="802"/>
      <c r="G813" s="802"/>
      <c r="H813" s="802"/>
      <c r="I813" s="802"/>
      <c r="J813" s="802"/>
      <c r="K813" s="802"/>
      <c r="L813" s="802"/>
      <c r="M813" s="802"/>
      <c r="N813" s="802"/>
      <c r="O813" s="802"/>
      <c r="P813" s="802"/>
      <c r="Q813" s="802"/>
      <c r="R813" s="802"/>
      <c r="S813" s="802"/>
      <c r="T813" s="802"/>
      <c r="U813" s="802"/>
      <c r="V813" s="802"/>
      <c r="W813" s="802"/>
      <c r="X813" s="802"/>
      <c r="Y813" s="802"/>
      <c r="Z813" s="802"/>
      <c r="AA813" s="802"/>
      <c r="AB813" s="802"/>
      <c r="AC813" s="802"/>
      <c r="AD813" s="802"/>
      <c r="AE813" s="802"/>
      <c r="AF813" s="802"/>
      <c r="AG813" s="802"/>
      <c r="AH813" s="802"/>
      <c r="AI813" s="802"/>
      <c r="AJ813" s="802"/>
      <c r="AK813" s="802"/>
      <c r="AL813" s="802"/>
      <c r="AM813" s="802"/>
      <c r="AN813" s="802"/>
      <c r="AO813" s="802"/>
      <c r="AP813" s="802"/>
      <c r="AQ813" s="802"/>
      <c r="AR813" s="802"/>
      <c r="AS813" s="802"/>
      <c r="AT813" s="802"/>
      <c r="AU813" s="802"/>
      <c r="AV813" s="802"/>
      <c r="AW813" s="802"/>
      <c r="AX813" s="802"/>
      <c r="AY813" s="802"/>
    </row>
    <row r="814" ht="21.75" customHeight="1">
      <c r="A814" s="802"/>
      <c r="B814" s="802"/>
      <c r="C814" s="802"/>
      <c r="D814" s="802"/>
      <c r="E814" s="802"/>
      <c r="F814" s="802"/>
      <c r="G814" s="802"/>
      <c r="H814" s="802"/>
      <c r="I814" s="802"/>
      <c r="J814" s="802"/>
      <c r="K814" s="802"/>
      <c r="L814" s="802"/>
      <c r="M814" s="802"/>
      <c r="N814" s="802"/>
      <c r="O814" s="802"/>
      <c r="P814" s="802"/>
      <c r="Q814" s="802"/>
      <c r="R814" s="802"/>
      <c r="S814" s="802"/>
      <c r="T814" s="802"/>
      <c r="U814" s="802"/>
      <c r="V814" s="802"/>
      <c r="W814" s="802"/>
      <c r="X814" s="802"/>
      <c r="Y814" s="802"/>
      <c r="Z814" s="802"/>
      <c r="AA814" s="802"/>
      <c r="AB814" s="802"/>
      <c r="AC814" s="802"/>
      <c r="AD814" s="802"/>
      <c r="AE814" s="802"/>
      <c r="AF814" s="802"/>
      <c r="AG814" s="802"/>
      <c r="AH814" s="802"/>
      <c r="AI814" s="802"/>
      <c r="AJ814" s="802"/>
      <c r="AK814" s="802"/>
      <c r="AL814" s="802"/>
      <c r="AM814" s="802"/>
      <c r="AN814" s="802"/>
      <c r="AO814" s="802"/>
      <c r="AP814" s="802"/>
      <c r="AQ814" s="802"/>
      <c r="AR814" s="802"/>
      <c r="AS814" s="802"/>
      <c r="AT814" s="802"/>
      <c r="AU814" s="802"/>
      <c r="AV814" s="802"/>
      <c r="AW814" s="802"/>
      <c r="AX814" s="802"/>
      <c r="AY814" s="802"/>
    </row>
    <row r="815" ht="21.75" customHeight="1">
      <c r="A815" s="802"/>
      <c r="B815" s="802"/>
      <c r="C815" s="802"/>
      <c r="D815" s="802"/>
      <c r="E815" s="802"/>
      <c r="F815" s="802"/>
      <c r="G815" s="802"/>
      <c r="H815" s="802"/>
      <c r="I815" s="802"/>
      <c r="J815" s="802"/>
      <c r="K815" s="802"/>
      <c r="L815" s="802"/>
      <c r="M815" s="802"/>
      <c r="N815" s="802"/>
      <c r="O815" s="802"/>
      <c r="P815" s="802"/>
      <c r="Q815" s="802"/>
      <c r="R815" s="802"/>
      <c r="S815" s="802"/>
      <c r="T815" s="802"/>
      <c r="U815" s="802"/>
      <c r="V815" s="802"/>
      <c r="W815" s="802"/>
      <c r="X815" s="802"/>
      <c r="Y815" s="802"/>
      <c r="Z815" s="802"/>
      <c r="AA815" s="802"/>
      <c r="AB815" s="802"/>
      <c r="AC815" s="802"/>
      <c r="AD815" s="802"/>
      <c r="AE815" s="802"/>
      <c r="AF815" s="802"/>
      <c r="AG815" s="802"/>
      <c r="AH815" s="802"/>
      <c r="AI815" s="802"/>
      <c r="AJ815" s="802"/>
      <c r="AK815" s="802"/>
      <c r="AL815" s="802"/>
      <c r="AM815" s="802"/>
      <c r="AN815" s="802"/>
      <c r="AO815" s="802"/>
      <c r="AP815" s="802"/>
      <c r="AQ815" s="802"/>
      <c r="AR815" s="802"/>
      <c r="AS815" s="802"/>
      <c r="AT815" s="802"/>
      <c r="AU815" s="802"/>
      <c r="AV815" s="802"/>
      <c r="AW815" s="802"/>
      <c r="AX815" s="802"/>
      <c r="AY815" s="802"/>
    </row>
    <row r="816" ht="21.75" customHeight="1">
      <c r="A816" s="802"/>
      <c r="B816" s="802"/>
      <c r="C816" s="802"/>
      <c r="D816" s="802"/>
      <c r="E816" s="802"/>
      <c r="F816" s="802"/>
      <c r="G816" s="802"/>
      <c r="H816" s="802"/>
      <c r="I816" s="802"/>
      <c r="J816" s="802"/>
      <c r="K816" s="802"/>
      <c r="L816" s="802"/>
      <c r="M816" s="802"/>
      <c r="N816" s="802"/>
      <c r="O816" s="802"/>
      <c r="P816" s="802"/>
      <c r="Q816" s="802"/>
      <c r="R816" s="802"/>
      <c r="S816" s="802"/>
      <c r="T816" s="802"/>
      <c r="U816" s="802"/>
      <c r="V816" s="802"/>
      <c r="W816" s="802"/>
      <c r="X816" s="802"/>
      <c r="Y816" s="802"/>
      <c r="Z816" s="802"/>
      <c r="AA816" s="802"/>
      <c r="AB816" s="802"/>
      <c r="AC816" s="802"/>
      <c r="AD816" s="802"/>
      <c r="AE816" s="802"/>
      <c r="AF816" s="802"/>
      <c r="AG816" s="802"/>
      <c r="AH816" s="802"/>
      <c r="AI816" s="802"/>
      <c r="AJ816" s="802"/>
      <c r="AK816" s="802"/>
      <c r="AL816" s="802"/>
      <c r="AM816" s="802"/>
      <c r="AN816" s="802"/>
      <c r="AO816" s="802"/>
      <c r="AP816" s="802"/>
      <c r="AQ816" s="802"/>
      <c r="AR816" s="802"/>
      <c r="AS816" s="802"/>
      <c r="AT816" s="802"/>
      <c r="AU816" s="802"/>
      <c r="AV816" s="802"/>
      <c r="AW816" s="802"/>
      <c r="AX816" s="802"/>
      <c r="AY816" s="802"/>
    </row>
    <row r="817" ht="21.75" customHeight="1">
      <c r="A817" s="802"/>
      <c r="B817" s="802"/>
      <c r="C817" s="802"/>
      <c r="D817" s="802"/>
      <c r="E817" s="802"/>
      <c r="F817" s="802"/>
      <c r="G817" s="802"/>
      <c r="H817" s="802"/>
      <c r="I817" s="802"/>
      <c r="J817" s="802"/>
      <c r="K817" s="802"/>
      <c r="L817" s="802"/>
      <c r="M817" s="802"/>
      <c r="N817" s="802"/>
      <c r="O817" s="802"/>
      <c r="P817" s="802"/>
      <c r="Q817" s="802"/>
      <c r="R817" s="802"/>
      <c r="S817" s="802"/>
      <c r="T817" s="802"/>
      <c r="U817" s="802"/>
      <c r="V817" s="802"/>
      <c r="W817" s="802"/>
      <c r="X817" s="802"/>
      <c r="Y817" s="802"/>
      <c r="Z817" s="802"/>
      <c r="AA817" s="802"/>
      <c r="AB817" s="802"/>
      <c r="AC817" s="802"/>
      <c r="AD817" s="802"/>
      <c r="AE817" s="802"/>
      <c r="AF817" s="802"/>
      <c r="AG817" s="802"/>
      <c r="AH817" s="802"/>
      <c r="AI817" s="802"/>
      <c r="AJ817" s="802"/>
      <c r="AK817" s="802"/>
      <c r="AL817" s="802"/>
      <c r="AM817" s="802"/>
      <c r="AN817" s="802"/>
      <c r="AO817" s="802"/>
      <c r="AP817" s="802"/>
      <c r="AQ817" s="802"/>
      <c r="AR817" s="802"/>
      <c r="AS817" s="802"/>
      <c r="AT817" s="802"/>
      <c r="AU817" s="802"/>
      <c r="AV817" s="802"/>
      <c r="AW817" s="802"/>
      <c r="AX817" s="802"/>
      <c r="AY817" s="802"/>
    </row>
    <row r="818" ht="21.75" customHeight="1">
      <c r="A818" s="802"/>
      <c r="B818" s="802"/>
      <c r="C818" s="802"/>
      <c r="D818" s="802"/>
      <c r="E818" s="802"/>
      <c r="F818" s="802"/>
      <c r="G818" s="802"/>
      <c r="H818" s="802"/>
      <c r="I818" s="802"/>
      <c r="J818" s="802"/>
      <c r="K818" s="802"/>
      <c r="L818" s="802"/>
      <c r="M818" s="802"/>
      <c r="N818" s="802"/>
      <c r="O818" s="802"/>
      <c r="P818" s="802"/>
      <c r="Q818" s="802"/>
      <c r="R818" s="802"/>
      <c r="S818" s="802"/>
      <c r="T818" s="802"/>
      <c r="U818" s="802"/>
      <c r="V818" s="802"/>
      <c r="W818" s="802"/>
      <c r="X818" s="802"/>
      <c r="Y818" s="802"/>
      <c r="Z818" s="802"/>
      <c r="AA818" s="802"/>
      <c r="AB818" s="802"/>
      <c r="AC818" s="802"/>
      <c r="AD818" s="802"/>
      <c r="AE818" s="802"/>
      <c r="AF818" s="802"/>
      <c r="AG818" s="802"/>
      <c r="AH818" s="802"/>
      <c r="AI818" s="802"/>
      <c r="AJ818" s="802"/>
      <c r="AK818" s="802"/>
      <c r="AL818" s="802"/>
      <c r="AM818" s="802"/>
      <c r="AN818" s="802"/>
      <c r="AO818" s="802"/>
      <c r="AP818" s="802"/>
      <c r="AQ818" s="802"/>
      <c r="AR818" s="802"/>
      <c r="AS818" s="802"/>
      <c r="AT818" s="802"/>
      <c r="AU818" s="802"/>
      <c r="AV818" s="802"/>
      <c r="AW818" s="802"/>
      <c r="AX818" s="802"/>
      <c r="AY818" s="802"/>
    </row>
    <row r="819" ht="21.75" customHeight="1">
      <c r="A819" s="802"/>
      <c r="B819" s="802"/>
      <c r="C819" s="802"/>
      <c r="D819" s="802"/>
      <c r="E819" s="802"/>
      <c r="F819" s="802"/>
      <c r="G819" s="802"/>
      <c r="H819" s="802"/>
      <c r="I819" s="802"/>
      <c r="J819" s="802"/>
      <c r="K819" s="802"/>
      <c r="L819" s="802"/>
      <c r="M819" s="802"/>
      <c r="N819" s="802"/>
      <c r="O819" s="802"/>
      <c r="P819" s="802"/>
      <c r="Q819" s="802"/>
      <c r="R819" s="802"/>
      <c r="S819" s="802"/>
      <c r="T819" s="802"/>
      <c r="U819" s="802"/>
      <c r="V819" s="802"/>
      <c r="W819" s="802"/>
      <c r="X819" s="802"/>
      <c r="Y819" s="802"/>
      <c r="Z819" s="802"/>
      <c r="AA819" s="802"/>
      <c r="AB819" s="802"/>
      <c r="AC819" s="802"/>
      <c r="AD819" s="802"/>
      <c r="AE819" s="802"/>
      <c r="AF819" s="802"/>
      <c r="AG819" s="802"/>
      <c r="AH819" s="802"/>
      <c r="AI819" s="802"/>
      <c r="AJ819" s="802"/>
      <c r="AK819" s="802"/>
      <c r="AL819" s="802"/>
      <c r="AM819" s="802"/>
      <c r="AN819" s="802"/>
      <c r="AO819" s="802"/>
      <c r="AP819" s="802"/>
      <c r="AQ819" s="802"/>
      <c r="AR819" s="802"/>
      <c r="AS819" s="802"/>
      <c r="AT819" s="802"/>
      <c r="AU819" s="802"/>
      <c r="AV819" s="802"/>
      <c r="AW819" s="802"/>
      <c r="AX819" s="802"/>
      <c r="AY819" s="802"/>
    </row>
    <row r="820" ht="21.75" customHeight="1">
      <c r="A820" s="802"/>
      <c r="B820" s="802"/>
      <c r="C820" s="802"/>
      <c r="D820" s="802"/>
      <c r="E820" s="802"/>
      <c r="F820" s="802"/>
      <c r="G820" s="802"/>
      <c r="H820" s="802"/>
      <c r="I820" s="802"/>
      <c r="J820" s="802"/>
      <c r="K820" s="802"/>
      <c r="L820" s="802"/>
      <c r="M820" s="802"/>
      <c r="N820" s="802"/>
      <c r="O820" s="802"/>
      <c r="P820" s="802"/>
      <c r="Q820" s="802"/>
      <c r="R820" s="802"/>
      <c r="S820" s="802"/>
      <c r="T820" s="802"/>
      <c r="U820" s="802"/>
      <c r="V820" s="802"/>
      <c r="W820" s="802"/>
      <c r="X820" s="802"/>
      <c r="Y820" s="802"/>
      <c r="Z820" s="802"/>
      <c r="AA820" s="802"/>
      <c r="AB820" s="802"/>
      <c r="AC820" s="802"/>
      <c r="AD820" s="802"/>
      <c r="AE820" s="802"/>
      <c r="AF820" s="802"/>
      <c r="AG820" s="802"/>
      <c r="AH820" s="802"/>
      <c r="AI820" s="802"/>
      <c r="AJ820" s="802"/>
      <c r="AK820" s="802"/>
      <c r="AL820" s="802"/>
      <c r="AM820" s="802"/>
      <c r="AN820" s="802"/>
      <c r="AO820" s="802"/>
      <c r="AP820" s="802"/>
      <c r="AQ820" s="802"/>
      <c r="AR820" s="802"/>
      <c r="AS820" s="802"/>
      <c r="AT820" s="802"/>
      <c r="AU820" s="802"/>
      <c r="AV820" s="802"/>
      <c r="AW820" s="802"/>
      <c r="AX820" s="802"/>
      <c r="AY820" s="802"/>
    </row>
    <row r="821" ht="21.75" customHeight="1">
      <c r="A821" s="802"/>
      <c r="B821" s="802"/>
      <c r="C821" s="802"/>
      <c r="D821" s="802"/>
      <c r="E821" s="802"/>
      <c r="F821" s="802"/>
      <c r="G821" s="802"/>
      <c r="H821" s="802"/>
      <c r="I821" s="802"/>
      <c r="J821" s="802"/>
      <c r="K821" s="802"/>
      <c r="L821" s="802"/>
      <c r="M821" s="802"/>
      <c r="N821" s="802"/>
      <c r="O821" s="802"/>
      <c r="P821" s="802"/>
      <c r="Q821" s="802"/>
      <c r="R821" s="802"/>
      <c r="S821" s="802"/>
      <c r="T821" s="802"/>
      <c r="U821" s="802"/>
      <c r="V821" s="802"/>
      <c r="W821" s="802"/>
      <c r="X821" s="802"/>
      <c r="Y821" s="802"/>
      <c r="Z821" s="802"/>
      <c r="AA821" s="802"/>
      <c r="AB821" s="802"/>
      <c r="AC821" s="802"/>
      <c r="AD821" s="802"/>
      <c r="AE821" s="802"/>
      <c r="AF821" s="802"/>
      <c r="AG821" s="802"/>
      <c r="AH821" s="802"/>
      <c r="AI821" s="802"/>
      <c r="AJ821" s="802"/>
      <c r="AK821" s="802"/>
      <c r="AL821" s="802"/>
      <c r="AM821" s="802"/>
      <c r="AN821" s="802"/>
      <c r="AO821" s="802"/>
      <c r="AP821" s="802"/>
      <c r="AQ821" s="802"/>
      <c r="AR821" s="802"/>
      <c r="AS821" s="802"/>
      <c r="AT821" s="802"/>
      <c r="AU821" s="802"/>
      <c r="AV821" s="802"/>
      <c r="AW821" s="802"/>
      <c r="AX821" s="802"/>
      <c r="AY821" s="802"/>
    </row>
    <row r="822" ht="21.75" customHeight="1">
      <c r="A822" s="802"/>
      <c r="B822" s="802"/>
      <c r="C822" s="802"/>
      <c r="D822" s="802"/>
      <c r="E822" s="802"/>
      <c r="F822" s="802"/>
      <c r="G822" s="802"/>
      <c r="H822" s="802"/>
      <c r="I822" s="802"/>
      <c r="J822" s="802"/>
      <c r="K822" s="802"/>
      <c r="L822" s="802"/>
      <c r="M822" s="802"/>
      <c r="N822" s="802"/>
      <c r="O822" s="802"/>
      <c r="P822" s="802"/>
      <c r="Q822" s="802"/>
      <c r="R822" s="802"/>
      <c r="S822" s="802"/>
      <c r="T822" s="802"/>
      <c r="U822" s="802"/>
      <c r="V822" s="802"/>
      <c r="W822" s="802"/>
      <c r="X822" s="802"/>
      <c r="Y822" s="802"/>
      <c r="Z822" s="802"/>
      <c r="AA822" s="802"/>
      <c r="AB822" s="802"/>
      <c r="AC822" s="802"/>
      <c r="AD822" s="802"/>
      <c r="AE822" s="802"/>
      <c r="AF822" s="802"/>
      <c r="AG822" s="802"/>
      <c r="AH822" s="802"/>
      <c r="AI822" s="802"/>
      <c r="AJ822" s="802"/>
      <c r="AK822" s="802"/>
      <c r="AL822" s="802"/>
      <c r="AM822" s="802"/>
      <c r="AN822" s="802"/>
      <c r="AO822" s="802"/>
      <c r="AP822" s="802"/>
      <c r="AQ822" s="802"/>
      <c r="AR822" s="802"/>
      <c r="AS822" s="802"/>
      <c r="AT822" s="802"/>
      <c r="AU822" s="802"/>
      <c r="AV822" s="802"/>
      <c r="AW822" s="802"/>
      <c r="AX822" s="802"/>
      <c r="AY822" s="802"/>
    </row>
    <row r="823" ht="21.75" customHeight="1">
      <c r="A823" s="802"/>
      <c r="B823" s="802"/>
      <c r="C823" s="802"/>
      <c r="D823" s="802"/>
      <c r="E823" s="802"/>
      <c r="F823" s="802"/>
      <c r="G823" s="802"/>
      <c r="H823" s="802"/>
      <c r="I823" s="802"/>
      <c r="J823" s="802"/>
      <c r="K823" s="802"/>
      <c r="L823" s="802"/>
      <c r="M823" s="802"/>
      <c r="N823" s="802"/>
      <c r="O823" s="802"/>
      <c r="P823" s="802"/>
      <c r="Q823" s="802"/>
      <c r="R823" s="802"/>
      <c r="S823" s="802"/>
      <c r="T823" s="802"/>
      <c r="U823" s="802"/>
      <c r="V823" s="802"/>
      <c r="W823" s="802"/>
      <c r="X823" s="802"/>
      <c r="Y823" s="802"/>
      <c r="Z823" s="802"/>
      <c r="AA823" s="802"/>
      <c r="AB823" s="802"/>
      <c r="AC823" s="802"/>
      <c r="AD823" s="802"/>
      <c r="AE823" s="802"/>
      <c r="AF823" s="802"/>
      <c r="AG823" s="802"/>
      <c r="AH823" s="802"/>
      <c r="AI823" s="802"/>
      <c r="AJ823" s="802"/>
      <c r="AK823" s="802"/>
      <c r="AL823" s="802"/>
      <c r="AM823" s="802"/>
      <c r="AN823" s="802"/>
      <c r="AO823" s="802"/>
      <c r="AP823" s="802"/>
      <c r="AQ823" s="802"/>
      <c r="AR823" s="802"/>
      <c r="AS823" s="802"/>
      <c r="AT823" s="802"/>
      <c r="AU823" s="802"/>
      <c r="AV823" s="802"/>
      <c r="AW823" s="802"/>
      <c r="AX823" s="802"/>
      <c r="AY823" s="802"/>
    </row>
    <row r="824" ht="21.75" customHeight="1">
      <c r="A824" s="802"/>
      <c r="B824" s="802"/>
      <c r="C824" s="802"/>
      <c r="D824" s="802"/>
      <c r="E824" s="802"/>
      <c r="F824" s="802"/>
      <c r="G824" s="802"/>
      <c r="H824" s="802"/>
      <c r="I824" s="802"/>
      <c r="J824" s="802"/>
      <c r="K824" s="802"/>
      <c r="L824" s="802"/>
      <c r="M824" s="802"/>
      <c r="N824" s="802"/>
      <c r="O824" s="802"/>
      <c r="P824" s="802"/>
      <c r="Q824" s="802"/>
      <c r="R824" s="802"/>
      <c r="S824" s="802"/>
      <c r="T824" s="802"/>
      <c r="U824" s="802"/>
      <c r="V824" s="802"/>
      <c r="W824" s="802"/>
      <c r="X824" s="802"/>
      <c r="Y824" s="802"/>
      <c r="Z824" s="802"/>
      <c r="AA824" s="802"/>
      <c r="AB824" s="802"/>
      <c r="AC824" s="802"/>
      <c r="AD824" s="802"/>
      <c r="AE824" s="802"/>
      <c r="AF824" s="802"/>
      <c r="AG824" s="802"/>
      <c r="AH824" s="802"/>
      <c r="AI824" s="802"/>
      <c r="AJ824" s="802"/>
      <c r="AK824" s="802"/>
      <c r="AL824" s="802"/>
      <c r="AM824" s="802"/>
      <c r="AN824" s="802"/>
      <c r="AO824" s="802"/>
      <c r="AP824" s="802"/>
      <c r="AQ824" s="802"/>
      <c r="AR824" s="802"/>
      <c r="AS824" s="802"/>
      <c r="AT824" s="802"/>
      <c r="AU824" s="802"/>
      <c r="AV824" s="802"/>
      <c r="AW824" s="802"/>
      <c r="AX824" s="802"/>
      <c r="AY824" s="802"/>
    </row>
    <row r="825" ht="21.75" customHeight="1">
      <c r="A825" s="802"/>
      <c r="B825" s="802"/>
      <c r="C825" s="802"/>
      <c r="D825" s="802"/>
      <c r="E825" s="802"/>
      <c r="F825" s="802"/>
      <c r="G825" s="802"/>
      <c r="H825" s="802"/>
      <c r="I825" s="802"/>
      <c r="J825" s="802"/>
      <c r="K825" s="802"/>
      <c r="L825" s="802"/>
      <c r="M825" s="802"/>
      <c r="N825" s="802"/>
      <c r="O825" s="802"/>
      <c r="P825" s="802"/>
      <c r="Q825" s="802"/>
      <c r="R825" s="802"/>
      <c r="S825" s="802"/>
      <c r="T825" s="802"/>
      <c r="U825" s="802"/>
      <c r="V825" s="802"/>
      <c r="W825" s="802"/>
      <c r="X825" s="802"/>
      <c r="Y825" s="802"/>
      <c r="Z825" s="802"/>
      <c r="AA825" s="802"/>
      <c r="AB825" s="802"/>
      <c r="AC825" s="802"/>
      <c r="AD825" s="802"/>
      <c r="AE825" s="802"/>
      <c r="AF825" s="802"/>
      <c r="AG825" s="802"/>
      <c r="AH825" s="802"/>
      <c r="AI825" s="802"/>
      <c r="AJ825" s="802"/>
      <c r="AK825" s="802"/>
      <c r="AL825" s="802"/>
      <c r="AM825" s="802"/>
      <c r="AN825" s="802"/>
      <c r="AO825" s="802"/>
      <c r="AP825" s="802"/>
      <c r="AQ825" s="802"/>
      <c r="AR825" s="802"/>
      <c r="AS825" s="802"/>
      <c r="AT825" s="802"/>
      <c r="AU825" s="802"/>
      <c r="AV825" s="802"/>
      <c r="AW825" s="802"/>
      <c r="AX825" s="802"/>
      <c r="AY825" s="802"/>
    </row>
    <row r="826" ht="21.75" customHeight="1">
      <c r="A826" s="802"/>
      <c r="B826" s="802"/>
      <c r="C826" s="802"/>
      <c r="D826" s="802"/>
      <c r="E826" s="802"/>
      <c r="F826" s="802"/>
      <c r="G826" s="802"/>
      <c r="H826" s="802"/>
      <c r="I826" s="802"/>
      <c r="J826" s="802"/>
      <c r="K826" s="802"/>
      <c r="L826" s="802"/>
      <c r="M826" s="802"/>
      <c r="N826" s="802"/>
      <c r="O826" s="802"/>
      <c r="P826" s="802"/>
      <c r="Q826" s="802"/>
      <c r="R826" s="802"/>
      <c r="S826" s="802"/>
      <c r="T826" s="802"/>
      <c r="U826" s="802"/>
      <c r="V826" s="802"/>
      <c r="W826" s="802"/>
      <c r="X826" s="802"/>
      <c r="Y826" s="802"/>
      <c r="Z826" s="802"/>
      <c r="AA826" s="802"/>
      <c r="AB826" s="802"/>
      <c r="AC826" s="802"/>
      <c r="AD826" s="802"/>
      <c r="AE826" s="802"/>
      <c r="AF826" s="802"/>
      <c r="AG826" s="802"/>
      <c r="AH826" s="802"/>
      <c r="AI826" s="802"/>
      <c r="AJ826" s="802"/>
      <c r="AK826" s="802"/>
      <c r="AL826" s="802"/>
      <c r="AM826" s="802"/>
      <c r="AN826" s="802"/>
      <c r="AO826" s="802"/>
      <c r="AP826" s="802"/>
      <c r="AQ826" s="802"/>
      <c r="AR826" s="802"/>
      <c r="AS826" s="802"/>
      <c r="AT826" s="802"/>
      <c r="AU826" s="802"/>
      <c r="AV826" s="802"/>
      <c r="AW826" s="802"/>
      <c r="AX826" s="802"/>
      <c r="AY826" s="802"/>
    </row>
    <row r="827" ht="21.75" customHeight="1">
      <c r="A827" s="802"/>
      <c r="B827" s="802"/>
      <c r="C827" s="802"/>
      <c r="D827" s="802"/>
      <c r="E827" s="802"/>
      <c r="F827" s="802"/>
      <c r="G827" s="802"/>
      <c r="H827" s="802"/>
      <c r="I827" s="802"/>
      <c r="J827" s="802"/>
      <c r="K827" s="802"/>
      <c r="L827" s="802"/>
      <c r="M827" s="802"/>
      <c r="N827" s="802"/>
      <c r="O827" s="802"/>
      <c r="P827" s="802"/>
      <c r="Q827" s="802"/>
      <c r="R827" s="802"/>
      <c r="S827" s="802"/>
      <c r="T827" s="802"/>
      <c r="U827" s="802"/>
      <c r="V827" s="802"/>
      <c r="W827" s="802"/>
      <c r="X827" s="802"/>
      <c r="Y827" s="802"/>
      <c r="Z827" s="802"/>
      <c r="AA827" s="802"/>
      <c r="AB827" s="802"/>
      <c r="AC827" s="802"/>
      <c r="AD827" s="802"/>
      <c r="AE827" s="802"/>
      <c r="AF827" s="802"/>
      <c r="AG827" s="802"/>
      <c r="AH827" s="802"/>
      <c r="AI827" s="802"/>
      <c r="AJ827" s="802"/>
      <c r="AK827" s="802"/>
      <c r="AL827" s="802"/>
      <c r="AM827" s="802"/>
      <c r="AN827" s="802"/>
      <c r="AO827" s="802"/>
      <c r="AP827" s="802"/>
      <c r="AQ827" s="802"/>
      <c r="AR827" s="802"/>
      <c r="AS827" s="802"/>
      <c r="AT827" s="802"/>
      <c r="AU827" s="802"/>
      <c r="AV827" s="802"/>
      <c r="AW827" s="802"/>
      <c r="AX827" s="802"/>
      <c r="AY827" s="802"/>
    </row>
    <row r="828" ht="21.75" customHeight="1">
      <c r="A828" s="802"/>
      <c r="B828" s="802"/>
      <c r="C828" s="802"/>
      <c r="D828" s="802"/>
      <c r="E828" s="802"/>
      <c r="F828" s="802"/>
      <c r="G828" s="802"/>
      <c r="H828" s="802"/>
      <c r="I828" s="802"/>
      <c r="J828" s="802"/>
      <c r="K828" s="802"/>
      <c r="L828" s="802"/>
      <c r="M828" s="802"/>
      <c r="N828" s="802"/>
      <c r="O828" s="802"/>
      <c r="P828" s="802"/>
      <c r="Q828" s="802"/>
      <c r="R828" s="802"/>
      <c r="S828" s="802"/>
      <c r="T828" s="802"/>
      <c r="U828" s="802"/>
      <c r="V828" s="802"/>
      <c r="W828" s="802"/>
      <c r="X828" s="802"/>
      <c r="Y828" s="802"/>
      <c r="Z828" s="802"/>
      <c r="AA828" s="802"/>
      <c r="AB828" s="802"/>
      <c r="AC828" s="802"/>
      <c r="AD828" s="802"/>
      <c r="AE828" s="802"/>
      <c r="AF828" s="802"/>
      <c r="AG828" s="802"/>
      <c r="AH828" s="802"/>
      <c r="AI828" s="802"/>
      <c r="AJ828" s="802"/>
      <c r="AK828" s="802"/>
      <c r="AL828" s="802"/>
      <c r="AM828" s="802"/>
      <c r="AN828" s="802"/>
      <c r="AO828" s="802"/>
      <c r="AP828" s="802"/>
      <c r="AQ828" s="802"/>
      <c r="AR828" s="802"/>
      <c r="AS828" s="802"/>
      <c r="AT828" s="802"/>
      <c r="AU828" s="802"/>
      <c r="AV828" s="802"/>
      <c r="AW828" s="802"/>
      <c r="AX828" s="802"/>
      <c r="AY828" s="802"/>
    </row>
    <row r="829" ht="21.75" customHeight="1">
      <c r="A829" s="802"/>
      <c r="B829" s="802"/>
      <c r="C829" s="802"/>
      <c r="D829" s="802"/>
      <c r="E829" s="802"/>
      <c r="F829" s="802"/>
      <c r="G829" s="802"/>
      <c r="H829" s="802"/>
      <c r="I829" s="802"/>
      <c r="J829" s="802"/>
      <c r="K829" s="802"/>
      <c r="L829" s="802"/>
      <c r="M829" s="802"/>
      <c r="N829" s="802"/>
      <c r="O829" s="802"/>
      <c r="P829" s="802"/>
      <c r="Q829" s="802"/>
      <c r="R829" s="802"/>
      <c r="S829" s="802"/>
      <c r="T829" s="802"/>
      <c r="U829" s="802"/>
      <c r="V829" s="802"/>
      <c r="W829" s="802"/>
      <c r="X829" s="802"/>
      <c r="Y829" s="802"/>
      <c r="Z829" s="802"/>
      <c r="AA829" s="802"/>
      <c r="AB829" s="802"/>
      <c r="AC829" s="802"/>
      <c r="AD829" s="802"/>
      <c r="AE829" s="802"/>
      <c r="AF829" s="802"/>
      <c r="AG829" s="802"/>
      <c r="AH829" s="802"/>
      <c r="AI829" s="802"/>
      <c r="AJ829" s="802"/>
      <c r="AK829" s="802"/>
      <c r="AL829" s="802"/>
      <c r="AM829" s="802"/>
      <c r="AN829" s="802"/>
      <c r="AO829" s="802"/>
      <c r="AP829" s="802"/>
      <c r="AQ829" s="802"/>
      <c r="AR829" s="802"/>
      <c r="AS829" s="802"/>
      <c r="AT829" s="802"/>
      <c r="AU829" s="802"/>
      <c r="AV829" s="802"/>
      <c r="AW829" s="802"/>
      <c r="AX829" s="802"/>
      <c r="AY829" s="802"/>
    </row>
    <row r="830" ht="21.75" customHeight="1">
      <c r="A830" s="802"/>
      <c r="B830" s="802"/>
      <c r="C830" s="802"/>
      <c r="D830" s="802"/>
      <c r="E830" s="802"/>
      <c r="F830" s="802"/>
      <c r="G830" s="802"/>
      <c r="H830" s="802"/>
      <c r="I830" s="802"/>
      <c r="J830" s="802"/>
      <c r="K830" s="802"/>
      <c r="L830" s="802"/>
      <c r="M830" s="802"/>
      <c r="N830" s="802"/>
      <c r="O830" s="802"/>
      <c r="P830" s="802"/>
      <c r="Q830" s="802"/>
      <c r="R830" s="802"/>
      <c r="S830" s="802"/>
      <c r="T830" s="802"/>
      <c r="U830" s="802"/>
      <c r="V830" s="802"/>
      <c r="W830" s="802"/>
      <c r="X830" s="802"/>
      <c r="Y830" s="802"/>
      <c r="Z830" s="802"/>
      <c r="AA830" s="802"/>
      <c r="AB830" s="802"/>
      <c r="AC830" s="802"/>
      <c r="AD830" s="802"/>
      <c r="AE830" s="802"/>
      <c r="AF830" s="802"/>
      <c r="AG830" s="802"/>
      <c r="AH830" s="802"/>
      <c r="AI830" s="802"/>
      <c r="AJ830" s="802"/>
      <c r="AK830" s="802"/>
      <c r="AL830" s="802"/>
      <c r="AM830" s="802"/>
      <c r="AN830" s="802"/>
      <c r="AO830" s="802"/>
      <c r="AP830" s="802"/>
      <c r="AQ830" s="802"/>
      <c r="AR830" s="802"/>
      <c r="AS830" s="802"/>
      <c r="AT830" s="802"/>
      <c r="AU830" s="802"/>
      <c r="AV830" s="802"/>
      <c r="AW830" s="802"/>
      <c r="AX830" s="802"/>
      <c r="AY830" s="802"/>
    </row>
    <row r="831" ht="21.75" customHeight="1">
      <c r="A831" s="802"/>
      <c r="B831" s="802"/>
      <c r="C831" s="802"/>
      <c r="D831" s="802"/>
      <c r="E831" s="802"/>
      <c r="F831" s="802"/>
      <c r="G831" s="802"/>
      <c r="H831" s="802"/>
      <c r="I831" s="802"/>
      <c r="J831" s="802"/>
      <c r="K831" s="802"/>
      <c r="L831" s="802"/>
      <c r="M831" s="802"/>
      <c r="N831" s="802"/>
      <c r="O831" s="802"/>
      <c r="P831" s="802"/>
      <c r="Q831" s="802"/>
      <c r="R831" s="802"/>
      <c r="S831" s="802"/>
      <c r="T831" s="802"/>
      <c r="U831" s="802"/>
      <c r="V831" s="802"/>
      <c r="W831" s="802"/>
      <c r="X831" s="802"/>
      <c r="Y831" s="802"/>
      <c r="Z831" s="802"/>
      <c r="AA831" s="802"/>
      <c r="AB831" s="802"/>
      <c r="AC831" s="802"/>
      <c r="AD831" s="802"/>
      <c r="AE831" s="802"/>
      <c r="AF831" s="802"/>
      <c r="AG831" s="802"/>
      <c r="AH831" s="802"/>
      <c r="AI831" s="802"/>
      <c r="AJ831" s="802"/>
      <c r="AK831" s="802"/>
      <c r="AL831" s="802"/>
      <c r="AM831" s="802"/>
      <c r="AN831" s="802"/>
      <c r="AO831" s="802"/>
      <c r="AP831" s="802"/>
      <c r="AQ831" s="802"/>
      <c r="AR831" s="802"/>
      <c r="AS831" s="802"/>
      <c r="AT831" s="802"/>
      <c r="AU831" s="802"/>
      <c r="AV831" s="802"/>
      <c r="AW831" s="802"/>
      <c r="AX831" s="802"/>
      <c r="AY831" s="802"/>
    </row>
    <row r="832" ht="21.75" customHeight="1">
      <c r="A832" s="802"/>
      <c r="B832" s="802"/>
      <c r="C832" s="802"/>
      <c r="D832" s="802"/>
      <c r="E832" s="802"/>
      <c r="F832" s="802"/>
      <c r="G832" s="802"/>
      <c r="H832" s="802"/>
      <c r="I832" s="802"/>
      <c r="J832" s="802"/>
      <c r="K832" s="802"/>
      <c r="L832" s="802"/>
      <c r="M832" s="802"/>
      <c r="N832" s="802"/>
      <c r="O832" s="802"/>
      <c r="P832" s="802"/>
      <c r="Q832" s="802"/>
      <c r="R832" s="802"/>
      <c r="S832" s="802"/>
      <c r="T832" s="802"/>
      <c r="U832" s="802"/>
      <c r="V832" s="802"/>
      <c r="W832" s="802"/>
      <c r="X832" s="802"/>
      <c r="Y832" s="802"/>
      <c r="Z832" s="802"/>
      <c r="AA832" s="802"/>
      <c r="AB832" s="802"/>
      <c r="AC832" s="802"/>
      <c r="AD832" s="802"/>
      <c r="AE832" s="802"/>
      <c r="AF832" s="802"/>
      <c r="AG832" s="802"/>
      <c r="AH832" s="802"/>
      <c r="AI832" s="802"/>
      <c r="AJ832" s="802"/>
      <c r="AK832" s="802"/>
      <c r="AL832" s="802"/>
      <c r="AM832" s="802"/>
      <c r="AN832" s="802"/>
      <c r="AO832" s="802"/>
      <c r="AP832" s="802"/>
      <c r="AQ832" s="802"/>
      <c r="AR832" s="802"/>
      <c r="AS832" s="802"/>
      <c r="AT832" s="802"/>
      <c r="AU832" s="802"/>
      <c r="AV832" s="802"/>
      <c r="AW832" s="802"/>
      <c r="AX832" s="802"/>
      <c r="AY832" s="802"/>
    </row>
    <row r="833" ht="21.75" customHeight="1">
      <c r="A833" s="802"/>
      <c r="B833" s="802"/>
      <c r="C833" s="802"/>
      <c r="D833" s="802"/>
      <c r="E833" s="802"/>
      <c r="F833" s="802"/>
      <c r="G833" s="802"/>
      <c r="H833" s="802"/>
      <c r="I833" s="802"/>
      <c r="J833" s="802"/>
      <c r="K833" s="802"/>
      <c r="L833" s="802"/>
      <c r="M833" s="802"/>
      <c r="N833" s="802"/>
      <c r="O833" s="802"/>
      <c r="P833" s="802"/>
      <c r="Q833" s="802"/>
      <c r="R833" s="802"/>
      <c r="S833" s="802"/>
      <c r="T833" s="802"/>
      <c r="U833" s="802"/>
      <c r="V833" s="802"/>
      <c r="W833" s="802"/>
      <c r="X833" s="802"/>
      <c r="Y833" s="802"/>
      <c r="Z833" s="802"/>
      <c r="AA833" s="802"/>
      <c r="AB833" s="802"/>
      <c r="AC833" s="802"/>
      <c r="AD833" s="802"/>
      <c r="AE833" s="802"/>
      <c r="AF833" s="802"/>
      <c r="AG833" s="802"/>
      <c r="AH833" s="802"/>
      <c r="AI833" s="802"/>
      <c r="AJ833" s="802"/>
      <c r="AK833" s="802"/>
      <c r="AL833" s="802"/>
      <c r="AM833" s="802"/>
      <c r="AN833" s="802"/>
      <c r="AO833" s="802"/>
      <c r="AP833" s="802"/>
      <c r="AQ833" s="802"/>
      <c r="AR833" s="802"/>
      <c r="AS833" s="802"/>
      <c r="AT833" s="802"/>
      <c r="AU833" s="802"/>
      <c r="AV833" s="802"/>
      <c r="AW833" s="802"/>
      <c r="AX833" s="802"/>
      <c r="AY833" s="802"/>
    </row>
    <row r="834" ht="21.75" customHeight="1">
      <c r="A834" s="802"/>
      <c r="B834" s="802"/>
      <c r="C834" s="802"/>
      <c r="D834" s="802"/>
      <c r="E834" s="802"/>
      <c r="F834" s="802"/>
      <c r="G834" s="802"/>
      <c r="H834" s="802"/>
      <c r="I834" s="802"/>
      <c r="J834" s="802"/>
      <c r="K834" s="802"/>
      <c r="L834" s="802"/>
      <c r="M834" s="802"/>
      <c r="N834" s="802"/>
      <c r="O834" s="802"/>
      <c r="P834" s="802"/>
      <c r="Q834" s="802"/>
      <c r="R834" s="802"/>
      <c r="S834" s="802"/>
      <c r="T834" s="802"/>
      <c r="U834" s="802"/>
      <c r="V834" s="802"/>
      <c r="W834" s="802"/>
      <c r="X834" s="802"/>
      <c r="Y834" s="802"/>
      <c r="Z834" s="802"/>
      <c r="AA834" s="802"/>
      <c r="AB834" s="802"/>
      <c r="AC834" s="802"/>
      <c r="AD834" s="802"/>
      <c r="AE834" s="802"/>
      <c r="AF834" s="802"/>
      <c r="AG834" s="802"/>
      <c r="AH834" s="802"/>
      <c r="AI834" s="802"/>
      <c r="AJ834" s="802"/>
      <c r="AK834" s="802"/>
      <c r="AL834" s="802"/>
      <c r="AM834" s="802"/>
      <c r="AN834" s="802"/>
      <c r="AO834" s="802"/>
      <c r="AP834" s="802"/>
      <c r="AQ834" s="802"/>
      <c r="AR834" s="802"/>
      <c r="AS834" s="802"/>
      <c r="AT834" s="802"/>
      <c r="AU834" s="802"/>
      <c r="AV834" s="802"/>
      <c r="AW834" s="802"/>
      <c r="AX834" s="802"/>
      <c r="AY834" s="802"/>
    </row>
    <row r="835" ht="21.75" customHeight="1">
      <c r="A835" s="802"/>
      <c r="B835" s="802"/>
      <c r="C835" s="802"/>
      <c r="D835" s="802"/>
      <c r="E835" s="802"/>
      <c r="F835" s="802"/>
      <c r="G835" s="802"/>
      <c r="H835" s="802"/>
      <c r="I835" s="802"/>
      <c r="J835" s="802"/>
      <c r="K835" s="802"/>
      <c r="L835" s="802"/>
      <c r="M835" s="802"/>
      <c r="N835" s="802"/>
      <c r="O835" s="802"/>
      <c r="P835" s="802"/>
      <c r="Q835" s="802"/>
      <c r="R835" s="802"/>
      <c r="S835" s="802"/>
      <c r="T835" s="802"/>
      <c r="U835" s="802"/>
      <c r="V835" s="802"/>
      <c r="W835" s="802"/>
      <c r="X835" s="802"/>
      <c r="Y835" s="802"/>
      <c r="Z835" s="802"/>
      <c r="AA835" s="802"/>
      <c r="AB835" s="802"/>
      <c r="AC835" s="802"/>
      <c r="AD835" s="802"/>
      <c r="AE835" s="802"/>
      <c r="AF835" s="802"/>
      <c r="AG835" s="802"/>
      <c r="AH835" s="802"/>
      <c r="AI835" s="802"/>
      <c r="AJ835" s="802"/>
      <c r="AK835" s="802"/>
      <c r="AL835" s="802"/>
      <c r="AM835" s="802"/>
      <c r="AN835" s="802"/>
      <c r="AO835" s="802"/>
      <c r="AP835" s="802"/>
      <c r="AQ835" s="802"/>
      <c r="AR835" s="802"/>
      <c r="AS835" s="802"/>
      <c r="AT835" s="802"/>
      <c r="AU835" s="802"/>
      <c r="AV835" s="802"/>
      <c r="AW835" s="802"/>
      <c r="AX835" s="802"/>
      <c r="AY835" s="802"/>
    </row>
    <row r="836" ht="21.75" customHeight="1">
      <c r="A836" s="802"/>
      <c r="B836" s="802"/>
      <c r="C836" s="802"/>
      <c r="D836" s="802"/>
      <c r="E836" s="802"/>
      <c r="F836" s="802"/>
      <c r="G836" s="802"/>
      <c r="H836" s="802"/>
      <c r="I836" s="802"/>
      <c r="J836" s="802"/>
      <c r="K836" s="802"/>
      <c r="L836" s="802"/>
      <c r="M836" s="802"/>
      <c r="N836" s="802"/>
      <c r="O836" s="802"/>
      <c r="P836" s="802"/>
      <c r="Q836" s="802"/>
      <c r="R836" s="802"/>
      <c r="S836" s="802"/>
      <c r="T836" s="802"/>
      <c r="U836" s="802"/>
      <c r="V836" s="802"/>
      <c r="W836" s="802"/>
      <c r="X836" s="802"/>
      <c r="Y836" s="802"/>
      <c r="Z836" s="802"/>
      <c r="AA836" s="802"/>
      <c r="AB836" s="802"/>
      <c r="AC836" s="802"/>
      <c r="AD836" s="802"/>
      <c r="AE836" s="802"/>
      <c r="AF836" s="802"/>
      <c r="AG836" s="802"/>
      <c r="AH836" s="802"/>
      <c r="AI836" s="802"/>
      <c r="AJ836" s="802"/>
      <c r="AK836" s="802"/>
      <c r="AL836" s="802"/>
      <c r="AM836" s="802"/>
      <c r="AN836" s="802"/>
      <c r="AO836" s="802"/>
      <c r="AP836" s="802"/>
      <c r="AQ836" s="802"/>
      <c r="AR836" s="802"/>
      <c r="AS836" s="802"/>
      <c r="AT836" s="802"/>
      <c r="AU836" s="802"/>
      <c r="AV836" s="802"/>
      <c r="AW836" s="802"/>
      <c r="AX836" s="802"/>
      <c r="AY836" s="802"/>
    </row>
    <row r="837" ht="21.75" customHeight="1">
      <c r="A837" s="802"/>
      <c r="B837" s="802"/>
      <c r="C837" s="802"/>
      <c r="D837" s="802"/>
      <c r="E837" s="802"/>
      <c r="F837" s="802"/>
      <c r="G837" s="802"/>
      <c r="H837" s="802"/>
      <c r="I837" s="802"/>
      <c r="J837" s="802"/>
      <c r="K837" s="802"/>
      <c r="L837" s="802"/>
      <c r="M837" s="802"/>
      <c r="N837" s="802"/>
      <c r="O837" s="802"/>
      <c r="P837" s="802"/>
      <c r="Q837" s="802"/>
      <c r="R837" s="802"/>
      <c r="S837" s="802"/>
      <c r="T837" s="802"/>
      <c r="U837" s="802"/>
      <c r="V837" s="802"/>
      <c r="W837" s="802"/>
      <c r="X837" s="802"/>
      <c r="Y837" s="802"/>
      <c r="Z837" s="802"/>
      <c r="AA837" s="802"/>
      <c r="AB837" s="802"/>
      <c r="AC837" s="802"/>
      <c r="AD837" s="802"/>
      <c r="AE837" s="802"/>
      <c r="AF837" s="802"/>
      <c r="AG837" s="802"/>
      <c r="AH837" s="802"/>
      <c r="AI837" s="802"/>
      <c r="AJ837" s="802"/>
      <c r="AK837" s="802"/>
      <c r="AL837" s="802"/>
      <c r="AM837" s="802"/>
      <c r="AN837" s="802"/>
      <c r="AO837" s="802"/>
      <c r="AP837" s="802"/>
      <c r="AQ837" s="802"/>
      <c r="AR837" s="802"/>
      <c r="AS837" s="802"/>
      <c r="AT837" s="802"/>
      <c r="AU837" s="802"/>
      <c r="AV837" s="802"/>
      <c r="AW837" s="802"/>
      <c r="AX837" s="802"/>
      <c r="AY837" s="802"/>
    </row>
    <row r="838" ht="21.75" customHeight="1">
      <c r="A838" s="802"/>
      <c r="B838" s="802"/>
      <c r="C838" s="802"/>
      <c r="D838" s="802"/>
      <c r="E838" s="802"/>
      <c r="F838" s="802"/>
      <c r="G838" s="802"/>
      <c r="H838" s="802"/>
      <c r="I838" s="802"/>
      <c r="J838" s="802"/>
      <c r="K838" s="802"/>
      <c r="L838" s="802"/>
      <c r="M838" s="802"/>
      <c r="N838" s="802"/>
      <c r="O838" s="802"/>
      <c r="P838" s="802"/>
      <c r="Q838" s="802"/>
      <c r="R838" s="802"/>
      <c r="S838" s="802"/>
      <c r="T838" s="802"/>
      <c r="U838" s="802"/>
      <c r="V838" s="802"/>
      <c r="W838" s="802"/>
      <c r="X838" s="802"/>
      <c r="Y838" s="802"/>
      <c r="Z838" s="802"/>
      <c r="AA838" s="802"/>
      <c r="AB838" s="802"/>
      <c r="AC838" s="802"/>
      <c r="AD838" s="802"/>
      <c r="AE838" s="802"/>
      <c r="AF838" s="802"/>
      <c r="AG838" s="802"/>
      <c r="AH838" s="802"/>
      <c r="AI838" s="802"/>
      <c r="AJ838" s="802"/>
      <c r="AK838" s="802"/>
      <c r="AL838" s="802"/>
      <c r="AM838" s="802"/>
      <c r="AN838" s="802"/>
      <c r="AO838" s="802"/>
      <c r="AP838" s="802"/>
      <c r="AQ838" s="802"/>
      <c r="AR838" s="802"/>
      <c r="AS838" s="802"/>
      <c r="AT838" s="802"/>
      <c r="AU838" s="802"/>
      <c r="AV838" s="802"/>
      <c r="AW838" s="802"/>
      <c r="AX838" s="802"/>
      <c r="AY838" s="802"/>
    </row>
    <row r="839" ht="21.75" customHeight="1">
      <c r="A839" s="802"/>
      <c r="B839" s="802"/>
      <c r="C839" s="802"/>
      <c r="D839" s="802"/>
      <c r="E839" s="802"/>
      <c r="F839" s="802"/>
      <c r="G839" s="802"/>
      <c r="H839" s="802"/>
      <c r="I839" s="802"/>
      <c r="J839" s="802"/>
      <c r="K839" s="802"/>
      <c r="L839" s="802"/>
      <c r="M839" s="802"/>
      <c r="N839" s="802"/>
      <c r="O839" s="802"/>
      <c r="P839" s="802"/>
      <c r="Q839" s="802"/>
      <c r="R839" s="802"/>
      <c r="S839" s="802"/>
      <c r="T839" s="802"/>
      <c r="U839" s="802"/>
      <c r="V839" s="802"/>
      <c r="W839" s="802"/>
      <c r="X839" s="802"/>
      <c r="Y839" s="802"/>
      <c r="Z839" s="802"/>
      <c r="AA839" s="802"/>
      <c r="AB839" s="802"/>
      <c r="AC839" s="802"/>
      <c r="AD839" s="802"/>
      <c r="AE839" s="802"/>
      <c r="AF839" s="802"/>
      <c r="AG839" s="802"/>
      <c r="AH839" s="802"/>
      <c r="AI839" s="802"/>
      <c r="AJ839" s="802"/>
      <c r="AK839" s="802"/>
      <c r="AL839" s="802"/>
      <c r="AM839" s="802"/>
      <c r="AN839" s="802"/>
      <c r="AO839" s="802"/>
      <c r="AP839" s="802"/>
      <c r="AQ839" s="802"/>
      <c r="AR839" s="802"/>
      <c r="AS839" s="802"/>
      <c r="AT839" s="802"/>
      <c r="AU839" s="802"/>
      <c r="AV839" s="802"/>
      <c r="AW839" s="802"/>
      <c r="AX839" s="802"/>
      <c r="AY839" s="802"/>
    </row>
    <row r="840" ht="21.75" customHeight="1">
      <c r="A840" s="802"/>
      <c r="B840" s="802"/>
      <c r="C840" s="802"/>
      <c r="D840" s="802"/>
      <c r="E840" s="802"/>
      <c r="F840" s="802"/>
      <c r="G840" s="802"/>
      <c r="H840" s="802"/>
      <c r="I840" s="802"/>
      <c r="J840" s="802"/>
      <c r="K840" s="802"/>
      <c r="L840" s="802"/>
      <c r="M840" s="802"/>
      <c r="N840" s="802"/>
      <c r="O840" s="802"/>
      <c r="P840" s="802"/>
      <c r="Q840" s="802"/>
      <c r="R840" s="802"/>
      <c r="S840" s="802"/>
      <c r="T840" s="802"/>
      <c r="U840" s="802"/>
      <c r="V840" s="802"/>
      <c r="W840" s="802"/>
      <c r="X840" s="802"/>
      <c r="Y840" s="802"/>
      <c r="Z840" s="802"/>
      <c r="AA840" s="802"/>
      <c r="AB840" s="802"/>
      <c r="AC840" s="802"/>
      <c r="AD840" s="802"/>
      <c r="AE840" s="802"/>
      <c r="AF840" s="802"/>
      <c r="AG840" s="802"/>
      <c r="AH840" s="802"/>
      <c r="AI840" s="802"/>
      <c r="AJ840" s="802"/>
      <c r="AK840" s="802"/>
      <c r="AL840" s="802"/>
      <c r="AM840" s="802"/>
      <c r="AN840" s="802"/>
      <c r="AO840" s="802"/>
      <c r="AP840" s="802"/>
      <c r="AQ840" s="802"/>
      <c r="AR840" s="802"/>
      <c r="AS840" s="802"/>
      <c r="AT840" s="802"/>
      <c r="AU840" s="802"/>
      <c r="AV840" s="802"/>
      <c r="AW840" s="802"/>
      <c r="AX840" s="802"/>
      <c r="AY840" s="802"/>
    </row>
    <row r="841" ht="21.75" customHeight="1">
      <c r="A841" s="802"/>
      <c r="B841" s="802"/>
      <c r="C841" s="802"/>
      <c r="D841" s="802"/>
      <c r="E841" s="802"/>
      <c r="F841" s="802"/>
      <c r="G841" s="802"/>
      <c r="H841" s="802"/>
      <c r="I841" s="802"/>
      <c r="J841" s="802"/>
      <c r="K841" s="802"/>
      <c r="L841" s="802"/>
      <c r="M841" s="802"/>
      <c r="N841" s="802"/>
      <c r="O841" s="802"/>
      <c r="P841" s="802"/>
      <c r="Q841" s="802"/>
      <c r="R841" s="802"/>
      <c r="S841" s="802"/>
      <c r="T841" s="802"/>
      <c r="U841" s="802"/>
      <c r="V841" s="802"/>
      <c r="W841" s="802"/>
      <c r="X841" s="802"/>
      <c r="Y841" s="802"/>
      <c r="Z841" s="802"/>
      <c r="AA841" s="802"/>
      <c r="AB841" s="802"/>
      <c r="AC841" s="802"/>
      <c r="AD841" s="802"/>
      <c r="AE841" s="802"/>
      <c r="AF841" s="802"/>
      <c r="AG841" s="802"/>
      <c r="AH841" s="802"/>
      <c r="AI841" s="802"/>
      <c r="AJ841" s="802"/>
      <c r="AK841" s="802"/>
      <c r="AL841" s="802"/>
      <c r="AM841" s="802"/>
      <c r="AN841" s="802"/>
      <c r="AO841" s="802"/>
      <c r="AP841" s="802"/>
      <c r="AQ841" s="802"/>
      <c r="AR841" s="802"/>
      <c r="AS841" s="802"/>
      <c r="AT841" s="802"/>
      <c r="AU841" s="802"/>
      <c r="AV841" s="802"/>
      <c r="AW841" s="802"/>
      <c r="AX841" s="802"/>
      <c r="AY841" s="802"/>
    </row>
    <row r="842" ht="21.75" customHeight="1">
      <c r="A842" s="802"/>
      <c r="B842" s="802"/>
      <c r="C842" s="802"/>
      <c r="D842" s="802"/>
      <c r="E842" s="802"/>
      <c r="F842" s="802"/>
      <c r="G842" s="802"/>
      <c r="H842" s="802"/>
      <c r="I842" s="802"/>
      <c r="J842" s="802"/>
      <c r="K842" s="802"/>
      <c r="L842" s="802"/>
      <c r="M842" s="802"/>
      <c r="N842" s="802"/>
      <c r="O842" s="802"/>
      <c r="P842" s="802"/>
      <c r="Q842" s="802"/>
      <c r="R842" s="802"/>
      <c r="S842" s="802"/>
      <c r="T842" s="802"/>
      <c r="U842" s="802"/>
      <c r="V842" s="802"/>
      <c r="W842" s="802"/>
      <c r="X842" s="802"/>
      <c r="Y842" s="802"/>
      <c r="Z842" s="802"/>
      <c r="AA842" s="802"/>
      <c r="AB842" s="802"/>
      <c r="AC842" s="802"/>
      <c r="AD842" s="802"/>
      <c r="AE842" s="802"/>
      <c r="AF842" s="802"/>
      <c r="AG842" s="802"/>
      <c r="AH842" s="802"/>
      <c r="AI842" s="802"/>
      <c r="AJ842" s="802"/>
      <c r="AK842" s="802"/>
      <c r="AL842" s="802"/>
      <c r="AM842" s="802"/>
      <c r="AN842" s="802"/>
      <c r="AO842" s="802"/>
      <c r="AP842" s="802"/>
      <c r="AQ842" s="802"/>
      <c r="AR842" s="802"/>
      <c r="AS842" s="802"/>
      <c r="AT842" s="802"/>
      <c r="AU842" s="802"/>
      <c r="AV842" s="802"/>
      <c r="AW842" s="802"/>
      <c r="AX842" s="802"/>
      <c r="AY842" s="802"/>
    </row>
    <row r="843" ht="21.75" customHeight="1">
      <c r="A843" s="802"/>
      <c r="B843" s="802"/>
      <c r="C843" s="802"/>
      <c r="D843" s="802"/>
      <c r="E843" s="802"/>
      <c r="F843" s="802"/>
      <c r="G843" s="802"/>
      <c r="H843" s="802"/>
      <c r="I843" s="802"/>
      <c r="J843" s="802"/>
      <c r="K843" s="802"/>
      <c r="L843" s="802"/>
      <c r="M843" s="802"/>
      <c r="N843" s="802"/>
      <c r="O843" s="802"/>
      <c r="P843" s="802"/>
      <c r="Q843" s="802"/>
      <c r="R843" s="802"/>
      <c r="S843" s="802"/>
      <c r="T843" s="802"/>
      <c r="U843" s="802"/>
      <c r="V843" s="802"/>
      <c r="W843" s="802"/>
      <c r="X843" s="802"/>
      <c r="Y843" s="802"/>
      <c r="Z843" s="802"/>
      <c r="AA843" s="802"/>
      <c r="AB843" s="802"/>
      <c r="AC843" s="802"/>
      <c r="AD843" s="802"/>
      <c r="AE843" s="802"/>
      <c r="AF843" s="802"/>
      <c r="AG843" s="802"/>
      <c r="AH843" s="802"/>
      <c r="AI843" s="802"/>
      <c r="AJ843" s="802"/>
      <c r="AK843" s="802"/>
      <c r="AL843" s="802"/>
      <c r="AM843" s="802"/>
      <c r="AN843" s="802"/>
      <c r="AO843" s="802"/>
      <c r="AP843" s="802"/>
      <c r="AQ843" s="802"/>
      <c r="AR843" s="802"/>
      <c r="AS843" s="802"/>
      <c r="AT843" s="802"/>
      <c r="AU843" s="802"/>
      <c r="AV843" s="802"/>
      <c r="AW843" s="802"/>
      <c r="AX843" s="802"/>
      <c r="AY843" s="802"/>
    </row>
    <row r="844" ht="21.75" customHeight="1">
      <c r="A844" s="802"/>
      <c r="B844" s="802"/>
      <c r="C844" s="802"/>
      <c r="D844" s="802"/>
      <c r="E844" s="802"/>
      <c r="F844" s="802"/>
      <c r="G844" s="802"/>
      <c r="H844" s="802"/>
      <c r="I844" s="802"/>
      <c r="J844" s="802"/>
      <c r="K844" s="802"/>
      <c r="L844" s="802"/>
      <c r="M844" s="802"/>
      <c r="N844" s="802"/>
      <c r="O844" s="802"/>
      <c r="P844" s="802"/>
      <c r="Q844" s="802"/>
      <c r="R844" s="802"/>
      <c r="S844" s="802"/>
      <c r="T844" s="802"/>
      <c r="U844" s="802"/>
      <c r="V844" s="802"/>
      <c r="W844" s="802"/>
      <c r="X844" s="802"/>
      <c r="Y844" s="802"/>
      <c r="Z844" s="802"/>
      <c r="AA844" s="802"/>
      <c r="AB844" s="802"/>
      <c r="AC844" s="802"/>
      <c r="AD844" s="802"/>
      <c r="AE844" s="802"/>
      <c r="AF844" s="802"/>
      <c r="AG844" s="802"/>
      <c r="AH844" s="802"/>
      <c r="AI844" s="802"/>
      <c r="AJ844" s="802"/>
      <c r="AK844" s="802"/>
      <c r="AL844" s="802"/>
      <c r="AM844" s="802"/>
      <c r="AN844" s="802"/>
      <c r="AO844" s="802"/>
      <c r="AP844" s="802"/>
      <c r="AQ844" s="802"/>
      <c r="AR844" s="802"/>
      <c r="AS844" s="802"/>
      <c r="AT844" s="802"/>
      <c r="AU844" s="802"/>
      <c r="AV844" s="802"/>
      <c r="AW844" s="802"/>
      <c r="AX844" s="802"/>
      <c r="AY844" s="802"/>
    </row>
    <row r="845" ht="21.75" customHeight="1">
      <c r="A845" s="802"/>
      <c r="B845" s="802"/>
      <c r="C845" s="802"/>
      <c r="D845" s="802"/>
      <c r="E845" s="802"/>
      <c r="F845" s="802"/>
      <c r="G845" s="802"/>
      <c r="H845" s="802"/>
      <c r="I845" s="802"/>
      <c r="J845" s="802"/>
      <c r="K845" s="802"/>
      <c r="L845" s="802"/>
      <c r="M845" s="802"/>
      <c r="N845" s="802"/>
      <c r="O845" s="802"/>
      <c r="P845" s="802"/>
      <c r="Q845" s="802"/>
      <c r="R845" s="802"/>
      <c r="S845" s="802"/>
      <c r="T845" s="802"/>
      <c r="U845" s="802"/>
      <c r="V845" s="802"/>
      <c r="W845" s="802"/>
      <c r="X845" s="802"/>
      <c r="Y845" s="802"/>
      <c r="Z845" s="802"/>
      <c r="AA845" s="802"/>
      <c r="AB845" s="802"/>
      <c r="AC845" s="802"/>
      <c r="AD845" s="802"/>
      <c r="AE845" s="802"/>
      <c r="AF845" s="802"/>
      <c r="AG845" s="802"/>
      <c r="AH845" s="802"/>
      <c r="AI845" s="802"/>
      <c r="AJ845" s="802"/>
      <c r="AK845" s="802"/>
      <c r="AL845" s="802"/>
      <c r="AM845" s="802"/>
      <c r="AN845" s="802"/>
      <c r="AO845" s="802"/>
      <c r="AP845" s="802"/>
      <c r="AQ845" s="802"/>
      <c r="AR845" s="802"/>
      <c r="AS845" s="802"/>
      <c r="AT845" s="802"/>
      <c r="AU845" s="802"/>
      <c r="AV845" s="802"/>
      <c r="AW845" s="802"/>
      <c r="AX845" s="802"/>
      <c r="AY845" s="802"/>
    </row>
    <row r="846" ht="21.75" customHeight="1">
      <c r="A846" s="802"/>
      <c r="B846" s="802"/>
      <c r="C846" s="802"/>
      <c r="D846" s="802"/>
      <c r="E846" s="802"/>
      <c r="F846" s="802"/>
      <c r="G846" s="802"/>
      <c r="H846" s="802"/>
      <c r="I846" s="802"/>
      <c r="J846" s="802"/>
      <c r="K846" s="802"/>
      <c r="L846" s="802"/>
      <c r="M846" s="802"/>
      <c r="N846" s="802"/>
      <c r="O846" s="802"/>
      <c r="P846" s="802"/>
      <c r="Q846" s="802"/>
      <c r="R846" s="802"/>
      <c r="S846" s="802"/>
      <c r="T846" s="802"/>
      <c r="U846" s="802"/>
      <c r="V846" s="802"/>
      <c r="W846" s="802"/>
      <c r="X846" s="802"/>
      <c r="Y846" s="802"/>
      <c r="Z846" s="802"/>
      <c r="AA846" s="802"/>
      <c r="AB846" s="802"/>
      <c r="AC846" s="802"/>
      <c r="AD846" s="802"/>
      <c r="AE846" s="802"/>
      <c r="AF846" s="802"/>
      <c r="AG846" s="802"/>
      <c r="AH846" s="802"/>
      <c r="AI846" s="802"/>
      <c r="AJ846" s="802"/>
      <c r="AK846" s="802"/>
      <c r="AL846" s="802"/>
      <c r="AM846" s="802"/>
      <c r="AN846" s="802"/>
      <c r="AO846" s="802"/>
      <c r="AP846" s="802"/>
      <c r="AQ846" s="802"/>
      <c r="AR846" s="802"/>
      <c r="AS846" s="802"/>
      <c r="AT846" s="802"/>
      <c r="AU846" s="802"/>
      <c r="AV846" s="802"/>
      <c r="AW846" s="802"/>
      <c r="AX846" s="802"/>
      <c r="AY846" s="802"/>
    </row>
    <row r="847" ht="21.75" customHeight="1">
      <c r="A847" s="802"/>
      <c r="B847" s="802"/>
      <c r="C847" s="802"/>
      <c r="D847" s="802"/>
      <c r="E847" s="802"/>
      <c r="F847" s="802"/>
      <c r="G847" s="802"/>
      <c r="H847" s="802"/>
      <c r="I847" s="802"/>
      <c r="J847" s="802"/>
      <c r="K847" s="802"/>
      <c r="L847" s="802"/>
      <c r="M847" s="802"/>
      <c r="N847" s="802"/>
      <c r="O847" s="802"/>
      <c r="P847" s="802"/>
      <c r="Q847" s="802"/>
      <c r="R847" s="802"/>
      <c r="S847" s="802"/>
      <c r="T847" s="802"/>
      <c r="U847" s="802"/>
      <c r="V847" s="802"/>
      <c r="W847" s="802"/>
      <c r="X847" s="802"/>
      <c r="Y847" s="802"/>
      <c r="Z847" s="802"/>
      <c r="AA847" s="802"/>
      <c r="AB847" s="802"/>
      <c r="AC847" s="802"/>
      <c r="AD847" s="802"/>
      <c r="AE847" s="802"/>
      <c r="AF847" s="802"/>
      <c r="AG847" s="802"/>
      <c r="AH847" s="802"/>
      <c r="AI847" s="802"/>
      <c r="AJ847" s="802"/>
      <c r="AK847" s="802"/>
      <c r="AL847" s="802"/>
      <c r="AM847" s="802"/>
      <c r="AN847" s="802"/>
      <c r="AO847" s="802"/>
      <c r="AP847" s="802"/>
      <c r="AQ847" s="802"/>
      <c r="AR847" s="802"/>
      <c r="AS847" s="802"/>
      <c r="AT847" s="802"/>
      <c r="AU847" s="802"/>
      <c r="AV847" s="802"/>
      <c r="AW847" s="802"/>
      <c r="AX847" s="802"/>
      <c r="AY847" s="802"/>
    </row>
    <row r="848" ht="21.75" customHeight="1">
      <c r="A848" s="802"/>
      <c r="B848" s="802"/>
      <c r="C848" s="802"/>
      <c r="D848" s="802"/>
      <c r="E848" s="802"/>
      <c r="F848" s="802"/>
      <c r="G848" s="802"/>
      <c r="H848" s="802"/>
      <c r="I848" s="802"/>
      <c r="J848" s="802"/>
      <c r="K848" s="802"/>
      <c r="L848" s="802"/>
      <c r="M848" s="802"/>
      <c r="N848" s="802"/>
      <c r="O848" s="802"/>
      <c r="P848" s="802"/>
      <c r="Q848" s="802"/>
      <c r="R848" s="802"/>
      <c r="S848" s="802"/>
      <c r="T848" s="802"/>
      <c r="U848" s="802"/>
      <c r="V848" s="802"/>
      <c r="W848" s="802"/>
      <c r="X848" s="802"/>
      <c r="Y848" s="802"/>
      <c r="Z848" s="802"/>
      <c r="AA848" s="802"/>
      <c r="AB848" s="802"/>
      <c r="AC848" s="802"/>
      <c r="AD848" s="802"/>
      <c r="AE848" s="802"/>
      <c r="AF848" s="802"/>
      <c r="AG848" s="802"/>
      <c r="AH848" s="802"/>
      <c r="AI848" s="802"/>
      <c r="AJ848" s="802"/>
      <c r="AK848" s="802"/>
      <c r="AL848" s="802"/>
      <c r="AM848" s="802"/>
      <c r="AN848" s="802"/>
      <c r="AO848" s="802"/>
      <c r="AP848" s="802"/>
      <c r="AQ848" s="802"/>
      <c r="AR848" s="802"/>
      <c r="AS848" s="802"/>
      <c r="AT848" s="802"/>
      <c r="AU848" s="802"/>
      <c r="AV848" s="802"/>
      <c r="AW848" s="802"/>
      <c r="AX848" s="802"/>
      <c r="AY848" s="802"/>
    </row>
    <row r="849" ht="21.75" customHeight="1">
      <c r="A849" s="802"/>
      <c r="B849" s="802"/>
      <c r="C849" s="802"/>
      <c r="D849" s="802"/>
      <c r="E849" s="802"/>
      <c r="F849" s="802"/>
      <c r="G849" s="802"/>
      <c r="H849" s="802"/>
      <c r="I849" s="802"/>
      <c r="J849" s="802"/>
      <c r="K849" s="802"/>
      <c r="L849" s="802"/>
      <c r="M849" s="802"/>
      <c r="N849" s="802"/>
      <c r="O849" s="802"/>
      <c r="P849" s="802"/>
      <c r="Q849" s="802"/>
      <c r="R849" s="802"/>
      <c r="S849" s="802"/>
      <c r="T849" s="802"/>
      <c r="U849" s="802"/>
      <c r="V849" s="802"/>
      <c r="W849" s="802"/>
      <c r="X849" s="802"/>
      <c r="Y849" s="802"/>
      <c r="Z849" s="802"/>
      <c r="AA849" s="802"/>
      <c r="AB849" s="802"/>
      <c r="AC849" s="802"/>
      <c r="AD849" s="802"/>
      <c r="AE849" s="802"/>
      <c r="AF849" s="802"/>
      <c r="AG849" s="802"/>
      <c r="AH849" s="802"/>
      <c r="AI849" s="802"/>
      <c r="AJ849" s="802"/>
      <c r="AK849" s="802"/>
      <c r="AL849" s="802"/>
      <c r="AM849" s="802"/>
      <c r="AN849" s="802"/>
      <c r="AO849" s="802"/>
      <c r="AP849" s="802"/>
      <c r="AQ849" s="802"/>
      <c r="AR849" s="802"/>
      <c r="AS849" s="802"/>
      <c r="AT849" s="802"/>
      <c r="AU849" s="802"/>
      <c r="AV849" s="802"/>
      <c r="AW849" s="802"/>
      <c r="AX849" s="802"/>
      <c r="AY849" s="802"/>
    </row>
    <row r="850" ht="21.75" customHeight="1">
      <c r="A850" s="802"/>
      <c r="B850" s="802"/>
      <c r="C850" s="802"/>
      <c r="D850" s="802"/>
      <c r="E850" s="802"/>
      <c r="F850" s="802"/>
      <c r="G850" s="802"/>
      <c r="H850" s="802"/>
      <c r="I850" s="802"/>
      <c r="J850" s="802"/>
      <c r="K850" s="802"/>
      <c r="L850" s="802"/>
      <c r="M850" s="802"/>
      <c r="N850" s="802"/>
      <c r="O850" s="802"/>
      <c r="P850" s="802"/>
      <c r="Q850" s="802"/>
      <c r="R850" s="802"/>
      <c r="S850" s="802"/>
      <c r="T850" s="802"/>
      <c r="U850" s="802"/>
      <c r="V850" s="802"/>
      <c r="W850" s="802"/>
      <c r="X850" s="802"/>
      <c r="Y850" s="802"/>
      <c r="Z850" s="802"/>
      <c r="AA850" s="802"/>
      <c r="AB850" s="802"/>
      <c r="AC850" s="802"/>
      <c r="AD850" s="802"/>
      <c r="AE850" s="802"/>
      <c r="AF850" s="802"/>
      <c r="AG850" s="802"/>
      <c r="AH850" s="802"/>
      <c r="AI850" s="802"/>
      <c r="AJ850" s="802"/>
      <c r="AK850" s="802"/>
      <c r="AL850" s="802"/>
      <c r="AM850" s="802"/>
      <c r="AN850" s="802"/>
      <c r="AO850" s="802"/>
      <c r="AP850" s="802"/>
      <c r="AQ850" s="802"/>
      <c r="AR850" s="802"/>
      <c r="AS850" s="802"/>
      <c r="AT850" s="802"/>
      <c r="AU850" s="802"/>
      <c r="AV850" s="802"/>
      <c r="AW850" s="802"/>
      <c r="AX850" s="802"/>
      <c r="AY850" s="802"/>
    </row>
    <row r="851" ht="21.75" customHeight="1">
      <c r="A851" s="802"/>
      <c r="B851" s="802"/>
      <c r="C851" s="802"/>
      <c r="D851" s="802"/>
      <c r="E851" s="802"/>
      <c r="F851" s="802"/>
      <c r="G851" s="802"/>
      <c r="H851" s="802"/>
      <c r="I851" s="802"/>
      <c r="J851" s="802"/>
      <c r="K851" s="802"/>
      <c r="L851" s="802"/>
      <c r="M851" s="802"/>
      <c r="N851" s="802"/>
      <c r="O851" s="802"/>
      <c r="P851" s="802"/>
      <c r="Q851" s="802"/>
      <c r="R851" s="802"/>
      <c r="S851" s="802"/>
      <c r="T851" s="802"/>
      <c r="U851" s="802"/>
      <c r="V851" s="802"/>
      <c r="W851" s="802"/>
      <c r="X851" s="802"/>
      <c r="Y851" s="802"/>
      <c r="Z851" s="802"/>
      <c r="AA851" s="802"/>
      <c r="AB851" s="802"/>
      <c r="AC851" s="802"/>
      <c r="AD851" s="802"/>
      <c r="AE851" s="802"/>
      <c r="AF851" s="802"/>
      <c r="AG851" s="802"/>
      <c r="AH851" s="802"/>
      <c r="AI851" s="802"/>
      <c r="AJ851" s="802"/>
      <c r="AK851" s="802"/>
      <c r="AL851" s="802"/>
      <c r="AM851" s="802"/>
      <c r="AN851" s="802"/>
      <c r="AO851" s="802"/>
      <c r="AP851" s="802"/>
      <c r="AQ851" s="802"/>
      <c r="AR851" s="802"/>
      <c r="AS851" s="802"/>
      <c r="AT851" s="802"/>
      <c r="AU851" s="802"/>
      <c r="AV851" s="802"/>
      <c r="AW851" s="802"/>
      <c r="AX851" s="802"/>
      <c r="AY851" s="802"/>
    </row>
    <row r="852" ht="21.75" customHeight="1">
      <c r="A852" s="802"/>
      <c r="B852" s="802"/>
      <c r="C852" s="802"/>
      <c r="D852" s="802"/>
      <c r="E852" s="802"/>
      <c r="F852" s="802"/>
      <c r="G852" s="802"/>
      <c r="H852" s="802"/>
      <c r="I852" s="802"/>
      <c r="J852" s="802"/>
      <c r="K852" s="802"/>
      <c r="L852" s="802"/>
      <c r="M852" s="802"/>
      <c r="N852" s="802"/>
      <c r="O852" s="802"/>
      <c r="P852" s="802"/>
      <c r="Q852" s="802"/>
      <c r="R852" s="802"/>
      <c r="S852" s="802"/>
      <c r="T852" s="802"/>
      <c r="U852" s="802"/>
      <c r="V852" s="802"/>
      <c r="W852" s="802"/>
      <c r="X852" s="802"/>
      <c r="Y852" s="802"/>
      <c r="Z852" s="802"/>
      <c r="AA852" s="802"/>
      <c r="AB852" s="802"/>
      <c r="AC852" s="802"/>
      <c r="AD852" s="802"/>
      <c r="AE852" s="802"/>
      <c r="AF852" s="802"/>
      <c r="AG852" s="802"/>
      <c r="AH852" s="802"/>
      <c r="AI852" s="802"/>
      <c r="AJ852" s="802"/>
      <c r="AK852" s="802"/>
      <c r="AL852" s="802"/>
      <c r="AM852" s="802"/>
      <c r="AN852" s="802"/>
      <c r="AO852" s="802"/>
      <c r="AP852" s="802"/>
      <c r="AQ852" s="802"/>
      <c r="AR852" s="802"/>
      <c r="AS852" s="802"/>
      <c r="AT852" s="802"/>
      <c r="AU852" s="802"/>
      <c r="AV852" s="802"/>
      <c r="AW852" s="802"/>
      <c r="AX852" s="802"/>
      <c r="AY852" s="802"/>
    </row>
    <row r="853" ht="21.75" customHeight="1">
      <c r="A853" s="802"/>
      <c r="B853" s="802"/>
      <c r="C853" s="802"/>
      <c r="D853" s="802"/>
      <c r="E853" s="802"/>
      <c r="F853" s="802"/>
      <c r="G853" s="802"/>
      <c r="H853" s="802"/>
      <c r="I853" s="802"/>
      <c r="J853" s="802"/>
      <c r="K853" s="802"/>
      <c r="L853" s="802"/>
      <c r="M853" s="802"/>
      <c r="N853" s="802"/>
      <c r="O853" s="802"/>
      <c r="P853" s="802"/>
      <c r="Q853" s="802"/>
      <c r="R853" s="802"/>
      <c r="S853" s="802"/>
      <c r="T853" s="802"/>
      <c r="U853" s="802"/>
      <c r="V853" s="802"/>
      <c r="W853" s="802"/>
      <c r="X853" s="802"/>
      <c r="Y853" s="802"/>
      <c r="Z853" s="802"/>
      <c r="AA853" s="802"/>
      <c r="AB853" s="802"/>
      <c r="AC853" s="802"/>
      <c r="AD853" s="802"/>
      <c r="AE853" s="802"/>
      <c r="AF853" s="802"/>
      <c r="AG853" s="802"/>
      <c r="AH853" s="802"/>
      <c r="AI853" s="802"/>
      <c r="AJ853" s="802"/>
      <c r="AK853" s="802"/>
      <c r="AL853" s="802"/>
      <c r="AM853" s="802"/>
      <c r="AN853" s="802"/>
      <c r="AO853" s="802"/>
      <c r="AP853" s="802"/>
      <c r="AQ853" s="802"/>
      <c r="AR853" s="802"/>
      <c r="AS853" s="802"/>
      <c r="AT853" s="802"/>
      <c r="AU853" s="802"/>
      <c r="AV853" s="802"/>
      <c r="AW853" s="802"/>
      <c r="AX853" s="802"/>
      <c r="AY853" s="802"/>
    </row>
    <row r="854" ht="21.75" customHeight="1">
      <c r="A854" s="802"/>
      <c r="B854" s="802"/>
      <c r="C854" s="802"/>
      <c r="D854" s="802"/>
      <c r="E854" s="802"/>
      <c r="F854" s="802"/>
      <c r="G854" s="802"/>
      <c r="H854" s="802"/>
      <c r="I854" s="802"/>
      <c r="J854" s="802"/>
      <c r="K854" s="802"/>
      <c r="L854" s="802"/>
      <c r="M854" s="802"/>
      <c r="N854" s="802"/>
      <c r="O854" s="802"/>
      <c r="P854" s="802"/>
      <c r="Q854" s="802"/>
      <c r="R854" s="802"/>
      <c r="S854" s="802"/>
      <c r="T854" s="802"/>
      <c r="U854" s="802"/>
      <c r="V854" s="802"/>
      <c r="W854" s="802"/>
      <c r="X854" s="802"/>
      <c r="Y854" s="802"/>
      <c r="Z854" s="802"/>
      <c r="AA854" s="802"/>
      <c r="AB854" s="802"/>
      <c r="AC854" s="802"/>
      <c r="AD854" s="802"/>
      <c r="AE854" s="802"/>
      <c r="AF854" s="802"/>
      <c r="AG854" s="802"/>
      <c r="AH854" s="802"/>
      <c r="AI854" s="802"/>
      <c r="AJ854" s="802"/>
      <c r="AK854" s="802"/>
      <c r="AL854" s="802"/>
      <c r="AM854" s="802"/>
      <c r="AN854" s="802"/>
      <c r="AO854" s="802"/>
      <c r="AP854" s="802"/>
      <c r="AQ854" s="802"/>
      <c r="AR854" s="802"/>
      <c r="AS854" s="802"/>
      <c r="AT854" s="802"/>
      <c r="AU854" s="802"/>
      <c r="AV854" s="802"/>
      <c r="AW854" s="802"/>
      <c r="AX854" s="802"/>
      <c r="AY854" s="802"/>
    </row>
    <row r="855" ht="21.75" customHeight="1">
      <c r="A855" s="802"/>
      <c r="B855" s="802"/>
      <c r="C855" s="802"/>
      <c r="D855" s="802"/>
      <c r="E855" s="802"/>
      <c r="F855" s="802"/>
      <c r="G855" s="802"/>
      <c r="H855" s="802"/>
      <c r="I855" s="802"/>
      <c r="J855" s="802"/>
      <c r="K855" s="802"/>
      <c r="L855" s="802"/>
      <c r="M855" s="802"/>
      <c r="N855" s="802"/>
      <c r="O855" s="802"/>
      <c r="P855" s="802"/>
      <c r="Q855" s="802"/>
      <c r="R855" s="802"/>
      <c r="S855" s="802"/>
      <c r="T855" s="802"/>
      <c r="U855" s="802"/>
      <c r="V855" s="802"/>
      <c r="W855" s="802"/>
      <c r="X855" s="802"/>
      <c r="Y855" s="802"/>
      <c r="Z855" s="802"/>
      <c r="AA855" s="802"/>
      <c r="AB855" s="802"/>
      <c r="AC855" s="802"/>
      <c r="AD855" s="802"/>
      <c r="AE855" s="802"/>
      <c r="AF855" s="802"/>
      <c r="AG855" s="802"/>
      <c r="AH855" s="802"/>
      <c r="AI855" s="802"/>
      <c r="AJ855" s="802"/>
      <c r="AK855" s="802"/>
      <c r="AL855" s="802"/>
      <c r="AM855" s="802"/>
      <c r="AN855" s="802"/>
      <c r="AO855" s="802"/>
      <c r="AP855" s="802"/>
      <c r="AQ855" s="802"/>
      <c r="AR855" s="802"/>
      <c r="AS855" s="802"/>
      <c r="AT855" s="802"/>
      <c r="AU855" s="802"/>
      <c r="AV855" s="802"/>
      <c r="AW855" s="802"/>
      <c r="AX855" s="802"/>
      <c r="AY855" s="802"/>
    </row>
    <row r="856" ht="21.75" customHeight="1">
      <c r="A856" s="802"/>
      <c r="B856" s="802"/>
      <c r="C856" s="802"/>
      <c r="D856" s="802"/>
      <c r="E856" s="802"/>
      <c r="F856" s="802"/>
      <c r="G856" s="802"/>
      <c r="H856" s="802"/>
      <c r="I856" s="802"/>
      <c r="J856" s="802"/>
      <c r="K856" s="802"/>
      <c r="L856" s="802"/>
      <c r="M856" s="802"/>
      <c r="N856" s="802"/>
      <c r="O856" s="802"/>
      <c r="P856" s="802"/>
      <c r="Q856" s="802"/>
      <c r="R856" s="802"/>
      <c r="S856" s="802"/>
      <c r="T856" s="802"/>
      <c r="U856" s="802"/>
      <c r="V856" s="802"/>
      <c r="W856" s="802"/>
      <c r="X856" s="802"/>
      <c r="Y856" s="802"/>
      <c r="Z856" s="802"/>
      <c r="AA856" s="802"/>
      <c r="AB856" s="802"/>
      <c r="AC856" s="802"/>
      <c r="AD856" s="802"/>
      <c r="AE856" s="802"/>
      <c r="AF856" s="802"/>
      <c r="AG856" s="802"/>
      <c r="AH856" s="802"/>
      <c r="AI856" s="802"/>
      <c r="AJ856" s="802"/>
      <c r="AK856" s="802"/>
      <c r="AL856" s="802"/>
      <c r="AM856" s="802"/>
      <c r="AN856" s="802"/>
      <c r="AO856" s="802"/>
      <c r="AP856" s="802"/>
      <c r="AQ856" s="802"/>
      <c r="AR856" s="802"/>
      <c r="AS856" s="802"/>
      <c r="AT856" s="802"/>
      <c r="AU856" s="802"/>
      <c r="AV856" s="802"/>
      <c r="AW856" s="802"/>
      <c r="AX856" s="802"/>
      <c r="AY856" s="802"/>
    </row>
    <row r="857" ht="21.75" customHeight="1">
      <c r="A857" s="802"/>
      <c r="B857" s="802"/>
      <c r="C857" s="802"/>
      <c r="D857" s="802"/>
      <c r="E857" s="802"/>
      <c r="F857" s="802"/>
      <c r="G857" s="802"/>
      <c r="H857" s="802"/>
      <c r="I857" s="802"/>
      <c r="J857" s="802"/>
      <c r="K857" s="802"/>
      <c r="L857" s="802"/>
      <c r="M857" s="802"/>
      <c r="N857" s="802"/>
      <c r="O857" s="802"/>
      <c r="P857" s="802"/>
      <c r="Q857" s="802"/>
      <c r="R857" s="802"/>
      <c r="S857" s="802"/>
      <c r="T857" s="802"/>
      <c r="U857" s="802"/>
      <c r="V857" s="802"/>
      <c r="W857" s="802"/>
      <c r="X857" s="802"/>
      <c r="Y857" s="802"/>
      <c r="Z857" s="802"/>
      <c r="AA857" s="802"/>
      <c r="AB857" s="802"/>
      <c r="AC857" s="802"/>
      <c r="AD857" s="802"/>
      <c r="AE857" s="802"/>
      <c r="AF857" s="802"/>
      <c r="AG857" s="802"/>
      <c r="AH857" s="802"/>
      <c r="AI857" s="802"/>
      <c r="AJ857" s="802"/>
      <c r="AK857" s="802"/>
      <c r="AL857" s="802"/>
      <c r="AM857" s="802"/>
      <c r="AN857" s="802"/>
      <c r="AO857" s="802"/>
      <c r="AP857" s="802"/>
      <c r="AQ857" s="802"/>
      <c r="AR857" s="802"/>
      <c r="AS857" s="802"/>
      <c r="AT857" s="802"/>
      <c r="AU857" s="802"/>
      <c r="AV857" s="802"/>
      <c r="AW857" s="802"/>
      <c r="AX857" s="802"/>
      <c r="AY857" s="802"/>
    </row>
    <row r="858" ht="21.75" customHeight="1">
      <c r="A858" s="802"/>
      <c r="B858" s="802"/>
      <c r="C858" s="802"/>
      <c r="D858" s="802"/>
      <c r="E858" s="802"/>
      <c r="F858" s="802"/>
      <c r="G858" s="802"/>
      <c r="H858" s="802"/>
      <c r="I858" s="802"/>
      <c r="J858" s="802"/>
      <c r="K858" s="802"/>
      <c r="L858" s="802"/>
      <c r="M858" s="802"/>
      <c r="N858" s="802"/>
      <c r="O858" s="802"/>
      <c r="P858" s="802"/>
      <c r="Q858" s="802"/>
      <c r="R858" s="802"/>
      <c r="S858" s="802"/>
      <c r="T858" s="802"/>
      <c r="U858" s="802"/>
      <c r="V858" s="802"/>
      <c r="W858" s="802"/>
      <c r="X858" s="802"/>
      <c r="Y858" s="802"/>
      <c r="Z858" s="802"/>
      <c r="AA858" s="802"/>
      <c r="AB858" s="802"/>
      <c r="AC858" s="802"/>
      <c r="AD858" s="802"/>
      <c r="AE858" s="802"/>
      <c r="AF858" s="802"/>
      <c r="AG858" s="802"/>
      <c r="AH858" s="802"/>
      <c r="AI858" s="802"/>
      <c r="AJ858" s="802"/>
      <c r="AK858" s="802"/>
      <c r="AL858" s="802"/>
      <c r="AM858" s="802"/>
      <c r="AN858" s="802"/>
      <c r="AO858" s="802"/>
      <c r="AP858" s="802"/>
      <c r="AQ858" s="802"/>
      <c r="AR858" s="802"/>
      <c r="AS858" s="802"/>
      <c r="AT858" s="802"/>
      <c r="AU858" s="802"/>
      <c r="AV858" s="802"/>
      <c r="AW858" s="802"/>
      <c r="AX858" s="802"/>
      <c r="AY858" s="802"/>
    </row>
    <row r="859" ht="21.75" customHeight="1">
      <c r="A859" s="802"/>
      <c r="B859" s="802"/>
      <c r="C859" s="802"/>
      <c r="D859" s="802"/>
      <c r="E859" s="802"/>
      <c r="F859" s="802"/>
      <c r="G859" s="802"/>
      <c r="H859" s="802"/>
      <c r="I859" s="802"/>
      <c r="J859" s="802"/>
      <c r="K859" s="802"/>
      <c r="L859" s="802"/>
      <c r="M859" s="802"/>
      <c r="N859" s="802"/>
      <c r="O859" s="802"/>
      <c r="P859" s="802"/>
      <c r="Q859" s="802"/>
      <c r="R859" s="802"/>
      <c r="S859" s="802"/>
      <c r="T859" s="802"/>
      <c r="U859" s="802"/>
      <c r="V859" s="802"/>
      <c r="W859" s="802"/>
      <c r="X859" s="802"/>
      <c r="Y859" s="802"/>
      <c r="Z859" s="802"/>
      <c r="AA859" s="802"/>
      <c r="AB859" s="802"/>
      <c r="AC859" s="802"/>
      <c r="AD859" s="802"/>
      <c r="AE859" s="802"/>
      <c r="AF859" s="802"/>
      <c r="AG859" s="802"/>
      <c r="AH859" s="802"/>
      <c r="AI859" s="802"/>
      <c r="AJ859" s="802"/>
      <c r="AK859" s="802"/>
      <c r="AL859" s="802"/>
      <c r="AM859" s="802"/>
      <c r="AN859" s="802"/>
      <c r="AO859" s="802"/>
      <c r="AP859" s="802"/>
      <c r="AQ859" s="802"/>
      <c r="AR859" s="802"/>
      <c r="AS859" s="802"/>
      <c r="AT859" s="802"/>
      <c r="AU859" s="802"/>
      <c r="AV859" s="802"/>
      <c r="AW859" s="802"/>
      <c r="AX859" s="802"/>
      <c r="AY859" s="802"/>
    </row>
    <row r="860" ht="21.75" customHeight="1">
      <c r="A860" s="802"/>
      <c r="B860" s="802"/>
      <c r="C860" s="802"/>
      <c r="D860" s="802"/>
      <c r="E860" s="802"/>
      <c r="F860" s="802"/>
      <c r="G860" s="802"/>
      <c r="H860" s="802"/>
      <c r="I860" s="802"/>
      <c r="J860" s="802"/>
      <c r="K860" s="802"/>
      <c r="L860" s="802"/>
      <c r="M860" s="802"/>
      <c r="N860" s="802"/>
      <c r="O860" s="802"/>
      <c r="P860" s="802"/>
      <c r="Q860" s="802"/>
      <c r="R860" s="802"/>
      <c r="S860" s="802"/>
      <c r="T860" s="802"/>
      <c r="U860" s="802"/>
      <c r="V860" s="802"/>
      <c r="W860" s="802"/>
      <c r="X860" s="802"/>
      <c r="Y860" s="802"/>
      <c r="Z860" s="802"/>
      <c r="AA860" s="802"/>
      <c r="AB860" s="802"/>
      <c r="AC860" s="802"/>
      <c r="AD860" s="802"/>
      <c r="AE860" s="802"/>
      <c r="AF860" s="802"/>
      <c r="AG860" s="802"/>
      <c r="AH860" s="802"/>
      <c r="AI860" s="802"/>
      <c r="AJ860" s="802"/>
      <c r="AK860" s="802"/>
      <c r="AL860" s="802"/>
      <c r="AM860" s="802"/>
      <c r="AN860" s="802"/>
      <c r="AO860" s="802"/>
      <c r="AP860" s="802"/>
      <c r="AQ860" s="802"/>
      <c r="AR860" s="802"/>
      <c r="AS860" s="802"/>
      <c r="AT860" s="802"/>
      <c r="AU860" s="802"/>
      <c r="AV860" s="802"/>
      <c r="AW860" s="802"/>
      <c r="AX860" s="802"/>
      <c r="AY860" s="802"/>
    </row>
    <row r="861" ht="21.75" customHeight="1">
      <c r="A861" s="802"/>
      <c r="B861" s="802"/>
      <c r="C861" s="802"/>
      <c r="D861" s="802"/>
      <c r="E861" s="802"/>
      <c r="F861" s="802"/>
      <c r="G861" s="802"/>
      <c r="H861" s="802"/>
      <c r="I861" s="802"/>
      <c r="J861" s="802"/>
      <c r="K861" s="802"/>
      <c r="L861" s="802"/>
      <c r="M861" s="802"/>
      <c r="N861" s="802"/>
      <c r="O861" s="802"/>
      <c r="P861" s="802"/>
      <c r="Q861" s="802"/>
      <c r="R861" s="802"/>
      <c r="S861" s="802"/>
      <c r="T861" s="802"/>
      <c r="U861" s="802"/>
      <c r="V861" s="802"/>
      <c r="W861" s="802"/>
      <c r="X861" s="802"/>
      <c r="Y861" s="802"/>
      <c r="Z861" s="802"/>
      <c r="AA861" s="802"/>
      <c r="AB861" s="802"/>
      <c r="AC861" s="802"/>
      <c r="AD861" s="802"/>
      <c r="AE861" s="802"/>
      <c r="AF861" s="802"/>
      <c r="AG861" s="802"/>
      <c r="AH861" s="802"/>
      <c r="AI861" s="802"/>
      <c r="AJ861" s="802"/>
      <c r="AK861" s="802"/>
      <c r="AL861" s="802"/>
      <c r="AM861" s="802"/>
      <c r="AN861" s="802"/>
      <c r="AO861" s="802"/>
      <c r="AP861" s="802"/>
      <c r="AQ861" s="802"/>
      <c r="AR861" s="802"/>
      <c r="AS861" s="802"/>
      <c r="AT861" s="802"/>
      <c r="AU861" s="802"/>
      <c r="AV861" s="802"/>
      <c r="AW861" s="802"/>
      <c r="AX861" s="802"/>
      <c r="AY861" s="802"/>
    </row>
    <row r="862" ht="21.75" customHeight="1">
      <c r="A862" s="802"/>
      <c r="B862" s="802"/>
      <c r="C862" s="802"/>
      <c r="D862" s="802"/>
      <c r="E862" s="802"/>
      <c r="F862" s="802"/>
      <c r="G862" s="802"/>
      <c r="H862" s="802"/>
      <c r="I862" s="802"/>
      <c r="J862" s="802"/>
      <c r="K862" s="802"/>
      <c r="L862" s="802"/>
      <c r="M862" s="802"/>
      <c r="N862" s="802"/>
      <c r="O862" s="802"/>
      <c r="P862" s="802"/>
      <c r="Q862" s="802"/>
      <c r="R862" s="802"/>
      <c r="S862" s="802"/>
      <c r="T862" s="802"/>
      <c r="U862" s="802"/>
      <c r="V862" s="802"/>
      <c r="W862" s="802"/>
      <c r="X862" s="802"/>
      <c r="Y862" s="802"/>
      <c r="Z862" s="802"/>
      <c r="AA862" s="802"/>
      <c r="AB862" s="802"/>
      <c r="AC862" s="802"/>
      <c r="AD862" s="802"/>
      <c r="AE862" s="802"/>
      <c r="AF862" s="802"/>
      <c r="AG862" s="802"/>
      <c r="AH862" s="802"/>
      <c r="AI862" s="802"/>
      <c r="AJ862" s="802"/>
      <c r="AK862" s="802"/>
      <c r="AL862" s="802"/>
      <c r="AM862" s="802"/>
      <c r="AN862" s="802"/>
      <c r="AO862" s="802"/>
      <c r="AP862" s="802"/>
      <c r="AQ862" s="802"/>
      <c r="AR862" s="802"/>
      <c r="AS862" s="802"/>
      <c r="AT862" s="802"/>
      <c r="AU862" s="802"/>
      <c r="AV862" s="802"/>
      <c r="AW862" s="802"/>
      <c r="AX862" s="802"/>
      <c r="AY862" s="802"/>
    </row>
    <row r="863" ht="21.75" customHeight="1">
      <c r="A863" s="802"/>
      <c r="B863" s="802"/>
      <c r="C863" s="802"/>
      <c r="D863" s="802"/>
      <c r="E863" s="802"/>
      <c r="F863" s="802"/>
      <c r="G863" s="802"/>
      <c r="H863" s="802"/>
      <c r="I863" s="802"/>
      <c r="J863" s="802"/>
      <c r="K863" s="802"/>
      <c r="L863" s="802"/>
      <c r="M863" s="802"/>
      <c r="N863" s="802"/>
      <c r="O863" s="802"/>
      <c r="P863" s="802"/>
      <c r="Q863" s="802"/>
      <c r="R863" s="802"/>
      <c r="S863" s="802"/>
      <c r="T863" s="802"/>
      <c r="U863" s="802"/>
      <c r="V863" s="802"/>
      <c r="W863" s="802"/>
      <c r="X863" s="802"/>
      <c r="Y863" s="802"/>
      <c r="Z863" s="802"/>
      <c r="AA863" s="802"/>
      <c r="AB863" s="802"/>
      <c r="AC863" s="802"/>
      <c r="AD863" s="802"/>
      <c r="AE863" s="802"/>
      <c r="AF863" s="802"/>
      <c r="AG863" s="802"/>
      <c r="AH863" s="802"/>
      <c r="AI863" s="802"/>
      <c r="AJ863" s="802"/>
      <c r="AK863" s="802"/>
      <c r="AL863" s="802"/>
      <c r="AM863" s="802"/>
      <c r="AN863" s="802"/>
      <c r="AO863" s="802"/>
      <c r="AP863" s="802"/>
      <c r="AQ863" s="802"/>
      <c r="AR863" s="802"/>
      <c r="AS863" s="802"/>
      <c r="AT863" s="802"/>
      <c r="AU863" s="802"/>
      <c r="AV863" s="802"/>
      <c r="AW863" s="802"/>
      <c r="AX863" s="802"/>
      <c r="AY863" s="802"/>
    </row>
    <row r="864" ht="21.75" customHeight="1">
      <c r="A864" s="802"/>
      <c r="B864" s="802"/>
      <c r="C864" s="802"/>
      <c r="D864" s="802"/>
      <c r="E864" s="802"/>
      <c r="F864" s="802"/>
      <c r="G864" s="802"/>
      <c r="H864" s="802"/>
      <c r="I864" s="802"/>
      <c r="J864" s="802"/>
      <c r="K864" s="802"/>
      <c r="L864" s="802"/>
      <c r="M864" s="802"/>
      <c r="N864" s="802"/>
      <c r="O864" s="802"/>
      <c r="P864" s="802"/>
      <c r="Q864" s="802"/>
      <c r="R864" s="802"/>
      <c r="S864" s="802"/>
      <c r="T864" s="802"/>
      <c r="U864" s="802"/>
      <c r="V864" s="802"/>
      <c r="W864" s="802"/>
      <c r="X864" s="802"/>
      <c r="Y864" s="802"/>
      <c r="Z864" s="802"/>
      <c r="AA864" s="802"/>
      <c r="AB864" s="802"/>
      <c r="AC864" s="802"/>
      <c r="AD864" s="802"/>
      <c r="AE864" s="802"/>
      <c r="AF864" s="802"/>
      <c r="AG864" s="802"/>
      <c r="AH864" s="802"/>
      <c r="AI864" s="802"/>
      <c r="AJ864" s="802"/>
      <c r="AK864" s="802"/>
      <c r="AL864" s="802"/>
      <c r="AM864" s="802"/>
      <c r="AN864" s="802"/>
      <c r="AO864" s="802"/>
      <c r="AP864" s="802"/>
      <c r="AQ864" s="802"/>
      <c r="AR864" s="802"/>
      <c r="AS864" s="802"/>
      <c r="AT864" s="802"/>
      <c r="AU864" s="802"/>
      <c r="AV864" s="802"/>
      <c r="AW864" s="802"/>
      <c r="AX864" s="802"/>
      <c r="AY864" s="802"/>
    </row>
    <row r="865" ht="21.75" customHeight="1">
      <c r="A865" s="802"/>
      <c r="B865" s="802"/>
      <c r="C865" s="802"/>
      <c r="D865" s="802"/>
      <c r="E865" s="802"/>
      <c r="F865" s="802"/>
      <c r="G865" s="802"/>
      <c r="H865" s="802"/>
      <c r="I865" s="802"/>
      <c r="J865" s="802"/>
      <c r="K865" s="802"/>
      <c r="L865" s="802"/>
      <c r="M865" s="802"/>
      <c r="N865" s="802"/>
      <c r="O865" s="802"/>
      <c r="P865" s="802"/>
      <c r="Q865" s="802"/>
      <c r="R865" s="802"/>
      <c r="S865" s="802"/>
      <c r="T865" s="802"/>
      <c r="U865" s="802"/>
      <c r="V865" s="802"/>
      <c r="W865" s="802"/>
      <c r="X865" s="802"/>
      <c r="Y865" s="802"/>
      <c r="Z865" s="802"/>
      <c r="AA865" s="802"/>
      <c r="AB865" s="802"/>
      <c r="AC865" s="802"/>
      <c r="AD865" s="802"/>
      <c r="AE865" s="802"/>
      <c r="AF865" s="802"/>
      <c r="AG865" s="802"/>
      <c r="AH865" s="802"/>
      <c r="AI865" s="802"/>
      <c r="AJ865" s="802"/>
      <c r="AK865" s="802"/>
      <c r="AL865" s="802"/>
      <c r="AM865" s="802"/>
      <c r="AN865" s="802"/>
      <c r="AO865" s="802"/>
      <c r="AP865" s="802"/>
      <c r="AQ865" s="802"/>
      <c r="AR865" s="802"/>
      <c r="AS865" s="802"/>
      <c r="AT865" s="802"/>
      <c r="AU865" s="802"/>
      <c r="AV865" s="802"/>
      <c r="AW865" s="802"/>
      <c r="AX865" s="802"/>
      <c r="AY865" s="802"/>
    </row>
    <row r="866" ht="21.75" customHeight="1">
      <c r="A866" s="802"/>
      <c r="B866" s="802"/>
      <c r="C866" s="802"/>
      <c r="D866" s="802"/>
      <c r="E866" s="802"/>
      <c r="F866" s="802"/>
      <c r="G866" s="802"/>
      <c r="H866" s="802"/>
      <c r="I866" s="802"/>
      <c r="J866" s="802"/>
      <c r="K866" s="802"/>
      <c r="L866" s="802"/>
      <c r="M866" s="802"/>
      <c r="N866" s="802"/>
      <c r="O866" s="802"/>
      <c r="P866" s="802"/>
      <c r="Q866" s="802"/>
      <c r="R866" s="802"/>
      <c r="S866" s="802"/>
      <c r="T866" s="802"/>
      <c r="U866" s="802"/>
      <c r="V866" s="802"/>
      <c r="W866" s="802"/>
      <c r="X866" s="802"/>
      <c r="Y866" s="802"/>
      <c r="Z866" s="802"/>
      <c r="AA866" s="802"/>
      <c r="AB866" s="802"/>
      <c r="AC866" s="802"/>
      <c r="AD866" s="802"/>
      <c r="AE866" s="802"/>
      <c r="AF866" s="802"/>
      <c r="AG866" s="802"/>
      <c r="AH866" s="802"/>
      <c r="AI866" s="802"/>
      <c r="AJ866" s="802"/>
      <c r="AK866" s="802"/>
      <c r="AL866" s="802"/>
      <c r="AM866" s="802"/>
      <c r="AN866" s="802"/>
      <c r="AO866" s="802"/>
      <c r="AP866" s="802"/>
      <c r="AQ866" s="802"/>
      <c r="AR866" s="802"/>
      <c r="AS866" s="802"/>
      <c r="AT866" s="802"/>
      <c r="AU866" s="802"/>
      <c r="AV866" s="802"/>
      <c r="AW866" s="802"/>
      <c r="AX866" s="802"/>
      <c r="AY866" s="802"/>
    </row>
    <row r="867" ht="21.75" customHeight="1">
      <c r="A867" s="802"/>
      <c r="B867" s="802"/>
      <c r="C867" s="802"/>
      <c r="D867" s="802"/>
      <c r="E867" s="802"/>
      <c r="F867" s="802"/>
      <c r="G867" s="802"/>
      <c r="H867" s="802"/>
      <c r="I867" s="802"/>
      <c r="J867" s="802"/>
      <c r="K867" s="802"/>
      <c r="L867" s="802"/>
      <c r="M867" s="802"/>
      <c r="N867" s="802"/>
      <c r="O867" s="802"/>
      <c r="P867" s="802"/>
      <c r="Q867" s="802"/>
      <c r="R867" s="802"/>
      <c r="S867" s="802"/>
      <c r="T867" s="802"/>
      <c r="U867" s="802"/>
      <c r="V867" s="802"/>
      <c r="W867" s="802"/>
      <c r="X867" s="802"/>
      <c r="Y867" s="802"/>
      <c r="Z867" s="802"/>
      <c r="AA867" s="802"/>
      <c r="AB867" s="802"/>
      <c r="AC867" s="802"/>
      <c r="AD867" s="802"/>
      <c r="AE867" s="802"/>
      <c r="AF867" s="802"/>
      <c r="AG867" s="802"/>
      <c r="AH867" s="802"/>
      <c r="AI867" s="802"/>
      <c r="AJ867" s="802"/>
      <c r="AK867" s="802"/>
      <c r="AL867" s="802"/>
      <c r="AM867" s="802"/>
      <c r="AN867" s="802"/>
      <c r="AO867" s="802"/>
      <c r="AP867" s="802"/>
      <c r="AQ867" s="802"/>
      <c r="AR867" s="802"/>
      <c r="AS867" s="802"/>
      <c r="AT867" s="802"/>
      <c r="AU867" s="802"/>
      <c r="AV867" s="802"/>
      <c r="AW867" s="802"/>
      <c r="AX867" s="802"/>
      <c r="AY867" s="802"/>
    </row>
    <row r="868" ht="21.75" customHeight="1">
      <c r="A868" s="802"/>
      <c r="B868" s="802"/>
      <c r="C868" s="802"/>
      <c r="D868" s="802"/>
      <c r="E868" s="802"/>
      <c r="F868" s="802"/>
      <c r="G868" s="802"/>
      <c r="H868" s="802"/>
      <c r="I868" s="802"/>
      <c r="J868" s="802"/>
      <c r="K868" s="802"/>
      <c r="L868" s="802"/>
      <c r="M868" s="802"/>
      <c r="N868" s="802"/>
      <c r="O868" s="802"/>
      <c r="P868" s="802"/>
      <c r="Q868" s="802"/>
      <c r="R868" s="802"/>
      <c r="S868" s="802"/>
      <c r="T868" s="802"/>
      <c r="U868" s="802"/>
      <c r="V868" s="802"/>
      <c r="W868" s="802"/>
      <c r="X868" s="802"/>
      <c r="Y868" s="802"/>
      <c r="Z868" s="802"/>
      <c r="AA868" s="802"/>
      <c r="AB868" s="802"/>
      <c r="AC868" s="802"/>
      <c r="AD868" s="802"/>
      <c r="AE868" s="802"/>
      <c r="AF868" s="802"/>
      <c r="AG868" s="802"/>
      <c r="AH868" s="802"/>
      <c r="AI868" s="802"/>
      <c r="AJ868" s="802"/>
      <c r="AK868" s="802"/>
      <c r="AL868" s="802"/>
      <c r="AM868" s="802"/>
      <c r="AN868" s="802"/>
      <c r="AO868" s="802"/>
      <c r="AP868" s="802"/>
      <c r="AQ868" s="802"/>
      <c r="AR868" s="802"/>
      <c r="AS868" s="802"/>
      <c r="AT868" s="802"/>
      <c r="AU868" s="802"/>
      <c r="AV868" s="802"/>
      <c r="AW868" s="802"/>
      <c r="AX868" s="802"/>
      <c r="AY868" s="802"/>
    </row>
    <row r="869" ht="21.75" customHeight="1">
      <c r="A869" s="802"/>
      <c r="B869" s="802"/>
      <c r="C869" s="802"/>
      <c r="D869" s="802"/>
      <c r="E869" s="802"/>
      <c r="F869" s="802"/>
      <c r="G869" s="802"/>
      <c r="H869" s="802"/>
      <c r="I869" s="802"/>
      <c r="J869" s="802"/>
      <c r="K869" s="802"/>
      <c r="L869" s="802"/>
      <c r="M869" s="802"/>
      <c r="N869" s="802"/>
      <c r="O869" s="802"/>
      <c r="P869" s="802"/>
      <c r="Q869" s="802"/>
      <c r="R869" s="802"/>
      <c r="S869" s="802"/>
      <c r="T869" s="802"/>
      <c r="U869" s="802"/>
      <c r="V869" s="802"/>
      <c r="W869" s="802"/>
      <c r="X869" s="802"/>
      <c r="Y869" s="802"/>
      <c r="Z869" s="802"/>
      <c r="AA869" s="802"/>
      <c r="AB869" s="802"/>
      <c r="AC869" s="802"/>
      <c r="AD869" s="802"/>
      <c r="AE869" s="802"/>
      <c r="AF869" s="802"/>
      <c r="AG869" s="802"/>
      <c r="AH869" s="802"/>
      <c r="AI869" s="802"/>
      <c r="AJ869" s="802"/>
      <c r="AK869" s="802"/>
      <c r="AL869" s="802"/>
      <c r="AM869" s="802"/>
      <c r="AN869" s="802"/>
      <c r="AO869" s="802"/>
      <c r="AP869" s="802"/>
      <c r="AQ869" s="802"/>
      <c r="AR869" s="802"/>
      <c r="AS869" s="802"/>
      <c r="AT869" s="802"/>
      <c r="AU869" s="802"/>
      <c r="AV869" s="802"/>
      <c r="AW869" s="802"/>
      <c r="AX869" s="802"/>
      <c r="AY869" s="802"/>
    </row>
    <row r="870" ht="21.75" customHeight="1">
      <c r="A870" s="802"/>
      <c r="B870" s="802"/>
      <c r="C870" s="802"/>
      <c r="D870" s="802"/>
      <c r="E870" s="802"/>
      <c r="F870" s="802"/>
      <c r="G870" s="802"/>
      <c r="H870" s="802"/>
      <c r="I870" s="802"/>
      <c r="J870" s="802"/>
      <c r="K870" s="802"/>
      <c r="L870" s="802"/>
      <c r="M870" s="802"/>
      <c r="N870" s="802"/>
      <c r="O870" s="802"/>
      <c r="P870" s="802"/>
      <c r="Q870" s="802"/>
      <c r="R870" s="802"/>
      <c r="S870" s="802"/>
      <c r="T870" s="802"/>
      <c r="U870" s="802"/>
      <c r="V870" s="802"/>
      <c r="W870" s="802"/>
      <c r="X870" s="802"/>
      <c r="Y870" s="802"/>
      <c r="Z870" s="802"/>
      <c r="AA870" s="802"/>
      <c r="AB870" s="802"/>
      <c r="AC870" s="802"/>
      <c r="AD870" s="802"/>
      <c r="AE870" s="802"/>
      <c r="AF870" s="802"/>
      <c r="AG870" s="802"/>
      <c r="AH870" s="802"/>
      <c r="AI870" s="802"/>
      <c r="AJ870" s="802"/>
      <c r="AK870" s="802"/>
      <c r="AL870" s="802"/>
      <c r="AM870" s="802"/>
      <c r="AN870" s="802"/>
      <c r="AO870" s="802"/>
      <c r="AP870" s="802"/>
      <c r="AQ870" s="802"/>
      <c r="AR870" s="802"/>
      <c r="AS870" s="802"/>
      <c r="AT870" s="802"/>
      <c r="AU870" s="802"/>
      <c r="AV870" s="802"/>
      <c r="AW870" s="802"/>
      <c r="AX870" s="802"/>
      <c r="AY870" s="802"/>
    </row>
    <row r="871" ht="21.75" customHeight="1">
      <c r="A871" s="802"/>
      <c r="B871" s="802"/>
      <c r="C871" s="802"/>
      <c r="D871" s="802"/>
      <c r="E871" s="802"/>
      <c r="F871" s="802"/>
      <c r="G871" s="802"/>
      <c r="H871" s="802"/>
      <c r="I871" s="802"/>
      <c r="J871" s="802"/>
      <c r="K871" s="802"/>
      <c r="L871" s="802"/>
      <c r="M871" s="802"/>
      <c r="N871" s="802"/>
      <c r="O871" s="802"/>
      <c r="P871" s="802"/>
      <c r="Q871" s="802"/>
      <c r="R871" s="802"/>
      <c r="S871" s="802"/>
      <c r="T871" s="802"/>
      <c r="U871" s="802"/>
      <c r="V871" s="802"/>
      <c r="W871" s="802"/>
      <c r="X871" s="802"/>
      <c r="Y871" s="802"/>
      <c r="Z871" s="802"/>
      <c r="AA871" s="802"/>
      <c r="AB871" s="802"/>
      <c r="AC871" s="802"/>
      <c r="AD871" s="802"/>
      <c r="AE871" s="802"/>
      <c r="AF871" s="802"/>
      <c r="AG871" s="802"/>
      <c r="AH871" s="802"/>
      <c r="AI871" s="802"/>
      <c r="AJ871" s="802"/>
      <c r="AK871" s="802"/>
      <c r="AL871" s="802"/>
      <c r="AM871" s="802"/>
      <c r="AN871" s="802"/>
      <c r="AO871" s="802"/>
      <c r="AP871" s="802"/>
      <c r="AQ871" s="802"/>
      <c r="AR871" s="802"/>
      <c r="AS871" s="802"/>
      <c r="AT871" s="802"/>
      <c r="AU871" s="802"/>
      <c r="AV871" s="802"/>
      <c r="AW871" s="802"/>
      <c r="AX871" s="802"/>
      <c r="AY871" s="802"/>
    </row>
    <row r="872" ht="21.75" customHeight="1">
      <c r="A872" s="802"/>
      <c r="B872" s="802"/>
      <c r="C872" s="802"/>
      <c r="D872" s="802"/>
      <c r="E872" s="802"/>
      <c r="F872" s="802"/>
      <c r="G872" s="802"/>
      <c r="H872" s="802"/>
      <c r="I872" s="802"/>
      <c r="J872" s="802"/>
      <c r="K872" s="802"/>
      <c r="L872" s="802"/>
      <c r="M872" s="802"/>
      <c r="N872" s="802"/>
      <c r="O872" s="802"/>
      <c r="P872" s="802"/>
      <c r="Q872" s="802"/>
      <c r="R872" s="802"/>
      <c r="S872" s="802"/>
      <c r="T872" s="802"/>
      <c r="U872" s="802"/>
      <c r="V872" s="802"/>
      <c r="W872" s="802"/>
      <c r="X872" s="802"/>
      <c r="Y872" s="802"/>
      <c r="Z872" s="802"/>
      <c r="AA872" s="802"/>
      <c r="AB872" s="802"/>
      <c r="AC872" s="802"/>
      <c r="AD872" s="802"/>
      <c r="AE872" s="802"/>
      <c r="AF872" s="802"/>
      <c r="AG872" s="802"/>
      <c r="AH872" s="802"/>
      <c r="AI872" s="802"/>
      <c r="AJ872" s="802"/>
      <c r="AK872" s="802"/>
      <c r="AL872" s="802"/>
      <c r="AM872" s="802"/>
      <c r="AN872" s="802"/>
      <c r="AO872" s="802"/>
      <c r="AP872" s="802"/>
      <c r="AQ872" s="802"/>
      <c r="AR872" s="802"/>
      <c r="AS872" s="802"/>
      <c r="AT872" s="802"/>
      <c r="AU872" s="802"/>
      <c r="AV872" s="802"/>
      <c r="AW872" s="802"/>
      <c r="AX872" s="802"/>
      <c r="AY872" s="802"/>
    </row>
    <row r="873" ht="21.75" customHeight="1">
      <c r="A873" s="802"/>
      <c r="B873" s="802"/>
      <c r="C873" s="802"/>
      <c r="D873" s="802"/>
      <c r="E873" s="802"/>
      <c r="F873" s="802"/>
      <c r="G873" s="802"/>
      <c r="H873" s="802"/>
      <c r="I873" s="802"/>
      <c r="J873" s="802"/>
      <c r="K873" s="802"/>
      <c r="L873" s="802"/>
      <c r="M873" s="802"/>
      <c r="N873" s="802"/>
      <c r="O873" s="802"/>
      <c r="P873" s="802"/>
      <c r="Q873" s="802"/>
      <c r="R873" s="802"/>
      <c r="S873" s="802"/>
      <c r="T873" s="802"/>
      <c r="U873" s="802"/>
      <c r="V873" s="802"/>
      <c r="W873" s="802"/>
      <c r="X873" s="802"/>
      <c r="Y873" s="802"/>
      <c r="Z873" s="802"/>
      <c r="AA873" s="802"/>
      <c r="AB873" s="802"/>
      <c r="AC873" s="802"/>
      <c r="AD873" s="802"/>
      <c r="AE873" s="802"/>
      <c r="AF873" s="802"/>
      <c r="AG873" s="802"/>
      <c r="AH873" s="802"/>
      <c r="AI873" s="802"/>
      <c r="AJ873" s="802"/>
      <c r="AK873" s="802"/>
      <c r="AL873" s="802"/>
      <c r="AM873" s="802"/>
      <c r="AN873" s="802"/>
      <c r="AO873" s="802"/>
      <c r="AP873" s="802"/>
      <c r="AQ873" s="802"/>
      <c r="AR873" s="802"/>
      <c r="AS873" s="802"/>
      <c r="AT873" s="802"/>
      <c r="AU873" s="802"/>
      <c r="AV873" s="802"/>
      <c r="AW873" s="802"/>
      <c r="AX873" s="802"/>
      <c r="AY873" s="802"/>
    </row>
    <row r="874" ht="21.75" customHeight="1">
      <c r="A874" s="802"/>
      <c r="B874" s="802"/>
      <c r="C874" s="802"/>
      <c r="D874" s="802"/>
      <c r="E874" s="802"/>
      <c r="F874" s="802"/>
      <c r="G874" s="802"/>
      <c r="H874" s="802"/>
      <c r="I874" s="802"/>
      <c r="J874" s="802"/>
      <c r="K874" s="802"/>
      <c r="L874" s="802"/>
      <c r="M874" s="802"/>
      <c r="N874" s="802"/>
      <c r="O874" s="802"/>
      <c r="P874" s="802"/>
      <c r="Q874" s="802"/>
      <c r="R874" s="802"/>
      <c r="S874" s="802"/>
      <c r="T874" s="802"/>
      <c r="U874" s="802"/>
      <c r="V874" s="802"/>
      <c r="W874" s="802"/>
      <c r="X874" s="802"/>
      <c r="Y874" s="802"/>
      <c r="Z874" s="802"/>
      <c r="AA874" s="802"/>
      <c r="AB874" s="802"/>
      <c r="AC874" s="802"/>
      <c r="AD874" s="802"/>
      <c r="AE874" s="802"/>
      <c r="AF874" s="802"/>
      <c r="AG874" s="802"/>
      <c r="AH874" s="802"/>
      <c r="AI874" s="802"/>
      <c r="AJ874" s="802"/>
      <c r="AK874" s="802"/>
      <c r="AL874" s="802"/>
      <c r="AM874" s="802"/>
      <c r="AN874" s="802"/>
      <c r="AO874" s="802"/>
      <c r="AP874" s="802"/>
      <c r="AQ874" s="802"/>
      <c r="AR874" s="802"/>
      <c r="AS874" s="802"/>
      <c r="AT874" s="802"/>
      <c r="AU874" s="802"/>
      <c r="AV874" s="802"/>
      <c r="AW874" s="802"/>
      <c r="AX874" s="802"/>
      <c r="AY874" s="802"/>
    </row>
    <row r="875" ht="21.75" customHeight="1">
      <c r="A875" s="802"/>
      <c r="B875" s="802"/>
      <c r="C875" s="802"/>
      <c r="D875" s="802"/>
      <c r="E875" s="802"/>
      <c r="F875" s="802"/>
      <c r="G875" s="802"/>
      <c r="H875" s="802"/>
      <c r="I875" s="802"/>
      <c r="J875" s="802"/>
      <c r="K875" s="802"/>
      <c r="L875" s="802"/>
      <c r="M875" s="802"/>
      <c r="N875" s="802"/>
      <c r="O875" s="802"/>
      <c r="P875" s="802"/>
      <c r="Q875" s="802"/>
      <c r="R875" s="802"/>
      <c r="S875" s="802"/>
      <c r="T875" s="802"/>
      <c r="U875" s="802"/>
      <c r="V875" s="802"/>
      <c r="W875" s="802"/>
      <c r="X875" s="802"/>
      <c r="Y875" s="802"/>
      <c r="Z875" s="802"/>
      <c r="AA875" s="802"/>
      <c r="AB875" s="802"/>
      <c r="AC875" s="802"/>
      <c r="AD875" s="802"/>
      <c r="AE875" s="802"/>
      <c r="AF875" s="802"/>
      <c r="AG875" s="802"/>
      <c r="AH875" s="802"/>
      <c r="AI875" s="802"/>
      <c r="AJ875" s="802"/>
      <c r="AK875" s="802"/>
      <c r="AL875" s="802"/>
      <c r="AM875" s="802"/>
      <c r="AN875" s="802"/>
      <c r="AO875" s="802"/>
      <c r="AP875" s="802"/>
      <c r="AQ875" s="802"/>
      <c r="AR875" s="802"/>
      <c r="AS875" s="802"/>
      <c r="AT875" s="802"/>
      <c r="AU875" s="802"/>
      <c r="AV875" s="802"/>
      <c r="AW875" s="802"/>
      <c r="AX875" s="802"/>
      <c r="AY875" s="802"/>
    </row>
    <row r="876" ht="21.75" customHeight="1">
      <c r="A876" s="802"/>
      <c r="B876" s="802"/>
      <c r="C876" s="802"/>
      <c r="D876" s="802"/>
      <c r="E876" s="802"/>
      <c r="F876" s="802"/>
      <c r="G876" s="802"/>
      <c r="H876" s="802"/>
      <c r="I876" s="802"/>
      <c r="J876" s="802"/>
      <c r="K876" s="802"/>
      <c r="L876" s="802"/>
      <c r="M876" s="802"/>
      <c r="N876" s="802"/>
      <c r="O876" s="802"/>
      <c r="P876" s="802"/>
      <c r="Q876" s="802"/>
      <c r="R876" s="802"/>
      <c r="S876" s="802"/>
      <c r="T876" s="802"/>
      <c r="U876" s="802"/>
      <c r="V876" s="802"/>
      <c r="W876" s="802"/>
      <c r="X876" s="802"/>
      <c r="Y876" s="802"/>
      <c r="Z876" s="802"/>
      <c r="AA876" s="802"/>
      <c r="AB876" s="802"/>
      <c r="AC876" s="802"/>
      <c r="AD876" s="802"/>
      <c r="AE876" s="802"/>
      <c r="AF876" s="802"/>
      <c r="AG876" s="802"/>
      <c r="AH876" s="802"/>
      <c r="AI876" s="802"/>
      <c r="AJ876" s="802"/>
      <c r="AK876" s="802"/>
      <c r="AL876" s="802"/>
      <c r="AM876" s="802"/>
      <c r="AN876" s="802"/>
      <c r="AO876" s="802"/>
      <c r="AP876" s="802"/>
      <c r="AQ876" s="802"/>
      <c r="AR876" s="802"/>
      <c r="AS876" s="802"/>
      <c r="AT876" s="802"/>
      <c r="AU876" s="802"/>
      <c r="AV876" s="802"/>
      <c r="AW876" s="802"/>
      <c r="AX876" s="802"/>
      <c r="AY876" s="802"/>
    </row>
    <row r="877" ht="21.75" customHeight="1">
      <c r="A877" s="802"/>
      <c r="B877" s="802"/>
      <c r="C877" s="802"/>
      <c r="D877" s="802"/>
      <c r="E877" s="802"/>
      <c r="F877" s="802"/>
      <c r="G877" s="802"/>
      <c r="H877" s="802"/>
      <c r="I877" s="802"/>
      <c r="J877" s="802"/>
      <c r="K877" s="802"/>
      <c r="L877" s="802"/>
      <c r="M877" s="802"/>
      <c r="N877" s="802"/>
      <c r="O877" s="802"/>
      <c r="P877" s="802"/>
      <c r="Q877" s="802"/>
      <c r="R877" s="802"/>
      <c r="S877" s="802"/>
      <c r="T877" s="802"/>
      <c r="U877" s="802"/>
      <c r="V877" s="802"/>
      <c r="W877" s="802"/>
      <c r="X877" s="802"/>
      <c r="Y877" s="802"/>
      <c r="Z877" s="802"/>
      <c r="AA877" s="802"/>
      <c r="AB877" s="802"/>
      <c r="AC877" s="802"/>
      <c r="AD877" s="802"/>
      <c r="AE877" s="802"/>
      <c r="AF877" s="802"/>
      <c r="AG877" s="802"/>
      <c r="AH877" s="802"/>
      <c r="AI877" s="802"/>
      <c r="AJ877" s="802"/>
      <c r="AK877" s="802"/>
      <c r="AL877" s="802"/>
      <c r="AM877" s="802"/>
      <c r="AN877" s="802"/>
      <c r="AO877" s="802"/>
      <c r="AP877" s="802"/>
      <c r="AQ877" s="802"/>
      <c r="AR877" s="802"/>
      <c r="AS877" s="802"/>
      <c r="AT877" s="802"/>
      <c r="AU877" s="802"/>
      <c r="AV877" s="802"/>
      <c r="AW877" s="802"/>
      <c r="AX877" s="802"/>
      <c r="AY877" s="802"/>
    </row>
    <row r="878" ht="21.75" customHeight="1">
      <c r="A878" s="802"/>
      <c r="B878" s="802"/>
      <c r="C878" s="802"/>
      <c r="D878" s="802"/>
      <c r="E878" s="802"/>
      <c r="F878" s="802"/>
      <c r="G878" s="802"/>
      <c r="H878" s="802"/>
      <c r="I878" s="802"/>
      <c r="J878" s="802"/>
      <c r="K878" s="802"/>
      <c r="L878" s="802"/>
      <c r="M878" s="802"/>
      <c r="N878" s="802"/>
      <c r="O878" s="802"/>
      <c r="P878" s="802"/>
      <c r="Q878" s="802"/>
      <c r="R878" s="802"/>
      <c r="S878" s="802"/>
      <c r="T878" s="802"/>
      <c r="U878" s="802"/>
      <c r="V878" s="802"/>
      <c r="W878" s="802"/>
      <c r="X878" s="802"/>
      <c r="Y878" s="802"/>
      <c r="Z878" s="802"/>
      <c r="AA878" s="802"/>
      <c r="AB878" s="802"/>
      <c r="AC878" s="802"/>
      <c r="AD878" s="802"/>
      <c r="AE878" s="802"/>
      <c r="AF878" s="802"/>
      <c r="AG878" s="802"/>
      <c r="AH878" s="802"/>
      <c r="AI878" s="802"/>
      <c r="AJ878" s="802"/>
      <c r="AK878" s="802"/>
      <c r="AL878" s="802"/>
      <c r="AM878" s="802"/>
      <c r="AN878" s="802"/>
      <c r="AO878" s="802"/>
      <c r="AP878" s="802"/>
      <c r="AQ878" s="802"/>
      <c r="AR878" s="802"/>
      <c r="AS878" s="802"/>
      <c r="AT878" s="802"/>
      <c r="AU878" s="802"/>
      <c r="AV878" s="802"/>
      <c r="AW878" s="802"/>
      <c r="AX878" s="802"/>
      <c r="AY878" s="802"/>
    </row>
    <row r="879" ht="21.75" customHeight="1">
      <c r="A879" s="802"/>
      <c r="B879" s="802"/>
      <c r="C879" s="802"/>
      <c r="D879" s="802"/>
      <c r="E879" s="802"/>
      <c r="F879" s="802"/>
      <c r="G879" s="802"/>
      <c r="H879" s="802"/>
      <c r="I879" s="802"/>
      <c r="J879" s="802"/>
      <c r="K879" s="802"/>
      <c r="L879" s="802"/>
      <c r="M879" s="802"/>
      <c r="N879" s="802"/>
      <c r="O879" s="802"/>
      <c r="P879" s="802"/>
      <c r="Q879" s="802"/>
      <c r="R879" s="802"/>
      <c r="S879" s="802"/>
      <c r="T879" s="802"/>
      <c r="U879" s="802"/>
      <c r="V879" s="802"/>
      <c r="W879" s="802"/>
      <c r="X879" s="802"/>
      <c r="Y879" s="802"/>
      <c r="Z879" s="802"/>
      <c r="AA879" s="802"/>
      <c r="AB879" s="802"/>
      <c r="AC879" s="802"/>
      <c r="AD879" s="802"/>
      <c r="AE879" s="802"/>
      <c r="AF879" s="802"/>
      <c r="AG879" s="802"/>
      <c r="AH879" s="802"/>
      <c r="AI879" s="802"/>
      <c r="AJ879" s="802"/>
      <c r="AK879" s="802"/>
      <c r="AL879" s="802"/>
      <c r="AM879" s="802"/>
      <c r="AN879" s="802"/>
      <c r="AO879" s="802"/>
      <c r="AP879" s="802"/>
      <c r="AQ879" s="802"/>
      <c r="AR879" s="802"/>
      <c r="AS879" s="802"/>
      <c r="AT879" s="802"/>
      <c r="AU879" s="802"/>
      <c r="AV879" s="802"/>
      <c r="AW879" s="802"/>
      <c r="AX879" s="802"/>
      <c r="AY879" s="802"/>
    </row>
    <row r="880" ht="21.75" customHeight="1">
      <c r="A880" s="802"/>
      <c r="B880" s="802"/>
      <c r="C880" s="802"/>
      <c r="D880" s="802"/>
      <c r="E880" s="802"/>
      <c r="F880" s="802"/>
      <c r="G880" s="802"/>
      <c r="H880" s="802"/>
      <c r="I880" s="802"/>
      <c r="J880" s="802"/>
      <c r="K880" s="802"/>
      <c r="L880" s="802"/>
      <c r="M880" s="802"/>
      <c r="N880" s="802"/>
      <c r="O880" s="802"/>
      <c r="P880" s="802"/>
      <c r="Q880" s="802"/>
      <c r="R880" s="802"/>
      <c r="S880" s="802"/>
      <c r="T880" s="802"/>
      <c r="U880" s="802"/>
      <c r="V880" s="802"/>
      <c r="W880" s="802"/>
      <c r="X880" s="802"/>
      <c r="Y880" s="802"/>
      <c r="Z880" s="802"/>
      <c r="AA880" s="802"/>
      <c r="AB880" s="802"/>
      <c r="AC880" s="802"/>
      <c r="AD880" s="802"/>
      <c r="AE880" s="802"/>
      <c r="AF880" s="802"/>
      <c r="AG880" s="802"/>
      <c r="AH880" s="802"/>
      <c r="AI880" s="802"/>
      <c r="AJ880" s="802"/>
      <c r="AK880" s="802"/>
      <c r="AL880" s="802"/>
      <c r="AM880" s="802"/>
      <c r="AN880" s="802"/>
      <c r="AO880" s="802"/>
      <c r="AP880" s="802"/>
      <c r="AQ880" s="802"/>
      <c r="AR880" s="802"/>
      <c r="AS880" s="802"/>
      <c r="AT880" s="802"/>
      <c r="AU880" s="802"/>
      <c r="AV880" s="802"/>
      <c r="AW880" s="802"/>
      <c r="AX880" s="802"/>
      <c r="AY880" s="802"/>
    </row>
    <row r="881" ht="21.75" customHeight="1">
      <c r="A881" s="802"/>
      <c r="B881" s="802"/>
      <c r="C881" s="802"/>
      <c r="D881" s="802"/>
      <c r="E881" s="802"/>
      <c r="F881" s="802"/>
      <c r="G881" s="802"/>
      <c r="H881" s="802"/>
      <c r="I881" s="802"/>
      <c r="J881" s="802"/>
      <c r="K881" s="802"/>
      <c r="L881" s="802"/>
      <c r="M881" s="802"/>
      <c r="N881" s="802"/>
      <c r="O881" s="802"/>
      <c r="P881" s="802"/>
      <c r="Q881" s="802"/>
      <c r="R881" s="802"/>
      <c r="S881" s="802"/>
      <c r="T881" s="802"/>
      <c r="U881" s="802"/>
      <c r="V881" s="802"/>
      <c r="W881" s="802"/>
      <c r="X881" s="802"/>
      <c r="Y881" s="802"/>
      <c r="Z881" s="802"/>
      <c r="AA881" s="802"/>
      <c r="AB881" s="802"/>
      <c r="AC881" s="802"/>
      <c r="AD881" s="802"/>
      <c r="AE881" s="802"/>
      <c r="AF881" s="802"/>
      <c r="AG881" s="802"/>
      <c r="AH881" s="802"/>
      <c r="AI881" s="802"/>
      <c r="AJ881" s="802"/>
      <c r="AK881" s="802"/>
      <c r="AL881" s="802"/>
      <c r="AM881" s="802"/>
      <c r="AN881" s="802"/>
      <c r="AO881" s="802"/>
      <c r="AP881" s="802"/>
      <c r="AQ881" s="802"/>
      <c r="AR881" s="802"/>
      <c r="AS881" s="802"/>
      <c r="AT881" s="802"/>
      <c r="AU881" s="802"/>
      <c r="AV881" s="802"/>
      <c r="AW881" s="802"/>
      <c r="AX881" s="802"/>
      <c r="AY881" s="802"/>
    </row>
    <row r="882" ht="21.75" customHeight="1">
      <c r="A882" s="802"/>
      <c r="B882" s="802"/>
      <c r="C882" s="802"/>
      <c r="D882" s="802"/>
      <c r="E882" s="802"/>
      <c r="F882" s="802"/>
      <c r="G882" s="802"/>
      <c r="H882" s="802"/>
      <c r="I882" s="802"/>
      <c r="J882" s="802"/>
      <c r="K882" s="802"/>
      <c r="L882" s="802"/>
      <c r="M882" s="802"/>
      <c r="N882" s="802"/>
      <c r="O882" s="802"/>
      <c r="P882" s="802"/>
      <c r="Q882" s="802"/>
      <c r="R882" s="802"/>
      <c r="S882" s="802"/>
      <c r="T882" s="802"/>
      <c r="U882" s="802"/>
      <c r="V882" s="802"/>
      <c r="W882" s="802"/>
      <c r="X882" s="802"/>
      <c r="Y882" s="802"/>
      <c r="Z882" s="802"/>
      <c r="AA882" s="802"/>
      <c r="AB882" s="802"/>
      <c r="AC882" s="802"/>
      <c r="AD882" s="802"/>
      <c r="AE882" s="802"/>
      <c r="AF882" s="802"/>
      <c r="AG882" s="802"/>
      <c r="AH882" s="802"/>
      <c r="AI882" s="802"/>
      <c r="AJ882" s="802"/>
      <c r="AK882" s="802"/>
      <c r="AL882" s="802"/>
      <c r="AM882" s="802"/>
      <c r="AN882" s="802"/>
      <c r="AO882" s="802"/>
      <c r="AP882" s="802"/>
      <c r="AQ882" s="802"/>
      <c r="AR882" s="802"/>
      <c r="AS882" s="802"/>
      <c r="AT882" s="802"/>
      <c r="AU882" s="802"/>
      <c r="AV882" s="802"/>
      <c r="AW882" s="802"/>
      <c r="AX882" s="802"/>
      <c r="AY882" s="802"/>
    </row>
    <row r="883" ht="21.75" customHeight="1">
      <c r="A883" s="802"/>
      <c r="B883" s="802"/>
      <c r="C883" s="802"/>
      <c r="D883" s="802"/>
      <c r="E883" s="802"/>
      <c r="F883" s="802"/>
      <c r="G883" s="802"/>
      <c r="H883" s="802"/>
      <c r="I883" s="802"/>
      <c r="J883" s="802"/>
      <c r="K883" s="802"/>
      <c r="L883" s="802"/>
      <c r="M883" s="802"/>
      <c r="N883" s="802"/>
      <c r="O883" s="802"/>
      <c r="P883" s="802"/>
      <c r="Q883" s="802"/>
      <c r="R883" s="802"/>
      <c r="S883" s="802"/>
      <c r="T883" s="802"/>
      <c r="U883" s="802"/>
      <c r="V883" s="802"/>
      <c r="W883" s="802"/>
      <c r="X883" s="802"/>
      <c r="Y883" s="802"/>
      <c r="Z883" s="802"/>
      <c r="AA883" s="802"/>
      <c r="AB883" s="802"/>
      <c r="AC883" s="802"/>
      <c r="AD883" s="802"/>
      <c r="AE883" s="802"/>
      <c r="AF883" s="802"/>
      <c r="AG883" s="802"/>
      <c r="AH883" s="802"/>
      <c r="AI883" s="802"/>
      <c r="AJ883" s="802"/>
      <c r="AK883" s="802"/>
      <c r="AL883" s="802"/>
      <c r="AM883" s="802"/>
      <c r="AN883" s="802"/>
      <c r="AO883" s="802"/>
      <c r="AP883" s="802"/>
      <c r="AQ883" s="802"/>
      <c r="AR883" s="802"/>
      <c r="AS883" s="802"/>
      <c r="AT883" s="802"/>
      <c r="AU883" s="802"/>
      <c r="AV883" s="802"/>
      <c r="AW883" s="802"/>
      <c r="AX883" s="802"/>
      <c r="AY883" s="802"/>
    </row>
    <row r="884" ht="21.75" customHeight="1">
      <c r="A884" s="802"/>
      <c r="B884" s="802"/>
      <c r="C884" s="802"/>
      <c r="D884" s="802"/>
      <c r="E884" s="802"/>
      <c r="F884" s="802"/>
      <c r="G884" s="802"/>
      <c r="H884" s="802"/>
      <c r="I884" s="802"/>
      <c r="J884" s="802"/>
      <c r="K884" s="802"/>
      <c r="L884" s="802"/>
      <c r="M884" s="802"/>
      <c r="N884" s="802"/>
      <c r="O884" s="802"/>
      <c r="P884" s="802"/>
      <c r="Q884" s="802"/>
      <c r="R884" s="802"/>
      <c r="S884" s="802"/>
      <c r="T884" s="802"/>
      <c r="U884" s="802"/>
      <c r="V884" s="802"/>
      <c r="W884" s="802"/>
      <c r="X884" s="802"/>
      <c r="Y884" s="802"/>
      <c r="Z884" s="802"/>
      <c r="AA884" s="802"/>
      <c r="AB884" s="802"/>
      <c r="AC884" s="802"/>
      <c r="AD884" s="802"/>
      <c r="AE884" s="802"/>
      <c r="AF884" s="802"/>
      <c r="AG884" s="802"/>
      <c r="AH884" s="802"/>
      <c r="AI884" s="802"/>
      <c r="AJ884" s="802"/>
      <c r="AK884" s="802"/>
      <c r="AL884" s="802"/>
      <c r="AM884" s="802"/>
      <c r="AN884" s="802"/>
      <c r="AO884" s="802"/>
      <c r="AP884" s="802"/>
      <c r="AQ884" s="802"/>
      <c r="AR884" s="802"/>
      <c r="AS884" s="802"/>
      <c r="AT884" s="802"/>
      <c r="AU884" s="802"/>
      <c r="AV884" s="802"/>
      <c r="AW884" s="802"/>
      <c r="AX884" s="802"/>
      <c r="AY884" s="802"/>
    </row>
    <row r="885" ht="21.75" customHeight="1">
      <c r="A885" s="802"/>
      <c r="B885" s="802"/>
      <c r="C885" s="802"/>
      <c r="D885" s="802"/>
      <c r="E885" s="802"/>
      <c r="F885" s="802"/>
      <c r="G885" s="802"/>
      <c r="H885" s="802"/>
      <c r="I885" s="802"/>
      <c r="J885" s="802"/>
      <c r="K885" s="802"/>
      <c r="L885" s="802"/>
      <c r="M885" s="802"/>
      <c r="N885" s="802"/>
      <c r="O885" s="802"/>
      <c r="P885" s="802"/>
      <c r="Q885" s="802"/>
      <c r="R885" s="802"/>
      <c r="S885" s="802"/>
      <c r="T885" s="802"/>
      <c r="U885" s="802"/>
      <c r="V885" s="802"/>
      <c r="W885" s="802"/>
      <c r="X885" s="802"/>
      <c r="Y885" s="802"/>
      <c r="Z885" s="802"/>
      <c r="AA885" s="802"/>
      <c r="AB885" s="802"/>
      <c r="AC885" s="802"/>
      <c r="AD885" s="802"/>
      <c r="AE885" s="802"/>
      <c r="AF885" s="802"/>
      <c r="AG885" s="802"/>
      <c r="AH885" s="802"/>
      <c r="AI885" s="802"/>
      <c r="AJ885" s="802"/>
      <c r="AK885" s="802"/>
      <c r="AL885" s="802"/>
      <c r="AM885" s="802"/>
      <c r="AN885" s="802"/>
      <c r="AO885" s="802"/>
      <c r="AP885" s="802"/>
      <c r="AQ885" s="802"/>
      <c r="AR885" s="802"/>
      <c r="AS885" s="802"/>
      <c r="AT885" s="802"/>
      <c r="AU885" s="802"/>
      <c r="AV885" s="802"/>
      <c r="AW885" s="802"/>
      <c r="AX885" s="802"/>
      <c r="AY885" s="802"/>
    </row>
    <row r="886" ht="21.75" customHeight="1">
      <c r="A886" s="802"/>
      <c r="B886" s="802"/>
      <c r="C886" s="802"/>
      <c r="D886" s="802"/>
      <c r="E886" s="802"/>
      <c r="F886" s="802"/>
      <c r="G886" s="802"/>
      <c r="H886" s="802"/>
      <c r="I886" s="802"/>
      <c r="J886" s="802"/>
      <c r="K886" s="802"/>
      <c r="L886" s="802"/>
      <c r="M886" s="802"/>
      <c r="N886" s="802"/>
      <c r="O886" s="802"/>
      <c r="P886" s="802"/>
      <c r="Q886" s="802"/>
      <c r="R886" s="802"/>
      <c r="S886" s="802"/>
      <c r="T886" s="802"/>
      <c r="U886" s="802"/>
      <c r="V886" s="802"/>
      <c r="W886" s="802"/>
      <c r="X886" s="802"/>
      <c r="Y886" s="802"/>
      <c r="Z886" s="802"/>
      <c r="AA886" s="802"/>
      <c r="AB886" s="802"/>
      <c r="AC886" s="802"/>
      <c r="AD886" s="802"/>
      <c r="AE886" s="802"/>
      <c r="AF886" s="802"/>
      <c r="AG886" s="802"/>
      <c r="AH886" s="802"/>
      <c r="AI886" s="802"/>
      <c r="AJ886" s="802"/>
      <c r="AK886" s="802"/>
      <c r="AL886" s="802"/>
      <c r="AM886" s="802"/>
      <c r="AN886" s="802"/>
      <c r="AO886" s="802"/>
      <c r="AP886" s="802"/>
      <c r="AQ886" s="802"/>
      <c r="AR886" s="802"/>
      <c r="AS886" s="802"/>
      <c r="AT886" s="802"/>
      <c r="AU886" s="802"/>
      <c r="AV886" s="802"/>
      <c r="AW886" s="802"/>
      <c r="AX886" s="802"/>
      <c r="AY886" s="802"/>
    </row>
    <row r="887" ht="21.75" customHeight="1">
      <c r="A887" s="802"/>
      <c r="B887" s="802"/>
      <c r="C887" s="802"/>
      <c r="D887" s="802"/>
      <c r="E887" s="802"/>
      <c r="F887" s="802"/>
      <c r="G887" s="802"/>
      <c r="H887" s="802"/>
      <c r="I887" s="802"/>
      <c r="J887" s="802"/>
      <c r="K887" s="802"/>
      <c r="L887" s="802"/>
      <c r="M887" s="802"/>
      <c r="N887" s="802"/>
      <c r="O887" s="802"/>
      <c r="P887" s="802"/>
      <c r="Q887" s="802"/>
      <c r="R887" s="802"/>
      <c r="S887" s="802"/>
      <c r="T887" s="802"/>
      <c r="U887" s="802"/>
      <c r="V887" s="802"/>
      <c r="W887" s="802"/>
      <c r="X887" s="802"/>
      <c r="Y887" s="802"/>
      <c r="Z887" s="802"/>
      <c r="AA887" s="802"/>
      <c r="AB887" s="802"/>
      <c r="AC887" s="802"/>
      <c r="AD887" s="802"/>
      <c r="AE887" s="802"/>
      <c r="AF887" s="802"/>
      <c r="AG887" s="802"/>
      <c r="AH887" s="802"/>
      <c r="AI887" s="802"/>
      <c r="AJ887" s="802"/>
      <c r="AK887" s="802"/>
      <c r="AL887" s="802"/>
      <c r="AM887" s="802"/>
      <c r="AN887" s="802"/>
      <c r="AO887" s="802"/>
      <c r="AP887" s="802"/>
      <c r="AQ887" s="802"/>
      <c r="AR887" s="802"/>
      <c r="AS887" s="802"/>
      <c r="AT887" s="802"/>
      <c r="AU887" s="802"/>
      <c r="AV887" s="802"/>
      <c r="AW887" s="802"/>
      <c r="AX887" s="802"/>
      <c r="AY887" s="802"/>
    </row>
    <row r="888" ht="21.75" customHeight="1">
      <c r="A888" s="802"/>
      <c r="B888" s="802"/>
      <c r="C888" s="802"/>
      <c r="D888" s="802"/>
      <c r="E888" s="802"/>
      <c r="F888" s="802"/>
      <c r="G888" s="802"/>
      <c r="H888" s="802"/>
      <c r="I888" s="802"/>
      <c r="J888" s="802"/>
      <c r="K888" s="802"/>
      <c r="L888" s="802"/>
      <c r="M888" s="802"/>
      <c r="N888" s="802"/>
      <c r="O888" s="802"/>
      <c r="P888" s="802"/>
      <c r="Q888" s="802"/>
      <c r="R888" s="802"/>
      <c r="S888" s="802"/>
      <c r="T888" s="802"/>
      <c r="U888" s="802"/>
      <c r="V888" s="802"/>
      <c r="W888" s="802"/>
      <c r="X888" s="802"/>
      <c r="Y888" s="802"/>
      <c r="Z888" s="802"/>
      <c r="AA888" s="802"/>
      <c r="AB888" s="802"/>
      <c r="AC888" s="802"/>
      <c r="AD888" s="802"/>
      <c r="AE888" s="802"/>
      <c r="AF888" s="802"/>
      <c r="AG888" s="802"/>
      <c r="AH888" s="802"/>
      <c r="AI888" s="802"/>
      <c r="AJ888" s="802"/>
      <c r="AK888" s="802"/>
      <c r="AL888" s="802"/>
      <c r="AM888" s="802"/>
      <c r="AN888" s="802"/>
      <c r="AO888" s="802"/>
      <c r="AP888" s="802"/>
      <c r="AQ888" s="802"/>
      <c r="AR888" s="802"/>
      <c r="AS888" s="802"/>
      <c r="AT888" s="802"/>
      <c r="AU888" s="802"/>
      <c r="AV888" s="802"/>
      <c r="AW888" s="802"/>
      <c r="AX888" s="802"/>
      <c r="AY888" s="802"/>
    </row>
    <row r="889" ht="21.75" customHeight="1">
      <c r="A889" s="802"/>
      <c r="B889" s="802"/>
      <c r="C889" s="802"/>
      <c r="D889" s="802"/>
      <c r="E889" s="802"/>
      <c r="F889" s="802"/>
      <c r="G889" s="802"/>
      <c r="H889" s="802"/>
      <c r="I889" s="802"/>
      <c r="J889" s="802"/>
      <c r="K889" s="802"/>
      <c r="L889" s="802"/>
      <c r="M889" s="802"/>
      <c r="N889" s="802"/>
      <c r="O889" s="802"/>
      <c r="P889" s="802"/>
      <c r="Q889" s="802"/>
      <c r="R889" s="802"/>
      <c r="S889" s="802"/>
      <c r="T889" s="802"/>
      <c r="U889" s="802"/>
      <c r="V889" s="802"/>
      <c r="W889" s="802"/>
      <c r="X889" s="802"/>
      <c r="Y889" s="802"/>
      <c r="Z889" s="802"/>
      <c r="AA889" s="802"/>
      <c r="AB889" s="802"/>
      <c r="AC889" s="802"/>
      <c r="AD889" s="802"/>
      <c r="AE889" s="802"/>
      <c r="AF889" s="802"/>
      <c r="AG889" s="802"/>
      <c r="AH889" s="802"/>
      <c r="AI889" s="802"/>
      <c r="AJ889" s="802"/>
      <c r="AK889" s="802"/>
      <c r="AL889" s="802"/>
      <c r="AM889" s="802"/>
      <c r="AN889" s="802"/>
      <c r="AO889" s="802"/>
      <c r="AP889" s="802"/>
      <c r="AQ889" s="802"/>
      <c r="AR889" s="802"/>
      <c r="AS889" s="802"/>
      <c r="AT889" s="802"/>
      <c r="AU889" s="802"/>
      <c r="AV889" s="802"/>
      <c r="AW889" s="802"/>
      <c r="AX889" s="802"/>
      <c r="AY889" s="802"/>
    </row>
    <row r="890" ht="21.75" customHeight="1">
      <c r="A890" s="802"/>
      <c r="B890" s="802"/>
      <c r="C890" s="802"/>
      <c r="D890" s="802"/>
      <c r="E890" s="802"/>
      <c r="F890" s="802"/>
      <c r="G890" s="802"/>
      <c r="H890" s="802"/>
      <c r="I890" s="802"/>
      <c r="J890" s="802"/>
      <c r="K890" s="802"/>
      <c r="L890" s="802"/>
      <c r="M890" s="802"/>
      <c r="N890" s="802"/>
      <c r="O890" s="802"/>
      <c r="P890" s="802"/>
      <c r="Q890" s="802"/>
      <c r="R890" s="802"/>
      <c r="S890" s="802"/>
      <c r="T890" s="802"/>
      <c r="U890" s="802"/>
      <c r="V890" s="802"/>
      <c r="W890" s="802"/>
      <c r="X890" s="802"/>
      <c r="Y890" s="802"/>
      <c r="Z890" s="802"/>
      <c r="AA890" s="802"/>
      <c r="AB890" s="802"/>
      <c r="AC890" s="802"/>
      <c r="AD890" s="802"/>
      <c r="AE890" s="802"/>
      <c r="AF890" s="802"/>
      <c r="AG890" s="802"/>
      <c r="AH890" s="802"/>
      <c r="AI890" s="802"/>
      <c r="AJ890" s="802"/>
      <c r="AK890" s="802"/>
      <c r="AL890" s="802"/>
      <c r="AM890" s="802"/>
      <c r="AN890" s="802"/>
      <c r="AO890" s="802"/>
      <c r="AP890" s="802"/>
      <c r="AQ890" s="802"/>
      <c r="AR890" s="802"/>
      <c r="AS890" s="802"/>
      <c r="AT890" s="802"/>
      <c r="AU890" s="802"/>
      <c r="AV890" s="802"/>
      <c r="AW890" s="802"/>
      <c r="AX890" s="802"/>
      <c r="AY890" s="802"/>
    </row>
    <row r="891" ht="21.75" customHeight="1">
      <c r="A891" s="802"/>
      <c r="B891" s="802"/>
      <c r="C891" s="802"/>
      <c r="D891" s="802"/>
      <c r="E891" s="802"/>
      <c r="F891" s="802"/>
      <c r="G891" s="802"/>
      <c r="H891" s="802"/>
      <c r="I891" s="802"/>
      <c r="J891" s="802"/>
      <c r="K891" s="802"/>
      <c r="L891" s="802"/>
      <c r="M891" s="802"/>
      <c r="N891" s="802"/>
      <c r="O891" s="802"/>
      <c r="P891" s="802"/>
      <c r="Q891" s="802"/>
      <c r="R891" s="802"/>
      <c r="S891" s="802"/>
      <c r="T891" s="802"/>
      <c r="U891" s="802"/>
      <c r="V891" s="802"/>
      <c r="W891" s="802"/>
      <c r="X891" s="802"/>
      <c r="Y891" s="802"/>
      <c r="Z891" s="802"/>
      <c r="AA891" s="802"/>
      <c r="AB891" s="802"/>
      <c r="AC891" s="802"/>
      <c r="AD891" s="802"/>
      <c r="AE891" s="802"/>
      <c r="AF891" s="802"/>
      <c r="AG891" s="802"/>
      <c r="AH891" s="802"/>
      <c r="AI891" s="802"/>
      <c r="AJ891" s="802"/>
      <c r="AK891" s="802"/>
      <c r="AL891" s="802"/>
      <c r="AM891" s="802"/>
      <c r="AN891" s="802"/>
      <c r="AO891" s="802"/>
      <c r="AP891" s="802"/>
      <c r="AQ891" s="802"/>
      <c r="AR891" s="802"/>
      <c r="AS891" s="802"/>
      <c r="AT891" s="802"/>
      <c r="AU891" s="802"/>
      <c r="AV891" s="802"/>
      <c r="AW891" s="802"/>
      <c r="AX891" s="802"/>
      <c r="AY891" s="802"/>
    </row>
    <row r="892" ht="21.75" customHeight="1">
      <c r="A892" s="802"/>
      <c r="B892" s="802"/>
      <c r="C892" s="802"/>
      <c r="D892" s="802"/>
      <c r="E892" s="802"/>
      <c r="F892" s="802"/>
      <c r="G892" s="802"/>
      <c r="H892" s="802"/>
      <c r="I892" s="802"/>
      <c r="J892" s="802"/>
      <c r="K892" s="802"/>
      <c r="L892" s="802"/>
      <c r="M892" s="802"/>
      <c r="N892" s="802"/>
      <c r="O892" s="802"/>
      <c r="P892" s="802"/>
      <c r="Q892" s="802"/>
      <c r="R892" s="802"/>
      <c r="S892" s="802"/>
      <c r="T892" s="802"/>
      <c r="U892" s="802"/>
      <c r="V892" s="802"/>
      <c r="W892" s="802"/>
      <c r="X892" s="802"/>
      <c r="Y892" s="802"/>
      <c r="Z892" s="802"/>
      <c r="AA892" s="802"/>
      <c r="AB892" s="802"/>
      <c r="AC892" s="802"/>
      <c r="AD892" s="802"/>
      <c r="AE892" s="802"/>
      <c r="AF892" s="802"/>
      <c r="AG892" s="802"/>
      <c r="AH892" s="802"/>
      <c r="AI892" s="802"/>
      <c r="AJ892" s="802"/>
      <c r="AK892" s="802"/>
      <c r="AL892" s="802"/>
      <c r="AM892" s="802"/>
      <c r="AN892" s="802"/>
      <c r="AO892" s="802"/>
      <c r="AP892" s="802"/>
      <c r="AQ892" s="802"/>
      <c r="AR892" s="802"/>
      <c r="AS892" s="802"/>
      <c r="AT892" s="802"/>
      <c r="AU892" s="802"/>
      <c r="AV892" s="802"/>
      <c r="AW892" s="802"/>
      <c r="AX892" s="802"/>
      <c r="AY892" s="802"/>
    </row>
    <row r="893" ht="21.75" customHeight="1">
      <c r="A893" s="802"/>
      <c r="B893" s="802"/>
      <c r="C893" s="802"/>
      <c r="D893" s="802"/>
      <c r="E893" s="802"/>
      <c r="F893" s="802"/>
      <c r="G893" s="802"/>
      <c r="H893" s="802"/>
      <c r="I893" s="802"/>
      <c r="J893" s="802"/>
      <c r="K893" s="802"/>
      <c r="L893" s="802"/>
      <c r="M893" s="802"/>
      <c r="N893" s="802"/>
      <c r="O893" s="802"/>
      <c r="P893" s="802"/>
      <c r="Q893" s="802"/>
      <c r="R893" s="802"/>
      <c r="S893" s="802"/>
      <c r="T893" s="802"/>
      <c r="U893" s="802"/>
      <c r="V893" s="802"/>
      <c r="W893" s="802"/>
      <c r="X893" s="802"/>
      <c r="Y893" s="802"/>
      <c r="Z893" s="802"/>
      <c r="AA893" s="802"/>
      <c r="AB893" s="802"/>
      <c r="AC893" s="802"/>
      <c r="AD893" s="802"/>
      <c r="AE893" s="802"/>
      <c r="AF893" s="802"/>
      <c r="AG893" s="802"/>
      <c r="AH893" s="802"/>
      <c r="AI893" s="802"/>
      <c r="AJ893" s="802"/>
      <c r="AK893" s="802"/>
      <c r="AL893" s="802"/>
      <c r="AM893" s="802"/>
      <c r="AN893" s="802"/>
      <c r="AO893" s="802"/>
      <c r="AP893" s="802"/>
      <c r="AQ893" s="802"/>
      <c r="AR893" s="802"/>
      <c r="AS893" s="802"/>
      <c r="AT893" s="802"/>
      <c r="AU893" s="802"/>
      <c r="AV893" s="802"/>
      <c r="AW893" s="802"/>
      <c r="AX893" s="802"/>
      <c r="AY893" s="802"/>
    </row>
    <row r="894" ht="21.75" customHeight="1">
      <c r="A894" s="802"/>
      <c r="B894" s="802"/>
      <c r="C894" s="802"/>
      <c r="D894" s="802"/>
      <c r="E894" s="802"/>
      <c r="F894" s="802"/>
      <c r="G894" s="802"/>
      <c r="H894" s="802"/>
      <c r="I894" s="802"/>
      <c r="J894" s="802"/>
      <c r="K894" s="802"/>
      <c r="L894" s="802"/>
      <c r="M894" s="802"/>
      <c r="N894" s="802"/>
      <c r="O894" s="802"/>
      <c r="P894" s="802"/>
      <c r="Q894" s="802"/>
      <c r="R894" s="802"/>
      <c r="S894" s="802"/>
      <c r="T894" s="802"/>
      <c r="U894" s="802"/>
      <c r="V894" s="802"/>
      <c r="W894" s="802"/>
      <c r="X894" s="802"/>
      <c r="Y894" s="802"/>
      <c r="Z894" s="802"/>
      <c r="AA894" s="802"/>
      <c r="AB894" s="802"/>
      <c r="AC894" s="802"/>
      <c r="AD894" s="802"/>
      <c r="AE894" s="802"/>
      <c r="AF894" s="802"/>
      <c r="AG894" s="802"/>
      <c r="AH894" s="802"/>
      <c r="AI894" s="802"/>
      <c r="AJ894" s="802"/>
      <c r="AK894" s="802"/>
      <c r="AL894" s="802"/>
      <c r="AM894" s="802"/>
      <c r="AN894" s="802"/>
      <c r="AO894" s="802"/>
      <c r="AP894" s="802"/>
      <c r="AQ894" s="802"/>
      <c r="AR894" s="802"/>
      <c r="AS894" s="802"/>
      <c r="AT894" s="802"/>
      <c r="AU894" s="802"/>
      <c r="AV894" s="802"/>
      <c r="AW894" s="802"/>
      <c r="AX894" s="802"/>
      <c r="AY894" s="802"/>
    </row>
    <row r="895" ht="21.75" customHeight="1">
      <c r="A895" s="802"/>
      <c r="B895" s="802"/>
      <c r="C895" s="802"/>
      <c r="D895" s="802"/>
      <c r="E895" s="802"/>
      <c r="F895" s="802"/>
      <c r="G895" s="802"/>
      <c r="H895" s="802"/>
      <c r="I895" s="802"/>
      <c r="J895" s="802"/>
      <c r="K895" s="802"/>
      <c r="L895" s="802"/>
      <c r="M895" s="802"/>
      <c r="N895" s="802"/>
      <c r="O895" s="802"/>
      <c r="P895" s="802"/>
      <c r="Q895" s="802"/>
      <c r="R895" s="802"/>
      <c r="S895" s="802"/>
      <c r="T895" s="802"/>
      <c r="U895" s="802"/>
      <c r="V895" s="802"/>
      <c r="W895" s="802"/>
      <c r="X895" s="802"/>
      <c r="Y895" s="802"/>
      <c r="Z895" s="802"/>
      <c r="AA895" s="802"/>
      <c r="AB895" s="802"/>
      <c r="AC895" s="802"/>
      <c r="AD895" s="802"/>
      <c r="AE895" s="802"/>
      <c r="AF895" s="802"/>
      <c r="AG895" s="802"/>
      <c r="AH895" s="802"/>
      <c r="AI895" s="802"/>
      <c r="AJ895" s="802"/>
      <c r="AK895" s="802"/>
      <c r="AL895" s="802"/>
      <c r="AM895" s="802"/>
      <c r="AN895" s="802"/>
      <c r="AO895" s="802"/>
      <c r="AP895" s="802"/>
      <c r="AQ895" s="802"/>
      <c r="AR895" s="802"/>
      <c r="AS895" s="802"/>
      <c r="AT895" s="802"/>
      <c r="AU895" s="802"/>
      <c r="AV895" s="802"/>
      <c r="AW895" s="802"/>
      <c r="AX895" s="802"/>
      <c r="AY895" s="802"/>
    </row>
    <row r="896" ht="21.75" customHeight="1">
      <c r="A896" s="802"/>
      <c r="B896" s="802"/>
      <c r="C896" s="802"/>
      <c r="D896" s="802"/>
      <c r="E896" s="802"/>
      <c r="F896" s="802"/>
      <c r="G896" s="802"/>
      <c r="H896" s="802"/>
      <c r="I896" s="802"/>
      <c r="J896" s="802"/>
      <c r="K896" s="802"/>
      <c r="L896" s="802"/>
      <c r="M896" s="802"/>
      <c r="N896" s="802"/>
      <c r="O896" s="802"/>
      <c r="P896" s="802"/>
      <c r="Q896" s="802"/>
      <c r="R896" s="802"/>
      <c r="S896" s="802"/>
      <c r="T896" s="802"/>
      <c r="U896" s="802"/>
      <c r="V896" s="802"/>
      <c r="W896" s="802"/>
      <c r="X896" s="802"/>
      <c r="Y896" s="802"/>
      <c r="Z896" s="802"/>
      <c r="AA896" s="802"/>
      <c r="AB896" s="802"/>
      <c r="AC896" s="802"/>
      <c r="AD896" s="802"/>
      <c r="AE896" s="802"/>
      <c r="AF896" s="802"/>
      <c r="AG896" s="802"/>
      <c r="AH896" s="802"/>
      <c r="AI896" s="802"/>
      <c r="AJ896" s="802"/>
      <c r="AK896" s="802"/>
      <c r="AL896" s="802"/>
      <c r="AM896" s="802"/>
      <c r="AN896" s="802"/>
      <c r="AO896" s="802"/>
      <c r="AP896" s="802"/>
      <c r="AQ896" s="802"/>
      <c r="AR896" s="802"/>
      <c r="AS896" s="802"/>
      <c r="AT896" s="802"/>
      <c r="AU896" s="802"/>
      <c r="AV896" s="802"/>
      <c r="AW896" s="802"/>
      <c r="AX896" s="802"/>
      <c r="AY896" s="802"/>
    </row>
    <row r="897" ht="21.75" customHeight="1">
      <c r="A897" s="802"/>
      <c r="B897" s="802"/>
      <c r="C897" s="802"/>
      <c r="D897" s="802"/>
      <c r="E897" s="802"/>
      <c r="F897" s="802"/>
      <c r="G897" s="802"/>
      <c r="H897" s="802"/>
      <c r="I897" s="802"/>
      <c r="J897" s="802"/>
      <c r="K897" s="802"/>
      <c r="L897" s="802"/>
      <c r="M897" s="802"/>
      <c r="N897" s="802"/>
      <c r="O897" s="802"/>
      <c r="P897" s="802"/>
      <c r="Q897" s="802"/>
      <c r="R897" s="802"/>
      <c r="S897" s="802"/>
      <c r="T897" s="802"/>
      <c r="U897" s="802"/>
      <c r="V897" s="802"/>
      <c r="W897" s="802"/>
      <c r="X897" s="802"/>
      <c r="Y897" s="802"/>
      <c r="Z897" s="802"/>
      <c r="AA897" s="802"/>
      <c r="AB897" s="802"/>
      <c r="AC897" s="802"/>
      <c r="AD897" s="802"/>
      <c r="AE897" s="802"/>
      <c r="AF897" s="802"/>
      <c r="AG897" s="802"/>
      <c r="AH897" s="802"/>
      <c r="AI897" s="802"/>
      <c r="AJ897" s="802"/>
      <c r="AK897" s="802"/>
      <c r="AL897" s="802"/>
      <c r="AM897" s="802"/>
      <c r="AN897" s="802"/>
      <c r="AO897" s="802"/>
      <c r="AP897" s="802"/>
      <c r="AQ897" s="802"/>
      <c r="AR897" s="802"/>
      <c r="AS897" s="802"/>
      <c r="AT897" s="802"/>
      <c r="AU897" s="802"/>
      <c r="AV897" s="802"/>
      <c r="AW897" s="802"/>
      <c r="AX897" s="802"/>
      <c r="AY897" s="802"/>
    </row>
    <row r="898" ht="21.75" customHeight="1">
      <c r="A898" s="802"/>
      <c r="B898" s="802"/>
      <c r="C898" s="802"/>
      <c r="D898" s="802"/>
      <c r="E898" s="802"/>
      <c r="F898" s="802"/>
      <c r="G898" s="802"/>
      <c r="H898" s="802"/>
      <c r="I898" s="802"/>
      <c r="J898" s="802"/>
      <c r="K898" s="802"/>
      <c r="L898" s="802"/>
      <c r="M898" s="802"/>
      <c r="N898" s="802"/>
      <c r="O898" s="802"/>
      <c r="P898" s="802"/>
      <c r="Q898" s="802"/>
      <c r="R898" s="802"/>
      <c r="S898" s="802"/>
      <c r="T898" s="802"/>
      <c r="U898" s="802"/>
      <c r="V898" s="802"/>
      <c r="W898" s="802"/>
      <c r="X898" s="802"/>
      <c r="Y898" s="802"/>
      <c r="Z898" s="802"/>
      <c r="AA898" s="802"/>
      <c r="AB898" s="802"/>
      <c r="AC898" s="802"/>
      <c r="AD898" s="802"/>
      <c r="AE898" s="802"/>
      <c r="AF898" s="802"/>
      <c r="AG898" s="802"/>
      <c r="AH898" s="802"/>
      <c r="AI898" s="802"/>
      <c r="AJ898" s="802"/>
      <c r="AK898" s="802"/>
      <c r="AL898" s="802"/>
      <c r="AM898" s="802"/>
      <c r="AN898" s="802"/>
      <c r="AO898" s="802"/>
      <c r="AP898" s="802"/>
      <c r="AQ898" s="802"/>
      <c r="AR898" s="802"/>
      <c r="AS898" s="802"/>
      <c r="AT898" s="802"/>
      <c r="AU898" s="802"/>
      <c r="AV898" s="802"/>
      <c r="AW898" s="802"/>
      <c r="AX898" s="802"/>
      <c r="AY898" s="802"/>
    </row>
    <row r="899" ht="21.75" customHeight="1">
      <c r="A899" s="802"/>
      <c r="B899" s="802"/>
      <c r="C899" s="802"/>
      <c r="D899" s="802"/>
      <c r="E899" s="802"/>
      <c r="F899" s="802"/>
      <c r="G899" s="802"/>
      <c r="H899" s="802"/>
      <c r="I899" s="802"/>
      <c r="J899" s="802"/>
      <c r="K899" s="802"/>
      <c r="L899" s="802"/>
      <c r="M899" s="802"/>
      <c r="N899" s="802"/>
      <c r="O899" s="802"/>
      <c r="P899" s="802"/>
      <c r="Q899" s="802"/>
      <c r="R899" s="802"/>
      <c r="S899" s="802"/>
      <c r="T899" s="802"/>
      <c r="U899" s="802"/>
      <c r="V899" s="802"/>
      <c r="W899" s="802"/>
      <c r="X899" s="802"/>
      <c r="Y899" s="802"/>
      <c r="Z899" s="802"/>
      <c r="AA899" s="802"/>
      <c r="AB899" s="802"/>
      <c r="AC899" s="802"/>
      <c r="AD899" s="802"/>
      <c r="AE899" s="802"/>
      <c r="AF899" s="802"/>
      <c r="AG899" s="802"/>
      <c r="AH899" s="802"/>
      <c r="AI899" s="802"/>
      <c r="AJ899" s="802"/>
      <c r="AK899" s="802"/>
      <c r="AL899" s="802"/>
      <c r="AM899" s="802"/>
      <c r="AN899" s="802"/>
      <c r="AO899" s="802"/>
      <c r="AP899" s="802"/>
      <c r="AQ899" s="802"/>
      <c r="AR899" s="802"/>
      <c r="AS899" s="802"/>
      <c r="AT899" s="802"/>
      <c r="AU899" s="802"/>
      <c r="AV899" s="802"/>
      <c r="AW899" s="802"/>
      <c r="AX899" s="802"/>
      <c r="AY899" s="802"/>
    </row>
    <row r="900" ht="21.75" customHeight="1">
      <c r="A900" s="802"/>
      <c r="B900" s="802"/>
      <c r="C900" s="802"/>
      <c r="D900" s="802"/>
      <c r="E900" s="802"/>
      <c r="F900" s="802"/>
      <c r="G900" s="802"/>
      <c r="H900" s="802"/>
      <c r="I900" s="802"/>
      <c r="J900" s="802"/>
      <c r="K900" s="802"/>
      <c r="L900" s="802"/>
      <c r="M900" s="802"/>
      <c r="N900" s="802"/>
      <c r="O900" s="802"/>
      <c r="P900" s="802"/>
      <c r="Q900" s="802"/>
      <c r="R900" s="802"/>
      <c r="S900" s="802"/>
      <c r="T900" s="802"/>
      <c r="U900" s="802"/>
      <c r="V900" s="802"/>
      <c r="W900" s="802"/>
      <c r="X900" s="802"/>
      <c r="Y900" s="802"/>
      <c r="Z900" s="802"/>
      <c r="AA900" s="802"/>
      <c r="AB900" s="802"/>
      <c r="AC900" s="802"/>
      <c r="AD900" s="802"/>
      <c r="AE900" s="802"/>
      <c r="AF900" s="802"/>
      <c r="AG900" s="802"/>
      <c r="AH900" s="802"/>
      <c r="AI900" s="802"/>
      <c r="AJ900" s="802"/>
      <c r="AK900" s="802"/>
      <c r="AL900" s="802"/>
      <c r="AM900" s="802"/>
      <c r="AN900" s="802"/>
      <c r="AO900" s="802"/>
      <c r="AP900" s="802"/>
      <c r="AQ900" s="802"/>
      <c r="AR900" s="802"/>
      <c r="AS900" s="802"/>
      <c r="AT900" s="802"/>
      <c r="AU900" s="802"/>
      <c r="AV900" s="802"/>
      <c r="AW900" s="802"/>
      <c r="AX900" s="802"/>
      <c r="AY900" s="802"/>
    </row>
    <row r="901" ht="21.75" customHeight="1">
      <c r="A901" s="802"/>
      <c r="B901" s="802"/>
      <c r="C901" s="802"/>
      <c r="D901" s="802"/>
      <c r="E901" s="802"/>
      <c r="F901" s="802"/>
      <c r="G901" s="802"/>
      <c r="H901" s="802"/>
      <c r="I901" s="802"/>
      <c r="J901" s="802"/>
      <c r="K901" s="802"/>
      <c r="L901" s="802"/>
      <c r="M901" s="802"/>
      <c r="N901" s="802"/>
      <c r="O901" s="802"/>
      <c r="P901" s="802"/>
      <c r="Q901" s="802"/>
      <c r="R901" s="802"/>
      <c r="S901" s="802"/>
      <c r="T901" s="802"/>
      <c r="U901" s="802"/>
      <c r="V901" s="802"/>
      <c r="W901" s="802"/>
      <c r="X901" s="802"/>
      <c r="Y901" s="802"/>
      <c r="Z901" s="802"/>
      <c r="AA901" s="802"/>
      <c r="AB901" s="802"/>
      <c r="AC901" s="802"/>
      <c r="AD901" s="802"/>
      <c r="AE901" s="802"/>
      <c r="AF901" s="802"/>
      <c r="AG901" s="802"/>
      <c r="AH901" s="802"/>
      <c r="AI901" s="802"/>
      <c r="AJ901" s="802"/>
      <c r="AK901" s="802"/>
      <c r="AL901" s="802"/>
      <c r="AM901" s="802"/>
      <c r="AN901" s="802"/>
      <c r="AO901" s="802"/>
      <c r="AP901" s="802"/>
      <c r="AQ901" s="802"/>
      <c r="AR901" s="802"/>
      <c r="AS901" s="802"/>
      <c r="AT901" s="802"/>
      <c r="AU901" s="802"/>
      <c r="AV901" s="802"/>
      <c r="AW901" s="802"/>
      <c r="AX901" s="802"/>
      <c r="AY901" s="802"/>
    </row>
    <row r="902" ht="21.75" customHeight="1">
      <c r="A902" s="802"/>
      <c r="B902" s="802"/>
      <c r="C902" s="802"/>
      <c r="D902" s="802"/>
      <c r="E902" s="802"/>
      <c r="F902" s="802"/>
      <c r="G902" s="802"/>
      <c r="H902" s="802"/>
      <c r="I902" s="802"/>
      <c r="J902" s="802"/>
      <c r="K902" s="802"/>
      <c r="L902" s="802"/>
      <c r="M902" s="802"/>
      <c r="N902" s="802"/>
      <c r="O902" s="802"/>
      <c r="P902" s="802"/>
      <c r="Q902" s="802"/>
      <c r="R902" s="802"/>
      <c r="S902" s="802"/>
      <c r="T902" s="802"/>
      <c r="U902" s="802"/>
      <c r="V902" s="802"/>
      <c r="W902" s="802"/>
      <c r="X902" s="802"/>
      <c r="Y902" s="802"/>
      <c r="Z902" s="802"/>
      <c r="AA902" s="802"/>
      <c r="AB902" s="802"/>
      <c r="AC902" s="802"/>
      <c r="AD902" s="802"/>
      <c r="AE902" s="802"/>
      <c r="AF902" s="802"/>
      <c r="AG902" s="802"/>
      <c r="AH902" s="802"/>
      <c r="AI902" s="802"/>
      <c r="AJ902" s="802"/>
      <c r="AK902" s="802"/>
      <c r="AL902" s="802"/>
      <c r="AM902" s="802"/>
      <c r="AN902" s="802"/>
      <c r="AO902" s="802"/>
      <c r="AP902" s="802"/>
      <c r="AQ902" s="802"/>
      <c r="AR902" s="802"/>
      <c r="AS902" s="802"/>
      <c r="AT902" s="802"/>
      <c r="AU902" s="802"/>
      <c r="AV902" s="802"/>
      <c r="AW902" s="802"/>
      <c r="AX902" s="802"/>
      <c r="AY902" s="802"/>
    </row>
    <row r="903" ht="21.75" customHeight="1">
      <c r="A903" s="802"/>
      <c r="B903" s="802"/>
      <c r="C903" s="802"/>
      <c r="D903" s="802"/>
      <c r="E903" s="802"/>
      <c r="F903" s="802"/>
      <c r="G903" s="802"/>
      <c r="H903" s="802"/>
      <c r="I903" s="802"/>
      <c r="J903" s="802"/>
      <c r="K903" s="802"/>
      <c r="L903" s="802"/>
      <c r="M903" s="802"/>
      <c r="N903" s="802"/>
      <c r="O903" s="802"/>
      <c r="P903" s="802"/>
      <c r="Q903" s="802"/>
      <c r="R903" s="802"/>
      <c r="S903" s="802"/>
      <c r="T903" s="802"/>
      <c r="U903" s="802"/>
      <c r="V903" s="802"/>
      <c r="W903" s="802"/>
      <c r="X903" s="802"/>
      <c r="Y903" s="802"/>
      <c r="Z903" s="802"/>
      <c r="AA903" s="802"/>
      <c r="AB903" s="802"/>
      <c r="AC903" s="802"/>
      <c r="AD903" s="802"/>
      <c r="AE903" s="802"/>
      <c r="AF903" s="802"/>
      <c r="AG903" s="802"/>
      <c r="AH903" s="802"/>
      <c r="AI903" s="802"/>
      <c r="AJ903" s="802"/>
      <c r="AK903" s="802"/>
      <c r="AL903" s="802"/>
      <c r="AM903" s="802"/>
      <c r="AN903" s="802"/>
      <c r="AO903" s="802"/>
      <c r="AP903" s="802"/>
      <c r="AQ903" s="802"/>
      <c r="AR903" s="802"/>
      <c r="AS903" s="802"/>
      <c r="AT903" s="802"/>
      <c r="AU903" s="802"/>
      <c r="AV903" s="802"/>
      <c r="AW903" s="802"/>
      <c r="AX903" s="802"/>
      <c r="AY903" s="802"/>
    </row>
    <row r="904" ht="21.75" customHeight="1">
      <c r="A904" s="802"/>
      <c r="B904" s="802"/>
      <c r="C904" s="802"/>
      <c r="D904" s="802"/>
      <c r="E904" s="802"/>
      <c r="F904" s="802"/>
      <c r="G904" s="802"/>
      <c r="H904" s="802"/>
      <c r="I904" s="802"/>
      <c r="J904" s="802"/>
      <c r="K904" s="802"/>
      <c r="L904" s="802"/>
      <c r="M904" s="802"/>
      <c r="N904" s="802"/>
      <c r="O904" s="802"/>
      <c r="P904" s="802"/>
      <c r="Q904" s="802"/>
      <c r="R904" s="802"/>
      <c r="S904" s="802"/>
      <c r="T904" s="802"/>
      <c r="U904" s="802"/>
      <c r="V904" s="802"/>
      <c r="W904" s="802"/>
      <c r="X904" s="802"/>
      <c r="Y904" s="802"/>
      <c r="Z904" s="802"/>
      <c r="AA904" s="802"/>
      <c r="AB904" s="802"/>
      <c r="AC904" s="802"/>
      <c r="AD904" s="802"/>
      <c r="AE904" s="802"/>
      <c r="AF904" s="802"/>
      <c r="AG904" s="802"/>
      <c r="AH904" s="802"/>
      <c r="AI904" s="802"/>
      <c r="AJ904" s="802"/>
      <c r="AK904" s="802"/>
      <c r="AL904" s="802"/>
      <c r="AM904" s="802"/>
      <c r="AN904" s="802"/>
      <c r="AO904" s="802"/>
      <c r="AP904" s="802"/>
      <c r="AQ904" s="802"/>
      <c r="AR904" s="802"/>
      <c r="AS904" s="802"/>
      <c r="AT904" s="802"/>
      <c r="AU904" s="802"/>
      <c r="AV904" s="802"/>
      <c r="AW904" s="802"/>
      <c r="AX904" s="802"/>
      <c r="AY904" s="802"/>
    </row>
    <row r="905" ht="21.75" customHeight="1">
      <c r="A905" s="802"/>
      <c r="B905" s="802"/>
      <c r="C905" s="802"/>
      <c r="D905" s="802"/>
      <c r="E905" s="802"/>
      <c r="F905" s="802"/>
      <c r="G905" s="802"/>
      <c r="H905" s="802"/>
      <c r="I905" s="802"/>
      <c r="J905" s="802"/>
      <c r="K905" s="802"/>
      <c r="L905" s="802"/>
      <c r="M905" s="802"/>
      <c r="N905" s="802"/>
      <c r="O905" s="802"/>
      <c r="P905" s="802"/>
      <c r="Q905" s="802"/>
      <c r="R905" s="802"/>
      <c r="S905" s="802"/>
      <c r="T905" s="802"/>
      <c r="U905" s="802"/>
      <c r="V905" s="802"/>
      <c r="W905" s="802"/>
      <c r="X905" s="802"/>
      <c r="Y905" s="802"/>
      <c r="Z905" s="802"/>
      <c r="AA905" s="802"/>
      <c r="AB905" s="802"/>
      <c r="AC905" s="802"/>
      <c r="AD905" s="802"/>
      <c r="AE905" s="802"/>
      <c r="AF905" s="802"/>
      <c r="AG905" s="802"/>
      <c r="AH905" s="802"/>
      <c r="AI905" s="802"/>
      <c r="AJ905" s="802"/>
      <c r="AK905" s="802"/>
      <c r="AL905" s="802"/>
      <c r="AM905" s="802"/>
      <c r="AN905" s="802"/>
      <c r="AO905" s="802"/>
      <c r="AP905" s="802"/>
      <c r="AQ905" s="802"/>
      <c r="AR905" s="802"/>
      <c r="AS905" s="802"/>
      <c r="AT905" s="802"/>
      <c r="AU905" s="802"/>
      <c r="AV905" s="802"/>
      <c r="AW905" s="802"/>
      <c r="AX905" s="802"/>
      <c r="AY905" s="802"/>
    </row>
    <row r="906" ht="21.75" customHeight="1">
      <c r="A906" s="802"/>
      <c r="B906" s="802"/>
      <c r="C906" s="802"/>
      <c r="D906" s="802"/>
      <c r="E906" s="802"/>
      <c r="F906" s="802"/>
      <c r="G906" s="802"/>
      <c r="H906" s="802"/>
      <c r="I906" s="802"/>
      <c r="J906" s="802"/>
      <c r="K906" s="802"/>
      <c r="L906" s="802"/>
      <c r="M906" s="802"/>
      <c r="N906" s="802"/>
      <c r="O906" s="802"/>
      <c r="P906" s="802"/>
      <c r="Q906" s="802"/>
      <c r="R906" s="802"/>
      <c r="S906" s="802"/>
      <c r="T906" s="802"/>
      <c r="U906" s="802"/>
      <c r="V906" s="802"/>
      <c r="W906" s="802"/>
      <c r="X906" s="802"/>
      <c r="Y906" s="802"/>
      <c r="Z906" s="802"/>
      <c r="AA906" s="802"/>
      <c r="AB906" s="802"/>
      <c r="AC906" s="802"/>
      <c r="AD906" s="802"/>
      <c r="AE906" s="802"/>
      <c r="AF906" s="802"/>
      <c r="AG906" s="802"/>
      <c r="AH906" s="802"/>
      <c r="AI906" s="802"/>
      <c r="AJ906" s="802"/>
      <c r="AK906" s="802"/>
      <c r="AL906" s="802"/>
      <c r="AM906" s="802"/>
      <c r="AN906" s="802"/>
      <c r="AO906" s="802"/>
      <c r="AP906" s="802"/>
      <c r="AQ906" s="802"/>
      <c r="AR906" s="802"/>
      <c r="AS906" s="802"/>
      <c r="AT906" s="802"/>
      <c r="AU906" s="802"/>
      <c r="AV906" s="802"/>
      <c r="AW906" s="802"/>
      <c r="AX906" s="802"/>
      <c r="AY906" s="802"/>
    </row>
    <row r="907" ht="21.75" customHeight="1">
      <c r="A907" s="802"/>
      <c r="B907" s="802"/>
      <c r="C907" s="802"/>
      <c r="D907" s="802"/>
      <c r="E907" s="802"/>
      <c r="F907" s="802"/>
      <c r="G907" s="802"/>
      <c r="H907" s="802"/>
      <c r="I907" s="802"/>
      <c r="J907" s="802"/>
      <c r="K907" s="802"/>
      <c r="L907" s="802"/>
      <c r="M907" s="802"/>
      <c r="N907" s="802"/>
      <c r="O907" s="802"/>
      <c r="P907" s="802"/>
      <c r="Q907" s="802"/>
      <c r="R907" s="802"/>
      <c r="S907" s="802"/>
      <c r="T907" s="802"/>
      <c r="U907" s="802"/>
      <c r="V907" s="802"/>
      <c r="W907" s="802"/>
      <c r="X907" s="802"/>
      <c r="Y907" s="802"/>
      <c r="Z907" s="802"/>
      <c r="AA907" s="802"/>
      <c r="AB907" s="802"/>
      <c r="AC907" s="802"/>
      <c r="AD907" s="802"/>
      <c r="AE907" s="802"/>
      <c r="AF907" s="802"/>
      <c r="AG907" s="802"/>
      <c r="AH907" s="802"/>
      <c r="AI907" s="802"/>
      <c r="AJ907" s="802"/>
      <c r="AK907" s="802"/>
      <c r="AL907" s="802"/>
      <c r="AM907" s="802"/>
      <c r="AN907" s="802"/>
      <c r="AO907" s="802"/>
      <c r="AP907" s="802"/>
      <c r="AQ907" s="802"/>
      <c r="AR907" s="802"/>
      <c r="AS907" s="802"/>
      <c r="AT907" s="802"/>
      <c r="AU907" s="802"/>
      <c r="AV907" s="802"/>
      <c r="AW907" s="802"/>
      <c r="AX907" s="802"/>
      <c r="AY907" s="802"/>
    </row>
    <row r="908" ht="21.75" customHeight="1">
      <c r="A908" s="802"/>
      <c r="B908" s="802"/>
      <c r="C908" s="802"/>
      <c r="D908" s="802"/>
      <c r="E908" s="802"/>
      <c r="F908" s="802"/>
      <c r="G908" s="802"/>
      <c r="H908" s="802"/>
      <c r="I908" s="802"/>
      <c r="J908" s="802"/>
      <c r="K908" s="802"/>
      <c r="L908" s="802"/>
      <c r="M908" s="802"/>
      <c r="N908" s="802"/>
      <c r="O908" s="802"/>
      <c r="P908" s="802"/>
      <c r="Q908" s="802"/>
      <c r="R908" s="802"/>
      <c r="S908" s="802"/>
      <c r="T908" s="802"/>
      <c r="U908" s="802"/>
      <c r="V908" s="802"/>
      <c r="W908" s="802"/>
      <c r="X908" s="802"/>
      <c r="Y908" s="802"/>
      <c r="Z908" s="802"/>
      <c r="AA908" s="802"/>
      <c r="AB908" s="802"/>
      <c r="AC908" s="802"/>
      <c r="AD908" s="802"/>
      <c r="AE908" s="802"/>
      <c r="AF908" s="802"/>
      <c r="AG908" s="802"/>
      <c r="AH908" s="802"/>
      <c r="AI908" s="802"/>
      <c r="AJ908" s="802"/>
      <c r="AK908" s="802"/>
      <c r="AL908" s="802"/>
      <c r="AM908" s="802"/>
      <c r="AN908" s="802"/>
      <c r="AO908" s="802"/>
      <c r="AP908" s="802"/>
      <c r="AQ908" s="802"/>
      <c r="AR908" s="802"/>
      <c r="AS908" s="802"/>
      <c r="AT908" s="802"/>
      <c r="AU908" s="802"/>
      <c r="AV908" s="802"/>
      <c r="AW908" s="802"/>
      <c r="AX908" s="802"/>
      <c r="AY908" s="802"/>
    </row>
    <row r="909" ht="21.75" customHeight="1">
      <c r="A909" s="802"/>
      <c r="B909" s="802"/>
      <c r="C909" s="802"/>
      <c r="D909" s="802"/>
      <c r="E909" s="802"/>
      <c r="F909" s="802"/>
      <c r="G909" s="802"/>
      <c r="H909" s="802"/>
      <c r="I909" s="802"/>
      <c r="J909" s="802"/>
      <c r="K909" s="802"/>
      <c r="L909" s="802"/>
      <c r="M909" s="802"/>
      <c r="N909" s="802"/>
      <c r="O909" s="802"/>
      <c r="P909" s="802"/>
      <c r="Q909" s="802"/>
      <c r="R909" s="802"/>
      <c r="S909" s="802"/>
      <c r="T909" s="802"/>
      <c r="U909" s="802"/>
      <c r="V909" s="802"/>
      <c r="W909" s="802"/>
      <c r="X909" s="802"/>
      <c r="Y909" s="802"/>
      <c r="Z909" s="802"/>
      <c r="AA909" s="802"/>
      <c r="AB909" s="802"/>
      <c r="AC909" s="802"/>
      <c r="AD909" s="802"/>
      <c r="AE909" s="802"/>
      <c r="AF909" s="802"/>
      <c r="AG909" s="802"/>
      <c r="AH909" s="802"/>
      <c r="AI909" s="802"/>
      <c r="AJ909" s="802"/>
      <c r="AK909" s="802"/>
      <c r="AL909" s="802"/>
      <c r="AM909" s="802"/>
      <c r="AN909" s="802"/>
      <c r="AO909" s="802"/>
      <c r="AP909" s="802"/>
      <c r="AQ909" s="802"/>
      <c r="AR909" s="802"/>
      <c r="AS909" s="802"/>
      <c r="AT909" s="802"/>
      <c r="AU909" s="802"/>
      <c r="AV909" s="802"/>
      <c r="AW909" s="802"/>
      <c r="AX909" s="802"/>
      <c r="AY909" s="802"/>
    </row>
    <row r="910" ht="21.75" customHeight="1">
      <c r="A910" s="802"/>
      <c r="B910" s="802"/>
      <c r="C910" s="802"/>
      <c r="D910" s="802"/>
      <c r="E910" s="802"/>
      <c r="F910" s="802"/>
      <c r="G910" s="802"/>
      <c r="H910" s="802"/>
      <c r="I910" s="802"/>
      <c r="J910" s="802"/>
      <c r="K910" s="802"/>
      <c r="L910" s="802"/>
      <c r="M910" s="802"/>
      <c r="N910" s="802"/>
      <c r="O910" s="802"/>
      <c r="P910" s="802"/>
      <c r="Q910" s="802"/>
      <c r="R910" s="802"/>
      <c r="S910" s="802"/>
      <c r="T910" s="802"/>
      <c r="U910" s="802"/>
      <c r="V910" s="802"/>
      <c r="W910" s="802"/>
      <c r="X910" s="802"/>
      <c r="Y910" s="802"/>
      <c r="Z910" s="802"/>
      <c r="AA910" s="802"/>
      <c r="AB910" s="802"/>
      <c r="AC910" s="802"/>
      <c r="AD910" s="802"/>
      <c r="AE910" s="802"/>
      <c r="AF910" s="802"/>
      <c r="AG910" s="802"/>
      <c r="AH910" s="802"/>
      <c r="AI910" s="802"/>
      <c r="AJ910" s="802"/>
      <c r="AK910" s="802"/>
      <c r="AL910" s="802"/>
      <c r="AM910" s="802"/>
      <c r="AN910" s="802"/>
      <c r="AO910" s="802"/>
      <c r="AP910" s="802"/>
      <c r="AQ910" s="802"/>
      <c r="AR910" s="802"/>
      <c r="AS910" s="802"/>
      <c r="AT910" s="802"/>
      <c r="AU910" s="802"/>
      <c r="AV910" s="802"/>
      <c r="AW910" s="802"/>
      <c r="AX910" s="802"/>
      <c r="AY910" s="802"/>
    </row>
    <row r="911" ht="21.75" customHeight="1">
      <c r="A911" s="802"/>
      <c r="B911" s="802"/>
      <c r="C911" s="802"/>
      <c r="D911" s="802"/>
      <c r="E911" s="802"/>
      <c r="F911" s="802"/>
      <c r="G911" s="802"/>
      <c r="H911" s="802"/>
      <c r="I911" s="802"/>
      <c r="J911" s="802"/>
      <c r="K911" s="802"/>
      <c r="L911" s="802"/>
      <c r="M911" s="802"/>
      <c r="N911" s="802"/>
      <c r="O911" s="802"/>
      <c r="P911" s="802"/>
      <c r="Q911" s="802"/>
      <c r="R911" s="802"/>
      <c r="S911" s="802"/>
      <c r="T911" s="802"/>
      <c r="U911" s="802"/>
      <c r="V911" s="802"/>
      <c r="W911" s="802"/>
      <c r="X911" s="802"/>
      <c r="Y911" s="802"/>
      <c r="Z911" s="802"/>
      <c r="AA911" s="802"/>
      <c r="AB911" s="802"/>
      <c r="AC911" s="802"/>
      <c r="AD911" s="802"/>
      <c r="AE911" s="802"/>
      <c r="AF911" s="802"/>
      <c r="AG911" s="802"/>
      <c r="AH911" s="802"/>
      <c r="AI911" s="802"/>
      <c r="AJ911" s="802"/>
      <c r="AK911" s="802"/>
      <c r="AL911" s="802"/>
      <c r="AM911" s="802"/>
      <c r="AN911" s="802"/>
      <c r="AO911" s="802"/>
      <c r="AP911" s="802"/>
      <c r="AQ911" s="802"/>
      <c r="AR911" s="802"/>
      <c r="AS911" s="802"/>
      <c r="AT911" s="802"/>
      <c r="AU911" s="802"/>
      <c r="AV911" s="802"/>
      <c r="AW911" s="802"/>
      <c r="AX911" s="802"/>
      <c r="AY911" s="802"/>
    </row>
    <row r="912" ht="21.75" customHeight="1">
      <c r="A912" s="802"/>
      <c r="B912" s="802"/>
      <c r="C912" s="802"/>
      <c r="D912" s="802"/>
      <c r="E912" s="802"/>
      <c r="F912" s="802"/>
      <c r="G912" s="802"/>
      <c r="H912" s="802"/>
      <c r="I912" s="802"/>
      <c r="J912" s="802"/>
      <c r="K912" s="802"/>
      <c r="L912" s="802"/>
      <c r="M912" s="802"/>
      <c r="N912" s="802"/>
      <c r="O912" s="802"/>
      <c r="P912" s="802"/>
      <c r="Q912" s="802"/>
      <c r="R912" s="802"/>
      <c r="S912" s="802"/>
      <c r="T912" s="802"/>
      <c r="U912" s="802"/>
      <c r="V912" s="802"/>
      <c r="W912" s="802"/>
      <c r="X912" s="802"/>
      <c r="Y912" s="802"/>
      <c r="Z912" s="802"/>
      <c r="AA912" s="802"/>
      <c r="AB912" s="802"/>
      <c r="AC912" s="802"/>
      <c r="AD912" s="802"/>
      <c r="AE912" s="802"/>
      <c r="AF912" s="802"/>
      <c r="AG912" s="802"/>
      <c r="AH912" s="802"/>
      <c r="AI912" s="802"/>
      <c r="AJ912" s="802"/>
      <c r="AK912" s="802"/>
      <c r="AL912" s="802"/>
      <c r="AM912" s="802"/>
      <c r="AN912" s="802"/>
      <c r="AO912" s="802"/>
      <c r="AP912" s="802"/>
      <c r="AQ912" s="802"/>
      <c r="AR912" s="802"/>
      <c r="AS912" s="802"/>
      <c r="AT912" s="802"/>
      <c r="AU912" s="802"/>
      <c r="AV912" s="802"/>
      <c r="AW912" s="802"/>
      <c r="AX912" s="802"/>
      <c r="AY912" s="802"/>
    </row>
    <row r="913" ht="21.75" customHeight="1">
      <c r="A913" s="802"/>
      <c r="B913" s="802"/>
      <c r="C913" s="802"/>
      <c r="D913" s="802"/>
      <c r="E913" s="802"/>
      <c r="F913" s="802"/>
      <c r="G913" s="802"/>
      <c r="H913" s="802"/>
      <c r="I913" s="802"/>
      <c r="J913" s="802"/>
      <c r="K913" s="802"/>
      <c r="L913" s="802"/>
      <c r="M913" s="802"/>
      <c r="N913" s="802"/>
      <c r="O913" s="802"/>
      <c r="P913" s="802"/>
      <c r="Q913" s="802"/>
      <c r="R913" s="802"/>
      <c r="S913" s="802"/>
      <c r="T913" s="802"/>
      <c r="U913" s="802"/>
      <c r="V913" s="802"/>
      <c r="W913" s="802"/>
      <c r="X913" s="802"/>
      <c r="Y913" s="802"/>
      <c r="Z913" s="802"/>
      <c r="AA913" s="802"/>
      <c r="AB913" s="802"/>
      <c r="AC913" s="802"/>
      <c r="AD913" s="802"/>
      <c r="AE913" s="802"/>
      <c r="AF913" s="802"/>
      <c r="AG913" s="802"/>
      <c r="AH913" s="802"/>
      <c r="AI913" s="802"/>
      <c r="AJ913" s="802"/>
      <c r="AK913" s="802"/>
      <c r="AL913" s="802"/>
      <c r="AM913" s="802"/>
      <c r="AN913" s="802"/>
      <c r="AO913" s="802"/>
      <c r="AP913" s="802"/>
      <c r="AQ913" s="802"/>
      <c r="AR913" s="802"/>
      <c r="AS913" s="802"/>
      <c r="AT913" s="802"/>
      <c r="AU913" s="802"/>
      <c r="AV913" s="802"/>
      <c r="AW913" s="802"/>
      <c r="AX913" s="802"/>
      <c r="AY913" s="802"/>
    </row>
    <row r="914" ht="21.75" customHeight="1">
      <c r="A914" s="802"/>
      <c r="B914" s="802"/>
      <c r="C914" s="802"/>
      <c r="D914" s="802"/>
      <c r="E914" s="802"/>
      <c r="F914" s="802"/>
      <c r="G914" s="802"/>
      <c r="H914" s="802"/>
      <c r="I914" s="802"/>
      <c r="J914" s="802"/>
      <c r="K914" s="802"/>
      <c r="L914" s="802"/>
      <c r="M914" s="802"/>
      <c r="N914" s="802"/>
      <c r="O914" s="802"/>
      <c r="P914" s="802"/>
      <c r="Q914" s="802"/>
      <c r="R914" s="802"/>
      <c r="S914" s="802"/>
      <c r="T914" s="802"/>
      <c r="U914" s="802"/>
      <c r="V914" s="802"/>
      <c r="W914" s="802"/>
      <c r="X914" s="802"/>
      <c r="Y914" s="802"/>
      <c r="Z914" s="802"/>
      <c r="AA914" s="802"/>
      <c r="AB914" s="802"/>
      <c r="AC914" s="802"/>
      <c r="AD914" s="802"/>
      <c r="AE914" s="802"/>
      <c r="AF914" s="802"/>
      <c r="AG914" s="802"/>
      <c r="AH914" s="802"/>
      <c r="AI914" s="802"/>
      <c r="AJ914" s="802"/>
      <c r="AK914" s="802"/>
      <c r="AL914" s="802"/>
      <c r="AM914" s="802"/>
      <c r="AN914" s="802"/>
      <c r="AO914" s="802"/>
      <c r="AP914" s="802"/>
      <c r="AQ914" s="802"/>
      <c r="AR914" s="802"/>
      <c r="AS914" s="802"/>
      <c r="AT914" s="802"/>
      <c r="AU914" s="802"/>
      <c r="AV914" s="802"/>
      <c r="AW914" s="802"/>
      <c r="AX914" s="802"/>
      <c r="AY914" s="802"/>
    </row>
    <row r="915" ht="21.75" customHeight="1">
      <c r="A915" s="802"/>
      <c r="B915" s="802"/>
      <c r="C915" s="802"/>
      <c r="D915" s="802"/>
      <c r="E915" s="802"/>
      <c r="F915" s="802"/>
      <c r="G915" s="802"/>
      <c r="H915" s="802"/>
      <c r="I915" s="802"/>
      <c r="J915" s="802"/>
      <c r="K915" s="802"/>
      <c r="L915" s="802"/>
      <c r="M915" s="802"/>
      <c r="N915" s="802"/>
      <c r="O915" s="802"/>
      <c r="P915" s="802"/>
      <c r="Q915" s="802"/>
      <c r="R915" s="802"/>
      <c r="S915" s="802"/>
      <c r="T915" s="802"/>
      <c r="U915" s="802"/>
      <c r="V915" s="802"/>
      <c r="W915" s="802"/>
      <c r="X915" s="802"/>
      <c r="Y915" s="802"/>
      <c r="Z915" s="802"/>
      <c r="AA915" s="802"/>
      <c r="AB915" s="802"/>
      <c r="AC915" s="802"/>
      <c r="AD915" s="802"/>
      <c r="AE915" s="802"/>
      <c r="AF915" s="802"/>
      <c r="AG915" s="802"/>
      <c r="AH915" s="802"/>
      <c r="AI915" s="802"/>
      <c r="AJ915" s="802"/>
      <c r="AK915" s="802"/>
      <c r="AL915" s="802"/>
      <c r="AM915" s="802"/>
      <c r="AN915" s="802"/>
      <c r="AO915" s="802"/>
      <c r="AP915" s="802"/>
      <c r="AQ915" s="802"/>
      <c r="AR915" s="802"/>
      <c r="AS915" s="802"/>
      <c r="AT915" s="802"/>
      <c r="AU915" s="802"/>
      <c r="AV915" s="802"/>
      <c r="AW915" s="802"/>
      <c r="AX915" s="802"/>
      <c r="AY915" s="802"/>
    </row>
    <row r="916" ht="21.75" customHeight="1">
      <c r="A916" s="802"/>
      <c r="B916" s="802"/>
      <c r="C916" s="802"/>
      <c r="D916" s="802"/>
      <c r="E916" s="802"/>
      <c r="F916" s="802"/>
      <c r="G916" s="802"/>
      <c r="H916" s="802"/>
      <c r="I916" s="802"/>
      <c r="J916" s="802"/>
      <c r="K916" s="802"/>
      <c r="L916" s="802"/>
      <c r="M916" s="802"/>
      <c r="N916" s="802"/>
      <c r="O916" s="802"/>
      <c r="P916" s="802"/>
      <c r="Q916" s="802"/>
      <c r="R916" s="802"/>
      <c r="S916" s="802"/>
      <c r="T916" s="802"/>
      <c r="U916" s="802"/>
      <c r="V916" s="802"/>
      <c r="W916" s="802"/>
      <c r="X916" s="802"/>
      <c r="Y916" s="802"/>
      <c r="Z916" s="802"/>
      <c r="AA916" s="802"/>
      <c r="AB916" s="802"/>
      <c r="AC916" s="802"/>
      <c r="AD916" s="802"/>
      <c r="AE916" s="802"/>
      <c r="AF916" s="802"/>
      <c r="AG916" s="802"/>
      <c r="AH916" s="802"/>
      <c r="AI916" s="802"/>
      <c r="AJ916" s="802"/>
      <c r="AK916" s="802"/>
      <c r="AL916" s="802"/>
      <c r="AM916" s="802"/>
      <c r="AN916" s="802"/>
      <c r="AO916" s="802"/>
      <c r="AP916" s="802"/>
      <c r="AQ916" s="802"/>
      <c r="AR916" s="802"/>
      <c r="AS916" s="802"/>
      <c r="AT916" s="802"/>
      <c r="AU916" s="802"/>
      <c r="AV916" s="802"/>
      <c r="AW916" s="802"/>
      <c r="AX916" s="802"/>
      <c r="AY916" s="802"/>
    </row>
    <row r="917" ht="21.75" customHeight="1">
      <c r="A917" s="802"/>
      <c r="B917" s="802"/>
      <c r="C917" s="802"/>
      <c r="D917" s="802"/>
      <c r="E917" s="802"/>
      <c r="F917" s="802"/>
      <c r="G917" s="802"/>
      <c r="H917" s="802"/>
      <c r="I917" s="802"/>
      <c r="J917" s="802"/>
      <c r="K917" s="802"/>
      <c r="L917" s="802"/>
      <c r="M917" s="802"/>
      <c r="N917" s="802"/>
      <c r="O917" s="802"/>
      <c r="P917" s="802"/>
      <c r="Q917" s="802"/>
      <c r="R917" s="802"/>
      <c r="S917" s="802"/>
      <c r="T917" s="802"/>
      <c r="U917" s="802"/>
      <c r="V917" s="802"/>
      <c r="W917" s="802"/>
      <c r="X917" s="802"/>
      <c r="Y917" s="802"/>
      <c r="Z917" s="802"/>
      <c r="AA917" s="802"/>
      <c r="AB917" s="802"/>
      <c r="AC917" s="802"/>
      <c r="AD917" s="802"/>
      <c r="AE917" s="802"/>
      <c r="AF917" s="802"/>
      <c r="AG917" s="802"/>
      <c r="AH917" s="802"/>
      <c r="AI917" s="802"/>
      <c r="AJ917" s="802"/>
      <c r="AK917" s="802"/>
      <c r="AL917" s="802"/>
      <c r="AM917" s="802"/>
      <c r="AN917" s="802"/>
      <c r="AO917" s="802"/>
      <c r="AP917" s="802"/>
      <c r="AQ917" s="802"/>
      <c r="AR917" s="802"/>
      <c r="AS917" s="802"/>
      <c r="AT917" s="802"/>
      <c r="AU917" s="802"/>
      <c r="AV917" s="802"/>
      <c r="AW917" s="802"/>
      <c r="AX917" s="802"/>
      <c r="AY917" s="802"/>
    </row>
    <row r="918" ht="21.75" customHeight="1">
      <c r="A918" s="802"/>
      <c r="B918" s="802"/>
      <c r="C918" s="802"/>
      <c r="D918" s="802"/>
      <c r="E918" s="802"/>
      <c r="F918" s="802"/>
      <c r="G918" s="802"/>
      <c r="H918" s="802"/>
      <c r="I918" s="802"/>
      <c r="J918" s="802"/>
      <c r="K918" s="802"/>
      <c r="L918" s="802"/>
      <c r="M918" s="802"/>
      <c r="N918" s="802"/>
      <c r="O918" s="802"/>
      <c r="P918" s="802"/>
      <c r="Q918" s="802"/>
      <c r="R918" s="802"/>
      <c r="S918" s="802"/>
      <c r="T918" s="802"/>
      <c r="U918" s="802"/>
      <c r="V918" s="802"/>
      <c r="W918" s="802"/>
      <c r="X918" s="802"/>
      <c r="Y918" s="802"/>
      <c r="Z918" s="802"/>
      <c r="AA918" s="802"/>
      <c r="AB918" s="802"/>
      <c r="AC918" s="802"/>
      <c r="AD918" s="802"/>
      <c r="AE918" s="802"/>
      <c r="AF918" s="802"/>
      <c r="AG918" s="802"/>
      <c r="AH918" s="802"/>
      <c r="AI918" s="802"/>
      <c r="AJ918" s="802"/>
      <c r="AK918" s="802"/>
      <c r="AL918" s="802"/>
      <c r="AM918" s="802"/>
      <c r="AN918" s="802"/>
      <c r="AO918" s="802"/>
      <c r="AP918" s="802"/>
      <c r="AQ918" s="802"/>
      <c r="AR918" s="802"/>
      <c r="AS918" s="802"/>
      <c r="AT918" s="802"/>
      <c r="AU918" s="802"/>
      <c r="AV918" s="802"/>
      <c r="AW918" s="802"/>
      <c r="AX918" s="802"/>
      <c r="AY918" s="802"/>
    </row>
    <row r="919" ht="21.75" customHeight="1">
      <c r="A919" s="802"/>
      <c r="B919" s="802"/>
      <c r="C919" s="802"/>
      <c r="D919" s="802"/>
      <c r="E919" s="802"/>
      <c r="F919" s="802"/>
      <c r="G919" s="802"/>
      <c r="H919" s="802"/>
      <c r="I919" s="802"/>
      <c r="J919" s="802"/>
      <c r="K919" s="802"/>
      <c r="L919" s="802"/>
      <c r="M919" s="802"/>
      <c r="N919" s="802"/>
      <c r="O919" s="802"/>
      <c r="P919" s="802"/>
      <c r="Q919" s="802"/>
      <c r="R919" s="802"/>
      <c r="S919" s="802"/>
      <c r="T919" s="802"/>
      <c r="U919" s="802"/>
      <c r="V919" s="802"/>
      <c r="W919" s="802"/>
      <c r="X919" s="802"/>
      <c r="Y919" s="802"/>
      <c r="Z919" s="802"/>
      <c r="AA919" s="802"/>
      <c r="AB919" s="802"/>
      <c r="AC919" s="802"/>
      <c r="AD919" s="802"/>
      <c r="AE919" s="802"/>
      <c r="AF919" s="802"/>
      <c r="AG919" s="802"/>
      <c r="AH919" s="802"/>
      <c r="AI919" s="802"/>
      <c r="AJ919" s="802"/>
      <c r="AK919" s="802"/>
      <c r="AL919" s="802"/>
      <c r="AM919" s="802"/>
      <c r="AN919" s="802"/>
      <c r="AO919" s="802"/>
      <c r="AP919" s="802"/>
      <c r="AQ919" s="802"/>
      <c r="AR919" s="802"/>
      <c r="AS919" s="802"/>
      <c r="AT919" s="802"/>
      <c r="AU919" s="802"/>
      <c r="AV919" s="802"/>
      <c r="AW919" s="802"/>
      <c r="AX919" s="802"/>
      <c r="AY919" s="802"/>
    </row>
    <row r="920" ht="21.75" customHeight="1">
      <c r="A920" s="802"/>
      <c r="B920" s="802"/>
      <c r="C920" s="802"/>
      <c r="D920" s="802"/>
      <c r="E920" s="802"/>
      <c r="F920" s="802"/>
      <c r="G920" s="802"/>
      <c r="H920" s="802"/>
      <c r="I920" s="802"/>
      <c r="J920" s="802"/>
      <c r="K920" s="802"/>
      <c r="L920" s="802"/>
      <c r="M920" s="802"/>
      <c r="N920" s="802"/>
      <c r="O920" s="802"/>
      <c r="P920" s="802"/>
      <c r="Q920" s="802"/>
      <c r="R920" s="802"/>
      <c r="S920" s="802"/>
      <c r="T920" s="802"/>
      <c r="U920" s="802"/>
      <c r="V920" s="802"/>
      <c r="W920" s="802"/>
      <c r="X920" s="802"/>
      <c r="Y920" s="802"/>
      <c r="Z920" s="802"/>
      <c r="AA920" s="802"/>
      <c r="AB920" s="802"/>
      <c r="AC920" s="802"/>
      <c r="AD920" s="802"/>
      <c r="AE920" s="802"/>
      <c r="AF920" s="802"/>
      <c r="AG920" s="802"/>
      <c r="AH920" s="802"/>
      <c r="AI920" s="802"/>
      <c r="AJ920" s="802"/>
      <c r="AK920" s="802"/>
      <c r="AL920" s="802"/>
      <c r="AM920" s="802"/>
      <c r="AN920" s="802"/>
      <c r="AO920" s="802"/>
      <c r="AP920" s="802"/>
      <c r="AQ920" s="802"/>
      <c r="AR920" s="802"/>
      <c r="AS920" s="802"/>
      <c r="AT920" s="802"/>
      <c r="AU920" s="802"/>
      <c r="AV920" s="802"/>
      <c r="AW920" s="802"/>
      <c r="AX920" s="802"/>
      <c r="AY920" s="802"/>
    </row>
    <row r="921" ht="21.75" customHeight="1">
      <c r="A921" s="802"/>
      <c r="B921" s="802"/>
      <c r="C921" s="802"/>
      <c r="D921" s="802"/>
      <c r="E921" s="802"/>
      <c r="F921" s="802"/>
      <c r="G921" s="802"/>
      <c r="H921" s="802"/>
      <c r="I921" s="802"/>
      <c r="J921" s="802"/>
      <c r="K921" s="802"/>
      <c r="L921" s="802"/>
      <c r="M921" s="802"/>
      <c r="N921" s="802"/>
      <c r="O921" s="802"/>
      <c r="P921" s="802"/>
      <c r="Q921" s="802"/>
      <c r="R921" s="802"/>
      <c r="S921" s="802"/>
      <c r="T921" s="802"/>
      <c r="U921" s="802"/>
      <c r="V921" s="802"/>
      <c r="W921" s="802"/>
      <c r="X921" s="802"/>
      <c r="Y921" s="802"/>
      <c r="Z921" s="802"/>
      <c r="AA921" s="802"/>
      <c r="AB921" s="802"/>
      <c r="AC921" s="802"/>
      <c r="AD921" s="802"/>
      <c r="AE921" s="802"/>
      <c r="AF921" s="802"/>
      <c r="AG921" s="802"/>
      <c r="AH921" s="802"/>
      <c r="AI921" s="802"/>
      <c r="AJ921" s="802"/>
      <c r="AK921" s="802"/>
      <c r="AL921" s="802"/>
      <c r="AM921" s="802"/>
      <c r="AN921" s="802"/>
      <c r="AO921" s="802"/>
      <c r="AP921" s="802"/>
      <c r="AQ921" s="802"/>
      <c r="AR921" s="802"/>
      <c r="AS921" s="802"/>
      <c r="AT921" s="802"/>
      <c r="AU921" s="802"/>
      <c r="AV921" s="802"/>
      <c r="AW921" s="802"/>
      <c r="AX921" s="802"/>
      <c r="AY921" s="802"/>
    </row>
    <row r="922" ht="21.75" customHeight="1">
      <c r="A922" s="802"/>
      <c r="B922" s="802"/>
      <c r="C922" s="802"/>
      <c r="D922" s="802"/>
      <c r="E922" s="802"/>
      <c r="F922" s="802"/>
      <c r="G922" s="802"/>
      <c r="H922" s="802"/>
      <c r="I922" s="802"/>
      <c r="J922" s="802"/>
      <c r="K922" s="802"/>
      <c r="L922" s="802"/>
      <c r="M922" s="802"/>
      <c r="N922" s="802"/>
      <c r="O922" s="802"/>
      <c r="P922" s="802"/>
      <c r="Q922" s="802"/>
      <c r="R922" s="802"/>
      <c r="S922" s="802"/>
      <c r="T922" s="802"/>
      <c r="U922" s="802"/>
      <c r="V922" s="802"/>
      <c r="W922" s="802"/>
      <c r="X922" s="802"/>
      <c r="Y922" s="802"/>
      <c r="Z922" s="802"/>
      <c r="AA922" s="802"/>
      <c r="AB922" s="802"/>
      <c r="AC922" s="802"/>
      <c r="AD922" s="802"/>
      <c r="AE922" s="802"/>
      <c r="AF922" s="802"/>
      <c r="AG922" s="802"/>
      <c r="AH922" s="802"/>
      <c r="AI922" s="802"/>
      <c r="AJ922" s="802"/>
      <c r="AK922" s="802"/>
      <c r="AL922" s="802"/>
      <c r="AM922" s="802"/>
      <c r="AN922" s="802"/>
      <c r="AO922" s="802"/>
      <c r="AP922" s="802"/>
      <c r="AQ922" s="802"/>
      <c r="AR922" s="802"/>
      <c r="AS922" s="802"/>
      <c r="AT922" s="802"/>
      <c r="AU922" s="802"/>
      <c r="AV922" s="802"/>
      <c r="AW922" s="802"/>
      <c r="AX922" s="802"/>
      <c r="AY922" s="802"/>
    </row>
    <row r="923" ht="21.75" customHeight="1">
      <c r="A923" s="802"/>
      <c r="B923" s="802"/>
      <c r="C923" s="802"/>
      <c r="D923" s="802"/>
      <c r="E923" s="802"/>
      <c r="F923" s="802"/>
      <c r="G923" s="802"/>
      <c r="H923" s="802"/>
      <c r="I923" s="802"/>
      <c r="J923" s="802"/>
      <c r="K923" s="802"/>
      <c r="L923" s="802"/>
      <c r="M923" s="802"/>
      <c r="N923" s="802"/>
      <c r="O923" s="802"/>
      <c r="P923" s="802"/>
      <c r="Q923" s="802"/>
      <c r="R923" s="802"/>
      <c r="S923" s="802"/>
      <c r="T923" s="802"/>
      <c r="U923" s="802"/>
      <c r="V923" s="802"/>
      <c r="W923" s="802"/>
      <c r="X923" s="802"/>
      <c r="Y923" s="802"/>
      <c r="Z923" s="802"/>
      <c r="AA923" s="802"/>
      <c r="AB923" s="802"/>
      <c r="AC923" s="802"/>
      <c r="AD923" s="802"/>
      <c r="AE923" s="802"/>
      <c r="AF923" s="802"/>
      <c r="AG923" s="802"/>
      <c r="AH923" s="802"/>
      <c r="AI923" s="802"/>
      <c r="AJ923" s="802"/>
      <c r="AK923" s="802"/>
      <c r="AL923" s="802"/>
      <c r="AM923" s="802"/>
      <c r="AN923" s="802"/>
      <c r="AO923" s="802"/>
      <c r="AP923" s="802"/>
      <c r="AQ923" s="802"/>
      <c r="AR923" s="802"/>
      <c r="AS923" s="802"/>
      <c r="AT923" s="802"/>
      <c r="AU923" s="802"/>
      <c r="AV923" s="802"/>
      <c r="AW923" s="802"/>
      <c r="AX923" s="802"/>
      <c r="AY923" s="802"/>
    </row>
    <row r="924" ht="21.75" customHeight="1">
      <c r="A924" s="802"/>
      <c r="B924" s="802"/>
      <c r="C924" s="802"/>
      <c r="D924" s="802"/>
      <c r="E924" s="802"/>
      <c r="F924" s="802"/>
      <c r="G924" s="802"/>
      <c r="H924" s="802"/>
      <c r="I924" s="802"/>
      <c r="J924" s="802"/>
      <c r="K924" s="802"/>
      <c r="L924" s="802"/>
      <c r="M924" s="802"/>
      <c r="N924" s="802"/>
      <c r="O924" s="802"/>
      <c r="P924" s="802"/>
      <c r="Q924" s="802"/>
      <c r="R924" s="802"/>
      <c r="S924" s="802"/>
      <c r="T924" s="802"/>
      <c r="U924" s="802"/>
      <c r="V924" s="802"/>
      <c r="W924" s="802"/>
      <c r="X924" s="802"/>
      <c r="Y924" s="802"/>
      <c r="Z924" s="802"/>
      <c r="AA924" s="802"/>
      <c r="AB924" s="802"/>
      <c r="AC924" s="802"/>
      <c r="AD924" s="802"/>
      <c r="AE924" s="802"/>
      <c r="AF924" s="802"/>
      <c r="AG924" s="802"/>
      <c r="AH924" s="802"/>
      <c r="AI924" s="802"/>
      <c r="AJ924" s="802"/>
      <c r="AK924" s="802"/>
      <c r="AL924" s="802"/>
      <c r="AM924" s="802"/>
      <c r="AN924" s="802"/>
      <c r="AO924" s="802"/>
      <c r="AP924" s="802"/>
      <c r="AQ924" s="802"/>
      <c r="AR924" s="802"/>
      <c r="AS924" s="802"/>
      <c r="AT924" s="802"/>
      <c r="AU924" s="802"/>
      <c r="AV924" s="802"/>
      <c r="AW924" s="802"/>
      <c r="AX924" s="802"/>
      <c r="AY924" s="802"/>
    </row>
    <row r="925" ht="21.75" customHeight="1">
      <c r="A925" s="802"/>
      <c r="B925" s="802"/>
      <c r="C925" s="802"/>
      <c r="D925" s="802"/>
      <c r="E925" s="802"/>
      <c r="F925" s="802"/>
      <c r="G925" s="802"/>
      <c r="H925" s="802"/>
      <c r="I925" s="802"/>
      <c r="J925" s="802"/>
      <c r="K925" s="802"/>
      <c r="L925" s="802"/>
      <c r="M925" s="802"/>
      <c r="N925" s="802"/>
      <c r="O925" s="802"/>
      <c r="P925" s="802"/>
      <c r="Q925" s="802"/>
      <c r="R925" s="802"/>
      <c r="S925" s="802"/>
      <c r="T925" s="802"/>
      <c r="U925" s="802"/>
      <c r="V925" s="802"/>
      <c r="W925" s="802"/>
      <c r="X925" s="802"/>
      <c r="Y925" s="802"/>
      <c r="Z925" s="802"/>
      <c r="AA925" s="802"/>
      <c r="AB925" s="802"/>
      <c r="AC925" s="802"/>
      <c r="AD925" s="802"/>
      <c r="AE925" s="802"/>
      <c r="AF925" s="802"/>
      <c r="AG925" s="802"/>
      <c r="AH925" s="802"/>
      <c r="AI925" s="802"/>
      <c r="AJ925" s="802"/>
      <c r="AK925" s="802"/>
      <c r="AL925" s="802"/>
      <c r="AM925" s="802"/>
      <c r="AN925" s="802"/>
      <c r="AO925" s="802"/>
      <c r="AP925" s="802"/>
      <c r="AQ925" s="802"/>
      <c r="AR925" s="802"/>
      <c r="AS925" s="802"/>
      <c r="AT925" s="802"/>
      <c r="AU925" s="802"/>
      <c r="AV925" s="802"/>
      <c r="AW925" s="802"/>
      <c r="AX925" s="802"/>
      <c r="AY925" s="802"/>
    </row>
    <row r="926" ht="21.75" customHeight="1">
      <c r="A926" s="802"/>
      <c r="B926" s="802"/>
      <c r="C926" s="802"/>
      <c r="D926" s="802"/>
      <c r="E926" s="802"/>
      <c r="F926" s="802"/>
      <c r="G926" s="802"/>
      <c r="H926" s="802"/>
      <c r="I926" s="802"/>
      <c r="J926" s="802"/>
      <c r="K926" s="802"/>
      <c r="L926" s="802"/>
      <c r="M926" s="802"/>
      <c r="N926" s="802"/>
      <c r="O926" s="802"/>
      <c r="P926" s="802"/>
      <c r="Q926" s="802"/>
      <c r="R926" s="802"/>
      <c r="S926" s="802"/>
      <c r="T926" s="802"/>
      <c r="U926" s="802"/>
      <c r="V926" s="802"/>
      <c r="W926" s="802"/>
      <c r="X926" s="802"/>
      <c r="Y926" s="802"/>
      <c r="Z926" s="802"/>
      <c r="AA926" s="802"/>
      <c r="AB926" s="802"/>
      <c r="AC926" s="802"/>
      <c r="AD926" s="802"/>
      <c r="AE926" s="802"/>
      <c r="AF926" s="802"/>
      <c r="AG926" s="802"/>
      <c r="AH926" s="802"/>
      <c r="AI926" s="802"/>
      <c r="AJ926" s="802"/>
      <c r="AK926" s="802"/>
      <c r="AL926" s="802"/>
      <c r="AM926" s="802"/>
      <c r="AN926" s="802"/>
      <c r="AO926" s="802"/>
      <c r="AP926" s="802"/>
      <c r="AQ926" s="802"/>
      <c r="AR926" s="802"/>
      <c r="AS926" s="802"/>
      <c r="AT926" s="802"/>
      <c r="AU926" s="802"/>
      <c r="AV926" s="802"/>
      <c r="AW926" s="802"/>
      <c r="AX926" s="802"/>
      <c r="AY926" s="802"/>
    </row>
    <row r="927" ht="21.75" customHeight="1">
      <c r="A927" s="802"/>
      <c r="B927" s="802"/>
      <c r="C927" s="802"/>
      <c r="D927" s="802"/>
      <c r="E927" s="802"/>
      <c r="F927" s="802"/>
      <c r="G927" s="802"/>
      <c r="H927" s="802"/>
      <c r="I927" s="802"/>
      <c r="J927" s="802"/>
      <c r="K927" s="802"/>
      <c r="L927" s="802"/>
      <c r="M927" s="802"/>
      <c r="N927" s="802"/>
      <c r="O927" s="802"/>
      <c r="P927" s="802"/>
      <c r="Q927" s="802"/>
      <c r="R927" s="802"/>
      <c r="S927" s="802"/>
      <c r="T927" s="802"/>
      <c r="U927" s="802"/>
      <c r="V927" s="802"/>
      <c r="W927" s="802"/>
      <c r="X927" s="802"/>
      <c r="Y927" s="802"/>
      <c r="Z927" s="802"/>
      <c r="AA927" s="802"/>
      <c r="AB927" s="802"/>
      <c r="AC927" s="802"/>
      <c r="AD927" s="802"/>
      <c r="AE927" s="802"/>
      <c r="AF927" s="802"/>
      <c r="AG927" s="802"/>
      <c r="AH927" s="802"/>
      <c r="AI927" s="802"/>
      <c r="AJ927" s="802"/>
      <c r="AK927" s="802"/>
      <c r="AL927" s="802"/>
      <c r="AM927" s="802"/>
      <c r="AN927" s="802"/>
      <c r="AO927" s="802"/>
      <c r="AP927" s="802"/>
      <c r="AQ927" s="802"/>
      <c r="AR927" s="802"/>
      <c r="AS927" s="802"/>
      <c r="AT927" s="802"/>
      <c r="AU927" s="802"/>
      <c r="AV927" s="802"/>
      <c r="AW927" s="802"/>
      <c r="AX927" s="802"/>
      <c r="AY927" s="802"/>
    </row>
    <row r="928" ht="21.75" customHeight="1">
      <c r="A928" s="802"/>
      <c r="B928" s="802"/>
      <c r="C928" s="802"/>
      <c r="D928" s="802"/>
      <c r="E928" s="802"/>
      <c r="F928" s="802"/>
      <c r="G928" s="802"/>
      <c r="H928" s="802"/>
      <c r="I928" s="802"/>
      <c r="J928" s="802"/>
      <c r="K928" s="802"/>
      <c r="L928" s="802"/>
      <c r="M928" s="802"/>
      <c r="N928" s="802"/>
      <c r="O928" s="802"/>
      <c r="P928" s="802"/>
      <c r="Q928" s="802"/>
      <c r="R928" s="802"/>
      <c r="S928" s="802"/>
      <c r="T928" s="802"/>
      <c r="U928" s="802"/>
      <c r="V928" s="802"/>
      <c r="W928" s="802"/>
      <c r="X928" s="802"/>
      <c r="Y928" s="802"/>
      <c r="Z928" s="802"/>
      <c r="AA928" s="802"/>
      <c r="AB928" s="802"/>
      <c r="AC928" s="802"/>
      <c r="AD928" s="802"/>
      <c r="AE928" s="802"/>
      <c r="AF928" s="802"/>
      <c r="AG928" s="802"/>
      <c r="AH928" s="802"/>
      <c r="AI928" s="802"/>
      <c r="AJ928" s="802"/>
      <c r="AK928" s="802"/>
      <c r="AL928" s="802"/>
      <c r="AM928" s="802"/>
      <c r="AN928" s="802"/>
      <c r="AO928" s="802"/>
      <c r="AP928" s="802"/>
      <c r="AQ928" s="802"/>
      <c r="AR928" s="802"/>
      <c r="AS928" s="802"/>
      <c r="AT928" s="802"/>
      <c r="AU928" s="802"/>
      <c r="AV928" s="802"/>
      <c r="AW928" s="802"/>
      <c r="AX928" s="802"/>
      <c r="AY928" s="802"/>
    </row>
    <row r="929" ht="21.75" customHeight="1">
      <c r="A929" s="802"/>
      <c r="B929" s="802"/>
      <c r="C929" s="802"/>
      <c r="D929" s="802"/>
      <c r="E929" s="802"/>
      <c r="F929" s="802"/>
      <c r="G929" s="802"/>
      <c r="H929" s="802"/>
      <c r="I929" s="802"/>
      <c r="J929" s="802"/>
      <c r="K929" s="802"/>
      <c r="L929" s="802"/>
      <c r="M929" s="802"/>
      <c r="N929" s="802"/>
      <c r="O929" s="802"/>
      <c r="P929" s="802"/>
      <c r="Q929" s="802"/>
      <c r="R929" s="802"/>
      <c r="S929" s="802"/>
      <c r="T929" s="802"/>
      <c r="U929" s="802"/>
      <c r="V929" s="802"/>
      <c r="W929" s="802"/>
      <c r="X929" s="802"/>
      <c r="Y929" s="802"/>
      <c r="Z929" s="802"/>
      <c r="AA929" s="802"/>
      <c r="AB929" s="802"/>
      <c r="AC929" s="802"/>
      <c r="AD929" s="802"/>
      <c r="AE929" s="802"/>
      <c r="AF929" s="802"/>
      <c r="AG929" s="802"/>
      <c r="AH929" s="802"/>
      <c r="AI929" s="802"/>
      <c r="AJ929" s="802"/>
      <c r="AK929" s="802"/>
      <c r="AL929" s="802"/>
      <c r="AM929" s="802"/>
      <c r="AN929" s="802"/>
      <c r="AO929" s="802"/>
      <c r="AP929" s="802"/>
      <c r="AQ929" s="802"/>
      <c r="AR929" s="802"/>
      <c r="AS929" s="802"/>
      <c r="AT929" s="802"/>
      <c r="AU929" s="802"/>
      <c r="AV929" s="802"/>
      <c r="AW929" s="802"/>
      <c r="AX929" s="802"/>
      <c r="AY929" s="802"/>
    </row>
    <row r="930" ht="21.75" customHeight="1">
      <c r="A930" s="802"/>
      <c r="B930" s="802"/>
      <c r="C930" s="802"/>
      <c r="D930" s="802"/>
      <c r="E930" s="802"/>
      <c r="F930" s="802"/>
      <c r="G930" s="802"/>
      <c r="H930" s="802"/>
      <c r="I930" s="802"/>
      <c r="J930" s="802"/>
      <c r="K930" s="802"/>
      <c r="L930" s="802"/>
      <c r="M930" s="802"/>
      <c r="N930" s="802"/>
      <c r="O930" s="802"/>
      <c r="P930" s="802"/>
      <c r="Q930" s="802"/>
      <c r="R930" s="802"/>
      <c r="S930" s="802"/>
      <c r="T930" s="802"/>
      <c r="U930" s="802"/>
      <c r="V930" s="802"/>
      <c r="W930" s="802"/>
      <c r="X930" s="802"/>
      <c r="Y930" s="802"/>
      <c r="Z930" s="802"/>
      <c r="AA930" s="802"/>
      <c r="AB930" s="802"/>
      <c r="AC930" s="802"/>
      <c r="AD930" s="802"/>
      <c r="AE930" s="802"/>
      <c r="AF930" s="802"/>
      <c r="AG930" s="802"/>
      <c r="AH930" s="802"/>
      <c r="AI930" s="802"/>
      <c r="AJ930" s="802"/>
      <c r="AK930" s="802"/>
      <c r="AL930" s="802"/>
      <c r="AM930" s="802"/>
      <c r="AN930" s="802"/>
      <c r="AO930" s="802"/>
      <c r="AP930" s="802"/>
      <c r="AQ930" s="802"/>
      <c r="AR930" s="802"/>
      <c r="AS930" s="802"/>
      <c r="AT930" s="802"/>
      <c r="AU930" s="802"/>
      <c r="AV930" s="802"/>
      <c r="AW930" s="802"/>
      <c r="AX930" s="802"/>
      <c r="AY930" s="802"/>
    </row>
    <row r="931" ht="21.75" customHeight="1">
      <c r="A931" s="802"/>
      <c r="B931" s="802"/>
      <c r="C931" s="802"/>
      <c r="D931" s="802"/>
      <c r="E931" s="802"/>
      <c r="F931" s="802"/>
      <c r="G931" s="802"/>
      <c r="H931" s="802"/>
      <c r="I931" s="802"/>
      <c r="J931" s="802"/>
      <c r="K931" s="802"/>
      <c r="L931" s="802"/>
      <c r="M931" s="802"/>
      <c r="N931" s="802"/>
      <c r="O931" s="802"/>
      <c r="P931" s="802"/>
      <c r="Q931" s="802"/>
      <c r="R931" s="802"/>
      <c r="S931" s="802"/>
      <c r="T931" s="802"/>
      <c r="U931" s="802"/>
      <c r="V931" s="802"/>
      <c r="W931" s="802"/>
      <c r="X931" s="802"/>
      <c r="Y931" s="802"/>
      <c r="Z931" s="802"/>
      <c r="AA931" s="802"/>
      <c r="AB931" s="802"/>
      <c r="AC931" s="802"/>
      <c r="AD931" s="802"/>
      <c r="AE931" s="802"/>
      <c r="AF931" s="802"/>
      <c r="AG931" s="802"/>
      <c r="AH931" s="802"/>
      <c r="AI931" s="802"/>
      <c r="AJ931" s="802"/>
      <c r="AK931" s="802"/>
      <c r="AL931" s="802"/>
      <c r="AM931" s="802"/>
      <c r="AN931" s="802"/>
      <c r="AO931" s="802"/>
      <c r="AP931" s="802"/>
      <c r="AQ931" s="802"/>
      <c r="AR931" s="802"/>
      <c r="AS931" s="802"/>
      <c r="AT931" s="802"/>
      <c r="AU931" s="802"/>
      <c r="AV931" s="802"/>
      <c r="AW931" s="802"/>
      <c r="AX931" s="802"/>
      <c r="AY931" s="802"/>
    </row>
    <row r="932" ht="21.75" customHeight="1">
      <c r="A932" s="802"/>
      <c r="B932" s="802"/>
      <c r="C932" s="802"/>
      <c r="D932" s="802"/>
      <c r="E932" s="802"/>
      <c r="F932" s="802"/>
      <c r="G932" s="802"/>
      <c r="H932" s="802"/>
      <c r="I932" s="802"/>
      <c r="J932" s="802"/>
      <c r="K932" s="802"/>
      <c r="L932" s="802"/>
      <c r="M932" s="802"/>
      <c r="N932" s="802"/>
      <c r="O932" s="802"/>
      <c r="P932" s="802"/>
      <c r="Q932" s="802"/>
      <c r="R932" s="802"/>
      <c r="S932" s="802"/>
      <c r="T932" s="802"/>
      <c r="U932" s="802"/>
      <c r="V932" s="802"/>
      <c r="W932" s="802"/>
      <c r="X932" s="802"/>
      <c r="Y932" s="802"/>
      <c r="Z932" s="802"/>
      <c r="AA932" s="802"/>
      <c r="AB932" s="802"/>
      <c r="AC932" s="802"/>
      <c r="AD932" s="802"/>
      <c r="AE932" s="802"/>
      <c r="AF932" s="802"/>
      <c r="AG932" s="802"/>
      <c r="AH932" s="802"/>
      <c r="AI932" s="802"/>
      <c r="AJ932" s="802"/>
      <c r="AK932" s="802"/>
      <c r="AL932" s="802"/>
      <c r="AM932" s="802"/>
      <c r="AN932" s="802"/>
      <c r="AO932" s="802"/>
      <c r="AP932" s="802"/>
      <c r="AQ932" s="802"/>
      <c r="AR932" s="802"/>
      <c r="AS932" s="802"/>
      <c r="AT932" s="802"/>
      <c r="AU932" s="802"/>
      <c r="AV932" s="802"/>
      <c r="AW932" s="802"/>
      <c r="AX932" s="802"/>
      <c r="AY932" s="802"/>
    </row>
    <row r="933" ht="21.75" customHeight="1">
      <c r="A933" s="802"/>
      <c r="B933" s="802"/>
      <c r="C933" s="802"/>
      <c r="D933" s="802"/>
      <c r="E933" s="802"/>
      <c r="F933" s="802"/>
      <c r="G933" s="802"/>
      <c r="H933" s="802"/>
      <c r="I933" s="802"/>
      <c r="J933" s="802"/>
      <c r="K933" s="802"/>
      <c r="L933" s="802"/>
      <c r="M933" s="802"/>
      <c r="N933" s="802"/>
      <c r="O933" s="802"/>
      <c r="P933" s="802"/>
      <c r="Q933" s="802"/>
      <c r="R933" s="802"/>
      <c r="S933" s="802"/>
      <c r="T933" s="802"/>
      <c r="U933" s="802"/>
      <c r="V933" s="802"/>
      <c r="W933" s="802"/>
      <c r="X933" s="802"/>
      <c r="Y933" s="802"/>
      <c r="Z933" s="802"/>
      <c r="AA933" s="802"/>
      <c r="AB933" s="802"/>
      <c r="AC933" s="802"/>
      <c r="AD933" s="802"/>
      <c r="AE933" s="802"/>
      <c r="AF933" s="802"/>
      <c r="AG933" s="802"/>
      <c r="AH933" s="802"/>
      <c r="AI933" s="802"/>
      <c r="AJ933" s="802"/>
      <c r="AK933" s="802"/>
      <c r="AL933" s="802"/>
      <c r="AM933" s="802"/>
      <c r="AN933" s="802"/>
      <c r="AO933" s="802"/>
      <c r="AP933" s="802"/>
      <c r="AQ933" s="802"/>
      <c r="AR933" s="802"/>
      <c r="AS933" s="802"/>
      <c r="AT933" s="802"/>
      <c r="AU933" s="802"/>
      <c r="AV933" s="802"/>
      <c r="AW933" s="802"/>
      <c r="AX933" s="802"/>
      <c r="AY933" s="802"/>
    </row>
    <row r="934" ht="21.75" customHeight="1">
      <c r="A934" s="802"/>
      <c r="B934" s="802"/>
      <c r="C934" s="802"/>
      <c r="D934" s="802"/>
      <c r="E934" s="802"/>
      <c r="F934" s="802"/>
      <c r="G934" s="802"/>
      <c r="H934" s="802"/>
      <c r="I934" s="802"/>
      <c r="J934" s="802"/>
      <c r="K934" s="802"/>
      <c r="L934" s="802"/>
      <c r="M934" s="802"/>
      <c r="N934" s="802"/>
      <c r="O934" s="802"/>
      <c r="P934" s="802"/>
      <c r="Q934" s="802"/>
      <c r="R934" s="802"/>
      <c r="S934" s="802"/>
      <c r="T934" s="802"/>
      <c r="U934" s="802"/>
      <c r="V934" s="802"/>
      <c r="W934" s="802"/>
      <c r="X934" s="802"/>
      <c r="Y934" s="802"/>
      <c r="Z934" s="802"/>
      <c r="AA934" s="802"/>
      <c r="AB934" s="802"/>
      <c r="AC934" s="802"/>
      <c r="AD934" s="802"/>
      <c r="AE934" s="802"/>
      <c r="AF934" s="802"/>
      <c r="AG934" s="802"/>
      <c r="AH934" s="802"/>
      <c r="AI934" s="802"/>
      <c r="AJ934" s="802"/>
      <c r="AK934" s="802"/>
      <c r="AL934" s="802"/>
      <c r="AM934" s="802"/>
      <c r="AN934" s="802"/>
      <c r="AO934" s="802"/>
      <c r="AP934" s="802"/>
      <c r="AQ934" s="802"/>
      <c r="AR934" s="802"/>
      <c r="AS934" s="802"/>
      <c r="AT934" s="802"/>
      <c r="AU934" s="802"/>
      <c r="AV934" s="802"/>
      <c r="AW934" s="802"/>
      <c r="AX934" s="802"/>
      <c r="AY934" s="802"/>
    </row>
    <row r="935" ht="21.75" customHeight="1">
      <c r="A935" s="802"/>
      <c r="B935" s="802"/>
      <c r="C935" s="802"/>
      <c r="D935" s="802"/>
      <c r="E935" s="802"/>
      <c r="F935" s="802"/>
      <c r="G935" s="802"/>
      <c r="H935" s="802"/>
      <c r="I935" s="802"/>
      <c r="J935" s="802"/>
      <c r="K935" s="802"/>
      <c r="L935" s="802"/>
      <c r="M935" s="802"/>
      <c r="N935" s="802"/>
      <c r="O935" s="802"/>
      <c r="P935" s="802"/>
      <c r="Q935" s="802"/>
      <c r="R935" s="802"/>
      <c r="S935" s="802"/>
      <c r="T935" s="802"/>
      <c r="U935" s="802"/>
      <c r="V935" s="802"/>
      <c r="W935" s="802"/>
      <c r="X935" s="802"/>
      <c r="Y935" s="802"/>
      <c r="Z935" s="802"/>
      <c r="AA935" s="802"/>
      <c r="AB935" s="802"/>
      <c r="AC935" s="802"/>
      <c r="AD935" s="802"/>
      <c r="AE935" s="802"/>
      <c r="AF935" s="802"/>
      <c r="AG935" s="802"/>
      <c r="AH935" s="802"/>
      <c r="AI935" s="802"/>
      <c r="AJ935" s="802"/>
      <c r="AK935" s="802"/>
      <c r="AL935" s="802"/>
      <c r="AM935" s="802"/>
      <c r="AN935" s="802"/>
      <c r="AO935" s="802"/>
      <c r="AP935" s="802"/>
      <c r="AQ935" s="802"/>
      <c r="AR935" s="802"/>
      <c r="AS935" s="802"/>
      <c r="AT935" s="802"/>
      <c r="AU935" s="802"/>
      <c r="AV935" s="802"/>
      <c r="AW935" s="802"/>
      <c r="AX935" s="802"/>
      <c r="AY935" s="802"/>
    </row>
    <row r="936" ht="21.75" customHeight="1">
      <c r="A936" s="802"/>
      <c r="B936" s="802"/>
      <c r="C936" s="802"/>
      <c r="D936" s="802"/>
      <c r="E936" s="802"/>
      <c r="F936" s="802"/>
      <c r="G936" s="802"/>
      <c r="H936" s="802"/>
      <c r="I936" s="802"/>
      <c r="J936" s="802"/>
      <c r="K936" s="802"/>
      <c r="L936" s="802"/>
      <c r="M936" s="802"/>
      <c r="N936" s="802"/>
      <c r="O936" s="802"/>
      <c r="P936" s="802"/>
      <c r="Q936" s="802"/>
      <c r="R936" s="802"/>
      <c r="S936" s="802"/>
      <c r="T936" s="802"/>
      <c r="U936" s="802"/>
      <c r="V936" s="802"/>
      <c r="W936" s="802"/>
      <c r="X936" s="802"/>
      <c r="Y936" s="802"/>
      <c r="Z936" s="802"/>
      <c r="AA936" s="802"/>
      <c r="AB936" s="802"/>
      <c r="AC936" s="802"/>
      <c r="AD936" s="802"/>
      <c r="AE936" s="802"/>
      <c r="AF936" s="802"/>
      <c r="AG936" s="802"/>
      <c r="AH936" s="802"/>
      <c r="AI936" s="802"/>
      <c r="AJ936" s="802"/>
      <c r="AK936" s="802"/>
      <c r="AL936" s="802"/>
      <c r="AM936" s="802"/>
      <c r="AN936" s="802"/>
      <c r="AO936" s="802"/>
      <c r="AP936" s="802"/>
      <c r="AQ936" s="802"/>
      <c r="AR936" s="802"/>
      <c r="AS936" s="802"/>
      <c r="AT936" s="802"/>
      <c r="AU936" s="802"/>
      <c r="AV936" s="802"/>
      <c r="AW936" s="802"/>
      <c r="AX936" s="802"/>
      <c r="AY936" s="802"/>
    </row>
    <row r="937" ht="21.75" customHeight="1">
      <c r="A937" s="802"/>
      <c r="B937" s="802"/>
      <c r="C937" s="802"/>
      <c r="D937" s="802"/>
      <c r="E937" s="802"/>
      <c r="F937" s="802"/>
      <c r="G937" s="802"/>
      <c r="H937" s="802"/>
      <c r="I937" s="802"/>
      <c r="J937" s="802"/>
      <c r="K937" s="802"/>
      <c r="L937" s="802"/>
      <c r="M937" s="802"/>
      <c r="N937" s="802"/>
      <c r="O937" s="802"/>
      <c r="P937" s="802"/>
      <c r="Q937" s="802"/>
      <c r="R937" s="802"/>
      <c r="S937" s="802"/>
      <c r="T937" s="802"/>
      <c r="U937" s="802"/>
      <c r="V937" s="802"/>
      <c r="W937" s="802"/>
      <c r="X937" s="802"/>
      <c r="Y937" s="802"/>
      <c r="Z937" s="802"/>
      <c r="AA937" s="802"/>
      <c r="AB937" s="802"/>
      <c r="AC937" s="802"/>
      <c r="AD937" s="802"/>
      <c r="AE937" s="802"/>
      <c r="AF937" s="802"/>
      <c r="AG937" s="802"/>
      <c r="AH937" s="802"/>
      <c r="AI937" s="802"/>
      <c r="AJ937" s="802"/>
      <c r="AK937" s="802"/>
      <c r="AL937" s="802"/>
      <c r="AM937" s="802"/>
      <c r="AN937" s="802"/>
      <c r="AO937" s="802"/>
      <c r="AP937" s="802"/>
      <c r="AQ937" s="802"/>
      <c r="AR937" s="802"/>
      <c r="AS937" s="802"/>
      <c r="AT937" s="802"/>
      <c r="AU937" s="802"/>
      <c r="AV937" s="802"/>
      <c r="AW937" s="802"/>
      <c r="AX937" s="802"/>
      <c r="AY937" s="802"/>
    </row>
    <row r="938" ht="21.75" customHeight="1">
      <c r="A938" s="802"/>
      <c r="B938" s="802"/>
      <c r="C938" s="802"/>
      <c r="D938" s="802"/>
      <c r="E938" s="802"/>
      <c r="F938" s="802"/>
      <c r="G938" s="802"/>
      <c r="H938" s="802"/>
      <c r="I938" s="802"/>
      <c r="J938" s="802"/>
      <c r="K938" s="802"/>
      <c r="L938" s="802"/>
      <c r="M938" s="802"/>
      <c r="N938" s="802"/>
      <c r="O938" s="802"/>
      <c r="P938" s="802"/>
      <c r="Q938" s="802"/>
      <c r="R938" s="802"/>
      <c r="S938" s="802"/>
      <c r="T938" s="802"/>
      <c r="U938" s="802"/>
      <c r="V938" s="802"/>
      <c r="W938" s="802"/>
      <c r="X938" s="802"/>
      <c r="Y938" s="802"/>
      <c r="Z938" s="802"/>
      <c r="AA938" s="802"/>
      <c r="AB938" s="802"/>
      <c r="AC938" s="802"/>
      <c r="AD938" s="802"/>
      <c r="AE938" s="802"/>
      <c r="AF938" s="802"/>
      <c r="AG938" s="802"/>
      <c r="AH938" s="802"/>
      <c r="AI938" s="802"/>
      <c r="AJ938" s="802"/>
      <c r="AK938" s="802"/>
      <c r="AL938" s="802"/>
      <c r="AM938" s="802"/>
      <c r="AN938" s="802"/>
      <c r="AO938" s="802"/>
      <c r="AP938" s="802"/>
      <c r="AQ938" s="802"/>
      <c r="AR938" s="802"/>
      <c r="AS938" s="802"/>
      <c r="AT938" s="802"/>
      <c r="AU938" s="802"/>
      <c r="AV938" s="802"/>
      <c r="AW938" s="802"/>
      <c r="AX938" s="802"/>
      <c r="AY938" s="802"/>
    </row>
    <row r="939" ht="21.75" customHeight="1">
      <c r="A939" s="802"/>
      <c r="B939" s="802"/>
      <c r="C939" s="802"/>
      <c r="D939" s="802"/>
      <c r="E939" s="802"/>
      <c r="F939" s="802"/>
      <c r="G939" s="802"/>
      <c r="H939" s="802"/>
      <c r="I939" s="802"/>
      <c r="J939" s="802"/>
      <c r="K939" s="802"/>
      <c r="L939" s="802"/>
      <c r="M939" s="802"/>
      <c r="N939" s="802"/>
      <c r="O939" s="802"/>
      <c r="P939" s="802"/>
      <c r="Q939" s="802"/>
      <c r="R939" s="802"/>
      <c r="S939" s="802"/>
      <c r="T939" s="802"/>
      <c r="U939" s="802"/>
      <c r="V939" s="802"/>
      <c r="W939" s="802"/>
      <c r="X939" s="802"/>
      <c r="Y939" s="802"/>
      <c r="Z939" s="802"/>
      <c r="AA939" s="802"/>
      <c r="AB939" s="802"/>
      <c r="AC939" s="802"/>
      <c r="AD939" s="802"/>
      <c r="AE939" s="802"/>
      <c r="AF939" s="802"/>
      <c r="AG939" s="802"/>
      <c r="AH939" s="802"/>
      <c r="AI939" s="802"/>
      <c r="AJ939" s="802"/>
      <c r="AK939" s="802"/>
      <c r="AL939" s="802"/>
      <c r="AM939" s="802"/>
      <c r="AN939" s="802"/>
      <c r="AO939" s="802"/>
      <c r="AP939" s="802"/>
      <c r="AQ939" s="802"/>
      <c r="AR939" s="802"/>
      <c r="AS939" s="802"/>
      <c r="AT939" s="802"/>
      <c r="AU939" s="802"/>
      <c r="AV939" s="802"/>
      <c r="AW939" s="802"/>
      <c r="AX939" s="802"/>
      <c r="AY939" s="802"/>
    </row>
    <row r="940" ht="21.75" customHeight="1">
      <c r="A940" s="802"/>
      <c r="B940" s="802"/>
      <c r="C940" s="802"/>
      <c r="D940" s="802"/>
      <c r="E940" s="802"/>
      <c r="F940" s="802"/>
      <c r="G940" s="802"/>
      <c r="H940" s="802"/>
      <c r="I940" s="802"/>
      <c r="J940" s="802"/>
      <c r="K940" s="802"/>
      <c r="L940" s="802"/>
      <c r="M940" s="802"/>
      <c r="N940" s="802"/>
      <c r="O940" s="802"/>
      <c r="P940" s="802"/>
      <c r="Q940" s="802"/>
      <c r="R940" s="802"/>
      <c r="S940" s="802"/>
      <c r="T940" s="802"/>
      <c r="U940" s="802"/>
      <c r="V940" s="802"/>
      <c r="W940" s="802"/>
      <c r="X940" s="802"/>
      <c r="Y940" s="802"/>
      <c r="Z940" s="802"/>
      <c r="AA940" s="802"/>
      <c r="AB940" s="802"/>
      <c r="AC940" s="802"/>
      <c r="AD940" s="802"/>
      <c r="AE940" s="802"/>
      <c r="AF940" s="802"/>
      <c r="AG940" s="802"/>
      <c r="AH940" s="802"/>
      <c r="AI940" s="802"/>
      <c r="AJ940" s="802"/>
      <c r="AK940" s="802"/>
      <c r="AL940" s="802"/>
      <c r="AM940" s="802"/>
      <c r="AN940" s="802"/>
      <c r="AO940" s="802"/>
      <c r="AP940" s="802"/>
      <c r="AQ940" s="802"/>
      <c r="AR940" s="802"/>
      <c r="AS940" s="802"/>
      <c r="AT940" s="802"/>
      <c r="AU940" s="802"/>
      <c r="AV940" s="802"/>
      <c r="AW940" s="802"/>
      <c r="AX940" s="802"/>
      <c r="AY940" s="802"/>
    </row>
    <row r="941" ht="21.75" customHeight="1">
      <c r="A941" s="802"/>
      <c r="B941" s="802"/>
      <c r="C941" s="802"/>
      <c r="D941" s="802"/>
      <c r="E941" s="802"/>
      <c r="F941" s="802"/>
      <c r="G941" s="802"/>
      <c r="H941" s="802"/>
      <c r="I941" s="802"/>
      <c r="J941" s="802"/>
      <c r="K941" s="802"/>
      <c r="L941" s="802"/>
      <c r="M941" s="802"/>
      <c r="N941" s="802"/>
      <c r="O941" s="802"/>
      <c r="P941" s="802"/>
      <c r="Q941" s="802"/>
      <c r="R941" s="802"/>
      <c r="S941" s="802"/>
      <c r="T941" s="802"/>
      <c r="U941" s="802"/>
      <c r="V941" s="802"/>
      <c r="W941" s="802"/>
      <c r="X941" s="802"/>
      <c r="Y941" s="802"/>
      <c r="Z941" s="802"/>
      <c r="AA941" s="802"/>
      <c r="AB941" s="802"/>
      <c r="AC941" s="802"/>
      <c r="AD941" s="802"/>
      <c r="AE941" s="802"/>
      <c r="AF941" s="802"/>
      <c r="AG941" s="802"/>
      <c r="AH941" s="802"/>
      <c r="AI941" s="802"/>
      <c r="AJ941" s="802"/>
      <c r="AK941" s="802"/>
      <c r="AL941" s="802"/>
      <c r="AM941" s="802"/>
      <c r="AN941" s="802"/>
      <c r="AO941" s="802"/>
      <c r="AP941" s="802"/>
      <c r="AQ941" s="802"/>
      <c r="AR941" s="802"/>
      <c r="AS941" s="802"/>
      <c r="AT941" s="802"/>
      <c r="AU941" s="802"/>
      <c r="AV941" s="802"/>
      <c r="AW941" s="802"/>
      <c r="AX941" s="802"/>
      <c r="AY941" s="802"/>
    </row>
    <row r="942" ht="21.75" customHeight="1">
      <c r="A942" s="802"/>
      <c r="B942" s="802"/>
      <c r="C942" s="802"/>
      <c r="D942" s="802"/>
      <c r="E942" s="802"/>
      <c r="F942" s="802"/>
      <c r="G942" s="802"/>
      <c r="H942" s="802"/>
      <c r="I942" s="802"/>
      <c r="J942" s="802"/>
      <c r="K942" s="802"/>
      <c r="L942" s="802"/>
      <c r="M942" s="802"/>
      <c r="N942" s="802"/>
      <c r="O942" s="802"/>
      <c r="P942" s="802"/>
      <c r="Q942" s="802"/>
      <c r="R942" s="802"/>
      <c r="S942" s="802"/>
      <c r="T942" s="802"/>
      <c r="U942" s="802"/>
      <c r="V942" s="802"/>
      <c r="W942" s="802"/>
      <c r="X942" s="802"/>
      <c r="Y942" s="802"/>
      <c r="Z942" s="802"/>
      <c r="AA942" s="802"/>
      <c r="AB942" s="802"/>
      <c r="AC942" s="802"/>
      <c r="AD942" s="802"/>
      <c r="AE942" s="802"/>
      <c r="AF942" s="802"/>
      <c r="AG942" s="802"/>
      <c r="AH942" s="802"/>
      <c r="AI942" s="802"/>
      <c r="AJ942" s="802"/>
      <c r="AK942" s="802"/>
      <c r="AL942" s="802"/>
      <c r="AM942" s="802"/>
      <c r="AN942" s="802"/>
      <c r="AO942" s="802"/>
      <c r="AP942" s="802"/>
      <c r="AQ942" s="802"/>
      <c r="AR942" s="802"/>
      <c r="AS942" s="802"/>
      <c r="AT942" s="802"/>
      <c r="AU942" s="802"/>
      <c r="AV942" s="802"/>
      <c r="AW942" s="802"/>
      <c r="AX942" s="802"/>
      <c r="AY942" s="802"/>
    </row>
    <row r="943" ht="21.75" customHeight="1">
      <c r="A943" s="802"/>
      <c r="B943" s="802"/>
      <c r="C943" s="802"/>
      <c r="D943" s="802"/>
      <c r="E943" s="802"/>
      <c r="F943" s="802"/>
      <c r="G943" s="802"/>
      <c r="H943" s="802"/>
      <c r="I943" s="802"/>
      <c r="J943" s="802"/>
      <c r="K943" s="802"/>
      <c r="L943" s="802"/>
      <c r="M943" s="802"/>
      <c r="N943" s="802"/>
      <c r="O943" s="802"/>
      <c r="P943" s="802"/>
      <c r="Q943" s="802"/>
      <c r="R943" s="802"/>
      <c r="S943" s="802"/>
      <c r="T943" s="802"/>
      <c r="U943" s="802"/>
      <c r="V943" s="802"/>
      <c r="W943" s="802"/>
      <c r="X943" s="802"/>
      <c r="Y943" s="802"/>
      <c r="Z943" s="802"/>
      <c r="AA943" s="802"/>
      <c r="AB943" s="802"/>
      <c r="AC943" s="802"/>
      <c r="AD943" s="802"/>
      <c r="AE943" s="802"/>
      <c r="AF943" s="802"/>
      <c r="AG943" s="802"/>
      <c r="AH943" s="802"/>
      <c r="AI943" s="802"/>
      <c r="AJ943" s="802"/>
      <c r="AK943" s="802"/>
      <c r="AL943" s="802"/>
      <c r="AM943" s="802"/>
      <c r="AN943" s="802"/>
      <c r="AO943" s="802"/>
      <c r="AP943" s="802"/>
      <c r="AQ943" s="802"/>
      <c r="AR943" s="802"/>
      <c r="AS943" s="802"/>
      <c r="AT943" s="802"/>
      <c r="AU943" s="802"/>
      <c r="AV943" s="802"/>
      <c r="AW943" s="802"/>
      <c r="AX943" s="802"/>
      <c r="AY943" s="802"/>
    </row>
    <row r="944" ht="21.75" customHeight="1">
      <c r="A944" s="802"/>
      <c r="B944" s="802"/>
      <c r="C944" s="802"/>
      <c r="D944" s="802"/>
      <c r="E944" s="802"/>
      <c r="F944" s="802"/>
      <c r="G944" s="802"/>
      <c r="H944" s="802"/>
      <c r="I944" s="802"/>
      <c r="J944" s="802"/>
      <c r="K944" s="802"/>
      <c r="L944" s="802"/>
      <c r="M944" s="802"/>
      <c r="N944" s="802"/>
      <c r="O944" s="802"/>
      <c r="P944" s="802"/>
      <c r="Q944" s="802"/>
      <c r="R944" s="802"/>
      <c r="S944" s="802"/>
      <c r="T944" s="802"/>
      <c r="U944" s="802"/>
      <c r="V944" s="802"/>
      <c r="W944" s="802"/>
      <c r="X944" s="802"/>
      <c r="Y944" s="802"/>
      <c r="Z944" s="802"/>
      <c r="AA944" s="802"/>
      <c r="AB944" s="802"/>
      <c r="AC944" s="802"/>
      <c r="AD944" s="802"/>
      <c r="AE944" s="802"/>
      <c r="AF944" s="802"/>
      <c r="AG944" s="802"/>
      <c r="AH944" s="802"/>
      <c r="AI944" s="802"/>
      <c r="AJ944" s="802"/>
      <c r="AK944" s="802"/>
      <c r="AL944" s="802"/>
      <c r="AM944" s="802"/>
      <c r="AN944" s="802"/>
      <c r="AO944" s="802"/>
      <c r="AP944" s="802"/>
      <c r="AQ944" s="802"/>
      <c r="AR944" s="802"/>
      <c r="AS944" s="802"/>
      <c r="AT944" s="802"/>
      <c r="AU944" s="802"/>
      <c r="AV944" s="802"/>
      <c r="AW944" s="802"/>
      <c r="AX944" s="802"/>
      <c r="AY944" s="802"/>
    </row>
    <row r="945" ht="21.75" customHeight="1">
      <c r="A945" s="802"/>
      <c r="B945" s="802"/>
      <c r="C945" s="802"/>
      <c r="D945" s="802"/>
      <c r="E945" s="802"/>
      <c r="F945" s="802"/>
      <c r="G945" s="802"/>
      <c r="H945" s="802"/>
      <c r="I945" s="802"/>
      <c r="J945" s="802"/>
      <c r="K945" s="802"/>
      <c r="L945" s="802"/>
      <c r="M945" s="802"/>
      <c r="N945" s="802"/>
      <c r="O945" s="802"/>
      <c r="P945" s="802"/>
      <c r="Q945" s="802"/>
      <c r="R945" s="802"/>
      <c r="S945" s="802"/>
      <c r="T945" s="802"/>
      <c r="U945" s="802"/>
      <c r="V945" s="802"/>
      <c r="W945" s="802"/>
      <c r="X945" s="802"/>
      <c r="Y945" s="802"/>
      <c r="Z945" s="802"/>
      <c r="AA945" s="802"/>
      <c r="AB945" s="802"/>
      <c r="AC945" s="802"/>
      <c r="AD945" s="802"/>
      <c r="AE945" s="802"/>
      <c r="AF945" s="802"/>
      <c r="AG945" s="802"/>
      <c r="AH945" s="802"/>
      <c r="AI945" s="802"/>
      <c r="AJ945" s="802"/>
      <c r="AK945" s="802"/>
      <c r="AL945" s="802"/>
      <c r="AM945" s="802"/>
      <c r="AN945" s="802"/>
      <c r="AO945" s="802"/>
      <c r="AP945" s="802"/>
      <c r="AQ945" s="802"/>
      <c r="AR945" s="802"/>
      <c r="AS945" s="802"/>
      <c r="AT945" s="802"/>
      <c r="AU945" s="802"/>
      <c r="AV945" s="802"/>
      <c r="AW945" s="802"/>
      <c r="AX945" s="802"/>
      <c r="AY945" s="802"/>
    </row>
    <row r="946" ht="21.75" customHeight="1">
      <c r="A946" s="802"/>
      <c r="B946" s="802"/>
      <c r="C946" s="802"/>
      <c r="D946" s="802"/>
      <c r="E946" s="802"/>
      <c r="F946" s="802"/>
      <c r="G946" s="802"/>
      <c r="H946" s="802"/>
      <c r="I946" s="802"/>
      <c r="J946" s="802"/>
      <c r="K946" s="802"/>
      <c r="L946" s="802"/>
      <c r="M946" s="802"/>
      <c r="N946" s="802"/>
      <c r="O946" s="802"/>
      <c r="P946" s="802"/>
      <c r="Q946" s="802"/>
      <c r="R946" s="802"/>
      <c r="S946" s="802"/>
      <c r="T946" s="802"/>
      <c r="U946" s="802"/>
      <c r="V946" s="802"/>
      <c r="W946" s="802"/>
      <c r="X946" s="802"/>
      <c r="Y946" s="802"/>
      <c r="Z946" s="802"/>
      <c r="AA946" s="802"/>
      <c r="AB946" s="802"/>
      <c r="AC946" s="802"/>
      <c r="AD946" s="802"/>
      <c r="AE946" s="802"/>
      <c r="AF946" s="802"/>
      <c r="AG946" s="802"/>
      <c r="AH946" s="802"/>
      <c r="AI946" s="802"/>
      <c r="AJ946" s="802"/>
      <c r="AK946" s="802"/>
      <c r="AL946" s="802"/>
      <c r="AM946" s="802"/>
      <c r="AN946" s="802"/>
      <c r="AO946" s="802"/>
      <c r="AP946" s="802"/>
      <c r="AQ946" s="802"/>
      <c r="AR946" s="802"/>
      <c r="AS946" s="802"/>
      <c r="AT946" s="802"/>
      <c r="AU946" s="802"/>
      <c r="AV946" s="802"/>
      <c r="AW946" s="802"/>
      <c r="AX946" s="802"/>
      <c r="AY946" s="802"/>
    </row>
    <row r="947" ht="21.75" customHeight="1">
      <c r="A947" s="802"/>
      <c r="B947" s="802"/>
      <c r="C947" s="802"/>
      <c r="D947" s="802"/>
      <c r="E947" s="802"/>
      <c r="F947" s="802"/>
      <c r="G947" s="802"/>
      <c r="H947" s="802"/>
      <c r="I947" s="802"/>
      <c r="J947" s="802"/>
      <c r="K947" s="802"/>
      <c r="L947" s="802"/>
      <c r="M947" s="802"/>
      <c r="N947" s="802"/>
      <c r="O947" s="802"/>
      <c r="P947" s="802"/>
      <c r="Q947" s="802"/>
      <c r="R947" s="802"/>
      <c r="S947" s="802"/>
      <c r="T947" s="802"/>
      <c r="U947" s="802"/>
      <c r="V947" s="802"/>
      <c r="W947" s="802"/>
      <c r="X947" s="802"/>
      <c r="Y947" s="802"/>
      <c r="Z947" s="802"/>
      <c r="AA947" s="802"/>
      <c r="AB947" s="802"/>
      <c r="AC947" s="802"/>
      <c r="AD947" s="802"/>
      <c r="AE947" s="802"/>
      <c r="AF947" s="802"/>
      <c r="AG947" s="802"/>
      <c r="AH947" s="802"/>
      <c r="AI947" s="802"/>
      <c r="AJ947" s="802"/>
      <c r="AK947" s="802"/>
      <c r="AL947" s="802"/>
      <c r="AM947" s="802"/>
      <c r="AN947" s="802"/>
      <c r="AO947" s="802"/>
      <c r="AP947" s="802"/>
      <c r="AQ947" s="802"/>
      <c r="AR947" s="802"/>
      <c r="AS947" s="802"/>
      <c r="AT947" s="802"/>
      <c r="AU947" s="802"/>
      <c r="AV947" s="802"/>
      <c r="AW947" s="802"/>
      <c r="AX947" s="802"/>
      <c r="AY947" s="802"/>
    </row>
    <row r="948" ht="21.75" customHeight="1">
      <c r="A948" s="802"/>
      <c r="B948" s="802"/>
      <c r="C948" s="802"/>
      <c r="D948" s="802"/>
      <c r="E948" s="802"/>
      <c r="F948" s="802"/>
      <c r="G948" s="802"/>
      <c r="H948" s="802"/>
      <c r="I948" s="802"/>
      <c r="J948" s="802"/>
      <c r="K948" s="802"/>
      <c r="L948" s="802"/>
      <c r="M948" s="802"/>
      <c r="N948" s="802"/>
      <c r="O948" s="802"/>
      <c r="P948" s="802"/>
      <c r="Q948" s="802"/>
      <c r="R948" s="802"/>
      <c r="S948" s="802"/>
      <c r="T948" s="802"/>
      <c r="U948" s="802"/>
      <c r="V948" s="802"/>
      <c r="W948" s="802"/>
      <c r="X948" s="802"/>
      <c r="Y948" s="802"/>
      <c r="Z948" s="802"/>
      <c r="AA948" s="802"/>
      <c r="AB948" s="802"/>
      <c r="AC948" s="802"/>
      <c r="AD948" s="802"/>
      <c r="AE948" s="802"/>
      <c r="AF948" s="802"/>
      <c r="AG948" s="802"/>
      <c r="AH948" s="802"/>
      <c r="AI948" s="802"/>
      <c r="AJ948" s="802"/>
      <c r="AK948" s="802"/>
      <c r="AL948" s="802"/>
      <c r="AM948" s="802"/>
      <c r="AN948" s="802"/>
      <c r="AO948" s="802"/>
      <c r="AP948" s="802"/>
      <c r="AQ948" s="802"/>
      <c r="AR948" s="802"/>
      <c r="AS948" s="802"/>
      <c r="AT948" s="802"/>
      <c r="AU948" s="802"/>
      <c r="AV948" s="802"/>
      <c r="AW948" s="802"/>
      <c r="AX948" s="802"/>
      <c r="AY948" s="802"/>
    </row>
    <row r="949" ht="21.75" customHeight="1">
      <c r="A949" s="802"/>
      <c r="B949" s="802"/>
      <c r="C949" s="802"/>
      <c r="D949" s="802"/>
      <c r="E949" s="802"/>
      <c r="F949" s="802"/>
      <c r="G949" s="802"/>
      <c r="H949" s="802"/>
      <c r="I949" s="802"/>
      <c r="J949" s="802"/>
      <c r="K949" s="802"/>
      <c r="L949" s="802"/>
      <c r="M949" s="802"/>
      <c r="N949" s="802"/>
      <c r="O949" s="802"/>
      <c r="P949" s="802"/>
      <c r="Q949" s="802"/>
      <c r="R949" s="802"/>
      <c r="S949" s="802"/>
      <c r="T949" s="802"/>
      <c r="U949" s="802"/>
      <c r="V949" s="802"/>
      <c r="W949" s="802"/>
      <c r="X949" s="802"/>
      <c r="Y949" s="802"/>
      <c r="Z949" s="802"/>
      <c r="AA949" s="802"/>
      <c r="AB949" s="802"/>
      <c r="AC949" s="802"/>
      <c r="AD949" s="802"/>
      <c r="AE949" s="802"/>
      <c r="AF949" s="802"/>
      <c r="AG949" s="802"/>
      <c r="AH949" s="802"/>
      <c r="AI949" s="802"/>
      <c r="AJ949" s="802"/>
      <c r="AK949" s="802"/>
      <c r="AL949" s="802"/>
      <c r="AM949" s="802"/>
      <c r="AN949" s="802"/>
      <c r="AO949" s="802"/>
      <c r="AP949" s="802"/>
      <c r="AQ949" s="802"/>
      <c r="AR949" s="802"/>
      <c r="AS949" s="802"/>
      <c r="AT949" s="802"/>
      <c r="AU949" s="802"/>
      <c r="AV949" s="802"/>
      <c r="AW949" s="802"/>
      <c r="AX949" s="802"/>
      <c r="AY949" s="802"/>
    </row>
    <row r="950" ht="21.75" customHeight="1">
      <c r="A950" s="802"/>
      <c r="B950" s="802"/>
      <c r="C950" s="802"/>
      <c r="D950" s="802"/>
      <c r="E950" s="802"/>
      <c r="F950" s="802"/>
      <c r="G950" s="802"/>
      <c r="H950" s="802"/>
      <c r="I950" s="802"/>
      <c r="J950" s="802"/>
      <c r="K950" s="802"/>
      <c r="L950" s="802"/>
      <c r="M950" s="802"/>
      <c r="N950" s="802"/>
      <c r="O950" s="802"/>
      <c r="P950" s="802"/>
      <c r="Q950" s="802"/>
      <c r="R950" s="802"/>
      <c r="S950" s="802"/>
      <c r="T950" s="802"/>
      <c r="U950" s="802"/>
      <c r="V950" s="802"/>
      <c r="W950" s="802"/>
      <c r="X950" s="802"/>
      <c r="Y950" s="802"/>
      <c r="Z950" s="802"/>
      <c r="AA950" s="802"/>
      <c r="AB950" s="802"/>
      <c r="AC950" s="802"/>
      <c r="AD950" s="802"/>
      <c r="AE950" s="802"/>
      <c r="AF950" s="802"/>
      <c r="AG950" s="802"/>
      <c r="AH950" s="802"/>
      <c r="AI950" s="802"/>
      <c r="AJ950" s="802"/>
      <c r="AK950" s="802"/>
      <c r="AL950" s="802"/>
      <c r="AM950" s="802"/>
      <c r="AN950" s="802"/>
      <c r="AO950" s="802"/>
      <c r="AP950" s="802"/>
      <c r="AQ950" s="802"/>
      <c r="AR950" s="802"/>
      <c r="AS950" s="802"/>
      <c r="AT950" s="802"/>
      <c r="AU950" s="802"/>
      <c r="AV950" s="802"/>
      <c r="AW950" s="802"/>
      <c r="AX950" s="802"/>
      <c r="AY950" s="802"/>
    </row>
    <row r="951" ht="21.75" customHeight="1">
      <c r="A951" s="802"/>
      <c r="B951" s="802"/>
      <c r="C951" s="802"/>
      <c r="D951" s="802"/>
      <c r="E951" s="802"/>
      <c r="F951" s="802"/>
      <c r="G951" s="802"/>
      <c r="H951" s="802"/>
      <c r="I951" s="802"/>
      <c r="J951" s="802"/>
      <c r="K951" s="802"/>
      <c r="L951" s="802"/>
      <c r="M951" s="802"/>
      <c r="N951" s="802"/>
      <c r="O951" s="802"/>
      <c r="P951" s="802"/>
      <c r="Q951" s="802"/>
      <c r="R951" s="802"/>
      <c r="S951" s="802"/>
      <c r="T951" s="802"/>
      <c r="U951" s="802"/>
      <c r="V951" s="802"/>
      <c r="W951" s="802"/>
      <c r="X951" s="802"/>
      <c r="Y951" s="802"/>
      <c r="Z951" s="802"/>
      <c r="AA951" s="802"/>
      <c r="AB951" s="802"/>
      <c r="AC951" s="802"/>
      <c r="AD951" s="802"/>
      <c r="AE951" s="802"/>
      <c r="AF951" s="802"/>
      <c r="AG951" s="802"/>
      <c r="AH951" s="802"/>
      <c r="AI951" s="802"/>
      <c r="AJ951" s="802"/>
      <c r="AK951" s="802"/>
      <c r="AL951" s="802"/>
      <c r="AM951" s="802"/>
      <c r="AN951" s="802"/>
      <c r="AO951" s="802"/>
      <c r="AP951" s="802"/>
      <c r="AQ951" s="802"/>
      <c r="AR951" s="802"/>
      <c r="AS951" s="802"/>
      <c r="AT951" s="802"/>
      <c r="AU951" s="802"/>
      <c r="AV951" s="802"/>
      <c r="AW951" s="802"/>
      <c r="AX951" s="802"/>
      <c r="AY951" s="802"/>
    </row>
    <row r="952" ht="21.75" customHeight="1">
      <c r="A952" s="802"/>
      <c r="B952" s="802"/>
      <c r="C952" s="802"/>
      <c r="D952" s="802"/>
      <c r="E952" s="802"/>
      <c r="F952" s="802"/>
      <c r="G952" s="802"/>
      <c r="H952" s="802"/>
      <c r="I952" s="802"/>
      <c r="J952" s="802"/>
      <c r="K952" s="802"/>
      <c r="L952" s="802"/>
      <c r="M952" s="802"/>
      <c r="N952" s="802"/>
      <c r="O952" s="802"/>
      <c r="P952" s="802"/>
      <c r="Q952" s="802"/>
      <c r="R952" s="802"/>
      <c r="S952" s="802"/>
      <c r="T952" s="802"/>
      <c r="U952" s="802"/>
      <c r="V952" s="802"/>
      <c r="W952" s="802"/>
      <c r="X952" s="802"/>
      <c r="Y952" s="802"/>
      <c r="Z952" s="802"/>
      <c r="AA952" s="802"/>
      <c r="AB952" s="802"/>
      <c r="AC952" s="802"/>
      <c r="AD952" s="802"/>
      <c r="AE952" s="802"/>
      <c r="AF952" s="802"/>
      <c r="AG952" s="802"/>
      <c r="AH952" s="802"/>
      <c r="AI952" s="802"/>
      <c r="AJ952" s="802"/>
      <c r="AK952" s="802"/>
      <c r="AL952" s="802"/>
      <c r="AM952" s="802"/>
      <c r="AN952" s="802"/>
      <c r="AO952" s="802"/>
      <c r="AP952" s="802"/>
      <c r="AQ952" s="802"/>
      <c r="AR952" s="802"/>
      <c r="AS952" s="802"/>
      <c r="AT952" s="802"/>
      <c r="AU952" s="802"/>
      <c r="AV952" s="802"/>
      <c r="AW952" s="802"/>
      <c r="AX952" s="802"/>
      <c r="AY952" s="802"/>
    </row>
    <row r="953" ht="21.75" customHeight="1">
      <c r="A953" s="802"/>
      <c r="B953" s="802"/>
      <c r="C953" s="802"/>
      <c r="D953" s="802"/>
      <c r="E953" s="802"/>
      <c r="F953" s="802"/>
      <c r="G953" s="802"/>
      <c r="H953" s="802"/>
      <c r="I953" s="802"/>
      <c r="J953" s="802"/>
      <c r="K953" s="802"/>
      <c r="L953" s="802"/>
      <c r="M953" s="802"/>
      <c r="N953" s="802"/>
      <c r="O953" s="802"/>
      <c r="P953" s="802"/>
      <c r="Q953" s="802"/>
      <c r="R953" s="802"/>
      <c r="S953" s="802"/>
      <c r="T953" s="802"/>
      <c r="U953" s="802"/>
      <c r="V953" s="802"/>
      <c r="W953" s="802"/>
      <c r="X953" s="802"/>
      <c r="Y953" s="802"/>
      <c r="Z953" s="802"/>
      <c r="AA953" s="802"/>
      <c r="AB953" s="802"/>
      <c r="AC953" s="802"/>
      <c r="AD953" s="802"/>
      <c r="AE953" s="802"/>
      <c r="AF953" s="802"/>
      <c r="AG953" s="802"/>
      <c r="AH953" s="802"/>
      <c r="AI953" s="802"/>
      <c r="AJ953" s="802"/>
      <c r="AK953" s="802"/>
      <c r="AL953" s="802"/>
      <c r="AM953" s="802"/>
      <c r="AN953" s="802"/>
      <c r="AO953" s="802"/>
      <c r="AP953" s="802"/>
      <c r="AQ953" s="802"/>
      <c r="AR953" s="802"/>
      <c r="AS953" s="802"/>
      <c r="AT953" s="802"/>
      <c r="AU953" s="802"/>
      <c r="AV953" s="802"/>
      <c r="AW953" s="802"/>
      <c r="AX953" s="802"/>
      <c r="AY953" s="802"/>
    </row>
    <row r="954" ht="21.75" customHeight="1">
      <c r="A954" s="802"/>
      <c r="B954" s="802"/>
      <c r="C954" s="802"/>
      <c r="D954" s="802"/>
      <c r="E954" s="802"/>
      <c r="F954" s="802"/>
      <c r="G954" s="802"/>
      <c r="H954" s="802"/>
      <c r="I954" s="802"/>
      <c r="J954" s="802"/>
      <c r="K954" s="802"/>
      <c r="L954" s="802"/>
      <c r="M954" s="802"/>
      <c r="N954" s="802"/>
      <c r="O954" s="802"/>
      <c r="P954" s="802"/>
      <c r="Q954" s="802"/>
      <c r="R954" s="802"/>
      <c r="S954" s="802"/>
      <c r="T954" s="802"/>
      <c r="U954" s="802"/>
      <c r="V954" s="802"/>
      <c r="W954" s="802"/>
      <c r="X954" s="802"/>
      <c r="Y954" s="802"/>
      <c r="Z954" s="802"/>
      <c r="AA954" s="802"/>
      <c r="AB954" s="802"/>
      <c r="AC954" s="802"/>
      <c r="AD954" s="802"/>
      <c r="AE954" s="802"/>
      <c r="AF954" s="802"/>
      <c r="AG954" s="802"/>
      <c r="AH954" s="802"/>
      <c r="AI954" s="802"/>
      <c r="AJ954" s="802"/>
      <c r="AK954" s="802"/>
      <c r="AL954" s="802"/>
      <c r="AM954" s="802"/>
      <c r="AN954" s="802"/>
      <c r="AO954" s="802"/>
      <c r="AP954" s="802"/>
      <c r="AQ954" s="802"/>
      <c r="AR954" s="802"/>
      <c r="AS954" s="802"/>
      <c r="AT954" s="802"/>
      <c r="AU954" s="802"/>
      <c r="AV954" s="802"/>
      <c r="AW954" s="802"/>
      <c r="AX954" s="802"/>
      <c r="AY954" s="802"/>
    </row>
    <row r="955" ht="21.75" customHeight="1">
      <c r="A955" s="802"/>
      <c r="B955" s="802"/>
      <c r="C955" s="802"/>
      <c r="D955" s="802"/>
      <c r="E955" s="802"/>
      <c r="F955" s="802"/>
      <c r="G955" s="802"/>
      <c r="H955" s="802"/>
      <c r="I955" s="802"/>
      <c r="J955" s="802"/>
      <c r="K955" s="802"/>
      <c r="L955" s="802"/>
      <c r="M955" s="802"/>
      <c r="N955" s="802"/>
      <c r="O955" s="802"/>
      <c r="P955" s="802"/>
      <c r="Q955" s="802"/>
      <c r="R955" s="802"/>
      <c r="S955" s="802"/>
      <c r="T955" s="802"/>
      <c r="U955" s="802"/>
      <c r="V955" s="802"/>
      <c r="W955" s="802"/>
      <c r="X955" s="802"/>
      <c r="Y955" s="802"/>
      <c r="Z955" s="802"/>
      <c r="AA955" s="802"/>
      <c r="AB955" s="802"/>
      <c r="AC955" s="802"/>
      <c r="AD955" s="802"/>
      <c r="AE955" s="802"/>
      <c r="AF955" s="802"/>
      <c r="AG955" s="802"/>
      <c r="AH955" s="802"/>
      <c r="AI955" s="802"/>
      <c r="AJ955" s="802"/>
      <c r="AK955" s="802"/>
      <c r="AL955" s="802"/>
      <c r="AM955" s="802"/>
      <c r="AN955" s="802"/>
      <c r="AO955" s="802"/>
      <c r="AP955" s="802"/>
      <c r="AQ955" s="802"/>
      <c r="AR955" s="802"/>
      <c r="AS955" s="802"/>
      <c r="AT955" s="802"/>
      <c r="AU955" s="802"/>
      <c r="AV955" s="802"/>
      <c r="AW955" s="802"/>
      <c r="AX955" s="802"/>
      <c r="AY955" s="802"/>
    </row>
    <row r="956" ht="21.75" customHeight="1">
      <c r="A956" s="802"/>
      <c r="B956" s="802"/>
      <c r="C956" s="802"/>
      <c r="D956" s="802"/>
      <c r="E956" s="802"/>
      <c r="F956" s="802"/>
      <c r="G956" s="802"/>
      <c r="H956" s="802"/>
      <c r="I956" s="802"/>
      <c r="J956" s="802"/>
      <c r="K956" s="802"/>
      <c r="L956" s="802"/>
      <c r="M956" s="802"/>
      <c r="N956" s="802"/>
      <c r="O956" s="802"/>
      <c r="P956" s="802"/>
      <c r="Q956" s="802"/>
      <c r="R956" s="802"/>
      <c r="S956" s="802"/>
      <c r="T956" s="802"/>
      <c r="U956" s="802"/>
      <c r="V956" s="802"/>
      <c r="W956" s="802"/>
      <c r="X956" s="802"/>
      <c r="Y956" s="802"/>
      <c r="Z956" s="802"/>
      <c r="AA956" s="802"/>
      <c r="AB956" s="802"/>
      <c r="AC956" s="802"/>
      <c r="AD956" s="802"/>
      <c r="AE956" s="802"/>
      <c r="AF956" s="802"/>
      <c r="AG956" s="802"/>
      <c r="AH956" s="802"/>
      <c r="AI956" s="802"/>
      <c r="AJ956" s="802"/>
      <c r="AK956" s="802"/>
      <c r="AL956" s="802"/>
      <c r="AM956" s="802"/>
      <c r="AN956" s="802"/>
      <c r="AO956" s="802"/>
      <c r="AP956" s="802"/>
      <c r="AQ956" s="802"/>
      <c r="AR956" s="802"/>
      <c r="AS956" s="802"/>
      <c r="AT956" s="802"/>
      <c r="AU956" s="802"/>
      <c r="AV956" s="802"/>
      <c r="AW956" s="802"/>
      <c r="AX956" s="802"/>
      <c r="AY956" s="802"/>
    </row>
    <row r="957" ht="21.75" customHeight="1">
      <c r="A957" s="802"/>
      <c r="B957" s="802"/>
      <c r="C957" s="802"/>
      <c r="D957" s="802"/>
      <c r="E957" s="802"/>
      <c r="F957" s="802"/>
      <c r="G957" s="802"/>
      <c r="H957" s="802"/>
      <c r="I957" s="802"/>
      <c r="J957" s="802"/>
      <c r="K957" s="802"/>
      <c r="L957" s="802"/>
      <c r="M957" s="802"/>
      <c r="N957" s="802"/>
      <c r="O957" s="802"/>
      <c r="P957" s="802"/>
      <c r="Q957" s="802"/>
      <c r="R957" s="802"/>
      <c r="S957" s="802"/>
      <c r="T957" s="802"/>
      <c r="U957" s="802"/>
      <c r="V957" s="802"/>
      <c r="W957" s="802"/>
      <c r="X957" s="802"/>
      <c r="Y957" s="802"/>
      <c r="Z957" s="802"/>
      <c r="AA957" s="802"/>
      <c r="AB957" s="802"/>
      <c r="AC957" s="802"/>
      <c r="AD957" s="802"/>
      <c r="AE957" s="802"/>
      <c r="AF957" s="802"/>
      <c r="AG957" s="802"/>
      <c r="AH957" s="802"/>
      <c r="AI957" s="802"/>
      <c r="AJ957" s="802"/>
      <c r="AK957" s="802"/>
      <c r="AL957" s="802"/>
      <c r="AM957" s="802"/>
      <c r="AN957" s="802"/>
      <c r="AO957" s="802"/>
      <c r="AP957" s="802"/>
      <c r="AQ957" s="802"/>
      <c r="AR957" s="802"/>
      <c r="AS957" s="802"/>
      <c r="AT957" s="802"/>
      <c r="AU957" s="802"/>
      <c r="AV957" s="802"/>
      <c r="AW957" s="802"/>
      <c r="AX957" s="802"/>
      <c r="AY957" s="802"/>
    </row>
    <row r="958" ht="21.75" customHeight="1">
      <c r="A958" s="802"/>
      <c r="B958" s="802"/>
      <c r="C958" s="802"/>
      <c r="D958" s="802"/>
      <c r="E958" s="802"/>
      <c r="F958" s="802"/>
      <c r="G958" s="802"/>
      <c r="H958" s="802"/>
      <c r="I958" s="802"/>
      <c r="J958" s="802"/>
      <c r="K958" s="802"/>
      <c r="L958" s="802"/>
      <c r="M958" s="802"/>
      <c r="N958" s="802"/>
      <c r="O958" s="802"/>
      <c r="P958" s="802"/>
      <c r="Q958" s="802"/>
      <c r="R958" s="802"/>
      <c r="S958" s="802"/>
      <c r="T958" s="802"/>
      <c r="U958" s="802"/>
      <c r="V958" s="802"/>
      <c r="W958" s="802"/>
      <c r="X958" s="802"/>
      <c r="Y958" s="802"/>
      <c r="Z958" s="802"/>
      <c r="AA958" s="802"/>
      <c r="AB958" s="802"/>
      <c r="AC958" s="802"/>
      <c r="AD958" s="802"/>
      <c r="AE958" s="802"/>
      <c r="AF958" s="802"/>
      <c r="AG958" s="802"/>
      <c r="AH958" s="802"/>
      <c r="AI958" s="802"/>
      <c r="AJ958" s="802"/>
      <c r="AK958" s="802"/>
      <c r="AL958" s="802"/>
      <c r="AM958" s="802"/>
      <c r="AN958" s="802"/>
      <c r="AO958" s="802"/>
      <c r="AP958" s="802"/>
      <c r="AQ958" s="802"/>
      <c r="AR958" s="802"/>
      <c r="AS958" s="802"/>
      <c r="AT958" s="802"/>
      <c r="AU958" s="802"/>
      <c r="AV958" s="802"/>
      <c r="AW958" s="802"/>
      <c r="AX958" s="802"/>
      <c r="AY958" s="802"/>
    </row>
    <row r="959" ht="21.75" customHeight="1">
      <c r="A959" s="802"/>
      <c r="B959" s="802"/>
      <c r="C959" s="802"/>
      <c r="D959" s="802"/>
      <c r="E959" s="802"/>
      <c r="F959" s="802"/>
      <c r="G959" s="802"/>
      <c r="H959" s="802"/>
      <c r="I959" s="802"/>
      <c r="J959" s="802"/>
      <c r="K959" s="802"/>
      <c r="L959" s="802"/>
      <c r="M959" s="802"/>
      <c r="N959" s="802"/>
      <c r="O959" s="802"/>
      <c r="P959" s="802"/>
      <c r="Q959" s="802"/>
      <c r="R959" s="802"/>
      <c r="S959" s="802"/>
      <c r="T959" s="802"/>
      <c r="U959" s="802"/>
      <c r="V959" s="802"/>
      <c r="W959" s="802"/>
      <c r="X959" s="802"/>
      <c r="Y959" s="802"/>
      <c r="Z959" s="802"/>
      <c r="AA959" s="802"/>
      <c r="AB959" s="802"/>
      <c r="AC959" s="802"/>
      <c r="AD959" s="802"/>
      <c r="AE959" s="802"/>
      <c r="AF959" s="802"/>
      <c r="AG959" s="802"/>
      <c r="AH959" s="802"/>
      <c r="AI959" s="802"/>
      <c r="AJ959" s="802"/>
      <c r="AK959" s="802"/>
      <c r="AL959" s="802"/>
      <c r="AM959" s="802"/>
      <c r="AN959" s="802"/>
      <c r="AO959" s="802"/>
      <c r="AP959" s="802"/>
      <c r="AQ959" s="802"/>
      <c r="AR959" s="802"/>
      <c r="AS959" s="802"/>
      <c r="AT959" s="802"/>
      <c r="AU959" s="802"/>
      <c r="AV959" s="802"/>
      <c r="AW959" s="802"/>
      <c r="AX959" s="802"/>
      <c r="AY959" s="802"/>
    </row>
    <row r="960" ht="21.75" customHeight="1">
      <c r="A960" s="802"/>
      <c r="B960" s="802"/>
      <c r="C960" s="802"/>
      <c r="D960" s="802"/>
      <c r="E960" s="802"/>
      <c r="F960" s="802"/>
      <c r="G960" s="802"/>
      <c r="H960" s="802"/>
      <c r="I960" s="802"/>
      <c r="J960" s="802"/>
      <c r="K960" s="802"/>
      <c r="L960" s="802"/>
      <c r="M960" s="802"/>
      <c r="N960" s="802"/>
      <c r="O960" s="802"/>
      <c r="P960" s="802"/>
      <c r="Q960" s="802"/>
      <c r="R960" s="802"/>
      <c r="S960" s="802"/>
      <c r="T960" s="802"/>
      <c r="U960" s="802"/>
      <c r="V960" s="802"/>
      <c r="W960" s="802"/>
      <c r="X960" s="802"/>
      <c r="Y960" s="802"/>
      <c r="Z960" s="802"/>
      <c r="AA960" s="802"/>
      <c r="AB960" s="802"/>
      <c r="AC960" s="802"/>
      <c r="AD960" s="802"/>
      <c r="AE960" s="802"/>
      <c r="AF960" s="802"/>
      <c r="AG960" s="802"/>
      <c r="AH960" s="802"/>
      <c r="AI960" s="802"/>
      <c r="AJ960" s="802"/>
      <c r="AK960" s="802"/>
      <c r="AL960" s="802"/>
      <c r="AM960" s="802"/>
      <c r="AN960" s="802"/>
      <c r="AO960" s="802"/>
      <c r="AP960" s="802"/>
      <c r="AQ960" s="802"/>
      <c r="AR960" s="802"/>
      <c r="AS960" s="802"/>
      <c r="AT960" s="802"/>
      <c r="AU960" s="802"/>
      <c r="AV960" s="802"/>
      <c r="AW960" s="802"/>
      <c r="AX960" s="802"/>
      <c r="AY960" s="802"/>
    </row>
    <row r="961" ht="21.75" customHeight="1">
      <c r="A961" s="802"/>
      <c r="B961" s="802"/>
      <c r="C961" s="802"/>
      <c r="D961" s="802"/>
      <c r="E961" s="802"/>
      <c r="F961" s="802"/>
      <c r="G961" s="802"/>
      <c r="H961" s="802"/>
      <c r="I961" s="802"/>
      <c r="J961" s="802"/>
      <c r="K961" s="802"/>
      <c r="L961" s="802"/>
      <c r="M961" s="802"/>
      <c r="N961" s="802"/>
      <c r="O961" s="802"/>
      <c r="P961" s="802"/>
      <c r="Q961" s="802"/>
      <c r="R961" s="802"/>
      <c r="S961" s="802"/>
      <c r="T961" s="802"/>
      <c r="U961" s="802"/>
      <c r="V961" s="802"/>
      <c r="W961" s="802"/>
      <c r="X961" s="802"/>
      <c r="Y961" s="802"/>
      <c r="Z961" s="802"/>
      <c r="AA961" s="802"/>
      <c r="AB961" s="802"/>
      <c r="AC961" s="802"/>
      <c r="AD961" s="802"/>
      <c r="AE961" s="802"/>
      <c r="AF961" s="802"/>
      <c r="AG961" s="802"/>
      <c r="AH961" s="802"/>
      <c r="AI961" s="802"/>
      <c r="AJ961" s="802"/>
      <c r="AK961" s="802"/>
      <c r="AL961" s="802"/>
      <c r="AM961" s="802"/>
      <c r="AN961" s="802"/>
      <c r="AO961" s="802"/>
      <c r="AP961" s="802"/>
      <c r="AQ961" s="802"/>
      <c r="AR961" s="802"/>
      <c r="AS961" s="802"/>
      <c r="AT961" s="802"/>
      <c r="AU961" s="802"/>
      <c r="AV961" s="802"/>
      <c r="AW961" s="802"/>
      <c r="AX961" s="802"/>
      <c r="AY961" s="802"/>
    </row>
    <row r="962" ht="21.75" customHeight="1">
      <c r="A962" s="802"/>
      <c r="B962" s="802"/>
      <c r="C962" s="802"/>
      <c r="D962" s="802"/>
      <c r="E962" s="802"/>
      <c r="F962" s="802"/>
      <c r="G962" s="802"/>
      <c r="H962" s="802"/>
      <c r="I962" s="802"/>
      <c r="J962" s="802"/>
      <c r="K962" s="802"/>
      <c r="L962" s="802"/>
      <c r="M962" s="802"/>
      <c r="N962" s="802"/>
      <c r="O962" s="802"/>
      <c r="P962" s="802"/>
      <c r="Q962" s="802"/>
      <c r="R962" s="802"/>
      <c r="S962" s="802"/>
      <c r="T962" s="802"/>
      <c r="U962" s="802"/>
      <c r="V962" s="802"/>
      <c r="W962" s="802"/>
      <c r="X962" s="802"/>
      <c r="Y962" s="802"/>
      <c r="Z962" s="802"/>
      <c r="AA962" s="802"/>
      <c r="AB962" s="802"/>
      <c r="AC962" s="802"/>
      <c r="AD962" s="802"/>
      <c r="AE962" s="802"/>
      <c r="AF962" s="802"/>
      <c r="AG962" s="802"/>
      <c r="AH962" s="802"/>
      <c r="AI962" s="802"/>
      <c r="AJ962" s="802"/>
      <c r="AK962" s="802"/>
      <c r="AL962" s="802"/>
      <c r="AM962" s="802"/>
      <c r="AN962" s="802"/>
      <c r="AO962" s="802"/>
      <c r="AP962" s="802"/>
      <c r="AQ962" s="802"/>
      <c r="AR962" s="802"/>
      <c r="AS962" s="802"/>
      <c r="AT962" s="802"/>
      <c r="AU962" s="802"/>
      <c r="AV962" s="802"/>
      <c r="AW962" s="802"/>
      <c r="AX962" s="802"/>
      <c r="AY962" s="802"/>
    </row>
    <row r="963" ht="21.75" customHeight="1">
      <c r="A963" s="802"/>
      <c r="B963" s="802"/>
      <c r="C963" s="802"/>
      <c r="D963" s="802"/>
      <c r="E963" s="802"/>
      <c r="F963" s="802"/>
      <c r="G963" s="802"/>
      <c r="H963" s="802"/>
      <c r="I963" s="802"/>
      <c r="J963" s="802"/>
      <c r="K963" s="802"/>
      <c r="L963" s="802"/>
      <c r="M963" s="802"/>
      <c r="N963" s="802"/>
      <c r="O963" s="802"/>
      <c r="P963" s="802"/>
      <c r="Q963" s="802"/>
      <c r="R963" s="802"/>
      <c r="S963" s="802"/>
      <c r="T963" s="802"/>
      <c r="U963" s="802"/>
      <c r="V963" s="802"/>
      <c r="W963" s="802"/>
      <c r="X963" s="802"/>
      <c r="Y963" s="802"/>
      <c r="Z963" s="802"/>
      <c r="AA963" s="802"/>
      <c r="AB963" s="802"/>
      <c r="AC963" s="802"/>
      <c r="AD963" s="802"/>
      <c r="AE963" s="802"/>
      <c r="AF963" s="802"/>
      <c r="AG963" s="802"/>
      <c r="AH963" s="802"/>
      <c r="AI963" s="802"/>
      <c r="AJ963" s="802"/>
      <c r="AK963" s="802"/>
      <c r="AL963" s="802"/>
      <c r="AM963" s="802"/>
      <c r="AN963" s="802"/>
      <c r="AO963" s="802"/>
      <c r="AP963" s="802"/>
      <c r="AQ963" s="802"/>
      <c r="AR963" s="802"/>
      <c r="AS963" s="802"/>
      <c r="AT963" s="802"/>
      <c r="AU963" s="802"/>
      <c r="AV963" s="802"/>
      <c r="AW963" s="802"/>
      <c r="AX963" s="802"/>
      <c r="AY963" s="802"/>
    </row>
    <row r="964" ht="21.75" customHeight="1">
      <c r="A964" s="802"/>
      <c r="B964" s="802"/>
      <c r="C964" s="802"/>
      <c r="D964" s="802"/>
      <c r="E964" s="802"/>
      <c r="F964" s="802"/>
      <c r="G964" s="802"/>
      <c r="H964" s="802"/>
      <c r="I964" s="802"/>
      <c r="J964" s="802"/>
      <c r="K964" s="802"/>
      <c r="L964" s="802"/>
      <c r="M964" s="802"/>
      <c r="N964" s="802"/>
      <c r="O964" s="802"/>
      <c r="P964" s="802"/>
      <c r="Q964" s="802"/>
      <c r="R964" s="802"/>
      <c r="S964" s="802"/>
      <c r="T964" s="802"/>
      <c r="U964" s="802"/>
      <c r="V964" s="802"/>
      <c r="W964" s="802"/>
      <c r="X964" s="802"/>
      <c r="Y964" s="802"/>
      <c r="Z964" s="802"/>
      <c r="AA964" s="802"/>
      <c r="AB964" s="802"/>
      <c r="AC964" s="802"/>
      <c r="AD964" s="802"/>
      <c r="AE964" s="802"/>
      <c r="AF964" s="802"/>
      <c r="AG964" s="802"/>
      <c r="AH964" s="802"/>
      <c r="AI964" s="802"/>
      <c r="AJ964" s="802"/>
      <c r="AK964" s="802"/>
      <c r="AL964" s="802"/>
      <c r="AM964" s="802"/>
      <c r="AN964" s="802"/>
      <c r="AO964" s="802"/>
      <c r="AP964" s="802"/>
      <c r="AQ964" s="802"/>
      <c r="AR964" s="802"/>
      <c r="AS964" s="802"/>
      <c r="AT964" s="802"/>
      <c r="AU964" s="802"/>
      <c r="AV964" s="802"/>
      <c r="AW964" s="802"/>
      <c r="AX964" s="802"/>
      <c r="AY964" s="802"/>
    </row>
    <row r="965" ht="21.75" customHeight="1">
      <c r="A965" s="802"/>
      <c r="B965" s="802"/>
      <c r="C965" s="802"/>
      <c r="D965" s="802"/>
      <c r="E965" s="802"/>
      <c r="F965" s="802"/>
      <c r="G965" s="802"/>
      <c r="H965" s="802"/>
      <c r="I965" s="802"/>
      <c r="J965" s="802"/>
      <c r="K965" s="802"/>
      <c r="L965" s="802"/>
      <c r="M965" s="802"/>
      <c r="N965" s="802"/>
      <c r="O965" s="802"/>
      <c r="P965" s="802"/>
      <c r="Q965" s="802"/>
      <c r="R965" s="802"/>
      <c r="S965" s="802"/>
      <c r="T965" s="802"/>
      <c r="U965" s="802"/>
      <c r="V965" s="802"/>
      <c r="W965" s="802"/>
      <c r="X965" s="802"/>
      <c r="Y965" s="802"/>
      <c r="Z965" s="802"/>
      <c r="AA965" s="802"/>
      <c r="AB965" s="802"/>
      <c r="AC965" s="802"/>
      <c r="AD965" s="802"/>
      <c r="AE965" s="802"/>
      <c r="AF965" s="802"/>
      <c r="AG965" s="802"/>
      <c r="AH965" s="802"/>
      <c r="AI965" s="802"/>
      <c r="AJ965" s="802"/>
      <c r="AK965" s="802"/>
      <c r="AL965" s="802"/>
      <c r="AM965" s="802"/>
      <c r="AN965" s="802"/>
      <c r="AO965" s="802"/>
      <c r="AP965" s="802"/>
      <c r="AQ965" s="802"/>
      <c r="AR965" s="802"/>
      <c r="AS965" s="802"/>
      <c r="AT965" s="802"/>
      <c r="AU965" s="802"/>
      <c r="AV965" s="802"/>
      <c r="AW965" s="802"/>
      <c r="AX965" s="802"/>
      <c r="AY965" s="802"/>
    </row>
    <row r="966" ht="21.75" customHeight="1">
      <c r="A966" s="802"/>
      <c r="B966" s="802"/>
      <c r="C966" s="802"/>
      <c r="D966" s="802"/>
      <c r="E966" s="802"/>
      <c r="F966" s="802"/>
      <c r="G966" s="802"/>
      <c r="H966" s="802"/>
      <c r="I966" s="802"/>
      <c r="J966" s="802"/>
      <c r="K966" s="802"/>
      <c r="L966" s="802"/>
      <c r="M966" s="802"/>
      <c r="N966" s="802"/>
      <c r="O966" s="802"/>
      <c r="P966" s="802"/>
      <c r="Q966" s="802"/>
      <c r="R966" s="802"/>
      <c r="S966" s="802"/>
      <c r="T966" s="802"/>
      <c r="U966" s="802"/>
      <c r="V966" s="802"/>
      <c r="W966" s="802"/>
      <c r="X966" s="802"/>
      <c r="Y966" s="802"/>
      <c r="Z966" s="802"/>
      <c r="AA966" s="802"/>
      <c r="AB966" s="802"/>
      <c r="AC966" s="802"/>
      <c r="AD966" s="802"/>
      <c r="AE966" s="802"/>
      <c r="AF966" s="802"/>
      <c r="AG966" s="802"/>
      <c r="AH966" s="802"/>
      <c r="AI966" s="802"/>
      <c r="AJ966" s="802"/>
      <c r="AK966" s="802"/>
      <c r="AL966" s="802"/>
      <c r="AM966" s="802"/>
      <c r="AN966" s="802"/>
      <c r="AO966" s="802"/>
      <c r="AP966" s="802"/>
      <c r="AQ966" s="802"/>
      <c r="AR966" s="802"/>
      <c r="AS966" s="802"/>
      <c r="AT966" s="802"/>
      <c r="AU966" s="802"/>
      <c r="AV966" s="802"/>
      <c r="AW966" s="802"/>
      <c r="AX966" s="802"/>
      <c r="AY966" s="802"/>
    </row>
    <row r="967" ht="21.75" customHeight="1">
      <c r="A967" s="802"/>
      <c r="B967" s="802"/>
      <c r="C967" s="802"/>
      <c r="D967" s="802"/>
      <c r="E967" s="802"/>
      <c r="F967" s="802"/>
      <c r="G967" s="802"/>
      <c r="H967" s="802"/>
      <c r="I967" s="802"/>
      <c r="J967" s="802"/>
      <c r="K967" s="802"/>
      <c r="L967" s="802"/>
      <c r="M967" s="802"/>
      <c r="N967" s="802"/>
      <c r="O967" s="802"/>
      <c r="P967" s="802"/>
      <c r="Q967" s="802"/>
      <c r="R967" s="802"/>
      <c r="S967" s="802"/>
      <c r="T967" s="802"/>
      <c r="U967" s="802"/>
      <c r="V967" s="802"/>
      <c r="W967" s="802"/>
      <c r="X967" s="802"/>
      <c r="Y967" s="802"/>
      <c r="Z967" s="802"/>
      <c r="AA967" s="802"/>
      <c r="AB967" s="802"/>
      <c r="AC967" s="802"/>
      <c r="AD967" s="802"/>
      <c r="AE967" s="802"/>
      <c r="AF967" s="802"/>
      <c r="AG967" s="802"/>
      <c r="AH967" s="802"/>
      <c r="AI967" s="802"/>
      <c r="AJ967" s="802"/>
      <c r="AK967" s="802"/>
      <c r="AL967" s="802"/>
      <c r="AM967" s="802"/>
      <c r="AN967" s="802"/>
      <c r="AO967" s="802"/>
      <c r="AP967" s="802"/>
      <c r="AQ967" s="802"/>
      <c r="AR967" s="802"/>
      <c r="AS967" s="802"/>
      <c r="AT967" s="802"/>
      <c r="AU967" s="802"/>
      <c r="AV967" s="802"/>
      <c r="AW967" s="802"/>
      <c r="AX967" s="802"/>
      <c r="AY967" s="802"/>
    </row>
    <row r="968" ht="21.75" customHeight="1">
      <c r="A968" s="802"/>
      <c r="B968" s="802"/>
      <c r="C968" s="802"/>
      <c r="D968" s="802"/>
      <c r="E968" s="802"/>
      <c r="F968" s="802"/>
      <c r="G968" s="802"/>
      <c r="H968" s="802"/>
      <c r="I968" s="802"/>
      <c r="J968" s="802"/>
      <c r="K968" s="802"/>
      <c r="L968" s="802"/>
      <c r="M968" s="802"/>
      <c r="N968" s="802"/>
      <c r="O968" s="802"/>
      <c r="P968" s="802"/>
      <c r="Q968" s="802"/>
      <c r="R968" s="802"/>
      <c r="S968" s="802"/>
      <c r="T968" s="802"/>
      <c r="U968" s="802"/>
      <c r="V968" s="802"/>
      <c r="W968" s="802"/>
      <c r="X968" s="802"/>
      <c r="Y968" s="802"/>
      <c r="Z968" s="802"/>
      <c r="AA968" s="802"/>
      <c r="AB968" s="802"/>
      <c r="AC968" s="802"/>
      <c r="AD968" s="802"/>
      <c r="AE968" s="802"/>
      <c r="AF968" s="802"/>
      <c r="AG968" s="802"/>
      <c r="AH968" s="802"/>
      <c r="AI968" s="802"/>
      <c r="AJ968" s="802"/>
      <c r="AK968" s="802"/>
      <c r="AL968" s="802"/>
      <c r="AM968" s="802"/>
      <c r="AN968" s="802"/>
      <c r="AO968" s="802"/>
      <c r="AP968" s="802"/>
      <c r="AQ968" s="802"/>
      <c r="AR968" s="802"/>
      <c r="AS968" s="802"/>
      <c r="AT968" s="802"/>
      <c r="AU968" s="802"/>
      <c r="AV968" s="802"/>
      <c r="AW968" s="802"/>
      <c r="AX968" s="802"/>
      <c r="AY968" s="802"/>
    </row>
    <row r="969" ht="21.75" customHeight="1">
      <c r="A969" s="802"/>
      <c r="B969" s="802"/>
      <c r="C969" s="802"/>
      <c r="D969" s="802"/>
      <c r="E969" s="802"/>
      <c r="F969" s="802"/>
      <c r="G969" s="802"/>
      <c r="H969" s="802"/>
      <c r="I969" s="802"/>
      <c r="J969" s="802"/>
      <c r="K969" s="802"/>
      <c r="L969" s="802"/>
      <c r="M969" s="802"/>
      <c r="N969" s="802"/>
      <c r="O969" s="802"/>
      <c r="P969" s="802"/>
      <c r="Q969" s="802"/>
      <c r="R969" s="802"/>
      <c r="S969" s="802"/>
      <c r="T969" s="802"/>
      <c r="U969" s="802"/>
      <c r="V969" s="802"/>
      <c r="W969" s="802"/>
      <c r="X969" s="802"/>
      <c r="Y969" s="802"/>
      <c r="Z969" s="802"/>
      <c r="AA969" s="802"/>
      <c r="AB969" s="802"/>
      <c r="AC969" s="802"/>
      <c r="AD969" s="802"/>
      <c r="AE969" s="802"/>
      <c r="AF969" s="802"/>
      <c r="AG969" s="802"/>
      <c r="AH969" s="802"/>
      <c r="AI969" s="802"/>
      <c r="AJ969" s="802"/>
      <c r="AK969" s="802"/>
      <c r="AL969" s="802"/>
      <c r="AM969" s="802"/>
      <c r="AN969" s="802"/>
      <c r="AO969" s="802"/>
      <c r="AP969" s="802"/>
      <c r="AQ969" s="802"/>
      <c r="AR969" s="802"/>
      <c r="AS969" s="802"/>
      <c r="AT969" s="802"/>
      <c r="AU969" s="802"/>
      <c r="AV969" s="802"/>
      <c r="AW969" s="802"/>
      <c r="AX969" s="802"/>
      <c r="AY969" s="802"/>
    </row>
    <row r="970" ht="21.75" customHeight="1">
      <c r="A970" s="802"/>
      <c r="B970" s="802"/>
      <c r="C970" s="802"/>
      <c r="D970" s="802"/>
      <c r="E970" s="802"/>
      <c r="F970" s="802"/>
      <c r="G970" s="802"/>
      <c r="H970" s="802"/>
      <c r="I970" s="802"/>
      <c r="J970" s="802"/>
      <c r="K970" s="802"/>
      <c r="L970" s="802"/>
      <c r="M970" s="802"/>
      <c r="N970" s="802"/>
      <c r="O970" s="802"/>
      <c r="P970" s="802"/>
      <c r="Q970" s="802"/>
      <c r="R970" s="802"/>
      <c r="S970" s="802"/>
      <c r="T970" s="802"/>
      <c r="U970" s="802"/>
      <c r="V970" s="802"/>
      <c r="W970" s="802"/>
      <c r="X970" s="802"/>
      <c r="Y970" s="802"/>
      <c r="Z970" s="802"/>
      <c r="AA970" s="802"/>
      <c r="AB970" s="802"/>
      <c r="AC970" s="802"/>
      <c r="AD970" s="802"/>
      <c r="AE970" s="802"/>
      <c r="AF970" s="802"/>
      <c r="AG970" s="802"/>
      <c r="AH970" s="802"/>
      <c r="AI970" s="802"/>
      <c r="AJ970" s="802"/>
      <c r="AK970" s="802"/>
      <c r="AL970" s="802"/>
      <c r="AM970" s="802"/>
      <c r="AN970" s="802"/>
      <c r="AO970" s="802"/>
      <c r="AP970" s="802"/>
      <c r="AQ970" s="802"/>
      <c r="AR970" s="802"/>
      <c r="AS970" s="802"/>
      <c r="AT970" s="802"/>
      <c r="AU970" s="802"/>
      <c r="AV970" s="802"/>
      <c r="AW970" s="802"/>
      <c r="AX970" s="802"/>
      <c r="AY970" s="802"/>
    </row>
    <row r="971" ht="21.75" customHeight="1">
      <c r="A971" s="802"/>
      <c r="B971" s="802"/>
      <c r="C971" s="802"/>
      <c r="D971" s="802"/>
      <c r="E971" s="802"/>
      <c r="F971" s="802"/>
      <c r="G971" s="802"/>
      <c r="H971" s="802"/>
      <c r="I971" s="802"/>
      <c r="J971" s="802"/>
      <c r="K971" s="802"/>
      <c r="L971" s="802"/>
      <c r="M971" s="802"/>
      <c r="N971" s="802"/>
      <c r="O971" s="802"/>
      <c r="P971" s="802"/>
      <c r="Q971" s="802"/>
      <c r="R971" s="802"/>
      <c r="S971" s="802"/>
      <c r="T971" s="802"/>
      <c r="U971" s="802"/>
      <c r="V971" s="802"/>
      <c r="W971" s="802"/>
      <c r="X971" s="802"/>
      <c r="Y971" s="802"/>
      <c r="Z971" s="802"/>
      <c r="AA971" s="802"/>
      <c r="AB971" s="802"/>
      <c r="AC971" s="802"/>
      <c r="AD971" s="802"/>
      <c r="AE971" s="802"/>
      <c r="AF971" s="802"/>
      <c r="AG971" s="802"/>
      <c r="AH971" s="802"/>
      <c r="AI971" s="802"/>
      <c r="AJ971" s="802"/>
      <c r="AK971" s="802"/>
      <c r="AL971" s="802"/>
      <c r="AM971" s="802"/>
      <c r="AN971" s="802"/>
      <c r="AO971" s="802"/>
      <c r="AP971" s="802"/>
      <c r="AQ971" s="802"/>
      <c r="AR971" s="802"/>
      <c r="AS971" s="802"/>
      <c r="AT971" s="802"/>
      <c r="AU971" s="802"/>
      <c r="AV971" s="802"/>
      <c r="AW971" s="802"/>
      <c r="AX971" s="802"/>
      <c r="AY971" s="802"/>
    </row>
    <row r="972" ht="21.75" customHeight="1">
      <c r="A972" s="802"/>
      <c r="B972" s="802"/>
      <c r="C972" s="802"/>
      <c r="D972" s="802"/>
      <c r="E972" s="802"/>
      <c r="F972" s="802"/>
      <c r="G972" s="802"/>
      <c r="H972" s="802"/>
      <c r="I972" s="802"/>
      <c r="J972" s="802"/>
      <c r="K972" s="802"/>
      <c r="L972" s="802"/>
      <c r="M972" s="802"/>
      <c r="N972" s="802"/>
      <c r="O972" s="802"/>
      <c r="P972" s="802"/>
      <c r="Q972" s="802"/>
      <c r="R972" s="802"/>
      <c r="S972" s="802"/>
      <c r="T972" s="802"/>
      <c r="U972" s="802"/>
      <c r="V972" s="802"/>
      <c r="W972" s="802"/>
      <c r="X972" s="802"/>
      <c r="Y972" s="802"/>
      <c r="Z972" s="802"/>
      <c r="AA972" s="802"/>
      <c r="AB972" s="802"/>
      <c r="AC972" s="802"/>
      <c r="AD972" s="802"/>
      <c r="AE972" s="802"/>
      <c r="AF972" s="802"/>
      <c r="AG972" s="802"/>
      <c r="AH972" s="802"/>
      <c r="AI972" s="802"/>
      <c r="AJ972" s="802"/>
      <c r="AK972" s="802"/>
      <c r="AL972" s="802"/>
      <c r="AM972" s="802"/>
      <c r="AN972" s="802"/>
      <c r="AO972" s="802"/>
      <c r="AP972" s="802"/>
      <c r="AQ972" s="802"/>
      <c r="AR972" s="802"/>
      <c r="AS972" s="802"/>
      <c r="AT972" s="802"/>
      <c r="AU972" s="802"/>
      <c r="AV972" s="802"/>
      <c r="AW972" s="802"/>
      <c r="AX972" s="802"/>
      <c r="AY972" s="802"/>
    </row>
    <row r="973" ht="21.75" customHeight="1">
      <c r="A973" s="802"/>
      <c r="B973" s="802"/>
      <c r="C973" s="802"/>
      <c r="D973" s="802"/>
      <c r="E973" s="802"/>
      <c r="F973" s="802"/>
      <c r="G973" s="802"/>
      <c r="H973" s="802"/>
      <c r="I973" s="802"/>
      <c r="J973" s="802"/>
      <c r="K973" s="802"/>
      <c r="L973" s="802"/>
      <c r="M973" s="802"/>
      <c r="N973" s="802"/>
      <c r="O973" s="802"/>
      <c r="P973" s="802"/>
      <c r="Q973" s="802"/>
      <c r="R973" s="802"/>
      <c r="S973" s="802"/>
      <c r="T973" s="802"/>
      <c r="U973" s="802"/>
      <c r="V973" s="802"/>
      <c r="W973" s="802"/>
      <c r="X973" s="802"/>
      <c r="Y973" s="802"/>
      <c r="Z973" s="802"/>
      <c r="AA973" s="802"/>
      <c r="AB973" s="802"/>
      <c r="AC973" s="802"/>
      <c r="AD973" s="802"/>
      <c r="AE973" s="802"/>
      <c r="AF973" s="802"/>
      <c r="AG973" s="802"/>
      <c r="AH973" s="802"/>
      <c r="AI973" s="802"/>
      <c r="AJ973" s="802"/>
      <c r="AK973" s="802"/>
      <c r="AL973" s="802"/>
      <c r="AM973" s="802"/>
      <c r="AN973" s="802"/>
      <c r="AO973" s="802"/>
      <c r="AP973" s="802"/>
      <c r="AQ973" s="802"/>
      <c r="AR973" s="802"/>
      <c r="AS973" s="802"/>
      <c r="AT973" s="802"/>
      <c r="AU973" s="802"/>
      <c r="AV973" s="802"/>
      <c r="AW973" s="802"/>
      <c r="AX973" s="802"/>
      <c r="AY973" s="802"/>
    </row>
    <row r="974" ht="21.75" customHeight="1">
      <c r="A974" s="802"/>
      <c r="B974" s="802"/>
      <c r="C974" s="802"/>
      <c r="D974" s="802"/>
      <c r="E974" s="802"/>
      <c r="F974" s="802"/>
      <c r="G974" s="802"/>
      <c r="H974" s="802"/>
      <c r="I974" s="802"/>
      <c r="J974" s="802"/>
      <c r="K974" s="802"/>
      <c r="L974" s="802"/>
      <c r="M974" s="802"/>
      <c r="N974" s="802"/>
      <c r="O974" s="802"/>
      <c r="P974" s="802"/>
      <c r="Q974" s="802"/>
      <c r="R974" s="802"/>
      <c r="S974" s="802"/>
      <c r="T974" s="802"/>
      <c r="U974" s="802"/>
      <c r="V974" s="802"/>
      <c r="W974" s="802"/>
      <c r="X974" s="802"/>
      <c r="Y974" s="802"/>
      <c r="Z974" s="802"/>
      <c r="AA974" s="802"/>
      <c r="AB974" s="802"/>
      <c r="AC974" s="802"/>
      <c r="AD974" s="802"/>
      <c r="AE974" s="802"/>
      <c r="AF974" s="802"/>
      <c r="AG974" s="802"/>
      <c r="AH974" s="802"/>
      <c r="AI974" s="802"/>
      <c r="AJ974" s="802"/>
      <c r="AK974" s="802"/>
      <c r="AL974" s="802"/>
      <c r="AM974" s="802"/>
      <c r="AN974" s="802"/>
      <c r="AO974" s="802"/>
      <c r="AP974" s="802"/>
      <c r="AQ974" s="802"/>
      <c r="AR974" s="802"/>
      <c r="AS974" s="802"/>
      <c r="AT974" s="802"/>
      <c r="AU974" s="802"/>
      <c r="AV974" s="802"/>
      <c r="AW974" s="802"/>
      <c r="AX974" s="802"/>
      <c r="AY974" s="802"/>
    </row>
  </sheetData>
  <mergeCells count="241">
    <mergeCell ref="D112:P112"/>
    <mergeCell ref="D113:P113"/>
    <mergeCell ref="D114:P114"/>
    <mergeCell ref="D115:P115"/>
    <mergeCell ref="D105:P105"/>
    <mergeCell ref="D106:P106"/>
    <mergeCell ref="D107:P107"/>
    <mergeCell ref="D108:P108"/>
    <mergeCell ref="D109:P109"/>
    <mergeCell ref="D110:P110"/>
    <mergeCell ref="D111:P111"/>
    <mergeCell ref="E56:P56"/>
    <mergeCell ref="E57:P57"/>
    <mergeCell ref="D58:P58"/>
    <mergeCell ref="D59:P59"/>
    <mergeCell ref="D60:P60"/>
    <mergeCell ref="D61:P61"/>
    <mergeCell ref="D62:P62"/>
    <mergeCell ref="D63:P63"/>
    <mergeCell ref="D64:P64"/>
    <mergeCell ref="D65:P65"/>
    <mergeCell ref="D66:P66"/>
    <mergeCell ref="D67:P67"/>
    <mergeCell ref="D68:P68"/>
    <mergeCell ref="D69:P69"/>
    <mergeCell ref="D70:P70"/>
    <mergeCell ref="D71:P71"/>
    <mergeCell ref="D72:P72"/>
    <mergeCell ref="D73:P73"/>
    <mergeCell ref="D74:P74"/>
    <mergeCell ref="D75:P75"/>
    <mergeCell ref="D76:P76"/>
    <mergeCell ref="D77:P77"/>
    <mergeCell ref="D78:P78"/>
    <mergeCell ref="D79:P79"/>
    <mergeCell ref="D80:P80"/>
    <mergeCell ref="D81:P81"/>
    <mergeCell ref="D82:P82"/>
    <mergeCell ref="D83:P83"/>
    <mergeCell ref="D84:P84"/>
    <mergeCell ref="D85:P85"/>
    <mergeCell ref="D86:P86"/>
    <mergeCell ref="D87:P87"/>
    <mergeCell ref="D88:P88"/>
    <mergeCell ref="D89:P89"/>
    <mergeCell ref="D90:P90"/>
    <mergeCell ref="D91:P91"/>
    <mergeCell ref="D92:P92"/>
    <mergeCell ref="D93:P93"/>
    <mergeCell ref="D94:P94"/>
    <mergeCell ref="D95:P95"/>
    <mergeCell ref="D96:P96"/>
    <mergeCell ref="D97:P97"/>
    <mergeCell ref="D98:P98"/>
    <mergeCell ref="D99:P99"/>
    <mergeCell ref="D100:P100"/>
    <mergeCell ref="D101:P101"/>
    <mergeCell ref="D102:P102"/>
    <mergeCell ref="D103:P103"/>
    <mergeCell ref="D104:P104"/>
    <mergeCell ref="AK15:AL15"/>
    <mergeCell ref="AK16:AL16"/>
    <mergeCell ref="E15:P15"/>
    <mergeCell ref="X15:Y15"/>
    <mergeCell ref="AA15:AF15"/>
    <mergeCell ref="AO15:AR15"/>
    <mergeCell ref="AS15:AT15"/>
    <mergeCell ref="AU15:AV15"/>
    <mergeCell ref="AM16:AR16"/>
    <mergeCell ref="AM17:AS17"/>
    <mergeCell ref="AP18:AS18"/>
    <mergeCell ref="E16:P16"/>
    <mergeCell ref="E17:I17"/>
    <mergeCell ref="K17:L17"/>
    <mergeCell ref="X17:Y17"/>
    <mergeCell ref="AA17:AF17"/>
    <mergeCell ref="AK17:AL17"/>
    <mergeCell ref="C18:P18"/>
    <mergeCell ref="U9:V9"/>
    <mergeCell ref="AJ9:AN9"/>
    <mergeCell ref="C5:P6"/>
    <mergeCell ref="U5:AF6"/>
    <mergeCell ref="AN5:AQ6"/>
    <mergeCell ref="C7:P7"/>
    <mergeCell ref="U7:AF7"/>
    <mergeCell ref="AJ7:AV7"/>
    <mergeCell ref="C9:E9"/>
    <mergeCell ref="AS10:AU10"/>
    <mergeCell ref="AQ11:AV11"/>
    <mergeCell ref="AQ12:AV12"/>
    <mergeCell ref="D10:P10"/>
    <mergeCell ref="V10:Y10"/>
    <mergeCell ref="AK10:AP10"/>
    <mergeCell ref="AQ10:AR10"/>
    <mergeCell ref="D11:E11"/>
    <mergeCell ref="J11:P11"/>
    <mergeCell ref="AK11:AL11"/>
    <mergeCell ref="U13:AB13"/>
    <mergeCell ref="AJ13:AV13"/>
    <mergeCell ref="V14:W14"/>
    <mergeCell ref="AK14:AL14"/>
    <mergeCell ref="C12:D12"/>
    <mergeCell ref="F12:P12"/>
    <mergeCell ref="U12:V12"/>
    <mergeCell ref="AJ12:AK12"/>
    <mergeCell ref="C13:J13"/>
    <mergeCell ref="K13:L13"/>
    <mergeCell ref="M13:P13"/>
    <mergeCell ref="U20:V20"/>
    <mergeCell ref="X20:Y20"/>
    <mergeCell ref="AJ19:AK19"/>
    <mergeCell ref="AJ20:AK20"/>
    <mergeCell ref="AJ21:AK21"/>
    <mergeCell ref="AL21:AU21"/>
    <mergeCell ref="AJ22:AK22"/>
    <mergeCell ref="AL22:AU22"/>
    <mergeCell ref="AJ23:AK23"/>
    <mergeCell ref="AJ24:AM24"/>
    <mergeCell ref="AJ25:AV25"/>
    <mergeCell ref="AJ26:AV26"/>
    <mergeCell ref="AJ27:AV27"/>
    <mergeCell ref="AJ28:AV28"/>
    <mergeCell ref="AJ29:AV29"/>
    <mergeCell ref="AJ30:AV30"/>
    <mergeCell ref="C19:D19"/>
    <mergeCell ref="E19:P19"/>
    <mergeCell ref="U19:V19"/>
    <mergeCell ref="W19:AF19"/>
    <mergeCell ref="AL19:AU19"/>
    <mergeCell ref="C20:D20"/>
    <mergeCell ref="AB20:AF20"/>
    <mergeCell ref="AQ20:AU20"/>
    <mergeCell ref="E20:F20"/>
    <mergeCell ref="J20:P20"/>
    <mergeCell ref="C21:D21"/>
    <mergeCell ref="E21:O21"/>
    <mergeCell ref="W21:AF21"/>
    <mergeCell ref="E22:O22"/>
    <mergeCell ref="W22:AF22"/>
    <mergeCell ref="U28:AF28"/>
    <mergeCell ref="U29:AF29"/>
    <mergeCell ref="U30:AF30"/>
    <mergeCell ref="U33:AF33"/>
    <mergeCell ref="U34:AF34"/>
    <mergeCell ref="U35:AF35"/>
    <mergeCell ref="Z37:AD37"/>
    <mergeCell ref="U21:V21"/>
    <mergeCell ref="U22:V22"/>
    <mergeCell ref="U23:V23"/>
    <mergeCell ref="U24:V24"/>
    <mergeCell ref="U25:AF25"/>
    <mergeCell ref="U26:AF26"/>
    <mergeCell ref="U27:AF27"/>
    <mergeCell ref="C22:D22"/>
    <mergeCell ref="C23:D23"/>
    <mergeCell ref="C24:D24"/>
    <mergeCell ref="C25:P25"/>
    <mergeCell ref="C26:P26"/>
    <mergeCell ref="C27:P28"/>
    <mergeCell ref="C29:P29"/>
    <mergeCell ref="AJ33:AV33"/>
    <mergeCell ref="AJ34:AV34"/>
    <mergeCell ref="AJ35:AV35"/>
    <mergeCell ref="C30:P30"/>
    <mergeCell ref="C31:P31"/>
    <mergeCell ref="C32:P32"/>
    <mergeCell ref="C33:P33"/>
    <mergeCell ref="C35:P35"/>
    <mergeCell ref="C37:C38"/>
    <mergeCell ref="D37:E37"/>
    <mergeCell ref="D38:E38"/>
    <mergeCell ref="AM37:AN37"/>
    <mergeCell ref="AT37:AV40"/>
    <mergeCell ref="AM38:AO38"/>
    <mergeCell ref="AQ38:AS38"/>
    <mergeCell ref="AQ40:AS40"/>
    <mergeCell ref="AT41:AV42"/>
    <mergeCell ref="AM42:AO42"/>
    <mergeCell ref="AQ42:AS42"/>
    <mergeCell ref="F38:G38"/>
    <mergeCell ref="J38:L38"/>
    <mergeCell ref="V38:W38"/>
    <mergeCell ref="X38:Z38"/>
    <mergeCell ref="AK37:AL37"/>
    <mergeCell ref="AK38:AL38"/>
    <mergeCell ref="AK40:AL40"/>
    <mergeCell ref="AJ41:AJ42"/>
    <mergeCell ref="AK41:AL41"/>
    <mergeCell ref="AK42:AL42"/>
    <mergeCell ref="C39:C40"/>
    <mergeCell ref="D39:E39"/>
    <mergeCell ref="D40:E40"/>
    <mergeCell ref="C41:C42"/>
    <mergeCell ref="D41:E41"/>
    <mergeCell ref="D42:E42"/>
    <mergeCell ref="AB38:AD38"/>
    <mergeCell ref="AB40:AD40"/>
    <mergeCell ref="AE41:AF42"/>
    <mergeCell ref="I41:L41"/>
    <mergeCell ref="I42:L42"/>
    <mergeCell ref="F37:G37"/>
    <mergeCell ref="M37:P40"/>
    <mergeCell ref="U37:U38"/>
    <mergeCell ref="V37:W37"/>
    <mergeCell ref="AE37:AF40"/>
    <mergeCell ref="AJ37:AJ38"/>
    <mergeCell ref="V40:W40"/>
    <mergeCell ref="V42:W42"/>
    <mergeCell ref="X42:Z42"/>
    <mergeCell ref="AB42:AD42"/>
    <mergeCell ref="F39:G39"/>
    <mergeCell ref="F40:G40"/>
    <mergeCell ref="F41:G41"/>
    <mergeCell ref="M41:P42"/>
    <mergeCell ref="U41:U42"/>
    <mergeCell ref="V41:W41"/>
    <mergeCell ref="F42:G42"/>
    <mergeCell ref="C45:D45"/>
    <mergeCell ref="E45:P45"/>
    <mergeCell ref="C46:D46"/>
    <mergeCell ref="E46:P46"/>
    <mergeCell ref="C47:D47"/>
    <mergeCell ref="E47:P47"/>
    <mergeCell ref="E48:P48"/>
    <mergeCell ref="C55:D55"/>
    <mergeCell ref="C56:D56"/>
    <mergeCell ref="C57:D57"/>
    <mergeCell ref="C48:D48"/>
    <mergeCell ref="C49:D49"/>
    <mergeCell ref="C50:D50"/>
    <mergeCell ref="C51:D51"/>
    <mergeCell ref="C52:D52"/>
    <mergeCell ref="C53:D53"/>
    <mergeCell ref="C54:D54"/>
    <mergeCell ref="E49:P49"/>
    <mergeCell ref="E50:P50"/>
    <mergeCell ref="E51:P51"/>
    <mergeCell ref="E52:P52"/>
    <mergeCell ref="E53:P53"/>
    <mergeCell ref="E54:P54"/>
    <mergeCell ref="E55:P55"/>
  </mergeCells>
  <conditionalFormatting sqref="C18:P34 Q18:Q33">
    <cfRule type="notContainsBlanks" dxfId="8" priority="1">
      <formula>LEN(TRIM(C18))&gt;0</formula>
    </cfRule>
  </conditionalFormatting>
  <conditionalFormatting sqref="C18:P34 Q18:Q33">
    <cfRule type="notContainsBlanks" dxfId="8" priority="2">
      <formula>LEN(TRIM(C18))&gt;0</formula>
    </cfRule>
  </conditionalFormatting>
  <printOptions horizontalCentered="1"/>
  <pageMargins bottom="0.5905511811023622" footer="0.0" header="0.0" left="0.39370078740157477" right="0.39370078740157477" top="1.1811023622047243"/>
  <pageSetup fitToHeight="0" paperSize="8"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31.25"/>
    <col customWidth="1" min="4" max="4" width="3.5"/>
    <col customWidth="1" min="5" max="5" width="31.63"/>
    <col customWidth="1" min="6" max="6" width="15.88"/>
    <col customWidth="1" min="7" max="7" width="3.25"/>
    <col customWidth="1" min="8" max="8" width="31.75"/>
    <col customWidth="1" min="9" max="9" width="14.25"/>
    <col customWidth="1" min="10" max="10" width="6.13"/>
    <col customWidth="1" min="11" max="11" width="34.13"/>
    <col customWidth="1" min="12" max="12" width="16.63"/>
    <col customWidth="1" min="13" max="15" width="34.13"/>
  </cols>
  <sheetData>
    <row r="1">
      <c r="A1" s="847"/>
      <c r="B1" s="848" t="s">
        <v>2996</v>
      </c>
      <c r="C1" s="849"/>
      <c r="D1" s="847"/>
      <c r="E1" s="848" t="s">
        <v>2997</v>
      </c>
      <c r="F1" s="849"/>
      <c r="G1" s="847"/>
      <c r="H1" s="848" t="s">
        <v>2998</v>
      </c>
      <c r="I1" s="849"/>
      <c r="J1" s="848"/>
      <c r="K1" s="848" t="s">
        <v>2999</v>
      </c>
      <c r="L1" s="849"/>
      <c r="M1" s="848"/>
      <c r="N1" s="848"/>
      <c r="O1" s="848" t="s">
        <v>3000</v>
      </c>
      <c r="P1" s="850"/>
      <c r="Q1" s="847"/>
      <c r="R1" s="325"/>
      <c r="S1" s="851" t="s">
        <v>3000</v>
      </c>
      <c r="T1" s="847"/>
      <c r="U1" s="847"/>
      <c r="V1" s="847"/>
      <c r="W1" s="847"/>
      <c r="X1" s="847"/>
      <c r="Y1" s="847"/>
      <c r="Z1" s="847"/>
      <c r="AA1" s="847"/>
      <c r="AB1" s="847"/>
      <c r="AC1" s="847"/>
      <c r="AD1" s="847"/>
      <c r="AE1" s="847"/>
      <c r="AF1" s="847"/>
      <c r="AG1" s="847"/>
    </row>
    <row r="2">
      <c r="A2" s="847"/>
      <c r="B2" s="852"/>
      <c r="C2" s="853"/>
      <c r="D2" s="854"/>
      <c r="E2" s="852"/>
      <c r="F2" s="853"/>
      <c r="G2" s="847"/>
      <c r="H2" s="852"/>
      <c r="I2" s="853"/>
      <c r="J2" s="852"/>
      <c r="K2" s="852"/>
      <c r="L2" s="853"/>
      <c r="M2" s="852"/>
      <c r="N2" s="852"/>
      <c r="O2" s="852"/>
      <c r="P2" s="853"/>
      <c r="Q2" s="847"/>
      <c r="R2" s="325"/>
      <c r="S2" s="847"/>
      <c r="T2" s="321"/>
      <c r="U2" s="847"/>
      <c r="V2" s="847"/>
      <c r="W2" s="847"/>
      <c r="X2" s="847"/>
      <c r="Y2" s="847"/>
      <c r="Z2" s="847"/>
      <c r="AA2" s="847"/>
      <c r="AB2" s="847"/>
      <c r="AC2" s="847"/>
      <c r="AD2" s="847"/>
      <c r="AE2" s="847"/>
      <c r="AF2" s="847"/>
      <c r="AG2" s="847"/>
    </row>
    <row r="3">
      <c r="A3" s="847"/>
      <c r="B3" s="852" t="s">
        <v>3001</v>
      </c>
      <c r="C3" s="855">
        <v>0.0</v>
      </c>
      <c r="D3" s="847"/>
      <c r="E3" s="852" t="s">
        <v>3001</v>
      </c>
      <c r="F3" s="855">
        <v>0.0</v>
      </c>
      <c r="G3" s="847"/>
      <c r="H3" s="852" t="s">
        <v>3001</v>
      </c>
      <c r="I3" s="855">
        <v>0.0</v>
      </c>
      <c r="J3" s="852"/>
      <c r="K3" s="852" t="s">
        <v>3001</v>
      </c>
      <c r="L3" s="855">
        <v>0.0</v>
      </c>
      <c r="M3" s="852"/>
      <c r="N3" s="852"/>
      <c r="O3" s="852" t="s">
        <v>3002</v>
      </c>
      <c r="P3" s="853"/>
      <c r="Q3" s="847"/>
      <c r="R3" s="325" t="s">
        <v>45</v>
      </c>
      <c r="S3" s="847"/>
      <c r="T3" s="322">
        <v>450000.0</v>
      </c>
      <c r="U3" s="847"/>
      <c r="V3" s="847"/>
      <c r="W3" s="847"/>
      <c r="X3" s="847"/>
      <c r="Y3" s="847"/>
      <c r="Z3" s="847"/>
      <c r="AA3" s="847"/>
      <c r="AB3" s="847"/>
      <c r="AC3" s="847"/>
      <c r="AD3" s="847"/>
      <c r="AE3" s="847"/>
      <c r="AF3" s="847"/>
      <c r="AG3" s="847"/>
    </row>
    <row r="4">
      <c r="A4" s="847"/>
      <c r="B4" s="852" t="s">
        <v>3003</v>
      </c>
      <c r="C4" s="855">
        <v>43080.0</v>
      </c>
      <c r="D4" s="847"/>
      <c r="E4" s="852" t="s">
        <v>3004</v>
      </c>
      <c r="F4" s="853">
        <v>45340.0</v>
      </c>
      <c r="G4" s="847"/>
      <c r="H4" s="852" t="s">
        <v>3004</v>
      </c>
      <c r="I4" s="853">
        <v>45000.0</v>
      </c>
      <c r="J4" s="852"/>
      <c r="K4" s="852" t="s">
        <v>3005</v>
      </c>
      <c r="L4" s="853">
        <v>45000.0</v>
      </c>
      <c r="M4" s="852"/>
      <c r="N4" s="852"/>
      <c r="O4" s="852" t="s">
        <v>3006</v>
      </c>
      <c r="P4" s="853">
        <v>50000.0</v>
      </c>
      <c r="Q4" s="847"/>
      <c r="R4" s="325" t="s">
        <v>47</v>
      </c>
      <c r="S4" s="847"/>
      <c r="T4" s="322" t="s">
        <v>627</v>
      </c>
      <c r="U4" s="847"/>
      <c r="V4" s="847"/>
      <c r="W4" s="847"/>
      <c r="X4" s="847"/>
      <c r="Y4" s="847"/>
      <c r="Z4" s="847"/>
      <c r="AA4" s="847"/>
      <c r="AB4" s="847"/>
      <c r="AC4" s="847"/>
      <c r="AD4" s="847"/>
      <c r="AE4" s="847"/>
      <c r="AF4" s="847"/>
      <c r="AG4" s="847"/>
    </row>
    <row r="5">
      <c r="A5" s="847"/>
      <c r="B5" s="852" t="s">
        <v>3007</v>
      </c>
      <c r="C5" s="855">
        <v>169910.0</v>
      </c>
      <c r="D5" s="851"/>
      <c r="E5" s="852" t="s">
        <v>3007</v>
      </c>
      <c r="F5" s="855">
        <v>201170.0</v>
      </c>
      <c r="G5" s="851"/>
      <c r="H5" s="852" t="s">
        <v>3007</v>
      </c>
      <c r="I5" s="855">
        <v>213940.0</v>
      </c>
      <c r="J5" s="852"/>
      <c r="K5" s="852" t="s">
        <v>3008</v>
      </c>
      <c r="L5" s="855">
        <v>200000.0</v>
      </c>
      <c r="M5" s="852"/>
      <c r="N5" s="852"/>
      <c r="O5" s="852" t="s">
        <v>3009</v>
      </c>
      <c r="P5" s="853">
        <v>450000.0</v>
      </c>
      <c r="Q5" s="847"/>
      <c r="R5" s="325" t="s">
        <v>261</v>
      </c>
      <c r="S5" s="847"/>
      <c r="T5" s="322">
        <v>419720.0</v>
      </c>
      <c r="U5" s="847"/>
      <c r="V5" s="847"/>
      <c r="W5" s="847"/>
      <c r="X5" s="847"/>
      <c r="Y5" s="847"/>
      <c r="Z5" s="847"/>
      <c r="AA5" s="847"/>
      <c r="AB5" s="847"/>
      <c r="AC5" s="847"/>
      <c r="AD5" s="847"/>
      <c r="AE5" s="847"/>
      <c r="AF5" s="847"/>
      <c r="AG5" s="847"/>
    </row>
    <row r="6">
      <c r="A6" s="847"/>
      <c r="B6" s="852" t="s">
        <v>576</v>
      </c>
      <c r="C6" s="855">
        <v>32000.0</v>
      </c>
      <c r="D6" s="851"/>
      <c r="E6" s="852" t="s">
        <v>576</v>
      </c>
      <c r="F6" s="855">
        <v>32000.0</v>
      </c>
      <c r="G6" s="851"/>
      <c r="H6" s="852" t="s">
        <v>576</v>
      </c>
      <c r="I6" s="855">
        <v>32000.0</v>
      </c>
      <c r="J6" s="852"/>
      <c r="K6" s="852" t="s">
        <v>576</v>
      </c>
      <c r="L6" s="855">
        <v>32000.0</v>
      </c>
      <c r="M6" s="852"/>
      <c r="N6" s="852"/>
      <c r="O6" s="852" t="s">
        <v>3010</v>
      </c>
      <c r="P6" s="853">
        <v>100000.0</v>
      </c>
      <c r="Q6" s="847"/>
      <c r="R6" s="325" t="s">
        <v>51</v>
      </c>
      <c r="S6" s="847"/>
      <c r="T6" s="322" t="s">
        <v>627</v>
      </c>
      <c r="U6" s="847"/>
      <c r="V6" s="847"/>
      <c r="W6" s="847"/>
      <c r="X6" s="847"/>
      <c r="Y6" s="847"/>
      <c r="Z6" s="847"/>
      <c r="AA6" s="847"/>
      <c r="AB6" s="847"/>
      <c r="AC6" s="847"/>
      <c r="AD6" s="847"/>
      <c r="AE6" s="847"/>
      <c r="AF6" s="847"/>
      <c r="AG6" s="847"/>
    </row>
    <row r="7">
      <c r="A7" s="847"/>
      <c r="B7" s="852" t="s">
        <v>3011</v>
      </c>
      <c r="C7" s="855">
        <v>25000.0</v>
      </c>
      <c r="D7" s="847"/>
      <c r="E7" s="852" t="s">
        <v>3011</v>
      </c>
      <c r="F7" s="855">
        <v>25000.0</v>
      </c>
      <c r="G7" s="847"/>
      <c r="H7" s="852" t="s">
        <v>3011</v>
      </c>
      <c r="I7" s="855">
        <v>25000.0</v>
      </c>
      <c r="J7" s="856"/>
      <c r="K7" s="852" t="s">
        <v>3011</v>
      </c>
      <c r="L7" s="855">
        <v>25000.0</v>
      </c>
      <c r="M7" s="856"/>
      <c r="N7" s="856"/>
      <c r="O7" s="856" t="s">
        <v>3012</v>
      </c>
      <c r="P7" s="853">
        <v>23100.0</v>
      </c>
      <c r="Q7" s="847"/>
      <c r="R7" s="325" t="s">
        <v>52</v>
      </c>
      <c r="S7" s="847"/>
      <c r="T7" s="322">
        <v>25000.0</v>
      </c>
      <c r="U7" s="847"/>
      <c r="V7" s="847"/>
      <c r="W7" s="847"/>
      <c r="X7" s="847"/>
      <c r="Y7" s="847"/>
      <c r="Z7" s="847"/>
      <c r="AA7" s="847"/>
      <c r="AB7" s="847"/>
      <c r="AC7" s="847"/>
      <c r="AD7" s="847"/>
      <c r="AE7" s="847"/>
      <c r="AF7" s="847"/>
      <c r="AG7" s="847"/>
    </row>
    <row r="8">
      <c r="A8" s="847"/>
      <c r="B8" s="852" t="s">
        <v>3013</v>
      </c>
      <c r="C8" s="855">
        <v>11000.0</v>
      </c>
      <c r="D8" s="847"/>
      <c r="E8" s="852" t="s">
        <v>3013</v>
      </c>
      <c r="F8" s="855">
        <v>11000.0</v>
      </c>
      <c r="G8" s="847"/>
      <c r="H8" s="852" t="s">
        <v>3013</v>
      </c>
      <c r="I8" s="855">
        <v>11000.0</v>
      </c>
      <c r="J8" s="852"/>
      <c r="K8" s="852" t="s">
        <v>3013</v>
      </c>
      <c r="L8" s="855">
        <v>11000.0</v>
      </c>
      <c r="M8" s="852"/>
      <c r="N8" s="852"/>
      <c r="O8" s="852" t="s">
        <v>3014</v>
      </c>
      <c r="P8" s="853">
        <v>19900.0</v>
      </c>
      <c r="Q8" s="847"/>
      <c r="R8" s="325" t="s">
        <v>53</v>
      </c>
      <c r="S8" s="847"/>
      <c r="T8" s="322">
        <v>11000.0</v>
      </c>
      <c r="U8" s="847"/>
      <c r="V8" s="847"/>
      <c r="W8" s="847"/>
      <c r="X8" s="847"/>
      <c r="Y8" s="847"/>
      <c r="Z8" s="847"/>
      <c r="AA8" s="847"/>
      <c r="AB8" s="847"/>
      <c r="AC8" s="847"/>
      <c r="AD8" s="847"/>
      <c r="AE8" s="847"/>
      <c r="AF8" s="847"/>
      <c r="AG8" s="847"/>
    </row>
    <row r="9">
      <c r="A9" s="847"/>
      <c r="B9" s="852" t="s">
        <v>3015</v>
      </c>
      <c r="C9" s="853">
        <v>44900.0</v>
      </c>
      <c r="D9" s="847"/>
      <c r="E9" s="852" t="s">
        <v>3015</v>
      </c>
      <c r="F9" s="853">
        <v>40950.0</v>
      </c>
      <c r="G9" s="847"/>
      <c r="H9" s="852" t="s">
        <v>3015</v>
      </c>
      <c r="I9" s="853">
        <v>60510.0</v>
      </c>
      <c r="J9" s="852"/>
      <c r="K9" s="852" t="s">
        <v>3015</v>
      </c>
      <c r="L9" s="853">
        <v>0.0</v>
      </c>
      <c r="M9" s="852"/>
      <c r="N9" s="852"/>
      <c r="O9" s="852"/>
      <c r="P9" s="853"/>
      <c r="Q9" s="847"/>
      <c r="R9" s="325"/>
      <c r="S9" s="847"/>
      <c r="T9" s="322"/>
      <c r="U9" s="847"/>
      <c r="V9" s="847"/>
      <c r="W9" s="847"/>
      <c r="X9" s="847"/>
      <c r="Y9" s="847"/>
      <c r="Z9" s="847"/>
      <c r="AA9" s="847"/>
      <c r="AB9" s="847"/>
      <c r="AC9" s="847"/>
      <c r="AD9" s="847"/>
      <c r="AE9" s="847"/>
      <c r="AF9" s="847"/>
      <c r="AG9" s="847"/>
    </row>
    <row r="10">
      <c r="A10" s="847"/>
      <c r="B10" s="857" t="s">
        <v>2492</v>
      </c>
      <c r="C10" s="858">
        <v>0.0</v>
      </c>
      <c r="D10" s="859"/>
      <c r="E10" s="857" t="s">
        <v>2492</v>
      </c>
      <c r="F10" s="858"/>
      <c r="G10" s="847"/>
      <c r="H10" s="857" t="s">
        <v>2492</v>
      </c>
      <c r="I10" s="858">
        <v>0.0</v>
      </c>
      <c r="J10" s="857"/>
      <c r="K10" s="857" t="s">
        <v>2492</v>
      </c>
      <c r="L10" s="858">
        <v>0.0</v>
      </c>
      <c r="M10" s="857"/>
      <c r="N10" s="857"/>
      <c r="O10" s="857" t="s">
        <v>3016</v>
      </c>
      <c r="P10" s="858">
        <v>5500.0</v>
      </c>
      <c r="Q10" s="847"/>
      <c r="R10" s="325" t="s">
        <v>265</v>
      </c>
      <c r="S10" s="847"/>
      <c r="T10" s="322">
        <v>10000.0</v>
      </c>
      <c r="U10" s="847"/>
      <c r="V10" s="847"/>
      <c r="W10" s="847"/>
      <c r="X10" s="847"/>
      <c r="Y10" s="847"/>
      <c r="Z10" s="847"/>
      <c r="AA10" s="847"/>
      <c r="AB10" s="847"/>
      <c r="AC10" s="847"/>
      <c r="AD10" s="847"/>
      <c r="AE10" s="847"/>
      <c r="AF10" s="847"/>
      <c r="AG10" s="847"/>
    </row>
    <row r="11">
      <c r="A11" s="847"/>
      <c r="B11" s="852" t="s">
        <v>3017</v>
      </c>
      <c r="C11" s="860">
        <f>SUM(C3:C10)</f>
        <v>325890</v>
      </c>
      <c r="D11" s="847"/>
      <c r="E11" s="852" t="s">
        <v>3017</v>
      </c>
      <c r="F11" s="860">
        <f>SUM(F3:F10)</f>
        <v>355460</v>
      </c>
      <c r="G11" s="847"/>
      <c r="H11" s="852" t="s">
        <v>3017</v>
      </c>
      <c r="I11" s="860">
        <f>SUM(I3:I10)</f>
        <v>387450</v>
      </c>
      <c r="J11" s="852"/>
      <c r="K11" s="852" t="s">
        <v>3017</v>
      </c>
      <c r="L11" s="860">
        <f>SUM(L3:L10)</f>
        <v>313000</v>
      </c>
      <c r="M11" s="852"/>
      <c r="N11" s="852"/>
      <c r="O11" s="852" t="s">
        <v>3018</v>
      </c>
      <c r="P11" s="860">
        <f>SUM(P3:P10)</f>
        <v>648500</v>
      </c>
      <c r="Q11" s="847"/>
      <c r="R11" s="851" t="s">
        <v>54</v>
      </c>
      <c r="S11" s="847"/>
      <c r="T11" s="847"/>
      <c r="U11" s="847"/>
      <c r="V11" s="847"/>
      <c r="W11" s="847"/>
      <c r="X11" s="847"/>
      <c r="Y11" s="847"/>
      <c r="Z11" s="847"/>
      <c r="AA11" s="847"/>
      <c r="AB11" s="847"/>
      <c r="AC11" s="847"/>
      <c r="AD11" s="847"/>
      <c r="AE11" s="847"/>
      <c r="AF11" s="847"/>
      <c r="AG11" s="847"/>
    </row>
    <row r="12">
      <c r="A12" s="847"/>
      <c r="B12" s="861"/>
      <c r="C12" s="860"/>
      <c r="D12" s="859"/>
      <c r="E12" s="861"/>
      <c r="F12" s="860"/>
      <c r="G12" s="847"/>
      <c r="H12" s="861"/>
      <c r="I12" s="860"/>
      <c r="J12" s="861"/>
      <c r="K12" s="861"/>
      <c r="L12" s="860"/>
      <c r="M12" s="861"/>
      <c r="N12" s="861"/>
      <c r="O12" s="861"/>
      <c r="P12" s="860"/>
      <c r="Q12" s="847"/>
      <c r="R12" s="847"/>
      <c r="S12" s="847"/>
      <c r="T12" s="847"/>
      <c r="U12" s="847"/>
      <c r="V12" s="847"/>
      <c r="W12" s="847"/>
      <c r="X12" s="847"/>
      <c r="Y12" s="847"/>
      <c r="Z12" s="847"/>
      <c r="AA12" s="847"/>
      <c r="AB12" s="847"/>
      <c r="AC12" s="847"/>
      <c r="AD12" s="847"/>
      <c r="AE12" s="847"/>
      <c r="AF12" s="847"/>
      <c r="AG12" s="847"/>
    </row>
    <row r="13">
      <c r="A13" s="847"/>
      <c r="B13" s="852" t="s">
        <v>3019</v>
      </c>
      <c r="C13" s="853">
        <v>180000.0</v>
      </c>
      <c r="D13" s="859"/>
      <c r="E13" s="852" t="s">
        <v>3019</v>
      </c>
      <c r="F13" s="853">
        <v>180000.0</v>
      </c>
      <c r="G13" s="847"/>
      <c r="H13" s="852" t="s">
        <v>3019</v>
      </c>
      <c r="I13" s="853">
        <v>180000.0</v>
      </c>
      <c r="J13" s="852"/>
      <c r="K13" s="852" t="s">
        <v>3020</v>
      </c>
      <c r="L13" s="853">
        <v>164516.0</v>
      </c>
      <c r="M13" s="852"/>
      <c r="N13" s="852"/>
      <c r="O13" s="852" t="s">
        <v>3021</v>
      </c>
      <c r="P13" s="853">
        <f>6*120000</f>
        <v>720000</v>
      </c>
      <c r="Q13" s="847"/>
      <c r="R13" s="847"/>
      <c r="S13" s="847"/>
      <c r="T13" s="847"/>
      <c r="U13" s="847"/>
      <c r="V13" s="847"/>
      <c r="W13" s="847"/>
      <c r="X13" s="847"/>
      <c r="Y13" s="847"/>
      <c r="Z13" s="847"/>
      <c r="AA13" s="847"/>
      <c r="AB13" s="847"/>
      <c r="AC13" s="847"/>
      <c r="AD13" s="847"/>
      <c r="AE13" s="847"/>
      <c r="AF13" s="847"/>
      <c r="AG13" s="847"/>
    </row>
    <row r="14">
      <c r="A14" s="847"/>
      <c r="B14" s="862" t="s">
        <v>3022</v>
      </c>
      <c r="C14" s="863">
        <v>100000.0</v>
      </c>
      <c r="D14" s="859"/>
      <c r="E14" s="862" t="s">
        <v>3022</v>
      </c>
      <c r="F14" s="863">
        <v>100000.0</v>
      </c>
      <c r="G14" s="847"/>
      <c r="H14" s="862" t="s">
        <v>3022</v>
      </c>
      <c r="I14" s="863">
        <v>100000.0</v>
      </c>
      <c r="J14" s="862"/>
      <c r="K14" s="862" t="s">
        <v>3022</v>
      </c>
      <c r="L14" s="863">
        <v>100000.0</v>
      </c>
      <c r="M14" s="862"/>
      <c r="N14" s="862"/>
      <c r="O14" s="862" t="s">
        <v>3023</v>
      </c>
      <c r="P14" s="863">
        <v>0.0</v>
      </c>
      <c r="Q14" s="847"/>
      <c r="R14" s="847"/>
      <c r="S14" s="847"/>
      <c r="T14" s="847"/>
      <c r="U14" s="847"/>
      <c r="V14" s="847"/>
      <c r="W14" s="847"/>
      <c r="X14" s="847"/>
      <c r="Y14" s="847"/>
      <c r="Z14" s="847"/>
      <c r="AA14" s="847"/>
      <c r="AB14" s="847"/>
      <c r="AC14" s="847"/>
      <c r="AD14" s="847"/>
      <c r="AE14" s="847"/>
      <c r="AF14" s="847"/>
      <c r="AG14" s="847"/>
    </row>
    <row r="15">
      <c r="A15" s="847"/>
      <c r="B15" s="852" t="s">
        <v>3024</v>
      </c>
      <c r="C15" s="860">
        <f>C11-C13-C14</f>
        <v>45890</v>
      </c>
      <c r="D15" s="859"/>
      <c r="E15" s="852" t="s">
        <v>3024</v>
      </c>
      <c r="F15" s="860">
        <f>F11-F13-F14</f>
        <v>75460</v>
      </c>
      <c r="G15" s="847"/>
      <c r="H15" s="852" t="s">
        <v>3024</v>
      </c>
      <c r="I15" s="860">
        <f>I11-I13-I14</f>
        <v>107450</v>
      </c>
      <c r="J15" s="852"/>
      <c r="K15" s="852" t="s">
        <v>3024</v>
      </c>
      <c r="L15" s="860">
        <f>L11-L13-L14</f>
        <v>48484</v>
      </c>
      <c r="M15" s="852"/>
      <c r="N15" s="852"/>
      <c r="O15" s="852" t="s">
        <v>3025</v>
      </c>
      <c r="P15" s="860">
        <f>P11-P13-P14</f>
        <v>-71500</v>
      </c>
      <c r="Q15" s="847"/>
      <c r="R15" s="847"/>
      <c r="S15" s="847"/>
      <c r="T15" s="847"/>
      <c r="U15" s="847"/>
      <c r="V15" s="847"/>
      <c r="W15" s="847"/>
      <c r="X15" s="847"/>
      <c r="Y15" s="847"/>
      <c r="Z15" s="847"/>
      <c r="AA15" s="847"/>
      <c r="AB15" s="847"/>
      <c r="AC15" s="847"/>
      <c r="AD15" s="847"/>
      <c r="AE15" s="847"/>
      <c r="AF15" s="847"/>
      <c r="AG15" s="847"/>
    </row>
    <row r="16">
      <c r="A16" s="847"/>
      <c r="B16" s="862" t="s">
        <v>3026</v>
      </c>
      <c r="C16" s="864">
        <f>C15/2</f>
        <v>22945</v>
      </c>
      <c r="D16" s="859"/>
      <c r="E16" s="862" t="s">
        <v>3026</v>
      </c>
      <c r="F16" s="864">
        <f>F15/2</f>
        <v>37730</v>
      </c>
      <c r="G16" s="847"/>
      <c r="H16" s="862" t="s">
        <v>3026</v>
      </c>
      <c r="I16" s="864">
        <f>I15/2</f>
        <v>53725</v>
      </c>
      <c r="J16" s="862"/>
      <c r="K16" s="862" t="s">
        <v>3026</v>
      </c>
      <c r="L16" s="864">
        <f>L15/2</f>
        <v>24242</v>
      </c>
      <c r="M16" s="862"/>
      <c r="N16" s="862"/>
      <c r="O16" s="862" t="s">
        <v>3027</v>
      </c>
      <c r="P16" s="864">
        <f>P15/4</f>
        <v>-17875</v>
      </c>
      <c r="Q16" s="847"/>
      <c r="R16" s="847"/>
      <c r="S16" s="847"/>
      <c r="T16" s="847"/>
      <c r="U16" s="847"/>
      <c r="V16" s="847"/>
      <c r="W16" s="847"/>
      <c r="X16" s="847"/>
      <c r="Y16" s="847"/>
      <c r="Z16" s="847"/>
      <c r="AA16" s="847"/>
      <c r="AB16" s="847"/>
      <c r="AC16" s="847"/>
      <c r="AD16" s="847"/>
      <c r="AE16" s="847"/>
      <c r="AF16" s="847"/>
      <c r="AG16" s="847"/>
    </row>
    <row r="17">
      <c r="A17" s="847"/>
      <c r="B17" s="865" t="s">
        <v>3028</v>
      </c>
      <c r="C17" s="866">
        <v>20000.0</v>
      </c>
      <c r="D17" s="859"/>
      <c r="E17" s="865" t="s">
        <v>3028</v>
      </c>
      <c r="F17" s="866">
        <v>35000.0</v>
      </c>
      <c r="G17" s="847"/>
      <c r="H17" s="865" t="s">
        <v>3028</v>
      </c>
      <c r="I17" s="866">
        <v>50000.0</v>
      </c>
      <c r="J17" s="865"/>
      <c r="K17" s="865" t="s">
        <v>3028</v>
      </c>
      <c r="L17" s="866">
        <v>20000.0</v>
      </c>
      <c r="M17" s="865"/>
      <c r="N17" s="865"/>
      <c r="O17" s="865" t="s">
        <v>3029</v>
      </c>
      <c r="P17" s="866">
        <v>22000.0</v>
      </c>
      <c r="Q17" s="847"/>
      <c r="R17" s="847"/>
      <c r="S17" s="847"/>
      <c r="T17" s="847"/>
      <c r="U17" s="847"/>
      <c r="V17" s="847"/>
      <c r="W17" s="847"/>
      <c r="X17" s="847"/>
      <c r="Y17" s="847"/>
      <c r="Z17" s="847"/>
      <c r="AA17" s="847"/>
      <c r="AB17" s="847"/>
      <c r="AC17" s="847"/>
      <c r="AD17" s="847"/>
      <c r="AE17" s="847"/>
      <c r="AF17" s="847"/>
      <c r="AG17" s="847"/>
    </row>
    <row r="18">
      <c r="A18" s="847"/>
      <c r="B18" s="861"/>
      <c r="C18" s="852"/>
      <c r="D18" s="859"/>
      <c r="E18" s="852"/>
      <c r="F18" s="852"/>
      <c r="G18" s="847"/>
      <c r="H18" s="851"/>
      <c r="I18" s="851"/>
      <c r="J18" s="867"/>
      <c r="K18" s="868" t="s">
        <v>42</v>
      </c>
      <c r="L18" s="869">
        <f>C17+F17+I17+L17</f>
        <v>125000</v>
      </c>
      <c r="M18" s="867"/>
      <c r="N18" s="867"/>
      <c r="O18" s="867"/>
      <c r="P18" s="870"/>
      <c r="Q18" s="847"/>
      <c r="R18" s="847"/>
      <c r="S18" s="847"/>
      <c r="T18" s="847"/>
      <c r="U18" s="847"/>
      <c r="V18" s="847"/>
      <c r="W18" s="847"/>
      <c r="X18" s="847"/>
      <c r="Y18" s="847"/>
      <c r="Z18" s="847"/>
      <c r="AA18" s="847"/>
      <c r="AB18" s="847"/>
      <c r="AC18" s="847"/>
      <c r="AD18" s="847"/>
      <c r="AE18" s="847"/>
      <c r="AF18" s="847"/>
      <c r="AG18" s="847"/>
    </row>
    <row r="19">
      <c r="A19" s="847"/>
      <c r="B19" s="861"/>
      <c r="C19" s="861"/>
      <c r="D19" s="859"/>
      <c r="E19" s="859"/>
      <c r="F19" s="847"/>
      <c r="G19" s="847"/>
      <c r="H19" s="847"/>
      <c r="I19" s="851"/>
      <c r="J19" s="847"/>
      <c r="K19" s="847"/>
      <c r="L19" s="847"/>
      <c r="M19" s="847"/>
      <c r="N19" s="847"/>
      <c r="O19" s="847"/>
      <c r="P19" s="847"/>
      <c r="Q19" s="847"/>
      <c r="R19" s="847"/>
      <c r="S19" s="847"/>
      <c r="T19" s="847"/>
      <c r="U19" s="847"/>
      <c r="V19" s="847"/>
      <c r="W19" s="847"/>
      <c r="X19" s="847"/>
      <c r="Y19" s="847"/>
      <c r="Z19" s="847"/>
      <c r="AA19" s="847"/>
      <c r="AB19" s="847"/>
      <c r="AC19" s="847"/>
      <c r="AD19" s="847"/>
      <c r="AE19" s="847"/>
      <c r="AF19" s="847"/>
      <c r="AG19" s="847"/>
    </row>
    <row r="20">
      <c r="A20" s="847"/>
      <c r="B20" s="848" t="s">
        <v>3000</v>
      </c>
      <c r="C20" s="849"/>
      <c r="D20" s="859"/>
      <c r="E20" s="848" t="s">
        <v>3030</v>
      </c>
      <c r="F20" s="847"/>
      <c r="G20" s="847"/>
      <c r="I20" s="847"/>
      <c r="J20" s="847"/>
      <c r="K20" s="847"/>
      <c r="M20" s="847"/>
      <c r="N20" s="847"/>
      <c r="O20" s="847"/>
      <c r="P20" s="847"/>
      <c r="Q20" s="847"/>
      <c r="R20" s="847"/>
      <c r="S20" s="847"/>
      <c r="T20" s="847"/>
      <c r="U20" s="847"/>
      <c r="V20" s="847"/>
      <c r="W20" s="847"/>
      <c r="X20" s="847"/>
      <c r="Y20" s="847"/>
      <c r="Z20" s="847"/>
      <c r="AA20" s="847"/>
      <c r="AB20" s="847"/>
      <c r="AC20" s="847"/>
      <c r="AD20" s="847"/>
      <c r="AE20" s="847"/>
      <c r="AF20" s="847"/>
      <c r="AG20" s="847"/>
    </row>
    <row r="21">
      <c r="A21" s="847"/>
      <c r="B21" s="852"/>
      <c r="C21" s="853"/>
      <c r="D21" s="859"/>
      <c r="E21" s="852"/>
      <c r="F21" s="853"/>
      <c r="G21" s="847"/>
      <c r="H21" s="871"/>
      <c r="I21" s="871"/>
      <c r="J21" s="871"/>
      <c r="K21" s="871"/>
      <c r="L21" s="847"/>
      <c r="M21" s="871"/>
      <c r="N21" s="871"/>
      <c r="O21" s="871"/>
      <c r="P21" s="872"/>
      <c r="Q21" s="847"/>
      <c r="R21" s="847"/>
      <c r="S21" s="847"/>
      <c r="T21" s="847"/>
      <c r="U21" s="847"/>
      <c r="V21" s="847"/>
      <c r="W21" s="847"/>
      <c r="X21" s="847"/>
      <c r="Y21" s="847"/>
      <c r="Z21" s="847"/>
      <c r="AA21" s="847"/>
      <c r="AB21" s="847"/>
      <c r="AC21" s="847"/>
      <c r="AD21" s="847"/>
      <c r="AE21" s="847"/>
      <c r="AF21" s="847"/>
      <c r="AG21" s="847"/>
    </row>
    <row r="22">
      <c r="A22" s="847"/>
      <c r="B22" s="852" t="s">
        <v>3006</v>
      </c>
      <c r="C22" s="853">
        <v>24530.0</v>
      </c>
      <c r="D22" s="859"/>
      <c r="E22" s="852" t="s">
        <v>3031</v>
      </c>
      <c r="F22" s="853">
        <v>26350.0</v>
      </c>
      <c r="G22" s="847"/>
      <c r="H22" s="871"/>
      <c r="I22" s="871"/>
      <c r="J22" s="871"/>
      <c r="K22" s="871"/>
      <c r="L22" s="871"/>
      <c r="M22" s="871"/>
      <c r="N22" s="871"/>
      <c r="O22" s="871">
        <v>1000000.0</v>
      </c>
      <c r="P22" s="872"/>
      <c r="Q22" s="847"/>
      <c r="R22" s="847"/>
      <c r="S22" s="847"/>
      <c r="T22" s="847"/>
      <c r="U22" s="847"/>
      <c r="V22" s="847"/>
      <c r="W22" s="847"/>
      <c r="X22" s="847"/>
      <c r="Y22" s="847"/>
      <c r="Z22" s="847"/>
      <c r="AA22" s="847"/>
      <c r="AB22" s="847"/>
      <c r="AC22" s="847"/>
      <c r="AD22" s="847"/>
      <c r="AE22" s="847"/>
      <c r="AF22" s="847"/>
      <c r="AG22" s="847"/>
    </row>
    <row r="23">
      <c r="A23" s="847"/>
      <c r="B23" s="852" t="s">
        <v>3009</v>
      </c>
      <c r="C23" s="853">
        <v>258650.0</v>
      </c>
      <c r="D23" s="859"/>
      <c r="E23" s="852" t="s">
        <v>3032</v>
      </c>
      <c r="F23" s="853">
        <v>299380.0</v>
      </c>
      <c r="I23" s="871"/>
      <c r="J23" s="871"/>
      <c r="K23" s="871"/>
      <c r="L23" s="871"/>
      <c r="M23" s="871"/>
      <c r="N23" s="871"/>
      <c r="O23" s="871">
        <v>-30000.0</v>
      </c>
      <c r="P23" s="847"/>
      <c r="Q23" s="847"/>
      <c r="R23" s="847"/>
      <c r="S23" s="847"/>
      <c r="T23" s="847"/>
      <c r="U23" s="847"/>
      <c r="V23" s="847"/>
      <c r="W23" s="847"/>
      <c r="X23" s="847"/>
      <c r="Y23" s="847"/>
      <c r="Z23" s="847"/>
      <c r="AA23" s="847"/>
      <c r="AB23" s="847"/>
      <c r="AC23" s="847"/>
      <c r="AD23" s="847"/>
      <c r="AE23" s="847"/>
      <c r="AF23" s="847"/>
      <c r="AG23" s="847"/>
    </row>
    <row r="24">
      <c r="A24" s="847"/>
      <c r="B24" s="856" t="s">
        <v>3033</v>
      </c>
      <c r="C24" s="853">
        <v>30000.0</v>
      </c>
      <c r="D24" s="847"/>
      <c r="E24" s="856" t="s">
        <v>3012</v>
      </c>
      <c r="F24" s="853">
        <v>30000.0</v>
      </c>
      <c r="G24" s="851"/>
      <c r="H24" s="871"/>
      <c r="I24" s="871"/>
      <c r="J24" s="871"/>
      <c r="K24" s="871"/>
      <c r="L24" s="871"/>
      <c r="M24" s="871"/>
      <c r="N24" s="871"/>
      <c r="O24" s="871">
        <v>-30000.0</v>
      </c>
      <c r="P24" s="872"/>
      <c r="Q24" s="847"/>
      <c r="R24" s="847"/>
      <c r="S24" s="847"/>
      <c r="T24" s="847"/>
      <c r="U24" s="847"/>
      <c r="V24" s="847"/>
      <c r="W24" s="847"/>
      <c r="X24" s="847"/>
      <c r="Y24" s="847"/>
      <c r="Z24" s="847"/>
      <c r="AA24" s="847"/>
      <c r="AB24" s="847"/>
      <c r="AC24" s="847"/>
      <c r="AD24" s="847"/>
      <c r="AE24" s="847"/>
      <c r="AF24" s="847"/>
      <c r="AG24" s="847"/>
    </row>
    <row r="25">
      <c r="A25" s="847"/>
      <c r="B25" s="856" t="s">
        <v>3012</v>
      </c>
      <c r="C25" s="853">
        <v>22000.0</v>
      </c>
      <c r="D25" s="847"/>
      <c r="E25" s="852" t="s">
        <v>3014</v>
      </c>
      <c r="F25" s="853">
        <v>22000.0</v>
      </c>
      <c r="G25" s="847"/>
      <c r="H25" s="871"/>
      <c r="I25" s="871"/>
      <c r="J25" s="871"/>
      <c r="K25" s="871"/>
      <c r="L25" s="871"/>
      <c r="M25" s="871"/>
      <c r="N25" s="871"/>
      <c r="O25" s="871">
        <v>-40000.0</v>
      </c>
      <c r="P25" s="872"/>
      <c r="Q25" s="847"/>
      <c r="R25" s="847"/>
      <c r="S25" s="847"/>
      <c r="T25" s="847"/>
      <c r="U25" s="847"/>
      <c r="V25" s="847"/>
      <c r="W25" s="847"/>
      <c r="X25" s="847"/>
      <c r="Y25" s="847"/>
      <c r="Z25" s="847"/>
      <c r="AA25" s="847"/>
      <c r="AB25" s="847"/>
      <c r="AC25" s="847"/>
      <c r="AD25" s="847"/>
      <c r="AE25" s="847"/>
      <c r="AF25" s="847"/>
      <c r="AG25" s="847"/>
    </row>
    <row r="26">
      <c r="A26" s="847"/>
      <c r="B26" s="852" t="s">
        <v>3014</v>
      </c>
      <c r="C26" s="853">
        <v>0.0</v>
      </c>
      <c r="D26" s="847"/>
      <c r="E26" s="852" t="s">
        <v>3016</v>
      </c>
      <c r="F26" s="853">
        <v>0.0</v>
      </c>
      <c r="G26" s="851"/>
      <c r="H26" s="871"/>
      <c r="I26" s="871"/>
      <c r="J26" s="871"/>
      <c r="K26" s="871"/>
      <c r="L26" s="871"/>
      <c r="M26" s="871"/>
      <c r="N26" s="871"/>
      <c r="O26" s="871">
        <f>SUM(O22:O25)</f>
        <v>900000</v>
      </c>
      <c r="P26" s="872"/>
      <c r="Q26" s="847"/>
      <c r="R26" s="847"/>
      <c r="S26" s="847"/>
      <c r="T26" s="847"/>
      <c r="U26" s="847"/>
      <c r="V26" s="847"/>
      <c r="W26" s="847"/>
      <c r="X26" s="847"/>
      <c r="Y26" s="847"/>
      <c r="Z26" s="847"/>
      <c r="AA26" s="847"/>
      <c r="AB26" s="847"/>
      <c r="AC26" s="847"/>
      <c r="AD26" s="847"/>
      <c r="AE26" s="847"/>
      <c r="AF26" s="847"/>
      <c r="AG26" s="847"/>
    </row>
    <row r="27">
      <c r="A27" s="847"/>
      <c r="B27" s="852" t="s">
        <v>3016</v>
      </c>
      <c r="C27" s="853">
        <f>102180</f>
        <v>102180</v>
      </c>
      <c r="D27" s="847"/>
      <c r="E27" s="852" t="s">
        <v>3016</v>
      </c>
      <c r="F27" s="853">
        <f>129790-28990</f>
        <v>100800</v>
      </c>
      <c r="G27" s="847"/>
      <c r="H27" s="851"/>
      <c r="I27" s="851"/>
      <c r="J27" s="851"/>
      <c r="K27" s="851"/>
      <c r="L27" s="851"/>
      <c r="M27" s="851"/>
      <c r="N27" s="851"/>
      <c r="O27" s="851"/>
      <c r="P27" s="872"/>
      <c r="Q27" s="847"/>
      <c r="R27" s="847"/>
      <c r="S27" s="847"/>
      <c r="T27" s="847"/>
      <c r="U27" s="847"/>
      <c r="V27" s="847"/>
      <c r="W27" s="847"/>
      <c r="X27" s="847"/>
      <c r="Y27" s="847"/>
      <c r="Z27" s="847"/>
      <c r="AA27" s="847"/>
      <c r="AB27" s="847"/>
      <c r="AC27" s="847"/>
      <c r="AD27" s="847"/>
      <c r="AE27" s="847"/>
      <c r="AF27" s="847"/>
      <c r="AG27" s="847"/>
    </row>
    <row r="28">
      <c r="A28" s="847"/>
      <c r="B28" s="857" t="s">
        <v>3034</v>
      </c>
      <c r="C28" s="858">
        <v>0.0</v>
      </c>
      <c r="D28" s="847"/>
      <c r="E28" s="857" t="s">
        <v>3034</v>
      </c>
      <c r="F28" s="858">
        <v>0.0</v>
      </c>
      <c r="G28" s="847"/>
      <c r="H28" s="847"/>
      <c r="I28" s="847"/>
      <c r="J28" s="847"/>
      <c r="K28" s="847"/>
      <c r="L28" s="847"/>
      <c r="M28" s="847"/>
      <c r="N28" s="847"/>
      <c r="O28" s="847"/>
      <c r="P28" s="847"/>
      <c r="Q28" s="847"/>
      <c r="R28" s="847"/>
      <c r="S28" s="847"/>
      <c r="T28" s="847"/>
      <c r="U28" s="847"/>
      <c r="V28" s="847"/>
      <c r="W28" s="847"/>
      <c r="X28" s="847"/>
      <c r="Y28" s="847"/>
      <c r="Z28" s="847"/>
      <c r="AA28" s="847"/>
      <c r="AB28" s="847"/>
      <c r="AC28" s="847"/>
      <c r="AD28" s="847"/>
      <c r="AE28" s="847"/>
      <c r="AF28" s="847"/>
      <c r="AG28" s="847"/>
    </row>
    <row r="29">
      <c r="A29" s="847"/>
      <c r="B29" s="852" t="s">
        <v>3018</v>
      </c>
      <c r="C29" s="860">
        <f>SUM(C22:C28)</f>
        <v>437360</v>
      </c>
      <c r="D29" s="847"/>
      <c r="E29" s="852" t="s">
        <v>3018</v>
      </c>
      <c r="F29" s="860">
        <f>SUM(F22:F28)</f>
        <v>478530</v>
      </c>
      <c r="G29" s="851"/>
      <c r="H29" s="851"/>
      <c r="I29" s="851"/>
      <c r="J29" s="851"/>
      <c r="K29" s="851"/>
      <c r="L29" s="851"/>
      <c r="M29" s="851"/>
      <c r="N29" s="851"/>
      <c r="O29" s="851"/>
      <c r="P29" s="872"/>
      <c r="Q29" s="847"/>
      <c r="R29" s="847"/>
      <c r="S29" s="847"/>
      <c r="T29" s="847"/>
      <c r="U29" s="847"/>
      <c r="V29" s="847"/>
      <c r="W29" s="847"/>
      <c r="X29" s="847"/>
      <c r="Y29" s="847"/>
      <c r="Z29" s="847"/>
      <c r="AA29" s="847"/>
      <c r="AB29" s="847"/>
      <c r="AC29" s="847"/>
      <c r="AD29" s="847"/>
      <c r="AE29" s="847"/>
      <c r="AF29" s="847"/>
      <c r="AG29" s="847"/>
    </row>
    <row r="30">
      <c r="A30" s="847"/>
      <c r="B30" s="861"/>
      <c r="C30" s="860"/>
      <c r="D30" s="847"/>
      <c r="E30" s="861"/>
      <c r="F30" s="860"/>
      <c r="G30" s="847"/>
      <c r="H30" s="851"/>
      <c r="I30" s="851"/>
      <c r="J30" s="851"/>
      <c r="K30" s="851"/>
      <c r="L30" s="851"/>
      <c r="M30" s="851"/>
      <c r="N30" s="851"/>
      <c r="O30" s="851"/>
      <c r="P30" s="872"/>
      <c r="Q30" s="847"/>
      <c r="R30" s="847"/>
      <c r="S30" s="847"/>
      <c r="T30" s="847"/>
      <c r="U30" s="847"/>
      <c r="V30" s="847"/>
      <c r="W30" s="847"/>
      <c r="X30" s="847"/>
      <c r="Y30" s="847"/>
      <c r="Z30" s="847"/>
      <c r="AA30" s="847"/>
      <c r="AB30" s="847"/>
      <c r="AC30" s="847"/>
      <c r="AD30" s="847"/>
      <c r="AE30" s="847"/>
      <c r="AF30" s="847"/>
      <c r="AG30" s="847"/>
    </row>
    <row r="31">
      <c r="A31" s="847"/>
      <c r="B31" s="852" t="s">
        <v>3035</v>
      </c>
      <c r="C31" s="853">
        <f>4*80000</f>
        <v>320000</v>
      </c>
      <c r="D31" s="847"/>
      <c r="E31" s="852" t="s">
        <v>3035</v>
      </c>
      <c r="F31" s="853">
        <f>4*80000</f>
        <v>320000</v>
      </c>
      <c r="G31" s="847"/>
      <c r="H31" s="847"/>
      <c r="I31" s="847"/>
      <c r="J31" s="847"/>
      <c r="K31" s="851"/>
      <c r="L31" s="851"/>
      <c r="M31" s="851"/>
      <c r="N31" s="851"/>
      <c r="O31" s="851">
        <f>643000+11000</f>
        <v>654000</v>
      </c>
      <c r="P31" s="847"/>
      <c r="Q31" s="847"/>
      <c r="R31" s="847"/>
      <c r="S31" s="847"/>
      <c r="T31" s="847"/>
      <c r="U31" s="847"/>
      <c r="V31" s="847"/>
      <c r="W31" s="847"/>
      <c r="X31" s="847"/>
      <c r="Y31" s="847"/>
      <c r="Z31" s="847"/>
      <c r="AA31" s="847"/>
      <c r="AB31" s="847"/>
      <c r="AC31" s="847"/>
      <c r="AD31" s="847"/>
      <c r="AE31" s="847"/>
      <c r="AF31" s="847"/>
      <c r="AG31" s="847"/>
    </row>
    <row r="32" hidden="1">
      <c r="A32" s="847"/>
      <c r="B32" s="862" t="s">
        <v>3036</v>
      </c>
      <c r="C32" s="863">
        <v>0.0</v>
      </c>
      <c r="D32" s="847"/>
      <c r="E32" s="862" t="s">
        <v>3036</v>
      </c>
      <c r="F32" s="863">
        <v>0.0</v>
      </c>
      <c r="G32" s="847"/>
      <c r="H32" s="851"/>
      <c r="I32" s="851"/>
      <c r="J32" s="851"/>
      <c r="K32" s="851"/>
      <c r="L32" s="851"/>
      <c r="M32" s="851"/>
      <c r="N32" s="851"/>
      <c r="O32" s="851"/>
      <c r="P32" s="847"/>
      <c r="Q32" s="847"/>
      <c r="R32" s="847"/>
      <c r="S32" s="847"/>
      <c r="T32" s="847"/>
      <c r="U32" s="847"/>
      <c r="V32" s="847"/>
      <c r="W32" s="847"/>
      <c r="X32" s="847"/>
      <c r="Y32" s="847"/>
      <c r="Z32" s="847"/>
      <c r="AA32" s="847"/>
      <c r="AB32" s="847"/>
      <c r="AC32" s="847"/>
      <c r="AD32" s="847"/>
      <c r="AE32" s="847"/>
      <c r="AF32" s="847"/>
      <c r="AG32" s="847"/>
    </row>
    <row r="33">
      <c r="A33" s="847"/>
      <c r="B33" s="852" t="s">
        <v>3025</v>
      </c>
      <c r="C33" s="860">
        <f>C29-C31-C32</f>
        <v>117360</v>
      </c>
      <c r="D33" s="847"/>
      <c r="E33" s="852" t="s">
        <v>3025</v>
      </c>
      <c r="F33" s="860">
        <f>F29-F31-F32</f>
        <v>158530</v>
      </c>
      <c r="G33" s="847"/>
      <c r="H33" s="847"/>
      <c r="I33" s="847"/>
      <c r="J33" s="847"/>
      <c r="K33" s="847"/>
      <c r="L33" s="847"/>
      <c r="M33" s="847"/>
      <c r="N33" s="847"/>
      <c r="O33" s="847">
        <f>O31-460000</f>
        <v>194000</v>
      </c>
      <c r="P33" s="847"/>
      <c r="Q33" s="847"/>
      <c r="R33" s="847"/>
      <c r="S33" s="847"/>
      <c r="T33" s="847"/>
      <c r="U33" s="847"/>
      <c r="V33" s="847"/>
      <c r="W33" s="847"/>
      <c r="X33" s="847"/>
      <c r="Y33" s="847"/>
      <c r="Z33" s="847"/>
      <c r="AA33" s="847"/>
      <c r="AB33" s="847"/>
      <c r="AC33" s="847"/>
      <c r="AD33" s="847"/>
      <c r="AE33" s="847"/>
      <c r="AF33" s="847"/>
      <c r="AG33" s="847"/>
    </row>
    <row r="34">
      <c r="A34" s="847"/>
      <c r="B34" s="862" t="s">
        <v>3037</v>
      </c>
      <c r="C34" s="864">
        <f>C33/4</f>
        <v>29340</v>
      </c>
      <c r="D34" s="847"/>
      <c r="E34" s="862" t="s">
        <v>3037</v>
      </c>
      <c r="F34" s="864">
        <f>F33/4</f>
        <v>39632.5</v>
      </c>
      <c r="G34" s="847"/>
      <c r="H34" s="847"/>
      <c r="I34" s="847"/>
      <c r="J34" s="847"/>
      <c r="K34" s="847"/>
      <c r="L34" s="847"/>
      <c r="M34" s="847"/>
      <c r="N34" s="847"/>
      <c r="O34" s="847">
        <f>O33/4</f>
        <v>48500</v>
      </c>
      <c r="P34" s="847"/>
      <c r="Q34" s="847"/>
      <c r="R34" s="847"/>
      <c r="S34" s="847"/>
      <c r="T34" s="847"/>
      <c r="U34" s="847"/>
      <c r="V34" s="847"/>
      <c r="W34" s="847"/>
      <c r="X34" s="847"/>
      <c r="Y34" s="847"/>
      <c r="Z34" s="847"/>
      <c r="AA34" s="847"/>
      <c r="AB34" s="847"/>
      <c r="AC34" s="847"/>
      <c r="AD34" s="847"/>
      <c r="AE34" s="847"/>
      <c r="AF34" s="847"/>
      <c r="AG34" s="847"/>
    </row>
    <row r="35">
      <c r="A35" s="847"/>
      <c r="B35" s="865" t="s">
        <v>3038</v>
      </c>
      <c r="C35" s="866">
        <v>25000.0</v>
      </c>
      <c r="D35" s="847"/>
      <c r="E35" s="865" t="s">
        <v>3038</v>
      </c>
      <c r="F35" s="866">
        <v>35000.0</v>
      </c>
      <c r="G35" s="847"/>
      <c r="H35" s="847"/>
      <c r="I35" s="847"/>
      <c r="J35" s="847"/>
      <c r="K35" s="847"/>
      <c r="L35" s="847"/>
      <c r="M35" s="847"/>
      <c r="N35" s="847"/>
      <c r="O35" s="847"/>
      <c r="P35" s="847"/>
      <c r="Q35" s="847"/>
      <c r="R35" s="847"/>
      <c r="S35" s="847"/>
      <c r="T35" s="847"/>
      <c r="U35" s="847"/>
      <c r="V35" s="847"/>
      <c r="W35" s="847"/>
      <c r="X35" s="847"/>
      <c r="Y35" s="847"/>
      <c r="Z35" s="847"/>
      <c r="AA35" s="847"/>
      <c r="AB35" s="847"/>
      <c r="AC35" s="847"/>
      <c r="AD35" s="847"/>
      <c r="AE35" s="847"/>
      <c r="AF35" s="847"/>
      <c r="AG35" s="847"/>
    </row>
    <row r="36">
      <c r="A36" s="847"/>
      <c r="B36" s="847"/>
      <c r="C36" s="847"/>
      <c r="D36" s="847"/>
      <c r="E36" s="847"/>
      <c r="F36" s="847"/>
      <c r="G36" s="847"/>
      <c r="H36" s="847"/>
      <c r="I36" s="847"/>
      <c r="J36" s="847"/>
      <c r="K36" s="847"/>
      <c r="L36" s="847"/>
      <c r="M36" s="847"/>
      <c r="N36" s="847"/>
      <c r="O36" s="847"/>
      <c r="P36" s="847"/>
      <c r="Q36" s="847"/>
      <c r="R36" s="847"/>
      <c r="S36" s="847"/>
      <c r="T36" s="847"/>
      <c r="U36" s="847"/>
      <c r="V36" s="847"/>
      <c r="W36" s="847"/>
      <c r="X36" s="847"/>
      <c r="Y36" s="847"/>
      <c r="Z36" s="847"/>
      <c r="AA36" s="847"/>
      <c r="AB36" s="847"/>
      <c r="AC36" s="847"/>
      <c r="AD36" s="847"/>
      <c r="AE36" s="847"/>
      <c r="AF36" s="847"/>
      <c r="AG36" s="847"/>
    </row>
    <row r="37">
      <c r="A37" s="847"/>
      <c r="B37" s="847"/>
      <c r="C37" s="847"/>
      <c r="D37" s="847"/>
      <c r="E37" s="847"/>
      <c r="F37" s="847"/>
      <c r="G37" s="847"/>
      <c r="H37" s="847"/>
      <c r="I37" s="847"/>
      <c r="J37" s="847"/>
      <c r="K37" s="847"/>
      <c r="L37" s="847"/>
      <c r="M37" s="847"/>
      <c r="N37" s="847"/>
      <c r="O37" s="847"/>
      <c r="P37" s="847"/>
      <c r="Q37" s="847"/>
      <c r="R37" s="847"/>
      <c r="S37" s="847"/>
      <c r="T37" s="847"/>
      <c r="U37" s="847"/>
      <c r="V37" s="847"/>
      <c r="W37" s="847"/>
      <c r="X37" s="847"/>
      <c r="Y37" s="847"/>
      <c r="Z37" s="847"/>
      <c r="AA37" s="847"/>
      <c r="AB37" s="847"/>
      <c r="AC37" s="847"/>
      <c r="AD37" s="847"/>
      <c r="AE37" s="847"/>
      <c r="AF37" s="847"/>
      <c r="AG37" s="847"/>
    </row>
    <row r="38">
      <c r="A38" s="847"/>
      <c r="B38" s="847"/>
      <c r="C38" s="847"/>
      <c r="D38" s="847"/>
      <c r="E38" s="847"/>
      <c r="F38" s="847"/>
      <c r="G38" s="847"/>
      <c r="H38" s="847"/>
      <c r="I38" s="847"/>
      <c r="J38" s="847"/>
      <c r="K38" s="847"/>
      <c r="L38" s="847"/>
      <c r="M38" s="847"/>
      <c r="N38" s="847"/>
      <c r="O38" s="847"/>
      <c r="P38" s="847"/>
      <c r="Q38" s="847"/>
      <c r="R38" s="847"/>
      <c r="S38" s="847"/>
      <c r="T38" s="847"/>
      <c r="U38" s="847"/>
      <c r="V38" s="847"/>
      <c r="W38" s="847"/>
      <c r="X38" s="847"/>
      <c r="Y38" s="847"/>
      <c r="Z38" s="847"/>
      <c r="AA38" s="847"/>
      <c r="AB38" s="847"/>
      <c r="AC38" s="847"/>
      <c r="AD38" s="847"/>
      <c r="AE38" s="847"/>
      <c r="AF38" s="847"/>
      <c r="AG38" s="847"/>
    </row>
    <row r="39">
      <c r="A39" s="847"/>
      <c r="B39" s="848" t="s">
        <v>3039</v>
      </c>
      <c r="C39" s="849"/>
      <c r="D39" s="847"/>
      <c r="E39" s="848" t="s">
        <v>3040</v>
      </c>
      <c r="F39" s="849"/>
      <c r="G39" s="847"/>
      <c r="H39" s="848" t="s">
        <v>3041</v>
      </c>
      <c r="I39" s="849"/>
      <c r="J39" s="848"/>
      <c r="K39" s="848"/>
      <c r="L39" s="848"/>
      <c r="M39" s="848"/>
      <c r="N39" s="848"/>
      <c r="O39" s="848" t="s">
        <v>3000</v>
      </c>
      <c r="P39" s="850"/>
      <c r="Q39" s="847"/>
      <c r="R39" s="325"/>
      <c r="S39" s="851" t="s">
        <v>3000</v>
      </c>
      <c r="T39" s="847"/>
      <c r="U39" s="847"/>
      <c r="V39" s="847"/>
      <c r="W39" s="847"/>
      <c r="X39" s="847"/>
      <c r="Y39" s="847"/>
      <c r="Z39" s="847"/>
      <c r="AA39" s="847"/>
      <c r="AB39" s="847"/>
      <c r="AC39" s="847"/>
      <c r="AD39" s="847"/>
      <c r="AE39" s="847"/>
      <c r="AF39" s="847"/>
      <c r="AG39" s="847"/>
    </row>
    <row r="40">
      <c r="A40" s="847"/>
      <c r="B40" s="852"/>
      <c r="C40" s="853"/>
      <c r="D40" s="854"/>
      <c r="E40" s="852"/>
      <c r="F40" s="853"/>
      <c r="G40" s="847"/>
      <c r="H40" s="852"/>
      <c r="I40" s="853"/>
      <c r="J40" s="852"/>
      <c r="K40" s="852"/>
      <c r="L40" s="852"/>
      <c r="M40" s="852"/>
      <c r="N40" s="852"/>
      <c r="O40" s="852"/>
      <c r="P40" s="853"/>
      <c r="Q40" s="847"/>
      <c r="R40" s="325"/>
      <c r="S40" s="847"/>
      <c r="T40" s="321"/>
      <c r="U40" s="847"/>
      <c r="V40" s="847"/>
      <c r="W40" s="847"/>
      <c r="X40" s="847"/>
      <c r="Y40" s="847"/>
      <c r="Z40" s="847"/>
      <c r="AA40" s="847"/>
      <c r="AB40" s="847"/>
      <c r="AC40" s="847"/>
      <c r="AD40" s="847"/>
      <c r="AE40" s="847"/>
      <c r="AF40" s="847"/>
      <c r="AG40" s="847"/>
    </row>
    <row r="41">
      <c r="A41" s="847"/>
      <c r="B41" s="852" t="s">
        <v>3042</v>
      </c>
      <c r="C41" s="853">
        <v>10000.0</v>
      </c>
      <c r="D41" s="854"/>
      <c r="E41" s="852" t="s">
        <v>3042</v>
      </c>
      <c r="F41" s="853">
        <v>10000.0</v>
      </c>
      <c r="G41" s="847"/>
      <c r="H41" s="852" t="s">
        <v>3042</v>
      </c>
      <c r="I41" s="853">
        <v>10000.0</v>
      </c>
      <c r="J41" s="852"/>
      <c r="K41" s="852"/>
      <c r="L41" s="852"/>
      <c r="M41" s="852"/>
      <c r="N41" s="852"/>
      <c r="O41" s="852" t="s">
        <v>3002</v>
      </c>
      <c r="P41" s="853"/>
      <c r="Q41" s="847"/>
      <c r="R41" s="325" t="s">
        <v>45</v>
      </c>
      <c r="S41" s="847"/>
      <c r="T41" s="322">
        <v>450000.0</v>
      </c>
      <c r="U41" s="847"/>
      <c r="V41" s="847"/>
      <c r="W41" s="847"/>
      <c r="X41" s="847"/>
      <c r="Y41" s="847"/>
      <c r="Z41" s="847"/>
      <c r="AA41" s="847"/>
      <c r="AB41" s="847"/>
      <c r="AC41" s="847"/>
      <c r="AD41" s="847"/>
      <c r="AE41" s="847"/>
      <c r="AF41" s="847"/>
      <c r="AG41" s="847"/>
    </row>
    <row r="42">
      <c r="A42" s="847"/>
      <c r="B42" s="852" t="s">
        <v>3043</v>
      </c>
      <c r="C42" s="853">
        <v>303920.0</v>
      </c>
      <c r="D42" s="854"/>
      <c r="E42" s="852" t="s">
        <v>3043</v>
      </c>
      <c r="F42" s="853">
        <v>271530.0</v>
      </c>
      <c r="G42" s="847"/>
      <c r="H42" s="852" t="s">
        <v>3044</v>
      </c>
      <c r="I42" s="853">
        <v>300000.0</v>
      </c>
      <c r="J42" s="852"/>
      <c r="K42" s="852"/>
      <c r="L42" s="852"/>
      <c r="M42" s="852"/>
      <c r="N42" s="852"/>
      <c r="O42" s="852" t="s">
        <v>3006</v>
      </c>
      <c r="P42" s="853">
        <v>50000.0</v>
      </c>
      <c r="Q42" s="847"/>
      <c r="R42" s="325" t="s">
        <v>47</v>
      </c>
      <c r="S42" s="847"/>
      <c r="T42" s="322" t="s">
        <v>627</v>
      </c>
      <c r="U42" s="847"/>
      <c r="V42" s="847"/>
      <c r="W42" s="847"/>
      <c r="X42" s="847"/>
      <c r="Y42" s="847"/>
      <c r="Z42" s="847"/>
      <c r="AA42" s="847"/>
      <c r="AB42" s="847"/>
      <c r="AC42" s="847"/>
      <c r="AD42" s="847"/>
      <c r="AE42" s="847"/>
      <c r="AF42" s="847"/>
      <c r="AG42" s="847"/>
    </row>
    <row r="43">
      <c r="A43" s="847"/>
      <c r="B43" s="852" t="s">
        <v>3003</v>
      </c>
      <c r="C43" s="855" t="s">
        <v>446</v>
      </c>
      <c r="D43" s="854"/>
      <c r="E43" s="852" t="s">
        <v>3003</v>
      </c>
      <c r="F43" s="855" t="s">
        <v>446</v>
      </c>
      <c r="G43" s="851"/>
      <c r="H43" s="852" t="s">
        <v>3003</v>
      </c>
      <c r="I43" s="855" t="s">
        <v>446</v>
      </c>
      <c r="J43" s="852"/>
      <c r="K43" s="852"/>
      <c r="L43" s="852"/>
      <c r="M43" s="852"/>
      <c r="N43" s="852"/>
      <c r="O43" s="852" t="s">
        <v>3009</v>
      </c>
      <c r="P43" s="853">
        <v>450000.0</v>
      </c>
      <c r="Q43" s="847"/>
      <c r="R43" s="325" t="s">
        <v>261</v>
      </c>
      <c r="S43" s="847"/>
      <c r="T43" s="322">
        <v>419720.0</v>
      </c>
      <c r="U43" s="847"/>
      <c r="V43" s="847"/>
      <c r="W43" s="847"/>
      <c r="X43" s="847"/>
      <c r="Y43" s="847"/>
      <c r="Z43" s="847"/>
      <c r="AA43" s="847"/>
      <c r="AB43" s="847"/>
      <c r="AC43" s="847"/>
      <c r="AD43" s="847"/>
      <c r="AE43" s="847"/>
      <c r="AF43" s="847"/>
      <c r="AG43" s="847"/>
    </row>
    <row r="44">
      <c r="A44" s="847"/>
      <c r="B44" s="852" t="s">
        <v>3007</v>
      </c>
      <c r="C44" s="853">
        <v>354040.0</v>
      </c>
      <c r="D44" s="854"/>
      <c r="E44" s="852" t="s">
        <v>3007</v>
      </c>
      <c r="F44" s="853">
        <v>438460.0</v>
      </c>
      <c r="G44" s="851"/>
      <c r="H44" s="852" t="s">
        <v>3007</v>
      </c>
      <c r="I44" s="853">
        <v>438810.0</v>
      </c>
      <c r="J44" s="852"/>
      <c r="K44" s="852"/>
      <c r="L44" s="852"/>
      <c r="M44" s="852"/>
      <c r="N44" s="852"/>
      <c r="O44" s="852" t="s">
        <v>3010</v>
      </c>
      <c r="P44" s="853">
        <v>100000.0</v>
      </c>
      <c r="Q44" s="847"/>
      <c r="R44" s="325" t="s">
        <v>51</v>
      </c>
      <c r="S44" s="847"/>
      <c r="T44" s="322" t="s">
        <v>627</v>
      </c>
      <c r="U44" s="847"/>
      <c r="V44" s="847"/>
      <c r="W44" s="847"/>
      <c r="X44" s="847"/>
      <c r="Y44" s="847"/>
      <c r="Z44" s="847"/>
      <c r="AA44" s="847"/>
      <c r="AB44" s="847"/>
      <c r="AC44" s="847"/>
      <c r="AD44" s="847"/>
      <c r="AE44" s="847"/>
      <c r="AF44" s="847"/>
      <c r="AG44" s="847"/>
    </row>
    <row r="45">
      <c r="A45" s="847"/>
      <c r="B45" s="852" t="s">
        <v>3045</v>
      </c>
      <c r="C45" s="855" t="s">
        <v>446</v>
      </c>
      <c r="D45" s="854"/>
      <c r="E45" s="852" t="s">
        <v>3045</v>
      </c>
      <c r="F45" s="855" t="s">
        <v>446</v>
      </c>
      <c r="G45" s="847"/>
      <c r="H45" s="852" t="s">
        <v>3045</v>
      </c>
      <c r="I45" s="855" t="s">
        <v>446</v>
      </c>
      <c r="J45" s="856"/>
      <c r="K45" s="856"/>
      <c r="L45" s="856"/>
      <c r="M45" s="856"/>
      <c r="N45" s="856"/>
      <c r="O45" s="856" t="s">
        <v>3012</v>
      </c>
      <c r="P45" s="853">
        <v>23100.0</v>
      </c>
      <c r="Q45" s="847"/>
      <c r="R45" s="325" t="s">
        <v>52</v>
      </c>
      <c r="S45" s="847"/>
      <c r="T45" s="322">
        <v>25000.0</v>
      </c>
      <c r="U45" s="847"/>
      <c r="V45" s="847"/>
      <c r="W45" s="847"/>
      <c r="X45" s="847"/>
      <c r="Y45" s="847"/>
      <c r="Z45" s="847"/>
      <c r="AA45" s="847"/>
      <c r="AB45" s="847"/>
      <c r="AC45" s="847"/>
      <c r="AD45" s="847"/>
      <c r="AE45" s="847"/>
      <c r="AF45" s="847"/>
      <c r="AG45" s="847"/>
    </row>
    <row r="46">
      <c r="A46" s="847"/>
      <c r="B46" s="852" t="s">
        <v>3011</v>
      </c>
      <c r="C46" s="855">
        <v>23100.0</v>
      </c>
      <c r="D46" s="854"/>
      <c r="E46" s="852" t="s">
        <v>3011</v>
      </c>
      <c r="F46" s="855">
        <v>23100.0</v>
      </c>
      <c r="G46" s="847"/>
      <c r="H46" s="852" t="s">
        <v>3011</v>
      </c>
      <c r="I46" s="855">
        <v>23100.0</v>
      </c>
      <c r="J46" s="852"/>
      <c r="K46" s="852"/>
      <c r="L46" s="852"/>
      <c r="M46" s="852"/>
      <c r="N46" s="852"/>
      <c r="O46" s="852" t="s">
        <v>3014</v>
      </c>
      <c r="P46" s="853">
        <v>19900.0</v>
      </c>
      <c r="Q46" s="847"/>
      <c r="R46" s="325" t="s">
        <v>53</v>
      </c>
      <c r="S46" s="847"/>
      <c r="T46" s="322">
        <v>11000.0</v>
      </c>
      <c r="U46" s="847"/>
      <c r="V46" s="847"/>
      <c r="W46" s="847"/>
      <c r="X46" s="847"/>
      <c r="Y46" s="847"/>
      <c r="Z46" s="847"/>
      <c r="AA46" s="847"/>
      <c r="AB46" s="847"/>
      <c r="AC46" s="847"/>
      <c r="AD46" s="847"/>
      <c r="AE46" s="847"/>
      <c r="AF46" s="847"/>
      <c r="AG46" s="847"/>
    </row>
    <row r="47">
      <c r="A47" s="847"/>
      <c r="B47" s="852" t="s">
        <v>3013</v>
      </c>
      <c r="C47" s="853">
        <v>11000.0</v>
      </c>
      <c r="D47" s="859"/>
      <c r="E47" s="852" t="s">
        <v>3013</v>
      </c>
      <c r="F47" s="853">
        <v>11000.0</v>
      </c>
      <c r="G47" s="847"/>
      <c r="H47" s="852" t="s">
        <v>3013</v>
      </c>
      <c r="I47" s="853">
        <v>11000.0</v>
      </c>
      <c r="J47" s="852"/>
      <c r="K47" s="852"/>
      <c r="L47" s="852"/>
      <c r="M47" s="852"/>
      <c r="N47" s="852"/>
      <c r="O47" s="852"/>
      <c r="P47" s="853"/>
      <c r="Q47" s="847"/>
      <c r="R47" s="325"/>
      <c r="S47" s="847"/>
      <c r="T47" s="322"/>
      <c r="U47" s="847"/>
      <c r="V47" s="847"/>
      <c r="W47" s="847"/>
      <c r="X47" s="847"/>
      <c r="Y47" s="847"/>
      <c r="Z47" s="847"/>
      <c r="AA47" s="847"/>
      <c r="AB47" s="847"/>
      <c r="AC47" s="847"/>
      <c r="AD47" s="847"/>
      <c r="AE47" s="847"/>
      <c r="AF47" s="847"/>
      <c r="AG47" s="847"/>
    </row>
    <row r="48">
      <c r="A48" s="847"/>
      <c r="B48" s="857" t="s">
        <v>3015</v>
      </c>
      <c r="C48" s="858">
        <v>85270.0</v>
      </c>
      <c r="D48" s="859"/>
      <c r="E48" s="857" t="s">
        <v>3015</v>
      </c>
      <c r="F48" s="858">
        <v>50000.0</v>
      </c>
      <c r="G48" s="847"/>
      <c r="H48" s="857" t="s">
        <v>3015</v>
      </c>
      <c r="I48" s="858">
        <v>0.0</v>
      </c>
      <c r="J48" s="857"/>
      <c r="K48" s="857"/>
      <c r="L48" s="857"/>
      <c r="M48" s="857"/>
      <c r="N48" s="857"/>
      <c r="O48" s="857" t="s">
        <v>3016</v>
      </c>
      <c r="P48" s="858">
        <v>5500.0</v>
      </c>
      <c r="Q48" s="847"/>
      <c r="R48" s="325" t="s">
        <v>265</v>
      </c>
      <c r="S48" s="847"/>
      <c r="T48" s="322">
        <v>10000.0</v>
      </c>
      <c r="U48" s="847"/>
      <c r="V48" s="847"/>
      <c r="W48" s="847"/>
      <c r="X48" s="847"/>
      <c r="Y48" s="847"/>
      <c r="Z48" s="847"/>
      <c r="AA48" s="847"/>
      <c r="AB48" s="847"/>
      <c r="AC48" s="847"/>
      <c r="AD48" s="847"/>
      <c r="AE48" s="847"/>
      <c r="AF48" s="847"/>
      <c r="AG48" s="847"/>
    </row>
    <row r="49">
      <c r="A49" s="847"/>
      <c r="B49" s="852" t="s">
        <v>3017</v>
      </c>
      <c r="C49" s="860">
        <f>SUM(C41:C48)</f>
        <v>787330</v>
      </c>
      <c r="D49" s="860"/>
      <c r="E49" s="852" t="s">
        <v>3017</v>
      </c>
      <c r="F49" s="860">
        <f>SUM(F41:F48)</f>
        <v>804090</v>
      </c>
      <c r="G49" s="847"/>
      <c r="H49" s="852" t="s">
        <v>3017</v>
      </c>
      <c r="I49" s="860">
        <f>SUM(I41:I48)</f>
        <v>782910</v>
      </c>
      <c r="J49" s="852"/>
      <c r="K49" s="852"/>
      <c r="L49" s="852"/>
      <c r="M49" s="852"/>
      <c r="N49" s="852"/>
      <c r="O49" s="852" t="s">
        <v>3018</v>
      </c>
      <c r="P49" s="860">
        <f>SUM(P41:P48)</f>
        <v>648500</v>
      </c>
      <c r="Q49" s="847"/>
      <c r="R49" s="851" t="s">
        <v>54</v>
      </c>
      <c r="S49" s="847"/>
      <c r="T49" s="847"/>
      <c r="U49" s="847"/>
      <c r="V49" s="847"/>
      <c r="W49" s="847"/>
      <c r="X49" s="847"/>
      <c r="Y49" s="847"/>
      <c r="Z49" s="847"/>
      <c r="AA49" s="847"/>
      <c r="AB49" s="847"/>
      <c r="AC49" s="847"/>
      <c r="AD49" s="847"/>
      <c r="AE49" s="847"/>
      <c r="AF49" s="847"/>
      <c r="AG49" s="847"/>
    </row>
    <row r="50">
      <c r="A50" s="847"/>
      <c r="B50" s="861"/>
      <c r="C50" s="860"/>
      <c r="D50" s="859"/>
      <c r="E50" s="861"/>
      <c r="F50" s="860"/>
      <c r="G50" s="847"/>
      <c r="H50" s="861"/>
      <c r="I50" s="860"/>
      <c r="J50" s="861"/>
      <c r="K50" s="861"/>
      <c r="L50" s="861"/>
      <c r="M50" s="861"/>
      <c r="N50" s="861"/>
      <c r="O50" s="861"/>
      <c r="P50" s="860"/>
      <c r="Q50" s="847"/>
      <c r="R50" s="847"/>
      <c r="S50" s="847"/>
      <c r="T50" s="847"/>
      <c r="U50" s="847"/>
      <c r="V50" s="847"/>
      <c r="W50" s="847"/>
      <c r="X50" s="847"/>
      <c r="Y50" s="847"/>
      <c r="Z50" s="847"/>
      <c r="AA50" s="847"/>
      <c r="AB50" s="847"/>
      <c r="AC50" s="847"/>
      <c r="AD50" s="847"/>
      <c r="AE50" s="847"/>
      <c r="AF50" s="847"/>
      <c r="AG50" s="847"/>
    </row>
    <row r="51">
      <c r="A51" s="847"/>
      <c r="B51" s="852" t="s">
        <v>3046</v>
      </c>
      <c r="C51" s="853">
        <v>600000.0</v>
      </c>
      <c r="D51" s="859"/>
      <c r="E51" s="852" t="s">
        <v>3046</v>
      </c>
      <c r="F51" s="853">
        <f>4*120000+107143</f>
        <v>587143</v>
      </c>
      <c r="G51" s="847"/>
      <c r="H51" s="852" t="s">
        <v>3046</v>
      </c>
      <c r="I51" s="853">
        <v>600000.0</v>
      </c>
      <c r="J51" s="852"/>
      <c r="K51" s="852"/>
      <c r="L51" s="852"/>
      <c r="M51" s="852"/>
      <c r="N51" s="852"/>
      <c r="O51" s="852" t="s">
        <v>3021</v>
      </c>
      <c r="P51" s="853">
        <f>6*120000</f>
        <v>720000</v>
      </c>
      <c r="Q51" s="847"/>
      <c r="R51" s="847"/>
      <c r="S51" s="847"/>
      <c r="T51" s="847"/>
      <c r="U51" s="847"/>
      <c r="V51" s="847"/>
      <c r="W51" s="847"/>
      <c r="X51" s="847"/>
      <c r="Y51" s="847"/>
      <c r="Z51" s="847"/>
      <c r="AA51" s="847"/>
      <c r="AB51" s="847"/>
      <c r="AC51" s="847"/>
      <c r="AD51" s="847"/>
      <c r="AE51" s="847"/>
      <c r="AF51" s="847"/>
      <c r="AG51" s="847"/>
    </row>
    <row r="52">
      <c r="A52" s="847"/>
      <c r="B52" s="862" t="s">
        <v>3022</v>
      </c>
      <c r="C52" s="863">
        <v>100000.0</v>
      </c>
      <c r="D52" s="859"/>
      <c r="E52" s="862" t="s">
        <v>3022</v>
      </c>
      <c r="F52" s="863">
        <v>100000.0</v>
      </c>
      <c r="G52" s="847"/>
      <c r="H52" s="862" t="s">
        <v>3022</v>
      </c>
      <c r="I52" s="863">
        <v>100000.0</v>
      </c>
      <c r="J52" s="862"/>
      <c r="K52" s="862"/>
      <c r="L52" s="862"/>
      <c r="M52" s="862"/>
      <c r="N52" s="862"/>
      <c r="O52" s="862" t="s">
        <v>3023</v>
      </c>
      <c r="P52" s="863">
        <v>0.0</v>
      </c>
      <c r="Q52" s="847"/>
      <c r="R52" s="847"/>
      <c r="S52" s="847"/>
      <c r="T52" s="847"/>
      <c r="U52" s="847"/>
      <c r="V52" s="847"/>
      <c r="W52" s="847"/>
      <c r="X52" s="847"/>
      <c r="Y52" s="847"/>
      <c r="Z52" s="847"/>
      <c r="AA52" s="847"/>
      <c r="AB52" s="847"/>
      <c r="AC52" s="847"/>
      <c r="AD52" s="847"/>
      <c r="AE52" s="847"/>
      <c r="AF52" s="847"/>
      <c r="AG52" s="847"/>
    </row>
    <row r="53">
      <c r="A53" s="847"/>
      <c r="B53" s="852" t="s">
        <v>3024</v>
      </c>
      <c r="C53" s="860">
        <f>C49-C51-C52</f>
        <v>87330</v>
      </c>
      <c r="D53" s="859"/>
      <c r="E53" s="852" t="s">
        <v>3024</v>
      </c>
      <c r="F53" s="860">
        <f>F49-F51-F52</f>
        <v>116947</v>
      </c>
      <c r="G53" s="847"/>
      <c r="H53" s="852" t="s">
        <v>3024</v>
      </c>
      <c r="I53" s="860">
        <f>I49-I51-I52</f>
        <v>82910</v>
      </c>
      <c r="J53" s="852"/>
      <c r="K53" s="852"/>
      <c r="L53" s="852"/>
      <c r="M53" s="852"/>
      <c r="N53" s="852"/>
      <c r="O53" s="852" t="s">
        <v>3025</v>
      </c>
      <c r="P53" s="860">
        <f>P49-P51-P52</f>
        <v>-71500</v>
      </c>
      <c r="Q53" s="847"/>
      <c r="R53" s="847"/>
      <c r="S53" s="847"/>
      <c r="T53" s="847"/>
      <c r="U53" s="847"/>
      <c r="V53" s="847"/>
      <c r="W53" s="847"/>
      <c r="X53" s="847"/>
      <c r="Y53" s="847"/>
      <c r="Z53" s="847"/>
      <c r="AA53" s="847"/>
      <c r="AB53" s="847"/>
      <c r="AC53" s="847"/>
      <c r="AD53" s="847"/>
      <c r="AE53" s="847"/>
      <c r="AF53" s="847"/>
      <c r="AG53" s="847"/>
    </row>
    <row r="54">
      <c r="A54" s="847"/>
      <c r="B54" s="862" t="s">
        <v>3047</v>
      </c>
      <c r="C54" s="864">
        <f>C53/5</f>
        <v>17466</v>
      </c>
      <c r="D54" s="859"/>
      <c r="E54" s="862" t="s">
        <v>3047</v>
      </c>
      <c r="F54" s="864">
        <f>F53/5</f>
        <v>23389.4</v>
      </c>
      <c r="G54" s="847"/>
      <c r="H54" s="862" t="s">
        <v>3047</v>
      </c>
      <c r="I54" s="864">
        <f>I53/5</f>
        <v>16582</v>
      </c>
      <c r="J54" s="862"/>
      <c r="K54" s="862"/>
      <c r="L54" s="862"/>
      <c r="M54" s="862"/>
      <c r="N54" s="862"/>
      <c r="O54" s="862" t="s">
        <v>3027</v>
      </c>
      <c r="P54" s="864">
        <f>P53/4</f>
        <v>-17875</v>
      </c>
      <c r="Q54" s="847"/>
      <c r="R54" s="847"/>
      <c r="S54" s="847"/>
      <c r="T54" s="847"/>
      <c r="U54" s="847"/>
      <c r="V54" s="847"/>
      <c r="W54" s="847"/>
      <c r="X54" s="847"/>
      <c r="Y54" s="847"/>
      <c r="Z54" s="847"/>
      <c r="AA54" s="847"/>
      <c r="AB54" s="847"/>
      <c r="AC54" s="847"/>
      <c r="AD54" s="847"/>
      <c r="AE54" s="847"/>
      <c r="AF54" s="847"/>
      <c r="AG54" s="847"/>
    </row>
    <row r="55">
      <c r="A55" s="847"/>
      <c r="B55" s="865" t="s">
        <v>3048</v>
      </c>
      <c r="C55" s="866">
        <v>15000.0</v>
      </c>
      <c r="D55" s="859"/>
      <c r="E55" s="865" t="s">
        <v>3048</v>
      </c>
      <c r="F55" s="866">
        <v>20000.0</v>
      </c>
      <c r="G55" s="847"/>
      <c r="H55" s="865" t="s">
        <v>3048</v>
      </c>
      <c r="I55" s="866">
        <v>15000.0</v>
      </c>
      <c r="J55" s="865"/>
      <c r="K55" s="865"/>
      <c r="L55" s="865"/>
      <c r="M55" s="865"/>
      <c r="N55" s="865"/>
      <c r="O55" s="865" t="s">
        <v>3029</v>
      </c>
      <c r="P55" s="866">
        <v>22000.0</v>
      </c>
      <c r="Q55" s="847"/>
      <c r="R55" s="847"/>
      <c r="S55" s="847"/>
      <c r="T55" s="847"/>
      <c r="U55" s="847"/>
      <c r="V55" s="847"/>
      <c r="W55" s="847"/>
      <c r="X55" s="847"/>
      <c r="Y55" s="847"/>
      <c r="Z55" s="847"/>
      <c r="AA55" s="847"/>
      <c r="AB55" s="847"/>
      <c r="AC55" s="847"/>
      <c r="AD55" s="847"/>
      <c r="AE55" s="847"/>
      <c r="AF55" s="847"/>
      <c r="AG55" s="847"/>
    </row>
    <row r="56">
      <c r="A56" s="847"/>
      <c r="B56" s="861"/>
      <c r="C56" s="852" t="s">
        <v>1210</v>
      </c>
      <c r="D56" s="859"/>
      <c r="E56" s="859"/>
      <c r="F56" s="847"/>
      <c r="G56" s="847"/>
      <c r="H56" s="868" t="s">
        <v>3049</v>
      </c>
      <c r="I56" s="869">
        <f>C55+F55+I55</f>
        <v>50000</v>
      </c>
      <c r="J56" s="867"/>
      <c r="K56" s="867"/>
      <c r="L56" s="867"/>
      <c r="M56" s="867"/>
      <c r="N56" s="867"/>
      <c r="O56" s="867"/>
      <c r="P56" s="870"/>
      <c r="Q56" s="847"/>
      <c r="R56" s="847"/>
      <c r="S56" s="847"/>
      <c r="T56" s="847"/>
      <c r="U56" s="847"/>
      <c r="V56" s="847"/>
      <c r="W56" s="847"/>
      <c r="X56" s="847"/>
      <c r="Y56" s="847"/>
      <c r="Z56" s="847"/>
      <c r="AA56" s="847"/>
      <c r="AB56" s="847"/>
      <c r="AC56" s="847"/>
      <c r="AD56" s="847"/>
      <c r="AE56" s="847"/>
      <c r="AF56" s="847"/>
      <c r="AG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c r="AA57" s="847"/>
      <c r="AB57" s="847"/>
      <c r="AC57" s="847"/>
      <c r="AD57" s="847"/>
      <c r="AE57" s="847"/>
      <c r="AF57" s="847"/>
      <c r="AG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c r="AA58" s="847"/>
      <c r="AB58" s="847"/>
      <c r="AC58" s="847"/>
      <c r="AD58" s="847"/>
      <c r="AE58" s="847"/>
      <c r="AF58" s="847"/>
      <c r="AG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c r="AA59" s="847"/>
      <c r="AB59" s="847"/>
      <c r="AC59" s="847"/>
      <c r="AD59" s="847"/>
      <c r="AE59" s="847"/>
      <c r="AF59" s="847"/>
      <c r="AG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c r="AA61" s="847"/>
      <c r="AB61" s="847"/>
      <c r="AC61" s="847"/>
      <c r="AD61" s="847"/>
      <c r="AE61" s="847"/>
      <c r="AF61" s="847"/>
      <c r="AG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c r="AA62" s="847"/>
      <c r="AB62" s="847"/>
      <c r="AC62" s="847"/>
      <c r="AD62" s="847"/>
      <c r="AE62" s="847"/>
      <c r="AF62" s="847"/>
      <c r="AG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c r="AA64" s="847"/>
      <c r="AB64" s="847"/>
      <c r="AC64" s="847"/>
      <c r="AD64" s="847"/>
      <c r="AE64" s="847"/>
      <c r="AF64" s="847"/>
      <c r="AG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c r="AA66" s="847"/>
      <c r="AB66" s="847"/>
      <c r="AC66" s="847"/>
      <c r="AD66" s="847"/>
      <c r="AE66" s="847"/>
      <c r="AF66" s="847"/>
      <c r="AG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c r="AA67" s="847"/>
      <c r="AB67" s="847"/>
      <c r="AC67" s="847"/>
      <c r="AD67" s="847"/>
      <c r="AE67" s="847"/>
      <c r="AF67" s="847"/>
      <c r="AG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c r="AA68" s="847"/>
      <c r="AB68" s="847"/>
      <c r="AC68" s="847"/>
      <c r="AD68" s="847"/>
      <c r="AE68" s="847"/>
      <c r="AF68" s="847"/>
      <c r="AG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c r="AA69" s="847"/>
      <c r="AB69" s="847"/>
      <c r="AC69" s="847"/>
      <c r="AD69" s="847"/>
      <c r="AE69" s="847"/>
      <c r="AF69" s="847"/>
      <c r="AG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c r="AA70" s="847"/>
      <c r="AB70" s="847"/>
      <c r="AC70" s="847"/>
      <c r="AD70" s="847"/>
      <c r="AE70" s="847"/>
      <c r="AF70" s="847"/>
      <c r="AG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7"/>
      <c r="AG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c r="AA72" s="847"/>
      <c r="AB72" s="847"/>
      <c r="AC72" s="847"/>
      <c r="AD72" s="847"/>
      <c r="AE72" s="847"/>
      <c r="AF72" s="847"/>
      <c r="AG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c r="AA73" s="847"/>
      <c r="AB73" s="847"/>
      <c r="AC73" s="847"/>
      <c r="AD73" s="847"/>
      <c r="AE73" s="847"/>
      <c r="AF73" s="847"/>
      <c r="AG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c r="AA75" s="847"/>
      <c r="AB75" s="847"/>
      <c r="AC75" s="847"/>
      <c r="AD75" s="847"/>
      <c r="AE75" s="847"/>
      <c r="AF75" s="847"/>
      <c r="AG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c r="AA76" s="847"/>
      <c r="AB76" s="847"/>
      <c r="AC76" s="847"/>
      <c r="AD76" s="847"/>
      <c r="AE76" s="847"/>
      <c r="AF76" s="847"/>
      <c r="AG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c r="AA78" s="847"/>
      <c r="AB78" s="847"/>
      <c r="AC78" s="847"/>
      <c r="AD78" s="847"/>
      <c r="AE78" s="847"/>
      <c r="AF78" s="847"/>
      <c r="AG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c r="AA81" s="847"/>
      <c r="AB81" s="847"/>
      <c r="AC81" s="847"/>
      <c r="AD81" s="847"/>
      <c r="AE81" s="847"/>
      <c r="AF81" s="847"/>
      <c r="AG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c r="AA82" s="847"/>
      <c r="AB82" s="847"/>
      <c r="AC82" s="847"/>
      <c r="AD82" s="847"/>
      <c r="AE82" s="847"/>
      <c r="AF82" s="847"/>
      <c r="AG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c r="AA83" s="847"/>
      <c r="AB83" s="847"/>
      <c r="AC83" s="847"/>
      <c r="AD83" s="847"/>
      <c r="AE83" s="847"/>
      <c r="AF83" s="847"/>
      <c r="AG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c r="AA84" s="847"/>
      <c r="AB84" s="847"/>
      <c r="AC84" s="847"/>
      <c r="AD84" s="847"/>
      <c r="AE84" s="847"/>
      <c r="AF84" s="847"/>
      <c r="AG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c r="AA85" s="847"/>
      <c r="AB85" s="847"/>
      <c r="AC85" s="847"/>
      <c r="AD85" s="847"/>
      <c r="AE85" s="847"/>
      <c r="AF85" s="847"/>
      <c r="AG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c r="AA86" s="847"/>
      <c r="AB86" s="847"/>
      <c r="AC86" s="847"/>
      <c r="AD86" s="847"/>
      <c r="AE86" s="847"/>
      <c r="AF86" s="847"/>
      <c r="AG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E87" s="847"/>
      <c r="AF87" s="847"/>
      <c r="AG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c r="AB88" s="847"/>
      <c r="AC88" s="847"/>
      <c r="AD88" s="847"/>
      <c r="AE88" s="847"/>
      <c r="AF88" s="847"/>
      <c r="AG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c r="AA89" s="847"/>
      <c r="AB89" s="847"/>
      <c r="AC89" s="847"/>
      <c r="AD89" s="847"/>
      <c r="AE89" s="847"/>
      <c r="AF89" s="847"/>
      <c r="AG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c r="AB90" s="847"/>
      <c r="AC90" s="847"/>
      <c r="AD90" s="847"/>
      <c r="AE90" s="847"/>
      <c r="AF90" s="847"/>
      <c r="AG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47"/>
      <c r="AC91" s="847"/>
      <c r="AD91" s="847"/>
      <c r="AE91" s="847"/>
      <c r="AF91" s="847"/>
      <c r="AG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c r="AA92" s="847"/>
      <c r="AB92" s="847"/>
      <c r="AC92" s="847"/>
      <c r="AD92" s="847"/>
      <c r="AE92" s="847"/>
      <c r="AF92" s="847"/>
      <c r="AG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c r="AA93" s="847"/>
      <c r="AB93" s="847"/>
      <c r="AC93" s="847"/>
      <c r="AD93" s="847"/>
      <c r="AE93" s="847"/>
      <c r="AF93" s="847"/>
      <c r="AG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c r="AB94" s="847"/>
      <c r="AC94" s="847"/>
      <c r="AD94" s="847"/>
      <c r="AE94" s="847"/>
      <c r="AF94" s="847"/>
      <c r="AG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c r="AA95" s="847"/>
      <c r="AB95" s="847"/>
      <c r="AC95" s="847"/>
      <c r="AD95" s="847"/>
      <c r="AE95" s="847"/>
      <c r="AF95" s="847"/>
      <c r="AG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c r="AA96" s="847"/>
      <c r="AB96" s="847"/>
      <c r="AC96" s="847"/>
      <c r="AD96" s="847"/>
      <c r="AE96" s="847"/>
      <c r="AF96" s="847"/>
      <c r="AG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c r="AA97" s="847"/>
      <c r="AB97" s="847"/>
      <c r="AC97" s="847"/>
      <c r="AD97" s="847"/>
      <c r="AE97" s="847"/>
      <c r="AF97" s="847"/>
      <c r="AG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c r="AA98" s="847"/>
      <c r="AB98" s="847"/>
      <c r="AC98" s="847"/>
      <c r="AD98" s="847"/>
      <c r="AE98" s="847"/>
      <c r="AF98" s="847"/>
      <c r="AG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c r="AA99" s="847"/>
      <c r="AB99" s="847"/>
      <c r="AC99" s="847"/>
      <c r="AD99" s="847"/>
      <c r="AE99" s="847"/>
      <c r="AF99" s="847"/>
      <c r="AG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c r="AA100" s="847"/>
      <c r="AB100" s="847"/>
      <c r="AC100" s="847"/>
      <c r="AD100" s="847"/>
      <c r="AE100" s="847"/>
      <c r="AF100" s="847"/>
      <c r="AG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c r="AA101" s="847"/>
      <c r="AB101" s="847"/>
      <c r="AC101" s="847"/>
      <c r="AD101" s="847"/>
      <c r="AE101" s="847"/>
      <c r="AF101" s="847"/>
      <c r="AG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c r="AA102" s="847"/>
      <c r="AB102" s="847"/>
      <c r="AC102" s="847"/>
      <c r="AD102" s="847"/>
      <c r="AE102" s="847"/>
      <c r="AF102" s="847"/>
      <c r="AG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c r="AA103" s="847"/>
      <c r="AB103" s="847"/>
      <c r="AC103" s="847"/>
      <c r="AD103" s="847"/>
      <c r="AE103" s="847"/>
      <c r="AF103" s="847"/>
      <c r="AG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c r="AA104" s="847"/>
      <c r="AB104" s="847"/>
      <c r="AC104" s="847"/>
      <c r="AD104" s="847"/>
      <c r="AE104" s="847"/>
      <c r="AF104" s="847"/>
      <c r="AG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c r="AA105" s="847"/>
      <c r="AB105" s="847"/>
      <c r="AC105" s="847"/>
      <c r="AD105" s="847"/>
      <c r="AE105" s="847"/>
      <c r="AF105" s="847"/>
      <c r="AG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c r="AA106" s="847"/>
      <c r="AB106" s="847"/>
      <c r="AC106" s="847"/>
      <c r="AD106" s="847"/>
      <c r="AE106" s="847"/>
      <c r="AF106" s="847"/>
      <c r="AG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c r="AA107" s="847"/>
      <c r="AB107" s="847"/>
      <c r="AC107" s="847"/>
      <c r="AD107" s="847"/>
      <c r="AE107" s="847"/>
      <c r="AF107" s="847"/>
      <c r="AG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c r="AA108" s="847"/>
      <c r="AB108" s="847"/>
      <c r="AC108" s="847"/>
      <c r="AD108" s="847"/>
      <c r="AE108" s="847"/>
      <c r="AF108" s="847"/>
      <c r="AG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c r="AA109" s="847"/>
      <c r="AB109" s="847"/>
      <c r="AC109" s="847"/>
      <c r="AD109" s="847"/>
      <c r="AE109" s="847"/>
      <c r="AF109" s="847"/>
      <c r="AG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c r="AA110" s="847"/>
      <c r="AB110" s="847"/>
      <c r="AC110" s="847"/>
      <c r="AD110" s="847"/>
      <c r="AE110" s="847"/>
      <c r="AF110" s="847"/>
      <c r="AG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c r="AA111" s="847"/>
      <c r="AB111" s="847"/>
      <c r="AC111" s="847"/>
      <c r="AD111" s="847"/>
      <c r="AE111" s="847"/>
      <c r="AF111" s="847"/>
      <c r="AG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c r="AA112" s="847"/>
      <c r="AB112" s="847"/>
      <c r="AC112" s="847"/>
      <c r="AD112" s="847"/>
      <c r="AE112" s="847"/>
      <c r="AF112" s="847"/>
      <c r="AG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c r="AA126" s="847"/>
      <c r="AB126" s="847"/>
      <c r="AC126" s="847"/>
      <c r="AD126" s="847"/>
      <c r="AE126" s="847"/>
      <c r="AF126" s="847"/>
      <c r="AG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c r="AA127" s="847"/>
      <c r="AB127" s="847"/>
      <c r="AC127" s="847"/>
      <c r="AD127" s="847"/>
      <c r="AE127" s="847"/>
      <c r="AF127" s="847"/>
      <c r="AG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c r="AA128" s="847"/>
      <c r="AB128" s="847"/>
      <c r="AC128" s="847"/>
      <c r="AD128" s="847"/>
      <c r="AE128" s="847"/>
      <c r="AF128" s="847"/>
      <c r="AG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c r="AA129" s="847"/>
      <c r="AB129" s="847"/>
      <c r="AC129" s="847"/>
      <c r="AD129" s="847"/>
      <c r="AE129" s="847"/>
      <c r="AF129" s="847"/>
      <c r="AG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c r="AA130" s="847"/>
      <c r="AB130" s="847"/>
      <c r="AC130" s="847"/>
      <c r="AD130" s="847"/>
      <c r="AE130" s="847"/>
      <c r="AF130" s="847"/>
      <c r="AG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c r="AA131" s="847"/>
      <c r="AB131" s="847"/>
      <c r="AC131" s="847"/>
      <c r="AD131" s="847"/>
      <c r="AE131" s="847"/>
      <c r="AF131" s="847"/>
      <c r="AG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c r="AA132" s="847"/>
      <c r="AB132" s="847"/>
      <c r="AC132" s="847"/>
      <c r="AD132" s="847"/>
      <c r="AE132" s="847"/>
      <c r="AF132" s="847"/>
      <c r="AG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c r="AA133" s="847"/>
      <c r="AB133" s="847"/>
      <c r="AC133" s="847"/>
      <c r="AD133" s="847"/>
      <c r="AE133" s="847"/>
      <c r="AF133" s="847"/>
      <c r="AG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c r="AA134" s="847"/>
      <c r="AB134" s="847"/>
      <c r="AC134" s="847"/>
      <c r="AD134" s="847"/>
      <c r="AE134" s="847"/>
      <c r="AF134" s="847"/>
      <c r="AG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c r="AA135" s="847"/>
      <c r="AB135" s="847"/>
      <c r="AC135" s="847"/>
      <c r="AD135" s="847"/>
      <c r="AE135" s="847"/>
      <c r="AF135" s="847"/>
      <c r="AG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c r="AA136" s="847"/>
      <c r="AB136" s="847"/>
      <c r="AC136" s="847"/>
      <c r="AD136" s="847"/>
      <c r="AE136" s="847"/>
      <c r="AF136" s="847"/>
      <c r="AG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c r="AA137" s="847"/>
      <c r="AB137" s="847"/>
      <c r="AC137" s="847"/>
      <c r="AD137" s="847"/>
      <c r="AE137" s="847"/>
      <c r="AF137" s="847"/>
      <c r="AG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c r="AA138" s="847"/>
      <c r="AB138" s="847"/>
      <c r="AC138" s="847"/>
      <c r="AD138" s="847"/>
      <c r="AE138" s="847"/>
      <c r="AF138" s="847"/>
      <c r="AG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c r="AA139" s="847"/>
      <c r="AB139" s="847"/>
      <c r="AC139" s="847"/>
      <c r="AD139" s="847"/>
      <c r="AE139" s="847"/>
      <c r="AF139" s="847"/>
      <c r="AG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c r="AA140" s="847"/>
      <c r="AB140" s="847"/>
      <c r="AC140" s="847"/>
      <c r="AD140" s="847"/>
      <c r="AE140" s="847"/>
      <c r="AF140" s="847"/>
      <c r="AG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c r="AA141" s="847"/>
      <c r="AB141" s="847"/>
      <c r="AC141" s="847"/>
      <c r="AD141" s="847"/>
      <c r="AE141" s="847"/>
      <c r="AF141" s="847"/>
      <c r="AG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c r="AA142" s="847"/>
      <c r="AB142" s="847"/>
      <c r="AC142" s="847"/>
      <c r="AD142" s="847"/>
      <c r="AE142" s="847"/>
      <c r="AF142" s="847"/>
      <c r="AG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c r="AA143" s="847"/>
      <c r="AB143" s="847"/>
      <c r="AC143" s="847"/>
      <c r="AD143" s="847"/>
      <c r="AE143" s="847"/>
      <c r="AF143" s="847"/>
      <c r="AG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c r="AA144" s="847"/>
      <c r="AB144" s="847"/>
      <c r="AC144" s="847"/>
      <c r="AD144" s="847"/>
      <c r="AE144" s="847"/>
      <c r="AF144" s="847"/>
      <c r="AG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c r="AA145" s="847"/>
      <c r="AB145" s="847"/>
      <c r="AC145" s="847"/>
      <c r="AD145" s="847"/>
      <c r="AE145" s="847"/>
      <c r="AF145" s="847"/>
      <c r="AG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c r="AA146" s="847"/>
      <c r="AB146" s="847"/>
      <c r="AC146" s="847"/>
      <c r="AD146" s="847"/>
      <c r="AE146" s="847"/>
      <c r="AF146" s="847"/>
      <c r="AG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c r="AA147" s="847"/>
      <c r="AB147" s="847"/>
      <c r="AC147" s="847"/>
      <c r="AD147" s="847"/>
      <c r="AE147" s="847"/>
      <c r="AF147" s="847"/>
      <c r="AG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c r="AA148" s="847"/>
      <c r="AB148" s="847"/>
      <c r="AC148" s="847"/>
      <c r="AD148" s="847"/>
      <c r="AE148" s="847"/>
      <c r="AF148" s="847"/>
      <c r="AG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c r="AA149" s="847"/>
      <c r="AB149" s="847"/>
      <c r="AC149" s="847"/>
      <c r="AD149" s="847"/>
      <c r="AE149" s="847"/>
      <c r="AF149" s="847"/>
      <c r="AG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c r="AA150" s="847"/>
      <c r="AB150" s="847"/>
      <c r="AC150" s="847"/>
      <c r="AD150" s="847"/>
      <c r="AE150" s="847"/>
      <c r="AF150" s="847"/>
      <c r="AG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c r="AA151" s="847"/>
      <c r="AB151" s="847"/>
      <c r="AC151" s="847"/>
      <c r="AD151" s="847"/>
      <c r="AE151" s="847"/>
      <c r="AF151" s="847"/>
      <c r="AG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c r="AA152" s="847"/>
      <c r="AB152" s="847"/>
      <c r="AC152" s="847"/>
      <c r="AD152" s="847"/>
      <c r="AE152" s="847"/>
      <c r="AF152" s="847"/>
      <c r="AG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c r="AA153" s="847"/>
      <c r="AB153" s="847"/>
      <c r="AC153" s="847"/>
      <c r="AD153" s="847"/>
      <c r="AE153" s="847"/>
      <c r="AF153" s="847"/>
      <c r="AG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c r="AA154" s="847"/>
      <c r="AB154" s="847"/>
      <c r="AC154" s="847"/>
      <c r="AD154" s="847"/>
      <c r="AE154" s="847"/>
      <c r="AF154" s="847"/>
      <c r="AG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c r="AA155" s="847"/>
      <c r="AB155" s="847"/>
      <c r="AC155" s="847"/>
      <c r="AD155" s="847"/>
      <c r="AE155" s="847"/>
      <c r="AF155" s="847"/>
      <c r="AG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c r="AA156" s="847"/>
      <c r="AB156" s="847"/>
      <c r="AC156" s="847"/>
      <c r="AD156" s="847"/>
      <c r="AE156" s="847"/>
      <c r="AF156" s="847"/>
      <c r="AG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c r="AA157" s="847"/>
      <c r="AB157" s="847"/>
      <c r="AC157" s="847"/>
      <c r="AD157" s="847"/>
      <c r="AE157" s="847"/>
      <c r="AF157" s="847"/>
      <c r="AG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c r="AA158" s="847"/>
      <c r="AB158" s="847"/>
      <c r="AC158" s="847"/>
      <c r="AD158" s="847"/>
      <c r="AE158" s="847"/>
      <c r="AF158" s="847"/>
      <c r="AG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c r="AA159" s="847"/>
      <c r="AB159" s="847"/>
      <c r="AC159" s="847"/>
      <c r="AD159" s="847"/>
      <c r="AE159" s="847"/>
      <c r="AF159" s="847"/>
      <c r="AG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c r="AA160" s="847"/>
      <c r="AB160" s="847"/>
      <c r="AC160" s="847"/>
      <c r="AD160" s="847"/>
      <c r="AE160" s="847"/>
      <c r="AF160" s="847"/>
      <c r="AG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c r="AA161" s="847"/>
      <c r="AB161" s="847"/>
      <c r="AC161" s="847"/>
      <c r="AD161" s="847"/>
      <c r="AE161" s="847"/>
      <c r="AF161" s="847"/>
      <c r="AG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c r="AA162" s="847"/>
      <c r="AB162" s="847"/>
      <c r="AC162" s="847"/>
      <c r="AD162" s="847"/>
      <c r="AE162" s="847"/>
      <c r="AF162" s="847"/>
      <c r="AG162" s="847"/>
    </row>
    <row r="163">
      <c r="A163" s="847"/>
      <c r="B163" s="847"/>
      <c r="C163" s="847"/>
      <c r="D163" s="847"/>
      <c r="E163" s="847"/>
      <c r="F163" s="847"/>
      <c r="G163" s="847"/>
      <c r="H163" s="847"/>
      <c r="I163" s="847"/>
      <c r="J163" s="847"/>
      <c r="K163" s="847"/>
      <c r="L163" s="847"/>
      <c r="M163" s="847"/>
      <c r="N163" s="847"/>
      <c r="O163" s="847"/>
      <c r="P163" s="847"/>
      <c r="Q163" s="847"/>
      <c r="R163" s="847"/>
      <c r="S163" s="847"/>
      <c r="T163" s="847"/>
      <c r="U163" s="847"/>
      <c r="V163" s="847"/>
      <c r="W163" s="847"/>
      <c r="X163" s="847"/>
      <c r="Y163" s="847"/>
      <c r="Z163" s="847"/>
      <c r="AA163" s="847"/>
      <c r="AB163" s="847"/>
      <c r="AC163" s="847"/>
      <c r="AD163" s="847"/>
      <c r="AE163" s="847"/>
      <c r="AF163" s="847"/>
      <c r="AG163" s="847"/>
    </row>
    <row r="164">
      <c r="A164" s="847"/>
      <c r="B164" s="847"/>
      <c r="C164" s="847"/>
      <c r="D164" s="847"/>
      <c r="E164" s="847"/>
      <c r="F164" s="847"/>
      <c r="G164" s="847"/>
      <c r="H164" s="847"/>
      <c r="I164" s="847"/>
      <c r="J164" s="847"/>
      <c r="K164" s="847"/>
      <c r="L164" s="847"/>
      <c r="M164" s="847"/>
      <c r="N164" s="847"/>
      <c r="O164" s="847"/>
      <c r="P164" s="847"/>
      <c r="Q164" s="847"/>
      <c r="R164" s="847"/>
      <c r="S164" s="847"/>
      <c r="T164" s="847"/>
      <c r="U164" s="847"/>
      <c r="V164" s="847"/>
      <c r="W164" s="847"/>
      <c r="X164" s="847"/>
      <c r="Y164" s="847"/>
      <c r="Z164" s="847"/>
      <c r="AA164" s="847"/>
      <c r="AB164" s="847"/>
      <c r="AC164" s="847"/>
      <c r="AD164" s="847"/>
      <c r="AE164" s="847"/>
      <c r="AF164" s="847"/>
      <c r="AG164" s="847"/>
    </row>
    <row r="165">
      <c r="A165" s="847"/>
      <c r="B165" s="847"/>
      <c r="C165" s="847"/>
      <c r="D165" s="847"/>
      <c r="E165" s="847"/>
      <c r="F165" s="847"/>
      <c r="G165" s="847"/>
      <c r="H165" s="847"/>
      <c r="I165" s="847"/>
      <c r="J165" s="847"/>
      <c r="K165" s="847"/>
      <c r="L165" s="847"/>
      <c r="M165" s="847"/>
      <c r="N165" s="847"/>
      <c r="O165" s="847"/>
      <c r="P165" s="847"/>
      <c r="Q165" s="847"/>
      <c r="R165" s="847"/>
      <c r="S165" s="847"/>
      <c r="T165" s="847"/>
      <c r="U165" s="847"/>
      <c r="V165" s="847"/>
      <c r="W165" s="847"/>
      <c r="X165" s="847"/>
      <c r="Y165" s="847"/>
      <c r="Z165" s="847"/>
      <c r="AA165" s="847"/>
      <c r="AB165" s="847"/>
      <c r="AC165" s="847"/>
      <c r="AD165" s="847"/>
      <c r="AE165" s="847"/>
      <c r="AF165" s="847"/>
      <c r="AG165" s="847"/>
    </row>
    <row r="166">
      <c r="A166" s="847"/>
      <c r="B166" s="847"/>
      <c r="C166" s="847"/>
      <c r="D166" s="847"/>
      <c r="E166" s="847"/>
      <c r="F166" s="847"/>
      <c r="G166" s="847"/>
      <c r="H166" s="847"/>
      <c r="I166" s="847"/>
      <c r="J166" s="847"/>
      <c r="K166" s="847"/>
      <c r="L166" s="847"/>
      <c r="M166" s="847"/>
      <c r="N166" s="847"/>
      <c r="O166" s="847"/>
      <c r="P166" s="847"/>
      <c r="Q166" s="847"/>
      <c r="R166" s="847"/>
      <c r="S166" s="847"/>
      <c r="T166" s="847"/>
      <c r="U166" s="847"/>
      <c r="V166" s="847"/>
      <c r="W166" s="847"/>
      <c r="X166" s="847"/>
      <c r="Y166" s="847"/>
      <c r="Z166" s="847"/>
      <c r="AA166" s="847"/>
      <c r="AB166" s="847"/>
      <c r="AC166" s="847"/>
      <c r="AD166" s="847"/>
      <c r="AE166" s="847"/>
      <c r="AF166" s="847"/>
      <c r="AG166" s="847"/>
    </row>
    <row r="167">
      <c r="A167" s="847"/>
      <c r="B167" s="847"/>
      <c r="C167" s="847"/>
      <c r="D167" s="847"/>
      <c r="E167" s="847"/>
      <c r="F167" s="847"/>
      <c r="G167" s="847"/>
      <c r="H167" s="847"/>
      <c r="I167" s="847"/>
      <c r="J167" s="847"/>
      <c r="K167" s="847"/>
      <c r="L167" s="847"/>
      <c r="M167" s="847"/>
      <c r="N167" s="847"/>
      <c r="O167" s="847"/>
      <c r="P167" s="847"/>
      <c r="Q167" s="847"/>
      <c r="R167" s="847"/>
      <c r="S167" s="847"/>
      <c r="T167" s="847"/>
      <c r="U167" s="847"/>
      <c r="V167" s="847"/>
      <c r="W167" s="847"/>
      <c r="X167" s="847"/>
      <c r="Y167" s="847"/>
      <c r="Z167" s="847"/>
      <c r="AA167" s="847"/>
      <c r="AB167" s="847"/>
      <c r="AC167" s="847"/>
      <c r="AD167" s="847"/>
      <c r="AE167" s="847"/>
      <c r="AF167" s="847"/>
      <c r="AG167" s="847"/>
    </row>
    <row r="168">
      <c r="A168" s="847"/>
      <c r="B168" s="847"/>
      <c r="C168" s="847"/>
      <c r="D168" s="847"/>
      <c r="E168" s="847"/>
      <c r="F168" s="847"/>
      <c r="G168" s="847"/>
      <c r="H168" s="847"/>
      <c r="I168" s="847"/>
      <c r="J168" s="847"/>
      <c r="K168" s="847"/>
      <c r="L168" s="847"/>
      <c r="M168" s="847"/>
      <c r="N168" s="847"/>
      <c r="O168" s="847"/>
      <c r="P168" s="847"/>
      <c r="Q168" s="847"/>
      <c r="R168" s="847"/>
      <c r="S168" s="847"/>
      <c r="T168" s="847"/>
      <c r="U168" s="847"/>
      <c r="V168" s="847"/>
      <c r="W168" s="847"/>
      <c r="X168" s="847"/>
      <c r="Y168" s="847"/>
      <c r="Z168" s="847"/>
      <c r="AA168" s="847"/>
      <c r="AB168" s="847"/>
      <c r="AC168" s="847"/>
      <c r="AD168" s="847"/>
      <c r="AE168" s="847"/>
      <c r="AF168" s="847"/>
      <c r="AG168" s="847"/>
    </row>
    <row r="169">
      <c r="A169" s="847"/>
      <c r="B169" s="847"/>
      <c r="C169" s="847"/>
      <c r="D169" s="847"/>
      <c r="E169" s="847"/>
      <c r="F169" s="847"/>
      <c r="G169" s="847"/>
      <c r="H169" s="847"/>
      <c r="I169" s="847"/>
      <c r="J169" s="847"/>
      <c r="K169" s="847"/>
      <c r="L169" s="847"/>
      <c r="M169" s="847"/>
      <c r="N169" s="847"/>
      <c r="O169" s="847"/>
      <c r="P169" s="847"/>
      <c r="Q169" s="847"/>
      <c r="R169" s="847"/>
      <c r="S169" s="847"/>
      <c r="T169" s="847"/>
      <c r="U169" s="847"/>
      <c r="V169" s="847"/>
      <c r="W169" s="847"/>
      <c r="X169" s="847"/>
      <c r="Y169" s="847"/>
      <c r="Z169" s="847"/>
      <c r="AA169" s="847"/>
      <c r="AB169" s="847"/>
      <c r="AC169" s="847"/>
      <c r="AD169" s="847"/>
      <c r="AE169" s="847"/>
      <c r="AF169" s="847"/>
      <c r="AG169" s="847"/>
    </row>
    <row r="170">
      <c r="A170" s="847"/>
      <c r="B170" s="847"/>
      <c r="C170" s="847"/>
      <c r="D170" s="847"/>
      <c r="E170" s="847"/>
      <c r="F170" s="847"/>
      <c r="G170" s="847"/>
      <c r="H170" s="847"/>
      <c r="I170" s="847"/>
      <c r="J170" s="847"/>
      <c r="K170" s="847"/>
      <c r="L170" s="847"/>
      <c r="M170" s="847"/>
      <c r="N170" s="847"/>
      <c r="O170" s="847"/>
      <c r="P170" s="847"/>
      <c r="Q170" s="847"/>
      <c r="R170" s="847"/>
      <c r="S170" s="847"/>
      <c r="T170" s="847"/>
      <c r="U170" s="847"/>
      <c r="V170" s="847"/>
      <c r="W170" s="847"/>
      <c r="X170" s="847"/>
      <c r="Y170" s="847"/>
      <c r="Z170" s="847"/>
      <c r="AA170" s="847"/>
      <c r="AB170" s="847"/>
      <c r="AC170" s="847"/>
      <c r="AD170" s="847"/>
      <c r="AE170" s="847"/>
      <c r="AF170" s="847"/>
      <c r="AG170" s="847"/>
    </row>
    <row r="171">
      <c r="A171" s="847"/>
      <c r="B171" s="847"/>
      <c r="C171" s="847"/>
      <c r="D171" s="847"/>
      <c r="E171" s="847"/>
      <c r="F171" s="847"/>
      <c r="G171" s="847"/>
      <c r="H171" s="847"/>
      <c r="I171" s="847"/>
      <c r="J171" s="847"/>
      <c r="K171" s="847"/>
      <c r="L171" s="847"/>
      <c r="M171" s="847"/>
      <c r="N171" s="847"/>
      <c r="O171" s="847"/>
      <c r="P171" s="847"/>
      <c r="Q171" s="847"/>
      <c r="R171" s="847"/>
      <c r="S171" s="847"/>
      <c r="T171" s="847"/>
      <c r="U171" s="847"/>
      <c r="V171" s="847"/>
      <c r="W171" s="847"/>
      <c r="X171" s="847"/>
      <c r="Y171" s="847"/>
      <c r="Z171" s="847"/>
      <c r="AA171" s="847"/>
      <c r="AB171" s="847"/>
      <c r="AC171" s="847"/>
      <c r="AD171" s="847"/>
      <c r="AE171" s="847"/>
      <c r="AF171" s="847"/>
      <c r="AG171" s="847"/>
    </row>
    <row r="172">
      <c r="A172" s="847"/>
      <c r="B172" s="847"/>
      <c r="C172" s="847"/>
      <c r="D172" s="847"/>
      <c r="E172" s="847"/>
      <c r="F172" s="847"/>
      <c r="G172" s="847"/>
      <c r="H172" s="847"/>
      <c r="I172" s="847"/>
      <c r="J172" s="847"/>
      <c r="K172" s="847"/>
      <c r="L172" s="847"/>
      <c r="M172" s="847"/>
      <c r="N172" s="847"/>
      <c r="O172" s="847"/>
      <c r="P172" s="847"/>
      <c r="Q172" s="847"/>
      <c r="R172" s="847"/>
      <c r="S172" s="847"/>
      <c r="T172" s="847"/>
      <c r="U172" s="847"/>
      <c r="V172" s="847"/>
      <c r="W172" s="847"/>
      <c r="X172" s="847"/>
      <c r="Y172" s="847"/>
      <c r="Z172" s="847"/>
      <c r="AA172" s="847"/>
      <c r="AB172" s="847"/>
      <c r="AC172" s="847"/>
      <c r="AD172" s="847"/>
      <c r="AE172" s="847"/>
      <c r="AF172" s="847"/>
      <c r="AG172" s="847"/>
    </row>
    <row r="173">
      <c r="A173" s="847"/>
      <c r="B173" s="847"/>
      <c r="C173" s="847"/>
      <c r="D173" s="847"/>
      <c r="E173" s="847"/>
      <c r="F173" s="847"/>
      <c r="G173" s="847"/>
      <c r="H173" s="847"/>
      <c r="I173" s="847"/>
      <c r="J173" s="847"/>
      <c r="K173" s="847"/>
      <c r="L173" s="847"/>
      <c r="M173" s="847"/>
      <c r="N173" s="847"/>
      <c r="O173" s="847"/>
      <c r="P173" s="847"/>
      <c r="Q173" s="847"/>
      <c r="R173" s="847"/>
      <c r="S173" s="847"/>
      <c r="T173" s="847"/>
      <c r="U173" s="847"/>
      <c r="V173" s="847"/>
      <c r="W173" s="847"/>
      <c r="X173" s="847"/>
      <c r="Y173" s="847"/>
      <c r="Z173" s="847"/>
      <c r="AA173" s="847"/>
      <c r="AB173" s="847"/>
      <c r="AC173" s="847"/>
      <c r="AD173" s="847"/>
      <c r="AE173" s="847"/>
      <c r="AF173" s="847"/>
      <c r="AG173" s="847"/>
    </row>
    <row r="174">
      <c r="A174" s="847"/>
      <c r="B174" s="847"/>
      <c r="C174" s="847"/>
      <c r="D174" s="847"/>
      <c r="E174" s="847"/>
      <c r="F174" s="847"/>
      <c r="G174" s="847"/>
      <c r="H174" s="847"/>
      <c r="I174" s="847"/>
      <c r="J174" s="847"/>
      <c r="K174" s="847"/>
      <c r="L174" s="847"/>
      <c r="M174" s="847"/>
      <c r="N174" s="847"/>
      <c r="O174" s="847"/>
      <c r="P174" s="847"/>
      <c r="Q174" s="847"/>
      <c r="R174" s="847"/>
      <c r="S174" s="847"/>
      <c r="T174" s="847"/>
      <c r="U174" s="847"/>
      <c r="V174" s="847"/>
      <c r="W174" s="847"/>
      <c r="X174" s="847"/>
      <c r="Y174" s="847"/>
      <c r="Z174" s="847"/>
      <c r="AA174" s="847"/>
      <c r="AB174" s="847"/>
      <c r="AC174" s="847"/>
      <c r="AD174" s="847"/>
      <c r="AE174" s="847"/>
      <c r="AF174" s="847"/>
      <c r="AG174" s="847"/>
    </row>
    <row r="175">
      <c r="A175" s="847"/>
      <c r="B175" s="847"/>
      <c r="C175" s="847"/>
      <c r="D175" s="847"/>
      <c r="E175" s="847"/>
      <c r="F175" s="847"/>
      <c r="G175" s="847"/>
      <c r="H175" s="847"/>
      <c r="I175" s="847"/>
      <c r="J175" s="847"/>
      <c r="K175" s="847"/>
      <c r="L175" s="847"/>
      <c r="M175" s="847"/>
      <c r="N175" s="847"/>
      <c r="O175" s="847"/>
      <c r="P175" s="847"/>
      <c r="Q175" s="847"/>
      <c r="R175" s="847"/>
      <c r="S175" s="847"/>
      <c r="T175" s="847"/>
      <c r="U175" s="847"/>
      <c r="V175" s="847"/>
      <c r="W175" s="847"/>
      <c r="X175" s="847"/>
      <c r="Y175" s="847"/>
      <c r="Z175" s="847"/>
      <c r="AA175" s="847"/>
      <c r="AB175" s="847"/>
      <c r="AC175" s="847"/>
      <c r="AD175" s="847"/>
      <c r="AE175" s="847"/>
      <c r="AF175" s="847"/>
      <c r="AG175" s="847"/>
    </row>
    <row r="176">
      <c r="A176" s="847"/>
      <c r="B176" s="847"/>
      <c r="C176" s="847"/>
      <c r="D176" s="847"/>
      <c r="E176" s="847"/>
      <c r="F176" s="847"/>
      <c r="G176" s="847"/>
      <c r="H176" s="847"/>
      <c r="I176" s="847"/>
      <c r="J176" s="847"/>
      <c r="K176" s="847"/>
      <c r="L176" s="847"/>
      <c r="M176" s="847"/>
      <c r="N176" s="847"/>
      <c r="O176" s="847"/>
      <c r="P176" s="847"/>
      <c r="Q176" s="847"/>
      <c r="R176" s="847"/>
      <c r="S176" s="847"/>
      <c r="T176" s="847"/>
      <c r="U176" s="847"/>
      <c r="V176" s="847"/>
      <c r="W176" s="847"/>
      <c r="X176" s="847"/>
      <c r="Y176" s="847"/>
      <c r="Z176" s="847"/>
      <c r="AA176" s="847"/>
      <c r="AB176" s="847"/>
      <c r="AC176" s="847"/>
      <c r="AD176" s="847"/>
      <c r="AE176" s="847"/>
      <c r="AF176" s="847"/>
      <c r="AG176" s="847"/>
    </row>
    <row r="177">
      <c r="A177" s="847"/>
      <c r="B177" s="847"/>
      <c r="C177" s="847"/>
      <c r="D177" s="847"/>
      <c r="E177" s="847"/>
      <c r="F177" s="847"/>
      <c r="G177" s="847"/>
      <c r="H177" s="847"/>
      <c r="I177" s="847"/>
      <c r="J177" s="847"/>
      <c r="K177" s="847"/>
      <c r="L177" s="847"/>
      <c r="M177" s="847"/>
      <c r="N177" s="847"/>
      <c r="O177" s="847"/>
      <c r="P177" s="847"/>
      <c r="Q177" s="847"/>
      <c r="R177" s="847"/>
      <c r="S177" s="847"/>
      <c r="T177" s="847"/>
      <c r="U177" s="847"/>
      <c r="V177" s="847"/>
      <c r="W177" s="847"/>
      <c r="X177" s="847"/>
      <c r="Y177" s="847"/>
      <c r="Z177" s="847"/>
      <c r="AA177" s="847"/>
      <c r="AB177" s="847"/>
      <c r="AC177" s="847"/>
      <c r="AD177" s="847"/>
      <c r="AE177" s="847"/>
      <c r="AF177" s="847"/>
      <c r="AG177" s="847"/>
    </row>
    <row r="178">
      <c r="A178" s="847"/>
      <c r="B178" s="847"/>
      <c r="C178" s="847"/>
      <c r="D178" s="847"/>
      <c r="E178" s="847"/>
      <c r="F178" s="847"/>
      <c r="G178" s="847"/>
      <c r="H178" s="847"/>
      <c r="I178" s="847"/>
      <c r="J178" s="847"/>
      <c r="K178" s="847"/>
      <c r="L178" s="847"/>
      <c r="M178" s="847"/>
      <c r="N178" s="847"/>
      <c r="O178" s="847"/>
      <c r="P178" s="847"/>
      <c r="Q178" s="847"/>
      <c r="R178" s="847"/>
      <c r="S178" s="847"/>
      <c r="T178" s="847"/>
      <c r="U178" s="847"/>
      <c r="V178" s="847"/>
      <c r="W178" s="847"/>
      <c r="X178" s="847"/>
      <c r="Y178" s="847"/>
      <c r="Z178" s="847"/>
      <c r="AA178" s="847"/>
      <c r="AB178" s="847"/>
      <c r="AC178" s="847"/>
      <c r="AD178" s="847"/>
      <c r="AE178" s="847"/>
      <c r="AF178" s="847"/>
      <c r="AG178" s="847"/>
    </row>
    <row r="179">
      <c r="A179" s="847"/>
      <c r="B179" s="847"/>
      <c r="C179" s="847"/>
      <c r="D179" s="847"/>
      <c r="E179" s="847"/>
      <c r="F179" s="847"/>
      <c r="G179" s="847"/>
      <c r="H179" s="847"/>
      <c r="I179" s="847"/>
      <c r="J179" s="847"/>
      <c r="K179" s="847"/>
      <c r="L179" s="847"/>
      <c r="M179" s="847"/>
      <c r="N179" s="847"/>
      <c r="O179" s="847"/>
      <c r="P179" s="847"/>
      <c r="Q179" s="847"/>
      <c r="R179" s="847"/>
      <c r="S179" s="847"/>
      <c r="T179" s="847"/>
      <c r="U179" s="847"/>
      <c r="V179" s="847"/>
      <c r="W179" s="847"/>
      <c r="X179" s="847"/>
      <c r="Y179" s="847"/>
      <c r="Z179" s="847"/>
      <c r="AA179" s="847"/>
      <c r="AB179" s="847"/>
      <c r="AC179" s="847"/>
      <c r="AD179" s="847"/>
      <c r="AE179" s="847"/>
      <c r="AF179" s="847"/>
      <c r="AG179" s="847"/>
    </row>
    <row r="180">
      <c r="A180" s="847"/>
      <c r="B180" s="847"/>
      <c r="C180" s="847"/>
      <c r="D180" s="847"/>
      <c r="E180" s="847"/>
      <c r="F180" s="847"/>
      <c r="G180" s="847"/>
      <c r="H180" s="847"/>
      <c r="I180" s="847"/>
      <c r="J180" s="847"/>
      <c r="K180" s="847"/>
      <c r="L180" s="847"/>
      <c r="M180" s="847"/>
      <c r="N180" s="847"/>
      <c r="O180" s="847"/>
      <c r="P180" s="847"/>
      <c r="Q180" s="847"/>
      <c r="R180" s="847"/>
      <c r="S180" s="847"/>
      <c r="T180" s="847"/>
      <c r="U180" s="847"/>
      <c r="V180" s="847"/>
      <c r="W180" s="847"/>
      <c r="X180" s="847"/>
      <c r="Y180" s="847"/>
      <c r="Z180" s="847"/>
      <c r="AA180" s="847"/>
      <c r="AB180" s="847"/>
      <c r="AC180" s="847"/>
      <c r="AD180" s="847"/>
      <c r="AE180" s="847"/>
      <c r="AF180" s="847"/>
      <c r="AG180" s="847"/>
    </row>
    <row r="181">
      <c r="A181" s="847"/>
      <c r="B181" s="847"/>
      <c r="C181" s="847"/>
      <c r="D181" s="847"/>
      <c r="E181" s="847"/>
      <c r="F181" s="847"/>
      <c r="G181" s="847"/>
      <c r="H181" s="847"/>
      <c r="I181" s="847"/>
      <c r="J181" s="847"/>
      <c r="K181" s="847"/>
      <c r="L181" s="847"/>
      <c r="M181" s="847"/>
      <c r="N181" s="847"/>
      <c r="O181" s="847"/>
      <c r="P181" s="847"/>
      <c r="Q181" s="847"/>
      <c r="R181" s="847"/>
      <c r="S181" s="847"/>
      <c r="T181" s="847"/>
      <c r="U181" s="847"/>
      <c r="V181" s="847"/>
      <c r="W181" s="847"/>
      <c r="X181" s="847"/>
      <c r="Y181" s="847"/>
      <c r="Z181" s="847"/>
      <c r="AA181" s="847"/>
      <c r="AB181" s="847"/>
      <c r="AC181" s="847"/>
      <c r="AD181" s="847"/>
      <c r="AE181" s="847"/>
      <c r="AF181" s="847"/>
      <c r="AG181" s="847"/>
    </row>
    <row r="182">
      <c r="A182" s="847"/>
      <c r="B182" s="847"/>
      <c r="C182" s="847"/>
      <c r="D182" s="847"/>
      <c r="E182" s="847"/>
      <c r="F182" s="847"/>
      <c r="G182" s="847"/>
      <c r="H182" s="847"/>
      <c r="I182" s="847"/>
      <c r="J182" s="847"/>
      <c r="K182" s="847"/>
      <c r="L182" s="847"/>
      <c r="M182" s="847"/>
      <c r="N182" s="847"/>
      <c r="O182" s="847"/>
      <c r="P182" s="847"/>
      <c r="Q182" s="847"/>
      <c r="R182" s="847"/>
      <c r="S182" s="847"/>
      <c r="T182" s="847"/>
      <c r="U182" s="847"/>
      <c r="V182" s="847"/>
      <c r="W182" s="847"/>
      <c r="X182" s="847"/>
      <c r="Y182" s="847"/>
      <c r="Z182" s="847"/>
      <c r="AA182" s="847"/>
      <c r="AB182" s="847"/>
      <c r="AC182" s="847"/>
      <c r="AD182" s="847"/>
      <c r="AE182" s="847"/>
      <c r="AF182" s="847"/>
      <c r="AG182" s="847"/>
    </row>
    <row r="183">
      <c r="A183" s="847"/>
      <c r="B183" s="847"/>
      <c r="C183" s="847"/>
      <c r="D183" s="847"/>
      <c r="E183" s="847"/>
      <c r="F183" s="847"/>
      <c r="G183" s="847"/>
      <c r="H183" s="847"/>
      <c r="I183" s="847"/>
      <c r="J183" s="847"/>
      <c r="K183" s="847"/>
      <c r="L183" s="847"/>
      <c r="M183" s="847"/>
      <c r="N183" s="847"/>
      <c r="O183" s="847"/>
      <c r="P183" s="847"/>
      <c r="Q183" s="847"/>
      <c r="R183" s="847"/>
      <c r="S183" s="847"/>
      <c r="T183" s="847"/>
      <c r="U183" s="847"/>
      <c r="V183" s="847"/>
      <c r="W183" s="847"/>
      <c r="X183" s="847"/>
      <c r="Y183" s="847"/>
      <c r="Z183" s="847"/>
      <c r="AA183" s="847"/>
      <c r="AB183" s="847"/>
      <c r="AC183" s="847"/>
      <c r="AD183" s="847"/>
      <c r="AE183" s="847"/>
      <c r="AF183" s="847"/>
      <c r="AG183" s="847"/>
    </row>
    <row r="184">
      <c r="A184" s="847"/>
      <c r="B184" s="847"/>
      <c r="C184" s="847"/>
      <c r="D184" s="847"/>
      <c r="E184" s="847"/>
      <c r="F184" s="847"/>
      <c r="G184" s="847"/>
      <c r="H184" s="847"/>
      <c r="I184" s="847"/>
      <c r="J184" s="847"/>
      <c r="K184" s="847"/>
      <c r="L184" s="847"/>
      <c r="M184" s="847"/>
      <c r="N184" s="847"/>
      <c r="O184" s="847"/>
      <c r="P184" s="847"/>
      <c r="Q184" s="847"/>
      <c r="R184" s="847"/>
      <c r="S184" s="847"/>
      <c r="T184" s="847"/>
      <c r="U184" s="847"/>
      <c r="V184" s="847"/>
      <c r="W184" s="847"/>
      <c r="X184" s="847"/>
      <c r="Y184" s="847"/>
      <c r="Z184" s="847"/>
      <c r="AA184" s="847"/>
      <c r="AB184" s="847"/>
      <c r="AC184" s="847"/>
      <c r="AD184" s="847"/>
      <c r="AE184" s="847"/>
      <c r="AF184" s="847"/>
      <c r="AG184" s="847"/>
    </row>
    <row r="185">
      <c r="A185" s="847"/>
      <c r="B185" s="847"/>
      <c r="C185" s="847"/>
      <c r="D185" s="847"/>
      <c r="E185" s="847"/>
      <c r="F185" s="847"/>
      <c r="G185" s="847"/>
      <c r="H185" s="847"/>
      <c r="I185" s="847"/>
      <c r="J185" s="847"/>
      <c r="K185" s="847"/>
      <c r="L185" s="847"/>
      <c r="M185" s="847"/>
      <c r="N185" s="847"/>
      <c r="O185" s="847"/>
      <c r="P185" s="847"/>
      <c r="Q185" s="847"/>
      <c r="R185" s="847"/>
      <c r="S185" s="847"/>
      <c r="T185" s="847"/>
      <c r="U185" s="847"/>
      <c r="V185" s="847"/>
      <c r="W185" s="847"/>
      <c r="X185" s="847"/>
      <c r="Y185" s="847"/>
      <c r="Z185" s="847"/>
      <c r="AA185" s="847"/>
      <c r="AB185" s="847"/>
      <c r="AC185" s="847"/>
      <c r="AD185" s="847"/>
      <c r="AE185" s="847"/>
      <c r="AF185" s="847"/>
      <c r="AG185" s="847"/>
    </row>
    <row r="186">
      <c r="A186" s="847"/>
      <c r="B186" s="847"/>
      <c r="C186" s="847"/>
      <c r="D186" s="847"/>
      <c r="E186" s="847"/>
      <c r="F186" s="847"/>
      <c r="G186" s="847"/>
      <c r="H186" s="847"/>
      <c r="I186" s="847"/>
      <c r="J186" s="847"/>
      <c r="K186" s="847"/>
      <c r="L186" s="847"/>
      <c r="M186" s="847"/>
      <c r="N186" s="847"/>
      <c r="O186" s="847"/>
      <c r="P186" s="847"/>
      <c r="Q186" s="847"/>
      <c r="R186" s="847"/>
      <c r="S186" s="847"/>
      <c r="T186" s="847"/>
      <c r="U186" s="847"/>
      <c r="V186" s="847"/>
      <c r="W186" s="847"/>
      <c r="X186" s="847"/>
      <c r="Y186" s="847"/>
      <c r="Z186" s="847"/>
      <c r="AA186" s="847"/>
      <c r="AB186" s="847"/>
      <c r="AC186" s="847"/>
      <c r="AD186" s="847"/>
      <c r="AE186" s="847"/>
      <c r="AF186" s="847"/>
      <c r="AG186" s="847"/>
    </row>
    <row r="187">
      <c r="A187" s="847"/>
      <c r="B187" s="847"/>
      <c r="C187" s="847"/>
      <c r="D187" s="847"/>
      <c r="E187" s="847"/>
      <c r="F187" s="847"/>
      <c r="G187" s="847"/>
      <c r="H187" s="847"/>
      <c r="I187" s="847"/>
      <c r="J187" s="847"/>
      <c r="K187" s="847"/>
      <c r="L187" s="847"/>
      <c r="M187" s="847"/>
      <c r="N187" s="847"/>
      <c r="O187" s="847"/>
      <c r="P187" s="847"/>
      <c r="Q187" s="847"/>
      <c r="R187" s="847"/>
      <c r="S187" s="847"/>
      <c r="T187" s="847"/>
      <c r="U187" s="847"/>
      <c r="V187" s="847"/>
      <c r="W187" s="847"/>
      <c r="X187" s="847"/>
      <c r="Y187" s="847"/>
      <c r="Z187" s="847"/>
      <c r="AA187" s="847"/>
      <c r="AB187" s="847"/>
      <c r="AC187" s="847"/>
      <c r="AD187" s="847"/>
      <c r="AE187" s="847"/>
      <c r="AF187" s="847"/>
      <c r="AG187" s="847"/>
    </row>
    <row r="188">
      <c r="A188" s="847"/>
      <c r="B188" s="847"/>
      <c r="C188" s="847"/>
      <c r="D188" s="847"/>
      <c r="E188" s="847"/>
      <c r="F188" s="847"/>
      <c r="G188" s="847"/>
      <c r="H188" s="847"/>
      <c r="I188" s="847"/>
      <c r="J188" s="847"/>
      <c r="K188" s="847"/>
      <c r="L188" s="847"/>
      <c r="M188" s="847"/>
      <c r="N188" s="847"/>
      <c r="O188" s="847"/>
      <c r="P188" s="847"/>
      <c r="Q188" s="847"/>
      <c r="R188" s="847"/>
      <c r="S188" s="847"/>
      <c r="T188" s="847"/>
      <c r="U188" s="847"/>
      <c r="V188" s="847"/>
      <c r="W188" s="847"/>
      <c r="X188" s="847"/>
      <c r="Y188" s="847"/>
      <c r="Z188" s="847"/>
      <c r="AA188" s="847"/>
      <c r="AB188" s="847"/>
      <c r="AC188" s="847"/>
      <c r="AD188" s="847"/>
      <c r="AE188" s="847"/>
      <c r="AF188" s="847"/>
      <c r="AG188" s="847"/>
    </row>
    <row r="189">
      <c r="A189" s="847"/>
      <c r="B189" s="847"/>
      <c r="C189" s="847"/>
      <c r="D189" s="847"/>
      <c r="E189" s="847"/>
      <c r="F189" s="847"/>
      <c r="G189" s="847"/>
      <c r="H189" s="847"/>
      <c r="I189" s="847"/>
      <c r="J189" s="847"/>
      <c r="K189" s="847"/>
      <c r="L189" s="847"/>
      <c r="M189" s="847"/>
      <c r="N189" s="847"/>
      <c r="O189" s="847"/>
      <c r="P189" s="847"/>
      <c r="Q189" s="847"/>
      <c r="R189" s="847"/>
      <c r="S189" s="847"/>
      <c r="T189" s="847"/>
      <c r="U189" s="847"/>
      <c r="V189" s="847"/>
      <c r="W189" s="847"/>
      <c r="X189" s="847"/>
      <c r="Y189" s="847"/>
      <c r="Z189" s="847"/>
      <c r="AA189" s="847"/>
      <c r="AB189" s="847"/>
      <c r="AC189" s="847"/>
      <c r="AD189" s="847"/>
      <c r="AE189" s="847"/>
      <c r="AF189" s="847"/>
      <c r="AG189" s="847"/>
    </row>
    <row r="190">
      <c r="A190" s="847"/>
      <c r="B190" s="847"/>
      <c r="C190" s="847"/>
      <c r="D190" s="847"/>
      <c r="E190" s="847"/>
      <c r="F190" s="847"/>
      <c r="G190" s="847"/>
      <c r="H190" s="847"/>
      <c r="I190" s="847"/>
      <c r="J190" s="847"/>
      <c r="K190" s="847"/>
      <c r="L190" s="847"/>
      <c r="M190" s="847"/>
      <c r="N190" s="847"/>
      <c r="O190" s="847"/>
      <c r="P190" s="847"/>
      <c r="Q190" s="847"/>
      <c r="R190" s="847"/>
      <c r="S190" s="847"/>
      <c r="T190" s="847"/>
      <c r="U190" s="847"/>
      <c r="V190" s="847"/>
      <c r="W190" s="847"/>
      <c r="X190" s="847"/>
      <c r="Y190" s="847"/>
      <c r="Z190" s="847"/>
      <c r="AA190" s="847"/>
      <c r="AB190" s="847"/>
      <c r="AC190" s="847"/>
      <c r="AD190" s="847"/>
      <c r="AE190" s="847"/>
      <c r="AF190" s="847"/>
      <c r="AG190" s="847"/>
    </row>
    <row r="191">
      <c r="A191" s="847"/>
      <c r="B191" s="847"/>
      <c r="C191" s="847"/>
      <c r="D191" s="847"/>
      <c r="E191" s="847"/>
      <c r="F191" s="847"/>
      <c r="G191" s="847"/>
      <c r="H191" s="847"/>
      <c r="I191" s="847"/>
      <c r="J191" s="847"/>
      <c r="K191" s="847"/>
      <c r="L191" s="847"/>
      <c r="M191" s="847"/>
      <c r="N191" s="847"/>
      <c r="O191" s="847"/>
      <c r="P191" s="847"/>
      <c r="Q191" s="847"/>
      <c r="R191" s="847"/>
      <c r="S191" s="847"/>
      <c r="T191" s="847"/>
      <c r="U191" s="847"/>
      <c r="V191" s="847"/>
      <c r="W191" s="847"/>
      <c r="X191" s="847"/>
      <c r="Y191" s="847"/>
      <c r="Z191" s="847"/>
      <c r="AA191" s="847"/>
      <c r="AB191" s="847"/>
      <c r="AC191" s="847"/>
      <c r="AD191" s="847"/>
      <c r="AE191" s="847"/>
      <c r="AF191" s="847"/>
      <c r="AG191" s="847"/>
    </row>
    <row r="192">
      <c r="A192" s="847"/>
      <c r="B192" s="847"/>
      <c r="C192" s="847"/>
      <c r="D192" s="847"/>
      <c r="E192" s="847"/>
      <c r="F192" s="847"/>
      <c r="G192" s="847"/>
      <c r="H192" s="847"/>
      <c r="I192" s="847"/>
      <c r="J192" s="847"/>
      <c r="K192" s="847"/>
      <c r="L192" s="847"/>
      <c r="M192" s="847"/>
      <c r="N192" s="847"/>
      <c r="O192" s="847"/>
      <c r="P192" s="847"/>
      <c r="Q192" s="847"/>
      <c r="R192" s="847"/>
      <c r="S192" s="847"/>
      <c r="T192" s="847"/>
      <c r="U192" s="847"/>
      <c r="V192" s="847"/>
      <c r="W192" s="847"/>
      <c r="X192" s="847"/>
      <c r="Y192" s="847"/>
      <c r="Z192" s="847"/>
      <c r="AA192" s="847"/>
      <c r="AB192" s="847"/>
      <c r="AC192" s="847"/>
      <c r="AD192" s="847"/>
      <c r="AE192" s="847"/>
      <c r="AF192" s="847"/>
      <c r="AG192" s="847"/>
    </row>
    <row r="193">
      <c r="A193" s="847"/>
      <c r="B193" s="847"/>
      <c r="C193" s="847"/>
      <c r="D193" s="847"/>
      <c r="E193" s="847"/>
      <c r="F193" s="847"/>
      <c r="G193" s="847"/>
      <c r="H193" s="847"/>
      <c r="I193" s="847"/>
      <c r="J193" s="847"/>
      <c r="K193" s="847"/>
      <c r="L193" s="847"/>
      <c r="M193" s="847"/>
      <c r="N193" s="847"/>
      <c r="O193" s="847"/>
      <c r="P193" s="847"/>
      <c r="Q193" s="847"/>
      <c r="R193" s="847"/>
      <c r="S193" s="847"/>
      <c r="T193" s="847"/>
      <c r="U193" s="847"/>
      <c r="V193" s="847"/>
      <c r="W193" s="847"/>
      <c r="X193" s="847"/>
      <c r="Y193" s="847"/>
      <c r="Z193" s="847"/>
      <c r="AA193" s="847"/>
      <c r="AB193" s="847"/>
      <c r="AC193" s="847"/>
      <c r="AD193" s="847"/>
      <c r="AE193" s="847"/>
      <c r="AF193" s="847"/>
      <c r="AG193" s="847"/>
    </row>
    <row r="194">
      <c r="A194" s="847"/>
      <c r="B194" s="847"/>
      <c r="C194" s="847"/>
      <c r="D194" s="847"/>
      <c r="E194" s="847"/>
      <c r="F194" s="847"/>
      <c r="G194" s="847"/>
      <c r="H194" s="847"/>
      <c r="I194" s="847"/>
      <c r="J194" s="847"/>
      <c r="K194" s="847"/>
      <c r="L194" s="847"/>
      <c r="M194" s="847"/>
      <c r="N194" s="847"/>
      <c r="O194" s="847"/>
      <c r="P194" s="847"/>
      <c r="Q194" s="847"/>
      <c r="R194" s="847"/>
      <c r="S194" s="847"/>
      <c r="T194" s="847"/>
      <c r="U194" s="847"/>
      <c r="V194" s="847"/>
      <c r="W194" s="847"/>
      <c r="X194" s="847"/>
      <c r="Y194" s="847"/>
      <c r="Z194" s="847"/>
      <c r="AA194" s="847"/>
      <c r="AB194" s="847"/>
      <c r="AC194" s="847"/>
      <c r="AD194" s="847"/>
      <c r="AE194" s="847"/>
      <c r="AF194" s="847"/>
      <c r="AG194" s="847"/>
    </row>
    <row r="195">
      <c r="A195" s="847"/>
      <c r="B195" s="847"/>
      <c r="C195" s="847"/>
      <c r="D195" s="847"/>
      <c r="E195" s="847"/>
      <c r="F195" s="847"/>
      <c r="G195" s="847"/>
      <c r="H195" s="847"/>
      <c r="I195" s="847"/>
      <c r="J195" s="847"/>
      <c r="K195" s="847"/>
      <c r="L195" s="847"/>
      <c r="M195" s="847"/>
      <c r="N195" s="847"/>
      <c r="O195" s="847"/>
      <c r="P195" s="847"/>
      <c r="Q195" s="847"/>
      <c r="R195" s="847"/>
      <c r="S195" s="847"/>
      <c r="T195" s="847"/>
      <c r="U195" s="847"/>
      <c r="V195" s="847"/>
      <c r="W195" s="847"/>
      <c r="X195" s="847"/>
      <c r="Y195" s="847"/>
      <c r="Z195" s="847"/>
      <c r="AA195" s="847"/>
      <c r="AB195" s="847"/>
      <c r="AC195" s="847"/>
      <c r="AD195" s="847"/>
      <c r="AE195" s="847"/>
      <c r="AF195" s="847"/>
      <c r="AG195" s="847"/>
    </row>
    <row r="196">
      <c r="A196" s="847"/>
      <c r="B196" s="847"/>
      <c r="C196" s="847"/>
      <c r="D196" s="847"/>
      <c r="E196" s="847"/>
      <c r="F196" s="847"/>
      <c r="G196" s="847"/>
      <c r="H196" s="847"/>
      <c r="I196" s="847"/>
      <c r="J196" s="847"/>
      <c r="K196" s="847"/>
      <c r="L196" s="847"/>
      <c r="M196" s="847"/>
      <c r="N196" s="847"/>
      <c r="O196" s="847"/>
      <c r="P196" s="847"/>
      <c r="Q196" s="847"/>
      <c r="R196" s="847"/>
      <c r="S196" s="847"/>
      <c r="T196" s="847"/>
      <c r="U196" s="847"/>
      <c r="V196" s="847"/>
      <c r="W196" s="847"/>
      <c r="X196" s="847"/>
      <c r="Y196" s="847"/>
      <c r="Z196" s="847"/>
      <c r="AA196" s="847"/>
      <c r="AB196" s="847"/>
      <c r="AC196" s="847"/>
      <c r="AD196" s="847"/>
      <c r="AE196" s="847"/>
      <c r="AF196" s="847"/>
      <c r="AG196" s="847"/>
    </row>
    <row r="197">
      <c r="A197" s="847"/>
      <c r="B197" s="847"/>
      <c r="C197" s="847"/>
      <c r="D197" s="847"/>
      <c r="E197" s="847"/>
      <c r="F197" s="847"/>
      <c r="G197" s="847"/>
      <c r="H197" s="847"/>
      <c r="I197" s="847"/>
      <c r="J197" s="847"/>
      <c r="K197" s="847"/>
      <c r="L197" s="847"/>
      <c r="M197" s="847"/>
      <c r="N197" s="847"/>
      <c r="O197" s="847"/>
      <c r="P197" s="847"/>
      <c r="Q197" s="847"/>
      <c r="R197" s="847"/>
      <c r="S197" s="847"/>
      <c r="T197" s="847"/>
      <c r="U197" s="847"/>
      <c r="V197" s="847"/>
      <c r="W197" s="847"/>
      <c r="X197" s="847"/>
      <c r="Y197" s="847"/>
      <c r="Z197" s="847"/>
      <c r="AA197" s="847"/>
      <c r="AB197" s="847"/>
      <c r="AC197" s="847"/>
      <c r="AD197" s="847"/>
      <c r="AE197" s="847"/>
      <c r="AF197" s="847"/>
      <c r="AG197" s="847"/>
    </row>
    <row r="198">
      <c r="A198" s="847"/>
      <c r="B198" s="847"/>
      <c r="C198" s="847"/>
      <c r="D198" s="847"/>
      <c r="E198" s="847"/>
      <c r="F198" s="847"/>
      <c r="G198" s="847"/>
      <c r="H198" s="847"/>
      <c r="I198" s="847"/>
      <c r="J198" s="847"/>
      <c r="K198" s="847"/>
      <c r="L198" s="847"/>
      <c r="M198" s="847"/>
      <c r="N198" s="847"/>
      <c r="O198" s="847"/>
      <c r="P198" s="847"/>
      <c r="Q198" s="847"/>
      <c r="R198" s="847"/>
      <c r="S198" s="847"/>
      <c r="T198" s="847"/>
      <c r="U198" s="847"/>
      <c r="V198" s="847"/>
      <c r="W198" s="847"/>
      <c r="X198" s="847"/>
      <c r="Y198" s="847"/>
      <c r="Z198" s="847"/>
      <c r="AA198" s="847"/>
      <c r="AB198" s="847"/>
      <c r="AC198" s="847"/>
      <c r="AD198" s="847"/>
      <c r="AE198" s="847"/>
      <c r="AF198" s="847"/>
      <c r="AG198" s="847"/>
    </row>
    <row r="199">
      <c r="A199" s="847"/>
      <c r="B199" s="847"/>
      <c r="C199" s="847"/>
      <c r="D199" s="847"/>
      <c r="E199" s="847"/>
      <c r="F199" s="847"/>
      <c r="G199" s="847"/>
      <c r="H199" s="847"/>
      <c r="I199" s="847"/>
      <c r="J199" s="847"/>
      <c r="K199" s="847"/>
      <c r="L199" s="847"/>
      <c r="M199" s="847"/>
      <c r="N199" s="847"/>
      <c r="O199" s="847"/>
      <c r="P199" s="847"/>
      <c r="Q199" s="847"/>
      <c r="R199" s="847"/>
      <c r="S199" s="847"/>
      <c r="T199" s="847"/>
      <c r="U199" s="847"/>
      <c r="V199" s="847"/>
      <c r="W199" s="847"/>
      <c r="X199" s="847"/>
      <c r="Y199" s="847"/>
      <c r="Z199" s="847"/>
      <c r="AA199" s="847"/>
      <c r="AB199" s="847"/>
      <c r="AC199" s="847"/>
      <c r="AD199" s="847"/>
      <c r="AE199" s="847"/>
      <c r="AF199" s="847"/>
      <c r="AG199" s="847"/>
    </row>
    <row r="200">
      <c r="A200" s="847"/>
      <c r="B200" s="847"/>
      <c r="C200" s="847"/>
      <c r="D200" s="847"/>
      <c r="E200" s="847"/>
      <c r="F200" s="847"/>
      <c r="G200" s="847"/>
      <c r="H200" s="847"/>
      <c r="I200" s="847"/>
      <c r="J200" s="847"/>
      <c r="K200" s="847"/>
      <c r="L200" s="847"/>
      <c r="M200" s="847"/>
      <c r="N200" s="847"/>
      <c r="O200" s="847"/>
      <c r="P200" s="847"/>
      <c r="Q200" s="847"/>
      <c r="R200" s="847"/>
      <c r="S200" s="847"/>
      <c r="T200" s="847"/>
      <c r="U200" s="847"/>
      <c r="V200" s="847"/>
      <c r="W200" s="847"/>
      <c r="X200" s="847"/>
      <c r="Y200" s="847"/>
      <c r="Z200" s="847"/>
      <c r="AA200" s="847"/>
      <c r="AB200" s="847"/>
      <c r="AC200" s="847"/>
      <c r="AD200" s="847"/>
      <c r="AE200" s="847"/>
      <c r="AF200" s="847"/>
      <c r="AG200" s="847"/>
    </row>
    <row r="201">
      <c r="A201" s="847"/>
      <c r="B201" s="847"/>
      <c r="C201" s="847"/>
      <c r="D201" s="847"/>
      <c r="E201" s="847"/>
      <c r="F201" s="847"/>
      <c r="G201" s="847"/>
      <c r="H201" s="847"/>
      <c r="I201" s="847"/>
      <c r="J201" s="847"/>
      <c r="K201" s="847"/>
      <c r="L201" s="847"/>
      <c r="M201" s="847"/>
      <c r="N201" s="847"/>
      <c r="O201" s="847"/>
      <c r="P201" s="847"/>
      <c r="Q201" s="847"/>
      <c r="R201" s="847"/>
      <c r="S201" s="847"/>
      <c r="T201" s="847"/>
      <c r="U201" s="847"/>
      <c r="V201" s="847"/>
      <c r="W201" s="847"/>
      <c r="X201" s="847"/>
      <c r="Y201" s="847"/>
      <c r="Z201" s="847"/>
      <c r="AA201" s="847"/>
      <c r="AB201" s="847"/>
      <c r="AC201" s="847"/>
      <c r="AD201" s="847"/>
      <c r="AE201" s="847"/>
      <c r="AF201" s="847"/>
      <c r="AG201" s="847"/>
    </row>
    <row r="202">
      <c r="A202" s="847"/>
      <c r="B202" s="847"/>
      <c r="C202" s="847"/>
      <c r="D202" s="847"/>
      <c r="E202" s="847"/>
      <c r="F202" s="847"/>
      <c r="G202" s="847"/>
      <c r="H202" s="847"/>
      <c r="I202" s="847"/>
      <c r="J202" s="847"/>
      <c r="K202" s="847"/>
      <c r="L202" s="847"/>
      <c r="M202" s="847"/>
      <c r="N202" s="847"/>
      <c r="O202" s="847"/>
      <c r="P202" s="847"/>
      <c r="Q202" s="847"/>
      <c r="R202" s="847"/>
      <c r="S202" s="847"/>
      <c r="T202" s="847"/>
      <c r="U202" s="847"/>
      <c r="V202" s="847"/>
      <c r="W202" s="847"/>
      <c r="X202" s="847"/>
      <c r="Y202" s="847"/>
      <c r="Z202" s="847"/>
      <c r="AA202" s="847"/>
      <c r="AB202" s="847"/>
      <c r="AC202" s="847"/>
      <c r="AD202" s="847"/>
      <c r="AE202" s="847"/>
      <c r="AF202" s="847"/>
      <c r="AG202" s="847"/>
    </row>
    <row r="203">
      <c r="A203" s="847"/>
      <c r="B203" s="847"/>
      <c r="C203" s="847"/>
      <c r="D203" s="847"/>
      <c r="E203" s="847"/>
      <c r="F203" s="847"/>
      <c r="G203" s="847"/>
      <c r="H203" s="847"/>
      <c r="I203" s="847"/>
      <c r="J203" s="847"/>
      <c r="K203" s="847"/>
      <c r="L203" s="847"/>
      <c r="M203" s="847"/>
      <c r="N203" s="847"/>
      <c r="O203" s="847"/>
      <c r="P203" s="847"/>
      <c r="Q203" s="847"/>
      <c r="R203" s="847"/>
      <c r="S203" s="847"/>
      <c r="T203" s="847"/>
      <c r="U203" s="847"/>
      <c r="V203" s="847"/>
      <c r="W203" s="847"/>
      <c r="X203" s="847"/>
      <c r="Y203" s="847"/>
      <c r="Z203" s="847"/>
      <c r="AA203" s="847"/>
      <c r="AB203" s="847"/>
      <c r="AC203" s="847"/>
      <c r="AD203" s="847"/>
      <c r="AE203" s="847"/>
      <c r="AF203" s="847"/>
      <c r="AG203" s="847"/>
    </row>
    <row r="204">
      <c r="A204" s="847"/>
      <c r="B204" s="847"/>
      <c r="C204" s="847"/>
      <c r="D204" s="847"/>
      <c r="E204" s="847"/>
      <c r="F204" s="847"/>
      <c r="G204" s="847"/>
      <c r="H204" s="847"/>
      <c r="I204" s="847"/>
      <c r="J204" s="847"/>
      <c r="K204" s="847"/>
      <c r="L204" s="847"/>
      <c r="M204" s="847"/>
      <c r="N204" s="847"/>
      <c r="O204" s="847"/>
      <c r="P204" s="847"/>
      <c r="Q204" s="847"/>
      <c r="R204" s="847"/>
      <c r="S204" s="847"/>
      <c r="T204" s="847"/>
      <c r="U204" s="847"/>
      <c r="V204" s="847"/>
      <c r="W204" s="847"/>
      <c r="X204" s="847"/>
      <c r="Y204" s="847"/>
      <c r="Z204" s="847"/>
      <c r="AA204" s="847"/>
      <c r="AB204" s="847"/>
      <c r="AC204" s="847"/>
      <c r="AD204" s="847"/>
      <c r="AE204" s="847"/>
      <c r="AF204" s="847"/>
      <c r="AG204" s="847"/>
    </row>
    <row r="205">
      <c r="A205" s="847"/>
      <c r="B205" s="847"/>
      <c r="C205" s="847"/>
      <c r="D205" s="847"/>
      <c r="E205" s="847"/>
      <c r="F205" s="847"/>
      <c r="G205" s="847"/>
      <c r="H205" s="847"/>
      <c r="I205" s="847"/>
      <c r="J205" s="847"/>
      <c r="K205" s="847"/>
      <c r="L205" s="847"/>
      <c r="M205" s="847"/>
      <c r="N205" s="847"/>
      <c r="O205" s="847"/>
      <c r="P205" s="847"/>
      <c r="Q205" s="847"/>
      <c r="R205" s="847"/>
      <c r="S205" s="847"/>
      <c r="T205" s="847"/>
      <c r="U205" s="847"/>
      <c r="V205" s="847"/>
      <c r="W205" s="847"/>
      <c r="X205" s="847"/>
      <c r="Y205" s="847"/>
      <c r="Z205" s="847"/>
      <c r="AA205" s="847"/>
      <c r="AB205" s="847"/>
      <c r="AC205" s="847"/>
      <c r="AD205" s="847"/>
      <c r="AE205" s="847"/>
      <c r="AF205" s="847"/>
      <c r="AG205" s="847"/>
    </row>
    <row r="206">
      <c r="A206" s="847"/>
      <c r="B206" s="847"/>
      <c r="C206" s="847"/>
      <c r="D206" s="847"/>
      <c r="E206" s="847"/>
      <c r="F206" s="847"/>
      <c r="G206" s="847"/>
      <c r="H206" s="847"/>
      <c r="I206" s="847"/>
      <c r="J206" s="847"/>
      <c r="K206" s="847"/>
      <c r="L206" s="847"/>
      <c r="M206" s="847"/>
      <c r="N206" s="847"/>
      <c r="O206" s="847"/>
      <c r="P206" s="847"/>
      <c r="Q206" s="847"/>
      <c r="R206" s="847"/>
      <c r="S206" s="847"/>
      <c r="T206" s="847"/>
      <c r="U206" s="847"/>
      <c r="V206" s="847"/>
      <c r="W206" s="847"/>
      <c r="X206" s="847"/>
      <c r="Y206" s="847"/>
      <c r="Z206" s="847"/>
      <c r="AA206" s="847"/>
      <c r="AB206" s="847"/>
      <c r="AC206" s="847"/>
      <c r="AD206" s="847"/>
      <c r="AE206" s="847"/>
      <c r="AF206" s="847"/>
      <c r="AG206" s="847"/>
    </row>
    <row r="207">
      <c r="A207" s="847"/>
      <c r="B207" s="847"/>
      <c r="C207" s="847"/>
      <c r="D207" s="847"/>
      <c r="E207" s="847"/>
      <c r="F207" s="847"/>
      <c r="G207" s="847"/>
      <c r="H207" s="847"/>
      <c r="I207" s="847"/>
      <c r="J207" s="847"/>
      <c r="K207" s="847"/>
      <c r="L207" s="847"/>
      <c r="M207" s="847"/>
      <c r="N207" s="847"/>
      <c r="O207" s="847"/>
      <c r="P207" s="847"/>
      <c r="Q207" s="847"/>
      <c r="R207" s="847"/>
      <c r="S207" s="847"/>
      <c r="T207" s="847"/>
      <c r="U207" s="847"/>
      <c r="V207" s="847"/>
      <c r="W207" s="847"/>
      <c r="X207" s="847"/>
      <c r="Y207" s="847"/>
      <c r="Z207" s="847"/>
      <c r="AA207" s="847"/>
      <c r="AB207" s="847"/>
      <c r="AC207" s="847"/>
      <c r="AD207" s="847"/>
      <c r="AE207" s="847"/>
      <c r="AF207" s="847"/>
      <c r="AG207" s="847"/>
    </row>
    <row r="208">
      <c r="A208" s="847"/>
      <c r="B208" s="847"/>
      <c r="C208" s="847"/>
      <c r="D208" s="847"/>
      <c r="E208" s="847"/>
      <c r="F208" s="847"/>
      <c r="G208" s="847"/>
      <c r="H208" s="847"/>
      <c r="I208" s="847"/>
      <c r="J208" s="847"/>
      <c r="K208" s="847"/>
      <c r="L208" s="847"/>
      <c r="M208" s="847"/>
      <c r="N208" s="847"/>
      <c r="O208" s="847"/>
      <c r="P208" s="847"/>
      <c r="Q208" s="847"/>
      <c r="R208" s="847"/>
      <c r="S208" s="847"/>
      <c r="T208" s="847"/>
      <c r="U208" s="847"/>
      <c r="V208" s="847"/>
      <c r="W208" s="847"/>
      <c r="X208" s="847"/>
      <c r="Y208" s="847"/>
      <c r="Z208" s="847"/>
      <c r="AA208" s="847"/>
      <c r="AB208" s="847"/>
      <c r="AC208" s="847"/>
      <c r="AD208" s="847"/>
      <c r="AE208" s="847"/>
      <c r="AF208" s="847"/>
      <c r="AG208" s="847"/>
    </row>
    <row r="209">
      <c r="A209" s="847"/>
      <c r="B209" s="847"/>
      <c r="C209" s="847"/>
      <c r="D209" s="847"/>
      <c r="E209" s="847"/>
      <c r="F209" s="847"/>
      <c r="G209" s="847"/>
      <c r="H209" s="847"/>
      <c r="I209" s="847"/>
      <c r="J209" s="847"/>
      <c r="K209" s="847"/>
      <c r="L209" s="847"/>
      <c r="M209" s="847"/>
      <c r="N209" s="847"/>
      <c r="O209" s="847"/>
      <c r="P209" s="847"/>
      <c r="Q209" s="847"/>
      <c r="R209" s="847"/>
      <c r="S209" s="847"/>
      <c r="T209" s="847"/>
      <c r="U209" s="847"/>
      <c r="V209" s="847"/>
      <c r="W209" s="847"/>
      <c r="X209" s="847"/>
      <c r="Y209" s="847"/>
      <c r="Z209" s="847"/>
      <c r="AA209" s="847"/>
      <c r="AB209" s="847"/>
      <c r="AC209" s="847"/>
      <c r="AD209" s="847"/>
      <c r="AE209" s="847"/>
      <c r="AF209" s="847"/>
      <c r="AG209" s="847"/>
    </row>
    <row r="210">
      <c r="A210" s="847"/>
      <c r="B210" s="847"/>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7"/>
      <c r="AD210" s="847"/>
      <c r="AE210" s="847"/>
      <c r="AF210" s="847"/>
      <c r="AG210" s="847"/>
    </row>
    <row r="211">
      <c r="A211" s="847"/>
      <c r="B211" s="847"/>
      <c r="C211" s="847"/>
      <c r="D211" s="847"/>
      <c r="E211" s="847"/>
      <c r="F211" s="847"/>
      <c r="G211" s="847"/>
      <c r="H211" s="847"/>
      <c r="I211" s="847"/>
      <c r="J211" s="847"/>
      <c r="K211" s="847"/>
      <c r="L211" s="847"/>
      <c r="M211" s="847"/>
      <c r="N211" s="847"/>
      <c r="O211" s="847"/>
      <c r="P211" s="847"/>
      <c r="Q211" s="847"/>
      <c r="R211" s="847"/>
      <c r="S211" s="847"/>
      <c r="T211" s="847"/>
      <c r="U211" s="847"/>
      <c r="V211" s="847"/>
      <c r="W211" s="847"/>
      <c r="X211" s="847"/>
      <c r="Y211" s="847"/>
      <c r="Z211" s="847"/>
      <c r="AA211" s="847"/>
      <c r="AB211" s="847"/>
      <c r="AC211" s="847"/>
      <c r="AD211" s="847"/>
      <c r="AE211" s="847"/>
      <c r="AF211" s="847"/>
      <c r="AG211" s="847"/>
    </row>
    <row r="212">
      <c r="A212" s="847"/>
      <c r="B212" s="847"/>
      <c r="C212" s="847"/>
      <c r="D212" s="847"/>
      <c r="E212" s="847"/>
      <c r="F212" s="847"/>
      <c r="G212" s="847"/>
      <c r="H212" s="847"/>
      <c r="I212" s="847"/>
      <c r="J212" s="847"/>
      <c r="K212" s="847"/>
      <c r="L212" s="847"/>
      <c r="M212" s="847"/>
      <c r="N212" s="847"/>
      <c r="O212" s="847"/>
      <c r="P212" s="847"/>
      <c r="Q212" s="847"/>
      <c r="R212" s="847"/>
      <c r="S212" s="847"/>
      <c r="T212" s="847"/>
      <c r="U212" s="847"/>
      <c r="V212" s="847"/>
      <c r="W212" s="847"/>
      <c r="X212" s="847"/>
      <c r="Y212" s="847"/>
      <c r="Z212" s="847"/>
      <c r="AA212" s="847"/>
      <c r="AB212" s="847"/>
      <c r="AC212" s="847"/>
      <c r="AD212" s="847"/>
      <c r="AE212" s="847"/>
      <c r="AF212" s="847"/>
      <c r="AG212" s="847"/>
    </row>
    <row r="213">
      <c r="A213" s="847"/>
      <c r="B213" s="847"/>
      <c r="C213" s="847"/>
      <c r="D213" s="847"/>
      <c r="E213" s="847"/>
      <c r="F213" s="847"/>
      <c r="G213" s="847"/>
      <c r="H213" s="847"/>
      <c r="I213" s="847"/>
      <c r="J213" s="847"/>
      <c r="K213" s="847"/>
      <c r="L213" s="847"/>
      <c r="M213" s="847"/>
      <c r="N213" s="847"/>
      <c r="O213" s="847"/>
      <c r="P213" s="847"/>
      <c r="Q213" s="847"/>
      <c r="R213" s="847"/>
      <c r="S213" s="847"/>
      <c r="T213" s="847"/>
      <c r="U213" s="847"/>
      <c r="V213" s="847"/>
      <c r="W213" s="847"/>
      <c r="X213" s="847"/>
      <c r="Y213" s="847"/>
      <c r="Z213" s="847"/>
      <c r="AA213" s="847"/>
      <c r="AB213" s="847"/>
      <c r="AC213" s="847"/>
      <c r="AD213" s="847"/>
      <c r="AE213" s="847"/>
      <c r="AF213" s="847"/>
      <c r="AG213" s="847"/>
    </row>
    <row r="214">
      <c r="A214" s="847"/>
      <c r="B214" s="847"/>
      <c r="C214" s="847"/>
      <c r="D214" s="847"/>
      <c r="E214" s="847"/>
      <c r="F214" s="847"/>
      <c r="G214" s="847"/>
      <c r="H214" s="847"/>
      <c r="I214" s="847"/>
      <c r="J214" s="847"/>
      <c r="K214" s="847"/>
      <c r="L214" s="847"/>
      <c r="M214" s="847"/>
      <c r="N214" s="847"/>
      <c r="O214" s="847"/>
      <c r="P214" s="847"/>
      <c r="Q214" s="847"/>
      <c r="R214" s="847"/>
      <c r="S214" s="847"/>
      <c r="T214" s="847"/>
      <c r="U214" s="847"/>
      <c r="V214" s="847"/>
      <c r="W214" s="847"/>
      <c r="X214" s="847"/>
      <c r="Y214" s="847"/>
      <c r="Z214" s="847"/>
      <c r="AA214" s="847"/>
      <c r="AB214" s="847"/>
      <c r="AC214" s="847"/>
      <c r="AD214" s="847"/>
      <c r="AE214" s="847"/>
      <c r="AF214" s="847"/>
      <c r="AG214" s="847"/>
    </row>
    <row r="215">
      <c r="A215" s="847"/>
      <c r="B215" s="847"/>
      <c r="C215" s="847"/>
      <c r="D215" s="847"/>
      <c r="E215" s="847"/>
      <c r="F215" s="847"/>
      <c r="G215" s="847"/>
      <c r="H215" s="847"/>
      <c r="I215" s="847"/>
      <c r="J215" s="847"/>
      <c r="K215" s="847"/>
      <c r="L215" s="847"/>
      <c r="M215" s="847"/>
      <c r="N215" s="847"/>
      <c r="O215" s="847"/>
      <c r="P215" s="847"/>
      <c r="Q215" s="847"/>
      <c r="R215" s="847"/>
      <c r="S215" s="847"/>
      <c r="T215" s="847"/>
      <c r="U215" s="847"/>
      <c r="V215" s="847"/>
      <c r="W215" s="847"/>
      <c r="X215" s="847"/>
      <c r="Y215" s="847"/>
      <c r="Z215" s="847"/>
      <c r="AA215" s="847"/>
      <c r="AB215" s="847"/>
      <c r="AC215" s="847"/>
      <c r="AD215" s="847"/>
      <c r="AE215" s="847"/>
      <c r="AF215" s="847"/>
      <c r="AG215" s="847"/>
    </row>
    <row r="216">
      <c r="A216" s="847"/>
      <c r="B216" s="847"/>
      <c r="C216" s="847"/>
      <c r="D216" s="847"/>
      <c r="E216" s="847"/>
      <c r="F216" s="847"/>
      <c r="G216" s="847"/>
      <c r="H216" s="847"/>
      <c r="I216" s="847"/>
      <c r="J216" s="847"/>
      <c r="K216" s="847"/>
      <c r="L216" s="847"/>
      <c r="M216" s="847"/>
      <c r="N216" s="847"/>
      <c r="O216" s="847"/>
      <c r="P216" s="847"/>
      <c r="Q216" s="847"/>
      <c r="R216" s="847"/>
      <c r="S216" s="847"/>
      <c r="T216" s="847"/>
      <c r="U216" s="847"/>
      <c r="V216" s="847"/>
      <c r="W216" s="847"/>
      <c r="X216" s="847"/>
      <c r="Y216" s="847"/>
      <c r="Z216" s="847"/>
      <c r="AA216" s="847"/>
      <c r="AB216" s="847"/>
      <c r="AC216" s="847"/>
      <c r="AD216" s="847"/>
      <c r="AE216" s="847"/>
      <c r="AF216" s="847"/>
      <c r="AG216" s="847"/>
    </row>
    <row r="217">
      <c r="A217" s="847"/>
      <c r="B217" s="847"/>
      <c r="C217" s="847"/>
      <c r="D217" s="847"/>
      <c r="E217" s="847"/>
      <c r="F217" s="847"/>
      <c r="G217" s="847"/>
      <c r="H217" s="847"/>
      <c r="I217" s="847"/>
      <c r="J217" s="847"/>
      <c r="K217" s="847"/>
      <c r="L217" s="847"/>
      <c r="M217" s="847"/>
      <c r="N217" s="847"/>
      <c r="O217" s="847"/>
      <c r="P217" s="847"/>
      <c r="Q217" s="847"/>
      <c r="R217" s="847"/>
      <c r="S217" s="847"/>
      <c r="T217" s="847"/>
      <c r="U217" s="847"/>
      <c r="V217" s="847"/>
      <c r="W217" s="847"/>
      <c r="X217" s="847"/>
      <c r="Y217" s="847"/>
      <c r="Z217" s="847"/>
      <c r="AA217" s="847"/>
      <c r="AB217" s="847"/>
      <c r="AC217" s="847"/>
      <c r="AD217" s="847"/>
      <c r="AE217" s="847"/>
      <c r="AF217" s="847"/>
      <c r="AG217" s="847"/>
    </row>
    <row r="218">
      <c r="A218" s="847"/>
      <c r="B218" s="847"/>
      <c r="C218" s="847"/>
      <c r="D218" s="847"/>
      <c r="E218" s="847"/>
      <c r="F218" s="847"/>
      <c r="G218" s="847"/>
      <c r="H218" s="847"/>
      <c r="I218" s="847"/>
      <c r="J218" s="847"/>
      <c r="K218" s="847"/>
      <c r="L218" s="847"/>
      <c r="M218" s="847"/>
      <c r="N218" s="847"/>
      <c r="O218" s="847"/>
      <c r="P218" s="847"/>
      <c r="Q218" s="847"/>
      <c r="R218" s="847"/>
      <c r="S218" s="847"/>
      <c r="T218" s="847"/>
      <c r="U218" s="847"/>
      <c r="V218" s="847"/>
      <c r="W218" s="847"/>
      <c r="X218" s="847"/>
      <c r="Y218" s="847"/>
      <c r="Z218" s="847"/>
      <c r="AA218" s="847"/>
      <c r="AB218" s="847"/>
      <c r="AC218" s="847"/>
      <c r="AD218" s="847"/>
      <c r="AE218" s="847"/>
      <c r="AF218" s="847"/>
      <c r="AG218" s="847"/>
    </row>
    <row r="219">
      <c r="A219" s="847"/>
      <c r="B219" s="847"/>
      <c r="C219" s="847"/>
      <c r="D219" s="847"/>
      <c r="E219" s="847"/>
      <c r="F219" s="847"/>
      <c r="G219" s="847"/>
      <c r="H219" s="847"/>
      <c r="I219" s="847"/>
      <c r="J219" s="847"/>
      <c r="K219" s="847"/>
      <c r="L219" s="847"/>
      <c r="M219" s="847"/>
      <c r="N219" s="847"/>
      <c r="O219" s="847"/>
      <c r="P219" s="847"/>
      <c r="Q219" s="847"/>
      <c r="R219" s="847"/>
      <c r="S219" s="847"/>
      <c r="T219" s="847"/>
      <c r="U219" s="847"/>
      <c r="V219" s="847"/>
      <c r="W219" s="847"/>
      <c r="X219" s="847"/>
      <c r="Y219" s="847"/>
      <c r="Z219" s="847"/>
      <c r="AA219" s="847"/>
      <c r="AB219" s="847"/>
      <c r="AC219" s="847"/>
      <c r="AD219" s="847"/>
      <c r="AE219" s="847"/>
      <c r="AF219" s="847"/>
      <c r="AG219" s="847"/>
    </row>
    <row r="220">
      <c r="A220" s="847"/>
      <c r="B220" s="847"/>
      <c r="C220" s="847"/>
      <c r="D220" s="847"/>
      <c r="E220" s="847"/>
      <c r="F220" s="847"/>
      <c r="G220" s="847"/>
      <c r="H220" s="847"/>
      <c r="I220" s="847"/>
      <c r="J220" s="847"/>
      <c r="K220" s="847"/>
      <c r="L220" s="847"/>
      <c r="M220" s="847"/>
      <c r="N220" s="847"/>
      <c r="O220" s="847"/>
      <c r="P220" s="847"/>
      <c r="Q220" s="847"/>
      <c r="R220" s="847"/>
      <c r="S220" s="847"/>
      <c r="T220" s="847"/>
      <c r="U220" s="847"/>
      <c r="V220" s="847"/>
      <c r="W220" s="847"/>
      <c r="X220" s="847"/>
      <c r="Y220" s="847"/>
      <c r="Z220" s="847"/>
      <c r="AA220" s="847"/>
      <c r="AB220" s="847"/>
      <c r="AC220" s="847"/>
      <c r="AD220" s="847"/>
      <c r="AE220" s="847"/>
      <c r="AF220" s="847"/>
      <c r="AG220" s="847"/>
    </row>
    <row r="221">
      <c r="A221" s="847"/>
      <c r="B221" s="847"/>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7"/>
      <c r="AD221" s="847"/>
      <c r="AE221" s="847"/>
      <c r="AF221" s="847"/>
      <c r="AG221" s="847"/>
    </row>
    <row r="222">
      <c r="A222" s="847"/>
      <c r="B222" s="847"/>
      <c r="C222" s="847"/>
      <c r="D222" s="847"/>
      <c r="E222" s="847"/>
      <c r="F222" s="847"/>
      <c r="G222" s="847"/>
      <c r="H222" s="847"/>
      <c r="I222" s="847"/>
      <c r="J222" s="847"/>
      <c r="K222" s="847"/>
      <c r="L222" s="847"/>
      <c r="M222" s="847"/>
      <c r="N222" s="847"/>
      <c r="O222" s="847"/>
      <c r="P222" s="847"/>
      <c r="Q222" s="847"/>
      <c r="R222" s="847"/>
      <c r="S222" s="847"/>
      <c r="T222" s="847"/>
      <c r="U222" s="847"/>
      <c r="V222" s="847"/>
      <c r="W222" s="847"/>
      <c r="X222" s="847"/>
      <c r="Y222" s="847"/>
      <c r="Z222" s="847"/>
      <c r="AA222" s="847"/>
      <c r="AB222" s="847"/>
      <c r="AC222" s="847"/>
      <c r="AD222" s="847"/>
      <c r="AE222" s="847"/>
      <c r="AF222" s="847"/>
      <c r="AG222" s="847"/>
    </row>
    <row r="223">
      <c r="A223" s="847"/>
      <c r="B223" s="847"/>
      <c r="C223" s="847"/>
      <c r="D223" s="847"/>
      <c r="E223" s="847"/>
      <c r="F223" s="847"/>
      <c r="G223" s="847"/>
      <c r="H223" s="847"/>
      <c r="I223" s="847"/>
      <c r="J223" s="847"/>
      <c r="K223" s="847"/>
      <c r="L223" s="847"/>
      <c r="M223" s="847"/>
      <c r="N223" s="847"/>
      <c r="O223" s="847"/>
      <c r="P223" s="847"/>
      <c r="Q223" s="847"/>
      <c r="R223" s="847"/>
      <c r="S223" s="847"/>
      <c r="T223" s="847"/>
      <c r="U223" s="847"/>
      <c r="V223" s="847"/>
      <c r="W223" s="847"/>
      <c r="X223" s="847"/>
      <c r="Y223" s="847"/>
      <c r="Z223" s="847"/>
      <c r="AA223" s="847"/>
      <c r="AB223" s="847"/>
      <c r="AC223" s="847"/>
      <c r="AD223" s="847"/>
      <c r="AE223" s="847"/>
      <c r="AF223" s="847"/>
      <c r="AG223" s="847"/>
    </row>
    <row r="224">
      <c r="A224" s="847"/>
      <c r="B224" s="847"/>
      <c r="C224" s="847"/>
      <c r="D224" s="847"/>
      <c r="E224" s="847"/>
      <c r="F224" s="847"/>
      <c r="G224" s="847"/>
      <c r="H224" s="847"/>
      <c r="I224" s="847"/>
      <c r="J224" s="847"/>
      <c r="K224" s="847"/>
      <c r="L224" s="847"/>
      <c r="M224" s="847"/>
      <c r="N224" s="847"/>
      <c r="O224" s="847"/>
      <c r="P224" s="847"/>
      <c r="Q224" s="847"/>
      <c r="R224" s="847"/>
      <c r="S224" s="847"/>
      <c r="T224" s="847"/>
      <c r="U224" s="847"/>
      <c r="V224" s="847"/>
      <c r="W224" s="847"/>
      <c r="X224" s="847"/>
      <c r="Y224" s="847"/>
      <c r="Z224" s="847"/>
      <c r="AA224" s="847"/>
      <c r="AB224" s="847"/>
      <c r="AC224" s="847"/>
      <c r="AD224" s="847"/>
      <c r="AE224" s="847"/>
      <c r="AF224" s="847"/>
      <c r="AG224" s="847"/>
    </row>
    <row r="225">
      <c r="A225" s="847"/>
      <c r="B225" s="847"/>
      <c r="C225" s="847"/>
      <c r="D225" s="847"/>
      <c r="E225" s="847"/>
      <c r="F225" s="847"/>
      <c r="G225" s="847"/>
      <c r="H225" s="847"/>
      <c r="I225" s="847"/>
      <c r="J225" s="847"/>
      <c r="K225" s="847"/>
      <c r="L225" s="847"/>
      <c r="M225" s="847"/>
      <c r="N225" s="847"/>
      <c r="O225" s="847"/>
      <c r="P225" s="847"/>
      <c r="Q225" s="847"/>
      <c r="R225" s="847"/>
      <c r="S225" s="847"/>
      <c r="T225" s="847"/>
      <c r="U225" s="847"/>
      <c r="V225" s="847"/>
      <c r="W225" s="847"/>
      <c r="X225" s="847"/>
      <c r="Y225" s="847"/>
      <c r="Z225" s="847"/>
      <c r="AA225" s="847"/>
      <c r="AB225" s="847"/>
      <c r="AC225" s="847"/>
      <c r="AD225" s="847"/>
      <c r="AE225" s="847"/>
      <c r="AF225" s="847"/>
      <c r="AG225" s="847"/>
    </row>
    <row r="226">
      <c r="A226" s="847"/>
      <c r="B226" s="847"/>
      <c r="C226" s="847"/>
      <c r="D226" s="847"/>
      <c r="E226" s="847"/>
      <c r="F226" s="847"/>
      <c r="G226" s="847"/>
      <c r="H226" s="847"/>
      <c r="I226" s="847"/>
      <c r="J226" s="847"/>
      <c r="K226" s="847"/>
      <c r="L226" s="847"/>
      <c r="M226" s="847"/>
      <c r="N226" s="847"/>
      <c r="O226" s="847"/>
      <c r="P226" s="847"/>
      <c r="Q226" s="847"/>
      <c r="R226" s="847"/>
      <c r="S226" s="847"/>
      <c r="T226" s="847"/>
      <c r="U226" s="847"/>
      <c r="V226" s="847"/>
      <c r="W226" s="847"/>
      <c r="X226" s="847"/>
      <c r="Y226" s="847"/>
      <c r="Z226" s="847"/>
      <c r="AA226" s="847"/>
      <c r="AB226" s="847"/>
      <c r="AC226" s="847"/>
      <c r="AD226" s="847"/>
      <c r="AE226" s="847"/>
      <c r="AF226" s="847"/>
      <c r="AG226" s="847"/>
    </row>
    <row r="227">
      <c r="A227" s="847"/>
      <c r="B227" s="847"/>
      <c r="C227" s="847"/>
      <c r="D227" s="847"/>
      <c r="E227" s="847"/>
      <c r="F227" s="847"/>
      <c r="G227" s="847"/>
      <c r="H227" s="847"/>
      <c r="I227" s="847"/>
      <c r="J227" s="847"/>
      <c r="K227" s="847"/>
      <c r="L227" s="847"/>
      <c r="M227" s="847"/>
      <c r="N227" s="847"/>
      <c r="O227" s="847"/>
      <c r="P227" s="847"/>
      <c r="Q227" s="847"/>
      <c r="R227" s="847"/>
      <c r="S227" s="847"/>
      <c r="T227" s="847"/>
      <c r="U227" s="847"/>
      <c r="V227" s="847"/>
      <c r="W227" s="847"/>
      <c r="X227" s="847"/>
      <c r="Y227" s="847"/>
      <c r="Z227" s="847"/>
      <c r="AA227" s="847"/>
      <c r="AB227" s="847"/>
      <c r="AC227" s="847"/>
      <c r="AD227" s="847"/>
      <c r="AE227" s="847"/>
      <c r="AF227" s="847"/>
      <c r="AG227" s="847"/>
    </row>
    <row r="228">
      <c r="A228" s="847"/>
      <c r="B228" s="847"/>
      <c r="C228" s="847"/>
      <c r="D228" s="847"/>
      <c r="E228" s="847"/>
      <c r="F228" s="847"/>
      <c r="G228" s="847"/>
      <c r="H228" s="847"/>
      <c r="I228" s="847"/>
      <c r="J228" s="847"/>
      <c r="K228" s="847"/>
      <c r="L228" s="847"/>
      <c r="M228" s="847"/>
      <c r="N228" s="847"/>
      <c r="O228" s="847"/>
      <c r="P228" s="847"/>
      <c r="Q228" s="847"/>
      <c r="R228" s="847"/>
      <c r="S228" s="847"/>
      <c r="T228" s="847"/>
      <c r="U228" s="847"/>
      <c r="V228" s="847"/>
      <c r="W228" s="847"/>
      <c r="X228" s="847"/>
      <c r="Y228" s="847"/>
      <c r="Z228" s="847"/>
      <c r="AA228" s="847"/>
      <c r="AB228" s="847"/>
      <c r="AC228" s="847"/>
      <c r="AD228" s="847"/>
      <c r="AE228" s="847"/>
      <c r="AF228" s="847"/>
      <c r="AG228" s="847"/>
    </row>
    <row r="229">
      <c r="A229" s="847"/>
      <c r="B229" s="847"/>
      <c r="C229" s="847"/>
      <c r="D229" s="847"/>
      <c r="E229" s="847"/>
      <c r="F229" s="847"/>
      <c r="G229" s="847"/>
      <c r="H229" s="847"/>
      <c r="I229" s="847"/>
      <c r="J229" s="847"/>
      <c r="K229" s="847"/>
      <c r="L229" s="847"/>
      <c r="M229" s="847"/>
      <c r="N229" s="847"/>
      <c r="O229" s="847"/>
      <c r="P229" s="847"/>
      <c r="Q229" s="847"/>
      <c r="R229" s="847"/>
      <c r="S229" s="847"/>
      <c r="T229" s="847"/>
      <c r="U229" s="847"/>
      <c r="V229" s="847"/>
      <c r="W229" s="847"/>
      <c r="X229" s="847"/>
      <c r="Y229" s="847"/>
      <c r="Z229" s="847"/>
      <c r="AA229" s="847"/>
      <c r="AB229" s="847"/>
      <c r="AC229" s="847"/>
      <c r="AD229" s="847"/>
      <c r="AE229" s="847"/>
      <c r="AF229" s="847"/>
      <c r="AG229" s="847"/>
    </row>
    <row r="230">
      <c r="A230" s="847"/>
      <c r="B230" s="847"/>
      <c r="C230" s="847"/>
      <c r="D230" s="847"/>
      <c r="E230" s="847"/>
      <c r="F230" s="847"/>
      <c r="G230" s="847"/>
      <c r="H230" s="847"/>
      <c r="I230" s="847"/>
      <c r="J230" s="847"/>
      <c r="K230" s="847"/>
      <c r="L230" s="847"/>
      <c r="M230" s="847"/>
      <c r="N230" s="847"/>
      <c r="O230" s="847"/>
      <c r="P230" s="847"/>
      <c r="Q230" s="847"/>
      <c r="R230" s="847"/>
      <c r="S230" s="847"/>
      <c r="T230" s="847"/>
      <c r="U230" s="847"/>
      <c r="V230" s="847"/>
      <c r="W230" s="847"/>
      <c r="X230" s="847"/>
      <c r="Y230" s="847"/>
      <c r="Z230" s="847"/>
      <c r="AA230" s="847"/>
      <c r="AB230" s="847"/>
      <c r="AC230" s="847"/>
      <c r="AD230" s="847"/>
      <c r="AE230" s="847"/>
      <c r="AF230" s="847"/>
      <c r="AG230" s="847"/>
    </row>
    <row r="231">
      <c r="A231" s="847"/>
      <c r="B231" s="847"/>
      <c r="C231" s="847"/>
      <c r="D231" s="847"/>
      <c r="E231" s="847"/>
      <c r="F231" s="847"/>
      <c r="G231" s="847"/>
      <c r="H231" s="847"/>
      <c r="I231" s="847"/>
      <c r="J231" s="847"/>
      <c r="K231" s="847"/>
      <c r="L231" s="847"/>
      <c r="M231" s="847"/>
      <c r="N231" s="847"/>
      <c r="O231" s="847"/>
      <c r="P231" s="847"/>
      <c r="Q231" s="847"/>
      <c r="R231" s="847"/>
      <c r="S231" s="847"/>
      <c r="T231" s="847"/>
      <c r="U231" s="847"/>
      <c r="V231" s="847"/>
      <c r="W231" s="847"/>
      <c r="X231" s="847"/>
      <c r="Y231" s="847"/>
      <c r="Z231" s="847"/>
      <c r="AA231" s="847"/>
      <c r="AB231" s="847"/>
      <c r="AC231" s="847"/>
      <c r="AD231" s="847"/>
      <c r="AE231" s="847"/>
      <c r="AF231" s="847"/>
      <c r="AG231" s="847"/>
    </row>
    <row r="232">
      <c r="A232" s="847"/>
      <c r="B232" s="847"/>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7"/>
      <c r="AD232" s="847"/>
      <c r="AE232" s="847"/>
      <c r="AF232" s="847"/>
      <c r="AG232" s="847"/>
    </row>
    <row r="233">
      <c r="A233" s="847"/>
      <c r="B233" s="847"/>
      <c r="C233" s="847"/>
      <c r="D233" s="847"/>
      <c r="E233" s="847"/>
      <c r="F233" s="847"/>
      <c r="G233" s="847"/>
      <c r="H233" s="847"/>
      <c r="I233" s="847"/>
      <c r="J233" s="847"/>
      <c r="K233" s="847"/>
      <c r="L233" s="847"/>
      <c r="M233" s="847"/>
      <c r="N233" s="847"/>
      <c r="O233" s="847"/>
      <c r="P233" s="847"/>
      <c r="Q233" s="847"/>
      <c r="R233" s="847"/>
      <c r="S233" s="847"/>
      <c r="T233" s="847"/>
      <c r="U233" s="847"/>
      <c r="V233" s="847"/>
      <c r="W233" s="847"/>
      <c r="X233" s="847"/>
      <c r="Y233" s="847"/>
      <c r="Z233" s="847"/>
      <c r="AA233" s="847"/>
      <c r="AB233" s="847"/>
      <c r="AC233" s="847"/>
      <c r="AD233" s="847"/>
      <c r="AE233" s="847"/>
      <c r="AF233" s="847"/>
      <c r="AG233" s="847"/>
    </row>
    <row r="234">
      <c r="A234" s="847"/>
      <c r="B234" s="847"/>
      <c r="C234" s="847"/>
      <c r="D234" s="847"/>
      <c r="E234" s="847"/>
      <c r="F234" s="847"/>
      <c r="G234" s="847"/>
      <c r="H234" s="847"/>
      <c r="I234" s="847"/>
      <c r="J234" s="847"/>
      <c r="K234" s="847"/>
      <c r="L234" s="847"/>
      <c r="M234" s="847"/>
      <c r="N234" s="847"/>
      <c r="O234" s="847"/>
      <c r="P234" s="847"/>
      <c r="Q234" s="847"/>
      <c r="R234" s="847"/>
      <c r="S234" s="847"/>
      <c r="T234" s="847"/>
      <c r="U234" s="847"/>
      <c r="V234" s="847"/>
      <c r="W234" s="847"/>
      <c r="X234" s="847"/>
      <c r="Y234" s="847"/>
      <c r="Z234" s="847"/>
      <c r="AA234" s="847"/>
      <c r="AB234" s="847"/>
      <c r="AC234" s="847"/>
      <c r="AD234" s="847"/>
      <c r="AE234" s="847"/>
      <c r="AF234" s="847"/>
      <c r="AG234" s="847"/>
    </row>
    <row r="235">
      <c r="A235" s="847"/>
      <c r="B235" s="847"/>
      <c r="C235" s="847"/>
      <c r="D235" s="847"/>
      <c r="E235" s="847"/>
      <c r="F235" s="847"/>
      <c r="G235" s="847"/>
      <c r="H235" s="847"/>
      <c r="I235" s="847"/>
      <c r="J235" s="847"/>
      <c r="K235" s="847"/>
      <c r="L235" s="847"/>
      <c r="M235" s="847"/>
      <c r="N235" s="847"/>
      <c r="O235" s="847"/>
      <c r="P235" s="847"/>
      <c r="Q235" s="847"/>
      <c r="R235" s="847"/>
      <c r="S235" s="847"/>
      <c r="T235" s="847"/>
      <c r="U235" s="847"/>
      <c r="V235" s="847"/>
      <c r="W235" s="847"/>
      <c r="X235" s="847"/>
      <c r="Y235" s="847"/>
      <c r="Z235" s="847"/>
      <c r="AA235" s="847"/>
      <c r="AB235" s="847"/>
      <c r="AC235" s="847"/>
      <c r="AD235" s="847"/>
      <c r="AE235" s="847"/>
      <c r="AF235" s="847"/>
      <c r="AG235" s="847"/>
    </row>
    <row r="236">
      <c r="A236" s="847"/>
      <c r="B236" s="847"/>
      <c r="C236" s="847"/>
      <c r="D236" s="847"/>
      <c r="E236" s="847"/>
      <c r="F236" s="847"/>
      <c r="G236" s="847"/>
      <c r="H236" s="847"/>
      <c r="I236" s="847"/>
      <c r="J236" s="847"/>
      <c r="K236" s="847"/>
      <c r="L236" s="847"/>
      <c r="M236" s="847"/>
      <c r="N236" s="847"/>
      <c r="O236" s="847"/>
      <c r="P236" s="847"/>
      <c r="Q236" s="847"/>
      <c r="R236" s="847"/>
      <c r="S236" s="847"/>
      <c r="T236" s="847"/>
      <c r="U236" s="847"/>
      <c r="V236" s="847"/>
      <c r="W236" s="847"/>
      <c r="X236" s="847"/>
      <c r="Y236" s="847"/>
      <c r="Z236" s="847"/>
      <c r="AA236" s="847"/>
      <c r="AB236" s="847"/>
      <c r="AC236" s="847"/>
      <c r="AD236" s="847"/>
      <c r="AE236" s="847"/>
      <c r="AF236" s="847"/>
      <c r="AG236" s="847"/>
    </row>
    <row r="237">
      <c r="A237" s="847"/>
      <c r="B237" s="847"/>
      <c r="C237" s="847"/>
      <c r="D237" s="847"/>
      <c r="E237" s="847"/>
      <c r="F237" s="847"/>
      <c r="G237" s="847"/>
      <c r="H237" s="847"/>
      <c r="I237" s="847"/>
      <c r="J237" s="847"/>
      <c r="K237" s="847"/>
      <c r="L237" s="847"/>
      <c r="M237" s="847"/>
      <c r="N237" s="847"/>
      <c r="O237" s="847"/>
      <c r="P237" s="847"/>
      <c r="Q237" s="847"/>
      <c r="R237" s="847"/>
      <c r="S237" s="847"/>
      <c r="T237" s="847"/>
      <c r="U237" s="847"/>
      <c r="V237" s="847"/>
      <c r="W237" s="847"/>
      <c r="X237" s="847"/>
      <c r="Y237" s="847"/>
      <c r="Z237" s="847"/>
      <c r="AA237" s="847"/>
      <c r="AB237" s="847"/>
      <c r="AC237" s="847"/>
      <c r="AD237" s="847"/>
      <c r="AE237" s="847"/>
      <c r="AF237" s="847"/>
      <c r="AG237" s="847"/>
    </row>
    <row r="238">
      <c r="A238" s="847"/>
      <c r="B238" s="847"/>
      <c r="C238" s="847"/>
      <c r="D238" s="847"/>
      <c r="E238" s="847"/>
      <c r="F238" s="847"/>
      <c r="G238" s="847"/>
      <c r="H238" s="847"/>
      <c r="I238" s="847"/>
      <c r="J238" s="847"/>
      <c r="K238" s="847"/>
      <c r="L238" s="847"/>
      <c r="M238" s="847"/>
      <c r="N238" s="847"/>
      <c r="O238" s="847"/>
      <c r="P238" s="847"/>
      <c r="Q238" s="847"/>
      <c r="R238" s="847"/>
      <c r="S238" s="847"/>
      <c r="T238" s="847"/>
      <c r="U238" s="847"/>
      <c r="V238" s="847"/>
      <c r="W238" s="847"/>
      <c r="X238" s="847"/>
      <c r="Y238" s="847"/>
      <c r="Z238" s="847"/>
      <c r="AA238" s="847"/>
      <c r="AB238" s="847"/>
      <c r="AC238" s="847"/>
      <c r="AD238" s="847"/>
      <c r="AE238" s="847"/>
      <c r="AF238" s="847"/>
      <c r="AG238" s="847"/>
    </row>
    <row r="239">
      <c r="A239" s="847"/>
      <c r="B239" s="847"/>
      <c r="C239" s="847"/>
      <c r="D239" s="847"/>
      <c r="E239" s="847"/>
      <c r="F239" s="847"/>
      <c r="G239" s="847"/>
      <c r="H239" s="847"/>
      <c r="I239" s="847"/>
      <c r="J239" s="847"/>
      <c r="K239" s="847"/>
      <c r="L239" s="847"/>
      <c r="M239" s="847"/>
      <c r="N239" s="847"/>
      <c r="O239" s="847"/>
      <c r="P239" s="847"/>
      <c r="Q239" s="847"/>
      <c r="R239" s="847"/>
      <c r="S239" s="847"/>
      <c r="T239" s="847"/>
      <c r="U239" s="847"/>
      <c r="V239" s="847"/>
      <c r="W239" s="847"/>
      <c r="X239" s="847"/>
      <c r="Y239" s="847"/>
      <c r="Z239" s="847"/>
      <c r="AA239" s="847"/>
      <c r="AB239" s="847"/>
      <c r="AC239" s="847"/>
      <c r="AD239" s="847"/>
      <c r="AE239" s="847"/>
      <c r="AF239" s="847"/>
      <c r="AG239" s="847"/>
    </row>
    <row r="240">
      <c r="A240" s="847"/>
      <c r="B240" s="847"/>
      <c r="C240" s="847"/>
      <c r="D240" s="847"/>
      <c r="E240" s="847"/>
      <c r="F240" s="847"/>
      <c r="G240" s="847"/>
      <c r="H240" s="847"/>
      <c r="I240" s="847"/>
      <c r="J240" s="847"/>
      <c r="K240" s="847"/>
      <c r="L240" s="847"/>
      <c r="M240" s="847"/>
      <c r="N240" s="847"/>
      <c r="O240" s="847"/>
      <c r="P240" s="847"/>
      <c r="Q240" s="847"/>
      <c r="R240" s="847"/>
      <c r="S240" s="847"/>
      <c r="T240" s="847"/>
      <c r="U240" s="847"/>
      <c r="V240" s="847"/>
      <c r="W240" s="847"/>
      <c r="X240" s="847"/>
      <c r="Y240" s="847"/>
      <c r="Z240" s="847"/>
      <c r="AA240" s="847"/>
      <c r="AB240" s="847"/>
      <c r="AC240" s="847"/>
      <c r="AD240" s="847"/>
      <c r="AE240" s="847"/>
      <c r="AF240" s="847"/>
      <c r="AG240" s="847"/>
    </row>
    <row r="241">
      <c r="A241" s="847"/>
      <c r="B241" s="847"/>
      <c r="C241" s="847"/>
      <c r="D241" s="847"/>
      <c r="E241" s="847"/>
      <c r="F241" s="847"/>
      <c r="G241" s="847"/>
      <c r="H241" s="847"/>
      <c r="I241" s="847"/>
      <c r="J241" s="847"/>
      <c r="K241" s="847"/>
      <c r="L241" s="847"/>
      <c r="M241" s="847"/>
      <c r="N241" s="847"/>
      <c r="O241" s="847"/>
      <c r="P241" s="847"/>
      <c r="Q241" s="847"/>
      <c r="R241" s="847"/>
      <c r="S241" s="847"/>
      <c r="T241" s="847"/>
      <c r="U241" s="847"/>
      <c r="V241" s="847"/>
      <c r="W241" s="847"/>
      <c r="X241" s="847"/>
      <c r="Y241" s="847"/>
      <c r="Z241" s="847"/>
      <c r="AA241" s="847"/>
      <c r="AB241" s="847"/>
      <c r="AC241" s="847"/>
      <c r="AD241" s="847"/>
      <c r="AE241" s="847"/>
      <c r="AF241" s="847"/>
      <c r="AG241" s="847"/>
    </row>
    <row r="242">
      <c r="A242" s="847"/>
      <c r="B242" s="847"/>
      <c r="C242" s="847"/>
      <c r="D242" s="847"/>
      <c r="E242" s="847"/>
      <c r="F242" s="847"/>
      <c r="G242" s="847"/>
      <c r="H242" s="847"/>
      <c r="I242" s="847"/>
      <c r="J242" s="847"/>
      <c r="K242" s="847"/>
      <c r="L242" s="847"/>
      <c r="M242" s="847"/>
      <c r="N242" s="847"/>
      <c r="O242" s="847"/>
      <c r="P242" s="847"/>
      <c r="Q242" s="847"/>
      <c r="R242" s="847"/>
      <c r="S242" s="847"/>
      <c r="T242" s="847"/>
      <c r="U242" s="847"/>
      <c r="V242" s="847"/>
      <c r="W242" s="847"/>
      <c r="X242" s="847"/>
      <c r="Y242" s="847"/>
      <c r="Z242" s="847"/>
      <c r="AA242" s="847"/>
      <c r="AB242" s="847"/>
      <c r="AC242" s="847"/>
      <c r="AD242" s="847"/>
      <c r="AE242" s="847"/>
      <c r="AF242" s="847"/>
      <c r="AG242" s="847"/>
    </row>
    <row r="243">
      <c r="A243" s="847"/>
      <c r="B243" s="847"/>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7"/>
      <c r="AD243" s="847"/>
      <c r="AE243" s="847"/>
      <c r="AF243" s="847"/>
      <c r="AG243" s="847"/>
    </row>
    <row r="244">
      <c r="A244" s="847"/>
      <c r="B244" s="847"/>
      <c r="C244" s="847"/>
      <c r="D244" s="847"/>
      <c r="E244" s="847"/>
      <c r="F244" s="847"/>
      <c r="G244" s="847"/>
      <c r="H244" s="847"/>
      <c r="I244" s="847"/>
      <c r="J244" s="847"/>
      <c r="K244" s="847"/>
      <c r="L244" s="847"/>
      <c r="M244" s="847"/>
      <c r="N244" s="847"/>
      <c r="O244" s="847"/>
      <c r="P244" s="847"/>
      <c r="Q244" s="847"/>
      <c r="R244" s="847"/>
      <c r="S244" s="847"/>
      <c r="T244" s="847"/>
      <c r="U244" s="847"/>
      <c r="V244" s="847"/>
      <c r="W244" s="847"/>
      <c r="X244" s="847"/>
      <c r="Y244" s="847"/>
      <c r="Z244" s="847"/>
      <c r="AA244" s="847"/>
      <c r="AB244" s="847"/>
      <c r="AC244" s="847"/>
      <c r="AD244" s="847"/>
      <c r="AE244" s="847"/>
      <c r="AF244" s="847"/>
      <c r="AG244" s="847"/>
    </row>
    <row r="245">
      <c r="A245" s="847"/>
      <c r="B245" s="847"/>
      <c r="C245" s="847"/>
      <c r="D245" s="847"/>
      <c r="E245" s="847"/>
      <c r="F245" s="847"/>
      <c r="G245" s="847"/>
      <c r="H245" s="847"/>
      <c r="I245" s="847"/>
      <c r="J245" s="847"/>
      <c r="K245" s="847"/>
      <c r="L245" s="847"/>
      <c r="M245" s="847"/>
      <c r="N245" s="847"/>
      <c r="O245" s="847"/>
      <c r="P245" s="847"/>
      <c r="Q245" s="847"/>
      <c r="R245" s="847"/>
      <c r="S245" s="847"/>
      <c r="T245" s="847"/>
      <c r="U245" s="847"/>
      <c r="V245" s="847"/>
      <c r="W245" s="847"/>
      <c r="X245" s="847"/>
      <c r="Y245" s="847"/>
      <c r="Z245" s="847"/>
      <c r="AA245" s="847"/>
      <c r="AB245" s="847"/>
      <c r="AC245" s="847"/>
      <c r="AD245" s="847"/>
      <c r="AE245" s="847"/>
      <c r="AF245" s="847"/>
      <c r="AG245" s="847"/>
    </row>
    <row r="246">
      <c r="A246" s="847"/>
      <c r="B246" s="847"/>
      <c r="C246" s="847"/>
      <c r="D246" s="847"/>
      <c r="E246" s="847"/>
      <c r="F246" s="847"/>
      <c r="G246" s="847"/>
      <c r="H246" s="847"/>
      <c r="I246" s="847"/>
      <c r="J246" s="847"/>
      <c r="K246" s="847"/>
      <c r="L246" s="847"/>
      <c r="M246" s="847"/>
      <c r="N246" s="847"/>
      <c r="O246" s="847"/>
      <c r="P246" s="847"/>
      <c r="Q246" s="847"/>
      <c r="R246" s="847"/>
      <c r="S246" s="847"/>
      <c r="T246" s="847"/>
      <c r="U246" s="847"/>
      <c r="V246" s="847"/>
      <c r="W246" s="847"/>
      <c r="X246" s="847"/>
      <c r="Y246" s="847"/>
      <c r="Z246" s="847"/>
      <c r="AA246" s="847"/>
      <c r="AB246" s="847"/>
      <c r="AC246" s="847"/>
      <c r="AD246" s="847"/>
      <c r="AE246" s="847"/>
      <c r="AF246" s="847"/>
      <c r="AG246" s="847"/>
    </row>
    <row r="247">
      <c r="A247" s="847"/>
      <c r="B247" s="847"/>
      <c r="C247" s="847"/>
      <c r="D247" s="847"/>
      <c r="E247" s="847"/>
      <c r="F247" s="847"/>
      <c r="G247" s="847"/>
      <c r="H247" s="847"/>
      <c r="I247" s="847"/>
      <c r="J247" s="847"/>
      <c r="K247" s="847"/>
      <c r="L247" s="847"/>
      <c r="M247" s="847"/>
      <c r="N247" s="847"/>
      <c r="O247" s="847"/>
      <c r="P247" s="847"/>
      <c r="Q247" s="847"/>
      <c r="R247" s="847"/>
      <c r="S247" s="847"/>
      <c r="T247" s="847"/>
      <c r="U247" s="847"/>
      <c r="V247" s="847"/>
      <c r="W247" s="847"/>
      <c r="X247" s="847"/>
      <c r="Y247" s="847"/>
      <c r="Z247" s="847"/>
      <c r="AA247" s="847"/>
      <c r="AB247" s="847"/>
      <c r="AC247" s="847"/>
      <c r="AD247" s="847"/>
      <c r="AE247" s="847"/>
      <c r="AF247" s="847"/>
      <c r="AG247" s="847"/>
    </row>
    <row r="248">
      <c r="A248" s="847"/>
      <c r="B248" s="847"/>
      <c r="C248" s="847"/>
      <c r="D248" s="847"/>
      <c r="E248" s="847"/>
      <c r="F248" s="847"/>
      <c r="G248" s="847"/>
      <c r="H248" s="847"/>
      <c r="I248" s="847"/>
      <c r="J248" s="847"/>
      <c r="K248" s="847"/>
      <c r="L248" s="847"/>
      <c r="M248" s="847"/>
      <c r="N248" s="847"/>
      <c r="O248" s="847"/>
      <c r="P248" s="847"/>
      <c r="Q248" s="847"/>
      <c r="R248" s="847"/>
      <c r="S248" s="847"/>
      <c r="T248" s="847"/>
      <c r="U248" s="847"/>
      <c r="V248" s="847"/>
      <c r="W248" s="847"/>
      <c r="X248" s="847"/>
      <c r="Y248" s="847"/>
      <c r="Z248" s="847"/>
      <c r="AA248" s="847"/>
      <c r="AB248" s="847"/>
      <c r="AC248" s="847"/>
      <c r="AD248" s="847"/>
      <c r="AE248" s="847"/>
      <c r="AF248" s="847"/>
      <c r="AG248" s="847"/>
    </row>
    <row r="249">
      <c r="A249" s="847"/>
      <c r="B249" s="847"/>
      <c r="C249" s="847"/>
      <c r="D249" s="847"/>
      <c r="E249" s="847"/>
      <c r="F249" s="847"/>
      <c r="G249" s="847"/>
      <c r="H249" s="847"/>
      <c r="I249" s="847"/>
      <c r="J249" s="847"/>
      <c r="K249" s="847"/>
      <c r="L249" s="847"/>
      <c r="M249" s="847"/>
      <c r="N249" s="847"/>
      <c r="O249" s="847"/>
      <c r="P249" s="847"/>
      <c r="Q249" s="847"/>
      <c r="R249" s="847"/>
      <c r="S249" s="847"/>
      <c r="T249" s="847"/>
      <c r="U249" s="847"/>
      <c r="V249" s="847"/>
      <c r="W249" s="847"/>
      <c r="X249" s="847"/>
      <c r="Y249" s="847"/>
      <c r="Z249" s="847"/>
      <c r="AA249" s="847"/>
      <c r="AB249" s="847"/>
      <c r="AC249" s="847"/>
      <c r="AD249" s="847"/>
      <c r="AE249" s="847"/>
      <c r="AF249" s="847"/>
      <c r="AG249" s="847"/>
    </row>
    <row r="250">
      <c r="A250" s="847"/>
      <c r="B250" s="847"/>
      <c r="C250" s="847"/>
      <c r="D250" s="847"/>
      <c r="E250" s="847"/>
      <c r="F250" s="847"/>
      <c r="G250" s="847"/>
      <c r="H250" s="847"/>
      <c r="I250" s="847"/>
      <c r="J250" s="847"/>
      <c r="K250" s="847"/>
      <c r="L250" s="847"/>
      <c r="M250" s="847"/>
      <c r="N250" s="847"/>
      <c r="O250" s="847"/>
      <c r="P250" s="847"/>
      <c r="Q250" s="847"/>
      <c r="R250" s="847"/>
      <c r="S250" s="847"/>
      <c r="T250" s="847"/>
      <c r="U250" s="847"/>
      <c r="V250" s="847"/>
      <c r="W250" s="847"/>
      <c r="X250" s="847"/>
      <c r="Y250" s="847"/>
      <c r="Z250" s="847"/>
      <c r="AA250" s="847"/>
      <c r="AB250" s="847"/>
      <c r="AC250" s="847"/>
      <c r="AD250" s="847"/>
      <c r="AE250" s="847"/>
      <c r="AF250" s="847"/>
      <c r="AG250" s="847"/>
    </row>
    <row r="251">
      <c r="A251" s="847"/>
      <c r="B251" s="847"/>
      <c r="C251" s="847"/>
      <c r="D251" s="847"/>
      <c r="E251" s="847"/>
      <c r="F251" s="847"/>
      <c r="G251" s="847"/>
      <c r="H251" s="847"/>
      <c r="I251" s="847"/>
      <c r="J251" s="847"/>
      <c r="K251" s="847"/>
      <c r="L251" s="847"/>
      <c r="M251" s="847"/>
      <c r="N251" s="847"/>
      <c r="O251" s="847"/>
      <c r="P251" s="847"/>
      <c r="Q251" s="847"/>
      <c r="R251" s="847"/>
      <c r="S251" s="847"/>
      <c r="T251" s="847"/>
      <c r="U251" s="847"/>
      <c r="V251" s="847"/>
      <c r="W251" s="847"/>
      <c r="X251" s="847"/>
      <c r="Y251" s="847"/>
      <c r="Z251" s="847"/>
      <c r="AA251" s="847"/>
      <c r="AB251" s="847"/>
      <c r="AC251" s="847"/>
      <c r="AD251" s="847"/>
      <c r="AE251" s="847"/>
      <c r="AF251" s="847"/>
      <c r="AG251" s="847"/>
    </row>
    <row r="252">
      <c r="A252" s="847"/>
      <c r="B252" s="847"/>
      <c r="C252" s="847"/>
      <c r="D252" s="847"/>
      <c r="E252" s="847"/>
      <c r="F252" s="847"/>
      <c r="G252" s="847"/>
      <c r="H252" s="847"/>
      <c r="I252" s="847"/>
      <c r="J252" s="847"/>
      <c r="K252" s="847"/>
      <c r="L252" s="847"/>
      <c r="M252" s="847"/>
      <c r="N252" s="847"/>
      <c r="O252" s="847"/>
      <c r="P252" s="847"/>
      <c r="Q252" s="847"/>
      <c r="R252" s="847"/>
      <c r="S252" s="847"/>
      <c r="T252" s="847"/>
      <c r="U252" s="847"/>
      <c r="V252" s="847"/>
      <c r="W252" s="847"/>
      <c r="X252" s="847"/>
      <c r="Y252" s="847"/>
      <c r="Z252" s="847"/>
      <c r="AA252" s="847"/>
      <c r="AB252" s="847"/>
      <c r="AC252" s="847"/>
      <c r="AD252" s="847"/>
      <c r="AE252" s="847"/>
      <c r="AF252" s="847"/>
      <c r="AG252" s="847"/>
    </row>
    <row r="253">
      <c r="A253" s="847"/>
      <c r="B253" s="847"/>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7"/>
      <c r="AD253" s="847"/>
      <c r="AE253" s="847"/>
      <c r="AF253" s="847"/>
      <c r="AG253" s="847"/>
    </row>
    <row r="254">
      <c r="A254" s="847"/>
      <c r="B254" s="847"/>
      <c r="C254" s="847"/>
      <c r="D254" s="847"/>
      <c r="E254" s="847"/>
      <c r="F254" s="847"/>
      <c r="G254" s="847"/>
      <c r="H254" s="847"/>
      <c r="I254" s="847"/>
      <c r="J254" s="847"/>
      <c r="K254" s="847"/>
      <c r="L254" s="847"/>
      <c r="M254" s="847"/>
      <c r="N254" s="847"/>
      <c r="O254" s="847"/>
      <c r="P254" s="847"/>
      <c r="Q254" s="847"/>
      <c r="R254" s="847"/>
      <c r="S254" s="847"/>
      <c r="T254" s="847"/>
      <c r="U254" s="847"/>
      <c r="V254" s="847"/>
      <c r="W254" s="847"/>
      <c r="X254" s="847"/>
      <c r="Y254" s="847"/>
      <c r="Z254" s="847"/>
      <c r="AA254" s="847"/>
      <c r="AB254" s="847"/>
      <c r="AC254" s="847"/>
      <c r="AD254" s="847"/>
      <c r="AE254" s="847"/>
      <c r="AF254" s="847"/>
      <c r="AG254" s="847"/>
    </row>
    <row r="255">
      <c r="A255" s="847"/>
      <c r="B255" s="847"/>
      <c r="C255" s="847"/>
      <c r="D255" s="847"/>
      <c r="E255" s="847"/>
      <c r="F255" s="847"/>
      <c r="G255" s="847"/>
      <c r="H255" s="847"/>
      <c r="I255" s="847"/>
      <c r="J255" s="847"/>
      <c r="K255" s="847"/>
      <c r="L255" s="847"/>
      <c r="M255" s="847"/>
      <c r="N255" s="847"/>
      <c r="O255" s="847"/>
      <c r="P255" s="847"/>
      <c r="Q255" s="847"/>
      <c r="R255" s="847"/>
      <c r="S255" s="847"/>
      <c r="T255" s="847"/>
      <c r="U255" s="847"/>
      <c r="V255" s="847"/>
      <c r="W255" s="847"/>
      <c r="X255" s="847"/>
      <c r="Y255" s="847"/>
      <c r="Z255" s="847"/>
      <c r="AA255" s="847"/>
      <c r="AB255" s="847"/>
      <c r="AC255" s="847"/>
      <c r="AD255" s="847"/>
      <c r="AE255" s="847"/>
      <c r="AF255" s="847"/>
      <c r="AG255" s="847"/>
    </row>
    <row r="256">
      <c r="A256" s="847"/>
      <c r="B256" s="847"/>
      <c r="C256" s="847"/>
      <c r="D256" s="847"/>
      <c r="E256" s="847"/>
      <c r="F256" s="847"/>
      <c r="G256" s="847"/>
      <c r="H256" s="847"/>
      <c r="I256" s="847"/>
      <c r="J256" s="847"/>
      <c r="K256" s="847"/>
      <c r="L256" s="847"/>
      <c r="M256" s="847"/>
      <c r="N256" s="847"/>
      <c r="O256" s="847"/>
      <c r="P256" s="847"/>
      <c r="Q256" s="847"/>
      <c r="R256" s="847"/>
      <c r="S256" s="847"/>
      <c r="T256" s="847"/>
      <c r="U256" s="847"/>
      <c r="V256" s="847"/>
      <c r="W256" s="847"/>
      <c r="X256" s="847"/>
      <c r="Y256" s="847"/>
      <c r="Z256" s="847"/>
      <c r="AA256" s="847"/>
      <c r="AB256" s="847"/>
      <c r="AC256" s="847"/>
      <c r="AD256" s="847"/>
      <c r="AE256" s="847"/>
      <c r="AF256" s="847"/>
      <c r="AG256" s="847"/>
    </row>
    <row r="257">
      <c r="A257" s="847"/>
      <c r="B257" s="847"/>
      <c r="C257" s="847"/>
      <c r="D257" s="847"/>
      <c r="E257" s="847"/>
      <c r="F257" s="847"/>
      <c r="G257" s="847"/>
      <c r="H257" s="847"/>
      <c r="I257" s="847"/>
      <c r="J257" s="847"/>
      <c r="K257" s="847"/>
      <c r="L257" s="847"/>
      <c r="M257" s="847"/>
      <c r="N257" s="847"/>
      <c r="O257" s="847"/>
      <c r="P257" s="847"/>
      <c r="Q257" s="847"/>
      <c r="R257" s="847"/>
      <c r="S257" s="847"/>
      <c r="T257" s="847"/>
      <c r="U257" s="847"/>
      <c r="V257" s="847"/>
      <c r="W257" s="847"/>
      <c r="X257" s="847"/>
      <c r="Y257" s="847"/>
      <c r="Z257" s="847"/>
      <c r="AA257" s="847"/>
      <c r="AB257" s="847"/>
      <c r="AC257" s="847"/>
      <c r="AD257" s="847"/>
      <c r="AE257" s="847"/>
      <c r="AF257" s="847"/>
      <c r="AG257" s="847"/>
    </row>
    <row r="258">
      <c r="A258" s="847"/>
      <c r="B258" s="847"/>
      <c r="C258" s="847"/>
      <c r="D258" s="847"/>
      <c r="E258" s="847"/>
      <c r="F258" s="847"/>
      <c r="G258" s="847"/>
      <c r="H258" s="847"/>
      <c r="I258" s="847"/>
      <c r="J258" s="847"/>
      <c r="K258" s="847"/>
      <c r="L258" s="847"/>
      <c r="M258" s="847"/>
      <c r="N258" s="847"/>
      <c r="O258" s="847"/>
      <c r="P258" s="847"/>
      <c r="Q258" s="847"/>
      <c r="R258" s="847"/>
      <c r="S258" s="847"/>
      <c r="T258" s="847"/>
      <c r="U258" s="847"/>
      <c r="V258" s="847"/>
      <c r="W258" s="847"/>
      <c r="X258" s="847"/>
      <c r="Y258" s="847"/>
      <c r="Z258" s="847"/>
      <c r="AA258" s="847"/>
      <c r="AB258" s="847"/>
      <c r="AC258" s="847"/>
      <c r="AD258" s="847"/>
      <c r="AE258" s="847"/>
      <c r="AF258" s="847"/>
      <c r="AG258" s="847"/>
    </row>
    <row r="259">
      <c r="A259" s="847"/>
      <c r="B259" s="847"/>
      <c r="C259" s="847"/>
      <c r="D259" s="847"/>
      <c r="E259" s="847"/>
      <c r="F259" s="847"/>
      <c r="G259" s="847"/>
      <c r="H259" s="847"/>
      <c r="I259" s="847"/>
      <c r="J259" s="847"/>
      <c r="K259" s="847"/>
      <c r="L259" s="847"/>
      <c r="M259" s="847"/>
      <c r="N259" s="847"/>
      <c r="O259" s="847"/>
      <c r="P259" s="847"/>
      <c r="Q259" s="847"/>
      <c r="R259" s="847"/>
      <c r="S259" s="847"/>
      <c r="T259" s="847"/>
      <c r="U259" s="847"/>
      <c r="V259" s="847"/>
      <c r="W259" s="847"/>
      <c r="X259" s="847"/>
      <c r="Y259" s="847"/>
      <c r="Z259" s="847"/>
      <c r="AA259" s="847"/>
      <c r="AB259" s="847"/>
      <c r="AC259" s="847"/>
      <c r="AD259" s="847"/>
      <c r="AE259" s="847"/>
      <c r="AF259" s="847"/>
      <c r="AG259" s="847"/>
    </row>
    <row r="260">
      <c r="A260" s="847"/>
      <c r="B260" s="847"/>
      <c r="C260" s="847"/>
      <c r="D260" s="847"/>
      <c r="E260" s="847"/>
      <c r="F260" s="847"/>
      <c r="G260" s="847"/>
      <c r="H260" s="847"/>
      <c r="I260" s="847"/>
      <c r="J260" s="847"/>
      <c r="K260" s="847"/>
      <c r="L260" s="847"/>
      <c r="M260" s="847"/>
      <c r="N260" s="847"/>
      <c r="O260" s="847"/>
      <c r="P260" s="847"/>
      <c r="Q260" s="847"/>
      <c r="R260" s="847"/>
      <c r="S260" s="847"/>
      <c r="T260" s="847"/>
      <c r="U260" s="847"/>
      <c r="V260" s="847"/>
      <c r="W260" s="847"/>
      <c r="X260" s="847"/>
      <c r="Y260" s="847"/>
      <c r="Z260" s="847"/>
      <c r="AA260" s="847"/>
      <c r="AB260" s="847"/>
      <c r="AC260" s="847"/>
      <c r="AD260" s="847"/>
      <c r="AE260" s="847"/>
      <c r="AF260" s="847"/>
      <c r="AG260" s="847"/>
    </row>
    <row r="261">
      <c r="A261" s="847"/>
      <c r="B261" s="847"/>
      <c r="C261" s="847"/>
      <c r="D261" s="847"/>
      <c r="E261" s="847"/>
      <c r="F261" s="847"/>
      <c r="G261" s="847"/>
      <c r="H261" s="847"/>
      <c r="I261" s="847"/>
      <c r="J261" s="847"/>
      <c r="K261" s="847"/>
      <c r="L261" s="847"/>
      <c r="M261" s="847"/>
      <c r="N261" s="847"/>
      <c r="O261" s="847"/>
      <c r="P261" s="847"/>
      <c r="Q261" s="847"/>
      <c r="R261" s="847"/>
      <c r="S261" s="847"/>
      <c r="T261" s="847"/>
      <c r="U261" s="847"/>
      <c r="V261" s="847"/>
      <c r="W261" s="847"/>
      <c r="X261" s="847"/>
      <c r="Y261" s="847"/>
      <c r="Z261" s="847"/>
      <c r="AA261" s="847"/>
      <c r="AB261" s="847"/>
      <c r="AC261" s="847"/>
      <c r="AD261" s="847"/>
      <c r="AE261" s="847"/>
      <c r="AF261" s="847"/>
      <c r="AG261" s="847"/>
    </row>
    <row r="262">
      <c r="A262" s="847"/>
      <c r="B262" s="847"/>
      <c r="C262" s="847"/>
      <c r="D262" s="847"/>
      <c r="E262" s="847"/>
      <c r="F262" s="847"/>
      <c r="G262" s="847"/>
      <c r="H262" s="847"/>
      <c r="I262" s="847"/>
      <c r="J262" s="847"/>
      <c r="K262" s="847"/>
      <c r="L262" s="847"/>
      <c r="M262" s="847"/>
      <c r="N262" s="847"/>
      <c r="O262" s="847"/>
      <c r="P262" s="847"/>
      <c r="Q262" s="847"/>
      <c r="R262" s="847"/>
      <c r="S262" s="847"/>
      <c r="T262" s="847"/>
      <c r="U262" s="847"/>
      <c r="V262" s="847"/>
      <c r="W262" s="847"/>
      <c r="X262" s="847"/>
      <c r="Y262" s="847"/>
      <c r="Z262" s="847"/>
      <c r="AA262" s="847"/>
      <c r="AB262" s="847"/>
      <c r="AC262" s="847"/>
      <c r="AD262" s="847"/>
      <c r="AE262" s="847"/>
      <c r="AF262" s="847"/>
      <c r="AG262" s="847"/>
    </row>
    <row r="263">
      <c r="A263" s="847"/>
      <c r="B263" s="847"/>
      <c r="C263" s="847"/>
      <c r="D263" s="847"/>
      <c r="E263" s="847"/>
      <c r="F263" s="847"/>
      <c r="G263" s="847"/>
      <c r="H263" s="847"/>
      <c r="I263" s="847"/>
      <c r="J263" s="847"/>
      <c r="K263" s="847"/>
      <c r="L263" s="847"/>
      <c r="M263" s="847"/>
      <c r="N263" s="847"/>
      <c r="O263" s="847"/>
      <c r="P263" s="847"/>
      <c r="Q263" s="847"/>
      <c r="R263" s="847"/>
      <c r="S263" s="847"/>
      <c r="T263" s="847"/>
      <c r="U263" s="847"/>
      <c r="V263" s="847"/>
      <c r="W263" s="847"/>
      <c r="X263" s="847"/>
      <c r="Y263" s="847"/>
      <c r="Z263" s="847"/>
      <c r="AA263" s="847"/>
      <c r="AB263" s="847"/>
      <c r="AC263" s="847"/>
      <c r="AD263" s="847"/>
      <c r="AE263" s="847"/>
      <c r="AF263" s="847"/>
      <c r="AG263" s="847"/>
    </row>
    <row r="264">
      <c r="A264" s="847"/>
      <c r="B264" s="847"/>
      <c r="C264" s="847"/>
      <c r="D264" s="847"/>
      <c r="E264" s="847"/>
      <c r="F264" s="847"/>
      <c r="G264" s="847"/>
      <c r="H264" s="847"/>
      <c r="I264" s="847"/>
      <c r="J264" s="847"/>
      <c r="K264" s="847"/>
      <c r="L264" s="847"/>
      <c r="M264" s="847"/>
      <c r="N264" s="847"/>
      <c r="O264" s="847"/>
      <c r="P264" s="847"/>
      <c r="Q264" s="847"/>
      <c r="R264" s="847"/>
      <c r="S264" s="847"/>
      <c r="T264" s="847"/>
      <c r="U264" s="847"/>
      <c r="V264" s="847"/>
      <c r="W264" s="847"/>
      <c r="X264" s="847"/>
      <c r="Y264" s="847"/>
      <c r="Z264" s="847"/>
      <c r="AA264" s="847"/>
      <c r="AB264" s="847"/>
      <c r="AC264" s="847"/>
      <c r="AD264" s="847"/>
      <c r="AE264" s="847"/>
      <c r="AF264" s="847"/>
      <c r="AG264" s="847"/>
    </row>
    <row r="265">
      <c r="A265" s="847"/>
      <c r="B265" s="847"/>
      <c r="C265" s="847"/>
      <c r="D265" s="847"/>
      <c r="E265" s="847"/>
      <c r="F265" s="847"/>
      <c r="G265" s="847"/>
      <c r="H265" s="847"/>
      <c r="I265" s="847"/>
      <c r="J265" s="847"/>
      <c r="K265" s="847"/>
      <c r="L265" s="847"/>
      <c r="M265" s="847"/>
      <c r="N265" s="847"/>
      <c r="O265" s="847"/>
      <c r="P265" s="847"/>
      <c r="Q265" s="847"/>
      <c r="R265" s="847"/>
      <c r="S265" s="847"/>
      <c r="T265" s="847"/>
      <c r="U265" s="847"/>
      <c r="V265" s="847"/>
      <c r="W265" s="847"/>
      <c r="X265" s="847"/>
      <c r="Y265" s="847"/>
      <c r="Z265" s="847"/>
      <c r="AA265" s="847"/>
      <c r="AB265" s="847"/>
      <c r="AC265" s="847"/>
      <c r="AD265" s="847"/>
      <c r="AE265" s="847"/>
      <c r="AF265" s="847"/>
      <c r="AG265" s="847"/>
    </row>
    <row r="266">
      <c r="A266" s="847"/>
      <c r="B266" s="847"/>
      <c r="C266" s="847"/>
      <c r="D266" s="847"/>
      <c r="E266" s="847"/>
      <c r="F266" s="847"/>
      <c r="G266" s="847"/>
      <c r="H266" s="847"/>
      <c r="I266" s="847"/>
      <c r="J266" s="847"/>
      <c r="K266" s="847"/>
      <c r="L266" s="847"/>
      <c r="M266" s="847"/>
      <c r="N266" s="847"/>
      <c r="O266" s="847"/>
      <c r="P266" s="847"/>
      <c r="Q266" s="847"/>
      <c r="R266" s="847"/>
      <c r="S266" s="847"/>
      <c r="T266" s="847"/>
      <c r="U266" s="847"/>
      <c r="V266" s="847"/>
      <c r="W266" s="847"/>
      <c r="X266" s="847"/>
      <c r="Y266" s="847"/>
      <c r="Z266" s="847"/>
      <c r="AA266" s="847"/>
      <c r="AB266" s="847"/>
      <c r="AC266" s="847"/>
      <c r="AD266" s="847"/>
      <c r="AE266" s="847"/>
      <c r="AF266" s="847"/>
      <c r="AG266" s="847"/>
    </row>
    <row r="267">
      <c r="A267" s="847"/>
      <c r="B267" s="847"/>
      <c r="C267" s="847"/>
      <c r="D267" s="847"/>
      <c r="E267" s="847"/>
      <c r="F267" s="847"/>
      <c r="G267" s="847"/>
      <c r="H267" s="847"/>
      <c r="I267" s="847"/>
      <c r="J267" s="847"/>
      <c r="K267" s="847"/>
      <c r="L267" s="847"/>
      <c r="M267" s="847"/>
      <c r="N267" s="847"/>
      <c r="O267" s="847"/>
      <c r="P267" s="847"/>
      <c r="Q267" s="847"/>
      <c r="R267" s="847"/>
      <c r="S267" s="847"/>
      <c r="T267" s="847"/>
      <c r="U267" s="847"/>
      <c r="V267" s="847"/>
      <c r="W267" s="847"/>
      <c r="X267" s="847"/>
      <c r="Y267" s="847"/>
      <c r="Z267" s="847"/>
      <c r="AA267" s="847"/>
      <c r="AB267" s="847"/>
      <c r="AC267" s="847"/>
      <c r="AD267" s="847"/>
      <c r="AE267" s="847"/>
      <c r="AF267" s="847"/>
      <c r="AG267" s="847"/>
    </row>
    <row r="268">
      <c r="A268" s="847"/>
      <c r="B268" s="847"/>
      <c r="C268" s="847"/>
      <c r="D268" s="847"/>
      <c r="E268" s="847"/>
      <c r="F268" s="847"/>
      <c r="G268" s="847"/>
      <c r="H268" s="847"/>
      <c r="I268" s="847"/>
      <c r="J268" s="847"/>
      <c r="K268" s="847"/>
      <c r="L268" s="847"/>
      <c r="M268" s="847"/>
      <c r="N268" s="847"/>
      <c r="O268" s="847"/>
      <c r="P268" s="847"/>
      <c r="Q268" s="847"/>
      <c r="R268" s="847"/>
      <c r="S268" s="847"/>
      <c r="T268" s="847"/>
      <c r="U268" s="847"/>
      <c r="V268" s="847"/>
      <c r="W268" s="847"/>
      <c r="X268" s="847"/>
      <c r="Y268" s="847"/>
      <c r="Z268" s="847"/>
      <c r="AA268" s="847"/>
      <c r="AB268" s="847"/>
      <c r="AC268" s="847"/>
      <c r="AD268" s="847"/>
      <c r="AE268" s="847"/>
      <c r="AF268" s="847"/>
      <c r="AG268" s="847"/>
    </row>
    <row r="269">
      <c r="A269" s="847"/>
      <c r="B269" s="847"/>
      <c r="C269" s="847"/>
      <c r="D269" s="847"/>
      <c r="E269" s="847"/>
      <c r="F269" s="847"/>
      <c r="G269" s="847"/>
      <c r="H269" s="847"/>
      <c r="I269" s="847"/>
      <c r="J269" s="847"/>
      <c r="K269" s="847"/>
      <c r="L269" s="847"/>
      <c r="M269" s="847"/>
      <c r="N269" s="847"/>
      <c r="O269" s="847"/>
      <c r="P269" s="847"/>
      <c r="Q269" s="847"/>
      <c r="R269" s="847"/>
      <c r="S269" s="847"/>
      <c r="T269" s="847"/>
      <c r="U269" s="847"/>
      <c r="V269" s="847"/>
      <c r="W269" s="847"/>
      <c r="X269" s="847"/>
      <c r="Y269" s="847"/>
      <c r="Z269" s="847"/>
      <c r="AA269" s="847"/>
      <c r="AB269" s="847"/>
      <c r="AC269" s="847"/>
      <c r="AD269" s="847"/>
      <c r="AE269" s="847"/>
      <c r="AF269" s="847"/>
      <c r="AG269" s="847"/>
    </row>
    <row r="270">
      <c r="A270" s="847"/>
      <c r="B270" s="847"/>
      <c r="C270" s="847"/>
      <c r="D270" s="847"/>
      <c r="E270" s="847"/>
      <c r="F270" s="847"/>
      <c r="G270" s="847"/>
      <c r="H270" s="847"/>
      <c r="I270" s="847"/>
      <c r="J270" s="847"/>
      <c r="K270" s="847"/>
      <c r="L270" s="847"/>
      <c r="M270" s="847"/>
      <c r="N270" s="847"/>
      <c r="O270" s="847"/>
      <c r="P270" s="847"/>
      <c r="Q270" s="847"/>
      <c r="R270" s="847"/>
      <c r="S270" s="847"/>
      <c r="T270" s="847"/>
      <c r="U270" s="847"/>
      <c r="V270" s="847"/>
      <c r="W270" s="847"/>
      <c r="X270" s="847"/>
      <c r="Y270" s="847"/>
      <c r="Z270" s="847"/>
      <c r="AA270" s="847"/>
      <c r="AB270" s="847"/>
      <c r="AC270" s="847"/>
      <c r="AD270" s="847"/>
      <c r="AE270" s="847"/>
      <c r="AF270" s="847"/>
      <c r="AG270" s="847"/>
    </row>
    <row r="271">
      <c r="A271" s="847"/>
      <c r="B271" s="847"/>
      <c r="C271" s="847"/>
      <c r="D271" s="847"/>
      <c r="E271" s="847"/>
      <c r="F271" s="847"/>
      <c r="G271" s="847"/>
      <c r="H271" s="847"/>
      <c r="I271" s="847"/>
      <c r="J271" s="847"/>
      <c r="K271" s="847"/>
      <c r="L271" s="847"/>
      <c r="M271" s="847"/>
      <c r="N271" s="847"/>
      <c r="O271" s="847"/>
      <c r="P271" s="847"/>
      <c r="Q271" s="847"/>
      <c r="R271" s="847"/>
      <c r="S271" s="847"/>
      <c r="T271" s="847"/>
      <c r="U271" s="847"/>
      <c r="V271" s="847"/>
      <c r="W271" s="847"/>
      <c r="X271" s="847"/>
      <c r="Y271" s="847"/>
      <c r="Z271" s="847"/>
      <c r="AA271" s="847"/>
      <c r="AB271" s="847"/>
      <c r="AC271" s="847"/>
      <c r="AD271" s="847"/>
      <c r="AE271" s="847"/>
      <c r="AF271" s="847"/>
      <c r="AG271" s="847"/>
    </row>
    <row r="272">
      <c r="A272" s="847"/>
      <c r="B272" s="847"/>
      <c r="C272" s="847"/>
      <c r="D272" s="847"/>
      <c r="E272" s="847"/>
      <c r="F272" s="847"/>
      <c r="G272" s="847"/>
      <c r="H272" s="847"/>
      <c r="I272" s="847"/>
      <c r="J272" s="847"/>
      <c r="K272" s="847"/>
      <c r="L272" s="847"/>
      <c r="M272" s="847"/>
      <c r="N272" s="847"/>
      <c r="O272" s="847"/>
      <c r="P272" s="847"/>
      <c r="Q272" s="847"/>
      <c r="R272" s="847"/>
      <c r="S272" s="847"/>
      <c r="T272" s="847"/>
      <c r="U272" s="847"/>
      <c r="V272" s="847"/>
      <c r="W272" s="847"/>
      <c r="X272" s="847"/>
      <c r="Y272" s="847"/>
      <c r="Z272" s="847"/>
      <c r="AA272" s="847"/>
      <c r="AB272" s="847"/>
      <c r="AC272" s="847"/>
      <c r="AD272" s="847"/>
      <c r="AE272" s="847"/>
      <c r="AF272" s="847"/>
      <c r="AG272" s="847"/>
    </row>
    <row r="273">
      <c r="A273" s="847"/>
      <c r="B273" s="847"/>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7"/>
      <c r="AD273" s="847"/>
      <c r="AE273" s="847"/>
      <c r="AF273" s="847"/>
      <c r="AG273" s="847"/>
    </row>
    <row r="274">
      <c r="A274" s="847"/>
      <c r="B274" s="847"/>
      <c r="C274" s="847"/>
      <c r="D274" s="847"/>
      <c r="E274" s="847"/>
      <c r="F274" s="847"/>
      <c r="G274" s="847"/>
      <c r="H274" s="847"/>
      <c r="I274" s="847"/>
      <c r="J274" s="847"/>
      <c r="K274" s="847"/>
      <c r="L274" s="847"/>
      <c r="M274" s="847"/>
      <c r="N274" s="847"/>
      <c r="O274" s="847"/>
      <c r="P274" s="847"/>
      <c r="Q274" s="847"/>
      <c r="R274" s="847"/>
      <c r="S274" s="847"/>
      <c r="T274" s="847"/>
      <c r="U274" s="847"/>
      <c r="V274" s="847"/>
      <c r="W274" s="847"/>
      <c r="X274" s="847"/>
      <c r="Y274" s="847"/>
      <c r="Z274" s="847"/>
      <c r="AA274" s="847"/>
      <c r="AB274" s="847"/>
      <c r="AC274" s="847"/>
      <c r="AD274" s="847"/>
      <c r="AE274" s="847"/>
      <c r="AF274" s="847"/>
      <c r="AG274" s="847"/>
    </row>
    <row r="275">
      <c r="A275" s="847"/>
      <c r="B275" s="847"/>
      <c r="C275" s="847"/>
      <c r="D275" s="847"/>
      <c r="E275" s="847"/>
      <c r="F275" s="847"/>
      <c r="G275" s="847"/>
      <c r="H275" s="847"/>
      <c r="I275" s="847"/>
      <c r="J275" s="847"/>
      <c r="K275" s="847"/>
      <c r="L275" s="847"/>
      <c r="M275" s="847"/>
      <c r="N275" s="847"/>
      <c r="O275" s="847"/>
      <c r="P275" s="847"/>
      <c r="Q275" s="847"/>
      <c r="R275" s="847"/>
      <c r="S275" s="847"/>
      <c r="T275" s="847"/>
      <c r="U275" s="847"/>
      <c r="V275" s="847"/>
      <c r="W275" s="847"/>
      <c r="X275" s="847"/>
      <c r="Y275" s="847"/>
      <c r="Z275" s="847"/>
      <c r="AA275" s="847"/>
      <c r="AB275" s="847"/>
      <c r="AC275" s="847"/>
      <c r="AD275" s="847"/>
      <c r="AE275" s="847"/>
      <c r="AF275" s="847"/>
      <c r="AG275" s="847"/>
    </row>
    <row r="276">
      <c r="A276" s="847"/>
      <c r="B276" s="847"/>
      <c r="C276" s="847"/>
      <c r="D276" s="847"/>
      <c r="E276" s="847"/>
      <c r="F276" s="847"/>
      <c r="G276" s="847"/>
      <c r="H276" s="847"/>
      <c r="I276" s="847"/>
      <c r="J276" s="847"/>
      <c r="K276" s="847"/>
      <c r="L276" s="847"/>
      <c r="M276" s="847"/>
      <c r="N276" s="847"/>
      <c r="O276" s="847"/>
      <c r="P276" s="847"/>
      <c r="Q276" s="847"/>
      <c r="R276" s="847"/>
      <c r="S276" s="847"/>
      <c r="T276" s="847"/>
      <c r="U276" s="847"/>
      <c r="V276" s="847"/>
      <c r="W276" s="847"/>
      <c r="X276" s="847"/>
      <c r="Y276" s="847"/>
      <c r="Z276" s="847"/>
      <c r="AA276" s="847"/>
      <c r="AB276" s="847"/>
      <c r="AC276" s="847"/>
      <c r="AD276" s="847"/>
      <c r="AE276" s="847"/>
      <c r="AF276" s="847"/>
      <c r="AG276" s="847"/>
    </row>
    <row r="277">
      <c r="A277" s="847"/>
      <c r="B277" s="847"/>
      <c r="C277" s="847"/>
      <c r="D277" s="847"/>
      <c r="E277" s="847"/>
      <c r="F277" s="847"/>
      <c r="G277" s="847"/>
      <c r="H277" s="847"/>
      <c r="I277" s="847"/>
      <c r="J277" s="847"/>
      <c r="K277" s="847"/>
      <c r="L277" s="847"/>
      <c r="M277" s="847"/>
      <c r="N277" s="847"/>
      <c r="O277" s="847"/>
      <c r="P277" s="847"/>
      <c r="Q277" s="847"/>
      <c r="R277" s="847"/>
      <c r="S277" s="847"/>
      <c r="T277" s="847"/>
      <c r="U277" s="847"/>
      <c r="V277" s="847"/>
      <c r="W277" s="847"/>
      <c r="X277" s="847"/>
      <c r="Y277" s="847"/>
      <c r="Z277" s="847"/>
      <c r="AA277" s="847"/>
      <c r="AB277" s="847"/>
      <c r="AC277" s="847"/>
      <c r="AD277" s="847"/>
      <c r="AE277" s="847"/>
      <c r="AF277" s="847"/>
      <c r="AG277" s="847"/>
    </row>
    <row r="278">
      <c r="A278" s="847"/>
      <c r="B278" s="847"/>
      <c r="C278" s="847"/>
      <c r="D278" s="847"/>
      <c r="E278" s="847"/>
      <c r="F278" s="847"/>
      <c r="G278" s="847"/>
      <c r="H278" s="847"/>
      <c r="I278" s="847"/>
      <c r="J278" s="847"/>
      <c r="K278" s="847"/>
      <c r="L278" s="847"/>
      <c r="M278" s="847"/>
      <c r="N278" s="847"/>
      <c r="O278" s="847"/>
      <c r="P278" s="847"/>
      <c r="Q278" s="847"/>
      <c r="R278" s="847"/>
      <c r="S278" s="847"/>
      <c r="T278" s="847"/>
      <c r="U278" s="847"/>
      <c r="V278" s="847"/>
      <c r="W278" s="847"/>
      <c r="X278" s="847"/>
      <c r="Y278" s="847"/>
      <c r="Z278" s="847"/>
      <c r="AA278" s="847"/>
      <c r="AB278" s="847"/>
      <c r="AC278" s="847"/>
      <c r="AD278" s="847"/>
      <c r="AE278" s="847"/>
      <c r="AF278" s="847"/>
      <c r="AG278" s="847"/>
    </row>
    <row r="279">
      <c r="A279" s="847"/>
      <c r="B279" s="847"/>
      <c r="C279" s="847"/>
      <c r="D279" s="847"/>
      <c r="E279" s="847"/>
      <c r="F279" s="847"/>
      <c r="G279" s="847"/>
      <c r="H279" s="847"/>
      <c r="I279" s="847"/>
      <c r="J279" s="847"/>
      <c r="K279" s="847"/>
      <c r="L279" s="847"/>
      <c r="M279" s="847"/>
      <c r="N279" s="847"/>
      <c r="O279" s="847"/>
      <c r="P279" s="847"/>
      <c r="Q279" s="847"/>
      <c r="R279" s="847"/>
      <c r="S279" s="847"/>
      <c r="T279" s="847"/>
      <c r="U279" s="847"/>
      <c r="V279" s="847"/>
      <c r="W279" s="847"/>
      <c r="X279" s="847"/>
      <c r="Y279" s="847"/>
      <c r="Z279" s="847"/>
      <c r="AA279" s="847"/>
      <c r="AB279" s="847"/>
      <c r="AC279" s="847"/>
      <c r="AD279" s="847"/>
      <c r="AE279" s="847"/>
      <c r="AF279" s="847"/>
      <c r="AG279" s="847"/>
    </row>
    <row r="280">
      <c r="A280" s="847"/>
      <c r="B280" s="847"/>
      <c r="C280" s="847"/>
      <c r="D280" s="847"/>
      <c r="E280" s="847"/>
      <c r="F280" s="847"/>
      <c r="G280" s="847"/>
      <c r="H280" s="847"/>
      <c r="I280" s="847"/>
      <c r="J280" s="847"/>
      <c r="K280" s="847"/>
      <c r="L280" s="847"/>
      <c r="M280" s="847"/>
      <c r="N280" s="847"/>
      <c r="O280" s="847"/>
      <c r="P280" s="847"/>
      <c r="Q280" s="847"/>
      <c r="R280" s="847"/>
      <c r="S280" s="847"/>
      <c r="T280" s="847"/>
      <c r="U280" s="847"/>
      <c r="V280" s="847"/>
      <c r="W280" s="847"/>
      <c r="X280" s="847"/>
      <c r="Y280" s="847"/>
      <c r="Z280" s="847"/>
      <c r="AA280" s="847"/>
      <c r="AB280" s="847"/>
      <c r="AC280" s="847"/>
      <c r="AD280" s="847"/>
      <c r="AE280" s="847"/>
      <c r="AF280" s="847"/>
      <c r="AG280" s="847"/>
    </row>
    <row r="281">
      <c r="A281" s="847"/>
      <c r="B281" s="847"/>
      <c r="C281" s="847"/>
      <c r="D281" s="847"/>
      <c r="E281" s="847"/>
      <c r="F281" s="847"/>
      <c r="G281" s="847"/>
      <c r="H281" s="847"/>
      <c r="I281" s="847"/>
      <c r="J281" s="847"/>
      <c r="K281" s="847"/>
      <c r="L281" s="847"/>
      <c r="M281" s="847"/>
      <c r="N281" s="847"/>
      <c r="O281" s="847"/>
      <c r="P281" s="847"/>
      <c r="Q281" s="847"/>
      <c r="R281" s="847"/>
      <c r="S281" s="847"/>
      <c r="T281" s="847"/>
      <c r="U281" s="847"/>
      <c r="V281" s="847"/>
      <c r="W281" s="847"/>
      <c r="X281" s="847"/>
      <c r="Y281" s="847"/>
      <c r="Z281" s="847"/>
      <c r="AA281" s="847"/>
      <c r="AB281" s="847"/>
      <c r="AC281" s="847"/>
      <c r="AD281" s="847"/>
      <c r="AE281" s="847"/>
      <c r="AF281" s="847"/>
      <c r="AG281" s="847"/>
    </row>
    <row r="282">
      <c r="A282" s="847"/>
      <c r="B282" s="847"/>
      <c r="C282" s="847"/>
      <c r="D282" s="847"/>
      <c r="E282" s="847"/>
      <c r="F282" s="847"/>
      <c r="G282" s="847"/>
      <c r="H282" s="847"/>
      <c r="I282" s="847"/>
      <c r="J282" s="847"/>
      <c r="K282" s="847"/>
      <c r="L282" s="847"/>
      <c r="M282" s="847"/>
      <c r="N282" s="847"/>
      <c r="O282" s="847"/>
      <c r="P282" s="847"/>
      <c r="Q282" s="847"/>
      <c r="R282" s="847"/>
      <c r="S282" s="847"/>
      <c r="T282" s="847"/>
      <c r="U282" s="847"/>
      <c r="V282" s="847"/>
      <c r="W282" s="847"/>
      <c r="X282" s="847"/>
      <c r="Y282" s="847"/>
      <c r="Z282" s="847"/>
      <c r="AA282" s="847"/>
      <c r="AB282" s="847"/>
      <c r="AC282" s="847"/>
      <c r="AD282" s="847"/>
      <c r="AE282" s="847"/>
      <c r="AF282" s="847"/>
      <c r="AG282" s="847"/>
    </row>
    <row r="283">
      <c r="A283" s="847"/>
      <c r="B283" s="847"/>
      <c r="C283" s="847"/>
      <c r="D283" s="847"/>
      <c r="E283" s="847"/>
      <c r="F283" s="847"/>
      <c r="G283" s="847"/>
      <c r="H283" s="847"/>
      <c r="I283" s="847"/>
      <c r="J283" s="847"/>
      <c r="K283" s="847"/>
      <c r="L283" s="847"/>
      <c r="M283" s="847"/>
      <c r="N283" s="847"/>
      <c r="O283" s="847"/>
      <c r="P283" s="847"/>
      <c r="Q283" s="847"/>
      <c r="R283" s="847"/>
      <c r="S283" s="847"/>
      <c r="T283" s="847"/>
      <c r="U283" s="847"/>
      <c r="V283" s="847"/>
      <c r="W283" s="847"/>
      <c r="X283" s="847"/>
      <c r="Y283" s="847"/>
      <c r="Z283" s="847"/>
      <c r="AA283" s="847"/>
      <c r="AB283" s="847"/>
      <c r="AC283" s="847"/>
      <c r="AD283" s="847"/>
      <c r="AE283" s="847"/>
      <c r="AF283" s="847"/>
      <c r="AG283" s="847"/>
    </row>
    <row r="284">
      <c r="A284" s="847"/>
      <c r="B284" s="847"/>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7"/>
      <c r="AD284" s="847"/>
      <c r="AE284" s="847"/>
      <c r="AF284" s="847"/>
      <c r="AG284" s="847"/>
    </row>
    <row r="285">
      <c r="A285" s="847"/>
      <c r="B285" s="847"/>
      <c r="C285" s="847"/>
      <c r="D285" s="847"/>
      <c r="E285" s="847"/>
      <c r="F285" s="847"/>
      <c r="G285" s="847"/>
      <c r="H285" s="847"/>
      <c r="I285" s="847"/>
      <c r="J285" s="847"/>
      <c r="K285" s="847"/>
      <c r="L285" s="847"/>
      <c r="M285" s="847"/>
      <c r="N285" s="847"/>
      <c r="O285" s="847"/>
      <c r="P285" s="847"/>
      <c r="Q285" s="847"/>
      <c r="R285" s="847"/>
      <c r="S285" s="847"/>
      <c r="T285" s="847"/>
      <c r="U285" s="847"/>
      <c r="V285" s="847"/>
      <c r="W285" s="847"/>
      <c r="X285" s="847"/>
      <c r="Y285" s="847"/>
      <c r="Z285" s="847"/>
      <c r="AA285" s="847"/>
      <c r="AB285" s="847"/>
      <c r="AC285" s="847"/>
      <c r="AD285" s="847"/>
      <c r="AE285" s="847"/>
      <c r="AF285" s="847"/>
      <c r="AG285" s="847"/>
    </row>
    <row r="286">
      <c r="A286" s="847"/>
      <c r="B286" s="847"/>
      <c r="C286" s="847"/>
      <c r="D286" s="847"/>
      <c r="E286" s="847"/>
      <c r="F286" s="847"/>
      <c r="G286" s="847"/>
      <c r="H286" s="847"/>
      <c r="I286" s="847"/>
      <c r="J286" s="847"/>
      <c r="K286" s="847"/>
      <c r="L286" s="847"/>
      <c r="M286" s="847"/>
      <c r="N286" s="847"/>
      <c r="O286" s="847"/>
      <c r="P286" s="847"/>
      <c r="Q286" s="847"/>
      <c r="R286" s="847"/>
      <c r="S286" s="847"/>
      <c r="T286" s="847"/>
      <c r="U286" s="847"/>
      <c r="V286" s="847"/>
      <c r="W286" s="847"/>
      <c r="X286" s="847"/>
      <c r="Y286" s="847"/>
      <c r="Z286" s="847"/>
      <c r="AA286" s="847"/>
      <c r="AB286" s="847"/>
      <c r="AC286" s="847"/>
      <c r="AD286" s="847"/>
      <c r="AE286" s="847"/>
      <c r="AF286" s="847"/>
      <c r="AG286" s="847"/>
    </row>
    <row r="287">
      <c r="A287" s="847"/>
      <c r="B287" s="847"/>
      <c r="C287" s="847"/>
      <c r="D287" s="847"/>
      <c r="E287" s="847"/>
      <c r="F287" s="847"/>
      <c r="G287" s="847"/>
      <c r="H287" s="847"/>
      <c r="I287" s="847"/>
      <c r="J287" s="847"/>
      <c r="K287" s="847"/>
      <c r="L287" s="847"/>
      <c r="M287" s="847"/>
      <c r="N287" s="847"/>
      <c r="O287" s="847"/>
      <c r="P287" s="847"/>
      <c r="Q287" s="847"/>
      <c r="R287" s="847"/>
      <c r="S287" s="847"/>
      <c r="T287" s="847"/>
      <c r="U287" s="847"/>
      <c r="V287" s="847"/>
      <c r="W287" s="847"/>
      <c r="X287" s="847"/>
      <c r="Y287" s="847"/>
      <c r="Z287" s="847"/>
      <c r="AA287" s="847"/>
      <c r="AB287" s="847"/>
      <c r="AC287" s="847"/>
      <c r="AD287" s="847"/>
      <c r="AE287" s="847"/>
      <c r="AF287" s="847"/>
      <c r="AG287" s="847"/>
    </row>
    <row r="288">
      <c r="A288" s="847"/>
      <c r="B288" s="847"/>
      <c r="C288" s="847"/>
      <c r="D288" s="847"/>
      <c r="E288" s="847"/>
      <c r="F288" s="847"/>
      <c r="G288" s="847"/>
      <c r="H288" s="847"/>
      <c r="I288" s="847"/>
      <c r="J288" s="847"/>
      <c r="K288" s="847"/>
      <c r="L288" s="847"/>
      <c r="M288" s="847"/>
      <c r="N288" s="847"/>
      <c r="O288" s="847"/>
      <c r="P288" s="847"/>
      <c r="Q288" s="847"/>
      <c r="R288" s="847"/>
      <c r="S288" s="847"/>
      <c r="T288" s="847"/>
      <c r="U288" s="847"/>
      <c r="V288" s="847"/>
      <c r="W288" s="847"/>
      <c r="X288" s="847"/>
      <c r="Y288" s="847"/>
      <c r="Z288" s="847"/>
      <c r="AA288" s="847"/>
      <c r="AB288" s="847"/>
      <c r="AC288" s="847"/>
      <c r="AD288" s="847"/>
      <c r="AE288" s="847"/>
      <c r="AF288" s="847"/>
      <c r="AG288" s="847"/>
    </row>
    <row r="289">
      <c r="A289" s="847"/>
      <c r="B289" s="847"/>
      <c r="C289" s="847"/>
      <c r="D289" s="847"/>
      <c r="E289" s="847"/>
      <c r="F289" s="847"/>
      <c r="G289" s="847"/>
      <c r="H289" s="847"/>
      <c r="I289" s="847"/>
      <c r="J289" s="847"/>
      <c r="K289" s="847"/>
      <c r="L289" s="847"/>
      <c r="M289" s="847"/>
      <c r="N289" s="847"/>
      <c r="O289" s="847"/>
      <c r="P289" s="847"/>
      <c r="Q289" s="847"/>
      <c r="R289" s="847"/>
      <c r="S289" s="847"/>
      <c r="T289" s="847"/>
      <c r="U289" s="847"/>
      <c r="V289" s="847"/>
      <c r="W289" s="847"/>
      <c r="X289" s="847"/>
      <c r="Y289" s="847"/>
      <c r="Z289" s="847"/>
      <c r="AA289" s="847"/>
      <c r="AB289" s="847"/>
      <c r="AC289" s="847"/>
      <c r="AD289" s="847"/>
      <c r="AE289" s="847"/>
      <c r="AF289" s="847"/>
      <c r="AG289" s="847"/>
    </row>
    <row r="290">
      <c r="A290" s="847"/>
      <c r="B290" s="847"/>
      <c r="C290" s="847"/>
      <c r="D290" s="847"/>
      <c r="E290" s="847"/>
      <c r="F290" s="847"/>
      <c r="G290" s="847"/>
      <c r="H290" s="847"/>
      <c r="I290" s="847"/>
      <c r="J290" s="847"/>
      <c r="K290" s="847"/>
      <c r="L290" s="847"/>
      <c r="M290" s="847"/>
      <c r="N290" s="847"/>
      <c r="O290" s="847"/>
      <c r="P290" s="847"/>
      <c r="Q290" s="847"/>
      <c r="R290" s="847"/>
      <c r="S290" s="847"/>
      <c r="T290" s="847"/>
      <c r="U290" s="847"/>
      <c r="V290" s="847"/>
      <c r="W290" s="847"/>
      <c r="X290" s="847"/>
      <c r="Y290" s="847"/>
      <c r="Z290" s="847"/>
      <c r="AA290" s="847"/>
      <c r="AB290" s="847"/>
      <c r="AC290" s="847"/>
      <c r="AD290" s="847"/>
      <c r="AE290" s="847"/>
      <c r="AF290" s="847"/>
      <c r="AG290" s="847"/>
    </row>
    <row r="291">
      <c r="A291" s="847"/>
      <c r="B291" s="847"/>
      <c r="C291" s="847"/>
      <c r="D291" s="847"/>
      <c r="E291" s="847"/>
      <c r="F291" s="847"/>
      <c r="G291" s="847"/>
      <c r="H291" s="847"/>
      <c r="I291" s="847"/>
      <c r="J291" s="847"/>
      <c r="K291" s="847"/>
      <c r="L291" s="847"/>
      <c r="M291" s="847"/>
      <c r="N291" s="847"/>
      <c r="O291" s="847"/>
      <c r="P291" s="847"/>
      <c r="Q291" s="847"/>
      <c r="R291" s="847"/>
      <c r="S291" s="847"/>
      <c r="T291" s="847"/>
      <c r="U291" s="847"/>
      <c r="V291" s="847"/>
      <c r="W291" s="847"/>
      <c r="X291" s="847"/>
      <c r="Y291" s="847"/>
      <c r="Z291" s="847"/>
      <c r="AA291" s="847"/>
      <c r="AB291" s="847"/>
      <c r="AC291" s="847"/>
      <c r="AD291" s="847"/>
      <c r="AE291" s="847"/>
      <c r="AF291" s="847"/>
      <c r="AG291" s="847"/>
    </row>
    <row r="292">
      <c r="A292" s="847"/>
      <c r="B292" s="847"/>
      <c r="C292" s="847"/>
      <c r="D292" s="847"/>
      <c r="E292" s="847"/>
      <c r="F292" s="847"/>
      <c r="G292" s="847"/>
      <c r="H292" s="847"/>
      <c r="I292" s="847"/>
      <c r="J292" s="847"/>
      <c r="K292" s="847"/>
      <c r="L292" s="847"/>
      <c r="M292" s="847"/>
      <c r="N292" s="847"/>
      <c r="O292" s="847"/>
      <c r="P292" s="847"/>
      <c r="Q292" s="847"/>
      <c r="R292" s="847"/>
      <c r="S292" s="847"/>
      <c r="T292" s="847"/>
      <c r="U292" s="847"/>
      <c r="V292" s="847"/>
      <c r="W292" s="847"/>
      <c r="X292" s="847"/>
      <c r="Y292" s="847"/>
      <c r="Z292" s="847"/>
      <c r="AA292" s="847"/>
      <c r="AB292" s="847"/>
      <c r="AC292" s="847"/>
      <c r="AD292" s="847"/>
      <c r="AE292" s="847"/>
      <c r="AF292" s="847"/>
      <c r="AG292" s="847"/>
    </row>
    <row r="293">
      <c r="A293" s="847"/>
      <c r="B293" s="847"/>
      <c r="C293" s="847"/>
      <c r="D293" s="847"/>
      <c r="E293" s="847"/>
      <c r="F293" s="847"/>
      <c r="G293" s="847"/>
      <c r="H293" s="847"/>
      <c r="I293" s="847"/>
      <c r="J293" s="847"/>
      <c r="K293" s="847"/>
      <c r="L293" s="847"/>
      <c r="M293" s="847"/>
      <c r="N293" s="847"/>
      <c r="O293" s="847"/>
      <c r="P293" s="847"/>
      <c r="Q293" s="847"/>
      <c r="R293" s="847"/>
      <c r="S293" s="847"/>
      <c r="T293" s="847"/>
      <c r="U293" s="847"/>
      <c r="V293" s="847"/>
      <c r="W293" s="847"/>
      <c r="X293" s="847"/>
      <c r="Y293" s="847"/>
      <c r="Z293" s="847"/>
      <c r="AA293" s="847"/>
      <c r="AB293" s="847"/>
      <c r="AC293" s="847"/>
      <c r="AD293" s="847"/>
      <c r="AE293" s="847"/>
      <c r="AF293" s="847"/>
      <c r="AG293" s="847"/>
    </row>
    <row r="294">
      <c r="A294" s="847"/>
      <c r="B294" s="847"/>
      <c r="C294" s="847"/>
      <c r="D294" s="847"/>
      <c r="E294" s="847"/>
      <c r="F294" s="847"/>
      <c r="G294" s="847"/>
      <c r="H294" s="847"/>
      <c r="I294" s="847"/>
      <c r="J294" s="847"/>
      <c r="K294" s="847"/>
      <c r="L294" s="847"/>
      <c r="M294" s="847"/>
      <c r="N294" s="847"/>
      <c r="O294" s="847"/>
      <c r="P294" s="847"/>
      <c r="Q294" s="847"/>
      <c r="R294" s="847"/>
      <c r="S294" s="847"/>
      <c r="T294" s="847"/>
      <c r="U294" s="847"/>
      <c r="V294" s="847"/>
      <c r="W294" s="847"/>
      <c r="X294" s="847"/>
      <c r="Y294" s="847"/>
      <c r="Z294" s="847"/>
      <c r="AA294" s="847"/>
      <c r="AB294" s="847"/>
      <c r="AC294" s="847"/>
      <c r="AD294" s="847"/>
      <c r="AE294" s="847"/>
      <c r="AF294" s="847"/>
      <c r="AG294" s="847"/>
    </row>
    <row r="295">
      <c r="A295" s="847"/>
      <c r="B295" s="847"/>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7"/>
      <c r="AD295" s="847"/>
      <c r="AE295" s="847"/>
      <c r="AF295" s="847"/>
      <c r="AG295" s="847"/>
    </row>
    <row r="296">
      <c r="A296" s="847"/>
      <c r="B296" s="847"/>
      <c r="C296" s="847"/>
      <c r="D296" s="847"/>
      <c r="E296" s="847"/>
      <c r="F296" s="847"/>
      <c r="G296" s="847"/>
      <c r="H296" s="847"/>
      <c r="I296" s="847"/>
      <c r="J296" s="847"/>
      <c r="K296" s="847"/>
      <c r="L296" s="847"/>
      <c r="M296" s="847"/>
      <c r="N296" s="847"/>
      <c r="O296" s="847"/>
      <c r="P296" s="847"/>
      <c r="Q296" s="847"/>
      <c r="R296" s="847"/>
      <c r="S296" s="847"/>
      <c r="T296" s="847"/>
      <c r="U296" s="847"/>
      <c r="V296" s="847"/>
      <c r="W296" s="847"/>
      <c r="X296" s="847"/>
      <c r="Y296" s="847"/>
      <c r="Z296" s="847"/>
      <c r="AA296" s="847"/>
      <c r="AB296" s="847"/>
      <c r="AC296" s="847"/>
      <c r="AD296" s="847"/>
      <c r="AE296" s="847"/>
      <c r="AF296" s="847"/>
      <c r="AG296" s="847"/>
    </row>
    <row r="297">
      <c r="A297" s="847"/>
      <c r="B297" s="847"/>
      <c r="C297" s="847"/>
      <c r="D297" s="847"/>
      <c r="E297" s="847"/>
      <c r="F297" s="847"/>
      <c r="G297" s="847"/>
      <c r="H297" s="847"/>
      <c r="I297" s="847"/>
      <c r="J297" s="847"/>
      <c r="K297" s="847"/>
      <c r="L297" s="847"/>
      <c r="M297" s="847"/>
      <c r="N297" s="847"/>
      <c r="O297" s="847"/>
      <c r="P297" s="847"/>
      <c r="Q297" s="847"/>
      <c r="R297" s="847"/>
      <c r="S297" s="847"/>
      <c r="T297" s="847"/>
      <c r="U297" s="847"/>
      <c r="V297" s="847"/>
      <c r="W297" s="847"/>
      <c r="X297" s="847"/>
      <c r="Y297" s="847"/>
      <c r="Z297" s="847"/>
      <c r="AA297" s="847"/>
      <c r="AB297" s="847"/>
      <c r="AC297" s="847"/>
      <c r="AD297" s="847"/>
      <c r="AE297" s="847"/>
      <c r="AF297" s="847"/>
      <c r="AG297" s="847"/>
    </row>
    <row r="298">
      <c r="A298" s="847"/>
      <c r="B298" s="847"/>
      <c r="C298" s="847"/>
      <c r="D298" s="847"/>
      <c r="E298" s="847"/>
      <c r="F298" s="847"/>
      <c r="G298" s="847"/>
      <c r="H298" s="847"/>
      <c r="I298" s="847"/>
      <c r="J298" s="847"/>
      <c r="K298" s="847"/>
      <c r="L298" s="847"/>
      <c r="M298" s="847"/>
      <c r="N298" s="847"/>
      <c r="O298" s="847"/>
      <c r="P298" s="847"/>
      <c r="Q298" s="847"/>
      <c r="R298" s="847"/>
      <c r="S298" s="847"/>
      <c r="T298" s="847"/>
      <c r="U298" s="847"/>
      <c r="V298" s="847"/>
      <c r="W298" s="847"/>
      <c r="X298" s="847"/>
      <c r="Y298" s="847"/>
      <c r="Z298" s="847"/>
      <c r="AA298" s="847"/>
      <c r="AB298" s="847"/>
      <c r="AC298" s="847"/>
      <c r="AD298" s="847"/>
      <c r="AE298" s="847"/>
      <c r="AF298" s="847"/>
      <c r="AG298" s="847"/>
    </row>
    <row r="299">
      <c r="A299" s="847"/>
      <c r="B299" s="847"/>
      <c r="C299" s="847"/>
      <c r="D299" s="847"/>
      <c r="E299" s="847"/>
      <c r="F299" s="847"/>
      <c r="G299" s="847"/>
      <c r="H299" s="847"/>
      <c r="I299" s="847"/>
      <c r="J299" s="847"/>
      <c r="K299" s="847"/>
      <c r="L299" s="847"/>
      <c r="M299" s="847"/>
      <c r="N299" s="847"/>
      <c r="O299" s="847"/>
      <c r="P299" s="847"/>
      <c r="Q299" s="847"/>
      <c r="R299" s="847"/>
      <c r="S299" s="847"/>
      <c r="T299" s="847"/>
      <c r="U299" s="847"/>
      <c r="V299" s="847"/>
      <c r="W299" s="847"/>
      <c r="X299" s="847"/>
      <c r="Y299" s="847"/>
      <c r="Z299" s="847"/>
      <c r="AA299" s="847"/>
      <c r="AB299" s="847"/>
      <c r="AC299" s="847"/>
      <c r="AD299" s="847"/>
      <c r="AE299" s="847"/>
      <c r="AF299" s="847"/>
      <c r="AG299" s="847"/>
    </row>
    <row r="300">
      <c r="A300" s="847"/>
      <c r="B300" s="847"/>
      <c r="C300" s="847"/>
      <c r="D300" s="847"/>
      <c r="E300" s="847"/>
      <c r="F300" s="847"/>
      <c r="G300" s="847"/>
      <c r="H300" s="847"/>
      <c r="I300" s="847"/>
      <c r="J300" s="847"/>
      <c r="K300" s="847"/>
      <c r="L300" s="847"/>
      <c r="M300" s="847"/>
      <c r="N300" s="847"/>
      <c r="O300" s="847"/>
      <c r="P300" s="847"/>
      <c r="Q300" s="847"/>
      <c r="R300" s="847"/>
      <c r="S300" s="847"/>
      <c r="T300" s="847"/>
      <c r="U300" s="847"/>
      <c r="V300" s="847"/>
      <c r="W300" s="847"/>
      <c r="X300" s="847"/>
      <c r="Y300" s="847"/>
      <c r="Z300" s="847"/>
      <c r="AA300" s="847"/>
      <c r="AB300" s="847"/>
      <c r="AC300" s="847"/>
      <c r="AD300" s="847"/>
      <c r="AE300" s="847"/>
      <c r="AF300" s="847"/>
      <c r="AG300" s="847"/>
    </row>
    <row r="301">
      <c r="A301" s="847"/>
      <c r="B301" s="847"/>
      <c r="C301" s="847"/>
      <c r="D301" s="847"/>
      <c r="E301" s="847"/>
      <c r="F301" s="847"/>
      <c r="G301" s="847"/>
      <c r="H301" s="847"/>
      <c r="I301" s="847"/>
      <c r="J301" s="847"/>
      <c r="K301" s="847"/>
      <c r="L301" s="847"/>
      <c r="M301" s="847"/>
      <c r="N301" s="847"/>
      <c r="O301" s="847"/>
      <c r="P301" s="847"/>
      <c r="Q301" s="847"/>
      <c r="R301" s="847"/>
      <c r="S301" s="847"/>
      <c r="T301" s="847"/>
      <c r="U301" s="847"/>
      <c r="V301" s="847"/>
      <c r="W301" s="847"/>
      <c r="X301" s="847"/>
      <c r="Y301" s="847"/>
      <c r="Z301" s="847"/>
      <c r="AA301" s="847"/>
      <c r="AB301" s="847"/>
      <c r="AC301" s="847"/>
      <c r="AD301" s="847"/>
      <c r="AE301" s="847"/>
      <c r="AF301" s="847"/>
      <c r="AG301" s="847"/>
    </row>
    <row r="302">
      <c r="A302" s="847"/>
      <c r="B302" s="847"/>
      <c r="C302" s="847"/>
      <c r="D302" s="847"/>
      <c r="E302" s="847"/>
      <c r="F302" s="847"/>
      <c r="G302" s="847"/>
      <c r="H302" s="847"/>
      <c r="I302" s="847"/>
      <c r="J302" s="847"/>
      <c r="K302" s="847"/>
      <c r="L302" s="847"/>
      <c r="M302" s="847"/>
      <c r="N302" s="847"/>
      <c r="O302" s="847"/>
      <c r="P302" s="847"/>
      <c r="Q302" s="847"/>
      <c r="R302" s="847"/>
      <c r="S302" s="847"/>
      <c r="T302" s="847"/>
      <c r="U302" s="847"/>
      <c r="V302" s="847"/>
      <c r="W302" s="847"/>
      <c r="X302" s="847"/>
      <c r="Y302" s="847"/>
      <c r="Z302" s="847"/>
      <c r="AA302" s="847"/>
      <c r="AB302" s="847"/>
      <c r="AC302" s="847"/>
      <c r="AD302" s="847"/>
      <c r="AE302" s="847"/>
      <c r="AF302" s="847"/>
      <c r="AG302" s="847"/>
    </row>
    <row r="303">
      <c r="A303" s="847"/>
      <c r="B303" s="847"/>
      <c r="C303" s="847"/>
      <c r="D303" s="847"/>
      <c r="E303" s="847"/>
      <c r="F303" s="847"/>
      <c r="G303" s="847"/>
      <c r="H303" s="847"/>
      <c r="I303" s="847"/>
      <c r="J303" s="847"/>
      <c r="K303" s="847"/>
      <c r="L303" s="847"/>
      <c r="M303" s="847"/>
      <c r="N303" s="847"/>
      <c r="O303" s="847"/>
      <c r="P303" s="847"/>
      <c r="Q303" s="847"/>
      <c r="R303" s="847"/>
      <c r="S303" s="847"/>
      <c r="T303" s="847"/>
      <c r="U303" s="847"/>
      <c r="V303" s="847"/>
      <c r="W303" s="847"/>
      <c r="X303" s="847"/>
      <c r="Y303" s="847"/>
      <c r="Z303" s="847"/>
      <c r="AA303" s="847"/>
      <c r="AB303" s="847"/>
      <c r="AC303" s="847"/>
      <c r="AD303" s="847"/>
      <c r="AE303" s="847"/>
      <c r="AF303" s="847"/>
      <c r="AG303" s="847"/>
    </row>
    <row r="304">
      <c r="A304" s="847"/>
      <c r="B304" s="847"/>
      <c r="C304" s="847"/>
      <c r="D304" s="847"/>
      <c r="E304" s="847"/>
      <c r="F304" s="847"/>
      <c r="G304" s="847"/>
      <c r="H304" s="847"/>
      <c r="I304" s="847"/>
      <c r="J304" s="847"/>
      <c r="K304" s="847"/>
      <c r="L304" s="847"/>
      <c r="M304" s="847"/>
      <c r="N304" s="847"/>
      <c r="O304" s="847"/>
      <c r="P304" s="847"/>
      <c r="Q304" s="847"/>
      <c r="R304" s="847"/>
      <c r="S304" s="847"/>
      <c r="T304" s="847"/>
      <c r="U304" s="847"/>
      <c r="V304" s="847"/>
      <c r="W304" s="847"/>
      <c r="X304" s="847"/>
      <c r="Y304" s="847"/>
      <c r="Z304" s="847"/>
      <c r="AA304" s="847"/>
      <c r="AB304" s="847"/>
      <c r="AC304" s="847"/>
      <c r="AD304" s="847"/>
      <c r="AE304" s="847"/>
      <c r="AF304" s="847"/>
      <c r="AG304" s="847"/>
    </row>
    <row r="305">
      <c r="A305" s="847"/>
      <c r="B305" s="847"/>
      <c r="C305" s="847"/>
      <c r="D305" s="847"/>
      <c r="E305" s="847"/>
      <c r="F305" s="847"/>
      <c r="G305" s="847"/>
      <c r="H305" s="847"/>
      <c r="I305" s="847"/>
      <c r="J305" s="847"/>
      <c r="K305" s="847"/>
      <c r="L305" s="847"/>
      <c r="M305" s="847"/>
      <c r="N305" s="847"/>
      <c r="O305" s="847"/>
      <c r="P305" s="847"/>
      <c r="Q305" s="847"/>
      <c r="R305" s="847"/>
      <c r="S305" s="847"/>
      <c r="T305" s="847"/>
      <c r="U305" s="847"/>
      <c r="V305" s="847"/>
      <c r="W305" s="847"/>
      <c r="X305" s="847"/>
      <c r="Y305" s="847"/>
      <c r="Z305" s="847"/>
      <c r="AA305" s="847"/>
      <c r="AB305" s="847"/>
      <c r="AC305" s="847"/>
      <c r="AD305" s="847"/>
      <c r="AE305" s="847"/>
      <c r="AF305" s="847"/>
      <c r="AG305" s="847"/>
    </row>
    <row r="306">
      <c r="A306" s="847"/>
      <c r="B306" s="847"/>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7"/>
      <c r="AD306" s="847"/>
      <c r="AE306" s="847"/>
      <c r="AF306" s="847"/>
      <c r="AG306" s="847"/>
    </row>
    <row r="307">
      <c r="A307" s="847"/>
      <c r="B307" s="847"/>
      <c r="C307" s="847"/>
      <c r="D307" s="847"/>
      <c r="E307" s="847"/>
      <c r="F307" s="847"/>
      <c r="G307" s="847"/>
      <c r="H307" s="847"/>
      <c r="I307" s="847"/>
      <c r="J307" s="847"/>
      <c r="K307" s="847"/>
      <c r="L307" s="847"/>
      <c r="M307" s="847"/>
      <c r="N307" s="847"/>
      <c r="O307" s="847"/>
      <c r="P307" s="847"/>
      <c r="Q307" s="847"/>
      <c r="R307" s="847"/>
      <c r="S307" s="847"/>
      <c r="T307" s="847"/>
      <c r="U307" s="847"/>
      <c r="V307" s="847"/>
      <c r="W307" s="847"/>
      <c r="X307" s="847"/>
      <c r="Y307" s="847"/>
      <c r="Z307" s="847"/>
      <c r="AA307" s="847"/>
      <c r="AB307" s="847"/>
      <c r="AC307" s="847"/>
      <c r="AD307" s="847"/>
      <c r="AE307" s="847"/>
      <c r="AF307" s="847"/>
      <c r="AG307" s="847"/>
    </row>
    <row r="308">
      <c r="A308" s="847"/>
      <c r="B308" s="847"/>
      <c r="C308" s="847"/>
      <c r="D308" s="847"/>
      <c r="E308" s="847"/>
      <c r="F308" s="847"/>
      <c r="G308" s="847"/>
      <c r="H308" s="847"/>
      <c r="I308" s="847"/>
      <c r="J308" s="847"/>
      <c r="K308" s="847"/>
      <c r="L308" s="847"/>
      <c r="M308" s="847"/>
      <c r="N308" s="847"/>
      <c r="O308" s="847"/>
      <c r="P308" s="847"/>
      <c r="Q308" s="847"/>
      <c r="R308" s="847"/>
      <c r="S308" s="847"/>
      <c r="T308" s="847"/>
      <c r="U308" s="847"/>
      <c r="V308" s="847"/>
      <c r="W308" s="847"/>
      <c r="X308" s="847"/>
      <c r="Y308" s="847"/>
      <c r="Z308" s="847"/>
      <c r="AA308" s="847"/>
      <c r="AB308" s="847"/>
      <c r="AC308" s="847"/>
      <c r="AD308" s="847"/>
      <c r="AE308" s="847"/>
      <c r="AF308" s="847"/>
      <c r="AG308" s="847"/>
    </row>
    <row r="309">
      <c r="A309" s="847"/>
      <c r="B309" s="847"/>
      <c r="C309" s="847"/>
      <c r="D309" s="847"/>
      <c r="E309" s="847"/>
      <c r="F309" s="847"/>
      <c r="G309" s="847"/>
      <c r="H309" s="847"/>
      <c r="I309" s="847"/>
      <c r="J309" s="847"/>
      <c r="K309" s="847"/>
      <c r="L309" s="847"/>
      <c r="M309" s="847"/>
      <c r="N309" s="847"/>
      <c r="O309" s="847"/>
      <c r="P309" s="847"/>
      <c r="Q309" s="847"/>
      <c r="R309" s="847"/>
      <c r="S309" s="847"/>
      <c r="T309" s="847"/>
      <c r="U309" s="847"/>
      <c r="V309" s="847"/>
      <c r="W309" s="847"/>
      <c r="X309" s="847"/>
      <c r="Y309" s="847"/>
      <c r="Z309" s="847"/>
      <c r="AA309" s="847"/>
      <c r="AB309" s="847"/>
      <c r="AC309" s="847"/>
      <c r="AD309" s="847"/>
      <c r="AE309" s="847"/>
      <c r="AF309" s="847"/>
      <c r="AG309" s="847"/>
    </row>
    <row r="310">
      <c r="A310" s="847"/>
      <c r="B310" s="847"/>
      <c r="C310" s="847"/>
      <c r="D310" s="847"/>
      <c r="E310" s="847"/>
      <c r="F310" s="847"/>
      <c r="G310" s="847"/>
      <c r="H310" s="847"/>
      <c r="I310" s="847"/>
      <c r="J310" s="847"/>
      <c r="K310" s="847"/>
      <c r="L310" s="847"/>
      <c r="M310" s="847"/>
      <c r="N310" s="847"/>
      <c r="O310" s="847"/>
      <c r="P310" s="847"/>
      <c r="Q310" s="847"/>
      <c r="R310" s="847"/>
      <c r="S310" s="847"/>
      <c r="T310" s="847"/>
      <c r="U310" s="847"/>
      <c r="V310" s="847"/>
      <c r="W310" s="847"/>
      <c r="X310" s="847"/>
      <c r="Y310" s="847"/>
      <c r="Z310" s="847"/>
      <c r="AA310" s="847"/>
      <c r="AB310" s="847"/>
      <c r="AC310" s="847"/>
      <c r="AD310" s="847"/>
      <c r="AE310" s="847"/>
      <c r="AF310" s="847"/>
      <c r="AG310" s="847"/>
    </row>
    <row r="311">
      <c r="A311" s="847"/>
      <c r="B311" s="847"/>
      <c r="C311" s="847"/>
      <c r="D311" s="847"/>
      <c r="E311" s="847"/>
      <c r="F311" s="847"/>
      <c r="G311" s="847"/>
      <c r="H311" s="847"/>
      <c r="I311" s="847"/>
      <c r="J311" s="847"/>
      <c r="K311" s="847"/>
      <c r="L311" s="847"/>
      <c r="M311" s="847"/>
      <c r="N311" s="847"/>
      <c r="O311" s="847"/>
      <c r="P311" s="847"/>
      <c r="Q311" s="847"/>
      <c r="R311" s="847"/>
      <c r="S311" s="847"/>
      <c r="T311" s="847"/>
      <c r="U311" s="847"/>
      <c r="V311" s="847"/>
      <c r="W311" s="847"/>
      <c r="X311" s="847"/>
      <c r="Y311" s="847"/>
      <c r="Z311" s="847"/>
      <c r="AA311" s="847"/>
      <c r="AB311" s="847"/>
      <c r="AC311" s="847"/>
      <c r="AD311" s="847"/>
      <c r="AE311" s="847"/>
      <c r="AF311" s="847"/>
      <c r="AG311" s="847"/>
    </row>
    <row r="312">
      <c r="A312" s="847"/>
      <c r="B312" s="847"/>
      <c r="C312" s="847"/>
      <c r="D312" s="847"/>
      <c r="E312" s="847"/>
      <c r="F312" s="847"/>
      <c r="G312" s="847"/>
      <c r="H312" s="847"/>
      <c r="I312" s="847"/>
      <c r="J312" s="847"/>
      <c r="K312" s="847"/>
      <c r="L312" s="847"/>
      <c r="M312" s="847"/>
      <c r="N312" s="847"/>
      <c r="O312" s="847"/>
      <c r="P312" s="847"/>
      <c r="Q312" s="847"/>
      <c r="R312" s="847"/>
      <c r="S312" s="847"/>
      <c r="T312" s="847"/>
      <c r="U312" s="847"/>
      <c r="V312" s="847"/>
      <c r="W312" s="847"/>
      <c r="X312" s="847"/>
      <c r="Y312" s="847"/>
      <c r="Z312" s="847"/>
      <c r="AA312" s="847"/>
      <c r="AB312" s="847"/>
      <c r="AC312" s="847"/>
      <c r="AD312" s="847"/>
      <c r="AE312" s="847"/>
      <c r="AF312" s="847"/>
      <c r="AG312" s="847"/>
    </row>
    <row r="313">
      <c r="A313" s="847"/>
      <c r="B313" s="847"/>
      <c r="C313" s="847"/>
      <c r="D313" s="847"/>
      <c r="E313" s="847"/>
      <c r="F313" s="847"/>
      <c r="G313" s="847"/>
      <c r="H313" s="847"/>
      <c r="I313" s="847"/>
      <c r="J313" s="847"/>
      <c r="K313" s="847"/>
      <c r="L313" s="847"/>
      <c r="M313" s="847"/>
      <c r="N313" s="847"/>
      <c r="O313" s="847"/>
      <c r="P313" s="847"/>
      <c r="Q313" s="847"/>
      <c r="R313" s="847"/>
      <c r="S313" s="847"/>
      <c r="T313" s="847"/>
      <c r="U313" s="847"/>
      <c r="V313" s="847"/>
      <c r="W313" s="847"/>
      <c r="X313" s="847"/>
      <c r="Y313" s="847"/>
      <c r="Z313" s="847"/>
      <c r="AA313" s="847"/>
      <c r="AB313" s="847"/>
      <c r="AC313" s="847"/>
      <c r="AD313" s="847"/>
      <c r="AE313" s="847"/>
      <c r="AF313" s="847"/>
      <c r="AG313" s="847"/>
    </row>
    <row r="314">
      <c r="A314" s="847"/>
      <c r="B314" s="847"/>
      <c r="C314" s="847"/>
      <c r="D314" s="847"/>
      <c r="E314" s="847"/>
      <c r="F314" s="847"/>
      <c r="G314" s="847"/>
      <c r="H314" s="847"/>
      <c r="I314" s="847"/>
      <c r="J314" s="847"/>
      <c r="K314" s="847"/>
      <c r="L314" s="847"/>
      <c r="M314" s="847"/>
      <c r="N314" s="847"/>
      <c r="O314" s="847"/>
      <c r="P314" s="847"/>
      <c r="Q314" s="847"/>
      <c r="R314" s="847"/>
      <c r="S314" s="847"/>
      <c r="T314" s="847"/>
      <c r="U314" s="847"/>
      <c r="V314" s="847"/>
      <c r="W314" s="847"/>
      <c r="X314" s="847"/>
      <c r="Y314" s="847"/>
      <c r="Z314" s="847"/>
      <c r="AA314" s="847"/>
      <c r="AB314" s="847"/>
      <c r="AC314" s="847"/>
      <c r="AD314" s="847"/>
      <c r="AE314" s="847"/>
      <c r="AF314" s="847"/>
      <c r="AG314" s="847"/>
    </row>
    <row r="315">
      <c r="A315" s="847"/>
      <c r="B315" s="847"/>
      <c r="C315" s="847"/>
      <c r="D315" s="847"/>
      <c r="E315" s="847"/>
      <c r="F315" s="847"/>
      <c r="G315" s="847"/>
      <c r="H315" s="847"/>
      <c r="I315" s="847"/>
      <c r="J315" s="847"/>
      <c r="K315" s="847"/>
      <c r="L315" s="847"/>
      <c r="M315" s="847"/>
      <c r="N315" s="847"/>
      <c r="O315" s="847"/>
      <c r="P315" s="847"/>
      <c r="Q315" s="847"/>
      <c r="R315" s="847"/>
      <c r="S315" s="847"/>
      <c r="T315" s="847"/>
      <c r="U315" s="847"/>
      <c r="V315" s="847"/>
      <c r="W315" s="847"/>
      <c r="X315" s="847"/>
      <c r="Y315" s="847"/>
      <c r="Z315" s="847"/>
      <c r="AA315" s="847"/>
      <c r="AB315" s="847"/>
      <c r="AC315" s="847"/>
      <c r="AD315" s="847"/>
      <c r="AE315" s="847"/>
      <c r="AF315" s="847"/>
      <c r="AG315" s="847"/>
    </row>
    <row r="316">
      <c r="A316" s="847"/>
      <c r="B316" s="847"/>
      <c r="C316" s="847"/>
      <c r="D316" s="847"/>
      <c r="E316" s="847"/>
      <c r="F316" s="847"/>
      <c r="G316" s="847"/>
      <c r="H316" s="847"/>
      <c r="I316" s="847"/>
      <c r="J316" s="847"/>
      <c r="K316" s="847"/>
      <c r="L316" s="847"/>
      <c r="M316" s="847"/>
      <c r="N316" s="847"/>
      <c r="O316" s="847"/>
      <c r="P316" s="847"/>
      <c r="Q316" s="847"/>
      <c r="R316" s="847"/>
      <c r="S316" s="847"/>
      <c r="T316" s="847"/>
      <c r="U316" s="847"/>
      <c r="V316" s="847"/>
      <c r="W316" s="847"/>
      <c r="X316" s="847"/>
      <c r="Y316" s="847"/>
      <c r="Z316" s="847"/>
      <c r="AA316" s="847"/>
      <c r="AB316" s="847"/>
      <c r="AC316" s="847"/>
      <c r="AD316" s="847"/>
      <c r="AE316" s="847"/>
      <c r="AF316" s="847"/>
      <c r="AG316" s="847"/>
    </row>
    <row r="317">
      <c r="A317" s="847"/>
      <c r="B317" s="847"/>
      <c r="C317" s="847"/>
      <c r="D317" s="847"/>
      <c r="E317" s="847"/>
      <c r="F317" s="847"/>
      <c r="G317" s="847"/>
      <c r="H317" s="847"/>
      <c r="I317" s="847"/>
      <c r="J317" s="847"/>
      <c r="K317" s="847"/>
      <c r="L317" s="847"/>
      <c r="M317" s="847"/>
      <c r="N317" s="847"/>
      <c r="O317" s="847"/>
      <c r="P317" s="847"/>
      <c r="Q317" s="847"/>
      <c r="R317" s="847"/>
      <c r="S317" s="847"/>
      <c r="T317" s="847"/>
      <c r="U317" s="847"/>
      <c r="V317" s="847"/>
      <c r="W317" s="847"/>
      <c r="X317" s="847"/>
      <c r="Y317" s="847"/>
      <c r="Z317" s="847"/>
      <c r="AA317" s="847"/>
      <c r="AB317" s="847"/>
      <c r="AC317" s="847"/>
      <c r="AD317" s="847"/>
      <c r="AE317" s="847"/>
      <c r="AF317" s="847"/>
      <c r="AG317" s="847"/>
    </row>
    <row r="318">
      <c r="A318" s="847"/>
      <c r="B318" s="847"/>
      <c r="C318" s="847"/>
      <c r="D318" s="847"/>
      <c r="E318" s="847"/>
      <c r="F318" s="847"/>
      <c r="G318" s="847"/>
      <c r="H318" s="847"/>
      <c r="I318" s="847"/>
      <c r="J318" s="847"/>
      <c r="K318" s="847"/>
      <c r="L318" s="847"/>
      <c r="M318" s="847"/>
      <c r="N318" s="847"/>
      <c r="O318" s="847"/>
      <c r="P318" s="847"/>
      <c r="Q318" s="847"/>
      <c r="R318" s="847"/>
      <c r="S318" s="847"/>
      <c r="T318" s="847"/>
      <c r="U318" s="847"/>
      <c r="V318" s="847"/>
      <c r="W318" s="847"/>
      <c r="X318" s="847"/>
      <c r="Y318" s="847"/>
      <c r="Z318" s="847"/>
      <c r="AA318" s="847"/>
      <c r="AB318" s="847"/>
      <c r="AC318" s="847"/>
      <c r="AD318" s="847"/>
      <c r="AE318" s="847"/>
      <c r="AF318" s="847"/>
      <c r="AG318" s="847"/>
    </row>
    <row r="319">
      <c r="A319" s="847"/>
      <c r="B319" s="847"/>
      <c r="C319" s="847"/>
      <c r="D319" s="847"/>
      <c r="E319" s="847"/>
      <c r="F319" s="847"/>
      <c r="G319" s="847"/>
      <c r="H319" s="847"/>
      <c r="I319" s="847"/>
      <c r="J319" s="847"/>
      <c r="K319" s="847"/>
      <c r="L319" s="847"/>
      <c r="M319" s="847"/>
      <c r="N319" s="847"/>
      <c r="O319" s="847"/>
      <c r="P319" s="847"/>
      <c r="Q319" s="847"/>
      <c r="R319" s="847"/>
      <c r="S319" s="847"/>
      <c r="T319" s="847"/>
      <c r="U319" s="847"/>
      <c r="V319" s="847"/>
      <c r="W319" s="847"/>
      <c r="X319" s="847"/>
      <c r="Y319" s="847"/>
      <c r="Z319" s="847"/>
      <c r="AA319" s="847"/>
      <c r="AB319" s="847"/>
      <c r="AC319" s="847"/>
      <c r="AD319" s="847"/>
      <c r="AE319" s="847"/>
      <c r="AF319" s="847"/>
      <c r="AG319" s="847"/>
    </row>
    <row r="320">
      <c r="A320" s="847"/>
      <c r="B320" s="847"/>
      <c r="C320" s="847"/>
      <c r="D320" s="847"/>
      <c r="E320" s="847"/>
      <c r="F320" s="847"/>
      <c r="G320" s="847"/>
      <c r="H320" s="847"/>
      <c r="I320" s="847"/>
      <c r="J320" s="847"/>
      <c r="K320" s="847"/>
      <c r="L320" s="847"/>
      <c r="M320" s="847"/>
      <c r="N320" s="847"/>
      <c r="O320" s="847"/>
      <c r="P320" s="847"/>
      <c r="Q320" s="847"/>
      <c r="R320" s="847"/>
      <c r="S320" s="847"/>
      <c r="T320" s="847"/>
      <c r="U320" s="847"/>
      <c r="V320" s="847"/>
      <c r="W320" s="847"/>
      <c r="X320" s="847"/>
      <c r="Y320" s="847"/>
      <c r="Z320" s="847"/>
      <c r="AA320" s="847"/>
      <c r="AB320" s="847"/>
      <c r="AC320" s="847"/>
      <c r="AD320" s="847"/>
      <c r="AE320" s="847"/>
      <c r="AF320" s="847"/>
      <c r="AG320" s="847"/>
    </row>
    <row r="321">
      <c r="A321" s="847"/>
      <c r="B321" s="847"/>
      <c r="C321" s="847"/>
      <c r="D321" s="847"/>
      <c r="E321" s="847"/>
      <c r="F321" s="847"/>
      <c r="G321" s="847"/>
      <c r="H321" s="847"/>
      <c r="I321" s="847"/>
      <c r="J321" s="847"/>
      <c r="K321" s="847"/>
      <c r="L321" s="847"/>
      <c r="M321" s="847"/>
      <c r="N321" s="847"/>
      <c r="O321" s="847"/>
      <c r="P321" s="847"/>
      <c r="Q321" s="847"/>
      <c r="R321" s="847"/>
      <c r="S321" s="847"/>
      <c r="T321" s="847"/>
      <c r="U321" s="847"/>
      <c r="V321" s="847"/>
      <c r="W321" s="847"/>
      <c r="X321" s="847"/>
      <c r="Y321" s="847"/>
      <c r="Z321" s="847"/>
      <c r="AA321" s="847"/>
      <c r="AB321" s="847"/>
      <c r="AC321" s="847"/>
      <c r="AD321" s="847"/>
      <c r="AE321" s="847"/>
      <c r="AF321" s="847"/>
      <c r="AG321" s="847"/>
    </row>
    <row r="322">
      <c r="A322" s="847"/>
      <c r="B322" s="847"/>
      <c r="C322" s="847"/>
      <c r="D322" s="847"/>
      <c r="E322" s="847"/>
      <c r="F322" s="847"/>
      <c r="G322" s="847"/>
      <c r="H322" s="847"/>
      <c r="I322" s="847"/>
      <c r="J322" s="847"/>
      <c r="K322" s="847"/>
      <c r="L322" s="847"/>
      <c r="M322" s="847"/>
      <c r="N322" s="847"/>
      <c r="O322" s="847"/>
      <c r="P322" s="847"/>
      <c r="Q322" s="847"/>
      <c r="R322" s="847"/>
      <c r="S322" s="847"/>
      <c r="T322" s="847"/>
      <c r="U322" s="847"/>
      <c r="V322" s="847"/>
      <c r="W322" s="847"/>
      <c r="X322" s="847"/>
      <c r="Y322" s="847"/>
      <c r="Z322" s="847"/>
      <c r="AA322" s="847"/>
      <c r="AB322" s="847"/>
      <c r="AC322" s="847"/>
      <c r="AD322" s="847"/>
      <c r="AE322" s="847"/>
      <c r="AF322" s="847"/>
      <c r="AG322" s="847"/>
    </row>
    <row r="323">
      <c r="A323" s="847"/>
      <c r="B323" s="847"/>
      <c r="C323" s="847"/>
      <c r="D323" s="847"/>
      <c r="E323" s="847"/>
      <c r="F323" s="847"/>
      <c r="G323" s="847"/>
      <c r="H323" s="847"/>
      <c r="I323" s="847"/>
      <c r="J323" s="847"/>
      <c r="K323" s="847"/>
      <c r="L323" s="847"/>
      <c r="M323" s="847"/>
      <c r="N323" s="847"/>
      <c r="O323" s="847"/>
      <c r="P323" s="847"/>
      <c r="Q323" s="847"/>
      <c r="R323" s="847"/>
      <c r="S323" s="847"/>
      <c r="T323" s="847"/>
      <c r="U323" s="847"/>
      <c r="V323" s="847"/>
      <c r="W323" s="847"/>
      <c r="X323" s="847"/>
      <c r="Y323" s="847"/>
      <c r="Z323" s="847"/>
      <c r="AA323" s="847"/>
      <c r="AB323" s="847"/>
      <c r="AC323" s="847"/>
      <c r="AD323" s="847"/>
      <c r="AE323" s="847"/>
      <c r="AF323" s="847"/>
      <c r="AG323" s="847"/>
    </row>
    <row r="324">
      <c r="A324" s="847"/>
      <c r="B324" s="847"/>
      <c r="C324" s="847"/>
      <c r="D324" s="847"/>
      <c r="E324" s="847"/>
      <c r="F324" s="847"/>
      <c r="G324" s="847"/>
      <c r="H324" s="847"/>
      <c r="I324" s="847"/>
      <c r="J324" s="847"/>
      <c r="K324" s="847"/>
      <c r="L324" s="847"/>
      <c r="M324" s="847"/>
      <c r="N324" s="847"/>
      <c r="O324" s="847"/>
      <c r="P324" s="847"/>
      <c r="Q324" s="847"/>
      <c r="R324" s="847"/>
      <c r="S324" s="847"/>
      <c r="T324" s="847"/>
      <c r="U324" s="847"/>
      <c r="V324" s="847"/>
      <c r="W324" s="847"/>
      <c r="X324" s="847"/>
      <c r="Y324" s="847"/>
      <c r="Z324" s="847"/>
      <c r="AA324" s="847"/>
      <c r="AB324" s="847"/>
      <c r="AC324" s="847"/>
      <c r="AD324" s="847"/>
      <c r="AE324" s="847"/>
      <c r="AF324" s="847"/>
      <c r="AG324" s="847"/>
    </row>
    <row r="325">
      <c r="A325" s="847"/>
      <c r="B325" s="847"/>
      <c r="C325" s="847"/>
      <c r="D325" s="847"/>
      <c r="E325" s="847"/>
      <c r="F325" s="847"/>
      <c r="G325" s="847"/>
      <c r="H325" s="847"/>
      <c r="I325" s="847"/>
      <c r="J325" s="847"/>
      <c r="K325" s="847"/>
      <c r="L325" s="847"/>
      <c r="M325" s="847"/>
      <c r="N325" s="847"/>
      <c r="O325" s="847"/>
      <c r="P325" s="847"/>
      <c r="Q325" s="847"/>
      <c r="R325" s="847"/>
      <c r="S325" s="847"/>
      <c r="T325" s="847"/>
      <c r="U325" s="847"/>
      <c r="V325" s="847"/>
      <c r="W325" s="847"/>
      <c r="X325" s="847"/>
      <c r="Y325" s="847"/>
      <c r="Z325" s="847"/>
      <c r="AA325" s="847"/>
      <c r="AB325" s="847"/>
      <c r="AC325" s="847"/>
      <c r="AD325" s="847"/>
      <c r="AE325" s="847"/>
      <c r="AF325" s="847"/>
      <c r="AG325" s="847"/>
    </row>
    <row r="326">
      <c r="A326" s="847"/>
      <c r="B326" s="847"/>
      <c r="C326" s="847"/>
      <c r="D326" s="847"/>
      <c r="E326" s="847"/>
      <c r="F326" s="847"/>
      <c r="G326" s="847"/>
      <c r="H326" s="847"/>
      <c r="I326" s="847"/>
      <c r="J326" s="847"/>
      <c r="K326" s="847"/>
      <c r="L326" s="847"/>
      <c r="M326" s="847"/>
      <c r="N326" s="847"/>
      <c r="O326" s="847"/>
      <c r="P326" s="847"/>
      <c r="Q326" s="847"/>
      <c r="R326" s="847"/>
      <c r="S326" s="847"/>
      <c r="T326" s="847"/>
      <c r="U326" s="847"/>
      <c r="V326" s="847"/>
      <c r="W326" s="847"/>
      <c r="X326" s="847"/>
      <c r="Y326" s="847"/>
      <c r="Z326" s="847"/>
      <c r="AA326" s="847"/>
      <c r="AB326" s="847"/>
      <c r="AC326" s="847"/>
      <c r="AD326" s="847"/>
      <c r="AE326" s="847"/>
      <c r="AF326" s="847"/>
      <c r="AG326" s="847"/>
    </row>
    <row r="327">
      <c r="A327" s="847"/>
      <c r="B327" s="847"/>
      <c r="C327" s="847"/>
      <c r="D327" s="847"/>
      <c r="E327" s="847"/>
      <c r="F327" s="847"/>
      <c r="G327" s="847"/>
      <c r="H327" s="847"/>
      <c r="I327" s="847"/>
      <c r="J327" s="847"/>
      <c r="K327" s="847"/>
      <c r="L327" s="847"/>
      <c r="M327" s="847"/>
      <c r="N327" s="847"/>
      <c r="O327" s="847"/>
      <c r="P327" s="847"/>
      <c r="Q327" s="847"/>
      <c r="R327" s="847"/>
      <c r="S327" s="847"/>
      <c r="T327" s="847"/>
      <c r="U327" s="847"/>
      <c r="V327" s="847"/>
      <c r="W327" s="847"/>
      <c r="X327" s="847"/>
      <c r="Y327" s="847"/>
      <c r="Z327" s="847"/>
      <c r="AA327" s="847"/>
      <c r="AB327" s="847"/>
      <c r="AC327" s="847"/>
      <c r="AD327" s="847"/>
      <c r="AE327" s="847"/>
      <c r="AF327" s="847"/>
      <c r="AG327" s="847"/>
    </row>
    <row r="328">
      <c r="A328" s="847"/>
      <c r="B328" s="847"/>
      <c r="C328" s="847"/>
      <c r="D328" s="847"/>
      <c r="E328" s="847"/>
      <c r="F328" s="847"/>
      <c r="G328" s="847"/>
      <c r="H328" s="847"/>
      <c r="I328" s="847"/>
      <c r="J328" s="847"/>
      <c r="K328" s="847"/>
      <c r="L328" s="847"/>
      <c r="M328" s="847"/>
      <c r="N328" s="847"/>
      <c r="O328" s="847"/>
      <c r="P328" s="847"/>
      <c r="Q328" s="847"/>
      <c r="R328" s="847"/>
      <c r="S328" s="847"/>
      <c r="T328" s="847"/>
      <c r="U328" s="847"/>
      <c r="V328" s="847"/>
      <c r="W328" s="847"/>
      <c r="X328" s="847"/>
      <c r="Y328" s="847"/>
      <c r="Z328" s="847"/>
      <c r="AA328" s="847"/>
      <c r="AB328" s="847"/>
      <c r="AC328" s="847"/>
      <c r="AD328" s="847"/>
      <c r="AE328" s="847"/>
      <c r="AF328" s="847"/>
      <c r="AG328" s="847"/>
    </row>
    <row r="329">
      <c r="A329" s="847"/>
      <c r="B329" s="847"/>
      <c r="C329" s="847"/>
      <c r="D329" s="847"/>
      <c r="E329" s="847"/>
      <c r="F329" s="847"/>
      <c r="G329" s="847"/>
      <c r="H329" s="847"/>
      <c r="I329" s="847"/>
      <c r="J329" s="847"/>
      <c r="K329" s="847"/>
      <c r="L329" s="847"/>
      <c r="M329" s="847"/>
      <c r="N329" s="847"/>
      <c r="O329" s="847"/>
      <c r="P329" s="847"/>
      <c r="Q329" s="847"/>
      <c r="R329" s="847"/>
      <c r="S329" s="847"/>
      <c r="T329" s="847"/>
      <c r="U329" s="847"/>
      <c r="V329" s="847"/>
      <c r="W329" s="847"/>
      <c r="X329" s="847"/>
      <c r="Y329" s="847"/>
      <c r="Z329" s="847"/>
      <c r="AA329" s="847"/>
      <c r="AB329" s="847"/>
      <c r="AC329" s="847"/>
      <c r="AD329" s="847"/>
      <c r="AE329" s="847"/>
      <c r="AF329" s="847"/>
      <c r="AG329" s="847"/>
    </row>
    <row r="330">
      <c r="A330" s="847"/>
      <c r="B330" s="847"/>
      <c r="C330" s="847"/>
      <c r="D330" s="847"/>
      <c r="E330" s="847"/>
      <c r="F330" s="847"/>
      <c r="G330" s="847"/>
      <c r="H330" s="847"/>
      <c r="I330" s="847"/>
      <c r="J330" s="847"/>
      <c r="K330" s="847"/>
      <c r="L330" s="847"/>
      <c r="M330" s="847"/>
      <c r="N330" s="847"/>
      <c r="O330" s="847"/>
      <c r="P330" s="847"/>
      <c r="Q330" s="847"/>
      <c r="R330" s="847"/>
      <c r="S330" s="847"/>
      <c r="T330" s="847"/>
      <c r="U330" s="847"/>
      <c r="V330" s="847"/>
      <c r="W330" s="847"/>
      <c r="X330" s="847"/>
      <c r="Y330" s="847"/>
      <c r="Z330" s="847"/>
      <c r="AA330" s="847"/>
      <c r="AB330" s="847"/>
      <c r="AC330" s="847"/>
      <c r="AD330" s="847"/>
      <c r="AE330" s="847"/>
      <c r="AF330" s="847"/>
      <c r="AG330" s="847"/>
    </row>
    <row r="331">
      <c r="A331" s="847"/>
      <c r="B331" s="847"/>
      <c r="C331" s="847"/>
      <c r="D331" s="847"/>
      <c r="E331" s="847"/>
      <c r="F331" s="847"/>
      <c r="G331" s="847"/>
      <c r="H331" s="847"/>
      <c r="I331" s="847"/>
      <c r="J331" s="847"/>
      <c r="K331" s="847"/>
      <c r="L331" s="847"/>
      <c r="M331" s="847"/>
      <c r="N331" s="847"/>
      <c r="O331" s="847"/>
      <c r="P331" s="847"/>
      <c r="Q331" s="847"/>
      <c r="R331" s="847"/>
      <c r="S331" s="847"/>
      <c r="T331" s="847"/>
      <c r="U331" s="847"/>
      <c r="V331" s="847"/>
      <c r="W331" s="847"/>
      <c r="X331" s="847"/>
      <c r="Y331" s="847"/>
      <c r="Z331" s="847"/>
      <c r="AA331" s="847"/>
      <c r="AB331" s="847"/>
      <c r="AC331" s="847"/>
      <c r="AD331" s="847"/>
      <c r="AE331" s="847"/>
      <c r="AF331" s="847"/>
      <c r="AG331" s="847"/>
    </row>
    <row r="332">
      <c r="A332" s="847"/>
      <c r="B332" s="847"/>
      <c r="C332" s="847"/>
      <c r="D332" s="847"/>
      <c r="E332" s="847"/>
      <c r="F332" s="847"/>
      <c r="G332" s="847"/>
      <c r="H332" s="847"/>
      <c r="I332" s="847"/>
      <c r="J332" s="847"/>
      <c r="K332" s="847"/>
      <c r="L332" s="847"/>
      <c r="M332" s="847"/>
      <c r="N332" s="847"/>
      <c r="O332" s="847"/>
      <c r="P332" s="847"/>
      <c r="Q332" s="847"/>
      <c r="R332" s="847"/>
      <c r="S332" s="847"/>
      <c r="T332" s="847"/>
      <c r="U332" s="847"/>
      <c r="V332" s="847"/>
      <c r="W332" s="847"/>
      <c r="X332" s="847"/>
      <c r="Y332" s="847"/>
      <c r="Z332" s="847"/>
      <c r="AA332" s="847"/>
      <c r="AB332" s="847"/>
      <c r="AC332" s="847"/>
      <c r="AD332" s="847"/>
      <c r="AE332" s="847"/>
      <c r="AF332" s="847"/>
      <c r="AG332" s="847"/>
    </row>
    <row r="333">
      <c r="A333" s="847"/>
      <c r="B333" s="847"/>
      <c r="C333" s="847"/>
      <c r="D333" s="847"/>
      <c r="E333" s="847"/>
      <c r="F333" s="847"/>
      <c r="G333" s="847"/>
      <c r="H333" s="847"/>
      <c r="I333" s="847"/>
      <c r="J333" s="847"/>
      <c r="K333" s="847"/>
      <c r="L333" s="847"/>
      <c r="M333" s="847"/>
      <c r="N333" s="847"/>
      <c r="O333" s="847"/>
      <c r="P333" s="847"/>
      <c r="Q333" s="847"/>
      <c r="R333" s="847"/>
      <c r="S333" s="847"/>
      <c r="T333" s="847"/>
      <c r="U333" s="847"/>
      <c r="V333" s="847"/>
      <c r="W333" s="847"/>
      <c r="X333" s="847"/>
      <c r="Y333" s="847"/>
      <c r="Z333" s="847"/>
      <c r="AA333" s="847"/>
      <c r="AB333" s="847"/>
      <c r="AC333" s="847"/>
      <c r="AD333" s="847"/>
      <c r="AE333" s="847"/>
      <c r="AF333" s="847"/>
      <c r="AG333" s="847"/>
    </row>
    <row r="334">
      <c r="A334" s="847"/>
      <c r="B334" s="847"/>
      <c r="C334" s="847"/>
      <c r="D334" s="847"/>
      <c r="E334" s="847"/>
      <c r="F334" s="847"/>
      <c r="G334" s="847"/>
      <c r="H334" s="847"/>
      <c r="I334" s="847"/>
      <c r="J334" s="847"/>
      <c r="K334" s="847"/>
      <c r="L334" s="847"/>
      <c r="M334" s="847"/>
      <c r="N334" s="847"/>
      <c r="O334" s="847"/>
      <c r="P334" s="847"/>
      <c r="Q334" s="847"/>
      <c r="R334" s="847"/>
      <c r="S334" s="847"/>
      <c r="T334" s="847"/>
      <c r="U334" s="847"/>
      <c r="V334" s="847"/>
      <c r="W334" s="847"/>
      <c r="X334" s="847"/>
      <c r="Y334" s="847"/>
      <c r="Z334" s="847"/>
      <c r="AA334" s="847"/>
      <c r="AB334" s="847"/>
      <c r="AC334" s="847"/>
      <c r="AD334" s="847"/>
      <c r="AE334" s="847"/>
      <c r="AF334" s="847"/>
      <c r="AG334" s="847"/>
    </row>
    <row r="335">
      <c r="A335" s="847"/>
      <c r="B335" s="847"/>
      <c r="C335" s="847"/>
      <c r="D335" s="847"/>
      <c r="E335" s="847"/>
      <c r="F335" s="847"/>
      <c r="G335" s="847"/>
      <c r="H335" s="847"/>
      <c r="I335" s="847"/>
      <c r="J335" s="847"/>
      <c r="K335" s="847"/>
      <c r="L335" s="847"/>
      <c r="M335" s="847"/>
      <c r="N335" s="847"/>
      <c r="O335" s="847"/>
      <c r="P335" s="847"/>
      <c r="Q335" s="847"/>
      <c r="R335" s="847"/>
      <c r="S335" s="847"/>
      <c r="T335" s="847"/>
      <c r="U335" s="847"/>
      <c r="V335" s="847"/>
      <c r="W335" s="847"/>
      <c r="X335" s="847"/>
      <c r="Y335" s="847"/>
      <c r="Z335" s="847"/>
      <c r="AA335" s="847"/>
      <c r="AB335" s="847"/>
      <c r="AC335" s="847"/>
      <c r="AD335" s="847"/>
      <c r="AE335" s="847"/>
      <c r="AF335" s="847"/>
      <c r="AG335" s="847"/>
    </row>
    <row r="336">
      <c r="A336" s="847"/>
      <c r="B336" s="847"/>
      <c r="C336" s="847"/>
      <c r="D336" s="847"/>
      <c r="E336" s="847"/>
      <c r="F336" s="847"/>
      <c r="G336" s="847"/>
      <c r="H336" s="847"/>
      <c r="I336" s="847"/>
      <c r="J336" s="847"/>
      <c r="K336" s="847"/>
      <c r="L336" s="847"/>
      <c r="M336" s="847"/>
      <c r="N336" s="847"/>
      <c r="O336" s="847"/>
      <c r="P336" s="847"/>
      <c r="Q336" s="847"/>
      <c r="R336" s="847"/>
      <c r="S336" s="847"/>
      <c r="T336" s="847"/>
      <c r="U336" s="847"/>
      <c r="V336" s="847"/>
      <c r="W336" s="847"/>
      <c r="X336" s="847"/>
      <c r="Y336" s="847"/>
      <c r="Z336" s="847"/>
      <c r="AA336" s="847"/>
      <c r="AB336" s="847"/>
      <c r="AC336" s="847"/>
      <c r="AD336" s="847"/>
      <c r="AE336" s="847"/>
      <c r="AF336" s="847"/>
      <c r="AG336" s="847"/>
    </row>
    <row r="337">
      <c r="A337" s="847"/>
      <c r="B337" s="847"/>
      <c r="C337" s="847"/>
      <c r="D337" s="847"/>
      <c r="E337" s="847"/>
      <c r="F337" s="847"/>
      <c r="G337" s="847"/>
      <c r="H337" s="847"/>
      <c r="I337" s="847"/>
      <c r="J337" s="847"/>
      <c r="K337" s="847"/>
      <c r="L337" s="847"/>
      <c r="M337" s="847"/>
      <c r="N337" s="847"/>
      <c r="O337" s="847"/>
      <c r="P337" s="847"/>
      <c r="Q337" s="847"/>
      <c r="R337" s="847"/>
      <c r="S337" s="847"/>
      <c r="T337" s="847"/>
      <c r="U337" s="847"/>
      <c r="V337" s="847"/>
      <c r="W337" s="847"/>
      <c r="X337" s="847"/>
      <c r="Y337" s="847"/>
      <c r="Z337" s="847"/>
      <c r="AA337" s="847"/>
      <c r="AB337" s="847"/>
      <c r="AC337" s="847"/>
      <c r="AD337" s="847"/>
      <c r="AE337" s="847"/>
      <c r="AF337" s="847"/>
      <c r="AG337" s="847"/>
    </row>
    <row r="338">
      <c r="A338" s="847"/>
      <c r="B338" s="847"/>
      <c r="C338" s="847"/>
      <c r="D338" s="847"/>
      <c r="E338" s="847"/>
      <c r="F338" s="847"/>
      <c r="G338" s="847"/>
      <c r="H338" s="847"/>
      <c r="I338" s="847"/>
      <c r="J338" s="847"/>
      <c r="K338" s="847"/>
      <c r="L338" s="847"/>
      <c r="M338" s="847"/>
      <c r="N338" s="847"/>
      <c r="O338" s="847"/>
      <c r="P338" s="847"/>
      <c r="Q338" s="847"/>
      <c r="R338" s="847"/>
      <c r="S338" s="847"/>
      <c r="T338" s="847"/>
      <c r="U338" s="847"/>
      <c r="V338" s="847"/>
      <c r="W338" s="847"/>
      <c r="X338" s="847"/>
      <c r="Y338" s="847"/>
      <c r="Z338" s="847"/>
      <c r="AA338" s="847"/>
      <c r="AB338" s="847"/>
      <c r="AC338" s="847"/>
      <c r="AD338" s="847"/>
      <c r="AE338" s="847"/>
      <c r="AF338" s="847"/>
      <c r="AG338" s="847"/>
    </row>
    <row r="339">
      <c r="A339" s="847"/>
      <c r="B339" s="847"/>
      <c r="C339" s="847"/>
      <c r="D339" s="847"/>
      <c r="E339" s="847"/>
      <c r="F339" s="847"/>
      <c r="G339" s="847"/>
      <c r="H339" s="847"/>
      <c r="I339" s="847"/>
      <c r="J339" s="847"/>
      <c r="K339" s="847"/>
      <c r="L339" s="847"/>
      <c r="M339" s="847"/>
      <c r="N339" s="847"/>
      <c r="O339" s="847"/>
      <c r="P339" s="847"/>
      <c r="Q339" s="847"/>
      <c r="R339" s="847"/>
      <c r="S339" s="847"/>
      <c r="T339" s="847"/>
      <c r="U339" s="847"/>
      <c r="V339" s="847"/>
      <c r="W339" s="847"/>
      <c r="X339" s="847"/>
      <c r="Y339" s="847"/>
      <c r="Z339" s="847"/>
      <c r="AA339" s="847"/>
      <c r="AB339" s="847"/>
      <c r="AC339" s="847"/>
      <c r="AD339" s="847"/>
      <c r="AE339" s="847"/>
      <c r="AF339" s="847"/>
      <c r="AG339" s="847"/>
    </row>
    <row r="340">
      <c r="A340" s="847"/>
      <c r="B340" s="847"/>
      <c r="C340" s="847"/>
      <c r="D340" s="847"/>
      <c r="E340" s="847"/>
      <c r="F340" s="847"/>
      <c r="G340" s="847"/>
      <c r="H340" s="847"/>
      <c r="I340" s="847"/>
      <c r="J340" s="847"/>
      <c r="K340" s="847"/>
      <c r="L340" s="847"/>
      <c r="M340" s="847"/>
      <c r="N340" s="847"/>
      <c r="O340" s="847"/>
      <c r="P340" s="847"/>
      <c r="Q340" s="847"/>
      <c r="R340" s="847"/>
      <c r="S340" s="847"/>
      <c r="T340" s="847"/>
      <c r="U340" s="847"/>
      <c r="V340" s="847"/>
      <c r="W340" s="847"/>
      <c r="X340" s="847"/>
      <c r="Y340" s="847"/>
      <c r="Z340" s="847"/>
      <c r="AA340" s="847"/>
      <c r="AB340" s="847"/>
      <c r="AC340" s="847"/>
      <c r="AD340" s="847"/>
      <c r="AE340" s="847"/>
      <c r="AF340" s="847"/>
      <c r="AG340" s="847"/>
    </row>
    <row r="341">
      <c r="A341" s="847"/>
      <c r="B341" s="847"/>
      <c r="C341" s="847"/>
      <c r="D341" s="847"/>
      <c r="E341" s="847"/>
      <c r="F341" s="847"/>
      <c r="G341" s="847"/>
      <c r="H341" s="847"/>
      <c r="I341" s="847"/>
      <c r="J341" s="847"/>
      <c r="K341" s="847"/>
      <c r="L341" s="847"/>
      <c r="M341" s="847"/>
      <c r="N341" s="847"/>
      <c r="O341" s="847"/>
      <c r="P341" s="847"/>
      <c r="Q341" s="847"/>
      <c r="R341" s="847"/>
      <c r="S341" s="847"/>
      <c r="T341" s="847"/>
      <c r="U341" s="847"/>
      <c r="V341" s="847"/>
      <c r="W341" s="847"/>
      <c r="X341" s="847"/>
      <c r="Y341" s="847"/>
      <c r="Z341" s="847"/>
      <c r="AA341" s="847"/>
      <c r="AB341" s="847"/>
      <c r="AC341" s="847"/>
      <c r="AD341" s="847"/>
      <c r="AE341" s="847"/>
      <c r="AF341" s="847"/>
      <c r="AG341" s="847"/>
    </row>
    <row r="342">
      <c r="A342" s="847"/>
      <c r="B342" s="847"/>
      <c r="C342" s="847"/>
      <c r="D342" s="847"/>
      <c r="E342" s="847"/>
      <c r="F342" s="847"/>
      <c r="G342" s="847"/>
      <c r="H342" s="847"/>
      <c r="I342" s="847"/>
      <c r="J342" s="847"/>
      <c r="K342" s="847"/>
      <c r="L342" s="847"/>
      <c r="M342" s="847"/>
      <c r="N342" s="847"/>
      <c r="O342" s="847"/>
      <c r="P342" s="847"/>
      <c r="Q342" s="847"/>
      <c r="R342" s="847"/>
      <c r="S342" s="847"/>
      <c r="T342" s="847"/>
      <c r="U342" s="847"/>
      <c r="V342" s="847"/>
      <c r="W342" s="847"/>
      <c r="X342" s="847"/>
      <c r="Y342" s="847"/>
      <c r="Z342" s="847"/>
      <c r="AA342" s="847"/>
      <c r="AB342" s="847"/>
      <c r="AC342" s="847"/>
      <c r="AD342" s="847"/>
      <c r="AE342" s="847"/>
      <c r="AF342" s="847"/>
      <c r="AG342" s="847"/>
    </row>
    <row r="343">
      <c r="A343" s="847"/>
      <c r="B343" s="847"/>
      <c r="C343" s="847"/>
      <c r="D343" s="847"/>
      <c r="E343" s="847"/>
      <c r="F343" s="847"/>
      <c r="G343" s="847"/>
      <c r="H343" s="847"/>
      <c r="I343" s="847"/>
      <c r="J343" s="847"/>
      <c r="K343" s="847"/>
      <c r="L343" s="847"/>
      <c r="M343" s="847"/>
      <c r="N343" s="847"/>
      <c r="O343" s="847"/>
      <c r="P343" s="847"/>
      <c r="Q343" s="847"/>
      <c r="R343" s="847"/>
      <c r="S343" s="847"/>
      <c r="T343" s="847"/>
      <c r="U343" s="847"/>
      <c r="V343" s="847"/>
      <c r="W343" s="847"/>
      <c r="X343" s="847"/>
      <c r="Y343" s="847"/>
      <c r="Z343" s="847"/>
      <c r="AA343" s="847"/>
      <c r="AB343" s="847"/>
      <c r="AC343" s="847"/>
      <c r="AD343" s="847"/>
      <c r="AE343" s="847"/>
      <c r="AF343" s="847"/>
      <c r="AG343" s="847"/>
    </row>
    <row r="344">
      <c r="A344" s="847"/>
      <c r="B344" s="847"/>
      <c r="C344" s="847"/>
      <c r="D344" s="847"/>
      <c r="E344" s="847"/>
      <c r="F344" s="847"/>
      <c r="G344" s="847"/>
      <c r="H344" s="847"/>
      <c r="I344" s="847"/>
      <c r="J344" s="847"/>
      <c r="K344" s="847"/>
      <c r="L344" s="847"/>
      <c r="M344" s="847"/>
      <c r="N344" s="847"/>
      <c r="O344" s="847"/>
      <c r="P344" s="847"/>
      <c r="Q344" s="847"/>
      <c r="R344" s="847"/>
      <c r="S344" s="847"/>
      <c r="T344" s="847"/>
      <c r="U344" s="847"/>
      <c r="V344" s="847"/>
      <c r="W344" s="847"/>
      <c r="X344" s="847"/>
      <c r="Y344" s="847"/>
      <c r="Z344" s="847"/>
      <c r="AA344" s="847"/>
      <c r="AB344" s="847"/>
      <c r="AC344" s="847"/>
      <c r="AD344" s="847"/>
      <c r="AE344" s="847"/>
      <c r="AF344" s="847"/>
      <c r="AG344" s="847"/>
    </row>
    <row r="345">
      <c r="A345" s="847"/>
      <c r="B345" s="847"/>
      <c r="C345" s="847"/>
      <c r="D345" s="847"/>
      <c r="E345" s="847"/>
      <c r="F345" s="847"/>
      <c r="G345" s="847"/>
      <c r="H345" s="847"/>
      <c r="I345" s="847"/>
      <c r="J345" s="847"/>
      <c r="K345" s="847"/>
      <c r="L345" s="847"/>
      <c r="M345" s="847"/>
      <c r="N345" s="847"/>
      <c r="O345" s="847"/>
      <c r="P345" s="847"/>
      <c r="Q345" s="847"/>
      <c r="R345" s="847"/>
      <c r="S345" s="847"/>
      <c r="T345" s="847"/>
      <c r="U345" s="847"/>
      <c r="V345" s="847"/>
      <c r="W345" s="847"/>
      <c r="X345" s="847"/>
      <c r="Y345" s="847"/>
      <c r="Z345" s="847"/>
      <c r="AA345" s="847"/>
      <c r="AB345" s="847"/>
      <c r="AC345" s="847"/>
      <c r="AD345" s="847"/>
      <c r="AE345" s="847"/>
      <c r="AF345" s="847"/>
      <c r="AG345" s="847"/>
    </row>
    <row r="346">
      <c r="A346" s="847"/>
      <c r="B346" s="847"/>
      <c r="C346" s="847"/>
      <c r="D346" s="847"/>
      <c r="E346" s="847"/>
      <c r="F346" s="847"/>
      <c r="G346" s="847"/>
      <c r="H346" s="847"/>
      <c r="I346" s="847"/>
      <c r="J346" s="847"/>
      <c r="K346" s="847"/>
      <c r="L346" s="847"/>
      <c r="M346" s="847"/>
      <c r="N346" s="847"/>
      <c r="O346" s="847"/>
      <c r="P346" s="847"/>
      <c r="Q346" s="847"/>
      <c r="R346" s="847"/>
      <c r="S346" s="847"/>
      <c r="T346" s="847"/>
      <c r="U346" s="847"/>
      <c r="V346" s="847"/>
      <c r="W346" s="847"/>
      <c r="X346" s="847"/>
      <c r="Y346" s="847"/>
      <c r="Z346" s="847"/>
      <c r="AA346" s="847"/>
      <c r="AB346" s="847"/>
      <c r="AC346" s="847"/>
      <c r="AD346" s="847"/>
      <c r="AE346" s="847"/>
      <c r="AF346" s="847"/>
      <c r="AG346" s="847"/>
    </row>
    <row r="347">
      <c r="A347" s="847"/>
      <c r="B347" s="847"/>
      <c r="C347" s="847"/>
      <c r="D347" s="847"/>
      <c r="E347" s="847"/>
      <c r="F347" s="847"/>
      <c r="G347" s="847"/>
      <c r="H347" s="847"/>
      <c r="I347" s="847"/>
      <c r="J347" s="847"/>
      <c r="K347" s="847"/>
      <c r="L347" s="847"/>
      <c r="M347" s="847"/>
      <c r="N347" s="847"/>
      <c r="O347" s="847"/>
      <c r="P347" s="847"/>
      <c r="Q347" s="847"/>
      <c r="R347" s="847"/>
      <c r="S347" s="847"/>
      <c r="T347" s="847"/>
      <c r="U347" s="847"/>
      <c r="V347" s="847"/>
      <c r="W347" s="847"/>
      <c r="X347" s="847"/>
      <c r="Y347" s="847"/>
      <c r="Z347" s="847"/>
      <c r="AA347" s="847"/>
      <c r="AB347" s="847"/>
      <c r="AC347" s="847"/>
      <c r="AD347" s="847"/>
      <c r="AE347" s="847"/>
      <c r="AF347" s="847"/>
      <c r="AG347" s="847"/>
    </row>
    <row r="348">
      <c r="A348" s="847"/>
      <c r="B348" s="847"/>
      <c r="C348" s="847"/>
      <c r="D348" s="847"/>
      <c r="E348" s="847"/>
      <c r="F348" s="847"/>
      <c r="G348" s="847"/>
      <c r="H348" s="847"/>
      <c r="I348" s="847"/>
      <c r="J348" s="847"/>
      <c r="K348" s="847"/>
      <c r="L348" s="847"/>
      <c r="M348" s="847"/>
      <c r="N348" s="847"/>
      <c r="O348" s="847"/>
      <c r="P348" s="847"/>
      <c r="Q348" s="847"/>
      <c r="R348" s="847"/>
      <c r="S348" s="847"/>
      <c r="T348" s="847"/>
      <c r="U348" s="847"/>
      <c r="V348" s="847"/>
      <c r="W348" s="847"/>
      <c r="X348" s="847"/>
      <c r="Y348" s="847"/>
      <c r="Z348" s="847"/>
      <c r="AA348" s="847"/>
      <c r="AB348" s="847"/>
      <c r="AC348" s="847"/>
      <c r="AD348" s="847"/>
      <c r="AE348" s="847"/>
      <c r="AF348" s="847"/>
      <c r="AG348" s="847"/>
    </row>
    <row r="349">
      <c r="A349" s="847"/>
      <c r="B349" s="847"/>
      <c r="C349" s="847"/>
      <c r="D349" s="847"/>
      <c r="E349" s="847"/>
      <c r="F349" s="847"/>
      <c r="G349" s="847"/>
      <c r="H349" s="847"/>
      <c r="I349" s="847"/>
      <c r="J349" s="847"/>
      <c r="K349" s="847"/>
      <c r="L349" s="847"/>
      <c r="M349" s="847"/>
      <c r="N349" s="847"/>
      <c r="O349" s="847"/>
      <c r="P349" s="847"/>
      <c r="Q349" s="847"/>
      <c r="R349" s="847"/>
      <c r="S349" s="847"/>
      <c r="T349" s="847"/>
      <c r="U349" s="847"/>
      <c r="V349" s="847"/>
      <c r="W349" s="847"/>
      <c r="X349" s="847"/>
      <c r="Y349" s="847"/>
      <c r="Z349" s="847"/>
      <c r="AA349" s="847"/>
      <c r="AB349" s="847"/>
      <c r="AC349" s="847"/>
      <c r="AD349" s="847"/>
      <c r="AE349" s="847"/>
      <c r="AF349" s="847"/>
      <c r="AG349" s="847"/>
    </row>
    <row r="350">
      <c r="A350" s="847"/>
      <c r="B350" s="847"/>
      <c r="C350" s="847"/>
      <c r="D350" s="847"/>
      <c r="E350" s="847"/>
      <c r="F350" s="847"/>
      <c r="G350" s="847"/>
      <c r="H350" s="847"/>
      <c r="I350" s="847"/>
      <c r="J350" s="847"/>
      <c r="K350" s="847"/>
      <c r="L350" s="847"/>
      <c r="M350" s="847"/>
      <c r="N350" s="847"/>
      <c r="O350" s="847"/>
      <c r="P350" s="847"/>
      <c r="Q350" s="847"/>
      <c r="R350" s="847"/>
      <c r="S350" s="847"/>
      <c r="T350" s="847"/>
      <c r="U350" s="847"/>
      <c r="V350" s="847"/>
      <c r="W350" s="847"/>
      <c r="X350" s="847"/>
      <c r="Y350" s="847"/>
      <c r="Z350" s="847"/>
      <c r="AA350" s="847"/>
      <c r="AB350" s="847"/>
      <c r="AC350" s="847"/>
      <c r="AD350" s="847"/>
      <c r="AE350" s="847"/>
      <c r="AF350" s="847"/>
      <c r="AG350" s="847"/>
    </row>
    <row r="351">
      <c r="A351" s="847"/>
      <c r="B351" s="847"/>
      <c r="C351" s="847"/>
      <c r="D351" s="847"/>
      <c r="E351" s="847"/>
      <c r="F351" s="847"/>
      <c r="G351" s="847"/>
      <c r="H351" s="847"/>
      <c r="I351" s="847"/>
      <c r="J351" s="847"/>
      <c r="K351" s="847"/>
      <c r="L351" s="847"/>
      <c r="M351" s="847"/>
      <c r="N351" s="847"/>
      <c r="O351" s="847"/>
      <c r="P351" s="847"/>
      <c r="Q351" s="847"/>
      <c r="R351" s="847"/>
      <c r="S351" s="847"/>
      <c r="T351" s="847"/>
      <c r="U351" s="847"/>
      <c r="V351" s="847"/>
      <c r="W351" s="847"/>
      <c r="X351" s="847"/>
      <c r="Y351" s="847"/>
      <c r="Z351" s="847"/>
      <c r="AA351" s="847"/>
      <c r="AB351" s="847"/>
      <c r="AC351" s="847"/>
      <c r="AD351" s="847"/>
      <c r="AE351" s="847"/>
      <c r="AF351" s="847"/>
      <c r="AG351" s="847"/>
    </row>
    <row r="352">
      <c r="A352" s="847"/>
      <c r="B352" s="847"/>
      <c r="C352" s="847"/>
      <c r="D352" s="847"/>
      <c r="E352" s="847"/>
      <c r="F352" s="847"/>
      <c r="G352" s="847"/>
      <c r="H352" s="847"/>
      <c r="I352" s="847"/>
      <c r="J352" s="847"/>
      <c r="K352" s="847"/>
      <c r="L352" s="847"/>
      <c r="M352" s="847"/>
      <c r="N352" s="847"/>
      <c r="O352" s="847"/>
      <c r="P352" s="847"/>
      <c r="Q352" s="847"/>
      <c r="R352" s="847"/>
      <c r="S352" s="847"/>
      <c r="T352" s="847"/>
      <c r="U352" s="847"/>
      <c r="V352" s="847"/>
      <c r="W352" s="847"/>
      <c r="X352" s="847"/>
      <c r="Y352" s="847"/>
      <c r="Z352" s="847"/>
      <c r="AA352" s="847"/>
      <c r="AB352" s="847"/>
      <c r="AC352" s="847"/>
      <c r="AD352" s="847"/>
      <c r="AE352" s="847"/>
      <c r="AF352" s="847"/>
      <c r="AG352" s="847"/>
    </row>
    <row r="353">
      <c r="A353" s="847"/>
      <c r="B353" s="847"/>
      <c r="C353" s="847"/>
      <c r="D353" s="847"/>
      <c r="E353" s="847"/>
      <c r="F353" s="847"/>
      <c r="G353" s="847"/>
      <c r="H353" s="847"/>
      <c r="I353" s="847"/>
      <c r="J353" s="847"/>
      <c r="K353" s="847"/>
      <c r="L353" s="847"/>
      <c r="M353" s="847"/>
      <c r="N353" s="847"/>
      <c r="O353" s="847"/>
      <c r="P353" s="847"/>
      <c r="Q353" s="847"/>
      <c r="R353" s="847"/>
      <c r="S353" s="847"/>
      <c r="T353" s="847"/>
      <c r="U353" s="847"/>
      <c r="V353" s="847"/>
      <c r="W353" s="847"/>
      <c r="X353" s="847"/>
      <c r="Y353" s="847"/>
      <c r="Z353" s="847"/>
      <c r="AA353" s="847"/>
      <c r="AB353" s="847"/>
      <c r="AC353" s="847"/>
      <c r="AD353" s="847"/>
      <c r="AE353" s="847"/>
      <c r="AF353" s="847"/>
      <c r="AG353" s="847"/>
    </row>
    <row r="354">
      <c r="A354" s="847"/>
      <c r="B354" s="847"/>
      <c r="C354" s="847"/>
      <c r="D354" s="847"/>
      <c r="E354" s="847"/>
      <c r="F354" s="847"/>
      <c r="G354" s="847"/>
      <c r="H354" s="847"/>
      <c r="I354" s="847"/>
      <c r="J354" s="847"/>
      <c r="K354" s="847"/>
      <c r="L354" s="847"/>
      <c r="M354" s="847"/>
      <c r="N354" s="847"/>
      <c r="O354" s="847"/>
      <c r="P354" s="847"/>
      <c r="Q354" s="847"/>
      <c r="R354" s="847"/>
      <c r="S354" s="847"/>
      <c r="T354" s="847"/>
      <c r="U354" s="847"/>
      <c r="V354" s="847"/>
      <c r="W354" s="847"/>
      <c r="X354" s="847"/>
      <c r="Y354" s="847"/>
      <c r="Z354" s="847"/>
      <c r="AA354" s="847"/>
      <c r="AB354" s="847"/>
      <c r="AC354" s="847"/>
      <c r="AD354" s="847"/>
      <c r="AE354" s="847"/>
      <c r="AF354" s="847"/>
      <c r="AG354" s="847"/>
    </row>
    <row r="355">
      <c r="A355" s="847"/>
      <c r="B355" s="847"/>
      <c r="C355" s="847"/>
      <c r="D355" s="847"/>
      <c r="E355" s="847"/>
      <c r="F355" s="847"/>
      <c r="G355" s="847"/>
      <c r="H355" s="847"/>
      <c r="I355" s="847"/>
      <c r="J355" s="847"/>
      <c r="K355" s="847"/>
      <c r="L355" s="847"/>
      <c r="M355" s="847"/>
      <c r="N355" s="847"/>
      <c r="O355" s="847"/>
      <c r="P355" s="847"/>
      <c r="Q355" s="847"/>
      <c r="R355" s="847"/>
      <c r="S355" s="847"/>
      <c r="T355" s="847"/>
      <c r="U355" s="847"/>
      <c r="V355" s="847"/>
      <c r="W355" s="847"/>
      <c r="X355" s="847"/>
      <c r="Y355" s="847"/>
      <c r="Z355" s="847"/>
      <c r="AA355" s="847"/>
      <c r="AB355" s="847"/>
      <c r="AC355" s="847"/>
      <c r="AD355" s="847"/>
      <c r="AE355" s="847"/>
      <c r="AF355" s="847"/>
      <c r="AG355" s="847"/>
    </row>
    <row r="356">
      <c r="A356" s="847"/>
      <c r="B356" s="847"/>
      <c r="C356" s="847"/>
      <c r="D356" s="847"/>
      <c r="E356" s="847"/>
      <c r="F356" s="847"/>
      <c r="G356" s="847"/>
      <c r="H356" s="847"/>
      <c r="I356" s="847"/>
      <c r="J356" s="847"/>
      <c r="K356" s="847"/>
      <c r="L356" s="847"/>
      <c r="M356" s="847"/>
      <c r="N356" s="847"/>
      <c r="O356" s="847"/>
      <c r="P356" s="847"/>
      <c r="Q356" s="847"/>
      <c r="R356" s="847"/>
      <c r="S356" s="847"/>
      <c r="T356" s="847"/>
      <c r="U356" s="847"/>
      <c r="V356" s="847"/>
      <c r="W356" s="847"/>
      <c r="X356" s="847"/>
      <c r="Y356" s="847"/>
      <c r="Z356" s="847"/>
      <c r="AA356" s="847"/>
      <c r="AB356" s="847"/>
      <c r="AC356" s="847"/>
      <c r="AD356" s="847"/>
      <c r="AE356" s="847"/>
      <c r="AF356" s="847"/>
      <c r="AG356" s="847"/>
    </row>
    <row r="357">
      <c r="A357" s="847"/>
      <c r="B357" s="847"/>
      <c r="C357" s="847"/>
      <c r="D357" s="847"/>
      <c r="E357" s="847"/>
      <c r="F357" s="847"/>
      <c r="G357" s="847"/>
      <c r="H357" s="847"/>
      <c r="I357" s="847"/>
      <c r="J357" s="847"/>
      <c r="K357" s="847"/>
      <c r="L357" s="847"/>
      <c r="M357" s="847"/>
      <c r="N357" s="847"/>
      <c r="O357" s="847"/>
      <c r="P357" s="847"/>
      <c r="Q357" s="847"/>
      <c r="R357" s="847"/>
      <c r="S357" s="847"/>
      <c r="T357" s="847"/>
      <c r="U357" s="847"/>
      <c r="V357" s="847"/>
      <c r="W357" s="847"/>
      <c r="X357" s="847"/>
      <c r="Y357" s="847"/>
      <c r="Z357" s="847"/>
      <c r="AA357" s="847"/>
      <c r="AB357" s="847"/>
      <c r="AC357" s="847"/>
      <c r="AD357" s="847"/>
      <c r="AE357" s="847"/>
      <c r="AF357" s="847"/>
      <c r="AG357" s="847"/>
    </row>
    <row r="358">
      <c r="A358" s="847"/>
      <c r="B358" s="847"/>
      <c r="C358" s="847"/>
      <c r="D358" s="847"/>
      <c r="E358" s="847"/>
      <c r="F358" s="847"/>
      <c r="G358" s="847"/>
      <c r="H358" s="847"/>
      <c r="I358" s="847"/>
      <c r="J358" s="847"/>
      <c r="K358" s="847"/>
      <c r="L358" s="847"/>
      <c r="M358" s="847"/>
      <c r="N358" s="847"/>
      <c r="O358" s="847"/>
      <c r="P358" s="847"/>
      <c r="Q358" s="847"/>
      <c r="R358" s="847"/>
      <c r="S358" s="847"/>
      <c r="T358" s="847"/>
      <c r="U358" s="847"/>
      <c r="V358" s="847"/>
      <c r="W358" s="847"/>
      <c r="X358" s="847"/>
      <c r="Y358" s="847"/>
      <c r="Z358" s="847"/>
      <c r="AA358" s="847"/>
      <c r="AB358" s="847"/>
      <c r="AC358" s="847"/>
      <c r="AD358" s="847"/>
      <c r="AE358" s="847"/>
      <c r="AF358" s="847"/>
      <c r="AG358" s="847"/>
    </row>
    <row r="359">
      <c r="A359" s="847"/>
      <c r="B359" s="847"/>
      <c r="C359" s="847"/>
      <c r="D359" s="847"/>
      <c r="E359" s="847"/>
      <c r="F359" s="847"/>
      <c r="G359" s="847"/>
      <c r="H359" s="847"/>
      <c r="I359" s="847"/>
      <c r="J359" s="847"/>
      <c r="K359" s="847"/>
      <c r="L359" s="847"/>
      <c r="M359" s="847"/>
      <c r="N359" s="847"/>
      <c r="O359" s="847"/>
      <c r="P359" s="847"/>
      <c r="Q359" s="847"/>
      <c r="R359" s="847"/>
      <c r="S359" s="847"/>
      <c r="T359" s="847"/>
      <c r="U359" s="847"/>
      <c r="V359" s="847"/>
      <c r="W359" s="847"/>
      <c r="X359" s="847"/>
      <c r="Y359" s="847"/>
      <c r="Z359" s="847"/>
      <c r="AA359" s="847"/>
      <c r="AB359" s="847"/>
      <c r="AC359" s="847"/>
      <c r="AD359" s="847"/>
      <c r="AE359" s="847"/>
      <c r="AF359" s="847"/>
      <c r="AG359" s="847"/>
    </row>
    <row r="360">
      <c r="A360" s="847"/>
      <c r="B360" s="847"/>
      <c r="C360" s="847"/>
      <c r="D360" s="847"/>
      <c r="E360" s="847"/>
      <c r="F360" s="847"/>
      <c r="G360" s="847"/>
      <c r="H360" s="847"/>
      <c r="I360" s="847"/>
      <c r="J360" s="847"/>
      <c r="K360" s="847"/>
      <c r="L360" s="847"/>
      <c r="M360" s="847"/>
      <c r="N360" s="847"/>
      <c r="O360" s="847"/>
      <c r="P360" s="847"/>
      <c r="Q360" s="847"/>
      <c r="R360" s="847"/>
      <c r="S360" s="847"/>
      <c r="T360" s="847"/>
      <c r="U360" s="847"/>
      <c r="V360" s="847"/>
      <c r="W360" s="847"/>
      <c r="X360" s="847"/>
      <c r="Y360" s="847"/>
      <c r="Z360" s="847"/>
      <c r="AA360" s="847"/>
      <c r="AB360" s="847"/>
      <c r="AC360" s="847"/>
      <c r="AD360" s="847"/>
      <c r="AE360" s="847"/>
      <c r="AF360" s="847"/>
      <c r="AG360" s="847"/>
    </row>
    <row r="361">
      <c r="A361" s="847"/>
      <c r="B361" s="847"/>
      <c r="C361" s="847"/>
      <c r="D361" s="847"/>
      <c r="E361" s="847"/>
      <c r="F361" s="847"/>
      <c r="G361" s="847"/>
      <c r="H361" s="847"/>
      <c r="I361" s="847"/>
      <c r="J361" s="847"/>
      <c r="K361" s="847"/>
      <c r="L361" s="847"/>
      <c r="M361" s="847"/>
      <c r="N361" s="847"/>
      <c r="O361" s="847"/>
      <c r="P361" s="847"/>
      <c r="Q361" s="847"/>
      <c r="R361" s="847"/>
      <c r="S361" s="847"/>
      <c r="T361" s="847"/>
      <c r="U361" s="847"/>
      <c r="V361" s="847"/>
      <c r="W361" s="847"/>
      <c r="X361" s="847"/>
      <c r="Y361" s="847"/>
      <c r="Z361" s="847"/>
      <c r="AA361" s="847"/>
      <c r="AB361" s="847"/>
      <c r="AC361" s="847"/>
      <c r="AD361" s="847"/>
      <c r="AE361" s="847"/>
      <c r="AF361" s="847"/>
      <c r="AG361" s="847"/>
    </row>
    <row r="362">
      <c r="A362" s="847"/>
      <c r="B362" s="847"/>
      <c r="C362" s="847"/>
      <c r="D362" s="847"/>
      <c r="E362" s="847"/>
      <c r="F362" s="847"/>
      <c r="G362" s="847"/>
      <c r="H362" s="847"/>
      <c r="I362" s="847"/>
      <c r="J362" s="847"/>
      <c r="K362" s="847"/>
      <c r="L362" s="847"/>
      <c r="M362" s="847"/>
      <c r="N362" s="847"/>
      <c r="O362" s="847"/>
      <c r="P362" s="847"/>
      <c r="Q362" s="847"/>
      <c r="R362" s="847"/>
      <c r="S362" s="847"/>
      <c r="T362" s="847"/>
      <c r="U362" s="847"/>
      <c r="V362" s="847"/>
      <c r="W362" s="847"/>
      <c r="X362" s="847"/>
      <c r="Y362" s="847"/>
      <c r="Z362" s="847"/>
      <c r="AA362" s="847"/>
      <c r="AB362" s="847"/>
      <c r="AC362" s="847"/>
      <c r="AD362" s="847"/>
      <c r="AE362" s="847"/>
      <c r="AF362" s="847"/>
      <c r="AG362" s="847"/>
    </row>
    <row r="363">
      <c r="A363" s="847"/>
      <c r="B363" s="847"/>
      <c r="C363" s="847"/>
      <c r="D363" s="847"/>
      <c r="E363" s="847"/>
      <c r="F363" s="847"/>
      <c r="G363" s="847"/>
      <c r="H363" s="847"/>
      <c r="I363" s="847"/>
      <c r="J363" s="847"/>
      <c r="K363" s="847"/>
      <c r="L363" s="847"/>
      <c r="M363" s="847"/>
      <c r="N363" s="847"/>
      <c r="O363" s="847"/>
      <c r="P363" s="847"/>
      <c r="Q363" s="847"/>
      <c r="R363" s="847"/>
      <c r="S363" s="847"/>
      <c r="T363" s="847"/>
      <c r="U363" s="847"/>
      <c r="V363" s="847"/>
      <c r="W363" s="847"/>
      <c r="X363" s="847"/>
      <c r="Y363" s="847"/>
      <c r="Z363" s="847"/>
      <c r="AA363" s="847"/>
      <c r="AB363" s="847"/>
      <c r="AC363" s="847"/>
      <c r="AD363" s="847"/>
      <c r="AE363" s="847"/>
      <c r="AF363" s="847"/>
      <c r="AG363" s="847"/>
    </row>
    <row r="364">
      <c r="A364" s="847"/>
      <c r="B364" s="847"/>
      <c r="C364" s="847"/>
      <c r="D364" s="847"/>
      <c r="E364" s="847"/>
      <c r="F364" s="847"/>
      <c r="G364" s="847"/>
      <c r="H364" s="847"/>
      <c r="I364" s="847"/>
      <c r="J364" s="847"/>
      <c r="K364" s="847"/>
      <c r="L364" s="847"/>
      <c r="M364" s="847"/>
      <c r="N364" s="847"/>
      <c r="O364" s="847"/>
      <c r="P364" s="847"/>
      <c r="Q364" s="847"/>
      <c r="R364" s="847"/>
      <c r="S364" s="847"/>
      <c r="T364" s="847"/>
      <c r="U364" s="847"/>
      <c r="V364" s="847"/>
      <c r="W364" s="847"/>
      <c r="X364" s="847"/>
      <c r="Y364" s="847"/>
      <c r="Z364" s="847"/>
      <c r="AA364" s="847"/>
      <c r="AB364" s="847"/>
      <c r="AC364" s="847"/>
      <c r="AD364" s="847"/>
      <c r="AE364" s="847"/>
      <c r="AF364" s="847"/>
      <c r="AG364" s="847"/>
    </row>
    <row r="365">
      <c r="A365" s="847"/>
      <c r="B365" s="847"/>
      <c r="C365" s="847"/>
      <c r="D365" s="847"/>
      <c r="E365" s="847"/>
      <c r="F365" s="847"/>
      <c r="G365" s="847"/>
      <c r="H365" s="847"/>
      <c r="I365" s="847"/>
      <c r="J365" s="847"/>
      <c r="K365" s="847"/>
      <c r="L365" s="847"/>
      <c r="M365" s="847"/>
      <c r="N365" s="847"/>
      <c r="O365" s="847"/>
      <c r="P365" s="847"/>
      <c r="Q365" s="847"/>
      <c r="R365" s="847"/>
      <c r="S365" s="847"/>
      <c r="T365" s="847"/>
      <c r="U365" s="847"/>
      <c r="V365" s="847"/>
      <c r="W365" s="847"/>
      <c r="X365" s="847"/>
      <c r="Y365" s="847"/>
      <c r="Z365" s="847"/>
      <c r="AA365" s="847"/>
      <c r="AB365" s="847"/>
      <c r="AC365" s="847"/>
      <c r="AD365" s="847"/>
      <c r="AE365" s="847"/>
      <c r="AF365" s="847"/>
      <c r="AG365" s="847"/>
    </row>
    <row r="366">
      <c r="A366" s="847"/>
      <c r="B366" s="847"/>
      <c r="C366" s="847"/>
      <c r="D366" s="847"/>
      <c r="E366" s="847"/>
      <c r="F366" s="847"/>
      <c r="G366" s="847"/>
      <c r="H366" s="847"/>
      <c r="I366" s="847"/>
      <c r="J366" s="847"/>
      <c r="K366" s="847"/>
      <c r="L366" s="847"/>
      <c r="M366" s="847"/>
      <c r="N366" s="847"/>
      <c r="O366" s="847"/>
      <c r="P366" s="847"/>
      <c r="Q366" s="847"/>
      <c r="R366" s="847"/>
      <c r="S366" s="847"/>
      <c r="T366" s="847"/>
      <c r="U366" s="847"/>
      <c r="V366" s="847"/>
      <c r="W366" s="847"/>
      <c r="X366" s="847"/>
      <c r="Y366" s="847"/>
      <c r="Z366" s="847"/>
      <c r="AA366" s="847"/>
      <c r="AB366" s="847"/>
      <c r="AC366" s="847"/>
      <c r="AD366" s="847"/>
      <c r="AE366" s="847"/>
      <c r="AF366" s="847"/>
      <c r="AG366" s="847"/>
    </row>
    <row r="367">
      <c r="A367" s="847"/>
      <c r="B367" s="847"/>
      <c r="C367" s="847"/>
      <c r="D367" s="847"/>
      <c r="E367" s="847"/>
      <c r="F367" s="847"/>
      <c r="G367" s="847"/>
      <c r="H367" s="847"/>
      <c r="I367" s="847"/>
      <c r="J367" s="847"/>
      <c r="K367" s="847"/>
      <c r="L367" s="847"/>
      <c r="M367" s="847"/>
      <c r="N367" s="847"/>
      <c r="O367" s="847"/>
      <c r="P367" s="847"/>
      <c r="Q367" s="847"/>
      <c r="R367" s="847"/>
      <c r="S367" s="847"/>
      <c r="T367" s="847"/>
      <c r="U367" s="847"/>
      <c r="V367" s="847"/>
      <c r="W367" s="847"/>
      <c r="X367" s="847"/>
      <c r="Y367" s="847"/>
      <c r="Z367" s="847"/>
      <c r="AA367" s="847"/>
      <c r="AB367" s="847"/>
      <c r="AC367" s="847"/>
      <c r="AD367" s="847"/>
      <c r="AE367" s="847"/>
      <c r="AF367" s="847"/>
      <c r="AG367" s="847"/>
    </row>
    <row r="368">
      <c r="A368" s="847"/>
      <c r="B368" s="847"/>
      <c r="C368" s="847"/>
      <c r="D368" s="847"/>
      <c r="E368" s="847"/>
      <c r="F368" s="847"/>
      <c r="G368" s="847"/>
      <c r="H368" s="847"/>
      <c r="I368" s="847"/>
      <c r="J368" s="847"/>
      <c r="K368" s="847"/>
      <c r="L368" s="847"/>
      <c r="M368" s="847"/>
      <c r="N368" s="847"/>
      <c r="O368" s="847"/>
      <c r="P368" s="847"/>
      <c r="Q368" s="847"/>
      <c r="R368" s="847"/>
      <c r="S368" s="847"/>
      <c r="T368" s="847"/>
      <c r="U368" s="847"/>
      <c r="V368" s="847"/>
      <c r="W368" s="847"/>
      <c r="X368" s="847"/>
      <c r="Y368" s="847"/>
      <c r="Z368" s="847"/>
      <c r="AA368" s="847"/>
      <c r="AB368" s="847"/>
      <c r="AC368" s="847"/>
      <c r="AD368" s="847"/>
      <c r="AE368" s="847"/>
      <c r="AF368" s="847"/>
      <c r="AG368" s="847"/>
    </row>
    <row r="369">
      <c r="A369" s="847"/>
      <c r="B369" s="847"/>
      <c r="C369" s="847"/>
      <c r="D369" s="847"/>
      <c r="E369" s="847"/>
      <c r="F369" s="847"/>
      <c r="G369" s="847"/>
      <c r="H369" s="847"/>
      <c r="I369" s="847"/>
      <c r="J369" s="847"/>
      <c r="K369" s="847"/>
      <c r="L369" s="847"/>
      <c r="M369" s="847"/>
      <c r="N369" s="847"/>
      <c r="O369" s="847"/>
      <c r="P369" s="847"/>
      <c r="Q369" s="847"/>
      <c r="R369" s="847"/>
      <c r="S369" s="847"/>
      <c r="T369" s="847"/>
      <c r="U369" s="847"/>
      <c r="V369" s="847"/>
      <c r="W369" s="847"/>
      <c r="X369" s="847"/>
      <c r="Y369" s="847"/>
      <c r="Z369" s="847"/>
      <c r="AA369" s="847"/>
      <c r="AB369" s="847"/>
      <c r="AC369" s="847"/>
      <c r="AD369" s="847"/>
      <c r="AE369" s="847"/>
      <c r="AF369" s="847"/>
      <c r="AG369" s="847"/>
    </row>
    <row r="370">
      <c r="A370" s="847"/>
      <c r="B370" s="847"/>
      <c r="C370" s="847"/>
      <c r="D370" s="847"/>
      <c r="E370" s="847"/>
      <c r="F370" s="847"/>
      <c r="G370" s="847"/>
      <c r="H370" s="847"/>
      <c r="I370" s="847"/>
      <c r="J370" s="847"/>
      <c r="K370" s="847"/>
      <c r="L370" s="847"/>
      <c r="M370" s="847"/>
      <c r="N370" s="847"/>
      <c r="O370" s="847"/>
      <c r="P370" s="847"/>
      <c r="Q370" s="847"/>
      <c r="R370" s="847"/>
      <c r="S370" s="847"/>
      <c r="T370" s="847"/>
      <c r="U370" s="847"/>
      <c r="V370" s="847"/>
      <c r="W370" s="847"/>
      <c r="X370" s="847"/>
      <c r="Y370" s="847"/>
      <c r="Z370" s="847"/>
      <c r="AA370" s="847"/>
      <c r="AB370" s="847"/>
      <c r="AC370" s="847"/>
      <c r="AD370" s="847"/>
      <c r="AE370" s="847"/>
      <c r="AF370" s="847"/>
      <c r="AG370" s="847"/>
    </row>
    <row r="371">
      <c r="A371" s="847"/>
      <c r="B371" s="847"/>
      <c r="C371" s="847"/>
      <c r="D371" s="847"/>
      <c r="E371" s="847"/>
      <c r="F371" s="847"/>
      <c r="G371" s="847"/>
      <c r="H371" s="847"/>
      <c r="I371" s="847"/>
      <c r="J371" s="847"/>
      <c r="K371" s="847"/>
      <c r="L371" s="847"/>
      <c r="M371" s="847"/>
      <c r="N371" s="847"/>
      <c r="O371" s="847"/>
      <c r="P371" s="847"/>
      <c r="Q371" s="847"/>
      <c r="R371" s="847"/>
      <c r="S371" s="847"/>
      <c r="T371" s="847"/>
      <c r="U371" s="847"/>
      <c r="V371" s="847"/>
      <c r="W371" s="847"/>
      <c r="X371" s="847"/>
      <c r="Y371" s="847"/>
      <c r="Z371" s="847"/>
      <c r="AA371" s="847"/>
      <c r="AB371" s="847"/>
      <c r="AC371" s="847"/>
      <c r="AD371" s="847"/>
      <c r="AE371" s="847"/>
      <c r="AF371" s="847"/>
      <c r="AG371" s="847"/>
    </row>
    <row r="372">
      <c r="A372" s="847"/>
      <c r="B372" s="847"/>
      <c r="C372" s="847"/>
      <c r="D372" s="847"/>
      <c r="E372" s="847"/>
      <c r="F372" s="847"/>
      <c r="G372" s="847"/>
      <c r="H372" s="847"/>
      <c r="I372" s="847"/>
      <c r="J372" s="847"/>
      <c r="K372" s="847"/>
      <c r="L372" s="847"/>
      <c r="M372" s="847"/>
      <c r="N372" s="847"/>
      <c r="O372" s="847"/>
      <c r="P372" s="847"/>
      <c r="Q372" s="847"/>
      <c r="R372" s="847"/>
      <c r="S372" s="847"/>
      <c r="T372" s="847"/>
      <c r="U372" s="847"/>
      <c r="V372" s="847"/>
      <c r="W372" s="847"/>
      <c r="X372" s="847"/>
      <c r="Y372" s="847"/>
      <c r="Z372" s="847"/>
      <c r="AA372" s="847"/>
      <c r="AB372" s="847"/>
      <c r="AC372" s="847"/>
      <c r="AD372" s="847"/>
      <c r="AE372" s="847"/>
      <c r="AF372" s="847"/>
      <c r="AG372" s="847"/>
    </row>
    <row r="373">
      <c r="A373" s="847"/>
      <c r="B373" s="847"/>
      <c r="C373" s="847"/>
      <c r="D373" s="847"/>
      <c r="E373" s="847"/>
      <c r="F373" s="847"/>
      <c r="G373" s="847"/>
      <c r="H373" s="847"/>
      <c r="I373" s="847"/>
      <c r="J373" s="847"/>
      <c r="K373" s="847"/>
      <c r="L373" s="847"/>
      <c r="M373" s="847"/>
      <c r="N373" s="847"/>
      <c r="O373" s="847"/>
      <c r="P373" s="847"/>
      <c r="Q373" s="847"/>
      <c r="R373" s="847"/>
      <c r="S373" s="847"/>
      <c r="T373" s="847"/>
      <c r="U373" s="847"/>
      <c r="V373" s="847"/>
      <c r="W373" s="847"/>
      <c r="X373" s="847"/>
      <c r="Y373" s="847"/>
      <c r="Z373" s="847"/>
      <c r="AA373" s="847"/>
      <c r="AB373" s="847"/>
      <c r="AC373" s="847"/>
      <c r="AD373" s="847"/>
      <c r="AE373" s="847"/>
      <c r="AF373" s="847"/>
      <c r="AG373" s="847"/>
    </row>
    <row r="374">
      <c r="A374" s="847"/>
      <c r="B374" s="847"/>
      <c r="C374" s="847"/>
      <c r="D374" s="847"/>
      <c r="E374" s="847"/>
      <c r="F374" s="847"/>
      <c r="G374" s="847"/>
      <c r="H374" s="847"/>
      <c r="I374" s="847"/>
      <c r="J374" s="847"/>
      <c r="K374" s="847"/>
      <c r="L374" s="847"/>
      <c r="M374" s="847"/>
      <c r="N374" s="847"/>
      <c r="O374" s="847"/>
      <c r="P374" s="847"/>
      <c r="Q374" s="847"/>
      <c r="R374" s="847"/>
      <c r="S374" s="847"/>
      <c r="T374" s="847"/>
      <c r="U374" s="847"/>
      <c r="V374" s="847"/>
      <c r="W374" s="847"/>
      <c r="X374" s="847"/>
      <c r="Y374" s="847"/>
      <c r="Z374" s="847"/>
      <c r="AA374" s="847"/>
      <c r="AB374" s="847"/>
      <c r="AC374" s="847"/>
      <c r="AD374" s="847"/>
      <c r="AE374" s="847"/>
      <c r="AF374" s="847"/>
      <c r="AG374" s="847"/>
    </row>
    <row r="375">
      <c r="A375" s="847"/>
      <c r="B375" s="847"/>
      <c r="C375" s="847"/>
      <c r="D375" s="847"/>
      <c r="E375" s="847"/>
      <c r="F375" s="847"/>
      <c r="G375" s="847"/>
      <c r="H375" s="847"/>
      <c r="I375" s="847"/>
      <c r="J375" s="847"/>
      <c r="K375" s="847"/>
      <c r="L375" s="847"/>
      <c r="M375" s="847"/>
      <c r="N375" s="847"/>
      <c r="O375" s="847"/>
      <c r="P375" s="847"/>
      <c r="Q375" s="847"/>
      <c r="R375" s="847"/>
      <c r="S375" s="847"/>
      <c r="T375" s="847"/>
      <c r="U375" s="847"/>
      <c r="V375" s="847"/>
      <c r="W375" s="847"/>
      <c r="X375" s="847"/>
      <c r="Y375" s="847"/>
      <c r="Z375" s="847"/>
      <c r="AA375" s="847"/>
      <c r="AB375" s="847"/>
      <c r="AC375" s="847"/>
      <c r="AD375" s="847"/>
      <c r="AE375" s="847"/>
      <c r="AF375" s="847"/>
      <c r="AG375" s="847"/>
    </row>
    <row r="376">
      <c r="A376" s="847"/>
      <c r="B376" s="847"/>
      <c r="C376" s="847"/>
      <c r="D376" s="847"/>
      <c r="E376" s="847"/>
      <c r="F376" s="847"/>
      <c r="G376" s="847"/>
      <c r="H376" s="847"/>
      <c r="I376" s="847"/>
      <c r="J376" s="847"/>
      <c r="K376" s="847"/>
      <c r="L376" s="847"/>
      <c r="M376" s="847"/>
      <c r="N376" s="847"/>
      <c r="O376" s="847"/>
      <c r="P376" s="847"/>
      <c r="Q376" s="847"/>
      <c r="R376" s="847"/>
      <c r="S376" s="847"/>
      <c r="T376" s="847"/>
      <c r="U376" s="847"/>
      <c r="V376" s="847"/>
      <c r="W376" s="847"/>
      <c r="X376" s="847"/>
      <c r="Y376" s="847"/>
      <c r="Z376" s="847"/>
      <c r="AA376" s="847"/>
      <c r="AB376" s="847"/>
      <c r="AC376" s="847"/>
      <c r="AD376" s="847"/>
      <c r="AE376" s="847"/>
      <c r="AF376" s="847"/>
      <c r="AG376" s="847"/>
    </row>
    <row r="377">
      <c r="A377" s="847"/>
      <c r="B377" s="847"/>
      <c r="C377" s="847"/>
      <c r="D377" s="847"/>
      <c r="E377" s="847"/>
      <c r="F377" s="847"/>
      <c r="G377" s="847"/>
      <c r="H377" s="847"/>
      <c r="I377" s="847"/>
      <c r="J377" s="847"/>
      <c r="K377" s="847"/>
      <c r="L377" s="847"/>
      <c r="M377" s="847"/>
      <c r="N377" s="847"/>
      <c r="O377" s="847"/>
      <c r="P377" s="847"/>
      <c r="Q377" s="847"/>
      <c r="R377" s="847"/>
      <c r="S377" s="847"/>
      <c r="T377" s="847"/>
      <c r="U377" s="847"/>
      <c r="V377" s="847"/>
      <c r="W377" s="847"/>
      <c r="X377" s="847"/>
      <c r="Y377" s="847"/>
      <c r="Z377" s="847"/>
      <c r="AA377" s="847"/>
      <c r="AB377" s="847"/>
      <c r="AC377" s="847"/>
      <c r="AD377" s="847"/>
      <c r="AE377" s="847"/>
      <c r="AF377" s="847"/>
      <c r="AG377" s="847"/>
    </row>
    <row r="378">
      <c r="A378" s="847"/>
      <c r="B378" s="847"/>
      <c r="C378" s="847"/>
      <c r="D378" s="847"/>
      <c r="E378" s="847"/>
      <c r="F378" s="847"/>
      <c r="G378" s="847"/>
      <c r="H378" s="847"/>
      <c r="I378" s="847"/>
      <c r="J378" s="847"/>
      <c r="K378" s="847"/>
      <c r="L378" s="847"/>
      <c r="M378" s="847"/>
      <c r="N378" s="847"/>
      <c r="O378" s="847"/>
      <c r="P378" s="847"/>
      <c r="Q378" s="847"/>
      <c r="R378" s="847"/>
      <c r="S378" s="847"/>
      <c r="T378" s="847"/>
      <c r="U378" s="847"/>
      <c r="V378" s="847"/>
      <c r="W378" s="847"/>
      <c r="X378" s="847"/>
      <c r="Y378" s="847"/>
      <c r="Z378" s="847"/>
      <c r="AA378" s="847"/>
      <c r="AB378" s="847"/>
      <c r="AC378" s="847"/>
      <c r="AD378" s="847"/>
      <c r="AE378" s="847"/>
      <c r="AF378" s="847"/>
      <c r="AG378" s="847"/>
    </row>
    <row r="379">
      <c r="A379" s="847"/>
      <c r="B379" s="847"/>
      <c r="C379" s="847"/>
      <c r="D379" s="847"/>
      <c r="E379" s="847"/>
      <c r="F379" s="847"/>
      <c r="G379" s="847"/>
      <c r="H379" s="847"/>
      <c r="I379" s="847"/>
      <c r="J379" s="847"/>
      <c r="K379" s="847"/>
      <c r="L379" s="847"/>
      <c r="M379" s="847"/>
      <c r="N379" s="847"/>
      <c r="O379" s="847"/>
      <c r="P379" s="847"/>
      <c r="Q379" s="847"/>
      <c r="R379" s="847"/>
      <c r="S379" s="847"/>
      <c r="T379" s="847"/>
      <c r="U379" s="847"/>
      <c r="V379" s="847"/>
      <c r="W379" s="847"/>
      <c r="X379" s="847"/>
      <c r="Y379" s="847"/>
      <c r="Z379" s="847"/>
      <c r="AA379" s="847"/>
      <c r="AB379" s="847"/>
      <c r="AC379" s="847"/>
      <c r="AD379" s="847"/>
      <c r="AE379" s="847"/>
      <c r="AF379" s="847"/>
      <c r="AG379" s="847"/>
    </row>
    <row r="380">
      <c r="A380" s="847"/>
      <c r="B380" s="847"/>
      <c r="C380" s="847"/>
      <c r="D380" s="847"/>
      <c r="E380" s="847"/>
      <c r="F380" s="847"/>
      <c r="G380" s="847"/>
      <c r="H380" s="847"/>
      <c r="I380" s="847"/>
      <c r="J380" s="847"/>
      <c r="K380" s="847"/>
      <c r="L380" s="847"/>
      <c r="M380" s="847"/>
      <c r="N380" s="847"/>
      <c r="O380" s="847"/>
      <c r="P380" s="847"/>
      <c r="Q380" s="847"/>
      <c r="R380" s="847"/>
      <c r="S380" s="847"/>
      <c r="T380" s="847"/>
      <c r="U380" s="847"/>
      <c r="V380" s="847"/>
      <c r="W380" s="847"/>
      <c r="X380" s="847"/>
      <c r="Y380" s="847"/>
      <c r="Z380" s="847"/>
      <c r="AA380" s="847"/>
      <c r="AB380" s="847"/>
      <c r="AC380" s="847"/>
      <c r="AD380" s="847"/>
      <c r="AE380" s="847"/>
      <c r="AF380" s="847"/>
      <c r="AG380" s="847"/>
    </row>
    <row r="381">
      <c r="A381" s="847"/>
      <c r="B381" s="847"/>
      <c r="C381" s="847"/>
      <c r="D381" s="847"/>
      <c r="E381" s="847"/>
      <c r="F381" s="847"/>
      <c r="G381" s="847"/>
      <c r="H381" s="847"/>
      <c r="I381" s="847"/>
      <c r="J381" s="847"/>
      <c r="K381" s="847"/>
      <c r="L381" s="847"/>
      <c r="M381" s="847"/>
      <c r="N381" s="847"/>
      <c r="O381" s="847"/>
      <c r="P381" s="847"/>
      <c r="Q381" s="847"/>
      <c r="R381" s="847"/>
      <c r="S381" s="847"/>
      <c r="T381" s="847"/>
      <c r="U381" s="847"/>
      <c r="V381" s="847"/>
      <c r="W381" s="847"/>
      <c r="X381" s="847"/>
      <c r="Y381" s="847"/>
      <c r="Z381" s="847"/>
      <c r="AA381" s="847"/>
      <c r="AB381" s="847"/>
      <c r="AC381" s="847"/>
      <c r="AD381" s="847"/>
      <c r="AE381" s="847"/>
      <c r="AF381" s="847"/>
      <c r="AG381" s="847"/>
    </row>
    <row r="382">
      <c r="A382" s="847"/>
      <c r="B382" s="847"/>
      <c r="C382" s="847"/>
      <c r="D382" s="847"/>
      <c r="E382" s="847"/>
      <c r="F382" s="847"/>
      <c r="G382" s="847"/>
      <c r="H382" s="847"/>
      <c r="I382" s="847"/>
      <c r="J382" s="847"/>
      <c r="K382" s="847"/>
      <c r="L382" s="847"/>
      <c r="M382" s="847"/>
      <c r="N382" s="847"/>
      <c r="O382" s="847"/>
      <c r="P382" s="847"/>
      <c r="Q382" s="847"/>
      <c r="R382" s="847"/>
      <c r="S382" s="847"/>
      <c r="T382" s="847"/>
      <c r="U382" s="847"/>
      <c r="V382" s="847"/>
      <c r="W382" s="847"/>
      <c r="X382" s="847"/>
      <c r="Y382" s="847"/>
      <c r="Z382" s="847"/>
      <c r="AA382" s="847"/>
      <c r="AB382" s="847"/>
      <c r="AC382" s="847"/>
      <c r="AD382" s="847"/>
      <c r="AE382" s="847"/>
      <c r="AF382" s="847"/>
      <c r="AG382" s="847"/>
    </row>
    <row r="383">
      <c r="A383" s="847"/>
      <c r="B383" s="847"/>
      <c r="C383" s="847"/>
      <c r="D383" s="847"/>
      <c r="E383" s="847"/>
      <c r="F383" s="847"/>
      <c r="G383" s="847"/>
      <c r="H383" s="847"/>
      <c r="I383" s="847"/>
      <c r="J383" s="847"/>
      <c r="K383" s="847"/>
      <c r="L383" s="847"/>
      <c r="M383" s="847"/>
      <c r="N383" s="847"/>
      <c r="O383" s="847"/>
      <c r="P383" s="847"/>
      <c r="Q383" s="847"/>
      <c r="R383" s="847"/>
      <c r="S383" s="847"/>
      <c r="T383" s="847"/>
      <c r="U383" s="847"/>
      <c r="V383" s="847"/>
      <c r="W383" s="847"/>
      <c r="X383" s="847"/>
      <c r="Y383" s="847"/>
      <c r="Z383" s="847"/>
      <c r="AA383" s="847"/>
      <c r="AB383" s="847"/>
      <c r="AC383" s="847"/>
      <c r="AD383" s="847"/>
      <c r="AE383" s="847"/>
      <c r="AF383" s="847"/>
      <c r="AG383" s="847"/>
    </row>
    <row r="384">
      <c r="A384" s="847"/>
      <c r="B384" s="847"/>
      <c r="C384" s="847"/>
      <c r="D384" s="847"/>
      <c r="E384" s="847"/>
      <c r="F384" s="847"/>
      <c r="G384" s="847"/>
      <c r="H384" s="847"/>
      <c r="I384" s="847"/>
      <c r="J384" s="847"/>
      <c r="K384" s="847"/>
      <c r="L384" s="847"/>
      <c r="M384" s="847"/>
      <c r="N384" s="847"/>
      <c r="O384" s="847"/>
      <c r="P384" s="847"/>
      <c r="Q384" s="847"/>
      <c r="R384" s="847"/>
      <c r="S384" s="847"/>
      <c r="T384" s="847"/>
      <c r="U384" s="847"/>
      <c r="V384" s="847"/>
      <c r="W384" s="847"/>
      <c r="X384" s="847"/>
      <c r="Y384" s="847"/>
      <c r="Z384" s="847"/>
      <c r="AA384" s="847"/>
      <c r="AB384" s="847"/>
      <c r="AC384" s="847"/>
      <c r="AD384" s="847"/>
      <c r="AE384" s="847"/>
      <c r="AF384" s="847"/>
      <c r="AG384" s="847"/>
    </row>
    <row r="385">
      <c r="A385" s="847"/>
      <c r="B385" s="847"/>
      <c r="C385" s="847"/>
      <c r="D385" s="847"/>
      <c r="E385" s="847"/>
      <c r="F385" s="847"/>
      <c r="G385" s="847"/>
      <c r="H385" s="847"/>
      <c r="I385" s="847"/>
      <c r="J385" s="847"/>
      <c r="K385" s="847"/>
      <c r="L385" s="847"/>
      <c r="M385" s="847"/>
      <c r="N385" s="847"/>
      <c r="O385" s="847"/>
      <c r="P385" s="847"/>
      <c r="Q385" s="847"/>
      <c r="R385" s="847"/>
      <c r="S385" s="847"/>
      <c r="T385" s="847"/>
      <c r="U385" s="847"/>
      <c r="V385" s="847"/>
      <c r="W385" s="847"/>
      <c r="X385" s="847"/>
      <c r="Y385" s="847"/>
      <c r="Z385" s="847"/>
      <c r="AA385" s="847"/>
      <c r="AB385" s="847"/>
      <c r="AC385" s="847"/>
      <c r="AD385" s="847"/>
      <c r="AE385" s="847"/>
      <c r="AF385" s="847"/>
      <c r="AG385" s="847"/>
    </row>
    <row r="386">
      <c r="A386" s="847"/>
      <c r="B386" s="847"/>
      <c r="C386" s="847"/>
      <c r="D386" s="847"/>
      <c r="E386" s="847"/>
      <c r="F386" s="847"/>
      <c r="G386" s="847"/>
      <c r="H386" s="847"/>
      <c r="I386" s="847"/>
      <c r="J386" s="847"/>
      <c r="K386" s="847"/>
      <c r="L386" s="847"/>
      <c r="M386" s="847"/>
      <c r="N386" s="847"/>
      <c r="O386" s="847"/>
      <c r="P386" s="847"/>
      <c r="Q386" s="847"/>
      <c r="R386" s="847"/>
      <c r="S386" s="847"/>
      <c r="T386" s="847"/>
      <c r="U386" s="847"/>
      <c r="V386" s="847"/>
      <c r="W386" s="847"/>
      <c r="X386" s="847"/>
      <c r="Y386" s="847"/>
      <c r="Z386" s="847"/>
      <c r="AA386" s="847"/>
      <c r="AB386" s="847"/>
      <c r="AC386" s="847"/>
      <c r="AD386" s="847"/>
      <c r="AE386" s="847"/>
      <c r="AF386" s="847"/>
      <c r="AG386" s="847"/>
    </row>
    <row r="387">
      <c r="A387" s="847"/>
      <c r="B387" s="847"/>
      <c r="C387" s="847"/>
      <c r="D387" s="847"/>
      <c r="E387" s="847"/>
      <c r="F387" s="847"/>
      <c r="G387" s="847"/>
      <c r="H387" s="847"/>
      <c r="I387" s="847"/>
      <c r="J387" s="847"/>
      <c r="K387" s="847"/>
      <c r="L387" s="847"/>
      <c r="M387" s="847"/>
      <c r="N387" s="847"/>
      <c r="O387" s="847"/>
      <c r="P387" s="847"/>
      <c r="Q387" s="847"/>
      <c r="R387" s="847"/>
      <c r="S387" s="847"/>
      <c r="T387" s="847"/>
      <c r="U387" s="847"/>
      <c r="V387" s="847"/>
      <c r="W387" s="847"/>
      <c r="X387" s="847"/>
      <c r="Y387" s="847"/>
      <c r="Z387" s="847"/>
      <c r="AA387" s="847"/>
      <c r="AB387" s="847"/>
      <c r="AC387" s="847"/>
      <c r="AD387" s="847"/>
      <c r="AE387" s="847"/>
      <c r="AF387" s="847"/>
      <c r="AG387" s="847"/>
    </row>
    <row r="388">
      <c r="A388" s="847"/>
      <c r="B388" s="847"/>
      <c r="C388" s="847"/>
      <c r="D388" s="847"/>
      <c r="E388" s="847"/>
      <c r="F388" s="847"/>
      <c r="G388" s="847"/>
      <c r="H388" s="847"/>
      <c r="I388" s="847"/>
      <c r="J388" s="847"/>
      <c r="K388" s="847"/>
      <c r="L388" s="847"/>
      <c r="M388" s="847"/>
      <c r="N388" s="847"/>
      <c r="O388" s="847"/>
      <c r="P388" s="847"/>
      <c r="Q388" s="847"/>
      <c r="R388" s="847"/>
      <c r="S388" s="847"/>
      <c r="T388" s="847"/>
      <c r="U388" s="847"/>
      <c r="V388" s="847"/>
      <c r="W388" s="847"/>
      <c r="X388" s="847"/>
      <c r="Y388" s="847"/>
      <c r="Z388" s="847"/>
      <c r="AA388" s="847"/>
      <c r="AB388" s="847"/>
      <c r="AC388" s="847"/>
      <c r="AD388" s="847"/>
      <c r="AE388" s="847"/>
      <c r="AF388" s="847"/>
      <c r="AG388" s="847"/>
    </row>
    <row r="389">
      <c r="A389" s="847"/>
      <c r="B389" s="847"/>
      <c r="C389" s="847"/>
      <c r="D389" s="847"/>
      <c r="E389" s="847"/>
      <c r="F389" s="847"/>
      <c r="G389" s="847"/>
      <c r="H389" s="847"/>
      <c r="I389" s="847"/>
      <c r="J389" s="847"/>
      <c r="K389" s="847"/>
      <c r="L389" s="847"/>
      <c r="M389" s="847"/>
      <c r="N389" s="847"/>
      <c r="O389" s="847"/>
      <c r="P389" s="847"/>
      <c r="Q389" s="847"/>
      <c r="R389" s="847"/>
      <c r="S389" s="847"/>
      <c r="T389" s="847"/>
      <c r="U389" s="847"/>
      <c r="V389" s="847"/>
      <c r="W389" s="847"/>
      <c r="X389" s="847"/>
      <c r="Y389" s="847"/>
      <c r="Z389" s="847"/>
      <c r="AA389" s="847"/>
      <c r="AB389" s="847"/>
      <c r="AC389" s="847"/>
      <c r="AD389" s="847"/>
      <c r="AE389" s="847"/>
      <c r="AF389" s="847"/>
      <c r="AG389" s="847"/>
    </row>
    <row r="390">
      <c r="A390" s="847"/>
      <c r="B390" s="847"/>
      <c r="C390" s="847"/>
      <c r="D390" s="847"/>
      <c r="E390" s="847"/>
      <c r="F390" s="847"/>
      <c r="G390" s="847"/>
      <c r="H390" s="847"/>
      <c r="I390" s="847"/>
      <c r="J390" s="847"/>
      <c r="K390" s="847"/>
      <c r="L390" s="847"/>
      <c r="M390" s="847"/>
      <c r="N390" s="847"/>
      <c r="O390" s="847"/>
      <c r="P390" s="847"/>
      <c r="Q390" s="847"/>
      <c r="R390" s="847"/>
      <c r="S390" s="847"/>
      <c r="T390" s="847"/>
      <c r="U390" s="847"/>
      <c r="V390" s="847"/>
      <c r="W390" s="847"/>
      <c r="X390" s="847"/>
      <c r="Y390" s="847"/>
      <c r="Z390" s="847"/>
      <c r="AA390" s="847"/>
      <c r="AB390" s="847"/>
      <c r="AC390" s="847"/>
      <c r="AD390" s="847"/>
      <c r="AE390" s="847"/>
      <c r="AF390" s="847"/>
      <c r="AG390" s="847"/>
    </row>
    <row r="391">
      <c r="A391" s="847"/>
      <c r="B391" s="847"/>
      <c r="C391" s="847"/>
      <c r="D391" s="847"/>
      <c r="E391" s="847"/>
      <c r="F391" s="847"/>
      <c r="G391" s="847"/>
      <c r="H391" s="847"/>
      <c r="I391" s="847"/>
      <c r="J391" s="847"/>
      <c r="K391" s="847"/>
      <c r="L391" s="847"/>
      <c r="M391" s="847"/>
      <c r="N391" s="847"/>
      <c r="O391" s="847"/>
      <c r="P391" s="847"/>
      <c r="Q391" s="847"/>
      <c r="R391" s="847"/>
      <c r="S391" s="847"/>
      <c r="T391" s="847"/>
      <c r="U391" s="847"/>
      <c r="V391" s="847"/>
      <c r="W391" s="847"/>
      <c r="X391" s="847"/>
      <c r="Y391" s="847"/>
      <c r="Z391" s="847"/>
      <c r="AA391" s="847"/>
      <c r="AB391" s="847"/>
      <c r="AC391" s="847"/>
      <c r="AD391" s="847"/>
      <c r="AE391" s="847"/>
      <c r="AF391" s="847"/>
      <c r="AG391" s="847"/>
    </row>
    <row r="392">
      <c r="A392" s="847"/>
      <c r="B392" s="847"/>
      <c r="C392" s="847"/>
      <c r="D392" s="847"/>
      <c r="E392" s="847"/>
      <c r="F392" s="847"/>
      <c r="G392" s="847"/>
      <c r="H392" s="847"/>
      <c r="I392" s="847"/>
      <c r="J392" s="847"/>
      <c r="K392" s="847"/>
      <c r="L392" s="847"/>
      <c r="M392" s="847"/>
      <c r="N392" s="847"/>
      <c r="O392" s="847"/>
      <c r="P392" s="847"/>
      <c r="Q392" s="847"/>
      <c r="R392" s="847"/>
      <c r="S392" s="847"/>
      <c r="T392" s="847"/>
      <c r="U392" s="847"/>
      <c r="V392" s="847"/>
      <c r="W392" s="847"/>
      <c r="X392" s="847"/>
      <c r="Y392" s="847"/>
      <c r="Z392" s="847"/>
      <c r="AA392" s="847"/>
      <c r="AB392" s="847"/>
      <c r="AC392" s="847"/>
      <c r="AD392" s="847"/>
      <c r="AE392" s="847"/>
      <c r="AF392" s="847"/>
      <c r="AG392" s="847"/>
    </row>
    <row r="393">
      <c r="A393" s="847"/>
      <c r="B393" s="847"/>
      <c r="C393" s="847"/>
      <c r="D393" s="847"/>
      <c r="E393" s="847"/>
      <c r="F393" s="847"/>
      <c r="G393" s="847"/>
      <c r="H393" s="847"/>
      <c r="I393" s="847"/>
      <c r="J393" s="847"/>
      <c r="K393" s="847"/>
      <c r="L393" s="847"/>
      <c r="M393" s="847"/>
      <c r="N393" s="847"/>
      <c r="O393" s="847"/>
      <c r="P393" s="847"/>
      <c r="Q393" s="847"/>
      <c r="R393" s="847"/>
      <c r="S393" s="847"/>
      <c r="T393" s="847"/>
      <c r="U393" s="847"/>
      <c r="V393" s="847"/>
      <c r="W393" s="847"/>
      <c r="X393" s="847"/>
      <c r="Y393" s="847"/>
      <c r="Z393" s="847"/>
      <c r="AA393" s="847"/>
      <c r="AB393" s="847"/>
      <c r="AC393" s="847"/>
      <c r="AD393" s="847"/>
      <c r="AE393" s="847"/>
      <c r="AF393" s="847"/>
      <c r="AG393" s="847"/>
    </row>
    <row r="394">
      <c r="A394" s="847"/>
      <c r="B394" s="847"/>
      <c r="C394" s="847"/>
      <c r="D394" s="847"/>
      <c r="E394" s="847"/>
      <c r="F394" s="847"/>
      <c r="G394" s="847"/>
      <c r="H394" s="847"/>
      <c r="I394" s="847"/>
      <c r="J394" s="847"/>
      <c r="K394" s="847"/>
      <c r="L394" s="847"/>
      <c r="M394" s="847"/>
      <c r="N394" s="847"/>
      <c r="O394" s="847"/>
      <c r="P394" s="847"/>
      <c r="Q394" s="847"/>
      <c r="R394" s="847"/>
      <c r="S394" s="847"/>
      <c r="T394" s="847"/>
      <c r="U394" s="847"/>
      <c r="V394" s="847"/>
      <c r="W394" s="847"/>
      <c r="X394" s="847"/>
      <c r="Y394" s="847"/>
      <c r="Z394" s="847"/>
      <c r="AA394" s="847"/>
      <c r="AB394" s="847"/>
      <c r="AC394" s="847"/>
      <c r="AD394" s="847"/>
      <c r="AE394" s="847"/>
      <c r="AF394" s="847"/>
      <c r="AG394" s="847"/>
    </row>
    <row r="395">
      <c r="A395" s="847"/>
      <c r="B395" s="847"/>
      <c r="C395" s="847"/>
      <c r="D395" s="847"/>
      <c r="E395" s="847"/>
      <c r="F395" s="847"/>
      <c r="G395" s="847"/>
      <c r="H395" s="847"/>
      <c r="I395" s="847"/>
      <c r="J395" s="847"/>
      <c r="K395" s="847"/>
      <c r="L395" s="847"/>
      <c r="M395" s="847"/>
      <c r="N395" s="847"/>
      <c r="O395" s="847"/>
      <c r="P395" s="847"/>
      <c r="Q395" s="847"/>
      <c r="R395" s="847"/>
      <c r="S395" s="847"/>
      <c r="T395" s="847"/>
      <c r="U395" s="847"/>
      <c r="V395" s="847"/>
      <c r="W395" s="847"/>
      <c r="X395" s="847"/>
      <c r="Y395" s="847"/>
      <c r="Z395" s="847"/>
      <c r="AA395" s="847"/>
      <c r="AB395" s="847"/>
      <c r="AC395" s="847"/>
      <c r="AD395" s="847"/>
      <c r="AE395" s="847"/>
      <c r="AF395" s="847"/>
      <c r="AG395" s="847"/>
    </row>
    <row r="396">
      <c r="A396" s="847"/>
      <c r="B396" s="847"/>
      <c r="C396" s="847"/>
      <c r="D396" s="847"/>
      <c r="E396" s="847"/>
      <c r="F396" s="847"/>
      <c r="G396" s="847"/>
      <c r="H396" s="847"/>
      <c r="I396" s="847"/>
      <c r="J396" s="847"/>
      <c r="K396" s="847"/>
      <c r="L396" s="847"/>
      <c r="M396" s="847"/>
      <c r="N396" s="847"/>
      <c r="O396" s="847"/>
      <c r="P396" s="847"/>
      <c r="Q396" s="847"/>
      <c r="R396" s="847"/>
      <c r="S396" s="847"/>
      <c r="T396" s="847"/>
      <c r="U396" s="847"/>
      <c r="V396" s="847"/>
      <c r="W396" s="847"/>
      <c r="X396" s="847"/>
      <c r="Y396" s="847"/>
      <c r="Z396" s="847"/>
      <c r="AA396" s="847"/>
      <c r="AB396" s="847"/>
      <c r="AC396" s="847"/>
      <c r="AD396" s="847"/>
      <c r="AE396" s="847"/>
      <c r="AF396" s="847"/>
      <c r="AG396" s="847"/>
    </row>
    <row r="397">
      <c r="A397" s="847"/>
      <c r="B397" s="847"/>
      <c r="C397" s="847"/>
      <c r="D397" s="847"/>
      <c r="E397" s="847"/>
      <c r="F397" s="847"/>
      <c r="G397" s="847"/>
      <c r="H397" s="847"/>
      <c r="I397" s="847"/>
      <c r="J397" s="847"/>
      <c r="K397" s="847"/>
      <c r="L397" s="847"/>
      <c r="M397" s="847"/>
      <c r="N397" s="847"/>
      <c r="O397" s="847"/>
      <c r="P397" s="847"/>
      <c r="Q397" s="847"/>
      <c r="R397" s="847"/>
      <c r="S397" s="847"/>
      <c r="T397" s="847"/>
      <c r="U397" s="847"/>
      <c r="V397" s="847"/>
      <c r="W397" s="847"/>
      <c r="X397" s="847"/>
      <c r="Y397" s="847"/>
      <c r="Z397" s="847"/>
      <c r="AA397" s="847"/>
      <c r="AB397" s="847"/>
      <c r="AC397" s="847"/>
      <c r="AD397" s="847"/>
      <c r="AE397" s="847"/>
      <c r="AF397" s="847"/>
      <c r="AG397" s="847"/>
    </row>
    <row r="398">
      <c r="A398" s="847"/>
      <c r="B398" s="847"/>
      <c r="C398" s="847"/>
      <c r="D398" s="847"/>
      <c r="E398" s="847"/>
      <c r="F398" s="847"/>
      <c r="G398" s="847"/>
      <c r="H398" s="847"/>
      <c r="I398" s="847"/>
      <c r="J398" s="847"/>
      <c r="K398" s="847"/>
      <c r="L398" s="847"/>
      <c r="M398" s="847"/>
      <c r="N398" s="847"/>
      <c r="O398" s="847"/>
      <c r="P398" s="847"/>
      <c r="Q398" s="847"/>
      <c r="R398" s="847"/>
      <c r="S398" s="847"/>
      <c r="T398" s="847"/>
      <c r="U398" s="847"/>
      <c r="V398" s="847"/>
      <c r="W398" s="847"/>
      <c r="X398" s="847"/>
      <c r="Y398" s="847"/>
      <c r="Z398" s="847"/>
      <c r="AA398" s="847"/>
      <c r="AB398" s="847"/>
      <c r="AC398" s="847"/>
      <c r="AD398" s="847"/>
      <c r="AE398" s="847"/>
      <c r="AF398" s="847"/>
      <c r="AG398" s="847"/>
    </row>
    <row r="399">
      <c r="A399" s="847"/>
      <c r="B399" s="847"/>
      <c r="C399" s="847"/>
      <c r="D399" s="847"/>
      <c r="E399" s="847"/>
      <c r="F399" s="847"/>
      <c r="G399" s="847"/>
      <c r="H399" s="847"/>
      <c r="I399" s="847"/>
      <c r="J399" s="847"/>
      <c r="K399" s="847"/>
      <c r="L399" s="847"/>
      <c r="M399" s="847"/>
      <c r="N399" s="847"/>
      <c r="O399" s="847"/>
      <c r="P399" s="847"/>
      <c r="Q399" s="847"/>
      <c r="R399" s="847"/>
      <c r="S399" s="847"/>
      <c r="T399" s="847"/>
      <c r="U399" s="847"/>
      <c r="V399" s="847"/>
      <c r="W399" s="847"/>
      <c r="X399" s="847"/>
      <c r="Y399" s="847"/>
      <c r="Z399" s="847"/>
      <c r="AA399" s="847"/>
      <c r="AB399" s="847"/>
      <c r="AC399" s="847"/>
      <c r="AD399" s="847"/>
      <c r="AE399" s="847"/>
      <c r="AF399" s="847"/>
      <c r="AG399" s="847"/>
    </row>
    <row r="400">
      <c r="A400" s="847"/>
      <c r="B400" s="847"/>
      <c r="C400" s="847"/>
      <c r="D400" s="847"/>
      <c r="E400" s="847"/>
      <c r="F400" s="847"/>
      <c r="G400" s="847"/>
      <c r="H400" s="847"/>
      <c r="I400" s="847"/>
      <c r="J400" s="847"/>
      <c r="K400" s="847"/>
      <c r="L400" s="847"/>
      <c r="M400" s="847"/>
      <c r="N400" s="847"/>
      <c r="O400" s="847"/>
      <c r="P400" s="847"/>
      <c r="Q400" s="847"/>
      <c r="R400" s="847"/>
      <c r="S400" s="847"/>
      <c r="T400" s="847"/>
      <c r="U400" s="847"/>
      <c r="V400" s="847"/>
      <c r="W400" s="847"/>
      <c r="X400" s="847"/>
      <c r="Y400" s="847"/>
      <c r="Z400" s="847"/>
      <c r="AA400" s="847"/>
      <c r="AB400" s="847"/>
      <c r="AC400" s="847"/>
      <c r="AD400" s="847"/>
      <c r="AE400" s="847"/>
      <c r="AF400" s="847"/>
      <c r="AG400" s="847"/>
    </row>
    <row r="401">
      <c r="A401" s="847"/>
      <c r="B401" s="847"/>
      <c r="C401" s="847"/>
      <c r="D401" s="847"/>
      <c r="E401" s="847"/>
      <c r="F401" s="847"/>
      <c r="G401" s="847"/>
      <c r="H401" s="847"/>
      <c r="I401" s="847"/>
      <c r="J401" s="847"/>
      <c r="K401" s="847"/>
      <c r="L401" s="847"/>
      <c r="M401" s="847"/>
      <c r="N401" s="847"/>
      <c r="O401" s="847"/>
      <c r="P401" s="847"/>
      <c r="Q401" s="847"/>
      <c r="R401" s="847"/>
      <c r="S401" s="847"/>
      <c r="T401" s="847"/>
      <c r="U401" s="847"/>
      <c r="V401" s="847"/>
      <c r="W401" s="847"/>
      <c r="X401" s="847"/>
      <c r="Y401" s="847"/>
      <c r="Z401" s="847"/>
      <c r="AA401" s="847"/>
      <c r="AB401" s="847"/>
      <c r="AC401" s="847"/>
      <c r="AD401" s="847"/>
      <c r="AE401" s="847"/>
      <c r="AF401" s="847"/>
      <c r="AG401" s="847"/>
    </row>
    <row r="402">
      <c r="A402" s="847"/>
      <c r="B402" s="847"/>
      <c r="C402" s="847"/>
      <c r="D402" s="847"/>
      <c r="E402" s="847"/>
      <c r="F402" s="847"/>
      <c r="G402" s="847"/>
      <c r="H402" s="847"/>
      <c r="I402" s="847"/>
      <c r="J402" s="847"/>
      <c r="K402" s="847"/>
      <c r="L402" s="847"/>
      <c r="M402" s="847"/>
      <c r="N402" s="847"/>
      <c r="O402" s="847"/>
      <c r="P402" s="847"/>
      <c r="Q402" s="847"/>
      <c r="R402" s="847"/>
      <c r="S402" s="847"/>
      <c r="T402" s="847"/>
      <c r="U402" s="847"/>
      <c r="V402" s="847"/>
      <c r="W402" s="847"/>
      <c r="X402" s="847"/>
      <c r="Y402" s="847"/>
      <c r="Z402" s="847"/>
      <c r="AA402" s="847"/>
      <c r="AB402" s="847"/>
      <c r="AC402" s="847"/>
      <c r="AD402" s="847"/>
      <c r="AE402" s="847"/>
      <c r="AF402" s="847"/>
      <c r="AG402" s="847"/>
    </row>
    <row r="403">
      <c r="A403" s="847"/>
      <c r="B403" s="847"/>
      <c r="C403" s="847"/>
      <c r="D403" s="847"/>
      <c r="E403" s="847"/>
      <c r="F403" s="847"/>
      <c r="G403" s="847"/>
      <c r="H403" s="847"/>
      <c r="I403" s="847"/>
      <c r="J403" s="847"/>
      <c r="K403" s="847"/>
      <c r="L403" s="847"/>
      <c r="M403" s="847"/>
      <c r="N403" s="847"/>
      <c r="O403" s="847"/>
      <c r="P403" s="847"/>
      <c r="Q403" s="847"/>
      <c r="R403" s="847"/>
      <c r="S403" s="847"/>
      <c r="T403" s="847"/>
      <c r="U403" s="847"/>
      <c r="V403" s="847"/>
      <c r="W403" s="847"/>
      <c r="X403" s="847"/>
      <c r="Y403" s="847"/>
      <c r="Z403" s="847"/>
      <c r="AA403" s="847"/>
      <c r="AB403" s="847"/>
      <c r="AC403" s="847"/>
      <c r="AD403" s="847"/>
      <c r="AE403" s="847"/>
      <c r="AF403" s="847"/>
      <c r="AG403" s="847"/>
    </row>
    <row r="404">
      <c r="A404" s="847"/>
      <c r="B404" s="847"/>
      <c r="C404" s="847"/>
      <c r="D404" s="847"/>
      <c r="E404" s="847"/>
      <c r="F404" s="847"/>
      <c r="G404" s="847"/>
      <c r="H404" s="847"/>
      <c r="I404" s="847"/>
      <c r="J404" s="847"/>
      <c r="K404" s="847"/>
      <c r="L404" s="847"/>
      <c r="M404" s="847"/>
      <c r="N404" s="847"/>
      <c r="O404" s="847"/>
      <c r="P404" s="847"/>
      <c r="Q404" s="847"/>
      <c r="R404" s="847"/>
      <c r="S404" s="847"/>
      <c r="T404" s="847"/>
      <c r="U404" s="847"/>
      <c r="V404" s="847"/>
      <c r="W404" s="847"/>
      <c r="X404" s="847"/>
      <c r="Y404" s="847"/>
      <c r="Z404" s="847"/>
      <c r="AA404" s="847"/>
      <c r="AB404" s="847"/>
      <c r="AC404" s="847"/>
      <c r="AD404" s="847"/>
      <c r="AE404" s="847"/>
      <c r="AF404" s="847"/>
      <c r="AG404" s="847"/>
    </row>
    <row r="405">
      <c r="A405" s="847"/>
      <c r="B405" s="847"/>
      <c r="C405" s="847"/>
      <c r="D405" s="847"/>
      <c r="E405" s="847"/>
      <c r="F405" s="847"/>
      <c r="G405" s="847"/>
      <c r="H405" s="847"/>
      <c r="I405" s="847"/>
      <c r="J405" s="847"/>
      <c r="K405" s="847"/>
      <c r="L405" s="847"/>
      <c r="M405" s="847"/>
      <c r="N405" s="847"/>
      <c r="O405" s="847"/>
      <c r="P405" s="847"/>
      <c r="Q405" s="847"/>
      <c r="R405" s="847"/>
      <c r="S405" s="847"/>
      <c r="T405" s="847"/>
      <c r="U405" s="847"/>
      <c r="V405" s="847"/>
      <c r="W405" s="847"/>
      <c r="X405" s="847"/>
      <c r="Y405" s="847"/>
      <c r="Z405" s="847"/>
      <c r="AA405" s="847"/>
      <c r="AB405" s="847"/>
      <c r="AC405" s="847"/>
      <c r="AD405" s="847"/>
      <c r="AE405" s="847"/>
      <c r="AF405" s="847"/>
      <c r="AG405" s="847"/>
    </row>
    <row r="406">
      <c r="A406" s="847"/>
      <c r="B406" s="847"/>
      <c r="C406" s="847"/>
      <c r="D406" s="847"/>
      <c r="E406" s="847"/>
      <c r="F406" s="847"/>
      <c r="G406" s="847"/>
      <c r="H406" s="847"/>
      <c r="I406" s="847"/>
      <c r="J406" s="847"/>
      <c r="K406" s="847"/>
      <c r="L406" s="847"/>
      <c r="M406" s="847"/>
      <c r="N406" s="847"/>
      <c r="O406" s="847"/>
      <c r="P406" s="847"/>
      <c r="Q406" s="847"/>
      <c r="R406" s="847"/>
      <c r="S406" s="847"/>
      <c r="T406" s="847"/>
      <c r="U406" s="847"/>
      <c r="V406" s="847"/>
      <c r="W406" s="847"/>
      <c r="X406" s="847"/>
      <c r="Y406" s="847"/>
      <c r="Z406" s="847"/>
      <c r="AA406" s="847"/>
      <c r="AB406" s="847"/>
      <c r="AC406" s="847"/>
      <c r="AD406" s="847"/>
      <c r="AE406" s="847"/>
      <c r="AF406" s="847"/>
      <c r="AG406" s="847"/>
    </row>
    <row r="407">
      <c r="A407" s="847"/>
      <c r="B407" s="847"/>
      <c r="C407" s="847"/>
      <c r="D407" s="847"/>
      <c r="E407" s="847"/>
      <c r="F407" s="847"/>
      <c r="G407" s="847"/>
      <c r="H407" s="847"/>
      <c r="I407" s="847"/>
      <c r="J407" s="847"/>
      <c r="K407" s="847"/>
      <c r="L407" s="847"/>
      <c r="M407" s="847"/>
      <c r="N407" s="847"/>
      <c r="O407" s="847"/>
      <c r="P407" s="847"/>
      <c r="Q407" s="847"/>
      <c r="R407" s="847"/>
      <c r="S407" s="847"/>
      <c r="T407" s="847"/>
      <c r="U407" s="847"/>
      <c r="V407" s="847"/>
      <c r="W407" s="847"/>
      <c r="X407" s="847"/>
      <c r="Y407" s="847"/>
      <c r="Z407" s="847"/>
      <c r="AA407" s="847"/>
      <c r="AB407" s="847"/>
      <c r="AC407" s="847"/>
      <c r="AD407" s="847"/>
      <c r="AE407" s="847"/>
      <c r="AF407" s="847"/>
      <c r="AG407" s="847"/>
    </row>
    <row r="408">
      <c r="A408" s="847"/>
      <c r="B408" s="847"/>
      <c r="C408" s="847"/>
      <c r="D408" s="847"/>
      <c r="E408" s="847"/>
      <c r="F408" s="847"/>
      <c r="G408" s="847"/>
      <c r="H408" s="847"/>
      <c r="I408" s="847"/>
      <c r="J408" s="847"/>
      <c r="K408" s="847"/>
      <c r="L408" s="847"/>
      <c r="M408" s="847"/>
      <c r="N408" s="847"/>
      <c r="O408" s="847"/>
      <c r="P408" s="847"/>
      <c r="Q408" s="847"/>
      <c r="R408" s="847"/>
      <c r="S408" s="847"/>
      <c r="T408" s="847"/>
      <c r="U408" s="847"/>
      <c r="V408" s="847"/>
      <c r="W408" s="847"/>
      <c r="X408" s="847"/>
      <c r="Y408" s="847"/>
      <c r="Z408" s="847"/>
      <c r="AA408" s="847"/>
      <c r="AB408" s="847"/>
      <c r="AC408" s="847"/>
      <c r="AD408" s="847"/>
      <c r="AE408" s="847"/>
      <c r="AF408" s="847"/>
      <c r="AG408" s="847"/>
    </row>
    <row r="409">
      <c r="A409" s="847"/>
      <c r="B409" s="847"/>
      <c r="C409" s="847"/>
      <c r="D409" s="847"/>
      <c r="E409" s="847"/>
      <c r="F409" s="847"/>
      <c r="G409" s="847"/>
      <c r="H409" s="847"/>
      <c r="I409" s="847"/>
      <c r="J409" s="847"/>
      <c r="K409" s="847"/>
      <c r="L409" s="847"/>
      <c r="M409" s="847"/>
      <c r="N409" s="847"/>
      <c r="O409" s="847"/>
      <c r="P409" s="847"/>
      <c r="Q409" s="847"/>
      <c r="R409" s="847"/>
      <c r="S409" s="847"/>
      <c r="T409" s="847"/>
      <c r="U409" s="847"/>
      <c r="V409" s="847"/>
      <c r="W409" s="847"/>
      <c r="X409" s="847"/>
      <c r="Y409" s="847"/>
      <c r="Z409" s="847"/>
      <c r="AA409" s="847"/>
      <c r="AB409" s="847"/>
      <c r="AC409" s="847"/>
      <c r="AD409" s="847"/>
      <c r="AE409" s="847"/>
      <c r="AF409" s="847"/>
      <c r="AG409" s="847"/>
    </row>
    <row r="410">
      <c r="A410" s="847"/>
      <c r="B410" s="847"/>
      <c r="C410" s="847"/>
      <c r="D410" s="847"/>
      <c r="E410" s="847"/>
      <c r="F410" s="847"/>
      <c r="G410" s="847"/>
      <c r="H410" s="847"/>
      <c r="I410" s="847"/>
      <c r="J410" s="847"/>
      <c r="K410" s="847"/>
      <c r="L410" s="847"/>
      <c r="M410" s="847"/>
      <c r="N410" s="847"/>
      <c r="O410" s="847"/>
      <c r="P410" s="847"/>
      <c r="Q410" s="847"/>
      <c r="R410" s="847"/>
      <c r="S410" s="847"/>
      <c r="T410" s="847"/>
      <c r="U410" s="847"/>
      <c r="V410" s="847"/>
      <c r="W410" s="847"/>
      <c r="X410" s="847"/>
      <c r="Y410" s="847"/>
      <c r="Z410" s="847"/>
      <c r="AA410" s="847"/>
      <c r="AB410" s="847"/>
      <c r="AC410" s="847"/>
      <c r="AD410" s="847"/>
      <c r="AE410" s="847"/>
      <c r="AF410" s="847"/>
      <c r="AG410" s="847"/>
    </row>
    <row r="411">
      <c r="A411" s="847"/>
      <c r="B411" s="847"/>
      <c r="C411" s="847"/>
      <c r="D411" s="847"/>
      <c r="E411" s="847"/>
      <c r="F411" s="847"/>
      <c r="G411" s="847"/>
      <c r="H411" s="847"/>
      <c r="I411" s="847"/>
      <c r="J411" s="847"/>
      <c r="K411" s="847"/>
      <c r="L411" s="847"/>
      <c r="M411" s="847"/>
      <c r="N411" s="847"/>
      <c r="O411" s="847"/>
      <c r="P411" s="847"/>
      <c r="Q411" s="847"/>
      <c r="R411" s="847"/>
      <c r="S411" s="847"/>
      <c r="T411" s="847"/>
      <c r="U411" s="847"/>
      <c r="V411" s="847"/>
      <c r="W411" s="847"/>
      <c r="X411" s="847"/>
      <c r="Y411" s="847"/>
      <c r="Z411" s="847"/>
      <c r="AA411" s="847"/>
      <c r="AB411" s="847"/>
      <c r="AC411" s="847"/>
      <c r="AD411" s="847"/>
      <c r="AE411" s="847"/>
      <c r="AF411" s="847"/>
      <c r="AG411" s="847"/>
    </row>
    <row r="412">
      <c r="A412" s="847"/>
      <c r="B412" s="847"/>
      <c r="C412" s="847"/>
      <c r="D412" s="847"/>
      <c r="E412" s="847"/>
      <c r="F412" s="847"/>
      <c r="G412" s="847"/>
      <c r="H412" s="847"/>
      <c r="I412" s="847"/>
      <c r="J412" s="847"/>
      <c r="K412" s="847"/>
      <c r="L412" s="847"/>
      <c r="M412" s="847"/>
      <c r="N412" s="847"/>
      <c r="O412" s="847"/>
      <c r="P412" s="847"/>
      <c r="Q412" s="847"/>
      <c r="R412" s="847"/>
      <c r="S412" s="847"/>
      <c r="T412" s="847"/>
      <c r="U412" s="847"/>
      <c r="V412" s="847"/>
      <c r="W412" s="847"/>
      <c r="X412" s="847"/>
      <c r="Y412" s="847"/>
      <c r="Z412" s="847"/>
      <c r="AA412" s="847"/>
      <c r="AB412" s="847"/>
      <c r="AC412" s="847"/>
      <c r="AD412" s="847"/>
      <c r="AE412" s="847"/>
      <c r="AF412" s="847"/>
      <c r="AG412" s="847"/>
    </row>
    <row r="413">
      <c r="A413" s="847"/>
      <c r="B413" s="847"/>
      <c r="C413" s="847"/>
      <c r="D413" s="847"/>
      <c r="E413" s="847"/>
      <c r="F413" s="847"/>
      <c r="G413" s="847"/>
      <c r="H413" s="847"/>
      <c r="I413" s="847"/>
      <c r="J413" s="847"/>
      <c r="K413" s="847"/>
      <c r="L413" s="847"/>
      <c r="M413" s="847"/>
      <c r="N413" s="847"/>
      <c r="O413" s="847"/>
      <c r="P413" s="847"/>
      <c r="Q413" s="847"/>
      <c r="R413" s="847"/>
      <c r="S413" s="847"/>
      <c r="T413" s="847"/>
      <c r="U413" s="847"/>
      <c r="V413" s="847"/>
      <c r="W413" s="847"/>
      <c r="X413" s="847"/>
      <c r="Y413" s="847"/>
      <c r="Z413" s="847"/>
      <c r="AA413" s="847"/>
      <c r="AB413" s="847"/>
      <c r="AC413" s="847"/>
      <c r="AD413" s="847"/>
      <c r="AE413" s="847"/>
      <c r="AF413" s="847"/>
      <c r="AG413" s="847"/>
    </row>
    <row r="414">
      <c r="A414" s="847"/>
      <c r="B414" s="847"/>
      <c r="C414" s="847"/>
      <c r="D414" s="847"/>
      <c r="E414" s="847"/>
      <c r="F414" s="847"/>
      <c r="G414" s="847"/>
      <c r="H414" s="847"/>
      <c r="I414" s="847"/>
      <c r="J414" s="847"/>
      <c r="K414" s="847"/>
      <c r="L414" s="847"/>
      <c r="M414" s="847"/>
      <c r="N414" s="847"/>
      <c r="O414" s="847"/>
      <c r="P414" s="847"/>
      <c r="Q414" s="847"/>
      <c r="R414" s="847"/>
      <c r="S414" s="847"/>
      <c r="T414" s="847"/>
      <c r="U414" s="847"/>
      <c r="V414" s="847"/>
      <c r="W414" s="847"/>
      <c r="X414" s="847"/>
      <c r="Y414" s="847"/>
      <c r="Z414" s="847"/>
      <c r="AA414" s="847"/>
      <c r="AB414" s="847"/>
      <c r="AC414" s="847"/>
      <c r="AD414" s="847"/>
      <c r="AE414" s="847"/>
      <c r="AF414" s="847"/>
      <c r="AG414" s="847"/>
    </row>
    <row r="415">
      <c r="A415" s="847"/>
      <c r="B415" s="847"/>
      <c r="C415" s="847"/>
      <c r="D415" s="847"/>
      <c r="E415" s="847"/>
      <c r="F415" s="847"/>
      <c r="G415" s="847"/>
      <c r="H415" s="847"/>
      <c r="I415" s="847"/>
      <c r="J415" s="847"/>
      <c r="K415" s="847"/>
      <c r="L415" s="847"/>
      <c r="M415" s="847"/>
      <c r="N415" s="847"/>
      <c r="O415" s="847"/>
      <c r="P415" s="847"/>
      <c r="Q415" s="847"/>
      <c r="R415" s="847"/>
      <c r="S415" s="847"/>
      <c r="T415" s="847"/>
      <c r="U415" s="847"/>
      <c r="V415" s="847"/>
      <c r="W415" s="847"/>
      <c r="X415" s="847"/>
      <c r="Y415" s="847"/>
      <c r="Z415" s="847"/>
      <c r="AA415" s="847"/>
      <c r="AB415" s="847"/>
      <c r="AC415" s="847"/>
      <c r="AD415" s="847"/>
      <c r="AE415" s="847"/>
      <c r="AF415" s="847"/>
      <c r="AG415" s="847"/>
    </row>
    <row r="416">
      <c r="A416" s="847"/>
      <c r="B416" s="847"/>
      <c r="C416" s="847"/>
      <c r="D416" s="847"/>
      <c r="E416" s="847"/>
      <c r="F416" s="847"/>
      <c r="G416" s="847"/>
      <c r="H416" s="847"/>
      <c r="I416" s="847"/>
      <c r="J416" s="847"/>
      <c r="K416" s="847"/>
      <c r="L416" s="847"/>
      <c r="M416" s="847"/>
      <c r="N416" s="847"/>
      <c r="O416" s="847"/>
      <c r="P416" s="847"/>
      <c r="Q416" s="847"/>
      <c r="R416" s="847"/>
      <c r="S416" s="847"/>
      <c r="T416" s="847"/>
      <c r="U416" s="847"/>
      <c r="V416" s="847"/>
      <c r="W416" s="847"/>
      <c r="X416" s="847"/>
      <c r="Y416" s="847"/>
      <c r="Z416" s="847"/>
      <c r="AA416" s="847"/>
      <c r="AB416" s="847"/>
      <c r="AC416" s="847"/>
      <c r="AD416" s="847"/>
      <c r="AE416" s="847"/>
      <c r="AF416" s="847"/>
      <c r="AG416" s="847"/>
    </row>
    <row r="417">
      <c r="A417" s="847"/>
      <c r="B417" s="847"/>
      <c r="C417" s="847"/>
      <c r="D417" s="847"/>
      <c r="E417" s="847"/>
      <c r="F417" s="847"/>
      <c r="G417" s="847"/>
      <c r="H417" s="847"/>
      <c r="I417" s="847"/>
      <c r="J417" s="847"/>
      <c r="K417" s="847"/>
      <c r="L417" s="847"/>
      <c r="M417" s="847"/>
      <c r="N417" s="847"/>
      <c r="O417" s="847"/>
      <c r="P417" s="847"/>
      <c r="Q417" s="847"/>
      <c r="R417" s="847"/>
      <c r="S417" s="847"/>
      <c r="T417" s="847"/>
      <c r="U417" s="847"/>
      <c r="V417" s="847"/>
      <c r="W417" s="847"/>
      <c r="X417" s="847"/>
      <c r="Y417" s="847"/>
      <c r="Z417" s="847"/>
      <c r="AA417" s="847"/>
      <c r="AB417" s="847"/>
      <c r="AC417" s="847"/>
      <c r="AD417" s="847"/>
      <c r="AE417" s="847"/>
      <c r="AF417" s="847"/>
      <c r="AG417" s="847"/>
    </row>
    <row r="418">
      <c r="A418" s="847"/>
      <c r="B418" s="847"/>
      <c r="C418" s="847"/>
      <c r="D418" s="847"/>
      <c r="E418" s="847"/>
      <c r="F418" s="847"/>
      <c r="G418" s="847"/>
      <c r="H418" s="847"/>
      <c r="I418" s="847"/>
      <c r="J418" s="847"/>
      <c r="K418" s="847"/>
      <c r="L418" s="847"/>
      <c r="M418" s="847"/>
      <c r="N418" s="847"/>
      <c r="O418" s="847"/>
      <c r="P418" s="847"/>
      <c r="Q418" s="847"/>
      <c r="R418" s="847"/>
      <c r="S418" s="847"/>
      <c r="T418" s="847"/>
      <c r="U418" s="847"/>
      <c r="V418" s="847"/>
      <c r="W418" s="847"/>
      <c r="X418" s="847"/>
      <c r="Y418" s="847"/>
      <c r="Z418" s="847"/>
      <c r="AA418" s="847"/>
      <c r="AB418" s="847"/>
      <c r="AC418" s="847"/>
      <c r="AD418" s="847"/>
      <c r="AE418" s="847"/>
      <c r="AF418" s="847"/>
      <c r="AG418" s="847"/>
    </row>
    <row r="419">
      <c r="A419" s="847"/>
      <c r="B419" s="847"/>
      <c r="C419" s="847"/>
      <c r="D419" s="847"/>
      <c r="E419" s="847"/>
      <c r="F419" s="847"/>
      <c r="G419" s="847"/>
      <c r="H419" s="847"/>
      <c r="I419" s="847"/>
      <c r="J419" s="847"/>
      <c r="K419" s="847"/>
      <c r="L419" s="847"/>
      <c r="M419" s="847"/>
      <c r="N419" s="847"/>
      <c r="O419" s="847"/>
      <c r="P419" s="847"/>
      <c r="Q419" s="847"/>
      <c r="R419" s="847"/>
      <c r="S419" s="847"/>
      <c r="T419" s="847"/>
      <c r="U419" s="847"/>
      <c r="V419" s="847"/>
      <c r="W419" s="847"/>
      <c r="X419" s="847"/>
      <c r="Y419" s="847"/>
      <c r="Z419" s="847"/>
      <c r="AA419" s="847"/>
      <c r="AB419" s="847"/>
      <c r="AC419" s="847"/>
      <c r="AD419" s="847"/>
      <c r="AE419" s="847"/>
      <c r="AF419" s="847"/>
      <c r="AG419" s="847"/>
    </row>
    <row r="420">
      <c r="A420" s="847"/>
      <c r="B420" s="847"/>
      <c r="C420" s="847"/>
      <c r="D420" s="847"/>
      <c r="E420" s="847"/>
      <c r="F420" s="847"/>
      <c r="G420" s="847"/>
      <c r="H420" s="847"/>
      <c r="I420" s="847"/>
      <c r="J420" s="847"/>
      <c r="K420" s="847"/>
      <c r="L420" s="847"/>
      <c r="M420" s="847"/>
      <c r="N420" s="847"/>
      <c r="O420" s="847"/>
      <c r="P420" s="847"/>
      <c r="Q420" s="847"/>
      <c r="R420" s="847"/>
      <c r="S420" s="847"/>
      <c r="T420" s="847"/>
      <c r="U420" s="847"/>
      <c r="V420" s="847"/>
      <c r="W420" s="847"/>
      <c r="X420" s="847"/>
      <c r="Y420" s="847"/>
      <c r="Z420" s="847"/>
      <c r="AA420" s="847"/>
      <c r="AB420" s="847"/>
      <c r="AC420" s="847"/>
      <c r="AD420" s="847"/>
      <c r="AE420" s="847"/>
      <c r="AF420" s="847"/>
      <c r="AG420" s="847"/>
    </row>
    <row r="421">
      <c r="A421" s="847"/>
      <c r="B421" s="847"/>
      <c r="C421" s="847"/>
      <c r="D421" s="847"/>
      <c r="E421" s="847"/>
      <c r="F421" s="847"/>
      <c r="G421" s="847"/>
      <c r="H421" s="847"/>
      <c r="I421" s="847"/>
      <c r="J421" s="847"/>
      <c r="K421" s="847"/>
      <c r="L421" s="847"/>
      <c r="M421" s="847"/>
      <c r="N421" s="847"/>
      <c r="O421" s="847"/>
      <c r="P421" s="847"/>
      <c r="Q421" s="847"/>
      <c r="R421" s="847"/>
      <c r="S421" s="847"/>
      <c r="T421" s="847"/>
      <c r="U421" s="847"/>
      <c r="V421" s="847"/>
      <c r="W421" s="847"/>
      <c r="X421" s="847"/>
      <c r="Y421" s="847"/>
      <c r="Z421" s="847"/>
      <c r="AA421" s="847"/>
      <c r="AB421" s="847"/>
      <c r="AC421" s="847"/>
      <c r="AD421" s="847"/>
      <c r="AE421" s="847"/>
      <c r="AF421" s="847"/>
      <c r="AG421" s="847"/>
    </row>
    <row r="422">
      <c r="A422" s="847"/>
      <c r="B422" s="847"/>
      <c r="C422" s="847"/>
      <c r="D422" s="847"/>
      <c r="E422" s="847"/>
      <c r="F422" s="847"/>
      <c r="G422" s="847"/>
      <c r="H422" s="847"/>
      <c r="I422" s="847"/>
      <c r="J422" s="847"/>
      <c r="K422" s="847"/>
      <c r="L422" s="847"/>
      <c r="M422" s="847"/>
      <c r="N422" s="847"/>
      <c r="O422" s="847"/>
      <c r="P422" s="847"/>
      <c r="Q422" s="847"/>
      <c r="R422" s="847"/>
      <c r="S422" s="847"/>
      <c r="T422" s="847"/>
      <c r="U422" s="847"/>
      <c r="V422" s="847"/>
      <c r="W422" s="847"/>
      <c r="X422" s="847"/>
      <c r="Y422" s="847"/>
      <c r="Z422" s="847"/>
      <c r="AA422" s="847"/>
      <c r="AB422" s="847"/>
      <c r="AC422" s="847"/>
      <c r="AD422" s="847"/>
      <c r="AE422" s="847"/>
      <c r="AF422" s="847"/>
      <c r="AG422" s="847"/>
    </row>
    <row r="423">
      <c r="A423" s="847"/>
      <c r="B423" s="847"/>
      <c r="C423" s="847"/>
      <c r="D423" s="847"/>
      <c r="E423" s="847"/>
      <c r="F423" s="847"/>
      <c r="G423" s="847"/>
      <c r="H423" s="847"/>
      <c r="I423" s="847"/>
      <c r="J423" s="847"/>
      <c r="K423" s="847"/>
      <c r="L423" s="847"/>
      <c r="M423" s="847"/>
      <c r="N423" s="847"/>
      <c r="O423" s="847"/>
      <c r="P423" s="847"/>
      <c r="Q423" s="847"/>
      <c r="R423" s="847"/>
      <c r="S423" s="847"/>
      <c r="T423" s="847"/>
      <c r="U423" s="847"/>
      <c r="V423" s="847"/>
      <c r="W423" s="847"/>
      <c r="X423" s="847"/>
      <c r="Y423" s="847"/>
      <c r="Z423" s="847"/>
      <c r="AA423" s="847"/>
      <c r="AB423" s="847"/>
      <c r="AC423" s="847"/>
      <c r="AD423" s="847"/>
      <c r="AE423" s="847"/>
      <c r="AF423" s="847"/>
      <c r="AG423" s="847"/>
    </row>
    <row r="424">
      <c r="A424" s="847"/>
      <c r="B424" s="847"/>
      <c r="C424" s="847"/>
      <c r="D424" s="847"/>
      <c r="E424" s="847"/>
      <c r="F424" s="847"/>
      <c r="G424" s="847"/>
      <c r="H424" s="847"/>
      <c r="I424" s="847"/>
      <c r="J424" s="847"/>
      <c r="K424" s="847"/>
      <c r="L424" s="847"/>
      <c r="M424" s="847"/>
      <c r="N424" s="847"/>
      <c r="O424" s="847"/>
      <c r="P424" s="847"/>
      <c r="Q424" s="847"/>
      <c r="R424" s="847"/>
      <c r="S424" s="847"/>
      <c r="T424" s="847"/>
      <c r="U424" s="847"/>
      <c r="V424" s="847"/>
      <c r="W424" s="847"/>
      <c r="X424" s="847"/>
      <c r="Y424" s="847"/>
      <c r="Z424" s="847"/>
      <c r="AA424" s="847"/>
      <c r="AB424" s="847"/>
      <c r="AC424" s="847"/>
      <c r="AD424" s="847"/>
      <c r="AE424" s="847"/>
      <c r="AF424" s="847"/>
      <c r="AG424" s="847"/>
    </row>
    <row r="425">
      <c r="A425" s="847"/>
      <c r="B425" s="847"/>
      <c r="C425" s="847"/>
      <c r="D425" s="847"/>
      <c r="E425" s="847"/>
      <c r="F425" s="847"/>
      <c r="G425" s="847"/>
      <c r="H425" s="847"/>
      <c r="I425" s="847"/>
      <c r="J425" s="847"/>
      <c r="K425" s="847"/>
      <c r="L425" s="847"/>
      <c r="M425" s="847"/>
      <c r="N425" s="847"/>
      <c r="O425" s="847"/>
      <c r="P425" s="847"/>
      <c r="Q425" s="847"/>
      <c r="R425" s="847"/>
      <c r="S425" s="847"/>
      <c r="T425" s="847"/>
      <c r="U425" s="847"/>
      <c r="V425" s="847"/>
      <c r="W425" s="847"/>
      <c r="X425" s="847"/>
      <c r="Y425" s="847"/>
      <c r="Z425" s="847"/>
      <c r="AA425" s="847"/>
      <c r="AB425" s="847"/>
      <c r="AC425" s="847"/>
      <c r="AD425" s="847"/>
      <c r="AE425" s="847"/>
      <c r="AF425" s="847"/>
      <c r="AG425" s="847"/>
    </row>
    <row r="426">
      <c r="A426" s="847"/>
      <c r="B426" s="847"/>
      <c r="C426" s="847"/>
      <c r="D426" s="847"/>
      <c r="E426" s="847"/>
      <c r="F426" s="847"/>
      <c r="G426" s="847"/>
      <c r="H426" s="847"/>
      <c r="I426" s="847"/>
      <c r="J426" s="847"/>
      <c r="K426" s="847"/>
      <c r="L426" s="847"/>
      <c r="M426" s="847"/>
      <c r="N426" s="847"/>
      <c r="O426" s="847"/>
      <c r="P426" s="847"/>
      <c r="Q426" s="847"/>
      <c r="R426" s="847"/>
      <c r="S426" s="847"/>
      <c r="T426" s="847"/>
      <c r="U426" s="847"/>
      <c r="V426" s="847"/>
      <c r="W426" s="847"/>
      <c r="X426" s="847"/>
      <c r="Y426" s="847"/>
      <c r="Z426" s="847"/>
      <c r="AA426" s="847"/>
      <c r="AB426" s="847"/>
      <c r="AC426" s="847"/>
      <c r="AD426" s="847"/>
      <c r="AE426" s="847"/>
      <c r="AF426" s="847"/>
      <c r="AG426" s="847"/>
    </row>
    <row r="427">
      <c r="A427" s="847"/>
      <c r="B427" s="847"/>
      <c r="C427" s="847"/>
      <c r="D427" s="847"/>
      <c r="E427" s="847"/>
      <c r="F427" s="847"/>
      <c r="G427" s="847"/>
      <c r="H427" s="847"/>
      <c r="I427" s="847"/>
      <c r="J427" s="847"/>
      <c r="K427" s="847"/>
      <c r="L427" s="847"/>
      <c r="M427" s="847"/>
      <c r="N427" s="847"/>
      <c r="O427" s="847"/>
      <c r="P427" s="847"/>
      <c r="Q427" s="847"/>
      <c r="R427" s="847"/>
      <c r="S427" s="847"/>
      <c r="T427" s="847"/>
      <c r="U427" s="847"/>
      <c r="V427" s="847"/>
      <c r="W427" s="847"/>
      <c r="X427" s="847"/>
      <c r="Y427" s="847"/>
      <c r="Z427" s="847"/>
      <c r="AA427" s="847"/>
      <c r="AB427" s="847"/>
      <c r="AC427" s="847"/>
      <c r="AD427" s="847"/>
      <c r="AE427" s="847"/>
      <c r="AF427" s="847"/>
      <c r="AG427" s="847"/>
    </row>
    <row r="428">
      <c r="A428" s="847"/>
      <c r="B428" s="847"/>
      <c r="C428" s="847"/>
      <c r="D428" s="847"/>
      <c r="E428" s="847"/>
      <c r="F428" s="847"/>
      <c r="G428" s="847"/>
      <c r="H428" s="847"/>
      <c r="I428" s="847"/>
      <c r="J428" s="847"/>
      <c r="K428" s="847"/>
      <c r="L428" s="847"/>
      <c r="M428" s="847"/>
      <c r="N428" s="847"/>
      <c r="O428" s="847"/>
      <c r="P428" s="847"/>
      <c r="Q428" s="847"/>
      <c r="R428" s="847"/>
      <c r="S428" s="847"/>
      <c r="T428" s="847"/>
      <c r="U428" s="847"/>
      <c r="V428" s="847"/>
      <c r="W428" s="847"/>
      <c r="X428" s="847"/>
      <c r="Y428" s="847"/>
      <c r="Z428" s="847"/>
      <c r="AA428" s="847"/>
      <c r="AB428" s="847"/>
      <c r="AC428" s="847"/>
      <c r="AD428" s="847"/>
      <c r="AE428" s="847"/>
      <c r="AF428" s="847"/>
      <c r="AG428" s="847"/>
    </row>
    <row r="429">
      <c r="A429" s="847"/>
      <c r="B429" s="847"/>
      <c r="C429" s="847"/>
      <c r="D429" s="847"/>
      <c r="E429" s="847"/>
      <c r="F429" s="847"/>
      <c r="G429" s="847"/>
      <c r="H429" s="847"/>
      <c r="I429" s="847"/>
      <c r="J429" s="847"/>
      <c r="K429" s="847"/>
      <c r="L429" s="847"/>
      <c r="M429" s="847"/>
      <c r="N429" s="847"/>
      <c r="O429" s="847"/>
      <c r="P429" s="847"/>
      <c r="Q429" s="847"/>
      <c r="R429" s="847"/>
      <c r="S429" s="847"/>
      <c r="T429" s="847"/>
      <c r="U429" s="847"/>
      <c r="V429" s="847"/>
      <c r="W429" s="847"/>
      <c r="X429" s="847"/>
      <c r="Y429" s="847"/>
      <c r="Z429" s="847"/>
      <c r="AA429" s="847"/>
      <c r="AB429" s="847"/>
      <c r="AC429" s="847"/>
      <c r="AD429" s="847"/>
      <c r="AE429" s="847"/>
      <c r="AF429" s="847"/>
      <c r="AG429" s="847"/>
    </row>
    <row r="430">
      <c r="A430" s="847"/>
      <c r="B430" s="847"/>
      <c r="C430" s="847"/>
      <c r="D430" s="847"/>
      <c r="E430" s="847"/>
      <c r="F430" s="847"/>
      <c r="G430" s="847"/>
      <c r="H430" s="847"/>
      <c r="I430" s="847"/>
      <c r="J430" s="847"/>
      <c r="K430" s="847"/>
      <c r="L430" s="847"/>
      <c r="M430" s="847"/>
      <c r="N430" s="847"/>
      <c r="O430" s="847"/>
      <c r="P430" s="847"/>
      <c r="Q430" s="847"/>
      <c r="R430" s="847"/>
      <c r="S430" s="847"/>
      <c r="T430" s="847"/>
      <c r="U430" s="847"/>
      <c r="V430" s="847"/>
      <c r="W430" s="847"/>
      <c r="X430" s="847"/>
      <c r="Y430" s="847"/>
      <c r="Z430" s="847"/>
      <c r="AA430" s="847"/>
      <c r="AB430" s="847"/>
      <c r="AC430" s="847"/>
      <c r="AD430" s="847"/>
      <c r="AE430" s="847"/>
      <c r="AF430" s="847"/>
      <c r="AG430" s="847"/>
    </row>
    <row r="431">
      <c r="A431" s="847"/>
      <c r="B431" s="847"/>
      <c r="C431" s="847"/>
      <c r="D431" s="847"/>
      <c r="E431" s="847"/>
      <c r="F431" s="847"/>
      <c r="G431" s="847"/>
      <c r="H431" s="847"/>
      <c r="I431" s="847"/>
      <c r="J431" s="847"/>
      <c r="K431" s="847"/>
      <c r="L431" s="847"/>
      <c r="M431" s="847"/>
      <c r="N431" s="847"/>
      <c r="O431" s="847"/>
      <c r="P431" s="847"/>
      <c r="Q431" s="847"/>
      <c r="R431" s="847"/>
      <c r="S431" s="847"/>
      <c r="T431" s="847"/>
      <c r="U431" s="847"/>
      <c r="V431" s="847"/>
      <c r="W431" s="847"/>
      <c r="X431" s="847"/>
      <c r="Y431" s="847"/>
      <c r="Z431" s="847"/>
      <c r="AA431" s="847"/>
      <c r="AB431" s="847"/>
      <c r="AC431" s="847"/>
      <c r="AD431" s="847"/>
      <c r="AE431" s="847"/>
      <c r="AF431" s="847"/>
      <c r="AG431" s="847"/>
    </row>
    <row r="432">
      <c r="A432" s="847"/>
      <c r="B432" s="847"/>
      <c r="C432" s="847"/>
      <c r="D432" s="847"/>
      <c r="E432" s="847"/>
      <c r="F432" s="847"/>
      <c r="G432" s="847"/>
      <c r="H432" s="847"/>
      <c r="I432" s="847"/>
      <c r="J432" s="847"/>
      <c r="K432" s="847"/>
      <c r="L432" s="847"/>
      <c r="M432" s="847"/>
      <c r="N432" s="847"/>
      <c r="O432" s="847"/>
      <c r="P432" s="847"/>
      <c r="Q432" s="847"/>
      <c r="R432" s="847"/>
      <c r="S432" s="847"/>
      <c r="T432" s="847"/>
      <c r="U432" s="847"/>
      <c r="V432" s="847"/>
      <c r="W432" s="847"/>
      <c r="X432" s="847"/>
      <c r="Y432" s="847"/>
      <c r="Z432" s="847"/>
      <c r="AA432" s="847"/>
      <c r="AB432" s="847"/>
      <c r="AC432" s="847"/>
      <c r="AD432" s="847"/>
      <c r="AE432" s="847"/>
      <c r="AF432" s="847"/>
      <c r="AG432" s="847"/>
    </row>
    <row r="433">
      <c r="A433" s="847"/>
      <c r="B433" s="847"/>
      <c r="C433" s="847"/>
      <c r="D433" s="847"/>
      <c r="E433" s="847"/>
      <c r="F433" s="847"/>
      <c r="G433" s="847"/>
      <c r="H433" s="847"/>
      <c r="I433" s="847"/>
      <c r="J433" s="847"/>
      <c r="K433" s="847"/>
      <c r="L433" s="847"/>
      <c r="M433" s="847"/>
      <c r="N433" s="847"/>
      <c r="O433" s="847"/>
      <c r="P433" s="847"/>
      <c r="Q433" s="847"/>
      <c r="R433" s="847"/>
      <c r="S433" s="847"/>
      <c r="T433" s="847"/>
      <c r="U433" s="847"/>
      <c r="V433" s="847"/>
      <c r="W433" s="847"/>
      <c r="X433" s="847"/>
      <c r="Y433" s="847"/>
      <c r="Z433" s="847"/>
      <c r="AA433" s="847"/>
      <c r="AB433" s="847"/>
      <c r="AC433" s="847"/>
      <c r="AD433" s="847"/>
      <c r="AE433" s="847"/>
      <c r="AF433" s="847"/>
      <c r="AG433" s="847"/>
    </row>
    <row r="434">
      <c r="A434" s="847"/>
      <c r="B434" s="847"/>
      <c r="C434" s="847"/>
      <c r="D434" s="847"/>
      <c r="E434" s="847"/>
      <c r="F434" s="847"/>
      <c r="G434" s="847"/>
      <c r="H434" s="847"/>
      <c r="I434" s="847"/>
      <c r="J434" s="847"/>
      <c r="K434" s="847"/>
      <c r="L434" s="847"/>
      <c r="M434" s="847"/>
      <c r="N434" s="847"/>
      <c r="O434" s="847"/>
      <c r="P434" s="847"/>
      <c r="Q434" s="847"/>
      <c r="R434" s="847"/>
      <c r="S434" s="847"/>
      <c r="T434" s="847"/>
      <c r="U434" s="847"/>
      <c r="V434" s="847"/>
      <c r="W434" s="847"/>
      <c r="X434" s="847"/>
      <c r="Y434" s="847"/>
      <c r="Z434" s="847"/>
      <c r="AA434" s="847"/>
      <c r="AB434" s="847"/>
      <c r="AC434" s="847"/>
      <c r="AD434" s="847"/>
      <c r="AE434" s="847"/>
      <c r="AF434" s="847"/>
      <c r="AG434" s="847"/>
    </row>
    <row r="435">
      <c r="A435" s="847"/>
      <c r="B435" s="847"/>
      <c r="C435" s="847"/>
      <c r="D435" s="847"/>
      <c r="E435" s="847"/>
      <c r="F435" s="847"/>
      <c r="G435" s="847"/>
      <c r="H435" s="847"/>
      <c r="I435" s="847"/>
      <c r="J435" s="847"/>
      <c r="K435" s="847"/>
      <c r="L435" s="847"/>
      <c r="M435" s="847"/>
      <c r="N435" s="847"/>
      <c r="O435" s="847"/>
      <c r="P435" s="847"/>
      <c r="Q435" s="847"/>
      <c r="R435" s="847"/>
      <c r="S435" s="847"/>
      <c r="T435" s="847"/>
      <c r="U435" s="847"/>
      <c r="V435" s="847"/>
      <c r="W435" s="847"/>
      <c r="X435" s="847"/>
      <c r="Y435" s="847"/>
      <c r="Z435" s="847"/>
      <c r="AA435" s="847"/>
      <c r="AB435" s="847"/>
      <c r="AC435" s="847"/>
      <c r="AD435" s="847"/>
      <c r="AE435" s="847"/>
      <c r="AF435" s="847"/>
      <c r="AG435" s="847"/>
    </row>
    <row r="436">
      <c r="A436" s="847"/>
      <c r="B436" s="847"/>
      <c r="C436" s="847"/>
      <c r="D436" s="847"/>
      <c r="E436" s="847"/>
      <c r="F436" s="847"/>
      <c r="G436" s="847"/>
      <c r="H436" s="847"/>
      <c r="I436" s="847"/>
      <c r="J436" s="847"/>
      <c r="K436" s="847"/>
      <c r="L436" s="847"/>
      <c r="M436" s="847"/>
      <c r="N436" s="847"/>
      <c r="O436" s="847"/>
      <c r="P436" s="847"/>
      <c r="Q436" s="847"/>
      <c r="R436" s="847"/>
      <c r="S436" s="847"/>
      <c r="T436" s="847"/>
      <c r="U436" s="847"/>
      <c r="V436" s="847"/>
      <c r="W436" s="847"/>
      <c r="X436" s="847"/>
      <c r="Y436" s="847"/>
      <c r="Z436" s="847"/>
      <c r="AA436" s="847"/>
      <c r="AB436" s="847"/>
      <c r="AC436" s="847"/>
      <c r="AD436" s="847"/>
      <c r="AE436" s="847"/>
      <c r="AF436" s="847"/>
      <c r="AG436" s="847"/>
    </row>
    <row r="437">
      <c r="A437" s="847"/>
      <c r="B437" s="847"/>
      <c r="C437" s="847"/>
      <c r="D437" s="847"/>
      <c r="E437" s="847"/>
      <c r="F437" s="847"/>
      <c r="G437" s="847"/>
      <c r="H437" s="847"/>
      <c r="I437" s="847"/>
      <c r="J437" s="847"/>
      <c r="K437" s="847"/>
      <c r="L437" s="847"/>
      <c r="M437" s="847"/>
      <c r="N437" s="847"/>
      <c r="O437" s="847"/>
      <c r="P437" s="847"/>
      <c r="Q437" s="847"/>
      <c r="R437" s="847"/>
      <c r="S437" s="847"/>
      <c r="T437" s="847"/>
      <c r="U437" s="847"/>
      <c r="V437" s="847"/>
      <c r="W437" s="847"/>
      <c r="X437" s="847"/>
      <c r="Y437" s="847"/>
      <c r="Z437" s="847"/>
      <c r="AA437" s="847"/>
      <c r="AB437" s="847"/>
      <c r="AC437" s="847"/>
      <c r="AD437" s="847"/>
      <c r="AE437" s="847"/>
      <c r="AF437" s="847"/>
      <c r="AG437" s="847"/>
    </row>
    <row r="438">
      <c r="A438" s="847"/>
      <c r="B438" s="847"/>
      <c r="C438" s="847"/>
      <c r="D438" s="847"/>
      <c r="E438" s="847"/>
      <c r="F438" s="847"/>
      <c r="G438" s="847"/>
      <c r="H438" s="847"/>
      <c r="I438" s="847"/>
      <c r="J438" s="847"/>
      <c r="K438" s="847"/>
      <c r="L438" s="847"/>
      <c r="M438" s="847"/>
      <c r="N438" s="847"/>
      <c r="O438" s="847"/>
      <c r="P438" s="847"/>
      <c r="Q438" s="847"/>
      <c r="R438" s="847"/>
      <c r="S438" s="847"/>
      <c r="T438" s="847"/>
      <c r="U438" s="847"/>
      <c r="V438" s="847"/>
      <c r="W438" s="847"/>
      <c r="X438" s="847"/>
      <c r="Y438" s="847"/>
      <c r="Z438" s="847"/>
      <c r="AA438" s="847"/>
      <c r="AB438" s="847"/>
      <c r="AC438" s="847"/>
      <c r="AD438" s="847"/>
      <c r="AE438" s="847"/>
      <c r="AF438" s="847"/>
      <c r="AG438" s="847"/>
    </row>
    <row r="439">
      <c r="A439" s="847"/>
      <c r="B439" s="847"/>
      <c r="C439" s="847"/>
      <c r="D439" s="847"/>
      <c r="E439" s="847"/>
      <c r="F439" s="847"/>
      <c r="G439" s="847"/>
      <c r="H439" s="847"/>
      <c r="I439" s="847"/>
      <c r="J439" s="847"/>
      <c r="K439" s="847"/>
      <c r="L439" s="847"/>
      <c r="M439" s="847"/>
      <c r="N439" s="847"/>
      <c r="O439" s="847"/>
      <c r="P439" s="847"/>
      <c r="Q439" s="847"/>
      <c r="R439" s="847"/>
      <c r="S439" s="847"/>
      <c r="T439" s="847"/>
      <c r="U439" s="847"/>
      <c r="V439" s="847"/>
      <c r="W439" s="847"/>
      <c r="X439" s="847"/>
      <c r="Y439" s="847"/>
      <c r="Z439" s="847"/>
      <c r="AA439" s="847"/>
      <c r="AB439" s="847"/>
      <c r="AC439" s="847"/>
      <c r="AD439" s="847"/>
      <c r="AE439" s="847"/>
      <c r="AF439" s="847"/>
      <c r="AG439" s="847"/>
    </row>
    <row r="440">
      <c r="A440" s="847"/>
      <c r="B440" s="847"/>
      <c r="C440" s="847"/>
      <c r="D440" s="847"/>
      <c r="E440" s="847"/>
      <c r="F440" s="847"/>
      <c r="G440" s="847"/>
      <c r="H440" s="847"/>
      <c r="I440" s="847"/>
      <c r="J440" s="847"/>
      <c r="K440" s="847"/>
      <c r="L440" s="847"/>
      <c r="M440" s="847"/>
      <c r="N440" s="847"/>
      <c r="O440" s="847"/>
      <c r="P440" s="847"/>
      <c r="Q440" s="847"/>
      <c r="R440" s="847"/>
      <c r="S440" s="847"/>
      <c r="T440" s="847"/>
      <c r="U440" s="847"/>
      <c r="V440" s="847"/>
      <c r="W440" s="847"/>
      <c r="X440" s="847"/>
      <c r="Y440" s="847"/>
      <c r="Z440" s="847"/>
      <c r="AA440" s="847"/>
      <c r="AB440" s="847"/>
      <c r="AC440" s="847"/>
      <c r="AD440" s="847"/>
      <c r="AE440" s="847"/>
      <c r="AF440" s="847"/>
      <c r="AG440" s="847"/>
    </row>
    <row r="441">
      <c r="A441" s="847"/>
      <c r="B441" s="847"/>
      <c r="C441" s="847"/>
      <c r="D441" s="847"/>
      <c r="E441" s="847"/>
      <c r="F441" s="847"/>
      <c r="G441" s="847"/>
      <c r="H441" s="847"/>
      <c r="I441" s="847"/>
      <c r="J441" s="847"/>
      <c r="K441" s="847"/>
      <c r="L441" s="847"/>
      <c r="M441" s="847"/>
      <c r="N441" s="847"/>
      <c r="O441" s="847"/>
      <c r="P441" s="847"/>
      <c r="Q441" s="847"/>
      <c r="R441" s="847"/>
      <c r="S441" s="847"/>
      <c r="T441" s="847"/>
      <c r="U441" s="847"/>
      <c r="V441" s="847"/>
      <c r="W441" s="847"/>
      <c r="X441" s="847"/>
      <c r="Y441" s="847"/>
      <c r="Z441" s="847"/>
      <c r="AA441" s="847"/>
      <c r="AB441" s="847"/>
      <c r="AC441" s="847"/>
      <c r="AD441" s="847"/>
      <c r="AE441" s="847"/>
      <c r="AF441" s="847"/>
      <c r="AG441" s="847"/>
    </row>
    <row r="442">
      <c r="A442" s="847"/>
      <c r="B442" s="847"/>
      <c r="C442" s="847"/>
      <c r="D442" s="847"/>
      <c r="E442" s="847"/>
      <c r="F442" s="847"/>
      <c r="G442" s="847"/>
      <c r="H442" s="847"/>
      <c r="I442" s="847"/>
      <c r="J442" s="847"/>
      <c r="K442" s="847"/>
      <c r="L442" s="847"/>
      <c r="M442" s="847"/>
      <c r="N442" s="847"/>
      <c r="O442" s="847"/>
      <c r="P442" s="847"/>
      <c r="Q442" s="847"/>
      <c r="R442" s="847"/>
      <c r="S442" s="847"/>
      <c r="T442" s="847"/>
      <c r="U442" s="847"/>
      <c r="V442" s="847"/>
      <c r="W442" s="847"/>
      <c r="X442" s="847"/>
      <c r="Y442" s="847"/>
      <c r="Z442" s="847"/>
      <c r="AA442" s="847"/>
      <c r="AB442" s="847"/>
      <c r="AC442" s="847"/>
      <c r="AD442" s="847"/>
      <c r="AE442" s="847"/>
      <c r="AF442" s="847"/>
      <c r="AG442" s="847"/>
    </row>
    <row r="443">
      <c r="A443" s="847"/>
      <c r="B443" s="847"/>
      <c r="C443" s="847"/>
      <c r="D443" s="847"/>
      <c r="E443" s="847"/>
      <c r="F443" s="847"/>
      <c r="G443" s="847"/>
      <c r="H443" s="847"/>
      <c r="I443" s="847"/>
      <c r="J443" s="847"/>
      <c r="K443" s="847"/>
      <c r="L443" s="847"/>
      <c r="M443" s="847"/>
      <c r="N443" s="847"/>
      <c r="O443" s="847"/>
      <c r="P443" s="847"/>
      <c r="Q443" s="847"/>
      <c r="R443" s="847"/>
      <c r="S443" s="847"/>
      <c r="T443" s="847"/>
      <c r="U443" s="847"/>
      <c r="V443" s="847"/>
      <c r="W443" s="847"/>
      <c r="X443" s="847"/>
      <c r="Y443" s="847"/>
      <c r="Z443" s="847"/>
      <c r="AA443" s="847"/>
      <c r="AB443" s="847"/>
      <c r="AC443" s="847"/>
      <c r="AD443" s="847"/>
      <c r="AE443" s="847"/>
      <c r="AF443" s="847"/>
      <c r="AG443" s="847"/>
    </row>
    <row r="444">
      <c r="A444" s="847"/>
      <c r="B444" s="847"/>
      <c r="C444" s="847"/>
      <c r="D444" s="847"/>
      <c r="E444" s="847"/>
      <c r="F444" s="847"/>
      <c r="G444" s="847"/>
      <c r="H444" s="847"/>
      <c r="I444" s="847"/>
      <c r="J444" s="847"/>
      <c r="K444" s="847"/>
      <c r="L444" s="847"/>
      <c r="M444" s="847"/>
      <c r="N444" s="847"/>
      <c r="O444" s="847"/>
      <c r="P444" s="847"/>
      <c r="Q444" s="847"/>
      <c r="R444" s="847"/>
      <c r="S444" s="847"/>
      <c r="T444" s="847"/>
      <c r="U444" s="847"/>
      <c r="V444" s="847"/>
      <c r="W444" s="847"/>
      <c r="X444" s="847"/>
      <c r="Y444" s="847"/>
      <c r="Z444" s="847"/>
      <c r="AA444" s="847"/>
      <c r="AB444" s="847"/>
      <c r="AC444" s="847"/>
      <c r="AD444" s="847"/>
      <c r="AE444" s="847"/>
      <c r="AF444" s="847"/>
      <c r="AG444" s="847"/>
    </row>
    <row r="445">
      <c r="A445" s="847"/>
      <c r="B445" s="847"/>
      <c r="C445" s="847"/>
      <c r="D445" s="847"/>
      <c r="E445" s="847"/>
      <c r="F445" s="847"/>
      <c r="G445" s="847"/>
      <c r="H445" s="847"/>
      <c r="I445" s="847"/>
      <c r="J445" s="847"/>
      <c r="K445" s="847"/>
      <c r="L445" s="847"/>
      <c r="M445" s="847"/>
      <c r="N445" s="847"/>
      <c r="O445" s="847"/>
      <c r="P445" s="847"/>
      <c r="Q445" s="847"/>
      <c r="R445" s="847"/>
      <c r="S445" s="847"/>
      <c r="T445" s="847"/>
      <c r="U445" s="847"/>
      <c r="V445" s="847"/>
      <c r="W445" s="847"/>
      <c r="X445" s="847"/>
      <c r="Y445" s="847"/>
      <c r="Z445" s="847"/>
      <c r="AA445" s="847"/>
      <c r="AB445" s="847"/>
      <c r="AC445" s="847"/>
      <c r="AD445" s="847"/>
      <c r="AE445" s="847"/>
      <c r="AF445" s="847"/>
      <c r="AG445" s="847"/>
    </row>
    <row r="446">
      <c r="A446" s="847"/>
      <c r="B446" s="847"/>
      <c r="C446" s="847"/>
      <c r="D446" s="847"/>
      <c r="E446" s="847"/>
      <c r="F446" s="847"/>
      <c r="G446" s="847"/>
      <c r="H446" s="847"/>
      <c r="I446" s="847"/>
      <c r="J446" s="847"/>
      <c r="K446" s="847"/>
      <c r="L446" s="847"/>
      <c r="M446" s="847"/>
      <c r="N446" s="847"/>
      <c r="O446" s="847"/>
      <c r="P446" s="847"/>
      <c r="Q446" s="847"/>
      <c r="R446" s="847"/>
      <c r="S446" s="847"/>
      <c r="T446" s="847"/>
      <c r="U446" s="847"/>
      <c r="V446" s="847"/>
      <c r="W446" s="847"/>
      <c r="X446" s="847"/>
      <c r="Y446" s="847"/>
      <c r="Z446" s="847"/>
      <c r="AA446" s="847"/>
      <c r="AB446" s="847"/>
      <c r="AC446" s="847"/>
      <c r="AD446" s="847"/>
      <c r="AE446" s="847"/>
      <c r="AF446" s="847"/>
      <c r="AG446" s="847"/>
    </row>
    <row r="447">
      <c r="A447" s="847"/>
      <c r="B447" s="847"/>
      <c r="C447" s="847"/>
      <c r="D447" s="847"/>
      <c r="E447" s="847"/>
      <c r="F447" s="847"/>
      <c r="G447" s="847"/>
      <c r="H447" s="847"/>
      <c r="I447" s="847"/>
      <c r="J447" s="847"/>
      <c r="K447" s="847"/>
      <c r="L447" s="847"/>
      <c r="M447" s="847"/>
      <c r="N447" s="847"/>
      <c r="O447" s="847"/>
      <c r="P447" s="847"/>
      <c r="Q447" s="847"/>
      <c r="R447" s="847"/>
      <c r="S447" s="847"/>
      <c r="T447" s="847"/>
      <c r="U447" s="847"/>
      <c r="V447" s="847"/>
      <c r="W447" s="847"/>
      <c r="X447" s="847"/>
      <c r="Y447" s="847"/>
      <c r="Z447" s="847"/>
      <c r="AA447" s="847"/>
      <c r="AB447" s="847"/>
      <c r="AC447" s="847"/>
      <c r="AD447" s="847"/>
      <c r="AE447" s="847"/>
      <c r="AF447" s="847"/>
      <c r="AG447" s="847"/>
    </row>
    <row r="448">
      <c r="A448" s="847"/>
      <c r="B448" s="847"/>
      <c r="C448" s="847"/>
      <c r="D448" s="847"/>
      <c r="E448" s="847"/>
      <c r="F448" s="847"/>
      <c r="G448" s="847"/>
      <c r="H448" s="847"/>
      <c r="I448" s="847"/>
      <c r="J448" s="847"/>
      <c r="K448" s="847"/>
      <c r="L448" s="847"/>
      <c r="M448" s="847"/>
      <c r="N448" s="847"/>
      <c r="O448" s="847"/>
      <c r="P448" s="847"/>
      <c r="Q448" s="847"/>
      <c r="R448" s="847"/>
      <c r="S448" s="847"/>
      <c r="T448" s="847"/>
      <c r="U448" s="847"/>
      <c r="V448" s="847"/>
      <c r="W448" s="847"/>
      <c r="X448" s="847"/>
      <c r="Y448" s="847"/>
      <c r="Z448" s="847"/>
      <c r="AA448" s="847"/>
      <c r="AB448" s="847"/>
      <c r="AC448" s="847"/>
      <c r="AD448" s="847"/>
      <c r="AE448" s="847"/>
      <c r="AF448" s="847"/>
      <c r="AG448" s="847"/>
    </row>
    <row r="449">
      <c r="A449" s="847"/>
      <c r="B449" s="847"/>
      <c r="C449" s="847"/>
      <c r="D449" s="847"/>
      <c r="E449" s="847"/>
      <c r="F449" s="847"/>
      <c r="G449" s="847"/>
      <c r="H449" s="847"/>
      <c r="I449" s="847"/>
      <c r="J449" s="847"/>
      <c r="K449" s="847"/>
      <c r="L449" s="847"/>
      <c r="M449" s="847"/>
      <c r="N449" s="847"/>
      <c r="O449" s="847"/>
      <c r="P449" s="847"/>
      <c r="Q449" s="847"/>
      <c r="R449" s="847"/>
      <c r="S449" s="847"/>
      <c r="T449" s="847"/>
      <c r="U449" s="847"/>
      <c r="V449" s="847"/>
      <c r="W449" s="847"/>
      <c r="X449" s="847"/>
      <c r="Y449" s="847"/>
      <c r="Z449" s="847"/>
      <c r="AA449" s="847"/>
      <c r="AB449" s="847"/>
      <c r="AC449" s="847"/>
      <c r="AD449" s="847"/>
      <c r="AE449" s="847"/>
      <c r="AF449" s="847"/>
      <c r="AG449" s="847"/>
    </row>
    <row r="450">
      <c r="A450" s="847"/>
      <c r="B450" s="847"/>
      <c r="C450" s="847"/>
      <c r="D450" s="847"/>
      <c r="E450" s="847"/>
      <c r="F450" s="847"/>
      <c r="G450" s="847"/>
      <c r="H450" s="847"/>
      <c r="I450" s="847"/>
      <c r="J450" s="847"/>
      <c r="K450" s="847"/>
      <c r="L450" s="847"/>
      <c r="M450" s="847"/>
      <c r="N450" s="847"/>
      <c r="O450" s="847"/>
      <c r="P450" s="847"/>
      <c r="Q450" s="847"/>
      <c r="R450" s="847"/>
      <c r="S450" s="847"/>
      <c r="T450" s="847"/>
      <c r="U450" s="847"/>
      <c r="V450" s="847"/>
      <c r="W450" s="847"/>
      <c r="X450" s="847"/>
      <c r="Y450" s="847"/>
      <c r="Z450" s="847"/>
      <c r="AA450" s="847"/>
      <c r="AB450" s="847"/>
      <c r="AC450" s="847"/>
      <c r="AD450" s="847"/>
      <c r="AE450" s="847"/>
      <c r="AF450" s="847"/>
      <c r="AG450" s="847"/>
    </row>
    <row r="451">
      <c r="A451" s="847"/>
      <c r="B451" s="847"/>
      <c r="C451" s="847"/>
      <c r="D451" s="847"/>
      <c r="E451" s="847"/>
      <c r="F451" s="847"/>
      <c r="G451" s="847"/>
      <c r="H451" s="847"/>
      <c r="I451" s="847"/>
      <c r="J451" s="847"/>
      <c r="K451" s="847"/>
      <c r="L451" s="847"/>
      <c r="M451" s="847"/>
      <c r="N451" s="847"/>
      <c r="O451" s="847"/>
      <c r="P451" s="847"/>
      <c r="Q451" s="847"/>
      <c r="R451" s="847"/>
      <c r="S451" s="847"/>
      <c r="T451" s="847"/>
      <c r="U451" s="847"/>
      <c r="V451" s="847"/>
      <c r="W451" s="847"/>
      <c r="X451" s="847"/>
      <c r="Y451" s="847"/>
      <c r="Z451" s="847"/>
      <c r="AA451" s="847"/>
      <c r="AB451" s="847"/>
      <c r="AC451" s="847"/>
      <c r="AD451" s="847"/>
      <c r="AE451" s="847"/>
      <c r="AF451" s="847"/>
      <c r="AG451" s="847"/>
    </row>
    <row r="452">
      <c r="A452" s="847"/>
      <c r="B452" s="847"/>
      <c r="C452" s="847"/>
      <c r="D452" s="847"/>
      <c r="E452" s="847"/>
      <c r="F452" s="847"/>
      <c r="G452" s="847"/>
      <c r="H452" s="847"/>
      <c r="I452" s="847"/>
      <c r="J452" s="847"/>
      <c r="K452" s="847"/>
      <c r="L452" s="847"/>
      <c r="M452" s="847"/>
      <c r="N452" s="847"/>
      <c r="O452" s="847"/>
      <c r="P452" s="847"/>
      <c r="Q452" s="847"/>
      <c r="R452" s="847"/>
      <c r="S452" s="847"/>
      <c r="T452" s="847"/>
      <c r="U452" s="847"/>
      <c r="V452" s="847"/>
      <c r="W452" s="847"/>
      <c r="X452" s="847"/>
      <c r="Y452" s="847"/>
      <c r="Z452" s="847"/>
      <c r="AA452" s="847"/>
      <c r="AB452" s="847"/>
      <c r="AC452" s="847"/>
      <c r="AD452" s="847"/>
      <c r="AE452" s="847"/>
      <c r="AF452" s="847"/>
      <c r="AG452" s="847"/>
    </row>
    <row r="453">
      <c r="A453" s="847"/>
      <c r="B453" s="847"/>
      <c r="C453" s="847"/>
      <c r="D453" s="847"/>
      <c r="E453" s="847"/>
      <c r="F453" s="847"/>
      <c r="G453" s="847"/>
      <c r="H453" s="847"/>
      <c r="I453" s="847"/>
      <c r="J453" s="847"/>
      <c r="K453" s="847"/>
      <c r="L453" s="847"/>
      <c r="M453" s="847"/>
      <c r="N453" s="847"/>
      <c r="O453" s="847"/>
      <c r="P453" s="847"/>
      <c r="Q453" s="847"/>
      <c r="R453" s="847"/>
      <c r="S453" s="847"/>
      <c r="T453" s="847"/>
      <c r="U453" s="847"/>
      <c r="V453" s="847"/>
      <c r="W453" s="847"/>
      <c r="X453" s="847"/>
      <c r="Y453" s="847"/>
      <c r="Z453" s="847"/>
      <c r="AA453" s="847"/>
      <c r="AB453" s="847"/>
      <c r="AC453" s="847"/>
      <c r="AD453" s="847"/>
      <c r="AE453" s="847"/>
      <c r="AF453" s="847"/>
      <c r="AG453" s="847"/>
    </row>
    <row r="454">
      <c r="A454" s="847"/>
      <c r="B454" s="847"/>
      <c r="C454" s="847"/>
      <c r="D454" s="847"/>
      <c r="E454" s="847"/>
      <c r="F454" s="847"/>
      <c r="G454" s="847"/>
      <c r="H454" s="847"/>
      <c r="I454" s="847"/>
      <c r="J454" s="847"/>
      <c r="K454" s="847"/>
      <c r="L454" s="847"/>
      <c r="M454" s="847"/>
      <c r="N454" s="847"/>
      <c r="O454" s="847"/>
      <c r="P454" s="847"/>
      <c r="Q454" s="847"/>
      <c r="R454" s="847"/>
      <c r="S454" s="847"/>
      <c r="T454" s="847"/>
      <c r="U454" s="847"/>
      <c r="V454" s="847"/>
      <c r="W454" s="847"/>
      <c r="X454" s="847"/>
      <c r="Y454" s="847"/>
      <c r="Z454" s="847"/>
      <c r="AA454" s="847"/>
      <c r="AB454" s="847"/>
      <c r="AC454" s="847"/>
      <c r="AD454" s="847"/>
      <c r="AE454" s="847"/>
      <c r="AF454" s="847"/>
      <c r="AG454" s="847"/>
    </row>
    <row r="455">
      <c r="A455" s="847"/>
      <c r="B455" s="847"/>
      <c r="C455" s="847"/>
      <c r="D455" s="847"/>
      <c r="E455" s="847"/>
      <c r="F455" s="847"/>
      <c r="G455" s="847"/>
      <c r="H455" s="847"/>
      <c r="I455" s="847"/>
      <c r="J455" s="847"/>
      <c r="K455" s="847"/>
      <c r="L455" s="847"/>
      <c r="M455" s="847"/>
      <c r="N455" s="847"/>
      <c r="O455" s="847"/>
      <c r="P455" s="847"/>
      <c r="Q455" s="847"/>
      <c r="R455" s="847"/>
      <c r="S455" s="847"/>
      <c r="T455" s="847"/>
      <c r="U455" s="847"/>
      <c r="V455" s="847"/>
      <c r="W455" s="847"/>
      <c r="X455" s="847"/>
      <c r="Y455" s="847"/>
      <c r="Z455" s="847"/>
      <c r="AA455" s="847"/>
      <c r="AB455" s="847"/>
      <c r="AC455" s="847"/>
      <c r="AD455" s="847"/>
      <c r="AE455" s="847"/>
      <c r="AF455" s="847"/>
      <c r="AG455" s="847"/>
    </row>
    <row r="456">
      <c r="A456" s="847"/>
      <c r="B456" s="847"/>
      <c r="C456" s="847"/>
      <c r="D456" s="847"/>
      <c r="E456" s="847"/>
      <c r="F456" s="847"/>
      <c r="G456" s="847"/>
      <c r="H456" s="847"/>
      <c r="I456" s="847"/>
      <c r="J456" s="847"/>
      <c r="K456" s="847"/>
      <c r="L456" s="847"/>
      <c r="M456" s="847"/>
      <c r="N456" s="847"/>
      <c r="O456" s="847"/>
      <c r="P456" s="847"/>
      <c r="Q456" s="847"/>
      <c r="R456" s="847"/>
      <c r="S456" s="847"/>
      <c r="T456" s="847"/>
      <c r="U456" s="847"/>
      <c r="V456" s="847"/>
      <c r="W456" s="847"/>
      <c r="X456" s="847"/>
      <c r="Y456" s="847"/>
      <c r="Z456" s="847"/>
      <c r="AA456" s="847"/>
      <c r="AB456" s="847"/>
      <c r="AC456" s="847"/>
      <c r="AD456" s="847"/>
      <c r="AE456" s="847"/>
      <c r="AF456" s="847"/>
      <c r="AG456" s="847"/>
    </row>
    <row r="457">
      <c r="A457" s="847"/>
      <c r="B457" s="847"/>
      <c r="C457" s="847"/>
      <c r="D457" s="847"/>
      <c r="E457" s="847"/>
      <c r="F457" s="847"/>
      <c r="G457" s="847"/>
      <c r="H457" s="847"/>
      <c r="I457" s="847"/>
      <c r="J457" s="847"/>
      <c r="K457" s="847"/>
      <c r="L457" s="847"/>
      <c r="M457" s="847"/>
      <c r="N457" s="847"/>
      <c r="O457" s="847"/>
      <c r="P457" s="847"/>
      <c r="Q457" s="847"/>
      <c r="R457" s="847"/>
      <c r="S457" s="847"/>
      <c r="T457" s="847"/>
      <c r="U457" s="847"/>
      <c r="V457" s="847"/>
      <c r="W457" s="847"/>
      <c r="X457" s="847"/>
      <c r="Y457" s="847"/>
      <c r="Z457" s="847"/>
      <c r="AA457" s="847"/>
      <c r="AB457" s="847"/>
      <c r="AC457" s="847"/>
      <c r="AD457" s="847"/>
      <c r="AE457" s="847"/>
      <c r="AF457" s="847"/>
      <c r="AG457" s="847"/>
    </row>
    <row r="458">
      <c r="A458" s="847"/>
      <c r="B458" s="847"/>
      <c r="C458" s="847"/>
      <c r="D458" s="847"/>
      <c r="E458" s="847"/>
      <c r="F458" s="847"/>
      <c r="G458" s="847"/>
      <c r="H458" s="847"/>
      <c r="I458" s="847"/>
      <c r="J458" s="847"/>
      <c r="K458" s="847"/>
      <c r="L458" s="847"/>
      <c r="M458" s="847"/>
      <c r="N458" s="847"/>
      <c r="O458" s="847"/>
      <c r="P458" s="847"/>
      <c r="Q458" s="847"/>
      <c r="R458" s="847"/>
      <c r="S458" s="847"/>
      <c r="T458" s="847"/>
      <c r="U458" s="847"/>
      <c r="V458" s="847"/>
      <c r="W458" s="847"/>
      <c r="X458" s="847"/>
      <c r="Y458" s="847"/>
      <c r="Z458" s="847"/>
      <c r="AA458" s="847"/>
      <c r="AB458" s="847"/>
      <c r="AC458" s="847"/>
      <c r="AD458" s="847"/>
      <c r="AE458" s="847"/>
      <c r="AF458" s="847"/>
      <c r="AG458" s="847"/>
    </row>
    <row r="459">
      <c r="A459" s="847"/>
      <c r="B459" s="847"/>
      <c r="C459" s="847"/>
      <c r="D459" s="847"/>
      <c r="E459" s="847"/>
      <c r="F459" s="847"/>
      <c r="G459" s="847"/>
      <c r="H459" s="847"/>
      <c r="I459" s="847"/>
      <c r="J459" s="847"/>
      <c r="K459" s="847"/>
      <c r="L459" s="847"/>
      <c r="M459" s="847"/>
      <c r="N459" s="847"/>
      <c r="O459" s="847"/>
      <c r="P459" s="847"/>
      <c r="Q459" s="847"/>
      <c r="R459" s="847"/>
      <c r="S459" s="847"/>
      <c r="T459" s="847"/>
      <c r="U459" s="847"/>
      <c r="V459" s="847"/>
      <c r="W459" s="847"/>
      <c r="X459" s="847"/>
      <c r="Y459" s="847"/>
      <c r="Z459" s="847"/>
      <c r="AA459" s="847"/>
      <c r="AB459" s="847"/>
      <c r="AC459" s="847"/>
      <c r="AD459" s="847"/>
      <c r="AE459" s="847"/>
      <c r="AF459" s="847"/>
      <c r="AG459" s="847"/>
    </row>
    <row r="460">
      <c r="A460" s="847"/>
      <c r="B460" s="847"/>
      <c r="C460" s="847"/>
      <c r="D460" s="847"/>
      <c r="E460" s="847"/>
      <c r="F460" s="847"/>
      <c r="G460" s="847"/>
      <c r="H460" s="847"/>
      <c r="I460" s="847"/>
      <c r="J460" s="847"/>
      <c r="K460" s="847"/>
      <c r="L460" s="847"/>
      <c r="M460" s="847"/>
      <c r="N460" s="847"/>
      <c r="O460" s="847"/>
      <c r="P460" s="847"/>
      <c r="Q460" s="847"/>
      <c r="R460" s="847"/>
      <c r="S460" s="847"/>
      <c r="T460" s="847"/>
      <c r="U460" s="847"/>
      <c r="V460" s="847"/>
      <c r="W460" s="847"/>
      <c r="X460" s="847"/>
      <c r="Y460" s="847"/>
      <c r="Z460" s="847"/>
      <c r="AA460" s="847"/>
      <c r="AB460" s="847"/>
      <c r="AC460" s="847"/>
      <c r="AD460" s="847"/>
      <c r="AE460" s="847"/>
      <c r="AF460" s="847"/>
      <c r="AG460" s="847"/>
    </row>
    <row r="461">
      <c r="A461" s="847"/>
      <c r="B461" s="847"/>
      <c r="C461" s="847"/>
      <c r="D461" s="847"/>
      <c r="E461" s="847"/>
      <c r="F461" s="847"/>
      <c r="G461" s="847"/>
      <c r="H461" s="847"/>
      <c r="I461" s="847"/>
      <c r="J461" s="847"/>
      <c r="K461" s="847"/>
      <c r="L461" s="847"/>
      <c r="M461" s="847"/>
      <c r="N461" s="847"/>
      <c r="O461" s="847"/>
      <c r="P461" s="847"/>
      <c r="Q461" s="847"/>
      <c r="R461" s="847"/>
      <c r="S461" s="847"/>
      <c r="T461" s="847"/>
      <c r="U461" s="847"/>
      <c r="V461" s="847"/>
      <c r="W461" s="847"/>
      <c r="X461" s="847"/>
      <c r="Y461" s="847"/>
      <c r="Z461" s="847"/>
      <c r="AA461" s="847"/>
      <c r="AB461" s="847"/>
      <c r="AC461" s="847"/>
      <c r="AD461" s="847"/>
      <c r="AE461" s="847"/>
      <c r="AF461" s="847"/>
      <c r="AG461" s="847"/>
    </row>
    <row r="462">
      <c r="A462" s="847"/>
      <c r="B462" s="847"/>
      <c r="C462" s="847"/>
      <c r="D462" s="847"/>
      <c r="E462" s="847"/>
      <c r="F462" s="847"/>
      <c r="G462" s="847"/>
      <c r="H462" s="847"/>
      <c r="I462" s="847"/>
      <c r="J462" s="847"/>
      <c r="K462" s="847"/>
      <c r="L462" s="847"/>
      <c r="M462" s="847"/>
      <c r="N462" s="847"/>
      <c r="O462" s="847"/>
      <c r="P462" s="847"/>
      <c r="Q462" s="847"/>
      <c r="R462" s="847"/>
      <c r="S462" s="847"/>
      <c r="T462" s="847"/>
      <c r="U462" s="847"/>
      <c r="V462" s="847"/>
      <c r="W462" s="847"/>
      <c r="X462" s="847"/>
      <c r="Y462" s="847"/>
      <c r="Z462" s="847"/>
      <c r="AA462" s="847"/>
      <c r="AB462" s="847"/>
      <c r="AC462" s="847"/>
      <c r="AD462" s="847"/>
      <c r="AE462" s="847"/>
      <c r="AF462" s="847"/>
      <c r="AG462" s="847"/>
    </row>
    <row r="463">
      <c r="A463" s="847"/>
      <c r="B463" s="847"/>
      <c r="C463" s="847"/>
      <c r="D463" s="847"/>
      <c r="E463" s="847"/>
      <c r="F463" s="847"/>
      <c r="G463" s="847"/>
      <c r="H463" s="847"/>
      <c r="I463" s="847"/>
      <c r="J463" s="847"/>
      <c r="K463" s="847"/>
      <c r="L463" s="847"/>
      <c r="M463" s="847"/>
      <c r="N463" s="847"/>
      <c r="O463" s="847"/>
      <c r="P463" s="847"/>
      <c r="Q463" s="847"/>
      <c r="R463" s="847"/>
      <c r="S463" s="847"/>
      <c r="T463" s="847"/>
      <c r="U463" s="847"/>
      <c r="V463" s="847"/>
      <c r="W463" s="847"/>
      <c r="X463" s="847"/>
      <c r="Y463" s="847"/>
      <c r="Z463" s="847"/>
      <c r="AA463" s="847"/>
      <c r="AB463" s="847"/>
      <c r="AC463" s="847"/>
      <c r="AD463" s="847"/>
      <c r="AE463" s="847"/>
      <c r="AF463" s="847"/>
      <c r="AG463" s="847"/>
    </row>
    <row r="464">
      <c r="A464" s="847"/>
      <c r="B464" s="847"/>
      <c r="C464" s="847"/>
      <c r="D464" s="847"/>
      <c r="E464" s="847"/>
      <c r="F464" s="847"/>
      <c r="G464" s="847"/>
      <c r="H464" s="847"/>
      <c r="I464" s="847"/>
      <c r="J464" s="847"/>
      <c r="K464" s="847"/>
      <c r="L464" s="847"/>
      <c r="M464" s="847"/>
      <c r="N464" s="847"/>
      <c r="O464" s="847"/>
      <c r="P464" s="847"/>
      <c r="Q464" s="847"/>
      <c r="R464" s="847"/>
      <c r="S464" s="847"/>
      <c r="T464" s="847"/>
      <c r="U464" s="847"/>
      <c r="V464" s="847"/>
      <c r="W464" s="847"/>
      <c r="X464" s="847"/>
      <c r="Y464" s="847"/>
      <c r="Z464" s="847"/>
      <c r="AA464" s="847"/>
      <c r="AB464" s="847"/>
      <c r="AC464" s="847"/>
      <c r="AD464" s="847"/>
      <c r="AE464" s="847"/>
      <c r="AF464" s="847"/>
      <c r="AG464" s="847"/>
    </row>
    <row r="465">
      <c r="A465" s="847"/>
      <c r="B465" s="847"/>
      <c r="C465" s="847"/>
      <c r="D465" s="847"/>
      <c r="E465" s="847"/>
      <c r="F465" s="847"/>
      <c r="G465" s="847"/>
      <c r="H465" s="847"/>
      <c r="I465" s="847"/>
      <c r="J465" s="847"/>
      <c r="K465" s="847"/>
      <c r="L465" s="847"/>
      <c r="M465" s="847"/>
      <c r="N465" s="847"/>
      <c r="O465" s="847"/>
      <c r="P465" s="847"/>
      <c r="Q465" s="847"/>
      <c r="R465" s="847"/>
      <c r="S465" s="847"/>
      <c r="T465" s="847"/>
      <c r="U465" s="847"/>
      <c r="V465" s="847"/>
      <c r="W465" s="847"/>
      <c r="X465" s="847"/>
      <c r="Y465" s="847"/>
      <c r="Z465" s="847"/>
      <c r="AA465" s="847"/>
      <c r="AB465" s="847"/>
      <c r="AC465" s="847"/>
      <c r="AD465" s="847"/>
      <c r="AE465" s="847"/>
      <c r="AF465" s="847"/>
      <c r="AG465" s="847"/>
    </row>
    <row r="466">
      <c r="A466" s="847"/>
      <c r="B466" s="847"/>
      <c r="C466" s="847"/>
      <c r="D466" s="847"/>
      <c r="E466" s="847"/>
      <c r="F466" s="847"/>
      <c r="G466" s="847"/>
      <c r="H466" s="847"/>
      <c r="I466" s="847"/>
      <c r="J466" s="847"/>
      <c r="K466" s="847"/>
      <c r="L466" s="847"/>
      <c r="M466" s="847"/>
      <c r="N466" s="847"/>
      <c r="O466" s="847"/>
      <c r="P466" s="847"/>
      <c r="Q466" s="847"/>
      <c r="R466" s="847"/>
      <c r="S466" s="847"/>
      <c r="T466" s="847"/>
      <c r="U466" s="847"/>
      <c r="V466" s="847"/>
      <c r="W466" s="847"/>
      <c r="X466" s="847"/>
      <c r="Y466" s="847"/>
      <c r="Z466" s="847"/>
      <c r="AA466" s="847"/>
      <c r="AB466" s="847"/>
      <c r="AC466" s="847"/>
      <c r="AD466" s="847"/>
      <c r="AE466" s="847"/>
      <c r="AF466" s="847"/>
      <c r="AG466" s="847"/>
    </row>
    <row r="467">
      <c r="A467" s="847"/>
      <c r="B467" s="847"/>
      <c r="C467" s="847"/>
      <c r="D467" s="847"/>
      <c r="E467" s="847"/>
      <c r="F467" s="847"/>
      <c r="G467" s="847"/>
      <c r="H467" s="847"/>
      <c r="I467" s="847"/>
      <c r="J467" s="847"/>
      <c r="K467" s="847"/>
      <c r="L467" s="847"/>
      <c r="M467" s="847"/>
      <c r="N467" s="847"/>
      <c r="O467" s="847"/>
      <c r="P467" s="847"/>
      <c r="Q467" s="847"/>
      <c r="R467" s="847"/>
      <c r="S467" s="847"/>
      <c r="T467" s="847"/>
      <c r="U467" s="847"/>
      <c r="V467" s="847"/>
      <c r="W467" s="847"/>
      <c r="X467" s="847"/>
      <c r="Y467" s="847"/>
      <c r="Z467" s="847"/>
      <c r="AA467" s="847"/>
      <c r="AB467" s="847"/>
      <c r="AC467" s="847"/>
      <c r="AD467" s="847"/>
      <c r="AE467" s="847"/>
      <c r="AF467" s="847"/>
      <c r="AG467" s="847"/>
    </row>
    <row r="468">
      <c r="A468" s="847"/>
      <c r="B468" s="847"/>
      <c r="C468" s="847"/>
      <c r="D468" s="847"/>
      <c r="E468" s="847"/>
      <c r="F468" s="847"/>
      <c r="G468" s="847"/>
      <c r="H468" s="847"/>
      <c r="I468" s="847"/>
      <c r="J468" s="847"/>
      <c r="K468" s="847"/>
      <c r="L468" s="847"/>
      <c r="M468" s="847"/>
      <c r="N468" s="847"/>
      <c r="O468" s="847"/>
      <c r="P468" s="847"/>
      <c r="Q468" s="847"/>
      <c r="R468" s="847"/>
      <c r="S468" s="847"/>
      <c r="T468" s="847"/>
      <c r="U468" s="847"/>
      <c r="V468" s="847"/>
      <c r="W468" s="847"/>
      <c r="X468" s="847"/>
      <c r="Y468" s="847"/>
      <c r="Z468" s="847"/>
      <c r="AA468" s="847"/>
      <c r="AB468" s="847"/>
      <c r="AC468" s="847"/>
      <c r="AD468" s="847"/>
      <c r="AE468" s="847"/>
      <c r="AF468" s="847"/>
      <c r="AG468" s="847"/>
    </row>
    <row r="469">
      <c r="A469" s="847"/>
      <c r="B469" s="847"/>
      <c r="C469" s="847"/>
      <c r="D469" s="847"/>
      <c r="E469" s="847"/>
      <c r="F469" s="847"/>
      <c r="G469" s="847"/>
      <c r="H469" s="847"/>
      <c r="I469" s="847"/>
      <c r="J469" s="847"/>
      <c r="K469" s="847"/>
      <c r="L469" s="847"/>
      <c r="M469" s="847"/>
      <c r="N469" s="847"/>
      <c r="O469" s="847"/>
      <c r="P469" s="847"/>
      <c r="Q469" s="847"/>
      <c r="R469" s="847"/>
      <c r="S469" s="847"/>
      <c r="T469" s="847"/>
      <c r="U469" s="847"/>
      <c r="V469" s="847"/>
      <c r="W469" s="847"/>
      <c r="X469" s="847"/>
      <c r="Y469" s="847"/>
      <c r="Z469" s="847"/>
      <c r="AA469" s="847"/>
      <c r="AB469" s="847"/>
      <c r="AC469" s="847"/>
      <c r="AD469" s="847"/>
      <c r="AE469" s="847"/>
      <c r="AF469" s="847"/>
      <c r="AG469" s="847"/>
    </row>
    <row r="470">
      <c r="A470" s="847"/>
      <c r="B470" s="847"/>
      <c r="C470" s="847"/>
      <c r="D470" s="847"/>
      <c r="E470" s="847"/>
      <c r="F470" s="847"/>
      <c r="G470" s="847"/>
      <c r="H470" s="847"/>
      <c r="I470" s="847"/>
      <c r="J470" s="847"/>
      <c r="K470" s="847"/>
      <c r="L470" s="847"/>
      <c r="M470" s="847"/>
      <c r="N470" s="847"/>
      <c r="O470" s="847"/>
      <c r="P470" s="847"/>
      <c r="Q470" s="847"/>
      <c r="R470" s="847"/>
      <c r="S470" s="847"/>
      <c r="T470" s="847"/>
      <c r="U470" s="847"/>
      <c r="V470" s="847"/>
      <c r="W470" s="847"/>
      <c r="X470" s="847"/>
      <c r="Y470" s="847"/>
      <c r="Z470" s="847"/>
      <c r="AA470" s="847"/>
      <c r="AB470" s="847"/>
      <c r="AC470" s="847"/>
      <c r="AD470" s="847"/>
      <c r="AE470" s="847"/>
      <c r="AF470" s="847"/>
      <c r="AG470" s="847"/>
    </row>
    <row r="471">
      <c r="A471" s="847"/>
      <c r="B471" s="847"/>
      <c r="C471" s="847"/>
      <c r="D471" s="847"/>
      <c r="E471" s="847"/>
      <c r="F471" s="847"/>
      <c r="G471" s="847"/>
      <c r="H471" s="847"/>
      <c r="I471" s="847"/>
      <c r="J471" s="847"/>
      <c r="K471" s="847"/>
      <c r="L471" s="847"/>
      <c r="M471" s="847"/>
      <c r="N471" s="847"/>
      <c r="O471" s="847"/>
      <c r="P471" s="847"/>
      <c r="Q471" s="847"/>
      <c r="R471" s="847"/>
      <c r="S471" s="847"/>
      <c r="T471" s="847"/>
      <c r="U471" s="847"/>
      <c r="V471" s="847"/>
      <c r="W471" s="847"/>
      <c r="X471" s="847"/>
      <c r="Y471" s="847"/>
      <c r="Z471" s="847"/>
      <c r="AA471" s="847"/>
      <c r="AB471" s="847"/>
      <c r="AC471" s="847"/>
      <c r="AD471" s="847"/>
      <c r="AE471" s="847"/>
      <c r="AF471" s="847"/>
      <c r="AG471" s="847"/>
    </row>
    <row r="472">
      <c r="A472" s="847"/>
      <c r="B472" s="847"/>
      <c r="C472" s="847"/>
      <c r="D472" s="847"/>
      <c r="E472" s="847"/>
      <c r="F472" s="847"/>
      <c r="G472" s="847"/>
      <c r="H472" s="847"/>
      <c r="I472" s="847"/>
      <c r="J472" s="847"/>
      <c r="K472" s="847"/>
      <c r="L472" s="847"/>
      <c r="M472" s="847"/>
      <c r="N472" s="847"/>
      <c r="O472" s="847"/>
      <c r="P472" s="847"/>
      <c r="Q472" s="847"/>
      <c r="R472" s="847"/>
      <c r="S472" s="847"/>
      <c r="T472" s="847"/>
      <c r="U472" s="847"/>
      <c r="V472" s="847"/>
      <c r="W472" s="847"/>
      <c r="X472" s="847"/>
      <c r="Y472" s="847"/>
      <c r="Z472" s="847"/>
      <c r="AA472" s="847"/>
      <c r="AB472" s="847"/>
      <c r="AC472" s="847"/>
      <c r="AD472" s="847"/>
      <c r="AE472" s="847"/>
      <c r="AF472" s="847"/>
      <c r="AG472" s="847"/>
    </row>
    <row r="473">
      <c r="A473" s="847"/>
      <c r="B473" s="847"/>
      <c r="C473" s="847"/>
      <c r="D473" s="847"/>
      <c r="E473" s="847"/>
      <c r="F473" s="847"/>
      <c r="G473" s="847"/>
      <c r="H473" s="847"/>
      <c r="I473" s="847"/>
      <c r="J473" s="847"/>
      <c r="K473" s="847"/>
      <c r="L473" s="847"/>
      <c r="M473" s="847"/>
      <c r="N473" s="847"/>
      <c r="O473" s="847"/>
      <c r="P473" s="847"/>
      <c r="Q473" s="847"/>
      <c r="R473" s="847"/>
      <c r="S473" s="847"/>
      <c r="T473" s="847"/>
      <c r="U473" s="847"/>
      <c r="V473" s="847"/>
      <c r="W473" s="847"/>
      <c r="X473" s="847"/>
      <c r="Y473" s="847"/>
      <c r="Z473" s="847"/>
      <c r="AA473" s="847"/>
      <c r="AB473" s="847"/>
      <c r="AC473" s="847"/>
      <c r="AD473" s="847"/>
      <c r="AE473" s="847"/>
      <c r="AF473" s="847"/>
      <c r="AG473" s="847"/>
    </row>
    <row r="474">
      <c r="A474" s="847"/>
      <c r="B474" s="847"/>
      <c r="C474" s="847"/>
      <c r="D474" s="847"/>
      <c r="E474" s="847"/>
      <c r="F474" s="847"/>
      <c r="G474" s="847"/>
      <c r="H474" s="847"/>
      <c r="I474" s="847"/>
      <c r="J474" s="847"/>
      <c r="K474" s="847"/>
      <c r="L474" s="847"/>
      <c r="M474" s="847"/>
      <c r="N474" s="847"/>
      <c r="O474" s="847"/>
      <c r="P474" s="847"/>
      <c r="Q474" s="847"/>
      <c r="R474" s="847"/>
      <c r="S474" s="847"/>
      <c r="T474" s="847"/>
      <c r="U474" s="847"/>
      <c r="V474" s="847"/>
      <c r="W474" s="847"/>
      <c r="X474" s="847"/>
      <c r="Y474" s="847"/>
      <c r="Z474" s="847"/>
      <c r="AA474" s="847"/>
      <c r="AB474" s="847"/>
      <c r="AC474" s="847"/>
      <c r="AD474" s="847"/>
      <c r="AE474" s="847"/>
      <c r="AF474" s="847"/>
      <c r="AG474" s="847"/>
    </row>
    <row r="475">
      <c r="A475" s="847"/>
      <c r="B475" s="847"/>
      <c r="C475" s="847"/>
      <c r="D475" s="847"/>
      <c r="E475" s="847"/>
      <c r="F475" s="847"/>
      <c r="G475" s="847"/>
      <c r="H475" s="847"/>
      <c r="I475" s="847"/>
      <c r="J475" s="847"/>
      <c r="K475" s="847"/>
      <c r="L475" s="847"/>
      <c r="M475" s="847"/>
      <c r="N475" s="847"/>
      <c r="O475" s="847"/>
      <c r="P475" s="847"/>
      <c r="Q475" s="847"/>
      <c r="R475" s="847"/>
      <c r="S475" s="847"/>
      <c r="T475" s="847"/>
      <c r="U475" s="847"/>
      <c r="V475" s="847"/>
      <c r="W475" s="847"/>
      <c r="X475" s="847"/>
      <c r="Y475" s="847"/>
      <c r="Z475" s="847"/>
      <c r="AA475" s="847"/>
      <c r="AB475" s="847"/>
      <c r="AC475" s="847"/>
      <c r="AD475" s="847"/>
      <c r="AE475" s="847"/>
      <c r="AF475" s="847"/>
      <c r="AG475" s="847"/>
    </row>
    <row r="476">
      <c r="A476" s="847"/>
      <c r="B476" s="847"/>
      <c r="C476" s="847"/>
      <c r="D476" s="847"/>
      <c r="E476" s="847"/>
      <c r="F476" s="847"/>
      <c r="G476" s="847"/>
      <c r="H476" s="847"/>
      <c r="I476" s="847"/>
      <c r="J476" s="847"/>
      <c r="K476" s="847"/>
      <c r="L476" s="847"/>
      <c r="M476" s="847"/>
      <c r="N476" s="847"/>
      <c r="O476" s="847"/>
      <c r="P476" s="847"/>
      <c r="Q476" s="847"/>
      <c r="R476" s="847"/>
      <c r="S476" s="847"/>
      <c r="T476" s="847"/>
      <c r="U476" s="847"/>
      <c r="V476" s="847"/>
      <c r="W476" s="847"/>
      <c r="X476" s="847"/>
      <c r="Y476" s="847"/>
      <c r="Z476" s="847"/>
      <c r="AA476" s="847"/>
      <c r="AB476" s="847"/>
      <c r="AC476" s="847"/>
      <c r="AD476" s="847"/>
      <c r="AE476" s="847"/>
      <c r="AF476" s="847"/>
      <c r="AG476" s="847"/>
    </row>
    <row r="477">
      <c r="A477" s="847"/>
      <c r="B477" s="847"/>
      <c r="C477" s="847"/>
      <c r="D477" s="847"/>
      <c r="E477" s="847"/>
      <c r="F477" s="847"/>
      <c r="G477" s="847"/>
      <c r="H477" s="847"/>
      <c r="I477" s="847"/>
      <c r="J477" s="847"/>
      <c r="K477" s="847"/>
      <c r="L477" s="847"/>
      <c r="M477" s="847"/>
      <c r="N477" s="847"/>
      <c r="O477" s="847"/>
      <c r="P477" s="847"/>
      <c r="Q477" s="847"/>
      <c r="R477" s="847"/>
      <c r="S477" s="847"/>
      <c r="T477" s="847"/>
      <c r="U477" s="847"/>
      <c r="V477" s="847"/>
      <c r="W477" s="847"/>
      <c r="X477" s="847"/>
      <c r="Y477" s="847"/>
      <c r="Z477" s="847"/>
      <c r="AA477" s="847"/>
      <c r="AB477" s="847"/>
      <c r="AC477" s="847"/>
      <c r="AD477" s="847"/>
      <c r="AE477" s="847"/>
      <c r="AF477" s="847"/>
      <c r="AG477" s="847"/>
    </row>
    <row r="478">
      <c r="A478" s="847"/>
      <c r="B478" s="847"/>
      <c r="C478" s="847"/>
      <c r="D478" s="847"/>
      <c r="E478" s="847"/>
      <c r="F478" s="847"/>
      <c r="G478" s="847"/>
      <c r="H478" s="847"/>
      <c r="I478" s="847"/>
      <c r="J478" s="847"/>
      <c r="K478" s="847"/>
      <c r="L478" s="847"/>
      <c r="M478" s="847"/>
      <c r="N478" s="847"/>
      <c r="O478" s="847"/>
      <c r="P478" s="847"/>
      <c r="Q478" s="847"/>
      <c r="R478" s="847"/>
      <c r="S478" s="847"/>
      <c r="T478" s="847"/>
      <c r="U478" s="847"/>
      <c r="V478" s="847"/>
      <c r="W478" s="847"/>
      <c r="X478" s="847"/>
      <c r="Y478" s="847"/>
      <c r="Z478" s="847"/>
      <c r="AA478" s="847"/>
      <c r="AB478" s="847"/>
      <c r="AC478" s="847"/>
      <c r="AD478" s="847"/>
      <c r="AE478" s="847"/>
      <c r="AF478" s="847"/>
      <c r="AG478" s="847"/>
    </row>
    <row r="479">
      <c r="A479" s="847"/>
      <c r="B479" s="847"/>
      <c r="C479" s="847"/>
      <c r="D479" s="847"/>
      <c r="E479" s="847"/>
      <c r="F479" s="847"/>
      <c r="G479" s="847"/>
      <c r="H479" s="847"/>
      <c r="I479" s="847"/>
      <c r="J479" s="847"/>
      <c r="K479" s="847"/>
      <c r="L479" s="847"/>
      <c r="M479" s="847"/>
      <c r="N479" s="847"/>
      <c r="O479" s="847"/>
      <c r="P479" s="847"/>
      <c r="Q479" s="847"/>
      <c r="R479" s="847"/>
      <c r="S479" s="847"/>
      <c r="T479" s="847"/>
      <c r="U479" s="847"/>
      <c r="V479" s="847"/>
      <c r="W479" s="847"/>
      <c r="X479" s="847"/>
      <c r="Y479" s="847"/>
      <c r="Z479" s="847"/>
      <c r="AA479" s="847"/>
      <c r="AB479" s="847"/>
      <c r="AC479" s="847"/>
      <c r="AD479" s="847"/>
      <c r="AE479" s="847"/>
      <c r="AF479" s="847"/>
      <c r="AG479" s="847"/>
    </row>
    <row r="480">
      <c r="A480" s="847"/>
      <c r="B480" s="847"/>
      <c r="C480" s="847"/>
      <c r="D480" s="847"/>
      <c r="E480" s="847"/>
      <c r="F480" s="847"/>
      <c r="G480" s="847"/>
      <c r="H480" s="847"/>
      <c r="I480" s="847"/>
      <c r="J480" s="847"/>
      <c r="K480" s="847"/>
      <c r="L480" s="847"/>
      <c r="M480" s="847"/>
      <c r="N480" s="847"/>
      <c r="O480" s="847"/>
      <c r="P480" s="847"/>
      <c r="Q480" s="847"/>
      <c r="R480" s="847"/>
      <c r="S480" s="847"/>
      <c r="T480" s="847"/>
      <c r="U480" s="847"/>
      <c r="V480" s="847"/>
      <c r="W480" s="847"/>
      <c r="X480" s="847"/>
      <c r="Y480" s="847"/>
      <c r="Z480" s="847"/>
      <c r="AA480" s="847"/>
      <c r="AB480" s="847"/>
      <c r="AC480" s="847"/>
      <c r="AD480" s="847"/>
      <c r="AE480" s="847"/>
      <c r="AF480" s="847"/>
      <c r="AG480" s="847"/>
    </row>
    <row r="481">
      <c r="A481" s="847"/>
      <c r="B481" s="847"/>
      <c r="C481" s="847"/>
      <c r="D481" s="847"/>
      <c r="E481" s="847"/>
      <c r="F481" s="847"/>
      <c r="G481" s="847"/>
      <c r="H481" s="847"/>
      <c r="I481" s="847"/>
      <c r="J481" s="847"/>
      <c r="K481" s="847"/>
      <c r="L481" s="847"/>
      <c r="M481" s="847"/>
      <c r="N481" s="847"/>
      <c r="O481" s="847"/>
      <c r="P481" s="847"/>
      <c r="Q481" s="847"/>
      <c r="R481" s="847"/>
      <c r="S481" s="847"/>
      <c r="T481" s="847"/>
      <c r="U481" s="847"/>
      <c r="V481" s="847"/>
      <c r="W481" s="847"/>
      <c r="X481" s="847"/>
      <c r="Y481" s="847"/>
      <c r="Z481" s="847"/>
      <c r="AA481" s="847"/>
      <c r="AB481" s="847"/>
      <c r="AC481" s="847"/>
      <c r="AD481" s="847"/>
      <c r="AE481" s="847"/>
      <c r="AF481" s="847"/>
      <c r="AG481" s="847"/>
    </row>
    <row r="482">
      <c r="A482" s="847"/>
      <c r="B482" s="847"/>
      <c r="C482" s="847"/>
      <c r="D482" s="847"/>
      <c r="E482" s="847"/>
      <c r="F482" s="847"/>
      <c r="G482" s="847"/>
      <c r="H482" s="847"/>
      <c r="I482" s="847"/>
      <c r="J482" s="847"/>
      <c r="K482" s="847"/>
      <c r="L482" s="847"/>
      <c r="M482" s="847"/>
      <c r="N482" s="847"/>
      <c r="O482" s="847"/>
      <c r="P482" s="847"/>
      <c r="Q482" s="847"/>
      <c r="R482" s="847"/>
      <c r="S482" s="847"/>
      <c r="T482" s="847"/>
      <c r="U482" s="847"/>
      <c r="V482" s="847"/>
      <c r="W482" s="847"/>
      <c r="X482" s="847"/>
      <c r="Y482" s="847"/>
      <c r="Z482" s="847"/>
      <c r="AA482" s="847"/>
      <c r="AB482" s="847"/>
      <c r="AC482" s="847"/>
      <c r="AD482" s="847"/>
      <c r="AE482" s="847"/>
      <c r="AF482" s="847"/>
      <c r="AG482" s="847"/>
    </row>
    <row r="483">
      <c r="A483" s="847"/>
      <c r="B483" s="847"/>
      <c r="C483" s="847"/>
      <c r="D483" s="847"/>
      <c r="E483" s="847"/>
      <c r="F483" s="847"/>
      <c r="G483" s="847"/>
      <c r="H483" s="847"/>
      <c r="I483" s="847"/>
      <c r="J483" s="847"/>
      <c r="K483" s="847"/>
      <c r="L483" s="847"/>
      <c r="M483" s="847"/>
      <c r="N483" s="847"/>
      <c r="O483" s="847"/>
      <c r="P483" s="847"/>
      <c r="Q483" s="847"/>
      <c r="R483" s="847"/>
      <c r="S483" s="847"/>
      <c r="T483" s="847"/>
      <c r="U483" s="847"/>
      <c r="V483" s="847"/>
      <c r="W483" s="847"/>
      <c r="X483" s="847"/>
      <c r="Y483" s="847"/>
      <c r="Z483" s="847"/>
      <c r="AA483" s="847"/>
      <c r="AB483" s="847"/>
      <c r="AC483" s="847"/>
      <c r="AD483" s="847"/>
      <c r="AE483" s="847"/>
      <c r="AF483" s="847"/>
      <c r="AG483" s="847"/>
    </row>
    <row r="484">
      <c r="A484" s="847"/>
      <c r="B484" s="847"/>
      <c r="C484" s="847"/>
      <c r="D484" s="847"/>
      <c r="E484" s="847"/>
      <c r="F484" s="847"/>
      <c r="G484" s="847"/>
      <c r="H484" s="847"/>
      <c r="I484" s="847"/>
      <c r="J484" s="847"/>
      <c r="K484" s="847"/>
      <c r="L484" s="847"/>
      <c r="M484" s="847"/>
      <c r="N484" s="847"/>
      <c r="O484" s="847"/>
      <c r="P484" s="847"/>
      <c r="Q484" s="847"/>
      <c r="R484" s="847"/>
      <c r="S484" s="847"/>
      <c r="T484" s="847"/>
      <c r="U484" s="847"/>
      <c r="V484" s="847"/>
      <c r="W484" s="847"/>
      <c r="X484" s="847"/>
      <c r="Y484" s="847"/>
      <c r="Z484" s="847"/>
      <c r="AA484" s="847"/>
      <c r="AB484" s="847"/>
      <c r="AC484" s="847"/>
      <c r="AD484" s="847"/>
      <c r="AE484" s="847"/>
      <c r="AF484" s="847"/>
      <c r="AG484" s="847"/>
    </row>
    <row r="485">
      <c r="A485" s="847"/>
      <c r="B485" s="847"/>
      <c r="C485" s="847"/>
      <c r="D485" s="847"/>
      <c r="E485" s="847"/>
      <c r="F485" s="847"/>
      <c r="G485" s="847"/>
      <c r="H485" s="847"/>
      <c r="I485" s="847"/>
      <c r="J485" s="847"/>
      <c r="K485" s="847"/>
      <c r="L485" s="847"/>
      <c r="M485" s="847"/>
      <c r="N485" s="847"/>
      <c r="O485" s="847"/>
      <c r="P485" s="847"/>
      <c r="Q485" s="847"/>
      <c r="R485" s="847"/>
      <c r="S485" s="847"/>
      <c r="T485" s="847"/>
      <c r="U485" s="847"/>
      <c r="V485" s="847"/>
      <c r="W485" s="847"/>
      <c r="X485" s="847"/>
      <c r="Y485" s="847"/>
      <c r="Z485" s="847"/>
      <c r="AA485" s="847"/>
      <c r="AB485" s="847"/>
      <c r="AC485" s="847"/>
      <c r="AD485" s="847"/>
      <c r="AE485" s="847"/>
      <c r="AF485" s="847"/>
      <c r="AG485" s="847"/>
    </row>
    <row r="486">
      <c r="A486" s="847"/>
      <c r="B486" s="847"/>
      <c r="C486" s="847"/>
      <c r="D486" s="847"/>
      <c r="E486" s="847"/>
      <c r="F486" s="847"/>
      <c r="G486" s="847"/>
      <c r="H486" s="847"/>
      <c r="I486" s="847"/>
      <c r="J486" s="847"/>
      <c r="K486" s="847"/>
      <c r="L486" s="847"/>
      <c r="M486" s="847"/>
      <c r="N486" s="847"/>
      <c r="O486" s="847"/>
      <c r="P486" s="847"/>
      <c r="Q486" s="847"/>
      <c r="R486" s="847"/>
      <c r="S486" s="847"/>
      <c r="T486" s="847"/>
      <c r="U486" s="847"/>
      <c r="V486" s="847"/>
      <c r="W486" s="847"/>
      <c r="X486" s="847"/>
      <c r="Y486" s="847"/>
      <c r="Z486" s="847"/>
      <c r="AA486" s="847"/>
      <c r="AB486" s="847"/>
      <c r="AC486" s="847"/>
      <c r="AD486" s="847"/>
      <c r="AE486" s="847"/>
      <c r="AF486" s="847"/>
      <c r="AG486" s="847"/>
    </row>
    <row r="487">
      <c r="A487" s="847"/>
      <c r="B487" s="847"/>
      <c r="C487" s="847"/>
      <c r="D487" s="847"/>
      <c r="E487" s="847"/>
      <c r="F487" s="847"/>
      <c r="G487" s="847"/>
      <c r="H487" s="847"/>
      <c r="I487" s="847"/>
      <c r="J487" s="847"/>
      <c r="K487" s="847"/>
      <c r="L487" s="847"/>
      <c r="M487" s="847"/>
      <c r="N487" s="847"/>
      <c r="O487" s="847"/>
      <c r="P487" s="847"/>
      <c r="Q487" s="847"/>
      <c r="R487" s="847"/>
      <c r="S487" s="847"/>
      <c r="T487" s="847"/>
      <c r="U487" s="847"/>
      <c r="V487" s="847"/>
      <c r="W487" s="847"/>
      <c r="X487" s="847"/>
      <c r="Y487" s="847"/>
      <c r="Z487" s="847"/>
      <c r="AA487" s="847"/>
      <c r="AB487" s="847"/>
      <c r="AC487" s="847"/>
      <c r="AD487" s="847"/>
      <c r="AE487" s="847"/>
      <c r="AF487" s="847"/>
      <c r="AG487" s="847"/>
    </row>
    <row r="488">
      <c r="A488" s="847"/>
      <c r="B488" s="847"/>
      <c r="C488" s="847"/>
      <c r="D488" s="847"/>
      <c r="E488" s="847"/>
      <c r="F488" s="847"/>
      <c r="G488" s="847"/>
      <c r="H488" s="847"/>
      <c r="I488" s="847"/>
      <c r="J488" s="847"/>
      <c r="K488" s="847"/>
      <c r="L488" s="847"/>
      <c r="M488" s="847"/>
      <c r="N488" s="847"/>
      <c r="O488" s="847"/>
      <c r="P488" s="847"/>
      <c r="Q488" s="847"/>
      <c r="R488" s="847"/>
      <c r="S488" s="847"/>
      <c r="T488" s="847"/>
      <c r="U488" s="847"/>
      <c r="V488" s="847"/>
      <c r="W488" s="847"/>
      <c r="X488" s="847"/>
      <c r="Y488" s="847"/>
      <c r="Z488" s="847"/>
      <c r="AA488" s="847"/>
      <c r="AB488" s="847"/>
      <c r="AC488" s="847"/>
      <c r="AD488" s="847"/>
      <c r="AE488" s="847"/>
      <c r="AF488" s="847"/>
      <c r="AG488" s="847"/>
    </row>
    <row r="489">
      <c r="A489" s="847"/>
      <c r="B489" s="847"/>
      <c r="C489" s="847"/>
      <c r="D489" s="847"/>
      <c r="E489" s="847"/>
      <c r="F489" s="847"/>
      <c r="G489" s="847"/>
      <c r="H489" s="847"/>
      <c r="I489" s="847"/>
      <c r="J489" s="847"/>
      <c r="K489" s="847"/>
      <c r="L489" s="847"/>
      <c r="M489" s="847"/>
      <c r="N489" s="847"/>
      <c r="O489" s="847"/>
      <c r="P489" s="847"/>
      <c r="Q489" s="847"/>
      <c r="R489" s="847"/>
      <c r="S489" s="847"/>
      <c r="T489" s="847"/>
      <c r="U489" s="847"/>
      <c r="V489" s="847"/>
      <c r="W489" s="847"/>
      <c r="X489" s="847"/>
      <c r="Y489" s="847"/>
      <c r="Z489" s="847"/>
      <c r="AA489" s="847"/>
      <c r="AB489" s="847"/>
      <c r="AC489" s="847"/>
      <c r="AD489" s="847"/>
      <c r="AE489" s="847"/>
      <c r="AF489" s="847"/>
      <c r="AG489" s="847"/>
    </row>
    <row r="490">
      <c r="A490" s="847"/>
      <c r="B490" s="847"/>
      <c r="C490" s="847"/>
      <c r="D490" s="847"/>
      <c r="E490" s="847"/>
      <c r="F490" s="847"/>
      <c r="G490" s="847"/>
      <c r="H490" s="847"/>
      <c r="I490" s="847"/>
      <c r="J490" s="847"/>
      <c r="K490" s="847"/>
      <c r="L490" s="847"/>
      <c r="M490" s="847"/>
      <c r="N490" s="847"/>
      <c r="O490" s="847"/>
      <c r="P490" s="847"/>
      <c r="Q490" s="847"/>
      <c r="R490" s="847"/>
      <c r="S490" s="847"/>
      <c r="T490" s="847"/>
      <c r="U490" s="847"/>
      <c r="V490" s="847"/>
      <c r="W490" s="847"/>
      <c r="X490" s="847"/>
      <c r="Y490" s="847"/>
      <c r="Z490" s="847"/>
      <c r="AA490" s="847"/>
      <c r="AB490" s="847"/>
      <c r="AC490" s="847"/>
      <c r="AD490" s="847"/>
      <c r="AE490" s="847"/>
      <c r="AF490" s="847"/>
      <c r="AG490" s="847"/>
    </row>
    <row r="491">
      <c r="A491" s="847"/>
      <c r="B491" s="847"/>
      <c r="C491" s="847"/>
      <c r="D491" s="847"/>
      <c r="E491" s="847"/>
      <c r="F491" s="847"/>
      <c r="G491" s="847"/>
      <c r="H491" s="847"/>
      <c r="I491" s="847"/>
      <c r="J491" s="847"/>
      <c r="K491" s="847"/>
      <c r="L491" s="847"/>
      <c r="M491" s="847"/>
      <c r="N491" s="847"/>
      <c r="O491" s="847"/>
      <c r="P491" s="847"/>
      <c r="Q491" s="847"/>
      <c r="R491" s="847"/>
      <c r="S491" s="847"/>
      <c r="T491" s="847"/>
      <c r="U491" s="847"/>
      <c r="V491" s="847"/>
      <c r="W491" s="847"/>
      <c r="X491" s="847"/>
      <c r="Y491" s="847"/>
      <c r="Z491" s="847"/>
      <c r="AA491" s="847"/>
      <c r="AB491" s="847"/>
      <c r="AC491" s="847"/>
      <c r="AD491" s="847"/>
      <c r="AE491" s="847"/>
      <c r="AF491" s="847"/>
      <c r="AG491" s="847"/>
    </row>
    <row r="492">
      <c r="A492" s="847"/>
      <c r="B492" s="847"/>
      <c r="C492" s="847"/>
      <c r="D492" s="847"/>
      <c r="E492" s="847"/>
      <c r="F492" s="847"/>
      <c r="G492" s="847"/>
      <c r="H492" s="847"/>
      <c r="I492" s="847"/>
      <c r="J492" s="847"/>
      <c r="K492" s="847"/>
      <c r="L492" s="847"/>
      <c r="M492" s="847"/>
      <c r="N492" s="847"/>
      <c r="O492" s="847"/>
      <c r="P492" s="847"/>
      <c r="Q492" s="847"/>
      <c r="R492" s="847"/>
      <c r="S492" s="847"/>
      <c r="T492" s="847"/>
      <c r="U492" s="847"/>
      <c r="V492" s="847"/>
      <c r="W492" s="847"/>
      <c r="X492" s="847"/>
      <c r="Y492" s="847"/>
      <c r="Z492" s="847"/>
      <c r="AA492" s="847"/>
      <c r="AB492" s="847"/>
      <c r="AC492" s="847"/>
      <c r="AD492" s="847"/>
      <c r="AE492" s="847"/>
      <c r="AF492" s="847"/>
      <c r="AG492" s="847"/>
    </row>
    <row r="493">
      <c r="A493" s="847"/>
      <c r="B493" s="847"/>
      <c r="C493" s="847"/>
      <c r="D493" s="847"/>
      <c r="E493" s="847"/>
      <c r="F493" s="847"/>
      <c r="G493" s="847"/>
      <c r="H493" s="847"/>
      <c r="I493" s="847"/>
      <c r="J493" s="847"/>
      <c r="K493" s="847"/>
      <c r="L493" s="847"/>
      <c r="M493" s="847"/>
      <c r="N493" s="847"/>
      <c r="O493" s="847"/>
      <c r="P493" s="847"/>
      <c r="Q493" s="847"/>
      <c r="R493" s="847"/>
      <c r="S493" s="847"/>
      <c r="T493" s="847"/>
      <c r="U493" s="847"/>
      <c r="V493" s="847"/>
      <c r="W493" s="847"/>
      <c r="X493" s="847"/>
      <c r="Y493" s="847"/>
      <c r="Z493" s="847"/>
      <c r="AA493" s="847"/>
      <c r="AB493" s="847"/>
      <c r="AC493" s="847"/>
      <c r="AD493" s="847"/>
      <c r="AE493" s="847"/>
      <c r="AF493" s="847"/>
      <c r="AG493" s="847"/>
    </row>
    <row r="494">
      <c r="A494" s="847"/>
      <c r="B494" s="847"/>
      <c r="C494" s="847"/>
      <c r="D494" s="847"/>
      <c r="E494" s="847"/>
      <c r="F494" s="847"/>
      <c r="G494" s="847"/>
      <c r="H494" s="847"/>
      <c r="I494" s="847"/>
      <c r="J494" s="847"/>
      <c r="K494" s="847"/>
      <c r="L494" s="847"/>
      <c r="M494" s="847"/>
      <c r="N494" s="847"/>
      <c r="O494" s="847"/>
      <c r="P494" s="847"/>
      <c r="Q494" s="847"/>
      <c r="R494" s="847"/>
      <c r="S494" s="847"/>
      <c r="T494" s="847"/>
      <c r="U494" s="847"/>
      <c r="V494" s="847"/>
      <c r="W494" s="847"/>
      <c r="X494" s="847"/>
      <c r="Y494" s="847"/>
      <c r="Z494" s="847"/>
      <c r="AA494" s="847"/>
      <c r="AB494" s="847"/>
      <c r="AC494" s="847"/>
      <c r="AD494" s="847"/>
      <c r="AE494" s="847"/>
      <c r="AF494" s="847"/>
      <c r="AG494" s="847"/>
    </row>
    <row r="495">
      <c r="A495" s="847"/>
      <c r="B495" s="847"/>
      <c r="C495" s="847"/>
      <c r="D495" s="847"/>
      <c r="E495" s="847"/>
      <c r="F495" s="847"/>
      <c r="G495" s="847"/>
      <c r="H495" s="847"/>
      <c r="I495" s="847"/>
      <c r="J495" s="847"/>
      <c r="K495" s="847"/>
      <c r="L495" s="847"/>
      <c r="M495" s="847"/>
      <c r="N495" s="847"/>
      <c r="O495" s="847"/>
      <c r="P495" s="847"/>
      <c r="Q495" s="847"/>
      <c r="R495" s="847"/>
      <c r="S495" s="847"/>
      <c r="T495" s="847"/>
      <c r="U495" s="847"/>
      <c r="V495" s="847"/>
      <c r="W495" s="847"/>
      <c r="X495" s="847"/>
      <c r="Y495" s="847"/>
      <c r="Z495" s="847"/>
      <c r="AA495" s="847"/>
      <c r="AB495" s="847"/>
      <c r="AC495" s="847"/>
      <c r="AD495" s="847"/>
      <c r="AE495" s="847"/>
      <c r="AF495" s="847"/>
      <c r="AG495" s="847"/>
    </row>
    <row r="496">
      <c r="A496" s="847"/>
      <c r="B496" s="847"/>
      <c r="C496" s="847"/>
      <c r="D496" s="847"/>
      <c r="E496" s="847"/>
      <c r="F496" s="847"/>
      <c r="G496" s="847"/>
      <c r="H496" s="847"/>
      <c r="I496" s="847"/>
      <c r="J496" s="847"/>
      <c r="K496" s="847"/>
      <c r="L496" s="847"/>
      <c r="M496" s="847"/>
      <c r="N496" s="847"/>
      <c r="O496" s="847"/>
      <c r="P496" s="847"/>
      <c r="Q496" s="847"/>
      <c r="R496" s="847"/>
      <c r="S496" s="847"/>
      <c r="T496" s="847"/>
      <c r="U496" s="847"/>
      <c r="V496" s="847"/>
      <c r="W496" s="847"/>
      <c r="X496" s="847"/>
      <c r="Y496" s="847"/>
      <c r="Z496" s="847"/>
      <c r="AA496" s="847"/>
      <c r="AB496" s="847"/>
      <c r="AC496" s="847"/>
      <c r="AD496" s="847"/>
      <c r="AE496" s="847"/>
      <c r="AF496" s="847"/>
      <c r="AG496" s="847"/>
    </row>
    <row r="497">
      <c r="A497" s="847"/>
      <c r="B497" s="847"/>
      <c r="C497" s="847"/>
      <c r="D497" s="847"/>
      <c r="E497" s="847"/>
      <c r="F497" s="847"/>
      <c r="G497" s="847"/>
      <c r="H497" s="847"/>
      <c r="I497" s="847"/>
      <c r="J497" s="847"/>
      <c r="K497" s="847"/>
      <c r="L497" s="847"/>
      <c r="M497" s="847"/>
      <c r="N497" s="847"/>
      <c r="O497" s="847"/>
      <c r="P497" s="847"/>
      <c r="Q497" s="847"/>
      <c r="R497" s="847"/>
      <c r="S497" s="847"/>
      <c r="T497" s="847"/>
      <c r="U497" s="847"/>
      <c r="V497" s="847"/>
      <c r="W497" s="847"/>
      <c r="X497" s="847"/>
      <c r="Y497" s="847"/>
      <c r="Z497" s="847"/>
      <c r="AA497" s="847"/>
      <c r="AB497" s="847"/>
      <c r="AC497" s="847"/>
      <c r="AD497" s="847"/>
      <c r="AE497" s="847"/>
      <c r="AF497" s="847"/>
      <c r="AG497" s="847"/>
    </row>
    <row r="498">
      <c r="A498" s="847"/>
      <c r="B498" s="847"/>
      <c r="C498" s="847"/>
      <c r="D498" s="847"/>
      <c r="E498" s="847"/>
      <c r="F498" s="847"/>
      <c r="G498" s="847"/>
      <c r="H498" s="847"/>
      <c r="I498" s="847"/>
      <c r="J498" s="847"/>
      <c r="K498" s="847"/>
      <c r="L498" s="847"/>
      <c r="M498" s="847"/>
      <c r="N498" s="847"/>
      <c r="O498" s="847"/>
      <c r="P498" s="847"/>
      <c r="Q498" s="847"/>
      <c r="R498" s="847"/>
      <c r="S498" s="847"/>
      <c r="T498" s="847"/>
      <c r="U498" s="847"/>
      <c r="V498" s="847"/>
      <c r="W498" s="847"/>
      <c r="X498" s="847"/>
      <c r="Y498" s="847"/>
      <c r="Z498" s="847"/>
      <c r="AA498" s="847"/>
      <c r="AB498" s="847"/>
      <c r="AC498" s="847"/>
      <c r="AD498" s="847"/>
      <c r="AE498" s="847"/>
      <c r="AF498" s="847"/>
      <c r="AG498" s="847"/>
    </row>
    <row r="499">
      <c r="A499" s="847"/>
      <c r="B499" s="847"/>
      <c r="C499" s="847"/>
      <c r="D499" s="847"/>
      <c r="E499" s="847"/>
      <c r="F499" s="847"/>
      <c r="G499" s="847"/>
      <c r="H499" s="847"/>
      <c r="I499" s="847"/>
      <c r="J499" s="847"/>
      <c r="K499" s="847"/>
      <c r="L499" s="847"/>
      <c r="M499" s="847"/>
      <c r="N499" s="847"/>
      <c r="O499" s="847"/>
      <c r="P499" s="847"/>
      <c r="Q499" s="847"/>
      <c r="R499" s="847"/>
      <c r="S499" s="847"/>
      <c r="T499" s="847"/>
      <c r="U499" s="847"/>
      <c r="V499" s="847"/>
      <c r="W499" s="847"/>
      <c r="X499" s="847"/>
      <c r="Y499" s="847"/>
      <c r="Z499" s="847"/>
      <c r="AA499" s="847"/>
      <c r="AB499" s="847"/>
      <c r="AC499" s="847"/>
      <c r="AD499" s="847"/>
      <c r="AE499" s="847"/>
      <c r="AF499" s="847"/>
      <c r="AG499" s="847"/>
    </row>
    <row r="500">
      <c r="A500" s="847"/>
      <c r="B500" s="847"/>
      <c r="C500" s="847"/>
      <c r="D500" s="847"/>
      <c r="E500" s="847"/>
      <c r="F500" s="847"/>
      <c r="G500" s="847"/>
      <c r="H500" s="847"/>
      <c r="I500" s="847"/>
      <c r="J500" s="847"/>
      <c r="K500" s="847"/>
      <c r="L500" s="847"/>
      <c r="M500" s="847"/>
      <c r="N500" s="847"/>
      <c r="O500" s="847"/>
      <c r="P500" s="847"/>
      <c r="Q500" s="847"/>
      <c r="R500" s="847"/>
      <c r="S500" s="847"/>
      <c r="T500" s="847"/>
      <c r="U500" s="847"/>
      <c r="V500" s="847"/>
      <c r="W500" s="847"/>
      <c r="X500" s="847"/>
      <c r="Y500" s="847"/>
      <c r="Z500" s="847"/>
      <c r="AA500" s="847"/>
      <c r="AB500" s="847"/>
      <c r="AC500" s="847"/>
      <c r="AD500" s="847"/>
      <c r="AE500" s="847"/>
      <c r="AF500" s="847"/>
      <c r="AG500" s="847"/>
    </row>
    <row r="501">
      <c r="A501" s="847"/>
      <c r="B501" s="847"/>
      <c r="C501" s="847"/>
      <c r="D501" s="847"/>
      <c r="E501" s="847"/>
      <c r="F501" s="847"/>
      <c r="G501" s="847"/>
      <c r="H501" s="847"/>
      <c r="I501" s="847"/>
      <c r="J501" s="847"/>
      <c r="K501" s="847"/>
      <c r="L501" s="847"/>
      <c r="M501" s="847"/>
      <c r="N501" s="847"/>
      <c r="O501" s="847"/>
      <c r="P501" s="847"/>
      <c r="Q501" s="847"/>
      <c r="R501" s="847"/>
      <c r="S501" s="847"/>
      <c r="T501" s="847"/>
      <c r="U501" s="847"/>
      <c r="V501" s="847"/>
      <c r="W501" s="847"/>
      <c r="X501" s="847"/>
      <c r="Y501" s="847"/>
      <c r="Z501" s="847"/>
      <c r="AA501" s="847"/>
      <c r="AB501" s="847"/>
      <c r="AC501" s="847"/>
      <c r="AD501" s="847"/>
      <c r="AE501" s="847"/>
      <c r="AF501" s="847"/>
      <c r="AG501" s="847"/>
    </row>
    <row r="502">
      <c r="A502" s="847"/>
      <c r="B502" s="847"/>
      <c r="C502" s="847"/>
      <c r="D502" s="847"/>
      <c r="E502" s="847"/>
      <c r="F502" s="847"/>
      <c r="G502" s="847"/>
      <c r="H502" s="847"/>
      <c r="I502" s="847"/>
      <c r="J502" s="847"/>
      <c r="K502" s="847"/>
      <c r="L502" s="847"/>
      <c r="M502" s="847"/>
      <c r="N502" s="847"/>
      <c r="O502" s="847"/>
      <c r="P502" s="847"/>
      <c r="Q502" s="847"/>
      <c r="R502" s="847"/>
      <c r="S502" s="847"/>
      <c r="T502" s="847"/>
      <c r="U502" s="847"/>
      <c r="V502" s="847"/>
      <c r="W502" s="847"/>
      <c r="X502" s="847"/>
      <c r="Y502" s="847"/>
      <c r="Z502" s="847"/>
      <c r="AA502" s="847"/>
      <c r="AB502" s="847"/>
      <c r="AC502" s="847"/>
      <c r="AD502" s="847"/>
      <c r="AE502" s="847"/>
      <c r="AF502" s="847"/>
      <c r="AG502" s="847"/>
    </row>
    <row r="503">
      <c r="A503" s="847"/>
      <c r="B503" s="847"/>
      <c r="C503" s="847"/>
      <c r="D503" s="847"/>
      <c r="E503" s="847"/>
      <c r="F503" s="847"/>
      <c r="G503" s="847"/>
      <c r="H503" s="847"/>
      <c r="I503" s="847"/>
      <c r="J503" s="847"/>
      <c r="K503" s="847"/>
      <c r="L503" s="847"/>
      <c r="M503" s="847"/>
      <c r="N503" s="847"/>
      <c r="O503" s="847"/>
      <c r="P503" s="847"/>
      <c r="Q503" s="847"/>
      <c r="R503" s="847"/>
      <c r="S503" s="847"/>
      <c r="T503" s="847"/>
      <c r="U503" s="847"/>
      <c r="V503" s="847"/>
      <c r="W503" s="847"/>
      <c r="X503" s="847"/>
      <c r="Y503" s="847"/>
      <c r="Z503" s="847"/>
      <c r="AA503" s="847"/>
      <c r="AB503" s="847"/>
      <c r="AC503" s="847"/>
      <c r="AD503" s="847"/>
      <c r="AE503" s="847"/>
      <c r="AF503" s="847"/>
      <c r="AG503" s="847"/>
    </row>
    <row r="504">
      <c r="A504" s="847"/>
      <c r="B504" s="847"/>
      <c r="C504" s="847"/>
      <c r="D504" s="847"/>
      <c r="E504" s="847"/>
      <c r="F504" s="847"/>
      <c r="G504" s="847"/>
      <c r="H504" s="847"/>
      <c r="I504" s="847"/>
      <c r="J504" s="847"/>
      <c r="K504" s="847"/>
      <c r="L504" s="847"/>
      <c r="M504" s="847"/>
      <c r="N504" s="847"/>
      <c r="O504" s="847"/>
      <c r="P504" s="847"/>
      <c r="Q504" s="847"/>
      <c r="R504" s="847"/>
      <c r="S504" s="847"/>
      <c r="T504" s="847"/>
      <c r="U504" s="847"/>
      <c r="V504" s="847"/>
      <c r="W504" s="847"/>
      <c r="X504" s="847"/>
      <c r="Y504" s="847"/>
      <c r="Z504" s="847"/>
      <c r="AA504" s="847"/>
      <c r="AB504" s="847"/>
      <c r="AC504" s="847"/>
      <c r="AD504" s="847"/>
      <c r="AE504" s="847"/>
      <c r="AF504" s="847"/>
      <c r="AG504" s="847"/>
    </row>
    <row r="505">
      <c r="A505" s="847"/>
      <c r="B505" s="847"/>
      <c r="C505" s="847"/>
      <c r="D505" s="847"/>
      <c r="E505" s="847"/>
      <c r="F505" s="847"/>
      <c r="G505" s="847"/>
      <c r="H505" s="847"/>
      <c r="I505" s="847"/>
      <c r="J505" s="847"/>
      <c r="K505" s="847"/>
      <c r="L505" s="847"/>
      <c r="M505" s="847"/>
      <c r="N505" s="847"/>
      <c r="O505" s="847"/>
      <c r="P505" s="847"/>
      <c r="Q505" s="847"/>
      <c r="R505" s="847"/>
      <c r="S505" s="847"/>
      <c r="T505" s="847"/>
      <c r="U505" s="847"/>
      <c r="V505" s="847"/>
      <c r="W505" s="847"/>
      <c r="X505" s="847"/>
      <c r="Y505" s="847"/>
      <c r="Z505" s="847"/>
      <c r="AA505" s="847"/>
      <c r="AB505" s="847"/>
      <c r="AC505" s="847"/>
      <c r="AD505" s="847"/>
      <c r="AE505" s="847"/>
      <c r="AF505" s="847"/>
      <c r="AG505" s="847"/>
    </row>
    <row r="506">
      <c r="A506" s="847"/>
      <c r="B506" s="847"/>
      <c r="C506" s="847"/>
      <c r="D506" s="847"/>
      <c r="E506" s="847"/>
      <c r="F506" s="847"/>
      <c r="G506" s="847"/>
      <c r="H506" s="847"/>
      <c r="I506" s="847"/>
      <c r="J506" s="847"/>
      <c r="K506" s="847"/>
      <c r="L506" s="847"/>
      <c r="M506" s="847"/>
      <c r="N506" s="847"/>
      <c r="O506" s="847"/>
      <c r="P506" s="847"/>
      <c r="Q506" s="847"/>
      <c r="R506" s="847"/>
      <c r="S506" s="847"/>
      <c r="T506" s="847"/>
      <c r="U506" s="847"/>
      <c r="V506" s="847"/>
      <c r="W506" s="847"/>
      <c r="X506" s="847"/>
      <c r="Y506" s="847"/>
      <c r="Z506" s="847"/>
      <c r="AA506" s="847"/>
      <c r="AB506" s="847"/>
      <c r="AC506" s="847"/>
      <c r="AD506" s="847"/>
      <c r="AE506" s="847"/>
      <c r="AF506" s="847"/>
      <c r="AG506" s="847"/>
    </row>
    <row r="507">
      <c r="A507" s="847"/>
      <c r="B507" s="847"/>
      <c r="C507" s="847"/>
      <c r="D507" s="847"/>
      <c r="E507" s="847"/>
      <c r="F507" s="847"/>
      <c r="G507" s="847"/>
      <c r="H507" s="847"/>
      <c r="I507" s="847"/>
      <c r="J507" s="847"/>
      <c r="K507" s="847"/>
      <c r="L507" s="847"/>
      <c r="M507" s="847"/>
      <c r="N507" s="847"/>
      <c r="O507" s="847"/>
      <c r="P507" s="847"/>
      <c r="Q507" s="847"/>
      <c r="R507" s="847"/>
      <c r="S507" s="847"/>
      <c r="T507" s="847"/>
      <c r="U507" s="847"/>
      <c r="V507" s="847"/>
      <c r="W507" s="847"/>
      <c r="X507" s="847"/>
      <c r="Y507" s="847"/>
      <c r="Z507" s="847"/>
      <c r="AA507" s="847"/>
      <c r="AB507" s="847"/>
      <c r="AC507" s="847"/>
      <c r="AD507" s="847"/>
      <c r="AE507" s="847"/>
      <c r="AF507" s="847"/>
      <c r="AG507" s="847"/>
    </row>
    <row r="508">
      <c r="A508" s="847"/>
      <c r="B508" s="847"/>
      <c r="C508" s="847"/>
      <c r="D508" s="847"/>
      <c r="E508" s="847"/>
      <c r="F508" s="847"/>
      <c r="G508" s="847"/>
      <c r="H508" s="847"/>
      <c r="I508" s="847"/>
      <c r="J508" s="847"/>
      <c r="K508" s="847"/>
      <c r="L508" s="847"/>
      <c r="M508" s="847"/>
      <c r="N508" s="847"/>
      <c r="O508" s="847"/>
      <c r="P508" s="847"/>
      <c r="Q508" s="847"/>
      <c r="R508" s="847"/>
      <c r="S508" s="847"/>
      <c r="T508" s="847"/>
      <c r="U508" s="847"/>
      <c r="V508" s="847"/>
      <c r="W508" s="847"/>
      <c r="X508" s="847"/>
      <c r="Y508" s="847"/>
      <c r="Z508" s="847"/>
      <c r="AA508" s="847"/>
      <c r="AB508" s="847"/>
      <c r="AC508" s="847"/>
      <c r="AD508" s="847"/>
      <c r="AE508" s="847"/>
      <c r="AF508" s="847"/>
      <c r="AG508" s="847"/>
    </row>
    <row r="509">
      <c r="A509" s="847"/>
      <c r="B509" s="847"/>
      <c r="C509" s="847"/>
      <c r="D509" s="847"/>
      <c r="E509" s="847"/>
      <c r="F509" s="847"/>
      <c r="G509" s="847"/>
      <c r="H509" s="847"/>
      <c r="I509" s="847"/>
      <c r="J509" s="847"/>
      <c r="K509" s="847"/>
      <c r="L509" s="847"/>
      <c r="M509" s="847"/>
      <c r="N509" s="847"/>
      <c r="O509" s="847"/>
      <c r="P509" s="847"/>
      <c r="Q509" s="847"/>
      <c r="R509" s="847"/>
      <c r="S509" s="847"/>
      <c r="T509" s="847"/>
      <c r="U509" s="847"/>
      <c r="V509" s="847"/>
      <c r="W509" s="847"/>
      <c r="X509" s="847"/>
      <c r="Y509" s="847"/>
      <c r="Z509" s="847"/>
      <c r="AA509" s="847"/>
      <c r="AB509" s="847"/>
      <c r="AC509" s="847"/>
      <c r="AD509" s="847"/>
      <c r="AE509" s="847"/>
      <c r="AF509" s="847"/>
      <c r="AG509" s="847"/>
    </row>
    <row r="510">
      <c r="A510" s="847"/>
      <c r="B510" s="847"/>
      <c r="C510" s="847"/>
      <c r="D510" s="847"/>
      <c r="E510" s="847"/>
      <c r="F510" s="847"/>
      <c r="G510" s="847"/>
      <c r="H510" s="847"/>
      <c r="I510" s="847"/>
      <c r="J510" s="847"/>
      <c r="K510" s="847"/>
      <c r="L510" s="847"/>
      <c r="M510" s="847"/>
      <c r="N510" s="847"/>
      <c r="O510" s="847"/>
      <c r="P510" s="847"/>
      <c r="Q510" s="847"/>
      <c r="R510" s="847"/>
      <c r="S510" s="847"/>
      <c r="T510" s="847"/>
      <c r="U510" s="847"/>
      <c r="V510" s="847"/>
      <c r="W510" s="847"/>
      <c r="X510" s="847"/>
      <c r="Y510" s="847"/>
      <c r="Z510" s="847"/>
      <c r="AA510" s="847"/>
      <c r="AB510" s="847"/>
      <c r="AC510" s="847"/>
      <c r="AD510" s="847"/>
      <c r="AE510" s="847"/>
      <c r="AF510" s="847"/>
      <c r="AG510" s="847"/>
    </row>
    <row r="511">
      <c r="A511" s="847"/>
      <c r="B511" s="847"/>
      <c r="C511" s="847"/>
      <c r="D511" s="847"/>
      <c r="E511" s="847"/>
      <c r="F511" s="847"/>
      <c r="G511" s="847"/>
      <c r="H511" s="847"/>
      <c r="I511" s="847"/>
      <c r="J511" s="847"/>
      <c r="K511" s="847"/>
      <c r="L511" s="847"/>
      <c r="M511" s="847"/>
      <c r="N511" s="847"/>
      <c r="O511" s="847"/>
      <c r="P511" s="847"/>
      <c r="Q511" s="847"/>
      <c r="R511" s="847"/>
      <c r="S511" s="847"/>
      <c r="T511" s="847"/>
      <c r="U511" s="847"/>
      <c r="V511" s="847"/>
      <c r="W511" s="847"/>
      <c r="X511" s="847"/>
      <c r="Y511" s="847"/>
      <c r="Z511" s="847"/>
      <c r="AA511" s="847"/>
      <c r="AB511" s="847"/>
      <c r="AC511" s="847"/>
      <c r="AD511" s="847"/>
      <c r="AE511" s="847"/>
      <c r="AF511" s="847"/>
      <c r="AG511" s="847"/>
    </row>
    <row r="512">
      <c r="A512" s="847"/>
      <c r="B512" s="847"/>
      <c r="C512" s="847"/>
      <c r="D512" s="847"/>
      <c r="E512" s="847"/>
      <c r="F512" s="847"/>
      <c r="G512" s="847"/>
      <c r="H512" s="847"/>
      <c r="I512" s="847"/>
      <c r="J512" s="847"/>
      <c r="K512" s="847"/>
      <c r="L512" s="847"/>
      <c r="M512" s="847"/>
      <c r="N512" s="847"/>
      <c r="O512" s="847"/>
      <c r="P512" s="847"/>
      <c r="Q512" s="847"/>
      <c r="R512" s="847"/>
      <c r="S512" s="847"/>
      <c r="T512" s="847"/>
      <c r="U512" s="847"/>
      <c r="V512" s="847"/>
      <c r="W512" s="847"/>
      <c r="X512" s="847"/>
      <c r="Y512" s="847"/>
      <c r="Z512" s="847"/>
      <c r="AA512" s="847"/>
      <c r="AB512" s="847"/>
      <c r="AC512" s="847"/>
      <c r="AD512" s="847"/>
      <c r="AE512" s="847"/>
      <c r="AF512" s="847"/>
      <c r="AG512" s="847"/>
    </row>
    <row r="513">
      <c r="A513" s="847"/>
      <c r="B513" s="847"/>
      <c r="C513" s="847"/>
      <c r="D513" s="847"/>
      <c r="E513" s="847"/>
      <c r="F513" s="847"/>
      <c r="G513" s="847"/>
      <c r="H513" s="847"/>
      <c r="I513" s="847"/>
      <c r="J513" s="847"/>
      <c r="K513" s="847"/>
      <c r="L513" s="847"/>
      <c r="M513" s="847"/>
      <c r="N513" s="847"/>
      <c r="O513" s="847"/>
      <c r="P513" s="847"/>
      <c r="Q513" s="847"/>
      <c r="R513" s="847"/>
      <c r="S513" s="847"/>
      <c r="T513" s="847"/>
      <c r="U513" s="847"/>
      <c r="V513" s="847"/>
      <c r="W513" s="847"/>
      <c r="X513" s="847"/>
      <c r="Y513" s="847"/>
      <c r="Z513" s="847"/>
      <c r="AA513" s="847"/>
      <c r="AB513" s="847"/>
      <c r="AC513" s="847"/>
      <c r="AD513" s="847"/>
      <c r="AE513" s="847"/>
      <c r="AF513" s="847"/>
      <c r="AG513" s="847"/>
    </row>
    <row r="514">
      <c r="A514" s="847"/>
      <c r="B514" s="847"/>
      <c r="C514" s="847"/>
      <c r="D514" s="847"/>
      <c r="E514" s="847"/>
      <c r="F514" s="847"/>
      <c r="G514" s="847"/>
      <c r="H514" s="847"/>
      <c r="I514" s="847"/>
      <c r="J514" s="847"/>
      <c r="K514" s="847"/>
      <c r="L514" s="847"/>
      <c r="M514" s="847"/>
      <c r="N514" s="847"/>
      <c r="O514" s="847"/>
      <c r="P514" s="847"/>
      <c r="Q514" s="847"/>
      <c r="R514" s="847"/>
      <c r="S514" s="847"/>
      <c r="T514" s="847"/>
      <c r="U514" s="847"/>
      <c r="V514" s="847"/>
      <c r="W514" s="847"/>
      <c r="X514" s="847"/>
      <c r="Y514" s="847"/>
      <c r="Z514" s="847"/>
      <c r="AA514" s="847"/>
      <c r="AB514" s="847"/>
      <c r="AC514" s="847"/>
      <c r="AD514" s="847"/>
      <c r="AE514" s="847"/>
      <c r="AF514" s="847"/>
      <c r="AG514" s="847"/>
    </row>
    <row r="515">
      <c r="A515" s="847"/>
      <c r="B515" s="847"/>
      <c r="C515" s="847"/>
      <c r="D515" s="847"/>
      <c r="E515" s="847"/>
      <c r="F515" s="847"/>
      <c r="G515" s="847"/>
      <c r="H515" s="847"/>
      <c r="I515" s="847"/>
      <c r="J515" s="847"/>
      <c r="K515" s="847"/>
      <c r="L515" s="847"/>
      <c r="M515" s="847"/>
      <c r="N515" s="847"/>
      <c r="O515" s="847"/>
      <c r="P515" s="847"/>
      <c r="Q515" s="847"/>
      <c r="R515" s="847"/>
      <c r="S515" s="847"/>
      <c r="T515" s="847"/>
      <c r="U515" s="847"/>
      <c r="V515" s="847"/>
      <c r="W515" s="847"/>
      <c r="X515" s="847"/>
      <c r="Y515" s="847"/>
      <c r="Z515" s="847"/>
      <c r="AA515" s="847"/>
      <c r="AB515" s="847"/>
      <c r="AC515" s="847"/>
      <c r="AD515" s="847"/>
      <c r="AE515" s="847"/>
      <c r="AF515" s="847"/>
      <c r="AG515" s="847"/>
    </row>
    <row r="516">
      <c r="A516" s="847"/>
      <c r="B516" s="847"/>
      <c r="C516" s="847"/>
      <c r="D516" s="847"/>
      <c r="E516" s="847"/>
      <c r="F516" s="847"/>
      <c r="G516" s="847"/>
      <c r="H516" s="847"/>
      <c r="I516" s="847"/>
      <c r="J516" s="847"/>
      <c r="K516" s="847"/>
      <c r="L516" s="847"/>
      <c r="M516" s="847"/>
      <c r="N516" s="847"/>
      <c r="O516" s="847"/>
      <c r="P516" s="847"/>
      <c r="Q516" s="847"/>
      <c r="R516" s="847"/>
      <c r="S516" s="847"/>
      <c r="T516" s="847"/>
      <c r="U516" s="847"/>
      <c r="V516" s="847"/>
      <c r="W516" s="847"/>
      <c r="X516" s="847"/>
      <c r="Y516" s="847"/>
      <c r="Z516" s="847"/>
      <c r="AA516" s="847"/>
      <c r="AB516" s="847"/>
      <c r="AC516" s="847"/>
      <c r="AD516" s="847"/>
      <c r="AE516" s="847"/>
      <c r="AF516" s="847"/>
      <c r="AG516" s="847"/>
    </row>
    <row r="517">
      <c r="A517" s="847"/>
      <c r="B517" s="847"/>
      <c r="C517" s="847"/>
      <c r="D517" s="847"/>
      <c r="E517" s="847"/>
      <c r="F517" s="847"/>
      <c r="G517" s="847"/>
      <c r="H517" s="847"/>
      <c r="I517" s="847"/>
      <c r="J517" s="847"/>
      <c r="K517" s="847"/>
      <c r="L517" s="847"/>
      <c r="M517" s="847"/>
      <c r="N517" s="847"/>
      <c r="O517" s="847"/>
      <c r="P517" s="847"/>
      <c r="Q517" s="847"/>
      <c r="R517" s="847"/>
      <c r="S517" s="847"/>
      <c r="T517" s="847"/>
      <c r="U517" s="847"/>
      <c r="V517" s="847"/>
      <c r="W517" s="847"/>
      <c r="X517" s="847"/>
      <c r="Y517" s="847"/>
      <c r="Z517" s="847"/>
      <c r="AA517" s="847"/>
      <c r="AB517" s="847"/>
      <c r="AC517" s="847"/>
      <c r="AD517" s="847"/>
      <c r="AE517" s="847"/>
      <c r="AF517" s="847"/>
      <c r="AG517" s="847"/>
    </row>
    <row r="518">
      <c r="A518" s="847"/>
      <c r="B518" s="847"/>
      <c r="C518" s="847"/>
      <c r="D518" s="847"/>
      <c r="E518" s="847"/>
      <c r="F518" s="847"/>
      <c r="G518" s="847"/>
      <c r="H518" s="847"/>
      <c r="I518" s="847"/>
      <c r="J518" s="847"/>
      <c r="K518" s="847"/>
      <c r="L518" s="847"/>
      <c r="M518" s="847"/>
      <c r="N518" s="847"/>
      <c r="O518" s="847"/>
      <c r="P518" s="847"/>
      <c r="Q518" s="847"/>
      <c r="R518" s="847"/>
      <c r="S518" s="847"/>
      <c r="T518" s="847"/>
      <c r="U518" s="847"/>
      <c r="V518" s="847"/>
      <c r="W518" s="847"/>
      <c r="X518" s="847"/>
      <c r="Y518" s="847"/>
      <c r="Z518" s="847"/>
      <c r="AA518" s="847"/>
      <c r="AB518" s="847"/>
      <c r="AC518" s="847"/>
      <c r="AD518" s="847"/>
      <c r="AE518" s="847"/>
      <c r="AF518" s="847"/>
      <c r="AG518" s="847"/>
    </row>
    <row r="519">
      <c r="A519" s="847"/>
      <c r="B519" s="847"/>
      <c r="C519" s="847"/>
      <c r="D519" s="847"/>
      <c r="E519" s="847"/>
      <c r="F519" s="847"/>
      <c r="G519" s="847"/>
      <c r="H519" s="847"/>
      <c r="I519" s="847"/>
      <c r="J519" s="847"/>
      <c r="K519" s="847"/>
      <c r="L519" s="847"/>
      <c r="M519" s="847"/>
      <c r="N519" s="847"/>
      <c r="O519" s="847"/>
      <c r="P519" s="847"/>
      <c r="Q519" s="847"/>
      <c r="R519" s="847"/>
      <c r="S519" s="847"/>
      <c r="T519" s="847"/>
      <c r="U519" s="847"/>
      <c r="V519" s="847"/>
      <c r="W519" s="847"/>
      <c r="X519" s="847"/>
      <c r="Y519" s="847"/>
      <c r="Z519" s="847"/>
      <c r="AA519" s="847"/>
      <c r="AB519" s="847"/>
      <c r="AC519" s="847"/>
      <c r="AD519" s="847"/>
      <c r="AE519" s="847"/>
      <c r="AF519" s="847"/>
      <c r="AG519" s="847"/>
    </row>
    <row r="520">
      <c r="A520" s="847"/>
      <c r="B520" s="847"/>
      <c r="C520" s="847"/>
      <c r="D520" s="847"/>
      <c r="E520" s="847"/>
      <c r="F520" s="847"/>
      <c r="G520" s="847"/>
      <c r="H520" s="847"/>
      <c r="I520" s="847"/>
      <c r="J520" s="847"/>
      <c r="K520" s="847"/>
      <c r="L520" s="847"/>
      <c r="M520" s="847"/>
      <c r="N520" s="847"/>
      <c r="O520" s="847"/>
      <c r="P520" s="847"/>
      <c r="Q520" s="847"/>
      <c r="R520" s="847"/>
      <c r="S520" s="847"/>
      <c r="T520" s="847"/>
      <c r="U520" s="847"/>
      <c r="V520" s="847"/>
      <c r="W520" s="847"/>
      <c r="X520" s="847"/>
      <c r="Y520" s="847"/>
      <c r="Z520" s="847"/>
      <c r="AA520" s="847"/>
      <c r="AB520" s="847"/>
      <c r="AC520" s="847"/>
      <c r="AD520" s="847"/>
      <c r="AE520" s="847"/>
      <c r="AF520" s="847"/>
      <c r="AG520" s="847"/>
    </row>
    <row r="521">
      <c r="A521" s="847"/>
      <c r="B521" s="847"/>
      <c r="C521" s="847"/>
      <c r="D521" s="847"/>
      <c r="E521" s="847"/>
      <c r="F521" s="847"/>
      <c r="G521" s="847"/>
      <c r="H521" s="847"/>
      <c r="I521" s="847"/>
      <c r="J521" s="847"/>
      <c r="K521" s="847"/>
      <c r="L521" s="847"/>
      <c r="M521" s="847"/>
      <c r="N521" s="847"/>
      <c r="O521" s="847"/>
      <c r="P521" s="847"/>
      <c r="Q521" s="847"/>
      <c r="R521" s="847"/>
      <c r="S521" s="847"/>
      <c r="T521" s="847"/>
      <c r="U521" s="847"/>
      <c r="V521" s="847"/>
      <c r="W521" s="847"/>
      <c r="X521" s="847"/>
      <c r="Y521" s="847"/>
      <c r="Z521" s="847"/>
      <c r="AA521" s="847"/>
      <c r="AB521" s="847"/>
      <c r="AC521" s="847"/>
      <c r="AD521" s="847"/>
      <c r="AE521" s="847"/>
      <c r="AF521" s="847"/>
      <c r="AG521" s="847"/>
    </row>
    <row r="522">
      <c r="A522" s="847"/>
      <c r="B522" s="847"/>
      <c r="C522" s="847"/>
      <c r="D522" s="847"/>
      <c r="E522" s="847"/>
      <c r="F522" s="847"/>
      <c r="G522" s="847"/>
      <c r="H522" s="847"/>
      <c r="I522" s="847"/>
      <c r="J522" s="847"/>
      <c r="K522" s="847"/>
      <c r="L522" s="847"/>
      <c r="M522" s="847"/>
      <c r="N522" s="847"/>
      <c r="O522" s="847"/>
      <c r="P522" s="847"/>
      <c r="Q522" s="847"/>
      <c r="R522" s="847"/>
      <c r="S522" s="847"/>
      <c r="T522" s="847"/>
      <c r="U522" s="847"/>
      <c r="V522" s="847"/>
      <c r="W522" s="847"/>
      <c r="X522" s="847"/>
      <c r="Y522" s="847"/>
      <c r="Z522" s="847"/>
      <c r="AA522" s="847"/>
      <c r="AB522" s="847"/>
      <c r="AC522" s="847"/>
      <c r="AD522" s="847"/>
      <c r="AE522" s="847"/>
      <c r="AF522" s="847"/>
      <c r="AG522" s="847"/>
    </row>
    <row r="523">
      <c r="A523" s="847"/>
      <c r="B523" s="847"/>
      <c r="C523" s="847"/>
      <c r="D523" s="847"/>
      <c r="E523" s="847"/>
      <c r="F523" s="847"/>
      <c r="G523" s="847"/>
      <c r="H523" s="847"/>
      <c r="I523" s="847"/>
      <c r="J523" s="847"/>
      <c r="K523" s="847"/>
      <c r="L523" s="847"/>
      <c r="M523" s="847"/>
      <c r="N523" s="847"/>
      <c r="O523" s="847"/>
      <c r="P523" s="847"/>
      <c r="Q523" s="847"/>
      <c r="R523" s="847"/>
      <c r="S523" s="847"/>
      <c r="T523" s="847"/>
      <c r="U523" s="847"/>
      <c r="V523" s="847"/>
      <c r="W523" s="847"/>
      <c r="X523" s="847"/>
      <c r="Y523" s="847"/>
      <c r="Z523" s="847"/>
      <c r="AA523" s="847"/>
      <c r="AB523" s="847"/>
      <c r="AC523" s="847"/>
      <c r="AD523" s="847"/>
      <c r="AE523" s="847"/>
      <c r="AF523" s="847"/>
      <c r="AG523" s="847"/>
    </row>
    <row r="524">
      <c r="A524" s="847"/>
      <c r="B524" s="847"/>
      <c r="C524" s="847"/>
      <c r="D524" s="847"/>
      <c r="E524" s="847"/>
      <c r="F524" s="847"/>
      <c r="G524" s="847"/>
      <c r="H524" s="847"/>
      <c r="I524" s="847"/>
      <c r="J524" s="847"/>
      <c r="K524" s="847"/>
      <c r="L524" s="847"/>
      <c r="M524" s="847"/>
      <c r="N524" s="847"/>
      <c r="O524" s="847"/>
      <c r="P524" s="847"/>
      <c r="Q524" s="847"/>
      <c r="R524" s="847"/>
      <c r="S524" s="847"/>
      <c r="T524" s="847"/>
      <c r="U524" s="847"/>
      <c r="V524" s="847"/>
      <c r="W524" s="847"/>
      <c r="X524" s="847"/>
      <c r="Y524" s="847"/>
      <c r="Z524" s="847"/>
      <c r="AA524" s="847"/>
      <c r="AB524" s="847"/>
      <c r="AC524" s="847"/>
      <c r="AD524" s="847"/>
      <c r="AE524" s="847"/>
      <c r="AF524" s="847"/>
      <c r="AG524" s="847"/>
    </row>
    <row r="525">
      <c r="A525" s="847"/>
      <c r="B525" s="847"/>
      <c r="C525" s="847"/>
      <c r="D525" s="847"/>
      <c r="E525" s="847"/>
      <c r="F525" s="847"/>
      <c r="G525" s="847"/>
      <c r="H525" s="847"/>
      <c r="I525" s="847"/>
      <c r="J525" s="847"/>
      <c r="K525" s="847"/>
      <c r="L525" s="847"/>
      <c r="M525" s="847"/>
      <c r="N525" s="847"/>
      <c r="O525" s="847"/>
      <c r="P525" s="847"/>
      <c r="Q525" s="847"/>
      <c r="R525" s="847"/>
      <c r="S525" s="847"/>
      <c r="T525" s="847"/>
      <c r="U525" s="847"/>
      <c r="V525" s="847"/>
      <c r="W525" s="847"/>
      <c r="X525" s="847"/>
      <c r="Y525" s="847"/>
      <c r="Z525" s="847"/>
      <c r="AA525" s="847"/>
      <c r="AB525" s="847"/>
      <c r="AC525" s="847"/>
      <c r="AD525" s="847"/>
      <c r="AE525" s="847"/>
      <c r="AF525" s="847"/>
      <c r="AG525" s="847"/>
    </row>
    <row r="526">
      <c r="A526" s="847"/>
      <c r="B526" s="847"/>
      <c r="C526" s="847"/>
      <c r="D526" s="847"/>
      <c r="E526" s="847"/>
      <c r="F526" s="847"/>
      <c r="G526" s="847"/>
      <c r="H526" s="847"/>
      <c r="I526" s="847"/>
      <c r="J526" s="847"/>
      <c r="K526" s="847"/>
      <c r="L526" s="847"/>
      <c r="M526" s="847"/>
      <c r="N526" s="847"/>
      <c r="O526" s="847"/>
      <c r="P526" s="847"/>
      <c r="Q526" s="847"/>
      <c r="R526" s="847"/>
      <c r="S526" s="847"/>
      <c r="T526" s="847"/>
      <c r="U526" s="847"/>
      <c r="V526" s="847"/>
      <c r="W526" s="847"/>
      <c r="X526" s="847"/>
      <c r="Y526" s="847"/>
      <c r="Z526" s="847"/>
      <c r="AA526" s="847"/>
      <c r="AB526" s="847"/>
      <c r="AC526" s="847"/>
      <c r="AD526" s="847"/>
      <c r="AE526" s="847"/>
      <c r="AF526" s="847"/>
      <c r="AG526" s="847"/>
    </row>
    <row r="527">
      <c r="A527" s="847"/>
      <c r="B527" s="847"/>
      <c r="C527" s="847"/>
      <c r="D527" s="847"/>
      <c r="E527" s="847"/>
      <c r="F527" s="847"/>
      <c r="G527" s="847"/>
      <c r="H527" s="847"/>
      <c r="I527" s="847"/>
      <c r="J527" s="847"/>
      <c r="K527" s="847"/>
      <c r="L527" s="847"/>
      <c r="M527" s="847"/>
      <c r="N527" s="847"/>
      <c r="O527" s="847"/>
      <c r="P527" s="847"/>
      <c r="Q527" s="847"/>
      <c r="R527" s="847"/>
      <c r="S527" s="847"/>
      <c r="T527" s="847"/>
      <c r="U527" s="847"/>
      <c r="V527" s="847"/>
      <c r="W527" s="847"/>
      <c r="X527" s="847"/>
      <c r="Y527" s="847"/>
      <c r="Z527" s="847"/>
      <c r="AA527" s="847"/>
      <c r="AB527" s="847"/>
      <c r="AC527" s="847"/>
      <c r="AD527" s="847"/>
      <c r="AE527" s="847"/>
      <c r="AF527" s="847"/>
      <c r="AG527" s="847"/>
    </row>
    <row r="528">
      <c r="A528" s="847"/>
      <c r="B528" s="847"/>
      <c r="C528" s="847"/>
      <c r="D528" s="847"/>
      <c r="E528" s="847"/>
      <c r="F528" s="847"/>
      <c r="G528" s="847"/>
      <c r="H528" s="847"/>
      <c r="I528" s="847"/>
      <c r="J528" s="847"/>
      <c r="K528" s="847"/>
      <c r="L528" s="847"/>
      <c r="M528" s="847"/>
      <c r="N528" s="847"/>
      <c r="O528" s="847"/>
      <c r="P528" s="847"/>
      <c r="Q528" s="847"/>
      <c r="R528" s="847"/>
      <c r="S528" s="847"/>
      <c r="T528" s="847"/>
      <c r="U528" s="847"/>
      <c r="V528" s="847"/>
      <c r="W528" s="847"/>
      <c r="X528" s="847"/>
      <c r="Y528" s="847"/>
      <c r="Z528" s="847"/>
      <c r="AA528" s="847"/>
      <c r="AB528" s="847"/>
      <c r="AC528" s="847"/>
      <c r="AD528" s="847"/>
      <c r="AE528" s="847"/>
      <c r="AF528" s="847"/>
      <c r="AG528" s="847"/>
    </row>
    <row r="529">
      <c r="A529" s="847"/>
      <c r="B529" s="847"/>
      <c r="C529" s="847"/>
      <c r="D529" s="847"/>
      <c r="E529" s="847"/>
      <c r="F529" s="847"/>
      <c r="G529" s="847"/>
      <c r="H529" s="847"/>
      <c r="I529" s="847"/>
      <c r="J529" s="847"/>
      <c r="K529" s="847"/>
      <c r="L529" s="847"/>
      <c r="M529" s="847"/>
      <c r="N529" s="847"/>
      <c r="O529" s="847"/>
      <c r="P529" s="847"/>
      <c r="Q529" s="847"/>
      <c r="R529" s="847"/>
      <c r="S529" s="847"/>
      <c r="T529" s="847"/>
      <c r="U529" s="847"/>
      <c r="V529" s="847"/>
      <c r="W529" s="847"/>
      <c r="X529" s="847"/>
      <c r="Y529" s="847"/>
      <c r="Z529" s="847"/>
      <c r="AA529" s="847"/>
      <c r="AB529" s="847"/>
      <c r="AC529" s="847"/>
      <c r="AD529" s="847"/>
      <c r="AE529" s="847"/>
      <c r="AF529" s="847"/>
      <c r="AG529" s="847"/>
    </row>
    <row r="530">
      <c r="A530" s="847"/>
      <c r="B530" s="847"/>
      <c r="C530" s="847"/>
      <c r="D530" s="847"/>
      <c r="E530" s="847"/>
      <c r="F530" s="847"/>
      <c r="G530" s="847"/>
      <c r="H530" s="847"/>
      <c r="I530" s="847"/>
      <c r="J530" s="847"/>
      <c r="K530" s="847"/>
      <c r="L530" s="847"/>
      <c r="M530" s="847"/>
      <c r="N530" s="847"/>
      <c r="O530" s="847"/>
      <c r="P530" s="847"/>
      <c r="Q530" s="847"/>
      <c r="R530" s="847"/>
      <c r="S530" s="847"/>
      <c r="T530" s="847"/>
      <c r="U530" s="847"/>
      <c r="V530" s="847"/>
      <c r="W530" s="847"/>
      <c r="X530" s="847"/>
      <c r="Y530" s="847"/>
      <c r="Z530" s="847"/>
      <c r="AA530" s="847"/>
      <c r="AB530" s="847"/>
      <c r="AC530" s="847"/>
      <c r="AD530" s="847"/>
      <c r="AE530" s="847"/>
      <c r="AF530" s="847"/>
      <c r="AG530" s="847"/>
    </row>
    <row r="531">
      <c r="A531" s="847"/>
      <c r="B531" s="847"/>
      <c r="C531" s="847"/>
      <c r="D531" s="847"/>
      <c r="E531" s="847"/>
      <c r="F531" s="847"/>
      <c r="G531" s="847"/>
      <c r="H531" s="847"/>
      <c r="I531" s="847"/>
      <c r="J531" s="847"/>
      <c r="K531" s="847"/>
      <c r="L531" s="847"/>
      <c r="M531" s="847"/>
      <c r="N531" s="847"/>
      <c r="O531" s="847"/>
      <c r="P531" s="847"/>
      <c r="Q531" s="847"/>
      <c r="R531" s="847"/>
      <c r="S531" s="847"/>
      <c r="T531" s="847"/>
      <c r="U531" s="847"/>
      <c r="V531" s="847"/>
      <c r="W531" s="847"/>
      <c r="X531" s="847"/>
      <c r="Y531" s="847"/>
      <c r="Z531" s="847"/>
      <c r="AA531" s="847"/>
      <c r="AB531" s="847"/>
      <c r="AC531" s="847"/>
      <c r="AD531" s="847"/>
      <c r="AE531" s="847"/>
      <c r="AF531" s="847"/>
      <c r="AG531" s="847"/>
    </row>
    <row r="532">
      <c r="A532" s="847"/>
      <c r="B532" s="847"/>
      <c r="C532" s="847"/>
      <c r="D532" s="847"/>
      <c r="E532" s="847"/>
      <c r="F532" s="847"/>
      <c r="G532" s="847"/>
      <c r="H532" s="847"/>
      <c r="I532" s="847"/>
      <c r="J532" s="847"/>
      <c r="K532" s="847"/>
      <c r="L532" s="847"/>
      <c r="M532" s="847"/>
      <c r="N532" s="847"/>
      <c r="O532" s="847"/>
      <c r="P532" s="847"/>
      <c r="Q532" s="847"/>
      <c r="R532" s="847"/>
      <c r="S532" s="847"/>
      <c r="T532" s="847"/>
      <c r="U532" s="847"/>
      <c r="V532" s="847"/>
      <c r="W532" s="847"/>
      <c r="X532" s="847"/>
      <c r="Y532" s="847"/>
      <c r="Z532" s="847"/>
      <c r="AA532" s="847"/>
      <c r="AB532" s="847"/>
      <c r="AC532" s="847"/>
      <c r="AD532" s="847"/>
      <c r="AE532" s="847"/>
      <c r="AF532" s="847"/>
      <c r="AG532" s="847"/>
    </row>
    <row r="533">
      <c r="A533" s="847"/>
      <c r="B533" s="847"/>
      <c r="C533" s="847"/>
      <c r="D533" s="847"/>
      <c r="E533" s="847"/>
      <c r="F533" s="847"/>
      <c r="G533" s="847"/>
      <c r="H533" s="847"/>
      <c r="I533" s="847"/>
      <c r="J533" s="847"/>
      <c r="K533" s="847"/>
      <c r="L533" s="847"/>
      <c r="M533" s="847"/>
      <c r="N533" s="847"/>
      <c r="O533" s="847"/>
      <c r="P533" s="847"/>
      <c r="Q533" s="847"/>
      <c r="R533" s="847"/>
      <c r="S533" s="847"/>
      <c r="T533" s="847"/>
      <c r="U533" s="847"/>
      <c r="V533" s="847"/>
      <c r="W533" s="847"/>
      <c r="X533" s="847"/>
      <c r="Y533" s="847"/>
      <c r="Z533" s="847"/>
      <c r="AA533" s="847"/>
      <c r="AB533" s="847"/>
      <c r="AC533" s="847"/>
      <c r="AD533" s="847"/>
      <c r="AE533" s="847"/>
      <c r="AF533" s="847"/>
      <c r="AG533" s="847"/>
    </row>
    <row r="534">
      <c r="A534" s="847"/>
      <c r="B534" s="847"/>
      <c r="C534" s="847"/>
      <c r="D534" s="847"/>
      <c r="E534" s="847"/>
      <c r="F534" s="847"/>
      <c r="G534" s="847"/>
      <c r="H534" s="847"/>
      <c r="I534" s="847"/>
      <c r="J534" s="847"/>
      <c r="K534" s="847"/>
      <c r="L534" s="847"/>
      <c r="M534" s="847"/>
      <c r="N534" s="847"/>
      <c r="O534" s="847"/>
      <c r="P534" s="847"/>
      <c r="Q534" s="847"/>
      <c r="R534" s="847"/>
      <c r="S534" s="847"/>
      <c r="T534" s="847"/>
      <c r="U534" s="847"/>
      <c r="V534" s="847"/>
      <c r="W534" s="847"/>
      <c r="X534" s="847"/>
      <c r="Y534" s="847"/>
      <c r="Z534" s="847"/>
      <c r="AA534" s="847"/>
      <c r="AB534" s="847"/>
      <c r="AC534" s="847"/>
      <c r="AD534" s="847"/>
      <c r="AE534" s="847"/>
      <c r="AF534" s="847"/>
      <c r="AG534" s="847"/>
    </row>
    <row r="535">
      <c r="A535" s="847"/>
      <c r="B535" s="847"/>
      <c r="C535" s="847"/>
      <c r="D535" s="847"/>
      <c r="E535" s="847"/>
      <c r="F535" s="847"/>
      <c r="G535" s="847"/>
      <c r="H535" s="847"/>
      <c r="I535" s="847"/>
      <c r="J535" s="847"/>
      <c r="K535" s="847"/>
      <c r="L535" s="847"/>
      <c r="M535" s="847"/>
      <c r="N535" s="847"/>
      <c r="O535" s="847"/>
      <c r="P535" s="847"/>
      <c r="Q535" s="847"/>
      <c r="R535" s="847"/>
      <c r="S535" s="847"/>
      <c r="T535" s="847"/>
      <c r="U535" s="847"/>
      <c r="V535" s="847"/>
      <c r="W535" s="847"/>
      <c r="X535" s="847"/>
      <c r="Y535" s="847"/>
      <c r="Z535" s="847"/>
      <c r="AA535" s="847"/>
      <c r="AB535" s="847"/>
      <c r="AC535" s="847"/>
      <c r="AD535" s="847"/>
      <c r="AE535" s="847"/>
      <c r="AF535" s="847"/>
      <c r="AG535" s="847"/>
    </row>
    <row r="536">
      <c r="A536" s="847"/>
      <c r="B536" s="847"/>
      <c r="C536" s="847"/>
      <c r="D536" s="847"/>
      <c r="E536" s="847"/>
      <c r="F536" s="847"/>
      <c r="G536" s="847"/>
      <c r="H536" s="847"/>
      <c r="I536" s="847"/>
      <c r="J536" s="847"/>
      <c r="K536" s="847"/>
      <c r="L536" s="847"/>
      <c r="M536" s="847"/>
      <c r="N536" s="847"/>
      <c r="O536" s="847"/>
      <c r="P536" s="847"/>
      <c r="Q536" s="847"/>
      <c r="R536" s="847"/>
      <c r="S536" s="847"/>
      <c r="T536" s="847"/>
      <c r="U536" s="847"/>
      <c r="V536" s="847"/>
      <c r="W536" s="847"/>
      <c r="X536" s="847"/>
      <c r="Y536" s="847"/>
      <c r="Z536" s="847"/>
      <c r="AA536" s="847"/>
      <c r="AB536" s="847"/>
      <c r="AC536" s="847"/>
      <c r="AD536" s="847"/>
      <c r="AE536" s="847"/>
      <c r="AF536" s="847"/>
      <c r="AG536" s="847"/>
    </row>
    <row r="537">
      <c r="A537" s="847"/>
      <c r="B537" s="847"/>
      <c r="C537" s="847"/>
      <c r="D537" s="847"/>
      <c r="E537" s="847"/>
      <c r="F537" s="847"/>
      <c r="G537" s="847"/>
      <c r="H537" s="847"/>
      <c r="I537" s="847"/>
      <c r="J537" s="847"/>
      <c r="K537" s="847"/>
      <c r="L537" s="847"/>
      <c r="M537" s="847"/>
      <c r="N537" s="847"/>
      <c r="O537" s="847"/>
      <c r="P537" s="847"/>
      <c r="Q537" s="847"/>
      <c r="R537" s="847"/>
      <c r="S537" s="847"/>
      <c r="T537" s="847"/>
      <c r="U537" s="847"/>
      <c r="V537" s="847"/>
      <c r="W537" s="847"/>
      <c r="X537" s="847"/>
      <c r="Y537" s="847"/>
      <c r="Z537" s="847"/>
      <c r="AA537" s="847"/>
      <c r="AB537" s="847"/>
      <c r="AC537" s="847"/>
      <c r="AD537" s="847"/>
      <c r="AE537" s="847"/>
      <c r="AF537" s="847"/>
      <c r="AG537" s="847"/>
    </row>
    <row r="538">
      <c r="A538" s="847"/>
      <c r="B538" s="847"/>
      <c r="C538" s="847"/>
      <c r="D538" s="847"/>
      <c r="E538" s="847"/>
      <c r="F538" s="847"/>
      <c r="G538" s="847"/>
      <c r="H538" s="847"/>
      <c r="I538" s="847"/>
      <c r="J538" s="847"/>
      <c r="K538" s="847"/>
      <c r="L538" s="847"/>
      <c r="M538" s="847"/>
      <c r="N538" s="847"/>
      <c r="O538" s="847"/>
      <c r="P538" s="847"/>
      <c r="Q538" s="847"/>
      <c r="R538" s="847"/>
      <c r="S538" s="847"/>
      <c r="T538" s="847"/>
      <c r="U538" s="847"/>
      <c r="V538" s="847"/>
      <c r="W538" s="847"/>
      <c r="X538" s="847"/>
      <c r="Y538" s="847"/>
      <c r="Z538" s="847"/>
      <c r="AA538" s="847"/>
      <c r="AB538" s="847"/>
      <c r="AC538" s="847"/>
      <c r="AD538" s="847"/>
      <c r="AE538" s="847"/>
      <c r="AF538" s="847"/>
      <c r="AG538" s="847"/>
    </row>
    <row r="539">
      <c r="A539" s="847"/>
      <c r="B539" s="847"/>
      <c r="C539" s="847"/>
      <c r="D539" s="847"/>
      <c r="E539" s="847"/>
      <c r="F539" s="847"/>
      <c r="G539" s="847"/>
      <c r="H539" s="847"/>
      <c r="I539" s="847"/>
      <c r="J539" s="847"/>
      <c r="K539" s="847"/>
      <c r="L539" s="847"/>
      <c r="M539" s="847"/>
      <c r="N539" s="847"/>
      <c r="O539" s="847"/>
      <c r="P539" s="847"/>
      <c r="Q539" s="847"/>
      <c r="R539" s="847"/>
      <c r="S539" s="847"/>
      <c r="T539" s="847"/>
      <c r="U539" s="847"/>
      <c r="V539" s="847"/>
      <c r="W539" s="847"/>
      <c r="X539" s="847"/>
      <c r="Y539" s="847"/>
      <c r="Z539" s="847"/>
      <c r="AA539" s="847"/>
      <c r="AB539" s="847"/>
      <c r="AC539" s="847"/>
      <c r="AD539" s="847"/>
      <c r="AE539" s="847"/>
      <c r="AF539" s="847"/>
      <c r="AG539" s="847"/>
    </row>
    <row r="540">
      <c r="A540" s="847"/>
      <c r="B540" s="847"/>
      <c r="C540" s="847"/>
      <c r="D540" s="847"/>
      <c r="E540" s="847"/>
      <c r="F540" s="847"/>
      <c r="G540" s="847"/>
      <c r="H540" s="847"/>
      <c r="I540" s="847"/>
      <c r="J540" s="847"/>
      <c r="K540" s="847"/>
      <c r="L540" s="847"/>
      <c r="M540" s="847"/>
      <c r="N540" s="847"/>
      <c r="O540" s="847"/>
      <c r="P540" s="847"/>
      <c r="Q540" s="847"/>
      <c r="R540" s="847"/>
      <c r="S540" s="847"/>
      <c r="T540" s="847"/>
      <c r="U540" s="847"/>
      <c r="V540" s="847"/>
      <c r="W540" s="847"/>
      <c r="X540" s="847"/>
      <c r="Y540" s="847"/>
      <c r="Z540" s="847"/>
      <c r="AA540" s="847"/>
      <c r="AB540" s="847"/>
      <c r="AC540" s="847"/>
      <c r="AD540" s="847"/>
      <c r="AE540" s="847"/>
      <c r="AF540" s="847"/>
      <c r="AG540" s="847"/>
    </row>
    <row r="541">
      <c r="A541" s="847"/>
      <c r="B541" s="847"/>
      <c r="C541" s="847"/>
      <c r="D541" s="847"/>
      <c r="E541" s="847"/>
      <c r="F541" s="847"/>
      <c r="G541" s="847"/>
      <c r="H541" s="847"/>
      <c r="I541" s="847"/>
      <c r="J541" s="847"/>
      <c r="K541" s="847"/>
      <c r="L541" s="847"/>
      <c r="M541" s="847"/>
      <c r="N541" s="847"/>
      <c r="O541" s="847"/>
      <c r="P541" s="847"/>
      <c r="Q541" s="847"/>
      <c r="R541" s="847"/>
      <c r="S541" s="847"/>
      <c r="T541" s="847"/>
      <c r="U541" s="847"/>
      <c r="V541" s="847"/>
      <c r="W541" s="847"/>
      <c r="X541" s="847"/>
      <c r="Y541" s="847"/>
      <c r="Z541" s="847"/>
      <c r="AA541" s="847"/>
      <c r="AB541" s="847"/>
      <c r="AC541" s="847"/>
      <c r="AD541" s="847"/>
      <c r="AE541" s="847"/>
      <c r="AF541" s="847"/>
      <c r="AG541" s="847"/>
    </row>
    <row r="542">
      <c r="A542" s="847"/>
      <c r="B542" s="847"/>
      <c r="C542" s="847"/>
      <c r="D542" s="847"/>
      <c r="E542" s="847"/>
      <c r="F542" s="847"/>
      <c r="G542" s="847"/>
      <c r="H542" s="847"/>
      <c r="I542" s="847"/>
      <c r="J542" s="847"/>
      <c r="K542" s="847"/>
      <c r="L542" s="847"/>
      <c r="M542" s="847"/>
      <c r="N542" s="847"/>
      <c r="O542" s="847"/>
      <c r="P542" s="847"/>
      <c r="Q542" s="847"/>
      <c r="R542" s="847"/>
      <c r="S542" s="847"/>
      <c r="T542" s="847"/>
      <c r="U542" s="847"/>
      <c r="V542" s="847"/>
      <c r="W542" s="847"/>
      <c r="X542" s="847"/>
      <c r="Y542" s="847"/>
      <c r="Z542" s="847"/>
      <c r="AA542" s="847"/>
      <c r="AB542" s="847"/>
      <c r="AC542" s="847"/>
      <c r="AD542" s="847"/>
      <c r="AE542" s="847"/>
      <c r="AF542" s="847"/>
      <c r="AG542" s="847"/>
    </row>
    <row r="543">
      <c r="A543" s="847"/>
      <c r="B543" s="847"/>
      <c r="C543" s="847"/>
      <c r="D543" s="847"/>
      <c r="E543" s="847"/>
      <c r="F543" s="847"/>
      <c r="G543" s="847"/>
      <c r="H543" s="847"/>
      <c r="I543" s="847"/>
      <c r="J543" s="847"/>
      <c r="K543" s="847"/>
      <c r="L543" s="847"/>
      <c r="M543" s="847"/>
      <c r="N543" s="847"/>
      <c r="O543" s="847"/>
      <c r="P543" s="847"/>
      <c r="Q543" s="847"/>
      <c r="R543" s="847"/>
      <c r="S543" s="847"/>
      <c r="T543" s="847"/>
      <c r="U543" s="847"/>
      <c r="V543" s="847"/>
      <c r="W543" s="847"/>
      <c r="X543" s="847"/>
      <c r="Y543" s="847"/>
      <c r="Z543" s="847"/>
      <c r="AA543" s="847"/>
      <c r="AB543" s="847"/>
      <c r="AC543" s="847"/>
      <c r="AD543" s="847"/>
      <c r="AE543" s="847"/>
      <c r="AF543" s="847"/>
      <c r="AG543" s="847"/>
    </row>
    <row r="544">
      <c r="A544" s="847"/>
      <c r="B544" s="847"/>
      <c r="C544" s="847"/>
      <c r="D544" s="847"/>
      <c r="E544" s="847"/>
      <c r="F544" s="847"/>
      <c r="G544" s="847"/>
      <c r="H544" s="847"/>
      <c r="I544" s="847"/>
      <c r="J544" s="847"/>
      <c r="K544" s="847"/>
      <c r="L544" s="847"/>
      <c r="M544" s="847"/>
      <c r="N544" s="847"/>
      <c r="O544" s="847"/>
      <c r="P544" s="847"/>
      <c r="Q544" s="847"/>
      <c r="R544" s="847"/>
      <c r="S544" s="847"/>
      <c r="T544" s="847"/>
      <c r="U544" s="847"/>
      <c r="V544" s="847"/>
      <c r="W544" s="847"/>
      <c r="X544" s="847"/>
      <c r="Y544" s="847"/>
      <c r="Z544" s="847"/>
      <c r="AA544" s="847"/>
      <c r="AB544" s="847"/>
      <c r="AC544" s="847"/>
      <c r="AD544" s="847"/>
      <c r="AE544" s="847"/>
      <c r="AF544" s="847"/>
      <c r="AG544" s="847"/>
    </row>
    <row r="545">
      <c r="A545" s="847"/>
      <c r="B545" s="847"/>
      <c r="C545" s="847"/>
      <c r="D545" s="847"/>
      <c r="E545" s="847"/>
      <c r="F545" s="847"/>
      <c r="G545" s="847"/>
      <c r="H545" s="847"/>
      <c r="I545" s="847"/>
      <c r="J545" s="847"/>
      <c r="K545" s="847"/>
      <c r="L545" s="847"/>
      <c r="M545" s="847"/>
      <c r="N545" s="847"/>
      <c r="O545" s="847"/>
      <c r="P545" s="847"/>
      <c r="Q545" s="847"/>
      <c r="R545" s="847"/>
      <c r="S545" s="847"/>
      <c r="T545" s="847"/>
      <c r="U545" s="847"/>
      <c r="V545" s="847"/>
      <c r="W545" s="847"/>
      <c r="X545" s="847"/>
      <c r="Y545" s="847"/>
      <c r="Z545" s="847"/>
      <c r="AA545" s="847"/>
      <c r="AB545" s="847"/>
      <c r="AC545" s="847"/>
      <c r="AD545" s="847"/>
      <c r="AE545" s="847"/>
      <c r="AF545" s="847"/>
      <c r="AG545" s="847"/>
    </row>
    <row r="546">
      <c r="A546" s="847"/>
      <c r="B546" s="847"/>
      <c r="C546" s="847"/>
      <c r="D546" s="847"/>
      <c r="E546" s="847"/>
      <c r="F546" s="847"/>
      <c r="G546" s="847"/>
      <c r="H546" s="847"/>
      <c r="I546" s="847"/>
      <c r="J546" s="847"/>
      <c r="K546" s="847"/>
      <c r="L546" s="847"/>
      <c r="M546" s="847"/>
      <c r="N546" s="847"/>
      <c r="O546" s="847"/>
      <c r="P546" s="847"/>
      <c r="Q546" s="847"/>
      <c r="R546" s="847"/>
      <c r="S546" s="847"/>
      <c r="T546" s="847"/>
      <c r="U546" s="847"/>
      <c r="V546" s="847"/>
      <c r="W546" s="847"/>
      <c r="X546" s="847"/>
      <c r="Y546" s="847"/>
      <c r="Z546" s="847"/>
      <c r="AA546" s="847"/>
      <c r="AB546" s="847"/>
      <c r="AC546" s="847"/>
      <c r="AD546" s="847"/>
      <c r="AE546" s="847"/>
      <c r="AF546" s="847"/>
      <c r="AG546" s="847"/>
    </row>
    <row r="547">
      <c r="A547" s="847"/>
      <c r="B547" s="847"/>
      <c r="C547" s="847"/>
      <c r="D547" s="847"/>
      <c r="E547" s="847"/>
      <c r="F547" s="847"/>
      <c r="G547" s="847"/>
      <c r="H547" s="847"/>
      <c r="I547" s="847"/>
      <c r="J547" s="847"/>
      <c r="K547" s="847"/>
      <c r="L547" s="847"/>
      <c r="M547" s="847"/>
      <c r="N547" s="847"/>
      <c r="O547" s="847"/>
      <c r="P547" s="847"/>
      <c r="Q547" s="847"/>
      <c r="R547" s="847"/>
      <c r="S547" s="847"/>
      <c r="T547" s="847"/>
      <c r="U547" s="847"/>
      <c r="V547" s="847"/>
      <c r="W547" s="847"/>
      <c r="X547" s="847"/>
      <c r="Y547" s="847"/>
      <c r="Z547" s="847"/>
      <c r="AA547" s="847"/>
      <c r="AB547" s="847"/>
      <c r="AC547" s="847"/>
      <c r="AD547" s="847"/>
      <c r="AE547" s="847"/>
      <c r="AF547" s="847"/>
      <c r="AG547" s="847"/>
    </row>
    <row r="548">
      <c r="A548" s="847"/>
      <c r="B548" s="847"/>
      <c r="C548" s="847"/>
      <c r="D548" s="847"/>
      <c r="E548" s="847"/>
      <c r="F548" s="847"/>
      <c r="G548" s="847"/>
      <c r="H548" s="847"/>
      <c r="I548" s="847"/>
      <c r="J548" s="847"/>
      <c r="K548" s="847"/>
      <c r="L548" s="847"/>
      <c r="M548" s="847"/>
      <c r="N548" s="847"/>
      <c r="O548" s="847"/>
      <c r="P548" s="847"/>
      <c r="Q548" s="847"/>
      <c r="R548" s="847"/>
      <c r="S548" s="847"/>
      <c r="T548" s="847"/>
      <c r="U548" s="847"/>
      <c r="V548" s="847"/>
      <c r="W548" s="847"/>
      <c r="X548" s="847"/>
      <c r="Y548" s="847"/>
      <c r="Z548" s="847"/>
      <c r="AA548" s="847"/>
      <c r="AB548" s="847"/>
      <c r="AC548" s="847"/>
      <c r="AD548" s="847"/>
      <c r="AE548" s="847"/>
      <c r="AF548" s="847"/>
      <c r="AG548" s="847"/>
    </row>
    <row r="549">
      <c r="A549" s="847"/>
      <c r="B549" s="847"/>
      <c r="C549" s="847"/>
      <c r="D549" s="847"/>
      <c r="E549" s="847"/>
      <c r="F549" s="847"/>
      <c r="G549" s="847"/>
      <c r="H549" s="847"/>
      <c r="I549" s="847"/>
      <c r="J549" s="847"/>
      <c r="K549" s="847"/>
      <c r="L549" s="847"/>
      <c r="M549" s="847"/>
      <c r="N549" s="847"/>
      <c r="O549" s="847"/>
      <c r="P549" s="847"/>
      <c r="Q549" s="847"/>
      <c r="R549" s="847"/>
      <c r="S549" s="847"/>
      <c r="T549" s="847"/>
      <c r="U549" s="847"/>
      <c r="V549" s="847"/>
      <c r="W549" s="847"/>
      <c r="X549" s="847"/>
      <c r="Y549" s="847"/>
      <c r="Z549" s="847"/>
      <c r="AA549" s="847"/>
      <c r="AB549" s="847"/>
      <c r="AC549" s="847"/>
      <c r="AD549" s="847"/>
      <c r="AE549" s="847"/>
      <c r="AF549" s="847"/>
      <c r="AG549" s="847"/>
    </row>
    <row r="550">
      <c r="A550" s="847"/>
      <c r="B550" s="847"/>
      <c r="C550" s="847"/>
      <c r="D550" s="847"/>
      <c r="E550" s="847"/>
      <c r="F550" s="847"/>
      <c r="G550" s="847"/>
      <c r="H550" s="847"/>
      <c r="I550" s="847"/>
      <c r="J550" s="847"/>
      <c r="K550" s="847"/>
      <c r="L550" s="847"/>
      <c r="M550" s="847"/>
      <c r="N550" s="847"/>
      <c r="O550" s="847"/>
      <c r="P550" s="847"/>
      <c r="Q550" s="847"/>
      <c r="R550" s="847"/>
      <c r="S550" s="847"/>
      <c r="T550" s="847"/>
      <c r="U550" s="847"/>
      <c r="V550" s="847"/>
      <c r="W550" s="847"/>
      <c r="X550" s="847"/>
      <c r="Y550" s="847"/>
      <c r="Z550" s="847"/>
      <c r="AA550" s="847"/>
      <c r="AB550" s="847"/>
      <c r="AC550" s="847"/>
      <c r="AD550" s="847"/>
      <c r="AE550" s="847"/>
      <c r="AF550" s="847"/>
      <c r="AG550" s="847"/>
    </row>
    <row r="551">
      <c r="A551" s="847"/>
      <c r="B551" s="847"/>
      <c r="C551" s="847"/>
      <c r="D551" s="847"/>
      <c r="E551" s="847"/>
      <c r="F551" s="847"/>
      <c r="G551" s="847"/>
      <c r="H551" s="847"/>
      <c r="I551" s="847"/>
      <c r="J551" s="847"/>
      <c r="K551" s="847"/>
      <c r="L551" s="847"/>
      <c r="M551" s="847"/>
      <c r="N551" s="847"/>
      <c r="O551" s="847"/>
      <c r="P551" s="847"/>
      <c r="Q551" s="847"/>
      <c r="R551" s="847"/>
      <c r="S551" s="847"/>
      <c r="T551" s="847"/>
      <c r="U551" s="847"/>
      <c r="V551" s="847"/>
      <c r="W551" s="847"/>
      <c r="X551" s="847"/>
      <c r="Y551" s="847"/>
      <c r="Z551" s="847"/>
      <c r="AA551" s="847"/>
      <c r="AB551" s="847"/>
      <c r="AC551" s="847"/>
      <c r="AD551" s="847"/>
      <c r="AE551" s="847"/>
      <c r="AF551" s="847"/>
      <c r="AG551" s="847"/>
    </row>
    <row r="552">
      <c r="A552" s="847"/>
      <c r="B552" s="847"/>
      <c r="C552" s="847"/>
      <c r="D552" s="847"/>
      <c r="E552" s="847"/>
      <c r="F552" s="847"/>
      <c r="G552" s="847"/>
      <c r="H552" s="847"/>
      <c r="I552" s="847"/>
      <c r="J552" s="847"/>
      <c r="K552" s="847"/>
      <c r="L552" s="847"/>
      <c r="M552" s="847"/>
      <c r="N552" s="847"/>
      <c r="O552" s="847"/>
      <c r="P552" s="847"/>
      <c r="Q552" s="847"/>
      <c r="R552" s="847"/>
      <c r="S552" s="847"/>
      <c r="T552" s="847"/>
      <c r="U552" s="847"/>
      <c r="V552" s="847"/>
      <c r="W552" s="847"/>
      <c r="X552" s="847"/>
      <c r="Y552" s="847"/>
      <c r="Z552" s="847"/>
      <c r="AA552" s="847"/>
      <c r="AB552" s="847"/>
      <c r="AC552" s="847"/>
      <c r="AD552" s="847"/>
      <c r="AE552" s="847"/>
      <c r="AF552" s="847"/>
      <c r="AG552" s="847"/>
    </row>
    <row r="553">
      <c r="A553" s="847"/>
      <c r="B553" s="847"/>
      <c r="C553" s="847"/>
      <c r="D553" s="847"/>
      <c r="E553" s="847"/>
      <c r="F553" s="847"/>
      <c r="G553" s="847"/>
      <c r="H553" s="847"/>
      <c r="I553" s="847"/>
      <c r="J553" s="847"/>
      <c r="K553" s="847"/>
      <c r="L553" s="847"/>
      <c r="M553" s="847"/>
      <c r="N553" s="847"/>
      <c r="O553" s="847"/>
      <c r="P553" s="847"/>
      <c r="Q553" s="847"/>
      <c r="R553" s="847"/>
      <c r="S553" s="847"/>
      <c r="T553" s="847"/>
      <c r="U553" s="847"/>
      <c r="V553" s="847"/>
      <c r="W553" s="847"/>
      <c r="X553" s="847"/>
      <c r="Y553" s="847"/>
      <c r="Z553" s="847"/>
      <c r="AA553" s="847"/>
      <c r="AB553" s="847"/>
      <c r="AC553" s="847"/>
      <c r="AD553" s="847"/>
      <c r="AE553" s="847"/>
      <c r="AF553" s="847"/>
      <c r="AG553" s="847"/>
    </row>
    <row r="554">
      <c r="A554" s="847"/>
      <c r="B554" s="847"/>
      <c r="C554" s="847"/>
      <c r="D554" s="847"/>
      <c r="E554" s="847"/>
      <c r="F554" s="847"/>
      <c r="G554" s="847"/>
      <c r="H554" s="847"/>
      <c r="I554" s="847"/>
      <c r="J554" s="847"/>
      <c r="K554" s="847"/>
      <c r="L554" s="847"/>
      <c r="M554" s="847"/>
      <c r="N554" s="847"/>
      <c r="O554" s="847"/>
      <c r="P554" s="847"/>
      <c r="Q554" s="847"/>
      <c r="R554" s="847"/>
      <c r="S554" s="847"/>
      <c r="T554" s="847"/>
      <c r="U554" s="847"/>
      <c r="V554" s="847"/>
      <c r="W554" s="847"/>
      <c r="X554" s="847"/>
      <c r="Y554" s="847"/>
      <c r="Z554" s="847"/>
      <c r="AA554" s="847"/>
      <c r="AB554" s="847"/>
      <c r="AC554" s="847"/>
      <c r="AD554" s="847"/>
      <c r="AE554" s="847"/>
      <c r="AF554" s="847"/>
      <c r="AG554" s="847"/>
    </row>
    <row r="555">
      <c r="A555" s="847"/>
      <c r="B555" s="847"/>
      <c r="C555" s="847"/>
      <c r="D555" s="847"/>
      <c r="E555" s="847"/>
      <c r="F555" s="847"/>
      <c r="G555" s="847"/>
      <c r="H555" s="847"/>
      <c r="I555" s="847"/>
      <c r="J555" s="847"/>
      <c r="K555" s="847"/>
      <c r="L555" s="847"/>
      <c r="M555" s="847"/>
      <c r="N555" s="847"/>
      <c r="O555" s="847"/>
      <c r="P555" s="847"/>
      <c r="Q555" s="847"/>
      <c r="R555" s="847"/>
      <c r="S555" s="847"/>
      <c r="T555" s="847"/>
      <c r="U555" s="847"/>
      <c r="V555" s="847"/>
      <c r="W555" s="847"/>
      <c r="X555" s="847"/>
      <c r="Y555" s="847"/>
      <c r="Z555" s="847"/>
      <c r="AA555" s="847"/>
      <c r="AB555" s="847"/>
      <c r="AC555" s="847"/>
      <c r="AD555" s="847"/>
      <c r="AE555" s="847"/>
      <c r="AF555" s="847"/>
      <c r="AG555" s="847"/>
    </row>
    <row r="556">
      <c r="A556" s="847"/>
      <c r="B556" s="847"/>
      <c r="C556" s="847"/>
      <c r="D556" s="847"/>
      <c r="E556" s="847"/>
      <c r="F556" s="847"/>
      <c r="G556" s="847"/>
      <c r="H556" s="847"/>
      <c r="I556" s="847"/>
      <c r="J556" s="847"/>
      <c r="K556" s="847"/>
      <c r="L556" s="847"/>
      <c r="M556" s="847"/>
      <c r="N556" s="847"/>
      <c r="O556" s="847"/>
      <c r="P556" s="847"/>
      <c r="Q556" s="847"/>
      <c r="R556" s="847"/>
      <c r="S556" s="847"/>
      <c r="T556" s="847"/>
      <c r="U556" s="847"/>
      <c r="V556" s="847"/>
      <c r="W556" s="847"/>
      <c r="X556" s="847"/>
      <c r="Y556" s="847"/>
      <c r="Z556" s="847"/>
      <c r="AA556" s="847"/>
      <c r="AB556" s="847"/>
      <c r="AC556" s="847"/>
      <c r="AD556" s="847"/>
      <c r="AE556" s="847"/>
      <c r="AF556" s="847"/>
      <c r="AG556" s="847"/>
    </row>
    <row r="557">
      <c r="A557" s="847"/>
      <c r="B557" s="847"/>
      <c r="C557" s="847"/>
      <c r="D557" s="847"/>
      <c r="E557" s="847"/>
      <c r="F557" s="847"/>
      <c r="G557" s="847"/>
      <c r="H557" s="847"/>
      <c r="I557" s="847"/>
      <c r="J557" s="847"/>
      <c r="K557" s="847"/>
      <c r="L557" s="847"/>
      <c r="M557" s="847"/>
      <c r="N557" s="847"/>
      <c r="O557" s="847"/>
      <c r="P557" s="847"/>
      <c r="Q557" s="847"/>
      <c r="R557" s="847"/>
      <c r="S557" s="847"/>
      <c r="T557" s="847"/>
      <c r="U557" s="847"/>
      <c r="V557" s="847"/>
      <c r="W557" s="847"/>
      <c r="X557" s="847"/>
      <c r="Y557" s="847"/>
      <c r="Z557" s="847"/>
      <c r="AA557" s="847"/>
      <c r="AB557" s="847"/>
      <c r="AC557" s="847"/>
      <c r="AD557" s="847"/>
      <c r="AE557" s="847"/>
      <c r="AF557" s="847"/>
      <c r="AG557" s="847"/>
    </row>
    <row r="558">
      <c r="A558" s="847"/>
      <c r="B558" s="847"/>
      <c r="C558" s="847"/>
      <c r="D558" s="847"/>
      <c r="E558" s="847"/>
      <c r="F558" s="847"/>
      <c r="G558" s="847"/>
      <c r="H558" s="847"/>
      <c r="I558" s="847"/>
      <c r="J558" s="847"/>
      <c r="K558" s="847"/>
      <c r="L558" s="847"/>
      <c r="M558" s="847"/>
      <c r="N558" s="847"/>
      <c r="O558" s="847"/>
      <c r="P558" s="847"/>
      <c r="Q558" s="847"/>
      <c r="R558" s="847"/>
      <c r="S558" s="847"/>
      <c r="T558" s="847"/>
      <c r="U558" s="847"/>
      <c r="V558" s="847"/>
      <c r="W558" s="847"/>
      <c r="X558" s="847"/>
      <c r="Y558" s="847"/>
      <c r="Z558" s="847"/>
      <c r="AA558" s="847"/>
      <c r="AB558" s="847"/>
      <c r="AC558" s="847"/>
      <c r="AD558" s="847"/>
      <c r="AE558" s="847"/>
      <c r="AF558" s="847"/>
      <c r="AG558" s="847"/>
    </row>
    <row r="559">
      <c r="A559" s="847"/>
      <c r="B559" s="847"/>
      <c r="C559" s="847"/>
      <c r="D559" s="847"/>
      <c r="E559" s="847"/>
      <c r="F559" s="847"/>
      <c r="G559" s="847"/>
      <c r="H559" s="847"/>
      <c r="I559" s="847"/>
      <c r="J559" s="847"/>
      <c r="K559" s="847"/>
      <c r="L559" s="847"/>
      <c r="M559" s="847"/>
      <c r="N559" s="847"/>
      <c r="O559" s="847"/>
      <c r="P559" s="847"/>
      <c r="Q559" s="847"/>
      <c r="R559" s="847"/>
      <c r="S559" s="847"/>
      <c r="T559" s="847"/>
      <c r="U559" s="847"/>
      <c r="V559" s="847"/>
      <c r="W559" s="847"/>
      <c r="X559" s="847"/>
      <c r="Y559" s="847"/>
      <c r="Z559" s="847"/>
      <c r="AA559" s="847"/>
      <c r="AB559" s="847"/>
      <c r="AC559" s="847"/>
      <c r="AD559" s="847"/>
      <c r="AE559" s="847"/>
      <c r="AF559" s="847"/>
      <c r="AG559" s="847"/>
    </row>
    <row r="560">
      <c r="A560" s="847"/>
      <c r="B560" s="847"/>
      <c r="C560" s="847"/>
      <c r="D560" s="847"/>
      <c r="E560" s="847"/>
      <c r="F560" s="847"/>
      <c r="G560" s="847"/>
      <c r="H560" s="847"/>
      <c r="I560" s="847"/>
      <c r="J560" s="847"/>
      <c r="K560" s="847"/>
      <c r="L560" s="847"/>
      <c r="M560" s="847"/>
      <c r="N560" s="847"/>
      <c r="O560" s="847"/>
      <c r="P560" s="847"/>
      <c r="Q560" s="847"/>
      <c r="R560" s="847"/>
      <c r="S560" s="847"/>
      <c r="T560" s="847"/>
      <c r="U560" s="847"/>
      <c r="V560" s="847"/>
      <c r="W560" s="847"/>
      <c r="X560" s="847"/>
      <c r="Y560" s="847"/>
      <c r="Z560" s="847"/>
      <c r="AA560" s="847"/>
      <c r="AB560" s="847"/>
      <c r="AC560" s="847"/>
      <c r="AD560" s="847"/>
      <c r="AE560" s="847"/>
      <c r="AF560" s="847"/>
      <c r="AG560" s="847"/>
    </row>
    <row r="561">
      <c r="A561" s="847"/>
      <c r="B561" s="847"/>
      <c r="C561" s="847"/>
      <c r="D561" s="847"/>
      <c r="E561" s="847"/>
      <c r="F561" s="847"/>
      <c r="G561" s="847"/>
      <c r="H561" s="847"/>
      <c r="I561" s="847"/>
      <c r="J561" s="847"/>
      <c r="K561" s="847"/>
      <c r="L561" s="847"/>
      <c r="M561" s="847"/>
      <c r="N561" s="847"/>
      <c r="O561" s="847"/>
      <c r="P561" s="847"/>
      <c r="Q561" s="847"/>
      <c r="R561" s="847"/>
      <c r="S561" s="847"/>
      <c r="T561" s="847"/>
      <c r="U561" s="847"/>
      <c r="V561" s="847"/>
      <c r="W561" s="847"/>
      <c r="X561" s="847"/>
      <c r="Y561" s="847"/>
      <c r="Z561" s="847"/>
      <c r="AA561" s="847"/>
      <c r="AB561" s="847"/>
      <c r="AC561" s="847"/>
      <c r="AD561" s="847"/>
      <c r="AE561" s="847"/>
      <c r="AF561" s="847"/>
      <c r="AG561" s="847"/>
    </row>
    <row r="562">
      <c r="A562" s="847"/>
      <c r="B562" s="847"/>
      <c r="C562" s="847"/>
      <c r="D562" s="847"/>
      <c r="E562" s="847"/>
      <c r="F562" s="847"/>
      <c r="G562" s="847"/>
      <c r="H562" s="847"/>
      <c r="I562" s="847"/>
      <c r="J562" s="847"/>
      <c r="K562" s="847"/>
      <c r="L562" s="847"/>
      <c r="M562" s="847"/>
      <c r="N562" s="847"/>
      <c r="O562" s="847"/>
      <c r="P562" s="847"/>
      <c r="Q562" s="847"/>
      <c r="R562" s="847"/>
      <c r="S562" s="847"/>
      <c r="T562" s="847"/>
      <c r="U562" s="847"/>
      <c r="V562" s="847"/>
      <c r="W562" s="847"/>
      <c r="X562" s="847"/>
      <c r="Y562" s="847"/>
      <c r="Z562" s="847"/>
      <c r="AA562" s="847"/>
      <c r="AB562" s="847"/>
      <c r="AC562" s="847"/>
      <c r="AD562" s="847"/>
      <c r="AE562" s="847"/>
      <c r="AF562" s="847"/>
      <c r="AG562" s="847"/>
    </row>
    <row r="563">
      <c r="A563" s="847"/>
      <c r="B563" s="847"/>
      <c r="C563" s="847"/>
      <c r="D563" s="847"/>
      <c r="E563" s="847"/>
      <c r="F563" s="847"/>
      <c r="G563" s="847"/>
      <c r="H563" s="847"/>
      <c r="I563" s="847"/>
      <c r="J563" s="847"/>
      <c r="K563" s="847"/>
      <c r="L563" s="847"/>
      <c r="M563" s="847"/>
      <c r="N563" s="847"/>
      <c r="O563" s="847"/>
      <c r="P563" s="847"/>
      <c r="Q563" s="847"/>
      <c r="R563" s="847"/>
      <c r="S563" s="847"/>
      <c r="T563" s="847"/>
      <c r="U563" s="847"/>
      <c r="V563" s="847"/>
      <c r="W563" s="847"/>
      <c r="X563" s="847"/>
      <c r="Y563" s="847"/>
      <c r="Z563" s="847"/>
      <c r="AA563" s="847"/>
      <c r="AB563" s="847"/>
      <c r="AC563" s="847"/>
      <c r="AD563" s="847"/>
      <c r="AE563" s="847"/>
      <c r="AF563" s="847"/>
      <c r="AG563" s="847"/>
    </row>
    <row r="564">
      <c r="A564" s="847"/>
      <c r="B564" s="847"/>
      <c r="C564" s="847"/>
      <c r="D564" s="847"/>
      <c r="E564" s="847"/>
      <c r="F564" s="847"/>
      <c r="G564" s="847"/>
      <c r="H564" s="847"/>
      <c r="I564" s="847"/>
      <c r="J564" s="847"/>
      <c r="K564" s="847"/>
      <c r="L564" s="847"/>
      <c r="M564" s="847"/>
      <c r="N564" s="847"/>
      <c r="O564" s="847"/>
      <c r="P564" s="847"/>
      <c r="Q564" s="847"/>
      <c r="R564" s="847"/>
      <c r="S564" s="847"/>
      <c r="T564" s="847"/>
      <c r="U564" s="847"/>
      <c r="V564" s="847"/>
      <c r="W564" s="847"/>
      <c r="X564" s="847"/>
      <c r="Y564" s="847"/>
      <c r="Z564" s="847"/>
      <c r="AA564" s="847"/>
      <c r="AB564" s="847"/>
      <c r="AC564" s="847"/>
      <c r="AD564" s="847"/>
      <c r="AE564" s="847"/>
      <c r="AF564" s="847"/>
      <c r="AG564" s="847"/>
    </row>
    <row r="565">
      <c r="A565" s="847"/>
      <c r="B565" s="847"/>
      <c r="C565" s="847"/>
      <c r="D565" s="847"/>
      <c r="E565" s="847"/>
      <c r="F565" s="847"/>
      <c r="G565" s="847"/>
      <c r="H565" s="847"/>
      <c r="I565" s="847"/>
      <c r="J565" s="847"/>
      <c r="K565" s="847"/>
      <c r="L565" s="847"/>
      <c r="M565" s="847"/>
      <c r="N565" s="847"/>
      <c r="O565" s="847"/>
      <c r="P565" s="847"/>
      <c r="Q565" s="847"/>
      <c r="R565" s="847"/>
      <c r="S565" s="847"/>
      <c r="T565" s="847"/>
      <c r="U565" s="847"/>
      <c r="V565" s="847"/>
      <c r="W565" s="847"/>
      <c r="X565" s="847"/>
      <c r="Y565" s="847"/>
      <c r="Z565" s="847"/>
      <c r="AA565" s="847"/>
      <c r="AB565" s="847"/>
      <c r="AC565" s="847"/>
      <c r="AD565" s="847"/>
      <c r="AE565" s="847"/>
      <c r="AF565" s="847"/>
      <c r="AG565" s="847"/>
    </row>
    <row r="566">
      <c r="A566" s="847"/>
      <c r="B566" s="847"/>
      <c r="C566" s="847"/>
      <c r="D566" s="847"/>
      <c r="E566" s="847"/>
      <c r="F566" s="847"/>
      <c r="G566" s="847"/>
      <c r="H566" s="847"/>
      <c r="I566" s="847"/>
      <c r="J566" s="847"/>
      <c r="K566" s="847"/>
      <c r="L566" s="847"/>
      <c r="M566" s="847"/>
      <c r="N566" s="847"/>
      <c r="O566" s="847"/>
      <c r="P566" s="847"/>
      <c r="Q566" s="847"/>
      <c r="R566" s="847"/>
      <c r="S566" s="847"/>
      <c r="T566" s="847"/>
      <c r="U566" s="847"/>
      <c r="V566" s="847"/>
      <c r="W566" s="847"/>
      <c r="X566" s="847"/>
      <c r="Y566" s="847"/>
      <c r="Z566" s="847"/>
      <c r="AA566" s="847"/>
      <c r="AB566" s="847"/>
      <c r="AC566" s="847"/>
      <c r="AD566" s="847"/>
      <c r="AE566" s="847"/>
      <c r="AF566" s="847"/>
      <c r="AG566" s="847"/>
    </row>
    <row r="567">
      <c r="A567" s="847"/>
      <c r="B567" s="847"/>
      <c r="C567" s="847"/>
      <c r="D567" s="847"/>
      <c r="E567" s="847"/>
      <c r="F567" s="847"/>
      <c r="G567" s="847"/>
      <c r="H567" s="847"/>
      <c r="I567" s="847"/>
      <c r="J567" s="847"/>
      <c r="K567" s="847"/>
      <c r="L567" s="847"/>
      <c r="M567" s="847"/>
      <c r="N567" s="847"/>
      <c r="O567" s="847"/>
      <c r="P567" s="847"/>
      <c r="Q567" s="847"/>
      <c r="R567" s="847"/>
      <c r="S567" s="847"/>
      <c r="T567" s="847"/>
      <c r="U567" s="847"/>
      <c r="V567" s="847"/>
      <c r="W567" s="847"/>
      <c r="X567" s="847"/>
      <c r="Y567" s="847"/>
      <c r="Z567" s="847"/>
      <c r="AA567" s="847"/>
      <c r="AB567" s="847"/>
      <c r="AC567" s="847"/>
      <c r="AD567" s="847"/>
      <c r="AE567" s="847"/>
      <c r="AF567" s="847"/>
      <c r="AG567" s="847"/>
    </row>
    <row r="568">
      <c r="A568" s="847"/>
      <c r="B568" s="847"/>
      <c r="C568" s="847"/>
      <c r="D568" s="847"/>
      <c r="E568" s="847"/>
      <c r="F568" s="847"/>
      <c r="G568" s="847"/>
      <c r="H568" s="847"/>
      <c r="I568" s="847"/>
      <c r="J568" s="847"/>
      <c r="K568" s="847"/>
      <c r="L568" s="847"/>
      <c r="M568" s="847"/>
      <c r="N568" s="847"/>
      <c r="O568" s="847"/>
      <c r="P568" s="847"/>
      <c r="Q568" s="847"/>
      <c r="R568" s="847"/>
      <c r="S568" s="847"/>
      <c r="T568" s="847"/>
      <c r="U568" s="847"/>
      <c r="V568" s="847"/>
      <c r="W568" s="847"/>
      <c r="X568" s="847"/>
      <c r="Y568" s="847"/>
      <c r="Z568" s="847"/>
      <c r="AA568" s="847"/>
      <c r="AB568" s="847"/>
      <c r="AC568" s="847"/>
      <c r="AD568" s="847"/>
      <c r="AE568" s="847"/>
      <c r="AF568" s="847"/>
      <c r="AG568" s="847"/>
    </row>
    <row r="569">
      <c r="A569" s="847"/>
      <c r="B569" s="847"/>
      <c r="C569" s="847"/>
      <c r="D569" s="847"/>
      <c r="E569" s="847"/>
      <c r="F569" s="847"/>
      <c r="G569" s="847"/>
      <c r="H569" s="847"/>
      <c r="I569" s="847"/>
      <c r="J569" s="847"/>
      <c r="K569" s="847"/>
      <c r="L569" s="847"/>
      <c r="M569" s="847"/>
      <c r="N569" s="847"/>
      <c r="O569" s="847"/>
      <c r="P569" s="847"/>
      <c r="Q569" s="847"/>
      <c r="R569" s="847"/>
      <c r="S569" s="847"/>
      <c r="T569" s="847"/>
      <c r="U569" s="847"/>
      <c r="V569" s="847"/>
      <c r="W569" s="847"/>
      <c r="X569" s="847"/>
      <c r="Y569" s="847"/>
      <c r="Z569" s="847"/>
      <c r="AA569" s="847"/>
      <c r="AB569" s="847"/>
      <c r="AC569" s="847"/>
      <c r="AD569" s="847"/>
      <c r="AE569" s="847"/>
      <c r="AF569" s="847"/>
      <c r="AG569" s="847"/>
    </row>
    <row r="570">
      <c r="A570" s="847"/>
      <c r="B570" s="847"/>
      <c r="C570" s="847"/>
      <c r="D570" s="847"/>
      <c r="E570" s="847"/>
      <c r="F570" s="847"/>
      <c r="G570" s="847"/>
      <c r="H570" s="847"/>
      <c r="I570" s="847"/>
      <c r="J570" s="847"/>
      <c r="K570" s="847"/>
      <c r="L570" s="847"/>
      <c r="M570" s="847"/>
      <c r="N570" s="847"/>
      <c r="O570" s="847"/>
      <c r="P570" s="847"/>
      <c r="Q570" s="847"/>
      <c r="R570" s="847"/>
      <c r="S570" s="847"/>
      <c r="T570" s="847"/>
      <c r="U570" s="847"/>
      <c r="V570" s="847"/>
      <c r="W570" s="847"/>
      <c r="X570" s="847"/>
      <c r="Y570" s="847"/>
      <c r="Z570" s="847"/>
      <c r="AA570" s="847"/>
      <c r="AB570" s="847"/>
      <c r="AC570" s="847"/>
      <c r="AD570" s="847"/>
      <c r="AE570" s="847"/>
      <c r="AF570" s="847"/>
      <c r="AG570" s="847"/>
    </row>
    <row r="571">
      <c r="A571" s="847"/>
      <c r="B571" s="847"/>
      <c r="C571" s="847"/>
      <c r="D571" s="847"/>
      <c r="E571" s="847"/>
      <c r="F571" s="847"/>
      <c r="G571" s="847"/>
      <c r="H571" s="847"/>
      <c r="I571" s="847"/>
      <c r="J571" s="847"/>
      <c r="K571" s="847"/>
      <c r="L571" s="847"/>
      <c r="M571" s="847"/>
      <c r="N571" s="847"/>
      <c r="O571" s="847"/>
      <c r="P571" s="847"/>
      <c r="Q571" s="847"/>
      <c r="R571" s="847"/>
      <c r="S571" s="847"/>
      <c r="T571" s="847"/>
      <c r="U571" s="847"/>
      <c r="V571" s="847"/>
      <c r="W571" s="847"/>
      <c r="X571" s="847"/>
      <c r="Y571" s="847"/>
      <c r="Z571" s="847"/>
      <c r="AA571" s="847"/>
      <c r="AB571" s="847"/>
      <c r="AC571" s="847"/>
      <c r="AD571" s="847"/>
      <c r="AE571" s="847"/>
      <c r="AF571" s="847"/>
      <c r="AG571" s="847"/>
    </row>
    <row r="572">
      <c r="A572" s="847"/>
      <c r="B572" s="847"/>
      <c r="C572" s="847"/>
      <c r="D572" s="847"/>
      <c r="E572" s="847"/>
      <c r="F572" s="847"/>
      <c r="G572" s="847"/>
      <c r="H572" s="847"/>
      <c r="I572" s="847"/>
      <c r="J572" s="847"/>
      <c r="K572" s="847"/>
      <c r="L572" s="847"/>
      <c r="M572" s="847"/>
      <c r="N572" s="847"/>
      <c r="O572" s="847"/>
      <c r="P572" s="847"/>
      <c r="Q572" s="847"/>
      <c r="R572" s="847"/>
      <c r="S572" s="847"/>
      <c r="T572" s="847"/>
      <c r="U572" s="847"/>
      <c r="V572" s="847"/>
      <c r="W572" s="847"/>
      <c r="X572" s="847"/>
      <c r="Y572" s="847"/>
      <c r="Z572" s="847"/>
      <c r="AA572" s="847"/>
      <c r="AB572" s="847"/>
      <c r="AC572" s="847"/>
      <c r="AD572" s="847"/>
      <c r="AE572" s="847"/>
      <c r="AF572" s="847"/>
      <c r="AG572" s="847"/>
    </row>
    <row r="573">
      <c r="A573" s="847"/>
      <c r="B573" s="847"/>
      <c r="C573" s="847"/>
      <c r="D573" s="847"/>
      <c r="E573" s="847"/>
      <c r="F573" s="847"/>
      <c r="G573" s="847"/>
      <c r="H573" s="847"/>
      <c r="I573" s="847"/>
      <c r="J573" s="847"/>
      <c r="K573" s="847"/>
      <c r="L573" s="847"/>
      <c r="M573" s="847"/>
      <c r="N573" s="847"/>
      <c r="O573" s="847"/>
      <c r="P573" s="847"/>
      <c r="Q573" s="847"/>
      <c r="R573" s="847"/>
      <c r="S573" s="847"/>
      <c r="T573" s="847"/>
      <c r="U573" s="847"/>
      <c r="V573" s="847"/>
      <c r="W573" s="847"/>
      <c r="X573" s="847"/>
      <c r="Y573" s="847"/>
      <c r="Z573" s="847"/>
      <c r="AA573" s="847"/>
      <c r="AB573" s="847"/>
      <c r="AC573" s="847"/>
      <c r="AD573" s="847"/>
      <c r="AE573" s="847"/>
      <c r="AF573" s="847"/>
      <c r="AG573" s="847"/>
    </row>
    <row r="574">
      <c r="A574" s="847"/>
      <c r="B574" s="847"/>
      <c r="C574" s="847"/>
      <c r="D574" s="847"/>
      <c r="E574" s="847"/>
      <c r="F574" s="847"/>
      <c r="G574" s="847"/>
      <c r="H574" s="847"/>
      <c r="I574" s="847"/>
      <c r="J574" s="847"/>
      <c r="K574" s="847"/>
      <c r="L574" s="847"/>
      <c r="M574" s="847"/>
      <c r="N574" s="847"/>
      <c r="O574" s="847"/>
      <c r="P574" s="847"/>
      <c r="Q574" s="847"/>
      <c r="R574" s="847"/>
      <c r="S574" s="847"/>
      <c r="T574" s="847"/>
      <c r="U574" s="847"/>
      <c r="V574" s="847"/>
      <c r="W574" s="847"/>
      <c r="X574" s="847"/>
      <c r="Y574" s="847"/>
      <c r="Z574" s="847"/>
      <c r="AA574" s="847"/>
      <c r="AB574" s="847"/>
      <c r="AC574" s="847"/>
      <c r="AD574" s="847"/>
      <c r="AE574" s="847"/>
      <c r="AF574" s="847"/>
      <c r="AG574" s="847"/>
    </row>
    <row r="575">
      <c r="A575" s="847"/>
      <c r="B575" s="847"/>
      <c r="C575" s="847"/>
      <c r="D575" s="847"/>
      <c r="E575" s="847"/>
      <c r="F575" s="847"/>
      <c r="G575" s="847"/>
      <c r="H575" s="847"/>
      <c r="I575" s="847"/>
      <c r="J575" s="847"/>
      <c r="K575" s="847"/>
      <c r="L575" s="847"/>
      <c r="M575" s="847"/>
      <c r="N575" s="847"/>
      <c r="O575" s="847"/>
      <c r="P575" s="847"/>
      <c r="Q575" s="847"/>
      <c r="R575" s="847"/>
      <c r="S575" s="847"/>
      <c r="T575" s="847"/>
      <c r="U575" s="847"/>
      <c r="V575" s="847"/>
      <c r="W575" s="847"/>
      <c r="X575" s="847"/>
      <c r="Y575" s="847"/>
      <c r="Z575" s="847"/>
      <c r="AA575" s="847"/>
      <c r="AB575" s="847"/>
      <c r="AC575" s="847"/>
      <c r="AD575" s="847"/>
      <c r="AE575" s="847"/>
      <c r="AF575" s="847"/>
      <c r="AG575" s="847"/>
    </row>
    <row r="576">
      <c r="A576" s="847"/>
      <c r="B576" s="847"/>
      <c r="C576" s="847"/>
      <c r="D576" s="847"/>
      <c r="E576" s="847"/>
      <c r="F576" s="847"/>
      <c r="G576" s="847"/>
      <c r="H576" s="847"/>
      <c r="I576" s="847"/>
      <c r="J576" s="847"/>
      <c r="K576" s="847"/>
      <c r="L576" s="847"/>
      <c r="M576" s="847"/>
      <c r="N576" s="847"/>
      <c r="O576" s="847"/>
      <c r="P576" s="847"/>
      <c r="Q576" s="847"/>
      <c r="R576" s="847"/>
      <c r="S576" s="847"/>
      <c r="T576" s="847"/>
      <c r="U576" s="847"/>
      <c r="V576" s="847"/>
      <c r="W576" s="847"/>
      <c r="X576" s="847"/>
      <c r="Y576" s="847"/>
      <c r="Z576" s="847"/>
      <c r="AA576" s="847"/>
      <c r="AB576" s="847"/>
      <c r="AC576" s="847"/>
      <c r="AD576" s="847"/>
      <c r="AE576" s="847"/>
      <c r="AF576" s="847"/>
      <c r="AG576" s="847"/>
    </row>
    <row r="577">
      <c r="A577" s="847"/>
      <c r="B577" s="847"/>
      <c r="C577" s="847"/>
      <c r="D577" s="847"/>
      <c r="E577" s="847"/>
      <c r="F577" s="847"/>
      <c r="G577" s="847"/>
      <c r="H577" s="847"/>
      <c r="I577" s="847"/>
      <c r="J577" s="847"/>
      <c r="K577" s="847"/>
      <c r="L577" s="847"/>
      <c r="M577" s="847"/>
      <c r="N577" s="847"/>
      <c r="O577" s="847"/>
      <c r="P577" s="847"/>
      <c r="Q577" s="847"/>
      <c r="R577" s="847"/>
      <c r="S577" s="847"/>
      <c r="T577" s="847"/>
      <c r="U577" s="847"/>
      <c r="V577" s="847"/>
      <c r="W577" s="847"/>
      <c r="X577" s="847"/>
      <c r="Y577" s="847"/>
      <c r="Z577" s="847"/>
      <c r="AA577" s="847"/>
      <c r="AB577" s="847"/>
      <c r="AC577" s="847"/>
      <c r="AD577" s="847"/>
      <c r="AE577" s="847"/>
      <c r="AF577" s="847"/>
      <c r="AG577" s="847"/>
    </row>
    <row r="578">
      <c r="A578" s="847"/>
      <c r="B578" s="847"/>
      <c r="C578" s="847"/>
      <c r="D578" s="847"/>
      <c r="E578" s="847"/>
      <c r="F578" s="847"/>
      <c r="G578" s="847"/>
      <c r="H578" s="847"/>
      <c r="I578" s="847"/>
      <c r="J578" s="847"/>
      <c r="K578" s="847"/>
      <c r="L578" s="847"/>
      <c r="M578" s="847"/>
      <c r="N578" s="847"/>
      <c r="O578" s="847"/>
      <c r="P578" s="847"/>
      <c r="Q578" s="847"/>
      <c r="R578" s="847"/>
      <c r="S578" s="847"/>
      <c r="T578" s="847"/>
      <c r="U578" s="847"/>
      <c r="V578" s="847"/>
      <c r="W578" s="847"/>
      <c r="X578" s="847"/>
      <c r="Y578" s="847"/>
      <c r="Z578" s="847"/>
      <c r="AA578" s="847"/>
      <c r="AB578" s="847"/>
      <c r="AC578" s="847"/>
      <c r="AD578" s="847"/>
      <c r="AE578" s="847"/>
      <c r="AF578" s="847"/>
      <c r="AG578" s="847"/>
    </row>
    <row r="579">
      <c r="A579" s="847"/>
      <c r="B579" s="847"/>
      <c r="C579" s="847"/>
      <c r="D579" s="847"/>
      <c r="E579" s="847"/>
      <c r="F579" s="847"/>
      <c r="G579" s="847"/>
      <c r="H579" s="847"/>
      <c r="I579" s="847"/>
      <c r="J579" s="847"/>
      <c r="K579" s="847"/>
      <c r="L579" s="847"/>
      <c r="M579" s="847"/>
      <c r="N579" s="847"/>
      <c r="O579" s="847"/>
      <c r="P579" s="847"/>
      <c r="Q579" s="847"/>
      <c r="R579" s="847"/>
      <c r="S579" s="847"/>
      <c r="T579" s="847"/>
      <c r="U579" s="847"/>
      <c r="V579" s="847"/>
      <c r="W579" s="847"/>
      <c r="X579" s="847"/>
      <c r="Y579" s="847"/>
      <c r="Z579" s="847"/>
      <c r="AA579" s="847"/>
      <c r="AB579" s="847"/>
      <c r="AC579" s="847"/>
      <c r="AD579" s="847"/>
      <c r="AE579" s="847"/>
      <c r="AF579" s="847"/>
      <c r="AG579" s="847"/>
    </row>
    <row r="580">
      <c r="A580" s="847"/>
      <c r="B580" s="847"/>
      <c r="C580" s="847"/>
      <c r="D580" s="847"/>
      <c r="E580" s="847"/>
      <c r="F580" s="847"/>
      <c r="G580" s="847"/>
      <c r="H580" s="847"/>
      <c r="I580" s="847"/>
      <c r="J580" s="847"/>
      <c r="K580" s="847"/>
      <c r="L580" s="847"/>
      <c r="M580" s="847"/>
      <c r="N580" s="847"/>
      <c r="O580" s="847"/>
      <c r="P580" s="847"/>
      <c r="Q580" s="847"/>
      <c r="R580" s="847"/>
      <c r="S580" s="847"/>
      <c r="T580" s="847"/>
      <c r="U580" s="847"/>
      <c r="V580" s="847"/>
      <c r="W580" s="847"/>
      <c r="X580" s="847"/>
      <c r="Y580" s="847"/>
      <c r="Z580" s="847"/>
      <c r="AA580" s="847"/>
      <c r="AB580" s="847"/>
      <c r="AC580" s="847"/>
      <c r="AD580" s="847"/>
      <c r="AE580" s="847"/>
      <c r="AF580" s="847"/>
      <c r="AG580" s="847"/>
    </row>
    <row r="581">
      <c r="A581" s="847"/>
      <c r="B581" s="847"/>
      <c r="C581" s="847"/>
      <c r="D581" s="847"/>
      <c r="E581" s="847"/>
      <c r="F581" s="847"/>
      <c r="G581" s="847"/>
      <c r="H581" s="847"/>
      <c r="I581" s="847"/>
      <c r="J581" s="847"/>
      <c r="K581" s="847"/>
      <c r="L581" s="847"/>
      <c r="M581" s="847"/>
      <c r="N581" s="847"/>
      <c r="O581" s="847"/>
      <c r="P581" s="847"/>
      <c r="Q581" s="847"/>
      <c r="R581" s="847"/>
      <c r="S581" s="847"/>
      <c r="T581" s="847"/>
      <c r="U581" s="847"/>
      <c r="V581" s="847"/>
      <c r="W581" s="847"/>
      <c r="X581" s="847"/>
      <c r="Y581" s="847"/>
      <c r="Z581" s="847"/>
      <c r="AA581" s="847"/>
      <c r="AB581" s="847"/>
      <c r="AC581" s="847"/>
      <c r="AD581" s="847"/>
      <c r="AE581" s="847"/>
      <c r="AF581" s="847"/>
      <c r="AG581" s="847"/>
    </row>
    <row r="582">
      <c r="A582" s="847"/>
      <c r="B582" s="847"/>
      <c r="C582" s="847"/>
      <c r="D582" s="847"/>
      <c r="E582" s="847"/>
      <c r="F582" s="847"/>
      <c r="G582" s="847"/>
      <c r="H582" s="847"/>
      <c r="I582" s="847"/>
      <c r="J582" s="847"/>
      <c r="K582" s="847"/>
      <c r="L582" s="847"/>
      <c r="M582" s="847"/>
      <c r="N582" s="847"/>
      <c r="O582" s="847"/>
      <c r="P582" s="847"/>
      <c r="Q582" s="847"/>
      <c r="R582" s="847"/>
      <c r="S582" s="847"/>
      <c r="T582" s="847"/>
      <c r="U582" s="847"/>
      <c r="V582" s="847"/>
      <c r="W582" s="847"/>
      <c r="X582" s="847"/>
      <c r="Y582" s="847"/>
      <c r="Z582" s="847"/>
      <c r="AA582" s="847"/>
      <c r="AB582" s="847"/>
      <c r="AC582" s="847"/>
      <c r="AD582" s="847"/>
      <c r="AE582" s="847"/>
      <c r="AF582" s="847"/>
      <c r="AG582" s="847"/>
    </row>
    <row r="583">
      <c r="A583" s="847"/>
      <c r="B583" s="847"/>
      <c r="C583" s="847"/>
      <c r="D583" s="847"/>
      <c r="E583" s="847"/>
      <c r="F583" s="847"/>
      <c r="G583" s="847"/>
      <c r="H583" s="847"/>
      <c r="I583" s="847"/>
      <c r="J583" s="847"/>
      <c r="K583" s="847"/>
      <c r="L583" s="847"/>
      <c r="M583" s="847"/>
      <c r="N583" s="847"/>
      <c r="O583" s="847"/>
      <c r="P583" s="847"/>
      <c r="Q583" s="847"/>
      <c r="R583" s="847"/>
      <c r="S583" s="847"/>
      <c r="T583" s="847"/>
      <c r="U583" s="847"/>
      <c r="V583" s="847"/>
      <c r="W583" s="847"/>
      <c r="X583" s="847"/>
      <c r="Y583" s="847"/>
      <c r="Z583" s="847"/>
      <c r="AA583" s="847"/>
      <c r="AB583" s="847"/>
      <c r="AC583" s="847"/>
      <c r="AD583" s="847"/>
      <c r="AE583" s="847"/>
      <c r="AF583" s="847"/>
      <c r="AG583" s="847"/>
    </row>
    <row r="584">
      <c r="A584" s="847"/>
      <c r="B584" s="847"/>
      <c r="C584" s="847"/>
      <c r="D584" s="847"/>
      <c r="E584" s="847"/>
      <c r="F584" s="847"/>
      <c r="G584" s="847"/>
      <c r="H584" s="847"/>
      <c r="I584" s="847"/>
      <c r="J584" s="847"/>
      <c r="K584" s="847"/>
      <c r="L584" s="847"/>
      <c r="M584" s="847"/>
      <c r="N584" s="847"/>
      <c r="O584" s="847"/>
      <c r="P584" s="847"/>
      <c r="Q584" s="847"/>
      <c r="R584" s="847"/>
      <c r="S584" s="847"/>
      <c r="T584" s="847"/>
      <c r="U584" s="847"/>
      <c r="V584" s="847"/>
      <c r="W584" s="847"/>
      <c r="X584" s="847"/>
      <c r="Y584" s="847"/>
      <c r="Z584" s="847"/>
      <c r="AA584" s="847"/>
      <c r="AB584" s="847"/>
      <c r="AC584" s="847"/>
      <c r="AD584" s="847"/>
      <c r="AE584" s="847"/>
      <c r="AF584" s="847"/>
      <c r="AG584" s="847"/>
    </row>
    <row r="585">
      <c r="A585" s="847"/>
      <c r="B585" s="847"/>
      <c r="C585" s="847"/>
      <c r="D585" s="847"/>
      <c r="E585" s="847"/>
      <c r="F585" s="847"/>
      <c r="G585" s="847"/>
      <c r="H585" s="847"/>
      <c r="I585" s="847"/>
      <c r="J585" s="847"/>
      <c r="K585" s="847"/>
      <c r="L585" s="847"/>
      <c r="M585" s="847"/>
      <c r="N585" s="847"/>
      <c r="O585" s="847"/>
      <c r="P585" s="847"/>
      <c r="Q585" s="847"/>
      <c r="R585" s="847"/>
      <c r="S585" s="847"/>
      <c r="T585" s="847"/>
      <c r="U585" s="847"/>
      <c r="V585" s="847"/>
      <c r="W585" s="847"/>
      <c r="X585" s="847"/>
      <c r="Y585" s="847"/>
      <c r="Z585" s="847"/>
      <c r="AA585" s="847"/>
      <c r="AB585" s="847"/>
      <c r="AC585" s="847"/>
      <c r="AD585" s="847"/>
      <c r="AE585" s="847"/>
      <c r="AF585" s="847"/>
      <c r="AG585" s="847"/>
    </row>
    <row r="586">
      <c r="A586" s="847"/>
      <c r="B586" s="847"/>
      <c r="C586" s="847"/>
      <c r="D586" s="847"/>
      <c r="E586" s="847"/>
      <c r="F586" s="847"/>
      <c r="G586" s="847"/>
      <c r="H586" s="847"/>
      <c r="I586" s="847"/>
      <c r="J586" s="847"/>
      <c r="K586" s="847"/>
      <c r="L586" s="847"/>
      <c r="M586" s="847"/>
      <c r="N586" s="847"/>
      <c r="O586" s="847"/>
      <c r="P586" s="847"/>
      <c r="Q586" s="847"/>
      <c r="R586" s="847"/>
      <c r="S586" s="847"/>
      <c r="T586" s="847"/>
      <c r="U586" s="847"/>
      <c r="V586" s="847"/>
      <c r="W586" s="847"/>
      <c r="X586" s="847"/>
      <c r="Y586" s="847"/>
      <c r="Z586" s="847"/>
      <c r="AA586" s="847"/>
      <c r="AB586" s="847"/>
      <c r="AC586" s="847"/>
      <c r="AD586" s="847"/>
      <c r="AE586" s="847"/>
      <c r="AF586" s="847"/>
      <c r="AG586" s="847"/>
    </row>
    <row r="587">
      <c r="A587" s="847"/>
      <c r="B587" s="847"/>
      <c r="C587" s="847"/>
      <c r="D587" s="847"/>
      <c r="E587" s="847"/>
      <c r="F587" s="847"/>
      <c r="G587" s="847"/>
      <c r="H587" s="847"/>
      <c r="I587" s="847"/>
      <c r="J587" s="847"/>
      <c r="K587" s="847"/>
      <c r="L587" s="847"/>
      <c r="M587" s="847"/>
      <c r="N587" s="847"/>
      <c r="O587" s="847"/>
      <c r="P587" s="847"/>
      <c r="Q587" s="847"/>
      <c r="R587" s="847"/>
      <c r="S587" s="847"/>
      <c r="T587" s="847"/>
      <c r="U587" s="847"/>
      <c r="V587" s="847"/>
      <c r="W587" s="847"/>
      <c r="X587" s="847"/>
      <c r="Y587" s="847"/>
      <c r="Z587" s="847"/>
      <c r="AA587" s="847"/>
      <c r="AB587" s="847"/>
      <c r="AC587" s="847"/>
      <c r="AD587" s="847"/>
      <c r="AE587" s="847"/>
      <c r="AF587" s="847"/>
      <c r="AG587" s="847"/>
    </row>
    <row r="588">
      <c r="A588" s="847"/>
      <c r="B588" s="847"/>
      <c r="C588" s="847"/>
      <c r="D588" s="847"/>
      <c r="E588" s="847"/>
      <c r="F588" s="847"/>
      <c r="G588" s="847"/>
      <c r="H588" s="847"/>
      <c r="I588" s="847"/>
      <c r="J588" s="847"/>
      <c r="K588" s="847"/>
      <c r="L588" s="847"/>
      <c r="M588" s="847"/>
      <c r="N588" s="847"/>
      <c r="O588" s="847"/>
      <c r="P588" s="847"/>
      <c r="Q588" s="847"/>
      <c r="R588" s="847"/>
      <c r="S588" s="847"/>
      <c r="T588" s="847"/>
      <c r="U588" s="847"/>
      <c r="V588" s="847"/>
      <c r="W588" s="847"/>
      <c r="X588" s="847"/>
      <c r="Y588" s="847"/>
      <c r="Z588" s="847"/>
      <c r="AA588" s="847"/>
      <c r="AB588" s="847"/>
      <c r="AC588" s="847"/>
      <c r="AD588" s="847"/>
      <c r="AE588" s="847"/>
      <c r="AF588" s="847"/>
      <c r="AG588" s="847"/>
    </row>
    <row r="589">
      <c r="A589" s="847"/>
      <c r="B589" s="847"/>
      <c r="C589" s="847"/>
      <c r="D589" s="847"/>
      <c r="E589" s="847"/>
      <c r="F589" s="847"/>
      <c r="G589" s="847"/>
      <c r="H589" s="847"/>
      <c r="I589" s="847"/>
      <c r="J589" s="847"/>
      <c r="K589" s="847"/>
      <c r="L589" s="847"/>
      <c r="M589" s="847"/>
      <c r="N589" s="847"/>
      <c r="O589" s="847"/>
      <c r="P589" s="847"/>
      <c r="Q589" s="847"/>
      <c r="R589" s="847"/>
      <c r="S589" s="847"/>
      <c r="T589" s="847"/>
      <c r="U589" s="847"/>
      <c r="V589" s="847"/>
      <c r="W589" s="847"/>
      <c r="X589" s="847"/>
      <c r="Y589" s="847"/>
      <c r="Z589" s="847"/>
      <c r="AA589" s="847"/>
      <c r="AB589" s="847"/>
      <c r="AC589" s="847"/>
      <c r="AD589" s="847"/>
      <c r="AE589" s="847"/>
      <c r="AF589" s="847"/>
      <c r="AG589" s="847"/>
    </row>
    <row r="590">
      <c r="A590" s="847"/>
      <c r="B590" s="847"/>
      <c r="C590" s="847"/>
      <c r="D590" s="847"/>
      <c r="E590" s="847"/>
      <c r="F590" s="847"/>
      <c r="G590" s="847"/>
      <c r="H590" s="847"/>
      <c r="I590" s="847"/>
      <c r="J590" s="847"/>
      <c r="K590" s="847"/>
      <c r="L590" s="847"/>
      <c r="M590" s="847"/>
      <c r="N590" s="847"/>
      <c r="O590" s="847"/>
      <c r="P590" s="847"/>
      <c r="Q590" s="847"/>
      <c r="R590" s="847"/>
      <c r="S590" s="847"/>
      <c r="T590" s="847"/>
      <c r="U590" s="847"/>
      <c r="V590" s="847"/>
      <c r="W590" s="847"/>
      <c r="X590" s="847"/>
      <c r="Y590" s="847"/>
      <c r="Z590" s="847"/>
      <c r="AA590" s="847"/>
      <c r="AB590" s="847"/>
      <c r="AC590" s="847"/>
      <c r="AD590" s="847"/>
      <c r="AE590" s="847"/>
      <c r="AF590" s="847"/>
      <c r="AG590" s="847"/>
    </row>
    <row r="591">
      <c r="A591" s="847"/>
      <c r="B591" s="847"/>
      <c r="C591" s="847"/>
      <c r="D591" s="847"/>
      <c r="E591" s="847"/>
      <c r="F591" s="847"/>
      <c r="G591" s="847"/>
      <c r="H591" s="847"/>
      <c r="I591" s="847"/>
      <c r="J591" s="847"/>
      <c r="K591" s="847"/>
      <c r="L591" s="847"/>
      <c r="M591" s="847"/>
      <c r="N591" s="847"/>
      <c r="O591" s="847"/>
      <c r="P591" s="847"/>
      <c r="Q591" s="847"/>
      <c r="R591" s="847"/>
      <c r="S591" s="847"/>
      <c r="T591" s="847"/>
      <c r="U591" s="847"/>
      <c r="V591" s="847"/>
      <c r="W591" s="847"/>
      <c r="X591" s="847"/>
      <c r="Y591" s="847"/>
      <c r="Z591" s="847"/>
      <c r="AA591" s="847"/>
      <c r="AB591" s="847"/>
      <c r="AC591" s="847"/>
      <c r="AD591" s="847"/>
      <c r="AE591" s="847"/>
      <c r="AF591" s="847"/>
      <c r="AG591" s="847"/>
    </row>
    <row r="592">
      <c r="A592" s="847"/>
      <c r="B592" s="847"/>
      <c r="C592" s="847"/>
      <c r="D592" s="847"/>
      <c r="E592" s="847"/>
      <c r="F592" s="847"/>
      <c r="G592" s="847"/>
      <c r="H592" s="847"/>
      <c r="I592" s="847"/>
      <c r="J592" s="847"/>
      <c r="K592" s="847"/>
      <c r="L592" s="847"/>
      <c r="M592" s="847"/>
      <c r="N592" s="847"/>
      <c r="O592" s="847"/>
      <c r="P592" s="847"/>
      <c r="Q592" s="847"/>
      <c r="R592" s="847"/>
      <c r="S592" s="847"/>
      <c r="T592" s="847"/>
      <c r="U592" s="847"/>
      <c r="V592" s="847"/>
      <c r="W592" s="847"/>
      <c r="X592" s="847"/>
      <c r="Y592" s="847"/>
      <c r="Z592" s="847"/>
      <c r="AA592" s="847"/>
      <c r="AB592" s="847"/>
      <c r="AC592" s="847"/>
      <c r="AD592" s="847"/>
      <c r="AE592" s="847"/>
      <c r="AF592" s="847"/>
      <c r="AG592" s="847"/>
    </row>
    <row r="593">
      <c r="A593" s="847"/>
      <c r="B593" s="847"/>
      <c r="C593" s="847"/>
      <c r="D593" s="847"/>
      <c r="E593" s="847"/>
      <c r="F593" s="847"/>
      <c r="G593" s="847"/>
      <c r="H593" s="847"/>
      <c r="I593" s="847"/>
      <c r="J593" s="847"/>
      <c r="K593" s="847"/>
      <c r="L593" s="847"/>
      <c r="M593" s="847"/>
      <c r="N593" s="847"/>
      <c r="O593" s="847"/>
      <c r="P593" s="847"/>
      <c r="Q593" s="847"/>
      <c r="R593" s="847"/>
      <c r="S593" s="847"/>
      <c r="T593" s="847"/>
      <c r="U593" s="847"/>
      <c r="V593" s="847"/>
      <c r="W593" s="847"/>
      <c r="X593" s="847"/>
      <c r="Y593" s="847"/>
      <c r="Z593" s="847"/>
      <c r="AA593" s="847"/>
      <c r="AB593" s="847"/>
      <c r="AC593" s="847"/>
      <c r="AD593" s="847"/>
      <c r="AE593" s="847"/>
      <c r="AF593" s="847"/>
      <c r="AG593" s="847"/>
    </row>
    <row r="594">
      <c r="A594" s="847"/>
      <c r="B594" s="847"/>
      <c r="C594" s="847"/>
      <c r="D594" s="847"/>
      <c r="E594" s="847"/>
      <c r="F594" s="847"/>
      <c r="G594" s="847"/>
      <c r="H594" s="847"/>
      <c r="I594" s="847"/>
      <c r="J594" s="847"/>
      <c r="K594" s="847"/>
      <c r="L594" s="847"/>
      <c r="M594" s="847"/>
      <c r="N594" s="847"/>
      <c r="O594" s="847"/>
      <c r="P594" s="847"/>
      <c r="Q594" s="847"/>
      <c r="R594" s="847"/>
      <c r="S594" s="847"/>
      <c r="T594" s="847"/>
      <c r="U594" s="847"/>
      <c r="V594" s="847"/>
      <c r="W594" s="847"/>
      <c r="X594" s="847"/>
      <c r="Y594" s="847"/>
      <c r="Z594" s="847"/>
      <c r="AA594" s="847"/>
      <c r="AB594" s="847"/>
      <c r="AC594" s="847"/>
      <c r="AD594" s="847"/>
      <c r="AE594" s="847"/>
      <c r="AF594" s="847"/>
      <c r="AG594" s="847"/>
    </row>
    <row r="595">
      <c r="A595" s="847"/>
      <c r="B595" s="847"/>
      <c r="C595" s="847"/>
      <c r="D595" s="847"/>
      <c r="E595" s="847"/>
      <c r="F595" s="847"/>
      <c r="G595" s="847"/>
      <c r="H595" s="847"/>
      <c r="I595" s="847"/>
      <c r="J595" s="847"/>
      <c r="K595" s="847"/>
      <c r="L595" s="847"/>
      <c r="M595" s="847"/>
      <c r="N595" s="847"/>
      <c r="O595" s="847"/>
      <c r="P595" s="847"/>
      <c r="Q595" s="847"/>
      <c r="R595" s="847"/>
      <c r="S595" s="847"/>
      <c r="T595" s="847"/>
      <c r="U595" s="847"/>
      <c r="V595" s="847"/>
      <c r="W595" s="847"/>
      <c r="X595" s="847"/>
      <c r="Y595" s="847"/>
      <c r="Z595" s="847"/>
      <c r="AA595" s="847"/>
      <c r="AB595" s="847"/>
      <c r="AC595" s="847"/>
      <c r="AD595" s="847"/>
      <c r="AE595" s="847"/>
      <c r="AF595" s="847"/>
      <c r="AG595" s="847"/>
    </row>
    <row r="596">
      <c r="A596" s="847"/>
      <c r="B596" s="847"/>
      <c r="C596" s="847"/>
      <c r="D596" s="847"/>
      <c r="E596" s="847"/>
      <c r="F596" s="847"/>
      <c r="G596" s="847"/>
      <c r="H596" s="847"/>
      <c r="I596" s="847"/>
      <c r="J596" s="847"/>
      <c r="K596" s="847"/>
      <c r="L596" s="847"/>
      <c r="M596" s="847"/>
      <c r="N596" s="847"/>
      <c r="O596" s="847"/>
      <c r="P596" s="847"/>
      <c r="Q596" s="847"/>
      <c r="R596" s="847"/>
      <c r="S596" s="847"/>
      <c r="T596" s="847"/>
      <c r="U596" s="847"/>
      <c r="V596" s="847"/>
      <c r="W596" s="847"/>
      <c r="X596" s="847"/>
      <c r="Y596" s="847"/>
      <c r="Z596" s="847"/>
      <c r="AA596" s="847"/>
      <c r="AB596" s="847"/>
      <c r="AC596" s="847"/>
      <c r="AD596" s="847"/>
      <c r="AE596" s="847"/>
      <c r="AF596" s="847"/>
      <c r="AG596" s="847"/>
    </row>
    <row r="597">
      <c r="A597" s="847"/>
      <c r="B597" s="847"/>
      <c r="C597" s="847"/>
      <c r="D597" s="847"/>
      <c r="E597" s="847"/>
      <c r="F597" s="847"/>
      <c r="G597" s="847"/>
      <c r="H597" s="847"/>
      <c r="I597" s="847"/>
      <c r="J597" s="847"/>
      <c r="K597" s="847"/>
      <c r="L597" s="847"/>
      <c r="M597" s="847"/>
      <c r="N597" s="847"/>
      <c r="O597" s="847"/>
      <c r="P597" s="847"/>
      <c r="Q597" s="847"/>
      <c r="R597" s="847"/>
      <c r="S597" s="847"/>
      <c r="T597" s="847"/>
      <c r="U597" s="847"/>
      <c r="V597" s="847"/>
      <c r="W597" s="847"/>
      <c r="X597" s="847"/>
      <c r="Y597" s="847"/>
      <c r="Z597" s="847"/>
      <c r="AA597" s="847"/>
      <c r="AB597" s="847"/>
      <c r="AC597" s="847"/>
      <c r="AD597" s="847"/>
      <c r="AE597" s="847"/>
      <c r="AF597" s="847"/>
      <c r="AG597" s="847"/>
    </row>
    <row r="598">
      <c r="A598" s="847"/>
      <c r="B598" s="847"/>
      <c r="C598" s="847"/>
      <c r="D598" s="847"/>
      <c r="E598" s="847"/>
      <c r="F598" s="847"/>
      <c r="G598" s="847"/>
      <c r="H598" s="847"/>
      <c r="I598" s="847"/>
      <c r="J598" s="847"/>
      <c r="K598" s="847"/>
      <c r="L598" s="847"/>
      <c r="M598" s="847"/>
      <c r="N598" s="847"/>
      <c r="O598" s="847"/>
      <c r="P598" s="847"/>
      <c r="Q598" s="847"/>
      <c r="R598" s="847"/>
      <c r="S598" s="847"/>
      <c r="T598" s="847"/>
      <c r="U598" s="847"/>
      <c r="V598" s="847"/>
      <c r="W598" s="847"/>
      <c r="X598" s="847"/>
      <c r="Y598" s="847"/>
      <c r="Z598" s="847"/>
      <c r="AA598" s="847"/>
      <c r="AB598" s="847"/>
      <c r="AC598" s="847"/>
      <c r="AD598" s="847"/>
      <c r="AE598" s="847"/>
      <c r="AF598" s="847"/>
      <c r="AG598" s="847"/>
    </row>
    <row r="599">
      <c r="A599" s="847"/>
      <c r="B599" s="847"/>
      <c r="C599" s="847"/>
      <c r="D599" s="847"/>
      <c r="E599" s="847"/>
      <c r="F599" s="847"/>
      <c r="G599" s="847"/>
      <c r="H599" s="847"/>
      <c r="I599" s="847"/>
      <c r="J599" s="847"/>
      <c r="K599" s="847"/>
      <c r="L599" s="847"/>
      <c r="M599" s="847"/>
      <c r="N599" s="847"/>
      <c r="O599" s="847"/>
      <c r="P599" s="847"/>
      <c r="Q599" s="847"/>
      <c r="R599" s="847"/>
      <c r="S599" s="847"/>
      <c r="T599" s="847"/>
      <c r="U599" s="847"/>
      <c r="V599" s="847"/>
      <c r="W599" s="847"/>
      <c r="X599" s="847"/>
      <c r="Y599" s="847"/>
      <c r="Z599" s="847"/>
      <c r="AA599" s="847"/>
      <c r="AB599" s="847"/>
      <c r="AC599" s="847"/>
      <c r="AD599" s="847"/>
      <c r="AE599" s="847"/>
      <c r="AF599" s="847"/>
      <c r="AG599" s="847"/>
    </row>
    <row r="600">
      <c r="A600" s="847"/>
      <c r="B600" s="847"/>
      <c r="C600" s="847"/>
      <c r="D600" s="847"/>
      <c r="E600" s="847"/>
      <c r="F600" s="847"/>
      <c r="G600" s="847"/>
      <c r="H600" s="847"/>
      <c r="I600" s="847"/>
      <c r="J600" s="847"/>
      <c r="K600" s="847"/>
      <c r="L600" s="847"/>
      <c r="M600" s="847"/>
      <c r="N600" s="847"/>
      <c r="O600" s="847"/>
      <c r="P600" s="847"/>
      <c r="Q600" s="847"/>
      <c r="R600" s="847"/>
      <c r="S600" s="847"/>
      <c r="T600" s="847"/>
      <c r="U600" s="847"/>
      <c r="V600" s="847"/>
      <c r="W600" s="847"/>
      <c r="X600" s="847"/>
      <c r="Y600" s="847"/>
      <c r="Z600" s="847"/>
      <c r="AA600" s="847"/>
      <c r="AB600" s="847"/>
      <c r="AC600" s="847"/>
      <c r="AD600" s="847"/>
      <c r="AE600" s="847"/>
      <c r="AF600" s="847"/>
      <c r="AG600" s="847"/>
    </row>
    <row r="601">
      <c r="A601" s="847"/>
      <c r="B601" s="847"/>
      <c r="C601" s="847"/>
      <c r="D601" s="847"/>
      <c r="E601" s="847"/>
      <c r="F601" s="847"/>
      <c r="G601" s="847"/>
      <c r="H601" s="847"/>
      <c r="I601" s="847"/>
      <c r="J601" s="847"/>
      <c r="K601" s="847"/>
      <c r="L601" s="847"/>
      <c r="M601" s="847"/>
      <c r="N601" s="847"/>
      <c r="O601" s="847"/>
      <c r="P601" s="847"/>
      <c r="Q601" s="847"/>
      <c r="R601" s="847"/>
      <c r="S601" s="847"/>
      <c r="T601" s="847"/>
      <c r="U601" s="847"/>
      <c r="V601" s="847"/>
      <c r="W601" s="847"/>
      <c r="X601" s="847"/>
      <c r="Y601" s="847"/>
      <c r="Z601" s="847"/>
      <c r="AA601" s="847"/>
      <c r="AB601" s="847"/>
      <c r="AC601" s="847"/>
      <c r="AD601" s="847"/>
      <c r="AE601" s="847"/>
      <c r="AF601" s="847"/>
      <c r="AG601" s="847"/>
    </row>
    <row r="602">
      <c r="A602" s="847"/>
      <c r="B602" s="847"/>
      <c r="C602" s="847"/>
      <c r="D602" s="847"/>
      <c r="E602" s="847"/>
      <c r="F602" s="847"/>
      <c r="G602" s="847"/>
      <c r="H602" s="847"/>
      <c r="I602" s="847"/>
      <c r="J602" s="847"/>
      <c r="K602" s="847"/>
      <c r="L602" s="847"/>
      <c r="M602" s="847"/>
      <c r="N602" s="847"/>
      <c r="O602" s="847"/>
      <c r="P602" s="847"/>
      <c r="Q602" s="847"/>
      <c r="R602" s="847"/>
      <c r="S602" s="847"/>
      <c r="T602" s="847"/>
      <c r="U602" s="847"/>
      <c r="V602" s="847"/>
      <c r="W602" s="847"/>
      <c r="X602" s="847"/>
      <c r="Y602" s="847"/>
      <c r="Z602" s="847"/>
      <c r="AA602" s="847"/>
      <c r="AB602" s="847"/>
      <c r="AC602" s="847"/>
      <c r="AD602" s="847"/>
      <c r="AE602" s="847"/>
      <c r="AF602" s="847"/>
      <c r="AG602" s="847"/>
    </row>
    <row r="603">
      <c r="A603" s="847"/>
      <c r="B603" s="847"/>
      <c r="C603" s="847"/>
      <c r="D603" s="847"/>
      <c r="E603" s="847"/>
      <c r="F603" s="847"/>
      <c r="G603" s="847"/>
      <c r="H603" s="847"/>
      <c r="I603" s="847"/>
      <c r="J603" s="847"/>
      <c r="K603" s="847"/>
      <c r="L603" s="847"/>
      <c r="M603" s="847"/>
      <c r="N603" s="847"/>
      <c r="O603" s="847"/>
      <c r="P603" s="847"/>
      <c r="Q603" s="847"/>
      <c r="R603" s="847"/>
      <c r="S603" s="847"/>
      <c r="T603" s="847"/>
      <c r="U603" s="847"/>
      <c r="V603" s="847"/>
      <c r="W603" s="847"/>
      <c r="X603" s="847"/>
      <c r="Y603" s="847"/>
      <c r="Z603" s="847"/>
      <c r="AA603" s="847"/>
      <c r="AB603" s="847"/>
      <c r="AC603" s="847"/>
      <c r="AD603" s="847"/>
      <c r="AE603" s="847"/>
      <c r="AF603" s="847"/>
      <c r="AG603" s="847"/>
    </row>
    <row r="604">
      <c r="A604" s="847"/>
      <c r="B604" s="847"/>
      <c r="C604" s="847"/>
      <c r="D604" s="847"/>
      <c r="E604" s="847"/>
      <c r="F604" s="847"/>
      <c r="G604" s="847"/>
      <c r="H604" s="847"/>
      <c r="I604" s="847"/>
      <c r="J604" s="847"/>
      <c r="K604" s="847"/>
      <c r="L604" s="847"/>
      <c r="M604" s="847"/>
      <c r="N604" s="847"/>
      <c r="O604" s="847"/>
      <c r="P604" s="847"/>
      <c r="Q604" s="847"/>
      <c r="R604" s="847"/>
      <c r="S604" s="847"/>
      <c r="T604" s="847"/>
      <c r="U604" s="847"/>
      <c r="V604" s="847"/>
      <c r="W604" s="847"/>
      <c r="X604" s="847"/>
      <c r="Y604" s="847"/>
      <c r="Z604" s="847"/>
      <c r="AA604" s="847"/>
      <c r="AB604" s="847"/>
      <c r="AC604" s="847"/>
      <c r="AD604" s="847"/>
      <c r="AE604" s="847"/>
      <c r="AF604" s="847"/>
      <c r="AG604" s="847"/>
    </row>
    <row r="605">
      <c r="A605" s="847"/>
      <c r="B605" s="847"/>
      <c r="C605" s="847"/>
      <c r="D605" s="847"/>
      <c r="E605" s="847"/>
      <c r="F605" s="847"/>
      <c r="G605" s="847"/>
      <c r="H605" s="847"/>
      <c r="I605" s="847"/>
      <c r="J605" s="847"/>
      <c r="K605" s="847"/>
      <c r="L605" s="847"/>
      <c r="M605" s="847"/>
      <c r="N605" s="847"/>
      <c r="O605" s="847"/>
      <c r="P605" s="847"/>
      <c r="Q605" s="847"/>
      <c r="R605" s="847"/>
      <c r="S605" s="847"/>
      <c r="T605" s="847"/>
      <c r="U605" s="847"/>
      <c r="V605" s="847"/>
      <c r="W605" s="847"/>
      <c r="X605" s="847"/>
      <c r="Y605" s="847"/>
      <c r="Z605" s="847"/>
      <c r="AA605" s="847"/>
      <c r="AB605" s="847"/>
      <c r="AC605" s="847"/>
      <c r="AD605" s="847"/>
      <c r="AE605" s="847"/>
      <c r="AF605" s="847"/>
      <c r="AG605" s="847"/>
    </row>
    <row r="606">
      <c r="A606" s="847"/>
      <c r="B606" s="847"/>
      <c r="C606" s="847"/>
      <c r="D606" s="847"/>
      <c r="E606" s="847"/>
      <c r="F606" s="847"/>
      <c r="G606" s="847"/>
      <c r="H606" s="847"/>
      <c r="I606" s="847"/>
      <c r="J606" s="847"/>
      <c r="K606" s="847"/>
      <c r="L606" s="847"/>
      <c r="M606" s="847"/>
      <c r="N606" s="847"/>
      <c r="O606" s="847"/>
      <c r="P606" s="847"/>
      <c r="Q606" s="847"/>
      <c r="R606" s="847"/>
      <c r="S606" s="847"/>
      <c r="T606" s="847"/>
      <c r="U606" s="847"/>
      <c r="V606" s="847"/>
      <c r="W606" s="847"/>
      <c r="X606" s="847"/>
      <c r="Y606" s="847"/>
      <c r="Z606" s="847"/>
      <c r="AA606" s="847"/>
      <c r="AB606" s="847"/>
      <c r="AC606" s="847"/>
      <c r="AD606" s="847"/>
      <c r="AE606" s="847"/>
      <c r="AF606" s="847"/>
      <c r="AG606" s="847"/>
    </row>
    <row r="607">
      <c r="A607" s="847"/>
      <c r="B607" s="847"/>
      <c r="C607" s="847"/>
      <c r="D607" s="847"/>
      <c r="E607" s="847"/>
      <c r="F607" s="847"/>
      <c r="G607" s="847"/>
      <c r="H607" s="847"/>
      <c r="I607" s="847"/>
      <c r="J607" s="847"/>
      <c r="K607" s="847"/>
      <c r="L607" s="847"/>
      <c r="M607" s="847"/>
      <c r="N607" s="847"/>
      <c r="O607" s="847"/>
      <c r="P607" s="847"/>
      <c r="Q607" s="847"/>
      <c r="R607" s="847"/>
      <c r="S607" s="847"/>
      <c r="T607" s="847"/>
      <c r="U607" s="847"/>
      <c r="V607" s="847"/>
      <c r="W607" s="847"/>
      <c r="X607" s="847"/>
      <c r="Y607" s="847"/>
      <c r="Z607" s="847"/>
      <c r="AA607" s="847"/>
      <c r="AB607" s="847"/>
      <c r="AC607" s="847"/>
      <c r="AD607" s="847"/>
      <c r="AE607" s="847"/>
      <c r="AF607" s="847"/>
      <c r="AG607" s="847"/>
    </row>
    <row r="608">
      <c r="A608" s="847"/>
      <c r="B608" s="847"/>
      <c r="C608" s="847"/>
      <c r="D608" s="847"/>
      <c r="E608" s="847"/>
      <c r="F608" s="847"/>
      <c r="G608" s="847"/>
      <c r="H608" s="847"/>
      <c r="I608" s="847"/>
      <c r="J608" s="847"/>
      <c r="K608" s="847"/>
      <c r="L608" s="847"/>
      <c r="M608" s="847"/>
      <c r="N608" s="847"/>
      <c r="O608" s="847"/>
      <c r="P608" s="847"/>
      <c r="Q608" s="847"/>
      <c r="R608" s="847"/>
      <c r="S608" s="847"/>
      <c r="T608" s="847"/>
      <c r="U608" s="847"/>
      <c r="V608" s="847"/>
      <c r="W608" s="847"/>
      <c r="X608" s="847"/>
      <c r="Y608" s="847"/>
      <c r="Z608" s="847"/>
      <c r="AA608" s="847"/>
      <c r="AB608" s="847"/>
      <c r="AC608" s="847"/>
      <c r="AD608" s="847"/>
      <c r="AE608" s="847"/>
      <c r="AF608" s="847"/>
      <c r="AG608" s="847"/>
    </row>
    <row r="609">
      <c r="A609" s="847"/>
      <c r="B609" s="847"/>
      <c r="C609" s="847"/>
      <c r="D609" s="847"/>
      <c r="E609" s="847"/>
      <c r="F609" s="847"/>
      <c r="G609" s="847"/>
      <c r="H609" s="847"/>
      <c r="I609" s="847"/>
      <c r="J609" s="847"/>
      <c r="K609" s="847"/>
      <c r="L609" s="847"/>
      <c r="M609" s="847"/>
      <c r="N609" s="847"/>
      <c r="O609" s="847"/>
      <c r="P609" s="847"/>
      <c r="Q609" s="847"/>
      <c r="R609" s="847"/>
      <c r="S609" s="847"/>
      <c r="T609" s="847"/>
      <c r="U609" s="847"/>
      <c r="V609" s="847"/>
      <c r="W609" s="847"/>
      <c r="X609" s="847"/>
      <c r="Y609" s="847"/>
      <c r="Z609" s="847"/>
      <c r="AA609" s="847"/>
      <c r="AB609" s="847"/>
      <c r="AC609" s="847"/>
      <c r="AD609" s="847"/>
      <c r="AE609" s="847"/>
      <c r="AF609" s="847"/>
      <c r="AG609" s="847"/>
    </row>
    <row r="610">
      <c r="A610" s="847"/>
      <c r="B610" s="847"/>
      <c r="C610" s="847"/>
      <c r="D610" s="847"/>
      <c r="E610" s="847"/>
      <c r="F610" s="847"/>
      <c r="G610" s="847"/>
      <c r="H610" s="847"/>
      <c r="I610" s="847"/>
      <c r="J610" s="847"/>
      <c r="K610" s="847"/>
      <c r="L610" s="847"/>
      <c r="M610" s="847"/>
      <c r="N610" s="847"/>
      <c r="O610" s="847"/>
      <c r="P610" s="847"/>
      <c r="Q610" s="847"/>
      <c r="R610" s="847"/>
      <c r="S610" s="847"/>
      <c r="T610" s="847"/>
      <c r="U610" s="847"/>
      <c r="V610" s="847"/>
      <c r="W610" s="847"/>
      <c r="X610" s="847"/>
      <c r="Y610" s="847"/>
      <c r="Z610" s="847"/>
      <c r="AA610" s="847"/>
      <c r="AB610" s="847"/>
      <c r="AC610" s="847"/>
      <c r="AD610" s="847"/>
      <c r="AE610" s="847"/>
      <c r="AF610" s="847"/>
      <c r="AG610" s="847"/>
    </row>
    <row r="611">
      <c r="A611" s="847"/>
      <c r="B611" s="847"/>
      <c r="C611" s="847"/>
      <c r="D611" s="847"/>
      <c r="E611" s="847"/>
      <c r="F611" s="847"/>
      <c r="G611" s="847"/>
      <c r="H611" s="847"/>
      <c r="I611" s="847"/>
      <c r="J611" s="847"/>
      <c r="K611" s="847"/>
      <c r="L611" s="847"/>
      <c r="M611" s="847"/>
      <c r="N611" s="847"/>
      <c r="O611" s="847"/>
      <c r="P611" s="847"/>
      <c r="Q611" s="847"/>
      <c r="R611" s="847"/>
      <c r="S611" s="847"/>
      <c r="T611" s="847"/>
      <c r="U611" s="847"/>
      <c r="V611" s="847"/>
      <c r="W611" s="847"/>
      <c r="X611" s="847"/>
      <c r="Y611" s="847"/>
      <c r="Z611" s="847"/>
      <c r="AA611" s="847"/>
      <c r="AB611" s="847"/>
      <c r="AC611" s="847"/>
      <c r="AD611" s="847"/>
      <c r="AE611" s="847"/>
      <c r="AF611" s="847"/>
      <c r="AG611" s="847"/>
    </row>
    <row r="612">
      <c r="A612" s="847"/>
      <c r="B612" s="847"/>
      <c r="C612" s="847"/>
      <c r="D612" s="847"/>
      <c r="E612" s="847"/>
      <c r="F612" s="847"/>
      <c r="G612" s="847"/>
      <c r="H612" s="847"/>
      <c r="I612" s="847"/>
      <c r="J612" s="847"/>
      <c r="K612" s="847"/>
      <c r="L612" s="847"/>
      <c r="M612" s="847"/>
      <c r="N612" s="847"/>
      <c r="O612" s="847"/>
      <c r="P612" s="847"/>
      <c r="Q612" s="847"/>
      <c r="R612" s="847"/>
      <c r="S612" s="847"/>
      <c r="T612" s="847"/>
      <c r="U612" s="847"/>
      <c r="V612" s="847"/>
      <c r="W612" s="847"/>
      <c r="X612" s="847"/>
      <c r="Y612" s="847"/>
      <c r="Z612" s="847"/>
      <c r="AA612" s="847"/>
      <c r="AB612" s="847"/>
      <c r="AC612" s="847"/>
      <c r="AD612" s="847"/>
      <c r="AE612" s="847"/>
      <c r="AF612" s="847"/>
      <c r="AG612" s="847"/>
    </row>
    <row r="613">
      <c r="A613" s="847"/>
      <c r="B613" s="847"/>
      <c r="C613" s="847"/>
      <c r="D613" s="847"/>
      <c r="E613" s="847"/>
      <c r="F613" s="847"/>
      <c r="G613" s="847"/>
      <c r="H613" s="847"/>
      <c r="I613" s="847"/>
      <c r="J613" s="847"/>
      <c r="K613" s="847"/>
      <c r="L613" s="847"/>
      <c r="M613" s="847"/>
      <c r="N613" s="847"/>
      <c r="O613" s="847"/>
      <c r="P613" s="847"/>
      <c r="Q613" s="847"/>
      <c r="R613" s="847"/>
      <c r="S613" s="847"/>
      <c r="T613" s="847"/>
      <c r="U613" s="847"/>
      <c r="V613" s="847"/>
      <c r="W613" s="847"/>
      <c r="X613" s="847"/>
      <c r="Y613" s="847"/>
      <c r="Z613" s="847"/>
      <c r="AA613" s="847"/>
      <c r="AB613" s="847"/>
      <c r="AC613" s="847"/>
      <c r="AD613" s="847"/>
      <c r="AE613" s="847"/>
      <c r="AF613" s="847"/>
      <c r="AG613" s="847"/>
    </row>
    <row r="614">
      <c r="A614" s="847"/>
      <c r="B614" s="847"/>
      <c r="C614" s="847"/>
      <c r="D614" s="847"/>
      <c r="E614" s="847"/>
      <c r="F614" s="847"/>
      <c r="G614" s="847"/>
      <c r="H614" s="847"/>
      <c r="I614" s="847"/>
      <c r="J614" s="847"/>
      <c r="K614" s="847"/>
      <c r="L614" s="847"/>
      <c r="M614" s="847"/>
      <c r="N614" s="847"/>
      <c r="O614" s="847"/>
      <c r="P614" s="847"/>
      <c r="Q614" s="847"/>
      <c r="R614" s="847"/>
      <c r="S614" s="847"/>
      <c r="T614" s="847"/>
      <c r="U614" s="847"/>
      <c r="V614" s="847"/>
      <c r="W614" s="847"/>
      <c r="X614" s="847"/>
      <c r="Y614" s="847"/>
      <c r="Z614" s="847"/>
      <c r="AA614" s="847"/>
      <c r="AB614" s="847"/>
      <c r="AC614" s="847"/>
      <c r="AD614" s="847"/>
      <c r="AE614" s="847"/>
      <c r="AF614" s="847"/>
      <c r="AG614" s="847"/>
    </row>
    <row r="615">
      <c r="A615" s="847"/>
      <c r="B615" s="847"/>
      <c r="C615" s="847"/>
      <c r="D615" s="847"/>
      <c r="E615" s="847"/>
      <c r="F615" s="847"/>
      <c r="G615" s="847"/>
      <c r="H615" s="847"/>
      <c r="I615" s="847"/>
      <c r="J615" s="847"/>
      <c r="K615" s="847"/>
      <c r="L615" s="847"/>
      <c r="M615" s="847"/>
      <c r="N615" s="847"/>
      <c r="O615" s="847"/>
      <c r="P615" s="847"/>
      <c r="Q615" s="847"/>
      <c r="R615" s="847"/>
      <c r="S615" s="847"/>
      <c r="T615" s="847"/>
      <c r="U615" s="847"/>
      <c r="V615" s="847"/>
      <c r="W615" s="847"/>
      <c r="X615" s="847"/>
      <c r="Y615" s="847"/>
      <c r="Z615" s="847"/>
      <c r="AA615" s="847"/>
      <c r="AB615" s="847"/>
      <c r="AC615" s="847"/>
      <c r="AD615" s="847"/>
      <c r="AE615" s="847"/>
      <c r="AF615" s="847"/>
      <c r="AG615" s="847"/>
    </row>
    <row r="616">
      <c r="A616" s="847"/>
      <c r="B616" s="847"/>
      <c r="C616" s="847"/>
      <c r="D616" s="847"/>
      <c r="E616" s="847"/>
      <c r="F616" s="847"/>
      <c r="G616" s="847"/>
      <c r="H616" s="847"/>
      <c r="I616" s="847"/>
      <c r="J616" s="847"/>
      <c r="K616" s="847"/>
      <c r="L616" s="847"/>
      <c r="M616" s="847"/>
      <c r="N616" s="847"/>
      <c r="O616" s="847"/>
      <c r="P616" s="847"/>
      <c r="Q616" s="847"/>
      <c r="R616" s="847"/>
      <c r="S616" s="847"/>
      <c r="T616" s="847"/>
      <c r="U616" s="847"/>
      <c r="V616" s="847"/>
      <c r="W616" s="847"/>
      <c r="X616" s="847"/>
      <c r="Y616" s="847"/>
      <c r="Z616" s="847"/>
      <c r="AA616" s="847"/>
      <c r="AB616" s="847"/>
      <c r="AC616" s="847"/>
      <c r="AD616" s="847"/>
      <c r="AE616" s="847"/>
      <c r="AF616" s="847"/>
      <c r="AG616" s="847"/>
    </row>
    <row r="617">
      <c r="A617" s="847"/>
      <c r="B617" s="847"/>
      <c r="C617" s="847"/>
      <c r="D617" s="847"/>
      <c r="E617" s="847"/>
      <c r="F617" s="847"/>
      <c r="G617" s="847"/>
      <c r="H617" s="847"/>
      <c r="I617" s="847"/>
      <c r="J617" s="847"/>
      <c r="K617" s="847"/>
      <c r="L617" s="847"/>
      <c r="M617" s="847"/>
      <c r="N617" s="847"/>
      <c r="O617" s="847"/>
      <c r="P617" s="847"/>
      <c r="Q617" s="847"/>
      <c r="R617" s="847"/>
      <c r="S617" s="847"/>
      <c r="T617" s="847"/>
      <c r="U617" s="847"/>
      <c r="V617" s="847"/>
      <c r="W617" s="847"/>
      <c r="X617" s="847"/>
      <c r="Y617" s="847"/>
      <c r="Z617" s="847"/>
      <c r="AA617" s="847"/>
      <c r="AB617" s="847"/>
      <c r="AC617" s="847"/>
      <c r="AD617" s="847"/>
      <c r="AE617" s="847"/>
      <c r="AF617" s="847"/>
      <c r="AG617" s="847"/>
    </row>
    <row r="618">
      <c r="A618" s="847"/>
      <c r="B618" s="847"/>
      <c r="C618" s="847"/>
      <c r="D618" s="847"/>
      <c r="E618" s="847"/>
      <c r="F618" s="847"/>
      <c r="G618" s="847"/>
      <c r="H618" s="847"/>
      <c r="I618" s="847"/>
      <c r="J618" s="847"/>
      <c r="K618" s="847"/>
      <c r="L618" s="847"/>
      <c r="M618" s="847"/>
      <c r="N618" s="847"/>
      <c r="O618" s="847"/>
      <c r="P618" s="847"/>
      <c r="Q618" s="847"/>
      <c r="R618" s="847"/>
      <c r="S618" s="847"/>
      <c r="T618" s="847"/>
      <c r="U618" s="847"/>
      <c r="V618" s="847"/>
      <c r="W618" s="847"/>
      <c r="X618" s="847"/>
      <c r="Y618" s="847"/>
      <c r="Z618" s="847"/>
      <c r="AA618" s="847"/>
      <c r="AB618" s="847"/>
      <c r="AC618" s="847"/>
      <c r="AD618" s="847"/>
      <c r="AE618" s="847"/>
      <c r="AF618" s="847"/>
      <c r="AG618" s="847"/>
    </row>
    <row r="619">
      <c r="A619" s="847"/>
      <c r="B619" s="847"/>
      <c r="C619" s="847"/>
      <c r="D619" s="847"/>
      <c r="E619" s="847"/>
      <c r="F619" s="847"/>
      <c r="G619" s="847"/>
      <c r="H619" s="847"/>
      <c r="I619" s="847"/>
      <c r="J619" s="847"/>
      <c r="K619" s="847"/>
      <c r="L619" s="847"/>
      <c r="M619" s="847"/>
      <c r="N619" s="847"/>
      <c r="O619" s="847"/>
      <c r="P619" s="847"/>
      <c r="Q619" s="847"/>
      <c r="R619" s="847"/>
      <c r="S619" s="847"/>
      <c r="T619" s="847"/>
      <c r="U619" s="847"/>
      <c r="V619" s="847"/>
      <c r="W619" s="847"/>
      <c r="X619" s="847"/>
      <c r="Y619" s="847"/>
      <c r="Z619" s="847"/>
      <c r="AA619" s="847"/>
      <c r="AB619" s="847"/>
      <c r="AC619" s="847"/>
      <c r="AD619" s="847"/>
      <c r="AE619" s="847"/>
      <c r="AF619" s="847"/>
      <c r="AG619" s="847"/>
    </row>
    <row r="620">
      <c r="A620" s="847"/>
      <c r="B620" s="847"/>
      <c r="C620" s="847"/>
      <c r="D620" s="847"/>
      <c r="E620" s="847"/>
      <c r="F620" s="847"/>
      <c r="G620" s="847"/>
      <c r="H620" s="847"/>
      <c r="I620" s="847"/>
      <c r="J620" s="847"/>
      <c r="K620" s="847"/>
      <c r="L620" s="847"/>
      <c r="M620" s="847"/>
      <c r="N620" s="847"/>
      <c r="O620" s="847"/>
      <c r="P620" s="847"/>
      <c r="Q620" s="847"/>
      <c r="R620" s="847"/>
      <c r="S620" s="847"/>
      <c r="T620" s="847"/>
      <c r="U620" s="847"/>
      <c r="V620" s="847"/>
      <c r="W620" s="847"/>
      <c r="X620" s="847"/>
      <c r="Y620" s="847"/>
      <c r="Z620" s="847"/>
      <c r="AA620" s="847"/>
      <c r="AB620" s="847"/>
      <c r="AC620" s="847"/>
      <c r="AD620" s="847"/>
      <c r="AE620" s="847"/>
      <c r="AF620" s="847"/>
      <c r="AG620" s="847"/>
    </row>
    <row r="621">
      <c r="A621" s="847"/>
      <c r="B621" s="847"/>
      <c r="C621" s="847"/>
      <c r="D621" s="847"/>
      <c r="E621" s="847"/>
      <c r="F621" s="847"/>
      <c r="G621" s="847"/>
      <c r="H621" s="847"/>
      <c r="I621" s="847"/>
      <c r="J621" s="847"/>
      <c r="K621" s="847"/>
      <c r="L621" s="847"/>
      <c r="M621" s="847"/>
      <c r="N621" s="847"/>
      <c r="O621" s="847"/>
      <c r="P621" s="847"/>
      <c r="Q621" s="847"/>
      <c r="R621" s="847"/>
      <c r="S621" s="847"/>
      <c r="T621" s="847"/>
      <c r="U621" s="847"/>
      <c r="V621" s="847"/>
      <c r="W621" s="847"/>
      <c r="X621" s="847"/>
      <c r="Y621" s="847"/>
      <c r="Z621" s="847"/>
      <c r="AA621" s="847"/>
      <c r="AB621" s="847"/>
      <c r="AC621" s="847"/>
      <c r="AD621" s="847"/>
      <c r="AE621" s="847"/>
      <c r="AF621" s="847"/>
      <c r="AG621" s="847"/>
    </row>
    <row r="622">
      <c r="A622" s="847"/>
      <c r="B622" s="847"/>
      <c r="C622" s="847"/>
      <c r="D622" s="847"/>
      <c r="E622" s="847"/>
      <c r="F622" s="847"/>
      <c r="G622" s="847"/>
      <c r="H622" s="847"/>
      <c r="I622" s="847"/>
      <c r="J622" s="847"/>
      <c r="K622" s="847"/>
      <c r="L622" s="847"/>
      <c r="M622" s="847"/>
      <c r="N622" s="847"/>
      <c r="O622" s="847"/>
      <c r="P622" s="847"/>
      <c r="Q622" s="847"/>
      <c r="R622" s="847"/>
      <c r="S622" s="847"/>
      <c r="T622" s="847"/>
      <c r="U622" s="847"/>
      <c r="V622" s="847"/>
      <c r="W622" s="847"/>
      <c r="X622" s="847"/>
      <c r="Y622" s="847"/>
      <c r="Z622" s="847"/>
      <c r="AA622" s="847"/>
      <c r="AB622" s="847"/>
      <c r="AC622" s="847"/>
      <c r="AD622" s="847"/>
      <c r="AE622" s="847"/>
      <c r="AF622" s="847"/>
      <c r="AG622" s="847"/>
    </row>
    <row r="623">
      <c r="A623" s="847"/>
      <c r="B623" s="847"/>
      <c r="C623" s="847"/>
      <c r="D623" s="847"/>
      <c r="E623" s="847"/>
      <c r="F623" s="847"/>
      <c r="G623" s="847"/>
      <c r="H623" s="847"/>
      <c r="I623" s="847"/>
      <c r="J623" s="847"/>
      <c r="K623" s="847"/>
      <c r="L623" s="847"/>
      <c r="M623" s="847"/>
      <c r="N623" s="847"/>
      <c r="O623" s="847"/>
      <c r="P623" s="847"/>
      <c r="Q623" s="847"/>
      <c r="R623" s="847"/>
      <c r="S623" s="847"/>
      <c r="T623" s="847"/>
      <c r="U623" s="847"/>
      <c r="V623" s="847"/>
      <c r="W623" s="847"/>
      <c r="X623" s="847"/>
      <c r="Y623" s="847"/>
      <c r="Z623" s="847"/>
      <c r="AA623" s="847"/>
      <c r="AB623" s="847"/>
      <c r="AC623" s="847"/>
      <c r="AD623" s="847"/>
      <c r="AE623" s="847"/>
      <c r="AF623" s="847"/>
      <c r="AG623" s="847"/>
    </row>
    <row r="624">
      <c r="A624" s="847"/>
      <c r="B624" s="847"/>
      <c r="C624" s="847"/>
      <c r="D624" s="847"/>
      <c r="E624" s="847"/>
      <c r="F624" s="847"/>
      <c r="G624" s="847"/>
      <c r="H624" s="847"/>
      <c r="I624" s="847"/>
      <c r="J624" s="847"/>
      <c r="K624" s="847"/>
      <c r="L624" s="847"/>
      <c r="M624" s="847"/>
      <c r="N624" s="847"/>
      <c r="O624" s="847"/>
      <c r="P624" s="847"/>
      <c r="Q624" s="847"/>
      <c r="R624" s="847"/>
      <c r="S624" s="847"/>
      <c r="T624" s="847"/>
      <c r="U624" s="847"/>
      <c r="V624" s="847"/>
      <c r="W624" s="847"/>
      <c r="X624" s="847"/>
      <c r="Y624" s="847"/>
      <c r="Z624" s="847"/>
      <c r="AA624" s="847"/>
      <c r="AB624" s="847"/>
      <c r="AC624" s="847"/>
      <c r="AD624" s="847"/>
      <c r="AE624" s="847"/>
      <c r="AF624" s="847"/>
      <c r="AG624" s="847"/>
    </row>
    <row r="625">
      <c r="A625" s="847"/>
      <c r="B625" s="847"/>
      <c r="C625" s="847"/>
      <c r="D625" s="847"/>
      <c r="E625" s="847"/>
      <c r="F625" s="847"/>
      <c r="G625" s="847"/>
      <c r="H625" s="847"/>
      <c r="I625" s="847"/>
      <c r="J625" s="847"/>
      <c r="K625" s="847"/>
      <c r="L625" s="847"/>
      <c r="M625" s="847"/>
      <c r="N625" s="847"/>
      <c r="O625" s="847"/>
      <c r="P625" s="847"/>
      <c r="Q625" s="847"/>
      <c r="R625" s="847"/>
      <c r="S625" s="847"/>
      <c r="T625" s="847"/>
      <c r="U625" s="847"/>
      <c r="V625" s="847"/>
      <c r="W625" s="847"/>
      <c r="X625" s="847"/>
      <c r="Y625" s="847"/>
      <c r="Z625" s="847"/>
      <c r="AA625" s="847"/>
      <c r="AB625" s="847"/>
      <c r="AC625" s="847"/>
      <c r="AD625" s="847"/>
      <c r="AE625" s="847"/>
      <c r="AF625" s="847"/>
      <c r="AG625" s="847"/>
    </row>
    <row r="626">
      <c r="A626" s="847"/>
      <c r="B626" s="847"/>
      <c r="C626" s="847"/>
      <c r="D626" s="847"/>
      <c r="E626" s="847"/>
      <c r="F626" s="847"/>
      <c r="G626" s="847"/>
      <c r="H626" s="847"/>
      <c r="I626" s="847"/>
      <c r="J626" s="847"/>
      <c r="K626" s="847"/>
      <c r="L626" s="847"/>
      <c r="M626" s="847"/>
      <c r="N626" s="847"/>
      <c r="O626" s="847"/>
      <c r="P626" s="847"/>
      <c r="Q626" s="847"/>
      <c r="R626" s="847"/>
      <c r="S626" s="847"/>
      <c r="T626" s="847"/>
      <c r="U626" s="847"/>
      <c r="V626" s="847"/>
      <c r="W626" s="847"/>
      <c r="X626" s="847"/>
      <c r="Y626" s="847"/>
      <c r="Z626" s="847"/>
      <c r="AA626" s="847"/>
      <c r="AB626" s="847"/>
      <c r="AC626" s="847"/>
      <c r="AD626" s="847"/>
      <c r="AE626" s="847"/>
      <c r="AF626" s="847"/>
      <c r="AG626" s="847"/>
    </row>
    <row r="627">
      <c r="A627" s="847"/>
      <c r="B627" s="847"/>
      <c r="C627" s="847"/>
      <c r="D627" s="847"/>
      <c r="E627" s="847"/>
      <c r="F627" s="847"/>
      <c r="G627" s="847"/>
      <c r="H627" s="847"/>
      <c r="I627" s="847"/>
      <c r="J627" s="847"/>
      <c r="K627" s="847"/>
      <c r="L627" s="847"/>
      <c r="M627" s="847"/>
      <c r="N627" s="847"/>
      <c r="O627" s="847"/>
      <c r="P627" s="847"/>
      <c r="Q627" s="847"/>
      <c r="R627" s="847"/>
      <c r="S627" s="847"/>
      <c r="T627" s="847"/>
      <c r="U627" s="847"/>
      <c r="V627" s="847"/>
      <c r="W627" s="847"/>
      <c r="X627" s="847"/>
      <c r="Y627" s="847"/>
      <c r="Z627" s="847"/>
      <c r="AA627" s="847"/>
      <c r="AB627" s="847"/>
      <c r="AC627" s="847"/>
      <c r="AD627" s="847"/>
      <c r="AE627" s="847"/>
      <c r="AF627" s="847"/>
      <c r="AG627" s="847"/>
    </row>
    <row r="628">
      <c r="A628" s="847"/>
      <c r="B628" s="847"/>
      <c r="C628" s="847"/>
      <c r="D628" s="847"/>
      <c r="E628" s="847"/>
      <c r="F628" s="847"/>
      <c r="G628" s="847"/>
      <c r="H628" s="847"/>
      <c r="I628" s="847"/>
      <c r="J628" s="847"/>
      <c r="K628" s="847"/>
      <c r="L628" s="847"/>
      <c r="M628" s="847"/>
      <c r="N628" s="847"/>
      <c r="O628" s="847"/>
      <c r="P628" s="847"/>
      <c r="Q628" s="847"/>
      <c r="R628" s="847"/>
      <c r="S628" s="847"/>
      <c r="T628" s="847"/>
      <c r="U628" s="847"/>
      <c r="V628" s="847"/>
      <c r="W628" s="847"/>
      <c r="X628" s="847"/>
      <c r="Y628" s="847"/>
      <c r="Z628" s="847"/>
      <c r="AA628" s="847"/>
      <c r="AB628" s="847"/>
      <c r="AC628" s="847"/>
      <c r="AD628" s="847"/>
      <c r="AE628" s="847"/>
      <c r="AF628" s="847"/>
      <c r="AG628" s="847"/>
    </row>
    <row r="629">
      <c r="A629" s="847"/>
      <c r="B629" s="847"/>
      <c r="C629" s="847"/>
      <c r="D629" s="847"/>
      <c r="E629" s="847"/>
      <c r="F629" s="847"/>
      <c r="G629" s="847"/>
      <c r="H629" s="847"/>
      <c r="I629" s="847"/>
      <c r="J629" s="847"/>
      <c r="K629" s="847"/>
      <c r="L629" s="847"/>
      <c r="M629" s="847"/>
      <c r="N629" s="847"/>
      <c r="O629" s="847"/>
      <c r="P629" s="847"/>
      <c r="Q629" s="847"/>
      <c r="R629" s="847"/>
      <c r="S629" s="847"/>
      <c r="T629" s="847"/>
      <c r="U629" s="847"/>
      <c r="V629" s="847"/>
      <c r="W629" s="847"/>
      <c r="X629" s="847"/>
      <c r="Y629" s="847"/>
      <c r="Z629" s="847"/>
      <c r="AA629" s="847"/>
      <c r="AB629" s="847"/>
      <c r="AC629" s="847"/>
      <c r="AD629" s="847"/>
      <c r="AE629" s="847"/>
      <c r="AF629" s="847"/>
      <c r="AG629" s="847"/>
    </row>
    <row r="630">
      <c r="A630" s="847"/>
      <c r="B630" s="847"/>
      <c r="C630" s="847"/>
      <c r="D630" s="847"/>
      <c r="E630" s="847"/>
      <c r="F630" s="847"/>
      <c r="G630" s="847"/>
      <c r="H630" s="847"/>
      <c r="I630" s="847"/>
      <c r="J630" s="847"/>
      <c r="K630" s="847"/>
      <c r="L630" s="847"/>
      <c r="M630" s="847"/>
      <c r="N630" s="847"/>
      <c r="O630" s="847"/>
      <c r="P630" s="847"/>
      <c r="Q630" s="847"/>
      <c r="R630" s="847"/>
      <c r="S630" s="847"/>
      <c r="T630" s="847"/>
      <c r="U630" s="847"/>
      <c r="V630" s="847"/>
      <c r="W630" s="847"/>
      <c r="X630" s="847"/>
      <c r="Y630" s="847"/>
      <c r="Z630" s="847"/>
      <c r="AA630" s="847"/>
      <c r="AB630" s="847"/>
      <c r="AC630" s="847"/>
      <c r="AD630" s="847"/>
      <c r="AE630" s="847"/>
      <c r="AF630" s="847"/>
      <c r="AG630" s="847"/>
    </row>
    <row r="631">
      <c r="A631" s="847"/>
      <c r="B631" s="847"/>
      <c r="C631" s="847"/>
      <c r="D631" s="847"/>
      <c r="E631" s="847"/>
      <c r="F631" s="847"/>
      <c r="G631" s="847"/>
      <c r="H631" s="847"/>
      <c r="I631" s="847"/>
      <c r="J631" s="847"/>
      <c r="K631" s="847"/>
      <c r="L631" s="847"/>
      <c r="M631" s="847"/>
      <c r="N631" s="847"/>
      <c r="O631" s="847"/>
      <c r="P631" s="847"/>
      <c r="Q631" s="847"/>
      <c r="R631" s="847"/>
      <c r="S631" s="847"/>
      <c r="T631" s="847"/>
      <c r="U631" s="847"/>
      <c r="V631" s="847"/>
      <c r="W631" s="847"/>
      <c r="X631" s="847"/>
      <c r="Y631" s="847"/>
      <c r="Z631" s="847"/>
      <c r="AA631" s="847"/>
      <c r="AB631" s="847"/>
      <c r="AC631" s="847"/>
      <c r="AD631" s="847"/>
      <c r="AE631" s="847"/>
      <c r="AF631" s="847"/>
      <c r="AG631" s="847"/>
    </row>
    <row r="632">
      <c r="A632" s="847"/>
      <c r="B632" s="847"/>
      <c r="C632" s="847"/>
      <c r="D632" s="847"/>
      <c r="E632" s="847"/>
      <c r="F632" s="847"/>
      <c r="G632" s="847"/>
      <c r="H632" s="847"/>
      <c r="I632" s="847"/>
      <c r="J632" s="847"/>
      <c r="K632" s="847"/>
      <c r="L632" s="847"/>
      <c r="M632" s="847"/>
      <c r="N632" s="847"/>
      <c r="O632" s="847"/>
      <c r="P632" s="847"/>
      <c r="Q632" s="847"/>
      <c r="R632" s="847"/>
      <c r="S632" s="847"/>
      <c r="T632" s="847"/>
      <c r="U632" s="847"/>
      <c r="V632" s="847"/>
      <c r="W632" s="847"/>
      <c r="X632" s="847"/>
      <c r="Y632" s="847"/>
      <c r="Z632" s="847"/>
      <c r="AA632" s="847"/>
      <c r="AB632" s="847"/>
      <c r="AC632" s="847"/>
      <c r="AD632" s="847"/>
      <c r="AE632" s="847"/>
      <c r="AF632" s="847"/>
      <c r="AG632" s="847"/>
    </row>
    <row r="633">
      <c r="A633" s="847"/>
      <c r="B633" s="847"/>
      <c r="C633" s="847"/>
      <c r="D633" s="847"/>
      <c r="E633" s="847"/>
      <c r="F633" s="847"/>
      <c r="G633" s="847"/>
      <c r="H633" s="847"/>
      <c r="I633" s="847"/>
      <c r="J633" s="847"/>
      <c r="K633" s="847"/>
      <c r="L633" s="847"/>
      <c r="M633" s="847"/>
      <c r="N633" s="847"/>
      <c r="O633" s="847"/>
      <c r="P633" s="847"/>
      <c r="Q633" s="847"/>
      <c r="R633" s="847"/>
      <c r="S633" s="847"/>
      <c r="T633" s="847"/>
      <c r="U633" s="847"/>
      <c r="V633" s="847"/>
      <c r="W633" s="847"/>
      <c r="X633" s="847"/>
      <c r="Y633" s="847"/>
      <c r="Z633" s="847"/>
      <c r="AA633" s="847"/>
      <c r="AB633" s="847"/>
      <c r="AC633" s="847"/>
      <c r="AD633" s="847"/>
      <c r="AE633" s="847"/>
      <c r="AF633" s="847"/>
      <c r="AG633" s="847"/>
    </row>
    <row r="634">
      <c r="A634" s="847"/>
      <c r="B634" s="847"/>
      <c r="C634" s="847"/>
      <c r="D634" s="847"/>
      <c r="E634" s="847"/>
      <c r="F634" s="847"/>
      <c r="G634" s="847"/>
      <c r="H634" s="847"/>
      <c r="I634" s="847"/>
      <c r="J634" s="847"/>
      <c r="K634" s="847"/>
      <c r="L634" s="847"/>
      <c r="M634" s="847"/>
      <c r="N634" s="847"/>
      <c r="O634" s="847"/>
      <c r="P634" s="847"/>
      <c r="Q634" s="847"/>
      <c r="R634" s="847"/>
      <c r="S634" s="847"/>
      <c r="T634" s="847"/>
      <c r="U634" s="847"/>
      <c r="V634" s="847"/>
      <c r="W634" s="847"/>
      <c r="X634" s="847"/>
      <c r="Y634" s="847"/>
      <c r="Z634" s="847"/>
      <c r="AA634" s="847"/>
      <c r="AB634" s="847"/>
      <c r="AC634" s="847"/>
      <c r="AD634" s="847"/>
      <c r="AE634" s="847"/>
      <c r="AF634" s="847"/>
      <c r="AG634" s="847"/>
    </row>
    <row r="635">
      <c r="A635" s="847"/>
      <c r="B635" s="847"/>
      <c r="C635" s="847"/>
      <c r="D635" s="847"/>
      <c r="E635" s="847"/>
      <c r="F635" s="847"/>
      <c r="G635" s="847"/>
      <c r="H635" s="847"/>
      <c r="I635" s="847"/>
      <c r="J635" s="847"/>
      <c r="K635" s="847"/>
      <c r="L635" s="847"/>
      <c r="M635" s="847"/>
      <c r="N635" s="847"/>
      <c r="O635" s="847"/>
      <c r="P635" s="847"/>
      <c r="Q635" s="847"/>
      <c r="R635" s="847"/>
      <c r="S635" s="847"/>
      <c r="T635" s="847"/>
      <c r="U635" s="847"/>
      <c r="V635" s="847"/>
      <c r="W635" s="847"/>
      <c r="X635" s="847"/>
      <c r="Y635" s="847"/>
      <c r="Z635" s="847"/>
      <c r="AA635" s="847"/>
      <c r="AB635" s="847"/>
      <c r="AC635" s="847"/>
      <c r="AD635" s="847"/>
      <c r="AE635" s="847"/>
      <c r="AF635" s="847"/>
      <c r="AG635" s="847"/>
    </row>
    <row r="636">
      <c r="A636" s="847"/>
      <c r="B636" s="847"/>
      <c r="C636" s="847"/>
      <c r="D636" s="847"/>
      <c r="E636" s="847"/>
      <c r="F636" s="847"/>
      <c r="G636" s="847"/>
      <c r="H636" s="847"/>
      <c r="I636" s="847"/>
      <c r="J636" s="847"/>
      <c r="K636" s="847"/>
      <c r="L636" s="847"/>
      <c r="M636" s="847"/>
      <c r="N636" s="847"/>
      <c r="O636" s="847"/>
      <c r="P636" s="847"/>
      <c r="Q636" s="847"/>
      <c r="R636" s="847"/>
      <c r="S636" s="847"/>
      <c r="T636" s="847"/>
      <c r="U636" s="847"/>
      <c r="V636" s="847"/>
      <c r="W636" s="847"/>
      <c r="X636" s="847"/>
      <c r="Y636" s="847"/>
      <c r="Z636" s="847"/>
      <c r="AA636" s="847"/>
      <c r="AB636" s="847"/>
      <c r="AC636" s="847"/>
      <c r="AD636" s="847"/>
      <c r="AE636" s="847"/>
      <c r="AF636" s="847"/>
      <c r="AG636" s="847"/>
    </row>
    <row r="637">
      <c r="A637" s="847"/>
      <c r="B637" s="847"/>
      <c r="C637" s="847"/>
      <c r="D637" s="847"/>
      <c r="E637" s="847"/>
      <c r="F637" s="847"/>
      <c r="G637" s="847"/>
      <c r="H637" s="847"/>
      <c r="I637" s="847"/>
      <c r="J637" s="847"/>
      <c r="K637" s="847"/>
      <c r="L637" s="847"/>
      <c r="M637" s="847"/>
      <c r="N637" s="847"/>
      <c r="O637" s="847"/>
      <c r="P637" s="847"/>
      <c r="Q637" s="847"/>
      <c r="R637" s="847"/>
      <c r="S637" s="847"/>
      <c r="T637" s="847"/>
      <c r="U637" s="847"/>
      <c r="V637" s="847"/>
      <c r="W637" s="847"/>
      <c r="X637" s="847"/>
      <c r="Y637" s="847"/>
      <c r="Z637" s="847"/>
      <c r="AA637" s="847"/>
      <c r="AB637" s="847"/>
      <c r="AC637" s="847"/>
      <c r="AD637" s="847"/>
      <c r="AE637" s="847"/>
      <c r="AF637" s="847"/>
      <c r="AG637" s="847"/>
    </row>
    <row r="638">
      <c r="A638" s="847"/>
      <c r="B638" s="847"/>
      <c r="C638" s="847"/>
      <c r="D638" s="847"/>
      <c r="E638" s="847"/>
      <c r="F638" s="847"/>
      <c r="G638" s="847"/>
      <c r="H638" s="847"/>
      <c r="I638" s="847"/>
      <c r="J638" s="847"/>
      <c r="K638" s="847"/>
      <c r="L638" s="847"/>
      <c r="M638" s="847"/>
      <c r="N638" s="847"/>
      <c r="O638" s="847"/>
      <c r="P638" s="847"/>
      <c r="Q638" s="847"/>
      <c r="R638" s="847"/>
      <c r="S638" s="847"/>
      <c r="T638" s="847"/>
      <c r="U638" s="847"/>
      <c r="V638" s="847"/>
      <c r="W638" s="847"/>
      <c r="X638" s="847"/>
      <c r="Y638" s="847"/>
      <c r="Z638" s="847"/>
      <c r="AA638" s="847"/>
      <c r="AB638" s="847"/>
      <c r="AC638" s="847"/>
      <c r="AD638" s="847"/>
      <c r="AE638" s="847"/>
      <c r="AF638" s="847"/>
      <c r="AG638" s="847"/>
    </row>
    <row r="639">
      <c r="A639" s="847"/>
      <c r="B639" s="847"/>
      <c r="C639" s="847"/>
      <c r="D639" s="847"/>
      <c r="E639" s="847"/>
      <c r="F639" s="847"/>
      <c r="G639" s="847"/>
      <c r="H639" s="847"/>
      <c r="I639" s="847"/>
      <c r="J639" s="847"/>
      <c r="K639" s="847"/>
      <c r="L639" s="847"/>
      <c r="M639" s="847"/>
      <c r="N639" s="847"/>
      <c r="O639" s="847"/>
      <c r="P639" s="847"/>
      <c r="Q639" s="847"/>
      <c r="R639" s="847"/>
      <c r="S639" s="847"/>
      <c r="T639" s="847"/>
      <c r="U639" s="847"/>
      <c r="V639" s="847"/>
      <c r="W639" s="847"/>
      <c r="X639" s="847"/>
      <c r="Y639" s="847"/>
      <c r="Z639" s="847"/>
      <c r="AA639" s="847"/>
      <c r="AB639" s="847"/>
      <c r="AC639" s="847"/>
      <c r="AD639" s="847"/>
      <c r="AE639" s="847"/>
      <c r="AF639" s="847"/>
      <c r="AG639" s="847"/>
    </row>
    <row r="640">
      <c r="A640" s="847"/>
      <c r="B640" s="847"/>
      <c r="C640" s="847"/>
      <c r="D640" s="847"/>
      <c r="E640" s="847"/>
      <c r="F640" s="847"/>
      <c r="G640" s="847"/>
      <c r="H640" s="847"/>
      <c r="I640" s="847"/>
      <c r="J640" s="847"/>
      <c r="K640" s="847"/>
      <c r="L640" s="847"/>
      <c r="M640" s="847"/>
      <c r="N640" s="847"/>
      <c r="O640" s="847"/>
      <c r="P640" s="847"/>
      <c r="Q640" s="847"/>
      <c r="R640" s="847"/>
      <c r="S640" s="847"/>
      <c r="T640" s="847"/>
      <c r="U640" s="847"/>
      <c r="V640" s="847"/>
      <c r="W640" s="847"/>
      <c r="X640" s="847"/>
      <c r="Y640" s="847"/>
      <c r="Z640" s="847"/>
      <c r="AA640" s="847"/>
      <c r="AB640" s="847"/>
      <c r="AC640" s="847"/>
      <c r="AD640" s="847"/>
      <c r="AE640" s="847"/>
      <c r="AF640" s="847"/>
      <c r="AG640" s="847"/>
    </row>
    <row r="641">
      <c r="A641" s="847"/>
      <c r="B641" s="847"/>
      <c r="C641" s="847"/>
      <c r="D641" s="847"/>
      <c r="E641" s="847"/>
      <c r="F641" s="847"/>
      <c r="G641" s="847"/>
      <c r="H641" s="847"/>
      <c r="I641" s="847"/>
      <c r="J641" s="847"/>
      <c r="K641" s="847"/>
      <c r="L641" s="847"/>
      <c r="M641" s="847"/>
      <c r="N641" s="847"/>
      <c r="O641" s="847"/>
      <c r="P641" s="847"/>
      <c r="Q641" s="847"/>
      <c r="R641" s="847"/>
      <c r="S641" s="847"/>
      <c r="T641" s="847"/>
      <c r="U641" s="847"/>
      <c r="V641" s="847"/>
      <c r="W641" s="847"/>
      <c r="X641" s="847"/>
      <c r="Y641" s="847"/>
      <c r="Z641" s="847"/>
      <c r="AA641" s="847"/>
      <c r="AB641" s="847"/>
      <c r="AC641" s="847"/>
      <c r="AD641" s="847"/>
      <c r="AE641" s="847"/>
      <c r="AF641" s="847"/>
      <c r="AG641" s="847"/>
    </row>
    <row r="642">
      <c r="A642" s="847"/>
      <c r="B642" s="847"/>
      <c r="C642" s="847"/>
      <c r="D642" s="847"/>
      <c r="E642" s="847"/>
      <c r="F642" s="847"/>
      <c r="G642" s="847"/>
      <c r="H642" s="847"/>
      <c r="I642" s="847"/>
      <c r="J642" s="847"/>
      <c r="K642" s="847"/>
      <c r="L642" s="847"/>
      <c r="M642" s="847"/>
      <c r="N642" s="847"/>
      <c r="O642" s="847"/>
      <c r="P642" s="847"/>
      <c r="Q642" s="847"/>
      <c r="R642" s="847"/>
      <c r="S642" s="847"/>
      <c r="T642" s="847"/>
      <c r="U642" s="847"/>
      <c r="V642" s="847"/>
      <c r="W642" s="847"/>
      <c r="X642" s="847"/>
      <c r="Y642" s="847"/>
      <c r="Z642" s="847"/>
      <c r="AA642" s="847"/>
      <c r="AB642" s="847"/>
      <c r="AC642" s="847"/>
      <c r="AD642" s="847"/>
      <c r="AE642" s="847"/>
      <c r="AF642" s="847"/>
      <c r="AG642" s="847"/>
    </row>
    <row r="643">
      <c r="A643" s="847"/>
      <c r="B643" s="847"/>
      <c r="C643" s="847"/>
      <c r="D643" s="847"/>
      <c r="E643" s="847"/>
      <c r="F643" s="847"/>
      <c r="G643" s="847"/>
      <c r="H643" s="847"/>
      <c r="I643" s="847"/>
      <c r="J643" s="847"/>
      <c r="K643" s="847"/>
      <c r="L643" s="847"/>
      <c r="M643" s="847"/>
      <c r="N643" s="847"/>
      <c r="O643" s="847"/>
      <c r="P643" s="847"/>
      <c r="Q643" s="847"/>
      <c r="R643" s="847"/>
      <c r="S643" s="847"/>
      <c r="T643" s="847"/>
      <c r="U643" s="847"/>
      <c r="V643" s="847"/>
      <c r="W643" s="847"/>
      <c r="X643" s="847"/>
      <c r="Y643" s="847"/>
      <c r="Z643" s="847"/>
      <c r="AA643" s="847"/>
      <c r="AB643" s="847"/>
      <c r="AC643" s="847"/>
      <c r="AD643" s="847"/>
      <c r="AE643" s="847"/>
      <c r="AF643" s="847"/>
      <c r="AG643" s="847"/>
    </row>
    <row r="644">
      <c r="A644" s="847"/>
      <c r="B644" s="847"/>
      <c r="C644" s="847"/>
      <c r="D644" s="847"/>
      <c r="E644" s="847"/>
      <c r="F644" s="847"/>
      <c r="G644" s="847"/>
      <c r="H644" s="847"/>
      <c r="I644" s="847"/>
      <c r="J644" s="847"/>
      <c r="K644" s="847"/>
      <c r="L644" s="847"/>
      <c r="M644" s="847"/>
      <c r="N644" s="847"/>
      <c r="O644" s="847"/>
      <c r="P644" s="847"/>
      <c r="Q644" s="847"/>
      <c r="R644" s="847"/>
      <c r="S644" s="847"/>
      <c r="T644" s="847"/>
      <c r="U644" s="847"/>
      <c r="V644" s="847"/>
      <c r="W644" s="847"/>
      <c r="X644" s="847"/>
      <c r="Y644" s="847"/>
      <c r="Z644" s="847"/>
      <c r="AA644" s="847"/>
      <c r="AB644" s="847"/>
      <c r="AC644" s="847"/>
      <c r="AD644" s="847"/>
      <c r="AE644" s="847"/>
      <c r="AF644" s="847"/>
      <c r="AG644" s="847"/>
    </row>
    <row r="645">
      <c r="A645" s="847"/>
      <c r="B645" s="847"/>
      <c r="C645" s="847"/>
      <c r="D645" s="847"/>
      <c r="E645" s="847"/>
      <c r="F645" s="847"/>
      <c r="G645" s="847"/>
      <c r="H645" s="847"/>
      <c r="I645" s="847"/>
      <c r="J645" s="847"/>
      <c r="K645" s="847"/>
      <c r="L645" s="847"/>
      <c r="M645" s="847"/>
      <c r="N645" s="847"/>
      <c r="O645" s="847"/>
      <c r="P645" s="847"/>
      <c r="Q645" s="847"/>
      <c r="R645" s="847"/>
      <c r="S645" s="847"/>
      <c r="T645" s="847"/>
      <c r="U645" s="847"/>
      <c r="V645" s="847"/>
      <c r="W645" s="847"/>
      <c r="X645" s="847"/>
      <c r="Y645" s="847"/>
      <c r="Z645" s="847"/>
      <c r="AA645" s="847"/>
      <c r="AB645" s="847"/>
      <c r="AC645" s="847"/>
      <c r="AD645" s="847"/>
      <c r="AE645" s="847"/>
      <c r="AF645" s="847"/>
      <c r="AG645" s="847"/>
    </row>
    <row r="646">
      <c r="A646" s="847"/>
      <c r="B646" s="847"/>
      <c r="C646" s="847"/>
      <c r="D646" s="847"/>
      <c r="E646" s="847"/>
      <c r="F646" s="847"/>
      <c r="G646" s="847"/>
      <c r="H646" s="847"/>
      <c r="I646" s="847"/>
      <c r="J646" s="847"/>
      <c r="K646" s="847"/>
      <c r="L646" s="847"/>
      <c r="M646" s="847"/>
      <c r="N646" s="847"/>
      <c r="O646" s="847"/>
      <c r="P646" s="847"/>
      <c r="Q646" s="847"/>
      <c r="R646" s="847"/>
      <c r="S646" s="847"/>
      <c r="T646" s="847"/>
      <c r="U646" s="847"/>
      <c r="V646" s="847"/>
      <c r="W646" s="847"/>
      <c r="X646" s="847"/>
      <c r="Y646" s="847"/>
      <c r="Z646" s="847"/>
      <c r="AA646" s="847"/>
      <c r="AB646" s="847"/>
      <c r="AC646" s="847"/>
      <c r="AD646" s="847"/>
      <c r="AE646" s="847"/>
      <c r="AF646" s="847"/>
      <c r="AG646" s="847"/>
    </row>
    <row r="647">
      <c r="A647" s="847"/>
      <c r="B647" s="847"/>
      <c r="C647" s="847"/>
      <c r="D647" s="847"/>
      <c r="E647" s="847"/>
      <c r="F647" s="847"/>
      <c r="G647" s="847"/>
      <c r="H647" s="847"/>
      <c r="I647" s="847"/>
      <c r="J647" s="847"/>
      <c r="K647" s="847"/>
      <c r="L647" s="847"/>
      <c r="M647" s="847"/>
      <c r="N647" s="847"/>
      <c r="O647" s="847"/>
      <c r="P647" s="847"/>
      <c r="Q647" s="847"/>
      <c r="R647" s="847"/>
      <c r="S647" s="847"/>
      <c r="T647" s="847"/>
      <c r="U647" s="847"/>
      <c r="V647" s="847"/>
      <c r="W647" s="847"/>
      <c r="X647" s="847"/>
      <c r="Y647" s="847"/>
      <c r="Z647" s="847"/>
      <c r="AA647" s="847"/>
      <c r="AB647" s="847"/>
      <c r="AC647" s="847"/>
      <c r="AD647" s="847"/>
      <c r="AE647" s="847"/>
      <c r="AF647" s="847"/>
      <c r="AG647" s="847"/>
    </row>
    <row r="648">
      <c r="A648" s="847"/>
      <c r="B648" s="847"/>
      <c r="C648" s="847"/>
      <c r="D648" s="847"/>
      <c r="E648" s="847"/>
      <c r="F648" s="847"/>
      <c r="G648" s="847"/>
      <c r="H648" s="847"/>
      <c r="I648" s="847"/>
      <c r="J648" s="847"/>
      <c r="K648" s="847"/>
      <c r="L648" s="847"/>
      <c r="M648" s="847"/>
      <c r="N648" s="847"/>
      <c r="O648" s="847"/>
      <c r="P648" s="847"/>
      <c r="Q648" s="847"/>
      <c r="R648" s="847"/>
      <c r="S648" s="847"/>
      <c r="T648" s="847"/>
      <c r="U648" s="847"/>
      <c r="V648" s="847"/>
      <c r="W648" s="847"/>
      <c r="X648" s="847"/>
      <c r="Y648" s="847"/>
      <c r="Z648" s="847"/>
      <c r="AA648" s="847"/>
      <c r="AB648" s="847"/>
      <c r="AC648" s="847"/>
      <c r="AD648" s="847"/>
      <c r="AE648" s="847"/>
      <c r="AF648" s="847"/>
      <c r="AG648" s="847"/>
    </row>
    <row r="649">
      <c r="A649" s="847"/>
      <c r="B649" s="847"/>
      <c r="C649" s="847"/>
      <c r="D649" s="847"/>
      <c r="E649" s="847"/>
      <c r="F649" s="847"/>
      <c r="G649" s="847"/>
      <c r="H649" s="847"/>
      <c r="I649" s="847"/>
      <c r="J649" s="847"/>
      <c r="K649" s="847"/>
      <c r="L649" s="847"/>
      <c r="M649" s="847"/>
      <c r="N649" s="847"/>
      <c r="O649" s="847"/>
      <c r="P649" s="847"/>
      <c r="Q649" s="847"/>
      <c r="R649" s="847"/>
      <c r="S649" s="847"/>
      <c r="T649" s="847"/>
      <c r="U649" s="847"/>
      <c r="V649" s="847"/>
      <c r="W649" s="847"/>
      <c r="X649" s="847"/>
      <c r="Y649" s="847"/>
      <c r="Z649" s="847"/>
      <c r="AA649" s="847"/>
      <c r="AB649" s="847"/>
      <c r="AC649" s="847"/>
      <c r="AD649" s="847"/>
      <c r="AE649" s="847"/>
      <c r="AF649" s="847"/>
      <c r="AG649" s="847"/>
    </row>
    <row r="650">
      <c r="A650" s="847"/>
      <c r="B650" s="847"/>
      <c r="C650" s="847"/>
      <c r="D650" s="847"/>
      <c r="E650" s="847"/>
      <c r="F650" s="847"/>
      <c r="G650" s="847"/>
      <c r="H650" s="847"/>
      <c r="I650" s="847"/>
      <c r="J650" s="847"/>
      <c r="K650" s="847"/>
      <c r="L650" s="847"/>
      <c r="M650" s="847"/>
      <c r="N650" s="847"/>
      <c r="O650" s="847"/>
      <c r="P650" s="847"/>
      <c r="Q650" s="847"/>
      <c r="R650" s="847"/>
      <c r="S650" s="847"/>
      <c r="T650" s="847"/>
      <c r="U650" s="847"/>
      <c r="V650" s="847"/>
      <c r="W650" s="847"/>
      <c r="X650" s="847"/>
      <c r="Y650" s="847"/>
      <c r="Z650" s="847"/>
      <c r="AA650" s="847"/>
      <c r="AB650" s="847"/>
      <c r="AC650" s="847"/>
      <c r="AD650" s="847"/>
      <c r="AE650" s="847"/>
      <c r="AF650" s="847"/>
      <c r="AG650" s="847"/>
    </row>
    <row r="651">
      <c r="A651" s="847"/>
      <c r="B651" s="847"/>
      <c r="C651" s="847"/>
      <c r="D651" s="847"/>
      <c r="E651" s="847"/>
      <c r="F651" s="847"/>
      <c r="G651" s="847"/>
      <c r="H651" s="847"/>
      <c r="I651" s="847"/>
      <c r="J651" s="847"/>
      <c r="K651" s="847"/>
      <c r="L651" s="847"/>
      <c r="M651" s="847"/>
      <c r="N651" s="847"/>
      <c r="O651" s="847"/>
      <c r="P651" s="847"/>
      <c r="Q651" s="847"/>
      <c r="R651" s="847"/>
      <c r="S651" s="847"/>
      <c r="T651" s="847"/>
      <c r="U651" s="847"/>
      <c r="V651" s="847"/>
      <c r="W651" s="847"/>
      <c r="X651" s="847"/>
      <c r="Y651" s="847"/>
      <c r="Z651" s="847"/>
      <c r="AA651" s="847"/>
      <c r="AB651" s="847"/>
      <c r="AC651" s="847"/>
      <c r="AD651" s="847"/>
      <c r="AE651" s="847"/>
      <c r="AF651" s="847"/>
      <c r="AG651" s="847"/>
    </row>
    <row r="652">
      <c r="A652" s="847"/>
      <c r="B652" s="847"/>
      <c r="C652" s="847"/>
      <c r="D652" s="847"/>
      <c r="E652" s="847"/>
      <c r="F652" s="847"/>
      <c r="G652" s="847"/>
      <c r="H652" s="847"/>
      <c r="I652" s="847"/>
      <c r="J652" s="847"/>
      <c r="K652" s="847"/>
      <c r="L652" s="847"/>
      <c r="M652" s="847"/>
      <c r="N652" s="847"/>
      <c r="O652" s="847"/>
      <c r="P652" s="847"/>
      <c r="Q652" s="847"/>
      <c r="R652" s="847"/>
      <c r="S652" s="847"/>
      <c r="T652" s="847"/>
      <c r="U652" s="847"/>
      <c r="V652" s="847"/>
      <c r="W652" s="847"/>
      <c r="X652" s="847"/>
      <c r="Y652" s="847"/>
      <c r="Z652" s="847"/>
      <c r="AA652" s="847"/>
      <c r="AB652" s="847"/>
      <c r="AC652" s="847"/>
      <c r="AD652" s="847"/>
      <c r="AE652" s="847"/>
      <c r="AF652" s="847"/>
      <c r="AG652" s="847"/>
    </row>
    <row r="653">
      <c r="A653" s="847"/>
      <c r="B653" s="847"/>
      <c r="C653" s="847"/>
      <c r="D653" s="847"/>
      <c r="E653" s="847"/>
      <c r="F653" s="847"/>
      <c r="G653" s="847"/>
      <c r="H653" s="847"/>
      <c r="I653" s="847"/>
      <c r="J653" s="847"/>
      <c r="K653" s="847"/>
      <c r="L653" s="847"/>
      <c r="M653" s="847"/>
      <c r="N653" s="847"/>
      <c r="O653" s="847"/>
      <c r="P653" s="847"/>
      <c r="Q653" s="847"/>
      <c r="R653" s="847"/>
      <c r="S653" s="847"/>
      <c r="T653" s="847"/>
      <c r="U653" s="847"/>
      <c r="V653" s="847"/>
      <c r="W653" s="847"/>
      <c r="X653" s="847"/>
      <c r="Y653" s="847"/>
      <c r="Z653" s="847"/>
      <c r="AA653" s="847"/>
      <c r="AB653" s="847"/>
      <c r="AC653" s="847"/>
      <c r="AD653" s="847"/>
      <c r="AE653" s="847"/>
      <c r="AF653" s="847"/>
      <c r="AG653" s="847"/>
    </row>
    <row r="654">
      <c r="A654" s="847"/>
      <c r="B654" s="847"/>
      <c r="C654" s="847"/>
      <c r="D654" s="847"/>
      <c r="E654" s="847"/>
      <c r="F654" s="847"/>
      <c r="G654" s="847"/>
      <c r="H654" s="847"/>
      <c r="I654" s="847"/>
      <c r="J654" s="847"/>
      <c r="K654" s="847"/>
      <c r="L654" s="847"/>
      <c r="M654" s="847"/>
      <c r="N654" s="847"/>
      <c r="O654" s="847"/>
      <c r="P654" s="847"/>
      <c r="Q654" s="847"/>
      <c r="R654" s="847"/>
      <c r="S654" s="847"/>
      <c r="T654" s="847"/>
      <c r="U654" s="847"/>
      <c r="V654" s="847"/>
      <c r="W654" s="847"/>
      <c r="X654" s="847"/>
      <c r="Y654" s="847"/>
      <c r="Z654" s="847"/>
      <c r="AA654" s="847"/>
      <c r="AB654" s="847"/>
      <c r="AC654" s="847"/>
      <c r="AD654" s="847"/>
      <c r="AE654" s="847"/>
      <c r="AF654" s="847"/>
      <c r="AG654" s="847"/>
    </row>
    <row r="655">
      <c r="A655" s="847"/>
      <c r="B655" s="847"/>
      <c r="C655" s="847"/>
      <c r="D655" s="847"/>
      <c r="E655" s="847"/>
      <c r="F655" s="847"/>
      <c r="G655" s="847"/>
      <c r="H655" s="847"/>
      <c r="I655" s="847"/>
      <c r="J655" s="847"/>
      <c r="K655" s="847"/>
      <c r="L655" s="847"/>
      <c r="M655" s="847"/>
      <c r="N655" s="847"/>
      <c r="O655" s="847"/>
      <c r="P655" s="847"/>
      <c r="Q655" s="847"/>
      <c r="R655" s="847"/>
      <c r="S655" s="847"/>
      <c r="T655" s="847"/>
      <c r="U655" s="847"/>
      <c r="V655" s="847"/>
      <c r="W655" s="847"/>
      <c r="X655" s="847"/>
      <c r="Y655" s="847"/>
      <c r="Z655" s="847"/>
      <c r="AA655" s="847"/>
      <c r="AB655" s="847"/>
      <c r="AC655" s="847"/>
      <c r="AD655" s="847"/>
      <c r="AE655" s="847"/>
      <c r="AF655" s="847"/>
      <c r="AG655" s="847"/>
    </row>
    <row r="656">
      <c r="A656" s="847"/>
      <c r="B656" s="847"/>
      <c r="C656" s="847"/>
      <c r="D656" s="847"/>
      <c r="E656" s="847"/>
      <c r="F656" s="847"/>
      <c r="G656" s="847"/>
      <c r="H656" s="847"/>
      <c r="I656" s="847"/>
      <c r="J656" s="847"/>
      <c r="K656" s="847"/>
      <c r="L656" s="847"/>
      <c r="M656" s="847"/>
      <c r="N656" s="847"/>
      <c r="O656" s="847"/>
      <c r="P656" s="847"/>
      <c r="Q656" s="847"/>
      <c r="R656" s="847"/>
      <c r="S656" s="847"/>
      <c r="T656" s="847"/>
      <c r="U656" s="847"/>
      <c r="V656" s="847"/>
      <c r="W656" s="847"/>
      <c r="X656" s="847"/>
      <c r="Y656" s="847"/>
      <c r="Z656" s="847"/>
      <c r="AA656" s="847"/>
      <c r="AB656" s="847"/>
      <c r="AC656" s="847"/>
      <c r="AD656" s="847"/>
      <c r="AE656" s="847"/>
      <c r="AF656" s="847"/>
      <c r="AG656" s="847"/>
    </row>
    <row r="657">
      <c r="A657" s="847"/>
      <c r="B657" s="847"/>
      <c r="C657" s="847"/>
      <c r="D657" s="847"/>
      <c r="E657" s="847"/>
      <c r="F657" s="847"/>
      <c r="G657" s="847"/>
      <c r="H657" s="847"/>
      <c r="I657" s="847"/>
      <c r="J657" s="847"/>
      <c r="K657" s="847"/>
      <c r="L657" s="847"/>
      <c r="M657" s="847"/>
      <c r="N657" s="847"/>
      <c r="O657" s="847"/>
      <c r="P657" s="847"/>
      <c r="Q657" s="847"/>
      <c r="R657" s="847"/>
      <c r="S657" s="847"/>
      <c r="T657" s="847"/>
      <c r="U657" s="847"/>
      <c r="V657" s="847"/>
      <c r="W657" s="847"/>
      <c r="X657" s="847"/>
      <c r="Y657" s="847"/>
      <c r="Z657" s="847"/>
      <c r="AA657" s="847"/>
      <c r="AB657" s="847"/>
      <c r="AC657" s="847"/>
      <c r="AD657" s="847"/>
      <c r="AE657" s="847"/>
      <c r="AF657" s="847"/>
      <c r="AG657" s="847"/>
    </row>
    <row r="658">
      <c r="A658" s="847"/>
      <c r="B658" s="847"/>
      <c r="C658" s="847"/>
      <c r="D658" s="847"/>
      <c r="E658" s="847"/>
      <c r="F658" s="847"/>
      <c r="G658" s="847"/>
      <c r="H658" s="847"/>
      <c r="I658" s="847"/>
      <c r="J658" s="847"/>
      <c r="K658" s="847"/>
      <c r="L658" s="847"/>
      <c r="M658" s="847"/>
      <c r="N658" s="847"/>
      <c r="O658" s="847"/>
      <c r="P658" s="847"/>
      <c r="Q658" s="847"/>
      <c r="R658" s="847"/>
      <c r="S658" s="847"/>
      <c r="T658" s="847"/>
      <c r="U658" s="847"/>
      <c r="V658" s="847"/>
      <c r="W658" s="847"/>
      <c r="X658" s="847"/>
      <c r="Y658" s="847"/>
      <c r="Z658" s="847"/>
      <c r="AA658" s="847"/>
      <c r="AB658" s="847"/>
      <c r="AC658" s="847"/>
      <c r="AD658" s="847"/>
      <c r="AE658" s="847"/>
      <c r="AF658" s="847"/>
      <c r="AG658" s="847"/>
    </row>
    <row r="659">
      <c r="A659" s="847"/>
      <c r="B659" s="847"/>
      <c r="C659" s="847"/>
      <c r="D659" s="847"/>
      <c r="E659" s="847"/>
      <c r="F659" s="847"/>
      <c r="G659" s="847"/>
      <c r="H659" s="847"/>
      <c r="I659" s="847"/>
      <c r="J659" s="847"/>
      <c r="K659" s="847"/>
      <c r="L659" s="847"/>
      <c r="M659" s="847"/>
      <c r="N659" s="847"/>
      <c r="O659" s="847"/>
      <c r="P659" s="847"/>
      <c r="Q659" s="847"/>
      <c r="R659" s="847"/>
      <c r="S659" s="847"/>
      <c r="T659" s="847"/>
      <c r="U659" s="847"/>
      <c r="V659" s="847"/>
      <c r="W659" s="847"/>
      <c r="X659" s="847"/>
      <c r="Y659" s="847"/>
      <c r="Z659" s="847"/>
      <c r="AA659" s="847"/>
      <c r="AB659" s="847"/>
      <c r="AC659" s="847"/>
      <c r="AD659" s="847"/>
      <c r="AE659" s="847"/>
      <c r="AF659" s="847"/>
      <c r="AG659" s="847"/>
    </row>
    <row r="660">
      <c r="A660" s="847"/>
      <c r="B660" s="847"/>
      <c r="C660" s="847"/>
      <c r="D660" s="847"/>
      <c r="E660" s="847"/>
      <c r="F660" s="847"/>
      <c r="G660" s="847"/>
      <c r="H660" s="847"/>
      <c r="I660" s="847"/>
      <c r="J660" s="847"/>
      <c r="K660" s="847"/>
      <c r="L660" s="847"/>
      <c r="M660" s="847"/>
      <c r="N660" s="847"/>
      <c r="O660" s="847"/>
      <c r="P660" s="847"/>
      <c r="Q660" s="847"/>
      <c r="R660" s="847"/>
      <c r="S660" s="847"/>
      <c r="T660" s="847"/>
      <c r="U660" s="847"/>
      <c r="V660" s="847"/>
      <c r="W660" s="847"/>
      <c r="X660" s="847"/>
      <c r="Y660" s="847"/>
      <c r="Z660" s="847"/>
      <c r="AA660" s="847"/>
      <c r="AB660" s="847"/>
      <c r="AC660" s="847"/>
      <c r="AD660" s="847"/>
      <c r="AE660" s="847"/>
      <c r="AF660" s="847"/>
      <c r="AG660" s="847"/>
    </row>
    <row r="661">
      <c r="A661" s="847"/>
      <c r="B661" s="847"/>
      <c r="C661" s="847"/>
      <c r="D661" s="847"/>
      <c r="E661" s="847"/>
      <c r="F661" s="847"/>
      <c r="G661" s="847"/>
      <c r="H661" s="847"/>
      <c r="I661" s="847"/>
      <c r="J661" s="847"/>
      <c r="K661" s="847"/>
      <c r="L661" s="847"/>
      <c r="M661" s="847"/>
      <c r="N661" s="847"/>
      <c r="O661" s="847"/>
      <c r="P661" s="847"/>
      <c r="Q661" s="847"/>
      <c r="R661" s="847"/>
      <c r="S661" s="847"/>
      <c r="T661" s="847"/>
      <c r="U661" s="847"/>
      <c r="V661" s="847"/>
      <c r="W661" s="847"/>
      <c r="X661" s="847"/>
      <c r="Y661" s="847"/>
      <c r="Z661" s="847"/>
      <c r="AA661" s="847"/>
      <c r="AB661" s="847"/>
      <c r="AC661" s="847"/>
      <c r="AD661" s="847"/>
      <c r="AE661" s="847"/>
      <c r="AF661" s="847"/>
      <c r="AG661" s="847"/>
    </row>
    <row r="662">
      <c r="A662" s="847"/>
      <c r="B662" s="847"/>
      <c r="C662" s="847"/>
      <c r="D662" s="847"/>
      <c r="E662" s="847"/>
      <c r="F662" s="847"/>
      <c r="G662" s="847"/>
      <c r="H662" s="847"/>
      <c r="I662" s="847"/>
      <c r="J662" s="847"/>
      <c r="K662" s="847"/>
      <c r="L662" s="847"/>
      <c r="M662" s="847"/>
      <c r="N662" s="847"/>
      <c r="O662" s="847"/>
      <c r="P662" s="847"/>
      <c r="Q662" s="847"/>
      <c r="R662" s="847"/>
      <c r="S662" s="847"/>
      <c r="T662" s="847"/>
      <c r="U662" s="847"/>
      <c r="V662" s="847"/>
      <c r="W662" s="847"/>
      <c r="X662" s="847"/>
      <c r="Y662" s="847"/>
      <c r="Z662" s="847"/>
      <c r="AA662" s="847"/>
      <c r="AB662" s="847"/>
      <c r="AC662" s="847"/>
      <c r="AD662" s="847"/>
      <c r="AE662" s="847"/>
      <c r="AF662" s="847"/>
      <c r="AG662" s="847"/>
    </row>
    <row r="663">
      <c r="A663" s="847"/>
      <c r="B663" s="847"/>
      <c r="C663" s="847"/>
      <c r="D663" s="847"/>
      <c r="E663" s="847"/>
      <c r="F663" s="847"/>
      <c r="G663" s="847"/>
      <c r="H663" s="847"/>
      <c r="I663" s="847"/>
      <c r="J663" s="847"/>
      <c r="K663" s="847"/>
      <c r="L663" s="847"/>
      <c r="M663" s="847"/>
      <c r="N663" s="847"/>
      <c r="O663" s="847"/>
      <c r="P663" s="847"/>
      <c r="Q663" s="847"/>
      <c r="R663" s="847"/>
      <c r="S663" s="847"/>
      <c r="T663" s="847"/>
      <c r="U663" s="847"/>
      <c r="V663" s="847"/>
      <c r="W663" s="847"/>
      <c r="X663" s="847"/>
      <c r="Y663" s="847"/>
      <c r="Z663" s="847"/>
      <c r="AA663" s="847"/>
      <c r="AB663" s="847"/>
      <c r="AC663" s="847"/>
      <c r="AD663" s="847"/>
      <c r="AE663" s="847"/>
      <c r="AF663" s="847"/>
      <c r="AG663" s="847"/>
    </row>
    <row r="664">
      <c r="A664" s="847"/>
      <c r="B664" s="847"/>
      <c r="C664" s="847"/>
      <c r="D664" s="847"/>
      <c r="E664" s="847"/>
      <c r="F664" s="847"/>
      <c r="G664" s="847"/>
      <c r="H664" s="847"/>
      <c r="I664" s="847"/>
      <c r="J664" s="847"/>
      <c r="K664" s="847"/>
      <c r="L664" s="847"/>
      <c r="M664" s="847"/>
      <c r="N664" s="847"/>
      <c r="O664" s="847"/>
      <c r="P664" s="847"/>
      <c r="Q664" s="847"/>
      <c r="R664" s="847"/>
      <c r="S664" s="847"/>
      <c r="T664" s="847"/>
      <c r="U664" s="847"/>
      <c r="V664" s="847"/>
      <c r="W664" s="847"/>
      <c r="X664" s="847"/>
      <c r="Y664" s="847"/>
      <c r="Z664" s="847"/>
      <c r="AA664" s="847"/>
      <c r="AB664" s="847"/>
      <c r="AC664" s="847"/>
      <c r="AD664" s="847"/>
      <c r="AE664" s="847"/>
      <c r="AF664" s="847"/>
      <c r="AG664" s="847"/>
    </row>
    <row r="665">
      <c r="A665" s="847"/>
      <c r="B665" s="847"/>
      <c r="C665" s="847"/>
      <c r="D665" s="847"/>
      <c r="E665" s="847"/>
      <c r="F665" s="847"/>
      <c r="G665" s="847"/>
      <c r="H665" s="847"/>
      <c r="I665" s="847"/>
      <c r="J665" s="847"/>
      <c r="K665" s="847"/>
      <c r="L665" s="847"/>
      <c r="M665" s="847"/>
      <c r="N665" s="847"/>
      <c r="O665" s="847"/>
      <c r="P665" s="847"/>
      <c r="Q665" s="847"/>
      <c r="R665" s="847"/>
      <c r="S665" s="847"/>
      <c r="T665" s="847"/>
      <c r="U665" s="847"/>
      <c r="V665" s="847"/>
      <c r="W665" s="847"/>
      <c r="X665" s="847"/>
      <c r="Y665" s="847"/>
      <c r="Z665" s="847"/>
      <c r="AA665" s="847"/>
      <c r="AB665" s="847"/>
      <c r="AC665" s="847"/>
      <c r="AD665" s="847"/>
      <c r="AE665" s="847"/>
      <c r="AF665" s="847"/>
      <c r="AG665" s="847"/>
    </row>
    <row r="666">
      <c r="A666" s="847"/>
      <c r="B666" s="847"/>
      <c r="C666" s="847"/>
      <c r="D666" s="847"/>
      <c r="E666" s="847"/>
      <c r="F666" s="847"/>
      <c r="G666" s="847"/>
      <c r="H666" s="847"/>
      <c r="I666" s="847"/>
      <c r="J666" s="847"/>
      <c r="K666" s="847"/>
      <c r="L666" s="847"/>
      <c r="M666" s="847"/>
      <c r="N666" s="847"/>
      <c r="O666" s="847"/>
      <c r="P666" s="847"/>
      <c r="Q666" s="847"/>
      <c r="R666" s="847"/>
      <c r="S666" s="847"/>
      <c r="T666" s="847"/>
      <c r="U666" s="847"/>
      <c r="V666" s="847"/>
      <c r="W666" s="847"/>
      <c r="X666" s="847"/>
      <c r="Y666" s="847"/>
      <c r="Z666" s="847"/>
      <c r="AA666" s="847"/>
      <c r="AB666" s="847"/>
      <c r="AC666" s="847"/>
      <c r="AD666" s="847"/>
      <c r="AE666" s="847"/>
      <c r="AF666" s="847"/>
      <c r="AG666" s="847"/>
    </row>
    <row r="667">
      <c r="A667" s="847"/>
      <c r="B667" s="847"/>
      <c r="C667" s="847"/>
      <c r="D667" s="847"/>
      <c r="E667" s="847"/>
      <c r="F667" s="847"/>
      <c r="G667" s="847"/>
      <c r="H667" s="847"/>
      <c r="I667" s="847"/>
      <c r="J667" s="847"/>
      <c r="K667" s="847"/>
      <c r="L667" s="847"/>
      <c r="M667" s="847"/>
      <c r="N667" s="847"/>
      <c r="O667" s="847"/>
      <c r="P667" s="847"/>
      <c r="Q667" s="847"/>
      <c r="R667" s="847"/>
      <c r="S667" s="847"/>
      <c r="T667" s="847"/>
      <c r="U667" s="847"/>
      <c r="V667" s="847"/>
      <c r="W667" s="847"/>
      <c r="X667" s="847"/>
      <c r="Y667" s="847"/>
      <c r="Z667" s="847"/>
      <c r="AA667" s="847"/>
      <c r="AB667" s="847"/>
      <c r="AC667" s="847"/>
      <c r="AD667" s="847"/>
      <c r="AE667" s="847"/>
      <c r="AF667" s="847"/>
      <c r="AG667" s="847"/>
    </row>
    <row r="668">
      <c r="A668" s="847"/>
      <c r="B668" s="847"/>
      <c r="C668" s="847"/>
      <c r="D668" s="847"/>
      <c r="E668" s="847"/>
      <c r="F668" s="847"/>
      <c r="G668" s="847"/>
      <c r="H668" s="847"/>
      <c r="I668" s="847"/>
      <c r="J668" s="847"/>
      <c r="K668" s="847"/>
      <c r="L668" s="847"/>
      <c r="M668" s="847"/>
      <c r="N668" s="847"/>
      <c r="O668" s="847"/>
      <c r="P668" s="847"/>
      <c r="Q668" s="847"/>
      <c r="R668" s="847"/>
      <c r="S668" s="847"/>
      <c r="T668" s="847"/>
      <c r="U668" s="847"/>
      <c r="V668" s="847"/>
      <c r="W668" s="847"/>
      <c r="X668" s="847"/>
      <c r="Y668" s="847"/>
      <c r="Z668" s="847"/>
      <c r="AA668" s="847"/>
      <c r="AB668" s="847"/>
      <c r="AC668" s="847"/>
      <c r="AD668" s="847"/>
      <c r="AE668" s="847"/>
      <c r="AF668" s="847"/>
      <c r="AG668" s="847"/>
    </row>
    <row r="669">
      <c r="A669" s="847"/>
      <c r="B669" s="847"/>
      <c r="C669" s="847"/>
      <c r="D669" s="847"/>
      <c r="E669" s="847"/>
      <c r="F669" s="847"/>
      <c r="G669" s="847"/>
      <c r="H669" s="847"/>
      <c r="I669" s="847"/>
      <c r="J669" s="847"/>
      <c r="K669" s="847"/>
      <c r="L669" s="847"/>
      <c r="M669" s="847"/>
      <c r="N669" s="847"/>
      <c r="O669" s="847"/>
      <c r="P669" s="847"/>
      <c r="Q669" s="847"/>
      <c r="R669" s="847"/>
      <c r="S669" s="847"/>
      <c r="T669" s="847"/>
      <c r="U669" s="847"/>
      <c r="V669" s="847"/>
      <c r="W669" s="847"/>
      <c r="X669" s="847"/>
      <c r="Y669" s="847"/>
      <c r="Z669" s="847"/>
      <c r="AA669" s="847"/>
      <c r="AB669" s="847"/>
      <c r="AC669" s="847"/>
      <c r="AD669" s="847"/>
      <c r="AE669" s="847"/>
      <c r="AF669" s="847"/>
      <c r="AG669" s="847"/>
    </row>
    <row r="670">
      <c r="A670" s="847"/>
      <c r="B670" s="847"/>
      <c r="C670" s="847"/>
      <c r="D670" s="847"/>
      <c r="E670" s="847"/>
      <c r="F670" s="847"/>
      <c r="G670" s="847"/>
      <c r="H670" s="847"/>
      <c r="I670" s="847"/>
      <c r="J670" s="847"/>
      <c r="K670" s="847"/>
      <c r="L670" s="847"/>
      <c r="M670" s="847"/>
      <c r="N670" s="847"/>
      <c r="O670" s="847"/>
      <c r="P670" s="847"/>
      <c r="Q670" s="847"/>
      <c r="R670" s="847"/>
      <c r="S670" s="847"/>
      <c r="T670" s="847"/>
      <c r="U670" s="847"/>
      <c r="V670" s="847"/>
      <c r="W670" s="847"/>
      <c r="X670" s="847"/>
      <c r="Y670" s="847"/>
      <c r="Z670" s="847"/>
      <c r="AA670" s="847"/>
      <c r="AB670" s="847"/>
      <c r="AC670" s="847"/>
      <c r="AD670" s="847"/>
      <c r="AE670" s="847"/>
      <c r="AF670" s="847"/>
      <c r="AG670" s="847"/>
    </row>
    <row r="671">
      <c r="A671" s="847"/>
      <c r="B671" s="847"/>
      <c r="C671" s="847"/>
      <c r="D671" s="847"/>
      <c r="E671" s="847"/>
      <c r="F671" s="847"/>
      <c r="G671" s="847"/>
      <c r="H671" s="847"/>
      <c r="I671" s="847"/>
      <c r="J671" s="847"/>
      <c r="K671" s="847"/>
      <c r="L671" s="847"/>
      <c r="M671" s="847"/>
      <c r="N671" s="847"/>
      <c r="O671" s="847"/>
      <c r="P671" s="847"/>
      <c r="Q671" s="847"/>
      <c r="R671" s="847"/>
      <c r="S671" s="847"/>
      <c r="T671" s="847"/>
      <c r="U671" s="847"/>
      <c r="V671" s="847"/>
      <c r="W671" s="847"/>
      <c r="X671" s="847"/>
      <c r="Y671" s="847"/>
      <c r="Z671" s="847"/>
      <c r="AA671" s="847"/>
      <c r="AB671" s="847"/>
      <c r="AC671" s="847"/>
      <c r="AD671" s="847"/>
      <c r="AE671" s="847"/>
      <c r="AF671" s="847"/>
      <c r="AG671" s="847"/>
    </row>
    <row r="672">
      <c r="A672" s="847"/>
      <c r="B672" s="847"/>
      <c r="C672" s="847"/>
      <c r="D672" s="847"/>
      <c r="E672" s="847"/>
      <c r="F672" s="847"/>
      <c r="G672" s="847"/>
      <c r="H672" s="847"/>
      <c r="I672" s="847"/>
      <c r="J672" s="847"/>
      <c r="K672" s="847"/>
      <c r="L672" s="847"/>
      <c r="M672" s="847"/>
      <c r="N672" s="847"/>
      <c r="O672" s="847"/>
      <c r="P672" s="847"/>
      <c r="Q672" s="847"/>
      <c r="R672" s="847"/>
      <c r="S672" s="847"/>
      <c r="T672" s="847"/>
      <c r="U672" s="847"/>
      <c r="V672" s="847"/>
      <c r="W672" s="847"/>
      <c r="X672" s="847"/>
      <c r="Y672" s="847"/>
      <c r="Z672" s="847"/>
      <c r="AA672" s="847"/>
      <c r="AB672" s="847"/>
      <c r="AC672" s="847"/>
      <c r="AD672" s="847"/>
      <c r="AE672" s="847"/>
      <c r="AF672" s="847"/>
      <c r="AG672" s="847"/>
    </row>
    <row r="673">
      <c r="A673" s="847"/>
      <c r="B673" s="847"/>
      <c r="C673" s="847"/>
      <c r="D673" s="847"/>
      <c r="E673" s="847"/>
      <c r="F673" s="847"/>
      <c r="G673" s="847"/>
      <c r="H673" s="847"/>
      <c r="I673" s="847"/>
      <c r="J673" s="847"/>
      <c r="K673" s="847"/>
      <c r="L673" s="847"/>
      <c r="M673" s="847"/>
      <c r="N673" s="847"/>
      <c r="O673" s="847"/>
      <c r="P673" s="847"/>
      <c r="Q673" s="847"/>
      <c r="R673" s="847"/>
      <c r="S673" s="847"/>
      <c r="T673" s="847"/>
      <c r="U673" s="847"/>
      <c r="V673" s="847"/>
      <c r="W673" s="847"/>
      <c r="X673" s="847"/>
      <c r="Y673" s="847"/>
      <c r="Z673" s="847"/>
      <c r="AA673" s="847"/>
      <c r="AB673" s="847"/>
      <c r="AC673" s="847"/>
      <c r="AD673" s="847"/>
      <c r="AE673" s="847"/>
      <c r="AF673" s="847"/>
      <c r="AG673" s="847"/>
    </row>
    <row r="674">
      <c r="A674" s="847"/>
      <c r="B674" s="847"/>
      <c r="C674" s="847"/>
      <c r="D674" s="847"/>
      <c r="E674" s="847"/>
      <c r="F674" s="847"/>
      <c r="G674" s="847"/>
      <c r="H674" s="847"/>
      <c r="I674" s="847"/>
      <c r="J674" s="847"/>
      <c r="K674" s="847"/>
      <c r="L674" s="847"/>
      <c r="M674" s="847"/>
      <c r="N674" s="847"/>
      <c r="O674" s="847"/>
      <c r="P674" s="847"/>
      <c r="Q674" s="847"/>
      <c r="R674" s="847"/>
      <c r="S674" s="847"/>
      <c r="T674" s="847"/>
      <c r="U674" s="847"/>
      <c r="V674" s="847"/>
      <c r="W674" s="847"/>
      <c r="X674" s="847"/>
      <c r="Y674" s="847"/>
      <c r="Z674" s="847"/>
      <c r="AA674" s="847"/>
      <c r="AB674" s="847"/>
      <c r="AC674" s="847"/>
      <c r="AD674" s="847"/>
      <c r="AE674" s="847"/>
      <c r="AF674" s="847"/>
      <c r="AG674" s="847"/>
    </row>
    <row r="675">
      <c r="A675" s="847"/>
      <c r="B675" s="847"/>
      <c r="C675" s="847"/>
      <c r="D675" s="847"/>
      <c r="E675" s="847"/>
      <c r="F675" s="847"/>
      <c r="G675" s="847"/>
      <c r="H675" s="847"/>
      <c r="I675" s="847"/>
      <c r="J675" s="847"/>
      <c r="K675" s="847"/>
      <c r="L675" s="847"/>
      <c r="M675" s="847"/>
      <c r="N675" s="847"/>
      <c r="O675" s="847"/>
      <c r="P675" s="847"/>
      <c r="Q675" s="847"/>
      <c r="R675" s="847"/>
      <c r="S675" s="847"/>
      <c r="T675" s="847"/>
      <c r="U675" s="847"/>
      <c r="V675" s="847"/>
      <c r="W675" s="847"/>
      <c r="X675" s="847"/>
      <c r="Y675" s="847"/>
      <c r="Z675" s="847"/>
      <c r="AA675" s="847"/>
      <c r="AB675" s="847"/>
      <c r="AC675" s="847"/>
      <c r="AD675" s="847"/>
      <c r="AE675" s="847"/>
      <c r="AF675" s="847"/>
      <c r="AG675" s="847"/>
    </row>
    <row r="676">
      <c r="A676" s="847"/>
      <c r="B676" s="847"/>
      <c r="C676" s="847"/>
      <c r="D676" s="847"/>
      <c r="E676" s="847"/>
      <c r="F676" s="847"/>
      <c r="G676" s="847"/>
      <c r="H676" s="847"/>
      <c r="I676" s="847"/>
      <c r="J676" s="847"/>
      <c r="K676" s="847"/>
      <c r="L676" s="847"/>
      <c r="M676" s="847"/>
      <c r="N676" s="847"/>
      <c r="O676" s="847"/>
      <c r="P676" s="847"/>
      <c r="Q676" s="847"/>
      <c r="R676" s="847"/>
      <c r="S676" s="847"/>
      <c r="T676" s="847"/>
      <c r="U676" s="847"/>
      <c r="V676" s="847"/>
      <c r="W676" s="847"/>
      <c r="X676" s="847"/>
      <c r="Y676" s="847"/>
      <c r="Z676" s="847"/>
      <c r="AA676" s="847"/>
      <c r="AB676" s="847"/>
      <c r="AC676" s="847"/>
      <c r="AD676" s="847"/>
      <c r="AE676" s="847"/>
      <c r="AF676" s="847"/>
      <c r="AG676" s="847"/>
    </row>
    <row r="677">
      <c r="A677" s="847"/>
      <c r="B677" s="847"/>
      <c r="C677" s="847"/>
      <c r="D677" s="847"/>
      <c r="E677" s="847"/>
      <c r="F677" s="847"/>
      <c r="G677" s="847"/>
      <c r="H677" s="847"/>
      <c r="I677" s="847"/>
      <c r="J677" s="847"/>
      <c r="K677" s="847"/>
      <c r="L677" s="847"/>
      <c r="M677" s="847"/>
      <c r="N677" s="847"/>
      <c r="O677" s="847"/>
      <c r="P677" s="847"/>
      <c r="Q677" s="847"/>
      <c r="R677" s="847"/>
      <c r="S677" s="847"/>
      <c r="T677" s="847"/>
      <c r="U677" s="847"/>
      <c r="V677" s="847"/>
      <c r="W677" s="847"/>
      <c r="X677" s="847"/>
      <c r="Y677" s="847"/>
      <c r="Z677" s="847"/>
      <c r="AA677" s="847"/>
      <c r="AB677" s="847"/>
      <c r="AC677" s="847"/>
      <c r="AD677" s="847"/>
      <c r="AE677" s="847"/>
      <c r="AF677" s="847"/>
      <c r="AG677" s="847"/>
    </row>
    <row r="678">
      <c r="A678" s="847"/>
      <c r="B678" s="847"/>
      <c r="C678" s="847"/>
      <c r="D678" s="847"/>
      <c r="E678" s="847"/>
      <c r="F678" s="847"/>
      <c r="G678" s="847"/>
      <c r="H678" s="847"/>
      <c r="I678" s="847"/>
      <c r="J678" s="847"/>
      <c r="K678" s="847"/>
      <c r="L678" s="847"/>
      <c r="M678" s="847"/>
      <c r="N678" s="847"/>
      <c r="O678" s="847"/>
      <c r="P678" s="847"/>
      <c r="Q678" s="847"/>
      <c r="R678" s="847"/>
      <c r="S678" s="847"/>
      <c r="T678" s="847"/>
      <c r="U678" s="847"/>
      <c r="V678" s="847"/>
      <c r="W678" s="847"/>
      <c r="X678" s="847"/>
      <c r="Y678" s="847"/>
      <c r="Z678" s="847"/>
      <c r="AA678" s="847"/>
      <c r="AB678" s="847"/>
      <c r="AC678" s="847"/>
      <c r="AD678" s="847"/>
      <c r="AE678" s="847"/>
      <c r="AF678" s="847"/>
      <c r="AG678" s="847"/>
    </row>
    <row r="679">
      <c r="A679" s="847"/>
      <c r="B679" s="847"/>
      <c r="C679" s="847"/>
      <c r="D679" s="847"/>
      <c r="E679" s="847"/>
      <c r="F679" s="847"/>
      <c r="G679" s="847"/>
      <c r="H679" s="847"/>
      <c r="I679" s="847"/>
      <c r="J679" s="847"/>
      <c r="K679" s="847"/>
      <c r="L679" s="847"/>
      <c r="M679" s="847"/>
      <c r="N679" s="847"/>
      <c r="O679" s="847"/>
      <c r="P679" s="847"/>
      <c r="Q679" s="847"/>
      <c r="R679" s="847"/>
      <c r="S679" s="847"/>
      <c r="T679" s="847"/>
      <c r="U679" s="847"/>
      <c r="V679" s="847"/>
      <c r="W679" s="847"/>
      <c r="X679" s="847"/>
      <c r="Y679" s="847"/>
      <c r="Z679" s="847"/>
      <c r="AA679" s="847"/>
      <c r="AB679" s="847"/>
      <c r="AC679" s="847"/>
      <c r="AD679" s="847"/>
      <c r="AE679" s="847"/>
      <c r="AF679" s="847"/>
      <c r="AG679" s="847"/>
    </row>
    <row r="680">
      <c r="A680" s="847"/>
      <c r="B680" s="847"/>
      <c r="C680" s="847"/>
      <c r="D680" s="847"/>
      <c r="E680" s="847"/>
      <c r="F680" s="847"/>
      <c r="G680" s="847"/>
      <c r="H680" s="847"/>
      <c r="I680" s="847"/>
      <c r="J680" s="847"/>
      <c r="K680" s="847"/>
      <c r="L680" s="847"/>
      <c r="M680" s="847"/>
      <c r="N680" s="847"/>
      <c r="O680" s="847"/>
      <c r="P680" s="847"/>
      <c r="Q680" s="847"/>
      <c r="R680" s="847"/>
      <c r="S680" s="847"/>
      <c r="T680" s="847"/>
      <c r="U680" s="847"/>
      <c r="V680" s="847"/>
      <c r="W680" s="847"/>
      <c r="X680" s="847"/>
      <c r="Y680" s="847"/>
      <c r="Z680" s="847"/>
      <c r="AA680" s="847"/>
      <c r="AB680" s="847"/>
      <c r="AC680" s="847"/>
      <c r="AD680" s="847"/>
      <c r="AE680" s="847"/>
      <c r="AF680" s="847"/>
      <c r="AG680" s="847"/>
    </row>
    <row r="681">
      <c r="A681" s="847"/>
      <c r="B681" s="847"/>
      <c r="C681" s="847"/>
      <c r="D681" s="847"/>
      <c r="E681" s="847"/>
      <c r="F681" s="847"/>
      <c r="G681" s="847"/>
      <c r="H681" s="847"/>
      <c r="I681" s="847"/>
      <c r="J681" s="847"/>
      <c r="K681" s="847"/>
      <c r="L681" s="847"/>
      <c r="M681" s="847"/>
      <c r="N681" s="847"/>
      <c r="O681" s="847"/>
      <c r="P681" s="847"/>
      <c r="Q681" s="847"/>
      <c r="R681" s="847"/>
      <c r="S681" s="847"/>
      <c r="T681" s="847"/>
      <c r="U681" s="847"/>
      <c r="V681" s="847"/>
      <c r="W681" s="847"/>
      <c r="X681" s="847"/>
      <c r="Y681" s="847"/>
      <c r="Z681" s="847"/>
      <c r="AA681" s="847"/>
      <c r="AB681" s="847"/>
      <c r="AC681" s="847"/>
      <c r="AD681" s="847"/>
      <c r="AE681" s="847"/>
      <c r="AF681" s="847"/>
      <c r="AG681" s="847"/>
    </row>
    <row r="682">
      <c r="A682" s="847"/>
      <c r="B682" s="847"/>
      <c r="C682" s="847"/>
      <c r="D682" s="847"/>
      <c r="E682" s="847"/>
      <c r="F682" s="847"/>
      <c r="G682" s="847"/>
      <c r="H682" s="847"/>
      <c r="I682" s="847"/>
      <c r="J682" s="847"/>
      <c r="K682" s="847"/>
      <c r="L682" s="847"/>
      <c r="M682" s="847"/>
      <c r="N682" s="847"/>
      <c r="O682" s="847"/>
      <c r="P682" s="847"/>
      <c r="Q682" s="847"/>
      <c r="R682" s="847"/>
      <c r="S682" s="847"/>
      <c r="T682" s="847"/>
      <c r="U682" s="847"/>
      <c r="V682" s="847"/>
      <c r="W682" s="847"/>
      <c r="X682" s="847"/>
      <c r="Y682" s="847"/>
      <c r="Z682" s="847"/>
      <c r="AA682" s="847"/>
      <c r="AB682" s="847"/>
      <c r="AC682" s="847"/>
      <c r="AD682" s="847"/>
      <c r="AE682" s="847"/>
      <c r="AF682" s="847"/>
      <c r="AG682" s="847"/>
    </row>
    <row r="683">
      <c r="A683" s="847"/>
      <c r="B683" s="847"/>
      <c r="C683" s="847"/>
      <c r="D683" s="847"/>
      <c r="E683" s="847"/>
      <c r="F683" s="847"/>
      <c r="G683" s="847"/>
      <c r="H683" s="847"/>
      <c r="I683" s="847"/>
      <c r="J683" s="847"/>
      <c r="K683" s="847"/>
      <c r="L683" s="847"/>
      <c r="M683" s="847"/>
      <c r="N683" s="847"/>
      <c r="O683" s="847"/>
      <c r="P683" s="847"/>
      <c r="Q683" s="847"/>
      <c r="R683" s="847"/>
      <c r="S683" s="847"/>
      <c r="T683" s="847"/>
      <c r="U683" s="847"/>
      <c r="V683" s="847"/>
      <c r="W683" s="847"/>
      <c r="X683" s="847"/>
      <c r="Y683" s="847"/>
      <c r="Z683" s="847"/>
      <c r="AA683" s="847"/>
      <c r="AB683" s="847"/>
      <c r="AC683" s="847"/>
      <c r="AD683" s="847"/>
      <c r="AE683" s="847"/>
      <c r="AF683" s="847"/>
      <c r="AG683" s="847"/>
    </row>
    <row r="684">
      <c r="A684" s="847"/>
      <c r="B684" s="847"/>
      <c r="C684" s="847"/>
      <c r="D684" s="847"/>
      <c r="E684" s="847"/>
      <c r="F684" s="847"/>
      <c r="G684" s="847"/>
      <c r="H684" s="847"/>
      <c r="I684" s="847"/>
      <c r="J684" s="847"/>
      <c r="K684" s="847"/>
      <c r="L684" s="847"/>
      <c r="M684" s="847"/>
      <c r="N684" s="847"/>
      <c r="O684" s="847"/>
      <c r="P684" s="847"/>
      <c r="Q684" s="847"/>
      <c r="R684" s="847"/>
      <c r="S684" s="847"/>
      <c r="T684" s="847"/>
      <c r="U684" s="847"/>
      <c r="V684" s="847"/>
      <c r="W684" s="847"/>
      <c r="X684" s="847"/>
      <c r="Y684" s="847"/>
      <c r="Z684" s="847"/>
      <c r="AA684" s="847"/>
      <c r="AB684" s="847"/>
      <c r="AC684" s="847"/>
      <c r="AD684" s="847"/>
      <c r="AE684" s="847"/>
      <c r="AF684" s="847"/>
      <c r="AG684" s="847"/>
    </row>
    <row r="685">
      <c r="A685" s="847"/>
      <c r="B685" s="847"/>
      <c r="C685" s="847"/>
      <c r="D685" s="847"/>
      <c r="E685" s="847"/>
      <c r="F685" s="847"/>
      <c r="G685" s="847"/>
      <c r="H685" s="847"/>
      <c r="I685" s="847"/>
      <c r="J685" s="847"/>
      <c r="K685" s="847"/>
      <c r="L685" s="847"/>
      <c r="M685" s="847"/>
      <c r="N685" s="847"/>
      <c r="O685" s="847"/>
      <c r="P685" s="847"/>
      <c r="Q685" s="847"/>
      <c r="R685" s="847"/>
      <c r="S685" s="847"/>
      <c r="T685" s="847"/>
      <c r="U685" s="847"/>
      <c r="V685" s="847"/>
      <c r="W685" s="847"/>
      <c r="X685" s="847"/>
      <c r="Y685" s="847"/>
      <c r="Z685" s="847"/>
      <c r="AA685" s="847"/>
      <c r="AB685" s="847"/>
      <c r="AC685" s="847"/>
      <c r="AD685" s="847"/>
      <c r="AE685" s="847"/>
      <c r="AF685" s="847"/>
      <c r="AG685" s="847"/>
    </row>
    <row r="686">
      <c r="A686" s="847"/>
      <c r="B686" s="847"/>
      <c r="C686" s="847"/>
      <c r="D686" s="847"/>
      <c r="E686" s="847"/>
      <c r="F686" s="847"/>
      <c r="G686" s="847"/>
      <c r="H686" s="847"/>
      <c r="I686" s="847"/>
      <c r="J686" s="847"/>
      <c r="K686" s="847"/>
      <c r="L686" s="847"/>
      <c r="M686" s="847"/>
      <c r="N686" s="847"/>
      <c r="O686" s="847"/>
      <c r="P686" s="847"/>
      <c r="Q686" s="847"/>
      <c r="R686" s="847"/>
      <c r="S686" s="847"/>
      <c r="T686" s="847"/>
      <c r="U686" s="847"/>
      <c r="V686" s="847"/>
      <c r="W686" s="847"/>
      <c r="X686" s="847"/>
      <c r="Y686" s="847"/>
      <c r="Z686" s="847"/>
      <c r="AA686" s="847"/>
      <c r="AB686" s="847"/>
      <c r="AC686" s="847"/>
      <c r="AD686" s="847"/>
      <c r="AE686" s="847"/>
      <c r="AF686" s="847"/>
      <c r="AG686" s="847"/>
    </row>
    <row r="687">
      <c r="A687" s="847"/>
      <c r="B687" s="847"/>
      <c r="C687" s="847"/>
      <c r="D687" s="847"/>
      <c r="E687" s="847"/>
      <c r="F687" s="847"/>
      <c r="G687" s="847"/>
      <c r="H687" s="847"/>
      <c r="I687" s="847"/>
      <c r="J687" s="847"/>
      <c r="K687" s="847"/>
      <c r="L687" s="847"/>
      <c r="M687" s="847"/>
      <c r="N687" s="847"/>
      <c r="O687" s="847"/>
      <c r="P687" s="847"/>
      <c r="Q687" s="847"/>
      <c r="R687" s="847"/>
      <c r="S687" s="847"/>
      <c r="T687" s="847"/>
      <c r="U687" s="847"/>
      <c r="V687" s="847"/>
      <c r="W687" s="847"/>
      <c r="X687" s="847"/>
      <c r="Y687" s="847"/>
      <c r="Z687" s="847"/>
      <c r="AA687" s="847"/>
      <c r="AB687" s="847"/>
      <c r="AC687" s="847"/>
      <c r="AD687" s="847"/>
      <c r="AE687" s="847"/>
      <c r="AF687" s="847"/>
      <c r="AG687" s="847"/>
    </row>
    <row r="688">
      <c r="A688" s="847"/>
      <c r="B688" s="847"/>
      <c r="C688" s="847"/>
      <c r="D688" s="847"/>
      <c r="E688" s="847"/>
      <c r="F688" s="847"/>
      <c r="G688" s="847"/>
      <c r="H688" s="847"/>
      <c r="I688" s="847"/>
      <c r="J688" s="847"/>
      <c r="K688" s="847"/>
      <c r="L688" s="847"/>
      <c r="M688" s="847"/>
      <c r="N688" s="847"/>
      <c r="O688" s="847"/>
      <c r="P688" s="847"/>
      <c r="Q688" s="847"/>
      <c r="R688" s="847"/>
      <c r="S688" s="847"/>
      <c r="T688" s="847"/>
      <c r="U688" s="847"/>
      <c r="V688" s="847"/>
      <c r="W688" s="847"/>
      <c r="X688" s="847"/>
      <c r="Y688" s="847"/>
      <c r="Z688" s="847"/>
      <c r="AA688" s="847"/>
      <c r="AB688" s="847"/>
      <c r="AC688" s="847"/>
      <c r="AD688" s="847"/>
      <c r="AE688" s="847"/>
      <c r="AF688" s="847"/>
      <c r="AG688" s="847"/>
    </row>
    <row r="689">
      <c r="A689" s="847"/>
      <c r="B689" s="847"/>
      <c r="C689" s="847"/>
      <c r="D689" s="847"/>
      <c r="E689" s="847"/>
      <c r="F689" s="847"/>
      <c r="G689" s="847"/>
      <c r="H689" s="847"/>
      <c r="I689" s="847"/>
      <c r="J689" s="847"/>
      <c r="K689" s="847"/>
      <c r="L689" s="847"/>
      <c r="M689" s="847"/>
      <c r="N689" s="847"/>
      <c r="O689" s="847"/>
      <c r="P689" s="847"/>
      <c r="Q689" s="847"/>
      <c r="R689" s="847"/>
      <c r="S689" s="847"/>
      <c r="T689" s="847"/>
      <c r="U689" s="847"/>
      <c r="V689" s="847"/>
      <c r="W689" s="847"/>
      <c r="X689" s="847"/>
      <c r="Y689" s="847"/>
      <c r="Z689" s="847"/>
      <c r="AA689" s="847"/>
      <c r="AB689" s="847"/>
      <c r="AC689" s="847"/>
      <c r="AD689" s="847"/>
      <c r="AE689" s="847"/>
      <c r="AF689" s="847"/>
      <c r="AG689" s="847"/>
    </row>
    <row r="690">
      <c r="A690" s="847"/>
      <c r="B690" s="847"/>
      <c r="C690" s="847"/>
      <c r="D690" s="847"/>
      <c r="E690" s="847"/>
      <c r="F690" s="847"/>
      <c r="G690" s="847"/>
      <c r="H690" s="847"/>
      <c r="I690" s="847"/>
      <c r="J690" s="847"/>
      <c r="K690" s="847"/>
      <c r="L690" s="847"/>
      <c r="M690" s="847"/>
      <c r="N690" s="847"/>
      <c r="O690" s="847"/>
      <c r="P690" s="847"/>
      <c r="Q690" s="847"/>
      <c r="R690" s="847"/>
      <c r="S690" s="847"/>
      <c r="T690" s="847"/>
      <c r="U690" s="847"/>
      <c r="V690" s="847"/>
      <c r="W690" s="847"/>
      <c r="X690" s="847"/>
      <c r="Y690" s="847"/>
      <c r="Z690" s="847"/>
      <c r="AA690" s="847"/>
      <c r="AB690" s="847"/>
      <c r="AC690" s="847"/>
      <c r="AD690" s="847"/>
      <c r="AE690" s="847"/>
      <c r="AF690" s="847"/>
      <c r="AG690" s="847"/>
    </row>
    <row r="691">
      <c r="A691" s="847"/>
      <c r="B691" s="847"/>
      <c r="C691" s="847"/>
      <c r="D691" s="847"/>
      <c r="E691" s="847"/>
      <c r="F691" s="847"/>
      <c r="G691" s="847"/>
      <c r="H691" s="847"/>
      <c r="I691" s="847"/>
      <c r="J691" s="847"/>
      <c r="K691" s="847"/>
      <c r="L691" s="847"/>
      <c r="M691" s="847"/>
      <c r="N691" s="847"/>
      <c r="O691" s="847"/>
      <c r="P691" s="847"/>
      <c r="Q691" s="847"/>
      <c r="R691" s="847"/>
      <c r="S691" s="847"/>
      <c r="T691" s="847"/>
      <c r="U691" s="847"/>
      <c r="V691" s="847"/>
      <c r="W691" s="847"/>
      <c r="X691" s="847"/>
      <c r="Y691" s="847"/>
      <c r="Z691" s="847"/>
      <c r="AA691" s="847"/>
      <c r="AB691" s="847"/>
      <c r="AC691" s="847"/>
      <c r="AD691" s="847"/>
      <c r="AE691" s="847"/>
      <c r="AF691" s="847"/>
      <c r="AG691" s="847"/>
    </row>
    <row r="692">
      <c r="A692" s="847"/>
      <c r="B692" s="847"/>
      <c r="C692" s="847"/>
      <c r="D692" s="847"/>
      <c r="E692" s="847"/>
      <c r="F692" s="847"/>
      <c r="G692" s="847"/>
      <c r="H692" s="847"/>
      <c r="I692" s="847"/>
      <c r="J692" s="847"/>
      <c r="K692" s="847"/>
      <c r="L692" s="847"/>
      <c r="M692" s="847"/>
      <c r="N692" s="847"/>
      <c r="O692" s="847"/>
      <c r="P692" s="847"/>
      <c r="Q692" s="847"/>
      <c r="R692" s="847"/>
      <c r="S692" s="847"/>
      <c r="T692" s="847"/>
      <c r="U692" s="847"/>
      <c r="V692" s="847"/>
      <c r="W692" s="847"/>
      <c r="X692" s="847"/>
      <c r="Y692" s="847"/>
      <c r="Z692" s="847"/>
      <c r="AA692" s="847"/>
      <c r="AB692" s="847"/>
      <c r="AC692" s="847"/>
      <c r="AD692" s="847"/>
      <c r="AE692" s="847"/>
      <c r="AF692" s="847"/>
      <c r="AG692" s="847"/>
    </row>
    <row r="693">
      <c r="A693" s="847"/>
      <c r="B693" s="847"/>
      <c r="C693" s="847"/>
      <c r="D693" s="847"/>
      <c r="E693" s="847"/>
      <c r="F693" s="847"/>
      <c r="G693" s="847"/>
      <c r="H693" s="847"/>
      <c r="I693" s="847"/>
      <c r="J693" s="847"/>
      <c r="K693" s="847"/>
      <c r="L693" s="847"/>
      <c r="M693" s="847"/>
      <c r="N693" s="847"/>
      <c r="O693" s="847"/>
      <c r="P693" s="847"/>
      <c r="Q693" s="847"/>
      <c r="R693" s="847"/>
      <c r="S693" s="847"/>
      <c r="T693" s="847"/>
      <c r="U693" s="847"/>
      <c r="V693" s="847"/>
      <c r="W693" s="847"/>
      <c r="X693" s="847"/>
      <c r="Y693" s="847"/>
      <c r="Z693" s="847"/>
      <c r="AA693" s="847"/>
      <c r="AB693" s="847"/>
      <c r="AC693" s="847"/>
      <c r="AD693" s="847"/>
      <c r="AE693" s="847"/>
      <c r="AF693" s="847"/>
      <c r="AG693" s="847"/>
    </row>
    <row r="694">
      <c r="A694" s="847"/>
      <c r="B694" s="847"/>
      <c r="C694" s="847"/>
      <c r="D694" s="847"/>
      <c r="E694" s="847"/>
      <c r="F694" s="847"/>
      <c r="G694" s="847"/>
      <c r="H694" s="847"/>
      <c r="I694" s="847"/>
      <c r="J694" s="847"/>
      <c r="K694" s="847"/>
      <c r="L694" s="847"/>
      <c r="M694" s="847"/>
      <c r="N694" s="847"/>
      <c r="O694" s="847"/>
      <c r="P694" s="847"/>
      <c r="Q694" s="847"/>
      <c r="R694" s="847"/>
      <c r="S694" s="847"/>
      <c r="T694" s="847"/>
      <c r="U694" s="847"/>
      <c r="V694" s="847"/>
      <c r="W694" s="847"/>
      <c r="X694" s="847"/>
      <c r="Y694" s="847"/>
      <c r="Z694" s="847"/>
      <c r="AA694" s="847"/>
      <c r="AB694" s="847"/>
      <c r="AC694" s="847"/>
      <c r="AD694" s="847"/>
      <c r="AE694" s="847"/>
      <c r="AF694" s="847"/>
      <c r="AG694" s="847"/>
    </row>
    <row r="695">
      <c r="A695" s="847"/>
      <c r="B695" s="847"/>
      <c r="C695" s="847"/>
      <c r="D695" s="847"/>
      <c r="E695" s="847"/>
      <c r="F695" s="847"/>
      <c r="G695" s="847"/>
      <c r="H695" s="847"/>
      <c r="I695" s="847"/>
      <c r="J695" s="847"/>
      <c r="K695" s="847"/>
      <c r="L695" s="847"/>
      <c r="M695" s="847"/>
      <c r="N695" s="847"/>
      <c r="O695" s="847"/>
      <c r="P695" s="847"/>
      <c r="Q695" s="847"/>
      <c r="R695" s="847"/>
      <c r="S695" s="847"/>
      <c r="T695" s="847"/>
      <c r="U695" s="847"/>
      <c r="V695" s="847"/>
      <c r="W695" s="847"/>
      <c r="X695" s="847"/>
      <c r="Y695" s="847"/>
      <c r="Z695" s="847"/>
      <c r="AA695" s="847"/>
      <c r="AB695" s="847"/>
      <c r="AC695" s="847"/>
      <c r="AD695" s="847"/>
      <c r="AE695" s="847"/>
      <c r="AF695" s="847"/>
      <c r="AG695" s="847"/>
    </row>
    <row r="696">
      <c r="A696" s="847"/>
      <c r="B696" s="847"/>
      <c r="C696" s="847"/>
      <c r="D696" s="847"/>
      <c r="E696" s="847"/>
      <c r="F696" s="847"/>
      <c r="G696" s="847"/>
      <c r="H696" s="847"/>
      <c r="I696" s="847"/>
      <c r="J696" s="847"/>
      <c r="K696" s="847"/>
      <c r="L696" s="847"/>
      <c r="M696" s="847"/>
      <c r="N696" s="847"/>
      <c r="O696" s="847"/>
      <c r="P696" s="847"/>
      <c r="Q696" s="847"/>
      <c r="R696" s="847"/>
      <c r="S696" s="847"/>
      <c r="T696" s="847"/>
      <c r="U696" s="847"/>
      <c r="V696" s="847"/>
      <c r="W696" s="847"/>
      <c r="X696" s="847"/>
      <c r="Y696" s="847"/>
      <c r="Z696" s="847"/>
      <c r="AA696" s="847"/>
      <c r="AB696" s="847"/>
      <c r="AC696" s="847"/>
      <c r="AD696" s="847"/>
      <c r="AE696" s="847"/>
      <c r="AF696" s="847"/>
      <c r="AG696" s="847"/>
    </row>
    <row r="697">
      <c r="A697" s="847"/>
      <c r="B697" s="847"/>
      <c r="C697" s="847"/>
      <c r="D697" s="847"/>
      <c r="E697" s="847"/>
      <c r="F697" s="847"/>
      <c r="G697" s="847"/>
      <c r="H697" s="847"/>
      <c r="I697" s="847"/>
      <c r="J697" s="847"/>
      <c r="K697" s="847"/>
      <c r="L697" s="847"/>
      <c r="M697" s="847"/>
      <c r="N697" s="847"/>
      <c r="O697" s="847"/>
      <c r="P697" s="847"/>
      <c r="Q697" s="847"/>
      <c r="R697" s="847"/>
      <c r="S697" s="847"/>
      <c r="T697" s="847"/>
      <c r="U697" s="847"/>
      <c r="V697" s="847"/>
      <c r="W697" s="847"/>
      <c r="X697" s="847"/>
      <c r="Y697" s="847"/>
      <c r="Z697" s="847"/>
      <c r="AA697" s="847"/>
      <c r="AB697" s="847"/>
      <c r="AC697" s="847"/>
      <c r="AD697" s="847"/>
      <c r="AE697" s="847"/>
      <c r="AF697" s="847"/>
      <c r="AG697" s="847"/>
    </row>
    <row r="698">
      <c r="A698" s="847"/>
      <c r="B698" s="847"/>
      <c r="C698" s="847"/>
      <c r="D698" s="847"/>
      <c r="E698" s="847"/>
      <c r="F698" s="847"/>
      <c r="G698" s="847"/>
      <c r="H698" s="847"/>
      <c r="I698" s="847"/>
      <c r="J698" s="847"/>
      <c r="K698" s="847"/>
      <c r="L698" s="847"/>
      <c r="M698" s="847"/>
      <c r="N698" s="847"/>
      <c r="O698" s="847"/>
      <c r="P698" s="847"/>
      <c r="Q698" s="847"/>
      <c r="R698" s="847"/>
      <c r="S698" s="847"/>
      <c r="T698" s="847"/>
      <c r="U698" s="847"/>
      <c r="V698" s="847"/>
      <c r="W698" s="847"/>
      <c r="X698" s="847"/>
      <c r="Y698" s="847"/>
      <c r="Z698" s="847"/>
      <c r="AA698" s="847"/>
      <c r="AB698" s="847"/>
      <c r="AC698" s="847"/>
      <c r="AD698" s="847"/>
      <c r="AE698" s="847"/>
      <c r="AF698" s="847"/>
      <c r="AG698" s="847"/>
    </row>
    <row r="699">
      <c r="A699" s="847"/>
      <c r="B699" s="847"/>
      <c r="C699" s="847"/>
      <c r="D699" s="847"/>
      <c r="E699" s="847"/>
      <c r="F699" s="847"/>
      <c r="G699" s="847"/>
      <c r="H699" s="847"/>
      <c r="I699" s="847"/>
      <c r="J699" s="847"/>
      <c r="K699" s="847"/>
      <c r="L699" s="847"/>
      <c r="M699" s="847"/>
      <c r="N699" s="847"/>
      <c r="O699" s="847"/>
      <c r="P699" s="847"/>
      <c r="Q699" s="847"/>
      <c r="R699" s="847"/>
      <c r="S699" s="847"/>
      <c r="T699" s="847"/>
      <c r="U699" s="847"/>
      <c r="V699" s="847"/>
      <c r="W699" s="847"/>
      <c r="X699" s="847"/>
      <c r="Y699" s="847"/>
      <c r="Z699" s="847"/>
      <c r="AA699" s="847"/>
      <c r="AB699" s="847"/>
      <c r="AC699" s="847"/>
      <c r="AD699" s="847"/>
      <c r="AE699" s="847"/>
      <c r="AF699" s="847"/>
      <c r="AG699" s="847"/>
    </row>
    <row r="700">
      <c r="A700" s="847"/>
      <c r="B700" s="847"/>
      <c r="C700" s="847"/>
      <c r="D700" s="847"/>
      <c r="E700" s="847"/>
      <c r="F700" s="847"/>
      <c r="G700" s="847"/>
      <c r="H700" s="847"/>
      <c r="I700" s="847"/>
      <c r="J700" s="847"/>
      <c r="K700" s="847"/>
      <c r="L700" s="847"/>
      <c r="M700" s="847"/>
      <c r="N700" s="847"/>
      <c r="O700" s="847"/>
      <c r="P700" s="847"/>
      <c r="Q700" s="847"/>
      <c r="R700" s="847"/>
      <c r="S700" s="847"/>
      <c r="T700" s="847"/>
      <c r="U700" s="847"/>
      <c r="V700" s="847"/>
      <c r="W700" s="847"/>
      <c r="X700" s="847"/>
      <c r="Y700" s="847"/>
      <c r="Z700" s="847"/>
      <c r="AA700" s="847"/>
      <c r="AB700" s="847"/>
      <c r="AC700" s="847"/>
      <c r="AD700" s="847"/>
      <c r="AE700" s="847"/>
      <c r="AF700" s="847"/>
      <c r="AG700" s="847"/>
    </row>
    <row r="701">
      <c r="A701" s="847"/>
      <c r="B701" s="847"/>
      <c r="C701" s="847"/>
      <c r="D701" s="847"/>
      <c r="E701" s="847"/>
      <c r="F701" s="847"/>
      <c r="G701" s="847"/>
      <c r="H701" s="847"/>
      <c r="I701" s="847"/>
      <c r="J701" s="847"/>
      <c r="K701" s="847"/>
      <c r="L701" s="847"/>
      <c r="M701" s="847"/>
      <c r="N701" s="847"/>
      <c r="O701" s="847"/>
      <c r="P701" s="847"/>
      <c r="Q701" s="847"/>
      <c r="R701" s="847"/>
      <c r="S701" s="847"/>
      <c r="T701" s="847"/>
      <c r="U701" s="847"/>
      <c r="V701" s="847"/>
      <c r="W701" s="847"/>
      <c r="X701" s="847"/>
      <c r="Y701" s="847"/>
      <c r="Z701" s="847"/>
      <c r="AA701" s="847"/>
      <c r="AB701" s="847"/>
      <c r="AC701" s="847"/>
      <c r="AD701" s="847"/>
      <c r="AE701" s="847"/>
      <c r="AF701" s="847"/>
      <c r="AG701" s="847"/>
    </row>
    <row r="702">
      <c r="A702" s="847"/>
      <c r="B702" s="847"/>
      <c r="C702" s="847"/>
      <c r="D702" s="847"/>
      <c r="E702" s="847"/>
      <c r="F702" s="847"/>
      <c r="G702" s="847"/>
      <c r="H702" s="847"/>
      <c r="I702" s="847"/>
      <c r="J702" s="847"/>
      <c r="K702" s="847"/>
      <c r="L702" s="847"/>
      <c r="M702" s="847"/>
      <c r="N702" s="847"/>
      <c r="O702" s="847"/>
      <c r="P702" s="847"/>
      <c r="Q702" s="847"/>
      <c r="R702" s="847"/>
      <c r="S702" s="847"/>
      <c r="T702" s="847"/>
      <c r="U702" s="847"/>
      <c r="V702" s="847"/>
      <c r="W702" s="847"/>
      <c r="X702" s="847"/>
      <c r="Y702" s="847"/>
      <c r="Z702" s="847"/>
      <c r="AA702" s="847"/>
      <c r="AB702" s="847"/>
      <c r="AC702" s="847"/>
      <c r="AD702" s="847"/>
      <c r="AE702" s="847"/>
      <c r="AF702" s="847"/>
      <c r="AG702" s="847"/>
    </row>
    <row r="703">
      <c r="A703" s="847"/>
      <c r="B703" s="847"/>
      <c r="C703" s="847"/>
      <c r="D703" s="847"/>
      <c r="E703" s="847"/>
      <c r="F703" s="847"/>
      <c r="G703" s="847"/>
      <c r="H703" s="847"/>
      <c r="I703" s="847"/>
      <c r="J703" s="847"/>
      <c r="K703" s="847"/>
      <c r="L703" s="847"/>
      <c r="M703" s="847"/>
      <c r="N703" s="847"/>
      <c r="O703" s="847"/>
      <c r="P703" s="847"/>
      <c r="Q703" s="847"/>
      <c r="R703" s="847"/>
      <c r="S703" s="847"/>
      <c r="T703" s="847"/>
      <c r="U703" s="847"/>
      <c r="V703" s="847"/>
      <c r="W703" s="847"/>
      <c r="X703" s="847"/>
      <c r="Y703" s="847"/>
      <c r="Z703" s="847"/>
      <c r="AA703" s="847"/>
      <c r="AB703" s="847"/>
      <c r="AC703" s="847"/>
      <c r="AD703" s="847"/>
      <c r="AE703" s="847"/>
      <c r="AF703" s="847"/>
      <c r="AG703" s="847"/>
    </row>
    <row r="704">
      <c r="A704" s="847"/>
      <c r="B704" s="847"/>
      <c r="C704" s="847"/>
      <c r="D704" s="847"/>
      <c r="E704" s="847"/>
      <c r="F704" s="847"/>
      <c r="G704" s="847"/>
      <c r="H704" s="847"/>
      <c r="I704" s="847"/>
      <c r="J704" s="847"/>
      <c r="K704" s="847"/>
      <c r="L704" s="847"/>
      <c r="M704" s="847"/>
      <c r="N704" s="847"/>
      <c r="O704" s="847"/>
      <c r="P704" s="847"/>
      <c r="Q704" s="847"/>
      <c r="R704" s="847"/>
      <c r="S704" s="847"/>
      <c r="T704" s="847"/>
      <c r="U704" s="847"/>
      <c r="V704" s="847"/>
      <c r="W704" s="847"/>
      <c r="X704" s="847"/>
      <c r="Y704" s="847"/>
      <c r="Z704" s="847"/>
      <c r="AA704" s="847"/>
      <c r="AB704" s="847"/>
      <c r="AC704" s="847"/>
      <c r="AD704" s="847"/>
      <c r="AE704" s="847"/>
      <c r="AF704" s="847"/>
      <c r="AG704" s="847"/>
    </row>
    <row r="705">
      <c r="A705" s="847"/>
      <c r="B705" s="847"/>
      <c r="C705" s="847"/>
      <c r="D705" s="847"/>
      <c r="E705" s="847"/>
      <c r="F705" s="847"/>
      <c r="G705" s="847"/>
      <c r="H705" s="847"/>
      <c r="I705" s="847"/>
      <c r="J705" s="847"/>
      <c r="K705" s="847"/>
      <c r="L705" s="847"/>
      <c r="M705" s="847"/>
      <c r="N705" s="847"/>
      <c r="O705" s="847"/>
      <c r="P705" s="847"/>
      <c r="Q705" s="847"/>
      <c r="R705" s="847"/>
      <c r="S705" s="847"/>
      <c r="T705" s="847"/>
      <c r="U705" s="847"/>
      <c r="V705" s="847"/>
      <c r="W705" s="847"/>
      <c r="X705" s="847"/>
      <c r="Y705" s="847"/>
      <c r="Z705" s="847"/>
      <c r="AA705" s="847"/>
      <c r="AB705" s="847"/>
      <c r="AC705" s="847"/>
      <c r="AD705" s="847"/>
      <c r="AE705" s="847"/>
      <c r="AF705" s="847"/>
      <c r="AG705" s="847"/>
    </row>
    <row r="706">
      <c r="A706" s="847"/>
      <c r="B706" s="847"/>
      <c r="C706" s="847"/>
      <c r="D706" s="847"/>
      <c r="E706" s="847"/>
      <c r="F706" s="847"/>
      <c r="G706" s="847"/>
      <c r="H706" s="847"/>
      <c r="I706" s="847"/>
      <c r="J706" s="847"/>
      <c r="K706" s="847"/>
      <c r="L706" s="847"/>
      <c r="M706" s="847"/>
      <c r="N706" s="847"/>
      <c r="O706" s="847"/>
      <c r="P706" s="847"/>
      <c r="Q706" s="847"/>
      <c r="R706" s="847"/>
      <c r="S706" s="847"/>
      <c r="T706" s="847"/>
      <c r="U706" s="847"/>
      <c r="V706" s="847"/>
      <c r="W706" s="847"/>
      <c r="X706" s="847"/>
      <c r="Y706" s="847"/>
      <c r="Z706" s="847"/>
      <c r="AA706" s="847"/>
      <c r="AB706" s="847"/>
      <c r="AC706" s="847"/>
      <c r="AD706" s="847"/>
      <c r="AE706" s="847"/>
      <c r="AF706" s="847"/>
      <c r="AG706" s="847"/>
    </row>
    <row r="707">
      <c r="A707" s="847"/>
      <c r="B707" s="847"/>
      <c r="C707" s="847"/>
      <c r="D707" s="847"/>
      <c r="E707" s="847"/>
      <c r="F707" s="847"/>
      <c r="G707" s="847"/>
      <c r="H707" s="847"/>
      <c r="I707" s="847"/>
      <c r="J707" s="847"/>
      <c r="K707" s="847"/>
      <c r="L707" s="847"/>
      <c r="M707" s="847"/>
      <c r="N707" s="847"/>
      <c r="O707" s="847"/>
      <c r="P707" s="847"/>
      <c r="Q707" s="847"/>
      <c r="R707" s="847"/>
      <c r="S707" s="847"/>
      <c r="T707" s="847"/>
      <c r="U707" s="847"/>
      <c r="V707" s="847"/>
      <c r="W707" s="847"/>
      <c r="X707" s="847"/>
      <c r="Y707" s="847"/>
      <c r="Z707" s="847"/>
      <c r="AA707" s="847"/>
      <c r="AB707" s="847"/>
      <c r="AC707" s="847"/>
      <c r="AD707" s="847"/>
      <c r="AE707" s="847"/>
      <c r="AF707" s="847"/>
      <c r="AG707" s="847"/>
    </row>
    <row r="708">
      <c r="A708" s="847"/>
      <c r="B708" s="847"/>
      <c r="C708" s="847"/>
      <c r="D708" s="847"/>
      <c r="E708" s="847"/>
      <c r="F708" s="847"/>
      <c r="G708" s="847"/>
      <c r="H708" s="847"/>
      <c r="I708" s="847"/>
      <c r="J708" s="847"/>
      <c r="K708" s="847"/>
      <c r="L708" s="847"/>
      <c r="M708" s="847"/>
      <c r="N708" s="847"/>
      <c r="O708" s="847"/>
      <c r="P708" s="847"/>
      <c r="Q708" s="847"/>
      <c r="R708" s="847"/>
      <c r="S708" s="847"/>
      <c r="T708" s="847"/>
      <c r="U708" s="847"/>
      <c r="V708" s="847"/>
      <c r="W708" s="847"/>
      <c r="X708" s="847"/>
      <c r="Y708" s="847"/>
      <c r="Z708" s="847"/>
      <c r="AA708" s="847"/>
      <c r="AB708" s="847"/>
      <c r="AC708" s="847"/>
      <c r="AD708" s="847"/>
      <c r="AE708" s="847"/>
      <c r="AF708" s="847"/>
      <c r="AG708" s="847"/>
    </row>
    <row r="709">
      <c r="A709" s="847"/>
      <c r="B709" s="847"/>
      <c r="C709" s="847"/>
      <c r="D709" s="847"/>
      <c r="E709" s="847"/>
      <c r="F709" s="847"/>
      <c r="G709" s="847"/>
      <c r="H709" s="847"/>
      <c r="I709" s="847"/>
      <c r="J709" s="847"/>
      <c r="K709" s="847"/>
      <c r="L709" s="847"/>
      <c r="M709" s="847"/>
      <c r="N709" s="847"/>
      <c r="O709" s="847"/>
      <c r="P709" s="847"/>
      <c r="Q709" s="847"/>
      <c r="R709" s="847"/>
      <c r="S709" s="847"/>
      <c r="T709" s="847"/>
      <c r="U709" s="847"/>
      <c r="V709" s="847"/>
      <c r="W709" s="847"/>
      <c r="X709" s="847"/>
      <c r="Y709" s="847"/>
      <c r="Z709" s="847"/>
      <c r="AA709" s="847"/>
      <c r="AB709" s="847"/>
      <c r="AC709" s="847"/>
      <c r="AD709" s="847"/>
      <c r="AE709" s="847"/>
      <c r="AF709" s="847"/>
      <c r="AG709" s="847"/>
    </row>
    <row r="710">
      <c r="A710" s="847"/>
      <c r="B710" s="847"/>
      <c r="C710" s="847"/>
      <c r="D710" s="847"/>
      <c r="E710" s="847"/>
      <c r="F710" s="847"/>
      <c r="G710" s="847"/>
      <c r="H710" s="847"/>
      <c r="I710" s="847"/>
      <c r="J710" s="847"/>
      <c r="K710" s="847"/>
      <c r="L710" s="847"/>
      <c r="M710" s="847"/>
      <c r="N710" s="847"/>
      <c r="O710" s="847"/>
      <c r="P710" s="847"/>
      <c r="Q710" s="847"/>
      <c r="R710" s="847"/>
      <c r="S710" s="847"/>
      <c r="T710" s="847"/>
      <c r="U710" s="847"/>
      <c r="V710" s="847"/>
      <c r="W710" s="847"/>
      <c r="X710" s="847"/>
      <c r="Y710" s="847"/>
      <c r="Z710" s="847"/>
      <c r="AA710" s="847"/>
      <c r="AB710" s="847"/>
      <c r="AC710" s="847"/>
      <c r="AD710" s="847"/>
      <c r="AE710" s="847"/>
      <c r="AF710" s="847"/>
      <c r="AG710" s="847"/>
    </row>
    <row r="711">
      <c r="A711" s="847"/>
      <c r="B711" s="847"/>
      <c r="C711" s="847"/>
      <c r="D711" s="847"/>
      <c r="E711" s="847"/>
      <c r="F711" s="847"/>
      <c r="G711" s="847"/>
      <c r="H711" s="847"/>
      <c r="I711" s="847"/>
      <c r="J711" s="847"/>
      <c r="K711" s="847"/>
      <c r="L711" s="847"/>
      <c r="M711" s="847"/>
      <c r="N711" s="847"/>
      <c r="O711" s="847"/>
      <c r="P711" s="847"/>
      <c r="Q711" s="847"/>
      <c r="R711" s="847"/>
      <c r="S711" s="847"/>
      <c r="T711" s="847"/>
      <c r="U711" s="847"/>
      <c r="V711" s="847"/>
      <c r="W711" s="847"/>
      <c r="X711" s="847"/>
      <c r="Y711" s="847"/>
      <c r="Z711" s="847"/>
      <c r="AA711" s="847"/>
      <c r="AB711" s="847"/>
      <c r="AC711" s="847"/>
      <c r="AD711" s="847"/>
      <c r="AE711" s="847"/>
      <c r="AF711" s="847"/>
      <c r="AG711" s="847"/>
    </row>
    <row r="712">
      <c r="A712" s="847"/>
      <c r="B712" s="847"/>
      <c r="C712" s="847"/>
      <c r="D712" s="847"/>
      <c r="E712" s="847"/>
      <c r="F712" s="847"/>
      <c r="G712" s="847"/>
      <c r="H712" s="847"/>
      <c r="I712" s="847"/>
      <c r="J712" s="847"/>
      <c r="K712" s="847"/>
      <c r="L712" s="847"/>
      <c r="M712" s="847"/>
      <c r="N712" s="847"/>
      <c r="O712" s="847"/>
      <c r="P712" s="847"/>
      <c r="Q712" s="847"/>
      <c r="R712" s="847"/>
      <c r="S712" s="847"/>
      <c r="T712" s="847"/>
      <c r="U712" s="847"/>
      <c r="V712" s="847"/>
      <c r="W712" s="847"/>
      <c r="X712" s="847"/>
      <c r="Y712" s="847"/>
      <c r="Z712" s="847"/>
      <c r="AA712" s="847"/>
      <c r="AB712" s="847"/>
      <c r="AC712" s="847"/>
      <c r="AD712" s="847"/>
      <c r="AE712" s="847"/>
      <c r="AF712" s="847"/>
      <c r="AG712" s="847"/>
    </row>
    <row r="713">
      <c r="A713" s="847"/>
      <c r="B713" s="847"/>
      <c r="C713" s="847"/>
      <c r="D713" s="847"/>
      <c r="E713" s="847"/>
      <c r="F713" s="847"/>
      <c r="G713" s="847"/>
      <c r="H713" s="847"/>
      <c r="I713" s="847"/>
      <c r="J713" s="847"/>
      <c r="K713" s="847"/>
      <c r="L713" s="847"/>
      <c r="M713" s="847"/>
      <c r="N713" s="847"/>
      <c r="O713" s="847"/>
      <c r="P713" s="847"/>
      <c r="Q713" s="847"/>
      <c r="R713" s="847"/>
      <c r="S713" s="847"/>
      <c r="T713" s="847"/>
      <c r="U713" s="847"/>
      <c r="V713" s="847"/>
      <c r="W713" s="847"/>
      <c r="X713" s="847"/>
      <c r="Y713" s="847"/>
      <c r="Z713" s="847"/>
      <c r="AA713" s="847"/>
      <c r="AB713" s="847"/>
      <c r="AC713" s="847"/>
      <c r="AD713" s="847"/>
      <c r="AE713" s="847"/>
      <c r="AF713" s="847"/>
      <c r="AG713" s="847"/>
    </row>
    <row r="714">
      <c r="A714" s="847"/>
      <c r="B714" s="847"/>
      <c r="C714" s="847"/>
      <c r="D714" s="847"/>
      <c r="E714" s="847"/>
      <c r="F714" s="847"/>
      <c r="G714" s="847"/>
      <c r="H714" s="847"/>
      <c r="I714" s="847"/>
      <c r="J714" s="847"/>
      <c r="K714" s="847"/>
      <c r="L714" s="847"/>
      <c r="M714" s="847"/>
      <c r="N714" s="847"/>
      <c r="O714" s="847"/>
      <c r="P714" s="847"/>
      <c r="Q714" s="847"/>
      <c r="R714" s="847"/>
      <c r="S714" s="847"/>
      <c r="T714" s="847"/>
      <c r="U714" s="847"/>
      <c r="V714" s="847"/>
      <c r="W714" s="847"/>
      <c r="X714" s="847"/>
      <c r="Y714" s="847"/>
      <c r="Z714" s="847"/>
      <c r="AA714" s="847"/>
      <c r="AB714" s="847"/>
      <c r="AC714" s="847"/>
      <c r="AD714" s="847"/>
      <c r="AE714" s="847"/>
      <c r="AF714" s="847"/>
      <c r="AG714" s="847"/>
    </row>
    <row r="715">
      <c r="A715" s="847"/>
      <c r="B715" s="847"/>
      <c r="C715" s="847"/>
      <c r="D715" s="847"/>
      <c r="E715" s="847"/>
      <c r="F715" s="847"/>
      <c r="G715" s="847"/>
      <c r="H715" s="847"/>
      <c r="I715" s="847"/>
      <c r="J715" s="847"/>
      <c r="K715" s="847"/>
      <c r="L715" s="847"/>
      <c r="M715" s="847"/>
      <c r="N715" s="847"/>
      <c r="O715" s="847"/>
      <c r="P715" s="847"/>
      <c r="Q715" s="847"/>
      <c r="R715" s="847"/>
      <c r="S715" s="847"/>
      <c r="T715" s="847"/>
      <c r="U715" s="847"/>
      <c r="V715" s="847"/>
      <c r="W715" s="847"/>
      <c r="X715" s="847"/>
      <c r="Y715" s="847"/>
      <c r="Z715" s="847"/>
      <c r="AA715" s="847"/>
      <c r="AB715" s="847"/>
      <c r="AC715" s="847"/>
      <c r="AD715" s="847"/>
      <c r="AE715" s="847"/>
      <c r="AF715" s="847"/>
      <c r="AG715" s="847"/>
    </row>
    <row r="716">
      <c r="A716" s="847"/>
      <c r="B716" s="847"/>
      <c r="C716" s="847"/>
      <c r="D716" s="847"/>
      <c r="E716" s="847"/>
      <c r="F716" s="847"/>
      <c r="G716" s="847"/>
      <c r="H716" s="847"/>
      <c r="I716" s="847"/>
      <c r="J716" s="847"/>
      <c r="K716" s="847"/>
      <c r="L716" s="847"/>
      <c r="M716" s="847"/>
      <c r="N716" s="847"/>
      <c r="O716" s="847"/>
      <c r="P716" s="847"/>
      <c r="Q716" s="847"/>
      <c r="R716" s="847"/>
      <c r="S716" s="847"/>
      <c r="T716" s="847"/>
      <c r="U716" s="847"/>
      <c r="V716" s="847"/>
      <c r="W716" s="847"/>
      <c r="X716" s="847"/>
      <c r="Y716" s="847"/>
      <c r="Z716" s="847"/>
      <c r="AA716" s="847"/>
      <c r="AB716" s="847"/>
      <c r="AC716" s="847"/>
      <c r="AD716" s="847"/>
      <c r="AE716" s="847"/>
      <c r="AF716" s="847"/>
      <c r="AG716" s="847"/>
    </row>
    <row r="717">
      <c r="A717" s="847"/>
      <c r="B717" s="847"/>
      <c r="C717" s="847"/>
      <c r="D717" s="847"/>
      <c r="E717" s="847"/>
      <c r="F717" s="847"/>
      <c r="G717" s="847"/>
      <c r="H717" s="847"/>
      <c r="I717" s="847"/>
      <c r="J717" s="847"/>
      <c r="K717" s="847"/>
      <c r="L717" s="847"/>
      <c r="M717" s="847"/>
      <c r="N717" s="847"/>
      <c r="O717" s="847"/>
      <c r="P717" s="847"/>
      <c r="Q717" s="847"/>
      <c r="R717" s="847"/>
      <c r="S717" s="847"/>
      <c r="T717" s="847"/>
      <c r="U717" s="847"/>
      <c r="V717" s="847"/>
      <c r="W717" s="847"/>
      <c r="X717" s="847"/>
      <c r="Y717" s="847"/>
      <c r="Z717" s="847"/>
      <c r="AA717" s="847"/>
      <c r="AB717" s="847"/>
      <c r="AC717" s="847"/>
      <c r="AD717" s="847"/>
      <c r="AE717" s="847"/>
      <c r="AF717" s="847"/>
      <c r="AG717" s="847"/>
    </row>
    <row r="718">
      <c r="A718" s="847"/>
      <c r="B718" s="847"/>
      <c r="C718" s="847"/>
      <c r="D718" s="847"/>
      <c r="E718" s="847"/>
      <c r="F718" s="847"/>
      <c r="G718" s="847"/>
      <c r="H718" s="847"/>
      <c r="I718" s="847"/>
      <c r="J718" s="847"/>
      <c r="K718" s="847"/>
      <c r="L718" s="847"/>
      <c r="M718" s="847"/>
      <c r="N718" s="847"/>
      <c r="O718" s="847"/>
      <c r="P718" s="847"/>
      <c r="Q718" s="847"/>
      <c r="R718" s="847"/>
      <c r="S718" s="847"/>
      <c r="T718" s="847"/>
      <c r="U718" s="847"/>
      <c r="V718" s="847"/>
      <c r="W718" s="847"/>
      <c r="X718" s="847"/>
      <c r="Y718" s="847"/>
      <c r="Z718" s="847"/>
      <c r="AA718" s="847"/>
      <c r="AB718" s="847"/>
      <c r="AC718" s="847"/>
      <c r="AD718" s="847"/>
      <c r="AE718" s="847"/>
      <c r="AF718" s="847"/>
      <c r="AG718" s="847"/>
    </row>
    <row r="719">
      <c r="A719" s="847"/>
      <c r="B719" s="847"/>
      <c r="C719" s="847"/>
      <c r="D719" s="847"/>
      <c r="E719" s="847"/>
      <c r="F719" s="847"/>
      <c r="G719" s="847"/>
      <c r="H719" s="847"/>
      <c r="I719" s="847"/>
      <c r="J719" s="847"/>
      <c r="K719" s="847"/>
      <c r="L719" s="847"/>
      <c r="M719" s="847"/>
      <c r="N719" s="847"/>
      <c r="O719" s="847"/>
      <c r="P719" s="847"/>
      <c r="Q719" s="847"/>
      <c r="R719" s="847"/>
      <c r="S719" s="847"/>
      <c r="T719" s="847"/>
      <c r="U719" s="847"/>
      <c r="V719" s="847"/>
      <c r="W719" s="847"/>
      <c r="X719" s="847"/>
      <c r="Y719" s="847"/>
      <c r="Z719" s="847"/>
      <c r="AA719" s="847"/>
      <c r="AB719" s="847"/>
      <c r="AC719" s="847"/>
      <c r="AD719" s="847"/>
      <c r="AE719" s="847"/>
      <c r="AF719" s="847"/>
      <c r="AG719" s="847"/>
    </row>
    <row r="720">
      <c r="A720" s="847"/>
      <c r="B720" s="847"/>
      <c r="C720" s="847"/>
      <c r="D720" s="847"/>
      <c r="E720" s="847"/>
      <c r="F720" s="847"/>
      <c r="G720" s="847"/>
      <c r="H720" s="847"/>
      <c r="I720" s="847"/>
      <c r="J720" s="847"/>
      <c r="K720" s="847"/>
      <c r="L720" s="847"/>
      <c r="M720" s="847"/>
      <c r="N720" s="847"/>
      <c r="O720" s="847"/>
      <c r="P720" s="847"/>
      <c r="Q720" s="847"/>
      <c r="R720" s="847"/>
      <c r="S720" s="847"/>
      <c r="T720" s="847"/>
      <c r="U720" s="847"/>
      <c r="V720" s="847"/>
      <c r="W720" s="847"/>
      <c r="X720" s="847"/>
      <c r="Y720" s="847"/>
      <c r="Z720" s="847"/>
      <c r="AA720" s="847"/>
      <c r="AB720" s="847"/>
      <c r="AC720" s="847"/>
      <c r="AD720" s="847"/>
      <c r="AE720" s="847"/>
      <c r="AF720" s="847"/>
      <c r="AG720" s="847"/>
    </row>
    <row r="721">
      <c r="A721" s="847"/>
      <c r="B721" s="847"/>
      <c r="C721" s="847"/>
      <c r="D721" s="847"/>
      <c r="E721" s="847"/>
      <c r="F721" s="847"/>
      <c r="G721" s="847"/>
      <c r="H721" s="847"/>
      <c r="I721" s="847"/>
      <c r="J721" s="847"/>
      <c r="K721" s="847"/>
      <c r="L721" s="847"/>
      <c r="M721" s="847"/>
      <c r="N721" s="847"/>
      <c r="O721" s="847"/>
      <c r="P721" s="847"/>
      <c r="Q721" s="847"/>
      <c r="R721" s="847"/>
      <c r="S721" s="847"/>
      <c r="T721" s="847"/>
      <c r="U721" s="847"/>
      <c r="V721" s="847"/>
      <c r="W721" s="847"/>
      <c r="X721" s="847"/>
      <c r="Y721" s="847"/>
      <c r="Z721" s="847"/>
      <c r="AA721" s="847"/>
      <c r="AB721" s="847"/>
      <c r="AC721" s="847"/>
      <c r="AD721" s="847"/>
      <c r="AE721" s="847"/>
      <c r="AF721" s="847"/>
      <c r="AG721" s="847"/>
    </row>
    <row r="722">
      <c r="A722" s="847"/>
      <c r="B722" s="847"/>
      <c r="C722" s="847"/>
      <c r="D722" s="847"/>
      <c r="E722" s="847"/>
      <c r="F722" s="847"/>
      <c r="G722" s="847"/>
      <c r="H722" s="847"/>
      <c r="I722" s="847"/>
      <c r="J722" s="847"/>
      <c r="K722" s="847"/>
      <c r="L722" s="847"/>
      <c r="M722" s="847"/>
      <c r="N722" s="847"/>
      <c r="O722" s="847"/>
      <c r="P722" s="847"/>
      <c r="Q722" s="847"/>
      <c r="R722" s="847"/>
      <c r="S722" s="847"/>
      <c r="T722" s="847"/>
      <c r="U722" s="847"/>
      <c r="V722" s="847"/>
      <c r="W722" s="847"/>
      <c r="X722" s="847"/>
      <c r="Y722" s="847"/>
      <c r="Z722" s="847"/>
      <c r="AA722" s="847"/>
      <c r="AB722" s="847"/>
      <c r="AC722" s="847"/>
      <c r="AD722" s="847"/>
      <c r="AE722" s="847"/>
      <c r="AF722" s="847"/>
      <c r="AG722" s="847"/>
    </row>
    <row r="723">
      <c r="A723" s="847"/>
      <c r="B723" s="847"/>
      <c r="C723" s="847"/>
      <c r="D723" s="847"/>
      <c r="E723" s="847"/>
      <c r="F723" s="847"/>
      <c r="G723" s="847"/>
      <c r="H723" s="847"/>
      <c r="I723" s="847"/>
      <c r="J723" s="847"/>
      <c r="K723" s="847"/>
      <c r="L723" s="847"/>
      <c r="M723" s="847"/>
      <c r="N723" s="847"/>
      <c r="O723" s="847"/>
      <c r="P723" s="847"/>
      <c r="Q723" s="847"/>
      <c r="R723" s="847"/>
      <c r="S723" s="847"/>
      <c r="T723" s="847"/>
      <c r="U723" s="847"/>
      <c r="V723" s="847"/>
      <c r="W723" s="847"/>
      <c r="X723" s="847"/>
      <c r="Y723" s="847"/>
      <c r="Z723" s="847"/>
      <c r="AA723" s="847"/>
      <c r="AB723" s="847"/>
      <c r="AC723" s="847"/>
      <c r="AD723" s="847"/>
      <c r="AE723" s="847"/>
      <c r="AF723" s="847"/>
      <c r="AG723" s="847"/>
    </row>
    <row r="724">
      <c r="A724" s="847"/>
      <c r="B724" s="847"/>
      <c r="C724" s="847"/>
      <c r="D724" s="847"/>
      <c r="E724" s="847"/>
      <c r="F724" s="847"/>
      <c r="G724" s="847"/>
      <c r="H724" s="847"/>
      <c r="I724" s="847"/>
      <c r="J724" s="847"/>
      <c r="K724" s="847"/>
      <c r="L724" s="847"/>
      <c r="M724" s="847"/>
      <c r="N724" s="847"/>
      <c r="O724" s="847"/>
      <c r="P724" s="847"/>
      <c r="Q724" s="847"/>
      <c r="R724" s="847"/>
      <c r="S724" s="847"/>
      <c r="T724" s="847"/>
      <c r="U724" s="847"/>
      <c r="V724" s="847"/>
      <c r="W724" s="847"/>
      <c r="X724" s="847"/>
      <c r="Y724" s="847"/>
      <c r="Z724" s="847"/>
      <c r="AA724" s="847"/>
      <c r="AB724" s="847"/>
      <c r="AC724" s="847"/>
      <c r="AD724" s="847"/>
      <c r="AE724" s="847"/>
      <c r="AF724" s="847"/>
      <c r="AG724" s="847"/>
    </row>
    <row r="725">
      <c r="A725" s="847"/>
      <c r="B725" s="847"/>
      <c r="C725" s="847"/>
      <c r="D725" s="847"/>
      <c r="E725" s="847"/>
      <c r="F725" s="847"/>
      <c r="G725" s="847"/>
      <c r="H725" s="847"/>
      <c r="I725" s="847"/>
      <c r="J725" s="847"/>
      <c r="K725" s="847"/>
      <c r="L725" s="847"/>
      <c r="M725" s="847"/>
      <c r="N725" s="847"/>
      <c r="O725" s="847"/>
      <c r="P725" s="847"/>
      <c r="Q725" s="847"/>
      <c r="R725" s="847"/>
      <c r="S725" s="847"/>
      <c r="T725" s="847"/>
      <c r="U725" s="847"/>
      <c r="V725" s="847"/>
      <c r="W725" s="847"/>
      <c r="X725" s="847"/>
      <c r="Y725" s="847"/>
      <c r="Z725" s="847"/>
      <c r="AA725" s="847"/>
      <c r="AB725" s="847"/>
      <c r="AC725" s="847"/>
      <c r="AD725" s="847"/>
      <c r="AE725" s="847"/>
      <c r="AF725" s="847"/>
      <c r="AG725" s="847"/>
    </row>
    <row r="726">
      <c r="A726" s="847"/>
      <c r="B726" s="847"/>
      <c r="C726" s="847"/>
      <c r="D726" s="847"/>
      <c r="E726" s="847"/>
      <c r="F726" s="847"/>
      <c r="G726" s="847"/>
      <c r="H726" s="847"/>
      <c r="I726" s="847"/>
      <c r="J726" s="847"/>
      <c r="K726" s="847"/>
      <c r="L726" s="847"/>
      <c r="M726" s="847"/>
      <c r="N726" s="847"/>
      <c r="O726" s="847"/>
      <c r="P726" s="847"/>
      <c r="Q726" s="847"/>
      <c r="R726" s="847"/>
      <c r="S726" s="847"/>
      <c r="T726" s="847"/>
      <c r="U726" s="847"/>
      <c r="V726" s="847"/>
      <c r="W726" s="847"/>
      <c r="X726" s="847"/>
      <c r="Y726" s="847"/>
      <c r="Z726" s="847"/>
      <c r="AA726" s="847"/>
      <c r="AB726" s="847"/>
      <c r="AC726" s="847"/>
      <c r="AD726" s="847"/>
      <c r="AE726" s="847"/>
      <c r="AF726" s="847"/>
      <c r="AG726" s="847"/>
    </row>
    <row r="727">
      <c r="A727" s="847"/>
      <c r="B727" s="847"/>
      <c r="C727" s="847"/>
      <c r="D727" s="847"/>
      <c r="E727" s="847"/>
      <c r="F727" s="847"/>
      <c r="G727" s="847"/>
      <c r="H727" s="847"/>
      <c r="I727" s="847"/>
      <c r="J727" s="847"/>
      <c r="K727" s="847"/>
      <c r="L727" s="847"/>
      <c r="M727" s="847"/>
      <c r="N727" s="847"/>
      <c r="O727" s="847"/>
      <c r="P727" s="847"/>
      <c r="Q727" s="847"/>
      <c r="R727" s="847"/>
      <c r="S727" s="847"/>
      <c r="T727" s="847"/>
      <c r="U727" s="847"/>
      <c r="V727" s="847"/>
      <c r="W727" s="847"/>
      <c r="X727" s="847"/>
      <c r="Y727" s="847"/>
      <c r="Z727" s="847"/>
      <c r="AA727" s="847"/>
      <c r="AB727" s="847"/>
      <c r="AC727" s="847"/>
      <c r="AD727" s="847"/>
      <c r="AE727" s="847"/>
      <c r="AF727" s="847"/>
      <c r="AG727" s="847"/>
    </row>
    <row r="728">
      <c r="A728" s="847"/>
      <c r="B728" s="847"/>
      <c r="C728" s="847"/>
      <c r="D728" s="847"/>
      <c r="E728" s="847"/>
      <c r="F728" s="847"/>
      <c r="G728" s="847"/>
      <c r="H728" s="847"/>
      <c r="I728" s="847"/>
      <c r="J728" s="847"/>
      <c r="K728" s="847"/>
      <c r="L728" s="847"/>
      <c r="M728" s="847"/>
      <c r="N728" s="847"/>
      <c r="O728" s="847"/>
      <c r="P728" s="847"/>
      <c r="Q728" s="847"/>
      <c r="R728" s="847"/>
      <c r="S728" s="847"/>
      <c r="T728" s="847"/>
      <c r="U728" s="847"/>
      <c r="V728" s="847"/>
      <c r="W728" s="847"/>
      <c r="X728" s="847"/>
      <c r="Y728" s="847"/>
      <c r="Z728" s="847"/>
      <c r="AA728" s="847"/>
      <c r="AB728" s="847"/>
      <c r="AC728" s="847"/>
      <c r="AD728" s="847"/>
      <c r="AE728" s="847"/>
      <c r="AF728" s="847"/>
      <c r="AG728" s="847"/>
    </row>
    <row r="729">
      <c r="A729" s="847"/>
      <c r="B729" s="847"/>
      <c r="C729" s="847"/>
      <c r="D729" s="847"/>
      <c r="E729" s="847"/>
      <c r="F729" s="847"/>
      <c r="G729" s="847"/>
      <c r="H729" s="847"/>
      <c r="I729" s="847"/>
      <c r="J729" s="847"/>
      <c r="K729" s="847"/>
      <c r="L729" s="847"/>
      <c r="M729" s="847"/>
      <c r="N729" s="847"/>
      <c r="O729" s="847"/>
      <c r="P729" s="847"/>
      <c r="Q729" s="847"/>
      <c r="R729" s="847"/>
      <c r="S729" s="847"/>
      <c r="T729" s="847"/>
      <c r="U729" s="847"/>
      <c r="V729" s="847"/>
      <c r="W729" s="847"/>
      <c r="X729" s="847"/>
      <c r="Y729" s="847"/>
      <c r="Z729" s="847"/>
      <c r="AA729" s="847"/>
      <c r="AB729" s="847"/>
      <c r="AC729" s="847"/>
      <c r="AD729" s="847"/>
      <c r="AE729" s="847"/>
      <c r="AF729" s="847"/>
      <c r="AG729" s="847"/>
    </row>
    <row r="730">
      <c r="A730" s="847"/>
      <c r="B730" s="847"/>
      <c r="C730" s="847"/>
      <c r="D730" s="847"/>
      <c r="E730" s="847"/>
      <c r="F730" s="847"/>
      <c r="G730" s="847"/>
      <c r="H730" s="847"/>
      <c r="I730" s="847"/>
      <c r="J730" s="847"/>
      <c r="K730" s="847"/>
      <c r="L730" s="847"/>
      <c r="M730" s="847"/>
      <c r="N730" s="847"/>
      <c r="O730" s="847"/>
      <c r="P730" s="847"/>
      <c r="Q730" s="847"/>
      <c r="R730" s="847"/>
      <c r="S730" s="847"/>
      <c r="T730" s="847"/>
      <c r="U730" s="847"/>
      <c r="V730" s="847"/>
      <c r="W730" s="847"/>
      <c r="X730" s="847"/>
      <c r="Y730" s="847"/>
      <c r="Z730" s="847"/>
      <c r="AA730" s="847"/>
      <c r="AB730" s="847"/>
      <c r="AC730" s="847"/>
      <c r="AD730" s="847"/>
      <c r="AE730" s="847"/>
      <c r="AF730" s="847"/>
      <c r="AG730" s="847"/>
    </row>
    <row r="731">
      <c r="A731" s="847"/>
      <c r="B731" s="847"/>
      <c r="C731" s="847"/>
      <c r="D731" s="847"/>
      <c r="E731" s="847"/>
      <c r="F731" s="847"/>
      <c r="G731" s="847"/>
      <c r="H731" s="847"/>
      <c r="I731" s="847"/>
      <c r="J731" s="847"/>
      <c r="K731" s="847"/>
      <c r="L731" s="847"/>
      <c r="M731" s="847"/>
      <c r="N731" s="847"/>
      <c r="O731" s="847"/>
      <c r="P731" s="847"/>
      <c r="Q731" s="847"/>
      <c r="R731" s="847"/>
      <c r="S731" s="847"/>
      <c r="T731" s="847"/>
      <c r="U731" s="847"/>
      <c r="V731" s="847"/>
      <c r="W731" s="847"/>
      <c r="X731" s="847"/>
      <c r="Y731" s="847"/>
      <c r="Z731" s="847"/>
      <c r="AA731" s="847"/>
      <c r="AB731" s="847"/>
      <c r="AC731" s="847"/>
      <c r="AD731" s="847"/>
      <c r="AE731" s="847"/>
      <c r="AF731" s="847"/>
      <c r="AG731" s="847"/>
    </row>
    <row r="732">
      <c r="A732" s="847"/>
      <c r="B732" s="847"/>
      <c r="C732" s="847"/>
      <c r="D732" s="847"/>
      <c r="E732" s="847"/>
      <c r="F732" s="847"/>
      <c r="G732" s="847"/>
      <c r="H732" s="847"/>
      <c r="I732" s="847"/>
      <c r="J732" s="847"/>
      <c r="K732" s="847"/>
      <c r="L732" s="847"/>
      <c r="M732" s="847"/>
      <c r="N732" s="847"/>
      <c r="O732" s="847"/>
      <c r="P732" s="847"/>
      <c r="Q732" s="847"/>
      <c r="R732" s="847"/>
      <c r="S732" s="847"/>
      <c r="T732" s="847"/>
      <c r="U732" s="847"/>
      <c r="V732" s="847"/>
      <c r="W732" s="847"/>
      <c r="X732" s="847"/>
      <c r="Y732" s="847"/>
      <c r="Z732" s="847"/>
      <c r="AA732" s="847"/>
      <c r="AB732" s="847"/>
      <c r="AC732" s="847"/>
      <c r="AD732" s="847"/>
      <c r="AE732" s="847"/>
      <c r="AF732" s="847"/>
      <c r="AG732" s="847"/>
    </row>
    <row r="733">
      <c r="A733" s="847"/>
      <c r="B733" s="847"/>
      <c r="C733" s="847"/>
      <c r="D733" s="847"/>
      <c r="E733" s="847"/>
      <c r="F733" s="847"/>
      <c r="G733" s="847"/>
      <c r="H733" s="847"/>
      <c r="I733" s="847"/>
      <c r="J733" s="847"/>
      <c r="K733" s="847"/>
      <c r="L733" s="847"/>
      <c r="M733" s="847"/>
      <c r="N733" s="847"/>
      <c r="O733" s="847"/>
      <c r="P733" s="847"/>
      <c r="Q733" s="847"/>
      <c r="R733" s="847"/>
      <c r="S733" s="847"/>
      <c r="T733" s="847"/>
      <c r="U733" s="847"/>
      <c r="V733" s="847"/>
      <c r="W733" s="847"/>
      <c r="X733" s="847"/>
      <c r="Y733" s="847"/>
      <c r="Z733" s="847"/>
      <c r="AA733" s="847"/>
      <c r="AB733" s="847"/>
      <c r="AC733" s="847"/>
      <c r="AD733" s="847"/>
      <c r="AE733" s="847"/>
      <c r="AF733" s="847"/>
      <c r="AG733" s="847"/>
    </row>
    <row r="734">
      <c r="A734" s="847"/>
      <c r="B734" s="847"/>
      <c r="C734" s="847"/>
      <c r="D734" s="847"/>
      <c r="E734" s="847"/>
      <c r="F734" s="847"/>
      <c r="G734" s="847"/>
      <c r="H734" s="847"/>
      <c r="I734" s="847"/>
      <c r="J734" s="847"/>
      <c r="K734" s="847"/>
      <c r="L734" s="847"/>
      <c r="M734" s="847"/>
      <c r="N734" s="847"/>
      <c r="O734" s="847"/>
      <c r="P734" s="847"/>
      <c r="Q734" s="847"/>
      <c r="R734" s="847"/>
      <c r="S734" s="847"/>
      <c r="T734" s="847"/>
      <c r="U734" s="847"/>
      <c r="V734" s="847"/>
      <c r="W734" s="847"/>
      <c r="X734" s="847"/>
      <c r="Y734" s="847"/>
      <c r="Z734" s="847"/>
      <c r="AA734" s="847"/>
      <c r="AB734" s="847"/>
      <c r="AC734" s="847"/>
      <c r="AD734" s="847"/>
      <c r="AE734" s="847"/>
      <c r="AF734" s="847"/>
      <c r="AG734" s="847"/>
    </row>
    <row r="735">
      <c r="A735" s="847"/>
      <c r="B735" s="847"/>
      <c r="C735" s="847"/>
      <c r="D735" s="847"/>
      <c r="E735" s="847"/>
      <c r="F735" s="847"/>
      <c r="G735" s="847"/>
      <c r="H735" s="847"/>
      <c r="I735" s="847"/>
      <c r="J735" s="847"/>
      <c r="K735" s="847"/>
      <c r="L735" s="847"/>
      <c r="M735" s="847"/>
      <c r="N735" s="847"/>
      <c r="O735" s="847"/>
      <c r="P735" s="847"/>
      <c r="Q735" s="847"/>
      <c r="R735" s="847"/>
      <c r="S735" s="847"/>
      <c r="T735" s="847"/>
      <c r="U735" s="847"/>
      <c r="V735" s="847"/>
      <c r="W735" s="847"/>
      <c r="X735" s="847"/>
      <c r="Y735" s="847"/>
      <c r="Z735" s="847"/>
      <c r="AA735" s="847"/>
      <c r="AB735" s="847"/>
      <c r="AC735" s="847"/>
      <c r="AD735" s="847"/>
      <c r="AE735" s="847"/>
      <c r="AF735" s="847"/>
      <c r="AG735" s="847"/>
    </row>
    <row r="736">
      <c r="A736" s="847"/>
      <c r="B736" s="847"/>
      <c r="C736" s="847"/>
      <c r="D736" s="847"/>
      <c r="E736" s="847"/>
      <c r="F736" s="847"/>
      <c r="G736" s="847"/>
      <c r="H736" s="847"/>
      <c r="I736" s="847"/>
      <c r="J736" s="847"/>
      <c r="K736" s="847"/>
      <c r="L736" s="847"/>
      <c r="M736" s="847"/>
      <c r="N736" s="847"/>
      <c r="O736" s="847"/>
      <c r="P736" s="847"/>
      <c r="Q736" s="847"/>
      <c r="R736" s="847"/>
      <c r="S736" s="847"/>
      <c r="T736" s="847"/>
      <c r="U736" s="847"/>
      <c r="V736" s="847"/>
      <c r="W736" s="847"/>
      <c r="X736" s="847"/>
      <c r="Y736" s="847"/>
      <c r="Z736" s="847"/>
      <c r="AA736" s="847"/>
      <c r="AB736" s="847"/>
      <c r="AC736" s="847"/>
      <c r="AD736" s="847"/>
      <c r="AE736" s="847"/>
      <c r="AF736" s="847"/>
      <c r="AG736" s="847"/>
    </row>
    <row r="737">
      <c r="A737" s="847"/>
      <c r="B737" s="847"/>
      <c r="C737" s="847"/>
      <c r="D737" s="847"/>
      <c r="E737" s="847"/>
      <c r="F737" s="847"/>
      <c r="G737" s="847"/>
      <c r="H737" s="847"/>
      <c r="I737" s="847"/>
      <c r="J737" s="847"/>
      <c r="K737" s="847"/>
      <c r="L737" s="847"/>
      <c r="M737" s="847"/>
      <c r="N737" s="847"/>
      <c r="O737" s="847"/>
      <c r="P737" s="847"/>
      <c r="Q737" s="847"/>
      <c r="R737" s="847"/>
      <c r="S737" s="847"/>
      <c r="T737" s="847"/>
      <c r="U737" s="847"/>
      <c r="V737" s="847"/>
      <c r="W737" s="847"/>
      <c r="X737" s="847"/>
      <c r="Y737" s="847"/>
      <c r="Z737" s="847"/>
      <c r="AA737" s="847"/>
      <c r="AB737" s="847"/>
      <c r="AC737" s="847"/>
      <c r="AD737" s="847"/>
      <c r="AE737" s="847"/>
      <c r="AF737" s="847"/>
      <c r="AG737" s="847"/>
    </row>
    <row r="738">
      <c r="A738" s="847"/>
      <c r="B738" s="847"/>
      <c r="C738" s="847"/>
      <c r="D738" s="847"/>
      <c r="E738" s="847"/>
      <c r="F738" s="847"/>
      <c r="G738" s="847"/>
      <c r="H738" s="847"/>
      <c r="I738" s="847"/>
      <c r="J738" s="847"/>
      <c r="K738" s="847"/>
      <c r="L738" s="847"/>
      <c r="M738" s="847"/>
      <c r="N738" s="847"/>
      <c r="O738" s="847"/>
      <c r="P738" s="847"/>
      <c r="Q738" s="847"/>
      <c r="R738" s="847"/>
      <c r="S738" s="847"/>
      <c r="T738" s="847"/>
      <c r="U738" s="847"/>
      <c r="V738" s="847"/>
      <c r="W738" s="847"/>
      <c r="X738" s="847"/>
      <c r="Y738" s="847"/>
      <c r="Z738" s="847"/>
      <c r="AA738" s="847"/>
      <c r="AB738" s="847"/>
      <c r="AC738" s="847"/>
      <c r="AD738" s="847"/>
      <c r="AE738" s="847"/>
      <c r="AF738" s="847"/>
      <c r="AG738" s="847"/>
    </row>
    <row r="739">
      <c r="A739" s="847"/>
      <c r="B739" s="847"/>
      <c r="C739" s="847"/>
      <c r="D739" s="847"/>
      <c r="E739" s="847"/>
      <c r="F739" s="847"/>
      <c r="G739" s="847"/>
      <c r="H739" s="847"/>
      <c r="I739" s="847"/>
      <c r="J739" s="847"/>
      <c r="K739" s="847"/>
      <c r="L739" s="847"/>
      <c r="M739" s="847"/>
      <c r="N739" s="847"/>
      <c r="O739" s="847"/>
      <c r="P739" s="847"/>
      <c r="Q739" s="847"/>
      <c r="R739" s="847"/>
      <c r="S739" s="847"/>
      <c r="T739" s="847"/>
      <c r="U739" s="847"/>
      <c r="V739" s="847"/>
      <c r="W739" s="847"/>
      <c r="X739" s="847"/>
      <c r="Y739" s="847"/>
      <c r="Z739" s="847"/>
      <c r="AA739" s="847"/>
      <c r="AB739" s="847"/>
      <c r="AC739" s="847"/>
      <c r="AD739" s="847"/>
      <c r="AE739" s="847"/>
      <c r="AF739" s="847"/>
      <c r="AG739" s="847"/>
    </row>
    <row r="740">
      <c r="A740" s="847"/>
      <c r="B740" s="847"/>
      <c r="C740" s="847"/>
      <c r="D740" s="847"/>
      <c r="E740" s="847"/>
      <c r="F740" s="847"/>
      <c r="G740" s="847"/>
      <c r="H740" s="847"/>
      <c r="I740" s="847"/>
      <c r="J740" s="847"/>
      <c r="K740" s="847"/>
      <c r="L740" s="847"/>
      <c r="M740" s="847"/>
      <c r="N740" s="847"/>
      <c r="O740" s="847"/>
      <c r="P740" s="847"/>
      <c r="Q740" s="847"/>
      <c r="R740" s="847"/>
      <c r="S740" s="847"/>
      <c r="T740" s="847"/>
      <c r="U740" s="847"/>
      <c r="V740" s="847"/>
      <c r="W740" s="847"/>
      <c r="X740" s="847"/>
      <c r="Y740" s="847"/>
      <c r="Z740" s="847"/>
      <c r="AA740" s="847"/>
      <c r="AB740" s="847"/>
      <c r="AC740" s="847"/>
      <c r="AD740" s="847"/>
      <c r="AE740" s="847"/>
      <c r="AF740" s="847"/>
      <c r="AG740" s="847"/>
    </row>
    <row r="741">
      <c r="A741" s="847"/>
      <c r="B741" s="847"/>
      <c r="C741" s="847"/>
      <c r="D741" s="847"/>
      <c r="E741" s="847"/>
      <c r="F741" s="847"/>
      <c r="G741" s="847"/>
      <c r="H741" s="847"/>
      <c r="I741" s="847"/>
      <c r="J741" s="847"/>
      <c r="K741" s="847"/>
      <c r="L741" s="847"/>
      <c r="M741" s="847"/>
      <c r="N741" s="847"/>
      <c r="O741" s="847"/>
      <c r="P741" s="847"/>
      <c r="Q741" s="847"/>
      <c r="R741" s="847"/>
      <c r="S741" s="847"/>
      <c r="T741" s="847"/>
      <c r="U741" s="847"/>
      <c r="V741" s="847"/>
      <c r="W741" s="847"/>
      <c r="X741" s="847"/>
      <c r="Y741" s="847"/>
      <c r="Z741" s="847"/>
      <c r="AA741" s="847"/>
      <c r="AB741" s="847"/>
      <c r="AC741" s="847"/>
      <c r="AD741" s="847"/>
      <c r="AE741" s="847"/>
      <c r="AF741" s="847"/>
      <c r="AG741" s="847"/>
    </row>
    <row r="742">
      <c r="A742" s="847"/>
      <c r="B742" s="847"/>
      <c r="C742" s="847"/>
      <c r="D742" s="847"/>
      <c r="E742" s="847"/>
      <c r="F742" s="847"/>
      <c r="G742" s="847"/>
      <c r="H742" s="847"/>
      <c r="I742" s="847"/>
      <c r="J742" s="847"/>
      <c r="K742" s="847"/>
      <c r="L742" s="847"/>
      <c r="M742" s="847"/>
      <c r="N742" s="847"/>
      <c r="O742" s="847"/>
      <c r="P742" s="847"/>
      <c r="Q742" s="847"/>
      <c r="R742" s="847"/>
      <c r="S742" s="847"/>
      <c r="T742" s="847"/>
      <c r="U742" s="847"/>
      <c r="V742" s="847"/>
      <c r="W742" s="847"/>
      <c r="X742" s="847"/>
      <c r="Y742" s="847"/>
      <c r="Z742" s="847"/>
      <c r="AA742" s="847"/>
      <c r="AB742" s="847"/>
      <c r="AC742" s="847"/>
      <c r="AD742" s="847"/>
      <c r="AE742" s="847"/>
      <c r="AF742" s="847"/>
      <c r="AG742" s="847"/>
    </row>
    <row r="743">
      <c r="A743" s="847"/>
      <c r="B743" s="847"/>
      <c r="C743" s="847"/>
      <c r="D743" s="847"/>
      <c r="E743" s="847"/>
      <c r="F743" s="847"/>
      <c r="G743" s="847"/>
      <c r="H743" s="847"/>
      <c r="I743" s="847"/>
      <c r="J743" s="847"/>
      <c r="K743" s="847"/>
      <c r="L743" s="847"/>
      <c r="M743" s="847"/>
      <c r="N743" s="847"/>
      <c r="O743" s="847"/>
      <c r="P743" s="847"/>
      <c r="Q743" s="847"/>
      <c r="R743" s="847"/>
      <c r="S743" s="847"/>
      <c r="T743" s="847"/>
      <c r="U743" s="847"/>
      <c r="V743" s="847"/>
      <c r="W743" s="847"/>
      <c r="X743" s="847"/>
      <c r="Y743" s="847"/>
      <c r="Z743" s="847"/>
      <c r="AA743" s="847"/>
      <c r="AB743" s="847"/>
      <c r="AC743" s="847"/>
      <c r="AD743" s="847"/>
      <c r="AE743" s="847"/>
      <c r="AF743" s="847"/>
      <c r="AG743" s="847"/>
    </row>
    <row r="744">
      <c r="A744" s="847"/>
      <c r="B744" s="847"/>
      <c r="C744" s="847"/>
      <c r="D744" s="847"/>
      <c r="E744" s="847"/>
      <c r="F744" s="847"/>
      <c r="G744" s="847"/>
      <c r="H744" s="847"/>
      <c r="I744" s="847"/>
      <c r="J744" s="847"/>
      <c r="K744" s="847"/>
      <c r="L744" s="847"/>
      <c r="M744" s="847"/>
      <c r="N744" s="847"/>
      <c r="O744" s="847"/>
      <c r="P744" s="847"/>
      <c r="Q744" s="847"/>
      <c r="R744" s="847"/>
      <c r="S744" s="847"/>
      <c r="T744" s="847"/>
      <c r="U744" s="847"/>
      <c r="V744" s="847"/>
      <c r="W744" s="847"/>
      <c r="X744" s="847"/>
      <c r="Y744" s="847"/>
      <c r="Z744" s="847"/>
      <c r="AA744" s="847"/>
      <c r="AB744" s="847"/>
      <c r="AC744" s="847"/>
      <c r="AD744" s="847"/>
      <c r="AE744" s="847"/>
      <c r="AF744" s="847"/>
      <c r="AG744" s="847"/>
    </row>
    <row r="745">
      <c r="A745" s="847"/>
      <c r="B745" s="847"/>
      <c r="C745" s="847"/>
      <c r="D745" s="847"/>
      <c r="E745" s="847"/>
      <c r="F745" s="847"/>
      <c r="G745" s="847"/>
      <c r="H745" s="847"/>
      <c r="I745" s="847"/>
      <c r="J745" s="847"/>
      <c r="K745" s="847"/>
      <c r="L745" s="847"/>
      <c r="M745" s="847"/>
      <c r="N745" s="847"/>
      <c r="O745" s="847"/>
      <c r="P745" s="847"/>
      <c r="Q745" s="847"/>
      <c r="R745" s="847"/>
      <c r="S745" s="847"/>
      <c r="T745" s="847"/>
      <c r="U745" s="847"/>
      <c r="V745" s="847"/>
      <c r="W745" s="847"/>
      <c r="X745" s="847"/>
      <c r="Y745" s="847"/>
      <c r="Z745" s="847"/>
      <c r="AA745" s="847"/>
      <c r="AB745" s="847"/>
      <c r="AC745" s="847"/>
      <c r="AD745" s="847"/>
      <c r="AE745" s="847"/>
      <c r="AF745" s="847"/>
      <c r="AG745" s="847"/>
    </row>
    <row r="746">
      <c r="A746" s="847"/>
      <c r="B746" s="847"/>
      <c r="C746" s="847"/>
      <c r="D746" s="847"/>
      <c r="E746" s="847"/>
      <c r="F746" s="847"/>
      <c r="G746" s="847"/>
      <c r="H746" s="847"/>
      <c r="I746" s="847"/>
      <c r="J746" s="847"/>
      <c r="K746" s="847"/>
      <c r="L746" s="847"/>
      <c r="M746" s="847"/>
      <c r="N746" s="847"/>
      <c r="O746" s="847"/>
      <c r="P746" s="847"/>
      <c r="Q746" s="847"/>
      <c r="R746" s="847"/>
      <c r="S746" s="847"/>
      <c r="T746" s="847"/>
      <c r="U746" s="847"/>
      <c r="V746" s="847"/>
      <c r="W746" s="847"/>
      <c r="X746" s="847"/>
      <c r="Y746" s="847"/>
      <c r="Z746" s="847"/>
      <c r="AA746" s="847"/>
      <c r="AB746" s="847"/>
      <c r="AC746" s="847"/>
      <c r="AD746" s="847"/>
      <c r="AE746" s="847"/>
      <c r="AF746" s="847"/>
      <c r="AG746" s="847"/>
    </row>
    <row r="747">
      <c r="A747" s="847"/>
      <c r="B747" s="847"/>
      <c r="C747" s="847"/>
      <c r="D747" s="847"/>
      <c r="E747" s="847"/>
      <c r="F747" s="847"/>
      <c r="G747" s="847"/>
      <c r="H747" s="847"/>
      <c r="I747" s="847"/>
      <c r="J747" s="847"/>
      <c r="K747" s="847"/>
      <c r="L747" s="847"/>
      <c r="M747" s="847"/>
      <c r="N747" s="847"/>
      <c r="O747" s="847"/>
      <c r="P747" s="847"/>
      <c r="Q747" s="847"/>
      <c r="R747" s="847"/>
      <c r="S747" s="847"/>
      <c r="T747" s="847"/>
      <c r="U747" s="847"/>
      <c r="V747" s="847"/>
      <c r="W747" s="847"/>
      <c r="X747" s="847"/>
      <c r="Y747" s="847"/>
      <c r="Z747" s="847"/>
      <c r="AA747" s="847"/>
      <c r="AB747" s="847"/>
      <c r="AC747" s="847"/>
      <c r="AD747" s="847"/>
      <c r="AE747" s="847"/>
      <c r="AF747" s="847"/>
      <c r="AG747" s="847"/>
    </row>
    <row r="748">
      <c r="A748" s="847"/>
      <c r="B748" s="847"/>
      <c r="C748" s="847"/>
      <c r="D748" s="847"/>
      <c r="E748" s="847"/>
      <c r="F748" s="847"/>
      <c r="G748" s="847"/>
      <c r="H748" s="847"/>
      <c r="I748" s="847"/>
      <c r="J748" s="847"/>
      <c r="K748" s="847"/>
      <c r="L748" s="847"/>
      <c r="M748" s="847"/>
      <c r="N748" s="847"/>
      <c r="O748" s="847"/>
      <c r="P748" s="847"/>
      <c r="Q748" s="847"/>
      <c r="R748" s="847"/>
      <c r="S748" s="847"/>
      <c r="T748" s="847"/>
      <c r="U748" s="847"/>
      <c r="V748" s="847"/>
      <c r="W748" s="847"/>
      <c r="X748" s="847"/>
      <c r="Y748" s="847"/>
      <c r="Z748" s="847"/>
      <c r="AA748" s="847"/>
      <c r="AB748" s="847"/>
      <c r="AC748" s="847"/>
      <c r="AD748" s="847"/>
      <c r="AE748" s="847"/>
      <c r="AF748" s="847"/>
      <c r="AG748" s="847"/>
    </row>
    <row r="749">
      <c r="A749" s="847"/>
      <c r="B749" s="847"/>
      <c r="C749" s="847"/>
      <c r="D749" s="847"/>
      <c r="E749" s="847"/>
      <c r="F749" s="847"/>
      <c r="G749" s="847"/>
      <c r="H749" s="847"/>
      <c r="I749" s="847"/>
      <c r="J749" s="847"/>
      <c r="K749" s="847"/>
      <c r="L749" s="847"/>
      <c r="M749" s="847"/>
      <c r="N749" s="847"/>
      <c r="O749" s="847"/>
      <c r="P749" s="847"/>
      <c r="Q749" s="847"/>
      <c r="R749" s="847"/>
      <c r="S749" s="847"/>
      <c r="T749" s="847"/>
      <c r="U749" s="847"/>
      <c r="V749" s="847"/>
      <c r="W749" s="847"/>
      <c r="X749" s="847"/>
      <c r="Y749" s="847"/>
      <c r="Z749" s="847"/>
      <c r="AA749" s="847"/>
      <c r="AB749" s="847"/>
      <c r="AC749" s="847"/>
      <c r="AD749" s="847"/>
      <c r="AE749" s="847"/>
      <c r="AF749" s="847"/>
      <c r="AG749" s="847"/>
    </row>
    <row r="750">
      <c r="A750" s="847"/>
      <c r="B750" s="847"/>
      <c r="C750" s="847"/>
      <c r="D750" s="847"/>
      <c r="E750" s="847"/>
      <c r="F750" s="847"/>
      <c r="G750" s="847"/>
      <c r="H750" s="847"/>
      <c r="I750" s="847"/>
      <c r="J750" s="847"/>
      <c r="K750" s="847"/>
      <c r="L750" s="847"/>
      <c r="M750" s="847"/>
      <c r="N750" s="847"/>
      <c r="O750" s="847"/>
      <c r="P750" s="847"/>
      <c r="Q750" s="847"/>
      <c r="R750" s="847"/>
      <c r="S750" s="847"/>
      <c r="T750" s="847"/>
      <c r="U750" s="847"/>
      <c r="V750" s="847"/>
      <c r="W750" s="847"/>
      <c r="X750" s="847"/>
      <c r="Y750" s="847"/>
      <c r="Z750" s="847"/>
      <c r="AA750" s="847"/>
      <c r="AB750" s="847"/>
      <c r="AC750" s="847"/>
      <c r="AD750" s="847"/>
      <c r="AE750" s="847"/>
      <c r="AF750" s="847"/>
      <c r="AG750" s="847"/>
    </row>
    <row r="751">
      <c r="A751" s="847"/>
      <c r="B751" s="847"/>
      <c r="C751" s="847"/>
      <c r="D751" s="847"/>
      <c r="E751" s="847"/>
      <c r="F751" s="847"/>
      <c r="G751" s="847"/>
      <c r="H751" s="847"/>
      <c r="I751" s="847"/>
      <c r="J751" s="847"/>
      <c r="K751" s="847"/>
      <c r="L751" s="847"/>
      <c r="M751" s="847"/>
      <c r="N751" s="847"/>
      <c r="O751" s="847"/>
      <c r="P751" s="847"/>
      <c r="Q751" s="847"/>
      <c r="R751" s="847"/>
      <c r="S751" s="847"/>
      <c r="T751" s="847"/>
      <c r="U751" s="847"/>
      <c r="V751" s="847"/>
      <c r="W751" s="847"/>
      <c r="X751" s="847"/>
      <c r="Y751" s="847"/>
      <c r="Z751" s="847"/>
      <c r="AA751" s="847"/>
      <c r="AB751" s="847"/>
      <c r="AC751" s="847"/>
      <c r="AD751" s="847"/>
      <c r="AE751" s="847"/>
      <c r="AF751" s="847"/>
      <c r="AG751" s="847"/>
    </row>
    <row r="752">
      <c r="A752" s="847"/>
      <c r="B752" s="847"/>
      <c r="C752" s="847"/>
      <c r="D752" s="847"/>
      <c r="E752" s="847"/>
      <c r="F752" s="847"/>
      <c r="G752" s="847"/>
      <c r="H752" s="847"/>
      <c r="I752" s="847"/>
      <c r="J752" s="847"/>
      <c r="K752" s="847"/>
      <c r="L752" s="847"/>
      <c r="M752" s="847"/>
      <c r="N752" s="847"/>
      <c r="O752" s="847"/>
      <c r="P752" s="847"/>
      <c r="Q752" s="847"/>
      <c r="R752" s="847"/>
      <c r="S752" s="847"/>
      <c r="T752" s="847"/>
      <c r="U752" s="847"/>
      <c r="V752" s="847"/>
      <c r="W752" s="847"/>
      <c r="X752" s="847"/>
      <c r="Y752" s="847"/>
      <c r="Z752" s="847"/>
      <c r="AA752" s="847"/>
      <c r="AB752" s="847"/>
      <c r="AC752" s="847"/>
      <c r="AD752" s="847"/>
      <c r="AE752" s="847"/>
      <c r="AF752" s="847"/>
      <c r="AG752" s="847"/>
    </row>
    <row r="753">
      <c r="A753" s="847"/>
      <c r="B753" s="847"/>
      <c r="C753" s="847"/>
      <c r="D753" s="847"/>
      <c r="E753" s="847"/>
      <c r="F753" s="847"/>
      <c r="G753" s="847"/>
      <c r="H753" s="847"/>
      <c r="I753" s="847"/>
      <c r="J753" s="847"/>
      <c r="K753" s="847"/>
      <c r="L753" s="847"/>
      <c r="M753" s="847"/>
      <c r="N753" s="847"/>
      <c r="O753" s="847"/>
      <c r="P753" s="847"/>
      <c r="Q753" s="847"/>
      <c r="R753" s="847"/>
      <c r="S753" s="847"/>
      <c r="T753" s="847"/>
      <c r="U753" s="847"/>
      <c r="V753" s="847"/>
      <c r="W753" s="847"/>
      <c r="X753" s="847"/>
      <c r="Y753" s="847"/>
      <c r="Z753" s="847"/>
      <c r="AA753" s="847"/>
      <c r="AB753" s="847"/>
      <c r="AC753" s="847"/>
      <c r="AD753" s="847"/>
      <c r="AE753" s="847"/>
      <c r="AF753" s="847"/>
      <c r="AG753" s="847"/>
    </row>
    <row r="754">
      <c r="A754" s="847"/>
      <c r="B754" s="847"/>
      <c r="C754" s="847"/>
      <c r="D754" s="847"/>
      <c r="E754" s="847"/>
      <c r="F754" s="847"/>
      <c r="G754" s="847"/>
      <c r="H754" s="847"/>
      <c r="I754" s="847"/>
      <c r="J754" s="847"/>
      <c r="K754" s="847"/>
      <c r="L754" s="847"/>
      <c r="M754" s="847"/>
      <c r="N754" s="847"/>
      <c r="O754" s="847"/>
      <c r="P754" s="847"/>
      <c r="Q754" s="847"/>
      <c r="R754" s="847"/>
      <c r="S754" s="847"/>
      <c r="T754" s="847"/>
      <c r="U754" s="847"/>
      <c r="V754" s="847"/>
      <c r="W754" s="847"/>
      <c r="X754" s="847"/>
      <c r="Y754" s="847"/>
      <c r="Z754" s="847"/>
      <c r="AA754" s="847"/>
      <c r="AB754" s="847"/>
      <c r="AC754" s="847"/>
      <c r="AD754" s="847"/>
      <c r="AE754" s="847"/>
      <c r="AF754" s="847"/>
      <c r="AG754" s="847"/>
    </row>
    <row r="755">
      <c r="A755" s="847"/>
      <c r="B755" s="847"/>
      <c r="C755" s="847"/>
      <c r="D755" s="847"/>
      <c r="E755" s="847"/>
      <c r="F755" s="847"/>
      <c r="G755" s="847"/>
      <c r="H755" s="847"/>
      <c r="I755" s="847"/>
      <c r="J755" s="847"/>
      <c r="K755" s="847"/>
      <c r="L755" s="847"/>
      <c r="M755" s="847"/>
      <c r="N755" s="847"/>
      <c r="O755" s="847"/>
      <c r="P755" s="847"/>
      <c r="Q755" s="847"/>
      <c r="R755" s="847"/>
      <c r="S755" s="847"/>
      <c r="T755" s="847"/>
      <c r="U755" s="847"/>
      <c r="V755" s="847"/>
      <c r="W755" s="847"/>
      <c r="X755" s="847"/>
      <c r="Y755" s="847"/>
      <c r="Z755" s="847"/>
      <c r="AA755" s="847"/>
      <c r="AB755" s="847"/>
      <c r="AC755" s="847"/>
      <c r="AD755" s="847"/>
      <c r="AE755" s="847"/>
      <c r="AF755" s="847"/>
      <c r="AG755" s="847"/>
    </row>
    <row r="756">
      <c r="A756" s="847"/>
      <c r="B756" s="847"/>
      <c r="C756" s="847"/>
      <c r="D756" s="847"/>
      <c r="E756" s="847"/>
      <c r="F756" s="847"/>
      <c r="G756" s="847"/>
      <c r="H756" s="847"/>
      <c r="I756" s="847"/>
      <c r="J756" s="847"/>
      <c r="K756" s="847"/>
      <c r="L756" s="847"/>
      <c r="M756" s="847"/>
      <c r="N756" s="847"/>
      <c r="O756" s="847"/>
      <c r="P756" s="847"/>
      <c r="Q756" s="847"/>
      <c r="R756" s="847"/>
      <c r="S756" s="847"/>
      <c r="T756" s="847"/>
      <c r="U756" s="847"/>
      <c r="V756" s="847"/>
      <c r="W756" s="847"/>
      <c r="X756" s="847"/>
      <c r="Y756" s="847"/>
      <c r="Z756" s="847"/>
      <c r="AA756" s="847"/>
      <c r="AB756" s="847"/>
      <c r="AC756" s="847"/>
      <c r="AD756" s="847"/>
      <c r="AE756" s="847"/>
      <c r="AF756" s="847"/>
      <c r="AG756" s="847"/>
    </row>
    <row r="757">
      <c r="A757" s="847"/>
      <c r="B757" s="847"/>
      <c r="C757" s="847"/>
      <c r="D757" s="847"/>
      <c r="E757" s="847"/>
      <c r="F757" s="847"/>
      <c r="G757" s="847"/>
      <c r="H757" s="847"/>
      <c r="I757" s="847"/>
      <c r="J757" s="847"/>
      <c r="K757" s="847"/>
      <c r="L757" s="847"/>
      <c r="M757" s="847"/>
      <c r="N757" s="847"/>
      <c r="O757" s="847"/>
      <c r="P757" s="847"/>
      <c r="Q757" s="847"/>
      <c r="R757" s="847"/>
      <c r="S757" s="847"/>
      <c r="T757" s="847"/>
      <c r="U757" s="847"/>
      <c r="V757" s="847"/>
      <c r="W757" s="847"/>
      <c r="X757" s="847"/>
      <c r="Y757" s="847"/>
      <c r="Z757" s="847"/>
      <c r="AA757" s="847"/>
      <c r="AB757" s="847"/>
      <c r="AC757" s="847"/>
      <c r="AD757" s="847"/>
      <c r="AE757" s="847"/>
      <c r="AF757" s="847"/>
      <c r="AG757" s="847"/>
    </row>
    <row r="758">
      <c r="A758" s="847"/>
      <c r="B758" s="847"/>
      <c r="C758" s="847"/>
      <c r="D758" s="847"/>
      <c r="E758" s="847"/>
      <c r="F758" s="847"/>
      <c r="G758" s="847"/>
      <c r="H758" s="847"/>
      <c r="I758" s="847"/>
      <c r="J758" s="847"/>
      <c r="K758" s="847"/>
      <c r="L758" s="847"/>
      <c r="M758" s="847"/>
      <c r="N758" s="847"/>
      <c r="O758" s="847"/>
      <c r="P758" s="847"/>
      <c r="Q758" s="847"/>
      <c r="R758" s="847"/>
      <c r="S758" s="847"/>
      <c r="T758" s="847"/>
      <c r="U758" s="847"/>
      <c r="V758" s="847"/>
      <c r="W758" s="847"/>
      <c r="X758" s="847"/>
      <c r="Y758" s="847"/>
      <c r="Z758" s="847"/>
      <c r="AA758" s="847"/>
      <c r="AB758" s="847"/>
      <c r="AC758" s="847"/>
      <c r="AD758" s="847"/>
      <c r="AE758" s="847"/>
      <c r="AF758" s="847"/>
      <c r="AG758" s="847"/>
    </row>
    <row r="759">
      <c r="A759" s="847"/>
      <c r="B759" s="847"/>
      <c r="C759" s="847"/>
      <c r="D759" s="847"/>
      <c r="E759" s="847"/>
      <c r="F759" s="847"/>
      <c r="G759" s="847"/>
      <c r="H759" s="847"/>
      <c r="I759" s="847"/>
      <c r="J759" s="847"/>
      <c r="K759" s="847"/>
      <c r="L759" s="847"/>
      <c r="M759" s="847"/>
      <c r="N759" s="847"/>
      <c r="O759" s="847"/>
      <c r="P759" s="847"/>
      <c r="Q759" s="847"/>
      <c r="R759" s="847"/>
      <c r="S759" s="847"/>
      <c r="T759" s="847"/>
      <c r="U759" s="847"/>
      <c r="V759" s="847"/>
      <c r="W759" s="847"/>
      <c r="X759" s="847"/>
      <c r="Y759" s="847"/>
      <c r="Z759" s="847"/>
      <c r="AA759" s="847"/>
      <c r="AB759" s="847"/>
      <c r="AC759" s="847"/>
      <c r="AD759" s="847"/>
      <c r="AE759" s="847"/>
      <c r="AF759" s="847"/>
      <c r="AG759" s="847"/>
    </row>
    <row r="760">
      <c r="A760" s="847"/>
      <c r="B760" s="847"/>
      <c r="C760" s="847"/>
      <c r="D760" s="847"/>
      <c r="E760" s="847"/>
      <c r="F760" s="847"/>
      <c r="G760" s="847"/>
      <c r="H760" s="847"/>
      <c r="I760" s="847"/>
      <c r="J760" s="847"/>
      <c r="K760" s="847"/>
      <c r="L760" s="847"/>
      <c r="M760" s="847"/>
      <c r="N760" s="847"/>
      <c r="O760" s="847"/>
      <c r="P760" s="847"/>
      <c r="Q760" s="847"/>
      <c r="R760" s="847"/>
      <c r="S760" s="847"/>
      <c r="T760" s="847"/>
      <c r="U760" s="847"/>
      <c r="V760" s="847"/>
      <c r="W760" s="847"/>
      <c r="X760" s="847"/>
      <c r="Y760" s="847"/>
      <c r="Z760" s="847"/>
      <c r="AA760" s="847"/>
      <c r="AB760" s="847"/>
      <c r="AC760" s="847"/>
      <c r="AD760" s="847"/>
      <c r="AE760" s="847"/>
      <c r="AF760" s="847"/>
      <c r="AG760" s="847"/>
    </row>
    <row r="761">
      <c r="A761" s="847"/>
      <c r="B761" s="847"/>
      <c r="C761" s="847"/>
      <c r="D761" s="847"/>
      <c r="E761" s="847"/>
      <c r="F761" s="847"/>
      <c r="G761" s="847"/>
      <c r="H761" s="847"/>
      <c r="I761" s="847"/>
      <c r="J761" s="847"/>
      <c r="K761" s="847"/>
      <c r="L761" s="847"/>
      <c r="M761" s="847"/>
      <c r="N761" s="847"/>
      <c r="O761" s="847"/>
      <c r="P761" s="847"/>
      <c r="Q761" s="847"/>
      <c r="R761" s="847"/>
      <c r="S761" s="847"/>
      <c r="T761" s="847"/>
      <c r="U761" s="847"/>
      <c r="V761" s="847"/>
      <c r="W761" s="847"/>
      <c r="X761" s="847"/>
      <c r="Y761" s="847"/>
      <c r="Z761" s="847"/>
      <c r="AA761" s="847"/>
      <c r="AB761" s="847"/>
      <c r="AC761" s="847"/>
      <c r="AD761" s="847"/>
      <c r="AE761" s="847"/>
      <c r="AF761" s="847"/>
      <c r="AG761" s="847"/>
    </row>
    <row r="762">
      <c r="A762" s="847"/>
      <c r="B762" s="847"/>
      <c r="C762" s="847"/>
      <c r="D762" s="847"/>
      <c r="E762" s="847"/>
      <c r="F762" s="847"/>
      <c r="G762" s="847"/>
      <c r="H762" s="847"/>
      <c r="I762" s="847"/>
      <c r="J762" s="847"/>
      <c r="K762" s="847"/>
      <c r="L762" s="847"/>
      <c r="M762" s="847"/>
      <c r="N762" s="847"/>
      <c r="O762" s="847"/>
      <c r="P762" s="847"/>
      <c r="Q762" s="847"/>
      <c r="R762" s="847"/>
      <c r="S762" s="847"/>
      <c r="T762" s="847"/>
      <c r="U762" s="847"/>
      <c r="V762" s="847"/>
      <c r="W762" s="847"/>
      <c r="X762" s="847"/>
      <c r="Y762" s="847"/>
      <c r="Z762" s="847"/>
      <c r="AA762" s="847"/>
      <c r="AB762" s="847"/>
      <c r="AC762" s="847"/>
      <c r="AD762" s="847"/>
      <c r="AE762" s="847"/>
      <c r="AF762" s="847"/>
      <c r="AG762" s="847"/>
    </row>
    <row r="763">
      <c r="A763" s="847"/>
      <c r="B763" s="847"/>
      <c r="C763" s="847"/>
      <c r="D763" s="847"/>
      <c r="E763" s="847"/>
      <c r="F763" s="847"/>
      <c r="G763" s="847"/>
      <c r="H763" s="847"/>
      <c r="I763" s="847"/>
      <c r="J763" s="847"/>
      <c r="K763" s="847"/>
      <c r="L763" s="847"/>
      <c r="M763" s="847"/>
      <c r="N763" s="847"/>
      <c r="O763" s="847"/>
      <c r="P763" s="847"/>
      <c r="Q763" s="847"/>
      <c r="R763" s="847"/>
      <c r="S763" s="847"/>
      <c r="T763" s="847"/>
      <c r="U763" s="847"/>
      <c r="V763" s="847"/>
      <c r="W763" s="847"/>
      <c r="X763" s="847"/>
      <c r="Y763" s="847"/>
      <c r="Z763" s="847"/>
      <c r="AA763" s="847"/>
      <c r="AB763" s="847"/>
      <c r="AC763" s="847"/>
      <c r="AD763" s="847"/>
      <c r="AE763" s="847"/>
      <c r="AF763" s="847"/>
      <c r="AG763" s="847"/>
    </row>
    <row r="764">
      <c r="A764" s="847"/>
      <c r="B764" s="847"/>
      <c r="C764" s="847"/>
      <c r="D764" s="847"/>
      <c r="E764" s="847"/>
      <c r="F764" s="847"/>
      <c r="G764" s="847"/>
      <c r="H764" s="847"/>
      <c r="I764" s="847"/>
      <c r="J764" s="847"/>
      <c r="K764" s="847"/>
      <c r="L764" s="847"/>
      <c r="M764" s="847"/>
      <c r="N764" s="847"/>
      <c r="O764" s="847"/>
      <c r="P764" s="847"/>
      <c r="Q764" s="847"/>
      <c r="R764" s="847"/>
      <c r="S764" s="847"/>
      <c r="T764" s="847"/>
      <c r="U764" s="847"/>
      <c r="V764" s="847"/>
      <c r="W764" s="847"/>
      <c r="X764" s="847"/>
      <c r="Y764" s="847"/>
      <c r="Z764" s="847"/>
      <c r="AA764" s="847"/>
      <c r="AB764" s="847"/>
      <c r="AC764" s="847"/>
      <c r="AD764" s="847"/>
      <c r="AE764" s="847"/>
      <c r="AF764" s="847"/>
      <c r="AG764" s="847"/>
    </row>
    <row r="765">
      <c r="A765" s="847"/>
      <c r="B765" s="847"/>
      <c r="C765" s="847"/>
      <c r="D765" s="847"/>
      <c r="E765" s="847"/>
      <c r="F765" s="847"/>
      <c r="G765" s="847"/>
      <c r="H765" s="847"/>
      <c r="I765" s="847"/>
      <c r="J765" s="847"/>
      <c r="K765" s="847"/>
      <c r="L765" s="847"/>
      <c r="M765" s="847"/>
      <c r="N765" s="847"/>
      <c r="O765" s="847"/>
      <c r="P765" s="847"/>
      <c r="Q765" s="847"/>
      <c r="R765" s="847"/>
      <c r="S765" s="847"/>
      <c r="T765" s="847"/>
      <c r="U765" s="847"/>
      <c r="V765" s="847"/>
      <c r="W765" s="847"/>
      <c r="X765" s="847"/>
      <c r="Y765" s="847"/>
      <c r="Z765" s="847"/>
      <c r="AA765" s="847"/>
      <c r="AB765" s="847"/>
      <c r="AC765" s="847"/>
      <c r="AD765" s="847"/>
      <c r="AE765" s="847"/>
      <c r="AF765" s="847"/>
      <c r="AG765" s="847"/>
    </row>
    <row r="766">
      <c r="A766" s="847"/>
      <c r="B766" s="847"/>
      <c r="C766" s="847"/>
      <c r="D766" s="847"/>
      <c r="E766" s="847"/>
      <c r="F766" s="847"/>
      <c r="G766" s="847"/>
      <c r="H766" s="847"/>
      <c r="I766" s="847"/>
      <c r="J766" s="847"/>
      <c r="K766" s="847"/>
      <c r="L766" s="847"/>
      <c r="M766" s="847"/>
      <c r="N766" s="847"/>
      <c r="O766" s="847"/>
      <c r="P766" s="847"/>
      <c r="Q766" s="847"/>
      <c r="R766" s="847"/>
      <c r="S766" s="847"/>
      <c r="T766" s="847"/>
      <c r="U766" s="847"/>
      <c r="V766" s="847"/>
      <c r="W766" s="847"/>
      <c r="X766" s="847"/>
      <c r="Y766" s="847"/>
      <c r="Z766" s="847"/>
      <c r="AA766" s="847"/>
      <c r="AB766" s="847"/>
      <c r="AC766" s="847"/>
      <c r="AD766" s="847"/>
      <c r="AE766" s="847"/>
      <c r="AF766" s="847"/>
      <c r="AG766" s="847"/>
    </row>
    <row r="767">
      <c r="A767" s="847"/>
      <c r="B767" s="847"/>
      <c r="C767" s="847"/>
      <c r="D767" s="847"/>
      <c r="E767" s="847"/>
      <c r="F767" s="847"/>
      <c r="G767" s="847"/>
      <c r="H767" s="847"/>
      <c r="I767" s="847"/>
      <c r="J767" s="847"/>
      <c r="K767" s="847"/>
      <c r="L767" s="847"/>
      <c r="M767" s="847"/>
      <c r="N767" s="847"/>
      <c r="O767" s="847"/>
      <c r="P767" s="847"/>
      <c r="Q767" s="847"/>
      <c r="R767" s="847"/>
      <c r="S767" s="847"/>
      <c r="T767" s="847"/>
      <c r="U767" s="847"/>
      <c r="V767" s="847"/>
      <c r="W767" s="847"/>
      <c r="X767" s="847"/>
      <c r="Y767" s="847"/>
      <c r="Z767" s="847"/>
      <c r="AA767" s="847"/>
      <c r="AB767" s="847"/>
      <c r="AC767" s="847"/>
      <c r="AD767" s="847"/>
      <c r="AE767" s="847"/>
      <c r="AF767" s="847"/>
      <c r="AG767" s="847"/>
    </row>
    <row r="768">
      <c r="A768" s="847"/>
      <c r="B768" s="847"/>
      <c r="C768" s="847"/>
      <c r="D768" s="847"/>
      <c r="E768" s="847"/>
      <c r="F768" s="847"/>
      <c r="G768" s="847"/>
      <c r="H768" s="847"/>
      <c r="I768" s="847"/>
      <c r="J768" s="847"/>
      <c r="K768" s="847"/>
      <c r="L768" s="847"/>
      <c r="M768" s="847"/>
      <c r="N768" s="847"/>
      <c r="O768" s="847"/>
      <c r="P768" s="847"/>
      <c r="Q768" s="847"/>
      <c r="R768" s="847"/>
      <c r="S768" s="847"/>
      <c r="T768" s="847"/>
      <c r="U768" s="847"/>
      <c r="V768" s="847"/>
      <c r="W768" s="847"/>
      <c r="X768" s="847"/>
      <c r="Y768" s="847"/>
      <c r="Z768" s="847"/>
      <c r="AA768" s="847"/>
      <c r="AB768" s="847"/>
      <c r="AC768" s="847"/>
      <c r="AD768" s="847"/>
      <c r="AE768" s="847"/>
      <c r="AF768" s="847"/>
      <c r="AG768" s="847"/>
    </row>
    <row r="769">
      <c r="A769" s="847"/>
      <c r="B769" s="847"/>
      <c r="C769" s="847"/>
      <c r="D769" s="847"/>
      <c r="E769" s="847"/>
      <c r="F769" s="847"/>
      <c r="G769" s="847"/>
      <c r="H769" s="847"/>
      <c r="I769" s="847"/>
      <c r="J769" s="847"/>
      <c r="K769" s="847"/>
      <c r="L769" s="847"/>
      <c r="M769" s="847"/>
      <c r="N769" s="847"/>
      <c r="O769" s="847"/>
      <c r="P769" s="847"/>
      <c r="Q769" s="847"/>
      <c r="R769" s="847"/>
      <c r="S769" s="847"/>
      <c r="T769" s="847"/>
      <c r="U769" s="847"/>
      <c r="V769" s="847"/>
      <c r="W769" s="847"/>
      <c r="X769" s="847"/>
      <c r="Y769" s="847"/>
      <c r="Z769" s="847"/>
      <c r="AA769" s="847"/>
      <c r="AB769" s="847"/>
      <c r="AC769" s="847"/>
      <c r="AD769" s="847"/>
      <c r="AE769" s="847"/>
      <c r="AF769" s="847"/>
      <c r="AG769" s="847"/>
    </row>
    <row r="770">
      <c r="A770" s="847"/>
      <c r="B770" s="847"/>
      <c r="C770" s="847"/>
      <c r="D770" s="847"/>
      <c r="E770" s="847"/>
      <c r="F770" s="847"/>
      <c r="G770" s="847"/>
      <c r="H770" s="847"/>
      <c r="I770" s="847"/>
      <c r="J770" s="847"/>
      <c r="K770" s="847"/>
      <c r="L770" s="847"/>
      <c r="M770" s="847"/>
      <c r="N770" s="847"/>
      <c r="O770" s="847"/>
      <c r="P770" s="847"/>
      <c r="Q770" s="847"/>
      <c r="R770" s="847"/>
      <c r="S770" s="847"/>
      <c r="T770" s="847"/>
      <c r="U770" s="847"/>
      <c r="V770" s="847"/>
      <c r="W770" s="847"/>
      <c r="X770" s="847"/>
      <c r="Y770" s="847"/>
      <c r="Z770" s="847"/>
      <c r="AA770" s="847"/>
      <c r="AB770" s="847"/>
      <c r="AC770" s="847"/>
      <c r="AD770" s="847"/>
      <c r="AE770" s="847"/>
      <c r="AF770" s="847"/>
      <c r="AG770" s="847"/>
    </row>
    <row r="771">
      <c r="A771" s="847"/>
      <c r="B771" s="847"/>
      <c r="C771" s="847"/>
      <c r="D771" s="847"/>
      <c r="E771" s="847"/>
      <c r="F771" s="847"/>
      <c r="G771" s="847"/>
      <c r="H771" s="847"/>
      <c r="I771" s="847"/>
      <c r="J771" s="847"/>
      <c r="K771" s="847"/>
      <c r="L771" s="847"/>
      <c r="M771" s="847"/>
      <c r="N771" s="847"/>
      <c r="O771" s="847"/>
      <c r="P771" s="847"/>
      <c r="Q771" s="847"/>
      <c r="R771" s="847"/>
      <c r="S771" s="847"/>
      <c r="T771" s="847"/>
      <c r="U771" s="847"/>
      <c r="V771" s="847"/>
      <c r="W771" s="847"/>
      <c r="X771" s="847"/>
      <c r="Y771" s="847"/>
      <c r="Z771" s="847"/>
      <c r="AA771" s="847"/>
      <c r="AB771" s="847"/>
      <c r="AC771" s="847"/>
      <c r="AD771" s="847"/>
      <c r="AE771" s="847"/>
      <c r="AF771" s="847"/>
      <c r="AG771" s="847"/>
    </row>
    <row r="772">
      <c r="A772" s="847"/>
      <c r="B772" s="847"/>
      <c r="C772" s="847"/>
      <c r="D772" s="847"/>
      <c r="E772" s="847"/>
      <c r="F772" s="847"/>
      <c r="G772" s="847"/>
      <c r="H772" s="847"/>
      <c r="I772" s="847"/>
      <c r="J772" s="847"/>
      <c r="K772" s="847"/>
      <c r="L772" s="847"/>
      <c r="M772" s="847"/>
      <c r="N772" s="847"/>
      <c r="O772" s="847"/>
      <c r="P772" s="847"/>
      <c r="Q772" s="847"/>
      <c r="R772" s="847"/>
      <c r="S772" s="847"/>
      <c r="T772" s="847"/>
      <c r="U772" s="847"/>
      <c r="V772" s="847"/>
      <c r="W772" s="847"/>
      <c r="X772" s="847"/>
      <c r="Y772" s="847"/>
      <c r="Z772" s="847"/>
      <c r="AA772" s="847"/>
      <c r="AB772" s="847"/>
      <c r="AC772" s="847"/>
      <c r="AD772" s="847"/>
      <c r="AE772" s="847"/>
      <c r="AF772" s="847"/>
      <c r="AG772" s="847"/>
    </row>
    <row r="773">
      <c r="A773" s="847"/>
      <c r="B773" s="847"/>
      <c r="C773" s="847"/>
      <c r="D773" s="847"/>
      <c r="E773" s="847"/>
      <c r="F773" s="847"/>
      <c r="G773" s="847"/>
      <c r="H773" s="847"/>
      <c r="I773" s="847"/>
      <c r="J773" s="847"/>
      <c r="K773" s="847"/>
      <c r="L773" s="847"/>
      <c r="M773" s="847"/>
      <c r="N773" s="847"/>
      <c r="O773" s="847"/>
      <c r="P773" s="847"/>
      <c r="Q773" s="847"/>
      <c r="R773" s="847"/>
      <c r="S773" s="847"/>
      <c r="T773" s="847"/>
      <c r="U773" s="847"/>
      <c r="V773" s="847"/>
      <c r="W773" s="847"/>
      <c r="X773" s="847"/>
      <c r="Y773" s="847"/>
      <c r="Z773" s="847"/>
      <c r="AA773" s="847"/>
      <c r="AB773" s="847"/>
      <c r="AC773" s="847"/>
      <c r="AD773" s="847"/>
      <c r="AE773" s="847"/>
      <c r="AF773" s="847"/>
      <c r="AG773" s="847"/>
    </row>
    <row r="774">
      <c r="A774" s="847"/>
      <c r="B774" s="847"/>
      <c r="C774" s="847"/>
      <c r="D774" s="847"/>
      <c r="E774" s="847"/>
      <c r="F774" s="847"/>
      <c r="G774" s="847"/>
      <c r="H774" s="847"/>
      <c r="I774" s="847"/>
      <c r="J774" s="847"/>
      <c r="K774" s="847"/>
      <c r="L774" s="847"/>
      <c r="M774" s="847"/>
      <c r="N774" s="847"/>
      <c r="O774" s="847"/>
      <c r="P774" s="847"/>
      <c r="Q774" s="847"/>
      <c r="R774" s="847"/>
      <c r="S774" s="847"/>
      <c r="T774" s="847"/>
      <c r="U774" s="847"/>
      <c r="V774" s="847"/>
      <c r="W774" s="847"/>
      <c r="X774" s="847"/>
      <c r="Y774" s="847"/>
      <c r="Z774" s="847"/>
      <c r="AA774" s="847"/>
      <c r="AB774" s="847"/>
      <c r="AC774" s="847"/>
      <c r="AD774" s="847"/>
      <c r="AE774" s="847"/>
      <c r="AF774" s="847"/>
      <c r="AG774" s="847"/>
    </row>
    <row r="775">
      <c r="A775" s="847"/>
      <c r="B775" s="847"/>
      <c r="C775" s="847"/>
      <c r="D775" s="847"/>
      <c r="E775" s="847"/>
      <c r="F775" s="847"/>
      <c r="G775" s="847"/>
      <c r="H775" s="847"/>
      <c r="I775" s="847"/>
      <c r="J775" s="847"/>
      <c r="K775" s="847"/>
      <c r="L775" s="847"/>
      <c r="M775" s="847"/>
      <c r="N775" s="847"/>
      <c r="O775" s="847"/>
      <c r="P775" s="847"/>
      <c r="Q775" s="847"/>
      <c r="R775" s="847"/>
      <c r="S775" s="847"/>
      <c r="T775" s="847"/>
      <c r="U775" s="847"/>
      <c r="V775" s="847"/>
      <c r="W775" s="847"/>
      <c r="X775" s="847"/>
      <c r="Y775" s="847"/>
      <c r="Z775" s="847"/>
      <c r="AA775" s="847"/>
      <c r="AB775" s="847"/>
      <c r="AC775" s="847"/>
      <c r="AD775" s="847"/>
      <c r="AE775" s="847"/>
      <c r="AF775" s="847"/>
      <c r="AG775" s="847"/>
    </row>
    <row r="776">
      <c r="A776" s="847"/>
      <c r="B776" s="847"/>
      <c r="C776" s="847"/>
      <c r="D776" s="847"/>
      <c r="E776" s="847"/>
      <c r="F776" s="847"/>
      <c r="G776" s="847"/>
      <c r="H776" s="847"/>
      <c r="I776" s="847"/>
      <c r="J776" s="847"/>
      <c r="K776" s="847"/>
      <c r="L776" s="847"/>
      <c r="M776" s="847"/>
      <c r="N776" s="847"/>
      <c r="O776" s="847"/>
      <c r="P776" s="847"/>
      <c r="Q776" s="847"/>
      <c r="R776" s="847"/>
      <c r="S776" s="847"/>
      <c r="T776" s="847"/>
      <c r="U776" s="847"/>
      <c r="V776" s="847"/>
      <c r="W776" s="847"/>
      <c r="X776" s="847"/>
      <c r="Y776" s="847"/>
      <c r="Z776" s="847"/>
      <c r="AA776" s="847"/>
      <c r="AB776" s="847"/>
      <c r="AC776" s="847"/>
      <c r="AD776" s="847"/>
      <c r="AE776" s="847"/>
      <c r="AF776" s="847"/>
      <c r="AG776" s="847"/>
    </row>
    <row r="777">
      <c r="A777" s="847"/>
      <c r="B777" s="847"/>
      <c r="C777" s="847"/>
      <c r="D777" s="847"/>
      <c r="E777" s="847"/>
      <c r="F777" s="847"/>
      <c r="G777" s="847"/>
      <c r="H777" s="847"/>
      <c r="I777" s="847"/>
      <c r="J777" s="847"/>
      <c r="K777" s="847"/>
      <c r="L777" s="847"/>
      <c r="M777" s="847"/>
      <c r="N777" s="847"/>
      <c r="O777" s="847"/>
      <c r="P777" s="847"/>
      <c r="Q777" s="847"/>
      <c r="R777" s="847"/>
      <c r="S777" s="847"/>
      <c r="T777" s="847"/>
      <c r="U777" s="847"/>
      <c r="V777" s="847"/>
      <c r="W777" s="847"/>
      <c r="X777" s="847"/>
      <c r="Y777" s="847"/>
      <c r="Z777" s="847"/>
      <c r="AA777" s="847"/>
      <c r="AB777" s="847"/>
      <c r="AC777" s="847"/>
      <c r="AD777" s="847"/>
      <c r="AE777" s="847"/>
      <c r="AF777" s="847"/>
      <c r="AG777" s="847"/>
    </row>
    <row r="778">
      <c r="A778" s="847"/>
      <c r="B778" s="847"/>
      <c r="C778" s="847"/>
      <c r="D778" s="847"/>
      <c r="E778" s="847"/>
      <c r="F778" s="847"/>
      <c r="G778" s="847"/>
      <c r="H778" s="847"/>
      <c r="I778" s="847"/>
      <c r="J778" s="847"/>
      <c r="K778" s="847"/>
      <c r="L778" s="847"/>
      <c r="M778" s="847"/>
      <c r="N778" s="847"/>
      <c r="O778" s="847"/>
      <c r="P778" s="847"/>
      <c r="Q778" s="847"/>
      <c r="R778" s="847"/>
      <c r="S778" s="847"/>
      <c r="T778" s="847"/>
      <c r="U778" s="847"/>
      <c r="V778" s="847"/>
      <c r="W778" s="847"/>
      <c r="X778" s="847"/>
      <c r="Y778" s="847"/>
      <c r="Z778" s="847"/>
      <c r="AA778" s="847"/>
      <c r="AB778" s="847"/>
      <c r="AC778" s="847"/>
      <c r="AD778" s="847"/>
      <c r="AE778" s="847"/>
      <c r="AF778" s="847"/>
      <c r="AG778" s="847"/>
    </row>
    <row r="779">
      <c r="A779" s="847"/>
      <c r="B779" s="847"/>
      <c r="C779" s="847"/>
      <c r="D779" s="847"/>
      <c r="E779" s="847"/>
      <c r="F779" s="847"/>
      <c r="G779" s="847"/>
      <c r="H779" s="847"/>
      <c r="I779" s="847"/>
      <c r="J779" s="847"/>
      <c r="K779" s="847"/>
      <c r="L779" s="847"/>
      <c r="M779" s="847"/>
      <c r="N779" s="847"/>
      <c r="O779" s="847"/>
      <c r="P779" s="847"/>
      <c r="Q779" s="847"/>
      <c r="R779" s="847"/>
      <c r="S779" s="847"/>
      <c r="T779" s="847"/>
      <c r="U779" s="847"/>
      <c r="V779" s="847"/>
      <c r="W779" s="847"/>
      <c r="X779" s="847"/>
      <c r="Y779" s="847"/>
      <c r="Z779" s="847"/>
      <c r="AA779" s="847"/>
      <c r="AB779" s="847"/>
      <c r="AC779" s="847"/>
      <c r="AD779" s="847"/>
      <c r="AE779" s="847"/>
      <c r="AF779" s="847"/>
      <c r="AG779" s="847"/>
    </row>
    <row r="780">
      <c r="A780" s="847"/>
      <c r="B780" s="847"/>
      <c r="C780" s="847"/>
      <c r="D780" s="847"/>
      <c r="E780" s="847"/>
      <c r="F780" s="847"/>
      <c r="G780" s="847"/>
      <c r="H780" s="847"/>
      <c r="I780" s="847"/>
      <c r="J780" s="847"/>
      <c r="K780" s="847"/>
      <c r="L780" s="847"/>
      <c r="M780" s="847"/>
      <c r="N780" s="847"/>
      <c r="O780" s="847"/>
      <c r="P780" s="847"/>
      <c r="Q780" s="847"/>
      <c r="R780" s="847"/>
      <c r="S780" s="847"/>
      <c r="T780" s="847"/>
      <c r="U780" s="847"/>
      <c r="V780" s="847"/>
      <c r="W780" s="847"/>
      <c r="X780" s="847"/>
      <c r="Y780" s="847"/>
      <c r="Z780" s="847"/>
      <c r="AA780" s="847"/>
      <c r="AB780" s="847"/>
      <c r="AC780" s="847"/>
      <c r="AD780" s="847"/>
      <c r="AE780" s="847"/>
      <c r="AF780" s="847"/>
      <c r="AG780" s="847"/>
    </row>
    <row r="781">
      <c r="A781" s="847"/>
      <c r="B781" s="847"/>
      <c r="C781" s="847"/>
      <c r="D781" s="847"/>
      <c r="E781" s="847"/>
      <c r="F781" s="847"/>
      <c r="G781" s="847"/>
      <c r="H781" s="847"/>
      <c r="I781" s="847"/>
      <c r="J781" s="847"/>
      <c r="K781" s="847"/>
      <c r="L781" s="847"/>
      <c r="M781" s="847"/>
      <c r="N781" s="847"/>
      <c r="O781" s="847"/>
      <c r="P781" s="847"/>
      <c r="Q781" s="847"/>
      <c r="R781" s="847"/>
      <c r="S781" s="847"/>
      <c r="T781" s="847"/>
      <c r="U781" s="847"/>
      <c r="V781" s="847"/>
      <c r="W781" s="847"/>
      <c r="X781" s="847"/>
      <c r="Y781" s="847"/>
      <c r="Z781" s="847"/>
      <c r="AA781" s="847"/>
      <c r="AB781" s="847"/>
      <c r="AC781" s="847"/>
      <c r="AD781" s="847"/>
      <c r="AE781" s="847"/>
      <c r="AF781" s="847"/>
      <c r="AG781" s="847"/>
    </row>
    <row r="782">
      <c r="A782" s="847"/>
      <c r="B782" s="847"/>
      <c r="C782" s="847"/>
      <c r="D782" s="847"/>
      <c r="E782" s="847"/>
      <c r="F782" s="847"/>
      <c r="G782" s="847"/>
      <c r="H782" s="847"/>
      <c r="I782" s="847"/>
      <c r="J782" s="847"/>
      <c r="K782" s="847"/>
      <c r="L782" s="847"/>
      <c r="M782" s="847"/>
      <c r="N782" s="847"/>
      <c r="O782" s="847"/>
      <c r="P782" s="847"/>
      <c r="Q782" s="847"/>
      <c r="R782" s="847"/>
      <c r="S782" s="847"/>
      <c r="T782" s="847"/>
      <c r="U782" s="847"/>
      <c r="V782" s="847"/>
      <c r="W782" s="847"/>
      <c r="X782" s="847"/>
      <c r="Y782" s="847"/>
      <c r="Z782" s="847"/>
      <c r="AA782" s="847"/>
      <c r="AB782" s="847"/>
      <c r="AC782" s="847"/>
      <c r="AD782" s="847"/>
      <c r="AE782" s="847"/>
      <c r="AF782" s="847"/>
      <c r="AG782" s="847"/>
    </row>
    <row r="783">
      <c r="A783" s="847"/>
      <c r="B783" s="847"/>
      <c r="C783" s="847"/>
      <c r="D783" s="847"/>
      <c r="E783" s="847"/>
      <c r="F783" s="847"/>
      <c r="G783" s="847"/>
      <c r="H783" s="847"/>
      <c r="I783" s="847"/>
      <c r="J783" s="847"/>
      <c r="K783" s="847"/>
      <c r="L783" s="847"/>
      <c r="M783" s="847"/>
      <c r="N783" s="847"/>
      <c r="O783" s="847"/>
      <c r="P783" s="847"/>
      <c r="Q783" s="847"/>
      <c r="R783" s="847"/>
      <c r="S783" s="847"/>
      <c r="T783" s="847"/>
      <c r="U783" s="847"/>
      <c r="V783" s="847"/>
      <c r="W783" s="847"/>
      <c r="X783" s="847"/>
      <c r="Y783" s="847"/>
      <c r="Z783" s="847"/>
      <c r="AA783" s="847"/>
      <c r="AB783" s="847"/>
      <c r="AC783" s="847"/>
      <c r="AD783" s="847"/>
      <c r="AE783" s="847"/>
      <c r="AF783" s="847"/>
      <c r="AG783" s="847"/>
    </row>
    <row r="784">
      <c r="A784" s="847"/>
      <c r="B784" s="847"/>
      <c r="C784" s="847"/>
      <c r="D784" s="847"/>
      <c r="E784" s="847"/>
      <c r="F784" s="847"/>
      <c r="G784" s="847"/>
      <c r="H784" s="847"/>
      <c r="I784" s="847"/>
      <c r="J784" s="847"/>
      <c r="K784" s="847"/>
      <c r="L784" s="847"/>
      <c r="M784" s="847"/>
      <c r="N784" s="847"/>
      <c r="O784" s="847"/>
      <c r="P784" s="847"/>
      <c r="Q784" s="847"/>
      <c r="R784" s="847"/>
      <c r="S784" s="847"/>
      <c r="T784" s="847"/>
      <c r="U784" s="847"/>
      <c r="V784" s="847"/>
      <c r="W784" s="847"/>
      <c r="X784" s="847"/>
      <c r="Y784" s="847"/>
      <c r="Z784" s="847"/>
      <c r="AA784" s="847"/>
      <c r="AB784" s="847"/>
      <c r="AC784" s="847"/>
      <c r="AD784" s="847"/>
      <c r="AE784" s="847"/>
      <c r="AF784" s="847"/>
      <c r="AG784" s="847"/>
    </row>
    <row r="785">
      <c r="A785" s="847"/>
      <c r="B785" s="847"/>
      <c r="C785" s="847"/>
      <c r="D785" s="847"/>
      <c r="E785" s="847"/>
      <c r="F785" s="847"/>
      <c r="G785" s="847"/>
      <c r="H785" s="847"/>
      <c r="I785" s="847"/>
      <c r="J785" s="847"/>
      <c r="K785" s="847"/>
      <c r="L785" s="847"/>
      <c r="M785" s="847"/>
      <c r="N785" s="847"/>
      <c r="O785" s="847"/>
      <c r="P785" s="847"/>
      <c r="Q785" s="847"/>
      <c r="R785" s="847"/>
      <c r="S785" s="847"/>
      <c r="T785" s="847"/>
      <c r="U785" s="847"/>
      <c r="V785" s="847"/>
      <c r="W785" s="847"/>
      <c r="X785" s="847"/>
      <c r="Y785" s="847"/>
      <c r="Z785" s="847"/>
      <c r="AA785" s="847"/>
      <c r="AB785" s="847"/>
      <c r="AC785" s="847"/>
      <c r="AD785" s="847"/>
      <c r="AE785" s="847"/>
      <c r="AF785" s="847"/>
      <c r="AG785" s="847"/>
    </row>
    <row r="786">
      <c r="A786" s="847"/>
      <c r="B786" s="847"/>
      <c r="C786" s="847"/>
      <c r="D786" s="847"/>
      <c r="E786" s="847"/>
      <c r="F786" s="847"/>
      <c r="G786" s="847"/>
      <c r="H786" s="847"/>
      <c r="I786" s="847"/>
      <c r="J786" s="847"/>
      <c r="K786" s="847"/>
      <c r="L786" s="847"/>
      <c r="M786" s="847"/>
      <c r="N786" s="847"/>
      <c r="O786" s="847"/>
      <c r="P786" s="847"/>
      <c r="Q786" s="847"/>
      <c r="R786" s="847"/>
      <c r="S786" s="847"/>
      <c r="T786" s="847"/>
      <c r="U786" s="847"/>
      <c r="V786" s="847"/>
      <c r="W786" s="847"/>
      <c r="X786" s="847"/>
      <c r="Y786" s="847"/>
      <c r="Z786" s="847"/>
      <c r="AA786" s="847"/>
      <c r="AB786" s="847"/>
      <c r="AC786" s="847"/>
      <c r="AD786" s="847"/>
      <c r="AE786" s="847"/>
      <c r="AF786" s="847"/>
      <c r="AG786" s="847"/>
    </row>
    <row r="787">
      <c r="A787" s="847"/>
      <c r="B787" s="847"/>
      <c r="C787" s="847"/>
      <c r="D787" s="847"/>
      <c r="E787" s="847"/>
      <c r="F787" s="847"/>
      <c r="G787" s="847"/>
      <c r="H787" s="847"/>
      <c r="I787" s="847"/>
      <c r="J787" s="847"/>
      <c r="K787" s="847"/>
      <c r="L787" s="847"/>
      <c r="M787" s="847"/>
      <c r="N787" s="847"/>
      <c r="O787" s="847"/>
      <c r="P787" s="847"/>
      <c r="Q787" s="847"/>
      <c r="R787" s="847"/>
      <c r="S787" s="847"/>
      <c r="T787" s="847"/>
      <c r="U787" s="847"/>
      <c r="V787" s="847"/>
      <c r="W787" s="847"/>
      <c r="X787" s="847"/>
      <c r="Y787" s="847"/>
      <c r="Z787" s="847"/>
      <c r="AA787" s="847"/>
      <c r="AB787" s="847"/>
      <c r="AC787" s="847"/>
      <c r="AD787" s="847"/>
      <c r="AE787" s="847"/>
      <c r="AF787" s="847"/>
      <c r="AG787" s="847"/>
    </row>
    <row r="788">
      <c r="A788" s="847"/>
      <c r="B788" s="847"/>
      <c r="C788" s="847"/>
      <c r="D788" s="847"/>
      <c r="E788" s="847"/>
      <c r="F788" s="847"/>
      <c r="G788" s="847"/>
      <c r="H788" s="847"/>
      <c r="I788" s="847"/>
      <c r="J788" s="847"/>
      <c r="K788" s="847"/>
      <c r="L788" s="847"/>
      <c r="M788" s="847"/>
      <c r="N788" s="847"/>
      <c r="O788" s="847"/>
      <c r="P788" s="847"/>
      <c r="Q788" s="847"/>
      <c r="R788" s="847"/>
      <c r="S788" s="847"/>
      <c r="T788" s="847"/>
      <c r="U788" s="847"/>
      <c r="V788" s="847"/>
      <c r="W788" s="847"/>
      <c r="X788" s="847"/>
      <c r="Y788" s="847"/>
      <c r="Z788" s="847"/>
      <c r="AA788" s="847"/>
      <c r="AB788" s="847"/>
      <c r="AC788" s="847"/>
      <c r="AD788" s="847"/>
      <c r="AE788" s="847"/>
      <c r="AF788" s="847"/>
      <c r="AG788" s="847"/>
    </row>
    <row r="789">
      <c r="A789" s="847"/>
      <c r="B789" s="847"/>
      <c r="C789" s="847"/>
      <c r="D789" s="847"/>
      <c r="E789" s="847"/>
      <c r="F789" s="847"/>
      <c r="G789" s="847"/>
      <c r="H789" s="847"/>
      <c r="I789" s="847"/>
      <c r="J789" s="847"/>
      <c r="K789" s="847"/>
      <c r="L789" s="847"/>
      <c r="M789" s="847"/>
      <c r="N789" s="847"/>
      <c r="O789" s="847"/>
      <c r="P789" s="847"/>
      <c r="Q789" s="847"/>
      <c r="R789" s="847"/>
      <c r="S789" s="847"/>
      <c r="T789" s="847"/>
      <c r="U789" s="847"/>
      <c r="V789" s="847"/>
      <c r="W789" s="847"/>
      <c r="X789" s="847"/>
      <c r="Y789" s="847"/>
      <c r="Z789" s="847"/>
      <c r="AA789" s="847"/>
      <c r="AB789" s="847"/>
      <c r="AC789" s="847"/>
      <c r="AD789" s="847"/>
      <c r="AE789" s="847"/>
      <c r="AF789" s="847"/>
      <c r="AG789" s="847"/>
    </row>
    <row r="790">
      <c r="A790" s="847"/>
      <c r="B790" s="847"/>
      <c r="C790" s="847"/>
      <c r="D790" s="847"/>
      <c r="E790" s="847"/>
      <c r="F790" s="847"/>
      <c r="G790" s="847"/>
      <c r="H790" s="847"/>
      <c r="I790" s="847"/>
      <c r="J790" s="847"/>
      <c r="K790" s="847"/>
      <c r="L790" s="847"/>
      <c r="M790" s="847"/>
      <c r="N790" s="847"/>
      <c r="O790" s="847"/>
      <c r="P790" s="847"/>
      <c r="Q790" s="847"/>
      <c r="R790" s="847"/>
      <c r="S790" s="847"/>
      <c r="T790" s="847"/>
      <c r="U790" s="847"/>
      <c r="V790" s="847"/>
      <c r="W790" s="847"/>
      <c r="X790" s="847"/>
      <c r="Y790" s="847"/>
      <c r="Z790" s="847"/>
      <c r="AA790" s="847"/>
      <c r="AB790" s="847"/>
      <c r="AC790" s="847"/>
      <c r="AD790" s="847"/>
      <c r="AE790" s="847"/>
      <c r="AF790" s="847"/>
      <c r="AG790" s="847"/>
    </row>
    <row r="791">
      <c r="A791" s="847"/>
      <c r="B791" s="847"/>
      <c r="C791" s="847"/>
      <c r="D791" s="847"/>
      <c r="E791" s="847"/>
      <c r="F791" s="847"/>
      <c r="G791" s="847"/>
      <c r="H791" s="847"/>
      <c r="I791" s="847"/>
      <c r="J791" s="847"/>
      <c r="K791" s="847"/>
      <c r="L791" s="847"/>
      <c r="M791" s="847"/>
      <c r="N791" s="847"/>
      <c r="O791" s="847"/>
      <c r="P791" s="847"/>
      <c r="Q791" s="847"/>
      <c r="R791" s="847"/>
      <c r="S791" s="847"/>
      <c r="T791" s="847"/>
      <c r="U791" s="847"/>
      <c r="V791" s="847"/>
      <c r="W791" s="847"/>
      <c r="X791" s="847"/>
      <c r="Y791" s="847"/>
      <c r="Z791" s="847"/>
      <c r="AA791" s="847"/>
      <c r="AB791" s="847"/>
      <c r="AC791" s="847"/>
      <c r="AD791" s="847"/>
      <c r="AE791" s="847"/>
      <c r="AF791" s="847"/>
      <c r="AG791" s="847"/>
    </row>
    <row r="792">
      <c r="A792" s="847"/>
      <c r="B792" s="847"/>
      <c r="C792" s="847"/>
      <c r="D792" s="847"/>
      <c r="E792" s="847"/>
      <c r="F792" s="847"/>
      <c r="G792" s="847"/>
      <c r="H792" s="847"/>
      <c r="I792" s="847"/>
      <c r="J792" s="847"/>
      <c r="K792" s="847"/>
      <c r="L792" s="847"/>
      <c r="M792" s="847"/>
      <c r="N792" s="847"/>
      <c r="O792" s="847"/>
      <c r="P792" s="847"/>
      <c r="Q792" s="847"/>
      <c r="R792" s="847"/>
      <c r="S792" s="847"/>
      <c r="T792" s="847"/>
      <c r="U792" s="847"/>
      <c r="V792" s="847"/>
      <c r="W792" s="847"/>
      <c r="X792" s="847"/>
      <c r="Y792" s="847"/>
      <c r="Z792" s="847"/>
      <c r="AA792" s="847"/>
      <c r="AB792" s="847"/>
      <c r="AC792" s="847"/>
      <c r="AD792" s="847"/>
      <c r="AE792" s="847"/>
      <c r="AF792" s="847"/>
      <c r="AG792" s="847"/>
    </row>
    <row r="793">
      <c r="A793" s="847"/>
      <c r="B793" s="847"/>
      <c r="C793" s="847"/>
      <c r="D793" s="847"/>
      <c r="E793" s="847"/>
      <c r="F793" s="847"/>
      <c r="G793" s="847"/>
      <c r="H793" s="847"/>
      <c r="I793" s="847"/>
      <c r="J793" s="847"/>
      <c r="K793" s="847"/>
      <c r="L793" s="847"/>
      <c r="M793" s="847"/>
      <c r="N793" s="847"/>
      <c r="O793" s="847"/>
      <c r="P793" s="847"/>
      <c r="Q793" s="847"/>
      <c r="R793" s="847"/>
      <c r="S793" s="847"/>
      <c r="T793" s="847"/>
      <c r="U793" s="847"/>
      <c r="V793" s="847"/>
      <c r="W793" s="847"/>
      <c r="X793" s="847"/>
      <c r="Y793" s="847"/>
      <c r="Z793" s="847"/>
      <c r="AA793" s="847"/>
      <c r="AB793" s="847"/>
      <c r="AC793" s="847"/>
      <c r="AD793" s="847"/>
      <c r="AE793" s="847"/>
      <c r="AF793" s="847"/>
      <c r="AG793" s="847"/>
    </row>
    <row r="794">
      <c r="A794" s="847"/>
      <c r="B794" s="847"/>
      <c r="C794" s="847"/>
      <c r="D794" s="847"/>
      <c r="E794" s="847"/>
      <c r="F794" s="847"/>
      <c r="G794" s="847"/>
      <c r="H794" s="847"/>
      <c r="I794" s="847"/>
      <c r="J794" s="847"/>
      <c r="K794" s="847"/>
      <c r="L794" s="847"/>
      <c r="M794" s="847"/>
      <c r="N794" s="847"/>
      <c r="O794" s="847"/>
      <c r="P794" s="847"/>
      <c r="Q794" s="847"/>
      <c r="R794" s="847"/>
      <c r="S794" s="847"/>
      <c r="T794" s="847"/>
      <c r="U794" s="847"/>
      <c r="V794" s="847"/>
      <c r="W794" s="847"/>
      <c r="X794" s="847"/>
      <c r="Y794" s="847"/>
      <c r="Z794" s="847"/>
      <c r="AA794" s="847"/>
      <c r="AB794" s="847"/>
      <c r="AC794" s="847"/>
      <c r="AD794" s="847"/>
      <c r="AE794" s="847"/>
      <c r="AF794" s="847"/>
      <c r="AG794" s="847"/>
    </row>
    <row r="795">
      <c r="A795" s="847"/>
      <c r="B795" s="847"/>
      <c r="C795" s="847"/>
      <c r="D795" s="847"/>
      <c r="E795" s="847"/>
      <c r="F795" s="847"/>
      <c r="G795" s="847"/>
      <c r="H795" s="847"/>
      <c r="I795" s="847"/>
      <c r="J795" s="847"/>
      <c r="K795" s="847"/>
      <c r="L795" s="847"/>
      <c r="M795" s="847"/>
      <c r="N795" s="847"/>
      <c r="O795" s="847"/>
      <c r="P795" s="847"/>
      <c r="Q795" s="847"/>
      <c r="R795" s="847"/>
      <c r="S795" s="847"/>
      <c r="T795" s="847"/>
      <c r="U795" s="847"/>
      <c r="V795" s="847"/>
      <c r="W795" s="847"/>
      <c r="X795" s="847"/>
      <c r="Y795" s="847"/>
      <c r="Z795" s="847"/>
      <c r="AA795" s="847"/>
      <c r="AB795" s="847"/>
      <c r="AC795" s="847"/>
      <c r="AD795" s="847"/>
      <c r="AE795" s="847"/>
      <c r="AF795" s="847"/>
      <c r="AG795" s="847"/>
    </row>
    <row r="796">
      <c r="A796" s="847"/>
      <c r="B796" s="847"/>
      <c r="C796" s="847"/>
      <c r="D796" s="847"/>
      <c r="E796" s="847"/>
      <c r="F796" s="847"/>
      <c r="G796" s="847"/>
      <c r="H796" s="847"/>
      <c r="I796" s="847"/>
      <c r="J796" s="847"/>
      <c r="K796" s="847"/>
      <c r="L796" s="847"/>
      <c r="M796" s="847"/>
      <c r="N796" s="847"/>
      <c r="O796" s="847"/>
      <c r="P796" s="847"/>
      <c r="Q796" s="847"/>
      <c r="R796" s="847"/>
      <c r="S796" s="847"/>
      <c r="T796" s="847"/>
      <c r="U796" s="847"/>
      <c r="V796" s="847"/>
      <c r="W796" s="847"/>
      <c r="X796" s="847"/>
      <c r="Y796" s="847"/>
      <c r="Z796" s="847"/>
      <c r="AA796" s="847"/>
      <c r="AB796" s="847"/>
      <c r="AC796" s="847"/>
      <c r="AD796" s="847"/>
      <c r="AE796" s="847"/>
      <c r="AF796" s="847"/>
      <c r="AG796" s="847"/>
    </row>
    <row r="797">
      <c r="A797" s="847"/>
      <c r="B797" s="847"/>
      <c r="C797" s="847"/>
      <c r="D797" s="847"/>
      <c r="E797" s="847"/>
      <c r="F797" s="847"/>
      <c r="G797" s="847"/>
      <c r="H797" s="847"/>
      <c r="I797" s="847"/>
      <c r="J797" s="847"/>
      <c r="K797" s="847"/>
      <c r="L797" s="847"/>
      <c r="M797" s="847"/>
      <c r="N797" s="847"/>
      <c r="O797" s="847"/>
      <c r="P797" s="847"/>
      <c r="Q797" s="847"/>
      <c r="R797" s="847"/>
      <c r="S797" s="847"/>
      <c r="T797" s="847"/>
      <c r="U797" s="847"/>
      <c r="V797" s="847"/>
      <c r="W797" s="847"/>
      <c r="X797" s="847"/>
      <c r="Y797" s="847"/>
      <c r="Z797" s="847"/>
      <c r="AA797" s="847"/>
      <c r="AB797" s="847"/>
      <c r="AC797" s="847"/>
      <c r="AD797" s="847"/>
      <c r="AE797" s="847"/>
      <c r="AF797" s="847"/>
      <c r="AG797" s="847"/>
    </row>
    <row r="798">
      <c r="A798" s="847"/>
      <c r="B798" s="847"/>
      <c r="C798" s="847"/>
      <c r="D798" s="847"/>
      <c r="E798" s="847"/>
      <c r="F798" s="847"/>
      <c r="G798" s="847"/>
      <c r="H798" s="847"/>
      <c r="I798" s="847"/>
      <c r="J798" s="847"/>
      <c r="K798" s="847"/>
      <c r="L798" s="847"/>
      <c r="M798" s="847"/>
      <c r="N798" s="847"/>
      <c r="O798" s="847"/>
      <c r="P798" s="847"/>
      <c r="Q798" s="847"/>
      <c r="R798" s="847"/>
      <c r="S798" s="847"/>
      <c r="T798" s="847"/>
      <c r="U798" s="847"/>
      <c r="V798" s="847"/>
      <c r="W798" s="847"/>
      <c r="X798" s="847"/>
      <c r="Y798" s="847"/>
      <c r="Z798" s="847"/>
      <c r="AA798" s="847"/>
      <c r="AB798" s="847"/>
      <c r="AC798" s="847"/>
      <c r="AD798" s="847"/>
      <c r="AE798" s="847"/>
      <c r="AF798" s="847"/>
      <c r="AG798" s="847"/>
    </row>
    <row r="799">
      <c r="A799" s="847"/>
      <c r="B799" s="847"/>
      <c r="C799" s="847"/>
      <c r="D799" s="847"/>
      <c r="E799" s="847"/>
      <c r="F799" s="847"/>
      <c r="G799" s="847"/>
      <c r="H799" s="847"/>
      <c r="I799" s="847"/>
      <c r="J799" s="847"/>
      <c r="K799" s="847"/>
      <c r="L799" s="847"/>
      <c r="M799" s="847"/>
      <c r="N799" s="847"/>
      <c r="O799" s="847"/>
      <c r="P799" s="847"/>
      <c r="Q799" s="847"/>
      <c r="R799" s="847"/>
      <c r="S799" s="847"/>
      <c r="T799" s="847"/>
      <c r="U799" s="847"/>
      <c r="V799" s="847"/>
      <c r="W799" s="847"/>
      <c r="X799" s="847"/>
      <c r="Y799" s="847"/>
      <c r="Z799" s="847"/>
      <c r="AA799" s="847"/>
      <c r="AB799" s="847"/>
      <c r="AC799" s="847"/>
      <c r="AD799" s="847"/>
      <c r="AE799" s="847"/>
      <c r="AF799" s="847"/>
      <c r="AG799" s="847"/>
    </row>
    <row r="800">
      <c r="A800" s="847"/>
      <c r="B800" s="847"/>
      <c r="C800" s="847"/>
      <c r="D800" s="847"/>
      <c r="E800" s="847"/>
      <c r="F800" s="847"/>
      <c r="G800" s="847"/>
      <c r="H800" s="847"/>
      <c r="I800" s="847"/>
      <c r="J800" s="847"/>
      <c r="K800" s="847"/>
      <c r="L800" s="847"/>
      <c r="M800" s="847"/>
      <c r="N800" s="847"/>
      <c r="O800" s="847"/>
      <c r="P800" s="847"/>
      <c r="Q800" s="847"/>
      <c r="R800" s="847"/>
      <c r="S800" s="847"/>
      <c r="T800" s="847"/>
      <c r="U800" s="847"/>
      <c r="V800" s="847"/>
      <c r="W800" s="847"/>
      <c r="X800" s="847"/>
      <c r="Y800" s="847"/>
      <c r="Z800" s="847"/>
      <c r="AA800" s="847"/>
      <c r="AB800" s="847"/>
      <c r="AC800" s="847"/>
      <c r="AD800" s="847"/>
      <c r="AE800" s="847"/>
      <c r="AF800" s="847"/>
      <c r="AG800" s="847"/>
    </row>
    <row r="801">
      <c r="A801" s="847"/>
      <c r="B801" s="847"/>
      <c r="C801" s="847"/>
      <c r="D801" s="847"/>
      <c r="E801" s="847"/>
      <c r="F801" s="847"/>
      <c r="G801" s="847"/>
      <c r="H801" s="847"/>
      <c r="I801" s="847"/>
      <c r="J801" s="847"/>
      <c r="K801" s="847"/>
      <c r="L801" s="847"/>
      <c r="M801" s="847"/>
      <c r="N801" s="847"/>
      <c r="O801" s="847"/>
      <c r="P801" s="847"/>
      <c r="Q801" s="847"/>
      <c r="R801" s="847"/>
      <c r="S801" s="847"/>
      <c r="T801" s="847"/>
      <c r="U801" s="847"/>
      <c r="V801" s="847"/>
      <c r="W801" s="847"/>
      <c r="X801" s="847"/>
      <c r="Y801" s="847"/>
      <c r="Z801" s="847"/>
      <c r="AA801" s="847"/>
      <c r="AB801" s="847"/>
      <c r="AC801" s="847"/>
      <c r="AD801" s="847"/>
      <c r="AE801" s="847"/>
      <c r="AF801" s="847"/>
      <c r="AG801" s="847"/>
    </row>
    <row r="802">
      <c r="A802" s="847"/>
      <c r="B802" s="847"/>
      <c r="C802" s="847"/>
      <c r="D802" s="847"/>
      <c r="E802" s="847"/>
      <c r="F802" s="847"/>
      <c r="G802" s="847"/>
      <c r="H802" s="847"/>
      <c r="I802" s="847"/>
      <c r="J802" s="847"/>
      <c r="K802" s="847"/>
      <c r="L802" s="847"/>
      <c r="M802" s="847"/>
      <c r="N802" s="847"/>
      <c r="O802" s="847"/>
      <c r="P802" s="847"/>
      <c r="Q802" s="847"/>
      <c r="R802" s="847"/>
      <c r="S802" s="847"/>
      <c r="T802" s="847"/>
      <c r="U802" s="847"/>
      <c r="V802" s="847"/>
      <c r="W802" s="847"/>
      <c r="X802" s="847"/>
      <c r="Y802" s="847"/>
      <c r="Z802" s="847"/>
      <c r="AA802" s="847"/>
      <c r="AB802" s="847"/>
      <c r="AC802" s="847"/>
      <c r="AD802" s="847"/>
      <c r="AE802" s="847"/>
      <c r="AF802" s="847"/>
      <c r="AG802" s="847"/>
    </row>
    <row r="803">
      <c r="A803" s="847"/>
      <c r="B803" s="847"/>
      <c r="C803" s="847"/>
      <c r="D803" s="847"/>
      <c r="E803" s="847"/>
      <c r="F803" s="847"/>
      <c r="G803" s="847"/>
      <c r="H803" s="847"/>
      <c r="I803" s="847"/>
      <c r="J803" s="847"/>
      <c r="K803" s="847"/>
      <c r="L803" s="847"/>
      <c r="M803" s="847"/>
      <c r="N803" s="847"/>
      <c r="O803" s="847"/>
      <c r="P803" s="847"/>
      <c r="Q803" s="847"/>
      <c r="R803" s="847"/>
      <c r="S803" s="847"/>
      <c r="T803" s="847"/>
      <c r="U803" s="847"/>
      <c r="V803" s="847"/>
      <c r="W803" s="847"/>
      <c r="X803" s="847"/>
      <c r="Y803" s="847"/>
      <c r="Z803" s="847"/>
      <c r="AA803" s="847"/>
      <c r="AB803" s="847"/>
      <c r="AC803" s="847"/>
      <c r="AD803" s="847"/>
      <c r="AE803" s="847"/>
      <c r="AF803" s="847"/>
      <c r="AG803" s="847"/>
    </row>
    <row r="804">
      <c r="A804" s="847"/>
      <c r="B804" s="847"/>
      <c r="C804" s="847"/>
      <c r="D804" s="847"/>
      <c r="E804" s="847"/>
      <c r="F804" s="847"/>
      <c r="G804" s="847"/>
      <c r="H804" s="847"/>
      <c r="I804" s="847"/>
      <c r="J804" s="847"/>
      <c r="K804" s="847"/>
      <c r="L804" s="847"/>
      <c r="M804" s="847"/>
      <c r="N804" s="847"/>
      <c r="O804" s="847"/>
      <c r="P804" s="847"/>
      <c r="Q804" s="847"/>
      <c r="R804" s="847"/>
      <c r="S804" s="847"/>
      <c r="T804" s="847"/>
      <c r="U804" s="847"/>
      <c r="V804" s="847"/>
      <c r="W804" s="847"/>
      <c r="X804" s="847"/>
      <c r="Y804" s="847"/>
      <c r="Z804" s="847"/>
      <c r="AA804" s="847"/>
      <c r="AB804" s="847"/>
      <c r="AC804" s="847"/>
      <c r="AD804" s="847"/>
      <c r="AE804" s="847"/>
      <c r="AF804" s="847"/>
      <c r="AG804" s="847"/>
    </row>
    <row r="805">
      <c r="A805" s="847"/>
      <c r="B805" s="847"/>
      <c r="C805" s="847"/>
      <c r="D805" s="847"/>
      <c r="E805" s="847"/>
      <c r="F805" s="847"/>
      <c r="G805" s="847"/>
      <c r="H805" s="847"/>
      <c r="I805" s="847"/>
      <c r="J805" s="847"/>
      <c r="K805" s="847"/>
      <c r="L805" s="847"/>
      <c r="M805" s="847"/>
      <c r="N805" s="847"/>
      <c r="O805" s="847"/>
      <c r="P805" s="847"/>
      <c r="Q805" s="847"/>
      <c r="R805" s="847"/>
      <c r="S805" s="847"/>
      <c r="T805" s="847"/>
      <c r="U805" s="847"/>
      <c r="V805" s="847"/>
      <c r="W805" s="847"/>
      <c r="X805" s="847"/>
      <c r="Y805" s="847"/>
      <c r="Z805" s="847"/>
      <c r="AA805" s="847"/>
      <c r="AB805" s="847"/>
      <c r="AC805" s="847"/>
      <c r="AD805" s="847"/>
      <c r="AE805" s="847"/>
      <c r="AF805" s="847"/>
      <c r="AG805" s="847"/>
    </row>
    <row r="806">
      <c r="A806" s="847"/>
      <c r="B806" s="847"/>
      <c r="C806" s="847"/>
      <c r="D806" s="847"/>
      <c r="E806" s="847"/>
      <c r="F806" s="847"/>
      <c r="G806" s="847"/>
      <c r="H806" s="847"/>
      <c r="I806" s="847"/>
      <c r="J806" s="847"/>
      <c r="K806" s="847"/>
      <c r="L806" s="847"/>
      <c r="M806" s="847"/>
      <c r="N806" s="847"/>
      <c r="O806" s="847"/>
      <c r="P806" s="847"/>
      <c r="Q806" s="847"/>
      <c r="R806" s="847"/>
      <c r="S806" s="847"/>
      <c r="T806" s="847"/>
      <c r="U806" s="847"/>
      <c r="V806" s="847"/>
      <c r="W806" s="847"/>
      <c r="X806" s="847"/>
      <c r="Y806" s="847"/>
      <c r="Z806" s="847"/>
      <c r="AA806" s="847"/>
      <c r="AB806" s="847"/>
      <c r="AC806" s="847"/>
      <c r="AD806" s="847"/>
      <c r="AE806" s="847"/>
      <c r="AF806" s="847"/>
      <c r="AG806" s="847"/>
    </row>
    <row r="807">
      <c r="A807" s="847"/>
      <c r="B807" s="847"/>
      <c r="C807" s="847"/>
      <c r="D807" s="847"/>
      <c r="E807" s="847"/>
      <c r="F807" s="847"/>
      <c r="G807" s="847"/>
      <c r="H807" s="847"/>
      <c r="I807" s="847"/>
      <c r="J807" s="847"/>
      <c r="K807" s="847"/>
      <c r="L807" s="847"/>
      <c r="M807" s="847"/>
      <c r="N807" s="847"/>
      <c r="O807" s="847"/>
      <c r="P807" s="847"/>
      <c r="Q807" s="847"/>
      <c r="R807" s="847"/>
      <c r="S807" s="847"/>
      <c r="T807" s="847"/>
      <c r="U807" s="847"/>
      <c r="V807" s="847"/>
      <c r="W807" s="847"/>
      <c r="X807" s="847"/>
      <c r="Y807" s="847"/>
      <c r="Z807" s="847"/>
      <c r="AA807" s="847"/>
      <c r="AB807" s="847"/>
      <c r="AC807" s="847"/>
      <c r="AD807" s="847"/>
      <c r="AE807" s="847"/>
      <c r="AF807" s="847"/>
      <c r="AG807" s="847"/>
    </row>
    <row r="808">
      <c r="A808" s="847"/>
      <c r="B808" s="847"/>
      <c r="C808" s="847"/>
      <c r="D808" s="847"/>
      <c r="E808" s="847"/>
      <c r="F808" s="847"/>
      <c r="G808" s="847"/>
      <c r="H808" s="847"/>
      <c r="I808" s="847"/>
      <c r="J808" s="847"/>
      <c r="K808" s="847"/>
      <c r="L808" s="847"/>
      <c r="M808" s="847"/>
      <c r="N808" s="847"/>
      <c r="O808" s="847"/>
      <c r="P808" s="847"/>
      <c r="Q808" s="847"/>
      <c r="R808" s="847"/>
      <c r="S808" s="847"/>
      <c r="T808" s="847"/>
      <c r="U808" s="847"/>
      <c r="V808" s="847"/>
      <c r="W808" s="847"/>
      <c r="X808" s="847"/>
      <c r="Y808" s="847"/>
      <c r="Z808" s="847"/>
      <c r="AA808" s="847"/>
      <c r="AB808" s="847"/>
      <c r="AC808" s="847"/>
      <c r="AD808" s="847"/>
      <c r="AE808" s="847"/>
      <c r="AF808" s="847"/>
      <c r="AG808" s="847"/>
    </row>
    <row r="809">
      <c r="A809" s="847"/>
      <c r="B809" s="847"/>
      <c r="C809" s="847"/>
      <c r="D809" s="847"/>
      <c r="E809" s="847"/>
      <c r="F809" s="847"/>
      <c r="G809" s="847"/>
      <c r="H809" s="847"/>
      <c r="I809" s="847"/>
      <c r="J809" s="847"/>
      <c r="K809" s="847"/>
      <c r="L809" s="847"/>
      <c r="M809" s="847"/>
      <c r="N809" s="847"/>
      <c r="O809" s="847"/>
      <c r="P809" s="847"/>
      <c r="Q809" s="847"/>
      <c r="R809" s="847"/>
      <c r="S809" s="847"/>
      <c r="T809" s="847"/>
      <c r="U809" s="847"/>
      <c r="V809" s="847"/>
      <c r="W809" s="847"/>
      <c r="X809" s="847"/>
      <c r="Y809" s="847"/>
      <c r="Z809" s="847"/>
      <c r="AA809" s="847"/>
      <c r="AB809" s="847"/>
      <c r="AC809" s="847"/>
      <c r="AD809" s="847"/>
      <c r="AE809" s="847"/>
      <c r="AF809" s="847"/>
      <c r="AG809" s="847"/>
    </row>
    <row r="810">
      <c r="A810" s="847"/>
      <c r="B810" s="847"/>
      <c r="C810" s="847"/>
      <c r="D810" s="847"/>
      <c r="E810" s="847"/>
      <c r="F810" s="847"/>
      <c r="G810" s="847"/>
      <c r="H810" s="847"/>
      <c r="I810" s="847"/>
      <c r="J810" s="847"/>
      <c r="K810" s="847"/>
      <c r="L810" s="847"/>
      <c r="M810" s="847"/>
      <c r="N810" s="847"/>
      <c r="O810" s="847"/>
      <c r="P810" s="847"/>
      <c r="Q810" s="847"/>
      <c r="R810" s="847"/>
      <c r="S810" s="847"/>
      <c r="T810" s="847"/>
      <c r="U810" s="847"/>
      <c r="V810" s="847"/>
      <c r="W810" s="847"/>
      <c r="X810" s="847"/>
      <c r="Y810" s="847"/>
      <c r="Z810" s="847"/>
      <c r="AA810" s="847"/>
      <c r="AB810" s="847"/>
      <c r="AC810" s="847"/>
      <c r="AD810" s="847"/>
      <c r="AE810" s="847"/>
      <c r="AF810" s="847"/>
      <c r="AG810" s="847"/>
    </row>
    <row r="811">
      <c r="A811" s="847"/>
      <c r="B811" s="847"/>
      <c r="C811" s="847"/>
      <c r="D811" s="847"/>
      <c r="E811" s="847"/>
      <c r="F811" s="847"/>
      <c r="G811" s="847"/>
      <c r="H811" s="847"/>
      <c r="I811" s="847"/>
      <c r="J811" s="847"/>
      <c r="K811" s="847"/>
      <c r="L811" s="847"/>
      <c r="M811" s="847"/>
      <c r="N811" s="847"/>
      <c r="O811" s="847"/>
      <c r="P811" s="847"/>
      <c r="Q811" s="847"/>
      <c r="R811" s="847"/>
      <c r="S811" s="847"/>
      <c r="T811" s="847"/>
      <c r="U811" s="847"/>
      <c r="V811" s="847"/>
      <c r="W811" s="847"/>
      <c r="X811" s="847"/>
      <c r="Y811" s="847"/>
      <c r="Z811" s="847"/>
      <c r="AA811" s="847"/>
      <c r="AB811" s="847"/>
      <c r="AC811" s="847"/>
      <c r="AD811" s="847"/>
      <c r="AE811" s="847"/>
      <c r="AF811" s="847"/>
      <c r="AG811" s="847"/>
    </row>
    <row r="812">
      <c r="A812" s="847"/>
      <c r="B812" s="847"/>
      <c r="C812" s="847"/>
      <c r="D812" s="847"/>
      <c r="E812" s="847"/>
      <c r="F812" s="847"/>
      <c r="G812" s="847"/>
      <c r="H812" s="847"/>
      <c r="I812" s="847"/>
      <c r="J812" s="847"/>
      <c r="K812" s="847"/>
      <c r="L812" s="847"/>
      <c r="M812" s="847"/>
      <c r="N812" s="847"/>
      <c r="O812" s="847"/>
      <c r="P812" s="847"/>
      <c r="Q812" s="847"/>
      <c r="R812" s="847"/>
      <c r="S812" s="847"/>
      <c r="T812" s="847"/>
      <c r="U812" s="847"/>
      <c r="V812" s="847"/>
      <c r="W812" s="847"/>
      <c r="X812" s="847"/>
      <c r="Y812" s="847"/>
      <c r="Z812" s="847"/>
      <c r="AA812" s="847"/>
      <c r="AB812" s="847"/>
      <c r="AC812" s="847"/>
      <c r="AD812" s="847"/>
      <c r="AE812" s="847"/>
      <c r="AF812" s="847"/>
      <c r="AG812" s="847"/>
    </row>
    <row r="813">
      <c r="A813" s="847"/>
      <c r="B813" s="847"/>
      <c r="C813" s="847"/>
      <c r="D813" s="847"/>
      <c r="E813" s="847"/>
      <c r="F813" s="847"/>
      <c r="G813" s="847"/>
      <c r="H813" s="847"/>
      <c r="I813" s="847"/>
      <c r="J813" s="847"/>
      <c r="K813" s="847"/>
      <c r="L813" s="847"/>
      <c r="M813" s="847"/>
      <c r="N813" s="847"/>
      <c r="O813" s="847"/>
      <c r="P813" s="847"/>
      <c r="Q813" s="847"/>
      <c r="R813" s="847"/>
      <c r="S813" s="847"/>
      <c r="T813" s="847"/>
      <c r="U813" s="847"/>
      <c r="V813" s="847"/>
      <c r="W813" s="847"/>
      <c r="X813" s="847"/>
      <c r="Y813" s="847"/>
      <c r="Z813" s="847"/>
      <c r="AA813" s="847"/>
      <c r="AB813" s="847"/>
      <c r="AC813" s="847"/>
      <c r="AD813" s="847"/>
      <c r="AE813" s="847"/>
      <c r="AF813" s="847"/>
      <c r="AG813" s="847"/>
    </row>
    <row r="814">
      <c r="A814" s="847"/>
      <c r="B814" s="847"/>
      <c r="C814" s="847"/>
      <c r="D814" s="847"/>
      <c r="E814" s="847"/>
      <c r="F814" s="847"/>
      <c r="G814" s="847"/>
      <c r="H814" s="847"/>
      <c r="I814" s="847"/>
      <c r="J814" s="847"/>
      <c r="K814" s="847"/>
      <c r="L814" s="847"/>
      <c r="M814" s="847"/>
      <c r="N814" s="847"/>
      <c r="O814" s="847"/>
      <c r="P814" s="847"/>
      <c r="Q814" s="847"/>
      <c r="R814" s="847"/>
      <c r="S814" s="847"/>
      <c r="T814" s="847"/>
      <c r="U814" s="847"/>
      <c r="V814" s="847"/>
      <c r="W814" s="847"/>
      <c r="X814" s="847"/>
      <c r="Y814" s="847"/>
      <c r="Z814" s="847"/>
      <c r="AA814" s="847"/>
      <c r="AB814" s="847"/>
      <c r="AC814" s="847"/>
      <c r="AD814" s="847"/>
      <c r="AE814" s="847"/>
      <c r="AF814" s="847"/>
      <c r="AG814" s="847"/>
    </row>
    <row r="815">
      <c r="A815" s="847"/>
      <c r="B815" s="847"/>
      <c r="C815" s="847"/>
      <c r="D815" s="847"/>
      <c r="E815" s="847"/>
      <c r="F815" s="847"/>
      <c r="G815" s="847"/>
      <c r="H815" s="847"/>
      <c r="I815" s="847"/>
      <c r="J815" s="847"/>
      <c r="K815" s="847"/>
      <c r="L815" s="847"/>
      <c r="M815" s="847"/>
      <c r="N815" s="847"/>
      <c r="O815" s="847"/>
      <c r="P815" s="847"/>
      <c r="Q815" s="847"/>
      <c r="R815" s="847"/>
      <c r="S815" s="847"/>
      <c r="T815" s="847"/>
      <c r="U815" s="847"/>
      <c r="V815" s="847"/>
      <c r="W815" s="847"/>
      <c r="X815" s="847"/>
      <c r="Y815" s="847"/>
      <c r="Z815" s="847"/>
      <c r="AA815" s="847"/>
      <c r="AB815" s="847"/>
      <c r="AC815" s="847"/>
      <c r="AD815" s="847"/>
      <c r="AE815" s="847"/>
      <c r="AF815" s="847"/>
      <c r="AG815" s="847"/>
    </row>
    <row r="816">
      <c r="A816" s="847"/>
      <c r="B816" s="847"/>
      <c r="C816" s="847"/>
      <c r="D816" s="847"/>
      <c r="E816" s="847"/>
      <c r="F816" s="847"/>
      <c r="G816" s="847"/>
      <c r="H816" s="847"/>
      <c r="I816" s="847"/>
      <c r="J816" s="847"/>
      <c r="K816" s="847"/>
      <c r="L816" s="847"/>
      <c r="M816" s="847"/>
      <c r="N816" s="847"/>
      <c r="O816" s="847"/>
      <c r="P816" s="847"/>
      <c r="Q816" s="847"/>
      <c r="R816" s="847"/>
      <c r="S816" s="847"/>
      <c r="T816" s="847"/>
      <c r="U816" s="847"/>
      <c r="V816" s="847"/>
      <c r="W816" s="847"/>
      <c r="X816" s="847"/>
      <c r="Y816" s="847"/>
      <c r="Z816" s="847"/>
      <c r="AA816" s="847"/>
      <c r="AB816" s="847"/>
      <c r="AC816" s="847"/>
      <c r="AD816" s="847"/>
      <c r="AE816" s="847"/>
      <c r="AF816" s="847"/>
      <c r="AG816" s="847"/>
    </row>
    <row r="817">
      <c r="A817" s="847"/>
      <c r="B817" s="847"/>
      <c r="C817" s="847"/>
      <c r="D817" s="847"/>
      <c r="E817" s="847"/>
      <c r="F817" s="847"/>
      <c r="G817" s="847"/>
      <c r="H817" s="847"/>
      <c r="I817" s="847"/>
      <c r="J817" s="847"/>
      <c r="K817" s="847"/>
      <c r="L817" s="847"/>
      <c r="M817" s="847"/>
      <c r="N817" s="847"/>
      <c r="O817" s="847"/>
      <c r="P817" s="847"/>
      <c r="Q817" s="847"/>
      <c r="R817" s="847"/>
      <c r="S817" s="847"/>
      <c r="T817" s="847"/>
      <c r="U817" s="847"/>
      <c r="V817" s="847"/>
      <c r="W817" s="847"/>
      <c r="X817" s="847"/>
      <c r="Y817" s="847"/>
      <c r="Z817" s="847"/>
      <c r="AA817" s="847"/>
      <c r="AB817" s="847"/>
      <c r="AC817" s="847"/>
      <c r="AD817" s="847"/>
      <c r="AE817" s="847"/>
      <c r="AF817" s="847"/>
      <c r="AG817" s="847"/>
    </row>
    <row r="818">
      <c r="A818" s="847"/>
      <c r="B818" s="847"/>
      <c r="C818" s="847"/>
      <c r="D818" s="847"/>
      <c r="E818" s="847"/>
      <c r="F818" s="847"/>
      <c r="G818" s="847"/>
      <c r="H818" s="847"/>
      <c r="I818" s="847"/>
      <c r="J818" s="847"/>
      <c r="K818" s="847"/>
      <c r="L818" s="847"/>
      <c r="M818" s="847"/>
      <c r="N818" s="847"/>
      <c r="O818" s="847"/>
      <c r="P818" s="847"/>
      <c r="Q818" s="847"/>
      <c r="R818" s="847"/>
      <c r="S818" s="847"/>
      <c r="T818" s="847"/>
      <c r="U818" s="847"/>
      <c r="V818" s="847"/>
      <c r="W818" s="847"/>
      <c r="X818" s="847"/>
      <c r="Y818" s="847"/>
      <c r="Z818" s="847"/>
      <c r="AA818" s="847"/>
      <c r="AB818" s="847"/>
      <c r="AC818" s="847"/>
      <c r="AD818" s="847"/>
      <c r="AE818" s="847"/>
      <c r="AF818" s="847"/>
      <c r="AG818" s="847"/>
    </row>
    <row r="819">
      <c r="A819" s="847"/>
      <c r="B819" s="847"/>
      <c r="C819" s="847"/>
      <c r="D819" s="847"/>
      <c r="E819" s="847"/>
      <c r="F819" s="847"/>
      <c r="G819" s="847"/>
      <c r="H819" s="847"/>
      <c r="I819" s="847"/>
      <c r="J819" s="847"/>
      <c r="K819" s="847"/>
      <c r="L819" s="847"/>
      <c r="M819" s="847"/>
      <c r="N819" s="847"/>
      <c r="O819" s="847"/>
      <c r="P819" s="847"/>
      <c r="Q819" s="847"/>
      <c r="R819" s="847"/>
      <c r="S819" s="847"/>
      <c r="T819" s="847"/>
      <c r="U819" s="847"/>
      <c r="V819" s="847"/>
      <c r="W819" s="847"/>
      <c r="X819" s="847"/>
      <c r="Y819" s="847"/>
      <c r="Z819" s="847"/>
      <c r="AA819" s="847"/>
      <c r="AB819" s="847"/>
      <c r="AC819" s="847"/>
      <c r="AD819" s="847"/>
      <c r="AE819" s="847"/>
      <c r="AF819" s="847"/>
      <c r="AG819" s="847"/>
    </row>
    <row r="820">
      <c r="A820" s="847"/>
      <c r="B820" s="847"/>
      <c r="C820" s="847"/>
      <c r="D820" s="847"/>
      <c r="E820" s="847"/>
      <c r="F820" s="847"/>
      <c r="G820" s="847"/>
      <c r="H820" s="847"/>
      <c r="I820" s="847"/>
      <c r="J820" s="847"/>
      <c r="K820" s="847"/>
      <c r="L820" s="847"/>
      <c r="M820" s="847"/>
      <c r="N820" s="847"/>
      <c r="O820" s="847"/>
      <c r="P820" s="847"/>
      <c r="Q820" s="847"/>
      <c r="R820" s="847"/>
      <c r="S820" s="847"/>
      <c r="T820" s="847"/>
      <c r="U820" s="847"/>
      <c r="V820" s="847"/>
      <c r="W820" s="847"/>
      <c r="X820" s="847"/>
      <c r="Y820" s="847"/>
      <c r="Z820" s="847"/>
      <c r="AA820" s="847"/>
      <c r="AB820" s="847"/>
      <c r="AC820" s="847"/>
      <c r="AD820" s="847"/>
      <c r="AE820" s="847"/>
      <c r="AF820" s="847"/>
      <c r="AG820" s="847"/>
    </row>
    <row r="821">
      <c r="A821" s="847"/>
      <c r="B821" s="847"/>
      <c r="C821" s="847"/>
      <c r="D821" s="847"/>
      <c r="E821" s="847"/>
      <c r="F821" s="847"/>
      <c r="G821" s="847"/>
      <c r="H821" s="847"/>
      <c r="I821" s="847"/>
      <c r="J821" s="847"/>
      <c r="K821" s="847"/>
      <c r="L821" s="847"/>
      <c r="M821" s="847"/>
      <c r="N821" s="847"/>
      <c r="O821" s="847"/>
      <c r="P821" s="847"/>
      <c r="Q821" s="847"/>
      <c r="R821" s="847"/>
      <c r="S821" s="847"/>
      <c r="T821" s="847"/>
      <c r="U821" s="847"/>
      <c r="V821" s="847"/>
      <c r="W821" s="847"/>
      <c r="X821" s="847"/>
      <c r="Y821" s="847"/>
      <c r="Z821" s="847"/>
      <c r="AA821" s="847"/>
      <c r="AB821" s="847"/>
      <c r="AC821" s="847"/>
      <c r="AD821" s="847"/>
      <c r="AE821" s="847"/>
      <c r="AF821" s="847"/>
      <c r="AG821" s="847"/>
    </row>
    <row r="822">
      <c r="A822" s="847"/>
      <c r="B822" s="847"/>
      <c r="C822" s="847"/>
      <c r="D822" s="847"/>
      <c r="E822" s="847"/>
      <c r="F822" s="847"/>
      <c r="G822" s="847"/>
      <c r="H822" s="847"/>
      <c r="I822" s="847"/>
      <c r="J822" s="847"/>
      <c r="K822" s="847"/>
      <c r="L822" s="847"/>
      <c r="M822" s="847"/>
      <c r="N822" s="847"/>
      <c r="O822" s="847"/>
      <c r="P822" s="847"/>
      <c r="Q822" s="847"/>
      <c r="R822" s="847"/>
      <c r="S822" s="847"/>
      <c r="T822" s="847"/>
      <c r="U822" s="847"/>
      <c r="V822" s="847"/>
      <c r="W822" s="847"/>
      <c r="X822" s="847"/>
      <c r="Y822" s="847"/>
      <c r="Z822" s="847"/>
      <c r="AA822" s="847"/>
      <c r="AB822" s="847"/>
      <c r="AC822" s="847"/>
      <c r="AD822" s="847"/>
      <c r="AE822" s="847"/>
      <c r="AF822" s="847"/>
      <c r="AG822" s="847"/>
    </row>
    <row r="823">
      <c r="A823" s="847"/>
      <c r="B823" s="847"/>
      <c r="C823" s="847"/>
      <c r="D823" s="847"/>
      <c r="E823" s="847"/>
      <c r="F823" s="847"/>
      <c r="G823" s="847"/>
      <c r="H823" s="847"/>
      <c r="I823" s="847"/>
      <c r="J823" s="847"/>
      <c r="K823" s="847"/>
      <c r="L823" s="847"/>
      <c r="M823" s="847"/>
      <c r="N823" s="847"/>
      <c r="O823" s="847"/>
      <c r="P823" s="847"/>
      <c r="Q823" s="847"/>
      <c r="R823" s="847"/>
      <c r="S823" s="847"/>
      <c r="T823" s="847"/>
      <c r="U823" s="847"/>
      <c r="V823" s="847"/>
      <c r="W823" s="847"/>
      <c r="X823" s="847"/>
      <c r="Y823" s="847"/>
      <c r="Z823" s="847"/>
      <c r="AA823" s="847"/>
      <c r="AB823" s="847"/>
      <c r="AC823" s="847"/>
      <c r="AD823" s="847"/>
      <c r="AE823" s="847"/>
      <c r="AF823" s="847"/>
      <c r="AG823" s="847"/>
    </row>
    <row r="824">
      <c r="A824" s="847"/>
      <c r="B824" s="847"/>
      <c r="C824" s="847"/>
      <c r="D824" s="847"/>
      <c r="E824" s="847"/>
      <c r="F824" s="847"/>
      <c r="G824" s="847"/>
      <c r="H824" s="847"/>
      <c r="I824" s="847"/>
      <c r="J824" s="847"/>
      <c r="K824" s="847"/>
      <c r="L824" s="847"/>
      <c r="M824" s="847"/>
      <c r="N824" s="847"/>
      <c r="O824" s="847"/>
      <c r="P824" s="847"/>
      <c r="Q824" s="847"/>
      <c r="R824" s="847"/>
      <c r="S824" s="847"/>
      <c r="T824" s="847"/>
      <c r="U824" s="847"/>
      <c r="V824" s="847"/>
      <c r="W824" s="847"/>
      <c r="X824" s="847"/>
      <c r="Y824" s="847"/>
      <c r="Z824" s="847"/>
      <c r="AA824" s="847"/>
      <c r="AB824" s="847"/>
      <c r="AC824" s="847"/>
      <c r="AD824" s="847"/>
      <c r="AE824" s="847"/>
      <c r="AF824" s="847"/>
      <c r="AG824" s="847"/>
    </row>
    <row r="825">
      <c r="A825" s="847"/>
      <c r="B825" s="847"/>
      <c r="C825" s="847"/>
      <c r="D825" s="847"/>
      <c r="E825" s="847"/>
      <c r="F825" s="847"/>
      <c r="G825" s="847"/>
      <c r="H825" s="847"/>
      <c r="I825" s="847"/>
      <c r="J825" s="847"/>
      <c r="K825" s="847"/>
      <c r="L825" s="847"/>
      <c r="M825" s="847"/>
      <c r="N825" s="847"/>
      <c r="O825" s="847"/>
      <c r="P825" s="847"/>
      <c r="Q825" s="847"/>
      <c r="R825" s="847"/>
      <c r="S825" s="847"/>
      <c r="T825" s="847"/>
      <c r="U825" s="847"/>
      <c r="V825" s="847"/>
      <c r="W825" s="847"/>
      <c r="X825" s="847"/>
      <c r="Y825" s="847"/>
      <c r="Z825" s="847"/>
      <c r="AA825" s="847"/>
      <c r="AB825" s="847"/>
      <c r="AC825" s="847"/>
      <c r="AD825" s="847"/>
      <c r="AE825" s="847"/>
      <c r="AF825" s="847"/>
      <c r="AG825" s="847"/>
    </row>
    <row r="826">
      <c r="A826" s="847"/>
      <c r="B826" s="847"/>
      <c r="C826" s="847"/>
      <c r="D826" s="847"/>
      <c r="E826" s="847"/>
      <c r="F826" s="847"/>
      <c r="G826" s="847"/>
      <c r="H826" s="847"/>
      <c r="I826" s="847"/>
      <c r="J826" s="847"/>
      <c r="K826" s="847"/>
      <c r="L826" s="847"/>
      <c r="M826" s="847"/>
      <c r="N826" s="847"/>
      <c r="O826" s="847"/>
      <c r="P826" s="847"/>
      <c r="Q826" s="847"/>
      <c r="R826" s="847"/>
      <c r="S826" s="847"/>
      <c r="T826" s="847"/>
      <c r="U826" s="847"/>
      <c r="V826" s="847"/>
      <c r="W826" s="847"/>
      <c r="X826" s="847"/>
      <c r="Y826" s="847"/>
      <c r="Z826" s="847"/>
      <c r="AA826" s="847"/>
      <c r="AB826" s="847"/>
      <c r="AC826" s="847"/>
      <c r="AD826" s="847"/>
      <c r="AE826" s="847"/>
      <c r="AF826" s="847"/>
      <c r="AG826" s="847"/>
    </row>
    <row r="827">
      <c r="A827" s="847"/>
      <c r="B827" s="847"/>
      <c r="C827" s="847"/>
      <c r="D827" s="847"/>
      <c r="E827" s="847"/>
      <c r="F827" s="847"/>
      <c r="G827" s="847"/>
      <c r="H827" s="847"/>
      <c r="I827" s="847"/>
      <c r="J827" s="847"/>
      <c r="K827" s="847"/>
      <c r="L827" s="847"/>
      <c r="M827" s="847"/>
      <c r="N827" s="847"/>
      <c r="O827" s="847"/>
      <c r="P827" s="847"/>
      <c r="Q827" s="847"/>
      <c r="R827" s="847"/>
      <c r="S827" s="847"/>
      <c r="T827" s="847"/>
      <c r="U827" s="847"/>
      <c r="V827" s="847"/>
      <c r="W827" s="847"/>
      <c r="X827" s="847"/>
      <c r="Y827" s="847"/>
      <c r="Z827" s="847"/>
      <c r="AA827" s="847"/>
      <c r="AB827" s="847"/>
      <c r="AC827" s="847"/>
      <c r="AD827" s="847"/>
      <c r="AE827" s="847"/>
      <c r="AF827" s="847"/>
      <c r="AG827" s="847"/>
    </row>
    <row r="828">
      <c r="A828" s="847"/>
      <c r="B828" s="847"/>
      <c r="C828" s="847"/>
      <c r="D828" s="847"/>
      <c r="E828" s="847"/>
      <c r="F828" s="847"/>
      <c r="G828" s="847"/>
      <c r="H828" s="847"/>
      <c r="I828" s="847"/>
      <c r="J828" s="847"/>
      <c r="K828" s="847"/>
      <c r="L828" s="847"/>
      <c r="M828" s="847"/>
      <c r="N828" s="847"/>
      <c r="O828" s="847"/>
      <c r="P828" s="847"/>
      <c r="Q828" s="847"/>
      <c r="R828" s="847"/>
      <c r="S828" s="847"/>
      <c r="T828" s="847"/>
      <c r="U828" s="847"/>
      <c r="V828" s="847"/>
      <c r="W828" s="847"/>
      <c r="X828" s="847"/>
      <c r="Y828" s="847"/>
      <c r="Z828" s="847"/>
      <c r="AA828" s="847"/>
      <c r="AB828" s="847"/>
      <c r="AC828" s="847"/>
      <c r="AD828" s="847"/>
      <c r="AE828" s="847"/>
      <c r="AF828" s="847"/>
      <c r="AG828" s="847"/>
    </row>
    <row r="829">
      <c r="A829" s="847"/>
      <c r="B829" s="847"/>
      <c r="C829" s="847"/>
      <c r="D829" s="847"/>
      <c r="E829" s="847"/>
      <c r="F829" s="847"/>
      <c r="G829" s="847"/>
      <c r="H829" s="847"/>
      <c r="I829" s="847"/>
      <c r="J829" s="847"/>
      <c r="K829" s="847"/>
      <c r="L829" s="847"/>
      <c r="M829" s="847"/>
      <c r="N829" s="847"/>
      <c r="O829" s="847"/>
      <c r="P829" s="847"/>
      <c r="Q829" s="847"/>
      <c r="R829" s="847"/>
      <c r="S829" s="847"/>
      <c r="T829" s="847"/>
      <c r="U829" s="847"/>
      <c r="V829" s="847"/>
      <c r="W829" s="847"/>
      <c r="X829" s="847"/>
      <c r="Y829" s="847"/>
      <c r="Z829" s="847"/>
      <c r="AA829" s="847"/>
      <c r="AB829" s="847"/>
      <c r="AC829" s="847"/>
      <c r="AD829" s="847"/>
      <c r="AE829" s="847"/>
      <c r="AF829" s="847"/>
      <c r="AG829" s="847"/>
    </row>
    <row r="830">
      <c r="A830" s="847"/>
      <c r="B830" s="847"/>
      <c r="C830" s="847"/>
      <c r="D830" s="847"/>
      <c r="E830" s="847"/>
      <c r="F830" s="847"/>
      <c r="G830" s="847"/>
      <c r="H830" s="847"/>
      <c r="I830" s="847"/>
      <c r="J830" s="847"/>
      <c r="K830" s="847"/>
      <c r="L830" s="847"/>
      <c r="M830" s="847"/>
      <c r="N830" s="847"/>
      <c r="O830" s="847"/>
      <c r="P830" s="847"/>
      <c r="Q830" s="847"/>
      <c r="R830" s="847"/>
      <c r="S830" s="847"/>
      <c r="T830" s="847"/>
      <c r="U830" s="847"/>
      <c r="V830" s="847"/>
      <c r="W830" s="847"/>
      <c r="X830" s="847"/>
      <c r="Y830" s="847"/>
      <c r="Z830" s="847"/>
      <c r="AA830" s="847"/>
      <c r="AB830" s="847"/>
      <c r="AC830" s="847"/>
      <c r="AD830" s="847"/>
      <c r="AE830" s="847"/>
      <c r="AF830" s="847"/>
      <c r="AG830" s="847"/>
    </row>
    <row r="831">
      <c r="A831" s="847"/>
      <c r="B831" s="847"/>
      <c r="C831" s="847"/>
      <c r="D831" s="847"/>
      <c r="E831" s="847"/>
      <c r="F831" s="847"/>
      <c r="G831" s="847"/>
      <c r="H831" s="847"/>
      <c r="I831" s="847"/>
      <c r="J831" s="847"/>
      <c r="K831" s="847"/>
      <c r="L831" s="847"/>
      <c r="M831" s="847"/>
      <c r="N831" s="847"/>
      <c r="O831" s="847"/>
      <c r="P831" s="847"/>
      <c r="Q831" s="847"/>
      <c r="R831" s="847"/>
      <c r="S831" s="847"/>
      <c r="T831" s="847"/>
      <c r="U831" s="847"/>
      <c r="V831" s="847"/>
      <c r="W831" s="847"/>
      <c r="X831" s="847"/>
      <c r="Y831" s="847"/>
      <c r="Z831" s="847"/>
      <c r="AA831" s="847"/>
      <c r="AB831" s="847"/>
      <c r="AC831" s="847"/>
      <c r="AD831" s="847"/>
      <c r="AE831" s="847"/>
      <c r="AF831" s="847"/>
      <c r="AG831" s="847"/>
    </row>
    <row r="832">
      <c r="A832" s="847"/>
      <c r="B832" s="847"/>
      <c r="C832" s="847"/>
      <c r="D832" s="847"/>
      <c r="E832" s="847"/>
      <c r="F832" s="847"/>
      <c r="G832" s="847"/>
      <c r="H832" s="847"/>
      <c r="I832" s="847"/>
      <c r="J832" s="847"/>
      <c r="K832" s="847"/>
      <c r="L832" s="847"/>
      <c r="M832" s="847"/>
      <c r="N832" s="847"/>
      <c r="O832" s="847"/>
      <c r="P832" s="847"/>
      <c r="Q832" s="847"/>
      <c r="R832" s="847"/>
      <c r="S832" s="847"/>
      <c r="T832" s="847"/>
      <c r="U832" s="847"/>
      <c r="V832" s="847"/>
      <c r="W832" s="847"/>
      <c r="X832" s="847"/>
      <c r="Y832" s="847"/>
      <c r="Z832" s="847"/>
      <c r="AA832" s="847"/>
      <c r="AB832" s="847"/>
      <c r="AC832" s="847"/>
      <c r="AD832" s="847"/>
      <c r="AE832" s="847"/>
      <c r="AF832" s="847"/>
      <c r="AG832" s="847"/>
    </row>
    <row r="833">
      <c r="A833" s="847"/>
      <c r="B833" s="847"/>
      <c r="C833" s="847"/>
      <c r="D833" s="847"/>
      <c r="E833" s="847"/>
      <c r="F833" s="847"/>
      <c r="G833" s="847"/>
      <c r="H833" s="847"/>
      <c r="I833" s="847"/>
      <c r="J833" s="847"/>
      <c r="K833" s="847"/>
      <c r="L833" s="847"/>
      <c r="M833" s="847"/>
      <c r="N833" s="847"/>
      <c r="O833" s="847"/>
      <c r="P833" s="847"/>
      <c r="Q833" s="847"/>
      <c r="R833" s="847"/>
      <c r="S833" s="847"/>
      <c r="T833" s="847"/>
      <c r="U833" s="847"/>
      <c r="V833" s="847"/>
      <c r="W833" s="847"/>
      <c r="X833" s="847"/>
      <c r="Y833" s="847"/>
      <c r="Z833" s="847"/>
      <c r="AA833" s="847"/>
      <c r="AB833" s="847"/>
      <c r="AC833" s="847"/>
      <c r="AD833" s="847"/>
      <c r="AE833" s="847"/>
      <c r="AF833" s="847"/>
      <c r="AG833" s="847"/>
    </row>
    <row r="834">
      <c r="A834" s="847"/>
      <c r="B834" s="847"/>
      <c r="C834" s="847"/>
      <c r="D834" s="847"/>
      <c r="E834" s="847"/>
      <c r="F834" s="847"/>
      <c r="G834" s="847"/>
      <c r="H834" s="847"/>
      <c r="I834" s="847"/>
      <c r="J834" s="847"/>
      <c r="K834" s="847"/>
      <c r="L834" s="847"/>
      <c r="M834" s="847"/>
      <c r="N834" s="847"/>
      <c r="O834" s="847"/>
      <c r="P834" s="847"/>
      <c r="Q834" s="847"/>
      <c r="R834" s="847"/>
      <c r="S834" s="847"/>
      <c r="T834" s="847"/>
      <c r="U834" s="847"/>
      <c r="V834" s="847"/>
      <c r="W834" s="847"/>
      <c r="X834" s="847"/>
      <c r="Y834" s="847"/>
      <c r="Z834" s="847"/>
      <c r="AA834" s="847"/>
      <c r="AB834" s="847"/>
      <c r="AC834" s="847"/>
      <c r="AD834" s="847"/>
      <c r="AE834" s="847"/>
      <c r="AF834" s="847"/>
      <c r="AG834" s="847"/>
    </row>
    <row r="835">
      <c r="A835" s="847"/>
      <c r="B835" s="847"/>
      <c r="C835" s="847"/>
      <c r="D835" s="847"/>
      <c r="E835" s="847"/>
      <c r="F835" s="847"/>
      <c r="G835" s="847"/>
      <c r="H835" s="847"/>
      <c r="I835" s="847"/>
      <c r="J835" s="847"/>
      <c r="K835" s="847"/>
      <c r="L835" s="847"/>
      <c r="M835" s="847"/>
      <c r="N835" s="847"/>
      <c r="O835" s="847"/>
      <c r="P835" s="847"/>
      <c r="Q835" s="847"/>
      <c r="R835" s="847"/>
      <c r="S835" s="847"/>
      <c r="T835" s="847"/>
      <c r="U835" s="847"/>
      <c r="V835" s="847"/>
      <c r="W835" s="847"/>
      <c r="X835" s="847"/>
      <c r="Y835" s="847"/>
      <c r="Z835" s="847"/>
      <c r="AA835" s="847"/>
      <c r="AB835" s="847"/>
      <c r="AC835" s="847"/>
      <c r="AD835" s="847"/>
      <c r="AE835" s="847"/>
      <c r="AF835" s="847"/>
      <c r="AG835" s="847"/>
    </row>
    <row r="836">
      <c r="A836" s="847"/>
      <c r="B836" s="847"/>
      <c r="C836" s="847"/>
      <c r="D836" s="847"/>
      <c r="E836" s="847"/>
      <c r="F836" s="847"/>
      <c r="G836" s="847"/>
      <c r="H836" s="847"/>
      <c r="I836" s="847"/>
      <c r="J836" s="847"/>
      <c r="K836" s="847"/>
      <c r="L836" s="847"/>
      <c r="M836" s="847"/>
      <c r="N836" s="847"/>
      <c r="O836" s="847"/>
      <c r="P836" s="847"/>
      <c r="Q836" s="847"/>
      <c r="R836" s="847"/>
      <c r="S836" s="847"/>
      <c r="T836" s="847"/>
      <c r="U836" s="847"/>
      <c r="V836" s="847"/>
      <c r="W836" s="847"/>
      <c r="X836" s="847"/>
      <c r="Y836" s="847"/>
      <c r="Z836" s="847"/>
      <c r="AA836" s="847"/>
      <c r="AB836" s="847"/>
      <c r="AC836" s="847"/>
      <c r="AD836" s="847"/>
      <c r="AE836" s="847"/>
      <c r="AF836" s="847"/>
      <c r="AG836" s="847"/>
    </row>
    <row r="837">
      <c r="A837" s="847"/>
      <c r="B837" s="847"/>
      <c r="C837" s="847"/>
      <c r="D837" s="847"/>
      <c r="E837" s="847"/>
      <c r="F837" s="847"/>
      <c r="G837" s="847"/>
      <c r="H837" s="847"/>
      <c r="I837" s="847"/>
      <c r="J837" s="847"/>
      <c r="K837" s="847"/>
      <c r="L837" s="847"/>
      <c r="M837" s="847"/>
      <c r="N837" s="847"/>
      <c r="O837" s="847"/>
      <c r="P837" s="847"/>
      <c r="Q837" s="847"/>
      <c r="R837" s="847"/>
      <c r="S837" s="847"/>
      <c r="T837" s="847"/>
      <c r="U837" s="847"/>
      <c r="V837" s="847"/>
      <c r="W837" s="847"/>
      <c r="X837" s="847"/>
      <c r="Y837" s="847"/>
      <c r="Z837" s="847"/>
      <c r="AA837" s="847"/>
      <c r="AB837" s="847"/>
      <c r="AC837" s="847"/>
      <c r="AD837" s="847"/>
      <c r="AE837" s="847"/>
      <c r="AF837" s="847"/>
      <c r="AG837" s="847"/>
    </row>
    <row r="838">
      <c r="A838" s="847"/>
      <c r="B838" s="847"/>
      <c r="C838" s="847"/>
      <c r="D838" s="847"/>
      <c r="E838" s="847"/>
      <c r="F838" s="847"/>
      <c r="G838" s="847"/>
      <c r="H838" s="847"/>
      <c r="I838" s="847"/>
      <c r="J838" s="847"/>
      <c r="K838" s="847"/>
      <c r="L838" s="847"/>
      <c r="M838" s="847"/>
      <c r="N838" s="847"/>
      <c r="O838" s="847"/>
      <c r="P838" s="847"/>
      <c r="Q838" s="847"/>
      <c r="R838" s="847"/>
      <c r="S838" s="847"/>
      <c r="T838" s="847"/>
      <c r="U838" s="847"/>
      <c r="V838" s="847"/>
      <c r="W838" s="847"/>
      <c r="X838" s="847"/>
      <c r="Y838" s="847"/>
      <c r="Z838" s="847"/>
      <c r="AA838" s="847"/>
      <c r="AB838" s="847"/>
      <c r="AC838" s="847"/>
      <c r="AD838" s="847"/>
      <c r="AE838" s="847"/>
      <c r="AF838" s="847"/>
      <c r="AG838" s="847"/>
    </row>
    <row r="839">
      <c r="A839" s="847"/>
      <c r="B839" s="847"/>
      <c r="C839" s="847"/>
      <c r="D839" s="847"/>
      <c r="E839" s="847"/>
      <c r="F839" s="847"/>
      <c r="G839" s="847"/>
      <c r="H839" s="847"/>
      <c r="I839" s="847"/>
      <c r="J839" s="847"/>
      <c r="K839" s="847"/>
      <c r="L839" s="847"/>
      <c r="M839" s="847"/>
      <c r="N839" s="847"/>
      <c r="O839" s="847"/>
      <c r="P839" s="847"/>
      <c r="Q839" s="847"/>
      <c r="R839" s="847"/>
      <c r="S839" s="847"/>
      <c r="T839" s="847"/>
      <c r="U839" s="847"/>
      <c r="V839" s="847"/>
      <c r="W839" s="847"/>
      <c r="X839" s="847"/>
      <c r="Y839" s="847"/>
      <c r="Z839" s="847"/>
      <c r="AA839" s="847"/>
      <c r="AB839" s="847"/>
      <c r="AC839" s="847"/>
      <c r="AD839" s="847"/>
      <c r="AE839" s="847"/>
      <c r="AF839" s="847"/>
      <c r="AG839" s="847"/>
    </row>
    <row r="840">
      <c r="A840" s="847"/>
      <c r="B840" s="847"/>
      <c r="C840" s="847"/>
      <c r="D840" s="847"/>
      <c r="E840" s="847"/>
      <c r="F840" s="847"/>
      <c r="G840" s="847"/>
      <c r="H840" s="847"/>
      <c r="I840" s="847"/>
      <c r="J840" s="847"/>
      <c r="K840" s="847"/>
      <c r="L840" s="847"/>
      <c r="M840" s="847"/>
      <c r="N840" s="847"/>
      <c r="O840" s="847"/>
      <c r="P840" s="847"/>
      <c r="Q840" s="847"/>
      <c r="R840" s="847"/>
      <c r="S840" s="847"/>
      <c r="T840" s="847"/>
      <c r="U840" s="847"/>
      <c r="V840" s="847"/>
      <c r="W840" s="847"/>
      <c r="X840" s="847"/>
      <c r="Y840" s="847"/>
      <c r="Z840" s="847"/>
      <c r="AA840" s="847"/>
      <c r="AB840" s="847"/>
      <c r="AC840" s="847"/>
      <c r="AD840" s="847"/>
      <c r="AE840" s="847"/>
      <c r="AF840" s="847"/>
      <c r="AG840" s="847"/>
    </row>
    <row r="841">
      <c r="A841" s="847"/>
      <c r="B841" s="847"/>
      <c r="C841" s="847"/>
      <c r="D841" s="847"/>
      <c r="E841" s="847"/>
      <c r="F841" s="847"/>
      <c r="G841" s="847"/>
      <c r="H841" s="847"/>
      <c r="I841" s="847"/>
      <c r="J841" s="847"/>
      <c r="K841" s="847"/>
      <c r="L841" s="847"/>
      <c r="M841" s="847"/>
      <c r="N841" s="847"/>
      <c r="O841" s="847"/>
      <c r="P841" s="847"/>
      <c r="Q841" s="847"/>
      <c r="R841" s="847"/>
      <c r="S841" s="847"/>
      <c r="T841" s="847"/>
      <c r="U841" s="847"/>
      <c r="V841" s="847"/>
      <c r="W841" s="847"/>
      <c r="X841" s="847"/>
      <c r="Y841" s="847"/>
      <c r="Z841" s="847"/>
      <c r="AA841" s="847"/>
      <c r="AB841" s="847"/>
      <c r="AC841" s="847"/>
      <c r="AD841" s="847"/>
      <c r="AE841" s="847"/>
      <c r="AF841" s="847"/>
      <c r="AG841" s="847"/>
    </row>
    <row r="842">
      <c r="A842" s="847"/>
      <c r="B842" s="847"/>
      <c r="C842" s="847"/>
      <c r="D842" s="847"/>
      <c r="E842" s="847"/>
      <c r="F842" s="847"/>
      <c r="G842" s="847"/>
      <c r="H842" s="847"/>
      <c r="I842" s="847"/>
      <c r="J842" s="847"/>
      <c r="K842" s="847"/>
      <c r="L842" s="847"/>
      <c r="M842" s="847"/>
      <c r="N842" s="847"/>
      <c r="O842" s="847"/>
      <c r="P842" s="847"/>
      <c r="Q842" s="847"/>
      <c r="R842" s="847"/>
      <c r="S842" s="847"/>
      <c r="T842" s="847"/>
      <c r="U842" s="847"/>
      <c r="V842" s="847"/>
      <c r="W842" s="847"/>
      <c r="X842" s="847"/>
      <c r="Y842" s="847"/>
      <c r="Z842" s="847"/>
      <c r="AA842" s="847"/>
      <c r="AB842" s="847"/>
      <c r="AC842" s="847"/>
      <c r="AD842" s="847"/>
      <c r="AE842" s="847"/>
      <c r="AF842" s="847"/>
      <c r="AG842" s="847"/>
    </row>
    <row r="843">
      <c r="A843" s="847"/>
      <c r="B843" s="847"/>
      <c r="C843" s="847"/>
      <c r="D843" s="847"/>
      <c r="E843" s="847"/>
      <c r="F843" s="847"/>
      <c r="G843" s="847"/>
      <c r="H843" s="847"/>
      <c r="I843" s="847"/>
      <c r="J843" s="847"/>
      <c r="K843" s="847"/>
      <c r="L843" s="847"/>
      <c r="M843" s="847"/>
      <c r="N843" s="847"/>
      <c r="O843" s="847"/>
      <c r="P843" s="847"/>
      <c r="Q843" s="847"/>
      <c r="R843" s="847"/>
      <c r="S843" s="847"/>
      <c r="T843" s="847"/>
      <c r="U843" s="847"/>
      <c r="V843" s="847"/>
      <c r="W843" s="847"/>
      <c r="X843" s="847"/>
      <c r="Y843" s="847"/>
      <c r="Z843" s="847"/>
      <c r="AA843" s="847"/>
      <c r="AB843" s="847"/>
      <c r="AC843" s="847"/>
      <c r="AD843" s="847"/>
      <c r="AE843" s="847"/>
      <c r="AF843" s="847"/>
      <c r="AG843" s="847"/>
    </row>
    <row r="844">
      <c r="A844" s="847"/>
      <c r="B844" s="847"/>
      <c r="C844" s="847"/>
      <c r="D844" s="847"/>
      <c r="E844" s="847"/>
      <c r="F844" s="847"/>
      <c r="G844" s="847"/>
      <c r="H844" s="847"/>
      <c r="I844" s="847"/>
      <c r="J844" s="847"/>
      <c r="K844" s="847"/>
      <c r="L844" s="847"/>
      <c r="M844" s="847"/>
      <c r="N844" s="847"/>
      <c r="O844" s="847"/>
      <c r="P844" s="847"/>
      <c r="Q844" s="847"/>
      <c r="R844" s="847"/>
      <c r="S844" s="847"/>
      <c r="T844" s="847"/>
      <c r="U844" s="847"/>
      <c r="V844" s="847"/>
      <c r="W844" s="847"/>
      <c r="X844" s="847"/>
      <c r="Y844" s="847"/>
      <c r="Z844" s="847"/>
      <c r="AA844" s="847"/>
      <c r="AB844" s="847"/>
      <c r="AC844" s="847"/>
      <c r="AD844" s="847"/>
      <c r="AE844" s="847"/>
      <c r="AF844" s="847"/>
      <c r="AG844" s="847"/>
    </row>
    <row r="845">
      <c r="A845" s="847"/>
      <c r="B845" s="847"/>
      <c r="C845" s="847"/>
      <c r="D845" s="847"/>
      <c r="E845" s="847"/>
      <c r="F845" s="847"/>
      <c r="G845" s="847"/>
      <c r="H845" s="847"/>
      <c r="I845" s="847"/>
      <c r="J845" s="847"/>
      <c r="K845" s="847"/>
      <c r="L845" s="847"/>
      <c r="M845" s="847"/>
      <c r="N845" s="847"/>
      <c r="O845" s="847"/>
      <c r="P845" s="847"/>
      <c r="Q845" s="847"/>
      <c r="R845" s="847"/>
      <c r="S845" s="847"/>
      <c r="T845" s="847"/>
      <c r="U845" s="847"/>
      <c r="V845" s="847"/>
      <c r="W845" s="847"/>
      <c r="X845" s="847"/>
      <c r="Y845" s="847"/>
      <c r="Z845" s="847"/>
      <c r="AA845" s="847"/>
      <c r="AB845" s="847"/>
      <c r="AC845" s="847"/>
      <c r="AD845" s="847"/>
      <c r="AE845" s="847"/>
      <c r="AF845" s="847"/>
      <c r="AG845" s="847"/>
    </row>
    <row r="846">
      <c r="A846" s="847"/>
      <c r="B846" s="847"/>
      <c r="C846" s="847"/>
      <c r="D846" s="847"/>
      <c r="E846" s="847"/>
      <c r="F846" s="847"/>
      <c r="G846" s="847"/>
      <c r="H846" s="847"/>
      <c r="I846" s="847"/>
      <c r="J846" s="847"/>
      <c r="K846" s="847"/>
      <c r="L846" s="847"/>
      <c r="M846" s="847"/>
      <c r="N846" s="847"/>
      <c r="O846" s="847"/>
      <c r="P846" s="847"/>
      <c r="Q846" s="847"/>
      <c r="R846" s="847"/>
      <c r="S846" s="847"/>
      <c r="T846" s="847"/>
      <c r="U846" s="847"/>
      <c r="V846" s="847"/>
      <c r="W846" s="847"/>
      <c r="X846" s="847"/>
      <c r="Y846" s="847"/>
      <c r="Z846" s="847"/>
      <c r="AA846" s="847"/>
      <c r="AB846" s="847"/>
      <c r="AC846" s="847"/>
      <c r="AD846" s="847"/>
      <c r="AE846" s="847"/>
      <c r="AF846" s="847"/>
      <c r="AG846" s="847"/>
    </row>
    <row r="847">
      <c r="A847" s="847"/>
      <c r="B847" s="847"/>
      <c r="C847" s="847"/>
      <c r="D847" s="847"/>
      <c r="E847" s="847"/>
      <c r="F847" s="847"/>
      <c r="G847" s="847"/>
      <c r="H847" s="847"/>
      <c r="I847" s="847"/>
      <c r="J847" s="847"/>
      <c r="K847" s="847"/>
      <c r="L847" s="847"/>
      <c r="M847" s="847"/>
      <c r="N847" s="847"/>
      <c r="O847" s="847"/>
      <c r="P847" s="847"/>
      <c r="Q847" s="847"/>
      <c r="R847" s="847"/>
      <c r="S847" s="847"/>
      <c r="T847" s="847"/>
      <c r="U847" s="847"/>
      <c r="V847" s="847"/>
      <c r="W847" s="847"/>
      <c r="X847" s="847"/>
      <c r="Y847" s="847"/>
      <c r="Z847" s="847"/>
      <c r="AA847" s="847"/>
      <c r="AB847" s="847"/>
      <c r="AC847" s="847"/>
      <c r="AD847" s="847"/>
      <c r="AE847" s="847"/>
      <c r="AF847" s="847"/>
      <c r="AG847" s="847"/>
    </row>
    <row r="848">
      <c r="A848" s="847"/>
      <c r="B848" s="847"/>
      <c r="C848" s="847"/>
      <c r="D848" s="847"/>
      <c r="E848" s="847"/>
      <c r="F848" s="847"/>
      <c r="G848" s="847"/>
      <c r="H848" s="847"/>
      <c r="I848" s="847"/>
      <c r="J848" s="847"/>
      <c r="K848" s="847"/>
      <c r="L848" s="847"/>
      <c r="M848" s="847"/>
      <c r="N848" s="847"/>
      <c r="O848" s="847"/>
      <c r="P848" s="847"/>
      <c r="Q848" s="847"/>
      <c r="R848" s="847"/>
      <c r="S848" s="847"/>
      <c r="T848" s="847"/>
      <c r="U848" s="847"/>
      <c r="V848" s="847"/>
      <c r="W848" s="847"/>
      <c r="X848" s="847"/>
      <c r="Y848" s="847"/>
      <c r="Z848" s="847"/>
      <c r="AA848" s="847"/>
      <c r="AB848" s="847"/>
      <c r="AC848" s="847"/>
      <c r="AD848" s="847"/>
      <c r="AE848" s="847"/>
      <c r="AF848" s="847"/>
      <c r="AG848" s="847"/>
    </row>
    <row r="849">
      <c r="A849" s="847"/>
      <c r="B849" s="847"/>
      <c r="C849" s="847"/>
      <c r="D849" s="847"/>
      <c r="E849" s="847"/>
      <c r="F849" s="847"/>
      <c r="G849" s="847"/>
      <c r="H849" s="847"/>
      <c r="I849" s="847"/>
      <c r="J849" s="847"/>
      <c r="K849" s="847"/>
      <c r="L849" s="847"/>
      <c r="M849" s="847"/>
      <c r="N849" s="847"/>
      <c r="O849" s="847"/>
      <c r="P849" s="847"/>
      <c r="Q849" s="847"/>
      <c r="R849" s="847"/>
      <c r="S849" s="847"/>
      <c r="T849" s="847"/>
      <c r="U849" s="847"/>
      <c r="V849" s="847"/>
      <c r="W849" s="847"/>
      <c r="X849" s="847"/>
      <c r="Y849" s="847"/>
      <c r="Z849" s="847"/>
      <c r="AA849" s="847"/>
      <c r="AB849" s="847"/>
      <c r="AC849" s="847"/>
      <c r="AD849" s="847"/>
      <c r="AE849" s="847"/>
      <c r="AF849" s="847"/>
      <c r="AG849" s="847"/>
    </row>
    <row r="850">
      <c r="A850" s="847"/>
      <c r="B850" s="847"/>
      <c r="C850" s="847"/>
      <c r="D850" s="847"/>
      <c r="E850" s="847"/>
      <c r="F850" s="847"/>
      <c r="G850" s="847"/>
      <c r="H850" s="847"/>
      <c r="I850" s="847"/>
      <c r="J850" s="847"/>
      <c r="K850" s="847"/>
      <c r="L850" s="847"/>
      <c r="M850" s="847"/>
      <c r="N850" s="847"/>
      <c r="O850" s="847"/>
      <c r="P850" s="847"/>
      <c r="Q850" s="847"/>
      <c r="R850" s="847"/>
      <c r="S850" s="847"/>
      <c r="T850" s="847"/>
      <c r="U850" s="847"/>
      <c r="V850" s="847"/>
      <c r="W850" s="847"/>
      <c r="X850" s="847"/>
      <c r="Y850" s="847"/>
      <c r="Z850" s="847"/>
      <c r="AA850" s="847"/>
      <c r="AB850" s="847"/>
      <c r="AC850" s="847"/>
      <c r="AD850" s="847"/>
      <c r="AE850" s="847"/>
      <c r="AF850" s="847"/>
      <c r="AG850" s="847"/>
    </row>
    <row r="851">
      <c r="A851" s="847"/>
      <c r="B851" s="847"/>
      <c r="C851" s="847"/>
      <c r="D851" s="847"/>
      <c r="E851" s="847"/>
      <c r="F851" s="847"/>
      <c r="G851" s="847"/>
      <c r="H851" s="847"/>
      <c r="I851" s="847"/>
      <c r="J851" s="847"/>
      <c r="K851" s="847"/>
      <c r="L851" s="847"/>
      <c r="M851" s="847"/>
      <c r="N851" s="847"/>
      <c r="O851" s="847"/>
      <c r="P851" s="847"/>
      <c r="Q851" s="847"/>
      <c r="R851" s="847"/>
      <c r="S851" s="847"/>
      <c r="T851" s="847"/>
      <c r="U851" s="847"/>
      <c r="V851" s="847"/>
      <c r="W851" s="847"/>
      <c r="X851" s="847"/>
      <c r="Y851" s="847"/>
      <c r="Z851" s="847"/>
      <c r="AA851" s="847"/>
      <c r="AB851" s="847"/>
      <c r="AC851" s="847"/>
      <c r="AD851" s="847"/>
      <c r="AE851" s="847"/>
      <c r="AF851" s="847"/>
      <c r="AG851" s="847"/>
    </row>
    <row r="852">
      <c r="A852" s="847"/>
      <c r="B852" s="847"/>
      <c r="C852" s="847"/>
      <c r="D852" s="847"/>
      <c r="E852" s="847"/>
      <c r="F852" s="847"/>
      <c r="G852" s="847"/>
      <c r="H852" s="847"/>
      <c r="I852" s="847"/>
      <c r="J852" s="847"/>
      <c r="K852" s="847"/>
      <c r="L852" s="847"/>
      <c r="M852" s="847"/>
      <c r="N852" s="847"/>
      <c r="O852" s="847"/>
      <c r="P852" s="847"/>
      <c r="Q852" s="847"/>
      <c r="R852" s="847"/>
      <c r="S852" s="847"/>
      <c r="T852" s="847"/>
      <c r="U852" s="847"/>
      <c r="V852" s="847"/>
      <c r="W852" s="847"/>
      <c r="X852" s="847"/>
      <c r="Y852" s="847"/>
      <c r="Z852" s="847"/>
      <c r="AA852" s="847"/>
      <c r="AB852" s="847"/>
      <c r="AC852" s="847"/>
      <c r="AD852" s="847"/>
      <c r="AE852" s="847"/>
      <c r="AF852" s="847"/>
      <c r="AG852" s="847"/>
    </row>
    <row r="853">
      <c r="A853" s="847"/>
      <c r="B853" s="847"/>
      <c r="C853" s="847"/>
      <c r="D853" s="847"/>
      <c r="E853" s="847"/>
      <c r="F853" s="847"/>
      <c r="G853" s="847"/>
      <c r="H853" s="847"/>
      <c r="I853" s="847"/>
      <c r="J853" s="847"/>
      <c r="K853" s="847"/>
      <c r="L853" s="847"/>
      <c r="M853" s="847"/>
      <c r="N853" s="847"/>
      <c r="O853" s="847"/>
      <c r="P853" s="847"/>
      <c r="Q853" s="847"/>
      <c r="R853" s="847"/>
      <c r="S853" s="847"/>
      <c r="T853" s="847"/>
      <c r="U853" s="847"/>
      <c r="V853" s="847"/>
      <c r="W853" s="847"/>
      <c r="X853" s="847"/>
      <c r="Y853" s="847"/>
      <c r="Z853" s="847"/>
      <c r="AA853" s="847"/>
      <c r="AB853" s="847"/>
      <c r="AC853" s="847"/>
      <c r="AD853" s="847"/>
      <c r="AE853" s="847"/>
      <c r="AF853" s="847"/>
      <c r="AG853" s="847"/>
    </row>
    <row r="854">
      <c r="A854" s="847"/>
      <c r="B854" s="847"/>
      <c r="C854" s="847"/>
      <c r="D854" s="847"/>
      <c r="E854" s="847"/>
      <c r="F854" s="847"/>
      <c r="G854" s="847"/>
      <c r="H854" s="847"/>
      <c r="I854" s="847"/>
      <c r="J854" s="847"/>
      <c r="K854" s="847"/>
      <c r="L854" s="847"/>
      <c r="M854" s="847"/>
      <c r="N854" s="847"/>
      <c r="O854" s="847"/>
      <c r="P854" s="847"/>
      <c r="Q854" s="847"/>
      <c r="R854" s="847"/>
      <c r="S854" s="847"/>
      <c r="T854" s="847"/>
      <c r="U854" s="847"/>
      <c r="V854" s="847"/>
      <c r="W854" s="847"/>
      <c r="X854" s="847"/>
      <c r="Y854" s="847"/>
      <c r="Z854" s="847"/>
      <c r="AA854" s="847"/>
      <c r="AB854" s="847"/>
      <c r="AC854" s="847"/>
      <c r="AD854" s="847"/>
      <c r="AE854" s="847"/>
      <c r="AF854" s="847"/>
      <c r="AG854" s="847"/>
    </row>
    <row r="855">
      <c r="A855" s="847"/>
      <c r="B855" s="847"/>
      <c r="C855" s="847"/>
      <c r="D855" s="847"/>
      <c r="E855" s="847"/>
      <c r="F855" s="847"/>
      <c r="G855" s="847"/>
      <c r="H855" s="847"/>
      <c r="I855" s="847"/>
      <c r="J855" s="847"/>
      <c r="K855" s="847"/>
      <c r="L855" s="847"/>
      <c r="M855" s="847"/>
      <c r="N855" s="847"/>
      <c r="O855" s="847"/>
      <c r="P855" s="847"/>
      <c r="Q855" s="847"/>
      <c r="R855" s="847"/>
      <c r="S855" s="847"/>
      <c r="T855" s="847"/>
      <c r="U855" s="847"/>
      <c r="V855" s="847"/>
      <c r="W855" s="847"/>
      <c r="X855" s="847"/>
      <c r="Y855" s="847"/>
      <c r="Z855" s="847"/>
      <c r="AA855" s="847"/>
      <c r="AB855" s="847"/>
      <c r="AC855" s="847"/>
      <c r="AD855" s="847"/>
      <c r="AE855" s="847"/>
      <c r="AF855" s="847"/>
      <c r="AG855" s="847"/>
    </row>
    <row r="856">
      <c r="A856" s="847"/>
      <c r="B856" s="847"/>
      <c r="C856" s="847"/>
      <c r="D856" s="847"/>
      <c r="E856" s="847"/>
      <c r="F856" s="847"/>
      <c r="G856" s="847"/>
      <c r="H856" s="847"/>
      <c r="I856" s="847"/>
      <c r="J856" s="847"/>
      <c r="K856" s="847"/>
      <c r="L856" s="847"/>
      <c r="M856" s="847"/>
      <c r="N856" s="847"/>
      <c r="O856" s="847"/>
      <c r="P856" s="847"/>
      <c r="Q856" s="847"/>
      <c r="R856" s="847"/>
      <c r="S856" s="847"/>
      <c r="T856" s="847"/>
      <c r="U856" s="847"/>
      <c r="V856" s="847"/>
      <c r="W856" s="847"/>
      <c r="X856" s="847"/>
      <c r="Y856" s="847"/>
      <c r="Z856" s="847"/>
      <c r="AA856" s="847"/>
      <c r="AB856" s="847"/>
      <c r="AC856" s="847"/>
      <c r="AD856" s="847"/>
      <c r="AE856" s="847"/>
      <c r="AF856" s="847"/>
      <c r="AG856" s="847"/>
    </row>
    <row r="857">
      <c r="A857" s="847"/>
      <c r="B857" s="847"/>
      <c r="C857" s="847"/>
      <c r="D857" s="847"/>
      <c r="E857" s="847"/>
      <c r="F857" s="847"/>
      <c r="G857" s="847"/>
      <c r="H857" s="847"/>
      <c r="I857" s="847"/>
      <c r="J857" s="847"/>
      <c r="K857" s="847"/>
      <c r="L857" s="847"/>
      <c r="M857" s="847"/>
      <c r="N857" s="847"/>
      <c r="O857" s="847"/>
      <c r="P857" s="847"/>
      <c r="Q857" s="847"/>
      <c r="R857" s="847"/>
      <c r="S857" s="847"/>
      <c r="T857" s="847"/>
      <c r="U857" s="847"/>
      <c r="V857" s="847"/>
      <c r="W857" s="847"/>
      <c r="X857" s="847"/>
      <c r="Y857" s="847"/>
      <c r="Z857" s="847"/>
      <c r="AA857" s="847"/>
      <c r="AB857" s="847"/>
      <c r="AC857" s="847"/>
      <c r="AD857" s="847"/>
      <c r="AE857" s="847"/>
      <c r="AF857" s="847"/>
      <c r="AG857" s="847"/>
    </row>
    <row r="858">
      <c r="A858" s="847"/>
      <c r="B858" s="847"/>
      <c r="C858" s="847"/>
      <c r="D858" s="847"/>
      <c r="E858" s="847"/>
      <c r="F858" s="847"/>
      <c r="G858" s="847"/>
      <c r="H858" s="847"/>
      <c r="I858" s="847"/>
      <c r="J858" s="847"/>
      <c r="K858" s="847"/>
      <c r="L858" s="847"/>
      <c r="M858" s="847"/>
      <c r="N858" s="847"/>
      <c r="O858" s="847"/>
      <c r="P858" s="847"/>
      <c r="Q858" s="847"/>
      <c r="R858" s="847"/>
      <c r="S858" s="847"/>
      <c r="T858" s="847"/>
      <c r="U858" s="847"/>
      <c r="V858" s="847"/>
      <c r="W858" s="847"/>
      <c r="X858" s="847"/>
      <c r="Y858" s="847"/>
      <c r="Z858" s="847"/>
      <c r="AA858" s="847"/>
      <c r="AB858" s="847"/>
      <c r="AC858" s="847"/>
      <c r="AD858" s="847"/>
      <c r="AE858" s="847"/>
      <c r="AF858" s="847"/>
      <c r="AG858" s="847"/>
    </row>
    <row r="859">
      <c r="A859" s="847"/>
      <c r="B859" s="847"/>
      <c r="C859" s="847"/>
      <c r="D859" s="847"/>
      <c r="E859" s="847"/>
      <c r="F859" s="847"/>
      <c r="G859" s="847"/>
      <c r="H859" s="847"/>
      <c r="I859" s="847"/>
      <c r="J859" s="847"/>
      <c r="K859" s="847"/>
      <c r="L859" s="847"/>
      <c r="M859" s="847"/>
      <c r="N859" s="847"/>
      <c r="O859" s="847"/>
      <c r="P859" s="847"/>
      <c r="Q859" s="847"/>
      <c r="R859" s="847"/>
      <c r="S859" s="847"/>
      <c r="T859" s="847"/>
      <c r="U859" s="847"/>
      <c r="V859" s="847"/>
      <c r="W859" s="847"/>
      <c r="X859" s="847"/>
      <c r="Y859" s="847"/>
      <c r="Z859" s="847"/>
      <c r="AA859" s="847"/>
      <c r="AB859" s="847"/>
      <c r="AC859" s="847"/>
      <c r="AD859" s="847"/>
      <c r="AE859" s="847"/>
      <c r="AF859" s="847"/>
      <c r="AG859" s="847"/>
    </row>
    <row r="860">
      <c r="A860" s="847"/>
      <c r="B860" s="847"/>
      <c r="C860" s="847"/>
      <c r="D860" s="847"/>
      <c r="E860" s="847"/>
      <c r="F860" s="847"/>
      <c r="G860" s="847"/>
      <c r="H860" s="847"/>
      <c r="I860" s="847"/>
      <c r="J860" s="847"/>
      <c r="K860" s="847"/>
      <c r="L860" s="847"/>
      <c r="M860" s="847"/>
      <c r="N860" s="847"/>
      <c r="O860" s="847"/>
      <c r="P860" s="847"/>
      <c r="Q860" s="847"/>
      <c r="R860" s="847"/>
      <c r="S860" s="847"/>
      <c r="T860" s="847"/>
      <c r="U860" s="847"/>
      <c r="V860" s="847"/>
      <c r="W860" s="847"/>
      <c r="X860" s="847"/>
      <c r="Y860" s="847"/>
      <c r="Z860" s="847"/>
      <c r="AA860" s="847"/>
      <c r="AB860" s="847"/>
      <c r="AC860" s="847"/>
      <c r="AD860" s="847"/>
      <c r="AE860" s="847"/>
      <c r="AF860" s="847"/>
      <c r="AG860" s="847"/>
    </row>
    <row r="861">
      <c r="A861" s="847"/>
      <c r="B861" s="847"/>
      <c r="C861" s="847"/>
      <c r="D861" s="847"/>
      <c r="E861" s="847"/>
      <c r="F861" s="847"/>
      <c r="G861" s="847"/>
      <c r="H861" s="847"/>
      <c r="I861" s="847"/>
      <c r="J861" s="847"/>
      <c r="K861" s="847"/>
      <c r="L861" s="847"/>
      <c r="M861" s="847"/>
      <c r="N861" s="847"/>
      <c r="O861" s="847"/>
      <c r="P861" s="847"/>
      <c r="Q861" s="847"/>
      <c r="R861" s="847"/>
      <c r="S861" s="847"/>
      <c r="T861" s="847"/>
      <c r="U861" s="847"/>
      <c r="V861" s="847"/>
      <c r="W861" s="847"/>
      <c r="X861" s="847"/>
      <c r="Y861" s="847"/>
      <c r="Z861" s="847"/>
      <c r="AA861" s="847"/>
      <c r="AB861" s="847"/>
      <c r="AC861" s="847"/>
      <c r="AD861" s="847"/>
      <c r="AE861" s="847"/>
      <c r="AF861" s="847"/>
      <c r="AG861" s="847"/>
    </row>
    <row r="862">
      <c r="A862" s="847"/>
      <c r="B862" s="847"/>
      <c r="C862" s="847"/>
      <c r="D862" s="847"/>
      <c r="E862" s="847"/>
      <c r="F862" s="847"/>
      <c r="G862" s="847"/>
      <c r="H862" s="847"/>
      <c r="I862" s="847"/>
      <c r="J862" s="847"/>
      <c r="K862" s="847"/>
      <c r="L862" s="847"/>
      <c r="M862" s="847"/>
      <c r="N862" s="847"/>
      <c r="O862" s="847"/>
      <c r="P862" s="847"/>
      <c r="Q862" s="847"/>
      <c r="R862" s="847"/>
      <c r="S862" s="847"/>
      <c r="T862" s="847"/>
      <c r="U862" s="847"/>
      <c r="V862" s="847"/>
      <c r="W862" s="847"/>
      <c r="X862" s="847"/>
      <c r="Y862" s="847"/>
      <c r="Z862" s="847"/>
      <c r="AA862" s="847"/>
      <c r="AB862" s="847"/>
      <c r="AC862" s="847"/>
      <c r="AD862" s="847"/>
      <c r="AE862" s="847"/>
      <c r="AF862" s="847"/>
      <c r="AG862" s="847"/>
    </row>
    <row r="863">
      <c r="A863" s="847"/>
      <c r="B863" s="847"/>
      <c r="C863" s="847"/>
      <c r="D863" s="847"/>
      <c r="E863" s="847"/>
      <c r="F863" s="847"/>
      <c r="G863" s="847"/>
      <c r="H863" s="847"/>
      <c r="I863" s="847"/>
      <c r="J863" s="847"/>
      <c r="K863" s="847"/>
      <c r="L863" s="847"/>
      <c r="M863" s="847"/>
      <c r="N863" s="847"/>
      <c r="O863" s="847"/>
      <c r="P863" s="847"/>
      <c r="Q863" s="847"/>
      <c r="R863" s="847"/>
      <c r="S863" s="847"/>
      <c r="T863" s="847"/>
      <c r="U863" s="847"/>
      <c r="V863" s="847"/>
      <c r="W863" s="847"/>
      <c r="X863" s="847"/>
      <c r="Y863" s="847"/>
      <c r="Z863" s="847"/>
      <c r="AA863" s="847"/>
      <c r="AB863" s="847"/>
      <c r="AC863" s="847"/>
      <c r="AD863" s="847"/>
      <c r="AE863" s="847"/>
      <c r="AF863" s="847"/>
      <c r="AG863" s="847"/>
    </row>
    <row r="864">
      <c r="A864" s="847"/>
      <c r="B864" s="847"/>
      <c r="C864" s="847"/>
      <c r="D864" s="847"/>
      <c r="E864" s="847"/>
      <c r="F864" s="847"/>
      <c r="G864" s="847"/>
      <c r="H864" s="847"/>
      <c r="I864" s="847"/>
      <c r="J864" s="847"/>
      <c r="K864" s="847"/>
      <c r="L864" s="847"/>
      <c r="M864" s="847"/>
      <c r="N864" s="847"/>
      <c r="O864" s="847"/>
      <c r="P864" s="847"/>
      <c r="Q864" s="847"/>
      <c r="R864" s="847"/>
      <c r="S864" s="847"/>
      <c r="T864" s="847"/>
      <c r="U864" s="847"/>
      <c r="V864" s="847"/>
      <c r="W864" s="847"/>
      <c r="X864" s="847"/>
      <c r="Y864" s="847"/>
      <c r="Z864" s="847"/>
      <c r="AA864" s="847"/>
      <c r="AB864" s="847"/>
      <c r="AC864" s="847"/>
      <c r="AD864" s="847"/>
      <c r="AE864" s="847"/>
      <c r="AF864" s="847"/>
      <c r="AG864" s="847"/>
    </row>
    <row r="865">
      <c r="A865" s="847"/>
      <c r="B865" s="847"/>
      <c r="C865" s="847"/>
      <c r="D865" s="847"/>
      <c r="E865" s="847"/>
      <c r="F865" s="847"/>
      <c r="G865" s="847"/>
      <c r="H865" s="847"/>
      <c r="I865" s="847"/>
      <c r="J865" s="847"/>
      <c r="K865" s="847"/>
      <c r="L865" s="847"/>
      <c r="M865" s="847"/>
      <c r="N865" s="847"/>
      <c r="O865" s="847"/>
      <c r="P865" s="847"/>
      <c r="Q865" s="847"/>
      <c r="R865" s="847"/>
      <c r="S865" s="847"/>
      <c r="T865" s="847"/>
      <c r="U865" s="847"/>
      <c r="V865" s="847"/>
      <c r="W865" s="847"/>
      <c r="X865" s="847"/>
      <c r="Y865" s="847"/>
      <c r="Z865" s="847"/>
      <c r="AA865" s="847"/>
      <c r="AB865" s="847"/>
      <c r="AC865" s="847"/>
      <c r="AD865" s="847"/>
      <c r="AE865" s="847"/>
      <c r="AF865" s="847"/>
      <c r="AG865" s="847"/>
    </row>
    <row r="866">
      <c r="A866" s="847"/>
      <c r="B866" s="847"/>
      <c r="C866" s="847"/>
      <c r="D866" s="847"/>
      <c r="E866" s="847"/>
      <c r="F866" s="847"/>
      <c r="G866" s="847"/>
      <c r="H866" s="847"/>
      <c r="I866" s="847"/>
      <c r="J866" s="847"/>
      <c r="K866" s="847"/>
      <c r="L866" s="847"/>
      <c r="M866" s="847"/>
      <c r="N866" s="847"/>
      <c r="O866" s="847"/>
      <c r="P866" s="847"/>
      <c r="Q866" s="847"/>
      <c r="R866" s="847"/>
      <c r="S866" s="847"/>
      <c r="T866" s="847"/>
      <c r="U866" s="847"/>
      <c r="V866" s="847"/>
      <c r="W866" s="847"/>
      <c r="X866" s="847"/>
      <c r="Y866" s="847"/>
      <c r="Z866" s="847"/>
      <c r="AA866" s="847"/>
      <c r="AB866" s="847"/>
      <c r="AC866" s="847"/>
      <c r="AD866" s="847"/>
      <c r="AE866" s="847"/>
      <c r="AF866" s="847"/>
      <c r="AG866" s="847"/>
    </row>
    <row r="867">
      <c r="A867" s="847"/>
      <c r="B867" s="847"/>
      <c r="C867" s="847"/>
      <c r="D867" s="847"/>
      <c r="E867" s="847"/>
      <c r="F867" s="847"/>
      <c r="G867" s="847"/>
      <c r="H867" s="847"/>
      <c r="I867" s="847"/>
      <c r="J867" s="847"/>
      <c r="K867" s="847"/>
      <c r="L867" s="847"/>
      <c r="M867" s="847"/>
      <c r="N867" s="847"/>
      <c r="O867" s="847"/>
      <c r="P867" s="847"/>
      <c r="Q867" s="847"/>
      <c r="R867" s="847"/>
      <c r="S867" s="847"/>
      <c r="T867" s="847"/>
      <c r="U867" s="847"/>
      <c r="V867" s="847"/>
      <c r="W867" s="847"/>
      <c r="X867" s="847"/>
      <c r="Y867" s="847"/>
      <c r="Z867" s="847"/>
      <c r="AA867" s="847"/>
      <c r="AB867" s="847"/>
      <c r="AC867" s="847"/>
      <c r="AD867" s="847"/>
      <c r="AE867" s="847"/>
      <c r="AF867" s="847"/>
      <c r="AG867" s="847"/>
    </row>
    <row r="868">
      <c r="A868" s="847"/>
      <c r="B868" s="847"/>
      <c r="C868" s="847"/>
      <c r="D868" s="847"/>
      <c r="E868" s="847"/>
      <c r="F868" s="847"/>
      <c r="G868" s="847"/>
      <c r="H868" s="847"/>
      <c r="I868" s="847"/>
      <c r="J868" s="847"/>
      <c r="K868" s="847"/>
      <c r="L868" s="847"/>
      <c r="M868" s="847"/>
      <c r="N868" s="847"/>
      <c r="O868" s="847"/>
      <c r="P868" s="847"/>
      <c r="Q868" s="847"/>
      <c r="R868" s="847"/>
      <c r="S868" s="847"/>
      <c r="T868" s="847"/>
      <c r="U868" s="847"/>
      <c r="V868" s="847"/>
      <c r="W868" s="847"/>
      <c r="X868" s="847"/>
      <c r="Y868" s="847"/>
      <c r="Z868" s="847"/>
      <c r="AA868" s="847"/>
      <c r="AB868" s="847"/>
      <c r="AC868" s="847"/>
      <c r="AD868" s="847"/>
      <c r="AE868" s="847"/>
      <c r="AF868" s="847"/>
      <c r="AG868" s="847"/>
    </row>
    <row r="869">
      <c r="A869" s="847"/>
      <c r="B869" s="847"/>
      <c r="C869" s="847"/>
      <c r="D869" s="847"/>
      <c r="E869" s="847"/>
      <c r="F869" s="847"/>
      <c r="G869" s="847"/>
      <c r="H869" s="847"/>
      <c r="I869" s="847"/>
      <c r="J869" s="847"/>
      <c r="K869" s="847"/>
      <c r="L869" s="847"/>
      <c r="M869" s="847"/>
      <c r="N869" s="847"/>
      <c r="O869" s="847"/>
      <c r="P869" s="847"/>
      <c r="Q869" s="847"/>
      <c r="R869" s="847"/>
      <c r="S869" s="847"/>
      <c r="T869" s="847"/>
      <c r="U869" s="847"/>
      <c r="V869" s="847"/>
      <c r="W869" s="847"/>
      <c r="X869" s="847"/>
      <c r="Y869" s="847"/>
      <c r="Z869" s="847"/>
      <c r="AA869" s="847"/>
      <c r="AB869" s="847"/>
      <c r="AC869" s="847"/>
      <c r="AD869" s="847"/>
      <c r="AE869" s="847"/>
      <c r="AF869" s="847"/>
      <c r="AG869" s="847"/>
    </row>
    <row r="870">
      <c r="A870" s="847"/>
      <c r="B870" s="847"/>
      <c r="C870" s="847"/>
      <c r="D870" s="847"/>
      <c r="E870" s="847"/>
      <c r="F870" s="847"/>
      <c r="G870" s="847"/>
      <c r="H870" s="847"/>
      <c r="I870" s="847"/>
      <c r="J870" s="847"/>
      <c r="K870" s="847"/>
      <c r="L870" s="847"/>
      <c r="M870" s="847"/>
      <c r="N870" s="847"/>
      <c r="O870" s="847"/>
      <c r="P870" s="847"/>
      <c r="Q870" s="847"/>
      <c r="R870" s="847"/>
      <c r="S870" s="847"/>
      <c r="T870" s="847"/>
      <c r="U870" s="847"/>
      <c r="V870" s="847"/>
      <c r="W870" s="847"/>
      <c r="X870" s="847"/>
      <c r="Y870" s="847"/>
      <c r="Z870" s="847"/>
      <c r="AA870" s="847"/>
      <c r="AB870" s="847"/>
      <c r="AC870" s="847"/>
      <c r="AD870" s="847"/>
      <c r="AE870" s="847"/>
      <c r="AF870" s="847"/>
      <c r="AG870" s="847"/>
    </row>
    <row r="871">
      <c r="A871" s="847"/>
      <c r="B871" s="847"/>
      <c r="C871" s="847"/>
      <c r="D871" s="847"/>
      <c r="E871" s="847"/>
      <c r="F871" s="847"/>
      <c r="G871" s="847"/>
      <c r="H871" s="847"/>
      <c r="I871" s="847"/>
      <c r="J871" s="847"/>
      <c r="K871" s="847"/>
      <c r="L871" s="847"/>
      <c r="M871" s="847"/>
      <c r="N871" s="847"/>
      <c r="O871" s="847"/>
      <c r="P871" s="847"/>
      <c r="Q871" s="847"/>
      <c r="R871" s="847"/>
      <c r="S871" s="847"/>
      <c r="T871" s="847"/>
      <c r="U871" s="847"/>
      <c r="V871" s="847"/>
      <c r="W871" s="847"/>
      <c r="X871" s="847"/>
      <c r="Y871" s="847"/>
      <c r="Z871" s="847"/>
      <c r="AA871" s="847"/>
      <c r="AB871" s="847"/>
      <c r="AC871" s="847"/>
      <c r="AD871" s="847"/>
      <c r="AE871" s="847"/>
      <c r="AF871" s="847"/>
      <c r="AG871" s="847"/>
    </row>
    <row r="872">
      <c r="A872" s="847"/>
      <c r="B872" s="847"/>
      <c r="C872" s="847"/>
      <c r="D872" s="847"/>
      <c r="E872" s="847"/>
      <c r="F872" s="847"/>
      <c r="G872" s="847"/>
      <c r="H872" s="847"/>
      <c r="I872" s="847"/>
      <c r="J872" s="847"/>
      <c r="K872" s="847"/>
      <c r="L872" s="847"/>
      <c r="M872" s="847"/>
      <c r="N872" s="847"/>
      <c r="O872" s="847"/>
      <c r="P872" s="847"/>
      <c r="Q872" s="847"/>
      <c r="R872" s="847"/>
      <c r="S872" s="847"/>
      <c r="T872" s="847"/>
      <c r="U872" s="847"/>
      <c r="V872" s="847"/>
      <c r="W872" s="847"/>
      <c r="X872" s="847"/>
      <c r="Y872" s="847"/>
      <c r="Z872" s="847"/>
      <c r="AA872" s="847"/>
      <c r="AB872" s="847"/>
      <c r="AC872" s="847"/>
      <c r="AD872" s="847"/>
      <c r="AE872" s="847"/>
      <c r="AF872" s="847"/>
      <c r="AG872" s="847"/>
    </row>
    <row r="873">
      <c r="A873" s="847"/>
      <c r="B873" s="847"/>
      <c r="C873" s="847"/>
      <c r="D873" s="847"/>
      <c r="E873" s="847"/>
      <c r="F873" s="847"/>
      <c r="G873" s="847"/>
      <c r="H873" s="847"/>
      <c r="I873" s="847"/>
      <c r="J873" s="847"/>
      <c r="K873" s="847"/>
      <c r="L873" s="847"/>
      <c r="M873" s="847"/>
      <c r="N873" s="847"/>
      <c r="O873" s="847"/>
      <c r="P873" s="847"/>
      <c r="Q873" s="847"/>
      <c r="R873" s="847"/>
      <c r="S873" s="847"/>
      <c r="T873" s="847"/>
      <c r="U873" s="847"/>
      <c r="V873" s="847"/>
      <c r="W873" s="847"/>
      <c r="X873" s="847"/>
      <c r="Y873" s="847"/>
      <c r="Z873" s="847"/>
      <c r="AA873" s="847"/>
      <c r="AB873" s="847"/>
      <c r="AC873" s="847"/>
      <c r="AD873" s="847"/>
      <c r="AE873" s="847"/>
      <c r="AF873" s="847"/>
      <c r="AG873" s="847"/>
    </row>
    <row r="874">
      <c r="A874" s="847"/>
      <c r="B874" s="847"/>
      <c r="C874" s="847"/>
      <c r="D874" s="847"/>
      <c r="E874" s="847"/>
      <c r="F874" s="847"/>
      <c r="G874" s="847"/>
      <c r="H874" s="847"/>
      <c r="I874" s="847"/>
      <c r="J874" s="847"/>
      <c r="K874" s="847"/>
      <c r="L874" s="847"/>
      <c r="M874" s="847"/>
      <c r="N874" s="847"/>
      <c r="O874" s="847"/>
      <c r="P874" s="847"/>
      <c r="Q874" s="847"/>
      <c r="R874" s="847"/>
      <c r="S874" s="847"/>
      <c r="T874" s="847"/>
      <c r="U874" s="847"/>
      <c r="V874" s="847"/>
      <c r="W874" s="847"/>
      <c r="X874" s="847"/>
      <c r="Y874" s="847"/>
      <c r="Z874" s="847"/>
      <c r="AA874" s="847"/>
      <c r="AB874" s="847"/>
      <c r="AC874" s="847"/>
      <c r="AD874" s="847"/>
      <c r="AE874" s="847"/>
      <c r="AF874" s="847"/>
      <c r="AG874" s="847"/>
    </row>
    <row r="875">
      <c r="A875" s="847"/>
      <c r="B875" s="847"/>
      <c r="C875" s="847"/>
      <c r="D875" s="847"/>
      <c r="E875" s="847"/>
      <c r="F875" s="847"/>
      <c r="G875" s="847"/>
      <c r="H875" s="847"/>
      <c r="I875" s="847"/>
      <c r="J875" s="847"/>
      <c r="K875" s="847"/>
      <c r="L875" s="847"/>
      <c r="M875" s="847"/>
      <c r="N875" s="847"/>
      <c r="O875" s="847"/>
      <c r="P875" s="847"/>
      <c r="Q875" s="847"/>
      <c r="R875" s="847"/>
      <c r="S875" s="847"/>
      <c r="T875" s="847"/>
      <c r="U875" s="847"/>
      <c r="V875" s="847"/>
      <c r="W875" s="847"/>
      <c r="X875" s="847"/>
      <c r="Y875" s="847"/>
      <c r="Z875" s="847"/>
      <c r="AA875" s="847"/>
      <c r="AB875" s="847"/>
      <c r="AC875" s="847"/>
      <c r="AD875" s="847"/>
      <c r="AE875" s="847"/>
      <c r="AF875" s="847"/>
      <c r="AG875" s="847"/>
    </row>
    <row r="876">
      <c r="A876" s="847"/>
      <c r="B876" s="847"/>
      <c r="C876" s="847"/>
      <c r="D876" s="847"/>
      <c r="E876" s="847"/>
      <c r="F876" s="847"/>
      <c r="G876" s="847"/>
      <c r="H876" s="847"/>
      <c r="I876" s="847"/>
      <c r="J876" s="847"/>
      <c r="K876" s="847"/>
      <c r="L876" s="847"/>
      <c r="M876" s="847"/>
      <c r="N876" s="847"/>
      <c r="O876" s="847"/>
      <c r="P876" s="847"/>
      <c r="Q876" s="847"/>
      <c r="R876" s="847"/>
      <c r="S876" s="847"/>
      <c r="T876" s="847"/>
      <c r="U876" s="847"/>
      <c r="V876" s="847"/>
      <c r="W876" s="847"/>
      <c r="X876" s="847"/>
      <c r="Y876" s="847"/>
      <c r="Z876" s="847"/>
      <c r="AA876" s="847"/>
      <c r="AB876" s="847"/>
      <c r="AC876" s="847"/>
      <c r="AD876" s="847"/>
      <c r="AE876" s="847"/>
      <c r="AF876" s="847"/>
      <c r="AG876" s="847"/>
    </row>
    <row r="877">
      <c r="A877" s="847"/>
      <c r="B877" s="847"/>
      <c r="C877" s="847"/>
      <c r="D877" s="847"/>
      <c r="E877" s="847"/>
      <c r="F877" s="847"/>
      <c r="G877" s="847"/>
      <c r="H877" s="847"/>
      <c r="I877" s="847"/>
      <c r="J877" s="847"/>
      <c r="K877" s="847"/>
      <c r="L877" s="847"/>
      <c r="M877" s="847"/>
      <c r="N877" s="847"/>
      <c r="O877" s="847"/>
      <c r="P877" s="847"/>
      <c r="Q877" s="847"/>
      <c r="R877" s="847"/>
      <c r="S877" s="847"/>
      <c r="T877" s="847"/>
      <c r="U877" s="847"/>
      <c r="V877" s="847"/>
      <c r="W877" s="847"/>
      <c r="X877" s="847"/>
      <c r="Y877" s="847"/>
      <c r="Z877" s="847"/>
      <c r="AA877" s="847"/>
      <c r="AB877" s="847"/>
      <c r="AC877" s="847"/>
      <c r="AD877" s="847"/>
      <c r="AE877" s="847"/>
      <c r="AF877" s="847"/>
      <c r="AG877" s="847"/>
    </row>
    <row r="878">
      <c r="A878" s="847"/>
      <c r="B878" s="847"/>
      <c r="C878" s="847"/>
      <c r="D878" s="847"/>
      <c r="E878" s="847"/>
      <c r="F878" s="847"/>
      <c r="G878" s="847"/>
      <c r="H878" s="847"/>
      <c r="I878" s="847"/>
      <c r="J878" s="847"/>
      <c r="K878" s="847"/>
      <c r="L878" s="847"/>
      <c r="M878" s="847"/>
      <c r="N878" s="847"/>
      <c r="O878" s="847"/>
      <c r="P878" s="847"/>
      <c r="Q878" s="847"/>
      <c r="R878" s="847"/>
      <c r="S878" s="847"/>
      <c r="T878" s="847"/>
      <c r="U878" s="847"/>
      <c r="V878" s="847"/>
      <c r="W878" s="847"/>
      <c r="X878" s="847"/>
      <c r="Y878" s="847"/>
      <c r="Z878" s="847"/>
      <c r="AA878" s="847"/>
      <c r="AB878" s="847"/>
      <c r="AC878" s="847"/>
      <c r="AD878" s="847"/>
      <c r="AE878" s="847"/>
      <c r="AF878" s="847"/>
      <c r="AG878" s="847"/>
    </row>
    <row r="879">
      <c r="A879" s="847"/>
      <c r="B879" s="847"/>
      <c r="C879" s="847"/>
      <c r="D879" s="847"/>
      <c r="E879" s="847"/>
      <c r="F879" s="847"/>
      <c r="G879" s="847"/>
      <c r="H879" s="847"/>
      <c r="I879" s="847"/>
      <c r="J879" s="847"/>
      <c r="K879" s="847"/>
      <c r="L879" s="847"/>
      <c r="M879" s="847"/>
      <c r="N879" s="847"/>
      <c r="O879" s="847"/>
      <c r="P879" s="847"/>
      <c r="Q879" s="847"/>
      <c r="R879" s="847"/>
      <c r="S879" s="847"/>
      <c r="T879" s="847"/>
      <c r="U879" s="847"/>
      <c r="V879" s="847"/>
      <c r="W879" s="847"/>
      <c r="X879" s="847"/>
      <c r="Y879" s="847"/>
      <c r="Z879" s="847"/>
      <c r="AA879" s="847"/>
      <c r="AB879" s="847"/>
      <c r="AC879" s="847"/>
      <c r="AD879" s="847"/>
      <c r="AE879" s="847"/>
      <c r="AF879" s="847"/>
      <c r="AG879" s="847"/>
    </row>
    <row r="880">
      <c r="A880" s="847"/>
      <c r="B880" s="847"/>
      <c r="C880" s="847"/>
      <c r="D880" s="847"/>
      <c r="E880" s="847"/>
      <c r="F880" s="847"/>
      <c r="G880" s="847"/>
      <c r="H880" s="847"/>
      <c r="I880" s="847"/>
      <c r="J880" s="847"/>
      <c r="K880" s="847"/>
      <c r="L880" s="847"/>
      <c r="M880" s="847"/>
      <c r="N880" s="847"/>
      <c r="O880" s="847"/>
      <c r="P880" s="847"/>
      <c r="Q880" s="847"/>
      <c r="R880" s="847"/>
      <c r="S880" s="847"/>
      <c r="T880" s="847"/>
      <c r="U880" s="847"/>
      <c r="V880" s="847"/>
      <c r="W880" s="847"/>
      <c r="X880" s="847"/>
      <c r="Y880" s="847"/>
      <c r="Z880" s="847"/>
      <c r="AA880" s="847"/>
      <c r="AB880" s="847"/>
      <c r="AC880" s="847"/>
      <c r="AD880" s="847"/>
      <c r="AE880" s="847"/>
      <c r="AF880" s="847"/>
      <c r="AG880" s="847"/>
    </row>
    <row r="881">
      <c r="A881" s="847"/>
      <c r="B881" s="847"/>
      <c r="C881" s="847"/>
      <c r="D881" s="847"/>
      <c r="E881" s="847"/>
      <c r="F881" s="847"/>
      <c r="G881" s="847"/>
      <c r="H881" s="847"/>
      <c r="I881" s="847"/>
      <c r="J881" s="847"/>
      <c r="K881" s="847"/>
      <c r="L881" s="847"/>
      <c r="M881" s="847"/>
      <c r="N881" s="847"/>
      <c r="O881" s="847"/>
      <c r="P881" s="847"/>
      <c r="Q881" s="847"/>
      <c r="R881" s="847"/>
      <c r="S881" s="847"/>
      <c r="T881" s="847"/>
      <c r="U881" s="847"/>
      <c r="V881" s="847"/>
      <c r="W881" s="847"/>
      <c r="X881" s="847"/>
      <c r="Y881" s="847"/>
      <c r="Z881" s="847"/>
      <c r="AA881" s="847"/>
      <c r="AB881" s="847"/>
      <c r="AC881" s="847"/>
      <c r="AD881" s="847"/>
      <c r="AE881" s="847"/>
      <c r="AF881" s="847"/>
      <c r="AG881" s="847"/>
    </row>
    <row r="882">
      <c r="A882" s="847"/>
      <c r="B882" s="847"/>
      <c r="C882" s="847"/>
      <c r="D882" s="847"/>
      <c r="E882" s="847"/>
      <c r="F882" s="847"/>
      <c r="G882" s="847"/>
      <c r="H882" s="847"/>
      <c r="I882" s="847"/>
      <c r="J882" s="847"/>
      <c r="K882" s="847"/>
      <c r="L882" s="847"/>
      <c r="M882" s="847"/>
      <c r="N882" s="847"/>
      <c r="O882" s="847"/>
      <c r="P882" s="847"/>
      <c r="Q882" s="847"/>
      <c r="R882" s="847"/>
      <c r="S882" s="847"/>
      <c r="T882" s="847"/>
      <c r="U882" s="847"/>
      <c r="V882" s="847"/>
      <c r="W882" s="847"/>
      <c r="X882" s="847"/>
      <c r="Y882" s="847"/>
      <c r="Z882" s="847"/>
      <c r="AA882" s="847"/>
      <c r="AB882" s="847"/>
      <c r="AC882" s="847"/>
      <c r="AD882" s="847"/>
      <c r="AE882" s="847"/>
      <c r="AF882" s="847"/>
      <c r="AG882" s="847"/>
    </row>
    <row r="883">
      <c r="A883" s="847"/>
      <c r="B883" s="847"/>
      <c r="C883" s="847"/>
      <c r="D883" s="847"/>
      <c r="E883" s="847"/>
      <c r="F883" s="847"/>
      <c r="G883" s="847"/>
      <c r="H883" s="847"/>
      <c r="I883" s="847"/>
      <c r="J883" s="847"/>
      <c r="K883" s="847"/>
      <c r="L883" s="847"/>
      <c r="M883" s="847"/>
      <c r="N883" s="847"/>
      <c r="O883" s="847"/>
      <c r="P883" s="847"/>
      <c r="Q883" s="847"/>
      <c r="R883" s="847"/>
      <c r="S883" s="847"/>
      <c r="T883" s="847"/>
      <c r="U883" s="847"/>
      <c r="V883" s="847"/>
      <c r="W883" s="847"/>
      <c r="X883" s="847"/>
      <c r="Y883" s="847"/>
      <c r="Z883" s="847"/>
      <c r="AA883" s="847"/>
      <c r="AB883" s="847"/>
      <c r="AC883" s="847"/>
      <c r="AD883" s="847"/>
      <c r="AE883" s="847"/>
      <c r="AF883" s="847"/>
      <c r="AG883" s="847"/>
    </row>
    <row r="884">
      <c r="A884" s="847"/>
      <c r="B884" s="847"/>
      <c r="C884" s="847"/>
      <c r="D884" s="847"/>
      <c r="E884" s="847"/>
      <c r="F884" s="847"/>
      <c r="G884" s="847"/>
      <c r="H884" s="847"/>
      <c r="I884" s="847"/>
      <c r="J884" s="847"/>
      <c r="K884" s="847"/>
      <c r="L884" s="847"/>
      <c r="M884" s="847"/>
      <c r="N884" s="847"/>
      <c r="O884" s="847"/>
      <c r="P884" s="847"/>
      <c r="Q884" s="847"/>
      <c r="R884" s="847"/>
      <c r="S884" s="847"/>
      <c r="T884" s="847"/>
      <c r="U884" s="847"/>
      <c r="V884" s="847"/>
      <c r="W884" s="847"/>
      <c r="X884" s="847"/>
      <c r="Y884" s="847"/>
      <c r="Z884" s="847"/>
      <c r="AA884" s="847"/>
      <c r="AB884" s="847"/>
      <c r="AC884" s="847"/>
      <c r="AD884" s="847"/>
      <c r="AE884" s="847"/>
      <c r="AF884" s="847"/>
      <c r="AG884" s="847"/>
    </row>
    <row r="885">
      <c r="A885" s="847"/>
      <c r="B885" s="847"/>
      <c r="C885" s="847"/>
      <c r="D885" s="847"/>
      <c r="E885" s="847"/>
      <c r="F885" s="847"/>
      <c r="G885" s="847"/>
      <c r="H885" s="847"/>
      <c r="I885" s="847"/>
      <c r="J885" s="847"/>
      <c r="K885" s="847"/>
      <c r="L885" s="847"/>
      <c r="M885" s="847"/>
      <c r="N885" s="847"/>
      <c r="O885" s="847"/>
      <c r="P885" s="847"/>
      <c r="Q885" s="847"/>
      <c r="R885" s="847"/>
      <c r="S885" s="847"/>
      <c r="T885" s="847"/>
      <c r="U885" s="847"/>
      <c r="V885" s="847"/>
      <c r="W885" s="847"/>
      <c r="X885" s="847"/>
      <c r="Y885" s="847"/>
      <c r="Z885" s="847"/>
      <c r="AA885" s="847"/>
      <c r="AB885" s="847"/>
      <c r="AC885" s="847"/>
      <c r="AD885" s="847"/>
      <c r="AE885" s="847"/>
      <c r="AF885" s="847"/>
      <c r="AG885" s="847"/>
    </row>
    <row r="886">
      <c r="A886" s="847"/>
      <c r="B886" s="847"/>
      <c r="C886" s="847"/>
      <c r="D886" s="847"/>
      <c r="E886" s="847"/>
      <c r="F886" s="847"/>
      <c r="G886" s="847"/>
      <c r="H886" s="847"/>
      <c r="I886" s="847"/>
      <c r="J886" s="847"/>
      <c r="K886" s="847"/>
      <c r="L886" s="847"/>
      <c r="M886" s="847"/>
      <c r="N886" s="847"/>
      <c r="O886" s="847"/>
      <c r="P886" s="847"/>
      <c r="Q886" s="847"/>
      <c r="R886" s="847"/>
      <c r="S886" s="847"/>
      <c r="T886" s="847"/>
      <c r="U886" s="847"/>
      <c r="V886" s="847"/>
      <c r="W886" s="847"/>
      <c r="X886" s="847"/>
      <c r="Y886" s="847"/>
      <c r="Z886" s="847"/>
      <c r="AA886" s="847"/>
      <c r="AB886" s="847"/>
      <c r="AC886" s="847"/>
      <c r="AD886" s="847"/>
      <c r="AE886" s="847"/>
      <c r="AF886" s="847"/>
      <c r="AG886" s="847"/>
    </row>
    <row r="887">
      <c r="A887" s="847"/>
      <c r="B887" s="847"/>
      <c r="C887" s="847"/>
      <c r="D887" s="847"/>
      <c r="E887" s="847"/>
      <c r="F887" s="847"/>
      <c r="G887" s="847"/>
      <c r="H887" s="847"/>
      <c r="I887" s="847"/>
      <c r="J887" s="847"/>
      <c r="K887" s="847"/>
      <c r="L887" s="847"/>
      <c r="M887" s="847"/>
      <c r="N887" s="847"/>
      <c r="O887" s="847"/>
      <c r="P887" s="847"/>
      <c r="Q887" s="847"/>
      <c r="R887" s="847"/>
      <c r="S887" s="847"/>
      <c r="T887" s="847"/>
      <c r="U887" s="847"/>
      <c r="V887" s="847"/>
      <c r="W887" s="847"/>
      <c r="X887" s="847"/>
      <c r="Y887" s="847"/>
      <c r="Z887" s="847"/>
      <c r="AA887" s="847"/>
      <c r="AB887" s="847"/>
      <c r="AC887" s="847"/>
      <c r="AD887" s="847"/>
      <c r="AE887" s="847"/>
      <c r="AF887" s="847"/>
      <c r="AG887" s="847"/>
    </row>
    <row r="888">
      <c r="A888" s="847"/>
      <c r="B888" s="847"/>
      <c r="C888" s="847"/>
      <c r="D888" s="847"/>
      <c r="E888" s="847"/>
      <c r="F888" s="847"/>
      <c r="G888" s="847"/>
      <c r="H888" s="847"/>
      <c r="I888" s="847"/>
      <c r="J888" s="847"/>
      <c r="K888" s="847"/>
      <c r="L888" s="847"/>
      <c r="M888" s="847"/>
      <c r="N888" s="847"/>
      <c r="O888" s="847"/>
      <c r="P888" s="847"/>
      <c r="Q888" s="847"/>
      <c r="R888" s="847"/>
      <c r="S888" s="847"/>
      <c r="T888" s="847"/>
      <c r="U888" s="847"/>
      <c r="V888" s="847"/>
      <c r="W888" s="847"/>
      <c r="X888" s="847"/>
      <c r="Y888" s="847"/>
      <c r="Z888" s="847"/>
      <c r="AA888" s="847"/>
      <c r="AB888" s="847"/>
      <c r="AC888" s="847"/>
      <c r="AD888" s="847"/>
      <c r="AE888" s="847"/>
      <c r="AF888" s="847"/>
      <c r="AG888" s="847"/>
    </row>
    <row r="889">
      <c r="A889" s="847"/>
      <c r="B889" s="847"/>
      <c r="C889" s="847"/>
      <c r="D889" s="847"/>
      <c r="E889" s="847"/>
      <c r="F889" s="847"/>
      <c r="G889" s="847"/>
      <c r="H889" s="847"/>
      <c r="I889" s="847"/>
      <c r="J889" s="847"/>
      <c r="K889" s="847"/>
      <c r="L889" s="847"/>
      <c r="M889" s="847"/>
      <c r="N889" s="847"/>
      <c r="O889" s="847"/>
      <c r="P889" s="847"/>
      <c r="Q889" s="847"/>
      <c r="R889" s="847"/>
      <c r="S889" s="847"/>
      <c r="T889" s="847"/>
      <c r="U889" s="847"/>
      <c r="V889" s="847"/>
      <c r="W889" s="847"/>
      <c r="X889" s="847"/>
      <c r="Y889" s="847"/>
      <c r="Z889" s="847"/>
      <c r="AA889" s="847"/>
      <c r="AB889" s="847"/>
      <c r="AC889" s="847"/>
      <c r="AD889" s="847"/>
      <c r="AE889" s="847"/>
      <c r="AF889" s="847"/>
      <c r="AG889" s="847"/>
    </row>
    <row r="890">
      <c r="A890" s="847"/>
      <c r="B890" s="847"/>
      <c r="C890" s="847"/>
      <c r="D890" s="847"/>
      <c r="E890" s="847"/>
      <c r="F890" s="847"/>
      <c r="G890" s="847"/>
      <c r="H890" s="847"/>
      <c r="I890" s="847"/>
      <c r="J890" s="847"/>
      <c r="K890" s="847"/>
      <c r="L890" s="847"/>
      <c r="M890" s="847"/>
      <c r="N890" s="847"/>
      <c r="O890" s="847"/>
      <c r="P890" s="847"/>
      <c r="Q890" s="847"/>
      <c r="R890" s="847"/>
      <c r="S890" s="847"/>
      <c r="T890" s="847"/>
      <c r="U890" s="847"/>
      <c r="V890" s="847"/>
      <c r="W890" s="847"/>
      <c r="X890" s="847"/>
      <c r="Y890" s="847"/>
      <c r="Z890" s="847"/>
      <c r="AA890" s="847"/>
      <c r="AB890" s="847"/>
      <c r="AC890" s="847"/>
      <c r="AD890" s="847"/>
      <c r="AE890" s="847"/>
      <c r="AF890" s="847"/>
      <c r="AG890" s="847"/>
    </row>
    <row r="891">
      <c r="A891" s="847"/>
      <c r="B891" s="847"/>
      <c r="C891" s="847"/>
      <c r="D891" s="847"/>
      <c r="E891" s="847"/>
      <c r="F891" s="847"/>
      <c r="G891" s="847"/>
      <c r="H891" s="847"/>
      <c r="I891" s="847"/>
      <c r="J891" s="847"/>
      <c r="K891" s="847"/>
      <c r="L891" s="847"/>
      <c r="M891" s="847"/>
      <c r="N891" s="847"/>
      <c r="O891" s="847"/>
      <c r="P891" s="847"/>
      <c r="Q891" s="847"/>
      <c r="R891" s="847"/>
      <c r="S891" s="847"/>
      <c r="T891" s="847"/>
      <c r="U891" s="847"/>
      <c r="V891" s="847"/>
      <c r="W891" s="847"/>
      <c r="X891" s="847"/>
      <c r="Y891" s="847"/>
      <c r="Z891" s="847"/>
      <c r="AA891" s="847"/>
      <c r="AB891" s="847"/>
      <c r="AC891" s="847"/>
      <c r="AD891" s="847"/>
      <c r="AE891" s="847"/>
      <c r="AF891" s="847"/>
      <c r="AG891" s="847"/>
    </row>
    <row r="892">
      <c r="A892" s="847"/>
      <c r="B892" s="847"/>
      <c r="C892" s="847"/>
      <c r="D892" s="847"/>
      <c r="E892" s="847"/>
      <c r="F892" s="847"/>
      <c r="G892" s="847"/>
      <c r="H892" s="847"/>
      <c r="I892" s="847"/>
      <c r="J892" s="847"/>
      <c r="K892" s="847"/>
      <c r="L892" s="847"/>
      <c r="M892" s="847"/>
      <c r="N892" s="847"/>
      <c r="O892" s="847"/>
      <c r="P892" s="847"/>
      <c r="Q892" s="847"/>
      <c r="R892" s="847"/>
      <c r="S892" s="847"/>
      <c r="T892" s="847"/>
      <c r="U892" s="847"/>
      <c r="V892" s="847"/>
      <c r="W892" s="847"/>
      <c r="X892" s="847"/>
      <c r="Y892" s="847"/>
      <c r="Z892" s="847"/>
      <c r="AA892" s="847"/>
      <c r="AB892" s="847"/>
      <c r="AC892" s="847"/>
      <c r="AD892" s="847"/>
      <c r="AE892" s="847"/>
      <c r="AF892" s="847"/>
      <c r="AG892" s="847"/>
    </row>
    <row r="893">
      <c r="A893" s="847"/>
      <c r="B893" s="847"/>
      <c r="C893" s="847"/>
      <c r="D893" s="847"/>
      <c r="E893" s="847"/>
      <c r="F893" s="847"/>
      <c r="G893" s="847"/>
      <c r="H893" s="847"/>
      <c r="I893" s="847"/>
      <c r="J893" s="847"/>
      <c r="K893" s="847"/>
      <c r="L893" s="847"/>
      <c r="M893" s="847"/>
      <c r="N893" s="847"/>
      <c r="O893" s="847"/>
      <c r="P893" s="847"/>
      <c r="Q893" s="847"/>
      <c r="R893" s="847"/>
      <c r="S893" s="847"/>
      <c r="T893" s="847"/>
      <c r="U893" s="847"/>
      <c r="V893" s="847"/>
      <c r="W893" s="847"/>
      <c r="X893" s="847"/>
      <c r="Y893" s="847"/>
      <c r="Z893" s="847"/>
      <c r="AA893" s="847"/>
      <c r="AB893" s="847"/>
      <c r="AC893" s="847"/>
      <c r="AD893" s="847"/>
      <c r="AE893" s="847"/>
      <c r="AF893" s="847"/>
      <c r="AG893" s="847"/>
    </row>
    <row r="894">
      <c r="A894" s="847"/>
      <c r="B894" s="847"/>
      <c r="C894" s="847"/>
      <c r="D894" s="847"/>
      <c r="E894" s="847"/>
      <c r="F894" s="847"/>
      <c r="G894" s="847"/>
      <c r="H894" s="847"/>
      <c r="I894" s="847"/>
      <c r="J894" s="847"/>
      <c r="K894" s="847"/>
      <c r="L894" s="847"/>
      <c r="M894" s="847"/>
      <c r="N894" s="847"/>
      <c r="O894" s="847"/>
      <c r="P894" s="847"/>
      <c r="Q894" s="847"/>
      <c r="R894" s="847"/>
      <c r="S894" s="847"/>
      <c r="T894" s="847"/>
      <c r="U894" s="847"/>
      <c r="V894" s="847"/>
      <c r="W894" s="847"/>
      <c r="X894" s="847"/>
      <c r="Y894" s="847"/>
      <c r="Z894" s="847"/>
      <c r="AA894" s="847"/>
      <c r="AB894" s="847"/>
      <c r="AC894" s="847"/>
      <c r="AD894" s="847"/>
      <c r="AE894" s="847"/>
      <c r="AF894" s="847"/>
      <c r="AG894" s="847"/>
    </row>
    <row r="895">
      <c r="A895" s="847"/>
      <c r="B895" s="847"/>
      <c r="C895" s="847"/>
      <c r="D895" s="847"/>
      <c r="E895" s="847"/>
      <c r="F895" s="847"/>
      <c r="G895" s="847"/>
      <c r="H895" s="847"/>
      <c r="I895" s="847"/>
      <c r="J895" s="847"/>
      <c r="K895" s="847"/>
      <c r="L895" s="847"/>
      <c r="M895" s="847"/>
      <c r="N895" s="847"/>
      <c r="O895" s="847"/>
      <c r="P895" s="847"/>
      <c r="Q895" s="847"/>
      <c r="R895" s="847"/>
      <c r="S895" s="847"/>
      <c r="T895" s="847"/>
      <c r="U895" s="847"/>
      <c r="V895" s="847"/>
      <c r="W895" s="847"/>
      <c r="X895" s="847"/>
      <c r="Y895" s="847"/>
      <c r="Z895" s="847"/>
      <c r="AA895" s="847"/>
      <c r="AB895" s="847"/>
      <c r="AC895" s="847"/>
      <c r="AD895" s="847"/>
      <c r="AE895" s="847"/>
      <c r="AF895" s="847"/>
      <c r="AG895" s="847"/>
    </row>
    <row r="896">
      <c r="A896" s="847"/>
      <c r="B896" s="847"/>
      <c r="C896" s="847"/>
      <c r="D896" s="847"/>
      <c r="E896" s="847"/>
      <c r="F896" s="847"/>
      <c r="G896" s="847"/>
      <c r="H896" s="847"/>
      <c r="I896" s="847"/>
      <c r="J896" s="847"/>
      <c r="K896" s="847"/>
      <c r="L896" s="847"/>
      <c r="M896" s="847"/>
      <c r="N896" s="847"/>
      <c r="O896" s="847"/>
      <c r="P896" s="847"/>
      <c r="Q896" s="847"/>
      <c r="R896" s="847"/>
      <c r="S896" s="847"/>
      <c r="T896" s="847"/>
      <c r="U896" s="847"/>
      <c r="V896" s="847"/>
      <c r="W896" s="847"/>
      <c r="X896" s="847"/>
      <c r="Y896" s="847"/>
      <c r="Z896" s="847"/>
      <c r="AA896" s="847"/>
      <c r="AB896" s="847"/>
      <c r="AC896" s="847"/>
      <c r="AD896" s="847"/>
      <c r="AE896" s="847"/>
      <c r="AF896" s="847"/>
      <c r="AG896" s="847"/>
    </row>
    <row r="897">
      <c r="A897" s="847"/>
      <c r="B897" s="847"/>
      <c r="C897" s="847"/>
      <c r="D897" s="847"/>
      <c r="E897" s="847"/>
      <c r="F897" s="847"/>
      <c r="G897" s="847"/>
      <c r="H897" s="847"/>
      <c r="I897" s="847"/>
      <c r="J897" s="847"/>
      <c r="K897" s="847"/>
      <c r="L897" s="847"/>
      <c r="M897" s="847"/>
      <c r="N897" s="847"/>
      <c r="O897" s="847"/>
      <c r="P897" s="847"/>
      <c r="Q897" s="847"/>
      <c r="R897" s="847"/>
      <c r="S897" s="847"/>
      <c r="T897" s="847"/>
      <c r="U897" s="847"/>
      <c r="V897" s="847"/>
      <c r="W897" s="847"/>
      <c r="X897" s="847"/>
      <c r="Y897" s="847"/>
      <c r="Z897" s="847"/>
      <c r="AA897" s="847"/>
      <c r="AB897" s="847"/>
      <c r="AC897" s="847"/>
      <c r="AD897" s="847"/>
      <c r="AE897" s="847"/>
      <c r="AF897" s="847"/>
      <c r="AG897" s="847"/>
    </row>
    <row r="898">
      <c r="A898" s="847"/>
      <c r="B898" s="847"/>
      <c r="C898" s="847"/>
      <c r="D898" s="847"/>
      <c r="E898" s="847"/>
      <c r="F898" s="847"/>
      <c r="G898" s="847"/>
      <c r="H898" s="847"/>
      <c r="I898" s="847"/>
      <c r="J898" s="847"/>
      <c r="K898" s="847"/>
      <c r="L898" s="847"/>
      <c r="M898" s="847"/>
      <c r="N898" s="847"/>
      <c r="O898" s="847"/>
      <c r="P898" s="847"/>
      <c r="Q898" s="847"/>
      <c r="R898" s="847"/>
      <c r="S898" s="847"/>
      <c r="T898" s="847"/>
      <c r="U898" s="847"/>
      <c r="V898" s="847"/>
      <c r="W898" s="847"/>
      <c r="X898" s="847"/>
      <c r="Y898" s="847"/>
      <c r="Z898" s="847"/>
      <c r="AA898" s="847"/>
      <c r="AB898" s="847"/>
      <c r="AC898" s="847"/>
      <c r="AD898" s="847"/>
      <c r="AE898" s="847"/>
      <c r="AF898" s="847"/>
      <c r="AG898" s="847"/>
    </row>
    <row r="899">
      <c r="A899" s="847"/>
      <c r="B899" s="847"/>
      <c r="C899" s="847"/>
      <c r="D899" s="847"/>
      <c r="E899" s="847"/>
      <c r="F899" s="847"/>
      <c r="G899" s="847"/>
      <c r="H899" s="847"/>
      <c r="I899" s="847"/>
      <c r="J899" s="847"/>
      <c r="K899" s="847"/>
      <c r="L899" s="847"/>
      <c r="M899" s="847"/>
      <c r="N899" s="847"/>
      <c r="O899" s="847"/>
      <c r="P899" s="847"/>
      <c r="Q899" s="847"/>
      <c r="R899" s="847"/>
      <c r="S899" s="847"/>
      <c r="T899" s="847"/>
      <c r="U899" s="847"/>
      <c r="V899" s="847"/>
      <c r="W899" s="847"/>
      <c r="X899" s="847"/>
      <c r="Y899" s="847"/>
      <c r="Z899" s="847"/>
      <c r="AA899" s="847"/>
      <c r="AB899" s="847"/>
      <c r="AC899" s="847"/>
      <c r="AD899" s="847"/>
      <c r="AE899" s="847"/>
      <c r="AF899" s="847"/>
      <c r="AG899" s="847"/>
    </row>
    <row r="900">
      <c r="A900" s="847"/>
      <c r="B900" s="847"/>
      <c r="C900" s="847"/>
      <c r="D900" s="847"/>
      <c r="E900" s="847"/>
      <c r="F900" s="847"/>
      <c r="G900" s="847"/>
      <c r="H900" s="847"/>
      <c r="I900" s="847"/>
      <c r="J900" s="847"/>
      <c r="K900" s="847"/>
      <c r="L900" s="847"/>
      <c r="M900" s="847"/>
      <c r="N900" s="847"/>
      <c r="O900" s="847"/>
      <c r="P900" s="847"/>
      <c r="Q900" s="847"/>
      <c r="R900" s="847"/>
      <c r="S900" s="847"/>
      <c r="T900" s="847"/>
      <c r="U900" s="847"/>
      <c r="V900" s="847"/>
      <c r="W900" s="847"/>
      <c r="X900" s="847"/>
      <c r="Y900" s="847"/>
      <c r="Z900" s="847"/>
      <c r="AA900" s="847"/>
      <c r="AB900" s="847"/>
      <c r="AC900" s="847"/>
      <c r="AD900" s="847"/>
      <c r="AE900" s="847"/>
      <c r="AF900" s="847"/>
      <c r="AG900" s="847"/>
    </row>
    <row r="901">
      <c r="A901" s="847"/>
      <c r="B901" s="847"/>
      <c r="C901" s="847"/>
      <c r="D901" s="847"/>
      <c r="E901" s="847"/>
      <c r="F901" s="847"/>
      <c r="G901" s="847"/>
      <c r="H901" s="847"/>
      <c r="I901" s="847"/>
      <c r="J901" s="847"/>
      <c r="K901" s="847"/>
      <c r="L901" s="847"/>
      <c r="M901" s="847"/>
      <c r="N901" s="847"/>
      <c r="O901" s="847"/>
      <c r="P901" s="847"/>
      <c r="Q901" s="847"/>
      <c r="R901" s="847"/>
      <c r="S901" s="847"/>
      <c r="T901" s="847"/>
      <c r="U901" s="847"/>
      <c r="V901" s="847"/>
      <c r="W901" s="847"/>
      <c r="X901" s="847"/>
      <c r="Y901" s="847"/>
      <c r="Z901" s="847"/>
      <c r="AA901" s="847"/>
      <c r="AB901" s="847"/>
      <c r="AC901" s="847"/>
      <c r="AD901" s="847"/>
      <c r="AE901" s="847"/>
      <c r="AF901" s="847"/>
      <c r="AG901" s="847"/>
    </row>
    <row r="902">
      <c r="A902" s="847"/>
      <c r="B902" s="847"/>
      <c r="C902" s="847"/>
      <c r="D902" s="847"/>
      <c r="E902" s="847"/>
      <c r="F902" s="847"/>
      <c r="G902" s="847"/>
      <c r="H902" s="847"/>
      <c r="I902" s="847"/>
      <c r="J902" s="847"/>
      <c r="K902" s="847"/>
      <c r="L902" s="847"/>
      <c r="M902" s="847"/>
      <c r="N902" s="847"/>
      <c r="O902" s="847"/>
      <c r="P902" s="847"/>
      <c r="Q902" s="847"/>
      <c r="R902" s="847"/>
      <c r="S902" s="847"/>
      <c r="T902" s="847"/>
      <c r="U902" s="847"/>
      <c r="V902" s="847"/>
      <c r="W902" s="847"/>
      <c r="X902" s="847"/>
      <c r="Y902" s="847"/>
      <c r="Z902" s="847"/>
      <c r="AA902" s="847"/>
      <c r="AB902" s="847"/>
      <c r="AC902" s="847"/>
      <c r="AD902" s="847"/>
      <c r="AE902" s="847"/>
      <c r="AF902" s="847"/>
      <c r="AG902" s="847"/>
    </row>
    <row r="903">
      <c r="A903" s="847"/>
      <c r="B903" s="847"/>
      <c r="C903" s="847"/>
      <c r="D903" s="847"/>
      <c r="E903" s="847"/>
      <c r="F903" s="847"/>
      <c r="G903" s="847"/>
      <c r="H903" s="847"/>
      <c r="I903" s="847"/>
      <c r="J903" s="847"/>
      <c r="K903" s="847"/>
      <c r="L903" s="847"/>
      <c r="M903" s="847"/>
      <c r="N903" s="847"/>
      <c r="O903" s="847"/>
      <c r="P903" s="847"/>
      <c r="Q903" s="847"/>
      <c r="R903" s="847"/>
      <c r="S903" s="847"/>
      <c r="T903" s="847"/>
      <c r="U903" s="847"/>
      <c r="V903" s="847"/>
      <c r="W903" s="847"/>
      <c r="X903" s="847"/>
      <c r="Y903" s="847"/>
      <c r="Z903" s="847"/>
      <c r="AA903" s="847"/>
      <c r="AB903" s="847"/>
      <c r="AC903" s="847"/>
      <c r="AD903" s="847"/>
      <c r="AE903" s="847"/>
      <c r="AF903" s="847"/>
      <c r="AG903" s="847"/>
    </row>
    <row r="904">
      <c r="A904" s="847"/>
      <c r="B904" s="847"/>
      <c r="C904" s="847"/>
      <c r="D904" s="847"/>
      <c r="E904" s="847"/>
      <c r="F904" s="847"/>
      <c r="G904" s="847"/>
      <c r="H904" s="847"/>
      <c r="I904" s="847"/>
      <c r="J904" s="847"/>
      <c r="K904" s="847"/>
      <c r="L904" s="847"/>
      <c r="M904" s="847"/>
      <c r="N904" s="847"/>
      <c r="O904" s="847"/>
      <c r="P904" s="847"/>
      <c r="Q904" s="847"/>
      <c r="R904" s="847"/>
      <c r="S904" s="847"/>
      <c r="T904" s="847"/>
      <c r="U904" s="847"/>
      <c r="V904" s="847"/>
      <c r="W904" s="847"/>
      <c r="X904" s="847"/>
      <c r="Y904" s="847"/>
      <c r="Z904" s="847"/>
      <c r="AA904" s="847"/>
      <c r="AB904" s="847"/>
      <c r="AC904" s="847"/>
      <c r="AD904" s="847"/>
      <c r="AE904" s="847"/>
      <c r="AF904" s="847"/>
      <c r="AG904" s="847"/>
    </row>
    <row r="905">
      <c r="A905" s="847"/>
      <c r="B905" s="847"/>
      <c r="C905" s="847"/>
      <c r="D905" s="847"/>
      <c r="E905" s="847"/>
      <c r="F905" s="847"/>
      <c r="G905" s="847"/>
      <c r="H905" s="847"/>
      <c r="I905" s="847"/>
      <c r="J905" s="847"/>
      <c r="K905" s="847"/>
      <c r="L905" s="847"/>
      <c r="M905" s="847"/>
      <c r="N905" s="847"/>
      <c r="O905" s="847"/>
      <c r="P905" s="847"/>
      <c r="Q905" s="847"/>
      <c r="R905" s="847"/>
      <c r="S905" s="847"/>
      <c r="T905" s="847"/>
      <c r="U905" s="847"/>
      <c r="V905" s="847"/>
      <c r="W905" s="847"/>
      <c r="X905" s="847"/>
      <c r="Y905" s="847"/>
      <c r="Z905" s="847"/>
      <c r="AA905" s="847"/>
      <c r="AB905" s="847"/>
      <c r="AC905" s="847"/>
      <c r="AD905" s="847"/>
      <c r="AE905" s="847"/>
      <c r="AF905" s="847"/>
      <c r="AG905" s="847"/>
    </row>
    <row r="906">
      <c r="A906" s="847"/>
      <c r="B906" s="847"/>
      <c r="C906" s="847"/>
      <c r="D906" s="847"/>
      <c r="E906" s="847"/>
      <c r="F906" s="847"/>
      <c r="G906" s="847"/>
      <c r="H906" s="847"/>
      <c r="I906" s="847"/>
      <c r="J906" s="847"/>
      <c r="K906" s="847"/>
      <c r="L906" s="847"/>
      <c r="M906" s="847"/>
      <c r="N906" s="847"/>
      <c r="O906" s="847"/>
      <c r="P906" s="847"/>
      <c r="Q906" s="847"/>
      <c r="R906" s="847"/>
      <c r="S906" s="847"/>
      <c r="T906" s="847"/>
      <c r="U906" s="847"/>
      <c r="V906" s="847"/>
      <c r="W906" s="847"/>
      <c r="X906" s="847"/>
      <c r="Y906" s="847"/>
      <c r="Z906" s="847"/>
      <c r="AA906" s="847"/>
      <c r="AB906" s="847"/>
      <c r="AC906" s="847"/>
      <c r="AD906" s="847"/>
      <c r="AE906" s="847"/>
      <c r="AF906" s="847"/>
      <c r="AG906" s="847"/>
    </row>
    <row r="907">
      <c r="A907" s="847"/>
      <c r="B907" s="847"/>
      <c r="C907" s="847"/>
      <c r="D907" s="847"/>
      <c r="E907" s="847"/>
      <c r="F907" s="847"/>
      <c r="G907" s="847"/>
      <c r="H907" s="847"/>
      <c r="I907" s="847"/>
      <c r="J907" s="847"/>
      <c r="K907" s="847"/>
      <c r="L907" s="847"/>
      <c r="M907" s="847"/>
      <c r="N907" s="847"/>
      <c r="O907" s="847"/>
      <c r="P907" s="847"/>
      <c r="Q907" s="847"/>
      <c r="R907" s="847"/>
      <c r="S907" s="847"/>
      <c r="T907" s="847"/>
      <c r="U907" s="847"/>
      <c r="V907" s="847"/>
      <c r="W907" s="847"/>
      <c r="X907" s="847"/>
      <c r="Y907" s="847"/>
      <c r="Z907" s="847"/>
      <c r="AA907" s="847"/>
      <c r="AB907" s="847"/>
      <c r="AC907" s="847"/>
      <c r="AD907" s="847"/>
      <c r="AE907" s="847"/>
      <c r="AF907" s="847"/>
      <c r="AG907" s="847"/>
    </row>
    <row r="908">
      <c r="A908" s="847"/>
      <c r="B908" s="847"/>
      <c r="C908" s="847"/>
      <c r="D908" s="847"/>
      <c r="E908" s="847"/>
      <c r="F908" s="847"/>
      <c r="G908" s="847"/>
      <c r="H908" s="847"/>
      <c r="I908" s="847"/>
      <c r="J908" s="847"/>
      <c r="K908" s="847"/>
      <c r="L908" s="847"/>
      <c r="M908" s="847"/>
      <c r="N908" s="847"/>
      <c r="O908" s="847"/>
      <c r="P908" s="847"/>
      <c r="Q908" s="847"/>
      <c r="R908" s="847"/>
      <c r="S908" s="847"/>
      <c r="T908" s="847"/>
      <c r="U908" s="847"/>
      <c r="V908" s="847"/>
      <c r="W908" s="847"/>
      <c r="X908" s="847"/>
      <c r="Y908" s="847"/>
      <c r="Z908" s="847"/>
      <c r="AA908" s="847"/>
      <c r="AB908" s="847"/>
      <c r="AC908" s="847"/>
      <c r="AD908" s="847"/>
      <c r="AE908" s="847"/>
      <c r="AF908" s="847"/>
      <c r="AG908" s="847"/>
    </row>
    <row r="909">
      <c r="A909" s="847"/>
      <c r="B909" s="847"/>
      <c r="C909" s="847"/>
      <c r="D909" s="847"/>
      <c r="E909" s="847"/>
      <c r="F909" s="847"/>
      <c r="G909" s="847"/>
      <c r="H909" s="847"/>
      <c r="I909" s="847"/>
      <c r="J909" s="847"/>
      <c r="K909" s="847"/>
      <c r="L909" s="847"/>
      <c r="M909" s="847"/>
      <c r="N909" s="847"/>
      <c r="O909" s="847"/>
      <c r="P909" s="847"/>
      <c r="Q909" s="847"/>
      <c r="R909" s="847"/>
      <c r="S909" s="847"/>
      <c r="T909" s="847"/>
      <c r="U909" s="847"/>
      <c r="V909" s="847"/>
      <c r="W909" s="847"/>
      <c r="X909" s="847"/>
      <c r="Y909" s="847"/>
      <c r="Z909" s="847"/>
      <c r="AA909" s="847"/>
      <c r="AB909" s="847"/>
      <c r="AC909" s="847"/>
      <c r="AD909" s="847"/>
      <c r="AE909" s="847"/>
      <c r="AF909" s="847"/>
      <c r="AG909" s="847"/>
    </row>
    <row r="910">
      <c r="A910" s="847"/>
      <c r="B910" s="847"/>
      <c r="C910" s="847"/>
      <c r="D910" s="847"/>
      <c r="E910" s="847"/>
      <c r="F910" s="847"/>
      <c r="G910" s="847"/>
      <c r="H910" s="847"/>
      <c r="I910" s="847"/>
      <c r="J910" s="847"/>
      <c r="K910" s="847"/>
      <c r="L910" s="847"/>
      <c r="M910" s="847"/>
      <c r="N910" s="847"/>
      <c r="O910" s="847"/>
      <c r="P910" s="847"/>
      <c r="Q910" s="847"/>
      <c r="R910" s="847"/>
      <c r="S910" s="847"/>
      <c r="T910" s="847"/>
      <c r="U910" s="847"/>
      <c r="V910" s="847"/>
      <c r="W910" s="847"/>
      <c r="X910" s="847"/>
      <c r="Y910" s="847"/>
      <c r="Z910" s="847"/>
      <c r="AA910" s="847"/>
      <c r="AB910" s="847"/>
      <c r="AC910" s="847"/>
      <c r="AD910" s="847"/>
      <c r="AE910" s="847"/>
      <c r="AF910" s="847"/>
      <c r="AG910" s="847"/>
    </row>
    <row r="911">
      <c r="A911" s="847"/>
      <c r="B911" s="847"/>
      <c r="C911" s="847"/>
      <c r="D911" s="847"/>
      <c r="E911" s="847"/>
      <c r="F911" s="847"/>
      <c r="G911" s="847"/>
      <c r="H911" s="847"/>
      <c r="I911" s="847"/>
      <c r="J911" s="847"/>
      <c r="K911" s="847"/>
      <c r="L911" s="847"/>
      <c r="M911" s="847"/>
      <c r="N911" s="847"/>
      <c r="O911" s="847"/>
      <c r="P911" s="847"/>
      <c r="Q911" s="847"/>
      <c r="R911" s="847"/>
      <c r="S911" s="847"/>
      <c r="T911" s="847"/>
      <c r="U911" s="847"/>
      <c r="V911" s="847"/>
      <c r="W911" s="847"/>
      <c r="X911" s="847"/>
      <c r="Y911" s="847"/>
      <c r="Z911" s="847"/>
      <c r="AA911" s="847"/>
      <c r="AB911" s="847"/>
      <c r="AC911" s="847"/>
      <c r="AD911" s="847"/>
      <c r="AE911" s="847"/>
      <c r="AF911" s="847"/>
      <c r="AG911" s="847"/>
    </row>
    <row r="912">
      <c r="A912" s="847"/>
      <c r="B912" s="847"/>
      <c r="C912" s="847"/>
      <c r="D912" s="847"/>
      <c r="E912" s="847"/>
      <c r="F912" s="847"/>
      <c r="G912" s="847"/>
      <c r="H912" s="847"/>
      <c r="I912" s="847"/>
      <c r="J912" s="847"/>
      <c r="K912" s="847"/>
      <c r="L912" s="847"/>
      <c r="M912" s="847"/>
      <c r="N912" s="847"/>
      <c r="O912" s="847"/>
      <c r="P912" s="847"/>
      <c r="Q912" s="847"/>
      <c r="R912" s="847"/>
      <c r="S912" s="847"/>
      <c r="T912" s="847"/>
      <c r="U912" s="847"/>
      <c r="V912" s="847"/>
      <c r="W912" s="847"/>
      <c r="X912" s="847"/>
      <c r="Y912" s="847"/>
      <c r="Z912" s="847"/>
      <c r="AA912" s="847"/>
      <c r="AB912" s="847"/>
      <c r="AC912" s="847"/>
      <c r="AD912" s="847"/>
      <c r="AE912" s="847"/>
      <c r="AF912" s="847"/>
      <c r="AG912" s="847"/>
    </row>
    <row r="913">
      <c r="A913" s="847"/>
      <c r="B913" s="847"/>
      <c r="C913" s="847"/>
      <c r="D913" s="847"/>
      <c r="E913" s="847"/>
      <c r="F913" s="847"/>
      <c r="G913" s="847"/>
      <c r="H913" s="847"/>
      <c r="I913" s="847"/>
      <c r="J913" s="847"/>
      <c r="K913" s="847"/>
      <c r="L913" s="847"/>
      <c r="M913" s="847"/>
      <c r="N913" s="847"/>
      <c r="O913" s="847"/>
      <c r="P913" s="847"/>
      <c r="Q913" s="847"/>
      <c r="R913" s="847"/>
      <c r="S913" s="847"/>
      <c r="T913" s="847"/>
      <c r="U913" s="847"/>
      <c r="V913" s="847"/>
      <c r="W913" s="847"/>
      <c r="X913" s="847"/>
      <c r="Y913" s="847"/>
      <c r="Z913" s="847"/>
      <c r="AA913" s="847"/>
      <c r="AB913" s="847"/>
      <c r="AC913" s="847"/>
      <c r="AD913" s="847"/>
      <c r="AE913" s="847"/>
      <c r="AF913" s="847"/>
      <c r="AG913" s="847"/>
    </row>
    <row r="914">
      <c r="A914" s="847"/>
      <c r="B914" s="847"/>
      <c r="C914" s="847"/>
      <c r="D914" s="847"/>
      <c r="E914" s="847"/>
      <c r="F914" s="847"/>
      <c r="G914" s="847"/>
      <c r="H914" s="847"/>
      <c r="I914" s="847"/>
      <c r="J914" s="847"/>
      <c r="K914" s="847"/>
      <c r="L914" s="847"/>
      <c r="M914" s="847"/>
      <c r="N914" s="847"/>
      <c r="O914" s="847"/>
      <c r="P914" s="847"/>
      <c r="Q914" s="847"/>
      <c r="R914" s="847"/>
      <c r="S914" s="847"/>
      <c r="T914" s="847"/>
      <c r="U914" s="847"/>
      <c r="V914" s="847"/>
      <c r="W914" s="847"/>
      <c r="X914" s="847"/>
      <c r="Y914" s="847"/>
      <c r="Z914" s="847"/>
      <c r="AA914" s="847"/>
      <c r="AB914" s="847"/>
      <c r="AC914" s="847"/>
      <c r="AD914" s="847"/>
      <c r="AE914" s="847"/>
      <c r="AF914" s="847"/>
      <c r="AG914" s="847"/>
    </row>
    <row r="915">
      <c r="A915" s="847"/>
      <c r="B915" s="847"/>
      <c r="C915" s="847"/>
      <c r="D915" s="847"/>
      <c r="E915" s="847"/>
      <c r="F915" s="847"/>
      <c r="G915" s="847"/>
      <c r="H915" s="847"/>
      <c r="I915" s="847"/>
      <c r="J915" s="847"/>
      <c r="K915" s="847"/>
      <c r="L915" s="847"/>
      <c r="M915" s="847"/>
      <c r="N915" s="847"/>
      <c r="O915" s="847"/>
      <c r="P915" s="847"/>
      <c r="Q915" s="847"/>
      <c r="R915" s="847"/>
      <c r="S915" s="847"/>
      <c r="T915" s="847"/>
      <c r="U915" s="847"/>
      <c r="V915" s="847"/>
      <c r="W915" s="847"/>
      <c r="X915" s="847"/>
      <c r="Y915" s="847"/>
      <c r="Z915" s="847"/>
      <c r="AA915" s="847"/>
      <c r="AB915" s="847"/>
      <c r="AC915" s="847"/>
      <c r="AD915" s="847"/>
      <c r="AE915" s="847"/>
      <c r="AF915" s="847"/>
      <c r="AG915" s="847"/>
    </row>
    <row r="916">
      <c r="A916" s="847"/>
      <c r="B916" s="847"/>
      <c r="C916" s="847"/>
      <c r="D916" s="847"/>
      <c r="E916" s="847"/>
      <c r="F916" s="847"/>
      <c r="G916" s="847"/>
      <c r="H916" s="847"/>
      <c r="I916" s="847"/>
      <c r="J916" s="847"/>
      <c r="K916" s="847"/>
      <c r="L916" s="847"/>
      <c r="M916" s="847"/>
      <c r="N916" s="847"/>
      <c r="O916" s="847"/>
      <c r="P916" s="847"/>
      <c r="Q916" s="847"/>
      <c r="R916" s="847"/>
      <c r="S916" s="847"/>
      <c r="T916" s="847"/>
      <c r="U916" s="847"/>
      <c r="V916" s="847"/>
      <c r="W916" s="847"/>
      <c r="X916" s="847"/>
      <c r="Y916" s="847"/>
      <c r="Z916" s="847"/>
      <c r="AA916" s="847"/>
      <c r="AB916" s="847"/>
      <c r="AC916" s="847"/>
      <c r="AD916" s="847"/>
      <c r="AE916" s="847"/>
      <c r="AF916" s="847"/>
      <c r="AG916" s="847"/>
    </row>
    <row r="917">
      <c r="A917" s="847"/>
      <c r="B917" s="847"/>
      <c r="C917" s="847"/>
      <c r="D917" s="847"/>
      <c r="E917" s="847"/>
      <c r="F917" s="847"/>
      <c r="G917" s="847"/>
      <c r="H917" s="847"/>
      <c r="I917" s="847"/>
      <c r="J917" s="847"/>
      <c r="K917" s="847"/>
      <c r="L917" s="847"/>
      <c r="M917" s="847"/>
      <c r="N917" s="847"/>
      <c r="O917" s="847"/>
      <c r="P917" s="847"/>
      <c r="Q917" s="847"/>
      <c r="R917" s="847"/>
      <c r="S917" s="847"/>
      <c r="T917" s="847"/>
      <c r="U917" s="847"/>
      <c r="V917" s="847"/>
      <c r="W917" s="847"/>
      <c r="X917" s="847"/>
      <c r="Y917" s="847"/>
      <c r="Z917" s="847"/>
      <c r="AA917" s="847"/>
      <c r="AB917" s="847"/>
      <c r="AC917" s="847"/>
      <c r="AD917" s="847"/>
      <c r="AE917" s="847"/>
      <c r="AF917" s="847"/>
      <c r="AG917" s="847"/>
    </row>
    <row r="918">
      <c r="A918" s="847"/>
      <c r="B918" s="847"/>
      <c r="C918" s="847"/>
      <c r="D918" s="847"/>
      <c r="E918" s="847"/>
      <c r="F918" s="847"/>
      <c r="G918" s="847"/>
      <c r="H918" s="847"/>
      <c r="I918" s="847"/>
      <c r="J918" s="847"/>
      <c r="K918" s="847"/>
      <c r="L918" s="847"/>
      <c r="M918" s="847"/>
      <c r="N918" s="847"/>
      <c r="O918" s="847"/>
      <c r="P918" s="847"/>
      <c r="Q918" s="847"/>
      <c r="R918" s="847"/>
      <c r="S918" s="847"/>
      <c r="T918" s="847"/>
      <c r="U918" s="847"/>
      <c r="V918" s="847"/>
      <c r="W918" s="847"/>
      <c r="X918" s="847"/>
      <c r="Y918" s="847"/>
      <c r="Z918" s="847"/>
      <c r="AA918" s="847"/>
      <c r="AB918" s="847"/>
      <c r="AC918" s="847"/>
      <c r="AD918" s="847"/>
      <c r="AE918" s="847"/>
      <c r="AF918" s="847"/>
      <c r="AG918" s="847"/>
    </row>
    <row r="919">
      <c r="A919" s="847"/>
      <c r="B919" s="847"/>
      <c r="C919" s="847"/>
      <c r="D919" s="847"/>
      <c r="E919" s="847"/>
      <c r="F919" s="847"/>
      <c r="G919" s="847"/>
      <c r="H919" s="847"/>
      <c r="I919" s="847"/>
      <c r="J919" s="847"/>
      <c r="K919" s="847"/>
      <c r="L919" s="847"/>
      <c r="M919" s="847"/>
      <c r="N919" s="847"/>
      <c r="O919" s="847"/>
      <c r="P919" s="847"/>
      <c r="Q919" s="847"/>
      <c r="R919" s="847"/>
      <c r="S919" s="847"/>
      <c r="T919" s="847"/>
      <c r="U919" s="847"/>
      <c r="V919" s="847"/>
      <c r="W919" s="847"/>
      <c r="X919" s="847"/>
      <c r="Y919" s="847"/>
      <c r="Z919" s="847"/>
      <c r="AA919" s="847"/>
      <c r="AB919" s="847"/>
      <c r="AC919" s="847"/>
      <c r="AD919" s="847"/>
      <c r="AE919" s="847"/>
      <c r="AF919" s="847"/>
      <c r="AG919" s="847"/>
    </row>
    <row r="920">
      <c r="A920" s="847"/>
      <c r="B920" s="847"/>
      <c r="C920" s="847"/>
      <c r="D920" s="847"/>
      <c r="E920" s="847"/>
      <c r="F920" s="847"/>
      <c r="G920" s="847"/>
      <c r="H920" s="847"/>
      <c r="I920" s="847"/>
      <c r="J920" s="847"/>
      <c r="K920" s="847"/>
      <c r="L920" s="847"/>
      <c r="M920" s="847"/>
      <c r="N920" s="847"/>
      <c r="O920" s="847"/>
      <c r="P920" s="847"/>
      <c r="Q920" s="847"/>
      <c r="R920" s="847"/>
      <c r="S920" s="847"/>
      <c r="T920" s="847"/>
      <c r="U920" s="847"/>
      <c r="V920" s="847"/>
      <c r="W920" s="847"/>
      <c r="X920" s="847"/>
      <c r="Y920" s="847"/>
      <c r="Z920" s="847"/>
      <c r="AA920" s="847"/>
      <c r="AB920" s="847"/>
      <c r="AC920" s="847"/>
      <c r="AD920" s="847"/>
      <c r="AE920" s="847"/>
      <c r="AF920" s="847"/>
      <c r="AG920" s="847"/>
    </row>
    <row r="921">
      <c r="A921" s="847"/>
      <c r="B921" s="847"/>
      <c r="C921" s="847"/>
      <c r="D921" s="847"/>
      <c r="E921" s="847"/>
      <c r="F921" s="847"/>
      <c r="G921" s="847"/>
      <c r="H921" s="847"/>
      <c r="I921" s="847"/>
      <c r="J921" s="847"/>
      <c r="K921" s="847"/>
      <c r="L921" s="847"/>
      <c r="M921" s="847"/>
      <c r="N921" s="847"/>
      <c r="O921" s="847"/>
      <c r="P921" s="847"/>
      <c r="Q921" s="847"/>
      <c r="R921" s="847"/>
      <c r="S921" s="847"/>
      <c r="T921" s="847"/>
      <c r="U921" s="847"/>
      <c r="V921" s="847"/>
      <c r="W921" s="847"/>
      <c r="X921" s="847"/>
      <c r="Y921" s="847"/>
      <c r="Z921" s="847"/>
      <c r="AA921" s="847"/>
      <c r="AB921" s="847"/>
      <c r="AC921" s="847"/>
      <c r="AD921" s="847"/>
      <c r="AE921" s="847"/>
      <c r="AF921" s="847"/>
      <c r="AG921" s="847"/>
    </row>
    <row r="922">
      <c r="A922" s="847"/>
      <c r="B922" s="847"/>
      <c r="C922" s="847"/>
      <c r="D922" s="847"/>
      <c r="E922" s="847"/>
      <c r="F922" s="847"/>
      <c r="G922" s="847"/>
      <c r="H922" s="847"/>
      <c r="I922" s="847"/>
      <c r="J922" s="847"/>
      <c r="K922" s="847"/>
      <c r="L922" s="847"/>
      <c r="M922" s="847"/>
      <c r="N922" s="847"/>
      <c r="O922" s="847"/>
      <c r="P922" s="847"/>
      <c r="Q922" s="847"/>
      <c r="R922" s="847"/>
      <c r="S922" s="847"/>
      <c r="T922" s="847"/>
      <c r="U922" s="847"/>
      <c r="V922" s="847"/>
      <c r="W922" s="847"/>
      <c r="X922" s="847"/>
      <c r="Y922" s="847"/>
      <c r="Z922" s="847"/>
      <c r="AA922" s="847"/>
      <c r="AB922" s="847"/>
      <c r="AC922" s="847"/>
      <c r="AD922" s="847"/>
      <c r="AE922" s="847"/>
      <c r="AF922" s="847"/>
      <c r="AG922" s="847"/>
    </row>
    <row r="923">
      <c r="A923" s="847"/>
      <c r="B923" s="847"/>
      <c r="C923" s="847"/>
      <c r="D923" s="847"/>
      <c r="E923" s="847"/>
      <c r="F923" s="847"/>
      <c r="G923" s="847"/>
      <c r="H923" s="847"/>
      <c r="I923" s="847"/>
      <c r="J923" s="847"/>
      <c r="K923" s="847"/>
      <c r="L923" s="847"/>
      <c r="M923" s="847"/>
      <c r="N923" s="847"/>
      <c r="O923" s="847"/>
      <c r="P923" s="847"/>
      <c r="Q923" s="847"/>
      <c r="R923" s="847"/>
      <c r="S923" s="847"/>
      <c r="T923" s="847"/>
      <c r="U923" s="847"/>
      <c r="V923" s="847"/>
      <c r="W923" s="847"/>
      <c r="X923" s="847"/>
      <c r="Y923" s="847"/>
      <c r="Z923" s="847"/>
      <c r="AA923" s="847"/>
      <c r="AB923" s="847"/>
      <c r="AC923" s="847"/>
      <c r="AD923" s="847"/>
      <c r="AE923" s="847"/>
      <c r="AF923" s="847"/>
      <c r="AG923" s="847"/>
    </row>
    <row r="924">
      <c r="A924" s="847"/>
      <c r="B924" s="847"/>
      <c r="C924" s="847"/>
      <c r="D924" s="847"/>
      <c r="E924" s="847"/>
      <c r="F924" s="847"/>
      <c r="G924" s="847"/>
      <c r="H924" s="847"/>
      <c r="I924" s="847"/>
      <c r="J924" s="847"/>
      <c r="K924" s="847"/>
      <c r="L924" s="847"/>
      <c r="M924" s="847"/>
      <c r="N924" s="847"/>
      <c r="O924" s="847"/>
      <c r="P924" s="847"/>
      <c r="Q924" s="847"/>
      <c r="R924" s="847"/>
      <c r="S924" s="847"/>
      <c r="T924" s="847"/>
      <c r="U924" s="847"/>
      <c r="V924" s="847"/>
      <c r="W924" s="847"/>
      <c r="X924" s="847"/>
      <c r="Y924" s="847"/>
      <c r="Z924" s="847"/>
      <c r="AA924" s="847"/>
      <c r="AB924" s="847"/>
      <c r="AC924" s="847"/>
      <c r="AD924" s="847"/>
      <c r="AE924" s="847"/>
      <c r="AF924" s="847"/>
      <c r="AG924" s="847"/>
    </row>
    <row r="925">
      <c r="A925" s="847"/>
      <c r="B925" s="847"/>
      <c r="C925" s="847"/>
      <c r="D925" s="847"/>
      <c r="E925" s="847"/>
      <c r="F925" s="847"/>
      <c r="G925" s="847"/>
      <c r="H925" s="847"/>
      <c r="I925" s="847"/>
      <c r="J925" s="847"/>
      <c r="K925" s="847"/>
      <c r="L925" s="847"/>
      <c r="M925" s="847"/>
      <c r="N925" s="847"/>
      <c r="O925" s="847"/>
      <c r="P925" s="847"/>
      <c r="Q925" s="847"/>
      <c r="R925" s="847"/>
      <c r="S925" s="847"/>
      <c r="T925" s="847"/>
      <c r="U925" s="847"/>
      <c r="V925" s="847"/>
      <c r="W925" s="847"/>
      <c r="X925" s="847"/>
      <c r="Y925" s="847"/>
      <c r="Z925" s="847"/>
      <c r="AA925" s="847"/>
      <c r="AB925" s="847"/>
      <c r="AC925" s="847"/>
      <c r="AD925" s="847"/>
      <c r="AE925" s="847"/>
      <c r="AF925" s="847"/>
      <c r="AG925" s="847"/>
    </row>
    <row r="926">
      <c r="A926" s="847"/>
      <c r="B926" s="847"/>
      <c r="C926" s="847"/>
      <c r="D926" s="847"/>
      <c r="E926" s="847"/>
      <c r="F926" s="847"/>
      <c r="G926" s="847"/>
      <c r="H926" s="847"/>
      <c r="I926" s="847"/>
      <c r="J926" s="847"/>
      <c r="K926" s="847"/>
      <c r="L926" s="847"/>
      <c r="M926" s="847"/>
      <c r="N926" s="847"/>
      <c r="O926" s="847"/>
      <c r="P926" s="847"/>
      <c r="Q926" s="847"/>
      <c r="R926" s="847"/>
      <c r="S926" s="847"/>
      <c r="T926" s="847"/>
      <c r="U926" s="847"/>
      <c r="V926" s="847"/>
      <c r="W926" s="847"/>
      <c r="X926" s="847"/>
      <c r="Y926" s="847"/>
      <c r="Z926" s="847"/>
      <c r="AA926" s="847"/>
      <c r="AB926" s="847"/>
      <c r="AC926" s="847"/>
      <c r="AD926" s="847"/>
      <c r="AE926" s="847"/>
      <c r="AF926" s="847"/>
      <c r="AG926" s="847"/>
    </row>
    <row r="927">
      <c r="A927" s="847"/>
      <c r="B927" s="847"/>
      <c r="C927" s="847"/>
      <c r="D927" s="847"/>
      <c r="E927" s="847"/>
      <c r="F927" s="847"/>
      <c r="G927" s="847"/>
      <c r="H927" s="847"/>
      <c r="I927" s="847"/>
      <c r="J927" s="847"/>
      <c r="K927" s="847"/>
      <c r="L927" s="847"/>
      <c r="M927" s="847"/>
      <c r="N927" s="847"/>
      <c r="O927" s="847"/>
      <c r="P927" s="847"/>
      <c r="Q927" s="847"/>
      <c r="R927" s="847"/>
      <c r="S927" s="847"/>
      <c r="T927" s="847"/>
      <c r="U927" s="847"/>
      <c r="V927" s="847"/>
      <c r="W927" s="847"/>
      <c r="X927" s="847"/>
      <c r="Y927" s="847"/>
      <c r="Z927" s="847"/>
      <c r="AA927" s="847"/>
      <c r="AB927" s="847"/>
      <c r="AC927" s="847"/>
      <c r="AD927" s="847"/>
      <c r="AE927" s="847"/>
      <c r="AF927" s="847"/>
      <c r="AG927" s="847"/>
    </row>
    <row r="928">
      <c r="A928" s="847"/>
      <c r="B928" s="847"/>
      <c r="C928" s="847"/>
      <c r="D928" s="847"/>
      <c r="E928" s="847"/>
      <c r="F928" s="847"/>
      <c r="G928" s="847"/>
      <c r="H928" s="847"/>
      <c r="I928" s="847"/>
      <c r="J928" s="847"/>
      <c r="K928" s="847"/>
      <c r="L928" s="847"/>
      <c r="M928" s="847"/>
      <c r="N928" s="847"/>
      <c r="O928" s="847"/>
      <c r="P928" s="847"/>
      <c r="Q928" s="847"/>
      <c r="R928" s="847"/>
      <c r="S928" s="847"/>
      <c r="T928" s="847"/>
      <c r="U928" s="847"/>
      <c r="V928" s="847"/>
      <c r="W928" s="847"/>
      <c r="X928" s="847"/>
      <c r="Y928" s="847"/>
      <c r="Z928" s="847"/>
      <c r="AA928" s="847"/>
      <c r="AB928" s="847"/>
      <c r="AC928" s="847"/>
      <c r="AD928" s="847"/>
      <c r="AE928" s="847"/>
      <c r="AF928" s="847"/>
      <c r="AG928" s="847"/>
    </row>
    <row r="929">
      <c r="A929" s="847"/>
      <c r="B929" s="847"/>
      <c r="C929" s="847"/>
      <c r="D929" s="847"/>
      <c r="E929" s="847"/>
      <c r="F929" s="847"/>
      <c r="G929" s="847"/>
      <c r="H929" s="847"/>
      <c r="I929" s="847"/>
      <c r="J929" s="847"/>
      <c r="K929" s="847"/>
      <c r="L929" s="847"/>
      <c r="M929" s="847"/>
      <c r="N929" s="847"/>
      <c r="O929" s="847"/>
      <c r="P929" s="847"/>
      <c r="Q929" s="847"/>
      <c r="R929" s="847"/>
      <c r="S929" s="847"/>
      <c r="T929" s="847"/>
      <c r="U929" s="847"/>
      <c r="V929" s="847"/>
      <c r="W929" s="847"/>
      <c r="X929" s="847"/>
      <c r="Y929" s="847"/>
      <c r="Z929" s="847"/>
      <c r="AA929" s="847"/>
      <c r="AB929" s="847"/>
      <c r="AC929" s="847"/>
      <c r="AD929" s="847"/>
      <c r="AE929" s="847"/>
      <c r="AF929" s="847"/>
      <c r="AG929" s="847"/>
    </row>
    <row r="930">
      <c r="A930" s="847"/>
      <c r="B930" s="847"/>
      <c r="C930" s="847"/>
      <c r="D930" s="847"/>
      <c r="E930" s="847"/>
      <c r="F930" s="847"/>
      <c r="G930" s="847"/>
      <c r="H930" s="847"/>
      <c r="I930" s="847"/>
      <c r="J930" s="847"/>
      <c r="K930" s="847"/>
      <c r="L930" s="847"/>
      <c r="M930" s="847"/>
      <c r="N930" s="847"/>
      <c r="O930" s="847"/>
      <c r="P930" s="847"/>
      <c r="Q930" s="847"/>
      <c r="R930" s="847"/>
      <c r="S930" s="847"/>
      <c r="T930" s="847"/>
      <c r="U930" s="847"/>
      <c r="V930" s="847"/>
      <c r="W930" s="847"/>
      <c r="X930" s="847"/>
      <c r="Y930" s="847"/>
      <c r="Z930" s="847"/>
      <c r="AA930" s="847"/>
      <c r="AB930" s="847"/>
      <c r="AC930" s="847"/>
      <c r="AD930" s="847"/>
      <c r="AE930" s="847"/>
      <c r="AF930" s="847"/>
      <c r="AG930" s="847"/>
    </row>
    <row r="931">
      <c r="A931" s="847"/>
      <c r="B931" s="847"/>
      <c r="C931" s="847"/>
      <c r="D931" s="847"/>
      <c r="E931" s="847"/>
      <c r="F931" s="847"/>
      <c r="G931" s="847"/>
      <c r="H931" s="847"/>
      <c r="I931" s="847"/>
      <c r="J931" s="847"/>
      <c r="K931" s="847"/>
      <c r="L931" s="847"/>
      <c r="M931" s="847"/>
      <c r="N931" s="847"/>
      <c r="O931" s="847"/>
      <c r="P931" s="847"/>
      <c r="Q931" s="847"/>
      <c r="R931" s="847"/>
      <c r="S931" s="847"/>
      <c r="T931" s="847"/>
      <c r="U931" s="847"/>
      <c r="V931" s="847"/>
      <c r="W931" s="847"/>
      <c r="X931" s="847"/>
      <c r="Y931" s="847"/>
      <c r="Z931" s="847"/>
      <c r="AA931" s="847"/>
      <c r="AB931" s="847"/>
      <c r="AC931" s="847"/>
      <c r="AD931" s="847"/>
      <c r="AE931" s="847"/>
      <c r="AF931" s="847"/>
      <c r="AG931" s="847"/>
    </row>
    <row r="932">
      <c r="A932" s="847"/>
      <c r="B932" s="847"/>
      <c r="C932" s="847"/>
      <c r="D932" s="847"/>
      <c r="E932" s="847"/>
      <c r="F932" s="847"/>
      <c r="G932" s="847"/>
      <c r="H932" s="847"/>
      <c r="I932" s="847"/>
      <c r="J932" s="847"/>
      <c r="K932" s="847"/>
      <c r="L932" s="847"/>
      <c r="M932" s="847"/>
      <c r="N932" s="847"/>
      <c r="O932" s="847"/>
      <c r="P932" s="847"/>
      <c r="Q932" s="847"/>
      <c r="R932" s="847"/>
      <c r="S932" s="847"/>
      <c r="T932" s="847"/>
      <c r="U932" s="847"/>
      <c r="V932" s="847"/>
      <c r="W932" s="847"/>
      <c r="X932" s="847"/>
      <c r="Y932" s="847"/>
      <c r="Z932" s="847"/>
      <c r="AA932" s="847"/>
      <c r="AB932" s="847"/>
      <c r="AC932" s="847"/>
      <c r="AD932" s="847"/>
      <c r="AE932" s="847"/>
      <c r="AF932" s="847"/>
      <c r="AG932" s="847"/>
    </row>
    <row r="933">
      <c r="A933" s="847"/>
      <c r="B933" s="847"/>
      <c r="C933" s="847"/>
      <c r="D933" s="847"/>
      <c r="E933" s="847"/>
      <c r="F933" s="847"/>
      <c r="G933" s="847"/>
      <c r="H933" s="847"/>
      <c r="I933" s="847"/>
      <c r="J933" s="847"/>
      <c r="K933" s="847"/>
      <c r="L933" s="847"/>
      <c r="M933" s="847"/>
      <c r="N933" s="847"/>
      <c r="O933" s="847"/>
      <c r="P933" s="847"/>
      <c r="Q933" s="847"/>
      <c r="R933" s="847"/>
      <c r="S933" s="847"/>
      <c r="T933" s="847"/>
      <c r="U933" s="847"/>
      <c r="V933" s="847"/>
      <c r="W933" s="847"/>
      <c r="X933" s="847"/>
      <c r="Y933" s="847"/>
      <c r="Z933" s="847"/>
      <c r="AA933" s="847"/>
      <c r="AB933" s="847"/>
      <c r="AC933" s="847"/>
      <c r="AD933" s="847"/>
      <c r="AE933" s="847"/>
      <c r="AF933" s="847"/>
      <c r="AG933" s="847"/>
    </row>
    <row r="934">
      <c r="A934" s="847"/>
      <c r="B934" s="847"/>
      <c r="C934" s="847"/>
      <c r="D934" s="847"/>
      <c r="E934" s="847"/>
      <c r="F934" s="847"/>
      <c r="G934" s="847"/>
      <c r="H934" s="847"/>
      <c r="I934" s="847"/>
      <c r="J934" s="847"/>
      <c r="K934" s="847"/>
      <c r="L934" s="847"/>
      <c r="M934" s="847"/>
      <c r="N934" s="847"/>
      <c r="O934" s="847"/>
      <c r="P934" s="847"/>
      <c r="Q934" s="847"/>
      <c r="R934" s="847"/>
      <c r="S934" s="847"/>
      <c r="T934" s="847"/>
      <c r="U934" s="847"/>
      <c r="V934" s="847"/>
      <c r="W934" s="847"/>
      <c r="X934" s="847"/>
      <c r="Y934" s="847"/>
      <c r="Z934" s="847"/>
      <c r="AA934" s="847"/>
      <c r="AB934" s="847"/>
      <c r="AC934" s="847"/>
      <c r="AD934" s="847"/>
      <c r="AE934" s="847"/>
      <c r="AF934" s="847"/>
      <c r="AG934" s="847"/>
    </row>
    <row r="935">
      <c r="A935" s="847"/>
      <c r="B935" s="847"/>
      <c r="C935" s="847"/>
      <c r="D935" s="847"/>
      <c r="E935" s="847"/>
      <c r="F935" s="847"/>
      <c r="G935" s="847"/>
      <c r="H935" s="847"/>
      <c r="I935" s="847"/>
      <c r="J935" s="847"/>
      <c r="K935" s="847"/>
      <c r="L935" s="847"/>
      <c r="M935" s="847"/>
      <c r="N935" s="847"/>
      <c r="O935" s="847"/>
      <c r="P935" s="847"/>
      <c r="Q935" s="847"/>
      <c r="R935" s="847"/>
      <c r="S935" s="847"/>
      <c r="T935" s="847"/>
      <c r="U935" s="847"/>
      <c r="V935" s="847"/>
      <c r="W935" s="847"/>
      <c r="X935" s="847"/>
      <c r="Y935" s="847"/>
      <c r="Z935" s="847"/>
      <c r="AA935" s="847"/>
      <c r="AB935" s="847"/>
      <c r="AC935" s="847"/>
      <c r="AD935" s="847"/>
      <c r="AE935" s="847"/>
      <c r="AF935" s="847"/>
      <c r="AG935" s="847"/>
    </row>
    <row r="936">
      <c r="A936" s="847"/>
      <c r="B936" s="847"/>
      <c r="C936" s="847"/>
      <c r="D936" s="847"/>
      <c r="E936" s="847"/>
      <c r="F936" s="847"/>
      <c r="G936" s="847"/>
      <c r="H936" s="847"/>
      <c r="I936" s="847"/>
      <c r="J936" s="847"/>
      <c r="K936" s="847"/>
      <c r="L936" s="847"/>
      <c r="M936" s="847"/>
      <c r="N936" s="847"/>
      <c r="O936" s="847"/>
      <c r="P936" s="847"/>
      <c r="Q936" s="847"/>
      <c r="R936" s="847"/>
      <c r="S936" s="847"/>
      <c r="T936" s="847"/>
      <c r="U936" s="847"/>
      <c r="V936" s="847"/>
      <c r="W936" s="847"/>
      <c r="X936" s="847"/>
      <c r="Y936" s="847"/>
      <c r="Z936" s="847"/>
      <c r="AA936" s="847"/>
      <c r="AB936" s="847"/>
      <c r="AC936" s="847"/>
      <c r="AD936" s="847"/>
      <c r="AE936" s="847"/>
      <c r="AF936" s="847"/>
      <c r="AG936" s="847"/>
    </row>
    <row r="937">
      <c r="A937" s="847"/>
      <c r="B937" s="847"/>
      <c r="C937" s="847"/>
      <c r="D937" s="847"/>
      <c r="E937" s="847"/>
      <c r="F937" s="847"/>
      <c r="G937" s="847"/>
      <c r="H937" s="847"/>
      <c r="I937" s="847"/>
      <c r="J937" s="847"/>
      <c r="K937" s="847"/>
      <c r="L937" s="847"/>
      <c r="M937" s="847"/>
      <c r="N937" s="847"/>
      <c r="O937" s="847"/>
      <c r="P937" s="847"/>
      <c r="Q937" s="847"/>
      <c r="R937" s="847"/>
      <c r="S937" s="847"/>
      <c r="T937" s="847"/>
      <c r="U937" s="847"/>
      <c r="V937" s="847"/>
      <c r="W937" s="847"/>
      <c r="X937" s="847"/>
      <c r="Y937" s="847"/>
      <c r="Z937" s="847"/>
      <c r="AA937" s="847"/>
      <c r="AB937" s="847"/>
      <c r="AC937" s="847"/>
      <c r="AD937" s="847"/>
      <c r="AE937" s="847"/>
      <c r="AF937" s="847"/>
      <c r="AG937" s="847"/>
    </row>
    <row r="938">
      <c r="A938" s="847"/>
      <c r="B938" s="847"/>
      <c r="C938" s="847"/>
      <c r="D938" s="847"/>
      <c r="E938" s="847"/>
      <c r="F938" s="847"/>
      <c r="G938" s="847"/>
      <c r="H938" s="847"/>
      <c r="I938" s="847"/>
      <c r="J938" s="847"/>
      <c r="K938" s="847"/>
      <c r="L938" s="847"/>
      <c r="M938" s="847"/>
      <c r="N938" s="847"/>
      <c r="O938" s="847"/>
      <c r="P938" s="847"/>
      <c r="Q938" s="847"/>
      <c r="R938" s="847"/>
      <c r="S938" s="847"/>
      <c r="T938" s="847"/>
      <c r="U938" s="847"/>
      <c r="V938" s="847"/>
      <c r="W938" s="847"/>
      <c r="X938" s="847"/>
      <c r="Y938" s="847"/>
      <c r="Z938" s="847"/>
      <c r="AA938" s="847"/>
      <c r="AB938" s="847"/>
      <c r="AC938" s="847"/>
      <c r="AD938" s="847"/>
      <c r="AE938" s="847"/>
      <c r="AF938" s="847"/>
      <c r="AG938" s="847"/>
    </row>
    <row r="939">
      <c r="A939" s="847"/>
      <c r="B939" s="847"/>
      <c r="C939" s="847"/>
      <c r="D939" s="847"/>
      <c r="E939" s="847"/>
      <c r="F939" s="847"/>
      <c r="G939" s="847"/>
      <c r="H939" s="847"/>
      <c r="I939" s="847"/>
      <c r="J939" s="847"/>
      <c r="K939" s="847"/>
      <c r="L939" s="847"/>
      <c r="M939" s="847"/>
      <c r="N939" s="847"/>
      <c r="O939" s="847"/>
      <c r="P939" s="847"/>
      <c r="Q939" s="847"/>
      <c r="R939" s="847"/>
      <c r="S939" s="847"/>
      <c r="T939" s="847"/>
      <c r="U939" s="847"/>
      <c r="V939" s="847"/>
      <c r="W939" s="847"/>
      <c r="X939" s="847"/>
      <c r="Y939" s="847"/>
      <c r="Z939" s="847"/>
      <c r="AA939" s="847"/>
      <c r="AB939" s="847"/>
      <c r="AC939" s="847"/>
      <c r="AD939" s="847"/>
      <c r="AE939" s="847"/>
      <c r="AF939" s="847"/>
      <c r="AG939" s="847"/>
    </row>
    <row r="940">
      <c r="A940" s="847"/>
      <c r="B940" s="847"/>
      <c r="C940" s="847"/>
      <c r="D940" s="847"/>
      <c r="E940" s="847"/>
      <c r="F940" s="847"/>
      <c r="G940" s="847"/>
      <c r="H940" s="847"/>
      <c r="I940" s="847"/>
      <c r="J940" s="847"/>
      <c r="K940" s="847"/>
      <c r="L940" s="847"/>
      <c r="M940" s="847"/>
      <c r="N940" s="847"/>
      <c r="O940" s="847"/>
      <c r="P940" s="847"/>
      <c r="Q940" s="847"/>
      <c r="R940" s="847"/>
      <c r="S940" s="847"/>
      <c r="T940" s="847"/>
      <c r="U940" s="847"/>
      <c r="V940" s="847"/>
      <c r="W940" s="847"/>
      <c r="X940" s="847"/>
      <c r="Y940" s="847"/>
      <c r="Z940" s="847"/>
      <c r="AA940" s="847"/>
      <c r="AB940" s="847"/>
      <c r="AC940" s="847"/>
      <c r="AD940" s="847"/>
      <c r="AE940" s="847"/>
      <c r="AF940" s="847"/>
      <c r="AG940" s="847"/>
    </row>
    <row r="941">
      <c r="A941" s="847"/>
      <c r="B941" s="847"/>
      <c r="C941" s="847"/>
      <c r="D941" s="847"/>
      <c r="E941" s="847"/>
      <c r="F941" s="847"/>
      <c r="G941" s="847"/>
      <c r="H941" s="847"/>
      <c r="I941" s="847"/>
      <c r="J941" s="847"/>
      <c r="K941" s="847"/>
      <c r="L941" s="847"/>
      <c r="M941" s="847"/>
      <c r="N941" s="847"/>
      <c r="O941" s="847"/>
      <c r="P941" s="847"/>
      <c r="Q941" s="847"/>
      <c r="R941" s="847"/>
      <c r="S941" s="847"/>
      <c r="T941" s="847"/>
      <c r="U941" s="847"/>
      <c r="V941" s="847"/>
      <c r="W941" s="847"/>
      <c r="X941" s="847"/>
      <c r="Y941" s="847"/>
      <c r="Z941" s="847"/>
      <c r="AA941" s="847"/>
      <c r="AB941" s="847"/>
      <c r="AC941" s="847"/>
      <c r="AD941" s="847"/>
      <c r="AE941" s="847"/>
      <c r="AF941" s="847"/>
      <c r="AG941" s="847"/>
    </row>
    <row r="942">
      <c r="A942" s="847"/>
      <c r="B942" s="847"/>
      <c r="C942" s="847"/>
      <c r="D942" s="847"/>
      <c r="E942" s="847"/>
      <c r="F942" s="847"/>
      <c r="G942" s="847"/>
      <c r="H942" s="847"/>
      <c r="I942" s="847"/>
      <c r="J942" s="847"/>
      <c r="K942" s="847"/>
      <c r="L942" s="847"/>
      <c r="M942" s="847"/>
      <c r="N942" s="847"/>
      <c r="O942" s="847"/>
      <c r="P942" s="847"/>
      <c r="Q942" s="847"/>
      <c r="R942" s="847"/>
      <c r="S942" s="847"/>
      <c r="T942" s="847"/>
      <c r="U942" s="847"/>
      <c r="V942" s="847"/>
      <c r="W942" s="847"/>
      <c r="X942" s="847"/>
      <c r="Y942" s="847"/>
      <c r="Z942" s="847"/>
      <c r="AA942" s="847"/>
      <c r="AB942" s="847"/>
      <c r="AC942" s="847"/>
      <c r="AD942" s="847"/>
      <c r="AE942" s="847"/>
      <c r="AF942" s="847"/>
      <c r="AG942" s="847"/>
    </row>
    <row r="943">
      <c r="A943" s="847"/>
      <c r="B943" s="847"/>
      <c r="C943" s="847"/>
      <c r="D943" s="847"/>
      <c r="E943" s="847"/>
      <c r="F943" s="847"/>
      <c r="G943" s="847"/>
      <c r="H943" s="847"/>
      <c r="I943" s="847"/>
      <c r="J943" s="847"/>
      <c r="K943" s="847"/>
      <c r="L943" s="847"/>
      <c r="M943" s="847"/>
      <c r="N943" s="847"/>
      <c r="O943" s="847"/>
      <c r="P943" s="847"/>
      <c r="Q943" s="847"/>
      <c r="R943" s="847"/>
      <c r="S943" s="847"/>
      <c r="T943" s="847"/>
      <c r="U943" s="847"/>
      <c r="V943" s="847"/>
      <c r="W943" s="847"/>
      <c r="X943" s="847"/>
      <c r="Y943" s="847"/>
      <c r="Z943" s="847"/>
      <c r="AA943" s="847"/>
      <c r="AB943" s="847"/>
      <c r="AC943" s="847"/>
      <c r="AD943" s="847"/>
      <c r="AE943" s="847"/>
      <c r="AF943" s="847"/>
      <c r="AG943" s="847"/>
    </row>
    <row r="944">
      <c r="A944" s="847"/>
      <c r="B944" s="847"/>
      <c r="C944" s="847"/>
      <c r="D944" s="847"/>
      <c r="E944" s="847"/>
      <c r="F944" s="847"/>
      <c r="G944" s="847"/>
      <c r="H944" s="847"/>
      <c r="I944" s="847"/>
      <c r="J944" s="847"/>
      <c r="K944" s="847"/>
      <c r="L944" s="847"/>
      <c r="M944" s="847"/>
      <c r="N944" s="847"/>
      <c r="O944" s="847"/>
      <c r="P944" s="847"/>
      <c r="Q944" s="847"/>
      <c r="R944" s="847"/>
      <c r="S944" s="847"/>
      <c r="T944" s="847"/>
      <c r="U944" s="847"/>
      <c r="V944" s="847"/>
      <c r="W944" s="847"/>
      <c r="X944" s="847"/>
      <c r="Y944" s="847"/>
      <c r="Z944" s="847"/>
      <c r="AA944" s="847"/>
      <c r="AB944" s="847"/>
      <c r="AC944" s="847"/>
      <c r="AD944" s="847"/>
      <c r="AE944" s="847"/>
      <c r="AF944" s="847"/>
      <c r="AG944" s="847"/>
    </row>
    <row r="945">
      <c r="A945" s="847"/>
      <c r="B945" s="847"/>
      <c r="C945" s="847"/>
      <c r="D945" s="847"/>
      <c r="E945" s="847"/>
      <c r="F945" s="847"/>
      <c r="G945" s="847"/>
      <c r="H945" s="847"/>
      <c r="I945" s="847"/>
      <c r="J945" s="847"/>
      <c r="K945" s="847"/>
      <c r="L945" s="847"/>
      <c r="M945" s="847"/>
      <c r="N945" s="847"/>
      <c r="O945" s="847"/>
      <c r="P945" s="847"/>
      <c r="Q945" s="847"/>
      <c r="R945" s="847"/>
      <c r="S945" s="847"/>
      <c r="T945" s="847"/>
      <c r="U945" s="847"/>
      <c r="V945" s="847"/>
      <c r="W945" s="847"/>
      <c r="X945" s="847"/>
      <c r="Y945" s="847"/>
      <c r="Z945" s="847"/>
      <c r="AA945" s="847"/>
      <c r="AB945" s="847"/>
      <c r="AC945" s="847"/>
      <c r="AD945" s="847"/>
      <c r="AE945" s="847"/>
      <c r="AF945" s="847"/>
      <c r="AG945" s="847"/>
    </row>
    <row r="946">
      <c r="A946" s="847"/>
      <c r="B946" s="847"/>
      <c r="C946" s="847"/>
      <c r="D946" s="847"/>
      <c r="E946" s="847"/>
      <c r="F946" s="847"/>
      <c r="G946" s="847"/>
      <c r="H946" s="847"/>
      <c r="I946" s="847"/>
      <c r="J946" s="847"/>
      <c r="K946" s="847"/>
      <c r="L946" s="847"/>
      <c r="M946" s="847"/>
      <c r="N946" s="847"/>
      <c r="O946" s="847"/>
      <c r="P946" s="847"/>
      <c r="Q946" s="847"/>
      <c r="R946" s="847"/>
      <c r="S946" s="847"/>
      <c r="T946" s="847"/>
      <c r="U946" s="847"/>
      <c r="V946" s="847"/>
      <c r="W946" s="847"/>
      <c r="X946" s="847"/>
      <c r="Y946" s="847"/>
      <c r="Z946" s="847"/>
      <c r="AA946" s="847"/>
      <c r="AB946" s="847"/>
      <c r="AC946" s="847"/>
      <c r="AD946" s="847"/>
      <c r="AE946" s="847"/>
      <c r="AF946" s="847"/>
      <c r="AG946" s="847"/>
    </row>
    <row r="947">
      <c r="A947" s="847"/>
      <c r="B947" s="847"/>
      <c r="C947" s="847"/>
      <c r="D947" s="847"/>
      <c r="E947" s="847"/>
      <c r="F947" s="847"/>
      <c r="G947" s="847"/>
      <c r="H947" s="847"/>
      <c r="I947" s="847"/>
      <c r="J947" s="847"/>
      <c r="K947" s="847"/>
      <c r="L947" s="847"/>
      <c r="M947" s="847"/>
      <c r="N947" s="847"/>
      <c r="O947" s="847"/>
      <c r="P947" s="847"/>
      <c r="Q947" s="847"/>
      <c r="R947" s="847"/>
      <c r="S947" s="847"/>
      <c r="T947" s="847"/>
      <c r="U947" s="847"/>
      <c r="V947" s="847"/>
      <c r="W947" s="847"/>
      <c r="X947" s="847"/>
      <c r="Y947" s="847"/>
      <c r="Z947" s="847"/>
      <c r="AA947" s="847"/>
      <c r="AB947" s="847"/>
      <c r="AC947" s="847"/>
      <c r="AD947" s="847"/>
      <c r="AE947" s="847"/>
      <c r="AF947" s="847"/>
      <c r="AG947" s="847"/>
    </row>
    <row r="948">
      <c r="A948" s="847"/>
      <c r="B948" s="847"/>
      <c r="C948" s="847"/>
      <c r="D948" s="847"/>
      <c r="E948" s="847"/>
      <c r="F948" s="847"/>
      <c r="G948" s="847"/>
      <c r="H948" s="847"/>
      <c r="I948" s="847"/>
      <c r="J948" s="847"/>
      <c r="K948" s="847"/>
      <c r="L948" s="847"/>
      <c r="M948" s="847"/>
      <c r="N948" s="847"/>
      <c r="O948" s="847"/>
      <c r="P948" s="847"/>
      <c r="Q948" s="847"/>
      <c r="R948" s="847"/>
      <c r="S948" s="847"/>
      <c r="T948" s="847"/>
      <c r="U948" s="847"/>
      <c r="V948" s="847"/>
      <c r="W948" s="847"/>
      <c r="X948" s="847"/>
      <c r="Y948" s="847"/>
      <c r="Z948" s="847"/>
      <c r="AA948" s="847"/>
      <c r="AB948" s="847"/>
      <c r="AC948" s="847"/>
      <c r="AD948" s="847"/>
      <c r="AE948" s="847"/>
      <c r="AF948" s="847"/>
      <c r="AG948" s="847"/>
    </row>
    <row r="949">
      <c r="A949" s="847"/>
      <c r="B949" s="847"/>
      <c r="C949" s="847"/>
      <c r="D949" s="847"/>
      <c r="E949" s="847"/>
      <c r="F949" s="847"/>
      <c r="G949" s="847"/>
      <c r="H949" s="847"/>
      <c r="I949" s="847"/>
      <c r="J949" s="847"/>
      <c r="K949" s="847"/>
      <c r="L949" s="847"/>
      <c r="M949" s="847"/>
      <c r="N949" s="847"/>
      <c r="O949" s="847"/>
      <c r="P949" s="847"/>
      <c r="Q949" s="847"/>
      <c r="R949" s="847"/>
      <c r="S949" s="847"/>
      <c r="T949" s="847"/>
      <c r="U949" s="847"/>
      <c r="V949" s="847"/>
      <c r="W949" s="847"/>
      <c r="X949" s="847"/>
      <c r="Y949" s="847"/>
      <c r="Z949" s="847"/>
      <c r="AA949" s="847"/>
      <c r="AB949" s="847"/>
      <c r="AC949" s="847"/>
      <c r="AD949" s="847"/>
      <c r="AE949" s="847"/>
      <c r="AF949" s="847"/>
      <c r="AG949" s="847"/>
    </row>
    <row r="950">
      <c r="A950" s="847"/>
      <c r="B950" s="847"/>
      <c r="C950" s="847"/>
      <c r="D950" s="847"/>
      <c r="E950" s="847"/>
      <c r="F950" s="847"/>
      <c r="G950" s="847"/>
      <c r="H950" s="847"/>
      <c r="I950" s="847"/>
      <c r="J950" s="847"/>
      <c r="K950" s="847"/>
      <c r="L950" s="847"/>
      <c r="M950" s="847"/>
      <c r="N950" s="847"/>
      <c r="O950" s="847"/>
      <c r="P950" s="847"/>
      <c r="Q950" s="847"/>
      <c r="R950" s="847"/>
      <c r="S950" s="847"/>
      <c r="T950" s="847"/>
      <c r="U950" s="847"/>
      <c r="V950" s="847"/>
      <c r="W950" s="847"/>
      <c r="X950" s="847"/>
      <c r="Y950" s="847"/>
      <c r="Z950" s="847"/>
      <c r="AA950" s="847"/>
      <c r="AB950" s="847"/>
      <c r="AC950" s="847"/>
      <c r="AD950" s="847"/>
      <c r="AE950" s="847"/>
      <c r="AF950" s="847"/>
      <c r="AG950" s="847"/>
    </row>
    <row r="951">
      <c r="A951" s="847"/>
      <c r="B951" s="847"/>
      <c r="C951" s="847"/>
      <c r="D951" s="847"/>
      <c r="E951" s="847"/>
      <c r="F951" s="847"/>
      <c r="G951" s="847"/>
      <c r="H951" s="847"/>
      <c r="I951" s="847"/>
      <c r="J951" s="847"/>
      <c r="K951" s="847"/>
      <c r="L951" s="847"/>
      <c r="M951" s="847"/>
      <c r="N951" s="847"/>
      <c r="O951" s="847"/>
      <c r="P951" s="847"/>
      <c r="Q951" s="847"/>
      <c r="R951" s="847"/>
      <c r="S951" s="847"/>
      <c r="T951" s="847"/>
      <c r="U951" s="847"/>
      <c r="V951" s="847"/>
      <c r="W951" s="847"/>
      <c r="X951" s="847"/>
      <c r="Y951" s="847"/>
      <c r="Z951" s="847"/>
      <c r="AA951" s="847"/>
      <c r="AB951" s="847"/>
      <c r="AC951" s="847"/>
      <c r="AD951" s="847"/>
      <c r="AE951" s="847"/>
      <c r="AF951" s="847"/>
      <c r="AG951" s="847"/>
    </row>
    <row r="952">
      <c r="A952" s="847"/>
      <c r="B952" s="847"/>
      <c r="C952" s="847"/>
      <c r="D952" s="847"/>
      <c r="E952" s="847"/>
      <c r="F952" s="847"/>
      <c r="G952" s="847"/>
      <c r="H952" s="847"/>
      <c r="I952" s="847"/>
      <c r="J952" s="847"/>
      <c r="K952" s="847"/>
      <c r="L952" s="847"/>
      <c r="M952" s="847"/>
      <c r="N952" s="847"/>
      <c r="O952" s="847"/>
      <c r="P952" s="847"/>
      <c r="Q952" s="847"/>
      <c r="R952" s="847"/>
      <c r="S952" s="847"/>
      <c r="T952" s="847"/>
      <c r="U952" s="847"/>
      <c r="V952" s="847"/>
      <c r="W952" s="847"/>
      <c r="X952" s="847"/>
      <c r="Y952" s="847"/>
      <c r="Z952" s="847"/>
      <c r="AA952" s="847"/>
      <c r="AB952" s="847"/>
      <c r="AC952" s="847"/>
      <c r="AD952" s="847"/>
      <c r="AE952" s="847"/>
      <c r="AF952" s="847"/>
      <c r="AG952" s="847"/>
    </row>
    <row r="953">
      <c r="A953" s="847"/>
      <c r="B953" s="847"/>
      <c r="C953" s="847"/>
      <c r="D953" s="847"/>
      <c r="E953" s="847"/>
      <c r="F953" s="847"/>
      <c r="G953" s="847"/>
      <c r="H953" s="847"/>
      <c r="I953" s="847"/>
      <c r="J953" s="847"/>
      <c r="K953" s="847"/>
      <c r="L953" s="847"/>
      <c r="M953" s="847"/>
      <c r="N953" s="847"/>
      <c r="O953" s="847"/>
      <c r="P953" s="847"/>
      <c r="Q953" s="847"/>
      <c r="R953" s="847"/>
      <c r="S953" s="847"/>
      <c r="T953" s="847"/>
      <c r="U953" s="847"/>
      <c r="V953" s="847"/>
      <c r="W953" s="847"/>
      <c r="X953" s="847"/>
      <c r="Y953" s="847"/>
      <c r="Z953" s="847"/>
      <c r="AA953" s="847"/>
      <c r="AB953" s="847"/>
      <c r="AC953" s="847"/>
      <c r="AD953" s="847"/>
      <c r="AE953" s="847"/>
      <c r="AF953" s="847"/>
      <c r="AG953" s="847"/>
    </row>
    <row r="954">
      <c r="A954" s="847"/>
      <c r="B954" s="847"/>
      <c r="C954" s="847"/>
      <c r="D954" s="847"/>
      <c r="E954" s="847"/>
      <c r="F954" s="847"/>
      <c r="G954" s="847"/>
      <c r="H954" s="847"/>
      <c r="I954" s="847"/>
      <c r="J954" s="847"/>
      <c r="K954" s="847"/>
      <c r="L954" s="847"/>
      <c r="M954" s="847"/>
      <c r="N954" s="847"/>
      <c r="O954" s="847"/>
      <c r="P954" s="847"/>
      <c r="Q954" s="847"/>
      <c r="R954" s="847"/>
      <c r="S954" s="847"/>
      <c r="T954" s="847"/>
      <c r="U954" s="847"/>
      <c r="V954" s="847"/>
      <c r="W954" s="847"/>
      <c r="X954" s="847"/>
      <c r="Y954" s="847"/>
      <c r="Z954" s="847"/>
      <c r="AA954" s="847"/>
      <c r="AB954" s="847"/>
      <c r="AC954" s="847"/>
      <c r="AD954" s="847"/>
      <c r="AE954" s="847"/>
      <c r="AF954" s="847"/>
      <c r="AG954" s="847"/>
    </row>
    <row r="955">
      <c r="A955" s="847"/>
      <c r="B955" s="847"/>
      <c r="C955" s="847"/>
      <c r="D955" s="847"/>
      <c r="E955" s="847"/>
      <c r="F955" s="847"/>
      <c r="G955" s="847"/>
      <c r="H955" s="847"/>
      <c r="I955" s="847"/>
      <c r="J955" s="847"/>
      <c r="K955" s="847"/>
      <c r="L955" s="847"/>
      <c r="M955" s="847"/>
      <c r="N955" s="847"/>
      <c r="O955" s="847"/>
      <c r="P955" s="847"/>
      <c r="Q955" s="847"/>
      <c r="R955" s="847"/>
      <c r="S955" s="847"/>
      <c r="T955" s="847"/>
      <c r="U955" s="847"/>
      <c r="V955" s="847"/>
      <c r="W955" s="847"/>
      <c r="X955" s="847"/>
      <c r="Y955" s="847"/>
      <c r="Z955" s="847"/>
      <c r="AA955" s="847"/>
      <c r="AB955" s="847"/>
      <c r="AC955" s="847"/>
      <c r="AD955" s="847"/>
      <c r="AE955" s="847"/>
      <c r="AF955" s="847"/>
      <c r="AG955" s="847"/>
    </row>
    <row r="956">
      <c r="A956" s="847"/>
      <c r="B956" s="847"/>
      <c r="C956" s="847"/>
      <c r="D956" s="847"/>
      <c r="E956" s="847"/>
      <c r="F956" s="847"/>
      <c r="G956" s="847"/>
      <c r="H956" s="847"/>
      <c r="I956" s="847"/>
      <c r="J956" s="847"/>
      <c r="K956" s="847"/>
      <c r="L956" s="847"/>
      <c r="M956" s="847"/>
      <c r="N956" s="847"/>
      <c r="O956" s="847"/>
      <c r="P956" s="847"/>
      <c r="Q956" s="847"/>
      <c r="R956" s="847"/>
      <c r="S956" s="847"/>
      <c r="T956" s="847"/>
      <c r="U956" s="847"/>
      <c r="V956" s="847"/>
      <c r="W956" s="847"/>
      <c r="X956" s="847"/>
      <c r="Y956" s="847"/>
      <c r="Z956" s="847"/>
      <c r="AA956" s="847"/>
      <c r="AB956" s="847"/>
      <c r="AC956" s="847"/>
      <c r="AD956" s="847"/>
      <c r="AE956" s="847"/>
      <c r="AF956" s="847"/>
      <c r="AG956" s="847"/>
    </row>
    <row r="957">
      <c r="A957" s="847"/>
      <c r="B957" s="847"/>
      <c r="C957" s="847"/>
      <c r="D957" s="847"/>
      <c r="E957" s="847"/>
      <c r="F957" s="847"/>
      <c r="G957" s="847"/>
      <c r="H957" s="847"/>
      <c r="I957" s="847"/>
      <c r="J957" s="847"/>
      <c r="K957" s="847"/>
      <c r="L957" s="847"/>
      <c r="M957" s="847"/>
      <c r="N957" s="847"/>
      <c r="O957" s="847"/>
      <c r="P957" s="847"/>
      <c r="Q957" s="847"/>
      <c r="R957" s="847"/>
      <c r="S957" s="847"/>
      <c r="T957" s="847"/>
      <c r="U957" s="847"/>
      <c r="V957" s="847"/>
      <c r="W957" s="847"/>
      <c r="X957" s="847"/>
      <c r="Y957" s="847"/>
      <c r="Z957" s="847"/>
      <c r="AA957" s="847"/>
      <c r="AB957" s="847"/>
      <c r="AC957" s="847"/>
      <c r="AD957" s="847"/>
      <c r="AE957" s="847"/>
      <c r="AF957" s="847"/>
      <c r="AG957" s="847"/>
    </row>
    <row r="958">
      <c r="A958" s="847"/>
      <c r="B958" s="847"/>
      <c r="C958" s="847"/>
      <c r="D958" s="847"/>
      <c r="E958" s="847"/>
      <c r="F958" s="847"/>
      <c r="G958" s="847"/>
      <c r="H958" s="847"/>
      <c r="I958" s="847"/>
      <c r="J958" s="847"/>
      <c r="K958" s="847"/>
      <c r="L958" s="847"/>
      <c r="M958" s="847"/>
      <c r="N958" s="847"/>
      <c r="O958" s="847"/>
      <c r="P958" s="847"/>
      <c r="Q958" s="847"/>
      <c r="R958" s="847"/>
      <c r="S958" s="847"/>
      <c r="T958" s="847"/>
      <c r="U958" s="847"/>
      <c r="V958" s="847"/>
      <c r="W958" s="847"/>
      <c r="X958" s="847"/>
      <c r="Y958" s="847"/>
      <c r="Z958" s="847"/>
      <c r="AA958" s="847"/>
      <c r="AB958" s="847"/>
      <c r="AC958" s="847"/>
      <c r="AD958" s="847"/>
      <c r="AE958" s="847"/>
      <c r="AF958" s="847"/>
      <c r="AG958" s="847"/>
    </row>
    <row r="959">
      <c r="A959" s="847"/>
      <c r="B959" s="847"/>
      <c r="C959" s="847"/>
      <c r="D959" s="847"/>
      <c r="E959" s="847"/>
      <c r="F959" s="847"/>
      <c r="G959" s="847"/>
      <c r="H959" s="847"/>
      <c r="I959" s="847"/>
      <c r="J959" s="847"/>
      <c r="K959" s="847"/>
      <c r="L959" s="847"/>
      <c r="M959" s="847"/>
      <c r="N959" s="847"/>
      <c r="O959" s="847"/>
      <c r="P959" s="847"/>
      <c r="Q959" s="847"/>
      <c r="R959" s="847"/>
      <c r="S959" s="847"/>
      <c r="T959" s="847"/>
      <c r="U959" s="847"/>
      <c r="V959" s="847"/>
      <c r="W959" s="847"/>
      <c r="X959" s="847"/>
      <c r="Y959" s="847"/>
      <c r="Z959" s="847"/>
      <c r="AA959" s="847"/>
      <c r="AB959" s="847"/>
      <c r="AC959" s="847"/>
      <c r="AD959" s="847"/>
      <c r="AE959" s="847"/>
      <c r="AF959" s="847"/>
      <c r="AG959" s="847"/>
    </row>
    <row r="960">
      <c r="A960" s="847"/>
      <c r="B960" s="847"/>
      <c r="C960" s="847"/>
      <c r="D960" s="847"/>
      <c r="E960" s="847"/>
      <c r="F960" s="847"/>
      <c r="G960" s="847"/>
      <c r="H960" s="847"/>
      <c r="I960" s="847"/>
      <c r="J960" s="847"/>
      <c r="K960" s="847"/>
      <c r="L960" s="847"/>
      <c r="M960" s="847"/>
      <c r="N960" s="847"/>
      <c r="O960" s="847"/>
      <c r="P960" s="847"/>
      <c r="Q960" s="847"/>
      <c r="R960" s="847"/>
      <c r="S960" s="847"/>
      <c r="T960" s="847"/>
      <c r="U960" s="847"/>
      <c r="V960" s="847"/>
      <c r="W960" s="847"/>
      <c r="X960" s="847"/>
      <c r="Y960" s="847"/>
      <c r="Z960" s="847"/>
      <c r="AA960" s="847"/>
      <c r="AB960" s="847"/>
      <c r="AC960" s="847"/>
      <c r="AD960" s="847"/>
      <c r="AE960" s="847"/>
      <c r="AF960" s="847"/>
      <c r="AG960" s="847"/>
    </row>
    <row r="961">
      <c r="A961" s="847"/>
      <c r="B961" s="847"/>
      <c r="C961" s="847"/>
      <c r="D961" s="847"/>
      <c r="E961" s="847"/>
      <c r="F961" s="847"/>
      <c r="G961" s="847"/>
      <c r="H961" s="847"/>
      <c r="I961" s="847"/>
      <c r="J961" s="847"/>
      <c r="K961" s="847"/>
      <c r="L961" s="847"/>
      <c r="M961" s="847"/>
      <c r="N961" s="847"/>
      <c r="O961" s="847"/>
      <c r="P961" s="847"/>
      <c r="Q961" s="847"/>
      <c r="R961" s="847"/>
      <c r="S961" s="847"/>
      <c r="T961" s="847"/>
      <c r="U961" s="847"/>
      <c r="V961" s="847"/>
      <c r="W961" s="847"/>
      <c r="X961" s="847"/>
      <c r="Y961" s="847"/>
      <c r="Z961" s="847"/>
      <c r="AA961" s="847"/>
      <c r="AB961" s="847"/>
      <c r="AC961" s="847"/>
      <c r="AD961" s="847"/>
      <c r="AE961" s="847"/>
      <c r="AF961" s="847"/>
      <c r="AG961" s="847"/>
    </row>
    <row r="962">
      <c r="A962" s="847"/>
      <c r="B962" s="847"/>
      <c r="C962" s="847"/>
      <c r="D962" s="847"/>
      <c r="E962" s="847"/>
      <c r="F962" s="847"/>
      <c r="G962" s="847"/>
      <c r="H962" s="847"/>
      <c r="I962" s="847"/>
      <c r="J962" s="847"/>
      <c r="K962" s="847"/>
      <c r="L962" s="847"/>
      <c r="M962" s="847"/>
      <c r="N962" s="847"/>
      <c r="O962" s="847"/>
      <c r="P962" s="847"/>
      <c r="Q962" s="847"/>
      <c r="R962" s="847"/>
      <c r="S962" s="847"/>
      <c r="T962" s="847"/>
      <c r="U962" s="847"/>
      <c r="V962" s="847"/>
      <c r="W962" s="847"/>
      <c r="X962" s="847"/>
      <c r="Y962" s="847"/>
      <c r="Z962" s="847"/>
      <c r="AA962" s="847"/>
      <c r="AB962" s="847"/>
      <c r="AC962" s="847"/>
      <c r="AD962" s="847"/>
      <c r="AE962" s="847"/>
      <c r="AF962" s="847"/>
      <c r="AG962" s="847"/>
    </row>
    <row r="963">
      <c r="A963" s="847"/>
      <c r="B963" s="847"/>
      <c r="C963" s="847"/>
      <c r="D963" s="847"/>
      <c r="E963" s="847"/>
      <c r="F963" s="847"/>
      <c r="G963" s="847"/>
      <c r="H963" s="847"/>
      <c r="I963" s="847"/>
      <c r="J963" s="847"/>
      <c r="K963" s="847"/>
      <c r="L963" s="847"/>
      <c r="M963" s="847"/>
      <c r="N963" s="847"/>
      <c r="O963" s="847"/>
      <c r="P963" s="847"/>
      <c r="Q963" s="847"/>
      <c r="R963" s="847"/>
      <c r="S963" s="847"/>
      <c r="T963" s="847"/>
      <c r="U963" s="847"/>
      <c r="V963" s="847"/>
      <c r="W963" s="847"/>
      <c r="X963" s="847"/>
      <c r="Y963" s="847"/>
      <c r="Z963" s="847"/>
      <c r="AA963" s="847"/>
      <c r="AB963" s="847"/>
      <c r="AC963" s="847"/>
      <c r="AD963" s="847"/>
      <c r="AE963" s="847"/>
      <c r="AF963" s="847"/>
      <c r="AG963" s="847"/>
    </row>
    <row r="964">
      <c r="A964" s="847"/>
      <c r="B964" s="847"/>
      <c r="C964" s="847"/>
      <c r="D964" s="847"/>
      <c r="E964" s="847"/>
      <c r="F964" s="847"/>
      <c r="G964" s="847"/>
      <c r="H964" s="847"/>
      <c r="I964" s="847"/>
      <c r="J964" s="847"/>
      <c r="K964" s="847"/>
      <c r="L964" s="847"/>
      <c r="M964" s="847"/>
      <c r="N964" s="847"/>
      <c r="O964" s="847"/>
      <c r="P964" s="847"/>
      <c r="Q964" s="847"/>
      <c r="R964" s="847"/>
      <c r="S964" s="847"/>
      <c r="T964" s="847"/>
      <c r="U964" s="847"/>
      <c r="V964" s="847"/>
      <c r="W964" s="847"/>
      <c r="X964" s="847"/>
      <c r="Y964" s="847"/>
      <c r="Z964" s="847"/>
      <c r="AA964" s="847"/>
      <c r="AB964" s="847"/>
      <c r="AC964" s="847"/>
      <c r="AD964" s="847"/>
      <c r="AE964" s="847"/>
      <c r="AF964" s="847"/>
      <c r="AG964" s="847"/>
    </row>
    <row r="965">
      <c r="A965" s="847"/>
      <c r="B965" s="847"/>
      <c r="C965" s="847"/>
      <c r="D965" s="847"/>
      <c r="E965" s="847"/>
      <c r="F965" s="847"/>
      <c r="G965" s="847"/>
      <c r="H965" s="847"/>
      <c r="I965" s="847"/>
      <c r="J965" s="847"/>
      <c r="K965" s="847"/>
      <c r="L965" s="847"/>
      <c r="M965" s="847"/>
      <c r="N965" s="847"/>
      <c r="O965" s="847"/>
      <c r="P965" s="847"/>
      <c r="Q965" s="847"/>
      <c r="R965" s="847"/>
      <c r="S965" s="847"/>
      <c r="T965" s="847"/>
      <c r="U965" s="847"/>
      <c r="V965" s="847"/>
      <c r="W965" s="847"/>
      <c r="X965" s="847"/>
      <c r="Y965" s="847"/>
      <c r="Z965" s="847"/>
      <c r="AA965" s="847"/>
      <c r="AB965" s="847"/>
      <c r="AC965" s="847"/>
      <c r="AD965" s="847"/>
      <c r="AE965" s="847"/>
      <c r="AF965" s="847"/>
      <c r="AG965" s="847"/>
    </row>
    <row r="966">
      <c r="A966" s="847"/>
      <c r="B966" s="847"/>
      <c r="C966" s="847"/>
      <c r="D966" s="847"/>
      <c r="E966" s="847"/>
      <c r="F966" s="847"/>
      <c r="G966" s="847"/>
      <c r="H966" s="847"/>
      <c r="I966" s="847"/>
      <c r="J966" s="847"/>
      <c r="K966" s="847"/>
      <c r="L966" s="847"/>
      <c r="M966" s="847"/>
      <c r="N966" s="847"/>
      <c r="O966" s="847"/>
      <c r="P966" s="847"/>
      <c r="Q966" s="847"/>
      <c r="R966" s="847"/>
      <c r="S966" s="847"/>
      <c r="T966" s="847"/>
      <c r="U966" s="847"/>
      <c r="V966" s="847"/>
      <c r="W966" s="847"/>
      <c r="X966" s="847"/>
      <c r="Y966" s="847"/>
      <c r="Z966" s="847"/>
      <c r="AA966" s="847"/>
      <c r="AB966" s="847"/>
      <c r="AC966" s="847"/>
      <c r="AD966" s="847"/>
      <c r="AE966" s="847"/>
      <c r="AF966" s="847"/>
      <c r="AG966" s="847"/>
    </row>
    <row r="967">
      <c r="A967" s="847"/>
      <c r="B967" s="847"/>
      <c r="C967" s="847"/>
      <c r="D967" s="847"/>
      <c r="E967" s="847"/>
      <c r="F967" s="847"/>
      <c r="G967" s="847"/>
      <c r="H967" s="847"/>
      <c r="I967" s="847"/>
      <c r="J967" s="847"/>
      <c r="K967" s="847"/>
      <c r="L967" s="847"/>
      <c r="M967" s="847"/>
      <c r="N967" s="847"/>
      <c r="O967" s="847"/>
      <c r="P967" s="847"/>
      <c r="Q967" s="847"/>
      <c r="R967" s="847"/>
      <c r="S967" s="847"/>
      <c r="T967" s="847"/>
      <c r="U967" s="847"/>
      <c r="V967" s="847"/>
      <c r="W967" s="847"/>
      <c r="X967" s="847"/>
      <c r="Y967" s="847"/>
      <c r="Z967" s="847"/>
      <c r="AA967" s="847"/>
      <c r="AB967" s="847"/>
      <c r="AC967" s="847"/>
      <c r="AD967" s="847"/>
      <c r="AE967" s="847"/>
      <c r="AF967" s="847"/>
      <c r="AG967" s="847"/>
    </row>
    <row r="968">
      <c r="A968" s="847"/>
      <c r="B968" s="847"/>
      <c r="C968" s="847"/>
      <c r="D968" s="847"/>
      <c r="E968" s="847"/>
      <c r="F968" s="847"/>
      <c r="G968" s="847"/>
      <c r="H968" s="847"/>
      <c r="I968" s="847"/>
      <c r="J968" s="847"/>
      <c r="K968" s="847"/>
      <c r="L968" s="847"/>
      <c r="M968" s="847"/>
      <c r="N968" s="847"/>
      <c r="O968" s="847"/>
      <c r="P968" s="847"/>
      <c r="Q968" s="847"/>
      <c r="R968" s="847"/>
      <c r="S968" s="847"/>
      <c r="T968" s="847"/>
      <c r="U968" s="847"/>
      <c r="V968" s="847"/>
      <c r="W968" s="847"/>
      <c r="X968" s="847"/>
      <c r="Y968" s="847"/>
      <c r="Z968" s="847"/>
      <c r="AA968" s="847"/>
      <c r="AB968" s="847"/>
      <c r="AC968" s="847"/>
      <c r="AD968" s="847"/>
      <c r="AE968" s="847"/>
      <c r="AF968" s="847"/>
      <c r="AG968" s="847"/>
    </row>
    <row r="969">
      <c r="A969" s="847"/>
      <c r="B969" s="847"/>
      <c r="C969" s="847"/>
      <c r="D969" s="847"/>
      <c r="E969" s="847"/>
      <c r="F969" s="847"/>
      <c r="G969" s="847"/>
      <c r="H969" s="847"/>
      <c r="I969" s="847"/>
      <c r="J969" s="847"/>
      <c r="K969" s="847"/>
      <c r="L969" s="847"/>
      <c r="M969" s="847"/>
      <c r="N969" s="847"/>
      <c r="O969" s="847"/>
      <c r="P969" s="847"/>
      <c r="Q969" s="847"/>
      <c r="R969" s="847"/>
      <c r="S969" s="847"/>
      <c r="T969" s="847"/>
      <c r="U969" s="847"/>
      <c r="V969" s="847"/>
      <c r="W969" s="847"/>
      <c r="X969" s="847"/>
      <c r="Y969" s="847"/>
      <c r="Z969" s="847"/>
      <c r="AA969" s="847"/>
      <c r="AB969" s="847"/>
      <c r="AC969" s="847"/>
      <c r="AD969" s="847"/>
      <c r="AE969" s="847"/>
      <c r="AF969" s="847"/>
      <c r="AG969" s="847"/>
    </row>
    <row r="970">
      <c r="A970" s="847"/>
      <c r="B970" s="847"/>
      <c r="C970" s="847"/>
      <c r="D970" s="847"/>
      <c r="E970" s="847"/>
      <c r="F970" s="847"/>
      <c r="G970" s="847"/>
      <c r="H970" s="847"/>
      <c r="I970" s="847"/>
      <c r="J970" s="847"/>
      <c r="K970" s="847"/>
      <c r="L970" s="847"/>
      <c r="M970" s="847"/>
      <c r="N970" s="847"/>
      <c r="O970" s="847"/>
      <c r="P970" s="847"/>
      <c r="Q970" s="847"/>
      <c r="R970" s="847"/>
      <c r="S970" s="847"/>
      <c r="T970" s="847"/>
      <c r="U970" s="847"/>
      <c r="V970" s="847"/>
      <c r="W970" s="847"/>
      <c r="X970" s="847"/>
      <c r="Y970" s="847"/>
      <c r="Z970" s="847"/>
      <c r="AA970" s="847"/>
      <c r="AB970" s="847"/>
      <c r="AC970" s="847"/>
      <c r="AD970" s="847"/>
      <c r="AE970" s="847"/>
      <c r="AF970" s="847"/>
      <c r="AG970" s="847"/>
    </row>
    <row r="971">
      <c r="A971" s="847"/>
      <c r="B971" s="847"/>
      <c r="C971" s="847"/>
      <c r="D971" s="847"/>
      <c r="E971" s="847"/>
      <c r="F971" s="847"/>
      <c r="G971" s="847"/>
      <c r="H971" s="847"/>
      <c r="I971" s="847"/>
      <c r="J971" s="847"/>
      <c r="K971" s="847"/>
      <c r="L971" s="847"/>
      <c r="M971" s="847"/>
      <c r="N971" s="847"/>
      <c r="O971" s="847"/>
      <c r="P971" s="847"/>
      <c r="Q971" s="847"/>
      <c r="R971" s="847"/>
      <c r="S971" s="847"/>
      <c r="T971" s="847"/>
      <c r="U971" s="847"/>
      <c r="V971" s="847"/>
      <c r="W971" s="847"/>
      <c r="X971" s="847"/>
      <c r="Y971" s="847"/>
      <c r="Z971" s="847"/>
      <c r="AA971" s="847"/>
      <c r="AB971" s="847"/>
      <c r="AC971" s="847"/>
      <c r="AD971" s="847"/>
      <c r="AE971" s="847"/>
      <c r="AF971" s="847"/>
      <c r="AG971" s="847"/>
    </row>
    <row r="972">
      <c r="A972" s="847"/>
      <c r="B972" s="847"/>
      <c r="C972" s="847"/>
      <c r="D972" s="847"/>
      <c r="E972" s="847"/>
      <c r="F972" s="847"/>
      <c r="G972" s="847"/>
      <c r="H972" s="847"/>
      <c r="I972" s="847"/>
      <c r="J972" s="847"/>
      <c r="K972" s="847"/>
      <c r="L972" s="847"/>
      <c r="M972" s="847"/>
      <c r="N972" s="847"/>
      <c r="O972" s="847"/>
      <c r="P972" s="847"/>
      <c r="Q972" s="847"/>
      <c r="R972" s="847"/>
      <c r="S972" s="847"/>
      <c r="T972" s="847"/>
      <c r="U972" s="847"/>
      <c r="V972" s="847"/>
      <c r="W972" s="847"/>
      <c r="X972" s="847"/>
      <c r="Y972" s="847"/>
      <c r="Z972" s="847"/>
      <c r="AA972" s="847"/>
      <c r="AB972" s="847"/>
      <c r="AC972" s="847"/>
      <c r="AD972" s="847"/>
      <c r="AE972" s="847"/>
      <c r="AF972" s="847"/>
      <c r="AG972" s="847"/>
    </row>
    <row r="973">
      <c r="A973" s="847"/>
      <c r="B973" s="847"/>
      <c r="C973" s="847"/>
      <c r="D973" s="847"/>
      <c r="E973" s="847"/>
      <c r="F973" s="847"/>
      <c r="G973" s="847"/>
      <c r="H973" s="847"/>
      <c r="I973" s="847"/>
      <c r="J973" s="847"/>
      <c r="K973" s="847"/>
      <c r="L973" s="847"/>
      <c r="M973" s="847"/>
      <c r="N973" s="847"/>
      <c r="O973" s="847"/>
      <c r="P973" s="847"/>
      <c r="Q973" s="847"/>
      <c r="R973" s="847"/>
      <c r="S973" s="847"/>
      <c r="T973" s="847"/>
      <c r="U973" s="847"/>
      <c r="V973" s="847"/>
      <c r="W973" s="847"/>
      <c r="X973" s="847"/>
      <c r="Y973" s="847"/>
      <c r="Z973" s="847"/>
      <c r="AA973" s="847"/>
      <c r="AB973" s="847"/>
      <c r="AC973" s="847"/>
      <c r="AD973" s="847"/>
      <c r="AE973" s="847"/>
      <c r="AF973" s="847"/>
      <c r="AG973" s="847"/>
    </row>
    <row r="974">
      <c r="A974" s="847"/>
      <c r="B974" s="847"/>
      <c r="C974" s="847"/>
      <c r="D974" s="847"/>
      <c r="E974" s="847"/>
      <c r="F974" s="847"/>
      <c r="G974" s="847"/>
      <c r="H974" s="847"/>
      <c r="I974" s="847"/>
      <c r="J974" s="847"/>
      <c r="K974" s="847"/>
      <c r="L974" s="847"/>
      <c r="M974" s="847"/>
      <c r="N974" s="847"/>
      <c r="O974" s="847"/>
      <c r="P974" s="847"/>
      <c r="Q974" s="847"/>
      <c r="R974" s="847"/>
      <c r="S974" s="847"/>
      <c r="T974" s="847"/>
      <c r="U974" s="847"/>
      <c r="V974" s="847"/>
      <c r="W974" s="847"/>
      <c r="X974" s="847"/>
      <c r="Y974" s="847"/>
      <c r="Z974" s="847"/>
      <c r="AA974" s="847"/>
      <c r="AB974" s="847"/>
      <c r="AC974" s="847"/>
      <c r="AD974" s="847"/>
      <c r="AE974" s="847"/>
      <c r="AF974" s="847"/>
      <c r="AG974" s="847"/>
    </row>
    <row r="975">
      <c r="A975" s="847"/>
      <c r="B975" s="847"/>
      <c r="C975" s="847"/>
      <c r="D975" s="847"/>
      <c r="E975" s="847"/>
      <c r="F975" s="847"/>
      <c r="G975" s="847"/>
      <c r="H975" s="847"/>
      <c r="I975" s="847"/>
      <c r="J975" s="847"/>
      <c r="K975" s="847"/>
      <c r="L975" s="847"/>
      <c r="M975" s="847"/>
      <c r="N975" s="847"/>
      <c r="O975" s="847"/>
      <c r="P975" s="847"/>
      <c r="Q975" s="847"/>
      <c r="R975" s="847"/>
      <c r="S975" s="847"/>
      <c r="T975" s="847"/>
      <c r="U975" s="847"/>
      <c r="V975" s="847"/>
      <c r="W975" s="847"/>
      <c r="X975" s="847"/>
      <c r="Y975" s="847"/>
      <c r="Z975" s="847"/>
      <c r="AA975" s="847"/>
      <c r="AB975" s="847"/>
      <c r="AC975" s="847"/>
      <c r="AD975" s="847"/>
      <c r="AE975" s="847"/>
      <c r="AF975" s="847"/>
      <c r="AG975" s="847"/>
    </row>
    <row r="976">
      <c r="A976" s="847"/>
      <c r="B976" s="847"/>
      <c r="C976" s="847"/>
      <c r="D976" s="847"/>
      <c r="E976" s="847"/>
      <c r="F976" s="847"/>
      <c r="G976" s="847"/>
      <c r="H976" s="847"/>
      <c r="I976" s="847"/>
      <c r="J976" s="847"/>
      <c r="K976" s="847"/>
      <c r="L976" s="847"/>
      <c r="M976" s="847"/>
      <c r="N976" s="847"/>
      <c r="O976" s="847"/>
      <c r="P976" s="847"/>
      <c r="Q976" s="847"/>
      <c r="R976" s="847"/>
      <c r="S976" s="847"/>
      <c r="T976" s="847"/>
      <c r="U976" s="847"/>
      <c r="V976" s="847"/>
      <c r="W976" s="847"/>
      <c r="X976" s="847"/>
      <c r="Y976" s="847"/>
      <c r="Z976" s="847"/>
      <c r="AA976" s="847"/>
      <c r="AB976" s="847"/>
      <c r="AC976" s="847"/>
      <c r="AD976" s="847"/>
      <c r="AE976" s="847"/>
      <c r="AF976" s="847"/>
      <c r="AG976" s="847"/>
    </row>
    <row r="977">
      <c r="A977" s="847"/>
      <c r="B977" s="847"/>
      <c r="C977" s="847"/>
      <c r="D977" s="847"/>
      <c r="E977" s="847"/>
      <c r="F977" s="847"/>
      <c r="G977" s="847"/>
      <c r="H977" s="847"/>
      <c r="I977" s="847"/>
      <c r="J977" s="847"/>
      <c r="K977" s="847"/>
      <c r="L977" s="847"/>
      <c r="M977" s="847"/>
      <c r="N977" s="847"/>
      <c r="O977" s="847"/>
      <c r="P977" s="847"/>
      <c r="Q977" s="847"/>
      <c r="R977" s="847"/>
      <c r="S977" s="847"/>
      <c r="T977" s="847"/>
      <c r="U977" s="847"/>
      <c r="V977" s="847"/>
      <c r="W977" s="847"/>
      <c r="X977" s="847"/>
      <c r="Y977" s="847"/>
      <c r="Z977" s="847"/>
      <c r="AA977" s="847"/>
      <c r="AB977" s="847"/>
      <c r="AC977" s="847"/>
      <c r="AD977" s="847"/>
      <c r="AE977" s="847"/>
      <c r="AF977" s="847"/>
      <c r="AG977" s="847"/>
    </row>
    <row r="978">
      <c r="A978" s="847"/>
      <c r="B978" s="847"/>
      <c r="C978" s="847"/>
      <c r="D978" s="847"/>
      <c r="E978" s="847"/>
      <c r="F978" s="847"/>
      <c r="G978" s="847"/>
      <c r="H978" s="847"/>
      <c r="I978" s="847"/>
      <c r="J978" s="847"/>
      <c r="K978" s="847"/>
      <c r="L978" s="847"/>
      <c r="M978" s="847"/>
      <c r="N978" s="847"/>
      <c r="O978" s="847"/>
      <c r="P978" s="847"/>
      <c r="Q978" s="847"/>
      <c r="R978" s="847"/>
      <c r="S978" s="847"/>
      <c r="T978" s="847"/>
      <c r="U978" s="847"/>
      <c r="V978" s="847"/>
      <c r="W978" s="847"/>
      <c r="X978" s="847"/>
      <c r="Y978" s="847"/>
      <c r="Z978" s="847"/>
      <c r="AA978" s="847"/>
      <c r="AB978" s="847"/>
      <c r="AC978" s="847"/>
      <c r="AD978" s="847"/>
      <c r="AE978" s="847"/>
      <c r="AF978" s="847"/>
      <c r="AG978" s="847"/>
    </row>
    <row r="979">
      <c r="A979" s="847"/>
      <c r="B979" s="847"/>
      <c r="C979" s="847"/>
      <c r="D979" s="847"/>
      <c r="E979" s="847"/>
      <c r="F979" s="847"/>
      <c r="G979" s="847"/>
      <c r="H979" s="847"/>
      <c r="I979" s="847"/>
      <c r="J979" s="847"/>
      <c r="K979" s="847"/>
      <c r="L979" s="847"/>
      <c r="M979" s="847"/>
      <c r="N979" s="847"/>
      <c r="O979" s="847"/>
      <c r="P979" s="847"/>
      <c r="Q979" s="847"/>
      <c r="R979" s="847"/>
      <c r="S979" s="847"/>
      <c r="T979" s="847"/>
      <c r="U979" s="847"/>
      <c r="V979" s="847"/>
      <c r="W979" s="847"/>
      <c r="X979" s="847"/>
      <c r="Y979" s="847"/>
      <c r="Z979" s="847"/>
      <c r="AA979" s="847"/>
      <c r="AB979" s="847"/>
      <c r="AC979" s="847"/>
      <c r="AD979" s="847"/>
      <c r="AE979" s="847"/>
      <c r="AF979" s="847"/>
      <c r="AG979" s="847"/>
    </row>
    <row r="980">
      <c r="A980" s="847"/>
      <c r="B980" s="847"/>
      <c r="C980" s="847"/>
      <c r="D980" s="847"/>
      <c r="E980" s="847"/>
      <c r="F980" s="847"/>
      <c r="G980" s="847"/>
      <c r="H980" s="847"/>
      <c r="I980" s="847"/>
      <c r="J980" s="847"/>
      <c r="K980" s="847"/>
      <c r="L980" s="847"/>
      <c r="M980" s="847"/>
      <c r="N980" s="847"/>
      <c r="O980" s="847"/>
      <c r="P980" s="847"/>
      <c r="Q980" s="847"/>
      <c r="R980" s="847"/>
      <c r="S980" s="847"/>
      <c r="T980" s="847"/>
      <c r="U980" s="847"/>
      <c r="V980" s="847"/>
      <c r="W980" s="847"/>
      <c r="X980" s="847"/>
      <c r="Y980" s="847"/>
      <c r="Z980" s="847"/>
      <c r="AA980" s="847"/>
      <c r="AB980" s="847"/>
      <c r="AC980" s="847"/>
      <c r="AD980" s="847"/>
      <c r="AE980" s="847"/>
      <c r="AF980" s="847"/>
      <c r="AG980" s="847"/>
    </row>
    <row r="981">
      <c r="A981" s="847"/>
      <c r="B981" s="847"/>
      <c r="C981" s="847"/>
      <c r="D981" s="847"/>
      <c r="E981" s="847"/>
      <c r="F981" s="847"/>
      <c r="G981" s="847"/>
      <c r="H981" s="847"/>
      <c r="I981" s="847"/>
      <c r="J981" s="847"/>
      <c r="K981" s="847"/>
      <c r="L981" s="847"/>
      <c r="M981" s="847"/>
      <c r="N981" s="847"/>
      <c r="O981" s="847"/>
      <c r="P981" s="847"/>
      <c r="Q981" s="847"/>
      <c r="R981" s="847"/>
      <c r="S981" s="847"/>
      <c r="T981" s="847"/>
      <c r="U981" s="847"/>
      <c r="V981" s="847"/>
      <c r="W981" s="847"/>
      <c r="X981" s="847"/>
      <c r="Y981" s="847"/>
      <c r="Z981" s="847"/>
      <c r="AA981" s="847"/>
      <c r="AB981" s="847"/>
      <c r="AC981" s="847"/>
      <c r="AD981" s="847"/>
      <c r="AE981" s="847"/>
      <c r="AF981" s="847"/>
      <c r="AG981" s="847"/>
    </row>
    <row r="982">
      <c r="A982" s="847"/>
      <c r="B982" s="847"/>
      <c r="C982" s="847"/>
      <c r="D982" s="847"/>
      <c r="E982" s="847"/>
      <c r="F982" s="847"/>
      <c r="G982" s="847"/>
      <c r="H982" s="847"/>
      <c r="I982" s="847"/>
      <c r="J982" s="847"/>
      <c r="K982" s="847"/>
      <c r="L982" s="847"/>
      <c r="M982" s="847"/>
      <c r="N982" s="847"/>
      <c r="O982" s="847"/>
      <c r="P982" s="847"/>
      <c r="Q982" s="847"/>
      <c r="R982" s="847"/>
      <c r="S982" s="847"/>
      <c r="T982" s="847"/>
      <c r="U982" s="847"/>
      <c r="V982" s="847"/>
      <c r="W982" s="847"/>
      <c r="X982" s="847"/>
      <c r="Y982" s="847"/>
      <c r="Z982" s="847"/>
      <c r="AA982" s="847"/>
      <c r="AB982" s="847"/>
      <c r="AC982" s="847"/>
      <c r="AD982" s="847"/>
      <c r="AE982" s="847"/>
      <c r="AF982" s="847"/>
      <c r="AG982" s="847"/>
    </row>
    <row r="983">
      <c r="A983" s="847"/>
      <c r="B983" s="847"/>
      <c r="C983" s="847"/>
      <c r="D983" s="847"/>
      <c r="E983" s="847"/>
      <c r="F983" s="847"/>
      <c r="G983" s="847"/>
      <c r="H983" s="847"/>
      <c r="I983" s="847"/>
      <c r="J983" s="847"/>
      <c r="K983" s="847"/>
      <c r="L983" s="847"/>
      <c r="M983" s="847"/>
      <c r="N983" s="847"/>
      <c r="O983" s="847"/>
      <c r="P983" s="847"/>
      <c r="Q983" s="847"/>
      <c r="R983" s="847"/>
      <c r="S983" s="847"/>
      <c r="T983" s="847"/>
      <c r="U983" s="847"/>
      <c r="V983" s="847"/>
      <c r="W983" s="847"/>
      <c r="X983" s="847"/>
      <c r="Y983" s="847"/>
      <c r="Z983" s="847"/>
      <c r="AA983" s="847"/>
      <c r="AB983" s="847"/>
      <c r="AC983" s="847"/>
      <c r="AD983" s="847"/>
      <c r="AE983" s="847"/>
      <c r="AF983" s="847"/>
      <c r="AG983" s="847"/>
    </row>
    <row r="984">
      <c r="A984" s="847"/>
      <c r="B984" s="847"/>
      <c r="C984" s="847"/>
      <c r="D984" s="847"/>
      <c r="E984" s="847"/>
      <c r="F984" s="847"/>
      <c r="G984" s="847"/>
      <c r="H984" s="847"/>
      <c r="I984" s="847"/>
      <c r="J984" s="847"/>
      <c r="K984" s="847"/>
      <c r="L984" s="847"/>
      <c r="M984" s="847"/>
      <c r="N984" s="847"/>
      <c r="O984" s="847"/>
      <c r="P984" s="847"/>
      <c r="Q984" s="847"/>
      <c r="R984" s="847"/>
      <c r="S984" s="847"/>
      <c r="T984" s="847"/>
      <c r="U984" s="847"/>
      <c r="V984" s="847"/>
      <c r="W984" s="847"/>
      <c r="X984" s="847"/>
      <c r="Y984" s="847"/>
      <c r="Z984" s="847"/>
      <c r="AA984" s="847"/>
      <c r="AB984" s="847"/>
      <c r="AC984" s="847"/>
      <c r="AD984" s="847"/>
      <c r="AE984" s="847"/>
      <c r="AF984" s="847"/>
      <c r="AG984" s="847"/>
    </row>
    <row r="985">
      <c r="A985" s="847"/>
      <c r="B985" s="847"/>
      <c r="C985" s="847"/>
      <c r="D985" s="847"/>
      <c r="E985" s="847"/>
      <c r="F985" s="847"/>
      <c r="G985" s="847"/>
      <c r="H985" s="847"/>
      <c r="I985" s="847"/>
      <c r="J985" s="847"/>
      <c r="K985" s="847"/>
      <c r="L985" s="847"/>
      <c r="M985" s="847"/>
      <c r="N985" s="847"/>
      <c r="O985" s="847"/>
      <c r="P985" s="847"/>
      <c r="Q985" s="847"/>
      <c r="R985" s="847"/>
      <c r="S985" s="847"/>
      <c r="T985" s="847"/>
      <c r="U985" s="847"/>
      <c r="V985" s="847"/>
      <c r="W985" s="847"/>
      <c r="X985" s="847"/>
      <c r="Y985" s="847"/>
      <c r="Z985" s="847"/>
      <c r="AA985" s="847"/>
      <c r="AB985" s="847"/>
      <c r="AC985" s="847"/>
      <c r="AD985" s="847"/>
      <c r="AE985" s="847"/>
      <c r="AF985" s="847"/>
      <c r="AG985" s="847"/>
    </row>
    <row r="986">
      <c r="A986" s="847"/>
      <c r="B986" s="847"/>
      <c r="C986" s="847"/>
      <c r="D986" s="847"/>
      <c r="E986" s="847"/>
      <c r="F986" s="847"/>
      <c r="G986" s="847"/>
      <c r="H986" s="847"/>
      <c r="I986" s="847"/>
      <c r="J986" s="847"/>
      <c r="K986" s="847"/>
      <c r="L986" s="847"/>
      <c r="M986" s="847"/>
      <c r="N986" s="847"/>
      <c r="O986" s="847"/>
      <c r="P986" s="847"/>
      <c r="Q986" s="847"/>
      <c r="R986" s="847"/>
      <c r="S986" s="847"/>
      <c r="T986" s="847"/>
      <c r="U986" s="847"/>
      <c r="V986" s="847"/>
      <c r="W986" s="847"/>
      <c r="X986" s="847"/>
      <c r="Y986" s="847"/>
      <c r="Z986" s="847"/>
      <c r="AA986" s="847"/>
      <c r="AB986" s="847"/>
      <c r="AC986" s="847"/>
      <c r="AD986" s="847"/>
      <c r="AE986" s="847"/>
      <c r="AF986" s="847"/>
      <c r="AG986" s="847"/>
    </row>
    <row r="987">
      <c r="A987" s="847"/>
      <c r="B987" s="847"/>
      <c r="C987" s="847"/>
      <c r="D987" s="847"/>
      <c r="E987" s="847"/>
      <c r="F987" s="847"/>
      <c r="G987" s="847"/>
      <c r="H987" s="847"/>
      <c r="I987" s="847"/>
      <c r="J987" s="847"/>
      <c r="K987" s="847"/>
      <c r="L987" s="847"/>
      <c r="M987" s="847"/>
      <c r="N987" s="847"/>
      <c r="O987" s="847"/>
      <c r="P987" s="847"/>
      <c r="Q987" s="847"/>
      <c r="R987" s="847"/>
      <c r="S987" s="847"/>
      <c r="T987" s="847"/>
      <c r="U987" s="847"/>
      <c r="V987" s="847"/>
      <c r="W987" s="847"/>
      <c r="X987" s="847"/>
      <c r="Y987" s="847"/>
      <c r="Z987" s="847"/>
      <c r="AA987" s="847"/>
      <c r="AB987" s="847"/>
      <c r="AC987" s="847"/>
      <c r="AD987" s="847"/>
      <c r="AE987" s="847"/>
      <c r="AF987" s="847"/>
      <c r="AG987" s="847"/>
    </row>
    <row r="988">
      <c r="A988" s="847"/>
      <c r="B988" s="847"/>
      <c r="C988" s="847"/>
      <c r="D988" s="847"/>
      <c r="E988" s="847"/>
      <c r="F988" s="847"/>
      <c r="G988" s="847"/>
      <c r="H988" s="847"/>
      <c r="I988" s="847"/>
      <c r="J988" s="847"/>
      <c r="K988" s="847"/>
      <c r="L988" s="847"/>
      <c r="M988" s="847"/>
      <c r="N988" s="847"/>
      <c r="O988" s="847"/>
      <c r="P988" s="847"/>
      <c r="Q988" s="847"/>
      <c r="R988" s="847"/>
      <c r="S988" s="847"/>
      <c r="T988" s="847"/>
      <c r="U988" s="847"/>
      <c r="V988" s="847"/>
      <c r="W988" s="847"/>
      <c r="X988" s="847"/>
      <c r="Y988" s="847"/>
      <c r="Z988" s="847"/>
      <c r="AA988" s="847"/>
      <c r="AB988" s="847"/>
      <c r="AC988" s="847"/>
      <c r="AD988" s="847"/>
      <c r="AE988" s="847"/>
      <c r="AF988" s="847"/>
      <c r="AG988" s="847"/>
    </row>
    <row r="989">
      <c r="A989" s="847"/>
      <c r="B989" s="847"/>
      <c r="C989" s="847"/>
      <c r="D989" s="847"/>
      <c r="E989" s="847"/>
      <c r="F989" s="847"/>
      <c r="G989" s="847"/>
      <c r="H989" s="847"/>
      <c r="I989" s="847"/>
      <c r="J989" s="847"/>
      <c r="K989" s="847"/>
      <c r="L989" s="847"/>
      <c r="M989" s="847"/>
      <c r="N989" s="847"/>
      <c r="O989" s="847"/>
      <c r="P989" s="847"/>
      <c r="Q989" s="847"/>
      <c r="R989" s="847"/>
      <c r="S989" s="847"/>
      <c r="T989" s="847"/>
      <c r="U989" s="847"/>
      <c r="V989" s="847"/>
      <c r="W989" s="847"/>
      <c r="X989" s="847"/>
      <c r="Y989" s="847"/>
      <c r="Z989" s="847"/>
      <c r="AA989" s="847"/>
      <c r="AB989" s="847"/>
      <c r="AC989" s="847"/>
      <c r="AD989" s="847"/>
      <c r="AE989" s="847"/>
      <c r="AF989" s="847"/>
      <c r="AG989" s="847"/>
    </row>
    <row r="990">
      <c r="A990" s="847"/>
      <c r="B990" s="847"/>
      <c r="C990" s="847"/>
      <c r="D990" s="847"/>
      <c r="E990" s="847"/>
      <c r="F990" s="847"/>
      <c r="G990" s="847"/>
      <c r="H990" s="847"/>
      <c r="I990" s="847"/>
      <c r="J990" s="847"/>
      <c r="K990" s="847"/>
      <c r="L990" s="847"/>
      <c r="M990" s="847"/>
      <c r="N990" s="847"/>
      <c r="O990" s="847"/>
      <c r="P990" s="847"/>
      <c r="Q990" s="847"/>
      <c r="R990" s="847"/>
      <c r="S990" s="847"/>
      <c r="T990" s="847"/>
      <c r="U990" s="847"/>
      <c r="V990" s="847"/>
      <c r="W990" s="847"/>
      <c r="X990" s="847"/>
      <c r="Y990" s="847"/>
      <c r="Z990" s="847"/>
      <c r="AA990" s="847"/>
      <c r="AB990" s="847"/>
      <c r="AC990" s="847"/>
      <c r="AD990" s="847"/>
      <c r="AE990" s="847"/>
      <c r="AF990" s="847"/>
      <c r="AG990" s="847"/>
    </row>
    <row r="991">
      <c r="A991" s="847"/>
      <c r="B991" s="847"/>
      <c r="C991" s="847"/>
      <c r="D991" s="847"/>
      <c r="E991" s="847"/>
      <c r="F991" s="847"/>
      <c r="G991" s="847"/>
      <c r="H991" s="847"/>
      <c r="I991" s="847"/>
      <c r="J991" s="847"/>
      <c r="K991" s="847"/>
      <c r="L991" s="847"/>
      <c r="M991" s="847"/>
      <c r="N991" s="847"/>
      <c r="O991" s="847"/>
      <c r="P991" s="847"/>
      <c r="Q991" s="847"/>
      <c r="R991" s="847"/>
      <c r="S991" s="847"/>
      <c r="T991" s="847"/>
      <c r="U991" s="847"/>
      <c r="V991" s="847"/>
      <c r="W991" s="847"/>
      <c r="X991" s="847"/>
      <c r="Y991" s="847"/>
      <c r="Z991" s="847"/>
      <c r="AA991" s="847"/>
      <c r="AB991" s="847"/>
      <c r="AC991" s="847"/>
      <c r="AD991" s="847"/>
      <c r="AE991" s="847"/>
      <c r="AF991" s="847"/>
      <c r="AG991" s="847"/>
    </row>
    <row r="992">
      <c r="A992" s="847"/>
      <c r="B992" s="847"/>
      <c r="C992" s="847"/>
      <c r="D992" s="847"/>
      <c r="E992" s="847"/>
      <c r="F992" s="847"/>
      <c r="G992" s="847"/>
      <c r="H992" s="847"/>
      <c r="I992" s="847"/>
      <c r="J992" s="847"/>
      <c r="K992" s="847"/>
      <c r="L992" s="847"/>
      <c r="M992" s="847"/>
      <c r="N992" s="847"/>
      <c r="O992" s="847"/>
      <c r="P992" s="847"/>
      <c r="Q992" s="847"/>
      <c r="R992" s="847"/>
      <c r="S992" s="847"/>
      <c r="T992" s="847"/>
      <c r="U992" s="847"/>
      <c r="V992" s="847"/>
      <c r="W992" s="847"/>
      <c r="X992" s="847"/>
      <c r="Y992" s="847"/>
      <c r="Z992" s="847"/>
      <c r="AA992" s="847"/>
      <c r="AB992" s="847"/>
      <c r="AC992" s="847"/>
      <c r="AD992" s="847"/>
      <c r="AE992" s="847"/>
      <c r="AF992" s="847"/>
      <c r="AG992" s="847"/>
    </row>
    <row r="993">
      <c r="A993" s="847"/>
      <c r="B993" s="847"/>
      <c r="C993" s="847"/>
      <c r="D993" s="847"/>
      <c r="E993" s="847"/>
      <c r="F993" s="847"/>
      <c r="G993" s="847"/>
      <c r="H993" s="847"/>
      <c r="I993" s="847"/>
      <c r="J993" s="847"/>
      <c r="K993" s="847"/>
      <c r="L993" s="847"/>
      <c r="M993" s="847"/>
      <c r="N993" s="847"/>
      <c r="O993" s="847"/>
      <c r="P993" s="847"/>
      <c r="Q993" s="847"/>
      <c r="R993" s="847"/>
      <c r="S993" s="847"/>
      <c r="T993" s="847"/>
      <c r="U993" s="847"/>
      <c r="V993" s="847"/>
      <c r="W993" s="847"/>
      <c r="X993" s="847"/>
      <c r="Y993" s="847"/>
      <c r="Z993" s="847"/>
      <c r="AA993" s="847"/>
      <c r="AB993" s="847"/>
      <c r="AC993" s="847"/>
      <c r="AD993" s="847"/>
      <c r="AE993" s="847"/>
      <c r="AF993" s="847"/>
      <c r="AG993" s="847"/>
    </row>
    <row r="994">
      <c r="A994" s="847"/>
      <c r="B994" s="847"/>
      <c r="C994" s="847"/>
      <c r="D994" s="847"/>
      <c r="E994" s="847"/>
      <c r="F994" s="847"/>
      <c r="G994" s="847"/>
      <c r="H994" s="847"/>
      <c r="I994" s="847"/>
      <c r="J994" s="847"/>
      <c r="K994" s="847"/>
      <c r="L994" s="847"/>
      <c r="M994" s="847"/>
      <c r="N994" s="847"/>
      <c r="O994" s="847"/>
      <c r="P994" s="847"/>
      <c r="Q994" s="847"/>
      <c r="R994" s="847"/>
      <c r="S994" s="847"/>
      <c r="T994" s="847"/>
      <c r="U994" s="847"/>
      <c r="V994" s="847"/>
      <c r="W994" s="847"/>
      <c r="X994" s="847"/>
      <c r="Y994" s="847"/>
      <c r="Z994" s="847"/>
      <c r="AA994" s="847"/>
      <c r="AB994" s="847"/>
      <c r="AC994" s="847"/>
      <c r="AD994" s="847"/>
      <c r="AE994" s="847"/>
      <c r="AF994" s="847"/>
      <c r="AG994" s="847"/>
    </row>
    <row r="995">
      <c r="A995" s="847"/>
      <c r="B995" s="847"/>
      <c r="C995" s="847"/>
      <c r="D995" s="847"/>
      <c r="E995" s="847"/>
      <c r="F995" s="847"/>
      <c r="G995" s="847"/>
      <c r="H995" s="847"/>
      <c r="I995" s="847"/>
      <c r="J995" s="847"/>
      <c r="K995" s="847"/>
      <c r="L995" s="847"/>
      <c r="M995" s="847"/>
      <c r="N995" s="847"/>
      <c r="O995" s="847"/>
      <c r="P995" s="847"/>
      <c r="Q995" s="847"/>
      <c r="R995" s="847"/>
      <c r="S995" s="847"/>
      <c r="T995" s="847"/>
      <c r="U995" s="847"/>
      <c r="V995" s="847"/>
      <c r="W995" s="847"/>
      <c r="X995" s="847"/>
      <c r="Y995" s="847"/>
      <c r="Z995" s="847"/>
      <c r="AA995" s="847"/>
      <c r="AB995" s="847"/>
      <c r="AC995" s="847"/>
      <c r="AD995" s="847"/>
      <c r="AE995" s="847"/>
      <c r="AF995" s="847"/>
      <c r="AG995" s="847"/>
    </row>
    <row r="996">
      <c r="A996" s="847"/>
      <c r="B996" s="847"/>
      <c r="C996" s="847"/>
      <c r="D996" s="847"/>
      <c r="E996" s="847"/>
      <c r="F996" s="847"/>
      <c r="G996" s="847"/>
      <c r="H996" s="847"/>
      <c r="I996" s="847"/>
      <c r="J996" s="847"/>
      <c r="K996" s="847"/>
      <c r="L996" s="847"/>
      <c r="M996" s="847"/>
      <c r="N996" s="847"/>
      <c r="O996" s="847"/>
      <c r="P996" s="847"/>
      <c r="Q996" s="847"/>
      <c r="R996" s="847"/>
      <c r="S996" s="847"/>
      <c r="T996" s="847"/>
      <c r="U996" s="847"/>
      <c r="V996" s="847"/>
      <c r="W996" s="847"/>
      <c r="X996" s="847"/>
      <c r="Y996" s="847"/>
      <c r="Z996" s="847"/>
      <c r="AA996" s="847"/>
      <c r="AB996" s="847"/>
      <c r="AC996" s="847"/>
      <c r="AD996" s="847"/>
      <c r="AE996" s="847"/>
      <c r="AF996" s="847"/>
      <c r="AG996" s="847"/>
    </row>
    <row r="997">
      <c r="A997" s="847"/>
      <c r="B997" s="847"/>
      <c r="C997" s="847"/>
      <c r="D997" s="847"/>
      <c r="E997" s="847"/>
      <c r="F997" s="847"/>
      <c r="G997" s="847"/>
      <c r="H997" s="847"/>
      <c r="I997" s="847"/>
      <c r="J997" s="847"/>
      <c r="K997" s="847"/>
      <c r="L997" s="847"/>
      <c r="M997" s="847"/>
      <c r="N997" s="847"/>
      <c r="O997" s="847"/>
      <c r="P997" s="847"/>
      <c r="Q997" s="847"/>
      <c r="R997" s="847"/>
      <c r="S997" s="847"/>
      <c r="T997" s="847"/>
      <c r="U997" s="847"/>
      <c r="V997" s="847"/>
      <c r="W997" s="847"/>
      <c r="X997" s="847"/>
      <c r="Y997" s="847"/>
      <c r="Z997" s="847"/>
      <c r="AA997" s="847"/>
      <c r="AB997" s="847"/>
      <c r="AC997" s="847"/>
      <c r="AD997" s="847"/>
      <c r="AE997" s="847"/>
      <c r="AF997" s="847"/>
      <c r="AG997" s="847"/>
    </row>
    <row r="998">
      <c r="A998" s="847"/>
      <c r="B998" s="847"/>
      <c r="C998" s="847"/>
      <c r="D998" s="847"/>
      <c r="E998" s="847"/>
      <c r="F998" s="847"/>
      <c r="G998" s="847"/>
      <c r="H998" s="847"/>
      <c r="I998" s="847"/>
      <c r="J998" s="847"/>
      <c r="K998" s="847"/>
      <c r="L998" s="847"/>
      <c r="M998" s="847"/>
      <c r="N998" s="847"/>
      <c r="O998" s="847"/>
      <c r="P998" s="847"/>
      <c r="Q998" s="847"/>
      <c r="R998" s="847"/>
      <c r="S998" s="847"/>
      <c r="T998" s="847"/>
      <c r="U998" s="847"/>
      <c r="V998" s="847"/>
      <c r="W998" s="847"/>
      <c r="X998" s="847"/>
      <c r="Y998" s="847"/>
      <c r="Z998" s="847"/>
      <c r="AA998" s="847"/>
      <c r="AB998" s="847"/>
      <c r="AC998" s="847"/>
      <c r="AD998" s="847"/>
      <c r="AE998" s="847"/>
      <c r="AF998" s="847"/>
      <c r="AG998" s="847"/>
    </row>
    <row r="999">
      <c r="A999" s="847"/>
      <c r="B999" s="847"/>
      <c r="C999" s="847"/>
      <c r="D999" s="847"/>
      <c r="E999" s="847"/>
      <c r="F999" s="847"/>
      <c r="G999" s="847"/>
      <c r="H999" s="847"/>
      <c r="I999" s="847"/>
      <c r="J999" s="847"/>
      <c r="K999" s="847"/>
      <c r="L999" s="847"/>
      <c r="M999" s="847"/>
      <c r="N999" s="847"/>
      <c r="O999" s="847"/>
      <c r="P999" s="847"/>
      <c r="Q999" s="847"/>
      <c r="R999" s="847"/>
      <c r="S999" s="847"/>
      <c r="T999" s="847"/>
      <c r="U999" s="847"/>
      <c r="V999" s="847"/>
      <c r="W999" s="847"/>
      <c r="X999" s="847"/>
      <c r="Y999" s="847"/>
      <c r="Z999" s="847"/>
      <c r="AA999" s="847"/>
      <c r="AB999" s="847"/>
      <c r="AC999" s="847"/>
      <c r="AD999" s="847"/>
      <c r="AE999" s="847"/>
      <c r="AF999" s="847"/>
      <c r="AG999" s="847"/>
    </row>
    <row r="1000">
      <c r="A1000" s="847"/>
      <c r="B1000" s="847"/>
      <c r="C1000" s="847"/>
      <c r="D1000" s="847"/>
      <c r="E1000" s="847"/>
      <c r="F1000" s="847"/>
      <c r="G1000" s="847"/>
      <c r="H1000" s="847"/>
      <c r="I1000" s="847"/>
      <c r="J1000" s="847"/>
      <c r="K1000" s="847"/>
      <c r="L1000" s="847"/>
      <c r="M1000" s="847"/>
      <c r="N1000" s="847"/>
      <c r="O1000" s="847"/>
      <c r="P1000" s="847"/>
      <c r="Q1000" s="847"/>
      <c r="R1000" s="847"/>
      <c r="S1000" s="847"/>
      <c r="T1000" s="847"/>
      <c r="U1000" s="847"/>
      <c r="V1000" s="847"/>
      <c r="W1000" s="847"/>
      <c r="X1000" s="847"/>
      <c r="Y1000" s="847"/>
      <c r="Z1000" s="847"/>
      <c r="AA1000" s="847"/>
      <c r="AB1000" s="847"/>
      <c r="AC1000" s="847"/>
      <c r="AD1000" s="847"/>
      <c r="AE1000" s="847"/>
      <c r="AF1000" s="847"/>
      <c r="AG1000" s="847"/>
    </row>
    <row r="1001">
      <c r="A1001" s="847"/>
      <c r="B1001" s="847"/>
      <c r="C1001" s="847"/>
      <c r="D1001" s="847"/>
      <c r="E1001" s="847"/>
      <c r="F1001" s="847"/>
      <c r="G1001" s="847"/>
      <c r="H1001" s="847"/>
      <c r="I1001" s="847"/>
      <c r="J1001" s="847"/>
      <c r="K1001" s="847"/>
      <c r="L1001" s="847"/>
      <c r="M1001" s="847"/>
      <c r="N1001" s="847"/>
      <c r="O1001" s="847"/>
      <c r="P1001" s="847"/>
      <c r="Q1001" s="847"/>
      <c r="R1001" s="847"/>
      <c r="S1001" s="847"/>
      <c r="T1001" s="847"/>
      <c r="U1001" s="847"/>
      <c r="V1001" s="847"/>
      <c r="W1001" s="847"/>
      <c r="X1001" s="847"/>
      <c r="Y1001" s="847"/>
      <c r="Z1001" s="847"/>
      <c r="AA1001" s="847"/>
      <c r="AB1001" s="847"/>
      <c r="AC1001" s="847"/>
      <c r="AD1001" s="847"/>
      <c r="AE1001" s="847"/>
      <c r="AF1001" s="847"/>
      <c r="AG1001" s="847"/>
    </row>
    <row r="1002">
      <c r="A1002" s="847"/>
      <c r="B1002" s="847"/>
      <c r="C1002" s="847"/>
      <c r="D1002" s="847"/>
      <c r="E1002" s="847"/>
      <c r="F1002" s="847"/>
      <c r="G1002" s="847"/>
      <c r="H1002" s="847"/>
      <c r="I1002" s="847"/>
      <c r="J1002" s="847"/>
      <c r="K1002" s="847"/>
      <c r="L1002" s="847"/>
      <c r="M1002" s="847"/>
      <c r="N1002" s="847"/>
      <c r="O1002" s="847"/>
      <c r="P1002" s="847"/>
      <c r="Q1002" s="847"/>
      <c r="R1002" s="847"/>
      <c r="S1002" s="847"/>
      <c r="T1002" s="847"/>
      <c r="U1002" s="847"/>
      <c r="V1002" s="847"/>
      <c r="W1002" s="847"/>
      <c r="X1002" s="847"/>
      <c r="Y1002" s="847"/>
      <c r="Z1002" s="847"/>
      <c r="AA1002" s="847"/>
      <c r="AB1002" s="847"/>
      <c r="AC1002" s="847"/>
      <c r="AD1002" s="847"/>
      <c r="AE1002" s="847"/>
      <c r="AF1002" s="847"/>
      <c r="AG1002" s="847"/>
    </row>
    <row r="1003">
      <c r="A1003" s="847"/>
      <c r="B1003" s="847"/>
      <c r="C1003" s="847"/>
      <c r="D1003" s="847"/>
      <c r="E1003" s="847"/>
      <c r="F1003" s="847"/>
      <c r="G1003" s="847"/>
      <c r="H1003" s="847"/>
      <c r="I1003" s="847"/>
      <c r="J1003" s="847"/>
      <c r="K1003" s="847"/>
      <c r="L1003" s="847"/>
      <c r="M1003" s="847"/>
      <c r="N1003" s="847"/>
      <c r="O1003" s="847"/>
      <c r="P1003" s="847"/>
      <c r="Q1003" s="847"/>
      <c r="R1003" s="847"/>
      <c r="S1003" s="847"/>
      <c r="T1003" s="847"/>
      <c r="U1003" s="847"/>
      <c r="V1003" s="847"/>
      <c r="W1003" s="847"/>
      <c r="X1003" s="847"/>
      <c r="Y1003" s="847"/>
      <c r="Z1003" s="847"/>
      <c r="AA1003" s="847"/>
      <c r="AB1003" s="847"/>
      <c r="AC1003" s="847"/>
      <c r="AD1003" s="847"/>
      <c r="AE1003" s="847"/>
      <c r="AF1003" s="847"/>
      <c r="AG1003" s="847"/>
    </row>
  </sheetData>
  <autoFilter ref="$O$22:$O$26"/>
  <conditionalFormatting sqref="R1:R10 T2:T10 R39:R48 T40:T48">
    <cfRule type="containsText" dxfId="4" priority="1" operator="containsText" text="미납">
      <formula>NOT(ISERROR(SEARCH(("미납"),(R1))))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8.5"/>
    <col customWidth="1" min="3" max="3" width="17.0"/>
    <col customWidth="1" min="4" max="4" width="18.13"/>
    <col customWidth="1" min="12" max="12" width="6.0"/>
    <col customWidth="1" min="13" max="13" width="9.25"/>
    <col customWidth="1" min="16" max="16" width="8.63"/>
    <col customWidth="1" min="17" max="17" width="10.0"/>
    <col customWidth="1" min="18" max="18" width="9.38"/>
  </cols>
  <sheetData>
    <row r="1">
      <c r="A1" s="873"/>
      <c r="B1" s="873"/>
      <c r="C1" s="873"/>
      <c r="D1" s="873"/>
      <c r="E1" s="873"/>
      <c r="F1" s="873"/>
      <c r="G1" s="873"/>
      <c r="H1" s="873"/>
      <c r="I1" s="873"/>
      <c r="J1" s="873"/>
      <c r="K1" s="873"/>
      <c r="L1" s="873"/>
      <c r="M1" s="873"/>
      <c r="N1" s="873"/>
      <c r="O1" s="873"/>
      <c r="P1" s="873"/>
      <c r="Q1" s="873"/>
      <c r="R1" s="873"/>
      <c r="S1" s="873"/>
      <c r="T1" s="873"/>
      <c r="U1" s="873"/>
      <c r="V1" s="873"/>
      <c r="W1" s="873"/>
      <c r="X1" s="873"/>
      <c r="Y1" s="873"/>
    </row>
    <row r="2" ht="27.75" customHeight="1">
      <c r="A2" s="508"/>
      <c r="B2" s="874" t="s">
        <v>1233</v>
      </c>
      <c r="C2" s="875" t="s">
        <v>1249</v>
      </c>
      <c r="D2" s="873"/>
      <c r="E2" s="873"/>
      <c r="F2" s="873"/>
      <c r="G2" s="873"/>
      <c r="H2" s="873"/>
      <c r="I2" s="873"/>
      <c r="J2" s="873"/>
      <c r="K2" s="873"/>
      <c r="L2" s="876"/>
      <c r="M2" s="876"/>
      <c r="N2" s="873"/>
      <c r="O2" s="873"/>
      <c r="P2" s="873"/>
      <c r="Q2" s="873"/>
      <c r="R2" s="873"/>
      <c r="S2" s="873"/>
      <c r="T2" s="873"/>
      <c r="U2" s="873"/>
      <c r="V2" s="873"/>
      <c r="W2" s="873"/>
      <c r="X2" s="873"/>
      <c r="Y2" s="873"/>
    </row>
    <row r="3" ht="31.5" customHeight="1">
      <c r="A3" s="873"/>
      <c r="B3" s="877" t="str">
        <f>IFERROR(__xludf.DUMMYFUNCTION("QUERY('입주자'!A4:Y230,""select A,B,C,D,G,H,I,K where I contains '공실' and A='""&amp;C2&amp;""'"")"),"지역")</f>
        <v>지역</v>
      </c>
      <c r="C3" s="877" t="str">
        <f>IFERROR(__xludf.DUMMYFUNCTION("""COMPUTED_VALUE"""),"하우스")</f>
        <v>하우스</v>
      </c>
      <c r="D3" s="877" t="str">
        <f>IFERROR(__xludf.DUMMYFUNCTION("""COMPUTED_VALUE"""),"자리")</f>
        <v>자리</v>
      </c>
      <c r="E3" s="877" t="str">
        <f>IFERROR(__xludf.DUMMYFUNCTION("""COMPUTED_VALUE"""),"구분")</f>
        <v>구분</v>
      </c>
      <c r="F3" s="877" t="str">
        <f>IFERROR(__xludf.DUMMYFUNCTION("""COMPUTED_VALUE"""),"계약종료")</f>
        <v>계약종료</v>
      </c>
      <c r="G3" s="877" t="str">
        <f>IFERROR(__xludf.DUMMYFUNCTION("""COMPUTED_VALUE"""),"추가사항")</f>
        <v>추가사항</v>
      </c>
      <c r="H3" s="877" t="str">
        <f>IFERROR(__xludf.DUMMYFUNCTION("""COMPUTED_VALUE"""),"공실")</f>
        <v>공실</v>
      </c>
      <c r="I3" s="877" t="str">
        <f>IFERROR(__xludf.DUMMYFUNCTION("""COMPUTED_VALUE"""),"6개월 가격")</f>
        <v>6개월 가격</v>
      </c>
      <c r="J3" s="873"/>
      <c r="K3" s="873"/>
      <c r="L3" s="873"/>
      <c r="M3" s="873"/>
      <c r="N3" s="873"/>
      <c r="O3" s="873"/>
      <c r="P3" s="873"/>
      <c r="Q3" s="873"/>
      <c r="R3" s="873"/>
      <c r="S3" s="873"/>
      <c r="T3" s="873"/>
      <c r="U3" s="873"/>
      <c r="V3" s="873"/>
      <c r="W3" s="873"/>
      <c r="X3" s="873"/>
      <c r="Y3" s="873"/>
    </row>
    <row r="4">
      <c r="A4" s="873"/>
      <c r="B4" s="873" t="str">
        <f>IFERROR(__xludf.DUMMYFUNCTION("""COMPUTED_VALUE"""),"강남구")</f>
        <v>강남구</v>
      </c>
      <c r="C4" s="873" t="str">
        <f>IFERROR(__xludf.DUMMYFUNCTION("""COMPUTED_VALUE"""),"워너비")</f>
        <v>워너비</v>
      </c>
      <c r="D4" s="873" t="str">
        <f>IFERROR(__xludf.DUMMYFUNCTION("""COMPUTED_VALUE"""),"C-1) 2인실 오")</f>
        <v>C-1) 2인실 오</v>
      </c>
      <c r="E4" s="873" t="str">
        <f>IFERROR(__xludf.DUMMYFUNCTION("""COMPUTED_VALUE"""),"2인실")</f>
        <v>2인실</v>
      </c>
      <c r="F4" s="878">
        <f>IFERROR(__xludf.DUMMYFUNCTION("""COMPUTED_VALUE"""),46142.0)</f>
        <v>46142</v>
      </c>
      <c r="G4" s="873" t="str">
        <f>IFERROR(__xludf.DUMMYFUNCTION("""COMPUTED_VALUE"""),"정상퇴실 4.30")</f>
        <v>정상퇴실 4.30</v>
      </c>
      <c r="H4" s="873" t="str">
        <f>IFERROR(__xludf.DUMMYFUNCTION("""COMPUTED_VALUE"""),"공실예정")</f>
        <v>공실예정</v>
      </c>
      <c r="I4" s="879">
        <f>IFERROR(__xludf.DUMMYFUNCTION("""COMPUTED_VALUE"""),470000.0)</f>
        <v>470000</v>
      </c>
      <c r="J4" s="873"/>
      <c r="K4" s="873"/>
      <c r="L4" s="873"/>
      <c r="M4" s="873"/>
      <c r="N4" s="873"/>
      <c r="O4" s="873"/>
      <c r="P4" s="873"/>
      <c r="Q4" s="873"/>
      <c r="R4" s="873"/>
      <c r="S4" s="873"/>
      <c r="T4" s="873"/>
      <c r="U4" s="873"/>
      <c r="V4" s="873"/>
      <c r="W4" s="873"/>
      <c r="X4" s="873"/>
      <c r="Y4" s="873"/>
    </row>
    <row r="5">
      <c r="A5" s="873"/>
      <c r="B5" s="873" t="str">
        <f>IFERROR(__xludf.DUMMYFUNCTION("""COMPUTED_VALUE"""),"강남구")</f>
        <v>강남구</v>
      </c>
      <c r="C5" s="873" t="str">
        <f>IFERROR(__xludf.DUMMYFUNCTION("""COMPUTED_VALUE"""),"워너비")</f>
        <v>워너비</v>
      </c>
      <c r="D5" s="873" t="str">
        <f>IFERROR(__xludf.DUMMYFUNCTION("""COMPUTED_VALUE"""),"C-2) 2인실 왼 (창가)")</f>
        <v>C-2) 2인실 왼 (창가)</v>
      </c>
      <c r="E5" s="873" t="str">
        <f>IFERROR(__xludf.DUMMYFUNCTION("""COMPUTED_VALUE"""),"2인실")</f>
        <v>2인실</v>
      </c>
      <c r="F5" s="878">
        <f>IFERROR(__xludf.DUMMYFUNCTION("""COMPUTED_VALUE"""),46142.0)</f>
        <v>46142</v>
      </c>
      <c r="G5" s="873" t="str">
        <f>IFERROR(__xludf.DUMMYFUNCTION("""COMPUTED_VALUE"""),"정상퇴실 4.30")</f>
        <v>정상퇴실 4.30</v>
      </c>
      <c r="H5" s="873" t="str">
        <f>IFERROR(__xludf.DUMMYFUNCTION("""COMPUTED_VALUE"""),"공실예정")</f>
        <v>공실예정</v>
      </c>
      <c r="I5" s="879">
        <f>IFERROR(__xludf.DUMMYFUNCTION("""COMPUTED_VALUE"""),470000.0)</f>
        <v>470000</v>
      </c>
      <c r="J5" s="873"/>
      <c r="K5" s="873"/>
      <c r="L5" s="873"/>
      <c r="M5" s="873"/>
      <c r="N5" s="873"/>
      <c r="O5" s="873"/>
      <c r="P5" s="873"/>
      <c r="Q5" s="873"/>
      <c r="R5" s="873"/>
      <c r="S5" s="873"/>
      <c r="T5" s="873"/>
      <c r="U5" s="873"/>
      <c r="V5" s="873"/>
      <c r="W5" s="873"/>
      <c r="X5" s="873"/>
      <c r="Y5" s="873"/>
    </row>
    <row r="6">
      <c r="A6" s="873"/>
      <c r="B6" s="873" t="str">
        <f>IFERROR(__xludf.DUMMYFUNCTION("""COMPUTED_VALUE"""),"강남구")</f>
        <v>강남구</v>
      </c>
      <c r="C6" s="873" t="str">
        <f>IFERROR(__xludf.DUMMYFUNCTION("""COMPUTED_VALUE"""),"영동")</f>
        <v>영동</v>
      </c>
      <c r="D6" s="873" t="str">
        <f>IFERROR(__xludf.DUMMYFUNCTION("""COMPUTED_VALUE"""),"E-1) 화장실 우 오른쪽")</f>
        <v>E-1) 화장실 우 오른쪽</v>
      </c>
      <c r="E6" s="873" t="str">
        <f>IFERROR(__xludf.DUMMYFUNCTION("""COMPUTED_VALUE"""),"2인실")</f>
        <v>2인실</v>
      </c>
      <c r="F6" s="878"/>
      <c r="G6" s="873"/>
      <c r="H6" s="873" t="str">
        <f>IFERROR(__xludf.DUMMYFUNCTION("""COMPUTED_VALUE"""),"공실")</f>
        <v>공실</v>
      </c>
      <c r="I6" s="879">
        <f>IFERROR(__xludf.DUMMYFUNCTION("""COMPUTED_VALUE"""),480000.0)</f>
        <v>480000</v>
      </c>
      <c r="J6" s="873"/>
      <c r="K6" s="873"/>
      <c r="L6" s="873"/>
      <c r="M6" s="873"/>
      <c r="N6" s="873"/>
      <c r="O6" s="873"/>
      <c r="P6" s="873"/>
      <c r="Q6" s="873"/>
      <c r="R6" s="873"/>
      <c r="S6" s="873"/>
      <c r="T6" s="873"/>
      <c r="U6" s="873"/>
      <c r="V6" s="873"/>
      <c r="W6" s="873"/>
      <c r="X6" s="873"/>
      <c r="Y6" s="873"/>
    </row>
    <row r="7">
      <c r="A7" s="873"/>
      <c r="B7" s="873" t="str">
        <f>IFERROR(__xludf.DUMMYFUNCTION("""COMPUTED_VALUE"""),"강남구")</f>
        <v>강남구</v>
      </c>
      <c r="C7" s="873" t="str">
        <f>IFERROR(__xludf.DUMMYFUNCTION("""COMPUTED_VALUE"""),"영동")</f>
        <v>영동</v>
      </c>
      <c r="D7" s="873" t="str">
        <f>IFERROR(__xludf.DUMMYFUNCTION("""COMPUTED_VALUE"""),"E-2) 화장실 우 왼쪽")</f>
        <v>E-2) 화장실 우 왼쪽</v>
      </c>
      <c r="E7" s="873" t="str">
        <f>IFERROR(__xludf.DUMMYFUNCTION("""COMPUTED_VALUE"""),"2인실")</f>
        <v>2인실</v>
      </c>
      <c r="F7" s="878"/>
      <c r="G7" s="873"/>
      <c r="H7" s="873" t="str">
        <f>IFERROR(__xludf.DUMMYFUNCTION("""COMPUTED_VALUE"""),"공실")</f>
        <v>공실</v>
      </c>
      <c r="I7" s="879">
        <f>IFERROR(__xludf.DUMMYFUNCTION("""COMPUTED_VALUE"""),480000.0)</f>
        <v>480000</v>
      </c>
      <c r="J7" s="873"/>
      <c r="K7" s="873"/>
      <c r="L7" s="873"/>
      <c r="M7" s="873"/>
      <c r="N7" s="873"/>
      <c r="O7" s="873"/>
      <c r="P7" s="873"/>
      <c r="Q7" s="873"/>
      <c r="R7" s="873"/>
      <c r="S7" s="873"/>
      <c r="T7" s="873"/>
      <c r="U7" s="873"/>
      <c r="V7" s="873"/>
      <c r="W7" s="873"/>
      <c r="X7" s="873"/>
      <c r="Y7" s="873"/>
    </row>
    <row r="8">
      <c r="A8" s="873"/>
      <c r="B8" s="873" t="str">
        <f>IFERROR(__xludf.DUMMYFUNCTION("""COMPUTED_VALUE"""),"강남구")</f>
        <v>강남구</v>
      </c>
      <c r="C8" s="873" t="str">
        <f>IFERROR(__xludf.DUMMYFUNCTION("""COMPUTED_VALUE"""),"삼중")</f>
        <v>삼중</v>
      </c>
      <c r="D8" s="873" t="str">
        <f>IFERROR(__xludf.DUMMYFUNCTION("""COMPUTED_VALUE"""),"F-1) 윗층방 왼쪽")</f>
        <v>F-1) 윗층방 왼쪽</v>
      </c>
      <c r="E8" s="873" t="str">
        <f>IFERROR(__xludf.DUMMYFUNCTION("""COMPUTED_VALUE"""),"2인실")</f>
        <v>2인실</v>
      </c>
      <c r="F8" s="878"/>
      <c r="G8" s="873"/>
      <c r="H8" s="873" t="str">
        <f>IFERROR(__xludf.DUMMYFUNCTION("""COMPUTED_VALUE"""),"공실")</f>
        <v>공실</v>
      </c>
      <c r="I8" s="879">
        <f>IFERROR(__xludf.DUMMYFUNCTION("""COMPUTED_VALUE"""),490000.0)</f>
        <v>490000</v>
      </c>
      <c r="J8" s="873"/>
      <c r="K8" s="873"/>
      <c r="L8" s="873"/>
      <c r="M8" s="873"/>
      <c r="N8" s="873"/>
      <c r="O8" s="873"/>
      <c r="P8" s="873"/>
      <c r="Q8" s="873"/>
      <c r="R8" s="873"/>
      <c r="S8" s="873"/>
      <c r="T8" s="873"/>
      <c r="U8" s="873"/>
      <c r="V8" s="873"/>
      <c r="W8" s="873"/>
      <c r="X8" s="873"/>
      <c r="Y8" s="873"/>
    </row>
    <row r="9">
      <c r="A9" s="873"/>
      <c r="B9" s="873" t="str">
        <f>IFERROR(__xludf.DUMMYFUNCTION("""COMPUTED_VALUE"""),"강남구")</f>
        <v>강남구</v>
      </c>
      <c r="C9" s="873" t="str">
        <f>IFERROR(__xludf.DUMMYFUNCTION("""COMPUTED_VALUE"""),"삼중")</f>
        <v>삼중</v>
      </c>
      <c r="D9" s="873" t="str">
        <f>IFERROR(__xludf.DUMMYFUNCTION("""COMPUTED_VALUE"""),"F-2) 윗층방 오른쪽")</f>
        <v>F-2) 윗층방 오른쪽</v>
      </c>
      <c r="E9" s="873" t="str">
        <f>IFERROR(__xludf.DUMMYFUNCTION("""COMPUTED_VALUE"""),"2인실")</f>
        <v>2인실</v>
      </c>
      <c r="F9" s="878"/>
      <c r="G9" s="873"/>
      <c r="H9" s="873" t="str">
        <f>IFERROR(__xludf.DUMMYFUNCTION("""COMPUTED_VALUE"""),"공실")</f>
        <v>공실</v>
      </c>
      <c r="I9" s="879">
        <f>IFERROR(__xludf.DUMMYFUNCTION("""COMPUTED_VALUE"""),490000.0)</f>
        <v>490000</v>
      </c>
      <c r="J9" s="873"/>
      <c r="K9" s="873"/>
      <c r="L9" s="873"/>
      <c r="M9" s="873"/>
      <c r="N9" s="873"/>
      <c r="O9" s="873"/>
      <c r="P9" s="873"/>
      <c r="Q9" s="873"/>
      <c r="R9" s="873"/>
      <c r="S9" s="873"/>
      <c r="T9" s="873"/>
      <c r="U9" s="873"/>
      <c r="V9" s="873"/>
      <c r="W9" s="873"/>
      <c r="X9" s="873"/>
      <c r="Y9" s="873"/>
    </row>
    <row r="10">
      <c r="A10" s="873"/>
      <c r="B10" s="873" t="str">
        <f>IFERROR(__xludf.DUMMYFUNCTION("""COMPUTED_VALUE"""),"강남구")</f>
        <v>강남구</v>
      </c>
      <c r="C10" s="873" t="str">
        <f>IFERROR(__xludf.DUMMYFUNCTION("""COMPUTED_VALUE"""),"반포")</f>
        <v>반포</v>
      </c>
      <c r="D10" s="873" t="str">
        <f>IFERROR(__xludf.DUMMYFUNCTION("""COMPUTED_VALUE"""),"E-1) (거실화) 왼")</f>
        <v>E-1) (거실화) 왼</v>
      </c>
      <c r="E10" s="873" t="str">
        <f>IFERROR(__xludf.DUMMYFUNCTION("""COMPUTED_VALUE"""),"2인실")</f>
        <v>2인실</v>
      </c>
      <c r="F10" s="878"/>
      <c r="G10" s="873"/>
      <c r="H10" s="873" t="str">
        <f>IFERROR(__xludf.DUMMYFUNCTION("""COMPUTED_VALUE"""),"공실")</f>
        <v>공실</v>
      </c>
      <c r="I10" s="879">
        <f>IFERROR(__xludf.DUMMYFUNCTION("""COMPUTED_VALUE"""),480000.0)</f>
        <v>480000</v>
      </c>
      <c r="J10" s="873"/>
      <c r="K10" s="873"/>
      <c r="L10" s="873"/>
      <c r="M10" s="873"/>
      <c r="N10" s="873"/>
      <c r="O10" s="873"/>
      <c r="P10" s="873"/>
      <c r="Q10" s="873"/>
      <c r="R10" s="873"/>
      <c r="S10" s="873"/>
      <c r="T10" s="873"/>
      <c r="U10" s="873"/>
      <c r="V10" s="873"/>
      <c r="W10" s="873"/>
      <c r="X10" s="873"/>
      <c r="Y10" s="873"/>
    </row>
    <row r="11">
      <c r="A11" s="873"/>
      <c r="B11" s="873" t="str">
        <f>IFERROR(__xludf.DUMMYFUNCTION("""COMPUTED_VALUE"""),"강남구")</f>
        <v>강남구</v>
      </c>
      <c r="C11" s="873" t="str">
        <f>IFERROR(__xludf.DUMMYFUNCTION("""COMPUTED_VALUE"""),"반포")</f>
        <v>반포</v>
      </c>
      <c r="D11" s="873" t="str">
        <f>IFERROR(__xludf.DUMMYFUNCTION("""COMPUTED_VALUE"""),"F-1) (거실화) 오")</f>
        <v>F-1) (거실화) 오</v>
      </c>
      <c r="E11" s="873" t="str">
        <f>IFERROR(__xludf.DUMMYFUNCTION("""COMPUTED_VALUE"""),"2인실")</f>
        <v>2인실</v>
      </c>
      <c r="F11" s="878"/>
      <c r="G11" s="873"/>
      <c r="H11" s="873" t="str">
        <f>IFERROR(__xludf.DUMMYFUNCTION("""COMPUTED_VALUE"""),"공실")</f>
        <v>공실</v>
      </c>
      <c r="I11" s="879">
        <f>IFERROR(__xludf.DUMMYFUNCTION("""COMPUTED_VALUE"""),480000.0)</f>
        <v>480000</v>
      </c>
      <c r="J11" s="873"/>
      <c r="K11" s="873"/>
      <c r="L11" s="873"/>
      <c r="M11" s="873"/>
      <c r="N11" s="873"/>
      <c r="O11" s="873"/>
      <c r="P11" s="873"/>
      <c r="Q11" s="873"/>
      <c r="R11" s="873"/>
      <c r="S11" s="873"/>
      <c r="T11" s="873"/>
      <c r="U11" s="873"/>
      <c r="V11" s="873"/>
      <c r="W11" s="873"/>
      <c r="X11" s="873"/>
      <c r="Y11" s="873"/>
    </row>
    <row r="12">
      <c r="A12" s="873"/>
      <c r="B12" s="873" t="str">
        <f>IFERROR(__xludf.DUMMYFUNCTION("""COMPUTED_VALUE"""),"강남구")</f>
        <v>강남구</v>
      </c>
      <c r="C12" s="873" t="str">
        <f>IFERROR(__xludf.DUMMYFUNCTION("""COMPUTED_VALUE"""),"반포")</f>
        <v>반포</v>
      </c>
      <c r="D12" s="873" t="str">
        <f>IFERROR(__xludf.DUMMYFUNCTION("""COMPUTED_VALUE"""),"H-1) 2인실 입구오 오른쪽")</f>
        <v>H-1) 2인실 입구오 오른쪽</v>
      </c>
      <c r="E12" s="873" t="str">
        <f>IFERROR(__xludf.DUMMYFUNCTION("""COMPUTED_VALUE"""),"2인실")</f>
        <v>2인실</v>
      </c>
      <c r="F12" s="878">
        <f>IFERROR(__xludf.DUMMYFUNCTION("""COMPUTED_VALUE"""),46112.0)</f>
        <v>46112</v>
      </c>
      <c r="G12" s="873"/>
      <c r="H12" s="873" t="str">
        <f>IFERROR(__xludf.DUMMYFUNCTION("""COMPUTED_VALUE"""),"공실")</f>
        <v>공실</v>
      </c>
      <c r="I12" s="879">
        <f>IFERROR(__xludf.DUMMYFUNCTION("""COMPUTED_VALUE"""),480000.0)</f>
        <v>480000</v>
      </c>
      <c r="J12" s="873"/>
      <c r="K12" s="873"/>
      <c r="L12" s="873"/>
      <c r="M12" s="873"/>
      <c r="N12" s="873"/>
      <c r="O12" s="873"/>
      <c r="P12" s="873"/>
      <c r="Q12" s="873"/>
      <c r="R12" s="873"/>
      <c r="S12" s="873"/>
      <c r="T12" s="873"/>
      <c r="U12" s="873"/>
      <c r="V12" s="873"/>
      <c r="W12" s="873"/>
      <c r="X12" s="873"/>
      <c r="Y12" s="873"/>
    </row>
    <row r="13">
      <c r="A13" s="873"/>
      <c r="B13" s="873" t="str">
        <f>IFERROR(__xludf.DUMMYFUNCTION("""COMPUTED_VALUE"""),"강남구")</f>
        <v>강남구</v>
      </c>
      <c r="C13" s="873" t="str">
        <f>IFERROR(__xludf.DUMMYFUNCTION("""COMPUTED_VALUE"""),"신사")</f>
        <v>신사</v>
      </c>
      <c r="D13" s="873" t="str">
        <f>IFERROR(__xludf.DUMMYFUNCTION("""COMPUTED_VALUE"""),"C-1) 1인실 거실 왼")</f>
        <v>C-1) 1인실 거실 왼</v>
      </c>
      <c r="E13" s="873" t="str">
        <f>IFERROR(__xludf.DUMMYFUNCTION("""COMPUTED_VALUE"""),"1인실")</f>
        <v>1인실</v>
      </c>
      <c r="F13" s="878">
        <f>IFERROR(__xludf.DUMMYFUNCTION("""COMPUTED_VALUE"""),46123.0)</f>
        <v>46123</v>
      </c>
      <c r="G13" s="873" t="str">
        <f>IFERROR(__xludf.DUMMYFUNCTION("""COMPUTED_VALUE""")," 정상퇴실 4.11")</f>
        <v> 정상퇴실 4.11</v>
      </c>
      <c r="H13" s="873" t="str">
        <f>IFERROR(__xludf.DUMMYFUNCTION("""COMPUTED_VALUE"""),"공실예정")</f>
        <v>공실예정</v>
      </c>
      <c r="I13" s="879">
        <f>IFERROR(__xludf.DUMMYFUNCTION("""COMPUTED_VALUE"""),620000.0)</f>
        <v>620000</v>
      </c>
      <c r="J13" s="873"/>
      <c r="K13" s="873"/>
      <c r="L13" s="873"/>
      <c r="M13" s="873"/>
      <c r="N13" s="873"/>
      <c r="O13" s="873"/>
      <c r="P13" s="873"/>
      <c r="Q13" s="873"/>
      <c r="R13" s="873"/>
      <c r="S13" s="873"/>
      <c r="T13" s="873"/>
      <c r="U13" s="873"/>
      <c r="V13" s="873"/>
      <c r="W13" s="873"/>
      <c r="X13" s="873"/>
      <c r="Y13" s="873"/>
    </row>
    <row r="14">
      <c r="A14" s="873"/>
      <c r="B14" s="873" t="str">
        <f>IFERROR(__xludf.DUMMYFUNCTION("""COMPUTED_VALUE"""),"강남구")</f>
        <v>강남구</v>
      </c>
      <c r="C14" s="873" t="str">
        <f>IFERROR(__xludf.DUMMYFUNCTION("""COMPUTED_VALUE"""),"선릉")</f>
        <v>선릉</v>
      </c>
      <c r="D14" s="873" t="str">
        <f>IFERROR(__xludf.DUMMYFUNCTION("""COMPUTED_VALUE"""),"A 1인실")</f>
        <v>A 1인실</v>
      </c>
      <c r="E14" s="873" t="str">
        <f>IFERROR(__xludf.DUMMYFUNCTION("""COMPUTED_VALUE"""),"1인실")</f>
        <v>1인실</v>
      </c>
      <c r="F14" s="878">
        <f>IFERROR(__xludf.DUMMYFUNCTION("""COMPUTED_VALUE"""),46173.0)</f>
        <v>46173</v>
      </c>
      <c r="G14" s="873" t="str">
        <f>IFERROR(__xludf.DUMMYFUNCTION("""COMPUTED_VALUE"""),"정상퇴실 5.31")</f>
        <v>정상퇴실 5.31</v>
      </c>
      <c r="H14" s="873" t="str">
        <f>IFERROR(__xludf.DUMMYFUNCTION("""COMPUTED_VALUE"""),"공실예정")</f>
        <v>공실예정</v>
      </c>
      <c r="I14" s="879">
        <f>IFERROR(__xludf.DUMMYFUNCTION("""COMPUTED_VALUE"""),650000.0)</f>
        <v>650000</v>
      </c>
      <c r="J14" s="873"/>
      <c r="K14" s="873"/>
      <c r="L14" s="873"/>
      <c r="M14" s="873"/>
      <c r="N14" s="873"/>
      <c r="O14" s="873"/>
      <c r="P14" s="873"/>
      <c r="Q14" s="873"/>
      <c r="R14" s="873"/>
      <c r="S14" s="873"/>
      <c r="T14" s="873"/>
      <c r="U14" s="873"/>
      <c r="V14" s="873"/>
      <c r="W14" s="873"/>
      <c r="X14" s="873"/>
      <c r="Y14" s="873"/>
    </row>
    <row r="15">
      <c r="A15" s="873"/>
      <c r="B15" s="873" t="str">
        <f>IFERROR(__xludf.DUMMYFUNCTION("""COMPUTED_VALUE"""),"강남구")</f>
        <v>강남구</v>
      </c>
      <c r="C15" s="873" t="str">
        <f>IFERROR(__xludf.DUMMYFUNCTION("""COMPUTED_VALUE"""),"선릉")</f>
        <v>선릉</v>
      </c>
      <c r="D15" s="873" t="str">
        <f>IFERROR(__xludf.DUMMYFUNCTION("""COMPUTED_VALUE"""),"C-1 2인실 (왼)")</f>
        <v>C-1 2인실 (왼)</v>
      </c>
      <c r="E15" s="873" t="str">
        <f>IFERROR(__xludf.DUMMYFUNCTION("""COMPUTED_VALUE"""),"2인실")</f>
        <v>2인실</v>
      </c>
      <c r="F15" s="878"/>
      <c r="G15" s="873"/>
      <c r="H15" s="873" t="str">
        <f>IFERROR(__xludf.DUMMYFUNCTION("""COMPUTED_VALUE"""),"공실")</f>
        <v>공실</v>
      </c>
      <c r="I15" s="879">
        <f>IFERROR(__xludf.DUMMYFUNCTION("""COMPUTED_VALUE"""),490000.0)</f>
        <v>490000</v>
      </c>
      <c r="J15" s="873"/>
      <c r="K15" s="873"/>
      <c r="L15" s="873"/>
      <c r="M15" s="873"/>
      <c r="N15" s="873"/>
      <c r="O15" s="873"/>
      <c r="P15" s="873"/>
      <c r="Q15" s="873"/>
      <c r="R15" s="873"/>
      <c r="S15" s="873"/>
      <c r="T15" s="873"/>
      <c r="U15" s="873"/>
      <c r="V15" s="873"/>
      <c r="W15" s="873"/>
      <c r="X15" s="873"/>
      <c r="Y15" s="873"/>
    </row>
    <row r="16">
      <c r="A16" s="873"/>
      <c r="B16" s="873"/>
      <c r="C16" s="873"/>
      <c r="D16" s="873"/>
      <c r="E16" s="873"/>
      <c r="F16" s="873"/>
      <c r="G16" s="873"/>
      <c r="H16" s="873"/>
      <c r="I16" s="873"/>
      <c r="J16" s="873"/>
      <c r="K16" s="873"/>
      <c r="L16" s="873"/>
      <c r="M16" s="873"/>
      <c r="N16" s="873"/>
      <c r="O16" s="873"/>
      <c r="P16" s="873"/>
      <c r="Q16" s="873"/>
      <c r="R16" s="873"/>
      <c r="S16" s="873"/>
      <c r="T16" s="873"/>
      <c r="U16" s="873"/>
      <c r="V16" s="873"/>
      <c r="W16" s="873"/>
      <c r="X16" s="873"/>
      <c r="Y16" s="873"/>
    </row>
    <row r="17">
      <c r="A17" s="873"/>
      <c r="B17" s="873"/>
      <c r="C17" s="873"/>
      <c r="D17" s="873"/>
      <c r="E17" s="873"/>
      <c r="F17" s="873"/>
      <c r="G17" s="873"/>
      <c r="H17" s="873"/>
      <c r="I17" s="873"/>
      <c r="J17" s="873"/>
      <c r="K17" s="873"/>
      <c r="L17" s="873"/>
      <c r="M17" s="873"/>
      <c r="N17" s="873"/>
      <c r="O17" s="873"/>
      <c r="P17" s="873"/>
      <c r="Q17" s="873"/>
      <c r="R17" s="873"/>
      <c r="S17" s="873"/>
      <c r="T17" s="873"/>
      <c r="U17" s="873"/>
      <c r="V17" s="873"/>
      <c r="W17" s="873"/>
      <c r="X17" s="873"/>
      <c r="Y17" s="873"/>
    </row>
    <row r="18">
      <c r="A18" s="873"/>
      <c r="B18" s="873"/>
      <c r="C18" s="873"/>
      <c r="D18" s="873"/>
      <c r="E18" s="873"/>
      <c r="F18" s="873"/>
      <c r="G18" s="873"/>
      <c r="H18" s="873"/>
      <c r="I18" s="873"/>
      <c r="J18" s="873"/>
      <c r="K18" s="873"/>
      <c r="L18" s="873"/>
      <c r="M18" s="873"/>
      <c r="N18" s="873"/>
      <c r="O18" s="873"/>
      <c r="P18" s="873"/>
      <c r="Q18" s="873"/>
      <c r="R18" s="873"/>
      <c r="S18" s="873"/>
      <c r="T18" s="873"/>
      <c r="U18" s="873"/>
      <c r="V18" s="873"/>
      <c r="W18" s="873"/>
      <c r="X18" s="873"/>
      <c r="Y18" s="873"/>
    </row>
    <row r="19">
      <c r="A19" s="873"/>
      <c r="B19" s="873"/>
      <c r="C19" s="873"/>
      <c r="D19" s="873"/>
      <c r="E19" s="873"/>
      <c r="F19" s="873"/>
      <c r="G19" s="873"/>
      <c r="H19" s="873"/>
      <c r="I19" s="873"/>
      <c r="J19" s="873"/>
      <c r="K19" s="873"/>
      <c r="L19" s="873"/>
      <c r="M19" s="873"/>
      <c r="N19" s="873"/>
      <c r="O19" s="873"/>
      <c r="P19" s="873"/>
      <c r="Q19" s="873"/>
      <c r="R19" s="873"/>
      <c r="S19" s="873"/>
      <c r="T19" s="873"/>
      <c r="U19" s="873"/>
      <c r="V19" s="873"/>
      <c r="W19" s="873"/>
      <c r="X19" s="873"/>
      <c r="Y19" s="873"/>
    </row>
    <row r="20">
      <c r="A20" s="873"/>
      <c r="B20" s="873"/>
      <c r="C20" s="873"/>
      <c r="D20" s="873"/>
      <c r="E20" s="873"/>
      <c r="F20" s="873"/>
      <c r="G20" s="873"/>
      <c r="H20" s="873"/>
      <c r="I20" s="873"/>
      <c r="J20" s="873"/>
      <c r="K20" s="873"/>
      <c r="L20" s="873"/>
      <c r="M20" s="873"/>
      <c r="N20" s="873"/>
      <c r="O20" s="873"/>
      <c r="P20" s="873"/>
      <c r="Q20" s="873"/>
      <c r="R20" s="873"/>
      <c r="S20" s="873"/>
      <c r="T20" s="873"/>
      <c r="U20" s="873"/>
      <c r="V20" s="873"/>
      <c r="W20" s="873"/>
      <c r="X20" s="873"/>
      <c r="Y20" s="873"/>
    </row>
    <row r="21">
      <c r="A21" s="873"/>
      <c r="B21" s="873"/>
      <c r="C21" s="873"/>
      <c r="D21" s="873"/>
      <c r="E21" s="873"/>
      <c r="F21" s="873"/>
      <c r="G21" s="873"/>
      <c r="H21" s="873"/>
      <c r="I21" s="873"/>
      <c r="J21" s="873"/>
      <c r="K21" s="873"/>
      <c r="L21" s="873"/>
      <c r="M21" s="873"/>
      <c r="N21" s="873"/>
      <c r="O21" s="873"/>
      <c r="P21" s="873"/>
      <c r="Q21" s="873"/>
      <c r="R21" s="873"/>
      <c r="S21" s="873"/>
      <c r="T21" s="873"/>
      <c r="U21" s="873"/>
      <c r="V21" s="873"/>
      <c r="W21" s="873"/>
      <c r="X21" s="873"/>
      <c r="Y21" s="873"/>
    </row>
    <row r="22">
      <c r="A22" s="873"/>
      <c r="B22" s="508"/>
      <c r="C22" s="508"/>
      <c r="D22" s="873"/>
      <c r="E22" s="873"/>
      <c r="F22" s="873"/>
      <c r="G22" s="873"/>
      <c r="H22" s="873"/>
      <c r="I22" s="873"/>
      <c r="J22" s="873"/>
      <c r="K22" s="873"/>
      <c r="L22" s="873"/>
      <c r="M22" s="873"/>
      <c r="N22" s="873"/>
      <c r="O22" s="873"/>
      <c r="P22" s="873"/>
      <c r="Q22" s="873"/>
      <c r="R22" s="873"/>
      <c r="S22" s="873"/>
      <c r="T22" s="873"/>
      <c r="U22" s="873"/>
      <c r="V22" s="873"/>
      <c r="W22" s="873"/>
      <c r="X22" s="873"/>
      <c r="Y22" s="873"/>
    </row>
    <row r="23">
      <c r="A23" s="873"/>
      <c r="B23" s="508"/>
      <c r="C23" s="508"/>
      <c r="D23" s="873"/>
      <c r="E23" s="873"/>
      <c r="F23" s="873"/>
      <c r="G23" s="873"/>
      <c r="H23" s="873"/>
      <c r="I23" s="873"/>
      <c r="J23" s="873"/>
      <c r="K23" s="873"/>
      <c r="L23" s="873"/>
      <c r="M23" s="873"/>
      <c r="N23" s="873"/>
      <c r="O23" s="873"/>
      <c r="P23" s="873"/>
      <c r="Q23" s="873"/>
      <c r="R23" s="873"/>
      <c r="S23" s="873"/>
      <c r="T23" s="873"/>
      <c r="U23" s="873"/>
      <c r="V23" s="873"/>
      <c r="W23" s="873"/>
      <c r="X23" s="873"/>
      <c r="Y23" s="873"/>
    </row>
    <row r="24">
      <c r="A24" s="873"/>
      <c r="B24" s="508"/>
      <c r="C24" s="508"/>
      <c r="D24" s="873"/>
      <c r="E24" s="873"/>
      <c r="F24" s="873"/>
      <c r="G24" s="873"/>
      <c r="H24" s="873"/>
      <c r="I24" s="873"/>
      <c r="J24" s="873"/>
      <c r="K24" s="873"/>
      <c r="L24" s="873"/>
      <c r="M24" s="873"/>
      <c r="N24" s="873"/>
      <c r="O24" s="873"/>
      <c r="P24" s="873"/>
      <c r="Q24" s="873"/>
      <c r="R24" s="873"/>
      <c r="S24" s="873"/>
      <c r="T24" s="873"/>
      <c r="U24" s="873"/>
      <c r="V24" s="873"/>
      <c r="W24" s="873"/>
      <c r="X24" s="873"/>
      <c r="Y24" s="873"/>
    </row>
    <row r="25">
      <c r="A25" s="873"/>
      <c r="B25" s="508"/>
      <c r="C25" s="508"/>
      <c r="D25" s="873"/>
      <c r="E25" s="873"/>
      <c r="F25" s="873"/>
      <c r="G25" s="873"/>
      <c r="H25" s="873"/>
      <c r="I25" s="873"/>
      <c r="J25" s="873"/>
      <c r="K25" s="873"/>
      <c r="L25" s="873"/>
      <c r="M25" s="873"/>
      <c r="N25" s="873"/>
      <c r="O25" s="873"/>
      <c r="P25" s="873"/>
      <c r="Q25" s="873"/>
      <c r="R25" s="873"/>
      <c r="S25" s="873"/>
      <c r="T25" s="873"/>
      <c r="U25" s="873"/>
      <c r="V25" s="873"/>
      <c r="W25" s="873"/>
      <c r="X25" s="873"/>
      <c r="Y25" s="873"/>
    </row>
    <row r="26">
      <c r="A26" s="873"/>
      <c r="B26" s="873"/>
      <c r="C26" s="873"/>
      <c r="D26" s="873"/>
      <c r="E26" s="873"/>
      <c r="F26" s="873"/>
      <c r="G26" s="873"/>
      <c r="H26" s="873"/>
      <c r="I26" s="873"/>
      <c r="J26" s="873"/>
      <c r="K26" s="873"/>
      <c r="L26" s="873"/>
      <c r="M26" s="873"/>
      <c r="N26" s="873"/>
      <c r="O26" s="873"/>
      <c r="P26" s="873"/>
      <c r="Q26" s="873"/>
      <c r="R26" s="873"/>
      <c r="S26" s="873"/>
      <c r="T26" s="873"/>
      <c r="U26" s="873"/>
      <c r="V26" s="873"/>
      <c r="W26" s="873"/>
      <c r="X26" s="873"/>
      <c r="Y26" s="873"/>
    </row>
    <row r="27">
      <c r="A27" s="873"/>
      <c r="B27" s="873"/>
      <c r="C27" s="873"/>
      <c r="D27" s="873"/>
      <c r="E27" s="873"/>
      <c r="F27" s="873"/>
      <c r="G27" s="873"/>
      <c r="H27" s="873"/>
      <c r="I27" s="873"/>
      <c r="J27" s="873"/>
      <c r="K27" s="873"/>
      <c r="L27" s="873"/>
      <c r="M27" s="873"/>
      <c r="N27" s="873"/>
      <c r="O27" s="873"/>
      <c r="P27" s="873"/>
      <c r="Q27" s="873"/>
      <c r="R27" s="873"/>
      <c r="S27" s="873"/>
      <c r="T27" s="873"/>
      <c r="U27" s="873"/>
      <c r="V27" s="873"/>
      <c r="W27" s="873"/>
      <c r="X27" s="873"/>
      <c r="Y27" s="873"/>
    </row>
    <row r="28" ht="30.75" customHeight="1">
      <c r="A28" s="880"/>
      <c r="B28" s="881" t="s">
        <v>3050</v>
      </c>
      <c r="C28" s="882"/>
      <c r="D28" s="882"/>
      <c r="E28" s="882"/>
      <c r="F28" s="882"/>
      <c r="G28" s="882"/>
      <c r="H28" s="882"/>
      <c r="I28" s="882"/>
      <c r="J28" s="880"/>
      <c r="K28" s="880"/>
      <c r="L28" s="880"/>
      <c r="M28" s="880"/>
      <c r="N28" s="880"/>
      <c r="O28" s="880"/>
      <c r="P28" s="880"/>
      <c r="Q28" s="880"/>
      <c r="R28" s="880"/>
      <c r="S28" s="880"/>
      <c r="T28" s="880"/>
      <c r="U28" s="880"/>
      <c r="V28" s="880"/>
      <c r="W28" s="880"/>
      <c r="X28" s="880"/>
      <c r="Y28" s="880"/>
    </row>
    <row r="29" ht="31.5" customHeight="1">
      <c r="A29" s="873"/>
      <c r="B29" s="877" t="str">
        <f>IFERROR(__xludf.DUMMYFUNCTION("QUERY('입주자'!A4:Y230, ""select A,B,C,D,G,H,I,K where I contains '공실'"")"),"지역")</f>
        <v>지역</v>
      </c>
      <c r="C29" s="877" t="str">
        <f>IFERROR(__xludf.DUMMYFUNCTION("""COMPUTED_VALUE"""),"하우스")</f>
        <v>하우스</v>
      </c>
      <c r="D29" s="877" t="str">
        <f>IFERROR(__xludf.DUMMYFUNCTION("""COMPUTED_VALUE"""),"자리")</f>
        <v>자리</v>
      </c>
      <c r="E29" s="877" t="str">
        <f>IFERROR(__xludf.DUMMYFUNCTION("""COMPUTED_VALUE"""),"구분")</f>
        <v>구분</v>
      </c>
      <c r="F29" s="877" t="str">
        <f>IFERROR(__xludf.DUMMYFUNCTION("""COMPUTED_VALUE"""),"계약종료")</f>
        <v>계약종료</v>
      </c>
      <c r="G29" s="877" t="str">
        <f>IFERROR(__xludf.DUMMYFUNCTION("""COMPUTED_VALUE"""),"추가사항")</f>
        <v>추가사항</v>
      </c>
      <c r="H29" s="877" t="str">
        <f>IFERROR(__xludf.DUMMYFUNCTION("""COMPUTED_VALUE"""),"공실")</f>
        <v>공실</v>
      </c>
      <c r="I29" s="877" t="str">
        <f>IFERROR(__xludf.DUMMYFUNCTION("""COMPUTED_VALUE"""),"6개월 가격")</f>
        <v>6개월 가격</v>
      </c>
      <c r="J29" s="873"/>
      <c r="K29" s="873"/>
      <c r="L29" s="873"/>
      <c r="M29" s="873"/>
      <c r="N29" s="873"/>
      <c r="O29" s="873"/>
      <c r="P29" s="873"/>
      <c r="Q29" s="873"/>
      <c r="R29" s="873"/>
      <c r="S29" s="873"/>
      <c r="T29" s="873"/>
      <c r="U29" s="873"/>
      <c r="V29" s="873"/>
      <c r="W29" s="873"/>
      <c r="X29" s="873"/>
      <c r="Y29" s="873"/>
    </row>
    <row r="30">
      <c r="A30" s="873"/>
      <c r="B30" s="873" t="str">
        <f>IFERROR(__xludf.DUMMYFUNCTION("""COMPUTED_VALUE"""),"강남구")</f>
        <v>강남구</v>
      </c>
      <c r="C30" s="873" t="str">
        <f>IFERROR(__xludf.DUMMYFUNCTION("""COMPUTED_VALUE"""),"워너비")</f>
        <v>워너비</v>
      </c>
      <c r="D30" s="873" t="str">
        <f>IFERROR(__xludf.DUMMYFUNCTION("""COMPUTED_VALUE"""),"C-1) 2인실 오")</f>
        <v>C-1) 2인실 오</v>
      </c>
      <c r="E30" s="873" t="str">
        <f>IFERROR(__xludf.DUMMYFUNCTION("""COMPUTED_VALUE"""),"2인실")</f>
        <v>2인실</v>
      </c>
      <c r="F30" s="878">
        <f>IFERROR(__xludf.DUMMYFUNCTION("""COMPUTED_VALUE"""),46142.0)</f>
        <v>46142</v>
      </c>
      <c r="G30" s="873" t="str">
        <f>IFERROR(__xludf.DUMMYFUNCTION("""COMPUTED_VALUE"""),"정상퇴실 4.30")</f>
        <v>정상퇴실 4.30</v>
      </c>
      <c r="H30" s="873" t="str">
        <f>IFERROR(__xludf.DUMMYFUNCTION("""COMPUTED_VALUE"""),"공실예정")</f>
        <v>공실예정</v>
      </c>
      <c r="I30" s="879">
        <f>IFERROR(__xludf.DUMMYFUNCTION("""COMPUTED_VALUE"""),470000.0)</f>
        <v>470000</v>
      </c>
      <c r="J30" s="873"/>
      <c r="K30" s="873"/>
      <c r="L30" s="873"/>
      <c r="M30" s="873"/>
      <c r="N30" s="873"/>
      <c r="O30" s="873"/>
      <c r="P30" s="873"/>
      <c r="Q30" s="873"/>
      <c r="R30" s="873"/>
      <c r="S30" s="873"/>
      <c r="T30" s="873"/>
      <c r="U30" s="873"/>
      <c r="V30" s="873"/>
      <c r="W30" s="873"/>
      <c r="X30" s="873"/>
      <c r="Y30" s="873"/>
    </row>
    <row r="31">
      <c r="A31" s="873"/>
      <c r="B31" s="873" t="str">
        <f>IFERROR(__xludf.DUMMYFUNCTION("""COMPUTED_VALUE"""),"강남구")</f>
        <v>강남구</v>
      </c>
      <c r="C31" s="873" t="str">
        <f>IFERROR(__xludf.DUMMYFUNCTION("""COMPUTED_VALUE"""),"워너비")</f>
        <v>워너비</v>
      </c>
      <c r="D31" s="873" t="str">
        <f>IFERROR(__xludf.DUMMYFUNCTION("""COMPUTED_VALUE"""),"C-2) 2인실 왼 (창가)")</f>
        <v>C-2) 2인실 왼 (창가)</v>
      </c>
      <c r="E31" s="873" t="str">
        <f>IFERROR(__xludf.DUMMYFUNCTION("""COMPUTED_VALUE"""),"2인실")</f>
        <v>2인실</v>
      </c>
      <c r="F31" s="878">
        <f>IFERROR(__xludf.DUMMYFUNCTION("""COMPUTED_VALUE"""),46142.0)</f>
        <v>46142</v>
      </c>
      <c r="G31" s="873" t="str">
        <f>IFERROR(__xludf.DUMMYFUNCTION("""COMPUTED_VALUE"""),"정상퇴실 4.30")</f>
        <v>정상퇴실 4.30</v>
      </c>
      <c r="H31" s="873" t="str">
        <f>IFERROR(__xludf.DUMMYFUNCTION("""COMPUTED_VALUE"""),"공실예정")</f>
        <v>공실예정</v>
      </c>
      <c r="I31" s="879">
        <f>IFERROR(__xludf.DUMMYFUNCTION("""COMPUTED_VALUE"""),470000.0)</f>
        <v>470000</v>
      </c>
      <c r="J31" s="873"/>
      <c r="K31" s="873"/>
      <c r="L31" s="873"/>
      <c r="M31" s="873"/>
      <c r="N31" s="873"/>
      <c r="O31" s="873"/>
      <c r="P31" s="873"/>
      <c r="Q31" s="873"/>
      <c r="R31" s="873"/>
      <c r="S31" s="873"/>
      <c r="T31" s="873"/>
      <c r="U31" s="873"/>
      <c r="V31" s="873"/>
      <c r="W31" s="873"/>
      <c r="X31" s="873"/>
      <c r="Y31" s="873"/>
    </row>
    <row r="32">
      <c r="A32" s="873"/>
      <c r="B32" s="873" t="str">
        <f>IFERROR(__xludf.DUMMYFUNCTION("""COMPUTED_VALUE"""),"강남구")</f>
        <v>강남구</v>
      </c>
      <c r="C32" s="873" t="str">
        <f>IFERROR(__xludf.DUMMYFUNCTION("""COMPUTED_VALUE"""),"영동")</f>
        <v>영동</v>
      </c>
      <c r="D32" s="873" t="str">
        <f>IFERROR(__xludf.DUMMYFUNCTION("""COMPUTED_VALUE"""),"E-1) 화장실 우 오른쪽")</f>
        <v>E-1) 화장실 우 오른쪽</v>
      </c>
      <c r="E32" s="873" t="str">
        <f>IFERROR(__xludf.DUMMYFUNCTION("""COMPUTED_VALUE"""),"2인실")</f>
        <v>2인실</v>
      </c>
      <c r="F32" s="878"/>
      <c r="G32" s="873"/>
      <c r="H32" s="873" t="str">
        <f>IFERROR(__xludf.DUMMYFUNCTION("""COMPUTED_VALUE"""),"공실")</f>
        <v>공실</v>
      </c>
      <c r="I32" s="879">
        <f>IFERROR(__xludf.DUMMYFUNCTION("""COMPUTED_VALUE"""),480000.0)</f>
        <v>480000</v>
      </c>
      <c r="J32" s="873"/>
      <c r="K32" s="873"/>
      <c r="L32" s="873"/>
      <c r="M32" s="873"/>
      <c r="N32" s="873"/>
      <c r="O32" s="873"/>
      <c r="P32" s="873"/>
      <c r="Q32" s="873"/>
      <c r="R32" s="873"/>
      <c r="S32" s="873"/>
      <c r="T32" s="873"/>
      <c r="U32" s="873"/>
      <c r="V32" s="873"/>
      <c r="W32" s="873"/>
      <c r="X32" s="873"/>
      <c r="Y32" s="873"/>
    </row>
    <row r="33">
      <c r="A33" s="873"/>
      <c r="B33" s="873" t="str">
        <f>IFERROR(__xludf.DUMMYFUNCTION("""COMPUTED_VALUE"""),"강남구")</f>
        <v>강남구</v>
      </c>
      <c r="C33" s="873" t="str">
        <f>IFERROR(__xludf.DUMMYFUNCTION("""COMPUTED_VALUE"""),"영동")</f>
        <v>영동</v>
      </c>
      <c r="D33" s="873" t="str">
        <f>IFERROR(__xludf.DUMMYFUNCTION("""COMPUTED_VALUE"""),"E-2) 화장실 우 왼쪽")</f>
        <v>E-2) 화장실 우 왼쪽</v>
      </c>
      <c r="E33" s="873" t="str">
        <f>IFERROR(__xludf.DUMMYFUNCTION("""COMPUTED_VALUE"""),"2인실")</f>
        <v>2인실</v>
      </c>
      <c r="F33" s="878"/>
      <c r="G33" s="873"/>
      <c r="H33" s="873" t="str">
        <f>IFERROR(__xludf.DUMMYFUNCTION("""COMPUTED_VALUE"""),"공실")</f>
        <v>공실</v>
      </c>
      <c r="I33" s="879">
        <f>IFERROR(__xludf.DUMMYFUNCTION("""COMPUTED_VALUE"""),480000.0)</f>
        <v>480000</v>
      </c>
      <c r="J33" s="873"/>
      <c r="K33" s="873"/>
      <c r="L33" s="873"/>
      <c r="M33" s="873"/>
      <c r="N33" s="873"/>
      <c r="O33" s="873"/>
      <c r="P33" s="873"/>
      <c r="Q33" s="873"/>
      <c r="R33" s="873"/>
      <c r="S33" s="873"/>
      <c r="T33" s="873"/>
      <c r="U33" s="873"/>
      <c r="V33" s="873"/>
      <c r="W33" s="873"/>
      <c r="X33" s="873"/>
      <c r="Y33" s="873"/>
    </row>
    <row r="34">
      <c r="A34" s="873"/>
      <c r="B34" s="873" t="str">
        <f>IFERROR(__xludf.DUMMYFUNCTION("""COMPUTED_VALUE"""),"강남구")</f>
        <v>강남구</v>
      </c>
      <c r="C34" s="873" t="str">
        <f>IFERROR(__xludf.DUMMYFUNCTION("""COMPUTED_VALUE"""),"삼중")</f>
        <v>삼중</v>
      </c>
      <c r="D34" s="873" t="str">
        <f>IFERROR(__xludf.DUMMYFUNCTION("""COMPUTED_VALUE"""),"F-1) 윗층방 왼쪽")</f>
        <v>F-1) 윗층방 왼쪽</v>
      </c>
      <c r="E34" s="873" t="str">
        <f>IFERROR(__xludf.DUMMYFUNCTION("""COMPUTED_VALUE"""),"2인실")</f>
        <v>2인실</v>
      </c>
      <c r="F34" s="878"/>
      <c r="G34" s="873"/>
      <c r="H34" s="873" t="str">
        <f>IFERROR(__xludf.DUMMYFUNCTION("""COMPUTED_VALUE"""),"공실")</f>
        <v>공실</v>
      </c>
      <c r="I34" s="879">
        <f>IFERROR(__xludf.DUMMYFUNCTION("""COMPUTED_VALUE"""),490000.0)</f>
        <v>490000</v>
      </c>
      <c r="J34" s="873"/>
      <c r="K34" s="873"/>
      <c r="L34" s="873"/>
      <c r="M34" s="873"/>
      <c r="N34" s="873"/>
      <c r="O34" s="873"/>
      <c r="P34" s="873"/>
      <c r="Q34" s="873"/>
      <c r="R34" s="873"/>
      <c r="S34" s="873"/>
      <c r="T34" s="873"/>
      <c r="U34" s="873"/>
      <c r="V34" s="873"/>
      <c r="W34" s="873"/>
      <c r="X34" s="873"/>
      <c r="Y34" s="873"/>
    </row>
    <row r="35">
      <c r="A35" s="873"/>
      <c r="B35" s="873" t="str">
        <f>IFERROR(__xludf.DUMMYFUNCTION("""COMPUTED_VALUE"""),"강남구")</f>
        <v>강남구</v>
      </c>
      <c r="C35" s="873" t="str">
        <f>IFERROR(__xludf.DUMMYFUNCTION("""COMPUTED_VALUE"""),"삼중")</f>
        <v>삼중</v>
      </c>
      <c r="D35" s="873" t="str">
        <f>IFERROR(__xludf.DUMMYFUNCTION("""COMPUTED_VALUE"""),"F-2) 윗층방 오른쪽")</f>
        <v>F-2) 윗층방 오른쪽</v>
      </c>
      <c r="E35" s="873" t="str">
        <f>IFERROR(__xludf.DUMMYFUNCTION("""COMPUTED_VALUE"""),"2인실")</f>
        <v>2인실</v>
      </c>
      <c r="F35" s="878"/>
      <c r="G35" s="873"/>
      <c r="H35" s="873" t="str">
        <f>IFERROR(__xludf.DUMMYFUNCTION("""COMPUTED_VALUE"""),"공실")</f>
        <v>공실</v>
      </c>
      <c r="I35" s="879">
        <f>IFERROR(__xludf.DUMMYFUNCTION("""COMPUTED_VALUE"""),490000.0)</f>
        <v>490000</v>
      </c>
      <c r="J35" s="873"/>
      <c r="K35" s="873"/>
      <c r="L35" s="873"/>
      <c r="M35" s="873"/>
      <c r="N35" s="873"/>
      <c r="O35" s="873"/>
      <c r="P35" s="873"/>
      <c r="Q35" s="873"/>
      <c r="R35" s="873"/>
      <c r="S35" s="873"/>
      <c r="T35" s="873"/>
      <c r="U35" s="873"/>
      <c r="V35" s="873"/>
      <c r="W35" s="873"/>
      <c r="X35" s="873"/>
      <c r="Y35" s="873"/>
    </row>
    <row r="36">
      <c r="A36" s="873"/>
      <c r="B36" s="873" t="str">
        <f>IFERROR(__xludf.DUMMYFUNCTION("""COMPUTED_VALUE"""),"강남구")</f>
        <v>강남구</v>
      </c>
      <c r="C36" s="873" t="str">
        <f>IFERROR(__xludf.DUMMYFUNCTION("""COMPUTED_VALUE"""),"반포")</f>
        <v>반포</v>
      </c>
      <c r="D36" s="873" t="str">
        <f>IFERROR(__xludf.DUMMYFUNCTION("""COMPUTED_VALUE"""),"E-1) (거실화) 왼")</f>
        <v>E-1) (거실화) 왼</v>
      </c>
      <c r="E36" s="873" t="str">
        <f>IFERROR(__xludf.DUMMYFUNCTION("""COMPUTED_VALUE"""),"2인실")</f>
        <v>2인실</v>
      </c>
      <c r="F36" s="878"/>
      <c r="G36" s="873"/>
      <c r="H36" s="873" t="str">
        <f>IFERROR(__xludf.DUMMYFUNCTION("""COMPUTED_VALUE"""),"공실")</f>
        <v>공실</v>
      </c>
      <c r="I36" s="879">
        <f>IFERROR(__xludf.DUMMYFUNCTION("""COMPUTED_VALUE"""),480000.0)</f>
        <v>480000</v>
      </c>
      <c r="J36" s="873"/>
      <c r="K36" s="873"/>
      <c r="L36" s="873"/>
      <c r="M36" s="873"/>
      <c r="N36" s="873"/>
      <c r="O36" s="873"/>
      <c r="P36" s="873"/>
      <c r="Q36" s="873"/>
      <c r="R36" s="873"/>
      <c r="S36" s="873"/>
      <c r="T36" s="873"/>
      <c r="U36" s="873"/>
      <c r="V36" s="873"/>
      <c r="W36" s="873"/>
      <c r="X36" s="873"/>
      <c r="Y36" s="873"/>
    </row>
    <row r="37">
      <c r="A37" s="873"/>
      <c r="B37" s="873" t="str">
        <f>IFERROR(__xludf.DUMMYFUNCTION("""COMPUTED_VALUE"""),"강남구")</f>
        <v>강남구</v>
      </c>
      <c r="C37" s="873" t="str">
        <f>IFERROR(__xludf.DUMMYFUNCTION("""COMPUTED_VALUE"""),"반포")</f>
        <v>반포</v>
      </c>
      <c r="D37" s="873" t="str">
        <f>IFERROR(__xludf.DUMMYFUNCTION("""COMPUTED_VALUE"""),"F-1) (거실화) 오")</f>
        <v>F-1) (거실화) 오</v>
      </c>
      <c r="E37" s="873" t="str">
        <f>IFERROR(__xludf.DUMMYFUNCTION("""COMPUTED_VALUE"""),"2인실")</f>
        <v>2인실</v>
      </c>
      <c r="F37" s="878"/>
      <c r="G37" s="873"/>
      <c r="H37" s="873" t="str">
        <f>IFERROR(__xludf.DUMMYFUNCTION("""COMPUTED_VALUE"""),"공실")</f>
        <v>공실</v>
      </c>
      <c r="I37" s="879">
        <f>IFERROR(__xludf.DUMMYFUNCTION("""COMPUTED_VALUE"""),480000.0)</f>
        <v>480000</v>
      </c>
      <c r="J37" s="873"/>
      <c r="K37" s="873"/>
      <c r="L37" s="873"/>
      <c r="M37" s="873"/>
      <c r="N37" s="873"/>
      <c r="O37" s="873"/>
      <c r="P37" s="873"/>
      <c r="Q37" s="873"/>
      <c r="R37" s="873"/>
      <c r="S37" s="873"/>
      <c r="T37" s="873"/>
      <c r="U37" s="873"/>
      <c r="V37" s="873"/>
      <c r="W37" s="873"/>
      <c r="X37" s="873"/>
      <c r="Y37" s="873"/>
    </row>
    <row r="38">
      <c r="A38" s="873"/>
      <c r="B38" s="873" t="str">
        <f>IFERROR(__xludf.DUMMYFUNCTION("""COMPUTED_VALUE"""),"강남구")</f>
        <v>강남구</v>
      </c>
      <c r="C38" s="873" t="str">
        <f>IFERROR(__xludf.DUMMYFUNCTION("""COMPUTED_VALUE"""),"반포")</f>
        <v>반포</v>
      </c>
      <c r="D38" s="873" t="str">
        <f>IFERROR(__xludf.DUMMYFUNCTION("""COMPUTED_VALUE"""),"H-1) 2인실 입구오 오른쪽")</f>
        <v>H-1) 2인실 입구오 오른쪽</v>
      </c>
      <c r="E38" s="873" t="str">
        <f>IFERROR(__xludf.DUMMYFUNCTION("""COMPUTED_VALUE"""),"2인실")</f>
        <v>2인실</v>
      </c>
      <c r="F38" s="878">
        <f>IFERROR(__xludf.DUMMYFUNCTION("""COMPUTED_VALUE"""),46112.0)</f>
        <v>46112</v>
      </c>
      <c r="G38" s="873"/>
      <c r="H38" s="873" t="str">
        <f>IFERROR(__xludf.DUMMYFUNCTION("""COMPUTED_VALUE"""),"공실")</f>
        <v>공실</v>
      </c>
      <c r="I38" s="879">
        <f>IFERROR(__xludf.DUMMYFUNCTION("""COMPUTED_VALUE"""),480000.0)</f>
        <v>480000</v>
      </c>
      <c r="J38" s="873"/>
      <c r="K38" s="873"/>
      <c r="L38" s="873"/>
      <c r="M38" s="873"/>
      <c r="N38" s="873"/>
      <c r="O38" s="873"/>
      <c r="P38" s="873"/>
      <c r="Q38" s="873"/>
      <c r="R38" s="873"/>
      <c r="S38" s="873"/>
      <c r="T38" s="873"/>
      <c r="U38" s="873"/>
      <c r="V38" s="873"/>
      <c r="W38" s="873"/>
      <c r="X38" s="873"/>
      <c r="Y38" s="873"/>
    </row>
    <row r="39">
      <c r="A39" s="873"/>
      <c r="B39" s="873" t="str">
        <f>IFERROR(__xludf.DUMMYFUNCTION("""COMPUTED_VALUE"""),"강남구")</f>
        <v>강남구</v>
      </c>
      <c r="C39" s="873" t="str">
        <f>IFERROR(__xludf.DUMMYFUNCTION("""COMPUTED_VALUE"""),"신사")</f>
        <v>신사</v>
      </c>
      <c r="D39" s="873" t="str">
        <f>IFERROR(__xludf.DUMMYFUNCTION("""COMPUTED_VALUE"""),"C-1) 1인실 거실 왼")</f>
        <v>C-1) 1인실 거실 왼</v>
      </c>
      <c r="E39" s="873" t="str">
        <f>IFERROR(__xludf.DUMMYFUNCTION("""COMPUTED_VALUE"""),"1인실")</f>
        <v>1인실</v>
      </c>
      <c r="F39" s="878">
        <f>IFERROR(__xludf.DUMMYFUNCTION("""COMPUTED_VALUE"""),46123.0)</f>
        <v>46123</v>
      </c>
      <c r="G39" s="873" t="str">
        <f>IFERROR(__xludf.DUMMYFUNCTION("""COMPUTED_VALUE""")," 정상퇴실 4.11")</f>
        <v> 정상퇴실 4.11</v>
      </c>
      <c r="H39" s="873" t="str">
        <f>IFERROR(__xludf.DUMMYFUNCTION("""COMPUTED_VALUE"""),"공실예정")</f>
        <v>공실예정</v>
      </c>
      <c r="I39" s="879">
        <f>IFERROR(__xludf.DUMMYFUNCTION("""COMPUTED_VALUE"""),620000.0)</f>
        <v>620000</v>
      </c>
      <c r="J39" s="873"/>
      <c r="K39" s="873"/>
      <c r="L39" s="873"/>
      <c r="M39" s="873"/>
      <c r="N39" s="873"/>
      <c r="O39" s="873"/>
      <c r="P39" s="873"/>
      <c r="Q39" s="873"/>
      <c r="R39" s="873"/>
      <c r="S39" s="873"/>
      <c r="T39" s="873"/>
      <c r="U39" s="873"/>
      <c r="V39" s="873"/>
      <c r="W39" s="873"/>
      <c r="X39" s="873"/>
      <c r="Y39" s="873"/>
    </row>
    <row r="40">
      <c r="A40" s="873"/>
      <c r="B40" s="873" t="str">
        <f>IFERROR(__xludf.DUMMYFUNCTION("""COMPUTED_VALUE"""),"강남구")</f>
        <v>강남구</v>
      </c>
      <c r="C40" s="873" t="str">
        <f>IFERROR(__xludf.DUMMYFUNCTION("""COMPUTED_VALUE"""),"선릉")</f>
        <v>선릉</v>
      </c>
      <c r="D40" s="873" t="str">
        <f>IFERROR(__xludf.DUMMYFUNCTION("""COMPUTED_VALUE"""),"A 1인실")</f>
        <v>A 1인실</v>
      </c>
      <c r="E40" s="873" t="str">
        <f>IFERROR(__xludf.DUMMYFUNCTION("""COMPUTED_VALUE"""),"1인실")</f>
        <v>1인실</v>
      </c>
      <c r="F40" s="878">
        <f>IFERROR(__xludf.DUMMYFUNCTION("""COMPUTED_VALUE"""),46173.0)</f>
        <v>46173</v>
      </c>
      <c r="G40" s="873" t="str">
        <f>IFERROR(__xludf.DUMMYFUNCTION("""COMPUTED_VALUE"""),"정상퇴실 5.31")</f>
        <v>정상퇴실 5.31</v>
      </c>
      <c r="H40" s="873" t="str">
        <f>IFERROR(__xludf.DUMMYFUNCTION("""COMPUTED_VALUE"""),"공실예정")</f>
        <v>공실예정</v>
      </c>
      <c r="I40" s="879">
        <f>IFERROR(__xludf.DUMMYFUNCTION("""COMPUTED_VALUE"""),650000.0)</f>
        <v>650000</v>
      </c>
      <c r="J40" s="873"/>
      <c r="K40" s="873"/>
      <c r="L40" s="873"/>
      <c r="M40" s="873"/>
      <c r="N40" s="873"/>
      <c r="O40" s="873"/>
      <c r="P40" s="873"/>
      <c r="Q40" s="873"/>
      <c r="R40" s="873"/>
      <c r="S40" s="873"/>
      <c r="T40" s="873"/>
      <c r="U40" s="873"/>
      <c r="V40" s="873"/>
      <c r="W40" s="873"/>
      <c r="X40" s="873"/>
      <c r="Y40" s="873"/>
    </row>
    <row r="41">
      <c r="A41" s="873"/>
      <c r="B41" s="873" t="str">
        <f>IFERROR(__xludf.DUMMYFUNCTION("""COMPUTED_VALUE"""),"강남구")</f>
        <v>강남구</v>
      </c>
      <c r="C41" s="873" t="str">
        <f>IFERROR(__xludf.DUMMYFUNCTION("""COMPUTED_VALUE"""),"선릉")</f>
        <v>선릉</v>
      </c>
      <c r="D41" s="873" t="str">
        <f>IFERROR(__xludf.DUMMYFUNCTION("""COMPUTED_VALUE"""),"C-1 2인실 (왼)")</f>
        <v>C-1 2인실 (왼)</v>
      </c>
      <c r="E41" s="873" t="str">
        <f>IFERROR(__xludf.DUMMYFUNCTION("""COMPUTED_VALUE"""),"2인실")</f>
        <v>2인실</v>
      </c>
      <c r="F41" s="878"/>
      <c r="G41" s="873"/>
      <c r="H41" s="873" t="str">
        <f>IFERROR(__xludf.DUMMYFUNCTION("""COMPUTED_VALUE"""),"공실")</f>
        <v>공실</v>
      </c>
      <c r="I41" s="879">
        <f>IFERROR(__xludf.DUMMYFUNCTION("""COMPUTED_VALUE"""),490000.0)</f>
        <v>490000</v>
      </c>
      <c r="J41" s="873"/>
      <c r="K41" s="873"/>
      <c r="L41" s="873"/>
      <c r="M41" s="873"/>
      <c r="N41" s="873"/>
      <c r="O41" s="873"/>
      <c r="P41" s="873"/>
      <c r="Q41" s="873"/>
      <c r="R41" s="873"/>
      <c r="S41" s="873"/>
      <c r="T41" s="873"/>
      <c r="U41" s="873"/>
      <c r="V41" s="873"/>
      <c r="W41" s="873"/>
      <c r="X41" s="873"/>
      <c r="Y41" s="873"/>
    </row>
    <row r="42">
      <c r="A42" s="873"/>
      <c r="B42" s="873" t="str">
        <f>IFERROR(__xludf.DUMMYFUNCTION("""COMPUTED_VALUE"""),"관악구")</f>
        <v>관악구</v>
      </c>
      <c r="C42" s="873" t="str">
        <f>IFERROR(__xludf.DUMMYFUNCTION("""COMPUTED_VALUE"""),"대학")</f>
        <v>대학</v>
      </c>
      <c r="D42" s="873" t="str">
        <f>IFERROR(__xludf.DUMMYFUNCTION("""COMPUTED_VALUE"""),"B 1인실 화장실 오른쪽")</f>
        <v>B 1인실 화장실 오른쪽</v>
      </c>
      <c r="E42" s="873" t="str">
        <f>IFERROR(__xludf.DUMMYFUNCTION("""COMPUTED_VALUE"""),"1인실")</f>
        <v>1인실</v>
      </c>
      <c r="F42" s="878"/>
      <c r="G42" s="873"/>
      <c r="H42" s="873" t="str">
        <f>IFERROR(__xludf.DUMMYFUNCTION("""COMPUTED_VALUE"""),"공실")</f>
        <v>공실</v>
      </c>
      <c r="I42" s="879">
        <f>IFERROR(__xludf.DUMMYFUNCTION("""COMPUTED_VALUE"""),500000.0)</f>
        <v>500000</v>
      </c>
      <c r="J42" s="873"/>
      <c r="K42" s="873"/>
      <c r="L42" s="873"/>
      <c r="M42" s="873"/>
      <c r="N42" s="873"/>
      <c r="O42" s="873"/>
      <c r="P42" s="873"/>
      <c r="Q42" s="873"/>
      <c r="R42" s="873"/>
      <c r="S42" s="873"/>
      <c r="T42" s="873"/>
      <c r="U42" s="873"/>
      <c r="V42" s="873"/>
      <c r="W42" s="873"/>
      <c r="X42" s="873"/>
      <c r="Y42" s="873"/>
    </row>
    <row r="43">
      <c r="A43" s="873"/>
      <c r="B43" s="873" t="str">
        <f>IFERROR(__xludf.DUMMYFUNCTION("""COMPUTED_VALUE"""),"관악구")</f>
        <v>관악구</v>
      </c>
      <c r="C43" s="873" t="str">
        <f>IFERROR(__xludf.DUMMYFUNCTION("""COMPUTED_VALUE"""),"대학")</f>
        <v>대학</v>
      </c>
      <c r="D43" s="873" t="str">
        <f>IFERROR(__xludf.DUMMYFUNCTION("""COMPUTED_VALUE"""),"C 1인실 코너")</f>
        <v>C 1인실 코너</v>
      </c>
      <c r="E43" s="873" t="str">
        <f>IFERROR(__xludf.DUMMYFUNCTION("""COMPUTED_VALUE"""),"1인실")</f>
        <v>1인실</v>
      </c>
      <c r="F43" s="878"/>
      <c r="G43" s="873"/>
      <c r="H43" s="873" t="str">
        <f>IFERROR(__xludf.DUMMYFUNCTION("""COMPUTED_VALUE"""),"공실")</f>
        <v>공실</v>
      </c>
      <c r="I43" s="879">
        <f>IFERROR(__xludf.DUMMYFUNCTION("""COMPUTED_VALUE"""),450000.0)</f>
        <v>450000</v>
      </c>
      <c r="J43" s="873"/>
      <c r="K43" s="873"/>
      <c r="L43" s="873"/>
      <c r="M43" s="873"/>
      <c r="N43" s="873"/>
      <c r="O43" s="873"/>
      <c r="P43" s="873"/>
      <c r="Q43" s="873"/>
      <c r="R43" s="873"/>
      <c r="S43" s="873"/>
      <c r="T43" s="873"/>
      <c r="U43" s="873"/>
      <c r="V43" s="873"/>
      <c r="W43" s="873"/>
      <c r="X43" s="873"/>
      <c r="Y43" s="873"/>
    </row>
    <row r="44">
      <c r="A44" s="873"/>
      <c r="B44" s="873" t="str">
        <f>IFERROR(__xludf.DUMMYFUNCTION("""COMPUTED_VALUE"""),"관악구")</f>
        <v>관악구</v>
      </c>
      <c r="C44" s="873" t="str">
        <f>IFERROR(__xludf.DUMMYFUNCTION("""COMPUTED_VALUE"""),"샤네")</f>
        <v>샤네</v>
      </c>
      <c r="D44" s="873" t="str">
        <f>IFERROR(__xludf.DUMMYFUNCTION("""COMPUTED_VALUE"""),"C-2) 2인실 왼")</f>
        <v>C-2) 2인실 왼</v>
      </c>
      <c r="E44" s="873" t="str">
        <f>IFERROR(__xludf.DUMMYFUNCTION("""COMPUTED_VALUE"""),"2인실")</f>
        <v>2인실</v>
      </c>
      <c r="F44" s="878"/>
      <c r="G44" s="873"/>
      <c r="H44" s="873" t="str">
        <f>IFERROR(__xludf.DUMMYFUNCTION("""COMPUTED_VALUE"""),"공실")</f>
        <v>공실</v>
      </c>
      <c r="I44" s="879">
        <f>IFERROR(__xludf.DUMMYFUNCTION("""COMPUTED_VALUE"""),420000.0)</f>
        <v>420000</v>
      </c>
      <c r="J44" s="873"/>
      <c r="K44" s="873"/>
      <c r="L44" s="873"/>
      <c r="M44" s="873"/>
      <c r="N44" s="873"/>
      <c r="O44" s="873"/>
      <c r="P44" s="873"/>
      <c r="Q44" s="873"/>
      <c r="R44" s="873"/>
      <c r="S44" s="873"/>
      <c r="T44" s="873"/>
      <c r="U44" s="873"/>
      <c r="V44" s="873"/>
      <c r="W44" s="873"/>
      <c r="X44" s="873"/>
      <c r="Y44" s="873"/>
    </row>
    <row r="45">
      <c r="A45" s="873"/>
      <c r="B45" s="873" t="str">
        <f>IFERROR(__xludf.DUMMYFUNCTION("""COMPUTED_VALUE"""),"관악구")</f>
        <v>관악구</v>
      </c>
      <c r="C45" s="873" t="str">
        <f>IFERROR(__xludf.DUMMYFUNCTION("""COMPUTED_VALUE"""),"낙성")</f>
        <v>낙성</v>
      </c>
      <c r="D45" s="873" t="str">
        <f>IFERROR(__xludf.DUMMYFUNCTION("""COMPUTED_VALUE"""),"B-2 오")</f>
        <v>B-2 오</v>
      </c>
      <c r="E45" s="873" t="str">
        <f>IFERROR(__xludf.DUMMYFUNCTION("""COMPUTED_VALUE"""),"2인실")</f>
        <v>2인실</v>
      </c>
      <c r="F45" s="878">
        <f>IFERROR(__xludf.DUMMYFUNCTION("""COMPUTED_VALUE"""),46203.0)</f>
        <v>46203</v>
      </c>
      <c r="G45" s="873" t="str">
        <f>IFERROR(__xludf.DUMMYFUNCTION("""COMPUTED_VALUE"""),"정상퇴실 6.30")</f>
        <v>정상퇴실 6.30</v>
      </c>
      <c r="H45" s="873" t="str">
        <f>IFERROR(__xludf.DUMMYFUNCTION("""COMPUTED_VALUE"""),"공실예정")</f>
        <v>공실예정</v>
      </c>
      <c r="I45" s="879">
        <f>IFERROR(__xludf.DUMMYFUNCTION("""COMPUTED_VALUE"""),450000.0)</f>
        <v>450000</v>
      </c>
      <c r="J45" s="873"/>
      <c r="K45" s="873"/>
      <c r="L45" s="873"/>
      <c r="M45" s="873"/>
      <c r="N45" s="873"/>
      <c r="O45" s="873"/>
      <c r="P45" s="873"/>
      <c r="Q45" s="873"/>
      <c r="R45" s="873"/>
      <c r="S45" s="873"/>
      <c r="T45" s="873"/>
      <c r="U45" s="873"/>
      <c r="V45" s="873"/>
      <c r="W45" s="873"/>
      <c r="X45" s="873"/>
      <c r="Y45" s="873"/>
    </row>
    <row r="46">
      <c r="A46" s="873"/>
      <c r="B46" s="873" t="str">
        <f>IFERROR(__xludf.DUMMYFUNCTION("""COMPUTED_VALUE"""),"동대문구")</f>
        <v>동대문구</v>
      </c>
      <c r="C46" s="873" t="str">
        <f>IFERROR(__xludf.DUMMYFUNCTION("""COMPUTED_VALUE"""),"청량")</f>
        <v>청량</v>
      </c>
      <c r="D46" s="873" t="str">
        <f>IFERROR(__xludf.DUMMYFUNCTION("""COMPUTED_VALUE"""),"F-1) 화장실 옆 왼쪽")</f>
        <v>F-1) 화장실 옆 왼쪽</v>
      </c>
      <c r="E46" s="873" t="str">
        <f>IFERROR(__xludf.DUMMYFUNCTION("""COMPUTED_VALUE"""),"2인실")</f>
        <v>2인실</v>
      </c>
      <c r="F46" s="878">
        <f>IFERROR(__xludf.DUMMYFUNCTION("""COMPUTED_VALUE"""),46430.0)</f>
        <v>46430</v>
      </c>
      <c r="G46" s="873" t="str">
        <f>IFERROR(__xludf.DUMMYFUNCTION("""COMPUTED_VALUE"""),"중도퇴실 ")</f>
        <v>중도퇴실 </v>
      </c>
      <c r="H46" s="873" t="str">
        <f>IFERROR(__xludf.DUMMYFUNCTION("""COMPUTED_VALUE"""),"공실")</f>
        <v>공실</v>
      </c>
      <c r="I46" s="879">
        <f>IFERROR(__xludf.DUMMYFUNCTION("""COMPUTED_VALUE"""),500000.0)</f>
        <v>500000</v>
      </c>
      <c r="J46" s="873"/>
      <c r="K46" s="873"/>
      <c r="L46" s="873"/>
      <c r="M46" s="873"/>
      <c r="N46" s="873"/>
      <c r="O46" s="873"/>
      <c r="P46" s="873"/>
      <c r="Q46" s="873"/>
      <c r="R46" s="873"/>
      <c r="S46" s="873"/>
      <c r="T46" s="873"/>
      <c r="U46" s="873"/>
      <c r="V46" s="873"/>
      <c r="W46" s="873"/>
      <c r="X46" s="873"/>
      <c r="Y46" s="873"/>
    </row>
    <row r="47">
      <c r="A47" s="873"/>
      <c r="B47" s="873" t="str">
        <f>IFERROR(__xludf.DUMMYFUNCTION("""COMPUTED_VALUE"""),"영등포구")</f>
        <v>영등포구</v>
      </c>
      <c r="C47" s="873" t="str">
        <f>IFERROR(__xludf.DUMMYFUNCTION("""COMPUTED_VALUE"""),"영이")</f>
        <v>영이</v>
      </c>
      <c r="D47" s="873" t="str">
        <f>IFERROR(__xludf.DUMMYFUNCTION("""COMPUTED_VALUE"""),"C-1) 2인실 왼")</f>
        <v>C-1) 2인실 왼</v>
      </c>
      <c r="E47" s="873" t="str">
        <f>IFERROR(__xludf.DUMMYFUNCTION("""COMPUTED_VALUE"""),"2인실")</f>
        <v>2인실</v>
      </c>
      <c r="F47" s="878"/>
      <c r="G47" s="873"/>
      <c r="H47" s="873" t="str">
        <f>IFERROR(__xludf.DUMMYFUNCTION("""COMPUTED_VALUE"""),"공실")</f>
        <v>공실</v>
      </c>
      <c r="I47" s="879">
        <f>IFERROR(__xludf.DUMMYFUNCTION("""COMPUTED_VALUE"""),420000.0)</f>
        <v>420000</v>
      </c>
      <c r="J47" s="873"/>
      <c r="K47" s="873"/>
      <c r="L47" s="873"/>
      <c r="M47" s="873"/>
      <c r="N47" s="873"/>
      <c r="O47" s="873"/>
      <c r="P47" s="873"/>
      <c r="Q47" s="873"/>
      <c r="R47" s="873"/>
      <c r="S47" s="873"/>
      <c r="T47" s="873"/>
      <c r="U47" s="873"/>
      <c r="V47" s="873"/>
      <c r="W47" s="873"/>
      <c r="X47" s="873"/>
      <c r="Y47" s="873"/>
    </row>
    <row r="48">
      <c r="A48" s="873"/>
      <c r="B48" s="873" t="str">
        <f>IFERROR(__xludf.DUMMYFUNCTION("""COMPUTED_VALUE"""),"영등포구")</f>
        <v>영등포구</v>
      </c>
      <c r="C48" s="873" t="str">
        <f>IFERROR(__xludf.DUMMYFUNCTION("""COMPUTED_VALUE"""),"영이")</f>
        <v>영이</v>
      </c>
      <c r="D48" s="873" t="str">
        <f>IFERROR(__xludf.DUMMYFUNCTION("""COMPUTED_VALUE"""),"C-2) 2인실 오")</f>
        <v>C-2) 2인실 오</v>
      </c>
      <c r="E48" s="873" t="str">
        <f>IFERROR(__xludf.DUMMYFUNCTION("""COMPUTED_VALUE"""),"2인실")</f>
        <v>2인실</v>
      </c>
      <c r="F48" s="878"/>
      <c r="G48" s="873"/>
      <c r="H48" s="873" t="str">
        <f>IFERROR(__xludf.DUMMYFUNCTION("""COMPUTED_VALUE"""),"공실")</f>
        <v>공실</v>
      </c>
      <c r="I48" s="879">
        <f>IFERROR(__xludf.DUMMYFUNCTION("""COMPUTED_VALUE"""),400000.0)</f>
        <v>400000</v>
      </c>
      <c r="J48" s="873"/>
      <c r="K48" s="873"/>
      <c r="L48" s="873"/>
      <c r="M48" s="873"/>
      <c r="N48" s="873"/>
      <c r="O48" s="873"/>
      <c r="P48" s="873"/>
      <c r="Q48" s="873"/>
      <c r="R48" s="873"/>
      <c r="S48" s="873"/>
      <c r="T48" s="873"/>
      <c r="U48" s="873"/>
      <c r="V48" s="873"/>
      <c r="W48" s="873"/>
      <c r="X48" s="873"/>
      <c r="Y48" s="873"/>
    </row>
    <row r="49">
      <c r="A49" s="873"/>
      <c r="B49" s="873" t="str">
        <f>IFERROR(__xludf.DUMMYFUNCTION("""COMPUTED_VALUE"""),"영등포구")</f>
        <v>영등포구</v>
      </c>
      <c r="C49" s="873" t="str">
        <f>IFERROR(__xludf.DUMMYFUNCTION("""COMPUTED_VALUE"""),"영영2")</f>
        <v>영영2</v>
      </c>
      <c r="D49" s="873" t="str">
        <f>IFERROR(__xludf.DUMMYFUNCTION("""COMPUTED_VALUE"""),"B-1) 2인실 왼 ")</f>
        <v>B-1) 2인실 왼 </v>
      </c>
      <c r="E49" s="873" t="str">
        <f>IFERROR(__xludf.DUMMYFUNCTION("""COMPUTED_VALUE"""),"2인실")</f>
        <v>2인실</v>
      </c>
      <c r="F49" s="878"/>
      <c r="G49" s="873"/>
      <c r="H49" s="873" t="str">
        <f>IFERROR(__xludf.DUMMYFUNCTION("""COMPUTED_VALUE"""),"공실")</f>
        <v>공실</v>
      </c>
      <c r="I49" s="879">
        <f>IFERROR(__xludf.DUMMYFUNCTION("""COMPUTED_VALUE"""),400000.0)</f>
        <v>400000</v>
      </c>
      <c r="J49" s="873"/>
      <c r="K49" s="873"/>
      <c r="L49" s="873"/>
      <c r="M49" s="873"/>
      <c r="N49" s="873"/>
      <c r="O49" s="873"/>
      <c r="P49" s="873"/>
      <c r="Q49" s="873"/>
      <c r="R49" s="873"/>
      <c r="S49" s="873"/>
      <c r="T49" s="873"/>
      <c r="U49" s="873"/>
      <c r="V49" s="873"/>
      <c r="W49" s="873"/>
      <c r="X49" s="873"/>
      <c r="Y49" s="873"/>
    </row>
    <row r="50">
      <c r="A50" s="873"/>
      <c r="B50" s="873" t="str">
        <f>IFERROR(__xludf.DUMMYFUNCTION("""COMPUTED_VALUE"""),"영등포구")</f>
        <v>영등포구</v>
      </c>
      <c r="C50" s="873" t="str">
        <f>IFERROR(__xludf.DUMMYFUNCTION("""COMPUTED_VALUE"""),"트리")</f>
        <v>트리</v>
      </c>
      <c r="D50" s="873" t="str">
        <f>IFERROR(__xludf.DUMMYFUNCTION("""COMPUTED_VALUE"""),"C-1) 2인실 왼")</f>
        <v>C-1) 2인실 왼</v>
      </c>
      <c r="E50" s="873" t="str">
        <f>IFERROR(__xludf.DUMMYFUNCTION("""COMPUTED_VALUE"""),"2인실")</f>
        <v>2인실</v>
      </c>
      <c r="F50" s="878">
        <f>IFERROR(__xludf.DUMMYFUNCTION("""COMPUTED_VALUE"""),46127.0)</f>
        <v>46127</v>
      </c>
      <c r="G50" s="873"/>
      <c r="H50" s="873" t="str">
        <f>IFERROR(__xludf.DUMMYFUNCTION("""COMPUTED_VALUE"""),"공실예정")</f>
        <v>공실예정</v>
      </c>
      <c r="I50" s="879">
        <f>IFERROR(__xludf.DUMMYFUNCTION("""COMPUTED_VALUE"""),420000.0)</f>
        <v>420000</v>
      </c>
      <c r="J50" s="873"/>
      <c r="K50" s="873"/>
      <c r="L50" s="873"/>
      <c r="M50" s="873"/>
      <c r="N50" s="873"/>
      <c r="O50" s="873"/>
      <c r="P50" s="873"/>
      <c r="Q50" s="873"/>
      <c r="R50" s="873"/>
      <c r="S50" s="873"/>
      <c r="T50" s="873"/>
      <c r="U50" s="873"/>
      <c r="V50" s="873"/>
      <c r="W50" s="873"/>
      <c r="X50" s="873"/>
      <c r="Y50" s="873"/>
    </row>
    <row r="51">
      <c r="A51" s="873"/>
      <c r="B51" s="873" t="str">
        <f>IFERROR(__xludf.DUMMYFUNCTION("""COMPUTED_VALUE"""),"영등포구")</f>
        <v>영등포구</v>
      </c>
      <c r="C51" s="873" t="str">
        <f>IFERROR(__xludf.DUMMYFUNCTION("""COMPUTED_VALUE"""),"트리")</f>
        <v>트리</v>
      </c>
      <c r="D51" s="873" t="str">
        <f>IFERROR(__xludf.DUMMYFUNCTION("""COMPUTED_VALUE"""),"C-2) 2인실 오")</f>
        <v>C-2) 2인실 오</v>
      </c>
      <c r="E51" s="873" t="str">
        <f>IFERROR(__xludf.DUMMYFUNCTION("""COMPUTED_VALUE"""),"2인실")</f>
        <v>2인실</v>
      </c>
      <c r="F51" s="878"/>
      <c r="G51" s="873"/>
      <c r="H51" s="873" t="str">
        <f>IFERROR(__xludf.DUMMYFUNCTION("""COMPUTED_VALUE"""),"공실예정")</f>
        <v>공실예정</v>
      </c>
      <c r="I51" s="879">
        <f>IFERROR(__xludf.DUMMYFUNCTION("""COMPUTED_VALUE"""),420000.0)</f>
        <v>420000</v>
      </c>
      <c r="J51" s="873"/>
      <c r="K51" s="873"/>
      <c r="L51" s="873"/>
      <c r="M51" s="873"/>
      <c r="N51" s="873"/>
      <c r="O51" s="873"/>
      <c r="P51" s="873"/>
      <c r="Q51" s="873"/>
      <c r="R51" s="873"/>
      <c r="S51" s="873"/>
      <c r="T51" s="873"/>
      <c r="U51" s="873"/>
      <c r="V51" s="873"/>
      <c r="W51" s="873"/>
      <c r="X51" s="873"/>
      <c r="Y51" s="873"/>
    </row>
    <row r="52">
      <c r="A52" s="873"/>
      <c r="B52" s="873"/>
      <c r="C52" s="873"/>
      <c r="D52" s="873"/>
      <c r="E52" s="873"/>
      <c r="F52" s="873"/>
      <c r="G52" s="873"/>
      <c r="H52" s="873"/>
      <c r="I52" s="873"/>
      <c r="J52" s="873"/>
      <c r="K52" s="873"/>
      <c r="L52" s="873"/>
      <c r="M52" s="873"/>
      <c r="N52" s="873"/>
      <c r="O52" s="873"/>
      <c r="P52" s="873"/>
      <c r="Q52" s="873"/>
      <c r="R52" s="873"/>
      <c r="S52" s="873"/>
      <c r="T52" s="873"/>
      <c r="U52" s="873"/>
      <c r="V52" s="873"/>
      <c r="W52" s="873"/>
      <c r="X52" s="873"/>
      <c r="Y52" s="873"/>
    </row>
    <row r="53">
      <c r="A53" s="873"/>
      <c r="B53" s="873"/>
      <c r="C53" s="873"/>
      <c r="D53" s="873"/>
      <c r="E53" s="873"/>
      <c r="F53" s="873"/>
      <c r="G53" s="873"/>
      <c r="H53" s="873"/>
      <c r="I53" s="873"/>
      <c r="J53" s="873"/>
      <c r="K53" s="873"/>
      <c r="L53" s="873"/>
      <c r="M53" s="873"/>
      <c r="N53" s="873"/>
      <c r="O53" s="873"/>
      <c r="P53" s="873"/>
      <c r="Q53" s="873"/>
      <c r="R53" s="873"/>
      <c r="S53" s="873"/>
      <c r="T53" s="873"/>
      <c r="U53" s="873"/>
      <c r="V53" s="873"/>
      <c r="W53" s="873"/>
      <c r="X53" s="873"/>
      <c r="Y53" s="873"/>
    </row>
    <row r="54">
      <c r="A54" s="873"/>
      <c r="B54" s="873"/>
      <c r="C54" s="873"/>
      <c r="D54" s="873"/>
      <c r="E54" s="873"/>
      <c r="F54" s="873"/>
      <c r="G54" s="873"/>
      <c r="H54" s="873"/>
      <c r="I54" s="873"/>
      <c r="J54" s="873"/>
      <c r="K54" s="873"/>
      <c r="L54" s="873"/>
      <c r="M54" s="873"/>
      <c r="N54" s="873"/>
      <c r="O54" s="873"/>
      <c r="P54" s="873"/>
      <c r="Q54" s="873"/>
      <c r="R54" s="873"/>
      <c r="S54" s="873"/>
      <c r="T54" s="873"/>
      <c r="U54" s="873"/>
      <c r="V54" s="873"/>
      <c r="W54" s="873"/>
      <c r="X54" s="873"/>
      <c r="Y54" s="873"/>
    </row>
    <row r="55">
      <c r="A55" s="873"/>
      <c r="B55" s="873"/>
      <c r="C55" s="873"/>
      <c r="D55" s="873"/>
      <c r="E55" s="873"/>
      <c r="F55" s="873"/>
      <c r="G55" s="873"/>
      <c r="H55" s="873"/>
      <c r="I55" s="873"/>
      <c r="J55" s="873"/>
      <c r="K55" s="873"/>
      <c r="L55" s="873"/>
      <c r="M55" s="873"/>
      <c r="N55" s="873"/>
      <c r="O55" s="873"/>
      <c r="P55" s="873"/>
      <c r="Q55" s="873"/>
      <c r="R55" s="873"/>
      <c r="S55" s="873"/>
      <c r="T55" s="873"/>
      <c r="U55" s="873"/>
      <c r="V55" s="873"/>
      <c r="W55" s="873"/>
      <c r="X55" s="873"/>
      <c r="Y55" s="873"/>
    </row>
    <row r="56">
      <c r="A56" s="873"/>
      <c r="B56" s="873"/>
      <c r="C56" s="873"/>
      <c r="D56" s="873"/>
      <c r="E56" s="873"/>
      <c r="F56" s="873"/>
      <c r="G56" s="873"/>
      <c r="H56" s="873"/>
      <c r="I56" s="873"/>
      <c r="J56" s="873"/>
      <c r="K56" s="873"/>
      <c r="L56" s="873"/>
      <c r="M56" s="873"/>
      <c r="N56" s="873"/>
      <c r="O56" s="873"/>
      <c r="P56" s="873"/>
      <c r="Q56" s="873"/>
      <c r="R56" s="873"/>
      <c r="S56" s="873"/>
      <c r="T56" s="873"/>
      <c r="U56" s="873"/>
      <c r="V56" s="873"/>
      <c r="W56" s="873"/>
      <c r="X56" s="873"/>
      <c r="Y56" s="873"/>
    </row>
    <row r="57">
      <c r="A57" s="873"/>
      <c r="B57" s="873"/>
      <c r="C57" s="873"/>
      <c r="D57" s="873"/>
      <c r="E57" s="873"/>
      <c r="F57" s="873"/>
      <c r="G57" s="873"/>
      <c r="H57" s="873"/>
      <c r="I57" s="873"/>
      <c r="J57" s="873"/>
      <c r="K57" s="873"/>
      <c r="L57" s="873"/>
      <c r="M57" s="873"/>
      <c r="N57" s="873"/>
      <c r="O57" s="873"/>
      <c r="P57" s="873"/>
      <c r="Q57" s="873"/>
      <c r="R57" s="873"/>
      <c r="S57" s="873"/>
      <c r="T57" s="873"/>
      <c r="U57" s="873"/>
      <c r="V57" s="873"/>
      <c r="W57" s="873"/>
      <c r="X57" s="873"/>
      <c r="Y57" s="873"/>
    </row>
    <row r="58">
      <c r="A58" s="873"/>
      <c r="B58" s="873"/>
      <c r="C58" s="873"/>
      <c r="D58" s="873"/>
      <c r="E58" s="873"/>
      <c r="F58" s="873"/>
      <c r="G58" s="873"/>
      <c r="H58" s="873"/>
      <c r="I58" s="873"/>
      <c r="J58" s="873"/>
      <c r="K58" s="873"/>
      <c r="L58" s="873"/>
      <c r="M58" s="873"/>
      <c r="N58" s="873"/>
      <c r="O58" s="873"/>
      <c r="P58" s="873"/>
      <c r="Q58" s="873"/>
      <c r="R58" s="873"/>
      <c r="S58" s="873"/>
      <c r="T58" s="873"/>
      <c r="U58" s="873"/>
      <c r="V58" s="873"/>
      <c r="W58" s="873"/>
      <c r="X58" s="873"/>
      <c r="Y58" s="873"/>
    </row>
    <row r="59">
      <c r="A59" s="873"/>
      <c r="B59" s="873"/>
      <c r="C59" s="873"/>
      <c r="D59" s="873"/>
      <c r="E59" s="873"/>
      <c r="F59" s="873"/>
      <c r="G59" s="873"/>
      <c r="H59" s="873"/>
      <c r="I59" s="873"/>
      <c r="J59" s="873"/>
      <c r="K59" s="873"/>
      <c r="L59" s="873"/>
      <c r="M59" s="873"/>
      <c r="N59" s="873"/>
      <c r="O59" s="873"/>
      <c r="P59" s="873"/>
      <c r="Q59" s="873"/>
      <c r="R59" s="873"/>
      <c r="S59" s="873"/>
      <c r="T59" s="873"/>
      <c r="U59" s="873"/>
      <c r="V59" s="873"/>
      <c r="W59" s="873"/>
      <c r="X59" s="873"/>
      <c r="Y59" s="873"/>
    </row>
    <row r="60">
      <c r="A60" s="873"/>
      <c r="B60" s="873"/>
      <c r="C60" s="873"/>
      <c r="D60" s="873"/>
      <c r="E60" s="873"/>
      <c r="F60" s="873"/>
      <c r="G60" s="873"/>
      <c r="H60" s="873"/>
      <c r="I60" s="873"/>
      <c r="J60" s="873"/>
      <c r="K60" s="873"/>
      <c r="L60" s="873"/>
      <c r="M60" s="873"/>
      <c r="N60" s="873"/>
      <c r="O60" s="873"/>
      <c r="P60" s="873"/>
      <c r="Q60" s="873"/>
      <c r="R60" s="873"/>
      <c r="S60" s="873"/>
      <c r="T60" s="873"/>
      <c r="U60" s="873"/>
      <c r="V60" s="873"/>
      <c r="W60" s="873"/>
      <c r="X60" s="873"/>
      <c r="Y60" s="873"/>
    </row>
    <row r="61">
      <c r="A61" s="873"/>
      <c r="B61" s="873"/>
      <c r="C61" s="873"/>
      <c r="D61" s="873"/>
      <c r="E61" s="873"/>
      <c r="F61" s="873"/>
      <c r="G61" s="873"/>
      <c r="H61" s="873"/>
      <c r="I61" s="873"/>
      <c r="J61" s="873"/>
      <c r="K61" s="873"/>
      <c r="L61" s="873"/>
      <c r="M61" s="873"/>
      <c r="N61" s="873"/>
      <c r="O61" s="873"/>
      <c r="P61" s="873"/>
      <c r="Q61" s="873"/>
      <c r="R61" s="873"/>
      <c r="S61" s="873"/>
      <c r="T61" s="873"/>
      <c r="U61" s="873"/>
      <c r="V61" s="873"/>
      <c r="W61" s="873"/>
      <c r="X61" s="873"/>
      <c r="Y61" s="873"/>
    </row>
    <row r="62">
      <c r="A62" s="873"/>
      <c r="B62" s="873"/>
      <c r="C62" s="873"/>
      <c r="D62" s="873"/>
      <c r="E62" s="873"/>
      <c r="F62" s="873"/>
      <c r="G62" s="873"/>
      <c r="H62" s="873"/>
      <c r="I62" s="873"/>
      <c r="J62" s="873"/>
      <c r="K62" s="873"/>
      <c r="L62" s="873"/>
      <c r="M62" s="873"/>
      <c r="N62" s="873"/>
      <c r="O62" s="873"/>
      <c r="P62" s="873"/>
      <c r="Q62" s="873"/>
      <c r="R62" s="873"/>
      <c r="S62" s="873"/>
      <c r="T62" s="873"/>
      <c r="U62" s="873"/>
      <c r="V62" s="873"/>
      <c r="W62" s="873"/>
      <c r="X62" s="873"/>
      <c r="Y62" s="873"/>
    </row>
    <row r="63">
      <c r="A63" s="873"/>
      <c r="B63" s="873"/>
      <c r="C63" s="873"/>
      <c r="D63" s="873"/>
      <c r="E63" s="873"/>
      <c r="F63" s="873"/>
      <c r="G63" s="873"/>
      <c r="H63" s="873"/>
      <c r="I63" s="873"/>
      <c r="J63" s="873"/>
      <c r="K63" s="873"/>
      <c r="L63" s="873"/>
      <c r="M63" s="873"/>
      <c r="N63" s="873"/>
      <c r="O63" s="873"/>
      <c r="P63" s="873"/>
      <c r="Q63" s="873"/>
      <c r="R63" s="873"/>
      <c r="S63" s="873"/>
      <c r="T63" s="873"/>
      <c r="U63" s="873"/>
      <c r="V63" s="873"/>
      <c r="W63" s="873"/>
      <c r="X63" s="873"/>
      <c r="Y63" s="873"/>
    </row>
    <row r="64">
      <c r="A64" s="873"/>
      <c r="B64" s="873"/>
      <c r="C64" s="873"/>
      <c r="D64" s="873"/>
      <c r="E64" s="873"/>
      <c r="F64" s="873"/>
      <c r="G64" s="873"/>
      <c r="H64" s="873"/>
      <c r="I64" s="873"/>
      <c r="J64" s="873"/>
      <c r="K64" s="873"/>
      <c r="L64" s="873"/>
      <c r="M64" s="873"/>
      <c r="N64" s="873"/>
      <c r="O64" s="873"/>
      <c r="P64" s="873"/>
      <c r="Q64" s="873"/>
      <c r="R64" s="873"/>
      <c r="S64" s="873"/>
      <c r="T64" s="873"/>
      <c r="U64" s="873"/>
      <c r="V64" s="873"/>
      <c r="W64" s="873"/>
      <c r="X64" s="873"/>
      <c r="Y64" s="873"/>
    </row>
    <row r="65">
      <c r="A65" s="873"/>
      <c r="B65" s="873"/>
      <c r="C65" s="873"/>
      <c r="D65" s="873"/>
      <c r="E65" s="873"/>
      <c r="F65" s="873"/>
      <c r="G65" s="873"/>
      <c r="H65" s="873"/>
      <c r="I65" s="873"/>
      <c r="J65" s="873"/>
      <c r="K65" s="873"/>
      <c r="L65" s="873"/>
      <c r="M65" s="873"/>
      <c r="N65" s="873"/>
      <c r="O65" s="873"/>
      <c r="P65" s="873"/>
      <c r="Q65" s="873"/>
      <c r="R65" s="873"/>
      <c r="S65" s="873"/>
      <c r="T65" s="873"/>
      <c r="U65" s="873"/>
      <c r="V65" s="873"/>
      <c r="W65" s="873"/>
      <c r="X65" s="873"/>
      <c r="Y65" s="873"/>
    </row>
    <row r="66">
      <c r="A66" s="873"/>
      <c r="B66" s="873"/>
      <c r="C66" s="873"/>
      <c r="D66" s="873"/>
      <c r="E66" s="873"/>
      <c r="F66" s="873"/>
      <c r="G66" s="873"/>
      <c r="H66" s="873"/>
      <c r="I66" s="873"/>
      <c r="J66" s="873"/>
      <c r="K66" s="873"/>
      <c r="L66" s="873"/>
      <c r="M66" s="873"/>
      <c r="N66" s="873"/>
      <c r="O66" s="873"/>
      <c r="P66" s="873"/>
      <c r="Q66" s="873"/>
      <c r="R66" s="873"/>
      <c r="S66" s="873"/>
      <c r="T66" s="873"/>
      <c r="U66" s="873"/>
      <c r="V66" s="873"/>
      <c r="W66" s="873"/>
      <c r="X66" s="873"/>
      <c r="Y66" s="873"/>
    </row>
    <row r="67">
      <c r="A67" s="873"/>
      <c r="B67" s="873"/>
      <c r="C67" s="873"/>
      <c r="D67" s="873"/>
      <c r="E67" s="873"/>
      <c r="F67" s="873"/>
      <c r="G67" s="873"/>
      <c r="H67" s="873"/>
      <c r="I67" s="873"/>
      <c r="J67" s="873"/>
      <c r="K67" s="873"/>
      <c r="L67" s="873"/>
      <c r="M67" s="873"/>
      <c r="N67" s="873"/>
      <c r="O67" s="873"/>
      <c r="P67" s="873"/>
      <c r="Q67" s="873"/>
      <c r="R67" s="873"/>
      <c r="S67" s="873"/>
      <c r="T67" s="873"/>
      <c r="U67" s="873"/>
      <c r="V67" s="873"/>
      <c r="W67" s="873"/>
      <c r="X67" s="873"/>
      <c r="Y67" s="873"/>
    </row>
    <row r="68">
      <c r="A68" s="873"/>
      <c r="B68" s="873"/>
      <c r="C68" s="873"/>
      <c r="D68" s="873"/>
      <c r="E68" s="873"/>
      <c r="F68" s="873"/>
      <c r="G68" s="873"/>
      <c r="H68" s="873"/>
      <c r="I68" s="873"/>
      <c r="J68" s="873"/>
      <c r="K68" s="873"/>
      <c r="L68" s="873"/>
      <c r="M68" s="873"/>
      <c r="N68" s="873"/>
      <c r="O68" s="873"/>
      <c r="P68" s="873"/>
      <c r="Q68" s="873"/>
      <c r="R68" s="873"/>
      <c r="S68" s="873"/>
      <c r="T68" s="873"/>
      <c r="U68" s="873"/>
      <c r="V68" s="873"/>
      <c r="W68" s="873"/>
      <c r="X68" s="873"/>
      <c r="Y68" s="873"/>
    </row>
    <row r="69">
      <c r="A69" s="873"/>
      <c r="B69" s="873"/>
      <c r="C69" s="873"/>
      <c r="D69" s="873"/>
      <c r="E69" s="873"/>
      <c r="F69" s="873"/>
      <c r="G69" s="873"/>
      <c r="H69" s="873"/>
      <c r="I69" s="873"/>
      <c r="J69" s="873"/>
      <c r="K69" s="873"/>
      <c r="L69" s="873"/>
      <c r="M69" s="873"/>
      <c r="N69" s="873"/>
      <c r="O69" s="873"/>
      <c r="P69" s="873"/>
      <c r="Q69" s="873"/>
      <c r="R69" s="873"/>
      <c r="S69" s="873"/>
      <c r="T69" s="873"/>
      <c r="U69" s="873"/>
      <c r="V69" s="873"/>
      <c r="W69" s="873"/>
      <c r="X69" s="873"/>
      <c r="Y69" s="873"/>
    </row>
    <row r="70">
      <c r="A70" s="873"/>
      <c r="B70" s="873"/>
      <c r="C70" s="873"/>
      <c r="D70" s="873"/>
      <c r="E70" s="873"/>
      <c r="F70" s="873"/>
      <c r="G70" s="873"/>
      <c r="H70" s="873"/>
      <c r="I70" s="873"/>
      <c r="J70" s="873"/>
      <c r="K70" s="873"/>
      <c r="L70" s="873"/>
      <c r="M70" s="873"/>
      <c r="N70" s="873"/>
      <c r="O70" s="873"/>
      <c r="P70" s="873"/>
      <c r="Q70" s="873"/>
      <c r="R70" s="873"/>
      <c r="S70" s="873"/>
      <c r="T70" s="873"/>
      <c r="U70" s="873"/>
      <c r="V70" s="873"/>
      <c r="W70" s="873"/>
      <c r="X70" s="873"/>
      <c r="Y70" s="873"/>
    </row>
    <row r="71">
      <c r="A71" s="873"/>
      <c r="B71" s="873"/>
      <c r="C71" s="873"/>
      <c r="D71" s="873"/>
      <c r="E71" s="873"/>
      <c r="F71" s="873"/>
      <c r="G71" s="873"/>
      <c r="H71" s="873"/>
      <c r="I71" s="873"/>
      <c r="J71" s="873"/>
      <c r="K71" s="873"/>
      <c r="L71" s="873"/>
      <c r="M71" s="873"/>
      <c r="N71" s="873"/>
      <c r="O71" s="873"/>
      <c r="P71" s="873"/>
      <c r="Q71" s="873"/>
      <c r="R71" s="873"/>
      <c r="S71" s="873"/>
      <c r="T71" s="873"/>
      <c r="U71" s="873"/>
      <c r="V71" s="873"/>
      <c r="W71" s="873"/>
      <c r="X71" s="873"/>
      <c r="Y71" s="873"/>
    </row>
    <row r="72">
      <c r="A72" s="873"/>
      <c r="B72" s="873"/>
      <c r="C72" s="873"/>
      <c r="D72" s="873"/>
      <c r="E72" s="873"/>
      <c r="F72" s="873"/>
      <c r="G72" s="873"/>
      <c r="H72" s="873"/>
      <c r="I72" s="873"/>
      <c r="J72" s="873"/>
      <c r="K72" s="873"/>
      <c r="L72" s="873"/>
      <c r="M72" s="873"/>
      <c r="N72" s="873"/>
      <c r="O72" s="873"/>
      <c r="P72" s="873"/>
      <c r="Q72" s="873"/>
      <c r="R72" s="873"/>
      <c r="S72" s="873"/>
      <c r="T72" s="873"/>
      <c r="U72" s="873"/>
      <c r="V72" s="873"/>
      <c r="W72" s="873"/>
      <c r="X72" s="873"/>
      <c r="Y72" s="873"/>
    </row>
    <row r="73">
      <c r="A73" s="873"/>
      <c r="B73" s="873"/>
      <c r="C73" s="873"/>
      <c r="D73" s="873"/>
      <c r="E73" s="873"/>
      <c r="F73" s="873"/>
      <c r="G73" s="873"/>
      <c r="H73" s="873"/>
      <c r="I73" s="873"/>
      <c r="J73" s="873"/>
      <c r="K73" s="873"/>
      <c r="L73" s="873"/>
      <c r="M73" s="873"/>
      <c r="N73" s="873"/>
      <c r="O73" s="873"/>
      <c r="P73" s="873"/>
      <c r="Q73" s="873"/>
      <c r="R73" s="873"/>
      <c r="S73" s="873"/>
      <c r="T73" s="873"/>
      <c r="U73" s="873"/>
      <c r="V73" s="873"/>
      <c r="W73" s="873"/>
      <c r="X73" s="873"/>
      <c r="Y73" s="873"/>
    </row>
    <row r="74">
      <c r="A74" s="873"/>
      <c r="B74" s="873"/>
      <c r="C74" s="873"/>
      <c r="D74" s="873"/>
      <c r="E74" s="873"/>
      <c r="F74" s="873"/>
      <c r="G74" s="873"/>
      <c r="H74" s="873"/>
      <c r="I74" s="873"/>
      <c r="J74" s="873"/>
      <c r="K74" s="873"/>
      <c r="L74" s="873"/>
      <c r="M74" s="873"/>
      <c r="N74" s="873"/>
      <c r="O74" s="873"/>
      <c r="P74" s="873"/>
      <c r="Q74" s="873"/>
      <c r="R74" s="873"/>
      <c r="S74" s="873"/>
      <c r="T74" s="873"/>
      <c r="U74" s="873"/>
      <c r="V74" s="873"/>
      <c r="W74" s="873"/>
      <c r="X74" s="873"/>
      <c r="Y74" s="873"/>
    </row>
    <row r="75">
      <c r="A75" s="873"/>
      <c r="B75" s="873"/>
      <c r="C75" s="873"/>
      <c r="D75" s="873"/>
      <c r="E75" s="873"/>
      <c r="F75" s="873"/>
      <c r="G75" s="873"/>
      <c r="H75" s="873"/>
      <c r="I75" s="873"/>
      <c r="J75" s="873"/>
      <c r="K75" s="873"/>
      <c r="L75" s="873"/>
      <c r="M75" s="873"/>
      <c r="N75" s="873"/>
      <c r="O75" s="873"/>
      <c r="P75" s="873"/>
      <c r="Q75" s="873"/>
      <c r="R75" s="873"/>
      <c r="S75" s="873"/>
      <c r="T75" s="873"/>
      <c r="U75" s="873"/>
      <c r="V75" s="873"/>
      <c r="W75" s="873"/>
      <c r="X75" s="873"/>
      <c r="Y75" s="873"/>
    </row>
    <row r="76">
      <c r="A76" s="873"/>
      <c r="B76" s="873"/>
      <c r="C76" s="873"/>
      <c r="D76" s="873"/>
      <c r="E76" s="873"/>
      <c r="F76" s="873"/>
      <c r="G76" s="873"/>
      <c r="H76" s="873"/>
      <c r="I76" s="873"/>
      <c r="J76" s="873"/>
      <c r="K76" s="873"/>
      <c r="L76" s="873"/>
      <c r="M76" s="873"/>
      <c r="N76" s="873"/>
      <c r="O76" s="873"/>
      <c r="P76" s="873"/>
      <c r="Q76" s="873"/>
      <c r="R76" s="873"/>
      <c r="S76" s="873"/>
      <c r="T76" s="873"/>
      <c r="U76" s="873"/>
      <c r="V76" s="873"/>
      <c r="W76" s="873"/>
      <c r="X76" s="873"/>
      <c r="Y76" s="873"/>
    </row>
    <row r="77">
      <c r="A77" s="873"/>
      <c r="B77" s="873"/>
      <c r="C77" s="873"/>
      <c r="D77" s="873"/>
      <c r="E77" s="873"/>
      <c r="F77" s="873"/>
      <c r="G77" s="873"/>
      <c r="H77" s="873"/>
      <c r="I77" s="873"/>
      <c r="J77" s="873"/>
      <c r="K77" s="873"/>
      <c r="L77" s="873"/>
      <c r="M77" s="873"/>
      <c r="N77" s="873"/>
      <c r="O77" s="873"/>
      <c r="P77" s="873"/>
      <c r="Q77" s="873"/>
      <c r="R77" s="873"/>
      <c r="S77" s="873"/>
      <c r="T77" s="873"/>
      <c r="U77" s="873"/>
      <c r="V77" s="873"/>
      <c r="W77" s="873"/>
      <c r="X77" s="873"/>
      <c r="Y77" s="873"/>
    </row>
    <row r="78">
      <c r="A78" s="873"/>
      <c r="B78" s="873"/>
      <c r="C78" s="873"/>
      <c r="D78" s="873"/>
      <c r="E78" s="873"/>
      <c r="F78" s="873"/>
      <c r="G78" s="873"/>
      <c r="H78" s="873"/>
      <c r="I78" s="873"/>
      <c r="J78" s="873"/>
      <c r="K78" s="873"/>
      <c r="L78" s="873"/>
      <c r="M78" s="873"/>
      <c r="N78" s="873"/>
      <c r="O78" s="873"/>
      <c r="P78" s="873"/>
      <c r="Q78" s="873"/>
      <c r="R78" s="873"/>
      <c r="S78" s="873"/>
      <c r="T78" s="873"/>
      <c r="U78" s="873"/>
      <c r="V78" s="873"/>
      <c r="W78" s="873"/>
      <c r="X78" s="873"/>
      <c r="Y78" s="873"/>
    </row>
    <row r="79">
      <c r="A79" s="873"/>
      <c r="B79" s="873"/>
      <c r="C79" s="873"/>
      <c r="D79" s="873"/>
      <c r="E79" s="873"/>
      <c r="F79" s="873"/>
      <c r="G79" s="873"/>
      <c r="H79" s="873"/>
      <c r="I79" s="873"/>
      <c r="J79" s="873"/>
      <c r="K79" s="873"/>
      <c r="L79" s="873"/>
      <c r="M79" s="873"/>
      <c r="N79" s="873"/>
      <c r="O79" s="873"/>
      <c r="P79" s="873"/>
      <c r="Q79" s="873"/>
      <c r="R79" s="873"/>
      <c r="S79" s="873"/>
      <c r="T79" s="873"/>
      <c r="U79" s="873"/>
      <c r="V79" s="873"/>
      <c r="W79" s="873"/>
      <c r="X79" s="873"/>
      <c r="Y79" s="873"/>
    </row>
    <row r="80">
      <c r="A80" s="873"/>
      <c r="B80" s="873"/>
      <c r="C80" s="873"/>
      <c r="D80" s="873"/>
      <c r="E80" s="873"/>
      <c r="F80" s="873"/>
      <c r="G80" s="873"/>
      <c r="H80" s="873"/>
      <c r="I80" s="873"/>
      <c r="J80" s="873"/>
      <c r="K80" s="873"/>
      <c r="L80" s="873"/>
      <c r="M80" s="873"/>
      <c r="N80" s="873"/>
      <c r="O80" s="873"/>
      <c r="P80" s="873"/>
      <c r="Q80" s="873"/>
      <c r="R80" s="873"/>
      <c r="S80" s="873"/>
      <c r="T80" s="873"/>
      <c r="U80" s="873"/>
      <c r="V80" s="873"/>
      <c r="W80" s="873"/>
      <c r="X80" s="873"/>
      <c r="Y80" s="873"/>
    </row>
    <row r="81">
      <c r="A81" s="873"/>
      <c r="B81" s="873"/>
      <c r="C81" s="873"/>
      <c r="D81" s="873"/>
      <c r="E81" s="873"/>
      <c r="F81" s="873"/>
      <c r="G81" s="873"/>
      <c r="H81" s="873"/>
      <c r="I81" s="873"/>
      <c r="J81" s="873"/>
      <c r="K81" s="873"/>
      <c r="L81" s="873"/>
      <c r="M81" s="873"/>
      <c r="N81" s="873"/>
      <c r="O81" s="873"/>
      <c r="P81" s="873"/>
      <c r="Q81" s="873"/>
      <c r="R81" s="873"/>
      <c r="S81" s="873"/>
      <c r="T81" s="873"/>
      <c r="U81" s="873"/>
      <c r="V81" s="873"/>
      <c r="W81" s="873"/>
      <c r="X81" s="873"/>
      <c r="Y81" s="873"/>
    </row>
    <row r="82">
      <c r="A82" s="873"/>
      <c r="B82" s="873"/>
      <c r="C82" s="873"/>
      <c r="D82" s="873"/>
      <c r="E82" s="873"/>
      <c r="F82" s="873"/>
      <c r="G82" s="873"/>
      <c r="H82" s="873"/>
      <c r="I82" s="873"/>
      <c r="J82" s="873"/>
      <c r="K82" s="873"/>
      <c r="L82" s="873"/>
      <c r="M82" s="873"/>
      <c r="N82" s="873"/>
      <c r="O82" s="873"/>
      <c r="P82" s="873"/>
      <c r="Q82" s="873"/>
      <c r="R82" s="873"/>
      <c r="S82" s="873"/>
      <c r="T82" s="873"/>
      <c r="U82" s="873"/>
      <c r="V82" s="873"/>
      <c r="W82" s="873"/>
      <c r="X82" s="873"/>
      <c r="Y82" s="873"/>
    </row>
    <row r="83">
      <c r="A83" s="873"/>
      <c r="B83" s="873"/>
      <c r="C83" s="873"/>
      <c r="D83" s="873"/>
      <c r="E83" s="873"/>
      <c r="F83" s="873"/>
      <c r="G83" s="873"/>
      <c r="H83" s="873"/>
      <c r="I83" s="873"/>
      <c r="J83" s="873"/>
      <c r="K83" s="873"/>
      <c r="L83" s="873"/>
      <c r="M83" s="873"/>
      <c r="N83" s="873"/>
      <c r="O83" s="873"/>
      <c r="P83" s="873"/>
      <c r="Q83" s="873"/>
      <c r="R83" s="873"/>
      <c r="S83" s="873"/>
      <c r="T83" s="873"/>
      <c r="U83" s="873"/>
      <c r="V83" s="873"/>
      <c r="W83" s="873"/>
      <c r="X83" s="873"/>
      <c r="Y83" s="873"/>
    </row>
    <row r="84">
      <c r="A84" s="873"/>
      <c r="B84" s="873"/>
      <c r="C84" s="873"/>
      <c r="D84" s="873"/>
      <c r="E84" s="873"/>
      <c r="F84" s="873"/>
      <c r="G84" s="873"/>
      <c r="H84" s="873"/>
      <c r="I84" s="873"/>
      <c r="J84" s="873"/>
      <c r="K84" s="873"/>
      <c r="L84" s="873"/>
      <c r="M84" s="873"/>
      <c r="N84" s="873"/>
      <c r="O84" s="873"/>
      <c r="P84" s="873"/>
      <c r="Q84" s="873"/>
      <c r="R84" s="873"/>
      <c r="S84" s="873"/>
      <c r="T84" s="873"/>
      <c r="U84" s="873"/>
      <c r="V84" s="873"/>
      <c r="W84" s="873"/>
      <c r="X84" s="873"/>
      <c r="Y84" s="873"/>
    </row>
    <row r="85">
      <c r="A85" s="873"/>
      <c r="B85" s="873"/>
      <c r="C85" s="873"/>
      <c r="D85" s="873"/>
      <c r="E85" s="873"/>
      <c r="F85" s="873"/>
      <c r="G85" s="873"/>
      <c r="H85" s="873"/>
      <c r="I85" s="873"/>
      <c r="J85" s="873"/>
      <c r="K85" s="873"/>
      <c r="L85" s="873"/>
      <c r="M85" s="873"/>
      <c r="N85" s="873"/>
      <c r="O85" s="873"/>
      <c r="P85" s="873"/>
      <c r="Q85" s="873"/>
      <c r="R85" s="873"/>
      <c r="S85" s="873"/>
      <c r="T85" s="873"/>
      <c r="U85" s="873"/>
      <c r="V85" s="873"/>
      <c r="W85" s="873"/>
      <c r="X85" s="873"/>
      <c r="Y85" s="873"/>
    </row>
    <row r="86">
      <c r="A86" s="873"/>
      <c r="B86" s="873"/>
      <c r="C86" s="873"/>
      <c r="D86" s="873"/>
      <c r="E86" s="873"/>
      <c r="F86" s="873"/>
      <c r="G86" s="873"/>
      <c r="H86" s="873"/>
      <c r="I86" s="873"/>
      <c r="J86" s="873"/>
      <c r="K86" s="873"/>
      <c r="L86" s="873"/>
      <c r="M86" s="873"/>
      <c r="N86" s="873"/>
      <c r="O86" s="873"/>
      <c r="P86" s="873"/>
      <c r="Q86" s="873"/>
      <c r="R86" s="873"/>
      <c r="S86" s="873"/>
      <c r="T86" s="873"/>
      <c r="U86" s="873"/>
      <c r="V86" s="873"/>
      <c r="W86" s="873"/>
      <c r="X86" s="873"/>
      <c r="Y86" s="873"/>
    </row>
    <row r="87">
      <c r="A87" s="873"/>
      <c r="B87" s="873"/>
      <c r="C87" s="873"/>
      <c r="D87" s="873"/>
      <c r="E87" s="873"/>
      <c r="F87" s="873"/>
      <c r="G87" s="873"/>
      <c r="H87" s="873"/>
      <c r="I87" s="873"/>
      <c r="J87" s="873"/>
      <c r="K87" s="873"/>
      <c r="L87" s="873"/>
      <c r="M87" s="873"/>
      <c r="N87" s="873"/>
      <c r="O87" s="873"/>
      <c r="P87" s="873"/>
      <c r="Q87" s="873"/>
      <c r="R87" s="873"/>
      <c r="S87" s="873"/>
      <c r="T87" s="873"/>
      <c r="U87" s="873"/>
      <c r="V87" s="873"/>
      <c r="W87" s="873"/>
      <c r="X87" s="873"/>
      <c r="Y87" s="873"/>
    </row>
    <row r="88">
      <c r="A88" s="873"/>
      <c r="B88" s="873"/>
      <c r="C88" s="873"/>
      <c r="D88" s="873"/>
      <c r="E88" s="873"/>
      <c r="F88" s="873"/>
      <c r="G88" s="873"/>
      <c r="H88" s="873"/>
      <c r="I88" s="873"/>
      <c r="J88" s="873"/>
      <c r="K88" s="873"/>
      <c r="L88" s="873"/>
      <c r="M88" s="873"/>
      <c r="N88" s="873"/>
      <c r="O88" s="873"/>
      <c r="P88" s="873"/>
      <c r="Q88" s="873"/>
      <c r="R88" s="873"/>
      <c r="S88" s="873"/>
      <c r="T88" s="873"/>
      <c r="U88" s="873"/>
      <c r="V88" s="873"/>
      <c r="W88" s="873"/>
      <c r="X88" s="873"/>
      <c r="Y88" s="873"/>
    </row>
    <row r="89">
      <c r="A89" s="873"/>
      <c r="B89" s="873"/>
      <c r="C89" s="873"/>
      <c r="D89" s="873"/>
      <c r="E89" s="873"/>
      <c r="F89" s="873"/>
      <c r="G89" s="873"/>
      <c r="H89" s="873"/>
      <c r="I89" s="873"/>
      <c r="J89" s="873"/>
      <c r="K89" s="873"/>
      <c r="L89" s="873"/>
      <c r="M89" s="873"/>
      <c r="N89" s="873"/>
      <c r="O89" s="873"/>
      <c r="P89" s="873"/>
      <c r="Q89" s="873"/>
      <c r="R89" s="873"/>
      <c r="S89" s="873"/>
      <c r="T89" s="873"/>
      <c r="U89" s="873"/>
      <c r="V89" s="873"/>
      <c r="W89" s="873"/>
      <c r="X89" s="873"/>
      <c r="Y89" s="873"/>
    </row>
    <row r="90">
      <c r="A90" s="873"/>
      <c r="B90" s="873"/>
      <c r="C90" s="873"/>
      <c r="D90" s="873"/>
      <c r="E90" s="873"/>
      <c r="F90" s="873"/>
      <c r="G90" s="873"/>
      <c r="H90" s="873"/>
      <c r="I90" s="873"/>
      <c r="J90" s="873"/>
      <c r="K90" s="873"/>
      <c r="L90" s="873"/>
      <c r="M90" s="873"/>
      <c r="N90" s="873"/>
      <c r="O90" s="873"/>
      <c r="P90" s="873"/>
      <c r="Q90" s="873"/>
      <c r="R90" s="873"/>
      <c r="S90" s="873"/>
      <c r="T90" s="873"/>
      <c r="U90" s="873"/>
      <c r="V90" s="873"/>
      <c r="W90" s="873"/>
      <c r="X90" s="873"/>
      <c r="Y90" s="873"/>
    </row>
    <row r="91">
      <c r="A91" s="873"/>
      <c r="B91" s="873"/>
      <c r="C91" s="873"/>
      <c r="D91" s="873"/>
      <c r="E91" s="873"/>
      <c r="F91" s="873"/>
      <c r="G91" s="873"/>
      <c r="H91" s="873"/>
      <c r="I91" s="873"/>
      <c r="J91" s="873"/>
      <c r="K91" s="873"/>
      <c r="L91" s="873"/>
      <c r="M91" s="873"/>
      <c r="N91" s="873"/>
      <c r="O91" s="873"/>
      <c r="P91" s="873"/>
      <c r="Q91" s="873"/>
      <c r="R91" s="873"/>
      <c r="S91" s="873"/>
      <c r="T91" s="873"/>
      <c r="U91" s="873"/>
      <c r="V91" s="873"/>
      <c r="W91" s="873"/>
      <c r="X91" s="873"/>
      <c r="Y91" s="873"/>
    </row>
    <row r="92">
      <c r="A92" s="873"/>
      <c r="B92" s="873"/>
      <c r="C92" s="873"/>
      <c r="D92" s="873"/>
      <c r="E92" s="873"/>
      <c r="F92" s="873"/>
      <c r="G92" s="873"/>
      <c r="H92" s="873"/>
      <c r="I92" s="873"/>
      <c r="J92" s="873"/>
      <c r="K92" s="873"/>
      <c r="L92" s="873"/>
      <c r="M92" s="873"/>
      <c r="N92" s="873"/>
      <c r="O92" s="873"/>
      <c r="P92" s="873"/>
      <c r="Q92" s="873"/>
      <c r="R92" s="873"/>
      <c r="S92" s="873"/>
      <c r="T92" s="873"/>
      <c r="U92" s="873"/>
      <c r="V92" s="873"/>
      <c r="W92" s="873"/>
      <c r="X92" s="873"/>
      <c r="Y92" s="873"/>
    </row>
    <row r="93">
      <c r="A93" s="873"/>
      <c r="B93" s="873"/>
      <c r="C93" s="873"/>
      <c r="D93" s="873"/>
      <c r="E93" s="873"/>
      <c r="F93" s="873"/>
      <c r="G93" s="873"/>
      <c r="H93" s="873"/>
      <c r="I93" s="873"/>
      <c r="J93" s="873"/>
      <c r="K93" s="873"/>
      <c r="L93" s="873"/>
      <c r="M93" s="873"/>
      <c r="N93" s="873"/>
      <c r="O93" s="873"/>
      <c r="P93" s="873"/>
      <c r="Q93" s="873"/>
      <c r="R93" s="873"/>
      <c r="S93" s="873"/>
      <c r="T93" s="873"/>
      <c r="U93" s="873"/>
      <c r="V93" s="873"/>
      <c r="W93" s="873"/>
      <c r="X93" s="873"/>
      <c r="Y93" s="873"/>
    </row>
    <row r="94">
      <c r="A94" s="873"/>
      <c r="B94" s="873"/>
      <c r="C94" s="873"/>
      <c r="D94" s="873"/>
      <c r="E94" s="873"/>
      <c r="F94" s="873"/>
      <c r="G94" s="873"/>
      <c r="H94" s="873"/>
      <c r="I94" s="873"/>
      <c r="J94" s="873"/>
      <c r="K94" s="873"/>
      <c r="L94" s="873"/>
      <c r="M94" s="873"/>
      <c r="N94" s="873"/>
      <c r="O94" s="873"/>
      <c r="P94" s="873"/>
      <c r="Q94" s="873"/>
      <c r="R94" s="873"/>
      <c r="S94" s="873"/>
      <c r="T94" s="873"/>
      <c r="U94" s="873"/>
      <c r="V94" s="873"/>
      <c r="W94" s="873"/>
      <c r="X94" s="873"/>
      <c r="Y94" s="873"/>
    </row>
    <row r="95">
      <c r="A95" s="873"/>
      <c r="B95" s="873"/>
      <c r="C95" s="873"/>
      <c r="D95" s="873"/>
      <c r="E95" s="873"/>
      <c r="F95" s="873"/>
      <c r="G95" s="873"/>
      <c r="H95" s="873"/>
      <c r="I95" s="873"/>
      <c r="J95" s="873"/>
      <c r="K95" s="873"/>
      <c r="L95" s="873"/>
      <c r="M95" s="873"/>
      <c r="N95" s="873"/>
      <c r="O95" s="873"/>
      <c r="P95" s="873"/>
      <c r="Q95" s="873"/>
      <c r="R95" s="873"/>
      <c r="S95" s="873"/>
      <c r="T95" s="873"/>
      <c r="U95" s="873"/>
      <c r="V95" s="873"/>
      <c r="W95" s="873"/>
      <c r="X95" s="873"/>
      <c r="Y95" s="873"/>
    </row>
    <row r="96">
      <c r="A96" s="873"/>
      <c r="B96" s="873"/>
      <c r="C96" s="873"/>
      <c r="D96" s="873"/>
      <c r="E96" s="873"/>
      <c r="F96" s="873"/>
      <c r="G96" s="873"/>
      <c r="H96" s="873"/>
      <c r="I96" s="873"/>
      <c r="J96" s="873"/>
      <c r="K96" s="873"/>
      <c r="L96" s="873"/>
      <c r="M96" s="873"/>
      <c r="N96" s="873"/>
      <c r="O96" s="873"/>
      <c r="P96" s="873"/>
      <c r="Q96" s="873"/>
      <c r="R96" s="873"/>
      <c r="S96" s="873"/>
      <c r="T96" s="873"/>
      <c r="U96" s="873"/>
      <c r="V96" s="873"/>
      <c r="W96" s="873"/>
      <c r="X96" s="873"/>
      <c r="Y96" s="873"/>
    </row>
    <row r="97">
      <c r="A97" s="873"/>
      <c r="B97" s="873"/>
      <c r="C97" s="873"/>
      <c r="D97" s="873"/>
      <c r="E97" s="873"/>
      <c r="F97" s="873"/>
      <c r="G97" s="873"/>
      <c r="H97" s="873"/>
      <c r="I97" s="873"/>
      <c r="J97" s="873"/>
      <c r="K97" s="873"/>
      <c r="L97" s="873"/>
      <c r="M97" s="873"/>
      <c r="N97" s="873"/>
      <c r="O97" s="873"/>
      <c r="P97" s="873"/>
      <c r="Q97" s="873"/>
      <c r="R97" s="873"/>
      <c r="S97" s="873"/>
      <c r="T97" s="873"/>
      <c r="U97" s="873"/>
      <c r="V97" s="873"/>
      <c r="W97" s="873"/>
      <c r="X97" s="873"/>
      <c r="Y97" s="873"/>
    </row>
    <row r="98">
      <c r="A98" s="873"/>
      <c r="B98" s="873"/>
      <c r="C98" s="873"/>
      <c r="D98" s="873"/>
      <c r="E98" s="873"/>
      <c r="F98" s="873"/>
      <c r="G98" s="873"/>
      <c r="H98" s="873"/>
      <c r="I98" s="873"/>
      <c r="J98" s="873"/>
      <c r="K98" s="873"/>
      <c r="L98" s="873"/>
      <c r="M98" s="873"/>
      <c r="N98" s="873"/>
      <c r="O98" s="873"/>
      <c r="P98" s="873"/>
      <c r="Q98" s="873"/>
      <c r="R98" s="873"/>
      <c r="S98" s="873"/>
      <c r="T98" s="873"/>
      <c r="U98" s="873"/>
      <c r="V98" s="873"/>
      <c r="W98" s="873"/>
      <c r="X98" s="873"/>
      <c r="Y98" s="873"/>
    </row>
    <row r="99">
      <c r="A99" s="873"/>
      <c r="B99" s="873"/>
      <c r="C99" s="873"/>
      <c r="D99" s="873"/>
      <c r="E99" s="873"/>
      <c r="F99" s="873"/>
      <c r="G99" s="873"/>
      <c r="H99" s="873"/>
      <c r="I99" s="873"/>
      <c r="J99" s="873"/>
      <c r="K99" s="873"/>
      <c r="L99" s="873"/>
      <c r="M99" s="873"/>
      <c r="N99" s="873"/>
      <c r="O99" s="873"/>
      <c r="P99" s="873"/>
      <c r="Q99" s="873"/>
      <c r="R99" s="873"/>
      <c r="S99" s="873"/>
      <c r="T99" s="873"/>
      <c r="U99" s="873"/>
      <c r="V99" s="873"/>
      <c r="W99" s="873"/>
      <c r="X99" s="873"/>
      <c r="Y99" s="873"/>
    </row>
    <row r="100">
      <c r="A100" s="873"/>
      <c r="B100" s="873"/>
      <c r="C100" s="873"/>
      <c r="D100" s="873"/>
      <c r="E100" s="873"/>
      <c r="F100" s="873"/>
      <c r="G100" s="873"/>
      <c r="H100" s="873"/>
      <c r="I100" s="873"/>
      <c r="J100" s="873"/>
      <c r="K100" s="873"/>
      <c r="L100" s="873"/>
      <c r="M100" s="873"/>
      <c r="N100" s="873"/>
      <c r="O100" s="873"/>
      <c r="P100" s="873"/>
      <c r="Q100" s="873"/>
      <c r="R100" s="873"/>
      <c r="S100" s="873"/>
      <c r="T100" s="873"/>
      <c r="U100" s="873"/>
      <c r="V100" s="873"/>
      <c r="W100" s="873"/>
      <c r="X100" s="873"/>
      <c r="Y100" s="873"/>
    </row>
    <row r="101">
      <c r="A101" s="873"/>
      <c r="B101" s="873"/>
      <c r="C101" s="873"/>
      <c r="D101" s="873"/>
      <c r="E101" s="873"/>
      <c r="F101" s="873"/>
      <c r="G101" s="873"/>
      <c r="H101" s="873"/>
      <c r="I101" s="873"/>
      <c r="J101" s="873"/>
      <c r="K101" s="873"/>
      <c r="L101" s="873"/>
      <c r="M101" s="873"/>
      <c r="N101" s="873"/>
      <c r="O101" s="873"/>
      <c r="P101" s="873"/>
      <c r="Q101" s="873"/>
      <c r="R101" s="873"/>
      <c r="S101" s="873"/>
      <c r="T101" s="873"/>
      <c r="U101" s="873"/>
      <c r="V101" s="873"/>
      <c r="W101" s="873"/>
      <c r="X101" s="873"/>
      <c r="Y101" s="873"/>
    </row>
    <row r="102">
      <c r="A102" s="873"/>
      <c r="B102" s="873"/>
      <c r="C102" s="873"/>
      <c r="D102" s="873"/>
      <c r="E102" s="873"/>
      <c r="F102" s="873"/>
      <c r="G102" s="873"/>
      <c r="H102" s="873"/>
      <c r="I102" s="873"/>
      <c r="J102" s="873"/>
      <c r="K102" s="873"/>
      <c r="L102" s="873"/>
      <c r="M102" s="873"/>
      <c r="N102" s="873"/>
      <c r="O102" s="873"/>
      <c r="P102" s="873"/>
      <c r="Q102" s="873"/>
      <c r="R102" s="873"/>
      <c r="S102" s="873"/>
      <c r="T102" s="873"/>
      <c r="U102" s="873"/>
      <c r="V102" s="873"/>
      <c r="W102" s="873"/>
      <c r="X102" s="873"/>
      <c r="Y102" s="873"/>
    </row>
    <row r="103">
      <c r="A103" s="873"/>
      <c r="B103" s="873"/>
      <c r="C103" s="873"/>
      <c r="D103" s="873"/>
      <c r="E103" s="873"/>
      <c r="F103" s="873"/>
      <c r="G103" s="873"/>
      <c r="H103" s="873"/>
      <c r="I103" s="873"/>
      <c r="J103" s="873"/>
      <c r="K103" s="873"/>
      <c r="L103" s="873"/>
      <c r="M103" s="873"/>
      <c r="N103" s="873"/>
      <c r="O103" s="873"/>
      <c r="P103" s="873"/>
      <c r="Q103" s="873"/>
      <c r="R103" s="873"/>
      <c r="S103" s="873"/>
      <c r="T103" s="873"/>
      <c r="U103" s="873"/>
      <c r="V103" s="873"/>
      <c r="W103" s="873"/>
      <c r="X103" s="873"/>
      <c r="Y103" s="873"/>
    </row>
    <row r="104">
      <c r="A104" s="873"/>
      <c r="B104" s="873"/>
      <c r="C104" s="873"/>
      <c r="D104" s="873"/>
      <c r="E104" s="873"/>
      <c r="F104" s="873"/>
      <c r="G104" s="873"/>
      <c r="H104" s="873"/>
      <c r="I104" s="873"/>
      <c r="J104" s="873"/>
      <c r="K104" s="873"/>
      <c r="L104" s="873"/>
      <c r="M104" s="873"/>
      <c r="N104" s="873"/>
      <c r="O104" s="873"/>
      <c r="P104" s="873"/>
      <c r="Q104" s="873"/>
      <c r="R104" s="873"/>
      <c r="S104" s="873"/>
      <c r="T104" s="873"/>
      <c r="U104" s="873"/>
      <c r="V104" s="873"/>
      <c r="W104" s="873"/>
      <c r="X104" s="873"/>
      <c r="Y104" s="873"/>
    </row>
    <row r="105">
      <c r="A105" s="873"/>
      <c r="B105" s="873"/>
      <c r="C105" s="873"/>
      <c r="D105" s="873"/>
      <c r="E105" s="873"/>
      <c r="F105" s="873"/>
      <c r="G105" s="873"/>
      <c r="H105" s="873"/>
      <c r="I105" s="873"/>
      <c r="J105" s="873"/>
      <c r="K105" s="873"/>
      <c r="L105" s="873"/>
      <c r="M105" s="873"/>
      <c r="N105" s="873"/>
      <c r="O105" s="873"/>
      <c r="P105" s="873"/>
      <c r="Q105" s="873"/>
      <c r="R105" s="873"/>
      <c r="S105" s="873"/>
      <c r="T105" s="873"/>
      <c r="U105" s="873"/>
      <c r="V105" s="873"/>
      <c r="W105" s="873"/>
      <c r="X105" s="873"/>
      <c r="Y105" s="873"/>
    </row>
    <row r="106">
      <c r="A106" s="873"/>
      <c r="B106" s="873"/>
      <c r="C106" s="873"/>
      <c r="D106" s="873"/>
      <c r="E106" s="873"/>
      <c r="F106" s="873"/>
      <c r="G106" s="873"/>
      <c r="H106" s="873"/>
      <c r="I106" s="873"/>
      <c r="J106" s="873"/>
      <c r="K106" s="873"/>
      <c r="L106" s="873"/>
      <c r="M106" s="873"/>
      <c r="N106" s="873"/>
      <c r="O106" s="873"/>
      <c r="P106" s="873"/>
      <c r="Q106" s="873"/>
      <c r="R106" s="873"/>
      <c r="S106" s="873"/>
      <c r="T106" s="873"/>
      <c r="U106" s="873"/>
      <c r="V106" s="873"/>
      <c r="W106" s="873"/>
      <c r="X106" s="873"/>
      <c r="Y106" s="873"/>
    </row>
    <row r="107">
      <c r="A107" s="873"/>
      <c r="B107" s="873"/>
      <c r="C107" s="873"/>
      <c r="D107" s="873"/>
      <c r="E107" s="873"/>
      <c r="F107" s="873"/>
      <c r="G107" s="873"/>
      <c r="H107" s="873"/>
      <c r="I107" s="873"/>
      <c r="J107" s="873"/>
      <c r="K107" s="873"/>
      <c r="L107" s="873"/>
      <c r="M107" s="873"/>
      <c r="N107" s="873"/>
      <c r="O107" s="873"/>
      <c r="P107" s="873"/>
      <c r="Q107" s="873"/>
      <c r="R107" s="873"/>
      <c r="S107" s="873"/>
      <c r="T107" s="873"/>
      <c r="U107" s="873"/>
      <c r="V107" s="873"/>
      <c r="W107" s="873"/>
      <c r="X107" s="873"/>
      <c r="Y107" s="873"/>
    </row>
    <row r="108">
      <c r="A108" s="873"/>
      <c r="B108" s="873"/>
      <c r="C108" s="873"/>
      <c r="D108" s="873"/>
      <c r="E108" s="873"/>
      <c r="F108" s="873"/>
      <c r="G108" s="873"/>
      <c r="H108" s="873"/>
      <c r="I108" s="873"/>
      <c r="J108" s="873"/>
      <c r="K108" s="873"/>
      <c r="L108" s="873"/>
      <c r="M108" s="873"/>
      <c r="N108" s="873"/>
      <c r="O108" s="873"/>
      <c r="P108" s="873"/>
      <c r="Q108" s="873"/>
      <c r="R108" s="873"/>
      <c r="S108" s="873"/>
      <c r="T108" s="873"/>
      <c r="U108" s="873"/>
      <c r="V108" s="873"/>
      <c r="W108" s="873"/>
      <c r="X108" s="873"/>
      <c r="Y108" s="873"/>
    </row>
    <row r="109">
      <c r="A109" s="873"/>
      <c r="B109" s="873"/>
      <c r="C109" s="873"/>
      <c r="D109" s="873"/>
      <c r="E109" s="873"/>
      <c r="F109" s="873"/>
      <c r="G109" s="873"/>
      <c r="H109" s="873"/>
      <c r="I109" s="873"/>
      <c r="J109" s="873"/>
      <c r="K109" s="873"/>
      <c r="L109" s="873"/>
      <c r="M109" s="873"/>
      <c r="N109" s="873"/>
      <c r="O109" s="873"/>
      <c r="P109" s="873"/>
      <c r="Q109" s="873"/>
      <c r="R109" s="873"/>
      <c r="S109" s="873"/>
      <c r="T109" s="873"/>
      <c r="U109" s="873"/>
      <c r="V109" s="873"/>
      <c r="W109" s="873"/>
      <c r="X109" s="873"/>
      <c r="Y109" s="873"/>
    </row>
    <row r="110">
      <c r="A110" s="873"/>
      <c r="B110" s="873"/>
      <c r="C110" s="873"/>
      <c r="D110" s="873"/>
      <c r="E110" s="873"/>
      <c r="F110" s="873"/>
      <c r="G110" s="873"/>
      <c r="H110" s="873"/>
      <c r="I110" s="873"/>
      <c r="J110" s="873"/>
      <c r="K110" s="873"/>
      <c r="L110" s="873"/>
      <c r="M110" s="873"/>
      <c r="N110" s="873"/>
      <c r="O110" s="873"/>
      <c r="P110" s="873"/>
      <c r="Q110" s="873"/>
      <c r="R110" s="873"/>
      <c r="S110" s="873"/>
      <c r="T110" s="873"/>
      <c r="U110" s="873"/>
      <c r="V110" s="873"/>
      <c r="W110" s="873"/>
      <c r="X110" s="873"/>
      <c r="Y110" s="873"/>
    </row>
    <row r="111">
      <c r="A111" s="873"/>
      <c r="B111" s="873"/>
      <c r="C111" s="873"/>
      <c r="D111" s="873"/>
      <c r="E111" s="873"/>
      <c r="F111" s="873"/>
      <c r="G111" s="873"/>
      <c r="H111" s="873"/>
      <c r="I111" s="873"/>
      <c r="J111" s="873"/>
      <c r="K111" s="873"/>
      <c r="L111" s="873"/>
      <c r="M111" s="873"/>
      <c r="N111" s="873"/>
      <c r="O111" s="873"/>
      <c r="P111" s="873"/>
      <c r="Q111" s="873"/>
      <c r="R111" s="873"/>
      <c r="S111" s="873"/>
      <c r="T111" s="873"/>
      <c r="U111" s="873"/>
      <c r="V111" s="873"/>
      <c r="W111" s="873"/>
      <c r="X111" s="873"/>
      <c r="Y111" s="873"/>
    </row>
    <row r="112">
      <c r="A112" s="873"/>
      <c r="B112" s="873"/>
      <c r="C112" s="873"/>
      <c r="D112" s="873"/>
      <c r="E112" s="873"/>
      <c r="F112" s="873"/>
      <c r="G112" s="873"/>
      <c r="H112" s="873"/>
      <c r="I112" s="873"/>
      <c r="J112" s="873"/>
      <c r="K112" s="873"/>
      <c r="L112" s="873"/>
      <c r="M112" s="873"/>
      <c r="N112" s="873"/>
      <c r="O112" s="873"/>
      <c r="P112" s="873"/>
      <c r="Q112" s="873"/>
      <c r="R112" s="873"/>
      <c r="S112" s="873"/>
      <c r="T112" s="873"/>
      <c r="U112" s="873"/>
      <c r="V112" s="873"/>
      <c r="W112" s="873"/>
      <c r="X112" s="873"/>
      <c r="Y112" s="873"/>
    </row>
    <row r="113">
      <c r="A113" s="873"/>
      <c r="B113" s="873"/>
      <c r="C113" s="873"/>
      <c r="D113" s="873"/>
      <c r="E113" s="873"/>
      <c r="F113" s="873"/>
      <c r="G113" s="873"/>
      <c r="H113" s="873"/>
      <c r="I113" s="873"/>
      <c r="J113" s="873"/>
      <c r="K113" s="873"/>
      <c r="L113" s="873"/>
      <c r="M113" s="873"/>
      <c r="N113" s="873"/>
      <c r="O113" s="873"/>
      <c r="P113" s="873"/>
      <c r="Q113" s="873"/>
      <c r="R113" s="873"/>
      <c r="S113" s="873"/>
      <c r="T113" s="873"/>
      <c r="U113" s="873"/>
      <c r="V113" s="873"/>
      <c r="W113" s="873"/>
      <c r="X113" s="873"/>
      <c r="Y113" s="873"/>
    </row>
    <row r="114">
      <c r="A114" s="873"/>
      <c r="B114" s="873"/>
      <c r="C114" s="873"/>
      <c r="D114" s="873"/>
      <c r="E114" s="873"/>
      <c r="F114" s="873"/>
      <c r="G114" s="873"/>
      <c r="H114" s="873"/>
      <c r="I114" s="873"/>
      <c r="J114" s="873"/>
      <c r="K114" s="873"/>
      <c r="L114" s="873"/>
      <c r="M114" s="873"/>
      <c r="N114" s="873"/>
      <c r="O114" s="873"/>
      <c r="P114" s="873"/>
      <c r="Q114" s="873"/>
      <c r="R114" s="873"/>
      <c r="S114" s="873"/>
      <c r="T114" s="873"/>
      <c r="U114" s="873"/>
      <c r="V114" s="873"/>
      <c r="W114" s="873"/>
      <c r="X114" s="873"/>
      <c r="Y114" s="873"/>
    </row>
    <row r="115">
      <c r="A115" s="873"/>
      <c r="B115" s="873"/>
      <c r="C115" s="873"/>
      <c r="D115" s="873"/>
      <c r="E115" s="873"/>
      <c r="F115" s="873"/>
      <c r="G115" s="873"/>
      <c r="H115" s="873"/>
      <c r="I115" s="873"/>
      <c r="J115" s="873"/>
      <c r="K115" s="873"/>
      <c r="L115" s="873"/>
      <c r="M115" s="873"/>
      <c r="N115" s="873"/>
      <c r="O115" s="873"/>
      <c r="P115" s="873"/>
      <c r="Q115" s="873"/>
      <c r="R115" s="873"/>
      <c r="S115" s="873"/>
      <c r="T115" s="873"/>
      <c r="U115" s="873"/>
      <c r="V115" s="873"/>
      <c r="W115" s="873"/>
      <c r="X115" s="873"/>
      <c r="Y115" s="873"/>
    </row>
    <row r="116">
      <c r="A116" s="873"/>
      <c r="B116" s="873"/>
      <c r="C116" s="873"/>
      <c r="D116" s="873"/>
      <c r="E116" s="873"/>
      <c r="F116" s="873"/>
      <c r="G116" s="873"/>
      <c r="H116" s="873"/>
      <c r="I116" s="873"/>
      <c r="J116" s="873"/>
      <c r="K116" s="873"/>
      <c r="L116" s="873"/>
      <c r="M116" s="873"/>
      <c r="N116" s="873"/>
      <c r="O116" s="873"/>
      <c r="P116" s="873"/>
      <c r="Q116" s="873"/>
      <c r="R116" s="873"/>
      <c r="S116" s="873"/>
      <c r="T116" s="873"/>
      <c r="U116" s="873"/>
      <c r="V116" s="873"/>
      <c r="W116" s="873"/>
      <c r="X116" s="873"/>
      <c r="Y116" s="873"/>
    </row>
    <row r="117">
      <c r="A117" s="873"/>
      <c r="B117" s="873"/>
      <c r="C117" s="873"/>
      <c r="D117" s="873"/>
      <c r="E117" s="873"/>
      <c r="F117" s="873"/>
      <c r="G117" s="873"/>
      <c r="H117" s="873"/>
      <c r="I117" s="873"/>
      <c r="J117" s="873"/>
      <c r="K117" s="873"/>
      <c r="L117" s="873"/>
      <c r="M117" s="873"/>
      <c r="N117" s="873"/>
      <c r="O117" s="873"/>
      <c r="P117" s="873"/>
      <c r="Q117" s="873"/>
      <c r="R117" s="873"/>
      <c r="S117" s="873"/>
      <c r="T117" s="873"/>
      <c r="U117" s="873"/>
      <c r="V117" s="873"/>
      <c r="W117" s="873"/>
      <c r="X117" s="873"/>
      <c r="Y117" s="873"/>
    </row>
    <row r="118">
      <c r="A118" s="873"/>
      <c r="B118" s="873"/>
      <c r="C118" s="873"/>
      <c r="D118" s="873"/>
      <c r="E118" s="873"/>
      <c r="F118" s="873"/>
      <c r="G118" s="873"/>
      <c r="H118" s="873"/>
      <c r="I118" s="873"/>
      <c r="J118" s="873"/>
      <c r="K118" s="873"/>
      <c r="L118" s="873"/>
      <c r="M118" s="873"/>
      <c r="N118" s="873"/>
      <c r="O118" s="873"/>
      <c r="P118" s="873"/>
      <c r="Q118" s="873"/>
      <c r="R118" s="873"/>
      <c r="S118" s="873"/>
      <c r="T118" s="873"/>
      <c r="U118" s="873"/>
      <c r="V118" s="873"/>
      <c r="W118" s="873"/>
      <c r="X118" s="873"/>
      <c r="Y118" s="873"/>
    </row>
    <row r="119">
      <c r="A119" s="873"/>
      <c r="B119" s="873"/>
      <c r="C119" s="873"/>
      <c r="D119" s="873"/>
      <c r="E119" s="873"/>
      <c r="F119" s="873"/>
      <c r="G119" s="873"/>
      <c r="H119" s="873"/>
      <c r="I119" s="873"/>
      <c r="J119" s="873"/>
      <c r="K119" s="873"/>
      <c r="L119" s="873"/>
      <c r="M119" s="873"/>
      <c r="N119" s="873"/>
      <c r="O119" s="873"/>
      <c r="P119" s="873"/>
      <c r="Q119" s="873"/>
      <c r="R119" s="873"/>
      <c r="S119" s="873"/>
      <c r="T119" s="873"/>
      <c r="U119" s="873"/>
      <c r="V119" s="873"/>
      <c r="W119" s="873"/>
      <c r="X119" s="873"/>
      <c r="Y119" s="873"/>
    </row>
    <row r="120">
      <c r="A120" s="873"/>
      <c r="B120" s="873"/>
      <c r="C120" s="873"/>
      <c r="D120" s="873"/>
      <c r="E120" s="873"/>
      <c r="F120" s="873"/>
      <c r="G120" s="873"/>
      <c r="H120" s="873"/>
      <c r="I120" s="873"/>
      <c r="J120" s="873"/>
      <c r="K120" s="873"/>
      <c r="L120" s="873"/>
      <c r="M120" s="873"/>
      <c r="N120" s="873"/>
      <c r="O120" s="873"/>
      <c r="P120" s="873"/>
      <c r="Q120" s="873"/>
      <c r="R120" s="873"/>
      <c r="S120" s="873"/>
      <c r="T120" s="873"/>
      <c r="U120" s="873"/>
      <c r="V120" s="873"/>
      <c r="W120" s="873"/>
      <c r="X120" s="873"/>
      <c r="Y120" s="873"/>
    </row>
    <row r="121">
      <c r="A121" s="873"/>
      <c r="B121" s="873"/>
      <c r="C121" s="873"/>
      <c r="D121" s="873"/>
      <c r="E121" s="873"/>
      <c r="F121" s="873"/>
      <c r="G121" s="873"/>
      <c r="H121" s="873"/>
      <c r="I121" s="873"/>
      <c r="J121" s="873"/>
      <c r="K121" s="873"/>
      <c r="L121" s="873"/>
      <c r="M121" s="873"/>
      <c r="N121" s="873"/>
      <c r="O121" s="873"/>
      <c r="P121" s="873"/>
      <c r="Q121" s="873"/>
      <c r="R121" s="873"/>
      <c r="S121" s="873"/>
      <c r="T121" s="873"/>
      <c r="U121" s="873"/>
      <c r="V121" s="873"/>
      <c r="W121" s="873"/>
      <c r="X121" s="873"/>
      <c r="Y121" s="873"/>
    </row>
    <row r="122">
      <c r="A122" s="873"/>
      <c r="B122" s="873"/>
      <c r="C122" s="873"/>
      <c r="D122" s="873"/>
      <c r="E122" s="873"/>
      <c r="F122" s="873"/>
      <c r="G122" s="873"/>
      <c r="H122" s="873"/>
      <c r="I122" s="873"/>
      <c r="J122" s="873"/>
      <c r="K122" s="873"/>
      <c r="L122" s="873"/>
      <c r="M122" s="873"/>
      <c r="N122" s="873"/>
      <c r="O122" s="873"/>
      <c r="P122" s="873"/>
      <c r="Q122" s="873"/>
      <c r="R122" s="873"/>
      <c r="S122" s="873"/>
      <c r="T122" s="873"/>
      <c r="U122" s="873"/>
      <c r="V122" s="873"/>
      <c r="W122" s="873"/>
      <c r="X122" s="873"/>
      <c r="Y122" s="873"/>
    </row>
    <row r="123">
      <c r="A123" s="873"/>
      <c r="B123" s="873"/>
      <c r="C123" s="873"/>
      <c r="D123" s="873"/>
      <c r="E123" s="873"/>
      <c r="F123" s="873"/>
      <c r="G123" s="873"/>
      <c r="H123" s="873"/>
      <c r="I123" s="873"/>
      <c r="J123" s="873"/>
      <c r="K123" s="873"/>
      <c r="L123" s="873"/>
      <c r="M123" s="873"/>
      <c r="N123" s="873"/>
      <c r="O123" s="873"/>
      <c r="P123" s="873"/>
      <c r="Q123" s="873"/>
      <c r="R123" s="873"/>
      <c r="S123" s="873"/>
      <c r="T123" s="873"/>
      <c r="U123" s="873"/>
      <c r="V123" s="873"/>
      <c r="W123" s="873"/>
      <c r="X123" s="873"/>
      <c r="Y123" s="873"/>
    </row>
    <row r="124">
      <c r="A124" s="873"/>
      <c r="B124" s="873"/>
      <c r="C124" s="873"/>
      <c r="D124" s="873"/>
      <c r="E124" s="873"/>
      <c r="F124" s="873"/>
      <c r="G124" s="873"/>
      <c r="H124" s="873"/>
      <c r="I124" s="873"/>
      <c r="J124" s="873"/>
      <c r="K124" s="873"/>
      <c r="L124" s="873"/>
      <c r="M124" s="873"/>
      <c r="N124" s="873"/>
      <c r="O124" s="873"/>
      <c r="P124" s="873"/>
      <c r="Q124" s="873"/>
      <c r="R124" s="873"/>
      <c r="S124" s="873"/>
      <c r="T124" s="873"/>
      <c r="U124" s="873"/>
      <c r="V124" s="873"/>
      <c r="W124" s="873"/>
      <c r="X124" s="873"/>
      <c r="Y124" s="873"/>
    </row>
    <row r="125">
      <c r="A125" s="873"/>
      <c r="B125" s="873"/>
      <c r="C125" s="873"/>
      <c r="D125" s="873"/>
      <c r="E125" s="873"/>
      <c r="F125" s="873"/>
      <c r="G125" s="873"/>
      <c r="H125" s="873"/>
      <c r="I125" s="873"/>
      <c r="J125" s="873"/>
      <c r="K125" s="873"/>
      <c r="L125" s="873"/>
      <c r="M125" s="873"/>
      <c r="N125" s="873"/>
      <c r="O125" s="873"/>
      <c r="P125" s="873"/>
      <c r="Q125" s="873"/>
      <c r="R125" s="873"/>
      <c r="S125" s="873"/>
      <c r="T125" s="873"/>
      <c r="U125" s="873"/>
      <c r="V125" s="873"/>
      <c r="W125" s="873"/>
      <c r="X125" s="873"/>
      <c r="Y125" s="873"/>
    </row>
    <row r="126">
      <c r="A126" s="873"/>
      <c r="B126" s="873"/>
      <c r="C126" s="873"/>
      <c r="D126" s="873"/>
      <c r="E126" s="873"/>
      <c r="F126" s="873"/>
      <c r="G126" s="873"/>
      <c r="H126" s="873"/>
      <c r="I126" s="873"/>
      <c r="J126" s="873"/>
      <c r="K126" s="873"/>
      <c r="L126" s="873"/>
      <c r="M126" s="873"/>
      <c r="N126" s="873"/>
      <c r="O126" s="873"/>
      <c r="P126" s="873"/>
      <c r="Q126" s="873"/>
      <c r="R126" s="873"/>
      <c r="S126" s="873"/>
      <c r="T126" s="873"/>
      <c r="U126" s="873"/>
      <c r="V126" s="873"/>
      <c r="W126" s="873"/>
      <c r="X126" s="873"/>
      <c r="Y126" s="873"/>
    </row>
    <row r="127">
      <c r="A127" s="873"/>
      <c r="B127" s="873"/>
      <c r="C127" s="873"/>
      <c r="D127" s="873"/>
      <c r="E127" s="873"/>
      <c r="F127" s="873"/>
      <c r="G127" s="873"/>
      <c r="H127" s="873"/>
      <c r="I127" s="873"/>
      <c r="J127" s="873"/>
      <c r="K127" s="873"/>
      <c r="L127" s="873"/>
      <c r="M127" s="873"/>
      <c r="N127" s="873"/>
      <c r="O127" s="873"/>
      <c r="P127" s="873"/>
      <c r="Q127" s="873"/>
      <c r="R127" s="873"/>
      <c r="S127" s="873"/>
      <c r="T127" s="873"/>
      <c r="U127" s="873"/>
      <c r="V127" s="873"/>
      <c r="W127" s="873"/>
      <c r="X127" s="873"/>
      <c r="Y127" s="873"/>
    </row>
    <row r="128">
      <c r="A128" s="873"/>
      <c r="B128" s="873"/>
      <c r="C128" s="873"/>
      <c r="D128" s="873"/>
      <c r="E128" s="873"/>
      <c r="F128" s="873"/>
      <c r="G128" s="873"/>
      <c r="H128" s="873"/>
      <c r="I128" s="873"/>
      <c r="J128" s="873"/>
      <c r="K128" s="873"/>
      <c r="L128" s="873"/>
      <c r="M128" s="873"/>
      <c r="N128" s="873"/>
      <c r="O128" s="873"/>
      <c r="P128" s="873"/>
      <c r="Q128" s="873"/>
      <c r="R128" s="873"/>
      <c r="S128" s="873"/>
      <c r="T128" s="873"/>
      <c r="U128" s="873"/>
      <c r="V128" s="873"/>
      <c r="W128" s="873"/>
      <c r="X128" s="873"/>
      <c r="Y128" s="873"/>
    </row>
    <row r="129">
      <c r="A129" s="873"/>
      <c r="B129" s="873"/>
      <c r="C129" s="873"/>
      <c r="D129" s="873"/>
      <c r="E129" s="873"/>
      <c r="F129" s="873"/>
      <c r="G129" s="873"/>
      <c r="H129" s="873"/>
      <c r="I129" s="873"/>
      <c r="J129" s="873"/>
      <c r="K129" s="873"/>
      <c r="L129" s="873"/>
      <c r="M129" s="873"/>
      <c r="N129" s="873"/>
      <c r="O129" s="873"/>
      <c r="P129" s="873"/>
      <c r="Q129" s="873"/>
      <c r="R129" s="873"/>
      <c r="S129" s="873"/>
      <c r="T129" s="873"/>
      <c r="U129" s="873"/>
      <c r="V129" s="873"/>
      <c r="W129" s="873"/>
      <c r="X129" s="873"/>
      <c r="Y129" s="873"/>
    </row>
    <row r="130">
      <c r="A130" s="873"/>
      <c r="B130" s="873"/>
      <c r="C130" s="873"/>
      <c r="D130" s="873"/>
      <c r="E130" s="873"/>
      <c r="F130" s="873"/>
      <c r="G130" s="873"/>
      <c r="H130" s="873"/>
      <c r="I130" s="873"/>
      <c r="J130" s="873"/>
      <c r="K130" s="873"/>
      <c r="L130" s="873"/>
      <c r="M130" s="873"/>
      <c r="N130" s="873"/>
      <c r="O130" s="873"/>
      <c r="P130" s="873"/>
      <c r="Q130" s="873"/>
      <c r="R130" s="873"/>
      <c r="S130" s="873"/>
      <c r="T130" s="873"/>
      <c r="U130" s="873"/>
      <c r="V130" s="873"/>
      <c r="W130" s="873"/>
      <c r="X130" s="873"/>
      <c r="Y130" s="873"/>
    </row>
    <row r="131">
      <c r="A131" s="873"/>
      <c r="B131" s="873"/>
      <c r="C131" s="873"/>
      <c r="D131" s="873"/>
      <c r="E131" s="873"/>
      <c r="F131" s="873"/>
      <c r="G131" s="873"/>
      <c r="H131" s="873"/>
      <c r="I131" s="873"/>
      <c r="J131" s="873"/>
      <c r="K131" s="873"/>
      <c r="L131" s="873"/>
      <c r="M131" s="873"/>
      <c r="N131" s="873"/>
      <c r="O131" s="873"/>
      <c r="P131" s="873"/>
      <c r="Q131" s="873"/>
      <c r="R131" s="873"/>
      <c r="S131" s="873"/>
      <c r="T131" s="873"/>
      <c r="U131" s="873"/>
      <c r="V131" s="873"/>
      <c r="W131" s="873"/>
      <c r="X131" s="873"/>
      <c r="Y131" s="873"/>
    </row>
    <row r="132">
      <c r="A132" s="873"/>
      <c r="B132" s="873"/>
      <c r="C132" s="873"/>
      <c r="D132" s="873"/>
      <c r="E132" s="873"/>
      <c r="F132" s="873"/>
      <c r="G132" s="873"/>
      <c r="H132" s="873"/>
      <c r="I132" s="873"/>
      <c r="J132" s="873"/>
      <c r="K132" s="873"/>
      <c r="L132" s="873"/>
      <c r="M132" s="873"/>
      <c r="N132" s="873"/>
      <c r="O132" s="873"/>
      <c r="P132" s="873"/>
      <c r="Q132" s="873"/>
      <c r="R132" s="873"/>
      <c r="S132" s="873"/>
      <c r="T132" s="873"/>
      <c r="U132" s="873"/>
      <c r="V132" s="873"/>
      <c r="W132" s="873"/>
      <c r="X132" s="873"/>
      <c r="Y132" s="873"/>
    </row>
    <row r="133">
      <c r="A133" s="873"/>
      <c r="B133" s="873"/>
      <c r="C133" s="873"/>
      <c r="D133" s="873"/>
      <c r="E133" s="873"/>
      <c r="F133" s="873"/>
      <c r="G133" s="873"/>
      <c r="H133" s="873"/>
      <c r="I133" s="873"/>
      <c r="J133" s="873"/>
      <c r="K133" s="873"/>
      <c r="L133" s="873"/>
      <c r="M133" s="873"/>
      <c r="N133" s="873"/>
      <c r="O133" s="873"/>
      <c r="P133" s="873"/>
      <c r="Q133" s="873"/>
      <c r="R133" s="873"/>
      <c r="S133" s="873"/>
      <c r="T133" s="873"/>
      <c r="U133" s="873"/>
      <c r="V133" s="873"/>
      <c r="W133" s="873"/>
      <c r="X133" s="873"/>
      <c r="Y133" s="873"/>
    </row>
    <row r="134">
      <c r="A134" s="873"/>
      <c r="B134" s="873"/>
      <c r="C134" s="873"/>
      <c r="D134" s="873"/>
      <c r="E134" s="873"/>
      <c r="F134" s="873"/>
      <c r="G134" s="873"/>
      <c r="H134" s="873"/>
      <c r="I134" s="873"/>
      <c r="J134" s="873"/>
      <c r="K134" s="873"/>
      <c r="L134" s="873"/>
      <c r="M134" s="873"/>
      <c r="N134" s="873"/>
      <c r="O134" s="873"/>
      <c r="P134" s="873"/>
      <c r="Q134" s="873"/>
      <c r="R134" s="873"/>
      <c r="S134" s="873"/>
      <c r="T134" s="873"/>
      <c r="U134" s="873"/>
      <c r="V134" s="873"/>
      <c r="W134" s="873"/>
      <c r="X134" s="873"/>
      <c r="Y134" s="873"/>
    </row>
    <row r="135">
      <c r="A135" s="873"/>
      <c r="B135" s="873"/>
      <c r="C135" s="873"/>
      <c r="D135" s="873"/>
      <c r="E135" s="873"/>
      <c r="F135" s="873"/>
      <c r="G135" s="873"/>
      <c r="H135" s="873"/>
      <c r="I135" s="873"/>
      <c r="J135" s="873"/>
      <c r="K135" s="873"/>
      <c r="L135" s="873"/>
      <c r="M135" s="873"/>
      <c r="N135" s="873"/>
      <c r="O135" s="873"/>
      <c r="P135" s="873"/>
      <c r="Q135" s="873"/>
      <c r="R135" s="873"/>
      <c r="S135" s="873"/>
      <c r="T135" s="873"/>
      <c r="U135" s="873"/>
      <c r="V135" s="873"/>
      <c r="W135" s="873"/>
      <c r="X135" s="873"/>
      <c r="Y135" s="873"/>
    </row>
    <row r="136">
      <c r="A136" s="873"/>
      <c r="B136" s="873"/>
      <c r="C136" s="873"/>
      <c r="D136" s="873"/>
      <c r="E136" s="873"/>
      <c r="F136" s="873"/>
      <c r="G136" s="873"/>
      <c r="H136" s="873"/>
      <c r="I136" s="873"/>
      <c r="J136" s="873"/>
      <c r="K136" s="873"/>
      <c r="L136" s="873"/>
      <c r="M136" s="873"/>
      <c r="N136" s="873"/>
      <c r="O136" s="873"/>
      <c r="P136" s="873"/>
      <c r="Q136" s="873"/>
      <c r="R136" s="873"/>
      <c r="S136" s="873"/>
      <c r="T136" s="873"/>
      <c r="U136" s="873"/>
      <c r="V136" s="873"/>
      <c r="W136" s="873"/>
      <c r="X136" s="873"/>
      <c r="Y136" s="873"/>
    </row>
    <row r="137">
      <c r="A137" s="873"/>
      <c r="B137" s="873"/>
      <c r="C137" s="873"/>
      <c r="D137" s="873"/>
      <c r="E137" s="873"/>
      <c r="F137" s="873"/>
      <c r="G137" s="873"/>
      <c r="H137" s="873"/>
      <c r="I137" s="873"/>
      <c r="J137" s="873"/>
      <c r="K137" s="873"/>
      <c r="L137" s="873"/>
      <c r="M137" s="873"/>
      <c r="N137" s="873"/>
      <c r="O137" s="873"/>
      <c r="P137" s="873"/>
      <c r="Q137" s="873"/>
      <c r="R137" s="873"/>
      <c r="S137" s="873"/>
      <c r="T137" s="873"/>
      <c r="U137" s="873"/>
      <c r="V137" s="873"/>
      <c r="W137" s="873"/>
      <c r="X137" s="873"/>
      <c r="Y137" s="873"/>
    </row>
    <row r="138">
      <c r="A138" s="873"/>
      <c r="B138" s="873"/>
      <c r="C138" s="873"/>
      <c r="D138" s="873"/>
      <c r="E138" s="873"/>
      <c r="F138" s="873"/>
      <c r="G138" s="873"/>
      <c r="H138" s="873"/>
      <c r="I138" s="873"/>
      <c r="J138" s="873"/>
      <c r="K138" s="873"/>
      <c r="L138" s="873"/>
      <c r="M138" s="873"/>
      <c r="N138" s="873"/>
      <c r="O138" s="873"/>
      <c r="P138" s="873"/>
      <c r="Q138" s="873"/>
      <c r="R138" s="873"/>
      <c r="S138" s="873"/>
      <c r="T138" s="873"/>
      <c r="U138" s="873"/>
      <c r="V138" s="873"/>
      <c r="W138" s="873"/>
      <c r="X138" s="873"/>
      <c r="Y138" s="873"/>
    </row>
    <row r="139">
      <c r="A139" s="873"/>
      <c r="B139" s="873"/>
      <c r="C139" s="873"/>
      <c r="D139" s="873"/>
      <c r="E139" s="873"/>
      <c r="F139" s="873"/>
      <c r="G139" s="873"/>
      <c r="H139" s="873"/>
      <c r="I139" s="873"/>
      <c r="J139" s="873"/>
      <c r="K139" s="873"/>
      <c r="L139" s="873"/>
      <c r="M139" s="873"/>
      <c r="N139" s="873"/>
      <c r="O139" s="873"/>
      <c r="P139" s="873"/>
      <c r="Q139" s="873"/>
      <c r="R139" s="873"/>
      <c r="S139" s="873"/>
      <c r="T139" s="873"/>
      <c r="U139" s="873"/>
      <c r="V139" s="873"/>
      <c r="W139" s="873"/>
      <c r="X139" s="873"/>
      <c r="Y139" s="873"/>
    </row>
    <row r="140">
      <c r="A140" s="873"/>
      <c r="B140" s="873"/>
      <c r="C140" s="873"/>
      <c r="D140" s="873"/>
      <c r="E140" s="873"/>
      <c r="F140" s="873"/>
      <c r="G140" s="873"/>
      <c r="H140" s="873"/>
      <c r="I140" s="873"/>
      <c r="J140" s="873"/>
      <c r="K140" s="873"/>
      <c r="L140" s="873"/>
      <c r="M140" s="873"/>
      <c r="N140" s="873"/>
      <c r="O140" s="873"/>
      <c r="P140" s="873"/>
      <c r="Q140" s="873"/>
      <c r="R140" s="873"/>
      <c r="S140" s="873"/>
      <c r="T140" s="873"/>
      <c r="U140" s="873"/>
      <c r="V140" s="873"/>
      <c r="W140" s="873"/>
      <c r="X140" s="873"/>
      <c r="Y140" s="873"/>
    </row>
    <row r="141">
      <c r="A141" s="873"/>
      <c r="B141" s="873"/>
      <c r="C141" s="873"/>
      <c r="D141" s="873"/>
      <c r="E141" s="873"/>
      <c r="F141" s="873"/>
      <c r="G141" s="873"/>
      <c r="H141" s="873"/>
      <c r="I141" s="873"/>
      <c r="J141" s="873"/>
      <c r="K141" s="873"/>
      <c r="L141" s="873"/>
      <c r="M141" s="873"/>
      <c r="N141" s="873"/>
      <c r="O141" s="873"/>
      <c r="P141" s="873"/>
      <c r="Q141" s="873"/>
      <c r="R141" s="873"/>
      <c r="S141" s="873"/>
      <c r="T141" s="873"/>
      <c r="U141" s="873"/>
      <c r="V141" s="873"/>
      <c r="W141" s="873"/>
      <c r="X141" s="873"/>
      <c r="Y141" s="873"/>
    </row>
    <row r="142">
      <c r="A142" s="873"/>
      <c r="B142" s="873"/>
      <c r="C142" s="873"/>
      <c r="D142" s="873"/>
      <c r="E142" s="873"/>
      <c r="F142" s="873"/>
      <c r="G142" s="873"/>
      <c r="H142" s="873"/>
      <c r="I142" s="873"/>
      <c r="J142" s="873"/>
      <c r="K142" s="873"/>
      <c r="L142" s="873"/>
      <c r="M142" s="873"/>
      <c r="N142" s="873"/>
      <c r="O142" s="873"/>
      <c r="P142" s="873"/>
      <c r="Q142" s="873"/>
      <c r="R142" s="873"/>
      <c r="S142" s="873"/>
      <c r="T142" s="873"/>
      <c r="U142" s="873"/>
      <c r="V142" s="873"/>
      <c r="W142" s="873"/>
      <c r="X142" s="873"/>
      <c r="Y142" s="873"/>
    </row>
    <row r="143">
      <c r="A143" s="873"/>
      <c r="B143" s="873"/>
      <c r="C143" s="873"/>
      <c r="D143" s="873"/>
      <c r="E143" s="873"/>
      <c r="F143" s="873"/>
      <c r="G143" s="873"/>
      <c r="H143" s="873"/>
      <c r="I143" s="873"/>
      <c r="J143" s="873"/>
      <c r="K143" s="873"/>
      <c r="L143" s="873"/>
      <c r="M143" s="873"/>
      <c r="N143" s="873"/>
      <c r="O143" s="873"/>
      <c r="P143" s="873"/>
      <c r="Q143" s="873"/>
      <c r="R143" s="873"/>
      <c r="S143" s="873"/>
      <c r="T143" s="873"/>
      <c r="U143" s="873"/>
      <c r="V143" s="873"/>
      <c r="W143" s="873"/>
      <c r="X143" s="873"/>
      <c r="Y143" s="873"/>
    </row>
    <row r="144">
      <c r="A144" s="873"/>
      <c r="B144" s="873"/>
      <c r="C144" s="873"/>
      <c r="D144" s="873"/>
      <c r="E144" s="873"/>
      <c r="F144" s="873"/>
      <c r="G144" s="873"/>
      <c r="H144" s="873"/>
      <c r="I144" s="873"/>
      <c r="J144" s="873"/>
      <c r="K144" s="873"/>
      <c r="L144" s="873"/>
      <c r="M144" s="873"/>
      <c r="N144" s="873"/>
      <c r="O144" s="873"/>
      <c r="P144" s="873"/>
      <c r="Q144" s="873"/>
      <c r="R144" s="873"/>
      <c r="S144" s="873"/>
      <c r="T144" s="873"/>
      <c r="U144" s="873"/>
      <c r="V144" s="873"/>
      <c r="W144" s="873"/>
      <c r="X144" s="873"/>
      <c r="Y144" s="873"/>
    </row>
    <row r="145">
      <c r="A145" s="873"/>
      <c r="B145" s="873"/>
      <c r="C145" s="873"/>
      <c r="D145" s="873"/>
      <c r="E145" s="873"/>
      <c r="F145" s="873"/>
      <c r="G145" s="873"/>
      <c r="H145" s="873"/>
      <c r="I145" s="873"/>
      <c r="J145" s="873"/>
      <c r="K145" s="873"/>
      <c r="L145" s="873"/>
      <c r="M145" s="873"/>
      <c r="N145" s="873"/>
      <c r="O145" s="873"/>
      <c r="P145" s="873"/>
      <c r="Q145" s="873"/>
      <c r="R145" s="873"/>
      <c r="S145" s="873"/>
      <c r="T145" s="873"/>
      <c r="U145" s="873"/>
      <c r="V145" s="873"/>
      <c r="W145" s="873"/>
      <c r="X145" s="873"/>
      <c r="Y145" s="873"/>
    </row>
    <row r="146">
      <c r="A146" s="873"/>
      <c r="B146" s="873"/>
      <c r="C146" s="873"/>
      <c r="D146" s="873"/>
      <c r="E146" s="873"/>
      <c r="F146" s="873"/>
      <c r="G146" s="873"/>
      <c r="H146" s="873"/>
      <c r="I146" s="873"/>
      <c r="J146" s="873"/>
      <c r="K146" s="873"/>
      <c r="L146" s="873"/>
      <c r="M146" s="873"/>
      <c r="N146" s="873"/>
      <c r="O146" s="873"/>
      <c r="P146" s="873"/>
      <c r="Q146" s="873"/>
      <c r="R146" s="873"/>
      <c r="S146" s="873"/>
      <c r="T146" s="873"/>
      <c r="U146" s="873"/>
      <c r="V146" s="873"/>
      <c r="W146" s="873"/>
      <c r="X146" s="873"/>
      <c r="Y146" s="873"/>
    </row>
    <row r="147">
      <c r="A147" s="873"/>
      <c r="B147" s="873"/>
      <c r="C147" s="873"/>
      <c r="D147" s="873"/>
      <c r="E147" s="873"/>
      <c r="F147" s="873"/>
      <c r="G147" s="873"/>
      <c r="H147" s="873"/>
      <c r="I147" s="873"/>
      <c r="J147" s="873"/>
      <c r="K147" s="873"/>
      <c r="L147" s="873"/>
      <c r="M147" s="873"/>
      <c r="N147" s="873"/>
      <c r="O147" s="873"/>
      <c r="P147" s="873"/>
      <c r="Q147" s="873"/>
      <c r="R147" s="873"/>
      <c r="S147" s="873"/>
      <c r="T147" s="873"/>
      <c r="U147" s="873"/>
      <c r="V147" s="873"/>
      <c r="W147" s="873"/>
      <c r="X147" s="873"/>
      <c r="Y147" s="873"/>
    </row>
    <row r="148">
      <c r="A148" s="873"/>
      <c r="B148" s="873"/>
      <c r="C148" s="873"/>
      <c r="D148" s="873"/>
      <c r="E148" s="873"/>
      <c r="F148" s="873"/>
      <c r="G148" s="873"/>
      <c r="H148" s="873"/>
      <c r="I148" s="873"/>
      <c r="J148" s="873"/>
      <c r="K148" s="873"/>
      <c r="L148" s="873"/>
      <c r="M148" s="873"/>
      <c r="N148" s="873"/>
      <c r="O148" s="873"/>
      <c r="P148" s="873"/>
      <c r="Q148" s="873"/>
      <c r="R148" s="873"/>
      <c r="S148" s="873"/>
      <c r="T148" s="873"/>
      <c r="U148" s="873"/>
      <c r="V148" s="873"/>
      <c r="W148" s="873"/>
      <c r="X148" s="873"/>
      <c r="Y148" s="873"/>
    </row>
    <row r="149">
      <c r="A149" s="873"/>
      <c r="B149" s="873"/>
      <c r="C149" s="873"/>
      <c r="D149" s="873"/>
      <c r="E149" s="873"/>
      <c r="F149" s="873"/>
      <c r="G149" s="873"/>
      <c r="H149" s="873"/>
      <c r="I149" s="873"/>
      <c r="J149" s="873"/>
      <c r="K149" s="873"/>
      <c r="L149" s="873"/>
      <c r="M149" s="873"/>
      <c r="N149" s="873"/>
      <c r="O149" s="873"/>
      <c r="P149" s="873"/>
      <c r="Q149" s="873"/>
      <c r="R149" s="873"/>
      <c r="S149" s="873"/>
      <c r="T149" s="873"/>
      <c r="U149" s="873"/>
      <c r="V149" s="873"/>
      <c r="W149" s="873"/>
      <c r="X149" s="873"/>
      <c r="Y149" s="873"/>
    </row>
    <row r="150">
      <c r="A150" s="873"/>
      <c r="B150" s="873"/>
      <c r="C150" s="873"/>
      <c r="D150" s="873"/>
      <c r="E150" s="873"/>
      <c r="F150" s="873"/>
      <c r="G150" s="873"/>
      <c r="H150" s="873"/>
      <c r="I150" s="873"/>
      <c r="J150" s="873"/>
      <c r="K150" s="873"/>
      <c r="L150" s="873"/>
      <c r="M150" s="873"/>
      <c r="N150" s="873"/>
      <c r="O150" s="873"/>
      <c r="P150" s="873"/>
      <c r="Q150" s="873"/>
      <c r="R150" s="873"/>
      <c r="S150" s="873"/>
      <c r="T150" s="873"/>
      <c r="U150" s="873"/>
      <c r="V150" s="873"/>
      <c r="W150" s="873"/>
      <c r="X150" s="873"/>
      <c r="Y150" s="873"/>
    </row>
    <row r="151">
      <c r="A151" s="873"/>
      <c r="B151" s="873"/>
      <c r="C151" s="873"/>
      <c r="D151" s="873"/>
      <c r="E151" s="873"/>
      <c r="F151" s="873"/>
      <c r="G151" s="873"/>
      <c r="H151" s="873"/>
      <c r="I151" s="873"/>
      <c r="J151" s="873"/>
      <c r="K151" s="873"/>
      <c r="L151" s="873"/>
      <c r="M151" s="873"/>
      <c r="N151" s="873"/>
      <c r="O151" s="873"/>
      <c r="P151" s="873"/>
      <c r="Q151" s="873"/>
      <c r="R151" s="873"/>
      <c r="S151" s="873"/>
      <c r="T151" s="873"/>
      <c r="U151" s="873"/>
      <c r="V151" s="873"/>
      <c r="W151" s="873"/>
      <c r="X151" s="873"/>
      <c r="Y151" s="873"/>
    </row>
    <row r="152">
      <c r="A152" s="873"/>
      <c r="B152" s="873"/>
      <c r="C152" s="873"/>
      <c r="D152" s="873"/>
      <c r="E152" s="873"/>
      <c r="F152" s="873"/>
      <c r="G152" s="873"/>
      <c r="H152" s="873"/>
      <c r="I152" s="873"/>
      <c r="J152" s="873"/>
      <c r="K152" s="873"/>
      <c r="L152" s="873"/>
      <c r="M152" s="873"/>
      <c r="N152" s="873"/>
      <c r="O152" s="873"/>
      <c r="P152" s="873"/>
      <c r="Q152" s="873"/>
      <c r="R152" s="873"/>
      <c r="S152" s="873"/>
      <c r="T152" s="873"/>
      <c r="U152" s="873"/>
      <c r="V152" s="873"/>
      <c r="W152" s="873"/>
      <c r="X152" s="873"/>
      <c r="Y152" s="873"/>
    </row>
    <row r="153">
      <c r="A153" s="873"/>
      <c r="B153" s="873"/>
      <c r="C153" s="873"/>
      <c r="D153" s="873"/>
      <c r="E153" s="873"/>
      <c r="F153" s="873"/>
      <c r="G153" s="873"/>
      <c r="H153" s="873"/>
      <c r="I153" s="873"/>
      <c r="J153" s="873"/>
      <c r="K153" s="873"/>
      <c r="L153" s="873"/>
      <c r="M153" s="873"/>
      <c r="N153" s="873"/>
      <c r="O153" s="873"/>
      <c r="P153" s="873"/>
      <c r="Q153" s="873"/>
      <c r="R153" s="873"/>
      <c r="S153" s="873"/>
      <c r="T153" s="873"/>
      <c r="U153" s="873"/>
      <c r="V153" s="873"/>
      <c r="W153" s="873"/>
      <c r="X153" s="873"/>
      <c r="Y153" s="873"/>
    </row>
    <row r="154">
      <c r="A154" s="873"/>
      <c r="B154" s="873"/>
      <c r="C154" s="873"/>
      <c r="D154" s="873"/>
      <c r="E154" s="873"/>
      <c r="F154" s="873"/>
      <c r="G154" s="873"/>
      <c r="H154" s="873"/>
      <c r="I154" s="873"/>
      <c r="J154" s="873"/>
      <c r="K154" s="873"/>
      <c r="L154" s="873"/>
      <c r="M154" s="873"/>
      <c r="N154" s="873"/>
      <c r="O154" s="873"/>
      <c r="P154" s="873"/>
      <c r="Q154" s="873"/>
      <c r="R154" s="873"/>
      <c r="S154" s="873"/>
      <c r="T154" s="873"/>
      <c r="U154" s="873"/>
      <c r="V154" s="873"/>
      <c r="W154" s="873"/>
      <c r="X154" s="873"/>
      <c r="Y154" s="873"/>
    </row>
    <row r="155">
      <c r="A155" s="873"/>
      <c r="B155" s="873"/>
      <c r="C155" s="873"/>
      <c r="D155" s="873"/>
      <c r="E155" s="873"/>
      <c r="F155" s="873"/>
      <c r="G155" s="873"/>
      <c r="H155" s="873"/>
      <c r="I155" s="873"/>
      <c r="J155" s="873"/>
      <c r="K155" s="873"/>
      <c r="L155" s="873"/>
      <c r="M155" s="873"/>
      <c r="N155" s="873"/>
      <c r="O155" s="873"/>
      <c r="P155" s="873"/>
      <c r="Q155" s="873"/>
      <c r="R155" s="873"/>
      <c r="S155" s="873"/>
      <c r="T155" s="873"/>
      <c r="U155" s="873"/>
      <c r="V155" s="873"/>
      <c r="W155" s="873"/>
      <c r="X155" s="873"/>
      <c r="Y155" s="873"/>
    </row>
    <row r="156">
      <c r="A156" s="873"/>
      <c r="B156" s="873"/>
      <c r="C156" s="873"/>
      <c r="D156" s="873"/>
      <c r="E156" s="873"/>
      <c r="F156" s="873"/>
      <c r="G156" s="873"/>
      <c r="H156" s="873"/>
      <c r="I156" s="873"/>
      <c r="J156" s="873"/>
      <c r="K156" s="873"/>
      <c r="L156" s="873"/>
      <c r="M156" s="873"/>
      <c r="N156" s="873"/>
      <c r="O156" s="873"/>
      <c r="P156" s="873"/>
      <c r="Q156" s="873"/>
      <c r="R156" s="873"/>
      <c r="S156" s="873"/>
      <c r="T156" s="873"/>
      <c r="U156" s="873"/>
      <c r="V156" s="873"/>
      <c r="W156" s="873"/>
      <c r="X156" s="873"/>
      <c r="Y156" s="873"/>
    </row>
    <row r="157">
      <c r="A157" s="873"/>
      <c r="B157" s="873"/>
      <c r="C157" s="873"/>
      <c r="D157" s="873"/>
      <c r="E157" s="873"/>
      <c r="F157" s="873"/>
      <c r="G157" s="873"/>
      <c r="H157" s="873"/>
      <c r="I157" s="873"/>
      <c r="J157" s="873"/>
      <c r="K157" s="873"/>
      <c r="L157" s="873"/>
      <c r="M157" s="873"/>
      <c r="N157" s="873"/>
      <c r="O157" s="873"/>
      <c r="P157" s="873"/>
      <c r="Q157" s="873"/>
      <c r="R157" s="873"/>
      <c r="S157" s="873"/>
      <c r="T157" s="873"/>
      <c r="U157" s="873"/>
      <c r="V157" s="873"/>
      <c r="W157" s="873"/>
      <c r="X157" s="873"/>
      <c r="Y157" s="873"/>
    </row>
    <row r="158">
      <c r="A158" s="873"/>
      <c r="B158" s="873"/>
      <c r="C158" s="873"/>
      <c r="D158" s="873"/>
      <c r="E158" s="873"/>
      <c r="F158" s="873"/>
      <c r="G158" s="873"/>
      <c r="H158" s="873"/>
      <c r="I158" s="873"/>
      <c r="J158" s="873"/>
      <c r="K158" s="873"/>
      <c r="L158" s="873"/>
      <c r="M158" s="873"/>
      <c r="N158" s="873"/>
      <c r="O158" s="873"/>
      <c r="P158" s="873"/>
      <c r="Q158" s="873"/>
      <c r="R158" s="873"/>
      <c r="S158" s="873"/>
      <c r="T158" s="873"/>
      <c r="U158" s="873"/>
      <c r="V158" s="873"/>
      <c r="W158" s="873"/>
      <c r="X158" s="873"/>
      <c r="Y158" s="873"/>
    </row>
    <row r="159">
      <c r="A159" s="873"/>
      <c r="B159" s="873"/>
      <c r="C159" s="873"/>
      <c r="D159" s="873"/>
      <c r="E159" s="873"/>
      <c r="F159" s="873"/>
      <c r="G159" s="873"/>
      <c r="H159" s="873"/>
      <c r="I159" s="873"/>
      <c r="J159" s="873"/>
      <c r="K159" s="873"/>
      <c r="L159" s="873"/>
      <c r="M159" s="873"/>
      <c r="N159" s="873"/>
      <c r="O159" s="873"/>
      <c r="P159" s="873"/>
      <c r="Q159" s="873"/>
      <c r="R159" s="873"/>
      <c r="S159" s="873"/>
      <c r="T159" s="873"/>
      <c r="U159" s="873"/>
      <c r="V159" s="873"/>
      <c r="W159" s="873"/>
      <c r="X159" s="873"/>
      <c r="Y159" s="873"/>
    </row>
    <row r="160">
      <c r="A160" s="873"/>
      <c r="B160" s="873"/>
      <c r="C160" s="873"/>
      <c r="D160" s="873"/>
      <c r="E160" s="873"/>
      <c r="F160" s="873"/>
      <c r="G160" s="873"/>
      <c r="H160" s="873"/>
      <c r="I160" s="873"/>
      <c r="J160" s="873"/>
      <c r="K160" s="873"/>
      <c r="L160" s="873"/>
      <c r="M160" s="873"/>
      <c r="N160" s="873"/>
      <c r="O160" s="873"/>
      <c r="P160" s="873"/>
      <c r="Q160" s="873"/>
      <c r="R160" s="873"/>
      <c r="S160" s="873"/>
      <c r="T160" s="873"/>
      <c r="U160" s="873"/>
      <c r="V160" s="873"/>
      <c r="W160" s="873"/>
      <c r="X160" s="873"/>
      <c r="Y160" s="873"/>
    </row>
    <row r="161">
      <c r="A161" s="873"/>
      <c r="B161" s="873"/>
      <c r="C161" s="873"/>
      <c r="D161" s="873"/>
      <c r="E161" s="873"/>
      <c r="F161" s="873"/>
      <c r="G161" s="873"/>
      <c r="H161" s="873"/>
      <c r="I161" s="873"/>
      <c r="J161" s="873"/>
      <c r="K161" s="873"/>
      <c r="L161" s="873"/>
      <c r="M161" s="873"/>
      <c r="N161" s="873"/>
      <c r="O161" s="873"/>
      <c r="P161" s="873"/>
      <c r="Q161" s="873"/>
      <c r="R161" s="873"/>
      <c r="S161" s="873"/>
      <c r="T161" s="873"/>
      <c r="U161" s="873"/>
      <c r="V161" s="873"/>
      <c r="W161" s="873"/>
      <c r="X161" s="873"/>
      <c r="Y161" s="873"/>
    </row>
    <row r="162">
      <c r="A162" s="873"/>
      <c r="B162" s="873"/>
      <c r="C162" s="873"/>
      <c r="D162" s="873"/>
      <c r="E162" s="873"/>
      <c r="F162" s="873"/>
      <c r="G162" s="873"/>
      <c r="H162" s="873"/>
      <c r="I162" s="873"/>
      <c r="J162" s="873"/>
      <c r="K162" s="873"/>
      <c r="L162" s="873"/>
      <c r="M162" s="873"/>
      <c r="N162" s="873"/>
      <c r="O162" s="873"/>
      <c r="P162" s="873"/>
      <c r="Q162" s="873"/>
      <c r="R162" s="873"/>
      <c r="S162" s="873"/>
      <c r="T162" s="873"/>
      <c r="U162" s="873"/>
      <c r="V162" s="873"/>
      <c r="W162" s="873"/>
      <c r="X162" s="873"/>
      <c r="Y162" s="873"/>
    </row>
    <row r="163">
      <c r="A163" s="873"/>
      <c r="B163" s="873"/>
      <c r="C163" s="873"/>
      <c r="D163" s="873"/>
      <c r="E163" s="873"/>
      <c r="F163" s="873"/>
      <c r="G163" s="873"/>
      <c r="H163" s="873"/>
      <c r="I163" s="873"/>
      <c r="J163" s="873"/>
      <c r="K163" s="873"/>
      <c r="L163" s="873"/>
      <c r="M163" s="873"/>
      <c r="N163" s="873"/>
      <c r="O163" s="873"/>
      <c r="P163" s="873"/>
      <c r="Q163" s="873"/>
      <c r="R163" s="873"/>
      <c r="S163" s="873"/>
      <c r="T163" s="873"/>
      <c r="U163" s="873"/>
      <c r="V163" s="873"/>
      <c r="W163" s="873"/>
      <c r="X163" s="873"/>
      <c r="Y163" s="873"/>
    </row>
    <row r="164">
      <c r="A164" s="873"/>
      <c r="B164" s="873"/>
      <c r="C164" s="873"/>
      <c r="D164" s="873"/>
      <c r="E164" s="873"/>
      <c r="F164" s="873"/>
      <c r="G164" s="873"/>
      <c r="H164" s="873"/>
      <c r="I164" s="873"/>
      <c r="J164" s="873"/>
      <c r="K164" s="873"/>
      <c r="L164" s="873"/>
      <c r="M164" s="873"/>
      <c r="N164" s="873"/>
      <c r="O164" s="873"/>
      <c r="P164" s="873"/>
      <c r="Q164" s="873"/>
      <c r="R164" s="873"/>
      <c r="S164" s="873"/>
      <c r="T164" s="873"/>
      <c r="U164" s="873"/>
      <c r="V164" s="873"/>
      <c r="W164" s="873"/>
      <c r="X164" s="873"/>
      <c r="Y164" s="873"/>
    </row>
    <row r="165">
      <c r="A165" s="873"/>
      <c r="B165" s="873"/>
      <c r="C165" s="873"/>
      <c r="D165" s="873"/>
      <c r="E165" s="873"/>
      <c r="F165" s="873"/>
      <c r="G165" s="873"/>
      <c r="H165" s="873"/>
      <c r="I165" s="873"/>
      <c r="J165" s="873"/>
      <c r="K165" s="873"/>
      <c r="L165" s="873"/>
      <c r="M165" s="873"/>
      <c r="N165" s="873"/>
      <c r="O165" s="873"/>
      <c r="P165" s="873"/>
      <c r="Q165" s="873"/>
      <c r="R165" s="873"/>
      <c r="S165" s="873"/>
      <c r="T165" s="873"/>
      <c r="U165" s="873"/>
      <c r="V165" s="873"/>
      <c r="W165" s="873"/>
      <c r="X165" s="873"/>
      <c r="Y165" s="873"/>
    </row>
    <row r="166">
      <c r="A166" s="873"/>
      <c r="B166" s="873"/>
      <c r="C166" s="873"/>
      <c r="D166" s="873"/>
      <c r="E166" s="873"/>
      <c r="F166" s="873"/>
      <c r="G166" s="873"/>
      <c r="H166" s="873"/>
      <c r="I166" s="873"/>
      <c r="J166" s="873"/>
      <c r="K166" s="873"/>
      <c r="L166" s="873"/>
      <c r="M166" s="873"/>
      <c r="N166" s="873"/>
      <c r="O166" s="873"/>
      <c r="P166" s="873"/>
      <c r="Q166" s="873"/>
      <c r="R166" s="873"/>
      <c r="S166" s="873"/>
      <c r="T166" s="873"/>
      <c r="U166" s="873"/>
      <c r="V166" s="873"/>
      <c r="W166" s="873"/>
      <c r="X166" s="873"/>
      <c r="Y166" s="873"/>
    </row>
    <row r="167">
      <c r="A167" s="873"/>
      <c r="B167" s="873"/>
      <c r="C167" s="873"/>
      <c r="D167" s="873"/>
      <c r="E167" s="873"/>
      <c r="F167" s="873"/>
      <c r="G167" s="873"/>
      <c r="H167" s="873"/>
      <c r="I167" s="873"/>
      <c r="J167" s="873"/>
      <c r="K167" s="873"/>
      <c r="L167" s="873"/>
      <c r="M167" s="873"/>
      <c r="N167" s="873"/>
      <c r="O167" s="873"/>
      <c r="P167" s="873"/>
      <c r="Q167" s="873"/>
      <c r="R167" s="873"/>
      <c r="S167" s="873"/>
      <c r="T167" s="873"/>
      <c r="U167" s="873"/>
      <c r="V167" s="873"/>
      <c r="W167" s="873"/>
      <c r="X167" s="873"/>
      <c r="Y167" s="873"/>
    </row>
    <row r="168">
      <c r="A168" s="873"/>
      <c r="B168" s="873"/>
      <c r="C168" s="873"/>
      <c r="D168" s="873"/>
      <c r="E168" s="873"/>
      <c r="F168" s="873"/>
      <c r="G168" s="873"/>
      <c r="H168" s="873"/>
      <c r="I168" s="873"/>
      <c r="J168" s="873"/>
      <c r="K168" s="873"/>
      <c r="L168" s="873"/>
      <c r="M168" s="873"/>
      <c r="N168" s="873"/>
      <c r="O168" s="873"/>
      <c r="P168" s="873"/>
      <c r="Q168" s="873"/>
      <c r="R168" s="873"/>
      <c r="S168" s="873"/>
      <c r="T168" s="873"/>
      <c r="U168" s="873"/>
      <c r="V168" s="873"/>
      <c r="W168" s="873"/>
      <c r="X168" s="873"/>
      <c r="Y168" s="873"/>
    </row>
    <row r="169">
      <c r="A169" s="873"/>
      <c r="B169" s="873"/>
      <c r="C169" s="873"/>
      <c r="D169" s="873"/>
      <c r="E169" s="873"/>
      <c r="F169" s="873"/>
      <c r="G169" s="873"/>
      <c r="H169" s="873"/>
      <c r="I169" s="873"/>
      <c r="J169" s="873"/>
      <c r="K169" s="873"/>
      <c r="L169" s="873"/>
      <c r="M169" s="873"/>
      <c r="N169" s="873"/>
      <c r="O169" s="873"/>
      <c r="P169" s="873"/>
      <c r="Q169" s="873"/>
      <c r="R169" s="873"/>
      <c r="S169" s="873"/>
      <c r="T169" s="873"/>
      <c r="U169" s="873"/>
      <c r="V169" s="873"/>
      <c r="W169" s="873"/>
      <c r="X169" s="873"/>
      <c r="Y169" s="873"/>
    </row>
    <row r="170">
      <c r="A170" s="873"/>
      <c r="B170" s="873"/>
      <c r="C170" s="873"/>
      <c r="D170" s="873"/>
      <c r="E170" s="873"/>
      <c r="F170" s="873"/>
      <c r="G170" s="873"/>
      <c r="H170" s="873"/>
      <c r="I170" s="873"/>
      <c r="J170" s="873"/>
      <c r="K170" s="873"/>
      <c r="L170" s="873"/>
      <c r="M170" s="873"/>
      <c r="N170" s="873"/>
      <c r="O170" s="873"/>
      <c r="P170" s="873"/>
      <c r="Q170" s="873"/>
      <c r="R170" s="873"/>
      <c r="S170" s="873"/>
      <c r="T170" s="873"/>
      <c r="U170" s="873"/>
      <c r="V170" s="873"/>
      <c r="W170" s="873"/>
      <c r="X170" s="873"/>
      <c r="Y170" s="873"/>
    </row>
    <row r="171">
      <c r="A171" s="873"/>
      <c r="B171" s="873"/>
      <c r="C171" s="873"/>
      <c r="D171" s="873"/>
      <c r="E171" s="873"/>
      <c r="F171" s="873"/>
      <c r="G171" s="873"/>
      <c r="H171" s="873"/>
      <c r="I171" s="873"/>
      <c r="J171" s="873"/>
      <c r="K171" s="873"/>
      <c r="L171" s="873"/>
      <c r="M171" s="873"/>
      <c r="N171" s="873"/>
      <c r="O171" s="873"/>
      <c r="P171" s="873"/>
      <c r="Q171" s="873"/>
      <c r="R171" s="873"/>
      <c r="S171" s="873"/>
      <c r="T171" s="873"/>
      <c r="U171" s="873"/>
      <c r="V171" s="873"/>
      <c r="W171" s="873"/>
      <c r="X171" s="873"/>
      <c r="Y171" s="873"/>
    </row>
    <row r="172">
      <c r="A172" s="873"/>
      <c r="B172" s="873"/>
      <c r="C172" s="873"/>
      <c r="D172" s="873"/>
      <c r="E172" s="873"/>
      <c r="F172" s="873"/>
      <c r="G172" s="873"/>
      <c r="H172" s="873"/>
      <c r="I172" s="873"/>
      <c r="J172" s="873"/>
      <c r="K172" s="873"/>
      <c r="L172" s="873"/>
      <c r="M172" s="873"/>
      <c r="N172" s="873"/>
      <c r="O172" s="873"/>
      <c r="P172" s="873"/>
      <c r="Q172" s="873"/>
      <c r="R172" s="873"/>
      <c r="S172" s="873"/>
      <c r="T172" s="873"/>
      <c r="U172" s="873"/>
      <c r="V172" s="873"/>
      <c r="W172" s="873"/>
      <c r="X172" s="873"/>
      <c r="Y172" s="873"/>
    </row>
    <row r="173">
      <c r="A173" s="873"/>
      <c r="B173" s="873"/>
      <c r="C173" s="873"/>
      <c r="D173" s="873"/>
      <c r="E173" s="873"/>
      <c r="F173" s="873"/>
      <c r="G173" s="873"/>
      <c r="H173" s="873"/>
      <c r="I173" s="873"/>
      <c r="J173" s="873"/>
      <c r="K173" s="873"/>
      <c r="L173" s="873"/>
      <c r="M173" s="873"/>
      <c r="N173" s="873"/>
      <c r="O173" s="873"/>
      <c r="P173" s="873"/>
      <c r="Q173" s="873"/>
      <c r="R173" s="873"/>
      <c r="S173" s="873"/>
      <c r="T173" s="873"/>
      <c r="U173" s="873"/>
      <c r="V173" s="873"/>
      <c r="W173" s="873"/>
      <c r="X173" s="873"/>
      <c r="Y173" s="873"/>
    </row>
    <row r="174">
      <c r="A174" s="873"/>
      <c r="B174" s="873"/>
      <c r="C174" s="873"/>
      <c r="D174" s="873"/>
      <c r="E174" s="873"/>
      <c r="F174" s="873"/>
      <c r="G174" s="873"/>
      <c r="H174" s="873"/>
      <c r="I174" s="873"/>
      <c r="J174" s="873"/>
      <c r="K174" s="873"/>
      <c r="L174" s="873"/>
      <c r="M174" s="873"/>
      <c r="N174" s="873"/>
      <c r="O174" s="873"/>
      <c r="P174" s="873"/>
      <c r="Q174" s="873"/>
      <c r="R174" s="873"/>
      <c r="S174" s="873"/>
      <c r="T174" s="873"/>
      <c r="U174" s="873"/>
      <c r="V174" s="873"/>
      <c r="W174" s="873"/>
      <c r="X174" s="873"/>
      <c r="Y174" s="873"/>
    </row>
    <row r="175">
      <c r="A175" s="873"/>
      <c r="B175" s="873"/>
      <c r="C175" s="873"/>
      <c r="D175" s="873"/>
      <c r="E175" s="873"/>
      <c r="F175" s="873"/>
      <c r="G175" s="873"/>
      <c r="H175" s="873"/>
      <c r="I175" s="873"/>
      <c r="J175" s="873"/>
      <c r="K175" s="873"/>
      <c r="L175" s="873"/>
      <c r="M175" s="873"/>
      <c r="N175" s="873"/>
      <c r="O175" s="873"/>
      <c r="P175" s="873"/>
      <c r="Q175" s="873"/>
      <c r="R175" s="873"/>
      <c r="S175" s="873"/>
      <c r="T175" s="873"/>
      <c r="U175" s="873"/>
      <c r="V175" s="873"/>
      <c r="W175" s="873"/>
      <c r="X175" s="873"/>
      <c r="Y175" s="873"/>
    </row>
    <row r="176">
      <c r="A176" s="873"/>
      <c r="B176" s="873"/>
      <c r="C176" s="873"/>
      <c r="D176" s="873"/>
      <c r="E176" s="873"/>
      <c r="F176" s="873"/>
      <c r="G176" s="873"/>
      <c r="H176" s="873"/>
      <c r="I176" s="873"/>
      <c r="J176" s="873"/>
      <c r="K176" s="873"/>
      <c r="L176" s="873"/>
      <c r="M176" s="873"/>
      <c r="N176" s="873"/>
      <c r="O176" s="873"/>
      <c r="P176" s="873"/>
      <c r="Q176" s="873"/>
      <c r="R176" s="873"/>
      <c r="S176" s="873"/>
      <c r="T176" s="873"/>
      <c r="U176" s="873"/>
      <c r="V176" s="873"/>
      <c r="W176" s="873"/>
      <c r="X176" s="873"/>
      <c r="Y176" s="873"/>
    </row>
    <row r="177">
      <c r="A177" s="873"/>
      <c r="B177" s="873"/>
      <c r="C177" s="873"/>
      <c r="D177" s="873"/>
      <c r="E177" s="873"/>
      <c r="F177" s="873"/>
      <c r="G177" s="873"/>
      <c r="H177" s="873"/>
      <c r="I177" s="873"/>
      <c r="J177" s="873"/>
      <c r="K177" s="873"/>
      <c r="L177" s="873"/>
      <c r="M177" s="873"/>
      <c r="N177" s="873"/>
      <c r="O177" s="873"/>
      <c r="P177" s="873"/>
      <c r="Q177" s="873"/>
      <c r="R177" s="873"/>
      <c r="S177" s="873"/>
      <c r="T177" s="873"/>
      <c r="U177" s="873"/>
      <c r="V177" s="873"/>
      <c r="W177" s="873"/>
      <c r="X177" s="873"/>
      <c r="Y177" s="873"/>
    </row>
    <row r="178">
      <c r="A178" s="873"/>
      <c r="B178" s="873"/>
      <c r="C178" s="873"/>
      <c r="D178" s="873"/>
      <c r="E178" s="873"/>
      <c r="F178" s="873"/>
      <c r="G178" s="873"/>
      <c r="H178" s="873"/>
      <c r="I178" s="873"/>
      <c r="J178" s="873"/>
      <c r="K178" s="873"/>
      <c r="L178" s="873"/>
      <c r="M178" s="873"/>
      <c r="N178" s="873"/>
      <c r="O178" s="873"/>
      <c r="P178" s="873"/>
      <c r="Q178" s="873"/>
      <c r="R178" s="873"/>
      <c r="S178" s="873"/>
      <c r="T178" s="873"/>
      <c r="U178" s="873"/>
      <c r="V178" s="873"/>
      <c r="W178" s="873"/>
      <c r="X178" s="873"/>
      <c r="Y178" s="873"/>
    </row>
    <row r="179">
      <c r="A179" s="873"/>
      <c r="B179" s="873"/>
      <c r="C179" s="873"/>
      <c r="D179" s="873"/>
      <c r="E179" s="873"/>
      <c r="F179" s="873"/>
      <c r="G179" s="873"/>
      <c r="H179" s="873"/>
      <c r="I179" s="873"/>
      <c r="J179" s="873"/>
      <c r="K179" s="873"/>
      <c r="L179" s="873"/>
      <c r="M179" s="873"/>
      <c r="N179" s="873"/>
      <c r="O179" s="873"/>
      <c r="P179" s="873"/>
      <c r="Q179" s="873"/>
      <c r="R179" s="873"/>
      <c r="S179" s="873"/>
      <c r="T179" s="873"/>
      <c r="U179" s="873"/>
      <c r="V179" s="873"/>
      <c r="W179" s="873"/>
      <c r="X179" s="873"/>
      <c r="Y179" s="873"/>
    </row>
    <row r="180">
      <c r="A180" s="873"/>
      <c r="B180" s="873"/>
      <c r="C180" s="873"/>
      <c r="D180" s="873"/>
      <c r="E180" s="873"/>
      <c r="F180" s="873"/>
      <c r="G180" s="873"/>
      <c r="H180" s="873"/>
      <c r="I180" s="873"/>
      <c r="J180" s="873"/>
      <c r="K180" s="873"/>
      <c r="L180" s="873"/>
      <c r="M180" s="873"/>
      <c r="N180" s="873"/>
      <c r="O180" s="873"/>
      <c r="P180" s="873"/>
      <c r="Q180" s="873"/>
      <c r="R180" s="873"/>
      <c r="S180" s="873"/>
      <c r="T180" s="873"/>
      <c r="U180" s="873"/>
      <c r="V180" s="873"/>
      <c r="W180" s="873"/>
      <c r="X180" s="873"/>
      <c r="Y180" s="873"/>
    </row>
    <row r="181">
      <c r="A181" s="873"/>
      <c r="B181" s="873"/>
      <c r="C181" s="873"/>
      <c r="D181" s="873"/>
      <c r="E181" s="873"/>
      <c r="F181" s="873"/>
      <c r="G181" s="873"/>
      <c r="H181" s="873"/>
      <c r="I181" s="873"/>
      <c r="J181" s="873"/>
      <c r="K181" s="873"/>
      <c r="L181" s="873"/>
      <c r="M181" s="873"/>
      <c r="N181" s="873"/>
      <c r="O181" s="873"/>
      <c r="P181" s="873"/>
      <c r="Q181" s="873"/>
      <c r="R181" s="873"/>
      <c r="S181" s="873"/>
      <c r="T181" s="873"/>
      <c r="U181" s="873"/>
      <c r="V181" s="873"/>
      <c r="W181" s="873"/>
      <c r="X181" s="873"/>
      <c r="Y181" s="873"/>
    </row>
    <row r="182">
      <c r="A182" s="873"/>
      <c r="B182" s="873"/>
      <c r="C182" s="873"/>
      <c r="D182" s="873"/>
      <c r="E182" s="873"/>
      <c r="F182" s="873"/>
      <c r="G182" s="873"/>
      <c r="H182" s="873"/>
      <c r="I182" s="873"/>
      <c r="J182" s="873"/>
      <c r="K182" s="873"/>
      <c r="L182" s="873"/>
      <c r="M182" s="873"/>
      <c r="N182" s="873"/>
      <c r="O182" s="873"/>
      <c r="P182" s="873"/>
      <c r="Q182" s="873"/>
      <c r="R182" s="873"/>
      <c r="S182" s="873"/>
      <c r="T182" s="873"/>
      <c r="U182" s="873"/>
      <c r="V182" s="873"/>
      <c r="W182" s="873"/>
      <c r="X182" s="873"/>
      <c r="Y182" s="873"/>
    </row>
    <row r="183">
      <c r="A183" s="873"/>
      <c r="B183" s="873"/>
      <c r="C183" s="873"/>
      <c r="D183" s="873"/>
      <c r="E183" s="873"/>
      <c r="F183" s="873"/>
      <c r="G183" s="873"/>
      <c r="H183" s="873"/>
      <c r="I183" s="873"/>
      <c r="J183" s="873"/>
      <c r="K183" s="873"/>
      <c r="L183" s="873"/>
      <c r="M183" s="873"/>
      <c r="N183" s="873"/>
      <c r="O183" s="873"/>
      <c r="P183" s="873"/>
      <c r="Q183" s="873"/>
      <c r="R183" s="873"/>
      <c r="S183" s="873"/>
      <c r="T183" s="873"/>
      <c r="U183" s="873"/>
      <c r="V183" s="873"/>
      <c r="W183" s="873"/>
      <c r="X183" s="873"/>
      <c r="Y183" s="873"/>
    </row>
    <row r="184">
      <c r="A184" s="873"/>
      <c r="B184" s="873"/>
      <c r="C184" s="873"/>
      <c r="D184" s="873"/>
      <c r="E184" s="873"/>
      <c r="F184" s="873"/>
      <c r="G184" s="873"/>
      <c r="H184" s="873"/>
      <c r="I184" s="873"/>
      <c r="J184" s="873"/>
      <c r="K184" s="873"/>
      <c r="L184" s="873"/>
      <c r="M184" s="873"/>
      <c r="N184" s="873"/>
      <c r="O184" s="873"/>
      <c r="P184" s="873"/>
      <c r="Q184" s="873"/>
      <c r="R184" s="873"/>
      <c r="S184" s="873"/>
      <c r="T184" s="873"/>
      <c r="U184" s="873"/>
      <c r="V184" s="873"/>
      <c r="W184" s="873"/>
      <c r="X184" s="873"/>
      <c r="Y184" s="873"/>
    </row>
    <row r="185">
      <c r="A185" s="873"/>
      <c r="B185" s="873"/>
      <c r="C185" s="873"/>
      <c r="D185" s="873"/>
      <c r="E185" s="873"/>
      <c r="F185" s="873"/>
      <c r="G185" s="873"/>
      <c r="H185" s="873"/>
      <c r="I185" s="873"/>
      <c r="J185" s="873"/>
      <c r="K185" s="873"/>
      <c r="L185" s="873"/>
      <c r="M185" s="873"/>
      <c r="N185" s="873"/>
      <c r="O185" s="873"/>
      <c r="P185" s="873"/>
      <c r="Q185" s="873"/>
      <c r="R185" s="873"/>
      <c r="S185" s="873"/>
      <c r="T185" s="873"/>
      <c r="U185" s="873"/>
      <c r="V185" s="873"/>
      <c r="W185" s="873"/>
      <c r="X185" s="873"/>
      <c r="Y185" s="873"/>
    </row>
    <row r="186">
      <c r="A186" s="873"/>
      <c r="B186" s="873"/>
      <c r="C186" s="873"/>
      <c r="D186" s="873"/>
      <c r="E186" s="873"/>
      <c r="F186" s="873"/>
      <c r="G186" s="873"/>
      <c r="H186" s="873"/>
      <c r="I186" s="873"/>
      <c r="J186" s="873"/>
      <c r="K186" s="873"/>
      <c r="L186" s="873"/>
      <c r="M186" s="873"/>
      <c r="N186" s="873"/>
      <c r="O186" s="873"/>
      <c r="P186" s="873"/>
      <c r="Q186" s="873"/>
      <c r="R186" s="873"/>
      <c r="S186" s="873"/>
      <c r="T186" s="873"/>
      <c r="U186" s="873"/>
      <c r="V186" s="873"/>
      <c r="W186" s="873"/>
      <c r="X186" s="873"/>
      <c r="Y186" s="873"/>
    </row>
    <row r="187">
      <c r="A187" s="873"/>
      <c r="B187" s="873"/>
      <c r="C187" s="873"/>
      <c r="D187" s="873"/>
      <c r="E187" s="873"/>
      <c r="F187" s="873"/>
      <c r="G187" s="873"/>
      <c r="H187" s="873"/>
      <c r="I187" s="873"/>
      <c r="J187" s="873"/>
      <c r="K187" s="873"/>
      <c r="L187" s="873"/>
      <c r="M187" s="873"/>
      <c r="N187" s="873"/>
      <c r="O187" s="873"/>
      <c r="P187" s="873"/>
      <c r="Q187" s="873"/>
      <c r="R187" s="873"/>
      <c r="S187" s="873"/>
      <c r="T187" s="873"/>
      <c r="U187" s="873"/>
      <c r="V187" s="873"/>
      <c r="W187" s="873"/>
      <c r="X187" s="873"/>
      <c r="Y187" s="873"/>
    </row>
    <row r="188">
      <c r="A188" s="873"/>
      <c r="B188" s="873"/>
      <c r="C188" s="873"/>
      <c r="D188" s="873"/>
      <c r="E188" s="873"/>
      <c r="F188" s="873"/>
      <c r="G188" s="873"/>
      <c r="H188" s="873"/>
      <c r="I188" s="873"/>
      <c r="J188" s="873"/>
      <c r="K188" s="873"/>
      <c r="L188" s="873"/>
      <c r="M188" s="873"/>
      <c r="N188" s="873"/>
      <c r="O188" s="873"/>
      <c r="P188" s="873"/>
      <c r="Q188" s="873"/>
      <c r="R188" s="873"/>
      <c r="S188" s="873"/>
      <c r="T188" s="873"/>
      <c r="U188" s="873"/>
      <c r="V188" s="873"/>
      <c r="W188" s="873"/>
      <c r="X188" s="873"/>
      <c r="Y188" s="873"/>
    </row>
    <row r="189">
      <c r="A189" s="873"/>
      <c r="B189" s="873"/>
      <c r="C189" s="873"/>
      <c r="D189" s="873"/>
      <c r="E189" s="873"/>
      <c r="F189" s="873"/>
      <c r="G189" s="873"/>
      <c r="H189" s="873"/>
      <c r="I189" s="873"/>
      <c r="J189" s="873"/>
      <c r="K189" s="873"/>
      <c r="L189" s="873"/>
      <c r="M189" s="873"/>
      <c r="N189" s="873"/>
      <c r="O189" s="873"/>
      <c r="P189" s="873"/>
      <c r="Q189" s="873"/>
      <c r="R189" s="873"/>
      <c r="S189" s="873"/>
      <c r="T189" s="873"/>
      <c r="U189" s="873"/>
      <c r="V189" s="873"/>
      <c r="W189" s="873"/>
      <c r="X189" s="873"/>
      <c r="Y189" s="873"/>
    </row>
    <row r="190">
      <c r="A190" s="873"/>
      <c r="B190" s="873"/>
      <c r="C190" s="873"/>
      <c r="D190" s="873"/>
      <c r="E190" s="873"/>
      <c r="F190" s="873"/>
      <c r="G190" s="873"/>
      <c r="H190" s="873"/>
      <c r="I190" s="873"/>
      <c r="J190" s="873"/>
      <c r="K190" s="873"/>
      <c r="L190" s="873"/>
      <c r="M190" s="873"/>
      <c r="N190" s="873"/>
      <c r="O190" s="873"/>
      <c r="P190" s="873"/>
      <c r="Q190" s="873"/>
      <c r="R190" s="873"/>
      <c r="S190" s="873"/>
      <c r="T190" s="873"/>
      <c r="U190" s="873"/>
      <c r="V190" s="873"/>
      <c r="W190" s="873"/>
      <c r="X190" s="873"/>
      <c r="Y190" s="873"/>
    </row>
    <row r="191">
      <c r="A191" s="873"/>
      <c r="B191" s="873"/>
      <c r="C191" s="873"/>
      <c r="D191" s="873"/>
      <c r="E191" s="873"/>
      <c r="F191" s="873"/>
      <c r="G191" s="873"/>
      <c r="H191" s="873"/>
      <c r="I191" s="873"/>
      <c r="J191" s="873"/>
      <c r="K191" s="873"/>
      <c r="L191" s="873"/>
      <c r="M191" s="873"/>
      <c r="N191" s="873"/>
      <c r="O191" s="873"/>
      <c r="P191" s="873"/>
      <c r="Q191" s="873"/>
      <c r="R191" s="873"/>
      <c r="S191" s="873"/>
      <c r="T191" s="873"/>
      <c r="U191" s="873"/>
      <c r="V191" s="873"/>
      <c r="W191" s="873"/>
      <c r="X191" s="873"/>
      <c r="Y191" s="873"/>
    </row>
    <row r="192">
      <c r="A192" s="873"/>
      <c r="B192" s="873"/>
      <c r="C192" s="873"/>
      <c r="D192" s="873"/>
      <c r="E192" s="873"/>
      <c r="F192" s="873"/>
      <c r="G192" s="873"/>
      <c r="H192" s="873"/>
      <c r="I192" s="873"/>
      <c r="J192" s="873"/>
      <c r="K192" s="873"/>
      <c r="L192" s="873"/>
      <c r="M192" s="873"/>
      <c r="N192" s="873"/>
      <c r="O192" s="873"/>
      <c r="P192" s="873"/>
      <c r="Q192" s="873"/>
      <c r="R192" s="873"/>
      <c r="S192" s="873"/>
      <c r="T192" s="873"/>
      <c r="U192" s="873"/>
      <c r="V192" s="873"/>
      <c r="W192" s="873"/>
      <c r="X192" s="873"/>
      <c r="Y192" s="873"/>
    </row>
    <row r="193">
      <c r="A193" s="873"/>
      <c r="B193" s="873"/>
      <c r="C193" s="873"/>
      <c r="D193" s="873"/>
      <c r="E193" s="873"/>
      <c r="F193" s="873"/>
      <c r="G193" s="873"/>
      <c r="H193" s="873"/>
      <c r="I193" s="873"/>
      <c r="J193" s="873"/>
      <c r="K193" s="873"/>
      <c r="L193" s="873"/>
      <c r="M193" s="873"/>
      <c r="N193" s="873"/>
      <c r="O193" s="873"/>
      <c r="P193" s="873"/>
      <c r="Q193" s="873"/>
      <c r="R193" s="873"/>
      <c r="S193" s="873"/>
      <c r="T193" s="873"/>
      <c r="U193" s="873"/>
      <c r="V193" s="873"/>
      <c r="W193" s="873"/>
      <c r="X193" s="873"/>
      <c r="Y193" s="873"/>
    </row>
    <row r="194">
      <c r="A194" s="873"/>
      <c r="B194" s="873"/>
      <c r="C194" s="873"/>
      <c r="D194" s="873"/>
      <c r="E194" s="873"/>
      <c r="F194" s="873"/>
      <c r="G194" s="873"/>
      <c r="H194" s="873"/>
      <c r="I194" s="873"/>
      <c r="J194" s="873"/>
      <c r="K194" s="873"/>
      <c r="L194" s="873"/>
      <c r="M194" s="873"/>
      <c r="N194" s="873"/>
      <c r="O194" s="873"/>
      <c r="P194" s="873"/>
      <c r="Q194" s="873"/>
      <c r="R194" s="873"/>
      <c r="S194" s="873"/>
      <c r="T194" s="873"/>
      <c r="U194" s="873"/>
      <c r="V194" s="873"/>
      <c r="W194" s="873"/>
      <c r="X194" s="873"/>
      <c r="Y194" s="873"/>
    </row>
    <row r="195">
      <c r="A195" s="873"/>
      <c r="B195" s="873"/>
      <c r="C195" s="873"/>
      <c r="D195" s="873"/>
      <c r="E195" s="873"/>
      <c r="F195" s="873"/>
      <c r="G195" s="873"/>
      <c r="H195" s="873"/>
      <c r="I195" s="873"/>
      <c r="J195" s="873"/>
      <c r="K195" s="873"/>
      <c r="L195" s="873"/>
      <c r="M195" s="873"/>
      <c r="N195" s="873"/>
      <c r="O195" s="873"/>
      <c r="P195" s="873"/>
      <c r="Q195" s="873"/>
      <c r="R195" s="873"/>
      <c r="S195" s="873"/>
      <c r="T195" s="873"/>
      <c r="U195" s="873"/>
      <c r="V195" s="873"/>
      <c r="W195" s="873"/>
      <c r="X195" s="873"/>
      <c r="Y195" s="873"/>
    </row>
    <row r="196">
      <c r="A196" s="873"/>
      <c r="B196" s="873"/>
      <c r="C196" s="873"/>
      <c r="D196" s="873"/>
      <c r="E196" s="873"/>
      <c r="F196" s="873"/>
      <c r="G196" s="873"/>
      <c r="H196" s="873"/>
      <c r="I196" s="873"/>
      <c r="J196" s="873"/>
      <c r="K196" s="873"/>
      <c r="L196" s="873"/>
      <c r="M196" s="873"/>
      <c r="N196" s="873"/>
      <c r="O196" s="873"/>
      <c r="P196" s="873"/>
      <c r="Q196" s="873"/>
      <c r="R196" s="873"/>
      <c r="S196" s="873"/>
      <c r="T196" s="873"/>
      <c r="U196" s="873"/>
      <c r="V196" s="873"/>
      <c r="W196" s="873"/>
      <c r="X196" s="873"/>
      <c r="Y196" s="873"/>
    </row>
    <row r="197">
      <c r="A197" s="873"/>
      <c r="B197" s="873"/>
      <c r="C197" s="873"/>
      <c r="D197" s="873"/>
      <c r="E197" s="873"/>
      <c r="F197" s="873"/>
      <c r="G197" s="873"/>
      <c r="H197" s="873"/>
      <c r="I197" s="873"/>
      <c r="J197" s="873"/>
      <c r="K197" s="873"/>
      <c r="L197" s="873"/>
      <c r="M197" s="873"/>
      <c r="N197" s="873"/>
      <c r="O197" s="873"/>
      <c r="P197" s="873"/>
      <c r="Q197" s="873"/>
      <c r="R197" s="873"/>
      <c r="S197" s="873"/>
      <c r="T197" s="873"/>
      <c r="U197" s="873"/>
      <c r="V197" s="873"/>
      <c r="W197" s="873"/>
      <c r="X197" s="873"/>
      <c r="Y197" s="873"/>
    </row>
    <row r="198">
      <c r="A198" s="873"/>
      <c r="B198" s="873"/>
      <c r="C198" s="873"/>
      <c r="D198" s="873"/>
      <c r="E198" s="873"/>
      <c r="F198" s="873"/>
      <c r="G198" s="873"/>
      <c r="H198" s="873"/>
      <c r="I198" s="873"/>
      <c r="J198" s="873"/>
      <c r="K198" s="873"/>
      <c r="L198" s="873"/>
      <c r="M198" s="873"/>
      <c r="N198" s="873"/>
      <c r="O198" s="873"/>
      <c r="P198" s="873"/>
      <c r="Q198" s="873"/>
      <c r="R198" s="873"/>
      <c r="S198" s="873"/>
      <c r="T198" s="873"/>
      <c r="U198" s="873"/>
      <c r="V198" s="873"/>
      <c r="W198" s="873"/>
      <c r="X198" s="873"/>
      <c r="Y198" s="873"/>
    </row>
    <row r="199">
      <c r="A199" s="873"/>
      <c r="B199" s="873"/>
      <c r="C199" s="873"/>
      <c r="D199" s="873"/>
      <c r="E199" s="873"/>
      <c r="F199" s="873"/>
      <c r="G199" s="873"/>
      <c r="H199" s="873"/>
      <c r="I199" s="873"/>
      <c r="J199" s="873"/>
      <c r="K199" s="873"/>
      <c r="L199" s="873"/>
      <c r="M199" s="873"/>
      <c r="N199" s="873"/>
      <c r="O199" s="873"/>
      <c r="P199" s="873"/>
      <c r="Q199" s="873"/>
      <c r="R199" s="873"/>
      <c r="S199" s="873"/>
      <c r="T199" s="873"/>
      <c r="U199" s="873"/>
      <c r="V199" s="873"/>
      <c r="W199" s="873"/>
      <c r="X199" s="873"/>
      <c r="Y199" s="873"/>
    </row>
    <row r="200">
      <c r="A200" s="873"/>
      <c r="B200" s="873"/>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3"/>
      <c r="Y200" s="873"/>
    </row>
    <row r="201">
      <c r="A201" s="873"/>
      <c r="B201" s="873"/>
      <c r="C201" s="873"/>
      <c r="D201" s="873"/>
      <c r="E201" s="873"/>
      <c r="F201" s="873"/>
      <c r="G201" s="873"/>
      <c r="H201" s="873"/>
      <c r="I201" s="873"/>
      <c r="J201" s="873"/>
      <c r="K201" s="873"/>
      <c r="L201" s="873"/>
      <c r="M201" s="873"/>
      <c r="N201" s="873"/>
      <c r="O201" s="873"/>
      <c r="P201" s="873"/>
      <c r="Q201" s="873"/>
      <c r="R201" s="873"/>
      <c r="S201" s="873"/>
      <c r="T201" s="873"/>
      <c r="U201" s="873"/>
      <c r="V201" s="873"/>
      <c r="W201" s="873"/>
      <c r="X201" s="873"/>
      <c r="Y201" s="873"/>
    </row>
    <row r="202">
      <c r="A202" s="873"/>
      <c r="B202" s="873"/>
      <c r="C202" s="873"/>
      <c r="D202" s="873"/>
      <c r="E202" s="873"/>
      <c r="F202" s="873"/>
      <c r="G202" s="873"/>
      <c r="H202" s="873"/>
      <c r="I202" s="873"/>
      <c r="J202" s="873"/>
      <c r="K202" s="873"/>
      <c r="L202" s="873"/>
      <c r="M202" s="873"/>
      <c r="N202" s="873"/>
      <c r="O202" s="873"/>
      <c r="P202" s="873"/>
      <c r="Q202" s="873"/>
      <c r="R202" s="873"/>
      <c r="S202" s="873"/>
      <c r="T202" s="873"/>
      <c r="U202" s="873"/>
      <c r="V202" s="873"/>
      <c r="W202" s="873"/>
      <c r="X202" s="873"/>
      <c r="Y202" s="873"/>
    </row>
    <row r="203">
      <c r="A203" s="873"/>
      <c r="B203" s="873"/>
      <c r="C203" s="873"/>
      <c r="D203" s="873"/>
      <c r="E203" s="873"/>
      <c r="F203" s="873"/>
      <c r="G203" s="873"/>
      <c r="H203" s="873"/>
      <c r="I203" s="873"/>
      <c r="J203" s="873"/>
      <c r="K203" s="873"/>
      <c r="L203" s="873"/>
      <c r="M203" s="873"/>
      <c r="N203" s="873"/>
      <c r="O203" s="873"/>
      <c r="P203" s="873"/>
      <c r="Q203" s="873"/>
      <c r="R203" s="873"/>
      <c r="S203" s="873"/>
      <c r="T203" s="873"/>
      <c r="U203" s="873"/>
      <c r="V203" s="873"/>
      <c r="W203" s="873"/>
      <c r="X203" s="873"/>
      <c r="Y203" s="873"/>
    </row>
    <row r="204">
      <c r="A204" s="873"/>
      <c r="B204" s="873"/>
      <c r="C204" s="873"/>
      <c r="D204" s="873"/>
      <c r="E204" s="873"/>
      <c r="F204" s="873"/>
      <c r="G204" s="873"/>
      <c r="H204" s="873"/>
      <c r="I204" s="873"/>
      <c r="J204" s="873"/>
      <c r="K204" s="873"/>
      <c r="L204" s="873"/>
      <c r="M204" s="873"/>
      <c r="N204" s="873"/>
      <c r="O204" s="873"/>
      <c r="P204" s="873"/>
      <c r="Q204" s="873"/>
      <c r="R204" s="873"/>
      <c r="S204" s="873"/>
      <c r="T204" s="873"/>
      <c r="U204" s="873"/>
      <c r="V204" s="873"/>
      <c r="W204" s="873"/>
      <c r="X204" s="873"/>
      <c r="Y204" s="873"/>
    </row>
    <row r="205">
      <c r="A205" s="873"/>
      <c r="B205" s="873"/>
      <c r="C205" s="873"/>
      <c r="D205" s="873"/>
      <c r="E205" s="873"/>
      <c r="F205" s="873"/>
      <c r="G205" s="873"/>
      <c r="H205" s="873"/>
      <c r="I205" s="873"/>
      <c r="J205" s="873"/>
      <c r="K205" s="873"/>
      <c r="L205" s="873"/>
      <c r="M205" s="873"/>
      <c r="N205" s="873"/>
      <c r="O205" s="873"/>
      <c r="P205" s="873"/>
      <c r="Q205" s="873"/>
      <c r="R205" s="873"/>
      <c r="S205" s="873"/>
      <c r="T205" s="873"/>
      <c r="U205" s="873"/>
      <c r="V205" s="873"/>
      <c r="W205" s="873"/>
      <c r="X205" s="873"/>
      <c r="Y205" s="873"/>
    </row>
    <row r="206">
      <c r="A206" s="873"/>
      <c r="B206" s="873"/>
      <c r="C206" s="873"/>
      <c r="D206" s="873"/>
      <c r="E206" s="873"/>
      <c r="F206" s="873"/>
      <c r="G206" s="873"/>
      <c r="H206" s="873"/>
      <c r="I206" s="873"/>
      <c r="J206" s="873"/>
      <c r="K206" s="873"/>
      <c r="L206" s="873"/>
      <c r="M206" s="873"/>
      <c r="N206" s="873"/>
      <c r="O206" s="873"/>
      <c r="P206" s="873"/>
      <c r="Q206" s="873"/>
      <c r="R206" s="873"/>
      <c r="S206" s="873"/>
      <c r="T206" s="873"/>
      <c r="U206" s="873"/>
      <c r="V206" s="873"/>
      <c r="W206" s="873"/>
      <c r="X206" s="873"/>
      <c r="Y206" s="873"/>
    </row>
    <row r="207">
      <c r="A207" s="873"/>
      <c r="B207" s="873"/>
      <c r="C207" s="873"/>
      <c r="D207" s="873"/>
      <c r="E207" s="873"/>
      <c r="F207" s="873"/>
      <c r="G207" s="873"/>
      <c r="H207" s="873"/>
      <c r="I207" s="873"/>
      <c r="J207" s="873"/>
      <c r="K207" s="873"/>
      <c r="L207" s="873"/>
      <c r="M207" s="873"/>
      <c r="N207" s="873"/>
      <c r="O207" s="873"/>
      <c r="P207" s="873"/>
      <c r="Q207" s="873"/>
      <c r="R207" s="873"/>
      <c r="S207" s="873"/>
      <c r="T207" s="873"/>
      <c r="U207" s="873"/>
      <c r="V207" s="873"/>
      <c r="W207" s="873"/>
      <c r="X207" s="873"/>
      <c r="Y207" s="873"/>
    </row>
    <row r="208">
      <c r="A208" s="873"/>
      <c r="B208" s="873"/>
      <c r="C208" s="873"/>
      <c r="D208" s="873"/>
      <c r="E208" s="873"/>
      <c r="F208" s="873"/>
      <c r="G208" s="873"/>
      <c r="H208" s="873"/>
      <c r="I208" s="873"/>
      <c r="J208" s="873"/>
      <c r="K208" s="873"/>
      <c r="L208" s="873"/>
      <c r="M208" s="873"/>
      <c r="N208" s="873"/>
      <c r="O208" s="873"/>
      <c r="P208" s="873"/>
      <c r="Q208" s="873"/>
      <c r="R208" s="873"/>
      <c r="S208" s="873"/>
      <c r="T208" s="873"/>
      <c r="U208" s="873"/>
      <c r="V208" s="873"/>
      <c r="W208" s="873"/>
      <c r="X208" s="873"/>
      <c r="Y208" s="873"/>
    </row>
    <row r="209">
      <c r="A209" s="873"/>
      <c r="B209" s="873"/>
      <c r="C209" s="873"/>
      <c r="D209" s="873"/>
      <c r="E209" s="873"/>
      <c r="F209" s="873"/>
      <c r="G209" s="873"/>
      <c r="H209" s="873"/>
      <c r="I209" s="873"/>
      <c r="J209" s="873"/>
      <c r="K209" s="873"/>
      <c r="L209" s="873"/>
      <c r="M209" s="873"/>
      <c r="N209" s="873"/>
      <c r="O209" s="873"/>
      <c r="P209" s="873"/>
      <c r="Q209" s="873"/>
      <c r="R209" s="873"/>
      <c r="S209" s="873"/>
      <c r="T209" s="873"/>
      <c r="U209" s="873"/>
      <c r="V209" s="873"/>
      <c r="W209" s="873"/>
      <c r="X209" s="873"/>
      <c r="Y209" s="873"/>
    </row>
    <row r="210">
      <c r="A210" s="873"/>
      <c r="B210" s="873"/>
      <c r="C210" s="873"/>
      <c r="D210" s="873"/>
      <c r="E210" s="873"/>
      <c r="F210" s="873"/>
      <c r="G210" s="873"/>
      <c r="H210" s="873"/>
      <c r="I210" s="873"/>
      <c r="J210" s="873"/>
      <c r="K210" s="873"/>
      <c r="L210" s="873"/>
      <c r="M210" s="873"/>
      <c r="N210" s="873"/>
      <c r="O210" s="873"/>
      <c r="P210" s="873"/>
      <c r="Q210" s="873"/>
      <c r="R210" s="873"/>
      <c r="S210" s="873"/>
      <c r="T210" s="873"/>
      <c r="U210" s="873"/>
      <c r="V210" s="873"/>
      <c r="W210" s="873"/>
      <c r="X210" s="873"/>
      <c r="Y210" s="873"/>
    </row>
    <row r="211">
      <c r="A211" s="873"/>
      <c r="B211" s="873"/>
      <c r="C211" s="873"/>
      <c r="D211" s="873"/>
      <c r="E211" s="873"/>
      <c r="F211" s="873"/>
      <c r="G211" s="873"/>
      <c r="H211" s="873"/>
      <c r="I211" s="873"/>
      <c r="J211" s="873"/>
      <c r="K211" s="873"/>
      <c r="L211" s="873"/>
      <c r="M211" s="873"/>
      <c r="N211" s="873"/>
      <c r="O211" s="873"/>
      <c r="P211" s="873"/>
      <c r="Q211" s="873"/>
      <c r="R211" s="873"/>
      <c r="S211" s="873"/>
      <c r="T211" s="873"/>
      <c r="U211" s="873"/>
      <c r="V211" s="873"/>
      <c r="W211" s="873"/>
      <c r="X211" s="873"/>
      <c r="Y211" s="873"/>
    </row>
    <row r="212">
      <c r="A212" s="873"/>
      <c r="B212" s="873"/>
      <c r="C212" s="873"/>
      <c r="D212" s="873"/>
      <c r="E212" s="873"/>
      <c r="F212" s="873"/>
      <c r="G212" s="873"/>
      <c r="H212" s="873"/>
      <c r="I212" s="873"/>
      <c r="J212" s="873"/>
      <c r="K212" s="873"/>
      <c r="L212" s="873"/>
      <c r="M212" s="873"/>
      <c r="N212" s="873"/>
      <c r="O212" s="873"/>
      <c r="P212" s="873"/>
      <c r="Q212" s="873"/>
      <c r="R212" s="873"/>
      <c r="S212" s="873"/>
      <c r="T212" s="873"/>
      <c r="U212" s="873"/>
      <c r="V212" s="873"/>
      <c r="W212" s="873"/>
      <c r="X212" s="873"/>
      <c r="Y212" s="873"/>
    </row>
    <row r="213">
      <c r="A213" s="873"/>
      <c r="B213" s="873"/>
      <c r="C213" s="873"/>
      <c r="D213" s="873"/>
      <c r="E213" s="873"/>
      <c r="F213" s="873"/>
      <c r="G213" s="873"/>
      <c r="H213" s="873"/>
      <c r="I213" s="873"/>
      <c r="J213" s="873"/>
      <c r="K213" s="873"/>
      <c r="L213" s="873"/>
      <c r="M213" s="873"/>
      <c r="N213" s="873"/>
      <c r="O213" s="873"/>
      <c r="P213" s="873"/>
      <c r="Q213" s="873"/>
      <c r="R213" s="873"/>
      <c r="S213" s="873"/>
      <c r="T213" s="873"/>
      <c r="U213" s="873"/>
      <c r="V213" s="873"/>
      <c r="W213" s="873"/>
      <c r="X213" s="873"/>
      <c r="Y213" s="873"/>
    </row>
    <row r="214">
      <c r="A214" s="873"/>
      <c r="B214" s="873"/>
      <c r="C214" s="873"/>
      <c r="D214" s="873"/>
      <c r="E214" s="873"/>
      <c r="F214" s="873"/>
      <c r="G214" s="873"/>
      <c r="H214" s="873"/>
      <c r="I214" s="873"/>
      <c r="J214" s="873"/>
      <c r="K214" s="873"/>
      <c r="L214" s="873"/>
      <c r="M214" s="873"/>
      <c r="N214" s="873"/>
      <c r="O214" s="873"/>
      <c r="P214" s="873"/>
      <c r="Q214" s="873"/>
      <c r="R214" s="873"/>
      <c r="S214" s="873"/>
      <c r="T214" s="873"/>
      <c r="U214" s="873"/>
      <c r="V214" s="873"/>
      <c r="W214" s="873"/>
      <c r="X214" s="873"/>
      <c r="Y214" s="873"/>
    </row>
    <row r="215">
      <c r="A215" s="873"/>
      <c r="B215" s="873"/>
      <c r="C215" s="873"/>
      <c r="D215" s="873"/>
      <c r="E215" s="873"/>
      <c r="F215" s="873"/>
      <c r="G215" s="873"/>
      <c r="H215" s="873"/>
      <c r="I215" s="873"/>
      <c r="J215" s="873"/>
      <c r="K215" s="873"/>
      <c r="L215" s="873"/>
      <c r="M215" s="873"/>
      <c r="N215" s="873"/>
      <c r="O215" s="873"/>
      <c r="P215" s="873"/>
      <c r="Q215" s="873"/>
      <c r="R215" s="873"/>
      <c r="S215" s="873"/>
      <c r="T215" s="873"/>
      <c r="U215" s="873"/>
      <c r="V215" s="873"/>
      <c r="W215" s="873"/>
      <c r="X215" s="873"/>
      <c r="Y215" s="873"/>
    </row>
    <row r="216">
      <c r="A216" s="873"/>
      <c r="B216" s="873"/>
      <c r="C216" s="873"/>
      <c r="D216" s="873"/>
      <c r="E216" s="873"/>
      <c r="F216" s="873"/>
      <c r="G216" s="873"/>
      <c r="H216" s="873"/>
      <c r="I216" s="873"/>
      <c r="J216" s="873"/>
      <c r="K216" s="873"/>
      <c r="L216" s="873"/>
      <c r="M216" s="873"/>
      <c r="N216" s="873"/>
      <c r="O216" s="873"/>
      <c r="P216" s="873"/>
      <c r="Q216" s="873"/>
      <c r="R216" s="873"/>
      <c r="S216" s="873"/>
      <c r="T216" s="873"/>
      <c r="U216" s="873"/>
      <c r="V216" s="873"/>
      <c r="W216" s="873"/>
      <c r="X216" s="873"/>
      <c r="Y216" s="873"/>
    </row>
    <row r="217">
      <c r="A217" s="873"/>
      <c r="B217" s="873"/>
      <c r="C217" s="873"/>
      <c r="D217" s="873"/>
      <c r="E217" s="873"/>
      <c r="F217" s="873"/>
      <c r="G217" s="873"/>
      <c r="H217" s="873"/>
      <c r="I217" s="873"/>
      <c r="J217" s="873"/>
      <c r="K217" s="873"/>
      <c r="L217" s="873"/>
      <c r="M217" s="873"/>
      <c r="N217" s="873"/>
      <c r="O217" s="873"/>
      <c r="P217" s="873"/>
      <c r="Q217" s="873"/>
      <c r="R217" s="873"/>
      <c r="S217" s="873"/>
      <c r="T217" s="873"/>
      <c r="U217" s="873"/>
      <c r="V217" s="873"/>
      <c r="W217" s="873"/>
      <c r="X217" s="873"/>
      <c r="Y217" s="873"/>
    </row>
    <row r="218">
      <c r="A218" s="873"/>
      <c r="B218" s="873"/>
      <c r="C218" s="873"/>
      <c r="D218" s="873"/>
      <c r="E218" s="873"/>
      <c r="F218" s="873"/>
      <c r="G218" s="873"/>
      <c r="H218" s="873"/>
      <c r="I218" s="873"/>
      <c r="J218" s="873"/>
      <c r="K218" s="873"/>
      <c r="L218" s="873"/>
      <c r="M218" s="873"/>
      <c r="N218" s="873"/>
      <c r="O218" s="873"/>
      <c r="P218" s="873"/>
      <c r="Q218" s="873"/>
      <c r="R218" s="873"/>
      <c r="S218" s="873"/>
      <c r="T218" s="873"/>
      <c r="U218" s="873"/>
      <c r="V218" s="873"/>
      <c r="W218" s="873"/>
      <c r="X218" s="873"/>
      <c r="Y218" s="873"/>
    </row>
    <row r="219">
      <c r="A219" s="873"/>
      <c r="B219" s="873"/>
      <c r="C219" s="873"/>
      <c r="D219" s="873"/>
      <c r="E219" s="873"/>
      <c r="F219" s="873"/>
      <c r="G219" s="873"/>
      <c r="H219" s="873"/>
      <c r="I219" s="873"/>
      <c r="J219" s="873"/>
      <c r="K219" s="873"/>
      <c r="L219" s="873"/>
      <c r="M219" s="873"/>
      <c r="N219" s="873"/>
      <c r="O219" s="873"/>
      <c r="P219" s="873"/>
      <c r="Q219" s="873"/>
      <c r="R219" s="873"/>
      <c r="S219" s="873"/>
      <c r="T219" s="873"/>
      <c r="U219" s="873"/>
      <c r="V219" s="873"/>
      <c r="W219" s="873"/>
      <c r="X219" s="873"/>
      <c r="Y219" s="873"/>
    </row>
    <row r="220">
      <c r="A220" s="873"/>
      <c r="B220" s="873"/>
      <c r="C220" s="873"/>
      <c r="D220" s="873"/>
      <c r="E220" s="873"/>
      <c r="F220" s="873"/>
      <c r="G220" s="873"/>
      <c r="H220" s="873"/>
      <c r="I220" s="873"/>
      <c r="J220" s="873"/>
      <c r="K220" s="873"/>
      <c r="L220" s="873"/>
      <c r="M220" s="873"/>
      <c r="N220" s="873"/>
      <c r="O220" s="873"/>
      <c r="P220" s="873"/>
      <c r="Q220" s="873"/>
      <c r="R220" s="873"/>
      <c r="S220" s="873"/>
      <c r="T220" s="873"/>
      <c r="U220" s="873"/>
      <c r="V220" s="873"/>
      <c r="W220" s="873"/>
      <c r="X220" s="873"/>
      <c r="Y220" s="873"/>
    </row>
    <row r="221">
      <c r="A221" s="873"/>
      <c r="B221" s="873"/>
      <c r="C221" s="873"/>
      <c r="D221" s="873"/>
      <c r="E221" s="873"/>
      <c r="F221" s="873"/>
      <c r="G221" s="873"/>
      <c r="H221" s="873"/>
      <c r="I221" s="873"/>
      <c r="J221" s="873"/>
      <c r="K221" s="873"/>
      <c r="L221" s="873"/>
      <c r="M221" s="873"/>
      <c r="N221" s="873"/>
      <c r="O221" s="873"/>
      <c r="P221" s="873"/>
      <c r="Q221" s="873"/>
      <c r="R221" s="873"/>
      <c r="S221" s="873"/>
      <c r="T221" s="873"/>
      <c r="U221" s="873"/>
      <c r="V221" s="873"/>
      <c r="W221" s="873"/>
      <c r="X221" s="873"/>
      <c r="Y221" s="873"/>
    </row>
    <row r="222">
      <c r="A222" s="873"/>
      <c r="B222" s="873"/>
      <c r="C222" s="873"/>
      <c r="D222" s="873"/>
      <c r="E222" s="873"/>
      <c r="F222" s="873"/>
      <c r="G222" s="873"/>
      <c r="H222" s="873"/>
      <c r="I222" s="873"/>
      <c r="J222" s="873"/>
      <c r="K222" s="873"/>
      <c r="L222" s="873"/>
      <c r="M222" s="873"/>
      <c r="N222" s="873"/>
      <c r="O222" s="873"/>
      <c r="P222" s="873"/>
      <c r="Q222" s="873"/>
      <c r="R222" s="873"/>
      <c r="S222" s="873"/>
      <c r="T222" s="873"/>
      <c r="U222" s="873"/>
      <c r="V222" s="873"/>
      <c r="W222" s="873"/>
      <c r="X222" s="873"/>
      <c r="Y222" s="873"/>
    </row>
    <row r="223">
      <c r="A223" s="873"/>
      <c r="B223" s="873"/>
      <c r="C223" s="873"/>
      <c r="D223" s="873"/>
      <c r="E223" s="873"/>
      <c r="F223" s="873"/>
      <c r="G223" s="873"/>
      <c r="H223" s="873"/>
      <c r="I223" s="873"/>
      <c r="J223" s="873"/>
      <c r="K223" s="873"/>
      <c r="L223" s="873"/>
      <c r="M223" s="873"/>
      <c r="N223" s="873"/>
      <c r="O223" s="873"/>
      <c r="P223" s="873"/>
      <c r="Q223" s="873"/>
      <c r="R223" s="873"/>
      <c r="S223" s="873"/>
      <c r="T223" s="873"/>
      <c r="U223" s="873"/>
      <c r="V223" s="873"/>
      <c r="W223" s="873"/>
      <c r="X223" s="873"/>
      <c r="Y223" s="873"/>
    </row>
    <row r="224">
      <c r="A224" s="873"/>
      <c r="B224" s="873"/>
      <c r="C224" s="873"/>
      <c r="D224" s="873"/>
      <c r="E224" s="873"/>
      <c r="F224" s="873"/>
      <c r="G224" s="873"/>
      <c r="H224" s="873"/>
      <c r="I224" s="873"/>
      <c r="J224" s="873"/>
      <c r="K224" s="873"/>
      <c r="L224" s="873"/>
      <c r="M224" s="873"/>
      <c r="N224" s="873"/>
      <c r="O224" s="873"/>
      <c r="P224" s="873"/>
      <c r="Q224" s="873"/>
      <c r="R224" s="873"/>
      <c r="S224" s="873"/>
      <c r="T224" s="873"/>
      <c r="U224" s="873"/>
      <c r="V224" s="873"/>
      <c r="W224" s="873"/>
      <c r="X224" s="873"/>
      <c r="Y224" s="873"/>
    </row>
    <row r="225">
      <c r="A225" s="873"/>
      <c r="B225" s="873"/>
      <c r="C225" s="873"/>
      <c r="D225" s="873"/>
      <c r="E225" s="873"/>
      <c r="F225" s="873"/>
      <c r="G225" s="873"/>
      <c r="H225" s="873"/>
      <c r="I225" s="873"/>
      <c r="J225" s="873"/>
      <c r="K225" s="873"/>
      <c r="L225" s="873"/>
      <c r="M225" s="873"/>
      <c r="N225" s="873"/>
      <c r="O225" s="873"/>
      <c r="P225" s="873"/>
      <c r="Q225" s="873"/>
      <c r="R225" s="873"/>
      <c r="S225" s="873"/>
      <c r="T225" s="873"/>
      <c r="U225" s="873"/>
      <c r="V225" s="873"/>
      <c r="W225" s="873"/>
      <c r="X225" s="873"/>
      <c r="Y225" s="873"/>
    </row>
    <row r="226">
      <c r="A226" s="873"/>
      <c r="B226" s="873"/>
      <c r="C226" s="873"/>
      <c r="D226" s="873"/>
      <c r="E226" s="873"/>
      <c r="F226" s="873"/>
      <c r="G226" s="873"/>
      <c r="H226" s="873"/>
      <c r="I226" s="873"/>
      <c r="J226" s="873"/>
      <c r="K226" s="873"/>
      <c r="L226" s="873"/>
      <c r="M226" s="873"/>
      <c r="N226" s="873"/>
      <c r="O226" s="873"/>
      <c r="P226" s="873"/>
      <c r="Q226" s="873"/>
      <c r="R226" s="873"/>
      <c r="S226" s="873"/>
      <c r="T226" s="873"/>
      <c r="U226" s="873"/>
      <c r="V226" s="873"/>
      <c r="W226" s="873"/>
      <c r="X226" s="873"/>
      <c r="Y226" s="873"/>
    </row>
    <row r="227">
      <c r="A227" s="873"/>
      <c r="B227" s="873"/>
      <c r="C227" s="873"/>
      <c r="D227" s="873"/>
      <c r="E227" s="873"/>
      <c r="F227" s="873"/>
      <c r="G227" s="873"/>
      <c r="H227" s="873"/>
      <c r="I227" s="873"/>
      <c r="J227" s="873"/>
      <c r="K227" s="873"/>
      <c r="L227" s="873"/>
      <c r="M227" s="873"/>
      <c r="N227" s="873"/>
      <c r="O227" s="873"/>
      <c r="P227" s="873"/>
      <c r="Q227" s="873"/>
      <c r="R227" s="873"/>
      <c r="S227" s="873"/>
      <c r="T227" s="873"/>
      <c r="U227" s="873"/>
      <c r="V227" s="873"/>
      <c r="W227" s="873"/>
      <c r="X227" s="873"/>
      <c r="Y227" s="873"/>
    </row>
    <row r="228">
      <c r="A228" s="873"/>
      <c r="B228" s="873"/>
      <c r="C228" s="873"/>
      <c r="D228" s="873"/>
      <c r="E228" s="873"/>
      <c r="F228" s="873"/>
      <c r="G228" s="873"/>
      <c r="H228" s="873"/>
      <c r="I228" s="873"/>
      <c r="J228" s="873"/>
      <c r="K228" s="873"/>
      <c r="L228" s="873"/>
      <c r="M228" s="873"/>
      <c r="N228" s="873"/>
      <c r="O228" s="873"/>
      <c r="P228" s="873"/>
      <c r="Q228" s="873"/>
      <c r="R228" s="873"/>
      <c r="S228" s="873"/>
      <c r="T228" s="873"/>
      <c r="U228" s="873"/>
      <c r="V228" s="873"/>
      <c r="W228" s="873"/>
      <c r="X228" s="873"/>
      <c r="Y228" s="873"/>
    </row>
    <row r="229">
      <c r="A229" s="873"/>
      <c r="B229" s="873"/>
      <c r="C229" s="873"/>
      <c r="D229" s="873"/>
      <c r="E229" s="873"/>
      <c r="F229" s="873"/>
      <c r="G229" s="873"/>
      <c r="H229" s="873"/>
      <c r="I229" s="873"/>
      <c r="J229" s="873"/>
      <c r="K229" s="873"/>
      <c r="L229" s="873"/>
      <c r="M229" s="873"/>
      <c r="N229" s="873"/>
      <c r="O229" s="873"/>
      <c r="P229" s="873"/>
      <c r="Q229" s="873"/>
      <c r="R229" s="873"/>
      <c r="S229" s="873"/>
      <c r="T229" s="873"/>
      <c r="U229" s="873"/>
      <c r="V229" s="873"/>
      <c r="W229" s="873"/>
      <c r="X229" s="873"/>
      <c r="Y229" s="873"/>
    </row>
    <row r="230">
      <c r="A230" s="873"/>
      <c r="B230" s="873"/>
      <c r="C230" s="873"/>
      <c r="D230" s="873"/>
      <c r="E230" s="873"/>
      <c r="F230" s="873"/>
      <c r="G230" s="873"/>
      <c r="H230" s="873"/>
      <c r="I230" s="873"/>
      <c r="J230" s="873"/>
      <c r="K230" s="873"/>
      <c r="L230" s="873"/>
      <c r="M230" s="873"/>
      <c r="N230" s="873"/>
      <c r="O230" s="873"/>
      <c r="P230" s="873"/>
      <c r="Q230" s="873"/>
      <c r="R230" s="873"/>
      <c r="S230" s="873"/>
      <c r="T230" s="873"/>
      <c r="U230" s="873"/>
      <c r="V230" s="873"/>
      <c r="W230" s="873"/>
      <c r="X230" s="873"/>
      <c r="Y230" s="873"/>
    </row>
    <row r="231">
      <c r="A231" s="873"/>
      <c r="B231" s="873"/>
      <c r="C231" s="873"/>
      <c r="D231" s="873"/>
      <c r="E231" s="873"/>
      <c r="F231" s="873"/>
      <c r="G231" s="873"/>
      <c r="H231" s="873"/>
      <c r="I231" s="873"/>
      <c r="J231" s="873"/>
      <c r="K231" s="873"/>
      <c r="L231" s="873"/>
      <c r="M231" s="873"/>
      <c r="N231" s="873"/>
      <c r="O231" s="873"/>
      <c r="P231" s="873"/>
      <c r="Q231" s="873"/>
      <c r="R231" s="873"/>
      <c r="S231" s="873"/>
      <c r="T231" s="873"/>
      <c r="U231" s="873"/>
      <c r="V231" s="873"/>
      <c r="W231" s="873"/>
      <c r="X231" s="873"/>
      <c r="Y231" s="873"/>
    </row>
    <row r="232">
      <c r="A232" s="873"/>
      <c r="B232" s="873"/>
      <c r="C232" s="873"/>
      <c r="D232" s="873"/>
      <c r="E232" s="873"/>
      <c r="F232" s="873"/>
      <c r="G232" s="873"/>
      <c r="H232" s="873"/>
      <c r="I232" s="873"/>
      <c r="J232" s="873"/>
      <c r="K232" s="873"/>
      <c r="L232" s="873"/>
      <c r="M232" s="873"/>
      <c r="N232" s="873"/>
      <c r="O232" s="873"/>
      <c r="P232" s="873"/>
      <c r="Q232" s="873"/>
      <c r="R232" s="873"/>
      <c r="S232" s="873"/>
      <c r="T232" s="873"/>
      <c r="U232" s="873"/>
      <c r="V232" s="873"/>
      <c r="W232" s="873"/>
      <c r="X232" s="873"/>
      <c r="Y232" s="873"/>
    </row>
    <row r="233">
      <c r="A233" s="873"/>
      <c r="B233" s="873"/>
      <c r="C233" s="873"/>
      <c r="D233" s="873"/>
      <c r="E233" s="873"/>
      <c r="F233" s="873"/>
      <c r="G233" s="873"/>
      <c r="H233" s="873"/>
      <c r="I233" s="873"/>
      <c r="J233" s="873"/>
      <c r="K233" s="873"/>
      <c r="L233" s="873"/>
      <c r="M233" s="873"/>
      <c r="N233" s="873"/>
      <c r="O233" s="873"/>
      <c r="P233" s="873"/>
      <c r="Q233" s="873"/>
      <c r="R233" s="873"/>
      <c r="S233" s="873"/>
      <c r="T233" s="873"/>
      <c r="U233" s="873"/>
      <c r="V233" s="873"/>
      <c r="W233" s="873"/>
      <c r="X233" s="873"/>
      <c r="Y233" s="873"/>
    </row>
    <row r="234">
      <c r="A234" s="873"/>
      <c r="B234" s="873"/>
      <c r="C234" s="873"/>
      <c r="D234" s="873"/>
      <c r="E234" s="873"/>
      <c r="F234" s="873"/>
      <c r="G234" s="873"/>
      <c r="H234" s="873"/>
      <c r="I234" s="873"/>
      <c r="J234" s="873"/>
      <c r="K234" s="873"/>
      <c r="L234" s="873"/>
      <c r="M234" s="873"/>
      <c r="N234" s="873"/>
      <c r="O234" s="873"/>
      <c r="P234" s="873"/>
      <c r="Q234" s="873"/>
      <c r="R234" s="873"/>
      <c r="S234" s="873"/>
      <c r="T234" s="873"/>
      <c r="U234" s="873"/>
      <c r="V234" s="873"/>
      <c r="W234" s="873"/>
      <c r="X234" s="873"/>
      <c r="Y234" s="873"/>
    </row>
    <row r="235">
      <c r="A235" s="873"/>
      <c r="B235" s="873"/>
      <c r="C235" s="873"/>
      <c r="D235" s="873"/>
      <c r="E235" s="873"/>
      <c r="F235" s="873"/>
      <c r="G235" s="873"/>
      <c r="H235" s="873"/>
      <c r="I235" s="873"/>
      <c r="J235" s="873"/>
      <c r="K235" s="873"/>
      <c r="L235" s="873"/>
      <c r="M235" s="873"/>
      <c r="N235" s="873"/>
      <c r="O235" s="873"/>
      <c r="P235" s="873"/>
      <c r="Q235" s="873"/>
      <c r="R235" s="873"/>
      <c r="S235" s="873"/>
      <c r="T235" s="873"/>
      <c r="U235" s="873"/>
      <c r="V235" s="873"/>
      <c r="W235" s="873"/>
      <c r="X235" s="873"/>
      <c r="Y235" s="873"/>
    </row>
    <row r="236">
      <c r="A236" s="873"/>
      <c r="B236" s="873"/>
      <c r="C236" s="873"/>
      <c r="D236" s="873"/>
      <c r="E236" s="873"/>
      <c r="F236" s="873"/>
      <c r="G236" s="873"/>
      <c r="H236" s="873"/>
      <c r="I236" s="873"/>
      <c r="J236" s="873"/>
      <c r="K236" s="873"/>
      <c r="L236" s="873"/>
      <c r="M236" s="873"/>
      <c r="N236" s="873"/>
      <c r="O236" s="873"/>
      <c r="P236" s="873"/>
      <c r="Q236" s="873"/>
      <c r="R236" s="873"/>
      <c r="S236" s="873"/>
      <c r="T236" s="873"/>
      <c r="U236" s="873"/>
      <c r="V236" s="873"/>
      <c r="W236" s="873"/>
      <c r="X236" s="873"/>
      <c r="Y236" s="873"/>
    </row>
    <row r="237">
      <c r="A237" s="873"/>
      <c r="B237" s="873"/>
      <c r="C237" s="873"/>
      <c r="D237" s="873"/>
      <c r="E237" s="873"/>
      <c r="F237" s="873"/>
      <c r="G237" s="873"/>
      <c r="H237" s="873"/>
      <c r="I237" s="873"/>
      <c r="J237" s="873"/>
      <c r="K237" s="873"/>
      <c r="L237" s="873"/>
      <c r="M237" s="873"/>
      <c r="N237" s="873"/>
      <c r="O237" s="873"/>
      <c r="P237" s="873"/>
      <c r="Q237" s="873"/>
      <c r="R237" s="873"/>
      <c r="S237" s="873"/>
      <c r="T237" s="873"/>
      <c r="U237" s="873"/>
      <c r="V237" s="873"/>
      <c r="W237" s="873"/>
      <c r="X237" s="873"/>
      <c r="Y237" s="873"/>
    </row>
    <row r="238">
      <c r="A238" s="873"/>
      <c r="B238" s="873"/>
      <c r="C238" s="873"/>
      <c r="D238" s="873"/>
      <c r="E238" s="873"/>
      <c r="F238" s="873"/>
      <c r="G238" s="873"/>
      <c r="H238" s="873"/>
      <c r="I238" s="873"/>
      <c r="J238" s="873"/>
      <c r="K238" s="873"/>
      <c r="L238" s="873"/>
      <c r="M238" s="873"/>
      <c r="N238" s="873"/>
      <c r="O238" s="873"/>
      <c r="P238" s="873"/>
      <c r="Q238" s="873"/>
      <c r="R238" s="873"/>
      <c r="S238" s="873"/>
      <c r="T238" s="873"/>
      <c r="U238" s="873"/>
      <c r="V238" s="873"/>
      <c r="W238" s="873"/>
      <c r="X238" s="873"/>
      <c r="Y238" s="873"/>
    </row>
    <row r="239">
      <c r="A239" s="873"/>
      <c r="B239" s="873"/>
      <c r="C239" s="873"/>
      <c r="D239" s="873"/>
      <c r="E239" s="873"/>
      <c r="F239" s="873"/>
      <c r="G239" s="873"/>
      <c r="H239" s="873"/>
      <c r="I239" s="873"/>
      <c r="J239" s="873"/>
      <c r="K239" s="873"/>
      <c r="L239" s="873"/>
      <c r="M239" s="873"/>
      <c r="N239" s="873"/>
      <c r="O239" s="873"/>
      <c r="P239" s="873"/>
      <c r="Q239" s="873"/>
      <c r="R239" s="873"/>
      <c r="S239" s="873"/>
      <c r="T239" s="873"/>
      <c r="U239" s="873"/>
      <c r="V239" s="873"/>
      <c r="W239" s="873"/>
      <c r="X239" s="873"/>
      <c r="Y239" s="873"/>
    </row>
    <row r="240">
      <c r="A240" s="873"/>
      <c r="B240" s="873"/>
      <c r="C240" s="873"/>
      <c r="D240" s="873"/>
      <c r="E240" s="873"/>
      <c r="F240" s="873"/>
      <c r="G240" s="873"/>
      <c r="H240" s="873"/>
      <c r="I240" s="873"/>
      <c r="J240" s="873"/>
      <c r="K240" s="873"/>
      <c r="L240" s="873"/>
      <c r="M240" s="873"/>
      <c r="N240" s="873"/>
      <c r="O240" s="873"/>
      <c r="P240" s="873"/>
      <c r="Q240" s="873"/>
      <c r="R240" s="873"/>
      <c r="S240" s="873"/>
      <c r="T240" s="873"/>
      <c r="U240" s="873"/>
      <c r="V240" s="873"/>
      <c r="W240" s="873"/>
      <c r="X240" s="873"/>
      <c r="Y240" s="873"/>
    </row>
    <row r="241">
      <c r="A241" s="873"/>
      <c r="B241" s="873"/>
      <c r="C241" s="873"/>
      <c r="D241" s="873"/>
      <c r="E241" s="873"/>
      <c r="F241" s="873"/>
      <c r="G241" s="873"/>
      <c r="H241" s="873"/>
      <c r="I241" s="873"/>
      <c r="J241" s="873"/>
      <c r="K241" s="873"/>
      <c r="L241" s="873"/>
      <c r="M241" s="873"/>
      <c r="N241" s="873"/>
      <c r="O241" s="873"/>
      <c r="P241" s="873"/>
      <c r="Q241" s="873"/>
      <c r="R241" s="873"/>
      <c r="S241" s="873"/>
      <c r="T241" s="873"/>
      <c r="U241" s="873"/>
      <c r="V241" s="873"/>
      <c r="W241" s="873"/>
      <c r="X241" s="873"/>
      <c r="Y241" s="873"/>
    </row>
    <row r="242">
      <c r="A242" s="873"/>
      <c r="B242" s="873"/>
      <c r="C242" s="873"/>
      <c r="D242" s="873"/>
      <c r="E242" s="873"/>
      <c r="F242" s="873"/>
      <c r="G242" s="873"/>
      <c r="H242" s="873"/>
      <c r="I242" s="873"/>
      <c r="J242" s="873"/>
      <c r="K242" s="873"/>
      <c r="L242" s="873"/>
      <c r="M242" s="873"/>
      <c r="N242" s="873"/>
      <c r="O242" s="873"/>
      <c r="P242" s="873"/>
      <c r="Q242" s="873"/>
      <c r="R242" s="873"/>
      <c r="S242" s="873"/>
      <c r="T242" s="873"/>
      <c r="U242" s="873"/>
      <c r="V242" s="873"/>
      <c r="W242" s="873"/>
      <c r="X242" s="873"/>
      <c r="Y242" s="873"/>
    </row>
    <row r="243">
      <c r="A243" s="873"/>
      <c r="B243" s="873"/>
      <c r="C243" s="873"/>
      <c r="D243" s="873"/>
      <c r="E243" s="873"/>
      <c r="F243" s="873"/>
      <c r="G243" s="873"/>
      <c r="H243" s="873"/>
      <c r="I243" s="873"/>
      <c r="J243" s="873"/>
      <c r="K243" s="873"/>
      <c r="L243" s="873"/>
      <c r="M243" s="873"/>
      <c r="N243" s="873"/>
      <c r="O243" s="873"/>
      <c r="P243" s="873"/>
      <c r="Q243" s="873"/>
      <c r="R243" s="873"/>
      <c r="S243" s="873"/>
      <c r="T243" s="873"/>
      <c r="U243" s="873"/>
      <c r="V243" s="873"/>
      <c r="W243" s="873"/>
      <c r="X243" s="873"/>
      <c r="Y243" s="873"/>
    </row>
    <row r="244">
      <c r="A244" s="873"/>
      <c r="B244" s="873"/>
      <c r="C244" s="873"/>
      <c r="D244" s="873"/>
      <c r="E244" s="873"/>
      <c r="F244" s="873"/>
      <c r="G244" s="873"/>
      <c r="H244" s="873"/>
      <c r="I244" s="873"/>
      <c r="J244" s="873"/>
      <c r="K244" s="873"/>
      <c r="L244" s="873"/>
      <c r="M244" s="873"/>
      <c r="N244" s="873"/>
      <c r="O244" s="873"/>
      <c r="P244" s="873"/>
      <c r="Q244" s="873"/>
      <c r="R244" s="873"/>
      <c r="S244" s="873"/>
      <c r="T244" s="873"/>
      <c r="U244" s="873"/>
      <c r="V244" s="873"/>
      <c r="W244" s="873"/>
      <c r="X244" s="873"/>
      <c r="Y244" s="873"/>
    </row>
    <row r="245">
      <c r="A245" s="873"/>
      <c r="B245" s="873"/>
      <c r="C245" s="873"/>
      <c r="D245" s="873"/>
      <c r="E245" s="873"/>
      <c r="F245" s="873"/>
      <c r="G245" s="873"/>
      <c r="H245" s="873"/>
      <c r="I245" s="873"/>
      <c r="J245" s="873"/>
      <c r="K245" s="873"/>
      <c r="L245" s="873"/>
      <c r="M245" s="873"/>
      <c r="N245" s="873"/>
      <c r="O245" s="873"/>
      <c r="P245" s="873"/>
      <c r="Q245" s="873"/>
      <c r="R245" s="873"/>
      <c r="S245" s="873"/>
      <c r="T245" s="873"/>
      <c r="U245" s="873"/>
      <c r="V245" s="873"/>
      <c r="W245" s="873"/>
      <c r="X245" s="873"/>
      <c r="Y245" s="873"/>
    </row>
    <row r="246">
      <c r="A246" s="873"/>
      <c r="B246" s="873"/>
      <c r="C246" s="873"/>
      <c r="D246" s="873"/>
      <c r="E246" s="873"/>
      <c r="F246" s="873"/>
      <c r="G246" s="873"/>
      <c r="H246" s="873"/>
      <c r="I246" s="873"/>
      <c r="J246" s="873"/>
      <c r="K246" s="873"/>
      <c r="L246" s="873"/>
      <c r="M246" s="873"/>
      <c r="N246" s="873"/>
      <c r="O246" s="873"/>
      <c r="P246" s="873"/>
      <c r="Q246" s="873"/>
      <c r="R246" s="873"/>
      <c r="S246" s="873"/>
      <c r="T246" s="873"/>
      <c r="U246" s="873"/>
      <c r="V246" s="873"/>
      <c r="W246" s="873"/>
      <c r="X246" s="873"/>
      <c r="Y246" s="873"/>
    </row>
    <row r="247">
      <c r="A247" s="873"/>
      <c r="B247" s="873"/>
      <c r="C247" s="873"/>
      <c r="D247" s="873"/>
      <c r="E247" s="873"/>
      <c r="F247" s="873"/>
      <c r="G247" s="873"/>
      <c r="H247" s="873"/>
      <c r="I247" s="873"/>
      <c r="J247" s="873"/>
      <c r="K247" s="873"/>
      <c r="L247" s="873"/>
      <c r="M247" s="873"/>
      <c r="N247" s="873"/>
      <c r="O247" s="873"/>
      <c r="P247" s="873"/>
      <c r="Q247" s="873"/>
      <c r="R247" s="873"/>
      <c r="S247" s="873"/>
      <c r="T247" s="873"/>
      <c r="U247" s="873"/>
      <c r="V247" s="873"/>
      <c r="W247" s="873"/>
      <c r="X247" s="873"/>
      <c r="Y247" s="873"/>
    </row>
    <row r="248">
      <c r="A248" s="873"/>
      <c r="B248" s="873"/>
      <c r="C248" s="873"/>
      <c r="D248" s="873"/>
      <c r="E248" s="873"/>
      <c r="F248" s="873"/>
      <c r="G248" s="873"/>
      <c r="H248" s="873"/>
      <c r="I248" s="873"/>
      <c r="J248" s="873"/>
      <c r="K248" s="873"/>
      <c r="L248" s="873"/>
      <c r="M248" s="873"/>
      <c r="N248" s="873"/>
      <c r="O248" s="873"/>
      <c r="P248" s="873"/>
      <c r="Q248" s="873"/>
      <c r="R248" s="873"/>
      <c r="S248" s="873"/>
      <c r="T248" s="873"/>
      <c r="U248" s="873"/>
      <c r="V248" s="873"/>
      <c r="W248" s="873"/>
      <c r="X248" s="873"/>
      <c r="Y248" s="873"/>
    </row>
    <row r="249">
      <c r="A249" s="873"/>
      <c r="B249" s="873"/>
      <c r="C249" s="873"/>
      <c r="D249" s="873"/>
      <c r="E249" s="873"/>
      <c r="F249" s="873"/>
      <c r="G249" s="873"/>
      <c r="H249" s="873"/>
      <c r="I249" s="873"/>
      <c r="J249" s="873"/>
      <c r="K249" s="873"/>
      <c r="L249" s="873"/>
      <c r="M249" s="873"/>
      <c r="N249" s="873"/>
      <c r="O249" s="873"/>
      <c r="P249" s="873"/>
      <c r="Q249" s="873"/>
      <c r="R249" s="873"/>
      <c r="S249" s="873"/>
      <c r="T249" s="873"/>
      <c r="U249" s="873"/>
      <c r="V249" s="873"/>
      <c r="W249" s="873"/>
      <c r="X249" s="873"/>
      <c r="Y249" s="873"/>
    </row>
    <row r="250">
      <c r="A250" s="873"/>
      <c r="B250" s="873"/>
      <c r="C250" s="873"/>
      <c r="D250" s="873"/>
      <c r="E250" s="873"/>
      <c r="F250" s="873"/>
      <c r="G250" s="873"/>
      <c r="H250" s="873"/>
      <c r="I250" s="873"/>
      <c r="J250" s="873"/>
      <c r="K250" s="873"/>
      <c r="L250" s="873"/>
      <c r="M250" s="873"/>
      <c r="N250" s="873"/>
      <c r="O250" s="873"/>
      <c r="P250" s="873"/>
      <c r="Q250" s="873"/>
      <c r="R250" s="873"/>
      <c r="S250" s="873"/>
      <c r="T250" s="873"/>
      <c r="U250" s="873"/>
      <c r="V250" s="873"/>
      <c r="W250" s="873"/>
      <c r="X250" s="873"/>
      <c r="Y250" s="873"/>
    </row>
    <row r="251">
      <c r="A251" s="873"/>
      <c r="B251" s="873"/>
      <c r="C251" s="873"/>
      <c r="D251" s="873"/>
      <c r="E251" s="873"/>
      <c r="F251" s="873"/>
      <c r="G251" s="873"/>
      <c r="H251" s="873"/>
      <c r="I251" s="873"/>
      <c r="J251" s="873"/>
      <c r="K251" s="873"/>
      <c r="L251" s="873"/>
      <c r="M251" s="873"/>
      <c r="N251" s="873"/>
      <c r="O251" s="873"/>
      <c r="P251" s="873"/>
      <c r="Q251" s="873"/>
      <c r="R251" s="873"/>
      <c r="S251" s="873"/>
      <c r="T251" s="873"/>
      <c r="U251" s="873"/>
      <c r="V251" s="873"/>
      <c r="W251" s="873"/>
      <c r="X251" s="873"/>
      <c r="Y251" s="873"/>
    </row>
    <row r="252">
      <c r="A252" s="873"/>
      <c r="B252" s="873"/>
      <c r="C252" s="873"/>
      <c r="D252" s="873"/>
      <c r="E252" s="873"/>
      <c r="F252" s="873"/>
      <c r="G252" s="873"/>
      <c r="H252" s="873"/>
      <c r="I252" s="873"/>
      <c r="J252" s="873"/>
      <c r="K252" s="873"/>
      <c r="L252" s="873"/>
      <c r="M252" s="873"/>
      <c r="N252" s="873"/>
      <c r="O252" s="873"/>
      <c r="P252" s="873"/>
      <c r="Q252" s="873"/>
      <c r="R252" s="873"/>
      <c r="S252" s="873"/>
      <c r="T252" s="873"/>
      <c r="U252" s="873"/>
      <c r="V252" s="873"/>
      <c r="W252" s="873"/>
      <c r="X252" s="873"/>
      <c r="Y252" s="873"/>
    </row>
    <row r="253">
      <c r="A253" s="873"/>
      <c r="B253" s="873"/>
      <c r="C253" s="873"/>
      <c r="D253" s="873"/>
      <c r="E253" s="873"/>
      <c r="F253" s="873"/>
      <c r="G253" s="873"/>
      <c r="H253" s="873"/>
      <c r="I253" s="873"/>
      <c r="J253" s="873"/>
      <c r="K253" s="873"/>
      <c r="L253" s="873"/>
      <c r="M253" s="873"/>
      <c r="N253" s="873"/>
      <c r="O253" s="873"/>
      <c r="P253" s="873"/>
      <c r="Q253" s="873"/>
      <c r="R253" s="873"/>
      <c r="S253" s="873"/>
      <c r="T253" s="873"/>
      <c r="U253" s="873"/>
      <c r="V253" s="873"/>
      <c r="W253" s="873"/>
      <c r="X253" s="873"/>
      <c r="Y253" s="873"/>
    </row>
    <row r="254">
      <c r="A254" s="873"/>
      <c r="B254" s="873"/>
      <c r="C254" s="873"/>
      <c r="D254" s="873"/>
      <c r="E254" s="873"/>
      <c r="F254" s="873"/>
      <c r="G254" s="873"/>
      <c r="H254" s="873"/>
      <c r="I254" s="873"/>
      <c r="J254" s="873"/>
      <c r="K254" s="873"/>
      <c r="L254" s="873"/>
      <c r="M254" s="873"/>
      <c r="N254" s="873"/>
      <c r="O254" s="873"/>
      <c r="P254" s="873"/>
      <c r="Q254" s="873"/>
      <c r="R254" s="873"/>
      <c r="S254" s="873"/>
      <c r="T254" s="873"/>
      <c r="U254" s="873"/>
      <c r="V254" s="873"/>
      <c r="W254" s="873"/>
      <c r="X254" s="873"/>
      <c r="Y254" s="873"/>
    </row>
    <row r="255">
      <c r="A255" s="873"/>
      <c r="B255" s="873"/>
      <c r="C255" s="873"/>
      <c r="D255" s="873"/>
      <c r="E255" s="873"/>
      <c r="F255" s="873"/>
      <c r="G255" s="873"/>
      <c r="H255" s="873"/>
      <c r="I255" s="873"/>
      <c r="J255" s="873"/>
      <c r="K255" s="873"/>
      <c r="L255" s="873"/>
      <c r="M255" s="873"/>
      <c r="N255" s="873"/>
      <c r="O255" s="873"/>
      <c r="P255" s="873"/>
      <c r="Q255" s="873"/>
      <c r="R255" s="873"/>
      <c r="S255" s="873"/>
      <c r="T255" s="873"/>
      <c r="U255" s="873"/>
      <c r="V255" s="873"/>
      <c r="W255" s="873"/>
      <c r="X255" s="873"/>
      <c r="Y255" s="873"/>
    </row>
    <row r="256">
      <c r="A256" s="873"/>
      <c r="B256" s="873"/>
      <c r="C256" s="873"/>
      <c r="D256" s="873"/>
      <c r="E256" s="873"/>
      <c r="F256" s="873"/>
      <c r="G256" s="873"/>
      <c r="H256" s="873"/>
      <c r="I256" s="873"/>
      <c r="J256" s="873"/>
      <c r="K256" s="873"/>
      <c r="L256" s="873"/>
      <c r="M256" s="873"/>
      <c r="N256" s="873"/>
      <c r="O256" s="873"/>
      <c r="P256" s="873"/>
      <c r="Q256" s="873"/>
      <c r="R256" s="873"/>
      <c r="S256" s="873"/>
      <c r="T256" s="873"/>
      <c r="U256" s="873"/>
      <c r="V256" s="873"/>
      <c r="W256" s="873"/>
      <c r="X256" s="873"/>
      <c r="Y256" s="873"/>
    </row>
    <row r="257">
      <c r="A257" s="873"/>
      <c r="B257" s="873"/>
      <c r="C257" s="873"/>
      <c r="D257" s="873"/>
      <c r="E257" s="873"/>
      <c r="F257" s="873"/>
      <c r="G257" s="873"/>
      <c r="H257" s="873"/>
      <c r="I257" s="873"/>
      <c r="J257" s="873"/>
      <c r="K257" s="873"/>
      <c r="L257" s="873"/>
      <c r="M257" s="873"/>
      <c r="N257" s="873"/>
      <c r="O257" s="873"/>
      <c r="P257" s="873"/>
      <c r="Q257" s="873"/>
      <c r="R257" s="873"/>
      <c r="S257" s="873"/>
      <c r="T257" s="873"/>
      <c r="U257" s="873"/>
      <c r="V257" s="873"/>
      <c r="W257" s="873"/>
      <c r="X257" s="873"/>
      <c r="Y257" s="873"/>
    </row>
    <row r="258">
      <c r="A258" s="873"/>
      <c r="B258" s="873"/>
      <c r="C258" s="873"/>
      <c r="D258" s="873"/>
      <c r="E258" s="873"/>
      <c r="F258" s="873"/>
      <c r="G258" s="873"/>
      <c r="H258" s="873"/>
      <c r="I258" s="873"/>
      <c r="J258" s="873"/>
      <c r="K258" s="873"/>
      <c r="L258" s="873"/>
      <c r="M258" s="873"/>
      <c r="N258" s="873"/>
      <c r="O258" s="873"/>
      <c r="P258" s="873"/>
      <c r="Q258" s="873"/>
      <c r="R258" s="873"/>
      <c r="S258" s="873"/>
      <c r="T258" s="873"/>
      <c r="U258" s="873"/>
      <c r="V258" s="873"/>
      <c r="W258" s="873"/>
      <c r="X258" s="873"/>
      <c r="Y258" s="873"/>
    </row>
    <row r="259">
      <c r="A259" s="873"/>
      <c r="B259" s="873"/>
      <c r="C259" s="873"/>
      <c r="D259" s="873"/>
      <c r="E259" s="873"/>
      <c r="F259" s="873"/>
      <c r="G259" s="873"/>
      <c r="H259" s="873"/>
      <c r="I259" s="873"/>
      <c r="J259" s="873"/>
      <c r="K259" s="873"/>
      <c r="L259" s="873"/>
      <c r="M259" s="873"/>
      <c r="N259" s="873"/>
      <c r="O259" s="873"/>
      <c r="P259" s="873"/>
      <c r="Q259" s="873"/>
      <c r="R259" s="873"/>
      <c r="S259" s="873"/>
      <c r="T259" s="873"/>
      <c r="U259" s="873"/>
      <c r="V259" s="873"/>
      <c r="W259" s="873"/>
      <c r="X259" s="873"/>
      <c r="Y259" s="873"/>
    </row>
    <row r="260">
      <c r="A260" s="873"/>
      <c r="B260" s="873"/>
      <c r="C260" s="873"/>
      <c r="D260" s="873"/>
      <c r="E260" s="873"/>
      <c r="F260" s="873"/>
      <c r="G260" s="873"/>
      <c r="H260" s="873"/>
      <c r="I260" s="873"/>
      <c r="J260" s="873"/>
      <c r="K260" s="873"/>
      <c r="L260" s="873"/>
      <c r="M260" s="873"/>
      <c r="N260" s="873"/>
      <c r="O260" s="873"/>
      <c r="P260" s="873"/>
      <c r="Q260" s="873"/>
      <c r="R260" s="873"/>
      <c r="S260" s="873"/>
      <c r="T260" s="873"/>
      <c r="U260" s="873"/>
      <c r="V260" s="873"/>
      <c r="W260" s="873"/>
      <c r="X260" s="873"/>
      <c r="Y260" s="873"/>
    </row>
    <row r="261">
      <c r="A261" s="873"/>
      <c r="B261" s="873"/>
      <c r="C261" s="873"/>
      <c r="D261" s="873"/>
      <c r="E261" s="873"/>
      <c r="F261" s="873"/>
      <c r="G261" s="873"/>
      <c r="H261" s="873"/>
      <c r="I261" s="873"/>
      <c r="J261" s="873"/>
      <c r="K261" s="873"/>
      <c r="L261" s="873"/>
      <c r="M261" s="873"/>
      <c r="N261" s="873"/>
      <c r="O261" s="873"/>
      <c r="P261" s="873"/>
      <c r="Q261" s="873"/>
      <c r="R261" s="873"/>
      <c r="S261" s="873"/>
      <c r="T261" s="873"/>
      <c r="U261" s="873"/>
      <c r="V261" s="873"/>
      <c r="W261" s="873"/>
      <c r="X261" s="873"/>
      <c r="Y261" s="873"/>
    </row>
    <row r="262">
      <c r="A262" s="873"/>
      <c r="B262" s="873"/>
      <c r="C262" s="873"/>
      <c r="D262" s="873"/>
      <c r="E262" s="873"/>
      <c r="F262" s="873"/>
      <c r="G262" s="873"/>
      <c r="H262" s="873"/>
      <c r="I262" s="873"/>
      <c r="J262" s="873"/>
      <c r="K262" s="873"/>
      <c r="L262" s="873"/>
      <c r="M262" s="873"/>
      <c r="N262" s="873"/>
      <c r="O262" s="873"/>
      <c r="P262" s="873"/>
      <c r="Q262" s="873"/>
      <c r="R262" s="873"/>
      <c r="S262" s="873"/>
      <c r="T262" s="873"/>
      <c r="U262" s="873"/>
      <c r="V262" s="873"/>
      <c r="W262" s="873"/>
      <c r="X262" s="873"/>
      <c r="Y262" s="873"/>
    </row>
    <row r="263">
      <c r="A263" s="873"/>
      <c r="B263" s="873"/>
      <c r="C263" s="873"/>
      <c r="D263" s="873"/>
      <c r="E263" s="873"/>
      <c r="F263" s="873"/>
      <c r="G263" s="873"/>
      <c r="H263" s="873"/>
      <c r="I263" s="873"/>
      <c r="J263" s="873"/>
      <c r="K263" s="873"/>
      <c r="L263" s="873"/>
      <c r="M263" s="873"/>
      <c r="N263" s="873"/>
      <c r="O263" s="873"/>
      <c r="P263" s="873"/>
      <c r="Q263" s="873"/>
      <c r="R263" s="873"/>
      <c r="S263" s="873"/>
      <c r="T263" s="873"/>
      <c r="U263" s="873"/>
      <c r="V263" s="873"/>
      <c r="W263" s="873"/>
      <c r="X263" s="873"/>
      <c r="Y263" s="873"/>
    </row>
    <row r="264">
      <c r="A264" s="873"/>
      <c r="B264" s="873"/>
      <c r="C264" s="873"/>
      <c r="D264" s="873"/>
      <c r="E264" s="873"/>
      <c r="F264" s="873"/>
      <c r="G264" s="873"/>
      <c r="H264" s="873"/>
      <c r="I264" s="873"/>
      <c r="J264" s="873"/>
      <c r="K264" s="873"/>
      <c r="L264" s="873"/>
      <c r="M264" s="873"/>
      <c r="N264" s="873"/>
      <c r="O264" s="873"/>
      <c r="P264" s="873"/>
      <c r="Q264" s="873"/>
      <c r="R264" s="873"/>
      <c r="S264" s="873"/>
      <c r="T264" s="873"/>
      <c r="U264" s="873"/>
      <c r="V264" s="873"/>
      <c r="W264" s="873"/>
      <c r="X264" s="873"/>
      <c r="Y264" s="873"/>
    </row>
    <row r="265">
      <c r="A265" s="873"/>
      <c r="B265" s="873"/>
      <c r="C265" s="873"/>
      <c r="D265" s="873"/>
      <c r="E265" s="873"/>
      <c r="F265" s="873"/>
      <c r="G265" s="873"/>
      <c r="H265" s="873"/>
      <c r="I265" s="873"/>
      <c r="J265" s="873"/>
      <c r="K265" s="873"/>
      <c r="L265" s="873"/>
      <c r="M265" s="873"/>
      <c r="N265" s="873"/>
      <c r="O265" s="873"/>
      <c r="P265" s="873"/>
      <c r="Q265" s="873"/>
      <c r="R265" s="873"/>
      <c r="S265" s="873"/>
      <c r="T265" s="873"/>
      <c r="U265" s="873"/>
      <c r="V265" s="873"/>
      <c r="W265" s="873"/>
      <c r="X265" s="873"/>
      <c r="Y265" s="873"/>
    </row>
    <row r="266">
      <c r="A266" s="873"/>
      <c r="B266" s="873"/>
      <c r="C266" s="873"/>
      <c r="D266" s="873"/>
      <c r="E266" s="873"/>
      <c r="F266" s="873"/>
      <c r="G266" s="873"/>
      <c r="H266" s="873"/>
      <c r="I266" s="873"/>
      <c r="J266" s="873"/>
      <c r="K266" s="873"/>
      <c r="L266" s="873"/>
      <c r="M266" s="873"/>
      <c r="N266" s="873"/>
      <c r="O266" s="873"/>
      <c r="P266" s="873"/>
      <c r="Q266" s="873"/>
      <c r="R266" s="873"/>
      <c r="S266" s="873"/>
      <c r="T266" s="873"/>
      <c r="U266" s="873"/>
      <c r="V266" s="873"/>
      <c r="W266" s="873"/>
      <c r="X266" s="873"/>
      <c r="Y266" s="873"/>
    </row>
    <row r="267">
      <c r="A267" s="873"/>
      <c r="B267" s="873"/>
      <c r="C267" s="873"/>
      <c r="D267" s="873"/>
      <c r="E267" s="873"/>
      <c r="F267" s="873"/>
      <c r="G267" s="873"/>
      <c r="H267" s="873"/>
      <c r="I267" s="873"/>
      <c r="J267" s="873"/>
      <c r="K267" s="873"/>
      <c r="L267" s="873"/>
      <c r="M267" s="873"/>
      <c r="N267" s="873"/>
      <c r="O267" s="873"/>
      <c r="P267" s="873"/>
      <c r="Q267" s="873"/>
      <c r="R267" s="873"/>
      <c r="S267" s="873"/>
      <c r="T267" s="873"/>
      <c r="U267" s="873"/>
      <c r="V267" s="873"/>
      <c r="W267" s="873"/>
      <c r="X267" s="873"/>
      <c r="Y267" s="873"/>
    </row>
    <row r="268">
      <c r="A268" s="873"/>
      <c r="B268" s="873"/>
      <c r="C268" s="873"/>
      <c r="D268" s="873"/>
      <c r="E268" s="873"/>
      <c r="F268" s="873"/>
      <c r="G268" s="873"/>
      <c r="H268" s="873"/>
      <c r="I268" s="873"/>
      <c r="J268" s="873"/>
      <c r="K268" s="873"/>
      <c r="L268" s="873"/>
      <c r="M268" s="873"/>
      <c r="N268" s="873"/>
      <c r="O268" s="873"/>
      <c r="P268" s="873"/>
      <c r="Q268" s="873"/>
      <c r="R268" s="873"/>
      <c r="S268" s="873"/>
      <c r="T268" s="873"/>
      <c r="U268" s="873"/>
      <c r="V268" s="873"/>
      <c r="W268" s="873"/>
      <c r="X268" s="873"/>
      <c r="Y268" s="873"/>
    </row>
    <row r="269">
      <c r="A269" s="873"/>
      <c r="B269" s="873"/>
      <c r="C269" s="873"/>
      <c r="D269" s="873"/>
      <c r="E269" s="873"/>
      <c r="F269" s="873"/>
      <c r="G269" s="873"/>
      <c r="H269" s="873"/>
      <c r="I269" s="873"/>
      <c r="J269" s="873"/>
      <c r="K269" s="873"/>
      <c r="L269" s="873"/>
      <c r="M269" s="873"/>
      <c r="N269" s="873"/>
      <c r="O269" s="873"/>
      <c r="P269" s="873"/>
      <c r="Q269" s="873"/>
      <c r="R269" s="873"/>
      <c r="S269" s="873"/>
      <c r="T269" s="873"/>
      <c r="U269" s="873"/>
      <c r="V269" s="873"/>
      <c r="W269" s="873"/>
      <c r="X269" s="873"/>
      <c r="Y269" s="873"/>
    </row>
    <row r="270">
      <c r="A270" s="873"/>
      <c r="B270" s="873"/>
      <c r="C270" s="873"/>
      <c r="D270" s="873"/>
      <c r="E270" s="873"/>
      <c r="F270" s="873"/>
      <c r="G270" s="873"/>
      <c r="H270" s="873"/>
      <c r="I270" s="873"/>
      <c r="J270" s="873"/>
      <c r="K270" s="873"/>
      <c r="L270" s="873"/>
      <c r="M270" s="873"/>
      <c r="N270" s="873"/>
      <c r="O270" s="873"/>
      <c r="P270" s="873"/>
      <c r="Q270" s="873"/>
      <c r="R270" s="873"/>
      <c r="S270" s="873"/>
      <c r="T270" s="873"/>
      <c r="U270" s="873"/>
      <c r="V270" s="873"/>
      <c r="W270" s="873"/>
      <c r="X270" s="873"/>
      <c r="Y270" s="873"/>
    </row>
    <row r="271">
      <c r="A271" s="873"/>
      <c r="B271" s="873"/>
      <c r="C271" s="873"/>
      <c r="D271" s="873"/>
      <c r="E271" s="873"/>
      <c r="F271" s="873"/>
      <c r="G271" s="873"/>
      <c r="H271" s="873"/>
      <c r="I271" s="873"/>
      <c r="J271" s="873"/>
      <c r="K271" s="873"/>
      <c r="L271" s="873"/>
      <c r="M271" s="873"/>
      <c r="N271" s="873"/>
      <c r="O271" s="873"/>
      <c r="P271" s="873"/>
      <c r="Q271" s="873"/>
      <c r="R271" s="873"/>
      <c r="S271" s="873"/>
      <c r="T271" s="873"/>
      <c r="U271" s="873"/>
      <c r="V271" s="873"/>
      <c r="W271" s="873"/>
      <c r="X271" s="873"/>
      <c r="Y271" s="873"/>
    </row>
    <row r="272">
      <c r="A272" s="873"/>
      <c r="B272" s="873"/>
      <c r="C272" s="873"/>
      <c r="D272" s="873"/>
      <c r="E272" s="873"/>
      <c r="F272" s="873"/>
      <c r="G272" s="873"/>
      <c r="H272" s="873"/>
      <c r="I272" s="873"/>
      <c r="J272" s="873"/>
      <c r="K272" s="873"/>
      <c r="L272" s="873"/>
      <c r="M272" s="873"/>
      <c r="N272" s="873"/>
      <c r="O272" s="873"/>
      <c r="P272" s="873"/>
      <c r="Q272" s="873"/>
      <c r="R272" s="873"/>
      <c r="S272" s="873"/>
      <c r="T272" s="873"/>
      <c r="U272" s="873"/>
      <c r="V272" s="873"/>
      <c r="W272" s="873"/>
      <c r="X272" s="873"/>
      <c r="Y272" s="873"/>
    </row>
    <row r="273">
      <c r="A273" s="873"/>
      <c r="B273" s="873"/>
      <c r="C273" s="873"/>
      <c r="D273" s="873"/>
      <c r="E273" s="873"/>
      <c r="F273" s="873"/>
      <c r="G273" s="873"/>
      <c r="H273" s="873"/>
      <c r="I273" s="873"/>
      <c r="J273" s="873"/>
      <c r="K273" s="873"/>
      <c r="L273" s="873"/>
      <c r="M273" s="873"/>
      <c r="N273" s="873"/>
      <c r="O273" s="873"/>
      <c r="P273" s="873"/>
      <c r="Q273" s="873"/>
      <c r="R273" s="873"/>
      <c r="S273" s="873"/>
      <c r="T273" s="873"/>
      <c r="U273" s="873"/>
      <c r="V273" s="873"/>
      <c r="W273" s="873"/>
      <c r="X273" s="873"/>
      <c r="Y273" s="873"/>
    </row>
    <row r="274">
      <c r="A274" s="873"/>
      <c r="B274" s="873"/>
      <c r="C274" s="873"/>
      <c r="D274" s="873"/>
      <c r="E274" s="873"/>
      <c r="F274" s="873"/>
      <c r="G274" s="873"/>
      <c r="H274" s="873"/>
      <c r="I274" s="873"/>
      <c r="J274" s="873"/>
      <c r="K274" s="873"/>
      <c r="L274" s="873"/>
      <c r="M274" s="873"/>
      <c r="N274" s="873"/>
      <c r="O274" s="873"/>
      <c r="P274" s="873"/>
      <c r="Q274" s="873"/>
      <c r="R274" s="873"/>
      <c r="S274" s="873"/>
      <c r="T274" s="873"/>
      <c r="U274" s="873"/>
      <c r="V274" s="873"/>
      <c r="W274" s="873"/>
      <c r="X274" s="873"/>
      <c r="Y274" s="873"/>
    </row>
    <row r="275">
      <c r="A275" s="873"/>
      <c r="B275" s="873"/>
      <c r="C275" s="873"/>
      <c r="D275" s="873"/>
      <c r="E275" s="873"/>
      <c r="F275" s="873"/>
      <c r="G275" s="873"/>
      <c r="H275" s="873"/>
      <c r="I275" s="873"/>
      <c r="J275" s="873"/>
      <c r="K275" s="873"/>
      <c r="L275" s="873"/>
      <c r="M275" s="873"/>
      <c r="N275" s="873"/>
      <c r="O275" s="873"/>
      <c r="P275" s="873"/>
      <c r="Q275" s="873"/>
      <c r="R275" s="873"/>
      <c r="S275" s="873"/>
      <c r="T275" s="873"/>
      <c r="U275" s="873"/>
      <c r="V275" s="873"/>
      <c r="W275" s="873"/>
      <c r="X275" s="873"/>
      <c r="Y275" s="873"/>
    </row>
    <row r="276">
      <c r="A276" s="873"/>
      <c r="B276" s="873"/>
      <c r="C276" s="873"/>
      <c r="D276" s="873"/>
      <c r="E276" s="873"/>
      <c r="F276" s="873"/>
      <c r="G276" s="873"/>
      <c r="H276" s="873"/>
      <c r="I276" s="873"/>
      <c r="J276" s="873"/>
      <c r="K276" s="873"/>
      <c r="L276" s="873"/>
      <c r="M276" s="873"/>
      <c r="N276" s="873"/>
      <c r="O276" s="873"/>
      <c r="P276" s="873"/>
      <c r="Q276" s="873"/>
      <c r="R276" s="873"/>
      <c r="S276" s="873"/>
      <c r="T276" s="873"/>
      <c r="U276" s="873"/>
      <c r="V276" s="873"/>
      <c r="W276" s="873"/>
      <c r="X276" s="873"/>
      <c r="Y276" s="873"/>
    </row>
    <row r="277">
      <c r="A277" s="873"/>
      <c r="B277" s="873"/>
      <c r="C277" s="873"/>
      <c r="D277" s="873"/>
      <c r="E277" s="873"/>
      <c r="F277" s="873"/>
      <c r="G277" s="873"/>
      <c r="H277" s="873"/>
      <c r="I277" s="873"/>
      <c r="J277" s="873"/>
      <c r="K277" s="873"/>
      <c r="L277" s="873"/>
      <c r="M277" s="873"/>
      <c r="N277" s="873"/>
      <c r="O277" s="873"/>
      <c r="P277" s="873"/>
      <c r="Q277" s="873"/>
      <c r="R277" s="873"/>
      <c r="S277" s="873"/>
      <c r="T277" s="873"/>
      <c r="U277" s="873"/>
      <c r="V277" s="873"/>
      <c r="W277" s="873"/>
      <c r="X277" s="873"/>
      <c r="Y277" s="873"/>
    </row>
    <row r="278">
      <c r="A278" s="873"/>
      <c r="B278" s="873"/>
      <c r="C278" s="873"/>
      <c r="D278" s="873"/>
      <c r="E278" s="873"/>
      <c r="F278" s="873"/>
      <c r="G278" s="873"/>
      <c r="H278" s="873"/>
      <c r="I278" s="873"/>
      <c r="J278" s="873"/>
      <c r="K278" s="873"/>
      <c r="L278" s="873"/>
      <c r="M278" s="873"/>
      <c r="N278" s="873"/>
      <c r="O278" s="873"/>
      <c r="P278" s="873"/>
      <c r="Q278" s="873"/>
      <c r="R278" s="873"/>
      <c r="S278" s="873"/>
      <c r="T278" s="873"/>
      <c r="U278" s="873"/>
      <c r="V278" s="873"/>
      <c r="W278" s="873"/>
      <c r="X278" s="873"/>
      <c r="Y278" s="873"/>
    </row>
    <row r="279">
      <c r="A279" s="873"/>
      <c r="B279" s="873"/>
      <c r="C279" s="873"/>
      <c r="D279" s="873"/>
      <c r="E279" s="873"/>
      <c r="F279" s="873"/>
      <c r="G279" s="873"/>
      <c r="H279" s="873"/>
      <c r="I279" s="873"/>
      <c r="J279" s="873"/>
      <c r="K279" s="873"/>
      <c r="L279" s="873"/>
      <c r="M279" s="873"/>
      <c r="N279" s="873"/>
      <c r="O279" s="873"/>
      <c r="P279" s="873"/>
      <c r="Q279" s="873"/>
      <c r="R279" s="873"/>
      <c r="S279" s="873"/>
      <c r="T279" s="873"/>
      <c r="U279" s="873"/>
      <c r="V279" s="873"/>
      <c r="W279" s="873"/>
      <c r="X279" s="873"/>
      <c r="Y279" s="873"/>
    </row>
    <row r="280">
      <c r="A280" s="873"/>
      <c r="B280" s="873"/>
      <c r="C280" s="873"/>
      <c r="D280" s="873"/>
      <c r="E280" s="873"/>
      <c r="F280" s="873"/>
      <c r="G280" s="873"/>
      <c r="H280" s="873"/>
      <c r="I280" s="873"/>
      <c r="J280" s="873"/>
      <c r="K280" s="873"/>
      <c r="L280" s="873"/>
      <c r="M280" s="873"/>
      <c r="N280" s="873"/>
      <c r="O280" s="873"/>
      <c r="P280" s="873"/>
      <c r="Q280" s="873"/>
      <c r="R280" s="873"/>
      <c r="S280" s="873"/>
      <c r="T280" s="873"/>
      <c r="U280" s="873"/>
      <c r="V280" s="873"/>
      <c r="W280" s="873"/>
      <c r="X280" s="873"/>
      <c r="Y280" s="873"/>
    </row>
    <row r="281">
      <c r="A281" s="873"/>
      <c r="B281" s="873"/>
      <c r="C281" s="873"/>
      <c r="D281" s="873"/>
      <c r="E281" s="873"/>
      <c r="F281" s="873"/>
      <c r="G281" s="873"/>
      <c r="H281" s="873"/>
      <c r="I281" s="873"/>
      <c r="J281" s="873"/>
      <c r="K281" s="873"/>
      <c r="L281" s="873"/>
      <c r="M281" s="873"/>
      <c r="N281" s="873"/>
      <c r="O281" s="873"/>
      <c r="P281" s="873"/>
      <c r="Q281" s="873"/>
      <c r="R281" s="873"/>
      <c r="S281" s="873"/>
      <c r="T281" s="873"/>
      <c r="U281" s="873"/>
      <c r="V281" s="873"/>
      <c r="W281" s="873"/>
      <c r="X281" s="873"/>
      <c r="Y281" s="873"/>
    </row>
    <row r="282">
      <c r="A282" s="873"/>
      <c r="B282" s="873"/>
      <c r="C282" s="873"/>
      <c r="D282" s="873"/>
      <c r="E282" s="873"/>
      <c r="F282" s="873"/>
      <c r="G282" s="873"/>
      <c r="H282" s="873"/>
      <c r="I282" s="873"/>
      <c r="J282" s="873"/>
      <c r="K282" s="873"/>
      <c r="L282" s="873"/>
      <c r="M282" s="873"/>
      <c r="N282" s="873"/>
      <c r="O282" s="873"/>
      <c r="P282" s="873"/>
      <c r="Q282" s="873"/>
      <c r="R282" s="873"/>
      <c r="S282" s="873"/>
      <c r="T282" s="873"/>
      <c r="U282" s="873"/>
      <c r="V282" s="873"/>
      <c r="W282" s="873"/>
      <c r="X282" s="873"/>
      <c r="Y282" s="873"/>
    </row>
    <row r="283">
      <c r="A283" s="873"/>
      <c r="B283" s="873"/>
      <c r="C283" s="873"/>
      <c r="D283" s="873"/>
      <c r="E283" s="873"/>
      <c r="F283" s="873"/>
      <c r="G283" s="873"/>
      <c r="H283" s="873"/>
      <c r="I283" s="873"/>
      <c r="J283" s="873"/>
      <c r="K283" s="873"/>
      <c r="L283" s="873"/>
      <c r="M283" s="873"/>
      <c r="N283" s="873"/>
      <c r="O283" s="873"/>
      <c r="P283" s="873"/>
      <c r="Q283" s="873"/>
      <c r="R283" s="873"/>
      <c r="S283" s="873"/>
      <c r="T283" s="873"/>
      <c r="U283" s="873"/>
      <c r="V283" s="873"/>
      <c r="W283" s="873"/>
      <c r="X283" s="873"/>
      <c r="Y283" s="873"/>
    </row>
    <row r="284">
      <c r="A284" s="873"/>
      <c r="B284" s="873"/>
      <c r="C284" s="873"/>
      <c r="D284" s="873"/>
      <c r="E284" s="873"/>
      <c r="F284" s="873"/>
      <c r="G284" s="873"/>
      <c r="H284" s="873"/>
      <c r="I284" s="873"/>
      <c r="J284" s="873"/>
      <c r="K284" s="873"/>
      <c r="L284" s="873"/>
      <c r="M284" s="873"/>
      <c r="N284" s="873"/>
      <c r="O284" s="873"/>
      <c r="P284" s="873"/>
      <c r="Q284" s="873"/>
      <c r="R284" s="873"/>
      <c r="S284" s="873"/>
      <c r="T284" s="873"/>
      <c r="U284" s="873"/>
      <c r="V284" s="873"/>
      <c r="W284" s="873"/>
      <c r="X284" s="873"/>
      <c r="Y284" s="873"/>
    </row>
    <row r="285">
      <c r="A285" s="873"/>
      <c r="B285" s="873"/>
      <c r="C285" s="873"/>
      <c r="D285" s="873"/>
      <c r="E285" s="873"/>
      <c r="F285" s="873"/>
      <c r="G285" s="873"/>
      <c r="H285" s="873"/>
      <c r="I285" s="873"/>
      <c r="J285" s="873"/>
      <c r="K285" s="873"/>
      <c r="L285" s="873"/>
      <c r="M285" s="873"/>
      <c r="N285" s="873"/>
      <c r="O285" s="873"/>
      <c r="P285" s="873"/>
      <c r="Q285" s="873"/>
      <c r="R285" s="873"/>
      <c r="S285" s="873"/>
      <c r="T285" s="873"/>
      <c r="U285" s="873"/>
      <c r="V285" s="873"/>
      <c r="W285" s="873"/>
      <c r="X285" s="873"/>
      <c r="Y285" s="873"/>
    </row>
    <row r="286">
      <c r="A286" s="873"/>
      <c r="B286" s="873"/>
      <c r="C286" s="873"/>
      <c r="D286" s="873"/>
      <c r="E286" s="873"/>
      <c r="F286" s="873"/>
      <c r="G286" s="873"/>
      <c r="H286" s="873"/>
      <c r="I286" s="873"/>
      <c r="J286" s="873"/>
      <c r="K286" s="873"/>
      <c r="L286" s="873"/>
      <c r="M286" s="873"/>
      <c r="N286" s="873"/>
      <c r="O286" s="873"/>
      <c r="P286" s="873"/>
      <c r="Q286" s="873"/>
      <c r="R286" s="873"/>
      <c r="S286" s="873"/>
      <c r="T286" s="873"/>
      <c r="U286" s="873"/>
      <c r="V286" s="873"/>
      <c r="W286" s="873"/>
      <c r="X286" s="873"/>
      <c r="Y286" s="873"/>
    </row>
    <row r="287">
      <c r="A287" s="873"/>
      <c r="B287" s="873"/>
      <c r="C287" s="873"/>
      <c r="D287" s="873"/>
      <c r="E287" s="873"/>
      <c r="F287" s="873"/>
      <c r="G287" s="873"/>
      <c r="H287" s="873"/>
      <c r="I287" s="873"/>
      <c r="J287" s="873"/>
      <c r="K287" s="873"/>
      <c r="L287" s="873"/>
      <c r="M287" s="873"/>
      <c r="N287" s="873"/>
      <c r="O287" s="873"/>
      <c r="P287" s="873"/>
      <c r="Q287" s="873"/>
      <c r="R287" s="873"/>
      <c r="S287" s="873"/>
      <c r="T287" s="873"/>
      <c r="U287" s="873"/>
      <c r="V287" s="873"/>
      <c r="W287" s="873"/>
      <c r="X287" s="873"/>
      <c r="Y287" s="873"/>
    </row>
    <row r="288">
      <c r="A288" s="873"/>
      <c r="B288" s="873"/>
      <c r="C288" s="873"/>
      <c r="D288" s="873"/>
      <c r="E288" s="873"/>
      <c r="F288" s="873"/>
      <c r="G288" s="873"/>
      <c r="H288" s="873"/>
      <c r="I288" s="873"/>
      <c r="J288" s="873"/>
      <c r="K288" s="873"/>
      <c r="L288" s="873"/>
      <c r="M288" s="873"/>
      <c r="N288" s="873"/>
      <c r="O288" s="873"/>
      <c r="P288" s="873"/>
      <c r="Q288" s="873"/>
      <c r="R288" s="873"/>
      <c r="S288" s="873"/>
      <c r="T288" s="873"/>
      <c r="U288" s="873"/>
      <c r="V288" s="873"/>
      <c r="W288" s="873"/>
      <c r="X288" s="873"/>
      <c r="Y288" s="873"/>
    </row>
    <row r="289">
      <c r="A289" s="873"/>
      <c r="B289" s="873"/>
      <c r="C289" s="873"/>
      <c r="D289" s="873"/>
      <c r="E289" s="873"/>
      <c r="F289" s="873"/>
      <c r="G289" s="873"/>
      <c r="H289" s="873"/>
      <c r="I289" s="873"/>
      <c r="J289" s="873"/>
      <c r="K289" s="873"/>
      <c r="L289" s="873"/>
      <c r="M289" s="873"/>
      <c r="N289" s="873"/>
      <c r="O289" s="873"/>
      <c r="P289" s="873"/>
      <c r="Q289" s="873"/>
      <c r="R289" s="873"/>
      <c r="S289" s="873"/>
      <c r="T289" s="873"/>
      <c r="U289" s="873"/>
      <c r="V289" s="873"/>
      <c r="W289" s="873"/>
      <c r="X289" s="873"/>
      <c r="Y289" s="873"/>
    </row>
    <row r="290">
      <c r="A290" s="873"/>
      <c r="B290" s="873"/>
      <c r="C290" s="873"/>
      <c r="D290" s="873"/>
      <c r="E290" s="873"/>
      <c r="F290" s="873"/>
      <c r="G290" s="873"/>
      <c r="H290" s="873"/>
      <c r="I290" s="873"/>
      <c r="J290" s="873"/>
      <c r="K290" s="873"/>
      <c r="L290" s="873"/>
      <c r="M290" s="873"/>
      <c r="N290" s="873"/>
      <c r="O290" s="873"/>
      <c r="P290" s="873"/>
      <c r="Q290" s="873"/>
      <c r="R290" s="873"/>
      <c r="S290" s="873"/>
      <c r="T290" s="873"/>
      <c r="U290" s="873"/>
      <c r="V290" s="873"/>
      <c r="W290" s="873"/>
      <c r="X290" s="873"/>
      <c r="Y290" s="873"/>
    </row>
    <row r="291">
      <c r="A291" s="873"/>
      <c r="B291" s="873"/>
      <c r="C291" s="873"/>
      <c r="D291" s="873"/>
      <c r="E291" s="873"/>
      <c r="F291" s="873"/>
      <c r="G291" s="873"/>
      <c r="H291" s="873"/>
      <c r="I291" s="873"/>
      <c r="J291" s="873"/>
      <c r="K291" s="873"/>
      <c r="L291" s="873"/>
      <c r="M291" s="873"/>
      <c r="N291" s="873"/>
      <c r="O291" s="873"/>
      <c r="P291" s="873"/>
      <c r="Q291" s="873"/>
      <c r="R291" s="873"/>
      <c r="S291" s="873"/>
      <c r="T291" s="873"/>
      <c r="U291" s="873"/>
      <c r="V291" s="873"/>
      <c r="W291" s="873"/>
      <c r="X291" s="873"/>
      <c r="Y291" s="873"/>
    </row>
    <row r="292">
      <c r="A292" s="873"/>
      <c r="B292" s="873"/>
      <c r="C292" s="873"/>
      <c r="D292" s="873"/>
      <c r="E292" s="873"/>
      <c r="F292" s="873"/>
      <c r="G292" s="873"/>
      <c r="H292" s="873"/>
      <c r="I292" s="873"/>
      <c r="J292" s="873"/>
      <c r="K292" s="873"/>
      <c r="L292" s="873"/>
      <c r="M292" s="873"/>
      <c r="N292" s="873"/>
      <c r="O292" s="873"/>
      <c r="P292" s="873"/>
      <c r="Q292" s="873"/>
      <c r="R292" s="873"/>
      <c r="S292" s="873"/>
      <c r="T292" s="873"/>
      <c r="U292" s="873"/>
      <c r="V292" s="873"/>
      <c r="W292" s="873"/>
      <c r="X292" s="873"/>
      <c r="Y292" s="873"/>
    </row>
    <row r="293">
      <c r="A293" s="873"/>
      <c r="B293" s="873"/>
      <c r="C293" s="873"/>
      <c r="D293" s="873"/>
      <c r="E293" s="873"/>
      <c r="F293" s="873"/>
      <c r="G293" s="873"/>
      <c r="H293" s="873"/>
      <c r="I293" s="873"/>
      <c r="J293" s="873"/>
      <c r="K293" s="873"/>
      <c r="L293" s="873"/>
      <c r="M293" s="873"/>
      <c r="N293" s="873"/>
      <c r="O293" s="873"/>
      <c r="P293" s="873"/>
      <c r="Q293" s="873"/>
      <c r="R293" s="873"/>
      <c r="S293" s="873"/>
      <c r="T293" s="873"/>
      <c r="U293" s="873"/>
      <c r="V293" s="873"/>
      <c r="W293" s="873"/>
      <c r="X293" s="873"/>
      <c r="Y293" s="873"/>
    </row>
    <row r="294">
      <c r="A294" s="873"/>
      <c r="B294" s="873"/>
      <c r="C294" s="873"/>
      <c r="D294" s="873"/>
      <c r="E294" s="873"/>
      <c r="F294" s="873"/>
      <c r="G294" s="873"/>
      <c r="H294" s="873"/>
      <c r="I294" s="873"/>
      <c r="J294" s="873"/>
      <c r="K294" s="873"/>
      <c r="L294" s="873"/>
      <c r="M294" s="873"/>
      <c r="N294" s="873"/>
      <c r="O294" s="873"/>
      <c r="P294" s="873"/>
      <c r="Q294" s="873"/>
      <c r="R294" s="873"/>
      <c r="S294" s="873"/>
      <c r="T294" s="873"/>
      <c r="U294" s="873"/>
      <c r="V294" s="873"/>
      <c r="W294" s="873"/>
      <c r="X294" s="873"/>
      <c r="Y294" s="873"/>
    </row>
    <row r="295">
      <c r="A295" s="873"/>
      <c r="B295" s="873"/>
      <c r="C295" s="873"/>
      <c r="D295" s="873"/>
      <c r="E295" s="873"/>
      <c r="F295" s="873"/>
      <c r="G295" s="873"/>
      <c r="H295" s="873"/>
      <c r="I295" s="873"/>
      <c r="J295" s="873"/>
      <c r="K295" s="873"/>
      <c r="L295" s="873"/>
      <c r="M295" s="873"/>
      <c r="N295" s="873"/>
      <c r="O295" s="873"/>
      <c r="P295" s="873"/>
      <c r="Q295" s="873"/>
      <c r="R295" s="873"/>
      <c r="S295" s="873"/>
      <c r="T295" s="873"/>
      <c r="U295" s="873"/>
      <c r="V295" s="873"/>
      <c r="W295" s="873"/>
      <c r="X295" s="873"/>
      <c r="Y295" s="873"/>
    </row>
    <row r="296">
      <c r="A296" s="873"/>
      <c r="B296" s="873"/>
      <c r="C296" s="873"/>
      <c r="D296" s="873"/>
      <c r="E296" s="873"/>
      <c r="F296" s="873"/>
      <c r="G296" s="873"/>
      <c r="H296" s="873"/>
      <c r="I296" s="873"/>
      <c r="J296" s="873"/>
      <c r="K296" s="873"/>
      <c r="L296" s="873"/>
      <c r="M296" s="873"/>
      <c r="N296" s="873"/>
      <c r="O296" s="873"/>
      <c r="P296" s="873"/>
      <c r="Q296" s="873"/>
      <c r="R296" s="873"/>
      <c r="S296" s="873"/>
      <c r="T296" s="873"/>
      <c r="U296" s="873"/>
      <c r="V296" s="873"/>
      <c r="W296" s="873"/>
      <c r="X296" s="873"/>
      <c r="Y296" s="873"/>
    </row>
    <row r="297">
      <c r="A297" s="873"/>
      <c r="B297" s="873"/>
      <c r="C297" s="873"/>
      <c r="D297" s="873"/>
      <c r="E297" s="873"/>
      <c r="F297" s="873"/>
      <c r="G297" s="873"/>
      <c r="H297" s="873"/>
      <c r="I297" s="873"/>
      <c r="J297" s="873"/>
      <c r="K297" s="873"/>
      <c r="L297" s="873"/>
      <c r="M297" s="873"/>
      <c r="N297" s="873"/>
      <c r="O297" s="873"/>
      <c r="P297" s="873"/>
      <c r="Q297" s="873"/>
      <c r="R297" s="873"/>
      <c r="S297" s="873"/>
      <c r="T297" s="873"/>
      <c r="U297" s="873"/>
      <c r="V297" s="873"/>
      <c r="W297" s="873"/>
      <c r="X297" s="873"/>
      <c r="Y297" s="873"/>
    </row>
    <row r="298">
      <c r="A298" s="873"/>
      <c r="B298" s="873"/>
      <c r="C298" s="873"/>
      <c r="D298" s="873"/>
      <c r="E298" s="873"/>
      <c r="F298" s="873"/>
      <c r="G298" s="873"/>
      <c r="H298" s="873"/>
      <c r="I298" s="873"/>
      <c r="J298" s="873"/>
      <c r="K298" s="873"/>
      <c r="L298" s="873"/>
      <c r="M298" s="873"/>
      <c r="N298" s="873"/>
      <c r="O298" s="873"/>
      <c r="P298" s="873"/>
      <c r="Q298" s="873"/>
      <c r="R298" s="873"/>
      <c r="S298" s="873"/>
      <c r="T298" s="873"/>
      <c r="U298" s="873"/>
      <c r="V298" s="873"/>
      <c r="W298" s="873"/>
      <c r="X298" s="873"/>
      <c r="Y298" s="873"/>
    </row>
    <row r="299">
      <c r="A299" s="873"/>
      <c r="B299" s="873"/>
      <c r="C299" s="873"/>
      <c r="D299" s="873"/>
      <c r="E299" s="873"/>
      <c r="F299" s="873"/>
      <c r="G299" s="873"/>
      <c r="H299" s="873"/>
      <c r="I299" s="873"/>
      <c r="J299" s="873"/>
      <c r="K299" s="873"/>
      <c r="L299" s="873"/>
      <c r="M299" s="873"/>
      <c r="N299" s="873"/>
      <c r="O299" s="873"/>
      <c r="P299" s="873"/>
      <c r="Q299" s="873"/>
      <c r="R299" s="873"/>
      <c r="S299" s="873"/>
      <c r="T299" s="873"/>
      <c r="U299" s="873"/>
      <c r="V299" s="873"/>
      <c r="W299" s="873"/>
      <c r="X299" s="873"/>
      <c r="Y299" s="873"/>
    </row>
    <row r="300">
      <c r="A300" s="873"/>
      <c r="B300" s="873"/>
      <c r="C300" s="873"/>
      <c r="D300" s="873"/>
      <c r="E300" s="873"/>
      <c r="F300" s="873"/>
      <c r="G300" s="873"/>
      <c r="H300" s="873"/>
      <c r="I300" s="873"/>
      <c r="J300" s="873"/>
      <c r="K300" s="873"/>
      <c r="L300" s="873"/>
      <c r="M300" s="873"/>
      <c r="N300" s="873"/>
      <c r="O300" s="873"/>
      <c r="P300" s="873"/>
      <c r="Q300" s="873"/>
      <c r="R300" s="873"/>
      <c r="S300" s="873"/>
      <c r="T300" s="873"/>
      <c r="U300" s="873"/>
      <c r="V300" s="873"/>
      <c r="W300" s="873"/>
      <c r="X300" s="873"/>
      <c r="Y300" s="873"/>
    </row>
    <row r="301">
      <c r="A301" s="873"/>
      <c r="B301" s="873"/>
      <c r="C301" s="873"/>
      <c r="D301" s="873"/>
      <c r="E301" s="873"/>
      <c r="F301" s="873"/>
      <c r="G301" s="873"/>
      <c r="H301" s="873"/>
      <c r="I301" s="873"/>
      <c r="J301" s="873"/>
      <c r="K301" s="873"/>
      <c r="L301" s="873"/>
      <c r="M301" s="873"/>
      <c r="N301" s="873"/>
      <c r="O301" s="873"/>
      <c r="P301" s="873"/>
      <c r="Q301" s="873"/>
      <c r="R301" s="873"/>
      <c r="S301" s="873"/>
      <c r="T301" s="873"/>
      <c r="U301" s="873"/>
      <c r="V301" s="873"/>
      <c r="W301" s="873"/>
      <c r="X301" s="873"/>
      <c r="Y301" s="873"/>
    </row>
    <row r="302">
      <c r="A302" s="873"/>
      <c r="B302" s="873"/>
      <c r="C302" s="873"/>
      <c r="D302" s="873"/>
      <c r="E302" s="873"/>
      <c r="F302" s="873"/>
      <c r="G302" s="873"/>
      <c r="H302" s="873"/>
      <c r="I302" s="873"/>
      <c r="J302" s="873"/>
      <c r="K302" s="873"/>
      <c r="L302" s="873"/>
      <c r="M302" s="873"/>
      <c r="N302" s="873"/>
      <c r="O302" s="873"/>
      <c r="P302" s="873"/>
      <c r="Q302" s="873"/>
      <c r="R302" s="873"/>
      <c r="S302" s="873"/>
      <c r="T302" s="873"/>
      <c r="U302" s="873"/>
      <c r="V302" s="873"/>
      <c r="W302" s="873"/>
      <c r="X302" s="873"/>
      <c r="Y302" s="873"/>
    </row>
    <row r="303">
      <c r="A303" s="873"/>
      <c r="B303" s="873"/>
      <c r="C303" s="873"/>
      <c r="D303" s="873"/>
      <c r="E303" s="873"/>
      <c r="F303" s="873"/>
      <c r="G303" s="873"/>
      <c r="H303" s="873"/>
      <c r="I303" s="873"/>
      <c r="J303" s="873"/>
      <c r="K303" s="873"/>
      <c r="L303" s="873"/>
      <c r="M303" s="873"/>
      <c r="N303" s="873"/>
      <c r="O303" s="873"/>
      <c r="P303" s="873"/>
      <c r="Q303" s="873"/>
      <c r="R303" s="873"/>
      <c r="S303" s="873"/>
      <c r="T303" s="873"/>
      <c r="U303" s="873"/>
      <c r="V303" s="873"/>
      <c r="W303" s="873"/>
      <c r="X303" s="873"/>
      <c r="Y303" s="873"/>
    </row>
    <row r="304">
      <c r="A304" s="873"/>
      <c r="B304" s="873"/>
      <c r="C304" s="873"/>
      <c r="D304" s="873"/>
      <c r="E304" s="873"/>
      <c r="F304" s="873"/>
      <c r="G304" s="873"/>
      <c r="H304" s="873"/>
      <c r="I304" s="873"/>
      <c r="J304" s="873"/>
      <c r="K304" s="873"/>
      <c r="L304" s="873"/>
      <c r="M304" s="873"/>
      <c r="N304" s="873"/>
      <c r="O304" s="873"/>
      <c r="P304" s="873"/>
      <c r="Q304" s="873"/>
      <c r="R304" s="873"/>
      <c r="S304" s="873"/>
      <c r="T304" s="873"/>
      <c r="U304" s="873"/>
      <c r="V304" s="873"/>
      <c r="W304" s="873"/>
      <c r="X304" s="873"/>
      <c r="Y304" s="873"/>
    </row>
    <row r="305">
      <c r="A305" s="873"/>
      <c r="B305" s="873"/>
      <c r="C305" s="873"/>
      <c r="D305" s="873"/>
      <c r="E305" s="873"/>
      <c r="F305" s="873"/>
      <c r="G305" s="873"/>
      <c r="H305" s="873"/>
      <c r="I305" s="873"/>
      <c r="J305" s="873"/>
      <c r="K305" s="873"/>
      <c r="L305" s="873"/>
      <c r="M305" s="873"/>
      <c r="N305" s="873"/>
      <c r="O305" s="873"/>
      <c r="P305" s="873"/>
      <c r="Q305" s="873"/>
      <c r="R305" s="873"/>
      <c r="S305" s="873"/>
      <c r="T305" s="873"/>
      <c r="U305" s="873"/>
      <c r="V305" s="873"/>
      <c r="W305" s="873"/>
      <c r="X305" s="873"/>
      <c r="Y305" s="873"/>
    </row>
    <row r="306">
      <c r="A306" s="873"/>
      <c r="B306" s="873"/>
      <c r="C306" s="873"/>
      <c r="D306" s="873"/>
      <c r="E306" s="873"/>
      <c r="F306" s="873"/>
      <c r="G306" s="873"/>
      <c r="H306" s="873"/>
      <c r="I306" s="873"/>
      <c r="J306" s="873"/>
      <c r="K306" s="873"/>
      <c r="L306" s="873"/>
      <c r="M306" s="873"/>
      <c r="N306" s="873"/>
      <c r="O306" s="873"/>
      <c r="P306" s="873"/>
      <c r="Q306" s="873"/>
      <c r="R306" s="873"/>
      <c r="S306" s="873"/>
      <c r="T306" s="873"/>
      <c r="U306" s="873"/>
      <c r="V306" s="873"/>
      <c r="W306" s="873"/>
      <c r="X306" s="873"/>
      <c r="Y306" s="873"/>
    </row>
    <row r="307">
      <c r="A307" s="873"/>
      <c r="B307" s="873"/>
      <c r="C307" s="873"/>
      <c r="D307" s="873"/>
      <c r="E307" s="873"/>
      <c r="F307" s="873"/>
      <c r="G307" s="873"/>
      <c r="H307" s="873"/>
      <c r="I307" s="873"/>
      <c r="J307" s="873"/>
      <c r="K307" s="873"/>
      <c r="L307" s="873"/>
      <c r="M307" s="873"/>
      <c r="N307" s="873"/>
      <c r="O307" s="873"/>
      <c r="P307" s="873"/>
      <c r="Q307" s="873"/>
      <c r="R307" s="873"/>
      <c r="S307" s="873"/>
      <c r="T307" s="873"/>
      <c r="U307" s="873"/>
      <c r="V307" s="873"/>
      <c r="W307" s="873"/>
      <c r="X307" s="873"/>
      <c r="Y307" s="873"/>
    </row>
    <row r="308">
      <c r="A308" s="873"/>
      <c r="B308" s="873"/>
      <c r="C308" s="873"/>
      <c r="D308" s="873"/>
      <c r="E308" s="873"/>
      <c r="F308" s="873"/>
      <c r="G308" s="873"/>
      <c r="H308" s="873"/>
      <c r="I308" s="873"/>
      <c r="J308" s="873"/>
      <c r="K308" s="873"/>
      <c r="L308" s="873"/>
      <c r="M308" s="873"/>
      <c r="N308" s="873"/>
      <c r="O308" s="873"/>
      <c r="P308" s="873"/>
      <c r="Q308" s="873"/>
      <c r="R308" s="873"/>
      <c r="S308" s="873"/>
      <c r="T308" s="873"/>
      <c r="U308" s="873"/>
      <c r="V308" s="873"/>
      <c r="W308" s="873"/>
      <c r="X308" s="873"/>
      <c r="Y308" s="873"/>
    </row>
    <row r="309">
      <c r="A309" s="873"/>
      <c r="B309" s="873"/>
      <c r="C309" s="873"/>
      <c r="D309" s="873"/>
      <c r="E309" s="873"/>
      <c r="F309" s="873"/>
      <c r="G309" s="873"/>
      <c r="H309" s="873"/>
      <c r="I309" s="873"/>
      <c r="J309" s="873"/>
      <c r="K309" s="873"/>
      <c r="L309" s="873"/>
      <c r="M309" s="873"/>
      <c r="N309" s="873"/>
      <c r="O309" s="873"/>
      <c r="P309" s="873"/>
      <c r="Q309" s="873"/>
      <c r="R309" s="873"/>
      <c r="S309" s="873"/>
      <c r="T309" s="873"/>
      <c r="U309" s="873"/>
      <c r="V309" s="873"/>
      <c r="W309" s="873"/>
      <c r="X309" s="873"/>
      <c r="Y309" s="873"/>
    </row>
    <row r="310">
      <c r="A310" s="873"/>
      <c r="B310" s="873"/>
      <c r="C310" s="873"/>
      <c r="D310" s="873"/>
      <c r="E310" s="873"/>
      <c r="F310" s="873"/>
      <c r="G310" s="873"/>
      <c r="H310" s="873"/>
      <c r="I310" s="873"/>
      <c r="J310" s="873"/>
      <c r="K310" s="873"/>
      <c r="L310" s="873"/>
      <c r="M310" s="873"/>
      <c r="N310" s="873"/>
      <c r="O310" s="873"/>
      <c r="P310" s="873"/>
      <c r="Q310" s="873"/>
      <c r="R310" s="873"/>
      <c r="S310" s="873"/>
      <c r="T310" s="873"/>
      <c r="U310" s="873"/>
      <c r="V310" s="873"/>
      <c r="W310" s="873"/>
      <c r="X310" s="873"/>
      <c r="Y310" s="873"/>
    </row>
    <row r="311">
      <c r="A311" s="873"/>
      <c r="B311" s="873"/>
      <c r="C311" s="873"/>
      <c r="D311" s="873"/>
      <c r="E311" s="873"/>
      <c r="F311" s="873"/>
      <c r="G311" s="873"/>
      <c r="H311" s="873"/>
      <c r="I311" s="873"/>
      <c r="J311" s="873"/>
      <c r="K311" s="873"/>
      <c r="L311" s="873"/>
      <c r="M311" s="873"/>
      <c r="N311" s="873"/>
      <c r="O311" s="873"/>
      <c r="P311" s="873"/>
      <c r="Q311" s="873"/>
      <c r="R311" s="873"/>
      <c r="S311" s="873"/>
      <c r="T311" s="873"/>
      <c r="U311" s="873"/>
      <c r="V311" s="873"/>
      <c r="W311" s="873"/>
      <c r="X311" s="873"/>
      <c r="Y311" s="873"/>
    </row>
    <row r="312">
      <c r="A312" s="873"/>
      <c r="B312" s="873"/>
      <c r="C312" s="873"/>
      <c r="D312" s="873"/>
      <c r="E312" s="873"/>
      <c r="F312" s="873"/>
      <c r="G312" s="873"/>
      <c r="H312" s="873"/>
      <c r="I312" s="873"/>
      <c r="J312" s="873"/>
      <c r="K312" s="873"/>
      <c r="L312" s="873"/>
      <c r="M312" s="873"/>
      <c r="N312" s="873"/>
      <c r="O312" s="873"/>
      <c r="P312" s="873"/>
      <c r="Q312" s="873"/>
      <c r="R312" s="873"/>
      <c r="S312" s="873"/>
      <c r="T312" s="873"/>
      <c r="U312" s="873"/>
      <c r="V312" s="873"/>
      <c r="W312" s="873"/>
      <c r="X312" s="873"/>
      <c r="Y312" s="873"/>
    </row>
    <row r="313">
      <c r="A313" s="873"/>
      <c r="B313" s="873"/>
      <c r="C313" s="873"/>
      <c r="D313" s="873"/>
      <c r="E313" s="873"/>
      <c r="F313" s="873"/>
      <c r="G313" s="873"/>
      <c r="H313" s="873"/>
      <c r="I313" s="873"/>
      <c r="J313" s="873"/>
      <c r="K313" s="873"/>
      <c r="L313" s="873"/>
      <c r="M313" s="873"/>
      <c r="N313" s="873"/>
      <c r="O313" s="873"/>
      <c r="P313" s="873"/>
      <c r="Q313" s="873"/>
      <c r="R313" s="873"/>
      <c r="S313" s="873"/>
      <c r="T313" s="873"/>
      <c r="U313" s="873"/>
      <c r="V313" s="873"/>
      <c r="W313" s="873"/>
      <c r="X313" s="873"/>
      <c r="Y313" s="873"/>
    </row>
    <row r="314">
      <c r="A314" s="873"/>
      <c r="B314" s="873"/>
      <c r="C314" s="873"/>
      <c r="D314" s="873"/>
      <c r="E314" s="873"/>
      <c r="F314" s="873"/>
      <c r="G314" s="873"/>
      <c r="H314" s="873"/>
      <c r="I314" s="873"/>
      <c r="J314" s="873"/>
      <c r="K314" s="873"/>
      <c r="L314" s="873"/>
      <c r="M314" s="873"/>
      <c r="N314" s="873"/>
      <c r="O314" s="873"/>
      <c r="P314" s="873"/>
      <c r="Q314" s="873"/>
      <c r="R314" s="873"/>
      <c r="S314" s="873"/>
      <c r="T314" s="873"/>
      <c r="U314" s="873"/>
      <c r="V314" s="873"/>
      <c r="W314" s="873"/>
      <c r="X314" s="873"/>
      <c r="Y314" s="873"/>
    </row>
    <row r="315">
      <c r="A315" s="873"/>
      <c r="B315" s="873"/>
      <c r="C315" s="873"/>
      <c r="D315" s="873"/>
      <c r="E315" s="873"/>
      <c r="F315" s="873"/>
      <c r="G315" s="873"/>
      <c r="H315" s="873"/>
      <c r="I315" s="873"/>
      <c r="J315" s="873"/>
      <c r="K315" s="873"/>
      <c r="L315" s="873"/>
      <c r="M315" s="873"/>
      <c r="N315" s="873"/>
      <c r="O315" s="873"/>
      <c r="P315" s="873"/>
      <c r="Q315" s="873"/>
      <c r="R315" s="873"/>
      <c r="S315" s="873"/>
      <c r="T315" s="873"/>
      <c r="U315" s="873"/>
      <c r="V315" s="873"/>
      <c r="W315" s="873"/>
      <c r="X315" s="873"/>
      <c r="Y315" s="873"/>
    </row>
    <row r="316">
      <c r="A316" s="873"/>
      <c r="B316" s="873"/>
      <c r="C316" s="873"/>
      <c r="D316" s="873"/>
      <c r="E316" s="873"/>
      <c r="F316" s="873"/>
      <c r="G316" s="873"/>
      <c r="H316" s="873"/>
      <c r="I316" s="873"/>
      <c r="J316" s="873"/>
      <c r="K316" s="873"/>
      <c r="L316" s="873"/>
      <c r="M316" s="873"/>
      <c r="N316" s="873"/>
      <c r="O316" s="873"/>
      <c r="P316" s="873"/>
      <c r="Q316" s="873"/>
      <c r="R316" s="873"/>
      <c r="S316" s="873"/>
      <c r="T316" s="873"/>
      <c r="U316" s="873"/>
      <c r="V316" s="873"/>
      <c r="W316" s="873"/>
      <c r="X316" s="873"/>
      <c r="Y316" s="873"/>
    </row>
    <row r="317">
      <c r="A317" s="873"/>
      <c r="B317" s="873"/>
      <c r="C317" s="873"/>
      <c r="D317" s="873"/>
      <c r="E317" s="873"/>
      <c r="F317" s="873"/>
      <c r="G317" s="873"/>
      <c r="H317" s="873"/>
      <c r="I317" s="873"/>
      <c r="J317" s="873"/>
      <c r="K317" s="873"/>
      <c r="L317" s="873"/>
      <c r="M317" s="873"/>
      <c r="N317" s="873"/>
      <c r="O317" s="873"/>
      <c r="P317" s="873"/>
      <c r="Q317" s="873"/>
      <c r="R317" s="873"/>
      <c r="S317" s="873"/>
      <c r="T317" s="873"/>
      <c r="U317" s="873"/>
      <c r="V317" s="873"/>
      <c r="W317" s="873"/>
      <c r="X317" s="873"/>
      <c r="Y317" s="873"/>
    </row>
    <row r="318">
      <c r="A318" s="873"/>
      <c r="B318" s="873"/>
      <c r="C318" s="873"/>
      <c r="D318" s="873"/>
      <c r="E318" s="873"/>
      <c r="F318" s="873"/>
      <c r="G318" s="873"/>
      <c r="H318" s="873"/>
      <c r="I318" s="873"/>
      <c r="J318" s="873"/>
      <c r="K318" s="873"/>
      <c r="L318" s="873"/>
      <c r="M318" s="873"/>
      <c r="N318" s="873"/>
      <c r="O318" s="873"/>
      <c r="P318" s="873"/>
      <c r="Q318" s="873"/>
      <c r="R318" s="873"/>
      <c r="S318" s="873"/>
      <c r="T318" s="873"/>
      <c r="U318" s="873"/>
      <c r="V318" s="873"/>
      <c r="W318" s="873"/>
      <c r="X318" s="873"/>
      <c r="Y318" s="873"/>
    </row>
    <row r="319">
      <c r="A319" s="873"/>
      <c r="B319" s="873"/>
      <c r="C319" s="873"/>
      <c r="D319" s="873"/>
      <c r="E319" s="873"/>
      <c r="F319" s="873"/>
      <c r="G319" s="873"/>
      <c r="H319" s="873"/>
      <c r="I319" s="873"/>
      <c r="J319" s="873"/>
      <c r="K319" s="873"/>
      <c r="L319" s="873"/>
      <c r="M319" s="873"/>
      <c r="N319" s="873"/>
      <c r="O319" s="873"/>
      <c r="P319" s="873"/>
      <c r="Q319" s="873"/>
      <c r="R319" s="873"/>
      <c r="S319" s="873"/>
      <c r="T319" s="873"/>
      <c r="U319" s="873"/>
      <c r="V319" s="873"/>
      <c r="W319" s="873"/>
      <c r="X319" s="873"/>
      <c r="Y319" s="873"/>
    </row>
    <row r="320">
      <c r="A320" s="873"/>
      <c r="B320" s="873"/>
      <c r="C320" s="873"/>
      <c r="D320" s="873"/>
      <c r="E320" s="873"/>
      <c r="F320" s="873"/>
      <c r="G320" s="873"/>
      <c r="H320" s="873"/>
      <c r="I320" s="873"/>
      <c r="J320" s="873"/>
      <c r="K320" s="873"/>
      <c r="L320" s="873"/>
      <c r="M320" s="873"/>
      <c r="N320" s="873"/>
      <c r="O320" s="873"/>
      <c r="P320" s="873"/>
      <c r="Q320" s="873"/>
      <c r="R320" s="873"/>
      <c r="S320" s="873"/>
      <c r="T320" s="873"/>
      <c r="U320" s="873"/>
      <c r="V320" s="873"/>
      <c r="W320" s="873"/>
      <c r="X320" s="873"/>
      <c r="Y320" s="873"/>
    </row>
    <row r="321">
      <c r="A321" s="873"/>
      <c r="B321" s="873"/>
      <c r="C321" s="873"/>
      <c r="D321" s="873"/>
      <c r="E321" s="873"/>
      <c r="F321" s="873"/>
      <c r="G321" s="873"/>
      <c r="H321" s="873"/>
      <c r="I321" s="873"/>
      <c r="J321" s="873"/>
      <c r="K321" s="873"/>
      <c r="L321" s="873"/>
      <c r="M321" s="873"/>
      <c r="N321" s="873"/>
      <c r="O321" s="873"/>
      <c r="P321" s="873"/>
      <c r="Q321" s="873"/>
      <c r="R321" s="873"/>
      <c r="S321" s="873"/>
      <c r="T321" s="873"/>
      <c r="U321" s="873"/>
      <c r="V321" s="873"/>
      <c r="W321" s="873"/>
      <c r="X321" s="873"/>
      <c r="Y321" s="873"/>
    </row>
    <row r="322">
      <c r="A322" s="873"/>
      <c r="B322" s="873"/>
      <c r="C322" s="873"/>
      <c r="D322" s="873"/>
      <c r="E322" s="873"/>
      <c r="F322" s="873"/>
      <c r="G322" s="873"/>
      <c r="H322" s="873"/>
      <c r="I322" s="873"/>
      <c r="J322" s="873"/>
      <c r="K322" s="873"/>
      <c r="L322" s="873"/>
      <c r="M322" s="873"/>
      <c r="N322" s="873"/>
      <c r="O322" s="873"/>
      <c r="P322" s="873"/>
      <c r="Q322" s="873"/>
      <c r="R322" s="873"/>
      <c r="S322" s="873"/>
      <c r="T322" s="873"/>
      <c r="U322" s="873"/>
      <c r="V322" s="873"/>
      <c r="W322" s="873"/>
      <c r="X322" s="873"/>
      <c r="Y322" s="873"/>
    </row>
    <row r="323">
      <c r="A323" s="873"/>
      <c r="B323" s="873"/>
      <c r="C323" s="873"/>
      <c r="D323" s="873"/>
      <c r="E323" s="873"/>
      <c r="F323" s="873"/>
      <c r="G323" s="873"/>
      <c r="H323" s="873"/>
      <c r="I323" s="873"/>
      <c r="J323" s="873"/>
      <c r="K323" s="873"/>
      <c r="L323" s="873"/>
      <c r="M323" s="873"/>
      <c r="N323" s="873"/>
      <c r="O323" s="873"/>
      <c r="P323" s="873"/>
      <c r="Q323" s="873"/>
      <c r="R323" s="873"/>
      <c r="S323" s="873"/>
      <c r="T323" s="873"/>
      <c r="U323" s="873"/>
      <c r="V323" s="873"/>
      <c r="W323" s="873"/>
      <c r="X323" s="873"/>
      <c r="Y323" s="873"/>
    </row>
    <row r="324">
      <c r="A324" s="873"/>
      <c r="B324" s="873"/>
      <c r="C324" s="873"/>
      <c r="D324" s="873"/>
      <c r="E324" s="873"/>
      <c r="F324" s="873"/>
      <c r="G324" s="873"/>
      <c r="H324" s="873"/>
      <c r="I324" s="873"/>
      <c r="J324" s="873"/>
      <c r="K324" s="873"/>
      <c r="L324" s="873"/>
      <c r="M324" s="873"/>
      <c r="N324" s="873"/>
      <c r="O324" s="873"/>
      <c r="P324" s="873"/>
      <c r="Q324" s="873"/>
      <c r="R324" s="873"/>
      <c r="S324" s="873"/>
      <c r="T324" s="873"/>
      <c r="U324" s="873"/>
      <c r="V324" s="873"/>
      <c r="W324" s="873"/>
      <c r="X324" s="873"/>
      <c r="Y324" s="873"/>
    </row>
    <row r="325">
      <c r="A325" s="873"/>
      <c r="B325" s="873"/>
      <c r="C325" s="873"/>
      <c r="D325" s="873"/>
      <c r="E325" s="873"/>
      <c r="F325" s="873"/>
      <c r="G325" s="873"/>
      <c r="H325" s="873"/>
      <c r="I325" s="873"/>
      <c r="J325" s="873"/>
      <c r="K325" s="873"/>
      <c r="L325" s="873"/>
      <c r="M325" s="873"/>
      <c r="N325" s="873"/>
      <c r="O325" s="873"/>
      <c r="P325" s="873"/>
      <c r="Q325" s="873"/>
      <c r="R325" s="873"/>
      <c r="S325" s="873"/>
      <c r="T325" s="873"/>
      <c r="U325" s="873"/>
      <c r="V325" s="873"/>
      <c r="W325" s="873"/>
      <c r="X325" s="873"/>
      <c r="Y325" s="873"/>
    </row>
    <row r="326">
      <c r="A326" s="873"/>
      <c r="B326" s="873"/>
      <c r="C326" s="873"/>
      <c r="D326" s="873"/>
      <c r="E326" s="873"/>
      <c r="F326" s="873"/>
      <c r="G326" s="873"/>
      <c r="H326" s="873"/>
      <c r="I326" s="873"/>
      <c r="J326" s="873"/>
      <c r="K326" s="873"/>
      <c r="L326" s="873"/>
      <c r="M326" s="873"/>
      <c r="N326" s="873"/>
      <c r="O326" s="873"/>
      <c r="P326" s="873"/>
      <c r="Q326" s="873"/>
      <c r="R326" s="873"/>
      <c r="S326" s="873"/>
      <c r="T326" s="873"/>
      <c r="U326" s="873"/>
      <c r="V326" s="873"/>
      <c r="W326" s="873"/>
      <c r="X326" s="873"/>
      <c r="Y326" s="873"/>
    </row>
    <row r="327">
      <c r="A327" s="873"/>
      <c r="B327" s="873"/>
      <c r="C327" s="873"/>
      <c r="D327" s="873"/>
      <c r="E327" s="873"/>
      <c r="F327" s="873"/>
      <c r="G327" s="873"/>
      <c r="H327" s="873"/>
      <c r="I327" s="873"/>
      <c r="J327" s="873"/>
      <c r="K327" s="873"/>
      <c r="L327" s="873"/>
      <c r="M327" s="873"/>
      <c r="N327" s="873"/>
      <c r="O327" s="873"/>
      <c r="P327" s="873"/>
      <c r="Q327" s="873"/>
      <c r="R327" s="873"/>
      <c r="S327" s="873"/>
      <c r="T327" s="873"/>
      <c r="U327" s="873"/>
      <c r="V327" s="873"/>
      <c r="W327" s="873"/>
      <c r="X327" s="873"/>
      <c r="Y327" s="873"/>
    </row>
    <row r="328">
      <c r="A328" s="873"/>
      <c r="B328" s="873"/>
      <c r="C328" s="873"/>
      <c r="D328" s="873"/>
      <c r="E328" s="873"/>
      <c r="F328" s="873"/>
      <c r="G328" s="873"/>
      <c r="H328" s="873"/>
      <c r="I328" s="873"/>
      <c r="J328" s="873"/>
      <c r="K328" s="873"/>
      <c r="L328" s="873"/>
      <c r="M328" s="873"/>
      <c r="N328" s="873"/>
      <c r="O328" s="873"/>
      <c r="P328" s="873"/>
      <c r="Q328" s="873"/>
      <c r="R328" s="873"/>
      <c r="S328" s="873"/>
      <c r="T328" s="873"/>
      <c r="U328" s="873"/>
      <c r="V328" s="873"/>
      <c r="W328" s="873"/>
      <c r="X328" s="873"/>
      <c r="Y328" s="873"/>
    </row>
    <row r="329">
      <c r="A329" s="873"/>
      <c r="B329" s="873"/>
      <c r="C329" s="873"/>
      <c r="D329" s="873"/>
      <c r="E329" s="873"/>
      <c r="F329" s="873"/>
      <c r="G329" s="873"/>
      <c r="H329" s="873"/>
      <c r="I329" s="873"/>
      <c r="J329" s="873"/>
      <c r="K329" s="873"/>
      <c r="L329" s="873"/>
      <c r="M329" s="873"/>
      <c r="N329" s="873"/>
      <c r="O329" s="873"/>
      <c r="P329" s="873"/>
      <c r="Q329" s="873"/>
      <c r="R329" s="873"/>
      <c r="S329" s="873"/>
      <c r="T329" s="873"/>
      <c r="U329" s="873"/>
      <c r="V329" s="873"/>
      <c r="W329" s="873"/>
      <c r="X329" s="873"/>
      <c r="Y329" s="873"/>
    </row>
    <row r="330">
      <c r="A330" s="873"/>
      <c r="B330" s="873"/>
      <c r="C330" s="873"/>
      <c r="D330" s="873"/>
      <c r="E330" s="873"/>
      <c r="F330" s="873"/>
      <c r="G330" s="873"/>
      <c r="H330" s="873"/>
      <c r="I330" s="873"/>
      <c r="J330" s="873"/>
      <c r="K330" s="873"/>
      <c r="L330" s="873"/>
      <c r="M330" s="873"/>
      <c r="N330" s="873"/>
      <c r="O330" s="873"/>
      <c r="P330" s="873"/>
      <c r="Q330" s="873"/>
      <c r="R330" s="873"/>
      <c r="S330" s="873"/>
      <c r="T330" s="873"/>
      <c r="U330" s="873"/>
      <c r="V330" s="873"/>
      <c r="W330" s="873"/>
      <c r="X330" s="873"/>
      <c r="Y330" s="873"/>
    </row>
    <row r="331">
      <c r="A331" s="873"/>
      <c r="B331" s="873"/>
      <c r="C331" s="873"/>
      <c r="D331" s="873"/>
      <c r="E331" s="873"/>
      <c r="F331" s="873"/>
      <c r="G331" s="873"/>
      <c r="H331" s="873"/>
      <c r="I331" s="873"/>
      <c r="J331" s="873"/>
      <c r="K331" s="873"/>
      <c r="L331" s="873"/>
      <c r="M331" s="873"/>
      <c r="N331" s="873"/>
      <c r="O331" s="873"/>
      <c r="P331" s="873"/>
      <c r="Q331" s="873"/>
      <c r="R331" s="873"/>
      <c r="S331" s="873"/>
      <c r="T331" s="873"/>
      <c r="U331" s="873"/>
      <c r="V331" s="873"/>
      <c r="W331" s="873"/>
      <c r="X331" s="873"/>
      <c r="Y331" s="873"/>
    </row>
    <row r="332">
      <c r="A332" s="873"/>
      <c r="B332" s="873"/>
      <c r="C332" s="873"/>
      <c r="D332" s="873"/>
      <c r="E332" s="873"/>
      <c r="F332" s="873"/>
      <c r="G332" s="873"/>
      <c r="H332" s="873"/>
      <c r="I332" s="873"/>
      <c r="J332" s="873"/>
      <c r="K332" s="873"/>
      <c r="L332" s="873"/>
      <c r="M332" s="873"/>
      <c r="N332" s="873"/>
      <c r="O332" s="873"/>
      <c r="P332" s="873"/>
      <c r="Q332" s="873"/>
      <c r="R332" s="873"/>
      <c r="S332" s="873"/>
      <c r="T332" s="873"/>
      <c r="U332" s="873"/>
      <c r="V332" s="873"/>
      <c r="W332" s="873"/>
      <c r="X332" s="873"/>
      <c r="Y332" s="873"/>
    </row>
    <row r="333">
      <c r="A333" s="873"/>
      <c r="B333" s="873"/>
      <c r="C333" s="873"/>
      <c r="D333" s="873"/>
      <c r="E333" s="873"/>
      <c r="F333" s="873"/>
      <c r="G333" s="873"/>
      <c r="H333" s="873"/>
      <c r="I333" s="873"/>
      <c r="J333" s="873"/>
      <c r="K333" s="873"/>
      <c r="L333" s="873"/>
      <c r="M333" s="873"/>
      <c r="N333" s="873"/>
      <c r="O333" s="873"/>
      <c r="P333" s="873"/>
      <c r="Q333" s="873"/>
      <c r="R333" s="873"/>
      <c r="S333" s="873"/>
      <c r="T333" s="873"/>
      <c r="U333" s="873"/>
      <c r="V333" s="873"/>
      <c r="W333" s="873"/>
      <c r="X333" s="873"/>
      <c r="Y333" s="873"/>
    </row>
    <row r="334">
      <c r="A334" s="873"/>
      <c r="B334" s="873"/>
      <c r="C334" s="873"/>
      <c r="D334" s="873"/>
      <c r="E334" s="873"/>
      <c r="F334" s="873"/>
      <c r="G334" s="873"/>
      <c r="H334" s="873"/>
      <c r="I334" s="873"/>
      <c r="J334" s="873"/>
      <c r="K334" s="873"/>
      <c r="L334" s="873"/>
      <c r="M334" s="873"/>
      <c r="N334" s="873"/>
      <c r="O334" s="873"/>
      <c r="P334" s="873"/>
      <c r="Q334" s="873"/>
      <c r="R334" s="873"/>
      <c r="S334" s="873"/>
      <c r="T334" s="873"/>
      <c r="U334" s="873"/>
      <c r="V334" s="873"/>
      <c r="W334" s="873"/>
      <c r="X334" s="873"/>
      <c r="Y334" s="873"/>
    </row>
    <row r="335">
      <c r="A335" s="873"/>
      <c r="B335" s="873"/>
      <c r="C335" s="873"/>
      <c r="D335" s="873"/>
      <c r="E335" s="873"/>
      <c r="F335" s="873"/>
      <c r="G335" s="873"/>
      <c r="H335" s="873"/>
      <c r="I335" s="873"/>
      <c r="J335" s="873"/>
      <c r="K335" s="873"/>
      <c r="L335" s="873"/>
      <c r="M335" s="873"/>
      <c r="N335" s="873"/>
      <c r="O335" s="873"/>
      <c r="P335" s="873"/>
      <c r="Q335" s="873"/>
      <c r="R335" s="873"/>
      <c r="S335" s="873"/>
      <c r="T335" s="873"/>
      <c r="U335" s="873"/>
      <c r="V335" s="873"/>
      <c r="W335" s="873"/>
      <c r="X335" s="873"/>
      <c r="Y335" s="873"/>
    </row>
    <row r="336">
      <c r="A336" s="873"/>
      <c r="B336" s="873"/>
      <c r="C336" s="873"/>
      <c r="D336" s="873"/>
      <c r="E336" s="873"/>
      <c r="F336" s="873"/>
      <c r="G336" s="873"/>
      <c r="H336" s="873"/>
      <c r="I336" s="873"/>
      <c r="J336" s="873"/>
      <c r="K336" s="873"/>
      <c r="L336" s="873"/>
      <c r="M336" s="873"/>
      <c r="N336" s="873"/>
      <c r="O336" s="873"/>
      <c r="P336" s="873"/>
      <c r="Q336" s="873"/>
      <c r="R336" s="873"/>
      <c r="S336" s="873"/>
      <c r="T336" s="873"/>
      <c r="U336" s="873"/>
      <c r="V336" s="873"/>
      <c r="W336" s="873"/>
      <c r="X336" s="873"/>
      <c r="Y336" s="873"/>
    </row>
    <row r="337">
      <c r="A337" s="873"/>
      <c r="B337" s="873"/>
      <c r="C337" s="873"/>
      <c r="D337" s="873"/>
      <c r="E337" s="873"/>
      <c r="F337" s="873"/>
      <c r="G337" s="873"/>
      <c r="H337" s="873"/>
      <c r="I337" s="873"/>
      <c r="J337" s="873"/>
      <c r="K337" s="873"/>
      <c r="L337" s="873"/>
      <c r="M337" s="873"/>
      <c r="N337" s="873"/>
      <c r="O337" s="873"/>
      <c r="P337" s="873"/>
      <c r="Q337" s="873"/>
      <c r="R337" s="873"/>
      <c r="S337" s="873"/>
      <c r="T337" s="873"/>
      <c r="U337" s="873"/>
      <c r="V337" s="873"/>
      <c r="W337" s="873"/>
      <c r="X337" s="873"/>
      <c r="Y337" s="873"/>
    </row>
    <row r="338">
      <c r="A338" s="873"/>
      <c r="B338" s="873"/>
      <c r="C338" s="873"/>
      <c r="D338" s="873"/>
      <c r="E338" s="873"/>
      <c r="F338" s="873"/>
      <c r="G338" s="873"/>
      <c r="H338" s="873"/>
      <c r="I338" s="873"/>
      <c r="J338" s="873"/>
      <c r="K338" s="873"/>
      <c r="L338" s="873"/>
      <c r="M338" s="873"/>
      <c r="N338" s="873"/>
      <c r="O338" s="873"/>
      <c r="P338" s="873"/>
      <c r="Q338" s="873"/>
      <c r="R338" s="873"/>
      <c r="S338" s="873"/>
      <c r="T338" s="873"/>
      <c r="U338" s="873"/>
      <c r="V338" s="873"/>
      <c r="W338" s="873"/>
      <c r="X338" s="873"/>
      <c r="Y338" s="873"/>
    </row>
    <row r="339">
      <c r="A339" s="873"/>
      <c r="B339" s="873"/>
      <c r="C339" s="873"/>
      <c r="D339" s="873"/>
      <c r="E339" s="873"/>
      <c r="F339" s="873"/>
      <c r="G339" s="873"/>
      <c r="H339" s="873"/>
      <c r="I339" s="873"/>
      <c r="J339" s="873"/>
      <c r="K339" s="873"/>
      <c r="L339" s="873"/>
      <c r="M339" s="873"/>
      <c r="N339" s="873"/>
      <c r="O339" s="873"/>
      <c r="P339" s="873"/>
      <c r="Q339" s="873"/>
      <c r="R339" s="873"/>
      <c r="S339" s="873"/>
      <c r="T339" s="873"/>
      <c r="U339" s="873"/>
      <c r="V339" s="873"/>
      <c r="W339" s="873"/>
      <c r="X339" s="873"/>
      <c r="Y339" s="873"/>
    </row>
    <row r="340">
      <c r="A340" s="873"/>
      <c r="B340" s="873"/>
      <c r="C340" s="873"/>
      <c r="D340" s="873"/>
      <c r="E340" s="873"/>
      <c r="F340" s="873"/>
      <c r="G340" s="873"/>
      <c r="H340" s="873"/>
      <c r="I340" s="873"/>
      <c r="J340" s="873"/>
      <c r="K340" s="873"/>
      <c r="L340" s="873"/>
      <c r="M340" s="873"/>
      <c r="N340" s="873"/>
      <c r="O340" s="873"/>
      <c r="P340" s="873"/>
      <c r="Q340" s="873"/>
      <c r="R340" s="873"/>
      <c r="S340" s="873"/>
      <c r="T340" s="873"/>
      <c r="U340" s="873"/>
      <c r="V340" s="873"/>
      <c r="W340" s="873"/>
      <c r="X340" s="873"/>
      <c r="Y340" s="873"/>
    </row>
    <row r="341">
      <c r="A341" s="873"/>
      <c r="B341" s="873"/>
      <c r="C341" s="873"/>
      <c r="D341" s="873"/>
      <c r="E341" s="873"/>
      <c r="F341" s="873"/>
      <c r="G341" s="873"/>
      <c r="H341" s="873"/>
      <c r="I341" s="873"/>
      <c r="J341" s="873"/>
      <c r="K341" s="873"/>
      <c r="L341" s="873"/>
      <c r="M341" s="873"/>
      <c r="N341" s="873"/>
      <c r="O341" s="873"/>
      <c r="P341" s="873"/>
      <c r="Q341" s="873"/>
      <c r="R341" s="873"/>
      <c r="S341" s="873"/>
      <c r="T341" s="873"/>
      <c r="U341" s="873"/>
      <c r="V341" s="873"/>
      <c r="W341" s="873"/>
      <c r="X341" s="873"/>
      <c r="Y341" s="873"/>
    </row>
    <row r="342">
      <c r="A342" s="873"/>
      <c r="B342" s="873"/>
      <c r="C342" s="873"/>
      <c r="D342" s="873"/>
      <c r="E342" s="873"/>
      <c r="F342" s="873"/>
      <c r="G342" s="873"/>
      <c r="H342" s="873"/>
      <c r="I342" s="873"/>
      <c r="J342" s="873"/>
      <c r="K342" s="873"/>
      <c r="L342" s="873"/>
      <c r="M342" s="873"/>
      <c r="N342" s="873"/>
      <c r="O342" s="873"/>
      <c r="P342" s="873"/>
      <c r="Q342" s="873"/>
      <c r="R342" s="873"/>
      <c r="S342" s="873"/>
      <c r="T342" s="873"/>
      <c r="U342" s="873"/>
      <c r="V342" s="873"/>
      <c r="W342" s="873"/>
      <c r="X342" s="873"/>
      <c r="Y342" s="873"/>
    </row>
    <row r="343">
      <c r="A343" s="873"/>
      <c r="B343" s="873"/>
      <c r="C343" s="873"/>
      <c r="D343" s="873"/>
      <c r="E343" s="873"/>
      <c r="F343" s="873"/>
      <c r="G343" s="873"/>
      <c r="H343" s="873"/>
      <c r="I343" s="873"/>
      <c r="J343" s="873"/>
      <c r="K343" s="873"/>
      <c r="L343" s="873"/>
      <c r="M343" s="873"/>
      <c r="N343" s="873"/>
      <c r="O343" s="873"/>
      <c r="P343" s="873"/>
      <c r="Q343" s="873"/>
      <c r="R343" s="873"/>
      <c r="S343" s="873"/>
      <c r="T343" s="873"/>
      <c r="U343" s="873"/>
      <c r="V343" s="873"/>
      <c r="W343" s="873"/>
      <c r="X343" s="873"/>
      <c r="Y343" s="873"/>
    </row>
    <row r="344">
      <c r="A344" s="873"/>
      <c r="B344" s="873"/>
      <c r="C344" s="873"/>
      <c r="D344" s="873"/>
      <c r="E344" s="873"/>
      <c r="F344" s="873"/>
      <c r="G344" s="873"/>
      <c r="H344" s="873"/>
      <c r="I344" s="873"/>
      <c r="J344" s="873"/>
      <c r="K344" s="873"/>
      <c r="L344" s="873"/>
      <c r="M344" s="873"/>
      <c r="N344" s="873"/>
      <c r="O344" s="873"/>
      <c r="P344" s="873"/>
      <c r="Q344" s="873"/>
      <c r="R344" s="873"/>
      <c r="S344" s="873"/>
      <c r="T344" s="873"/>
      <c r="U344" s="873"/>
      <c r="V344" s="873"/>
      <c r="W344" s="873"/>
      <c r="X344" s="873"/>
      <c r="Y344" s="873"/>
    </row>
    <row r="345">
      <c r="A345" s="873"/>
      <c r="B345" s="873"/>
      <c r="C345" s="873"/>
      <c r="D345" s="873"/>
      <c r="E345" s="873"/>
      <c r="F345" s="873"/>
      <c r="G345" s="873"/>
      <c r="H345" s="873"/>
      <c r="I345" s="873"/>
      <c r="J345" s="873"/>
      <c r="K345" s="873"/>
      <c r="L345" s="873"/>
      <c r="M345" s="873"/>
      <c r="N345" s="873"/>
      <c r="O345" s="873"/>
      <c r="P345" s="873"/>
      <c r="Q345" s="873"/>
      <c r="R345" s="873"/>
      <c r="S345" s="873"/>
      <c r="T345" s="873"/>
      <c r="U345" s="873"/>
      <c r="V345" s="873"/>
      <c r="W345" s="873"/>
      <c r="X345" s="873"/>
      <c r="Y345" s="873"/>
    </row>
    <row r="346">
      <c r="A346" s="873"/>
      <c r="B346" s="873"/>
      <c r="C346" s="873"/>
      <c r="D346" s="873"/>
      <c r="E346" s="873"/>
      <c r="F346" s="873"/>
      <c r="G346" s="873"/>
      <c r="H346" s="873"/>
      <c r="I346" s="873"/>
      <c r="J346" s="873"/>
      <c r="K346" s="873"/>
      <c r="L346" s="873"/>
      <c r="M346" s="873"/>
      <c r="N346" s="873"/>
      <c r="O346" s="873"/>
      <c r="P346" s="873"/>
      <c r="Q346" s="873"/>
      <c r="R346" s="873"/>
      <c r="S346" s="873"/>
      <c r="T346" s="873"/>
      <c r="U346" s="873"/>
      <c r="V346" s="873"/>
      <c r="W346" s="873"/>
      <c r="X346" s="873"/>
      <c r="Y346" s="873"/>
    </row>
    <row r="347">
      <c r="A347" s="873"/>
      <c r="B347" s="873"/>
      <c r="C347" s="873"/>
      <c r="D347" s="873"/>
      <c r="E347" s="873"/>
      <c r="F347" s="873"/>
      <c r="G347" s="873"/>
      <c r="H347" s="873"/>
      <c r="I347" s="873"/>
      <c r="J347" s="873"/>
      <c r="K347" s="873"/>
      <c r="L347" s="873"/>
      <c r="M347" s="873"/>
      <c r="N347" s="873"/>
      <c r="O347" s="873"/>
      <c r="P347" s="873"/>
      <c r="Q347" s="873"/>
      <c r="R347" s="873"/>
      <c r="S347" s="873"/>
      <c r="T347" s="873"/>
      <c r="U347" s="873"/>
      <c r="V347" s="873"/>
      <c r="W347" s="873"/>
      <c r="X347" s="873"/>
      <c r="Y347" s="873"/>
    </row>
    <row r="348">
      <c r="A348" s="873"/>
      <c r="B348" s="873"/>
      <c r="C348" s="873"/>
      <c r="D348" s="873"/>
      <c r="E348" s="873"/>
      <c r="F348" s="873"/>
      <c r="G348" s="873"/>
      <c r="H348" s="873"/>
      <c r="I348" s="873"/>
      <c r="J348" s="873"/>
      <c r="K348" s="873"/>
      <c r="L348" s="873"/>
      <c r="M348" s="873"/>
      <c r="N348" s="873"/>
      <c r="O348" s="873"/>
      <c r="P348" s="873"/>
      <c r="Q348" s="873"/>
      <c r="R348" s="873"/>
      <c r="S348" s="873"/>
      <c r="T348" s="873"/>
      <c r="U348" s="873"/>
      <c r="V348" s="873"/>
      <c r="W348" s="873"/>
      <c r="X348" s="873"/>
      <c r="Y348" s="873"/>
    </row>
    <row r="349">
      <c r="A349" s="873"/>
      <c r="B349" s="873"/>
      <c r="C349" s="873"/>
      <c r="D349" s="873"/>
      <c r="E349" s="873"/>
      <c r="F349" s="873"/>
      <c r="G349" s="873"/>
      <c r="H349" s="873"/>
      <c r="I349" s="873"/>
      <c r="J349" s="873"/>
      <c r="K349" s="873"/>
      <c r="L349" s="873"/>
      <c r="M349" s="873"/>
      <c r="N349" s="873"/>
      <c r="O349" s="873"/>
      <c r="P349" s="873"/>
      <c r="Q349" s="873"/>
      <c r="R349" s="873"/>
      <c r="S349" s="873"/>
      <c r="T349" s="873"/>
      <c r="U349" s="873"/>
      <c r="V349" s="873"/>
      <c r="W349" s="873"/>
      <c r="X349" s="873"/>
      <c r="Y349" s="873"/>
    </row>
    <row r="350">
      <c r="A350" s="873"/>
      <c r="B350" s="873"/>
      <c r="C350" s="873"/>
      <c r="D350" s="873"/>
      <c r="E350" s="873"/>
      <c r="F350" s="873"/>
      <c r="G350" s="873"/>
      <c r="H350" s="873"/>
      <c r="I350" s="873"/>
      <c r="J350" s="873"/>
      <c r="K350" s="873"/>
      <c r="L350" s="873"/>
      <c r="M350" s="873"/>
      <c r="N350" s="873"/>
      <c r="O350" s="873"/>
      <c r="P350" s="873"/>
      <c r="Q350" s="873"/>
      <c r="R350" s="873"/>
      <c r="S350" s="873"/>
      <c r="T350" s="873"/>
      <c r="U350" s="873"/>
      <c r="V350" s="873"/>
      <c r="W350" s="873"/>
      <c r="X350" s="873"/>
      <c r="Y350" s="873"/>
    </row>
    <row r="351">
      <c r="A351" s="873"/>
      <c r="B351" s="873"/>
      <c r="C351" s="873"/>
      <c r="D351" s="873"/>
      <c r="E351" s="873"/>
      <c r="F351" s="873"/>
      <c r="G351" s="873"/>
      <c r="H351" s="873"/>
      <c r="I351" s="873"/>
      <c r="J351" s="873"/>
      <c r="K351" s="873"/>
      <c r="L351" s="873"/>
      <c r="M351" s="873"/>
      <c r="N351" s="873"/>
      <c r="O351" s="873"/>
      <c r="P351" s="873"/>
      <c r="Q351" s="873"/>
      <c r="R351" s="873"/>
      <c r="S351" s="873"/>
      <c r="T351" s="873"/>
      <c r="U351" s="873"/>
      <c r="V351" s="873"/>
      <c r="W351" s="873"/>
      <c r="X351" s="873"/>
      <c r="Y351" s="873"/>
    </row>
    <row r="352">
      <c r="A352" s="873"/>
      <c r="B352" s="873"/>
      <c r="C352" s="873"/>
      <c r="D352" s="873"/>
      <c r="E352" s="873"/>
      <c r="F352" s="873"/>
      <c r="G352" s="873"/>
      <c r="H352" s="873"/>
      <c r="I352" s="873"/>
      <c r="J352" s="873"/>
      <c r="K352" s="873"/>
      <c r="L352" s="873"/>
      <c r="M352" s="873"/>
      <c r="N352" s="873"/>
      <c r="O352" s="873"/>
      <c r="P352" s="873"/>
      <c r="Q352" s="873"/>
      <c r="R352" s="873"/>
      <c r="S352" s="873"/>
      <c r="T352" s="873"/>
      <c r="U352" s="873"/>
      <c r="V352" s="873"/>
      <c r="W352" s="873"/>
      <c r="X352" s="873"/>
      <c r="Y352" s="873"/>
    </row>
    <row r="353">
      <c r="A353" s="873"/>
      <c r="B353" s="873"/>
      <c r="C353" s="873"/>
      <c r="D353" s="873"/>
      <c r="E353" s="873"/>
      <c r="F353" s="873"/>
      <c r="G353" s="873"/>
      <c r="H353" s="873"/>
      <c r="I353" s="873"/>
      <c r="J353" s="873"/>
      <c r="K353" s="873"/>
      <c r="L353" s="873"/>
      <c r="M353" s="873"/>
      <c r="N353" s="873"/>
      <c r="O353" s="873"/>
      <c r="P353" s="873"/>
      <c r="Q353" s="873"/>
      <c r="R353" s="873"/>
      <c r="S353" s="873"/>
      <c r="T353" s="873"/>
      <c r="U353" s="873"/>
      <c r="V353" s="873"/>
      <c r="W353" s="873"/>
      <c r="X353" s="873"/>
      <c r="Y353" s="873"/>
    </row>
    <row r="354">
      <c r="A354" s="873"/>
      <c r="B354" s="873"/>
      <c r="C354" s="873"/>
      <c r="D354" s="873"/>
      <c r="E354" s="873"/>
      <c r="F354" s="873"/>
      <c r="G354" s="873"/>
      <c r="H354" s="873"/>
      <c r="I354" s="873"/>
      <c r="J354" s="873"/>
      <c r="K354" s="873"/>
      <c r="L354" s="873"/>
      <c r="M354" s="873"/>
      <c r="N354" s="873"/>
      <c r="O354" s="873"/>
      <c r="P354" s="873"/>
      <c r="Q354" s="873"/>
      <c r="R354" s="873"/>
      <c r="S354" s="873"/>
      <c r="T354" s="873"/>
      <c r="U354" s="873"/>
      <c r="V354" s="873"/>
      <c r="W354" s="873"/>
      <c r="X354" s="873"/>
      <c r="Y354" s="873"/>
    </row>
    <row r="355">
      <c r="A355" s="873"/>
      <c r="B355" s="873"/>
      <c r="C355" s="873"/>
      <c r="D355" s="873"/>
      <c r="E355" s="873"/>
      <c r="F355" s="873"/>
      <c r="G355" s="873"/>
      <c r="H355" s="873"/>
      <c r="I355" s="873"/>
      <c r="J355" s="873"/>
      <c r="K355" s="873"/>
      <c r="L355" s="873"/>
      <c r="M355" s="873"/>
      <c r="N355" s="873"/>
      <c r="O355" s="873"/>
      <c r="P355" s="873"/>
      <c r="Q355" s="873"/>
      <c r="R355" s="873"/>
      <c r="S355" s="873"/>
      <c r="T355" s="873"/>
      <c r="U355" s="873"/>
      <c r="V355" s="873"/>
      <c r="W355" s="873"/>
      <c r="X355" s="873"/>
      <c r="Y355" s="873"/>
    </row>
    <row r="356">
      <c r="A356" s="873"/>
      <c r="B356" s="873"/>
      <c r="C356" s="873"/>
      <c r="D356" s="873"/>
      <c r="E356" s="873"/>
      <c r="F356" s="873"/>
      <c r="G356" s="873"/>
      <c r="H356" s="873"/>
      <c r="I356" s="873"/>
      <c r="J356" s="873"/>
      <c r="K356" s="873"/>
      <c r="L356" s="873"/>
      <c r="M356" s="873"/>
      <c r="N356" s="873"/>
      <c r="O356" s="873"/>
      <c r="P356" s="873"/>
      <c r="Q356" s="873"/>
      <c r="R356" s="873"/>
      <c r="S356" s="873"/>
      <c r="T356" s="873"/>
      <c r="U356" s="873"/>
      <c r="V356" s="873"/>
      <c r="W356" s="873"/>
      <c r="X356" s="873"/>
      <c r="Y356" s="873"/>
    </row>
    <row r="357">
      <c r="A357" s="873"/>
      <c r="B357" s="873"/>
      <c r="C357" s="873"/>
      <c r="D357" s="873"/>
      <c r="E357" s="873"/>
      <c r="F357" s="873"/>
      <c r="G357" s="873"/>
      <c r="H357" s="873"/>
      <c r="I357" s="873"/>
      <c r="J357" s="873"/>
      <c r="K357" s="873"/>
      <c r="L357" s="873"/>
      <c r="M357" s="873"/>
      <c r="N357" s="873"/>
      <c r="O357" s="873"/>
      <c r="P357" s="873"/>
      <c r="Q357" s="873"/>
      <c r="R357" s="873"/>
      <c r="S357" s="873"/>
      <c r="T357" s="873"/>
      <c r="U357" s="873"/>
      <c r="V357" s="873"/>
      <c r="W357" s="873"/>
      <c r="X357" s="873"/>
      <c r="Y357" s="873"/>
    </row>
    <row r="358">
      <c r="A358" s="873"/>
      <c r="B358" s="873"/>
      <c r="C358" s="873"/>
      <c r="D358" s="873"/>
      <c r="E358" s="873"/>
      <c r="F358" s="873"/>
      <c r="G358" s="873"/>
      <c r="H358" s="873"/>
      <c r="I358" s="873"/>
      <c r="J358" s="873"/>
      <c r="K358" s="873"/>
      <c r="L358" s="873"/>
      <c r="M358" s="873"/>
      <c r="N358" s="873"/>
      <c r="O358" s="873"/>
      <c r="P358" s="873"/>
      <c r="Q358" s="873"/>
      <c r="R358" s="873"/>
      <c r="S358" s="873"/>
      <c r="T358" s="873"/>
      <c r="U358" s="873"/>
      <c r="V358" s="873"/>
      <c r="W358" s="873"/>
      <c r="X358" s="873"/>
      <c r="Y358" s="873"/>
    </row>
    <row r="359">
      <c r="A359" s="873"/>
      <c r="B359" s="873"/>
      <c r="C359" s="873"/>
      <c r="D359" s="873"/>
      <c r="E359" s="873"/>
      <c r="F359" s="873"/>
      <c r="G359" s="873"/>
      <c r="H359" s="873"/>
      <c r="I359" s="873"/>
      <c r="J359" s="873"/>
      <c r="K359" s="873"/>
      <c r="L359" s="873"/>
      <c r="M359" s="873"/>
      <c r="N359" s="873"/>
      <c r="O359" s="873"/>
      <c r="P359" s="873"/>
      <c r="Q359" s="873"/>
      <c r="R359" s="873"/>
      <c r="S359" s="873"/>
      <c r="T359" s="873"/>
      <c r="U359" s="873"/>
      <c r="V359" s="873"/>
      <c r="W359" s="873"/>
      <c r="X359" s="873"/>
      <c r="Y359" s="873"/>
    </row>
    <row r="360">
      <c r="A360" s="873"/>
      <c r="B360" s="873"/>
      <c r="C360" s="873"/>
      <c r="D360" s="873"/>
      <c r="E360" s="873"/>
      <c r="F360" s="873"/>
      <c r="G360" s="873"/>
      <c r="H360" s="873"/>
      <c r="I360" s="873"/>
      <c r="J360" s="873"/>
      <c r="K360" s="873"/>
      <c r="L360" s="873"/>
      <c r="M360" s="873"/>
      <c r="N360" s="873"/>
      <c r="O360" s="873"/>
      <c r="P360" s="873"/>
      <c r="Q360" s="873"/>
      <c r="R360" s="873"/>
      <c r="S360" s="873"/>
      <c r="T360" s="873"/>
      <c r="U360" s="873"/>
      <c r="V360" s="873"/>
      <c r="W360" s="873"/>
      <c r="X360" s="873"/>
      <c r="Y360" s="873"/>
    </row>
    <row r="361">
      <c r="A361" s="873"/>
      <c r="B361" s="873"/>
      <c r="C361" s="873"/>
      <c r="D361" s="873"/>
      <c r="E361" s="873"/>
      <c r="F361" s="873"/>
      <c r="G361" s="873"/>
      <c r="H361" s="873"/>
      <c r="I361" s="873"/>
      <c r="J361" s="873"/>
      <c r="K361" s="873"/>
      <c r="L361" s="873"/>
      <c r="M361" s="873"/>
      <c r="N361" s="873"/>
      <c r="O361" s="873"/>
      <c r="P361" s="873"/>
      <c r="Q361" s="873"/>
      <c r="R361" s="873"/>
      <c r="S361" s="873"/>
      <c r="T361" s="873"/>
      <c r="U361" s="873"/>
      <c r="V361" s="873"/>
      <c r="W361" s="873"/>
      <c r="X361" s="873"/>
      <c r="Y361" s="873"/>
    </row>
    <row r="362">
      <c r="A362" s="873"/>
      <c r="B362" s="873"/>
      <c r="C362" s="873"/>
      <c r="D362" s="873"/>
      <c r="E362" s="873"/>
      <c r="F362" s="873"/>
      <c r="G362" s="873"/>
      <c r="H362" s="873"/>
      <c r="I362" s="873"/>
      <c r="J362" s="873"/>
      <c r="K362" s="873"/>
      <c r="L362" s="873"/>
      <c r="M362" s="873"/>
      <c r="N362" s="873"/>
      <c r="O362" s="873"/>
      <c r="P362" s="873"/>
      <c r="Q362" s="873"/>
      <c r="R362" s="873"/>
      <c r="S362" s="873"/>
      <c r="T362" s="873"/>
      <c r="U362" s="873"/>
      <c r="V362" s="873"/>
      <c r="W362" s="873"/>
      <c r="X362" s="873"/>
      <c r="Y362" s="873"/>
    </row>
    <row r="363">
      <c r="A363" s="873"/>
      <c r="B363" s="873"/>
      <c r="C363" s="873"/>
      <c r="D363" s="873"/>
      <c r="E363" s="873"/>
      <c r="F363" s="873"/>
      <c r="G363" s="873"/>
      <c r="H363" s="873"/>
      <c r="I363" s="873"/>
      <c r="J363" s="873"/>
      <c r="K363" s="873"/>
      <c r="L363" s="873"/>
      <c r="M363" s="873"/>
      <c r="N363" s="873"/>
      <c r="O363" s="873"/>
      <c r="P363" s="873"/>
      <c r="Q363" s="873"/>
      <c r="R363" s="873"/>
      <c r="S363" s="873"/>
      <c r="T363" s="873"/>
      <c r="U363" s="873"/>
      <c r="V363" s="873"/>
      <c r="W363" s="873"/>
      <c r="X363" s="873"/>
      <c r="Y363" s="873"/>
    </row>
    <row r="364">
      <c r="A364" s="873"/>
      <c r="B364" s="873"/>
      <c r="C364" s="873"/>
      <c r="D364" s="873"/>
      <c r="E364" s="873"/>
      <c r="F364" s="873"/>
      <c r="G364" s="873"/>
      <c r="H364" s="873"/>
      <c r="I364" s="873"/>
      <c r="J364" s="873"/>
      <c r="K364" s="873"/>
      <c r="L364" s="873"/>
      <c r="M364" s="873"/>
      <c r="N364" s="873"/>
      <c r="O364" s="873"/>
      <c r="P364" s="873"/>
      <c r="Q364" s="873"/>
      <c r="R364" s="873"/>
      <c r="S364" s="873"/>
      <c r="T364" s="873"/>
      <c r="U364" s="873"/>
      <c r="V364" s="873"/>
      <c r="W364" s="873"/>
      <c r="X364" s="873"/>
      <c r="Y364" s="873"/>
    </row>
    <row r="365">
      <c r="A365" s="873"/>
      <c r="B365" s="873"/>
      <c r="C365" s="873"/>
      <c r="D365" s="873"/>
      <c r="E365" s="873"/>
      <c r="F365" s="873"/>
      <c r="G365" s="873"/>
      <c r="H365" s="873"/>
      <c r="I365" s="873"/>
      <c r="J365" s="873"/>
      <c r="K365" s="873"/>
      <c r="L365" s="873"/>
      <c r="M365" s="873"/>
      <c r="N365" s="873"/>
      <c r="O365" s="873"/>
      <c r="P365" s="873"/>
      <c r="Q365" s="873"/>
      <c r="R365" s="873"/>
      <c r="S365" s="873"/>
      <c r="T365" s="873"/>
      <c r="U365" s="873"/>
      <c r="V365" s="873"/>
      <c r="W365" s="873"/>
      <c r="X365" s="873"/>
      <c r="Y365" s="873"/>
    </row>
    <row r="366">
      <c r="A366" s="873"/>
      <c r="B366" s="873"/>
      <c r="C366" s="873"/>
      <c r="D366" s="873"/>
      <c r="E366" s="873"/>
      <c r="F366" s="873"/>
      <c r="G366" s="873"/>
      <c r="H366" s="873"/>
      <c r="I366" s="873"/>
      <c r="J366" s="873"/>
      <c r="K366" s="873"/>
      <c r="L366" s="873"/>
      <c r="M366" s="873"/>
      <c r="N366" s="873"/>
      <c r="O366" s="873"/>
      <c r="P366" s="873"/>
      <c r="Q366" s="873"/>
      <c r="R366" s="873"/>
      <c r="S366" s="873"/>
      <c r="T366" s="873"/>
      <c r="U366" s="873"/>
      <c r="V366" s="873"/>
      <c r="W366" s="873"/>
      <c r="X366" s="873"/>
      <c r="Y366" s="873"/>
    </row>
    <row r="367">
      <c r="A367" s="873"/>
      <c r="B367" s="873"/>
      <c r="C367" s="873"/>
      <c r="D367" s="873"/>
      <c r="E367" s="873"/>
      <c r="F367" s="873"/>
      <c r="G367" s="873"/>
      <c r="H367" s="873"/>
      <c r="I367" s="873"/>
      <c r="J367" s="873"/>
      <c r="K367" s="873"/>
      <c r="L367" s="873"/>
      <c r="M367" s="873"/>
      <c r="N367" s="873"/>
      <c r="O367" s="873"/>
      <c r="P367" s="873"/>
      <c r="Q367" s="873"/>
      <c r="R367" s="873"/>
      <c r="S367" s="873"/>
      <c r="T367" s="873"/>
      <c r="U367" s="873"/>
      <c r="V367" s="873"/>
      <c r="W367" s="873"/>
      <c r="X367" s="873"/>
      <c r="Y367" s="873"/>
    </row>
    <row r="368">
      <c r="A368" s="873"/>
      <c r="B368" s="873"/>
      <c r="C368" s="873"/>
      <c r="D368" s="873"/>
      <c r="E368" s="873"/>
      <c r="F368" s="873"/>
      <c r="G368" s="873"/>
      <c r="H368" s="873"/>
      <c r="I368" s="873"/>
      <c r="J368" s="873"/>
      <c r="K368" s="873"/>
      <c r="L368" s="873"/>
      <c r="M368" s="873"/>
      <c r="N368" s="873"/>
      <c r="O368" s="873"/>
      <c r="P368" s="873"/>
      <c r="Q368" s="873"/>
      <c r="R368" s="873"/>
      <c r="S368" s="873"/>
      <c r="T368" s="873"/>
      <c r="U368" s="873"/>
      <c r="V368" s="873"/>
      <c r="W368" s="873"/>
      <c r="X368" s="873"/>
      <c r="Y368" s="873"/>
    </row>
    <row r="369">
      <c r="A369" s="873"/>
      <c r="B369" s="873"/>
      <c r="C369" s="873"/>
      <c r="D369" s="873"/>
      <c r="E369" s="873"/>
      <c r="F369" s="873"/>
      <c r="G369" s="873"/>
      <c r="H369" s="873"/>
      <c r="I369" s="873"/>
      <c r="J369" s="873"/>
      <c r="K369" s="873"/>
      <c r="L369" s="873"/>
      <c r="M369" s="873"/>
      <c r="N369" s="873"/>
      <c r="O369" s="873"/>
      <c r="P369" s="873"/>
      <c r="Q369" s="873"/>
      <c r="R369" s="873"/>
      <c r="S369" s="873"/>
      <c r="T369" s="873"/>
      <c r="U369" s="873"/>
      <c r="V369" s="873"/>
      <c r="W369" s="873"/>
      <c r="X369" s="873"/>
      <c r="Y369" s="873"/>
    </row>
    <row r="370">
      <c r="A370" s="873"/>
      <c r="B370" s="873"/>
      <c r="C370" s="873"/>
      <c r="D370" s="873"/>
      <c r="E370" s="873"/>
      <c r="F370" s="873"/>
      <c r="G370" s="873"/>
      <c r="H370" s="873"/>
      <c r="I370" s="873"/>
      <c r="J370" s="873"/>
      <c r="K370" s="873"/>
      <c r="L370" s="873"/>
      <c r="M370" s="873"/>
      <c r="N370" s="873"/>
      <c r="O370" s="873"/>
      <c r="P370" s="873"/>
      <c r="Q370" s="873"/>
      <c r="R370" s="873"/>
      <c r="S370" s="873"/>
      <c r="T370" s="873"/>
      <c r="U370" s="873"/>
      <c r="V370" s="873"/>
      <c r="W370" s="873"/>
      <c r="X370" s="873"/>
      <c r="Y370" s="873"/>
    </row>
    <row r="371">
      <c r="A371" s="873"/>
      <c r="B371" s="873"/>
      <c r="C371" s="873"/>
      <c r="D371" s="873"/>
      <c r="E371" s="873"/>
      <c r="F371" s="873"/>
      <c r="G371" s="873"/>
      <c r="H371" s="873"/>
      <c r="I371" s="873"/>
      <c r="J371" s="873"/>
      <c r="K371" s="873"/>
      <c r="L371" s="873"/>
      <c r="M371" s="873"/>
      <c r="N371" s="873"/>
      <c r="O371" s="873"/>
      <c r="P371" s="873"/>
      <c r="Q371" s="873"/>
      <c r="R371" s="873"/>
      <c r="S371" s="873"/>
      <c r="T371" s="873"/>
      <c r="U371" s="873"/>
      <c r="V371" s="873"/>
      <c r="W371" s="873"/>
      <c r="X371" s="873"/>
      <c r="Y371" s="873"/>
    </row>
    <row r="372">
      <c r="A372" s="873"/>
      <c r="B372" s="873"/>
      <c r="C372" s="873"/>
      <c r="D372" s="873"/>
      <c r="E372" s="873"/>
      <c r="F372" s="873"/>
      <c r="G372" s="873"/>
      <c r="H372" s="873"/>
      <c r="I372" s="873"/>
      <c r="J372" s="873"/>
      <c r="K372" s="873"/>
      <c r="L372" s="873"/>
      <c r="M372" s="873"/>
      <c r="N372" s="873"/>
      <c r="O372" s="873"/>
      <c r="P372" s="873"/>
      <c r="Q372" s="873"/>
      <c r="R372" s="873"/>
      <c r="S372" s="873"/>
      <c r="T372" s="873"/>
      <c r="U372" s="873"/>
      <c r="V372" s="873"/>
      <c r="W372" s="873"/>
      <c r="X372" s="873"/>
      <c r="Y372" s="873"/>
    </row>
    <row r="373">
      <c r="A373" s="873"/>
      <c r="B373" s="873"/>
      <c r="C373" s="873"/>
      <c r="D373" s="873"/>
      <c r="E373" s="873"/>
      <c r="F373" s="873"/>
      <c r="G373" s="873"/>
      <c r="H373" s="873"/>
      <c r="I373" s="873"/>
      <c r="J373" s="873"/>
      <c r="K373" s="873"/>
      <c r="L373" s="873"/>
      <c r="M373" s="873"/>
      <c r="N373" s="873"/>
      <c r="O373" s="873"/>
      <c r="P373" s="873"/>
      <c r="Q373" s="873"/>
      <c r="R373" s="873"/>
      <c r="S373" s="873"/>
      <c r="T373" s="873"/>
      <c r="U373" s="873"/>
      <c r="V373" s="873"/>
      <c r="W373" s="873"/>
      <c r="X373" s="873"/>
      <c r="Y373" s="873"/>
    </row>
    <row r="374">
      <c r="A374" s="873"/>
      <c r="B374" s="873"/>
      <c r="C374" s="873"/>
      <c r="D374" s="873"/>
      <c r="E374" s="873"/>
      <c r="F374" s="873"/>
      <c r="G374" s="873"/>
      <c r="H374" s="873"/>
      <c r="I374" s="873"/>
      <c r="J374" s="873"/>
      <c r="K374" s="873"/>
      <c r="L374" s="873"/>
      <c r="M374" s="873"/>
      <c r="N374" s="873"/>
      <c r="O374" s="873"/>
      <c r="P374" s="873"/>
      <c r="Q374" s="873"/>
      <c r="R374" s="873"/>
      <c r="S374" s="873"/>
      <c r="T374" s="873"/>
      <c r="U374" s="873"/>
      <c r="V374" s="873"/>
      <c r="W374" s="873"/>
      <c r="X374" s="873"/>
      <c r="Y374" s="873"/>
    </row>
    <row r="375">
      <c r="A375" s="873"/>
      <c r="B375" s="873"/>
      <c r="C375" s="873"/>
      <c r="D375" s="873"/>
      <c r="E375" s="873"/>
      <c r="F375" s="873"/>
      <c r="G375" s="873"/>
      <c r="H375" s="873"/>
      <c r="I375" s="873"/>
      <c r="J375" s="873"/>
      <c r="K375" s="873"/>
      <c r="L375" s="873"/>
      <c r="M375" s="873"/>
      <c r="N375" s="873"/>
      <c r="O375" s="873"/>
      <c r="P375" s="873"/>
      <c r="Q375" s="873"/>
      <c r="R375" s="873"/>
      <c r="S375" s="873"/>
      <c r="T375" s="873"/>
      <c r="U375" s="873"/>
      <c r="V375" s="873"/>
      <c r="W375" s="873"/>
      <c r="X375" s="873"/>
      <c r="Y375" s="873"/>
    </row>
    <row r="376">
      <c r="A376" s="873"/>
      <c r="B376" s="873"/>
      <c r="C376" s="873"/>
      <c r="D376" s="873"/>
      <c r="E376" s="873"/>
      <c r="F376" s="873"/>
      <c r="G376" s="873"/>
      <c r="H376" s="873"/>
      <c r="I376" s="873"/>
      <c r="J376" s="873"/>
      <c r="K376" s="873"/>
      <c r="L376" s="873"/>
      <c r="M376" s="873"/>
      <c r="N376" s="873"/>
      <c r="O376" s="873"/>
      <c r="P376" s="873"/>
      <c r="Q376" s="873"/>
      <c r="R376" s="873"/>
      <c r="S376" s="873"/>
      <c r="T376" s="873"/>
      <c r="U376" s="873"/>
      <c r="V376" s="873"/>
      <c r="W376" s="873"/>
      <c r="X376" s="873"/>
      <c r="Y376" s="873"/>
    </row>
    <row r="377">
      <c r="A377" s="873"/>
      <c r="B377" s="873"/>
      <c r="C377" s="873"/>
      <c r="D377" s="873"/>
      <c r="E377" s="873"/>
      <c r="F377" s="873"/>
      <c r="G377" s="873"/>
      <c r="H377" s="873"/>
      <c r="I377" s="873"/>
      <c r="J377" s="873"/>
      <c r="K377" s="873"/>
      <c r="L377" s="873"/>
      <c r="M377" s="873"/>
      <c r="N377" s="873"/>
      <c r="O377" s="873"/>
      <c r="P377" s="873"/>
      <c r="Q377" s="873"/>
      <c r="R377" s="873"/>
      <c r="S377" s="873"/>
      <c r="T377" s="873"/>
      <c r="U377" s="873"/>
      <c r="V377" s="873"/>
      <c r="W377" s="873"/>
      <c r="X377" s="873"/>
      <c r="Y377" s="873"/>
    </row>
    <row r="378">
      <c r="A378" s="873"/>
      <c r="B378" s="873"/>
      <c r="C378" s="873"/>
      <c r="D378" s="873"/>
      <c r="E378" s="873"/>
      <c r="F378" s="873"/>
      <c r="G378" s="873"/>
      <c r="H378" s="873"/>
      <c r="I378" s="873"/>
      <c r="J378" s="873"/>
      <c r="K378" s="873"/>
      <c r="L378" s="873"/>
      <c r="M378" s="873"/>
      <c r="N378" s="873"/>
      <c r="O378" s="873"/>
      <c r="P378" s="873"/>
      <c r="Q378" s="873"/>
      <c r="R378" s="873"/>
      <c r="S378" s="873"/>
      <c r="T378" s="873"/>
      <c r="U378" s="873"/>
      <c r="V378" s="873"/>
      <c r="W378" s="873"/>
      <c r="X378" s="873"/>
      <c r="Y378" s="873"/>
    </row>
    <row r="379">
      <c r="A379" s="873"/>
      <c r="B379" s="873"/>
      <c r="C379" s="873"/>
      <c r="D379" s="873"/>
      <c r="E379" s="873"/>
      <c r="F379" s="873"/>
      <c r="G379" s="873"/>
      <c r="H379" s="873"/>
      <c r="I379" s="873"/>
      <c r="J379" s="873"/>
      <c r="K379" s="873"/>
      <c r="L379" s="873"/>
      <c r="M379" s="873"/>
      <c r="N379" s="873"/>
      <c r="O379" s="873"/>
      <c r="P379" s="873"/>
      <c r="Q379" s="873"/>
      <c r="R379" s="873"/>
      <c r="S379" s="873"/>
      <c r="T379" s="873"/>
      <c r="U379" s="873"/>
      <c r="V379" s="873"/>
      <c r="W379" s="873"/>
      <c r="X379" s="873"/>
      <c r="Y379" s="873"/>
    </row>
    <row r="380">
      <c r="A380" s="873"/>
      <c r="B380" s="873"/>
      <c r="C380" s="873"/>
      <c r="D380" s="873"/>
      <c r="E380" s="873"/>
      <c r="F380" s="873"/>
      <c r="G380" s="873"/>
      <c r="H380" s="873"/>
      <c r="I380" s="873"/>
      <c r="J380" s="873"/>
      <c r="K380" s="873"/>
      <c r="L380" s="873"/>
      <c r="M380" s="873"/>
      <c r="N380" s="873"/>
      <c r="O380" s="873"/>
      <c r="P380" s="873"/>
      <c r="Q380" s="873"/>
      <c r="R380" s="873"/>
      <c r="S380" s="873"/>
      <c r="T380" s="873"/>
      <c r="U380" s="873"/>
      <c r="V380" s="873"/>
      <c r="W380" s="873"/>
      <c r="X380" s="873"/>
      <c r="Y380" s="873"/>
    </row>
    <row r="381">
      <c r="A381" s="873"/>
      <c r="B381" s="873"/>
      <c r="C381" s="873"/>
      <c r="D381" s="873"/>
      <c r="E381" s="873"/>
      <c r="F381" s="873"/>
      <c r="G381" s="873"/>
      <c r="H381" s="873"/>
      <c r="I381" s="873"/>
      <c r="J381" s="873"/>
      <c r="K381" s="873"/>
      <c r="L381" s="873"/>
      <c r="M381" s="873"/>
      <c r="N381" s="873"/>
      <c r="O381" s="873"/>
      <c r="P381" s="873"/>
      <c r="Q381" s="873"/>
      <c r="R381" s="873"/>
      <c r="S381" s="873"/>
      <c r="T381" s="873"/>
      <c r="U381" s="873"/>
      <c r="V381" s="873"/>
      <c r="W381" s="873"/>
      <c r="X381" s="873"/>
      <c r="Y381" s="873"/>
    </row>
    <row r="382">
      <c r="A382" s="873"/>
      <c r="B382" s="873"/>
      <c r="C382" s="873"/>
      <c r="D382" s="873"/>
      <c r="E382" s="873"/>
      <c r="F382" s="873"/>
      <c r="G382" s="873"/>
      <c r="H382" s="873"/>
      <c r="I382" s="873"/>
      <c r="J382" s="873"/>
      <c r="K382" s="873"/>
      <c r="L382" s="873"/>
      <c r="M382" s="873"/>
      <c r="N382" s="873"/>
      <c r="O382" s="873"/>
      <c r="P382" s="873"/>
      <c r="Q382" s="873"/>
      <c r="R382" s="873"/>
      <c r="S382" s="873"/>
      <c r="T382" s="873"/>
      <c r="U382" s="873"/>
      <c r="V382" s="873"/>
      <c r="W382" s="873"/>
      <c r="X382" s="873"/>
      <c r="Y382" s="873"/>
    </row>
    <row r="383">
      <c r="A383" s="873"/>
      <c r="B383" s="873"/>
      <c r="C383" s="873"/>
      <c r="D383" s="873"/>
      <c r="E383" s="873"/>
      <c r="F383" s="873"/>
      <c r="G383" s="873"/>
      <c r="H383" s="873"/>
      <c r="I383" s="873"/>
      <c r="J383" s="873"/>
      <c r="K383" s="873"/>
      <c r="L383" s="873"/>
      <c r="M383" s="873"/>
      <c r="N383" s="873"/>
      <c r="O383" s="873"/>
      <c r="P383" s="873"/>
      <c r="Q383" s="873"/>
      <c r="R383" s="873"/>
      <c r="S383" s="873"/>
      <c r="T383" s="873"/>
      <c r="U383" s="873"/>
      <c r="V383" s="873"/>
      <c r="W383" s="873"/>
      <c r="X383" s="873"/>
      <c r="Y383" s="873"/>
    </row>
    <row r="384">
      <c r="A384" s="873"/>
      <c r="B384" s="873"/>
      <c r="C384" s="873"/>
      <c r="D384" s="873"/>
      <c r="E384" s="873"/>
      <c r="F384" s="873"/>
      <c r="G384" s="873"/>
      <c r="H384" s="873"/>
      <c r="I384" s="873"/>
      <c r="J384" s="873"/>
      <c r="K384" s="873"/>
      <c r="L384" s="873"/>
      <c r="M384" s="873"/>
      <c r="N384" s="873"/>
      <c r="O384" s="873"/>
      <c r="P384" s="873"/>
      <c r="Q384" s="873"/>
      <c r="R384" s="873"/>
      <c r="S384" s="873"/>
      <c r="T384" s="873"/>
      <c r="U384" s="873"/>
      <c r="V384" s="873"/>
      <c r="W384" s="873"/>
      <c r="X384" s="873"/>
      <c r="Y384" s="873"/>
    </row>
    <row r="385">
      <c r="A385" s="873"/>
      <c r="B385" s="873"/>
      <c r="C385" s="873"/>
      <c r="D385" s="873"/>
      <c r="E385" s="873"/>
      <c r="F385" s="873"/>
      <c r="G385" s="873"/>
      <c r="H385" s="873"/>
      <c r="I385" s="873"/>
      <c r="J385" s="873"/>
      <c r="K385" s="873"/>
      <c r="L385" s="873"/>
      <c r="M385" s="873"/>
      <c r="N385" s="873"/>
      <c r="O385" s="873"/>
      <c r="P385" s="873"/>
      <c r="Q385" s="873"/>
      <c r="R385" s="873"/>
      <c r="S385" s="873"/>
      <c r="T385" s="873"/>
      <c r="U385" s="873"/>
      <c r="V385" s="873"/>
      <c r="W385" s="873"/>
      <c r="X385" s="873"/>
      <c r="Y385" s="873"/>
    </row>
    <row r="386">
      <c r="A386" s="873"/>
      <c r="B386" s="873"/>
      <c r="C386" s="873"/>
      <c r="D386" s="873"/>
      <c r="E386" s="873"/>
      <c r="F386" s="873"/>
      <c r="G386" s="873"/>
      <c r="H386" s="873"/>
      <c r="I386" s="873"/>
      <c r="J386" s="873"/>
      <c r="K386" s="873"/>
      <c r="L386" s="873"/>
      <c r="M386" s="873"/>
      <c r="N386" s="873"/>
      <c r="O386" s="873"/>
      <c r="P386" s="873"/>
      <c r="Q386" s="873"/>
      <c r="R386" s="873"/>
      <c r="S386" s="873"/>
      <c r="T386" s="873"/>
      <c r="U386" s="873"/>
      <c r="V386" s="873"/>
      <c r="W386" s="873"/>
      <c r="X386" s="873"/>
      <c r="Y386" s="873"/>
    </row>
    <row r="387">
      <c r="A387" s="873"/>
      <c r="B387" s="873"/>
      <c r="C387" s="873"/>
      <c r="D387" s="873"/>
      <c r="E387" s="873"/>
      <c r="F387" s="873"/>
      <c r="G387" s="873"/>
      <c r="H387" s="873"/>
      <c r="I387" s="873"/>
      <c r="J387" s="873"/>
      <c r="K387" s="873"/>
      <c r="L387" s="873"/>
      <c r="M387" s="873"/>
      <c r="N387" s="873"/>
      <c r="O387" s="873"/>
      <c r="P387" s="873"/>
      <c r="Q387" s="873"/>
      <c r="R387" s="873"/>
      <c r="S387" s="873"/>
      <c r="T387" s="873"/>
      <c r="U387" s="873"/>
      <c r="V387" s="873"/>
      <c r="W387" s="873"/>
      <c r="X387" s="873"/>
      <c r="Y387" s="873"/>
    </row>
    <row r="388">
      <c r="A388" s="873"/>
      <c r="B388" s="873"/>
      <c r="C388" s="873"/>
      <c r="D388" s="873"/>
      <c r="E388" s="873"/>
      <c r="F388" s="873"/>
      <c r="G388" s="873"/>
      <c r="H388" s="873"/>
      <c r="I388" s="873"/>
      <c r="J388" s="873"/>
      <c r="K388" s="873"/>
      <c r="L388" s="873"/>
      <c r="M388" s="873"/>
      <c r="N388" s="873"/>
      <c r="O388" s="873"/>
      <c r="P388" s="873"/>
      <c r="Q388" s="873"/>
      <c r="R388" s="873"/>
      <c r="S388" s="873"/>
      <c r="T388" s="873"/>
      <c r="U388" s="873"/>
      <c r="V388" s="873"/>
      <c r="W388" s="873"/>
      <c r="X388" s="873"/>
      <c r="Y388" s="873"/>
    </row>
    <row r="389">
      <c r="A389" s="873"/>
      <c r="B389" s="873"/>
      <c r="C389" s="873"/>
      <c r="D389" s="873"/>
      <c r="E389" s="873"/>
      <c r="F389" s="873"/>
      <c r="G389" s="873"/>
      <c r="H389" s="873"/>
      <c r="I389" s="873"/>
      <c r="J389" s="873"/>
      <c r="K389" s="873"/>
      <c r="L389" s="873"/>
      <c r="M389" s="873"/>
      <c r="N389" s="873"/>
      <c r="O389" s="873"/>
      <c r="P389" s="873"/>
      <c r="Q389" s="873"/>
      <c r="R389" s="873"/>
      <c r="S389" s="873"/>
      <c r="T389" s="873"/>
      <c r="U389" s="873"/>
      <c r="V389" s="873"/>
      <c r="W389" s="873"/>
      <c r="X389" s="873"/>
      <c r="Y389" s="873"/>
    </row>
    <row r="390">
      <c r="A390" s="873"/>
      <c r="B390" s="873"/>
      <c r="C390" s="873"/>
      <c r="D390" s="873"/>
      <c r="E390" s="873"/>
      <c r="F390" s="873"/>
      <c r="G390" s="873"/>
      <c r="H390" s="873"/>
      <c r="I390" s="873"/>
      <c r="J390" s="873"/>
      <c r="K390" s="873"/>
      <c r="L390" s="873"/>
      <c r="M390" s="873"/>
      <c r="N390" s="873"/>
      <c r="O390" s="873"/>
      <c r="P390" s="873"/>
      <c r="Q390" s="873"/>
      <c r="R390" s="873"/>
      <c r="S390" s="873"/>
      <c r="T390" s="873"/>
      <c r="U390" s="873"/>
      <c r="V390" s="873"/>
      <c r="W390" s="873"/>
      <c r="X390" s="873"/>
      <c r="Y390" s="873"/>
    </row>
    <row r="391">
      <c r="A391" s="873"/>
      <c r="B391" s="873"/>
      <c r="C391" s="873"/>
      <c r="D391" s="873"/>
      <c r="E391" s="873"/>
      <c r="F391" s="873"/>
      <c r="G391" s="873"/>
      <c r="H391" s="873"/>
      <c r="I391" s="873"/>
      <c r="J391" s="873"/>
      <c r="K391" s="873"/>
      <c r="L391" s="873"/>
      <c r="M391" s="873"/>
      <c r="N391" s="873"/>
      <c r="O391" s="873"/>
      <c r="P391" s="873"/>
      <c r="Q391" s="873"/>
      <c r="R391" s="873"/>
      <c r="S391" s="873"/>
      <c r="T391" s="873"/>
      <c r="U391" s="873"/>
      <c r="V391" s="873"/>
      <c r="W391" s="873"/>
      <c r="X391" s="873"/>
      <c r="Y391" s="873"/>
    </row>
    <row r="392">
      <c r="A392" s="873"/>
      <c r="B392" s="873"/>
      <c r="C392" s="873"/>
      <c r="D392" s="873"/>
      <c r="E392" s="873"/>
      <c r="F392" s="873"/>
      <c r="G392" s="873"/>
      <c r="H392" s="873"/>
      <c r="I392" s="873"/>
      <c r="J392" s="873"/>
      <c r="K392" s="873"/>
      <c r="L392" s="873"/>
      <c r="M392" s="873"/>
      <c r="N392" s="873"/>
      <c r="O392" s="873"/>
      <c r="P392" s="873"/>
      <c r="Q392" s="873"/>
      <c r="R392" s="873"/>
      <c r="S392" s="873"/>
      <c r="T392" s="873"/>
      <c r="U392" s="873"/>
      <c r="V392" s="873"/>
      <c r="W392" s="873"/>
      <c r="X392" s="873"/>
      <c r="Y392" s="873"/>
    </row>
    <row r="393">
      <c r="A393" s="873"/>
      <c r="B393" s="873"/>
      <c r="C393" s="873"/>
      <c r="D393" s="873"/>
      <c r="E393" s="873"/>
      <c r="F393" s="873"/>
      <c r="G393" s="873"/>
      <c r="H393" s="873"/>
      <c r="I393" s="873"/>
      <c r="J393" s="873"/>
      <c r="K393" s="873"/>
      <c r="L393" s="873"/>
      <c r="M393" s="873"/>
      <c r="N393" s="873"/>
      <c r="O393" s="873"/>
      <c r="P393" s="873"/>
      <c r="Q393" s="873"/>
      <c r="R393" s="873"/>
      <c r="S393" s="873"/>
      <c r="T393" s="873"/>
      <c r="U393" s="873"/>
      <c r="V393" s="873"/>
      <c r="W393" s="873"/>
      <c r="X393" s="873"/>
      <c r="Y393" s="873"/>
    </row>
    <row r="394">
      <c r="A394" s="873"/>
      <c r="B394" s="873"/>
      <c r="C394" s="873"/>
      <c r="D394" s="873"/>
      <c r="E394" s="873"/>
      <c r="F394" s="873"/>
      <c r="G394" s="873"/>
      <c r="H394" s="873"/>
      <c r="I394" s="873"/>
      <c r="J394" s="873"/>
      <c r="K394" s="873"/>
      <c r="L394" s="873"/>
      <c r="M394" s="873"/>
      <c r="N394" s="873"/>
      <c r="O394" s="873"/>
      <c r="P394" s="873"/>
      <c r="Q394" s="873"/>
      <c r="R394" s="873"/>
      <c r="S394" s="873"/>
      <c r="T394" s="873"/>
      <c r="U394" s="873"/>
      <c r="V394" s="873"/>
      <c r="W394" s="873"/>
      <c r="X394" s="873"/>
      <c r="Y394" s="873"/>
    </row>
    <row r="395">
      <c r="A395" s="873"/>
      <c r="B395" s="873"/>
      <c r="C395" s="873"/>
      <c r="D395" s="873"/>
      <c r="E395" s="873"/>
      <c r="F395" s="873"/>
      <c r="G395" s="873"/>
      <c r="H395" s="873"/>
      <c r="I395" s="873"/>
      <c r="J395" s="873"/>
      <c r="K395" s="873"/>
      <c r="L395" s="873"/>
      <c r="M395" s="873"/>
      <c r="N395" s="873"/>
      <c r="O395" s="873"/>
      <c r="P395" s="873"/>
      <c r="Q395" s="873"/>
      <c r="R395" s="873"/>
      <c r="S395" s="873"/>
      <c r="T395" s="873"/>
      <c r="U395" s="873"/>
      <c r="V395" s="873"/>
      <c r="W395" s="873"/>
      <c r="X395" s="873"/>
      <c r="Y395" s="873"/>
    </row>
    <row r="396">
      <c r="A396" s="873"/>
      <c r="B396" s="873"/>
      <c r="C396" s="873"/>
      <c r="D396" s="873"/>
      <c r="E396" s="873"/>
      <c r="F396" s="873"/>
      <c r="G396" s="873"/>
      <c r="H396" s="873"/>
      <c r="I396" s="873"/>
      <c r="J396" s="873"/>
      <c r="K396" s="873"/>
      <c r="L396" s="873"/>
      <c r="M396" s="873"/>
      <c r="N396" s="873"/>
      <c r="O396" s="873"/>
      <c r="P396" s="873"/>
      <c r="Q396" s="873"/>
      <c r="R396" s="873"/>
      <c r="S396" s="873"/>
      <c r="T396" s="873"/>
      <c r="U396" s="873"/>
      <c r="V396" s="873"/>
      <c r="W396" s="873"/>
      <c r="X396" s="873"/>
      <c r="Y396" s="873"/>
    </row>
    <row r="397">
      <c r="A397" s="873"/>
      <c r="B397" s="873"/>
      <c r="C397" s="873"/>
      <c r="D397" s="873"/>
      <c r="E397" s="873"/>
      <c r="F397" s="873"/>
      <c r="G397" s="873"/>
      <c r="H397" s="873"/>
      <c r="I397" s="873"/>
      <c r="J397" s="873"/>
      <c r="K397" s="873"/>
      <c r="L397" s="873"/>
      <c r="M397" s="873"/>
      <c r="N397" s="873"/>
      <c r="O397" s="873"/>
      <c r="P397" s="873"/>
      <c r="Q397" s="873"/>
      <c r="R397" s="873"/>
      <c r="S397" s="873"/>
      <c r="T397" s="873"/>
      <c r="U397" s="873"/>
      <c r="V397" s="873"/>
      <c r="W397" s="873"/>
      <c r="X397" s="873"/>
      <c r="Y397" s="873"/>
    </row>
    <row r="398">
      <c r="A398" s="873"/>
      <c r="B398" s="873"/>
      <c r="C398" s="873"/>
      <c r="D398" s="873"/>
      <c r="E398" s="873"/>
      <c r="F398" s="873"/>
      <c r="G398" s="873"/>
      <c r="H398" s="873"/>
      <c r="I398" s="873"/>
      <c r="J398" s="873"/>
      <c r="K398" s="873"/>
      <c r="L398" s="873"/>
      <c r="M398" s="873"/>
      <c r="N398" s="873"/>
      <c r="O398" s="873"/>
      <c r="P398" s="873"/>
      <c r="Q398" s="873"/>
      <c r="R398" s="873"/>
      <c r="S398" s="873"/>
      <c r="T398" s="873"/>
      <c r="U398" s="873"/>
      <c r="V398" s="873"/>
      <c r="W398" s="873"/>
      <c r="X398" s="873"/>
      <c r="Y398" s="873"/>
    </row>
    <row r="399">
      <c r="A399" s="873"/>
      <c r="B399" s="873"/>
      <c r="C399" s="873"/>
      <c r="D399" s="873"/>
      <c r="E399" s="873"/>
      <c r="F399" s="873"/>
      <c r="G399" s="873"/>
      <c r="H399" s="873"/>
      <c r="I399" s="873"/>
      <c r="J399" s="873"/>
      <c r="K399" s="873"/>
      <c r="L399" s="873"/>
      <c r="M399" s="873"/>
      <c r="N399" s="873"/>
      <c r="O399" s="873"/>
      <c r="P399" s="873"/>
      <c r="Q399" s="873"/>
      <c r="R399" s="873"/>
      <c r="S399" s="873"/>
      <c r="T399" s="873"/>
      <c r="U399" s="873"/>
      <c r="V399" s="873"/>
      <c r="W399" s="873"/>
      <c r="X399" s="873"/>
      <c r="Y399" s="873"/>
    </row>
    <row r="400">
      <c r="A400" s="873"/>
      <c r="B400" s="873"/>
      <c r="C400" s="873"/>
      <c r="D400" s="873"/>
      <c r="E400" s="873"/>
      <c r="F400" s="873"/>
      <c r="G400" s="873"/>
      <c r="H400" s="873"/>
      <c r="I400" s="873"/>
      <c r="J400" s="873"/>
      <c r="K400" s="873"/>
      <c r="L400" s="873"/>
      <c r="M400" s="873"/>
      <c r="N400" s="873"/>
      <c r="O400" s="873"/>
      <c r="P400" s="873"/>
      <c r="Q400" s="873"/>
      <c r="R400" s="873"/>
      <c r="S400" s="873"/>
      <c r="T400" s="873"/>
      <c r="U400" s="873"/>
      <c r="V400" s="873"/>
      <c r="W400" s="873"/>
      <c r="X400" s="873"/>
      <c r="Y400" s="873"/>
    </row>
    <row r="401">
      <c r="A401" s="873"/>
      <c r="B401" s="873"/>
      <c r="C401" s="873"/>
      <c r="D401" s="873"/>
      <c r="E401" s="873"/>
      <c r="F401" s="873"/>
      <c r="G401" s="873"/>
      <c r="H401" s="873"/>
      <c r="I401" s="873"/>
      <c r="J401" s="873"/>
      <c r="K401" s="873"/>
      <c r="L401" s="873"/>
      <c r="M401" s="873"/>
      <c r="N401" s="873"/>
      <c r="O401" s="873"/>
      <c r="P401" s="873"/>
      <c r="Q401" s="873"/>
      <c r="R401" s="873"/>
      <c r="S401" s="873"/>
      <c r="T401" s="873"/>
      <c r="U401" s="873"/>
      <c r="V401" s="873"/>
      <c r="W401" s="873"/>
      <c r="X401" s="873"/>
      <c r="Y401" s="873"/>
    </row>
    <row r="402">
      <c r="A402" s="873"/>
      <c r="B402" s="873"/>
      <c r="C402" s="873"/>
      <c r="D402" s="873"/>
      <c r="E402" s="873"/>
      <c r="F402" s="873"/>
      <c r="G402" s="873"/>
      <c r="H402" s="873"/>
      <c r="I402" s="873"/>
      <c r="J402" s="873"/>
      <c r="K402" s="873"/>
      <c r="L402" s="873"/>
      <c r="M402" s="873"/>
      <c r="N402" s="873"/>
      <c r="O402" s="873"/>
      <c r="P402" s="873"/>
      <c r="Q402" s="873"/>
      <c r="R402" s="873"/>
      <c r="S402" s="873"/>
      <c r="T402" s="873"/>
      <c r="U402" s="873"/>
      <c r="V402" s="873"/>
      <c r="W402" s="873"/>
      <c r="X402" s="873"/>
      <c r="Y402" s="873"/>
    </row>
    <row r="403">
      <c r="A403" s="873"/>
      <c r="B403" s="873"/>
      <c r="C403" s="873"/>
      <c r="D403" s="873"/>
      <c r="E403" s="873"/>
      <c r="F403" s="873"/>
      <c r="G403" s="873"/>
      <c r="H403" s="873"/>
      <c r="I403" s="873"/>
      <c r="J403" s="873"/>
      <c r="K403" s="873"/>
      <c r="L403" s="873"/>
      <c r="M403" s="873"/>
      <c r="N403" s="873"/>
      <c r="O403" s="873"/>
      <c r="P403" s="873"/>
      <c r="Q403" s="873"/>
      <c r="R403" s="873"/>
      <c r="S403" s="873"/>
      <c r="T403" s="873"/>
      <c r="U403" s="873"/>
      <c r="V403" s="873"/>
      <c r="W403" s="873"/>
      <c r="X403" s="873"/>
      <c r="Y403" s="873"/>
    </row>
    <row r="404">
      <c r="A404" s="873"/>
      <c r="B404" s="873"/>
      <c r="C404" s="873"/>
      <c r="D404" s="873"/>
      <c r="E404" s="873"/>
      <c r="F404" s="873"/>
      <c r="G404" s="873"/>
      <c r="H404" s="873"/>
      <c r="I404" s="873"/>
      <c r="J404" s="873"/>
      <c r="K404" s="873"/>
      <c r="L404" s="873"/>
      <c r="M404" s="873"/>
      <c r="N404" s="873"/>
      <c r="O404" s="873"/>
      <c r="P404" s="873"/>
      <c r="Q404" s="873"/>
      <c r="R404" s="873"/>
      <c r="S404" s="873"/>
      <c r="T404" s="873"/>
      <c r="U404" s="873"/>
      <c r="V404" s="873"/>
      <c r="W404" s="873"/>
      <c r="X404" s="873"/>
      <c r="Y404" s="873"/>
    </row>
    <row r="405">
      <c r="A405" s="873"/>
      <c r="B405" s="873"/>
      <c r="C405" s="873"/>
      <c r="D405" s="873"/>
      <c r="E405" s="873"/>
      <c r="F405" s="873"/>
      <c r="G405" s="873"/>
      <c r="H405" s="873"/>
      <c r="I405" s="873"/>
      <c r="J405" s="873"/>
      <c r="K405" s="873"/>
      <c r="L405" s="873"/>
      <c r="M405" s="873"/>
      <c r="N405" s="873"/>
      <c r="O405" s="873"/>
      <c r="P405" s="873"/>
      <c r="Q405" s="873"/>
      <c r="R405" s="873"/>
      <c r="S405" s="873"/>
      <c r="T405" s="873"/>
      <c r="U405" s="873"/>
      <c r="V405" s="873"/>
      <c r="W405" s="873"/>
      <c r="X405" s="873"/>
      <c r="Y405" s="873"/>
    </row>
    <row r="406">
      <c r="A406" s="873"/>
      <c r="B406" s="873"/>
      <c r="C406" s="873"/>
      <c r="D406" s="873"/>
      <c r="E406" s="873"/>
      <c r="F406" s="873"/>
      <c r="G406" s="873"/>
      <c r="H406" s="873"/>
      <c r="I406" s="873"/>
      <c r="J406" s="873"/>
      <c r="K406" s="873"/>
      <c r="L406" s="873"/>
      <c r="M406" s="873"/>
      <c r="N406" s="873"/>
      <c r="O406" s="873"/>
      <c r="P406" s="873"/>
      <c r="Q406" s="873"/>
      <c r="R406" s="873"/>
      <c r="S406" s="873"/>
      <c r="T406" s="873"/>
      <c r="U406" s="873"/>
      <c r="V406" s="873"/>
      <c r="W406" s="873"/>
      <c r="X406" s="873"/>
      <c r="Y406" s="873"/>
    </row>
    <row r="407">
      <c r="A407" s="873"/>
      <c r="B407" s="873"/>
      <c r="C407" s="873"/>
      <c r="D407" s="873"/>
      <c r="E407" s="873"/>
      <c r="F407" s="873"/>
      <c r="G407" s="873"/>
      <c r="H407" s="873"/>
      <c r="I407" s="873"/>
      <c r="J407" s="873"/>
      <c r="K407" s="873"/>
      <c r="L407" s="873"/>
      <c r="M407" s="873"/>
      <c r="N407" s="873"/>
      <c r="O407" s="873"/>
      <c r="P407" s="873"/>
      <c r="Q407" s="873"/>
      <c r="R407" s="873"/>
      <c r="S407" s="873"/>
      <c r="T407" s="873"/>
      <c r="U407" s="873"/>
      <c r="V407" s="873"/>
      <c r="W407" s="873"/>
      <c r="X407" s="873"/>
      <c r="Y407" s="873"/>
    </row>
    <row r="408">
      <c r="A408" s="873"/>
      <c r="B408" s="873"/>
      <c r="C408" s="873"/>
      <c r="D408" s="873"/>
      <c r="E408" s="873"/>
      <c r="F408" s="873"/>
      <c r="G408" s="873"/>
      <c r="H408" s="873"/>
      <c r="I408" s="873"/>
      <c r="J408" s="873"/>
      <c r="K408" s="873"/>
      <c r="L408" s="873"/>
      <c r="M408" s="873"/>
      <c r="N408" s="873"/>
      <c r="O408" s="873"/>
      <c r="P408" s="873"/>
      <c r="Q408" s="873"/>
      <c r="R408" s="873"/>
      <c r="S408" s="873"/>
      <c r="T408" s="873"/>
      <c r="U408" s="873"/>
      <c r="V408" s="873"/>
      <c r="W408" s="873"/>
      <c r="X408" s="873"/>
      <c r="Y408" s="873"/>
    </row>
    <row r="409">
      <c r="A409" s="873"/>
      <c r="B409" s="873"/>
      <c r="C409" s="873"/>
      <c r="D409" s="873"/>
      <c r="E409" s="873"/>
      <c r="F409" s="873"/>
      <c r="G409" s="873"/>
      <c r="H409" s="873"/>
      <c r="I409" s="873"/>
      <c r="J409" s="873"/>
      <c r="K409" s="873"/>
      <c r="L409" s="873"/>
      <c r="M409" s="873"/>
      <c r="N409" s="873"/>
      <c r="O409" s="873"/>
      <c r="P409" s="873"/>
      <c r="Q409" s="873"/>
      <c r="R409" s="873"/>
      <c r="S409" s="873"/>
      <c r="T409" s="873"/>
      <c r="U409" s="873"/>
      <c r="V409" s="873"/>
      <c r="W409" s="873"/>
      <c r="X409" s="873"/>
      <c r="Y409" s="873"/>
    </row>
    <row r="410">
      <c r="A410" s="873"/>
      <c r="B410" s="873"/>
      <c r="C410" s="873"/>
      <c r="D410" s="873"/>
      <c r="E410" s="873"/>
      <c r="F410" s="873"/>
      <c r="G410" s="873"/>
      <c r="H410" s="873"/>
      <c r="I410" s="873"/>
      <c r="J410" s="873"/>
      <c r="K410" s="873"/>
      <c r="L410" s="873"/>
      <c r="M410" s="873"/>
      <c r="N410" s="873"/>
      <c r="O410" s="873"/>
      <c r="P410" s="873"/>
      <c r="Q410" s="873"/>
      <c r="R410" s="873"/>
      <c r="S410" s="873"/>
      <c r="T410" s="873"/>
      <c r="U410" s="873"/>
      <c r="V410" s="873"/>
      <c r="W410" s="873"/>
      <c r="X410" s="873"/>
      <c r="Y410" s="873"/>
    </row>
    <row r="411">
      <c r="A411" s="873"/>
      <c r="B411" s="873"/>
      <c r="C411" s="873"/>
      <c r="D411" s="873"/>
      <c r="E411" s="873"/>
      <c r="F411" s="873"/>
      <c r="G411" s="873"/>
      <c r="H411" s="873"/>
      <c r="I411" s="873"/>
      <c r="J411" s="873"/>
      <c r="K411" s="873"/>
      <c r="L411" s="873"/>
      <c r="M411" s="873"/>
      <c r="N411" s="873"/>
      <c r="O411" s="873"/>
      <c r="P411" s="873"/>
      <c r="Q411" s="873"/>
      <c r="R411" s="873"/>
      <c r="S411" s="873"/>
      <c r="T411" s="873"/>
      <c r="U411" s="873"/>
      <c r="V411" s="873"/>
      <c r="W411" s="873"/>
      <c r="X411" s="873"/>
      <c r="Y411" s="873"/>
    </row>
    <row r="412">
      <c r="A412" s="873"/>
      <c r="B412" s="873"/>
      <c r="C412" s="873"/>
      <c r="D412" s="873"/>
      <c r="E412" s="873"/>
      <c r="F412" s="873"/>
      <c r="G412" s="873"/>
      <c r="H412" s="873"/>
      <c r="I412" s="873"/>
      <c r="J412" s="873"/>
      <c r="K412" s="873"/>
      <c r="L412" s="873"/>
      <c r="M412" s="873"/>
      <c r="N412" s="873"/>
      <c r="O412" s="873"/>
      <c r="P412" s="873"/>
      <c r="Q412" s="873"/>
      <c r="R412" s="873"/>
      <c r="S412" s="873"/>
      <c r="T412" s="873"/>
      <c r="U412" s="873"/>
      <c r="V412" s="873"/>
      <c r="W412" s="873"/>
      <c r="X412" s="873"/>
      <c r="Y412" s="873"/>
    </row>
    <row r="413">
      <c r="A413" s="873"/>
      <c r="B413" s="873"/>
      <c r="C413" s="873"/>
      <c r="D413" s="873"/>
      <c r="E413" s="873"/>
      <c r="F413" s="873"/>
      <c r="G413" s="873"/>
      <c r="H413" s="873"/>
      <c r="I413" s="873"/>
      <c r="J413" s="873"/>
      <c r="K413" s="873"/>
      <c r="L413" s="873"/>
      <c r="M413" s="873"/>
      <c r="N413" s="873"/>
      <c r="O413" s="873"/>
      <c r="P413" s="873"/>
      <c r="Q413" s="873"/>
      <c r="R413" s="873"/>
      <c r="S413" s="873"/>
      <c r="T413" s="873"/>
      <c r="U413" s="873"/>
      <c r="V413" s="873"/>
      <c r="W413" s="873"/>
      <c r="X413" s="873"/>
      <c r="Y413" s="873"/>
    </row>
    <row r="414">
      <c r="A414" s="873"/>
      <c r="B414" s="873"/>
      <c r="C414" s="873"/>
      <c r="D414" s="873"/>
      <c r="E414" s="873"/>
      <c r="F414" s="873"/>
      <c r="G414" s="873"/>
      <c r="H414" s="873"/>
      <c r="I414" s="873"/>
      <c r="J414" s="873"/>
      <c r="K414" s="873"/>
      <c r="L414" s="873"/>
      <c r="M414" s="873"/>
      <c r="N414" s="873"/>
      <c r="O414" s="873"/>
      <c r="P414" s="873"/>
      <c r="Q414" s="873"/>
      <c r="R414" s="873"/>
      <c r="S414" s="873"/>
      <c r="T414" s="873"/>
      <c r="U414" s="873"/>
      <c r="V414" s="873"/>
      <c r="W414" s="873"/>
      <c r="X414" s="873"/>
      <c r="Y414" s="873"/>
    </row>
    <row r="415">
      <c r="A415" s="873"/>
      <c r="B415" s="873"/>
      <c r="C415" s="873"/>
      <c r="D415" s="873"/>
      <c r="E415" s="873"/>
      <c r="F415" s="873"/>
      <c r="G415" s="873"/>
      <c r="H415" s="873"/>
      <c r="I415" s="873"/>
      <c r="J415" s="873"/>
      <c r="K415" s="873"/>
      <c r="L415" s="873"/>
      <c r="M415" s="873"/>
      <c r="N415" s="873"/>
      <c r="O415" s="873"/>
      <c r="P415" s="873"/>
      <c r="Q415" s="873"/>
      <c r="R415" s="873"/>
      <c r="S415" s="873"/>
      <c r="T415" s="873"/>
      <c r="U415" s="873"/>
      <c r="V415" s="873"/>
      <c r="W415" s="873"/>
      <c r="X415" s="873"/>
      <c r="Y415" s="873"/>
    </row>
    <row r="416">
      <c r="A416" s="873"/>
      <c r="B416" s="873"/>
      <c r="C416" s="873"/>
      <c r="D416" s="873"/>
      <c r="E416" s="873"/>
      <c r="F416" s="873"/>
      <c r="G416" s="873"/>
      <c r="H416" s="873"/>
      <c r="I416" s="873"/>
      <c r="J416" s="873"/>
      <c r="K416" s="873"/>
      <c r="L416" s="873"/>
      <c r="M416" s="873"/>
      <c r="N416" s="873"/>
      <c r="O416" s="873"/>
      <c r="P416" s="873"/>
      <c r="Q416" s="873"/>
      <c r="R416" s="873"/>
      <c r="S416" s="873"/>
      <c r="T416" s="873"/>
      <c r="U416" s="873"/>
      <c r="V416" s="873"/>
      <c r="W416" s="873"/>
      <c r="X416" s="873"/>
      <c r="Y416" s="873"/>
    </row>
    <row r="417">
      <c r="A417" s="873"/>
      <c r="B417" s="873"/>
      <c r="C417" s="873"/>
      <c r="D417" s="873"/>
      <c r="E417" s="873"/>
      <c r="F417" s="873"/>
      <c r="G417" s="873"/>
      <c r="H417" s="873"/>
      <c r="I417" s="873"/>
      <c r="J417" s="873"/>
      <c r="K417" s="873"/>
      <c r="L417" s="873"/>
      <c r="M417" s="873"/>
      <c r="N417" s="873"/>
      <c r="O417" s="873"/>
      <c r="P417" s="873"/>
      <c r="Q417" s="873"/>
      <c r="R417" s="873"/>
      <c r="S417" s="873"/>
      <c r="T417" s="873"/>
      <c r="U417" s="873"/>
      <c r="V417" s="873"/>
      <c r="W417" s="873"/>
      <c r="X417" s="873"/>
      <c r="Y417" s="873"/>
    </row>
    <row r="418">
      <c r="A418" s="873"/>
      <c r="B418" s="873"/>
      <c r="C418" s="873"/>
      <c r="D418" s="873"/>
      <c r="E418" s="873"/>
      <c r="F418" s="873"/>
      <c r="G418" s="873"/>
      <c r="H418" s="873"/>
      <c r="I418" s="873"/>
      <c r="J418" s="873"/>
      <c r="K418" s="873"/>
      <c r="L418" s="873"/>
      <c r="M418" s="873"/>
      <c r="N418" s="873"/>
      <c r="O418" s="873"/>
      <c r="P418" s="873"/>
      <c r="Q418" s="873"/>
      <c r="R418" s="873"/>
      <c r="S418" s="873"/>
      <c r="T418" s="873"/>
      <c r="U418" s="873"/>
      <c r="V418" s="873"/>
      <c r="W418" s="873"/>
      <c r="X418" s="873"/>
      <c r="Y418" s="873"/>
    </row>
    <row r="419">
      <c r="A419" s="873"/>
      <c r="B419" s="873"/>
      <c r="C419" s="873"/>
      <c r="D419" s="873"/>
      <c r="E419" s="873"/>
      <c r="F419" s="873"/>
      <c r="G419" s="873"/>
      <c r="H419" s="873"/>
      <c r="I419" s="873"/>
      <c r="J419" s="873"/>
      <c r="K419" s="873"/>
      <c r="L419" s="873"/>
      <c r="M419" s="873"/>
      <c r="N419" s="873"/>
      <c r="O419" s="873"/>
      <c r="P419" s="873"/>
      <c r="Q419" s="873"/>
      <c r="R419" s="873"/>
      <c r="S419" s="873"/>
      <c r="T419" s="873"/>
      <c r="U419" s="873"/>
      <c r="V419" s="873"/>
      <c r="W419" s="873"/>
      <c r="X419" s="873"/>
      <c r="Y419" s="873"/>
    </row>
    <row r="420">
      <c r="A420" s="873"/>
      <c r="B420" s="873"/>
      <c r="C420" s="873"/>
      <c r="D420" s="873"/>
      <c r="E420" s="873"/>
      <c r="F420" s="873"/>
      <c r="G420" s="873"/>
      <c r="H420" s="873"/>
      <c r="I420" s="873"/>
      <c r="J420" s="873"/>
      <c r="K420" s="873"/>
      <c r="L420" s="873"/>
      <c r="M420" s="873"/>
      <c r="N420" s="873"/>
      <c r="O420" s="873"/>
      <c r="P420" s="873"/>
      <c r="Q420" s="873"/>
      <c r="R420" s="873"/>
      <c r="S420" s="873"/>
      <c r="T420" s="873"/>
      <c r="U420" s="873"/>
      <c r="V420" s="873"/>
      <c r="W420" s="873"/>
      <c r="X420" s="873"/>
      <c r="Y420" s="873"/>
    </row>
    <row r="421">
      <c r="A421" s="873"/>
      <c r="B421" s="873"/>
      <c r="C421" s="873"/>
      <c r="D421" s="873"/>
      <c r="E421" s="873"/>
      <c r="F421" s="873"/>
      <c r="G421" s="873"/>
      <c r="H421" s="873"/>
      <c r="I421" s="873"/>
      <c r="J421" s="873"/>
      <c r="K421" s="873"/>
      <c r="L421" s="873"/>
      <c r="M421" s="873"/>
      <c r="N421" s="873"/>
      <c r="O421" s="873"/>
      <c r="P421" s="873"/>
      <c r="Q421" s="873"/>
      <c r="R421" s="873"/>
      <c r="S421" s="873"/>
      <c r="T421" s="873"/>
      <c r="U421" s="873"/>
      <c r="V421" s="873"/>
      <c r="W421" s="873"/>
      <c r="X421" s="873"/>
      <c r="Y421" s="873"/>
    </row>
    <row r="422">
      <c r="A422" s="873"/>
      <c r="B422" s="873"/>
      <c r="C422" s="873"/>
      <c r="D422" s="873"/>
      <c r="E422" s="873"/>
      <c r="F422" s="873"/>
      <c r="G422" s="873"/>
      <c r="H422" s="873"/>
      <c r="I422" s="873"/>
      <c r="J422" s="873"/>
      <c r="K422" s="873"/>
      <c r="L422" s="873"/>
      <c r="M422" s="873"/>
      <c r="N422" s="873"/>
      <c r="O422" s="873"/>
      <c r="P422" s="873"/>
      <c r="Q422" s="873"/>
      <c r="R422" s="873"/>
      <c r="S422" s="873"/>
      <c r="T422" s="873"/>
      <c r="U422" s="873"/>
      <c r="V422" s="873"/>
      <c r="W422" s="873"/>
      <c r="X422" s="873"/>
      <c r="Y422" s="873"/>
    </row>
    <row r="423">
      <c r="A423" s="873"/>
      <c r="B423" s="873"/>
      <c r="C423" s="873"/>
      <c r="D423" s="873"/>
      <c r="E423" s="873"/>
      <c r="F423" s="873"/>
      <c r="G423" s="873"/>
      <c r="H423" s="873"/>
      <c r="I423" s="873"/>
      <c r="J423" s="873"/>
      <c r="K423" s="873"/>
      <c r="L423" s="873"/>
      <c r="M423" s="873"/>
      <c r="N423" s="873"/>
      <c r="O423" s="873"/>
      <c r="P423" s="873"/>
      <c r="Q423" s="873"/>
      <c r="R423" s="873"/>
      <c r="S423" s="873"/>
      <c r="T423" s="873"/>
      <c r="U423" s="873"/>
      <c r="V423" s="873"/>
      <c r="W423" s="873"/>
      <c r="X423" s="873"/>
      <c r="Y423" s="873"/>
    </row>
    <row r="424">
      <c r="A424" s="873"/>
      <c r="B424" s="873"/>
      <c r="C424" s="873"/>
      <c r="D424" s="873"/>
      <c r="E424" s="873"/>
      <c r="F424" s="873"/>
      <c r="G424" s="873"/>
      <c r="H424" s="873"/>
      <c r="I424" s="873"/>
      <c r="J424" s="873"/>
      <c r="K424" s="873"/>
      <c r="L424" s="873"/>
      <c r="M424" s="873"/>
      <c r="N424" s="873"/>
      <c r="O424" s="873"/>
      <c r="P424" s="873"/>
      <c r="Q424" s="873"/>
      <c r="R424" s="873"/>
      <c r="S424" s="873"/>
      <c r="T424" s="873"/>
      <c r="U424" s="873"/>
      <c r="V424" s="873"/>
      <c r="W424" s="873"/>
      <c r="X424" s="873"/>
      <c r="Y424" s="873"/>
    </row>
    <row r="425">
      <c r="A425" s="873"/>
      <c r="B425" s="873"/>
      <c r="C425" s="873"/>
      <c r="D425" s="873"/>
      <c r="E425" s="873"/>
      <c r="F425" s="873"/>
      <c r="G425" s="873"/>
      <c r="H425" s="873"/>
      <c r="I425" s="873"/>
      <c r="J425" s="873"/>
      <c r="K425" s="873"/>
      <c r="L425" s="873"/>
      <c r="M425" s="873"/>
      <c r="N425" s="873"/>
      <c r="O425" s="873"/>
      <c r="P425" s="873"/>
      <c r="Q425" s="873"/>
      <c r="R425" s="873"/>
      <c r="S425" s="873"/>
      <c r="T425" s="873"/>
      <c r="U425" s="873"/>
      <c r="V425" s="873"/>
      <c r="W425" s="873"/>
      <c r="X425" s="873"/>
      <c r="Y425" s="873"/>
    </row>
    <row r="426">
      <c r="A426" s="873"/>
      <c r="B426" s="873"/>
      <c r="C426" s="873"/>
      <c r="D426" s="873"/>
      <c r="E426" s="873"/>
      <c r="F426" s="873"/>
      <c r="G426" s="873"/>
      <c r="H426" s="873"/>
      <c r="I426" s="873"/>
      <c r="J426" s="873"/>
      <c r="K426" s="873"/>
      <c r="L426" s="873"/>
      <c r="M426" s="873"/>
      <c r="N426" s="873"/>
      <c r="O426" s="873"/>
      <c r="P426" s="873"/>
      <c r="Q426" s="873"/>
      <c r="R426" s="873"/>
      <c r="S426" s="873"/>
      <c r="T426" s="873"/>
      <c r="U426" s="873"/>
      <c r="V426" s="873"/>
      <c r="W426" s="873"/>
      <c r="X426" s="873"/>
      <c r="Y426" s="873"/>
    </row>
    <row r="427">
      <c r="A427" s="873"/>
      <c r="B427" s="873"/>
      <c r="C427" s="873"/>
      <c r="D427" s="873"/>
      <c r="E427" s="873"/>
      <c r="F427" s="873"/>
      <c r="G427" s="873"/>
      <c r="H427" s="873"/>
      <c r="I427" s="873"/>
      <c r="J427" s="873"/>
      <c r="K427" s="873"/>
      <c r="L427" s="873"/>
      <c r="M427" s="873"/>
      <c r="N427" s="873"/>
      <c r="O427" s="873"/>
      <c r="P427" s="873"/>
      <c r="Q427" s="873"/>
      <c r="R427" s="873"/>
      <c r="S427" s="873"/>
      <c r="T427" s="873"/>
      <c r="U427" s="873"/>
      <c r="V427" s="873"/>
      <c r="W427" s="873"/>
      <c r="X427" s="873"/>
      <c r="Y427" s="873"/>
    </row>
    <row r="428">
      <c r="A428" s="873"/>
      <c r="B428" s="873"/>
      <c r="C428" s="873"/>
      <c r="D428" s="873"/>
      <c r="E428" s="873"/>
      <c r="F428" s="873"/>
      <c r="G428" s="873"/>
      <c r="H428" s="873"/>
      <c r="I428" s="873"/>
      <c r="J428" s="873"/>
      <c r="K428" s="873"/>
      <c r="L428" s="873"/>
      <c r="M428" s="873"/>
      <c r="N428" s="873"/>
      <c r="O428" s="873"/>
      <c r="P428" s="873"/>
      <c r="Q428" s="873"/>
      <c r="R428" s="873"/>
      <c r="S428" s="873"/>
      <c r="T428" s="873"/>
      <c r="U428" s="873"/>
      <c r="V428" s="873"/>
      <c r="W428" s="873"/>
      <c r="X428" s="873"/>
      <c r="Y428" s="873"/>
    </row>
    <row r="429">
      <c r="A429" s="873"/>
      <c r="B429" s="873"/>
      <c r="C429" s="873"/>
      <c r="D429" s="873"/>
      <c r="E429" s="873"/>
      <c r="F429" s="873"/>
      <c r="G429" s="873"/>
      <c r="H429" s="873"/>
      <c r="I429" s="873"/>
      <c r="J429" s="873"/>
      <c r="K429" s="873"/>
      <c r="L429" s="873"/>
      <c r="M429" s="873"/>
      <c r="N429" s="873"/>
      <c r="O429" s="873"/>
      <c r="P429" s="873"/>
      <c r="Q429" s="873"/>
      <c r="R429" s="873"/>
      <c r="S429" s="873"/>
      <c r="T429" s="873"/>
      <c r="U429" s="873"/>
      <c r="V429" s="873"/>
      <c r="W429" s="873"/>
      <c r="X429" s="873"/>
      <c r="Y429" s="873"/>
    </row>
    <row r="430">
      <c r="A430" s="873"/>
      <c r="B430" s="873"/>
      <c r="C430" s="873"/>
      <c r="D430" s="873"/>
      <c r="E430" s="873"/>
      <c r="F430" s="873"/>
      <c r="G430" s="873"/>
      <c r="H430" s="873"/>
      <c r="I430" s="873"/>
      <c r="J430" s="873"/>
      <c r="K430" s="873"/>
      <c r="L430" s="873"/>
      <c r="M430" s="873"/>
      <c r="N430" s="873"/>
      <c r="O430" s="873"/>
      <c r="P430" s="873"/>
      <c r="Q430" s="873"/>
      <c r="R430" s="873"/>
      <c r="S430" s="873"/>
      <c r="T430" s="873"/>
      <c r="U430" s="873"/>
      <c r="V430" s="873"/>
      <c r="W430" s="873"/>
      <c r="X430" s="873"/>
      <c r="Y430" s="873"/>
    </row>
    <row r="431">
      <c r="A431" s="873"/>
      <c r="B431" s="873"/>
      <c r="C431" s="873"/>
      <c r="D431" s="873"/>
      <c r="E431" s="873"/>
      <c r="F431" s="873"/>
      <c r="G431" s="873"/>
      <c r="H431" s="873"/>
      <c r="I431" s="873"/>
      <c r="J431" s="873"/>
      <c r="K431" s="873"/>
      <c r="L431" s="873"/>
      <c r="M431" s="873"/>
      <c r="N431" s="873"/>
      <c r="O431" s="873"/>
      <c r="P431" s="873"/>
      <c r="Q431" s="873"/>
      <c r="R431" s="873"/>
      <c r="S431" s="873"/>
      <c r="T431" s="873"/>
      <c r="U431" s="873"/>
      <c r="V431" s="873"/>
      <c r="W431" s="873"/>
      <c r="X431" s="873"/>
      <c r="Y431" s="873"/>
    </row>
    <row r="432">
      <c r="A432" s="873"/>
      <c r="B432" s="873"/>
      <c r="C432" s="873"/>
      <c r="D432" s="873"/>
      <c r="E432" s="873"/>
      <c r="F432" s="873"/>
      <c r="G432" s="873"/>
      <c r="H432" s="873"/>
      <c r="I432" s="873"/>
      <c r="J432" s="873"/>
      <c r="K432" s="873"/>
      <c r="L432" s="873"/>
      <c r="M432" s="873"/>
      <c r="N432" s="873"/>
      <c r="O432" s="873"/>
      <c r="P432" s="873"/>
      <c r="Q432" s="873"/>
      <c r="R432" s="873"/>
      <c r="S432" s="873"/>
      <c r="T432" s="873"/>
      <c r="U432" s="873"/>
      <c r="V432" s="873"/>
      <c r="W432" s="873"/>
      <c r="X432" s="873"/>
      <c r="Y432" s="873"/>
    </row>
    <row r="433">
      <c r="A433" s="873"/>
      <c r="B433" s="873"/>
      <c r="C433" s="873"/>
      <c r="D433" s="873"/>
      <c r="E433" s="873"/>
      <c r="F433" s="873"/>
      <c r="G433" s="873"/>
      <c r="H433" s="873"/>
      <c r="I433" s="873"/>
      <c r="J433" s="873"/>
      <c r="K433" s="873"/>
      <c r="L433" s="873"/>
      <c r="M433" s="873"/>
      <c r="N433" s="873"/>
      <c r="O433" s="873"/>
      <c r="P433" s="873"/>
      <c r="Q433" s="873"/>
      <c r="R433" s="873"/>
      <c r="S433" s="873"/>
      <c r="T433" s="873"/>
      <c r="U433" s="873"/>
      <c r="V433" s="873"/>
      <c r="W433" s="873"/>
      <c r="X433" s="873"/>
      <c r="Y433" s="873"/>
    </row>
    <row r="434">
      <c r="A434" s="873"/>
      <c r="B434" s="873"/>
      <c r="C434" s="873"/>
      <c r="D434" s="873"/>
      <c r="E434" s="873"/>
      <c r="F434" s="873"/>
      <c r="G434" s="873"/>
      <c r="H434" s="873"/>
      <c r="I434" s="873"/>
      <c r="J434" s="873"/>
      <c r="K434" s="873"/>
      <c r="L434" s="873"/>
      <c r="M434" s="873"/>
      <c r="N434" s="873"/>
      <c r="O434" s="873"/>
      <c r="P434" s="873"/>
      <c r="Q434" s="873"/>
      <c r="R434" s="873"/>
      <c r="S434" s="873"/>
      <c r="T434" s="873"/>
      <c r="U434" s="873"/>
      <c r="V434" s="873"/>
      <c r="W434" s="873"/>
      <c r="X434" s="873"/>
      <c r="Y434" s="873"/>
    </row>
    <row r="435">
      <c r="A435" s="873"/>
      <c r="B435" s="873"/>
      <c r="C435" s="873"/>
      <c r="D435" s="873"/>
      <c r="E435" s="873"/>
      <c r="F435" s="873"/>
      <c r="G435" s="873"/>
      <c r="H435" s="873"/>
      <c r="I435" s="873"/>
      <c r="J435" s="873"/>
      <c r="K435" s="873"/>
      <c r="L435" s="873"/>
      <c r="M435" s="873"/>
      <c r="N435" s="873"/>
      <c r="O435" s="873"/>
      <c r="P435" s="873"/>
      <c r="Q435" s="873"/>
      <c r="R435" s="873"/>
      <c r="S435" s="873"/>
      <c r="T435" s="873"/>
      <c r="U435" s="873"/>
      <c r="V435" s="873"/>
      <c r="W435" s="873"/>
      <c r="X435" s="873"/>
      <c r="Y435" s="873"/>
    </row>
    <row r="436">
      <c r="A436" s="873"/>
      <c r="B436" s="873"/>
      <c r="C436" s="873"/>
      <c r="D436" s="873"/>
      <c r="E436" s="873"/>
      <c r="F436" s="873"/>
      <c r="G436" s="873"/>
      <c r="H436" s="873"/>
      <c r="I436" s="873"/>
      <c r="J436" s="873"/>
      <c r="K436" s="873"/>
      <c r="L436" s="873"/>
      <c r="M436" s="873"/>
      <c r="N436" s="873"/>
      <c r="O436" s="873"/>
      <c r="P436" s="873"/>
      <c r="Q436" s="873"/>
      <c r="R436" s="873"/>
      <c r="S436" s="873"/>
      <c r="T436" s="873"/>
      <c r="U436" s="873"/>
      <c r="V436" s="873"/>
      <c r="W436" s="873"/>
      <c r="X436" s="873"/>
      <c r="Y436" s="873"/>
    </row>
    <row r="437">
      <c r="A437" s="873"/>
      <c r="B437" s="873"/>
      <c r="C437" s="873"/>
      <c r="D437" s="873"/>
      <c r="E437" s="873"/>
      <c r="F437" s="873"/>
      <c r="G437" s="873"/>
      <c r="H437" s="873"/>
      <c r="I437" s="873"/>
      <c r="J437" s="873"/>
      <c r="K437" s="873"/>
      <c r="L437" s="873"/>
      <c r="M437" s="873"/>
      <c r="N437" s="873"/>
      <c r="O437" s="873"/>
      <c r="P437" s="873"/>
      <c r="Q437" s="873"/>
      <c r="R437" s="873"/>
      <c r="S437" s="873"/>
      <c r="T437" s="873"/>
      <c r="U437" s="873"/>
      <c r="V437" s="873"/>
      <c r="W437" s="873"/>
      <c r="X437" s="873"/>
      <c r="Y437" s="873"/>
    </row>
    <row r="438">
      <c r="A438" s="873"/>
      <c r="B438" s="873"/>
      <c r="C438" s="873"/>
      <c r="D438" s="873"/>
      <c r="E438" s="873"/>
      <c r="F438" s="873"/>
      <c r="G438" s="873"/>
      <c r="H438" s="873"/>
      <c r="I438" s="873"/>
      <c r="J438" s="873"/>
      <c r="K438" s="873"/>
      <c r="L438" s="873"/>
      <c r="M438" s="873"/>
      <c r="N438" s="873"/>
      <c r="O438" s="873"/>
      <c r="P438" s="873"/>
      <c r="Q438" s="873"/>
      <c r="R438" s="873"/>
      <c r="S438" s="873"/>
      <c r="T438" s="873"/>
      <c r="U438" s="873"/>
      <c r="V438" s="873"/>
      <c r="W438" s="873"/>
      <c r="X438" s="873"/>
      <c r="Y438" s="873"/>
    </row>
    <row r="439">
      <c r="A439" s="873"/>
      <c r="B439" s="873"/>
      <c r="C439" s="873"/>
      <c r="D439" s="873"/>
      <c r="E439" s="873"/>
      <c r="F439" s="873"/>
      <c r="G439" s="873"/>
      <c r="H439" s="873"/>
      <c r="I439" s="873"/>
      <c r="J439" s="873"/>
      <c r="K439" s="873"/>
      <c r="L439" s="873"/>
      <c r="M439" s="873"/>
      <c r="N439" s="873"/>
      <c r="O439" s="873"/>
      <c r="P439" s="873"/>
      <c r="Q439" s="873"/>
      <c r="R439" s="873"/>
      <c r="S439" s="873"/>
      <c r="T439" s="873"/>
      <c r="U439" s="873"/>
      <c r="V439" s="873"/>
      <c r="W439" s="873"/>
      <c r="X439" s="873"/>
      <c r="Y439" s="873"/>
    </row>
    <row r="440">
      <c r="A440" s="873"/>
      <c r="B440" s="873"/>
      <c r="C440" s="873"/>
      <c r="D440" s="873"/>
      <c r="E440" s="873"/>
      <c r="F440" s="873"/>
      <c r="G440" s="873"/>
      <c r="H440" s="873"/>
      <c r="I440" s="873"/>
      <c r="J440" s="873"/>
      <c r="K440" s="873"/>
      <c r="L440" s="873"/>
      <c r="M440" s="873"/>
      <c r="N440" s="873"/>
      <c r="O440" s="873"/>
      <c r="P440" s="873"/>
      <c r="Q440" s="873"/>
      <c r="R440" s="873"/>
      <c r="S440" s="873"/>
      <c r="T440" s="873"/>
      <c r="U440" s="873"/>
      <c r="V440" s="873"/>
      <c r="W440" s="873"/>
      <c r="X440" s="873"/>
      <c r="Y440" s="873"/>
    </row>
    <row r="441">
      <c r="A441" s="873"/>
      <c r="B441" s="873"/>
      <c r="C441" s="873"/>
      <c r="D441" s="873"/>
      <c r="E441" s="873"/>
      <c r="F441" s="873"/>
      <c r="G441" s="873"/>
      <c r="H441" s="873"/>
      <c r="I441" s="873"/>
      <c r="J441" s="873"/>
      <c r="K441" s="873"/>
      <c r="L441" s="873"/>
      <c r="M441" s="873"/>
      <c r="N441" s="873"/>
      <c r="O441" s="873"/>
      <c r="P441" s="873"/>
      <c r="Q441" s="873"/>
      <c r="R441" s="873"/>
      <c r="S441" s="873"/>
      <c r="T441" s="873"/>
      <c r="U441" s="873"/>
      <c r="V441" s="873"/>
      <c r="W441" s="873"/>
      <c r="X441" s="873"/>
      <c r="Y441" s="873"/>
    </row>
    <row r="442">
      <c r="A442" s="873"/>
      <c r="B442" s="873"/>
      <c r="C442" s="873"/>
      <c r="D442" s="873"/>
      <c r="E442" s="873"/>
      <c r="F442" s="873"/>
      <c r="G442" s="873"/>
      <c r="H442" s="873"/>
      <c r="I442" s="873"/>
      <c r="J442" s="873"/>
      <c r="K442" s="873"/>
      <c r="L442" s="873"/>
      <c r="M442" s="873"/>
      <c r="N442" s="873"/>
      <c r="O442" s="873"/>
      <c r="P442" s="873"/>
      <c r="Q442" s="873"/>
      <c r="R442" s="873"/>
      <c r="S442" s="873"/>
      <c r="T442" s="873"/>
      <c r="U442" s="873"/>
      <c r="V442" s="873"/>
      <c r="W442" s="873"/>
      <c r="X442" s="873"/>
      <c r="Y442" s="873"/>
    </row>
    <row r="443">
      <c r="A443" s="873"/>
      <c r="B443" s="873"/>
      <c r="C443" s="873"/>
      <c r="D443" s="873"/>
      <c r="E443" s="873"/>
      <c r="F443" s="873"/>
      <c r="G443" s="873"/>
      <c r="H443" s="873"/>
      <c r="I443" s="873"/>
      <c r="J443" s="873"/>
      <c r="K443" s="873"/>
      <c r="L443" s="873"/>
      <c r="M443" s="873"/>
      <c r="N443" s="873"/>
      <c r="O443" s="873"/>
      <c r="P443" s="873"/>
      <c r="Q443" s="873"/>
      <c r="R443" s="873"/>
      <c r="S443" s="873"/>
      <c r="T443" s="873"/>
      <c r="U443" s="873"/>
      <c r="V443" s="873"/>
      <c r="W443" s="873"/>
      <c r="X443" s="873"/>
      <c r="Y443" s="873"/>
    </row>
    <row r="444">
      <c r="A444" s="873"/>
      <c r="B444" s="873"/>
      <c r="C444" s="873"/>
      <c r="D444" s="873"/>
      <c r="E444" s="873"/>
      <c r="F444" s="873"/>
      <c r="G444" s="873"/>
      <c r="H444" s="873"/>
      <c r="I444" s="873"/>
      <c r="J444" s="873"/>
      <c r="K444" s="873"/>
      <c r="L444" s="873"/>
      <c r="M444" s="873"/>
      <c r="N444" s="873"/>
      <c r="O444" s="873"/>
      <c r="P444" s="873"/>
      <c r="Q444" s="873"/>
      <c r="R444" s="873"/>
      <c r="S444" s="873"/>
      <c r="T444" s="873"/>
      <c r="U444" s="873"/>
      <c r="V444" s="873"/>
      <c r="W444" s="873"/>
      <c r="X444" s="873"/>
      <c r="Y444" s="873"/>
    </row>
    <row r="445">
      <c r="A445" s="873"/>
      <c r="B445" s="873"/>
      <c r="C445" s="873"/>
      <c r="D445" s="873"/>
      <c r="E445" s="873"/>
      <c r="F445" s="873"/>
      <c r="G445" s="873"/>
      <c r="H445" s="873"/>
      <c r="I445" s="873"/>
      <c r="J445" s="873"/>
      <c r="K445" s="873"/>
      <c r="L445" s="873"/>
      <c r="M445" s="873"/>
      <c r="N445" s="873"/>
      <c r="O445" s="873"/>
      <c r="P445" s="873"/>
      <c r="Q445" s="873"/>
      <c r="R445" s="873"/>
      <c r="S445" s="873"/>
      <c r="T445" s="873"/>
      <c r="U445" s="873"/>
      <c r="V445" s="873"/>
      <c r="W445" s="873"/>
      <c r="X445" s="873"/>
      <c r="Y445" s="873"/>
    </row>
    <row r="446">
      <c r="A446" s="873"/>
      <c r="B446" s="873"/>
      <c r="C446" s="873"/>
      <c r="D446" s="873"/>
      <c r="E446" s="873"/>
      <c r="F446" s="873"/>
      <c r="G446" s="873"/>
      <c r="H446" s="873"/>
      <c r="I446" s="873"/>
      <c r="J446" s="873"/>
      <c r="K446" s="873"/>
      <c r="L446" s="873"/>
      <c r="M446" s="873"/>
      <c r="N446" s="873"/>
      <c r="O446" s="873"/>
      <c r="P446" s="873"/>
      <c r="Q446" s="873"/>
      <c r="R446" s="873"/>
      <c r="S446" s="873"/>
      <c r="T446" s="873"/>
      <c r="U446" s="873"/>
      <c r="V446" s="873"/>
      <c r="W446" s="873"/>
      <c r="X446" s="873"/>
      <c r="Y446" s="873"/>
    </row>
    <row r="447">
      <c r="A447" s="873"/>
      <c r="B447" s="873"/>
      <c r="C447" s="873"/>
      <c r="D447" s="873"/>
      <c r="E447" s="873"/>
      <c r="F447" s="873"/>
      <c r="G447" s="873"/>
      <c r="H447" s="873"/>
      <c r="I447" s="873"/>
      <c r="J447" s="873"/>
      <c r="K447" s="873"/>
      <c r="L447" s="873"/>
      <c r="M447" s="873"/>
      <c r="N447" s="873"/>
      <c r="O447" s="873"/>
      <c r="P447" s="873"/>
      <c r="Q447" s="873"/>
      <c r="R447" s="873"/>
      <c r="S447" s="873"/>
      <c r="T447" s="873"/>
      <c r="U447" s="873"/>
      <c r="V447" s="873"/>
      <c r="W447" s="873"/>
      <c r="X447" s="873"/>
      <c r="Y447" s="873"/>
    </row>
    <row r="448">
      <c r="A448" s="873"/>
      <c r="B448" s="873"/>
      <c r="C448" s="873"/>
      <c r="D448" s="873"/>
      <c r="E448" s="873"/>
      <c r="F448" s="873"/>
      <c r="G448" s="873"/>
      <c r="H448" s="873"/>
      <c r="I448" s="873"/>
      <c r="J448" s="873"/>
      <c r="K448" s="873"/>
      <c r="L448" s="873"/>
      <c r="M448" s="873"/>
      <c r="N448" s="873"/>
      <c r="O448" s="873"/>
      <c r="P448" s="873"/>
      <c r="Q448" s="873"/>
      <c r="R448" s="873"/>
      <c r="S448" s="873"/>
      <c r="T448" s="873"/>
      <c r="U448" s="873"/>
      <c r="V448" s="873"/>
      <c r="W448" s="873"/>
      <c r="X448" s="873"/>
      <c r="Y448" s="873"/>
    </row>
    <row r="449">
      <c r="A449" s="873"/>
      <c r="B449" s="873"/>
      <c r="C449" s="873"/>
      <c r="D449" s="873"/>
      <c r="E449" s="873"/>
      <c r="F449" s="873"/>
      <c r="G449" s="873"/>
      <c r="H449" s="873"/>
      <c r="I449" s="873"/>
      <c r="J449" s="873"/>
      <c r="K449" s="873"/>
      <c r="L449" s="873"/>
      <c r="M449" s="873"/>
      <c r="N449" s="873"/>
      <c r="O449" s="873"/>
      <c r="P449" s="873"/>
      <c r="Q449" s="873"/>
      <c r="R449" s="873"/>
      <c r="S449" s="873"/>
      <c r="T449" s="873"/>
      <c r="U449" s="873"/>
      <c r="V449" s="873"/>
      <c r="W449" s="873"/>
      <c r="X449" s="873"/>
      <c r="Y449" s="873"/>
    </row>
    <row r="450">
      <c r="A450" s="873"/>
      <c r="B450" s="873"/>
      <c r="C450" s="873"/>
      <c r="D450" s="873"/>
      <c r="E450" s="873"/>
      <c r="F450" s="873"/>
      <c r="G450" s="873"/>
      <c r="H450" s="873"/>
      <c r="I450" s="873"/>
      <c r="J450" s="873"/>
      <c r="K450" s="873"/>
      <c r="L450" s="873"/>
      <c r="M450" s="873"/>
      <c r="N450" s="873"/>
      <c r="O450" s="873"/>
      <c r="P450" s="873"/>
      <c r="Q450" s="873"/>
      <c r="R450" s="873"/>
      <c r="S450" s="873"/>
      <c r="T450" s="873"/>
      <c r="U450" s="873"/>
      <c r="V450" s="873"/>
      <c r="W450" s="873"/>
      <c r="X450" s="873"/>
      <c r="Y450" s="873"/>
    </row>
    <row r="451">
      <c r="A451" s="873"/>
      <c r="B451" s="873"/>
      <c r="C451" s="873"/>
      <c r="D451" s="873"/>
      <c r="E451" s="873"/>
      <c r="F451" s="873"/>
      <c r="G451" s="873"/>
      <c r="H451" s="873"/>
      <c r="I451" s="873"/>
      <c r="J451" s="873"/>
      <c r="K451" s="873"/>
      <c r="L451" s="873"/>
      <c r="M451" s="873"/>
      <c r="N451" s="873"/>
      <c r="O451" s="873"/>
      <c r="P451" s="873"/>
      <c r="Q451" s="873"/>
      <c r="R451" s="873"/>
      <c r="S451" s="873"/>
      <c r="T451" s="873"/>
      <c r="U451" s="873"/>
      <c r="V451" s="873"/>
      <c r="W451" s="873"/>
      <c r="X451" s="873"/>
      <c r="Y451" s="873"/>
    </row>
    <row r="452">
      <c r="A452" s="873"/>
      <c r="B452" s="873"/>
      <c r="C452" s="873"/>
      <c r="D452" s="873"/>
      <c r="E452" s="873"/>
      <c r="F452" s="873"/>
      <c r="G452" s="873"/>
      <c r="H452" s="873"/>
      <c r="I452" s="873"/>
      <c r="J452" s="873"/>
      <c r="K452" s="873"/>
      <c r="L452" s="873"/>
      <c r="M452" s="873"/>
      <c r="N452" s="873"/>
      <c r="O452" s="873"/>
      <c r="P452" s="873"/>
      <c r="Q452" s="873"/>
      <c r="R452" s="873"/>
      <c r="S452" s="873"/>
      <c r="T452" s="873"/>
      <c r="U452" s="873"/>
      <c r="V452" s="873"/>
      <c r="W452" s="873"/>
      <c r="X452" s="873"/>
      <c r="Y452" s="873"/>
    </row>
    <row r="453">
      <c r="A453" s="873"/>
      <c r="B453" s="873"/>
      <c r="C453" s="873"/>
      <c r="D453" s="873"/>
      <c r="E453" s="873"/>
      <c r="F453" s="873"/>
      <c r="G453" s="873"/>
      <c r="H453" s="873"/>
      <c r="I453" s="873"/>
      <c r="J453" s="873"/>
      <c r="K453" s="873"/>
      <c r="L453" s="873"/>
      <c r="M453" s="873"/>
      <c r="N453" s="873"/>
      <c r="O453" s="873"/>
      <c r="P453" s="873"/>
      <c r="Q453" s="873"/>
      <c r="R453" s="873"/>
      <c r="S453" s="873"/>
      <c r="T453" s="873"/>
      <c r="U453" s="873"/>
      <c r="V453" s="873"/>
      <c r="W453" s="873"/>
      <c r="X453" s="873"/>
      <c r="Y453" s="873"/>
    </row>
    <row r="454">
      <c r="A454" s="873"/>
      <c r="B454" s="873"/>
      <c r="C454" s="873"/>
      <c r="D454" s="873"/>
      <c r="E454" s="873"/>
      <c r="F454" s="873"/>
      <c r="G454" s="873"/>
      <c r="H454" s="873"/>
      <c r="I454" s="873"/>
      <c r="J454" s="873"/>
      <c r="K454" s="873"/>
      <c r="L454" s="873"/>
      <c r="M454" s="873"/>
      <c r="N454" s="873"/>
      <c r="O454" s="873"/>
      <c r="P454" s="873"/>
      <c r="Q454" s="873"/>
      <c r="R454" s="873"/>
      <c r="S454" s="873"/>
      <c r="T454" s="873"/>
      <c r="U454" s="873"/>
      <c r="V454" s="873"/>
      <c r="W454" s="873"/>
      <c r="X454" s="873"/>
      <c r="Y454" s="873"/>
    </row>
    <row r="455">
      <c r="A455" s="873"/>
      <c r="B455" s="873"/>
      <c r="C455" s="873"/>
      <c r="D455" s="873"/>
      <c r="E455" s="873"/>
      <c r="F455" s="873"/>
      <c r="G455" s="873"/>
      <c r="H455" s="873"/>
      <c r="I455" s="873"/>
      <c r="J455" s="873"/>
      <c r="K455" s="873"/>
      <c r="L455" s="873"/>
      <c r="M455" s="873"/>
      <c r="N455" s="873"/>
      <c r="O455" s="873"/>
      <c r="P455" s="873"/>
      <c r="Q455" s="873"/>
      <c r="R455" s="873"/>
      <c r="S455" s="873"/>
      <c r="T455" s="873"/>
      <c r="U455" s="873"/>
      <c r="V455" s="873"/>
      <c r="W455" s="873"/>
      <c r="X455" s="873"/>
      <c r="Y455" s="873"/>
    </row>
    <row r="456">
      <c r="A456" s="873"/>
      <c r="B456" s="873"/>
      <c r="C456" s="873"/>
      <c r="D456" s="873"/>
      <c r="E456" s="873"/>
      <c r="F456" s="873"/>
      <c r="G456" s="873"/>
      <c r="H456" s="873"/>
      <c r="I456" s="873"/>
      <c r="J456" s="873"/>
      <c r="K456" s="873"/>
      <c r="L456" s="873"/>
      <c r="M456" s="873"/>
      <c r="N456" s="873"/>
      <c r="O456" s="873"/>
      <c r="P456" s="873"/>
      <c r="Q456" s="873"/>
      <c r="R456" s="873"/>
      <c r="S456" s="873"/>
      <c r="T456" s="873"/>
      <c r="U456" s="873"/>
      <c r="V456" s="873"/>
      <c r="W456" s="873"/>
      <c r="X456" s="873"/>
      <c r="Y456" s="873"/>
    </row>
    <row r="457">
      <c r="A457" s="873"/>
      <c r="B457" s="873"/>
      <c r="C457" s="873"/>
      <c r="D457" s="873"/>
      <c r="E457" s="873"/>
      <c r="F457" s="873"/>
      <c r="G457" s="873"/>
      <c r="H457" s="873"/>
      <c r="I457" s="873"/>
      <c r="J457" s="873"/>
      <c r="K457" s="873"/>
      <c r="L457" s="873"/>
      <c r="M457" s="873"/>
      <c r="N457" s="873"/>
      <c r="O457" s="873"/>
      <c r="P457" s="873"/>
      <c r="Q457" s="873"/>
      <c r="R457" s="873"/>
      <c r="S457" s="873"/>
      <c r="T457" s="873"/>
      <c r="U457" s="873"/>
      <c r="V457" s="873"/>
      <c r="W457" s="873"/>
      <c r="X457" s="873"/>
      <c r="Y457" s="873"/>
    </row>
    <row r="458">
      <c r="A458" s="873"/>
      <c r="B458" s="873"/>
      <c r="C458" s="873"/>
      <c r="D458" s="873"/>
      <c r="E458" s="873"/>
      <c r="F458" s="873"/>
      <c r="G458" s="873"/>
      <c r="H458" s="873"/>
      <c r="I458" s="873"/>
      <c r="J458" s="873"/>
      <c r="K458" s="873"/>
      <c r="L458" s="873"/>
      <c r="M458" s="873"/>
      <c r="N458" s="873"/>
      <c r="O458" s="873"/>
      <c r="P458" s="873"/>
      <c r="Q458" s="873"/>
      <c r="R458" s="873"/>
      <c r="S458" s="873"/>
      <c r="T458" s="873"/>
      <c r="U458" s="873"/>
      <c r="V458" s="873"/>
      <c r="W458" s="873"/>
      <c r="X458" s="873"/>
      <c r="Y458" s="873"/>
    </row>
    <row r="459">
      <c r="A459" s="873"/>
      <c r="B459" s="873"/>
      <c r="C459" s="873"/>
      <c r="D459" s="873"/>
      <c r="E459" s="873"/>
      <c r="F459" s="873"/>
      <c r="G459" s="873"/>
      <c r="H459" s="873"/>
      <c r="I459" s="873"/>
      <c r="J459" s="873"/>
      <c r="K459" s="873"/>
      <c r="L459" s="873"/>
      <c r="M459" s="873"/>
      <c r="N459" s="873"/>
      <c r="O459" s="873"/>
      <c r="P459" s="873"/>
      <c r="Q459" s="873"/>
      <c r="R459" s="873"/>
      <c r="S459" s="873"/>
      <c r="T459" s="873"/>
      <c r="U459" s="873"/>
      <c r="V459" s="873"/>
      <c r="W459" s="873"/>
      <c r="X459" s="873"/>
      <c r="Y459" s="873"/>
    </row>
    <row r="460">
      <c r="A460" s="873"/>
      <c r="B460" s="873"/>
      <c r="C460" s="873"/>
      <c r="D460" s="873"/>
      <c r="E460" s="873"/>
      <c r="F460" s="873"/>
      <c r="G460" s="873"/>
      <c r="H460" s="873"/>
      <c r="I460" s="873"/>
      <c r="J460" s="873"/>
      <c r="K460" s="873"/>
      <c r="L460" s="873"/>
      <c r="M460" s="873"/>
      <c r="N460" s="873"/>
      <c r="O460" s="873"/>
      <c r="P460" s="873"/>
      <c r="Q460" s="873"/>
      <c r="R460" s="873"/>
      <c r="S460" s="873"/>
      <c r="T460" s="873"/>
      <c r="U460" s="873"/>
      <c r="V460" s="873"/>
      <c r="W460" s="873"/>
      <c r="X460" s="873"/>
      <c r="Y460" s="873"/>
    </row>
    <row r="461">
      <c r="A461" s="873"/>
      <c r="B461" s="873"/>
      <c r="C461" s="873"/>
      <c r="D461" s="873"/>
      <c r="E461" s="873"/>
      <c r="F461" s="873"/>
      <c r="G461" s="873"/>
      <c r="H461" s="873"/>
      <c r="I461" s="873"/>
      <c r="J461" s="873"/>
      <c r="K461" s="873"/>
      <c r="L461" s="873"/>
      <c r="M461" s="873"/>
      <c r="N461" s="873"/>
      <c r="O461" s="873"/>
      <c r="P461" s="873"/>
      <c r="Q461" s="873"/>
      <c r="R461" s="873"/>
      <c r="S461" s="873"/>
      <c r="T461" s="873"/>
      <c r="U461" s="873"/>
      <c r="V461" s="873"/>
      <c r="W461" s="873"/>
      <c r="X461" s="873"/>
      <c r="Y461" s="873"/>
    </row>
    <row r="462">
      <c r="A462" s="873"/>
      <c r="B462" s="873"/>
      <c r="C462" s="873"/>
      <c r="D462" s="873"/>
      <c r="E462" s="873"/>
      <c r="F462" s="873"/>
      <c r="G462" s="873"/>
      <c r="H462" s="873"/>
      <c r="I462" s="873"/>
      <c r="J462" s="873"/>
      <c r="K462" s="873"/>
      <c r="L462" s="873"/>
      <c r="M462" s="873"/>
      <c r="N462" s="873"/>
      <c r="O462" s="873"/>
      <c r="P462" s="873"/>
      <c r="Q462" s="873"/>
      <c r="R462" s="873"/>
      <c r="S462" s="873"/>
      <c r="T462" s="873"/>
      <c r="U462" s="873"/>
      <c r="V462" s="873"/>
      <c r="W462" s="873"/>
      <c r="X462" s="873"/>
      <c r="Y462" s="873"/>
    </row>
    <row r="463">
      <c r="A463" s="873"/>
      <c r="B463" s="873"/>
      <c r="C463" s="873"/>
      <c r="D463" s="873"/>
      <c r="E463" s="873"/>
      <c r="F463" s="873"/>
      <c r="G463" s="873"/>
      <c r="H463" s="873"/>
      <c r="I463" s="873"/>
      <c r="J463" s="873"/>
      <c r="K463" s="873"/>
      <c r="L463" s="873"/>
      <c r="M463" s="873"/>
      <c r="N463" s="873"/>
      <c r="O463" s="873"/>
      <c r="P463" s="873"/>
      <c r="Q463" s="873"/>
      <c r="R463" s="873"/>
      <c r="S463" s="873"/>
      <c r="T463" s="873"/>
      <c r="U463" s="873"/>
      <c r="V463" s="873"/>
      <c r="W463" s="873"/>
      <c r="X463" s="873"/>
      <c r="Y463" s="873"/>
    </row>
    <row r="464">
      <c r="A464" s="873"/>
      <c r="B464" s="873"/>
      <c r="C464" s="873"/>
      <c r="D464" s="873"/>
      <c r="E464" s="873"/>
      <c r="F464" s="873"/>
      <c r="G464" s="873"/>
      <c r="H464" s="873"/>
      <c r="I464" s="873"/>
      <c r="J464" s="873"/>
      <c r="K464" s="873"/>
      <c r="L464" s="873"/>
      <c r="M464" s="873"/>
      <c r="N464" s="873"/>
      <c r="O464" s="873"/>
      <c r="P464" s="873"/>
      <c r="Q464" s="873"/>
      <c r="R464" s="873"/>
      <c r="S464" s="873"/>
      <c r="T464" s="873"/>
      <c r="U464" s="873"/>
      <c r="V464" s="873"/>
      <c r="W464" s="873"/>
      <c r="X464" s="873"/>
      <c r="Y464" s="873"/>
    </row>
    <row r="465">
      <c r="A465" s="873"/>
      <c r="B465" s="873"/>
      <c r="C465" s="873"/>
      <c r="D465" s="873"/>
      <c r="E465" s="873"/>
      <c r="F465" s="873"/>
      <c r="G465" s="873"/>
      <c r="H465" s="873"/>
      <c r="I465" s="873"/>
      <c r="J465" s="873"/>
      <c r="K465" s="873"/>
      <c r="L465" s="873"/>
      <c r="M465" s="873"/>
      <c r="N465" s="873"/>
      <c r="O465" s="873"/>
      <c r="P465" s="873"/>
      <c r="Q465" s="873"/>
      <c r="R465" s="873"/>
      <c r="S465" s="873"/>
      <c r="T465" s="873"/>
      <c r="U465" s="873"/>
      <c r="V465" s="873"/>
      <c r="W465" s="873"/>
      <c r="X465" s="873"/>
      <c r="Y465" s="873"/>
    </row>
    <row r="466">
      <c r="A466" s="873"/>
      <c r="B466" s="873"/>
      <c r="C466" s="873"/>
      <c r="D466" s="873"/>
      <c r="E466" s="873"/>
      <c r="F466" s="873"/>
      <c r="G466" s="873"/>
      <c r="H466" s="873"/>
      <c r="I466" s="873"/>
      <c r="J466" s="873"/>
      <c r="K466" s="873"/>
      <c r="L466" s="873"/>
      <c r="M466" s="873"/>
      <c r="N466" s="873"/>
      <c r="O466" s="873"/>
      <c r="P466" s="873"/>
      <c r="Q466" s="873"/>
      <c r="R466" s="873"/>
      <c r="S466" s="873"/>
      <c r="T466" s="873"/>
      <c r="U466" s="873"/>
      <c r="V466" s="873"/>
      <c r="W466" s="873"/>
      <c r="X466" s="873"/>
      <c r="Y466" s="873"/>
    </row>
    <row r="467">
      <c r="A467" s="873"/>
      <c r="B467" s="873"/>
      <c r="C467" s="873"/>
      <c r="D467" s="873"/>
      <c r="E467" s="873"/>
      <c r="F467" s="873"/>
      <c r="G467" s="873"/>
      <c r="H467" s="873"/>
      <c r="I467" s="873"/>
      <c r="J467" s="873"/>
      <c r="K467" s="873"/>
      <c r="L467" s="873"/>
      <c r="M467" s="873"/>
      <c r="N467" s="873"/>
      <c r="O467" s="873"/>
      <c r="P467" s="873"/>
      <c r="Q467" s="873"/>
      <c r="R467" s="873"/>
      <c r="S467" s="873"/>
      <c r="T467" s="873"/>
      <c r="U467" s="873"/>
      <c r="V467" s="873"/>
      <c r="W467" s="873"/>
      <c r="X467" s="873"/>
      <c r="Y467" s="873"/>
    </row>
    <row r="468">
      <c r="A468" s="873"/>
      <c r="B468" s="873"/>
      <c r="C468" s="873"/>
      <c r="D468" s="873"/>
      <c r="E468" s="873"/>
      <c r="F468" s="873"/>
      <c r="G468" s="873"/>
      <c r="H468" s="873"/>
      <c r="I468" s="873"/>
      <c r="J468" s="873"/>
      <c r="K468" s="873"/>
      <c r="L468" s="873"/>
      <c r="M468" s="873"/>
      <c r="N468" s="873"/>
      <c r="O468" s="873"/>
      <c r="P468" s="873"/>
      <c r="Q468" s="873"/>
      <c r="R468" s="873"/>
      <c r="S468" s="873"/>
      <c r="T468" s="873"/>
      <c r="U468" s="873"/>
      <c r="V468" s="873"/>
      <c r="W468" s="873"/>
      <c r="X468" s="873"/>
      <c r="Y468" s="873"/>
    </row>
    <row r="469">
      <c r="A469" s="873"/>
      <c r="B469" s="873"/>
      <c r="C469" s="873"/>
      <c r="D469" s="873"/>
      <c r="E469" s="873"/>
      <c r="F469" s="873"/>
      <c r="G469" s="873"/>
      <c r="H469" s="873"/>
      <c r="I469" s="873"/>
      <c r="J469" s="873"/>
      <c r="K469" s="873"/>
      <c r="L469" s="873"/>
      <c r="M469" s="873"/>
      <c r="N469" s="873"/>
      <c r="O469" s="873"/>
      <c r="P469" s="873"/>
      <c r="Q469" s="873"/>
      <c r="R469" s="873"/>
      <c r="S469" s="873"/>
      <c r="T469" s="873"/>
      <c r="U469" s="873"/>
      <c r="V469" s="873"/>
      <c r="W469" s="873"/>
      <c r="X469" s="873"/>
      <c r="Y469" s="873"/>
    </row>
    <row r="470">
      <c r="A470" s="873"/>
      <c r="B470" s="873"/>
      <c r="C470" s="873"/>
      <c r="D470" s="873"/>
      <c r="E470" s="873"/>
      <c r="F470" s="873"/>
      <c r="G470" s="873"/>
      <c r="H470" s="873"/>
      <c r="I470" s="873"/>
      <c r="J470" s="873"/>
      <c r="K470" s="873"/>
      <c r="L470" s="873"/>
      <c r="M470" s="873"/>
      <c r="N470" s="873"/>
      <c r="O470" s="873"/>
      <c r="P470" s="873"/>
      <c r="Q470" s="873"/>
      <c r="R470" s="873"/>
      <c r="S470" s="873"/>
      <c r="T470" s="873"/>
      <c r="U470" s="873"/>
      <c r="V470" s="873"/>
      <c r="W470" s="873"/>
      <c r="X470" s="873"/>
      <c r="Y470" s="873"/>
    </row>
    <row r="471">
      <c r="A471" s="873"/>
      <c r="B471" s="873"/>
      <c r="C471" s="873"/>
      <c r="D471" s="873"/>
      <c r="E471" s="873"/>
      <c r="F471" s="873"/>
      <c r="G471" s="873"/>
      <c r="H471" s="873"/>
      <c r="I471" s="873"/>
      <c r="J471" s="873"/>
      <c r="K471" s="873"/>
      <c r="L471" s="873"/>
      <c r="M471" s="873"/>
      <c r="N471" s="873"/>
      <c r="O471" s="873"/>
      <c r="P471" s="873"/>
      <c r="Q471" s="873"/>
      <c r="R471" s="873"/>
      <c r="S471" s="873"/>
      <c r="T471" s="873"/>
      <c r="U471" s="873"/>
      <c r="V471" s="873"/>
      <c r="W471" s="873"/>
      <c r="X471" s="873"/>
      <c r="Y471" s="873"/>
    </row>
    <row r="472">
      <c r="A472" s="873"/>
      <c r="B472" s="873"/>
      <c r="C472" s="873"/>
      <c r="D472" s="873"/>
      <c r="E472" s="873"/>
      <c r="F472" s="873"/>
      <c r="G472" s="873"/>
      <c r="H472" s="873"/>
      <c r="I472" s="873"/>
      <c r="J472" s="873"/>
      <c r="K472" s="873"/>
      <c r="L472" s="873"/>
      <c r="M472" s="873"/>
      <c r="N472" s="873"/>
      <c r="O472" s="873"/>
      <c r="P472" s="873"/>
      <c r="Q472" s="873"/>
      <c r="R472" s="873"/>
      <c r="S472" s="873"/>
      <c r="T472" s="873"/>
      <c r="U472" s="873"/>
      <c r="V472" s="873"/>
      <c r="W472" s="873"/>
      <c r="X472" s="873"/>
      <c r="Y472" s="873"/>
    </row>
    <row r="473">
      <c r="A473" s="873"/>
      <c r="B473" s="873"/>
      <c r="C473" s="873"/>
      <c r="D473" s="873"/>
      <c r="E473" s="873"/>
      <c r="F473" s="873"/>
      <c r="G473" s="873"/>
      <c r="H473" s="873"/>
      <c r="I473" s="873"/>
      <c r="J473" s="873"/>
      <c r="K473" s="873"/>
      <c r="L473" s="873"/>
      <c r="M473" s="873"/>
      <c r="N473" s="873"/>
      <c r="O473" s="873"/>
      <c r="P473" s="873"/>
      <c r="Q473" s="873"/>
      <c r="R473" s="873"/>
      <c r="S473" s="873"/>
      <c r="T473" s="873"/>
      <c r="U473" s="873"/>
      <c r="V473" s="873"/>
      <c r="W473" s="873"/>
      <c r="X473" s="873"/>
      <c r="Y473" s="873"/>
    </row>
    <row r="474">
      <c r="A474" s="873"/>
      <c r="B474" s="873"/>
      <c r="C474" s="873"/>
      <c r="D474" s="873"/>
      <c r="E474" s="873"/>
      <c r="F474" s="873"/>
      <c r="G474" s="873"/>
      <c r="H474" s="873"/>
      <c r="I474" s="873"/>
      <c r="J474" s="873"/>
      <c r="K474" s="873"/>
      <c r="L474" s="873"/>
      <c r="M474" s="873"/>
      <c r="N474" s="873"/>
      <c r="O474" s="873"/>
      <c r="P474" s="873"/>
      <c r="Q474" s="873"/>
      <c r="R474" s="873"/>
      <c r="S474" s="873"/>
      <c r="T474" s="873"/>
      <c r="U474" s="873"/>
      <c r="V474" s="873"/>
      <c r="W474" s="873"/>
      <c r="X474" s="873"/>
      <c r="Y474" s="873"/>
    </row>
    <row r="475">
      <c r="A475" s="873"/>
      <c r="B475" s="873"/>
      <c r="C475" s="873"/>
      <c r="D475" s="873"/>
      <c r="E475" s="873"/>
      <c r="F475" s="873"/>
      <c r="G475" s="873"/>
      <c r="H475" s="873"/>
      <c r="I475" s="873"/>
      <c r="J475" s="873"/>
      <c r="K475" s="873"/>
      <c r="L475" s="873"/>
      <c r="M475" s="873"/>
      <c r="N475" s="873"/>
      <c r="O475" s="873"/>
      <c r="P475" s="873"/>
      <c r="Q475" s="873"/>
      <c r="R475" s="873"/>
      <c r="S475" s="873"/>
      <c r="T475" s="873"/>
      <c r="U475" s="873"/>
      <c r="V475" s="873"/>
      <c r="W475" s="873"/>
      <c r="X475" s="873"/>
      <c r="Y475" s="873"/>
    </row>
    <row r="476">
      <c r="A476" s="873"/>
      <c r="B476" s="873"/>
      <c r="C476" s="873"/>
      <c r="D476" s="873"/>
      <c r="E476" s="873"/>
      <c r="F476" s="873"/>
      <c r="G476" s="873"/>
      <c r="H476" s="873"/>
      <c r="I476" s="873"/>
      <c r="J476" s="873"/>
      <c r="K476" s="873"/>
      <c r="L476" s="873"/>
      <c r="M476" s="873"/>
      <c r="N476" s="873"/>
      <c r="O476" s="873"/>
      <c r="P476" s="873"/>
      <c r="Q476" s="873"/>
      <c r="R476" s="873"/>
      <c r="S476" s="873"/>
      <c r="T476" s="873"/>
      <c r="U476" s="873"/>
      <c r="V476" s="873"/>
      <c r="W476" s="873"/>
      <c r="X476" s="873"/>
      <c r="Y476" s="873"/>
    </row>
    <row r="477">
      <c r="A477" s="873"/>
      <c r="B477" s="873"/>
      <c r="C477" s="873"/>
      <c r="D477" s="873"/>
      <c r="E477" s="873"/>
      <c r="F477" s="873"/>
      <c r="G477" s="873"/>
      <c r="H477" s="873"/>
      <c r="I477" s="873"/>
      <c r="J477" s="873"/>
      <c r="K477" s="873"/>
      <c r="L477" s="873"/>
      <c r="M477" s="873"/>
      <c r="N477" s="873"/>
      <c r="O477" s="873"/>
      <c r="P477" s="873"/>
      <c r="Q477" s="873"/>
      <c r="R477" s="873"/>
      <c r="S477" s="873"/>
      <c r="T477" s="873"/>
      <c r="U477" s="873"/>
      <c r="V477" s="873"/>
      <c r="W477" s="873"/>
      <c r="X477" s="873"/>
      <c r="Y477" s="873"/>
    </row>
    <row r="478">
      <c r="A478" s="873"/>
      <c r="B478" s="873"/>
      <c r="C478" s="873"/>
      <c r="D478" s="873"/>
      <c r="E478" s="873"/>
      <c r="F478" s="873"/>
      <c r="G478" s="873"/>
      <c r="H478" s="873"/>
      <c r="I478" s="873"/>
      <c r="J478" s="873"/>
      <c r="K478" s="873"/>
      <c r="L478" s="873"/>
      <c r="M478" s="873"/>
      <c r="N478" s="873"/>
      <c r="O478" s="873"/>
      <c r="P478" s="873"/>
      <c r="Q478" s="873"/>
      <c r="R478" s="873"/>
      <c r="S478" s="873"/>
      <c r="T478" s="873"/>
      <c r="U478" s="873"/>
      <c r="V478" s="873"/>
      <c r="W478" s="873"/>
      <c r="X478" s="873"/>
      <c r="Y478" s="873"/>
    </row>
    <row r="479">
      <c r="A479" s="873"/>
      <c r="B479" s="873"/>
      <c r="C479" s="873"/>
      <c r="D479" s="873"/>
      <c r="E479" s="873"/>
      <c r="F479" s="873"/>
      <c r="G479" s="873"/>
      <c r="H479" s="873"/>
      <c r="I479" s="873"/>
      <c r="J479" s="873"/>
      <c r="K479" s="873"/>
      <c r="L479" s="873"/>
      <c r="M479" s="873"/>
      <c r="N479" s="873"/>
      <c r="O479" s="873"/>
      <c r="P479" s="873"/>
      <c r="Q479" s="873"/>
      <c r="R479" s="873"/>
      <c r="S479" s="873"/>
      <c r="T479" s="873"/>
      <c r="U479" s="873"/>
      <c r="V479" s="873"/>
      <c r="W479" s="873"/>
      <c r="X479" s="873"/>
      <c r="Y479" s="873"/>
    </row>
    <row r="480">
      <c r="A480" s="873"/>
      <c r="B480" s="873"/>
      <c r="C480" s="873"/>
      <c r="D480" s="873"/>
      <c r="E480" s="873"/>
      <c r="F480" s="873"/>
      <c r="G480" s="873"/>
      <c r="H480" s="873"/>
      <c r="I480" s="873"/>
      <c r="J480" s="873"/>
      <c r="K480" s="873"/>
      <c r="L480" s="873"/>
      <c r="M480" s="873"/>
      <c r="N480" s="873"/>
      <c r="O480" s="873"/>
      <c r="P480" s="873"/>
      <c r="Q480" s="873"/>
      <c r="R480" s="873"/>
      <c r="S480" s="873"/>
      <c r="T480" s="873"/>
      <c r="U480" s="873"/>
      <c r="V480" s="873"/>
      <c r="W480" s="873"/>
      <c r="X480" s="873"/>
      <c r="Y480" s="873"/>
    </row>
    <row r="481">
      <c r="A481" s="873"/>
      <c r="B481" s="873"/>
      <c r="C481" s="873"/>
      <c r="D481" s="873"/>
      <c r="E481" s="873"/>
      <c r="F481" s="873"/>
      <c r="G481" s="873"/>
      <c r="H481" s="873"/>
      <c r="I481" s="873"/>
      <c r="J481" s="873"/>
      <c r="K481" s="873"/>
      <c r="L481" s="873"/>
      <c r="M481" s="873"/>
      <c r="N481" s="873"/>
      <c r="O481" s="873"/>
      <c r="P481" s="873"/>
      <c r="Q481" s="873"/>
      <c r="R481" s="873"/>
      <c r="S481" s="873"/>
      <c r="T481" s="873"/>
      <c r="U481" s="873"/>
      <c r="V481" s="873"/>
      <c r="W481" s="873"/>
      <c r="X481" s="873"/>
      <c r="Y481" s="873"/>
    </row>
    <row r="482">
      <c r="A482" s="873"/>
      <c r="B482" s="873"/>
      <c r="C482" s="873"/>
      <c r="D482" s="873"/>
      <c r="E482" s="873"/>
      <c r="F482" s="873"/>
      <c r="G482" s="873"/>
      <c r="H482" s="873"/>
      <c r="I482" s="873"/>
      <c r="J482" s="873"/>
      <c r="K482" s="873"/>
      <c r="L482" s="873"/>
      <c r="M482" s="873"/>
      <c r="N482" s="873"/>
      <c r="O482" s="873"/>
      <c r="P482" s="873"/>
      <c r="Q482" s="873"/>
      <c r="R482" s="873"/>
      <c r="S482" s="873"/>
      <c r="T482" s="873"/>
      <c r="U482" s="873"/>
      <c r="V482" s="873"/>
      <c r="W482" s="873"/>
      <c r="X482" s="873"/>
      <c r="Y482" s="873"/>
    </row>
    <row r="483">
      <c r="A483" s="873"/>
      <c r="B483" s="873"/>
      <c r="C483" s="873"/>
      <c r="D483" s="873"/>
      <c r="E483" s="873"/>
      <c r="F483" s="873"/>
      <c r="G483" s="873"/>
      <c r="H483" s="873"/>
      <c r="I483" s="873"/>
      <c r="J483" s="873"/>
      <c r="K483" s="873"/>
      <c r="L483" s="873"/>
      <c r="M483" s="873"/>
      <c r="N483" s="873"/>
      <c r="O483" s="873"/>
      <c r="P483" s="873"/>
      <c r="Q483" s="873"/>
      <c r="R483" s="873"/>
      <c r="S483" s="873"/>
      <c r="T483" s="873"/>
      <c r="U483" s="873"/>
      <c r="V483" s="873"/>
      <c r="W483" s="873"/>
      <c r="X483" s="873"/>
      <c r="Y483" s="873"/>
    </row>
    <row r="484">
      <c r="A484" s="873"/>
      <c r="B484" s="873"/>
      <c r="C484" s="873"/>
      <c r="D484" s="873"/>
      <c r="E484" s="873"/>
      <c r="F484" s="873"/>
      <c r="G484" s="873"/>
      <c r="H484" s="873"/>
      <c r="I484" s="873"/>
      <c r="J484" s="873"/>
      <c r="K484" s="873"/>
      <c r="L484" s="873"/>
      <c r="M484" s="873"/>
      <c r="N484" s="873"/>
      <c r="O484" s="873"/>
      <c r="P484" s="873"/>
      <c r="Q484" s="873"/>
      <c r="R484" s="873"/>
      <c r="S484" s="873"/>
      <c r="T484" s="873"/>
      <c r="U484" s="873"/>
      <c r="V484" s="873"/>
      <c r="W484" s="873"/>
      <c r="X484" s="873"/>
      <c r="Y484" s="873"/>
    </row>
    <row r="485">
      <c r="A485" s="873"/>
      <c r="B485" s="873"/>
      <c r="C485" s="873"/>
      <c r="D485" s="873"/>
      <c r="E485" s="873"/>
      <c r="F485" s="873"/>
      <c r="G485" s="873"/>
      <c r="H485" s="873"/>
      <c r="I485" s="873"/>
      <c r="J485" s="873"/>
      <c r="K485" s="873"/>
      <c r="L485" s="873"/>
      <c r="M485" s="873"/>
      <c r="N485" s="873"/>
      <c r="O485" s="873"/>
      <c r="P485" s="873"/>
      <c r="Q485" s="873"/>
      <c r="R485" s="873"/>
      <c r="S485" s="873"/>
      <c r="T485" s="873"/>
      <c r="U485" s="873"/>
      <c r="V485" s="873"/>
      <c r="W485" s="873"/>
      <c r="X485" s="873"/>
      <c r="Y485" s="873"/>
    </row>
    <row r="486">
      <c r="A486" s="873"/>
      <c r="B486" s="873"/>
      <c r="C486" s="873"/>
      <c r="D486" s="873"/>
      <c r="E486" s="873"/>
      <c r="F486" s="873"/>
      <c r="G486" s="873"/>
      <c r="H486" s="873"/>
      <c r="I486" s="873"/>
      <c r="J486" s="873"/>
      <c r="K486" s="873"/>
      <c r="L486" s="873"/>
      <c r="M486" s="873"/>
      <c r="N486" s="873"/>
      <c r="O486" s="873"/>
      <c r="P486" s="873"/>
      <c r="Q486" s="873"/>
      <c r="R486" s="873"/>
      <c r="S486" s="873"/>
      <c r="T486" s="873"/>
      <c r="U486" s="873"/>
      <c r="V486" s="873"/>
      <c r="W486" s="873"/>
      <c r="X486" s="873"/>
      <c r="Y486" s="873"/>
    </row>
    <row r="487">
      <c r="A487" s="873"/>
      <c r="B487" s="873"/>
      <c r="C487" s="873"/>
      <c r="D487" s="873"/>
      <c r="E487" s="873"/>
      <c r="F487" s="873"/>
      <c r="G487" s="873"/>
      <c r="H487" s="873"/>
      <c r="I487" s="873"/>
      <c r="J487" s="873"/>
      <c r="K487" s="873"/>
      <c r="L487" s="873"/>
      <c r="M487" s="873"/>
      <c r="N487" s="873"/>
      <c r="O487" s="873"/>
      <c r="P487" s="873"/>
      <c r="Q487" s="873"/>
      <c r="R487" s="873"/>
      <c r="S487" s="873"/>
      <c r="T487" s="873"/>
      <c r="U487" s="873"/>
      <c r="V487" s="873"/>
      <c r="W487" s="873"/>
      <c r="X487" s="873"/>
      <c r="Y487" s="873"/>
    </row>
    <row r="488">
      <c r="A488" s="873"/>
      <c r="B488" s="873"/>
      <c r="C488" s="873"/>
      <c r="D488" s="873"/>
      <c r="E488" s="873"/>
      <c r="F488" s="873"/>
      <c r="G488" s="873"/>
      <c r="H488" s="873"/>
      <c r="I488" s="873"/>
      <c r="J488" s="873"/>
      <c r="K488" s="873"/>
      <c r="L488" s="873"/>
      <c r="M488" s="873"/>
      <c r="N488" s="873"/>
      <c r="O488" s="873"/>
      <c r="P488" s="873"/>
      <c r="Q488" s="873"/>
      <c r="R488" s="873"/>
      <c r="S488" s="873"/>
      <c r="T488" s="873"/>
      <c r="U488" s="873"/>
      <c r="V488" s="873"/>
      <c r="W488" s="873"/>
      <c r="X488" s="873"/>
      <c r="Y488" s="873"/>
    </row>
    <row r="489">
      <c r="A489" s="873"/>
      <c r="B489" s="873"/>
      <c r="C489" s="873"/>
      <c r="D489" s="873"/>
      <c r="E489" s="873"/>
      <c r="F489" s="873"/>
      <c r="G489" s="873"/>
      <c r="H489" s="873"/>
      <c r="I489" s="873"/>
      <c r="J489" s="873"/>
      <c r="K489" s="873"/>
      <c r="L489" s="873"/>
      <c r="M489" s="873"/>
      <c r="N489" s="873"/>
      <c r="O489" s="873"/>
      <c r="P489" s="873"/>
      <c r="Q489" s="873"/>
      <c r="R489" s="873"/>
      <c r="S489" s="873"/>
      <c r="T489" s="873"/>
      <c r="U489" s="873"/>
      <c r="V489" s="873"/>
      <c r="W489" s="873"/>
      <c r="X489" s="873"/>
      <c r="Y489" s="873"/>
    </row>
    <row r="490">
      <c r="A490" s="873"/>
      <c r="B490" s="873"/>
      <c r="C490" s="873"/>
      <c r="D490" s="873"/>
      <c r="E490" s="873"/>
      <c r="F490" s="873"/>
      <c r="G490" s="873"/>
      <c r="H490" s="873"/>
      <c r="I490" s="873"/>
      <c r="J490" s="873"/>
      <c r="K490" s="873"/>
      <c r="L490" s="873"/>
      <c r="M490" s="873"/>
      <c r="N490" s="873"/>
      <c r="O490" s="873"/>
      <c r="P490" s="873"/>
      <c r="Q490" s="873"/>
      <c r="R490" s="873"/>
      <c r="S490" s="873"/>
      <c r="T490" s="873"/>
      <c r="U490" s="873"/>
      <c r="V490" s="873"/>
      <c r="W490" s="873"/>
      <c r="X490" s="873"/>
      <c r="Y490" s="873"/>
    </row>
    <row r="491">
      <c r="A491" s="873"/>
      <c r="B491" s="873"/>
      <c r="C491" s="873"/>
      <c r="D491" s="873"/>
      <c r="E491" s="873"/>
      <c r="F491" s="873"/>
      <c r="G491" s="873"/>
      <c r="H491" s="873"/>
      <c r="I491" s="873"/>
      <c r="J491" s="873"/>
      <c r="K491" s="873"/>
      <c r="L491" s="873"/>
      <c r="M491" s="873"/>
      <c r="N491" s="873"/>
      <c r="O491" s="873"/>
      <c r="P491" s="873"/>
      <c r="Q491" s="873"/>
      <c r="R491" s="873"/>
      <c r="S491" s="873"/>
      <c r="T491" s="873"/>
      <c r="U491" s="873"/>
      <c r="V491" s="873"/>
      <c r="W491" s="873"/>
      <c r="X491" s="873"/>
      <c r="Y491" s="873"/>
    </row>
    <row r="492">
      <c r="A492" s="873"/>
      <c r="B492" s="873"/>
      <c r="C492" s="873"/>
      <c r="D492" s="873"/>
      <c r="E492" s="873"/>
      <c r="F492" s="873"/>
      <c r="G492" s="873"/>
      <c r="H492" s="873"/>
      <c r="I492" s="873"/>
      <c r="J492" s="873"/>
      <c r="K492" s="873"/>
      <c r="L492" s="873"/>
      <c r="M492" s="873"/>
      <c r="N492" s="873"/>
      <c r="O492" s="873"/>
      <c r="P492" s="873"/>
      <c r="Q492" s="873"/>
      <c r="R492" s="873"/>
      <c r="S492" s="873"/>
      <c r="T492" s="873"/>
      <c r="U492" s="873"/>
      <c r="V492" s="873"/>
      <c r="W492" s="873"/>
      <c r="X492" s="873"/>
      <c r="Y492" s="873"/>
    </row>
    <row r="493">
      <c r="A493" s="873"/>
      <c r="B493" s="873"/>
      <c r="C493" s="873"/>
      <c r="D493" s="873"/>
      <c r="E493" s="873"/>
      <c r="F493" s="873"/>
      <c r="G493" s="873"/>
      <c r="H493" s="873"/>
      <c r="I493" s="873"/>
      <c r="J493" s="873"/>
      <c r="K493" s="873"/>
      <c r="L493" s="873"/>
      <c r="M493" s="873"/>
      <c r="N493" s="873"/>
      <c r="O493" s="873"/>
      <c r="P493" s="873"/>
      <c r="Q493" s="873"/>
      <c r="R493" s="873"/>
      <c r="S493" s="873"/>
      <c r="T493" s="873"/>
      <c r="U493" s="873"/>
      <c r="V493" s="873"/>
      <c r="W493" s="873"/>
      <c r="X493" s="873"/>
      <c r="Y493" s="873"/>
    </row>
    <row r="494">
      <c r="A494" s="873"/>
      <c r="B494" s="873"/>
      <c r="C494" s="873"/>
      <c r="D494" s="873"/>
      <c r="E494" s="873"/>
      <c r="F494" s="873"/>
      <c r="G494" s="873"/>
      <c r="H494" s="873"/>
      <c r="I494" s="873"/>
      <c r="J494" s="873"/>
      <c r="K494" s="873"/>
      <c r="L494" s="873"/>
      <c r="M494" s="873"/>
      <c r="N494" s="873"/>
      <c r="O494" s="873"/>
      <c r="P494" s="873"/>
      <c r="Q494" s="873"/>
      <c r="R494" s="873"/>
      <c r="S494" s="873"/>
      <c r="T494" s="873"/>
      <c r="U494" s="873"/>
      <c r="V494" s="873"/>
      <c r="W494" s="873"/>
      <c r="X494" s="873"/>
      <c r="Y494" s="873"/>
    </row>
    <row r="495">
      <c r="A495" s="873"/>
      <c r="B495" s="873"/>
      <c r="C495" s="873"/>
      <c r="D495" s="873"/>
      <c r="E495" s="873"/>
      <c r="F495" s="873"/>
      <c r="G495" s="873"/>
      <c r="H495" s="873"/>
      <c r="I495" s="873"/>
      <c r="J495" s="873"/>
      <c r="K495" s="873"/>
      <c r="L495" s="873"/>
      <c r="M495" s="873"/>
      <c r="N495" s="873"/>
      <c r="O495" s="873"/>
      <c r="P495" s="873"/>
      <c r="Q495" s="873"/>
      <c r="R495" s="873"/>
      <c r="S495" s="873"/>
      <c r="T495" s="873"/>
      <c r="U495" s="873"/>
      <c r="V495" s="873"/>
      <c r="W495" s="873"/>
      <c r="X495" s="873"/>
      <c r="Y495" s="873"/>
    </row>
    <row r="496">
      <c r="A496" s="873"/>
      <c r="B496" s="873"/>
      <c r="C496" s="873"/>
      <c r="D496" s="873"/>
      <c r="E496" s="873"/>
      <c r="F496" s="873"/>
      <c r="G496" s="873"/>
      <c r="H496" s="873"/>
      <c r="I496" s="873"/>
      <c r="J496" s="873"/>
      <c r="K496" s="873"/>
      <c r="L496" s="873"/>
      <c r="M496" s="873"/>
      <c r="N496" s="873"/>
      <c r="O496" s="873"/>
      <c r="P496" s="873"/>
      <c r="Q496" s="873"/>
      <c r="R496" s="873"/>
      <c r="S496" s="873"/>
      <c r="T496" s="873"/>
      <c r="U496" s="873"/>
      <c r="V496" s="873"/>
      <c r="W496" s="873"/>
      <c r="X496" s="873"/>
      <c r="Y496" s="873"/>
    </row>
    <row r="497">
      <c r="A497" s="873"/>
      <c r="B497" s="873"/>
      <c r="C497" s="873"/>
      <c r="D497" s="873"/>
      <c r="E497" s="873"/>
      <c r="F497" s="873"/>
      <c r="G497" s="873"/>
      <c r="H497" s="873"/>
      <c r="I497" s="873"/>
      <c r="J497" s="873"/>
      <c r="K497" s="873"/>
      <c r="L497" s="873"/>
      <c r="M497" s="873"/>
      <c r="N497" s="873"/>
      <c r="O497" s="873"/>
      <c r="P497" s="873"/>
      <c r="Q497" s="873"/>
      <c r="R497" s="873"/>
      <c r="S497" s="873"/>
      <c r="T497" s="873"/>
      <c r="U497" s="873"/>
      <c r="V497" s="873"/>
      <c r="W497" s="873"/>
      <c r="X497" s="873"/>
      <c r="Y497" s="873"/>
    </row>
    <row r="498">
      <c r="A498" s="873"/>
      <c r="B498" s="873"/>
      <c r="C498" s="873"/>
      <c r="D498" s="873"/>
      <c r="E498" s="873"/>
      <c r="F498" s="873"/>
      <c r="G498" s="873"/>
      <c r="H498" s="873"/>
      <c r="I498" s="873"/>
      <c r="J498" s="873"/>
      <c r="K498" s="873"/>
      <c r="L498" s="873"/>
      <c r="M498" s="873"/>
      <c r="N498" s="873"/>
      <c r="O498" s="873"/>
      <c r="P498" s="873"/>
      <c r="Q498" s="873"/>
      <c r="R498" s="873"/>
      <c r="S498" s="873"/>
      <c r="T498" s="873"/>
      <c r="U498" s="873"/>
      <c r="V498" s="873"/>
      <c r="W498" s="873"/>
      <c r="X498" s="873"/>
      <c r="Y498" s="873"/>
    </row>
    <row r="499">
      <c r="A499" s="873"/>
      <c r="B499" s="873"/>
      <c r="C499" s="873"/>
      <c r="D499" s="873"/>
      <c r="E499" s="873"/>
      <c r="F499" s="873"/>
      <c r="G499" s="873"/>
      <c r="H499" s="873"/>
      <c r="I499" s="873"/>
      <c r="J499" s="873"/>
      <c r="K499" s="873"/>
      <c r="L499" s="873"/>
      <c r="M499" s="873"/>
      <c r="N499" s="873"/>
      <c r="O499" s="873"/>
      <c r="P499" s="873"/>
      <c r="Q499" s="873"/>
      <c r="R499" s="873"/>
      <c r="S499" s="873"/>
      <c r="T499" s="873"/>
      <c r="U499" s="873"/>
      <c r="V499" s="873"/>
      <c r="W499" s="873"/>
      <c r="X499" s="873"/>
      <c r="Y499" s="873"/>
    </row>
    <row r="500">
      <c r="A500" s="873"/>
      <c r="B500" s="873"/>
      <c r="C500" s="873"/>
      <c r="D500" s="873"/>
      <c r="E500" s="873"/>
      <c r="F500" s="873"/>
      <c r="G500" s="873"/>
      <c r="H500" s="873"/>
      <c r="I500" s="873"/>
      <c r="J500" s="873"/>
      <c r="K500" s="873"/>
      <c r="L500" s="873"/>
      <c r="M500" s="873"/>
      <c r="N500" s="873"/>
      <c r="O500" s="873"/>
      <c r="P500" s="873"/>
      <c r="Q500" s="873"/>
      <c r="R500" s="873"/>
      <c r="S500" s="873"/>
      <c r="T500" s="873"/>
      <c r="U500" s="873"/>
      <c r="V500" s="873"/>
      <c r="W500" s="873"/>
      <c r="X500" s="873"/>
      <c r="Y500" s="873"/>
    </row>
    <row r="501">
      <c r="A501" s="873"/>
      <c r="B501" s="873"/>
      <c r="C501" s="873"/>
      <c r="D501" s="873"/>
      <c r="E501" s="873"/>
      <c r="F501" s="873"/>
      <c r="G501" s="873"/>
      <c r="H501" s="873"/>
      <c r="I501" s="873"/>
      <c r="J501" s="873"/>
      <c r="K501" s="873"/>
      <c r="L501" s="873"/>
      <c r="M501" s="873"/>
      <c r="N501" s="873"/>
      <c r="O501" s="873"/>
      <c r="P501" s="873"/>
      <c r="Q501" s="873"/>
      <c r="R501" s="873"/>
      <c r="S501" s="873"/>
      <c r="T501" s="873"/>
      <c r="U501" s="873"/>
      <c r="V501" s="873"/>
      <c r="W501" s="873"/>
      <c r="X501" s="873"/>
      <c r="Y501" s="873"/>
    </row>
    <row r="502">
      <c r="A502" s="873"/>
      <c r="B502" s="873"/>
      <c r="C502" s="873"/>
      <c r="D502" s="873"/>
      <c r="E502" s="873"/>
      <c r="F502" s="873"/>
      <c r="G502" s="873"/>
      <c r="H502" s="873"/>
      <c r="I502" s="873"/>
      <c r="J502" s="873"/>
      <c r="K502" s="873"/>
      <c r="L502" s="873"/>
      <c r="M502" s="873"/>
      <c r="N502" s="873"/>
      <c r="O502" s="873"/>
      <c r="P502" s="873"/>
      <c r="Q502" s="873"/>
      <c r="R502" s="873"/>
      <c r="S502" s="873"/>
      <c r="T502" s="873"/>
      <c r="U502" s="873"/>
      <c r="V502" s="873"/>
      <c r="W502" s="873"/>
      <c r="X502" s="873"/>
      <c r="Y502" s="873"/>
    </row>
    <row r="503">
      <c r="A503" s="873"/>
      <c r="B503" s="873"/>
      <c r="C503" s="873"/>
      <c r="D503" s="873"/>
      <c r="E503" s="873"/>
      <c r="F503" s="873"/>
      <c r="G503" s="873"/>
      <c r="H503" s="873"/>
      <c r="I503" s="873"/>
      <c r="J503" s="873"/>
      <c r="K503" s="873"/>
      <c r="L503" s="873"/>
      <c r="M503" s="873"/>
      <c r="N503" s="873"/>
      <c r="O503" s="873"/>
      <c r="P503" s="873"/>
      <c r="Q503" s="873"/>
      <c r="R503" s="873"/>
      <c r="S503" s="873"/>
      <c r="T503" s="873"/>
      <c r="U503" s="873"/>
      <c r="V503" s="873"/>
      <c r="W503" s="873"/>
      <c r="X503" s="873"/>
      <c r="Y503" s="873"/>
    </row>
    <row r="504">
      <c r="A504" s="873"/>
      <c r="B504" s="873"/>
      <c r="C504" s="873"/>
      <c r="D504" s="873"/>
      <c r="E504" s="873"/>
      <c r="F504" s="873"/>
      <c r="G504" s="873"/>
      <c r="H504" s="873"/>
      <c r="I504" s="873"/>
      <c r="J504" s="873"/>
      <c r="K504" s="873"/>
      <c r="L504" s="873"/>
      <c r="M504" s="873"/>
      <c r="N504" s="873"/>
      <c r="O504" s="873"/>
      <c r="P504" s="873"/>
      <c r="Q504" s="873"/>
      <c r="R504" s="873"/>
      <c r="S504" s="873"/>
      <c r="T504" s="873"/>
      <c r="U504" s="873"/>
      <c r="V504" s="873"/>
      <c r="W504" s="873"/>
      <c r="X504" s="873"/>
      <c r="Y504" s="873"/>
    </row>
    <row r="505">
      <c r="A505" s="873"/>
      <c r="B505" s="873"/>
      <c r="C505" s="873"/>
      <c r="D505" s="873"/>
      <c r="E505" s="873"/>
      <c r="F505" s="873"/>
      <c r="G505" s="873"/>
      <c r="H505" s="873"/>
      <c r="I505" s="873"/>
      <c r="J505" s="873"/>
      <c r="K505" s="873"/>
      <c r="L505" s="873"/>
      <c r="M505" s="873"/>
      <c r="N505" s="873"/>
      <c r="O505" s="873"/>
      <c r="P505" s="873"/>
      <c r="Q505" s="873"/>
      <c r="R505" s="873"/>
      <c r="S505" s="873"/>
      <c r="T505" s="873"/>
      <c r="U505" s="873"/>
      <c r="V505" s="873"/>
      <c r="W505" s="873"/>
      <c r="X505" s="873"/>
      <c r="Y505" s="873"/>
    </row>
    <row r="506">
      <c r="A506" s="873"/>
      <c r="B506" s="873"/>
      <c r="C506" s="873"/>
      <c r="D506" s="873"/>
      <c r="E506" s="873"/>
      <c r="F506" s="873"/>
      <c r="G506" s="873"/>
      <c r="H506" s="873"/>
      <c r="I506" s="873"/>
      <c r="J506" s="873"/>
      <c r="K506" s="873"/>
      <c r="L506" s="873"/>
      <c r="M506" s="873"/>
      <c r="N506" s="873"/>
      <c r="O506" s="873"/>
      <c r="P506" s="873"/>
      <c r="Q506" s="873"/>
      <c r="R506" s="873"/>
      <c r="S506" s="873"/>
      <c r="T506" s="873"/>
      <c r="U506" s="873"/>
      <c r="V506" s="873"/>
      <c r="W506" s="873"/>
      <c r="X506" s="873"/>
      <c r="Y506" s="873"/>
    </row>
    <row r="507">
      <c r="A507" s="873"/>
      <c r="B507" s="873"/>
      <c r="C507" s="873"/>
      <c r="D507" s="873"/>
      <c r="E507" s="873"/>
      <c r="F507" s="873"/>
      <c r="G507" s="873"/>
      <c r="H507" s="873"/>
      <c r="I507" s="873"/>
      <c r="J507" s="873"/>
      <c r="K507" s="873"/>
      <c r="L507" s="873"/>
      <c r="M507" s="873"/>
      <c r="N507" s="873"/>
      <c r="O507" s="873"/>
      <c r="P507" s="873"/>
      <c r="Q507" s="873"/>
      <c r="R507" s="873"/>
      <c r="S507" s="873"/>
      <c r="T507" s="873"/>
      <c r="U507" s="873"/>
      <c r="V507" s="873"/>
      <c r="W507" s="873"/>
      <c r="X507" s="873"/>
      <c r="Y507" s="873"/>
    </row>
    <row r="508">
      <c r="A508" s="873"/>
      <c r="B508" s="873"/>
      <c r="C508" s="873"/>
      <c r="D508" s="873"/>
      <c r="E508" s="873"/>
      <c r="F508" s="873"/>
      <c r="G508" s="873"/>
      <c r="H508" s="873"/>
      <c r="I508" s="873"/>
      <c r="J508" s="873"/>
      <c r="K508" s="873"/>
      <c r="L508" s="873"/>
      <c r="M508" s="873"/>
      <c r="N508" s="873"/>
      <c r="O508" s="873"/>
      <c r="P508" s="873"/>
      <c r="Q508" s="873"/>
      <c r="R508" s="873"/>
      <c r="S508" s="873"/>
      <c r="T508" s="873"/>
      <c r="U508" s="873"/>
      <c r="V508" s="873"/>
      <c r="W508" s="873"/>
      <c r="X508" s="873"/>
      <c r="Y508" s="873"/>
    </row>
    <row r="509">
      <c r="A509" s="873"/>
      <c r="B509" s="873"/>
      <c r="C509" s="873"/>
      <c r="D509" s="873"/>
      <c r="E509" s="873"/>
      <c r="F509" s="873"/>
      <c r="G509" s="873"/>
      <c r="H509" s="873"/>
      <c r="I509" s="873"/>
      <c r="J509" s="873"/>
      <c r="K509" s="873"/>
      <c r="L509" s="873"/>
      <c r="M509" s="873"/>
      <c r="N509" s="873"/>
      <c r="O509" s="873"/>
      <c r="P509" s="873"/>
      <c r="Q509" s="873"/>
      <c r="R509" s="873"/>
      <c r="S509" s="873"/>
      <c r="T509" s="873"/>
      <c r="U509" s="873"/>
      <c r="V509" s="873"/>
      <c r="W509" s="873"/>
      <c r="X509" s="873"/>
      <c r="Y509" s="873"/>
    </row>
    <row r="510">
      <c r="A510" s="873"/>
      <c r="B510" s="873"/>
      <c r="C510" s="873"/>
      <c r="D510" s="873"/>
      <c r="E510" s="873"/>
      <c r="F510" s="873"/>
      <c r="G510" s="873"/>
      <c r="H510" s="873"/>
      <c r="I510" s="873"/>
      <c r="J510" s="873"/>
      <c r="K510" s="873"/>
      <c r="L510" s="873"/>
      <c r="M510" s="873"/>
      <c r="N510" s="873"/>
      <c r="O510" s="873"/>
      <c r="P510" s="873"/>
      <c r="Q510" s="873"/>
      <c r="R510" s="873"/>
      <c r="S510" s="873"/>
      <c r="T510" s="873"/>
      <c r="U510" s="873"/>
      <c r="V510" s="873"/>
      <c r="W510" s="873"/>
      <c r="X510" s="873"/>
      <c r="Y510" s="873"/>
    </row>
    <row r="511">
      <c r="A511" s="873"/>
      <c r="B511" s="873"/>
      <c r="C511" s="873"/>
      <c r="D511" s="873"/>
      <c r="E511" s="873"/>
      <c r="F511" s="873"/>
      <c r="G511" s="873"/>
      <c r="H511" s="873"/>
      <c r="I511" s="873"/>
      <c r="J511" s="873"/>
      <c r="K511" s="873"/>
      <c r="L511" s="873"/>
      <c r="M511" s="873"/>
      <c r="N511" s="873"/>
      <c r="O511" s="873"/>
      <c r="P511" s="873"/>
      <c r="Q511" s="873"/>
      <c r="R511" s="873"/>
      <c r="S511" s="873"/>
      <c r="T511" s="873"/>
      <c r="U511" s="873"/>
      <c r="V511" s="873"/>
      <c r="W511" s="873"/>
      <c r="X511" s="873"/>
      <c r="Y511" s="873"/>
    </row>
    <row r="512">
      <c r="A512" s="873"/>
      <c r="B512" s="873"/>
      <c r="C512" s="873"/>
      <c r="D512" s="873"/>
      <c r="E512" s="873"/>
      <c r="F512" s="873"/>
      <c r="G512" s="873"/>
      <c r="H512" s="873"/>
      <c r="I512" s="873"/>
      <c r="J512" s="873"/>
      <c r="K512" s="873"/>
      <c r="L512" s="873"/>
      <c r="M512" s="873"/>
      <c r="N512" s="873"/>
      <c r="O512" s="873"/>
      <c r="P512" s="873"/>
      <c r="Q512" s="873"/>
      <c r="R512" s="873"/>
      <c r="S512" s="873"/>
      <c r="T512" s="873"/>
      <c r="U512" s="873"/>
      <c r="V512" s="873"/>
      <c r="W512" s="873"/>
      <c r="X512" s="873"/>
      <c r="Y512" s="873"/>
    </row>
    <row r="513">
      <c r="A513" s="873"/>
      <c r="B513" s="873"/>
      <c r="C513" s="873"/>
      <c r="D513" s="873"/>
      <c r="E513" s="873"/>
      <c r="F513" s="873"/>
      <c r="G513" s="873"/>
      <c r="H513" s="873"/>
      <c r="I513" s="873"/>
      <c r="J513" s="873"/>
      <c r="K513" s="873"/>
      <c r="L513" s="873"/>
      <c r="M513" s="873"/>
      <c r="N513" s="873"/>
      <c r="O513" s="873"/>
      <c r="P513" s="873"/>
      <c r="Q513" s="873"/>
      <c r="R513" s="873"/>
      <c r="S513" s="873"/>
      <c r="T513" s="873"/>
      <c r="U513" s="873"/>
      <c r="V513" s="873"/>
      <c r="W513" s="873"/>
      <c r="X513" s="873"/>
      <c r="Y513" s="873"/>
    </row>
    <row r="514">
      <c r="A514" s="873"/>
      <c r="B514" s="873"/>
      <c r="C514" s="873"/>
      <c r="D514" s="873"/>
      <c r="E514" s="873"/>
      <c r="F514" s="873"/>
      <c r="G514" s="873"/>
      <c r="H514" s="873"/>
      <c r="I514" s="873"/>
      <c r="J514" s="873"/>
      <c r="K514" s="873"/>
      <c r="L514" s="873"/>
      <c r="M514" s="873"/>
      <c r="N514" s="873"/>
      <c r="O514" s="873"/>
      <c r="P514" s="873"/>
      <c r="Q514" s="873"/>
      <c r="R514" s="873"/>
      <c r="S514" s="873"/>
      <c r="T514" s="873"/>
      <c r="U514" s="873"/>
      <c r="V514" s="873"/>
      <c r="W514" s="873"/>
      <c r="X514" s="873"/>
      <c r="Y514" s="873"/>
    </row>
    <row r="515">
      <c r="A515" s="873"/>
      <c r="B515" s="873"/>
      <c r="C515" s="873"/>
      <c r="D515" s="873"/>
      <c r="E515" s="873"/>
      <c r="F515" s="873"/>
      <c r="G515" s="873"/>
      <c r="H515" s="873"/>
      <c r="I515" s="873"/>
      <c r="J515" s="873"/>
      <c r="K515" s="873"/>
      <c r="L515" s="873"/>
      <c r="M515" s="873"/>
      <c r="N515" s="873"/>
      <c r="O515" s="873"/>
      <c r="P515" s="873"/>
      <c r="Q515" s="873"/>
      <c r="R515" s="873"/>
      <c r="S515" s="873"/>
      <c r="T515" s="873"/>
      <c r="U515" s="873"/>
      <c r="V515" s="873"/>
      <c r="W515" s="873"/>
      <c r="X515" s="873"/>
      <c r="Y515" s="873"/>
    </row>
    <row r="516">
      <c r="A516" s="873"/>
      <c r="B516" s="873"/>
      <c r="C516" s="873"/>
      <c r="D516" s="873"/>
      <c r="E516" s="873"/>
      <c r="F516" s="873"/>
      <c r="G516" s="873"/>
      <c r="H516" s="873"/>
      <c r="I516" s="873"/>
      <c r="J516" s="873"/>
      <c r="K516" s="873"/>
      <c r="L516" s="873"/>
      <c r="M516" s="873"/>
      <c r="N516" s="873"/>
      <c r="O516" s="873"/>
      <c r="P516" s="873"/>
      <c r="Q516" s="873"/>
      <c r="R516" s="873"/>
      <c r="S516" s="873"/>
      <c r="T516" s="873"/>
      <c r="U516" s="873"/>
      <c r="V516" s="873"/>
      <c r="W516" s="873"/>
      <c r="X516" s="873"/>
      <c r="Y516" s="873"/>
    </row>
    <row r="517">
      <c r="A517" s="873"/>
      <c r="B517" s="873"/>
      <c r="C517" s="873"/>
      <c r="D517" s="873"/>
      <c r="E517" s="873"/>
      <c r="F517" s="873"/>
      <c r="G517" s="873"/>
      <c r="H517" s="873"/>
      <c r="I517" s="873"/>
      <c r="J517" s="873"/>
      <c r="K517" s="873"/>
      <c r="L517" s="873"/>
      <c r="M517" s="873"/>
      <c r="N517" s="873"/>
      <c r="O517" s="873"/>
      <c r="P517" s="873"/>
      <c r="Q517" s="873"/>
      <c r="R517" s="873"/>
      <c r="S517" s="873"/>
      <c r="T517" s="873"/>
      <c r="U517" s="873"/>
      <c r="V517" s="873"/>
      <c r="W517" s="873"/>
      <c r="X517" s="873"/>
      <c r="Y517" s="873"/>
    </row>
    <row r="518">
      <c r="A518" s="873"/>
      <c r="B518" s="873"/>
      <c r="C518" s="873"/>
      <c r="D518" s="873"/>
      <c r="E518" s="873"/>
      <c r="F518" s="873"/>
      <c r="G518" s="873"/>
      <c r="H518" s="873"/>
      <c r="I518" s="873"/>
      <c r="J518" s="873"/>
      <c r="K518" s="873"/>
      <c r="L518" s="873"/>
      <c r="M518" s="873"/>
      <c r="N518" s="873"/>
      <c r="O518" s="873"/>
      <c r="P518" s="873"/>
      <c r="Q518" s="873"/>
      <c r="R518" s="873"/>
      <c r="S518" s="873"/>
      <c r="T518" s="873"/>
      <c r="U518" s="873"/>
      <c r="V518" s="873"/>
      <c r="W518" s="873"/>
      <c r="X518" s="873"/>
      <c r="Y518" s="873"/>
    </row>
    <row r="519">
      <c r="A519" s="873"/>
      <c r="B519" s="873"/>
      <c r="C519" s="873"/>
      <c r="D519" s="873"/>
      <c r="E519" s="873"/>
      <c r="F519" s="873"/>
      <c r="G519" s="873"/>
      <c r="H519" s="873"/>
      <c r="I519" s="873"/>
      <c r="J519" s="873"/>
      <c r="K519" s="873"/>
      <c r="L519" s="873"/>
      <c r="M519" s="873"/>
      <c r="N519" s="873"/>
      <c r="O519" s="873"/>
      <c r="P519" s="873"/>
      <c r="Q519" s="873"/>
      <c r="R519" s="873"/>
      <c r="S519" s="873"/>
      <c r="T519" s="873"/>
      <c r="U519" s="873"/>
      <c r="V519" s="873"/>
      <c r="W519" s="873"/>
      <c r="X519" s="873"/>
      <c r="Y519" s="873"/>
    </row>
    <row r="520">
      <c r="A520" s="873"/>
      <c r="B520" s="873"/>
      <c r="C520" s="873"/>
      <c r="D520" s="873"/>
      <c r="E520" s="873"/>
      <c r="F520" s="873"/>
      <c r="G520" s="873"/>
      <c r="H520" s="873"/>
      <c r="I520" s="873"/>
      <c r="J520" s="873"/>
      <c r="K520" s="873"/>
      <c r="L520" s="873"/>
      <c r="M520" s="873"/>
      <c r="N520" s="873"/>
      <c r="O520" s="873"/>
      <c r="P520" s="873"/>
      <c r="Q520" s="873"/>
      <c r="R520" s="873"/>
      <c r="S520" s="873"/>
      <c r="T520" s="873"/>
      <c r="U520" s="873"/>
      <c r="V520" s="873"/>
      <c r="W520" s="873"/>
      <c r="X520" s="873"/>
      <c r="Y520" s="873"/>
    </row>
    <row r="521">
      <c r="A521" s="873"/>
      <c r="B521" s="873"/>
      <c r="C521" s="873"/>
      <c r="D521" s="873"/>
      <c r="E521" s="873"/>
      <c r="F521" s="873"/>
      <c r="G521" s="873"/>
      <c r="H521" s="873"/>
      <c r="I521" s="873"/>
      <c r="J521" s="873"/>
      <c r="K521" s="873"/>
      <c r="L521" s="873"/>
      <c r="M521" s="873"/>
      <c r="N521" s="873"/>
      <c r="O521" s="873"/>
      <c r="P521" s="873"/>
      <c r="Q521" s="873"/>
      <c r="R521" s="873"/>
      <c r="S521" s="873"/>
      <c r="T521" s="873"/>
      <c r="U521" s="873"/>
      <c r="V521" s="873"/>
      <c r="W521" s="873"/>
      <c r="X521" s="873"/>
      <c r="Y521" s="873"/>
    </row>
    <row r="522">
      <c r="A522" s="873"/>
      <c r="B522" s="873"/>
      <c r="C522" s="873"/>
      <c r="D522" s="873"/>
      <c r="E522" s="873"/>
      <c r="F522" s="873"/>
      <c r="G522" s="873"/>
      <c r="H522" s="873"/>
      <c r="I522" s="873"/>
      <c r="J522" s="873"/>
      <c r="K522" s="873"/>
      <c r="L522" s="873"/>
      <c r="M522" s="873"/>
      <c r="N522" s="873"/>
      <c r="O522" s="873"/>
      <c r="P522" s="873"/>
      <c r="Q522" s="873"/>
      <c r="R522" s="873"/>
      <c r="S522" s="873"/>
      <c r="T522" s="873"/>
      <c r="U522" s="873"/>
      <c r="V522" s="873"/>
      <c r="W522" s="873"/>
      <c r="X522" s="873"/>
      <c r="Y522" s="873"/>
    </row>
    <row r="523">
      <c r="A523" s="873"/>
      <c r="B523" s="873"/>
      <c r="C523" s="873"/>
      <c r="D523" s="873"/>
      <c r="E523" s="873"/>
      <c r="F523" s="873"/>
      <c r="G523" s="873"/>
      <c r="H523" s="873"/>
      <c r="I523" s="873"/>
      <c r="J523" s="873"/>
      <c r="K523" s="873"/>
      <c r="L523" s="873"/>
      <c r="M523" s="873"/>
      <c r="N523" s="873"/>
      <c r="O523" s="873"/>
      <c r="P523" s="873"/>
      <c r="Q523" s="873"/>
      <c r="R523" s="873"/>
      <c r="S523" s="873"/>
      <c r="T523" s="873"/>
      <c r="U523" s="873"/>
      <c r="V523" s="873"/>
      <c r="W523" s="873"/>
      <c r="X523" s="873"/>
      <c r="Y523" s="873"/>
    </row>
    <row r="524">
      <c r="A524" s="873"/>
      <c r="B524" s="873"/>
      <c r="C524" s="873"/>
      <c r="D524" s="873"/>
      <c r="E524" s="873"/>
      <c r="F524" s="873"/>
      <c r="G524" s="873"/>
      <c r="H524" s="873"/>
      <c r="I524" s="873"/>
      <c r="J524" s="873"/>
      <c r="K524" s="873"/>
      <c r="L524" s="873"/>
      <c r="M524" s="873"/>
      <c r="N524" s="873"/>
      <c r="O524" s="873"/>
      <c r="P524" s="873"/>
      <c r="Q524" s="873"/>
      <c r="R524" s="873"/>
      <c r="S524" s="873"/>
      <c r="T524" s="873"/>
      <c r="U524" s="873"/>
      <c r="V524" s="873"/>
      <c r="W524" s="873"/>
      <c r="X524" s="873"/>
      <c r="Y524" s="873"/>
    </row>
    <row r="525">
      <c r="A525" s="873"/>
      <c r="B525" s="873"/>
      <c r="C525" s="873"/>
      <c r="D525" s="873"/>
      <c r="E525" s="873"/>
      <c r="F525" s="873"/>
      <c r="G525" s="873"/>
      <c r="H525" s="873"/>
      <c r="I525" s="873"/>
      <c r="J525" s="873"/>
      <c r="K525" s="873"/>
      <c r="L525" s="873"/>
      <c r="M525" s="873"/>
      <c r="N525" s="873"/>
      <c r="O525" s="873"/>
      <c r="P525" s="873"/>
      <c r="Q525" s="873"/>
      <c r="R525" s="873"/>
      <c r="S525" s="873"/>
      <c r="T525" s="873"/>
      <c r="U525" s="873"/>
      <c r="V525" s="873"/>
      <c r="W525" s="873"/>
      <c r="X525" s="873"/>
      <c r="Y525" s="873"/>
    </row>
    <row r="526">
      <c r="A526" s="873"/>
      <c r="B526" s="873"/>
      <c r="C526" s="873"/>
      <c r="D526" s="873"/>
      <c r="E526" s="873"/>
      <c r="F526" s="873"/>
      <c r="G526" s="873"/>
      <c r="H526" s="873"/>
      <c r="I526" s="873"/>
      <c r="J526" s="873"/>
      <c r="K526" s="873"/>
      <c r="L526" s="873"/>
      <c r="M526" s="873"/>
      <c r="N526" s="873"/>
      <c r="O526" s="873"/>
      <c r="P526" s="873"/>
      <c r="Q526" s="873"/>
      <c r="R526" s="873"/>
      <c r="S526" s="873"/>
      <c r="T526" s="873"/>
      <c r="U526" s="873"/>
      <c r="V526" s="873"/>
      <c r="W526" s="873"/>
      <c r="X526" s="873"/>
      <c r="Y526" s="873"/>
    </row>
    <row r="527">
      <c r="A527" s="873"/>
      <c r="B527" s="873"/>
      <c r="C527" s="873"/>
      <c r="D527" s="873"/>
      <c r="E527" s="873"/>
      <c r="F527" s="873"/>
      <c r="G527" s="873"/>
      <c r="H527" s="873"/>
      <c r="I527" s="873"/>
      <c r="J527" s="873"/>
      <c r="K527" s="873"/>
      <c r="L527" s="873"/>
      <c r="M527" s="873"/>
      <c r="N527" s="873"/>
      <c r="O527" s="873"/>
      <c r="P527" s="873"/>
      <c r="Q527" s="873"/>
      <c r="R527" s="873"/>
      <c r="S527" s="873"/>
      <c r="T527" s="873"/>
      <c r="U527" s="873"/>
      <c r="V527" s="873"/>
      <c r="W527" s="873"/>
      <c r="X527" s="873"/>
      <c r="Y527" s="873"/>
    </row>
    <row r="528">
      <c r="A528" s="873"/>
      <c r="B528" s="873"/>
      <c r="C528" s="873"/>
      <c r="D528" s="873"/>
      <c r="E528" s="873"/>
      <c r="F528" s="873"/>
      <c r="G528" s="873"/>
      <c r="H528" s="873"/>
      <c r="I528" s="873"/>
      <c r="J528" s="873"/>
      <c r="K528" s="873"/>
      <c r="L528" s="873"/>
      <c r="M528" s="873"/>
      <c r="N528" s="873"/>
      <c r="O528" s="873"/>
      <c r="P528" s="873"/>
      <c r="Q528" s="873"/>
      <c r="R528" s="873"/>
      <c r="S528" s="873"/>
      <c r="T528" s="873"/>
      <c r="U528" s="873"/>
      <c r="V528" s="873"/>
      <c r="W528" s="873"/>
      <c r="X528" s="873"/>
      <c r="Y528" s="873"/>
    </row>
    <row r="529">
      <c r="A529" s="873"/>
      <c r="B529" s="873"/>
      <c r="C529" s="873"/>
      <c r="D529" s="873"/>
      <c r="E529" s="873"/>
      <c r="F529" s="873"/>
      <c r="G529" s="873"/>
      <c r="H529" s="873"/>
      <c r="I529" s="873"/>
      <c r="J529" s="873"/>
      <c r="K529" s="873"/>
      <c r="L529" s="873"/>
      <c r="M529" s="873"/>
      <c r="N529" s="873"/>
      <c r="O529" s="873"/>
      <c r="P529" s="873"/>
      <c r="Q529" s="873"/>
      <c r="R529" s="873"/>
      <c r="S529" s="873"/>
      <c r="T529" s="873"/>
      <c r="U529" s="873"/>
      <c r="V529" s="873"/>
      <c r="W529" s="873"/>
      <c r="X529" s="873"/>
      <c r="Y529" s="873"/>
    </row>
    <row r="530">
      <c r="A530" s="873"/>
      <c r="B530" s="873"/>
      <c r="C530" s="873"/>
      <c r="D530" s="873"/>
      <c r="E530" s="873"/>
      <c r="F530" s="873"/>
      <c r="G530" s="873"/>
      <c r="H530" s="873"/>
      <c r="I530" s="873"/>
      <c r="J530" s="873"/>
      <c r="K530" s="873"/>
      <c r="L530" s="873"/>
      <c r="M530" s="873"/>
      <c r="N530" s="873"/>
      <c r="O530" s="873"/>
      <c r="P530" s="873"/>
      <c r="Q530" s="873"/>
      <c r="R530" s="873"/>
      <c r="S530" s="873"/>
      <c r="T530" s="873"/>
      <c r="U530" s="873"/>
      <c r="V530" s="873"/>
      <c r="W530" s="873"/>
      <c r="X530" s="873"/>
      <c r="Y530" s="873"/>
    </row>
    <row r="531">
      <c r="A531" s="873"/>
      <c r="B531" s="873"/>
      <c r="C531" s="873"/>
      <c r="D531" s="873"/>
      <c r="E531" s="873"/>
      <c r="F531" s="873"/>
      <c r="G531" s="873"/>
      <c r="H531" s="873"/>
      <c r="I531" s="873"/>
      <c r="J531" s="873"/>
      <c r="K531" s="873"/>
      <c r="L531" s="873"/>
      <c r="M531" s="873"/>
      <c r="N531" s="873"/>
      <c r="O531" s="873"/>
      <c r="P531" s="873"/>
      <c r="Q531" s="873"/>
      <c r="R531" s="873"/>
      <c r="S531" s="873"/>
      <c r="T531" s="873"/>
      <c r="U531" s="873"/>
      <c r="V531" s="873"/>
      <c r="W531" s="873"/>
      <c r="X531" s="873"/>
      <c r="Y531" s="873"/>
    </row>
    <row r="532">
      <c r="A532" s="873"/>
      <c r="B532" s="873"/>
      <c r="C532" s="873"/>
      <c r="D532" s="873"/>
      <c r="E532" s="873"/>
      <c r="F532" s="873"/>
      <c r="G532" s="873"/>
      <c r="H532" s="873"/>
      <c r="I532" s="873"/>
      <c r="J532" s="873"/>
      <c r="K532" s="873"/>
      <c r="L532" s="873"/>
      <c r="M532" s="873"/>
      <c r="N532" s="873"/>
      <c r="O532" s="873"/>
      <c r="P532" s="873"/>
      <c r="Q532" s="873"/>
      <c r="R532" s="873"/>
      <c r="S532" s="873"/>
      <c r="T532" s="873"/>
      <c r="U532" s="873"/>
      <c r="V532" s="873"/>
      <c r="W532" s="873"/>
      <c r="X532" s="873"/>
      <c r="Y532" s="873"/>
    </row>
    <row r="533">
      <c r="A533" s="873"/>
      <c r="B533" s="873"/>
      <c r="C533" s="873"/>
      <c r="D533" s="873"/>
      <c r="E533" s="873"/>
      <c r="F533" s="873"/>
      <c r="G533" s="873"/>
      <c r="H533" s="873"/>
      <c r="I533" s="873"/>
      <c r="J533" s="873"/>
      <c r="K533" s="873"/>
      <c r="L533" s="873"/>
      <c r="M533" s="873"/>
      <c r="N533" s="873"/>
      <c r="O533" s="873"/>
      <c r="P533" s="873"/>
      <c r="Q533" s="873"/>
      <c r="R533" s="873"/>
      <c r="S533" s="873"/>
      <c r="T533" s="873"/>
      <c r="U533" s="873"/>
      <c r="V533" s="873"/>
      <c r="W533" s="873"/>
      <c r="X533" s="873"/>
      <c r="Y533" s="873"/>
    </row>
    <row r="534">
      <c r="A534" s="873"/>
      <c r="B534" s="873"/>
      <c r="C534" s="873"/>
      <c r="D534" s="873"/>
      <c r="E534" s="873"/>
      <c r="F534" s="873"/>
      <c r="G534" s="873"/>
      <c r="H534" s="873"/>
      <c r="I534" s="873"/>
      <c r="J534" s="873"/>
      <c r="K534" s="873"/>
      <c r="L534" s="873"/>
      <c r="M534" s="873"/>
      <c r="N534" s="873"/>
      <c r="O534" s="873"/>
      <c r="P534" s="873"/>
      <c r="Q534" s="873"/>
      <c r="R534" s="873"/>
      <c r="S534" s="873"/>
      <c r="T534" s="873"/>
      <c r="U534" s="873"/>
      <c r="V534" s="873"/>
      <c r="W534" s="873"/>
      <c r="X534" s="873"/>
      <c r="Y534" s="873"/>
    </row>
    <row r="535">
      <c r="A535" s="873"/>
      <c r="B535" s="873"/>
      <c r="C535" s="873"/>
      <c r="D535" s="873"/>
      <c r="E535" s="873"/>
      <c r="F535" s="873"/>
      <c r="G535" s="873"/>
      <c r="H535" s="873"/>
      <c r="I535" s="873"/>
      <c r="J535" s="873"/>
      <c r="K535" s="873"/>
      <c r="L535" s="873"/>
      <c r="M535" s="873"/>
      <c r="N535" s="873"/>
      <c r="O535" s="873"/>
      <c r="P535" s="873"/>
      <c r="Q535" s="873"/>
      <c r="R535" s="873"/>
      <c r="S535" s="873"/>
      <c r="T535" s="873"/>
      <c r="U535" s="873"/>
      <c r="V535" s="873"/>
      <c r="W535" s="873"/>
      <c r="X535" s="873"/>
      <c r="Y535" s="873"/>
    </row>
    <row r="536">
      <c r="A536" s="873"/>
      <c r="B536" s="873"/>
      <c r="C536" s="873"/>
      <c r="D536" s="873"/>
      <c r="E536" s="873"/>
      <c r="F536" s="873"/>
      <c r="G536" s="873"/>
      <c r="H536" s="873"/>
      <c r="I536" s="873"/>
      <c r="J536" s="873"/>
      <c r="K536" s="873"/>
      <c r="L536" s="873"/>
      <c r="M536" s="873"/>
      <c r="N536" s="873"/>
      <c r="O536" s="873"/>
      <c r="P536" s="873"/>
      <c r="Q536" s="873"/>
      <c r="R536" s="873"/>
      <c r="S536" s="873"/>
      <c r="T536" s="873"/>
      <c r="U536" s="873"/>
      <c r="V536" s="873"/>
      <c r="W536" s="873"/>
      <c r="X536" s="873"/>
      <c r="Y536" s="873"/>
    </row>
    <row r="537">
      <c r="A537" s="873"/>
      <c r="B537" s="873"/>
      <c r="C537" s="873"/>
      <c r="D537" s="873"/>
      <c r="E537" s="873"/>
      <c r="F537" s="873"/>
      <c r="G537" s="873"/>
      <c r="H537" s="873"/>
      <c r="I537" s="873"/>
      <c r="J537" s="873"/>
      <c r="K537" s="873"/>
      <c r="L537" s="873"/>
      <c r="M537" s="873"/>
      <c r="N537" s="873"/>
      <c r="O537" s="873"/>
      <c r="P537" s="873"/>
      <c r="Q537" s="873"/>
      <c r="R537" s="873"/>
      <c r="S537" s="873"/>
      <c r="T537" s="873"/>
      <c r="U537" s="873"/>
      <c r="V537" s="873"/>
      <c r="W537" s="873"/>
      <c r="X537" s="873"/>
      <c r="Y537" s="873"/>
    </row>
    <row r="538">
      <c r="A538" s="873"/>
      <c r="B538" s="873"/>
      <c r="C538" s="873"/>
      <c r="D538" s="873"/>
      <c r="E538" s="873"/>
      <c r="F538" s="873"/>
      <c r="G538" s="873"/>
      <c r="H538" s="873"/>
      <c r="I538" s="873"/>
      <c r="J538" s="873"/>
      <c r="K538" s="873"/>
      <c r="L538" s="873"/>
      <c r="M538" s="873"/>
      <c r="N538" s="873"/>
      <c r="O538" s="873"/>
      <c r="P538" s="873"/>
      <c r="Q538" s="873"/>
      <c r="R538" s="873"/>
      <c r="S538" s="873"/>
      <c r="T538" s="873"/>
      <c r="U538" s="873"/>
      <c r="V538" s="873"/>
      <c r="W538" s="873"/>
      <c r="X538" s="873"/>
      <c r="Y538" s="873"/>
    </row>
    <row r="539">
      <c r="A539" s="873"/>
      <c r="B539" s="873"/>
      <c r="C539" s="873"/>
      <c r="D539" s="873"/>
      <c r="E539" s="873"/>
      <c r="F539" s="873"/>
      <c r="G539" s="873"/>
      <c r="H539" s="873"/>
      <c r="I539" s="873"/>
      <c r="J539" s="873"/>
      <c r="K539" s="873"/>
      <c r="L539" s="873"/>
      <c r="M539" s="873"/>
      <c r="N539" s="873"/>
      <c r="O539" s="873"/>
      <c r="P539" s="873"/>
      <c r="Q539" s="873"/>
      <c r="R539" s="873"/>
      <c r="S539" s="873"/>
      <c r="T539" s="873"/>
      <c r="U539" s="873"/>
      <c r="V539" s="873"/>
      <c r="W539" s="873"/>
      <c r="X539" s="873"/>
      <c r="Y539" s="873"/>
    </row>
    <row r="540">
      <c r="A540" s="873"/>
      <c r="B540" s="873"/>
      <c r="C540" s="873"/>
      <c r="D540" s="873"/>
      <c r="E540" s="873"/>
      <c r="F540" s="873"/>
      <c r="G540" s="873"/>
      <c r="H540" s="873"/>
      <c r="I540" s="873"/>
      <c r="J540" s="873"/>
      <c r="K540" s="873"/>
      <c r="L540" s="873"/>
      <c r="M540" s="873"/>
      <c r="N540" s="873"/>
      <c r="O540" s="873"/>
      <c r="P540" s="873"/>
      <c r="Q540" s="873"/>
      <c r="R540" s="873"/>
      <c r="S540" s="873"/>
      <c r="T540" s="873"/>
      <c r="U540" s="873"/>
      <c r="V540" s="873"/>
      <c r="W540" s="873"/>
      <c r="X540" s="873"/>
      <c r="Y540" s="873"/>
    </row>
    <row r="541">
      <c r="A541" s="873"/>
      <c r="B541" s="873"/>
      <c r="C541" s="873"/>
      <c r="D541" s="873"/>
      <c r="E541" s="873"/>
      <c r="F541" s="873"/>
      <c r="G541" s="873"/>
      <c r="H541" s="873"/>
      <c r="I541" s="873"/>
      <c r="J541" s="873"/>
      <c r="K541" s="873"/>
      <c r="L541" s="873"/>
      <c r="M541" s="873"/>
      <c r="N541" s="873"/>
      <c r="O541" s="873"/>
      <c r="P541" s="873"/>
      <c r="Q541" s="873"/>
      <c r="R541" s="873"/>
      <c r="S541" s="873"/>
      <c r="T541" s="873"/>
      <c r="U541" s="873"/>
      <c r="V541" s="873"/>
      <c r="W541" s="873"/>
      <c r="X541" s="873"/>
      <c r="Y541" s="873"/>
    </row>
    <row r="542">
      <c r="A542" s="873"/>
      <c r="B542" s="873"/>
      <c r="C542" s="873"/>
      <c r="D542" s="873"/>
      <c r="E542" s="873"/>
      <c r="F542" s="873"/>
      <c r="G542" s="873"/>
      <c r="H542" s="873"/>
      <c r="I542" s="873"/>
      <c r="J542" s="873"/>
      <c r="K542" s="873"/>
      <c r="L542" s="873"/>
      <c r="M542" s="873"/>
      <c r="N542" s="873"/>
      <c r="O542" s="873"/>
      <c r="P542" s="873"/>
      <c r="Q542" s="873"/>
      <c r="R542" s="873"/>
      <c r="S542" s="873"/>
      <c r="T542" s="873"/>
      <c r="U542" s="873"/>
      <c r="V542" s="873"/>
      <c r="W542" s="873"/>
      <c r="X542" s="873"/>
      <c r="Y542" s="873"/>
    </row>
    <row r="543">
      <c r="A543" s="873"/>
      <c r="B543" s="873"/>
      <c r="C543" s="873"/>
      <c r="D543" s="873"/>
      <c r="E543" s="873"/>
      <c r="F543" s="873"/>
      <c r="G543" s="873"/>
      <c r="H543" s="873"/>
      <c r="I543" s="873"/>
      <c r="J543" s="873"/>
      <c r="K543" s="873"/>
      <c r="L543" s="873"/>
      <c r="M543" s="873"/>
      <c r="N543" s="873"/>
      <c r="O543" s="873"/>
      <c r="P543" s="873"/>
      <c r="Q543" s="873"/>
      <c r="R543" s="873"/>
      <c r="S543" s="873"/>
      <c r="T543" s="873"/>
      <c r="U543" s="873"/>
      <c r="V543" s="873"/>
      <c r="W543" s="873"/>
      <c r="X543" s="873"/>
      <c r="Y543" s="873"/>
    </row>
    <row r="544">
      <c r="A544" s="873"/>
      <c r="B544" s="873"/>
      <c r="C544" s="873"/>
      <c r="D544" s="873"/>
      <c r="E544" s="873"/>
      <c r="F544" s="873"/>
      <c r="G544" s="873"/>
      <c r="H544" s="873"/>
      <c r="I544" s="873"/>
      <c r="J544" s="873"/>
      <c r="K544" s="873"/>
      <c r="L544" s="873"/>
      <c r="M544" s="873"/>
      <c r="N544" s="873"/>
      <c r="O544" s="873"/>
      <c r="P544" s="873"/>
      <c r="Q544" s="873"/>
      <c r="R544" s="873"/>
      <c r="S544" s="873"/>
      <c r="T544" s="873"/>
      <c r="U544" s="873"/>
      <c r="V544" s="873"/>
      <c r="W544" s="873"/>
      <c r="X544" s="873"/>
      <c r="Y544" s="873"/>
    </row>
    <row r="545">
      <c r="A545" s="873"/>
      <c r="B545" s="873"/>
      <c r="C545" s="873"/>
      <c r="D545" s="873"/>
      <c r="E545" s="873"/>
      <c r="F545" s="873"/>
      <c r="G545" s="873"/>
      <c r="H545" s="873"/>
      <c r="I545" s="873"/>
      <c r="J545" s="873"/>
      <c r="K545" s="873"/>
      <c r="L545" s="873"/>
      <c r="M545" s="873"/>
      <c r="N545" s="873"/>
      <c r="O545" s="873"/>
      <c r="P545" s="873"/>
      <c r="Q545" s="873"/>
      <c r="R545" s="873"/>
      <c r="S545" s="873"/>
      <c r="T545" s="873"/>
      <c r="U545" s="873"/>
      <c r="V545" s="873"/>
      <c r="W545" s="873"/>
      <c r="X545" s="873"/>
      <c r="Y545" s="873"/>
    </row>
    <row r="546">
      <c r="A546" s="873"/>
      <c r="B546" s="873"/>
      <c r="C546" s="873"/>
      <c r="D546" s="873"/>
      <c r="E546" s="873"/>
      <c r="F546" s="873"/>
      <c r="G546" s="873"/>
      <c r="H546" s="873"/>
      <c r="I546" s="873"/>
      <c r="J546" s="873"/>
      <c r="K546" s="873"/>
      <c r="L546" s="873"/>
      <c r="M546" s="873"/>
      <c r="N546" s="873"/>
      <c r="O546" s="873"/>
      <c r="P546" s="873"/>
      <c r="Q546" s="873"/>
      <c r="R546" s="873"/>
      <c r="S546" s="873"/>
      <c r="T546" s="873"/>
      <c r="U546" s="873"/>
      <c r="V546" s="873"/>
      <c r="W546" s="873"/>
      <c r="X546" s="873"/>
      <c r="Y546" s="873"/>
    </row>
    <row r="547">
      <c r="A547" s="873"/>
      <c r="B547" s="873"/>
      <c r="C547" s="873"/>
      <c r="D547" s="873"/>
      <c r="E547" s="873"/>
      <c r="F547" s="873"/>
      <c r="G547" s="873"/>
      <c r="H547" s="873"/>
      <c r="I547" s="873"/>
      <c r="J547" s="873"/>
      <c r="K547" s="873"/>
      <c r="L547" s="873"/>
      <c r="M547" s="873"/>
      <c r="N547" s="873"/>
      <c r="O547" s="873"/>
      <c r="P547" s="873"/>
      <c r="Q547" s="873"/>
      <c r="R547" s="873"/>
      <c r="S547" s="873"/>
      <c r="T547" s="873"/>
      <c r="U547" s="873"/>
      <c r="V547" s="873"/>
      <c r="W547" s="873"/>
      <c r="X547" s="873"/>
      <c r="Y547" s="873"/>
    </row>
    <row r="548">
      <c r="A548" s="873"/>
      <c r="B548" s="873"/>
      <c r="C548" s="873"/>
      <c r="D548" s="873"/>
      <c r="E548" s="873"/>
      <c r="F548" s="873"/>
      <c r="G548" s="873"/>
      <c r="H548" s="873"/>
      <c r="I548" s="873"/>
      <c r="J548" s="873"/>
      <c r="K548" s="873"/>
      <c r="L548" s="873"/>
      <c r="M548" s="873"/>
      <c r="N548" s="873"/>
      <c r="O548" s="873"/>
      <c r="P548" s="873"/>
      <c r="Q548" s="873"/>
      <c r="R548" s="873"/>
      <c r="S548" s="873"/>
      <c r="T548" s="873"/>
      <c r="U548" s="873"/>
      <c r="V548" s="873"/>
      <c r="W548" s="873"/>
      <c r="X548" s="873"/>
      <c r="Y548" s="873"/>
    </row>
    <row r="549">
      <c r="A549" s="873"/>
      <c r="B549" s="873"/>
      <c r="C549" s="873"/>
      <c r="D549" s="873"/>
      <c r="E549" s="873"/>
      <c r="F549" s="873"/>
      <c r="G549" s="873"/>
      <c r="H549" s="873"/>
      <c r="I549" s="873"/>
      <c r="J549" s="873"/>
      <c r="K549" s="873"/>
      <c r="L549" s="873"/>
      <c r="M549" s="873"/>
      <c r="N549" s="873"/>
      <c r="O549" s="873"/>
      <c r="P549" s="873"/>
      <c r="Q549" s="873"/>
      <c r="R549" s="873"/>
      <c r="S549" s="873"/>
      <c r="T549" s="873"/>
      <c r="U549" s="873"/>
      <c r="V549" s="873"/>
      <c r="W549" s="873"/>
      <c r="X549" s="873"/>
      <c r="Y549" s="873"/>
    </row>
    <row r="550">
      <c r="A550" s="873"/>
      <c r="B550" s="873"/>
      <c r="C550" s="873"/>
      <c r="D550" s="873"/>
      <c r="E550" s="873"/>
      <c r="F550" s="873"/>
      <c r="G550" s="873"/>
      <c r="H550" s="873"/>
      <c r="I550" s="873"/>
      <c r="J550" s="873"/>
      <c r="K550" s="873"/>
      <c r="L550" s="873"/>
      <c r="M550" s="873"/>
      <c r="N550" s="873"/>
      <c r="O550" s="873"/>
      <c r="P550" s="873"/>
      <c r="Q550" s="873"/>
      <c r="R550" s="873"/>
      <c r="S550" s="873"/>
      <c r="T550" s="873"/>
      <c r="U550" s="873"/>
      <c r="V550" s="873"/>
      <c r="W550" s="873"/>
      <c r="X550" s="873"/>
      <c r="Y550" s="873"/>
    </row>
    <row r="551">
      <c r="A551" s="873"/>
      <c r="B551" s="873"/>
      <c r="C551" s="873"/>
      <c r="D551" s="873"/>
      <c r="E551" s="873"/>
      <c r="F551" s="873"/>
      <c r="G551" s="873"/>
      <c r="H551" s="873"/>
      <c r="I551" s="873"/>
      <c r="J551" s="873"/>
      <c r="K551" s="873"/>
      <c r="L551" s="873"/>
      <c r="M551" s="873"/>
      <c r="N551" s="873"/>
      <c r="O551" s="873"/>
      <c r="P551" s="873"/>
      <c r="Q551" s="873"/>
      <c r="R551" s="873"/>
      <c r="S551" s="873"/>
      <c r="T551" s="873"/>
      <c r="U551" s="873"/>
      <c r="V551" s="873"/>
      <c r="W551" s="873"/>
      <c r="X551" s="873"/>
      <c r="Y551" s="873"/>
    </row>
    <row r="552">
      <c r="A552" s="873"/>
      <c r="B552" s="873"/>
      <c r="C552" s="873"/>
      <c r="D552" s="873"/>
      <c r="E552" s="873"/>
      <c r="F552" s="873"/>
      <c r="G552" s="873"/>
      <c r="H552" s="873"/>
      <c r="I552" s="873"/>
      <c r="J552" s="873"/>
      <c r="K552" s="873"/>
      <c r="L552" s="873"/>
      <c r="M552" s="873"/>
      <c r="N552" s="873"/>
      <c r="O552" s="873"/>
      <c r="P552" s="873"/>
      <c r="Q552" s="873"/>
      <c r="R552" s="873"/>
      <c r="S552" s="873"/>
      <c r="T552" s="873"/>
      <c r="U552" s="873"/>
      <c r="V552" s="873"/>
      <c r="W552" s="873"/>
      <c r="X552" s="873"/>
      <c r="Y552" s="873"/>
    </row>
    <row r="553">
      <c r="A553" s="873"/>
      <c r="B553" s="873"/>
      <c r="C553" s="873"/>
      <c r="D553" s="873"/>
      <c r="E553" s="873"/>
      <c r="F553" s="873"/>
      <c r="G553" s="873"/>
      <c r="H553" s="873"/>
      <c r="I553" s="873"/>
      <c r="J553" s="873"/>
      <c r="K553" s="873"/>
      <c r="L553" s="873"/>
      <c r="M553" s="873"/>
      <c r="N553" s="873"/>
      <c r="O553" s="873"/>
      <c r="P553" s="873"/>
      <c r="Q553" s="873"/>
      <c r="R553" s="873"/>
      <c r="S553" s="873"/>
      <c r="T553" s="873"/>
      <c r="U553" s="873"/>
      <c r="V553" s="873"/>
      <c r="W553" s="873"/>
      <c r="X553" s="873"/>
      <c r="Y553" s="873"/>
    </row>
    <row r="554">
      <c r="A554" s="873"/>
      <c r="B554" s="873"/>
      <c r="C554" s="873"/>
      <c r="D554" s="873"/>
      <c r="E554" s="873"/>
      <c r="F554" s="873"/>
      <c r="G554" s="873"/>
      <c r="H554" s="873"/>
      <c r="I554" s="873"/>
      <c r="J554" s="873"/>
      <c r="K554" s="873"/>
      <c r="L554" s="873"/>
      <c r="M554" s="873"/>
      <c r="N554" s="873"/>
      <c r="O554" s="873"/>
      <c r="P554" s="873"/>
      <c r="Q554" s="873"/>
      <c r="R554" s="873"/>
      <c r="S554" s="873"/>
      <c r="T554" s="873"/>
      <c r="U554" s="873"/>
      <c r="V554" s="873"/>
      <c r="W554" s="873"/>
      <c r="X554" s="873"/>
      <c r="Y554" s="873"/>
    </row>
    <row r="555">
      <c r="A555" s="873"/>
      <c r="B555" s="873"/>
      <c r="C555" s="873"/>
      <c r="D555" s="873"/>
      <c r="E555" s="873"/>
      <c r="F555" s="873"/>
      <c r="G555" s="873"/>
      <c r="H555" s="873"/>
      <c r="I555" s="873"/>
      <c r="J555" s="873"/>
      <c r="K555" s="873"/>
      <c r="L555" s="873"/>
      <c r="M555" s="873"/>
      <c r="N555" s="873"/>
      <c r="O555" s="873"/>
      <c r="P555" s="873"/>
      <c r="Q555" s="873"/>
      <c r="R555" s="873"/>
      <c r="S555" s="873"/>
      <c r="T555" s="873"/>
      <c r="U555" s="873"/>
      <c r="V555" s="873"/>
      <c r="W555" s="873"/>
      <c r="X555" s="873"/>
      <c r="Y555" s="873"/>
    </row>
    <row r="556">
      <c r="A556" s="873"/>
      <c r="B556" s="873"/>
      <c r="C556" s="873"/>
      <c r="D556" s="873"/>
      <c r="E556" s="873"/>
      <c r="F556" s="873"/>
      <c r="G556" s="873"/>
      <c r="H556" s="873"/>
      <c r="I556" s="873"/>
      <c r="J556" s="873"/>
      <c r="K556" s="873"/>
      <c r="L556" s="873"/>
      <c r="M556" s="873"/>
      <c r="N556" s="873"/>
      <c r="O556" s="873"/>
      <c r="P556" s="873"/>
      <c r="Q556" s="873"/>
      <c r="R556" s="873"/>
      <c r="S556" s="873"/>
      <c r="T556" s="873"/>
      <c r="U556" s="873"/>
      <c r="V556" s="873"/>
      <c r="W556" s="873"/>
      <c r="X556" s="873"/>
      <c r="Y556" s="873"/>
    </row>
    <row r="557">
      <c r="A557" s="873"/>
      <c r="B557" s="873"/>
      <c r="C557" s="873"/>
      <c r="D557" s="873"/>
      <c r="E557" s="873"/>
      <c r="F557" s="873"/>
      <c r="G557" s="873"/>
      <c r="H557" s="873"/>
      <c r="I557" s="873"/>
      <c r="J557" s="873"/>
      <c r="K557" s="873"/>
      <c r="L557" s="873"/>
      <c r="M557" s="873"/>
      <c r="N557" s="873"/>
      <c r="O557" s="873"/>
      <c r="P557" s="873"/>
      <c r="Q557" s="873"/>
      <c r="R557" s="873"/>
      <c r="S557" s="873"/>
      <c r="T557" s="873"/>
      <c r="U557" s="873"/>
      <c r="V557" s="873"/>
      <c r="W557" s="873"/>
      <c r="X557" s="873"/>
      <c r="Y557" s="873"/>
    </row>
    <row r="558">
      <c r="A558" s="873"/>
      <c r="B558" s="873"/>
      <c r="C558" s="873"/>
      <c r="D558" s="873"/>
      <c r="E558" s="873"/>
      <c r="F558" s="873"/>
      <c r="G558" s="873"/>
      <c r="H558" s="873"/>
      <c r="I558" s="873"/>
      <c r="J558" s="873"/>
      <c r="K558" s="873"/>
      <c r="L558" s="873"/>
      <c r="M558" s="873"/>
      <c r="N558" s="873"/>
      <c r="O558" s="873"/>
      <c r="P558" s="873"/>
      <c r="Q558" s="873"/>
      <c r="R558" s="873"/>
      <c r="S558" s="873"/>
      <c r="T558" s="873"/>
      <c r="U558" s="873"/>
      <c r="V558" s="873"/>
      <c r="W558" s="873"/>
      <c r="X558" s="873"/>
      <c r="Y558" s="873"/>
    </row>
    <row r="559">
      <c r="A559" s="873"/>
      <c r="B559" s="873"/>
      <c r="C559" s="873"/>
      <c r="D559" s="873"/>
      <c r="E559" s="873"/>
      <c r="F559" s="873"/>
      <c r="G559" s="873"/>
      <c r="H559" s="873"/>
      <c r="I559" s="873"/>
      <c r="J559" s="873"/>
      <c r="K559" s="873"/>
      <c r="L559" s="873"/>
      <c r="M559" s="873"/>
      <c r="N559" s="873"/>
      <c r="O559" s="873"/>
      <c r="P559" s="873"/>
      <c r="Q559" s="873"/>
      <c r="R559" s="873"/>
      <c r="S559" s="873"/>
      <c r="T559" s="873"/>
      <c r="U559" s="873"/>
      <c r="V559" s="873"/>
      <c r="W559" s="873"/>
      <c r="X559" s="873"/>
      <c r="Y559" s="873"/>
    </row>
    <row r="560">
      <c r="A560" s="873"/>
      <c r="B560" s="873"/>
      <c r="C560" s="873"/>
      <c r="D560" s="873"/>
      <c r="E560" s="873"/>
      <c r="F560" s="873"/>
      <c r="G560" s="873"/>
      <c r="H560" s="873"/>
      <c r="I560" s="873"/>
      <c r="J560" s="873"/>
      <c r="K560" s="873"/>
      <c r="L560" s="873"/>
      <c r="M560" s="873"/>
      <c r="N560" s="873"/>
      <c r="O560" s="873"/>
      <c r="P560" s="873"/>
      <c r="Q560" s="873"/>
      <c r="R560" s="873"/>
      <c r="S560" s="873"/>
      <c r="T560" s="873"/>
      <c r="U560" s="873"/>
      <c r="V560" s="873"/>
      <c r="W560" s="873"/>
      <c r="X560" s="873"/>
      <c r="Y560" s="873"/>
    </row>
    <row r="561">
      <c r="A561" s="873"/>
      <c r="B561" s="873"/>
      <c r="C561" s="873"/>
      <c r="D561" s="873"/>
      <c r="E561" s="873"/>
      <c r="F561" s="873"/>
      <c r="G561" s="873"/>
      <c r="H561" s="873"/>
      <c r="I561" s="873"/>
      <c r="J561" s="873"/>
      <c r="K561" s="873"/>
      <c r="L561" s="873"/>
      <c r="M561" s="873"/>
      <c r="N561" s="873"/>
      <c r="O561" s="873"/>
      <c r="P561" s="873"/>
      <c r="Q561" s="873"/>
      <c r="R561" s="873"/>
      <c r="S561" s="873"/>
      <c r="T561" s="873"/>
      <c r="U561" s="873"/>
      <c r="V561" s="873"/>
      <c r="W561" s="873"/>
      <c r="X561" s="873"/>
      <c r="Y561" s="873"/>
    </row>
    <row r="562">
      <c r="A562" s="873"/>
      <c r="B562" s="873"/>
      <c r="C562" s="873"/>
      <c r="D562" s="873"/>
      <c r="E562" s="873"/>
      <c r="F562" s="873"/>
      <c r="G562" s="873"/>
      <c r="H562" s="873"/>
      <c r="I562" s="873"/>
      <c r="J562" s="873"/>
      <c r="K562" s="873"/>
      <c r="L562" s="873"/>
      <c r="M562" s="873"/>
      <c r="N562" s="873"/>
      <c r="O562" s="873"/>
      <c r="P562" s="873"/>
      <c r="Q562" s="873"/>
      <c r="R562" s="873"/>
      <c r="S562" s="873"/>
      <c r="T562" s="873"/>
      <c r="U562" s="873"/>
      <c r="V562" s="873"/>
      <c r="W562" s="873"/>
      <c r="X562" s="873"/>
      <c r="Y562" s="873"/>
    </row>
    <row r="563">
      <c r="A563" s="873"/>
      <c r="B563" s="873"/>
      <c r="C563" s="873"/>
      <c r="D563" s="873"/>
      <c r="E563" s="873"/>
      <c r="F563" s="873"/>
      <c r="G563" s="873"/>
      <c r="H563" s="873"/>
      <c r="I563" s="873"/>
      <c r="J563" s="873"/>
      <c r="K563" s="873"/>
      <c r="L563" s="873"/>
      <c r="M563" s="873"/>
      <c r="N563" s="873"/>
      <c r="O563" s="873"/>
      <c r="P563" s="873"/>
      <c r="Q563" s="873"/>
      <c r="R563" s="873"/>
      <c r="S563" s="873"/>
      <c r="T563" s="873"/>
      <c r="U563" s="873"/>
      <c r="V563" s="873"/>
      <c r="W563" s="873"/>
      <c r="X563" s="873"/>
      <c r="Y563" s="873"/>
    </row>
    <row r="564">
      <c r="A564" s="873"/>
      <c r="B564" s="873"/>
      <c r="C564" s="873"/>
      <c r="D564" s="873"/>
      <c r="E564" s="873"/>
      <c r="F564" s="873"/>
      <c r="G564" s="873"/>
      <c r="H564" s="873"/>
      <c r="I564" s="873"/>
      <c r="J564" s="873"/>
      <c r="K564" s="873"/>
      <c r="L564" s="873"/>
      <c r="M564" s="873"/>
      <c r="N564" s="873"/>
      <c r="O564" s="873"/>
      <c r="P564" s="873"/>
      <c r="Q564" s="873"/>
      <c r="R564" s="873"/>
      <c r="S564" s="873"/>
      <c r="T564" s="873"/>
      <c r="U564" s="873"/>
      <c r="V564" s="873"/>
      <c r="W564" s="873"/>
      <c r="X564" s="873"/>
      <c r="Y564" s="873"/>
    </row>
    <row r="565">
      <c r="A565" s="873"/>
      <c r="B565" s="873"/>
      <c r="C565" s="873"/>
      <c r="D565" s="873"/>
      <c r="E565" s="873"/>
      <c r="F565" s="873"/>
      <c r="G565" s="873"/>
      <c r="H565" s="873"/>
      <c r="I565" s="873"/>
      <c r="J565" s="873"/>
      <c r="K565" s="873"/>
      <c r="L565" s="873"/>
      <c r="M565" s="873"/>
      <c r="N565" s="873"/>
      <c r="O565" s="873"/>
      <c r="P565" s="873"/>
      <c r="Q565" s="873"/>
      <c r="R565" s="873"/>
      <c r="S565" s="873"/>
      <c r="T565" s="873"/>
      <c r="U565" s="873"/>
      <c r="V565" s="873"/>
      <c r="W565" s="873"/>
      <c r="X565" s="873"/>
      <c r="Y565" s="873"/>
    </row>
    <row r="566">
      <c r="A566" s="873"/>
      <c r="B566" s="873"/>
      <c r="C566" s="873"/>
      <c r="D566" s="873"/>
      <c r="E566" s="873"/>
      <c r="F566" s="873"/>
      <c r="G566" s="873"/>
      <c r="H566" s="873"/>
      <c r="I566" s="873"/>
      <c r="J566" s="873"/>
      <c r="K566" s="873"/>
      <c r="L566" s="873"/>
      <c r="M566" s="873"/>
      <c r="N566" s="873"/>
      <c r="O566" s="873"/>
      <c r="P566" s="873"/>
      <c r="Q566" s="873"/>
      <c r="R566" s="873"/>
      <c r="S566" s="873"/>
      <c r="T566" s="873"/>
      <c r="U566" s="873"/>
      <c r="V566" s="873"/>
      <c r="W566" s="873"/>
      <c r="X566" s="873"/>
      <c r="Y566" s="873"/>
    </row>
    <row r="567">
      <c r="A567" s="873"/>
      <c r="B567" s="873"/>
      <c r="C567" s="873"/>
      <c r="D567" s="873"/>
      <c r="E567" s="873"/>
      <c r="F567" s="873"/>
      <c r="G567" s="873"/>
      <c r="H567" s="873"/>
      <c r="I567" s="873"/>
      <c r="J567" s="873"/>
      <c r="K567" s="873"/>
      <c r="L567" s="873"/>
      <c r="M567" s="873"/>
      <c r="N567" s="873"/>
      <c r="O567" s="873"/>
      <c r="P567" s="873"/>
      <c r="Q567" s="873"/>
      <c r="R567" s="873"/>
      <c r="S567" s="873"/>
      <c r="T567" s="873"/>
      <c r="U567" s="873"/>
      <c r="V567" s="873"/>
      <c r="W567" s="873"/>
      <c r="X567" s="873"/>
      <c r="Y567" s="873"/>
    </row>
    <row r="568">
      <c r="A568" s="873"/>
      <c r="B568" s="873"/>
      <c r="C568" s="873"/>
      <c r="D568" s="873"/>
      <c r="E568" s="873"/>
      <c r="F568" s="873"/>
      <c r="G568" s="873"/>
      <c r="H568" s="873"/>
      <c r="I568" s="873"/>
      <c r="J568" s="873"/>
      <c r="K568" s="873"/>
      <c r="L568" s="873"/>
      <c r="M568" s="873"/>
      <c r="N568" s="873"/>
      <c r="O568" s="873"/>
      <c r="P568" s="873"/>
      <c r="Q568" s="873"/>
      <c r="R568" s="873"/>
      <c r="S568" s="873"/>
      <c r="T568" s="873"/>
      <c r="U568" s="873"/>
      <c r="V568" s="873"/>
      <c r="W568" s="873"/>
      <c r="X568" s="873"/>
      <c r="Y568" s="873"/>
    </row>
    <row r="569">
      <c r="A569" s="873"/>
      <c r="B569" s="873"/>
      <c r="C569" s="873"/>
      <c r="D569" s="873"/>
      <c r="E569" s="873"/>
      <c r="F569" s="873"/>
      <c r="G569" s="873"/>
      <c r="H569" s="873"/>
      <c r="I569" s="873"/>
      <c r="J569" s="873"/>
      <c r="K569" s="873"/>
      <c r="L569" s="873"/>
      <c r="M569" s="873"/>
      <c r="N569" s="873"/>
      <c r="O569" s="873"/>
      <c r="P569" s="873"/>
      <c r="Q569" s="873"/>
      <c r="R569" s="873"/>
      <c r="S569" s="873"/>
      <c r="T569" s="873"/>
      <c r="U569" s="873"/>
      <c r="V569" s="873"/>
      <c r="W569" s="873"/>
      <c r="X569" s="873"/>
      <c r="Y569" s="873"/>
    </row>
    <row r="570">
      <c r="A570" s="873"/>
      <c r="B570" s="873"/>
      <c r="C570" s="873"/>
      <c r="D570" s="873"/>
      <c r="E570" s="873"/>
      <c r="F570" s="873"/>
      <c r="G570" s="873"/>
      <c r="H570" s="873"/>
      <c r="I570" s="873"/>
      <c r="J570" s="873"/>
      <c r="K570" s="873"/>
      <c r="L570" s="873"/>
      <c r="M570" s="873"/>
      <c r="N570" s="873"/>
      <c r="O570" s="873"/>
      <c r="P570" s="873"/>
      <c r="Q570" s="873"/>
      <c r="R570" s="873"/>
      <c r="S570" s="873"/>
      <c r="T570" s="873"/>
      <c r="U570" s="873"/>
      <c r="V570" s="873"/>
      <c r="W570" s="873"/>
      <c r="X570" s="873"/>
      <c r="Y570" s="873"/>
    </row>
    <row r="571">
      <c r="A571" s="873"/>
      <c r="B571" s="873"/>
      <c r="C571" s="873"/>
      <c r="D571" s="873"/>
      <c r="E571" s="873"/>
      <c r="F571" s="873"/>
      <c r="G571" s="873"/>
      <c r="H571" s="873"/>
      <c r="I571" s="873"/>
      <c r="J571" s="873"/>
      <c r="K571" s="873"/>
      <c r="L571" s="873"/>
      <c r="M571" s="873"/>
      <c r="N571" s="873"/>
      <c r="O571" s="873"/>
      <c r="P571" s="873"/>
      <c r="Q571" s="873"/>
      <c r="R571" s="873"/>
      <c r="S571" s="873"/>
      <c r="T571" s="873"/>
      <c r="U571" s="873"/>
      <c r="V571" s="873"/>
      <c r="W571" s="873"/>
      <c r="X571" s="873"/>
      <c r="Y571" s="873"/>
    </row>
    <row r="572">
      <c r="A572" s="873"/>
      <c r="B572" s="873"/>
      <c r="C572" s="873"/>
      <c r="D572" s="873"/>
      <c r="E572" s="873"/>
      <c r="F572" s="873"/>
      <c r="G572" s="873"/>
      <c r="H572" s="873"/>
      <c r="I572" s="873"/>
      <c r="J572" s="873"/>
      <c r="K572" s="873"/>
      <c r="L572" s="873"/>
      <c r="M572" s="873"/>
      <c r="N572" s="873"/>
      <c r="O572" s="873"/>
      <c r="P572" s="873"/>
      <c r="Q572" s="873"/>
      <c r="R572" s="873"/>
      <c r="S572" s="873"/>
      <c r="T572" s="873"/>
      <c r="U572" s="873"/>
      <c r="V572" s="873"/>
      <c r="W572" s="873"/>
      <c r="X572" s="873"/>
      <c r="Y572" s="873"/>
    </row>
    <row r="573">
      <c r="A573" s="873"/>
      <c r="B573" s="873"/>
      <c r="C573" s="873"/>
      <c r="D573" s="873"/>
      <c r="E573" s="873"/>
      <c r="F573" s="873"/>
      <c r="G573" s="873"/>
      <c r="H573" s="873"/>
      <c r="I573" s="873"/>
      <c r="J573" s="873"/>
      <c r="K573" s="873"/>
      <c r="L573" s="873"/>
      <c r="M573" s="873"/>
      <c r="N573" s="873"/>
      <c r="O573" s="873"/>
      <c r="P573" s="873"/>
      <c r="Q573" s="873"/>
      <c r="R573" s="873"/>
      <c r="S573" s="873"/>
      <c r="T573" s="873"/>
      <c r="U573" s="873"/>
      <c r="V573" s="873"/>
      <c r="W573" s="873"/>
      <c r="X573" s="873"/>
      <c r="Y573" s="873"/>
    </row>
    <row r="574">
      <c r="A574" s="873"/>
      <c r="B574" s="873"/>
      <c r="C574" s="873"/>
      <c r="D574" s="873"/>
      <c r="E574" s="873"/>
      <c r="F574" s="873"/>
      <c r="G574" s="873"/>
      <c r="H574" s="873"/>
      <c r="I574" s="873"/>
      <c r="J574" s="873"/>
      <c r="K574" s="873"/>
      <c r="L574" s="873"/>
      <c r="M574" s="873"/>
      <c r="N574" s="873"/>
      <c r="O574" s="873"/>
      <c r="P574" s="873"/>
      <c r="Q574" s="873"/>
      <c r="R574" s="873"/>
      <c r="S574" s="873"/>
      <c r="T574" s="873"/>
      <c r="U574" s="873"/>
      <c r="V574" s="873"/>
      <c r="W574" s="873"/>
      <c r="X574" s="873"/>
      <c r="Y574" s="873"/>
    </row>
    <row r="575">
      <c r="A575" s="873"/>
      <c r="B575" s="873"/>
      <c r="C575" s="873"/>
      <c r="D575" s="873"/>
      <c r="E575" s="873"/>
      <c r="F575" s="873"/>
      <c r="G575" s="873"/>
      <c r="H575" s="873"/>
      <c r="I575" s="873"/>
      <c r="J575" s="873"/>
      <c r="K575" s="873"/>
      <c r="L575" s="873"/>
      <c r="M575" s="873"/>
      <c r="N575" s="873"/>
      <c r="O575" s="873"/>
      <c r="P575" s="873"/>
      <c r="Q575" s="873"/>
      <c r="R575" s="873"/>
      <c r="S575" s="873"/>
      <c r="T575" s="873"/>
      <c r="U575" s="873"/>
      <c r="V575" s="873"/>
      <c r="W575" s="873"/>
      <c r="X575" s="873"/>
      <c r="Y575" s="873"/>
    </row>
    <row r="576">
      <c r="A576" s="873"/>
      <c r="B576" s="873"/>
      <c r="C576" s="873"/>
      <c r="D576" s="873"/>
      <c r="E576" s="873"/>
      <c r="F576" s="873"/>
      <c r="G576" s="873"/>
      <c r="H576" s="873"/>
      <c r="I576" s="873"/>
      <c r="J576" s="873"/>
      <c r="K576" s="873"/>
      <c r="L576" s="873"/>
      <c r="M576" s="873"/>
      <c r="N576" s="873"/>
      <c r="O576" s="873"/>
      <c r="P576" s="873"/>
      <c r="Q576" s="873"/>
      <c r="R576" s="873"/>
      <c r="S576" s="873"/>
      <c r="T576" s="873"/>
      <c r="U576" s="873"/>
      <c r="V576" s="873"/>
      <c r="W576" s="873"/>
      <c r="X576" s="873"/>
      <c r="Y576" s="873"/>
    </row>
    <row r="577">
      <c r="A577" s="873"/>
      <c r="B577" s="873"/>
      <c r="C577" s="873"/>
      <c r="D577" s="873"/>
      <c r="E577" s="873"/>
      <c r="F577" s="873"/>
      <c r="G577" s="873"/>
      <c r="H577" s="873"/>
      <c r="I577" s="873"/>
      <c r="J577" s="873"/>
      <c r="K577" s="873"/>
      <c r="L577" s="873"/>
      <c r="M577" s="873"/>
      <c r="N577" s="873"/>
      <c r="O577" s="873"/>
      <c r="P577" s="873"/>
      <c r="Q577" s="873"/>
      <c r="R577" s="873"/>
      <c r="S577" s="873"/>
      <c r="T577" s="873"/>
      <c r="U577" s="873"/>
      <c r="V577" s="873"/>
      <c r="W577" s="873"/>
      <c r="X577" s="873"/>
      <c r="Y577" s="873"/>
    </row>
    <row r="578">
      <c r="A578" s="873"/>
      <c r="B578" s="873"/>
      <c r="C578" s="873"/>
      <c r="D578" s="873"/>
      <c r="E578" s="873"/>
      <c r="F578" s="873"/>
      <c r="G578" s="873"/>
      <c r="H578" s="873"/>
      <c r="I578" s="873"/>
      <c r="J578" s="873"/>
      <c r="K578" s="873"/>
      <c r="L578" s="873"/>
      <c r="M578" s="873"/>
      <c r="N578" s="873"/>
      <c r="O578" s="873"/>
      <c r="P578" s="873"/>
      <c r="Q578" s="873"/>
      <c r="R578" s="873"/>
      <c r="S578" s="873"/>
      <c r="T578" s="873"/>
      <c r="U578" s="873"/>
      <c r="V578" s="873"/>
      <c r="W578" s="873"/>
      <c r="X578" s="873"/>
      <c r="Y578" s="873"/>
    </row>
    <row r="579">
      <c r="A579" s="873"/>
      <c r="B579" s="873"/>
      <c r="C579" s="873"/>
      <c r="D579" s="873"/>
      <c r="E579" s="873"/>
      <c r="F579" s="873"/>
      <c r="G579" s="873"/>
      <c r="H579" s="873"/>
      <c r="I579" s="873"/>
      <c r="J579" s="873"/>
      <c r="K579" s="873"/>
      <c r="L579" s="873"/>
      <c r="M579" s="873"/>
      <c r="N579" s="873"/>
      <c r="O579" s="873"/>
      <c r="P579" s="873"/>
      <c r="Q579" s="873"/>
      <c r="R579" s="873"/>
      <c r="S579" s="873"/>
      <c r="T579" s="873"/>
      <c r="U579" s="873"/>
      <c r="V579" s="873"/>
      <c r="W579" s="873"/>
      <c r="X579" s="873"/>
      <c r="Y579" s="873"/>
    </row>
    <row r="580">
      <c r="A580" s="873"/>
      <c r="B580" s="873"/>
      <c r="C580" s="873"/>
      <c r="D580" s="873"/>
      <c r="E580" s="873"/>
      <c r="F580" s="873"/>
      <c r="G580" s="873"/>
      <c r="H580" s="873"/>
      <c r="I580" s="873"/>
      <c r="J580" s="873"/>
      <c r="K580" s="873"/>
      <c r="L580" s="873"/>
      <c r="M580" s="873"/>
      <c r="N580" s="873"/>
      <c r="O580" s="873"/>
      <c r="P580" s="873"/>
      <c r="Q580" s="873"/>
      <c r="R580" s="873"/>
      <c r="S580" s="873"/>
      <c r="T580" s="873"/>
      <c r="U580" s="873"/>
      <c r="V580" s="873"/>
      <c r="W580" s="873"/>
      <c r="X580" s="873"/>
      <c r="Y580" s="873"/>
    </row>
    <row r="581">
      <c r="A581" s="873"/>
      <c r="B581" s="873"/>
      <c r="C581" s="873"/>
      <c r="D581" s="873"/>
      <c r="E581" s="873"/>
      <c r="F581" s="873"/>
      <c r="G581" s="873"/>
      <c r="H581" s="873"/>
      <c r="I581" s="873"/>
      <c r="J581" s="873"/>
      <c r="K581" s="873"/>
      <c r="L581" s="873"/>
      <c r="M581" s="873"/>
      <c r="N581" s="873"/>
      <c r="O581" s="873"/>
      <c r="P581" s="873"/>
      <c r="Q581" s="873"/>
      <c r="R581" s="873"/>
      <c r="S581" s="873"/>
      <c r="T581" s="873"/>
      <c r="U581" s="873"/>
      <c r="V581" s="873"/>
      <c r="W581" s="873"/>
      <c r="X581" s="873"/>
      <c r="Y581" s="873"/>
    </row>
    <row r="582">
      <c r="A582" s="873"/>
      <c r="B582" s="873"/>
      <c r="C582" s="873"/>
      <c r="D582" s="873"/>
      <c r="E582" s="873"/>
      <c r="F582" s="873"/>
      <c r="G582" s="873"/>
      <c r="H582" s="873"/>
      <c r="I582" s="873"/>
      <c r="J582" s="873"/>
      <c r="K582" s="873"/>
      <c r="L582" s="873"/>
      <c r="M582" s="873"/>
      <c r="N582" s="873"/>
      <c r="O582" s="873"/>
      <c r="P582" s="873"/>
      <c r="Q582" s="873"/>
      <c r="R582" s="873"/>
      <c r="S582" s="873"/>
      <c r="T582" s="873"/>
      <c r="U582" s="873"/>
      <c r="V582" s="873"/>
      <c r="W582" s="873"/>
      <c r="X582" s="873"/>
      <c r="Y582" s="873"/>
    </row>
    <row r="583">
      <c r="A583" s="873"/>
      <c r="B583" s="873"/>
      <c r="C583" s="873"/>
      <c r="D583" s="873"/>
      <c r="E583" s="873"/>
      <c r="F583" s="873"/>
      <c r="G583" s="873"/>
      <c r="H583" s="873"/>
      <c r="I583" s="873"/>
      <c r="J583" s="873"/>
      <c r="K583" s="873"/>
      <c r="L583" s="873"/>
      <c r="M583" s="873"/>
      <c r="N583" s="873"/>
      <c r="O583" s="873"/>
      <c r="P583" s="873"/>
      <c r="Q583" s="873"/>
      <c r="R583" s="873"/>
      <c r="S583" s="873"/>
      <c r="T583" s="873"/>
      <c r="U583" s="873"/>
      <c r="V583" s="873"/>
      <c r="W583" s="873"/>
      <c r="X583" s="873"/>
      <c r="Y583" s="873"/>
    </row>
    <row r="584">
      <c r="A584" s="873"/>
      <c r="B584" s="873"/>
      <c r="C584" s="873"/>
      <c r="D584" s="873"/>
      <c r="E584" s="873"/>
      <c r="F584" s="873"/>
      <c r="G584" s="873"/>
      <c r="H584" s="873"/>
      <c r="I584" s="873"/>
      <c r="J584" s="873"/>
      <c r="K584" s="873"/>
      <c r="L584" s="873"/>
      <c r="M584" s="873"/>
      <c r="N584" s="873"/>
      <c r="O584" s="873"/>
      <c r="P584" s="873"/>
      <c r="Q584" s="873"/>
      <c r="R584" s="873"/>
      <c r="S584" s="873"/>
      <c r="T584" s="873"/>
      <c r="U584" s="873"/>
      <c r="V584" s="873"/>
      <c r="W584" s="873"/>
      <c r="X584" s="873"/>
      <c r="Y584" s="873"/>
    </row>
    <row r="585">
      <c r="A585" s="873"/>
      <c r="B585" s="873"/>
      <c r="C585" s="873"/>
      <c r="D585" s="873"/>
      <c r="E585" s="873"/>
      <c r="F585" s="873"/>
      <c r="G585" s="873"/>
      <c r="H585" s="873"/>
      <c r="I585" s="873"/>
      <c r="J585" s="873"/>
      <c r="K585" s="873"/>
      <c r="L585" s="873"/>
      <c r="M585" s="873"/>
      <c r="N585" s="873"/>
      <c r="O585" s="873"/>
      <c r="P585" s="873"/>
      <c r="Q585" s="873"/>
      <c r="R585" s="873"/>
      <c r="S585" s="873"/>
      <c r="T585" s="873"/>
      <c r="U585" s="873"/>
      <c r="V585" s="873"/>
      <c r="W585" s="873"/>
      <c r="X585" s="873"/>
      <c r="Y585" s="873"/>
    </row>
    <row r="586">
      <c r="A586" s="873"/>
      <c r="B586" s="873"/>
      <c r="C586" s="873"/>
      <c r="D586" s="873"/>
      <c r="E586" s="873"/>
      <c r="F586" s="873"/>
      <c r="G586" s="873"/>
      <c r="H586" s="873"/>
      <c r="I586" s="873"/>
      <c r="J586" s="873"/>
      <c r="K586" s="873"/>
      <c r="L586" s="873"/>
      <c r="M586" s="873"/>
      <c r="N586" s="873"/>
      <c r="O586" s="873"/>
      <c r="P586" s="873"/>
      <c r="Q586" s="873"/>
      <c r="R586" s="873"/>
      <c r="S586" s="873"/>
      <c r="T586" s="873"/>
      <c r="U586" s="873"/>
      <c r="V586" s="873"/>
      <c r="W586" s="873"/>
      <c r="X586" s="873"/>
      <c r="Y586" s="873"/>
    </row>
    <row r="587">
      <c r="A587" s="873"/>
      <c r="B587" s="873"/>
      <c r="C587" s="873"/>
      <c r="D587" s="873"/>
      <c r="E587" s="873"/>
      <c r="F587" s="873"/>
      <c r="G587" s="873"/>
      <c r="H587" s="873"/>
      <c r="I587" s="873"/>
      <c r="J587" s="873"/>
      <c r="K587" s="873"/>
      <c r="L587" s="873"/>
      <c r="M587" s="873"/>
      <c r="N587" s="873"/>
      <c r="O587" s="873"/>
      <c r="P587" s="873"/>
      <c r="Q587" s="873"/>
      <c r="R587" s="873"/>
      <c r="S587" s="873"/>
      <c r="T587" s="873"/>
      <c r="U587" s="873"/>
      <c r="V587" s="873"/>
      <c r="W587" s="873"/>
      <c r="X587" s="873"/>
      <c r="Y587" s="873"/>
    </row>
    <row r="588">
      <c r="A588" s="873"/>
      <c r="B588" s="873"/>
      <c r="C588" s="873"/>
      <c r="D588" s="873"/>
      <c r="E588" s="873"/>
      <c r="F588" s="873"/>
      <c r="G588" s="873"/>
      <c r="H588" s="873"/>
      <c r="I588" s="873"/>
      <c r="J588" s="873"/>
      <c r="K588" s="873"/>
      <c r="L588" s="873"/>
      <c r="M588" s="873"/>
      <c r="N588" s="873"/>
      <c r="O588" s="873"/>
      <c r="P588" s="873"/>
      <c r="Q588" s="873"/>
      <c r="R588" s="873"/>
      <c r="S588" s="873"/>
      <c r="T588" s="873"/>
      <c r="U588" s="873"/>
      <c r="V588" s="873"/>
      <c r="W588" s="873"/>
      <c r="X588" s="873"/>
      <c r="Y588" s="873"/>
    </row>
    <row r="589">
      <c r="A589" s="873"/>
      <c r="B589" s="873"/>
      <c r="C589" s="873"/>
      <c r="D589" s="873"/>
      <c r="E589" s="873"/>
      <c r="F589" s="873"/>
      <c r="G589" s="873"/>
      <c r="H589" s="873"/>
      <c r="I589" s="873"/>
      <c r="J589" s="873"/>
      <c r="K589" s="873"/>
      <c r="L589" s="873"/>
      <c r="M589" s="873"/>
      <c r="N589" s="873"/>
      <c r="O589" s="873"/>
      <c r="P589" s="873"/>
      <c r="Q589" s="873"/>
      <c r="R589" s="873"/>
      <c r="S589" s="873"/>
      <c r="T589" s="873"/>
      <c r="U589" s="873"/>
      <c r="V589" s="873"/>
      <c r="W589" s="873"/>
      <c r="X589" s="873"/>
      <c r="Y589" s="873"/>
    </row>
    <row r="590">
      <c r="A590" s="873"/>
      <c r="B590" s="873"/>
      <c r="C590" s="873"/>
      <c r="D590" s="873"/>
      <c r="E590" s="873"/>
      <c r="F590" s="873"/>
      <c r="G590" s="873"/>
      <c r="H590" s="873"/>
      <c r="I590" s="873"/>
      <c r="J590" s="873"/>
      <c r="K590" s="873"/>
      <c r="L590" s="873"/>
      <c r="M590" s="873"/>
      <c r="N590" s="873"/>
      <c r="O590" s="873"/>
      <c r="P590" s="873"/>
      <c r="Q590" s="873"/>
      <c r="R590" s="873"/>
      <c r="S590" s="873"/>
      <c r="T590" s="873"/>
      <c r="U590" s="873"/>
      <c r="V590" s="873"/>
      <c r="W590" s="873"/>
      <c r="X590" s="873"/>
      <c r="Y590" s="873"/>
    </row>
    <row r="591">
      <c r="A591" s="873"/>
      <c r="B591" s="873"/>
      <c r="C591" s="873"/>
      <c r="D591" s="873"/>
      <c r="E591" s="873"/>
      <c r="F591" s="873"/>
      <c r="G591" s="873"/>
      <c r="H591" s="873"/>
      <c r="I591" s="873"/>
      <c r="J591" s="873"/>
      <c r="K591" s="873"/>
      <c r="L591" s="873"/>
      <c r="M591" s="873"/>
      <c r="N591" s="873"/>
      <c r="O591" s="873"/>
      <c r="P591" s="873"/>
      <c r="Q591" s="873"/>
      <c r="R591" s="873"/>
      <c r="S591" s="873"/>
      <c r="T591" s="873"/>
      <c r="U591" s="873"/>
      <c r="V591" s="873"/>
      <c r="W591" s="873"/>
      <c r="X591" s="873"/>
      <c r="Y591" s="873"/>
    </row>
    <row r="592">
      <c r="A592" s="873"/>
      <c r="B592" s="873"/>
      <c r="C592" s="873"/>
      <c r="D592" s="873"/>
      <c r="E592" s="873"/>
      <c r="F592" s="873"/>
      <c r="G592" s="873"/>
      <c r="H592" s="873"/>
      <c r="I592" s="873"/>
      <c r="J592" s="873"/>
      <c r="K592" s="873"/>
      <c r="L592" s="873"/>
      <c r="M592" s="873"/>
      <c r="N592" s="873"/>
      <c r="O592" s="873"/>
      <c r="P592" s="873"/>
      <c r="Q592" s="873"/>
      <c r="R592" s="873"/>
      <c r="S592" s="873"/>
      <c r="T592" s="873"/>
      <c r="U592" s="873"/>
      <c r="V592" s="873"/>
      <c r="W592" s="873"/>
      <c r="X592" s="873"/>
      <c r="Y592" s="873"/>
    </row>
    <row r="593">
      <c r="A593" s="873"/>
      <c r="B593" s="873"/>
      <c r="C593" s="873"/>
      <c r="D593" s="873"/>
      <c r="E593" s="873"/>
      <c r="F593" s="873"/>
      <c r="G593" s="873"/>
      <c r="H593" s="873"/>
      <c r="I593" s="873"/>
      <c r="J593" s="873"/>
      <c r="K593" s="873"/>
      <c r="L593" s="873"/>
      <c r="M593" s="873"/>
      <c r="N593" s="873"/>
      <c r="O593" s="873"/>
      <c r="P593" s="873"/>
      <c r="Q593" s="873"/>
      <c r="R593" s="873"/>
      <c r="S593" s="873"/>
      <c r="T593" s="873"/>
      <c r="U593" s="873"/>
      <c r="V593" s="873"/>
      <c r="W593" s="873"/>
      <c r="X593" s="873"/>
      <c r="Y593" s="873"/>
    </row>
    <row r="594">
      <c r="A594" s="873"/>
      <c r="B594" s="873"/>
      <c r="C594" s="873"/>
      <c r="D594" s="873"/>
      <c r="E594" s="873"/>
      <c r="F594" s="873"/>
      <c r="G594" s="873"/>
      <c r="H594" s="873"/>
      <c r="I594" s="873"/>
      <c r="J594" s="873"/>
      <c r="K594" s="873"/>
      <c r="L594" s="873"/>
      <c r="M594" s="873"/>
      <c r="N594" s="873"/>
      <c r="O594" s="873"/>
      <c r="P594" s="873"/>
      <c r="Q594" s="873"/>
      <c r="R594" s="873"/>
      <c r="S594" s="873"/>
      <c r="T594" s="873"/>
      <c r="U594" s="873"/>
      <c r="V594" s="873"/>
      <c r="W594" s="873"/>
      <c r="X594" s="873"/>
      <c r="Y594" s="873"/>
    </row>
    <row r="595">
      <c r="A595" s="873"/>
      <c r="B595" s="873"/>
      <c r="C595" s="873"/>
      <c r="D595" s="873"/>
      <c r="E595" s="873"/>
      <c r="F595" s="873"/>
      <c r="G595" s="873"/>
      <c r="H595" s="873"/>
      <c r="I595" s="873"/>
      <c r="J595" s="873"/>
      <c r="K595" s="873"/>
      <c r="L595" s="873"/>
      <c r="M595" s="873"/>
      <c r="N595" s="873"/>
      <c r="O595" s="873"/>
      <c r="P595" s="873"/>
      <c r="Q595" s="873"/>
      <c r="R595" s="873"/>
      <c r="S595" s="873"/>
      <c r="T595" s="873"/>
      <c r="U595" s="873"/>
      <c r="V595" s="873"/>
      <c r="W595" s="873"/>
      <c r="X595" s="873"/>
      <c r="Y595" s="873"/>
    </row>
    <row r="596">
      <c r="A596" s="873"/>
      <c r="B596" s="873"/>
      <c r="C596" s="873"/>
      <c r="D596" s="873"/>
      <c r="E596" s="873"/>
      <c r="F596" s="873"/>
      <c r="G596" s="873"/>
      <c r="H596" s="873"/>
      <c r="I596" s="873"/>
      <c r="J596" s="873"/>
      <c r="K596" s="873"/>
      <c r="L596" s="873"/>
      <c r="M596" s="873"/>
      <c r="N596" s="873"/>
      <c r="O596" s="873"/>
      <c r="P596" s="873"/>
      <c r="Q596" s="873"/>
      <c r="R596" s="873"/>
      <c r="S596" s="873"/>
      <c r="T596" s="873"/>
      <c r="U596" s="873"/>
      <c r="V596" s="873"/>
      <c r="W596" s="873"/>
      <c r="X596" s="873"/>
      <c r="Y596" s="873"/>
    </row>
    <row r="597">
      <c r="A597" s="873"/>
      <c r="B597" s="873"/>
      <c r="C597" s="873"/>
      <c r="D597" s="873"/>
      <c r="E597" s="873"/>
      <c r="F597" s="873"/>
      <c r="G597" s="873"/>
      <c r="H597" s="873"/>
      <c r="I597" s="873"/>
      <c r="J597" s="873"/>
      <c r="K597" s="873"/>
      <c r="L597" s="873"/>
      <c r="M597" s="873"/>
      <c r="N597" s="873"/>
      <c r="O597" s="873"/>
      <c r="P597" s="873"/>
      <c r="Q597" s="873"/>
      <c r="R597" s="873"/>
      <c r="S597" s="873"/>
      <c r="T597" s="873"/>
      <c r="U597" s="873"/>
      <c r="V597" s="873"/>
      <c r="W597" s="873"/>
      <c r="X597" s="873"/>
      <c r="Y597" s="873"/>
    </row>
    <row r="598">
      <c r="A598" s="873"/>
      <c r="B598" s="873"/>
      <c r="C598" s="873"/>
      <c r="D598" s="873"/>
      <c r="E598" s="873"/>
      <c r="F598" s="873"/>
      <c r="G598" s="873"/>
      <c r="H598" s="873"/>
      <c r="I598" s="873"/>
      <c r="J598" s="873"/>
      <c r="K598" s="873"/>
      <c r="L598" s="873"/>
      <c r="M598" s="873"/>
      <c r="N598" s="873"/>
      <c r="O598" s="873"/>
      <c r="P598" s="873"/>
      <c r="Q598" s="873"/>
      <c r="R598" s="873"/>
      <c r="S598" s="873"/>
      <c r="T598" s="873"/>
      <c r="U598" s="873"/>
      <c r="V598" s="873"/>
      <c r="W598" s="873"/>
      <c r="X598" s="873"/>
      <c r="Y598" s="873"/>
    </row>
    <row r="599">
      <c r="A599" s="873"/>
      <c r="B599" s="873"/>
      <c r="C599" s="873"/>
      <c r="D599" s="873"/>
      <c r="E599" s="873"/>
      <c r="F599" s="873"/>
      <c r="G599" s="873"/>
      <c r="H599" s="873"/>
      <c r="I599" s="873"/>
      <c r="J599" s="873"/>
      <c r="K599" s="873"/>
      <c r="L599" s="873"/>
      <c r="M599" s="873"/>
      <c r="N599" s="873"/>
      <c r="O599" s="873"/>
      <c r="P599" s="873"/>
      <c r="Q599" s="873"/>
      <c r="R599" s="873"/>
      <c r="S599" s="873"/>
      <c r="T599" s="873"/>
      <c r="U599" s="873"/>
      <c r="V599" s="873"/>
      <c r="W599" s="873"/>
      <c r="X599" s="873"/>
      <c r="Y599" s="873"/>
    </row>
    <row r="600">
      <c r="A600" s="873"/>
      <c r="B600" s="873"/>
      <c r="C600" s="873"/>
      <c r="D600" s="873"/>
      <c r="E600" s="873"/>
      <c r="F600" s="873"/>
      <c r="G600" s="873"/>
      <c r="H600" s="873"/>
      <c r="I600" s="873"/>
      <c r="J600" s="873"/>
      <c r="K600" s="873"/>
      <c r="L600" s="873"/>
      <c r="M600" s="873"/>
      <c r="N600" s="873"/>
      <c r="O600" s="873"/>
      <c r="P600" s="873"/>
      <c r="Q600" s="873"/>
      <c r="R600" s="873"/>
      <c r="S600" s="873"/>
      <c r="T600" s="873"/>
      <c r="U600" s="873"/>
      <c r="V600" s="873"/>
      <c r="W600" s="873"/>
      <c r="X600" s="873"/>
      <c r="Y600" s="873"/>
    </row>
    <row r="601">
      <c r="A601" s="873"/>
      <c r="B601" s="873"/>
      <c r="C601" s="873"/>
      <c r="D601" s="873"/>
      <c r="E601" s="873"/>
      <c r="F601" s="873"/>
      <c r="G601" s="873"/>
      <c r="H601" s="873"/>
      <c r="I601" s="873"/>
      <c r="J601" s="873"/>
      <c r="K601" s="873"/>
      <c r="L601" s="873"/>
      <c r="M601" s="873"/>
      <c r="N601" s="873"/>
      <c r="O601" s="873"/>
      <c r="P601" s="873"/>
      <c r="Q601" s="873"/>
      <c r="R601" s="873"/>
      <c r="S601" s="873"/>
      <c r="T601" s="873"/>
      <c r="U601" s="873"/>
      <c r="V601" s="873"/>
      <c r="W601" s="873"/>
      <c r="X601" s="873"/>
      <c r="Y601" s="873"/>
    </row>
    <row r="602">
      <c r="A602" s="873"/>
      <c r="B602" s="873"/>
      <c r="C602" s="873"/>
      <c r="D602" s="873"/>
      <c r="E602" s="873"/>
      <c r="F602" s="873"/>
      <c r="G602" s="873"/>
      <c r="H602" s="873"/>
      <c r="I602" s="873"/>
      <c r="J602" s="873"/>
      <c r="K602" s="873"/>
      <c r="L602" s="873"/>
      <c r="M602" s="873"/>
      <c r="N602" s="873"/>
      <c r="O602" s="873"/>
      <c r="P602" s="873"/>
      <c r="Q602" s="873"/>
      <c r="R602" s="873"/>
      <c r="S602" s="873"/>
      <c r="T602" s="873"/>
      <c r="U602" s="873"/>
      <c r="V602" s="873"/>
      <c r="W602" s="873"/>
      <c r="X602" s="873"/>
      <c r="Y602" s="873"/>
    </row>
    <row r="603">
      <c r="A603" s="873"/>
      <c r="B603" s="873"/>
      <c r="C603" s="873"/>
      <c r="D603" s="873"/>
      <c r="E603" s="873"/>
      <c r="F603" s="873"/>
      <c r="G603" s="873"/>
      <c r="H603" s="873"/>
      <c r="I603" s="873"/>
      <c r="J603" s="873"/>
      <c r="K603" s="873"/>
      <c r="L603" s="873"/>
      <c r="M603" s="873"/>
      <c r="N603" s="873"/>
      <c r="O603" s="873"/>
      <c r="P603" s="873"/>
      <c r="Q603" s="873"/>
      <c r="R603" s="873"/>
      <c r="S603" s="873"/>
      <c r="T603" s="873"/>
      <c r="U603" s="873"/>
      <c r="V603" s="873"/>
      <c r="W603" s="873"/>
      <c r="X603" s="873"/>
      <c r="Y603" s="873"/>
    </row>
    <row r="604">
      <c r="A604" s="873"/>
      <c r="B604" s="873"/>
      <c r="C604" s="873"/>
      <c r="D604" s="873"/>
      <c r="E604" s="873"/>
      <c r="F604" s="873"/>
      <c r="G604" s="873"/>
      <c r="H604" s="873"/>
      <c r="I604" s="873"/>
      <c r="J604" s="873"/>
      <c r="K604" s="873"/>
      <c r="L604" s="873"/>
      <c r="M604" s="873"/>
      <c r="N604" s="873"/>
      <c r="O604" s="873"/>
      <c r="P604" s="873"/>
      <c r="Q604" s="873"/>
      <c r="R604" s="873"/>
      <c r="S604" s="873"/>
      <c r="T604" s="873"/>
      <c r="U604" s="873"/>
      <c r="V604" s="873"/>
      <c r="W604" s="873"/>
      <c r="X604" s="873"/>
      <c r="Y604" s="873"/>
    </row>
    <row r="605">
      <c r="A605" s="873"/>
      <c r="B605" s="873"/>
      <c r="C605" s="873"/>
      <c r="D605" s="873"/>
      <c r="E605" s="873"/>
      <c r="F605" s="873"/>
      <c r="G605" s="873"/>
      <c r="H605" s="873"/>
      <c r="I605" s="873"/>
      <c r="J605" s="873"/>
      <c r="K605" s="873"/>
      <c r="L605" s="873"/>
      <c r="M605" s="873"/>
      <c r="N605" s="873"/>
      <c r="O605" s="873"/>
      <c r="P605" s="873"/>
      <c r="Q605" s="873"/>
      <c r="R605" s="873"/>
      <c r="S605" s="873"/>
      <c r="T605" s="873"/>
      <c r="U605" s="873"/>
      <c r="V605" s="873"/>
      <c r="W605" s="873"/>
      <c r="X605" s="873"/>
      <c r="Y605" s="873"/>
    </row>
    <row r="606">
      <c r="A606" s="873"/>
      <c r="B606" s="873"/>
      <c r="C606" s="873"/>
      <c r="D606" s="873"/>
      <c r="E606" s="873"/>
      <c r="F606" s="873"/>
      <c r="G606" s="873"/>
      <c r="H606" s="873"/>
      <c r="I606" s="873"/>
      <c r="J606" s="873"/>
      <c r="K606" s="873"/>
      <c r="L606" s="873"/>
      <c r="M606" s="873"/>
      <c r="N606" s="873"/>
      <c r="O606" s="873"/>
      <c r="P606" s="873"/>
      <c r="Q606" s="873"/>
      <c r="R606" s="873"/>
      <c r="S606" s="873"/>
      <c r="T606" s="873"/>
      <c r="U606" s="873"/>
      <c r="V606" s="873"/>
      <c r="W606" s="873"/>
      <c r="X606" s="873"/>
      <c r="Y606" s="873"/>
    </row>
    <row r="607">
      <c r="A607" s="873"/>
      <c r="B607" s="873"/>
      <c r="C607" s="873"/>
      <c r="D607" s="873"/>
      <c r="E607" s="873"/>
      <c r="F607" s="873"/>
      <c r="G607" s="873"/>
      <c r="H607" s="873"/>
      <c r="I607" s="873"/>
      <c r="J607" s="873"/>
      <c r="K607" s="873"/>
      <c r="L607" s="873"/>
      <c r="M607" s="873"/>
      <c r="N607" s="873"/>
      <c r="O607" s="873"/>
      <c r="P607" s="873"/>
      <c r="Q607" s="873"/>
      <c r="R607" s="873"/>
      <c r="S607" s="873"/>
      <c r="T607" s="873"/>
      <c r="U607" s="873"/>
      <c r="V607" s="873"/>
      <c r="W607" s="873"/>
      <c r="X607" s="873"/>
      <c r="Y607" s="873"/>
    </row>
    <row r="608">
      <c r="A608" s="873"/>
      <c r="B608" s="873"/>
      <c r="C608" s="873"/>
      <c r="D608" s="873"/>
      <c r="E608" s="873"/>
      <c r="F608" s="873"/>
      <c r="G608" s="873"/>
      <c r="H608" s="873"/>
      <c r="I608" s="873"/>
      <c r="J608" s="873"/>
      <c r="K608" s="873"/>
      <c r="L608" s="873"/>
      <c r="M608" s="873"/>
      <c r="N608" s="873"/>
      <c r="O608" s="873"/>
      <c r="P608" s="873"/>
      <c r="Q608" s="873"/>
      <c r="R608" s="873"/>
      <c r="S608" s="873"/>
      <c r="T608" s="873"/>
      <c r="U608" s="873"/>
      <c r="V608" s="873"/>
      <c r="W608" s="873"/>
      <c r="X608" s="873"/>
      <c r="Y608" s="873"/>
    </row>
    <row r="609">
      <c r="A609" s="873"/>
      <c r="B609" s="873"/>
      <c r="C609" s="873"/>
      <c r="D609" s="873"/>
      <c r="E609" s="873"/>
      <c r="F609" s="873"/>
      <c r="G609" s="873"/>
      <c r="H609" s="873"/>
      <c r="I609" s="873"/>
      <c r="J609" s="873"/>
      <c r="K609" s="873"/>
      <c r="L609" s="873"/>
      <c r="M609" s="873"/>
      <c r="N609" s="873"/>
      <c r="O609" s="873"/>
      <c r="P609" s="873"/>
      <c r="Q609" s="873"/>
      <c r="R609" s="873"/>
      <c r="S609" s="873"/>
      <c r="T609" s="873"/>
      <c r="U609" s="873"/>
      <c r="V609" s="873"/>
      <c r="W609" s="873"/>
      <c r="X609" s="873"/>
      <c r="Y609" s="873"/>
    </row>
    <row r="610">
      <c r="A610" s="873"/>
      <c r="B610" s="873"/>
      <c r="C610" s="873"/>
      <c r="D610" s="873"/>
      <c r="E610" s="873"/>
      <c r="F610" s="873"/>
      <c r="G610" s="873"/>
      <c r="H610" s="873"/>
      <c r="I610" s="873"/>
      <c r="J610" s="873"/>
      <c r="K610" s="873"/>
      <c r="L610" s="873"/>
      <c r="M610" s="873"/>
      <c r="N610" s="873"/>
      <c r="O610" s="873"/>
      <c r="P610" s="873"/>
      <c r="Q610" s="873"/>
      <c r="R610" s="873"/>
      <c r="S610" s="873"/>
      <c r="T610" s="873"/>
      <c r="U610" s="873"/>
      <c r="V610" s="873"/>
      <c r="W610" s="873"/>
      <c r="X610" s="873"/>
      <c r="Y610" s="873"/>
    </row>
    <row r="611">
      <c r="A611" s="873"/>
      <c r="B611" s="873"/>
      <c r="C611" s="873"/>
      <c r="D611" s="873"/>
      <c r="E611" s="873"/>
      <c r="F611" s="873"/>
      <c r="G611" s="873"/>
      <c r="H611" s="873"/>
      <c r="I611" s="873"/>
      <c r="J611" s="873"/>
      <c r="K611" s="873"/>
      <c r="L611" s="873"/>
      <c r="M611" s="873"/>
      <c r="N611" s="873"/>
      <c r="O611" s="873"/>
      <c r="P611" s="873"/>
      <c r="Q611" s="873"/>
      <c r="R611" s="873"/>
      <c r="S611" s="873"/>
      <c r="T611" s="873"/>
      <c r="U611" s="873"/>
      <c r="V611" s="873"/>
      <c r="W611" s="873"/>
      <c r="X611" s="873"/>
      <c r="Y611" s="873"/>
    </row>
    <row r="612">
      <c r="A612" s="873"/>
      <c r="B612" s="873"/>
      <c r="C612" s="873"/>
      <c r="D612" s="873"/>
      <c r="E612" s="873"/>
      <c r="F612" s="873"/>
      <c r="G612" s="873"/>
      <c r="H612" s="873"/>
      <c r="I612" s="873"/>
      <c r="J612" s="873"/>
      <c r="K612" s="873"/>
      <c r="L612" s="873"/>
      <c r="M612" s="873"/>
      <c r="N612" s="873"/>
      <c r="O612" s="873"/>
      <c r="P612" s="873"/>
      <c r="Q612" s="873"/>
      <c r="R612" s="873"/>
      <c r="S612" s="873"/>
      <c r="T612" s="873"/>
      <c r="U612" s="873"/>
      <c r="V612" s="873"/>
      <c r="W612" s="873"/>
      <c r="X612" s="873"/>
      <c r="Y612" s="873"/>
    </row>
    <row r="613">
      <c r="A613" s="873"/>
      <c r="B613" s="873"/>
      <c r="C613" s="873"/>
      <c r="D613" s="873"/>
      <c r="E613" s="873"/>
      <c r="F613" s="873"/>
      <c r="G613" s="873"/>
      <c r="H613" s="873"/>
      <c r="I613" s="873"/>
      <c r="J613" s="873"/>
      <c r="K613" s="873"/>
      <c r="L613" s="873"/>
      <c r="M613" s="873"/>
      <c r="N613" s="873"/>
      <c r="O613" s="873"/>
      <c r="P613" s="873"/>
      <c r="Q613" s="873"/>
      <c r="R613" s="873"/>
      <c r="S613" s="873"/>
      <c r="T613" s="873"/>
      <c r="U613" s="873"/>
      <c r="V613" s="873"/>
      <c r="W613" s="873"/>
      <c r="X613" s="873"/>
      <c r="Y613" s="873"/>
    </row>
    <row r="614">
      <c r="A614" s="873"/>
      <c r="B614" s="873"/>
      <c r="C614" s="873"/>
      <c r="D614" s="873"/>
      <c r="E614" s="873"/>
      <c r="F614" s="873"/>
      <c r="G614" s="873"/>
      <c r="H614" s="873"/>
      <c r="I614" s="873"/>
      <c r="J614" s="873"/>
      <c r="K614" s="873"/>
      <c r="L614" s="873"/>
      <c r="M614" s="873"/>
      <c r="N614" s="873"/>
      <c r="O614" s="873"/>
      <c r="P614" s="873"/>
      <c r="Q614" s="873"/>
      <c r="R614" s="873"/>
      <c r="S614" s="873"/>
      <c r="T614" s="873"/>
      <c r="U614" s="873"/>
      <c r="V614" s="873"/>
      <c r="W614" s="873"/>
      <c r="X614" s="873"/>
      <c r="Y614" s="873"/>
    </row>
    <row r="615">
      <c r="A615" s="873"/>
      <c r="B615" s="873"/>
      <c r="C615" s="873"/>
      <c r="D615" s="873"/>
      <c r="E615" s="873"/>
      <c r="F615" s="873"/>
      <c r="G615" s="873"/>
      <c r="H615" s="873"/>
      <c r="I615" s="873"/>
      <c r="J615" s="873"/>
      <c r="K615" s="873"/>
      <c r="L615" s="873"/>
      <c r="M615" s="873"/>
      <c r="N615" s="873"/>
      <c r="O615" s="873"/>
      <c r="P615" s="873"/>
      <c r="Q615" s="873"/>
      <c r="R615" s="873"/>
      <c r="S615" s="873"/>
      <c r="T615" s="873"/>
      <c r="U615" s="873"/>
      <c r="V615" s="873"/>
      <c r="W615" s="873"/>
      <c r="X615" s="873"/>
      <c r="Y615" s="873"/>
    </row>
    <row r="616">
      <c r="A616" s="873"/>
      <c r="B616" s="873"/>
      <c r="C616" s="873"/>
      <c r="D616" s="873"/>
      <c r="E616" s="873"/>
      <c r="F616" s="873"/>
      <c r="G616" s="873"/>
      <c r="H616" s="873"/>
      <c r="I616" s="873"/>
      <c r="J616" s="873"/>
      <c r="K616" s="873"/>
      <c r="L616" s="873"/>
      <c r="M616" s="873"/>
      <c r="N616" s="873"/>
      <c r="O616" s="873"/>
      <c r="P616" s="873"/>
      <c r="Q616" s="873"/>
      <c r="R616" s="873"/>
      <c r="S616" s="873"/>
      <c r="T616" s="873"/>
      <c r="U616" s="873"/>
      <c r="V616" s="873"/>
      <c r="W616" s="873"/>
      <c r="X616" s="873"/>
      <c r="Y616" s="873"/>
    </row>
    <row r="617">
      <c r="A617" s="873"/>
      <c r="B617" s="873"/>
      <c r="C617" s="873"/>
      <c r="D617" s="873"/>
      <c r="E617" s="873"/>
      <c r="F617" s="873"/>
      <c r="G617" s="873"/>
      <c r="H617" s="873"/>
      <c r="I617" s="873"/>
      <c r="J617" s="873"/>
      <c r="K617" s="873"/>
      <c r="L617" s="873"/>
      <c r="M617" s="873"/>
      <c r="N617" s="873"/>
      <c r="O617" s="873"/>
      <c r="P617" s="873"/>
      <c r="Q617" s="873"/>
      <c r="R617" s="873"/>
      <c r="S617" s="873"/>
      <c r="T617" s="873"/>
      <c r="U617" s="873"/>
      <c r="V617" s="873"/>
      <c r="W617" s="873"/>
      <c r="X617" s="873"/>
      <c r="Y617" s="873"/>
    </row>
    <row r="618">
      <c r="A618" s="873"/>
      <c r="B618" s="873"/>
      <c r="C618" s="873"/>
      <c r="D618" s="873"/>
      <c r="E618" s="873"/>
      <c r="F618" s="873"/>
      <c r="G618" s="873"/>
      <c r="H618" s="873"/>
      <c r="I618" s="873"/>
      <c r="J618" s="873"/>
      <c r="K618" s="873"/>
      <c r="L618" s="873"/>
      <c r="M618" s="873"/>
      <c r="N618" s="873"/>
      <c r="O618" s="873"/>
      <c r="P618" s="873"/>
      <c r="Q618" s="873"/>
      <c r="R618" s="873"/>
      <c r="S618" s="873"/>
      <c r="T618" s="873"/>
      <c r="U618" s="873"/>
      <c r="V618" s="873"/>
      <c r="W618" s="873"/>
      <c r="X618" s="873"/>
      <c r="Y618" s="873"/>
    </row>
    <row r="619">
      <c r="A619" s="873"/>
      <c r="B619" s="873"/>
      <c r="C619" s="873"/>
      <c r="D619" s="873"/>
      <c r="E619" s="873"/>
      <c r="F619" s="873"/>
      <c r="G619" s="873"/>
      <c r="H619" s="873"/>
      <c r="I619" s="873"/>
      <c r="J619" s="873"/>
      <c r="K619" s="873"/>
      <c r="L619" s="873"/>
      <c r="M619" s="873"/>
      <c r="N619" s="873"/>
      <c r="O619" s="873"/>
      <c r="P619" s="873"/>
      <c r="Q619" s="873"/>
      <c r="R619" s="873"/>
      <c r="S619" s="873"/>
      <c r="T619" s="873"/>
      <c r="U619" s="873"/>
      <c r="V619" s="873"/>
      <c r="W619" s="873"/>
      <c r="X619" s="873"/>
      <c r="Y619" s="873"/>
    </row>
    <row r="620">
      <c r="A620" s="873"/>
      <c r="B620" s="873"/>
      <c r="C620" s="873"/>
      <c r="D620" s="873"/>
      <c r="E620" s="873"/>
      <c r="F620" s="873"/>
      <c r="G620" s="873"/>
      <c r="H620" s="873"/>
      <c r="I620" s="873"/>
      <c r="J620" s="873"/>
      <c r="K620" s="873"/>
      <c r="L620" s="873"/>
      <c r="M620" s="873"/>
      <c r="N620" s="873"/>
      <c r="O620" s="873"/>
      <c r="P620" s="873"/>
      <c r="Q620" s="873"/>
      <c r="R620" s="873"/>
      <c r="S620" s="873"/>
      <c r="T620" s="873"/>
      <c r="U620" s="873"/>
      <c r="V620" s="873"/>
      <c r="W620" s="873"/>
      <c r="X620" s="873"/>
      <c r="Y620" s="873"/>
    </row>
    <row r="621">
      <c r="A621" s="873"/>
      <c r="B621" s="873"/>
      <c r="C621" s="873"/>
      <c r="D621" s="873"/>
      <c r="E621" s="873"/>
      <c r="F621" s="873"/>
      <c r="G621" s="873"/>
      <c r="H621" s="873"/>
      <c r="I621" s="873"/>
      <c r="J621" s="873"/>
      <c r="K621" s="873"/>
      <c r="L621" s="873"/>
      <c r="M621" s="873"/>
      <c r="N621" s="873"/>
      <c r="O621" s="873"/>
      <c r="P621" s="873"/>
      <c r="Q621" s="873"/>
      <c r="R621" s="873"/>
      <c r="S621" s="873"/>
      <c r="T621" s="873"/>
      <c r="U621" s="873"/>
      <c r="V621" s="873"/>
      <c r="W621" s="873"/>
      <c r="X621" s="873"/>
      <c r="Y621" s="873"/>
    </row>
    <row r="622">
      <c r="A622" s="873"/>
      <c r="B622" s="873"/>
      <c r="C622" s="873"/>
      <c r="D622" s="873"/>
      <c r="E622" s="873"/>
      <c r="F622" s="873"/>
      <c r="G622" s="873"/>
      <c r="H622" s="873"/>
      <c r="I622" s="873"/>
      <c r="J622" s="873"/>
      <c r="K622" s="873"/>
      <c r="L622" s="873"/>
      <c r="M622" s="873"/>
      <c r="N622" s="873"/>
      <c r="O622" s="873"/>
      <c r="P622" s="873"/>
      <c r="Q622" s="873"/>
      <c r="R622" s="873"/>
      <c r="S622" s="873"/>
      <c r="T622" s="873"/>
      <c r="U622" s="873"/>
      <c r="V622" s="873"/>
      <c r="W622" s="873"/>
      <c r="X622" s="873"/>
      <c r="Y622" s="873"/>
    </row>
    <row r="623">
      <c r="A623" s="873"/>
      <c r="B623" s="873"/>
      <c r="C623" s="873"/>
      <c r="D623" s="873"/>
      <c r="E623" s="873"/>
      <c r="F623" s="873"/>
      <c r="G623" s="873"/>
      <c r="H623" s="873"/>
      <c r="I623" s="873"/>
      <c r="J623" s="873"/>
      <c r="K623" s="873"/>
      <c r="L623" s="873"/>
      <c r="M623" s="873"/>
      <c r="N623" s="873"/>
      <c r="O623" s="873"/>
      <c r="P623" s="873"/>
      <c r="Q623" s="873"/>
      <c r="R623" s="873"/>
      <c r="S623" s="873"/>
      <c r="T623" s="873"/>
      <c r="U623" s="873"/>
      <c r="V623" s="873"/>
      <c r="W623" s="873"/>
      <c r="X623" s="873"/>
      <c r="Y623" s="873"/>
    </row>
    <row r="624">
      <c r="A624" s="873"/>
      <c r="B624" s="873"/>
      <c r="C624" s="873"/>
      <c r="D624" s="873"/>
      <c r="E624" s="873"/>
      <c r="F624" s="873"/>
      <c r="G624" s="873"/>
      <c r="H624" s="873"/>
      <c r="I624" s="873"/>
      <c r="J624" s="873"/>
      <c r="K624" s="873"/>
      <c r="L624" s="873"/>
      <c r="M624" s="873"/>
      <c r="N624" s="873"/>
      <c r="O624" s="873"/>
      <c r="P624" s="873"/>
      <c r="Q624" s="873"/>
      <c r="R624" s="873"/>
      <c r="S624" s="873"/>
      <c r="T624" s="873"/>
      <c r="U624" s="873"/>
      <c r="V624" s="873"/>
      <c r="W624" s="873"/>
      <c r="X624" s="873"/>
      <c r="Y624" s="873"/>
    </row>
    <row r="625">
      <c r="A625" s="873"/>
      <c r="B625" s="873"/>
      <c r="C625" s="873"/>
      <c r="D625" s="873"/>
      <c r="E625" s="873"/>
      <c r="F625" s="873"/>
      <c r="G625" s="873"/>
      <c r="H625" s="873"/>
      <c r="I625" s="873"/>
      <c r="J625" s="873"/>
      <c r="K625" s="873"/>
      <c r="L625" s="873"/>
      <c r="M625" s="873"/>
      <c r="N625" s="873"/>
      <c r="O625" s="873"/>
      <c r="P625" s="873"/>
      <c r="Q625" s="873"/>
      <c r="R625" s="873"/>
      <c r="S625" s="873"/>
      <c r="T625" s="873"/>
      <c r="U625" s="873"/>
      <c r="V625" s="873"/>
      <c r="W625" s="873"/>
      <c r="X625" s="873"/>
      <c r="Y625" s="873"/>
    </row>
    <row r="626">
      <c r="A626" s="873"/>
      <c r="B626" s="873"/>
      <c r="C626" s="873"/>
      <c r="D626" s="873"/>
      <c r="E626" s="873"/>
      <c r="F626" s="873"/>
      <c r="G626" s="873"/>
      <c r="H626" s="873"/>
      <c r="I626" s="873"/>
      <c r="J626" s="873"/>
      <c r="K626" s="873"/>
      <c r="L626" s="873"/>
      <c r="M626" s="873"/>
      <c r="N626" s="873"/>
      <c r="O626" s="873"/>
      <c r="P626" s="873"/>
      <c r="Q626" s="873"/>
      <c r="R626" s="873"/>
      <c r="S626" s="873"/>
      <c r="T626" s="873"/>
      <c r="U626" s="873"/>
      <c r="V626" s="873"/>
      <c r="W626" s="873"/>
      <c r="X626" s="873"/>
      <c r="Y626" s="873"/>
    </row>
    <row r="627">
      <c r="A627" s="873"/>
      <c r="B627" s="873"/>
      <c r="C627" s="873"/>
      <c r="D627" s="873"/>
      <c r="E627" s="873"/>
      <c r="F627" s="873"/>
      <c r="G627" s="873"/>
      <c r="H627" s="873"/>
      <c r="I627" s="873"/>
      <c r="J627" s="873"/>
      <c r="K627" s="873"/>
      <c r="L627" s="873"/>
      <c r="M627" s="873"/>
      <c r="N627" s="873"/>
      <c r="O627" s="873"/>
      <c r="P627" s="873"/>
      <c r="Q627" s="873"/>
      <c r="R627" s="873"/>
      <c r="S627" s="873"/>
      <c r="T627" s="873"/>
      <c r="U627" s="873"/>
      <c r="V627" s="873"/>
      <c r="W627" s="873"/>
      <c r="X627" s="873"/>
      <c r="Y627" s="873"/>
    </row>
    <row r="628">
      <c r="A628" s="873"/>
      <c r="B628" s="873"/>
      <c r="C628" s="873"/>
      <c r="D628" s="873"/>
      <c r="E628" s="873"/>
      <c r="F628" s="873"/>
      <c r="G628" s="873"/>
      <c r="H628" s="873"/>
      <c r="I628" s="873"/>
      <c r="J628" s="873"/>
      <c r="K628" s="873"/>
      <c r="L628" s="873"/>
      <c r="M628" s="873"/>
      <c r="N628" s="873"/>
      <c r="O628" s="873"/>
      <c r="P628" s="873"/>
      <c r="Q628" s="873"/>
      <c r="R628" s="873"/>
      <c r="S628" s="873"/>
      <c r="T628" s="873"/>
      <c r="U628" s="873"/>
      <c r="V628" s="873"/>
      <c r="W628" s="873"/>
      <c r="X628" s="873"/>
      <c r="Y628" s="873"/>
    </row>
    <row r="629">
      <c r="A629" s="873"/>
      <c r="B629" s="873"/>
      <c r="C629" s="873"/>
      <c r="D629" s="873"/>
      <c r="E629" s="873"/>
      <c r="F629" s="873"/>
      <c r="G629" s="873"/>
      <c r="H629" s="873"/>
      <c r="I629" s="873"/>
      <c r="J629" s="873"/>
      <c r="K629" s="873"/>
      <c r="L629" s="873"/>
      <c r="M629" s="873"/>
      <c r="N629" s="873"/>
      <c r="O629" s="873"/>
      <c r="P629" s="873"/>
      <c r="Q629" s="873"/>
      <c r="R629" s="873"/>
      <c r="S629" s="873"/>
      <c r="T629" s="873"/>
      <c r="U629" s="873"/>
      <c r="V629" s="873"/>
      <c r="W629" s="873"/>
      <c r="X629" s="873"/>
      <c r="Y629" s="873"/>
    </row>
    <row r="630">
      <c r="A630" s="873"/>
      <c r="B630" s="873"/>
      <c r="C630" s="873"/>
      <c r="D630" s="873"/>
      <c r="E630" s="873"/>
      <c r="F630" s="873"/>
      <c r="G630" s="873"/>
      <c r="H630" s="873"/>
      <c r="I630" s="873"/>
      <c r="J630" s="873"/>
      <c r="K630" s="873"/>
      <c r="L630" s="873"/>
      <c r="M630" s="873"/>
      <c r="N630" s="873"/>
      <c r="O630" s="873"/>
      <c r="P630" s="873"/>
      <c r="Q630" s="873"/>
      <c r="R630" s="873"/>
      <c r="S630" s="873"/>
      <c r="T630" s="873"/>
      <c r="U630" s="873"/>
      <c r="V630" s="873"/>
      <c r="W630" s="873"/>
      <c r="X630" s="873"/>
      <c r="Y630" s="873"/>
    </row>
    <row r="631">
      <c r="A631" s="873"/>
      <c r="B631" s="873"/>
      <c r="C631" s="873"/>
      <c r="D631" s="873"/>
      <c r="E631" s="873"/>
      <c r="F631" s="873"/>
      <c r="G631" s="873"/>
      <c r="H631" s="873"/>
      <c r="I631" s="873"/>
      <c r="J631" s="873"/>
      <c r="K631" s="873"/>
      <c r="L631" s="873"/>
      <c r="M631" s="873"/>
      <c r="N631" s="873"/>
      <c r="O631" s="873"/>
      <c r="P631" s="873"/>
      <c r="Q631" s="873"/>
      <c r="R631" s="873"/>
      <c r="S631" s="873"/>
      <c r="T631" s="873"/>
      <c r="U631" s="873"/>
      <c r="V631" s="873"/>
      <c r="W631" s="873"/>
      <c r="X631" s="873"/>
      <c r="Y631" s="873"/>
    </row>
    <row r="632">
      <c r="A632" s="873"/>
      <c r="B632" s="873"/>
      <c r="C632" s="873"/>
      <c r="D632" s="873"/>
      <c r="E632" s="873"/>
      <c r="F632" s="873"/>
      <c r="G632" s="873"/>
      <c r="H632" s="873"/>
      <c r="I632" s="873"/>
      <c r="J632" s="873"/>
      <c r="K632" s="873"/>
      <c r="L632" s="873"/>
      <c r="M632" s="873"/>
      <c r="N632" s="873"/>
      <c r="O632" s="873"/>
      <c r="P632" s="873"/>
      <c r="Q632" s="873"/>
      <c r="R632" s="873"/>
      <c r="S632" s="873"/>
      <c r="T632" s="873"/>
      <c r="U632" s="873"/>
      <c r="V632" s="873"/>
      <c r="W632" s="873"/>
      <c r="X632" s="873"/>
      <c r="Y632" s="873"/>
    </row>
    <row r="633">
      <c r="A633" s="873"/>
      <c r="B633" s="873"/>
      <c r="C633" s="873"/>
      <c r="D633" s="873"/>
      <c r="E633" s="873"/>
      <c r="F633" s="873"/>
      <c r="G633" s="873"/>
      <c r="H633" s="873"/>
      <c r="I633" s="873"/>
      <c r="J633" s="873"/>
      <c r="K633" s="873"/>
      <c r="L633" s="873"/>
      <c r="M633" s="873"/>
      <c r="N633" s="873"/>
      <c r="O633" s="873"/>
      <c r="P633" s="873"/>
      <c r="Q633" s="873"/>
      <c r="R633" s="873"/>
      <c r="S633" s="873"/>
      <c r="T633" s="873"/>
      <c r="U633" s="873"/>
      <c r="V633" s="873"/>
      <c r="W633" s="873"/>
      <c r="X633" s="873"/>
      <c r="Y633" s="873"/>
    </row>
    <row r="634">
      <c r="A634" s="873"/>
      <c r="B634" s="873"/>
      <c r="C634" s="873"/>
      <c r="D634" s="873"/>
      <c r="E634" s="873"/>
      <c r="F634" s="873"/>
      <c r="G634" s="873"/>
      <c r="H634" s="873"/>
      <c r="I634" s="873"/>
      <c r="J634" s="873"/>
      <c r="K634" s="873"/>
      <c r="L634" s="873"/>
      <c r="M634" s="873"/>
      <c r="N634" s="873"/>
      <c r="O634" s="873"/>
      <c r="P634" s="873"/>
      <c r="Q634" s="873"/>
      <c r="R634" s="873"/>
      <c r="S634" s="873"/>
      <c r="T634" s="873"/>
      <c r="U634" s="873"/>
      <c r="V634" s="873"/>
      <c r="W634" s="873"/>
      <c r="X634" s="873"/>
      <c r="Y634" s="873"/>
    </row>
    <row r="635">
      <c r="A635" s="873"/>
      <c r="B635" s="873"/>
      <c r="C635" s="873"/>
      <c r="D635" s="873"/>
      <c r="E635" s="873"/>
      <c r="F635" s="873"/>
      <c r="G635" s="873"/>
      <c r="H635" s="873"/>
      <c r="I635" s="873"/>
      <c r="J635" s="873"/>
      <c r="K635" s="873"/>
      <c r="L635" s="873"/>
      <c r="M635" s="873"/>
      <c r="N635" s="873"/>
      <c r="O635" s="873"/>
      <c r="P635" s="873"/>
      <c r="Q635" s="873"/>
      <c r="R635" s="873"/>
      <c r="S635" s="873"/>
      <c r="T635" s="873"/>
      <c r="U635" s="873"/>
      <c r="V635" s="873"/>
      <c r="W635" s="873"/>
      <c r="X635" s="873"/>
      <c r="Y635" s="873"/>
    </row>
    <row r="636">
      <c r="A636" s="873"/>
      <c r="B636" s="873"/>
      <c r="C636" s="873"/>
      <c r="D636" s="873"/>
      <c r="E636" s="873"/>
      <c r="F636" s="873"/>
      <c r="G636" s="873"/>
      <c r="H636" s="873"/>
      <c r="I636" s="873"/>
      <c r="J636" s="873"/>
      <c r="K636" s="873"/>
      <c r="L636" s="873"/>
      <c r="M636" s="873"/>
      <c r="N636" s="873"/>
      <c r="O636" s="873"/>
      <c r="P636" s="873"/>
      <c r="Q636" s="873"/>
      <c r="R636" s="873"/>
      <c r="S636" s="873"/>
      <c r="T636" s="873"/>
      <c r="U636" s="873"/>
      <c r="V636" s="873"/>
      <c r="W636" s="873"/>
      <c r="X636" s="873"/>
      <c r="Y636" s="873"/>
    </row>
    <row r="637">
      <c r="A637" s="873"/>
      <c r="B637" s="873"/>
      <c r="C637" s="873"/>
      <c r="D637" s="873"/>
      <c r="E637" s="873"/>
      <c r="F637" s="873"/>
      <c r="G637" s="873"/>
      <c r="H637" s="873"/>
      <c r="I637" s="873"/>
      <c r="J637" s="873"/>
      <c r="K637" s="873"/>
      <c r="L637" s="873"/>
      <c r="M637" s="873"/>
      <c r="N637" s="873"/>
      <c r="O637" s="873"/>
      <c r="P637" s="873"/>
      <c r="Q637" s="873"/>
      <c r="R637" s="873"/>
      <c r="S637" s="873"/>
      <c r="T637" s="873"/>
      <c r="U637" s="873"/>
      <c r="V637" s="873"/>
      <c r="W637" s="873"/>
      <c r="X637" s="873"/>
      <c r="Y637" s="873"/>
    </row>
    <row r="638">
      <c r="A638" s="873"/>
      <c r="B638" s="873"/>
      <c r="C638" s="873"/>
      <c r="D638" s="873"/>
      <c r="E638" s="873"/>
      <c r="F638" s="873"/>
      <c r="G638" s="873"/>
      <c r="H638" s="873"/>
      <c r="I638" s="873"/>
      <c r="J638" s="873"/>
      <c r="K638" s="873"/>
      <c r="L638" s="873"/>
      <c r="M638" s="873"/>
      <c r="N638" s="873"/>
      <c r="O638" s="873"/>
      <c r="P638" s="873"/>
      <c r="Q638" s="873"/>
      <c r="R638" s="873"/>
      <c r="S638" s="873"/>
      <c r="T638" s="873"/>
      <c r="U638" s="873"/>
      <c r="V638" s="873"/>
      <c r="W638" s="873"/>
      <c r="X638" s="873"/>
      <c r="Y638" s="873"/>
    </row>
    <row r="639">
      <c r="A639" s="873"/>
      <c r="B639" s="873"/>
      <c r="C639" s="873"/>
      <c r="D639" s="873"/>
      <c r="E639" s="873"/>
      <c r="F639" s="873"/>
      <c r="G639" s="873"/>
      <c r="H639" s="873"/>
      <c r="I639" s="873"/>
      <c r="J639" s="873"/>
      <c r="K639" s="873"/>
      <c r="L639" s="873"/>
      <c r="M639" s="873"/>
      <c r="N639" s="873"/>
      <c r="O639" s="873"/>
      <c r="P639" s="873"/>
      <c r="Q639" s="873"/>
      <c r="R639" s="873"/>
      <c r="S639" s="873"/>
      <c r="T639" s="873"/>
      <c r="U639" s="873"/>
      <c r="V639" s="873"/>
      <c r="W639" s="873"/>
      <c r="X639" s="873"/>
      <c r="Y639" s="873"/>
    </row>
    <row r="640">
      <c r="A640" s="873"/>
      <c r="B640" s="873"/>
      <c r="C640" s="873"/>
      <c r="D640" s="873"/>
      <c r="E640" s="873"/>
      <c r="F640" s="873"/>
      <c r="G640" s="873"/>
      <c r="H640" s="873"/>
      <c r="I640" s="873"/>
      <c r="J640" s="873"/>
      <c r="K640" s="873"/>
      <c r="L640" s="873"/>
      <c r="M640" s="873"/>
      <c r="N640" s="873"/>
      <c r="O640" s="873"/>
      <c r="P640" s="873"/>
      <c r="Q640" s="873"/>
      <c r="R640" s="873"/>
      <c r="S640" s="873"/>
      <c r="T640" s="873"/>
      <c r="U640" s="873"/>
      <c r="V640" s="873"/>
      <c r="W640" s="873"/>
      <c r="X640" s="873"/>
      <c r="Y640" s="873"/>
    </row>
    <row r="641">
      <c r="A641" s="873"/>
      <c r="B641" s="873"/>
      <c r="C641" s="873"/>
      <c r="D641" s="873"/>
      <c r="E641" s="873"/>
      <c r="F641" s="873"/>
      <c r="G641" s="873"/>
      <c r="H641" s="873"/>
      <c r="I641" s="873"/>
      <c r="J641" s="873"/>
      <c r="K641" s="873"/>
      <c r="L641" s="873"/>
      <c r="M641" s="873"/>
      <c r="N641" s="873"/>
      <c r="O641" s="873"/>
      <c r="P641" s="873"/>
      <c r="Q641" s="873"/>
      <c r="R641" s="873"/>
      <c r="S641" s="873"/>
      <c r="T641" s="873"/>
      <c r="U641" s="873"/>
      <c r="V641" s="873"/>
      <c r="W641" s="873"/>
      <c r="X641" s="873"/>
      <c r="Y641" s="873"/>
    </row>
    <row r="642">
      <c r="A642" s="873"/>
      <c r="B642" s="873"/>
      <c r="C642" s="873"/>
      <c r="D642" s="873"/>
      <c r="E642" s="873"/>
      <c r="F642" s="873"/>
      <c r="G642" s="873"/>
      <c r="H642" s="873"/>
      <c r="I642" s="873"/>
      <c r="J642" s="873"/>
      <c r="K642" s="873"/>
      <c r="L642" s="873"/>
      <c r="M642" s="873"/>
      <c r="N642" s="873"/>
      <c r="O642" s="873"/>
      <c r="P642" s="873"/>
      <c r="Q642" s="873"/>
      <c r="R642" s="873"/>
      <c r="S642" s="873"/>
      <c r="T642" s="873"/>
      <c r="U642" s="873"/>
      <c r="V642" s="873"/>
      <c r="W642" s="873"/>
      <c r="X642" s="873"/>
      <c r="Y642" s="873"/>
    </row>
    <row r="643">
      <c r="A643" s="873"/>
      <c r="B643" s="873"/>
      <c r="C643" s="873"/>
      <c r="D643" s="873"/>
      <c r="E643" s="873"/>
      <c r="F643" s="873"/>
      <c r="G643" s="873"/>
      <c r="H643" s="873"/>
      <c r="I643" s="873"/>
      <c r="J643" s="873"/>
      <c r="K643" s="873"/>
      <c r="L643" s="873"/>
      <c r="M643" s="873"/>
      <c r="N643" s="873"/>
      <c r="O643" s="873"/>
      <c r="P643" s="873"/>
      <c r="Q643" s="873"/>
      <c r="R643" s="873"/>
      <c r="S643" s="873"/>
      <c r="T643" s="873"/>
      <c r="U643" s="873"/>
      <c r="V643" s="873"/>
      <c r="W643" s="873"/>
      <c r="X643" s="873"/>
      <c r="Y643" s="873"/>
    </row>
    <row r="644">
      <c r="A644" s="873"/>
      <c r="B644" s="873"/>
      <c r="C644" s="873"/>
      <c r="D644" s="873"/>
      <c r="E644" s="873"/>
      <c r="F644" s="873"/>
      <c r="G644" s="873"/>
      <c r="H644" s="873"/>
      <c r="I644" s="873"/>
      <c r="J644" s="873"/>
      <c r="K644" s="873"/>
      <c r="L644" s="873"/>
      <c r="M644" s="873"/>
      <c r="N644" s="873"/>
      <c r="O644" s="873"/>
      <c r="P644" s="873"/>
      <c r="Q644" s="873"/>
      <c r="R644" s="873"/>
      <c r="S644" s="873"/>
      <c r="T644" s="873"/>
      <c r="U644" s="873"/>
      <c r="V644" s="873"/>
      <c r="W644" s="873"/>
      <c r="X644" s="873"/>
      <c r="Y644" s="873"/>
    </row>
    <row r="645">
      <c r="A645" s="873"/>
      <c r="B645" s="873"/>
      <c r="C645" s="873"/>
      <c r="D645" s="873"/>
      <c r="E645" s="873"/>
      <c r="F645" s="873"/>
      <c r="G645" s="873"/>
      <c r="H645" s="873"/>
      <c r="I645" s="873"/>
      <c r="J645" s="873"/>
      <c r="K645" s="873"/>
      <c r="L645" s="873"/>
      <c r="M645" s="873"/>
      <c r="N645" s="873"/>
      <c r="O645" s="873"/>
      <c r="P645" s="873"/>
      <c r="Q645" s="873"/>
      <c r="R645" s="873"/>
      <c r="S645" s="873"/>
      <c r="T645" s="873"/>
      <c r="U645" s="873"/>
      <c r="V645" s="873"/>
      <c r="W645" s="873"/>
      <c r="X645" s="873"/>
      <c r="Y645" s="873"/>
    </row>
    <row r="646">
      <c r="A646" s="873"/>
      <c r="B646" s="873"/>
      <c r="C646" s="873"/>
      <c r="D646" s="873"/>
      <c r="E646" s="873"/>
      <c r="F646" s="873"/>
      <c r="G646" s="873"/>
      <c r="H646" s="873"/>
      <c r="I646" s="873"/>
      <c r="J646" s="873"/>
      <c r="K646" s="873"/>
      <c r="L646" s="873"/>
      <c r="M646" s="873"/>
      <c r="N646" s="873"/>
      <c r="O646" s="873"/>
      <c r="P646" s="873"/>
      <c r="Q646" s="873"/>
      <c r="R646" s="873"/>
      <c r="S646" s="873"/>
      <c r="T646" s="873"/>
      <c r="U646" s="873"/>
      <c r="V646" s="873"/>
      <c r="W646" s="873"/>
      <c r="X646" s="873"/>
      <c r="Y646" s="873"/>
    </row>
    <row r="647">
      <c r="A647" s="873"/>
      <c r="B647" s="873"/>
      <c r="C647" s="873"/>
      <c r="D647" s="873"/>
      <c r="E647" s="873"/>
      <c r="F647" s="873"/>
      <c r="G647" s="873"/>
      <c r="H647" s="873"/>
      <c r="I647" s="873"/>
      <c r="J647" s="873"/>
      <c r="K647" s="873"/>
      <c r="L647" s="873"/>
      <c r="M647" s="873"/>
      <c r="N647" s="873"/>
      <c r="O647" s="873"/>
      <c r="P647" s="873"/>
      <c r="Q647" s="873"/>
      <c r="R647" s="873"/>
      <c r="S647" s="873"/>
      <c r="T647" s="873"/>
      <c r="U647" s="873"/>
      <c r="V647" s="873"/>
      <c r="W647" s="873"/>
      <c r="X647" s="873"/>
      <c r="Y647" s="873"/>
    </row>
    <row r="648">
      <c r="A648" s="873"/>
      <c r="B648" s="873"/>
      <c r="C648" s="873"/>
      <c r="D648" s="873"/>
      <c r="E648" s="873"/>
      <c r="F648" s="873"/>
      <c r="G648" s="873"/>
      <c r="H648" s="873"/>
      <c r="I648" s="873"/>
      <c r="J648" s="873"/>
      <c r="K648" s="873"/>
      <c r="L648" s="873"/>
      <c r="M648" s="873"/>
      <c r="N648" s="873"/>
      <c r="O648" s="873"/>
      <c r="P648" s="873"/>
      <c r="Q648" s="873"/>
      <c r="R648" s="873"/>
      <c r="S648" s="873"/>
      <c r="T648" s="873"/>
      <c r="U648" s="873"/>
      <c r="V648" s="873"/>
      <c r="W648" s="873"/>
      <c r="X648" s="873"/>
      <c r="Y648" s="873"/>
    </row>
    <row r="649">
      <c r="A649" s="873"/>
      <c r="B649" s="873"/>
      <c r="C649" s="873"/>
      <c r="D649" s="873"/>
      <c r="E649" s="873"/>
      <c r="F649" s="873"/>
      <c r="G649" s="873"/>
      <c r="H649" s="873"/>
      <c r="I649" s="873"/>
      <c r="J649" s="873"/>
      <c r="K649" s="873"/>
      <c r="L649" s="873"/>
      <c r="M649" s="873"/>
      <c r="N649" s="873"/>
      <c r="O649" s="873"/>
      <c r="P649" s="873"/>
      <c r="Q649" s="873"/>
      <c r="R649" s="873"/>
      <c r="S649" s="873"/>
      <c r="T649" s="873"/>
      <c r="U649" s="873"/>
      <c r="V649" s="873"/>
      <c r="W649" s="873"/>
      <c r="X649" s="873"/>
      <c r="Y649" s="873"/>
    </row>
    <row r="650">
      <c r="A650" s="873"/>
      <c r="B650" s="873"/>
      <c r="C650" s="873"/>
      <c r="D650" s="873"/>
      <c r="E650" s="873"/>
      <c r="F650" s="873"/>
      <c r="G650" s="873"/>
      <c r="H650" s="873"/>
      <c r="I650" s="873"/>
      <c r="J650" s="873"/>
      <c r="K650" s="873"/>
      <c r="L650" s="873"/>
      <c r="M650" s="873"/>
      <c r="N650" s="873"/>
      <c r="O650" s="873"/>
      <c r="P650" s="873"/>
      <c r="Q650" s="873"/>
      <c r="R650" s="873"/>
      <c r="S650" s="873"/>
      <c r="T650" s="873"/>
      <c r="U650" s="873"/>
      <c r="V650" s="873"/>
      <c r="W650" s="873"/>
      <c r="X650" s="873"/>
      <c r="Y650" s="873"/>
    </row>
    <row r="651">
      <c r="A651" s="873"/>
      <c r="B651" s="873"/>
      <c r="C651" s="873"/>
      <c r="D651" s="873"/>
      <c r="E651" s="873"/>
      <c r="F651" s="873"/>
      <c r="G651" s="873"/>
      <c r="H651" s="873"/>
      <c r="I651" s="873"/>
      <c r="J651" s="873"/>
      <c r="K651" s="873"/>
      <c r="L651" s="873"/>
      <c r="M651" s="873"/>
      <c r="N651" s="873"/>
      <c r="O651" s="873"/>
      <c r="P651" s="873"/>
      <c r="Q651" s="873"/>
      <c r="R651" s="873"/>
      <c r="S651" s="873"/>
      <c r="T651" s="873"/>
      <c r="U651" s="873"/>
      <c r="V651" s="873"/>
      <c r="W651" s="873"/>
      <c r="X651" s="873"/>
      <c r="Y651" s="873"/>
    </row>
    <row r="652">
      <c r="A652" s="873"/>
      <c r="B652" s="873"/>
      <c r="C652" s="873"/>
      <c r="D652" s="873"/>
      <c r="E652" s="873"/>
      <c r="F652" s="873"/>
      <c r="G652" s="873"/>
      <c r="H652" s="873"/>
      <c r="I652" s="873"/>
      <c r="J652" s="873"/>
      <c r="K652" s="873"/>
      <c r="L652" s="873"/>
      <c r="M652" s="873"/>
      <c r="N652" s="873"/>
      <c r="O652" s="873"/>
      <c r="P652" s="873"/>
      <c r="Q652" s="873"/>
      <c r="R652" s="873"/>
      <c r="S652" s="873"/>
      <c r="T652" s="873"/>
      <c r="U652" s="873"/>
      <c r="V652" s="873"/>
      <c r="W652" s="873"/>
      <c r="X652" s="873"/>
      <c r="Y652" s="873"/>
    </row>
    <row r="653">
      <c r="A653" s="873"/>
      <c r="B653" s="873"/>
      <c r="C653" s="873"/>
      <c r="D653" s="873"/>
      <c r="E653" s="873"/>
      <c r="F653" s="873"/>
      <c r="G653" s="873"/>
      <c r="H653" s="873"/>
      <c r="I653" s="873"/>
      <c r="J653" s="873"/>
      <c r="K653" s="873"/>
      <c r="L653" s="873"/>
      <c r="M653" s="873"/>
      <c r="N653" s="873"/>
      <c r="O653" s="873"/>
      <c r="P653" s="873"/>
      <c r="Q653" s="873"/>
      <c r="R653" s="873"/>
      <c r="S653" s="873"/>
      <c r="T653" s="873"/>
      <c r="U653" s="873"/>
      <c r="V653" s="873"/>
      <c r="W653" s="873"/>
      <c r="X653" s="873"/>
      <c r="Y653" s="873"/>
    </row>
    <row r="654">
      <c r="A654" s="873"/>
      <c r="B654" s="873"/>
      <c r="C654" s="873"/>
      <c r="D654" s="873"/>
      <c r="E654" s="873"/>
      <c r="F654" s="873"/>
      <c r="G654" s="873"/>
      <c r="H654" s="873"/>
      <c r="I654" s="873"/>
      <c r="J654" s="873"/>
      <c r="K654" s="873"/>
      <c r="L654" s="873"/>
      <c r="M654" s="873"/>
      <c r="N654" s="873"/>
      <c r="O654" s="873"/>
      <c r="P654" s="873"/>
      <c r="Q654" s="873"/>
      <c r="R654" s="873"/>
      <c r="S654" s="873"/>
      <c r="T654" s="873"/>
      <c r="U654" s="873"/>
      <c r="V654" s="873"/>
      <c r="W654" s="873"/>
      <c r="X654" s="873"/>
      <c r="Y654" s="873"/>
    </row>
    <row r="655">
      <c r="A655" s="873"/>
      <c r="B655" s="873"/>
      <c r="C655" s="873"/>
      <c r="D655" s="873"/>
      <c r="E655" s="873"/>
      <c r="F655" s="873"/>
      <c r="G655" s="873"/>
      <c r="H655" s="873"/>
      <c r="I655" s="873"/>
      <c r="J655" s="873"/>
      <c r="K655" s="873"/>
      <c r="L655" s="873"/>
      <c r="M655" s="873"/>
      <c r="N655" s="873"/>
      <c r="O655" s="873"/>
      <c r="P655" s="873"/>
      <c r="Q655" s="873"/>
      <c r="R655" s="873"/>
      <c r="S655" s="873"/>
      <c r="T655" s="873"/>
      <c r="U655" s="873"/>
      <c r="V655" s="873"/>
      <c r="W655" s="873"/>
      <c r="X655" s="873"/>
      <c r="Y655" s="873"/>
    </row>
    <row r="656">
      <c r="A656" s="873"/>
      <c r="B656" s="873"/>
      <c r="C656" s="873"/>
      <c r="D656" s="873"/>
      <c r="E656" s="873"/>
      <c r="F656" s="873"/>
      <c r="G656" s="873"/>
      <c r="H656" s="873"/>
      <c r="I656" s="873"/>
      <c r="J656" s="873"/>
      <c r="K656" s="873"/>
      <c r="L656" s="873"/>
      <c r="M656" s="873"/>
      <c r="N656" s="873"/>
      <c r="O656" s="873"/>
      <c r="P656" s="873"/>
      <c r="Q656" s="873"/>
      <c r="R656" s="873"/>
      <c r="S656" s="873"/>
      <c r="T656" s="873"/>
      <c r="U656" s="873"/>
      <c r="V656" s="873"/>
      <c r="W656" s="873"/>
      <c r="X656" s="873"/>
      <c r="Y656" s="873"/>
    </row>
    <row r="657">
      <c r="A657" s="873"/>
      <c r="B657" s="873"/>
      <c r="C657" s="873"/>
      <c r="D657" s="873"/>
      <c r="E657" s="873"/>
      <c r="F657" s="873"/>
      <c r="G657" s="873"/>
      <c r="H657" s="873"/>
      <c r="I657" s="873"/>
      <c r="J657" s="873"/>
      <c r="K657" s="873"/>
      <c r="L657" s="873"/>
      <c r="M657" s="873"/>
      <c r="N657" s="873"/>
      <c r="O657" s="873"/>
      <c r="P657" s="873"/>
      <c r="Q657" s="873"/>
      <c r="R657" s="873"/>
      <c r="S657" s="873"/>
      <c r="T657" s="873"/>
      <c r="U657" s="873"/>
      <c r="V657" s="873"/>
      <c r="W657" s="873"/>
      <c r="X657" s="873"/>
      <c r="Y657" s="873"/>
    </row>
    <row r="658">
      <c r="A658" s="873"/>
      <c r="B658" s="873"/>
      <c r="C658" s="873"/>
      <c r="D658" s="873"/>
      <c r="E658" s="873"/>
      <c r="F658" s="873"/>
      <c r="G658" s="873"/>
      <c r="H658" s="873"/>
      <c r="I658" s="873"/>
      <c r="J658" s="873"/>
      <c r="K658" s="873"/>
      <c r="L658" s="873"/>
      <c r="M658" s="873"/>
      <c r="N658" s="873"/>
      <c r="O658" s="873"/>
      <c r="P658" s="873"/>
      <c r="Q658" s="873"/>
      <c r="R658" s="873"/>
      <c r="S658" s="873"/>
      <c r="T658" s="873"/>
      <c r="U658" s="873"/>
      <c r="V658" s="873"/>
      <c r="W658" s="873"/>
      <c r="X658" s="873"/>
      <c r="Y658" s="873"/>
    </row>
    <row r="659">
      <c r="A659" s="873"/>
      <c r="B659" s="873"/>
      <c r="C659" s="873"/>
      <c r="D659" s="873"/>
      <c r="E659" s="873"/>
      <c r="F659" s="873"/>
      <c r="G659" s="873"/>
      <c r="H659" s="873"/>
      <c r="I659" s="873"/>
      <c r="J659" s="873"/>
      <c r="K659" s="873"/>
      <c r="L659" s="873"/>
      <c r="M659" s="873"/>
      <c r="N659" s="873"/>
      <c r="O659" s="873"/>
      <c r="P659" s="873"/>
      <c r="Q659" s="873"/>
      <c r="R659" s="873"/>
      <c r="S659" s="873"/>
      <c r="T659" s="873"/>
      <c r="U659" s="873"/>
      <c r="V659" s="873"/>
      <c r="W659" s="873"/>
      <c r="X659" s="873"/>
      <c r="Y659" s="873"/>
    </row>
    <row r="660">
      <c r="A660" s="873"/>
      <c r="B660" s="873"/>
      <c r="C660" s="873"/>
      <c r="D660" s="873"/>
      <c r="E660" s="873"/>
      <c r="F660" s="873"/>
      <c r="G660" s="873"/>
      <c r="H660" s="873"/>
      <c r="I660" s="873"/>
      <c r="J660" s="873"/>
      <c r="K660" s="873"/>
      <c r="L660" s="873"/>
      <c r="M660" s="873"/>
      <c r="N660" s="873"/>
      <c r="O660" s="873"/>
      <c r="P660" s="873"/>
      <c r="Q660" s="873"/>
      <c r="R660" s="873"/>
      <c r="S660" s="873"/>
      <c r="T660" s="873"/>
      <c r="U660" s="873"/>
      <c r="V660" s="873"/>
      <c r="W660" s="873"/>
      <c r="X660" s="873"/>
      <c r="Y660" s="873"/>
    </row>
    <row r="661">
      <c r="A661" s="873"/>
      <c r="B661" s="873"/>
      <c r="C661" s="873"/>
      <c r="D661" s="873"/>
      <c r="E661" s="873"/>
      <c r="F661" s="873"/>
      <c r="G661" s="873"/>
      <c r="H661" s="873"/>
      <c r="I661" s="873"/>
      <c r="J661" s="873"/>
      <c r="K661" s="873"/>
      <c r="L661" s="873"/>
      <c r="M661" s="873"/>
      <c r="N661" s="873"/>
      <c r="O661" s="873"/>
      <c r="P661" s="873"/>
      <c r="Q661" s="873"/>
      <c r="R661" s="873"/>
      <c r="S661" s="873"/>
      <c r="T661" s="873"/>
      <c r="U661" s="873"/>
      <c r="V661" s="873"/>
      <c r="W661" s="873"/>
      <c r="X661" s="873"/>
      <c r="Y661" s="873"/>
    </row>
    <row r="662">
      <c r="A662" s="873"/>
      <c r="B662" s="873"/>
      <c r="C662" s="873"/>
      <c r="D662" s="873"/>
      <c r="E662" s="873"/>
      <c r="F662" s="873"/>
      <c r="G662" s="873"/>
      <c r="H662" s="873"/>
      <c r="I662" s="873"/>
      <c r="J662" s="873"/>
      <c r="K662" s="873"/>
      <c r="L662" s="873"/>
      <c r="M662" s="873"/>
      <c r="N662" s="873"/>
      <c r="O662" s="873"/>
      <c r="P662" s="873"/>
      <c r="Q662" s="873"/>
      <c r="R662" s="873"/>
      <c r="S662" s="873"/>
      <c r="T662" s="873"/>
      <c r="U662" s="873"/>
      <c r="V662" s="873"/>
      <c r="W662" s="873"/>
      <c r="X662" s="873"/>
      <c r="Y662" s="873"/>
    </row>
    <row r="663">
      <c r="A663" s="873"/>
      <c r="B663" s="873"/>
      <c r="C663" s="873"/>
      <c r="D663" s="873"/>
      <c r="E663" s="873"/>
      <c r="F663" s="873"/>
      <c r="G663" s="873"/>
      <c r="H663" s="873"/>
      <c r="I663" s="873"/>
      <c r="J663" s="873"/>
      <c r="K663" s="873"/>
      <c r="L663" s="873"/>
      <c r="M663" s="873"/>
      <c r="N663" s="873"/>
      <c r="O663" s="873"/>
      <c r="P663" s="873"/>
      <c r="Q663" s="873"/>
      <c r="R663" s="873"/>
      <c r="S663" s="873"/>
      <c r="T663" s="873"/>
      <c r="U663" s="873"/>
      <c r="V663" s="873"/>
      <c r="W663" s="873"/>
      <c r="X663" s="873"/>
      <c r="Y663" s="873"/>
    </row>
    <row r="664">
      <c r="A664" s="873"/>
      <c r="B664" s="873"/>
      <c r="C664" s="873"/>
      <c r="D664" s="873"/>
      <c r="E664" s="873"/>
      <c r="F664" s="873"/>
      <c r="G664" s="873"/>
      <c r="H664" s="873"/>
      <c r="I664" s="873"/>
      <c r="J664" s="873"/>
      <c r="K664" s="873"/>
      <c r="L664" s="873"/>
      <c r="M664" s="873"/>
      <c r="N664" s="873"/>
      <c r="O664" s="873"/>
      <c r="P664" s="873"/>
      <c r="Q664" s="873"/>
      <c r="R664" s="873"/>
      <c r="S664" s="873"/>
      <c r="T664" s="873"/>
      <c r="U664" s="873"/>
      <c r="V664" s="873"/>
      <c r="W664" s="873"/>
      <c r="X664" s="873"/>
      <c r="Y664" s="873"/>
    </row>
    <row r="665">
      <c r="A665" s="873"/>
      <c r="B665" s="873"/>
      <c r="C665" s="873"/>
      <c r="D665" s="873"/>
      <c r="E665" s="873"/>
      <c r="F665" s="873"/>
      <c r="G665" s="873"/>
      <c r="H665" s="873"/>
      <c r="I665" s="873"/>
      <c r="J665" s="873"/>
      <c r="K665" s="873"/>
      <c r="L665" s="873"/>
      <c r="M665" s="873"/>
      <c r="N665" s="873"/>
      <c r="O665" s="873"/>
      <c r="P665" s="873"/>
      <c r="Q665" s="873"/>
      <c r="R665" s="873"/>
      <c r="S665" s="873"/>
      <c r="T665" s="873"/>
      <c r="U665" s="873"/>
      <c r="V665" s="873"/>
      <c r="W665" s="873"/>
      <c r="X665" s="873"/>
      <c r="Y665" s="873"/>
    </row>
    <row r="666">
      <c r="A666" s="873"/>
      <c r="B666" s="873"/>
      <c r="C666" s="873"/>
      <c r="D666" s="873"/>
      <c r="E666" s="873"/>
      <c r="F666" s="873"/>
      <c r="G666" s="873"/>
      <c r="H666" s="873"/>
      <c r="I666" s="873"/>
      <c r="J666" s="873"/>
      <c r="K666" s="873"/>
      <c r="L666" s="873"/>
      <c r="M666" s="873"/>
      <c r="N666" s="873"/>
      <c r="O666" s="873"/>
      <c r="P666" s="873"/>
      <c r="Q666" s="873"/>
      <c r="R666" s="873"/>
      <c r="S666" s="873"/>
      <c r="T666" s="873"/>
      <c r="U666" s="873"/>
      <c r="V666" s="873"/>
      <c r="W666" s="873"/>
      <c r="X666" s="873"/>
      <c r="Y666" s="873"/>
    </row>
    <row r="667">
      <c r="A667" s="873"/>
      <c r="B667" s="873"/>
      <c r="C667" s="873"/>
      <c r="D667" s="873"/>
      <c r="E667" s="873"/>
      <c r="F667" s="873"/>
      <c r="G667" s="873"/>
      <c r="H667" s="873"/>
      <c r="I667" s="873"/>
      <c r="J667" s="873"/>
      <c r="K667" s="873"/>
      <c r="L667" s="873"/>
      <c r="M667" s="873"/>
      <c r="N667" s="873"/>
      <c r="O667" s="873"/>
      <c r="P667" s="873"/>
      <c r="Q667" s="873"/>
      <c r="R667" s="873"/>
      <c r="S667" s="873"/>
      <c r="T667" s="873"/>
      <c r="U667" s="873"/>
      <c r="V667" s="873"/>
      <c r="W667" s="873"/>
      <c r="X667" s="873"/>
      <c r="Y667" s="873"/>
    </row>
    <row r="668">
      <c r="A668" s="873"/>
      <c r="B668" s="873"/>
      <c r="C668" s="873"/>
      <c r="D668" s="873"/>
      <c r="E668" s="873"/>
      <c r="F668" s="873"/>
      <c r="G668" s="873"/>
      <c r="H668" s="873"/>
      <c r="I668" s="873"/>
      <c r="J668" s="873"/>
      <c r="K668" s="873"/>
      <c r="L668" s="873"/>
      <c r="M668" s="873"/>
      <c r="N668" s="873"/>
      <c r="O668" s="873"/>
      <c r="P668" s="873"/>
      <c r="Q668" s="873"/>
      <c r="R668" s="873"/>
      <c r="S668" s="873"/>
      <c r="T668" s="873"/>
      <c r="U668" s="873"/>
      <c r="V668" s="873"/>
      <c r="W668" s="873"/>
      <c r="X668" s="873"/>
      <c r="Y668" s="873"/>
    </row>
    <row r="669">
      <c r="A669" s="873"/>
      <c r="B669" s="873"/>
      <c r="C669" s="873"/>
      <c r="D669" s="873"/>
      <c r="E669" s="873"/>
      <c r="F669" s="873"/>
      <c r="G669" s="873"/>
      <c r="H669" s="873"/>
      <c r="I669" s="873"/>
      <c r="J669" s="873"/>
      <c r="K669" s="873"/>
      <c r="L669" s="873"/>
      <c r="M669" s="873"/>
      <c r="N669" s="873"/>
      <c r="O669" s="873"/>
      <c r="P669" s="873"/>
      <c r="Q669" s="873"/>
      <c r="R669" s="873"/>
      <c r="S669" s="873"/>
      <c r="T669" s="873"/>
      <c r="U669" s="873"/>
      <c r="V669" s="873"/>
      <c r="W669" s="873"/>
      <c r="X669" s="873"/>
      <c r="Y669" s="873"/>
    </row>
    <row r="670">
      <c r="A670" s="873"/>
      <c r="B670" s="873"/>
      <c r="C670" s="873"/>
      <c r="D670" s="873"/>
      <c r="E670" s="873"/>
      <c r="F670" s="873"/>
      <c r="G670" s="873"/>
      <c r="H670" s="873"/>
      <c r="I670" s="873"/>
      <c r="J670" s="873"/>
      <c r="K670" s="873"/>
      <c r="L670" s="873"/>
      <c r="M670" s="873"/>
      <c r="N670" s="873"/>
      <c r="O670" s="873"/>
      <c r="P670" s="873"/>
      <c r="Q670" s="873"/>
      <c r="R670" s="873"/>
      <c r="S670" s="873"/>
      <c r="T670" s="873"/>
      <c r="U670" s="873"/>
      <c r="V670" s="873"/>
      <c r="W670" s="873"/>
      <c r="X670" s="873"/>
      <c r="Y670" s="873"/>
    </row>
    <row r="671">
      <c r="A671" s="873"/>
      <c r="B671" s="873"/>
      <c r="C671" s="873"/>
      <c r="D671" s="873"/>
      <c r="E671" s="873"/>
      <c r="F671" s="873"/>
      <c r="G671" s="873"/>
      <c r="H671" s="873"/>
      <c r="I671" s="873"/>
      <c r="J671" s="873"/>
      <c r="K671" s="873"/>
      <c r="L671" s="873"/>
      <c r="M671" s="873"/>
      <c r="N671" s="873"/>
      <c r="O671" s="873"/>
      <c r="P671" s="873"/>
      <c r="Q671" s="873"/>
      <c r="R671" s="873"/>
      <c r="S671" s="873"/>
      <c r="T671" s="873"/>
      <c r="U671" s="873"/>
      <c r="V671" s="873"/>
      <c r="W671" s="873"/>
      <c r="X671" s="873"/>
      <c r="Y671" s="873"/>
    </row>
    <row r="672">
      <c r="A672" s="873"/>
      <c r="B672" s="873"/>
      <c r="C672" s="873"/>
      <c r="D672" s="873"/>
      <c r="E672" s="873"/>
      <c r="F672" s="873"/>
      <c r="G672" s="873"/>
      <c r="H672" s="873"/>
      <c r="I672" s="873"/>
      <c r="J672" s="873"/>
      <c r="K672" s="873"/>
      <c r="L672" s="873"/>
      <c r="M672" s="873"/>
      <c r="N672" s="873"/>
      <c r="O672" s="873"/>
      <c r="P672" s="873"/>
      <c r="Q672" s="873"/>
      <c r="R672" s="873"/>
      <c r="S672" s="873"/>
      <c r="T672" s="873"/>
      <c r="U672" s="873"/>
      <c r="V672" s="873"/>
      <c r="W672" s="873"/>
      <c r="X672" s="873"/>
      <c r="Y672" s="873"/>
    </row>
    <row r="673">
      <c r="A673" s="873"/>
      <c r="B673" s="873"/>
      <c r="C673" s="873"/>
      <c r="D673" s="873"/>
      <c r="E673" s="873"/>
      <c r="F673" s="873"/>
      <c r="G673" s="873"/>
      <c r="H673" s="873"/>
      <c r="I673" s="873"/>
      <c r="J673" s="873"/>
      <c r="K673" s="873"/>
      <c r="L673" s="873"/>
      <c r="M673" s="873"/>
      <c r="N673" s="873"/>
      <c r="O673" s="873"/>
      <c r="P673" s="873"/>
      <c r="Q673" s="873"/>
      <c r="R673" s="873"/>
      <c r="S673" s="873"/>
      <c r="T673" s="873"/>
      <c r="U673" s="873"/>
      <c r="V673" s="873"/>
      <c r="W673" s="873"/>
      <c r="X673" s="873"/>
      <c r="Y673" s="873"/>
    </row>
    <row r="674">
      <c r="A674" s="873"/>
      <c r="B674" s="873"/>
      <c r="C674" s="873"/>
      <c r="D674" s="873"/>
      <c r="E674" s="873"/>
      <c r="F674" s="873"/>
      <c r="G674" s="873"/>
      <c r="H674" s="873"/>
      <c r="I674" s="873"/>
      <c r="J674" s="873"/>
      <c r="K674" s="873"/>
      <c r="L674" s="873"/>
      <c r="M674" s="873"/>
      <c r="N674" s="873"/>
      <c r="O674" s="873"/>
      <c r="P674" s="873"/>
      <c r="Q674" s="873"/>
      <c r="R674" s="873"/>
      <c r="S674" s="873"/>
      <c r="T674" s="873"/>
      <c r="U674" s="873"/>
      <c r="V674" s="873"/>
      <c r="W674" s="873"/>
      <c r="X674" s="873"/>
      <c r="Y674" s="873"/>
    </row>
    <row r="675">
      <c r="A675" s="873"/>
      <c r="B675" s="873"/>
      <c r="C675" s="873"/>
      <c r="D675" s="873"/>
      <c r="E675" s="873"/>
      <c r="F675" s="873"/>
      <c r="G675" s="873"/>
      <c r="H675" s="873"/>
      <c r="I675" s="873"/>
      <c r="J675" s="873"/>
      <c r="K675" s="873"/>
      <c r="L675" s="873"/>
      <c r="M675" s="873"/>
      <c r="N675" s="873"/>
      <c r="O675" s="873"/>
      <c r="P675" s="873"/>
      <c r="Q675" s="873"/>
      <c r="R675" s="873"/>
      <c r="S675" s="873"/>
      <c r="T675" s="873"/>
      <c r="U675" s="873"/>
      <c r="V675" s="873"/>
      <c r="W675" s="873"/>
      <c r="X675" s="873"/>
      <c r="Y675" s="873"/>
    </row>
    <row r="676">
      <c r="A676" s="873"/>
      <c r="B676" s="873"/>
      <c r="C676" s="873"/>
      <c r="D676" s="873"/>
      <c r="E676" s="873"/>
      <c r="F676" s="873"/>
      <c r="G676" s="873"/>
      <c r="H676" s="873"/>
      <c r="I676" s="873"/>
      <c r="J676" s="873"/>
      <c r="K676" s="873"/>
      <c r="L676" s="873"/>
      <c r="M676" s="873"/>
      <c r="N676" s="873"/>
      <c r="O676" s="873"/>
      <c r="P676" s="873"/>
      <c r="Q676" s="873"/>
      <c r="R676" s="873"/>
      <c r="S676" s="873"/>
      <c r="T676" s="873"/>
      <c r="U676" s="873"/>
      <c r="V676" s="873"/>
      <c r="W676" s="873"/>
      <c r="X676" s="873"/>
      <c r="Y676" s="873"/>
    </row>
    <row r="677">
      <c r="A677" s="873"/>
      <c r="B677" s="873"/>
      <c r="C677" s="873"/>
      <c r="D677" s="873"/>
      <c r="E677" s="873"/>
      <c r="F677" s="873"/>
      <c r="G677" s="873"/>
      <c r="H677" s="873"/>
      <c r="I677" s="873"/>
      <c r="J677" s="873"/>
      <c r="K677" s="873"/>
      <c r="L677" s="873"/>
      <c r="M677" s="873"/>
      <c r="N677" s="873"/>
      <c r="O677" s="873"/>
      <c r="P677" s="873"/>
      <c r="Q677" s="873"/>
      <c r="R677" s="873"/>
      <c r="S677" s="873"/>
      <c r="T677" s="873"/>
      <c r="U677" s="873"/>
      <c r="V677" s="873"/>
      <c r="W677" s="873"/>
      <c r="X677" s="873"/>
      <c r="Y677" s="873"/>
    </row>
    <row r="678">
      <c r="A678" s="873"/>
      <c r="B678" s="873"/>
      <c r="C678" s="873"/>
      <c r="D678" s="873"/>
      <c r="E678" s="873"/>
      <c r="F678" s="873"/>
      <c r="G678" s="873"/>
      <c r="H678" s="873"/>
      <c r="I678" s="873"/>
      <c r="J678" s="873"/>
      <c r="K678" s="873"/>
      <c r="L678" s="873"/>
      <c r="M678" s="873"/>
      <c r="N678" s="873"/>
      <c r="O678" s="873"/>
      <c r="P678" s="873"/>
      <c r="Q678" s="873"/>
      <c r="R678" s="873"/>
      <c r="S678" s="873"/>
      <c r="T678" s="873"/>
      <c r="U678" s="873"/>
      <c r="V678" s="873"/>
      <c r="W678" s="873"/>
      <c r="X678" s="873"/>
      <c r="Y678" s="873"/>
    </row>
    <row r="679">
      <c r="A679" s="873"/>
      <c r="B679" s="873"/>
      <c r="C679" s="873"/>
      <c r="D679" s="873"/>
      <c r="E679" s="873"/>
      <c r="F679" s="873"/>
      <c r="G679" s="873"/>
      <c r="H679" s="873"/>
      <c r="I679" s="873"/>
      <c r="J679" s="873"/>
      <c r="K679" s="873"/>
      <c r="L679" s="873"/>
      <c r="M679" s="873"/>
      <c r="N679" s="873"/>
      <c r="O679" s="873"/>
      <c r="P679" s="873"/>
      <c r="Q679" s="873"/>
      <c r="R679" s="873"/>
      <c r="S679" s="873"/>
      <c r="T679" s="873"/>
      <c r="U679" s="873"/>
      <c r="V679" s="873"/>
      <c r="W679" s="873"/>
      <c r="X679" s="873"/>
      <c r="Y679" s="873"/>
    </row>
    <row r="680">
      <c r="A680" s="873"/>
      <c r="B680" s="873"/>
      <c r="C680" s="873"/>
      <c r="D680" s="873"/>
      <c r="E680" s="873"/>
      <c r="F680" s="873"/>
      <c r="G680" s="873"/>
      <c r="H680" s="873"/>
      <c r="I680" s="873"/>
      <c r="J680" s="873"/>
      <c r="K680" s="873"/>
      <c r="L680" s="873"/>
      <c r="M680" s="873"/>
      <c r="N680" s="873"/>
      <c r="O680" s="873"/>
      <c r="P680" s="873"/>
      <c r="Q680" s="873"/>
      <c r="R680" s="873"/>
      <c r="S680" s="873"/>
      <c r="T680" s="873"/>
      <c r="U680" s="873"/>
      <c r="V680" s="873"/>
      <c r="W680" s="873"/>
      <c r="X680" s="873"/>
      <c r="Y680" s="873"/>
    </row>
    <row r="681">
      <c r="A681" s="873"/>
      <c r="B681" s="873"/>
      <c r="C681" s="873"/>
      <c r="D681" s="873"/>
      <c r="E681" s="873"/>
      <c r="F681" s="873"/>
      <c r="G681" s="873"/>
      <c r="H681" s="873"/>
      <c r="I681" s="873"/>
      <c r="J681" s="873"/>
      <c r="K681" s="873"/>
      <c r="L681" s="873"/>
      <c r="M681" s="873"/>
      <c r="N681" s="873"/>
      <c r="O681" s="873"/>
      <c r="P681" s="873"/>
      <c r="Q681" s="873"/>
      <c r="R681" s="873"/>
      <c r="S681" s="873"/>
      <c r="T681" s="873"/>
      <c r="U681" s="873"/>
      <c r="V681" s="873"/>
      <c r="W681" s="873"/>
      <c r="X681" s="873"/>
      <c r="Y681" s="873"/>
    </row>
    <row r="682">
      <c r="A682" s="873"/>
      <c r="B682" s="873"/>
      <c r="C682" s="873"/>
      <c r="D682" s="873"/>
      <c r="E682" s="873"/>
      <c r="F682" s="873"/>
      <c r="G682" s="873"/>
      <c r="H682" s="873"/>
      <c r="I682" s="873"/>
      <c r="J682" s="873"/>
      <c r="K682" s="873"/>
      <c r="L682" s="873"/>
      <c r="M682" s="873"/>
      <c r="N682" s="873"/>
      <c r="O682" s="873"/>
      <c r="P682" s="873"/>
      <c r="Q682" s="873"/>
      <c r="R682" s="873"/>
      <c r="S682" s="873"/>
      <c r="T682" s="873"/>
      <c r="U682" s="873"/>
      <c r="V682" s="873"/>
      <c r="W682" s="873"/>
      <c r="X682" s="873"/>
      <c r="Y682" s="873"/>
    </row>
    <row r="683">
      <c r="A683" s="873"/>
      <c r="B683" s="873"/>
      <c r="C683" s="873"/>
      <c r="D683" s="873"/>
      <c r="E683" s="873"/>
      <c r="F683" s="873"/>
      <c r="G683" s="873"/>
      <c r="H683" s="873"/>
      <c r="I683" s="873"/>
      <c r="J683" s="873"/>
      <c r="K683" s="873"/>
      <c r="L683" s="873"/>
      <c r="M683" s="873"/>
      <c r="N683" s="873"/>
      <c r="O683" s="873"/>
      <c r="P683" s="873"/>
      <c r="Q683" s="873"/>
      <c r="R683" s="873"/>
      <c r="S683" s="873"/>
      <c r="T683" s="873"/>
      <c r="U683" s="873"/>
      <c r="V683" s="873"/>
      <c r="W683" s="873"/>
      <c r="X683" s="873"/>
      <c r="Y683" s="873"/>
    </row>
    <row r="684">
      <c r="A684" s="873"/>
      <c r="B684" s="873"/>
      <c r="C684" s="873"/>
      <c r="D684" s="873"/>
      <c r="E684" s="873"/>
      <c r="F684" s="873"/>
      <c r="G684" s="873"/>
      <c r="H684" s="873"/>
      <c r="I684" s="873"/>
      <c r="J684" s="873"/>
      <c r="K684" s="873"/>
      <c r="L684" s="873"/>
      <c r="M684" s="873"/>
      <c r="N684" s="873"/>
      <c r="O684" s="873"/>
      <c r="P684" s="873"/>
      <c r="Q684" s="873"/>
      <c r="R684" s="873"/>
      <c r="S684" s="873"/>
      <c r="T684" s="873"/>
      <c r="U684" s="873"/>
      <c r="V684" s="873"/>
      <c r="W684" s="873"/>
      <c r="X684" s="873"/>
      <c r="Y684" s="873"/>
    </row>
    <row r="685">
      <c r="A685" s="873"/>
      <c r="B685" s="873"/>
      <c r="C685" s="873"/>
      <c r="D685" s="873"/>
      <c r="E685" s="873"/>
      <c r="F685" s="873"/>
      <c r="G685" s="873"/>
      <c r="H685" s="873"/>
      <c r="I685" s="873"/>
      <c r="J685" s="873"/>
      <c r="K685" s="873"/>
      <c r="L685" s="873"/>
      <c r="M685" s="873"/>
      <c r="N685" s="873"/>
      <c r="O685" s="873"/>
      <c r="P685" s="873"/>
      <c r="Q685" s="873"/>
      <c r="R685" s="873"/>
      <c r="S685" s="873"/>
      <c r="T685" s="873"/>
      <c r="U685" s="873"/>
      <c r="V685" s="873"/>
      <c r="W685" s="873"/>
      <c r="X685" s="873"/>
      <c r="Y685" s="873"/>
    </row>
    <row r="686">
      <c r="A686" s="873"/>
      <c r="B686" s="873"/>
      <c r="C686" s="873"/>
      <c r="D686" s="873"/>
      <c r="E686" s="873"/>
      <c r="F686" s="873"/>
      <c r="G686" s="873"/>
      <c r="H686" s="873"/>
      <c r="I686" s="873"/>
      <c r="J686" s="873"/>
      <c r="K686" s="873"/>
      <c r="L686" s="873"/>
      <c r="M686" s="873"/>
      <c r="N686" s="873"/>
      <c r="O686" s="873"/>
      <c r="P686" s="873"/>
      <c r="Q686" s="873"/>
      <c r="R686" s="873"/>
      <c r="S686" s="873"/>
      <c r="T686" s="873"/>
      <c r="U686" s="873"/>
      <c r="V686" s="873"/>
      <c r="W686" s="873"/>
      <c r="X686" s="873"/>
      <c r="Y686" s="873"/>
    </row>
    <row r="687">
      <c r="A687" s="873"/>
      <c r="B687" s="873"/>
      <c r="C687" s="873"/>
      <c r="D687" s="873"/>
      <c r="E687" s="873"/>
      <c r="F687" s="873"/>
      <c r="G687" s="873"/>
      <c r="H687" s="873"/>
      <c r="I687" s="873"/>
      <c r="J687" s="873"/>
      <c r="K687" s="873"/>
      <c r="L687" s="873"/>
      <c r="M687" s="873"/>
      <c r="N687" s="873"/>
      <c r="O687" s="873"/>
      <c r="P687" s="873"/>
      <c r="Q687" s="873"/>
      <c r="R687" s="873"/>
      <c r="S687" s="873"/>
      <c r="T687" s="873"/>
      <c r="U687" s="873"/>
      <c r="V687" s="873"/>
      <c r="W687" s="873"/>
      <c r="X687" s="873"/>
      <c r="Y687" s="873"/>
    </row>
    <row r="688">
      <c r="A688" s="873"/>
      <c r="B688" s="873"/>
      <c r="C688" s="873"/>
      <c r="D688" s="873"/>
      <c r="E688" s="873"/>
      <c r="F688" s="873"/>
      <c r="G688" s="873"/>
      <c r="H688" s="873"/>
      <c r="I688" s="873"/>
      <c r="J688" s="873"/>
      <c r="K688" s="873"/>
      <c r="L688" s="873"/>
      <c r="M688" s="873"/>
      <c r="N688" s="873"/>
      <c r="O688" s="873"/>
      <c r="P688" s="873"/>
      <c r="Q688" s="873"/>
      <c r="R688" s="873"/>
      <c r="S688" s="873"/>
      <c r="T688" s="873"/>
      <c r="U688" s="873"/>
      <c r="V688" s="873"/>
      <c r="W688" s="873"/>
      <c r="X688" s="873"/>
      <c r="Y688" s="873"/>
    </row>
    <row r="689">
      <c r="A689" s="873"/>
      <c r="B689" s="873"/>
      <c r="C689" s="873"/>
      <c r="D689" s="873"/>
      <c r="E689" s="873"/>
      <c r="F689" s="873"/>
      <c r="G689" s="873"/>
      <c r="H689" s="873"/>
      <c r="I689" s="873"/>
      <c r="J689" s="873"/>
      <c r="K689" s="873"/>
      <c r="L689" s="873"/>
      <c r="M689" s="873"/>
      <c r="N689" s="873"/>
      <c r="O689" s="873"/>
      <c r="P689" s="873"/>
      <c r="Q689" s="873"/>
      <c r="R689" s="873"/>
      <c r="S689" s="873"/>
      <c r="T689" s="873"/>
      <c r="U689" s="873"/>
      <c r="V689" s="873"/>
      <c r="W689" s="873"/>
      <c r="X689" s="873"/>
      <c r="Y689" s="873"/>
    </row>
    <row r="690">
      <c r="A690" s="873"/>
      <c r="B690" s="873"/>
      <c r="C690" s="873"/>
      <c r="D690" s="873"/>
      <c r="E690" s="873"/>
      <c r="F690" s="873"/>
      <c r="G690" s="873"/>
      <c r="H690" s="873"/>
      <c r="I690" s="873"/>
      <c r="J690" s="873"/>
      <c r="K690" s="873"/>
      <c r="L690" s="873"/>
      <c r="M690" s="873"/>
      <c r="N690" s="873"/>
      <c r="O690" s="873"/>
      <c r="P690" s="873"/>
      <c r="Q690" s="873"/>
      <c r="R690" s="873"/>
      <c r="S690" s="873"/>
      <c r="T690" s="873"/>
      <c r="U690" s="873"/>
      <c r="V690" s="873"/>
      <c r="W690" s="873"/>
      <c r="X690" s="873"/>
      <c r="Y690" s="873"/>
    </row>
    <row r="691">
      <c r="A691" s="873"/>
      <c r="B691" s="873"/>
      <c r="C691" s="873"/>
      <c r="D691" s="873"/>
      <c r="E691" s="873"/>
      <c r="F691" s="873"/>
      <c r="G691" s="873"/>
      <c r="H691" s="873"/>
      <c r="I691" s="873"/>
      <c r="J691" s="873"/>
      <c r="K691" s="873"/>
      <c r="L691" s="873"/>
      <c r="M691" s="873"/>
      <c r="N691" s="873"/>
      <c r="O691" s="873"/>
      <c r="P691" s="873"/>
      <c r="Q691" s="873"/>
      <c r="R691" s="873"/>
      <c r="S691" s="873"/>
      <c r="T691" s="873"/>
      <c r="U691" s="873"/>
      <c r="V691" s="873"/>
      <c r="W691" s="873"/>
      <c r="X691" s="873"/>
      <c r="Y691" s="873"/>
    </row>
    <row r="692">
      <c r="A692" s="873"/>
      <c r="B692" s="873"/>
      <c r="C692" s="873"/>
      <c r="D692" s="873"/>
      <c r="E692" s="873"/>
      <c r="F692" s="873"/>
      <c r="G692" s="873"/>
      <c r="H692" s="873"/>
      <c r="I692" s="873"/>
      <c r="J692" s="873"/>
      <c r="K692" s="873"/>
      <c r="L692" s="873"/>
      <c r="M692" s="873"/>
      <c r="N692" s="873"/>
      <c r="O692" s="873"/>
      <c r="P692" s="873"/>
      <c r="Q692" s="873"/>
      <c r="R692" s="873"/>
      <c r="S692" s="873"/>
      <c r="T692" s="873"/>
      <c r="U692" s="873"/>
      <c r="V692" s="873"/>
      <c r="W692" s="873"/>
      <c r="X692" s="873"/>
      <c r="Y692" s="873"/>
    </row>
    <row r="693">
      <c r="A693" s="873"/>
      <c r="B693" s="873"/>
      <c r="C693" s="873"/>
      <c r="D693" s="873"/>
      <c r="E693" s="873"/>
      <c r="F693" s="873"/>
      <c r="G693" s="873"/>
      <c r="H693" s="873"/>
      <c r="I693" s="873"/>
      <c r="J693" s="873"/>
      <c r="K693" s="873"/>
      <c r="L693" s="873"/>
      <c r="M693" s="873"/>
      <c r="N693" s="873"/>
      <c r="O693" s="873"/>
      <c r="P693" s="873"/>
      <c r="Q693" s="873"/>
      <c r="R693" s="873"/>
      <c r="S693" s="873"/>
      <c r="T693" s="873"/>
      <c r="U693" s="873"/>
      <c r="V693" s="873"/>
      <c r="W693" s="873"/>
      <c r="X693" s="873"/>
      <c r="Y693" s="873"/>
    </row>
    <row r="694">
      <c r="A694" s="873"/>
      <c r="B694" s="873"/>
      <c r="C694" s="873"/>
      <c r="D694" s="873"/>
      <c r="E694" s="873"/>
      <c r="F694" s="873"/>
      <c r="G694" s="873"/>
      <c r="H694" s="873"/>
      <c r="I694" s="873"/>
      <c r="J694" s="873"/>
      <c r="K694" s="873"/>
      <c r="L694" s="873"/>
      <c r="M694" s="873"/>
      <c r="N694" s="873"/>
      <c r="O694" s="873"/>
      <c r="P694" s="873"/>
      <c r="Q694" s="873"/>
      <c r="R694" s="873"/>
      <c r="S694" s="873"/>
      <c r="T694" s="873"/>
      <c r="U694" s="873"/>
      <c r="V694" s="873"/>
      <c r="W694" s="873"/>
      <c r="X694" s="873"/>
      <c r="Y694" s="873"/>
    </row>
    <row r="695">
      <c r="A695" s="873"/>
      <c r="B695" s="873"/>
      <c r="C695" s="873"/>
      <c r="D695" s="873"/>
      <c r="E695" s="873"/>
      <c r="F695" s="873"/>
      <c r="G695" s="873"/>
      <c r="H695" s="873"/>
      <c r="I695" s="873"/>
      <c r="J695" s="873"/>
      <c r="K695" s="873"/>
      <c r="L695" s="873"/>
      <c r="M695" s="873"/>
      <c r="N695" s="873"/>
      <c r="O695" s="873"/>
      <c r="P695" s="873"/>
      <c r="Q695" s="873"/>
      <c r="R695" s="873"/>
      <c r="S695" s="873"/>
      <c r="T695" s="873"/>
      <c r="U695" s="873"/>
      <c r="V695" s="873"/>
      <c r="W695" s="873"/>
      <c r="X695" s="873"/>
      <c r="Y695" s="873"/>
    </row>
    <row r="696">
      <c r="A696" s="873"/>
      <c r="B696" s="873"/>
      <c r="C696" s="873"/>
      <c r="D696" s="873"/>
      <c r="E696" s="873"/>
      <c r="F696" s="873"/>
      <c r="G696" s="873"/>
      <c r="H696" s="873"/>
      <c r="I696" s="873"/>
      <c r="J696" s="873"/>
      <c r="K696" s="873"/>
      <c r="L696" s="873"/>
      <c r="M696" s="873"/>
      <c r="N696" s="873"/>
      <c r="O696" s="873"/>
      <c r="P696" s="873"/>
      <c r="Q696" s="873"/>
      <c r="R696" s="873"/>
      <c r="S696" s="873"/>
      <c r="T696" s="873"/>
      <c r="U696" s="873"/>
      <c r="V696" s="873"/>
      <c r="W696" s="873"/>
      <c r="X696" s="873"/>
      <c r="Y696" s="873"/>
    </row>
    <row r="697">
      <c r="A697" s="873"/>
      <c r="B697" s="873"/>
      <c r="C697" s="873"/>
      <c r="D697" s="873"/>
      <c r="E697" s="873"/>
      <c r="F697" s="873"/>
      <c r="G697" s="873"/>
      <c r="H697" s="873"/>
      <c r="I697" s="873"/>
      <c r="J697" s="873"/>
      <c r="K697" s="873"/>
      <c r="L697" s="873"/>
      <c r="M697" s="873"/>
      <c r="N697" s="873"/>
      <c r="O697" s="873"/>
      <c r="P697" s="873"/>
      <c r="Q697" s="873"/>
      <c r="R697" s="873"/>
      <c r="S697" s="873"/>
      <c r="T697" s="873"/>
      <c r="U697" s="873"/>
      <c r="V697" s="873"/>
      <c r="W697" s="873"/>
      <c r="X697" s="873"/>
      <c r="Y697" s="873"/>
    </row>
    <row r="698">
      <c r="A698" s="873"/>
      <c r="B698" s="873"/>
      <c r="C698" s="873"/>
      <c r="D698" s="873"/>
      <c r="E698" s="873"/>
      <c r="F698" s="873"/>
      <c r="G698" s="873"/>
      <c r="H698" s="873"/>
      <c r="I698" s="873"/>
      <c r="J698" s="873"/>
      <c r="K698" s="873"/>
      <c r="L698" s="873"/>
      <c r="M698" s="873"/>
      <c r="N698" s="873"/>
      <c r="O698" s="873"/>
      <c r="P698" s="873"/>
      <c r="Q698" s="873"/>
      <c r="R698" s="873"/>
      <c r="S698" s="873"/>
      <c r="T698" s="873"/>
      <c r="U698" s="873"/>
      <c r="V698" s="873"/>
      <c r="W698" s="873"/>
      <c r="X698" s="873"/>
      <c r="Y698" s="873"/>
    </row>
    <row r="699">
      <c r="A699" s="873"/>
      <c r="B699" s="873"/>
      <c r="C699" s="873"/>
      <c r="D699" s="873"/>
      <c r="E699" s="873"/>
      <c r="F699" s="873"/>
      <c r="G699" s="873"/>
      <c r="H699" s="873"/>
      <c r="I699" s="873"/>
      <c r="J699" s="873"/>
      <c r="K699" s="873"/>
      <c r="L699" s="873"/>
      <c r="M699" s="873"/>
      <c r="N699" s="873"/>
      <c r="O699" s="873"/>
      <c r="P699" s="873"/>
      <c r="Q699" s="873"/>
      <c r="R699" s="873"/>
      <c r="S699" s="873"/>
      <c r="T699" s="873"/>
      <c r="U699" s="873"/>
      <c r="V699" s="873"/>
      <c r="W699" s="873"/>
      <c r="X699" s="873"/>
      <c r="Y699" s="873"/>
    </row>
    <row r="700">
      <c r="A700" s="873"/>
      <c r="B700" s="873"/>
      <c r="C700" s="873"/>
      <c r="D700" s="873"/>
      <c r="E700" s="873"/>
      <c r="F700" s="873"/>
      <c r="G700" s="873"/>
      <c r="H700" s="873"/>
      <c r="I700" s="873"/>
      <c r="J700" s="873"/>
      <c r="K700" s="873"/>
      <c r="L700" s="873"/>
      <c r="M700" s="873"/>
      <c r="N700" s="873"/>
      <c r="O700" s="873"/>
      <c r="P700" s="873"/>
      <c r="Q700" s="873"/>
      <c r="R700" s="873"/>
      <c r="S700" s="873"/>
      <c r="T700" s="873"/>
      <c r="U700" s="873"/>
      <c r="V700" s="873"/>
      <c r="W700" s="873"/>
      <c r="X700" s="873"/>
      <c r="Y700" s="873"/>
    </row>
    <row r="701">
      <c r="A701" s="873"/>
      <c r="B701" s="873"/>
      <c r="C701" s="873"/>
      <c r="D701" s="873"/>
      <c r="E701" s="873"/>
      <c r="F701" s="873"/>
      <c r="G701" s="873"/>
      <c r="H701" s="873"/>
      <c r="I701" s="873"/>
      <c r="J701" s="873"/>
      <c r="K701" s="873"/>
      <c r="L701" s="873"/>
      <c r="M701" s="873"/>
      <c r="N701" s="873"/>
      <c r="O701" s="873"/>
      <c r="P701" s="873"/>
      <c r="Q701" s="873"/>
      <c r="R701" s="873"/>
      <c r="S701" s="873"/>
      <c r="T701" s="873"/>
      <c r="U701" s="873"/>
      <c r="V701" s="873"/>
      <c r="W701" s="873"/>
      <c r="X701" s="873"/>
      <c r="Y701" s="873"/>
    </row>
    <row r="702">
      <c r="A702" s="873"/>
      <c r="B702" s="873"/>
      <c r="C702" s="873"/>
      <c r="D702" s="873"/>
      <c r="E702" s="873"/>
      <c r="F702" s="873"/>
      <c r="G702" s="873"/>
      <c r="H702" s="873"/>
      <c r="I702" s="873"/>
      <c r="J702" s="873"/>
      <c r="K702" s="873"/>
      <c r="L702" s="873"/>
      <c r="M702" s="873"/>
      <c r="N702" s="873"/>
      <c r="O702" s="873"/>
      <c r="P702" s="873"/>
      <c r="Q702" s="873"/>
      <c r="R702" s="873"/>
      <c r="S702" s="873"/>
      <c r="T702" s="873"/>
      <c r="U702" s="873"/>
      <c r="V702" s="873"/>
      <c r="W702" s="873"/>
      <c r="X702" s="873"/>
      <c r="Y702" s="873"/>
    </row>
    <row r="703">
      <c r="A703" s="873"/>
      <c r="B703" s="873"/>
      <c r="C703" s="873"/>
      <c r="D703" s="873"/>
      <c r="E703" s="873"/>
      <c r="F703" s="873"/>
      <c r="G703" s="873"/>
      <c r="H703" s="873"/>
      <c r="I703" s="873"/>
      <c r="J703" s="873"/>
      <c r="K703" s="873"/>
      <c r="L703" s="873"/>
      <c r="M703" s="873"/>
      <c r="N703" s="873"/>
      <c r="O703" s="873"/>
      <c r="P703" s="873"/>
      <c r="Q703" s="873"/>
      <c r="R703" s="873"/>
      <c r="S703" s="873"/>
      <c r="T703" s="873"/>
      <c r="U703" s="873"/>
      <c r="V703" s="873"/>
      <c r="W703" s="873"/>
      <c r="X703" s="873"/>
      <c r="Y703" s="873"/>
    </row>
    <row r="704">
      <c r="A704" s="873"/>
      <c r="B704" s="873"/>
      <c r="C704" s="873"/>
      <c r="D704" s="873"/>
      <c r="E704" s="873"/>
      <c r="F704" s="873"/>
      <c r="G704" s="873"/>
      <c r="H704" s="873"/>
      <c r="I704" s="873"/>
      <c r="J704" s="873"/>
      <c r="K704" s="873"/>
      <c r="L704" s="873"/>
      <c r="M704" s="873"/>
      <c r="N704" s="873"/>
      <c r="O704" s="873"/>
      <c r="P704" s="873"/>
      <c r="Q704" s="873"/>
      <c r="R704" s="873"/>
      <c r="S704" s="873"/>
      <c r="T704" s="873"/>
      <c r="U704" s="873"/>
      <c r="V704" s="873"/>
      <c r="W704" s="873"/>
      <c r="X704" s="873"/>
      <c r="Y704" s="873"/>
    </row>
    <row r="705">
      <c r="A705" s="873"/>
      <c r="B705" s="873"/>
      <c r="C705" s="873"/>
      <c r="D705" s="873"/>
      <c r="E705" s="873"/>
      <c r="F705" s="873"/>
      <c r="G705" s="873"/>
      <c r="H705" s="873"/>
      <c r="I705" s="873"/>
      <c r="J705" s="873"/>
      <c r="K705" s="873"/>
      <c r="L705" s="873"/>
      <c r="M705" s="873"/>
      <c r="N705" s="873"/>
      <c r="O705" s="873"/>
      <c r="P705" s="873"/>
      <c r="Q705" s="873"/>
      <c r="R705" s="873"/>
      <c r="S705" s="873"/>
      <c r="T705" s="873"/>
      <c r="U705" s="873"/>
      <c r="V705" s="873"/>
      <c r="W705" s="873"/>
      <c r="X705" s="873"/>
      <c r="Y705" s="873"/>
    </row>
    <row r="706">
      <c r="A706" s="873"/>
      <c r="B706" s="873"/>
      <c r="C706" s="873"/>
      <c r="D706" s="873"/>
      <c r="E706" s="873"/>
      <c r="F706" s="873"/>
      <c r="G706" s="873"/>
      <c r="H706" s="873"/>
      <c r="I706" s="873"/>
      <c r="J706" s="873"/>
      <c r="K706" s="873"/>
      <c r="L706" s="873"/>
      <c r="M706" s="873"/>
      <c r="N706" s="873"/>
      <c r="O706" s="873"/>
      <c r="P706" s="873"/>
      <c r="Q706" s="873"/>
      <c r="R706" s="873"/>
      <c r="S706" s="873"/>
      <c r="T706" s="873"/>
      <c r="U706" s="873"/>
      <c r="V706" s="873"/>
      <c r="W706" s="873"/>
      <c r="X706" s="873"/>
      <c r="Y706" s="873"/>
    </row>
    <row r="707">
      <c r="A707" s="873"/>
      <c r="B707" s="873"/>
      <c r="C707" s="873"/>
      <c r="D707" s="873"/>
      <c r="E707" s="873"/>
      <c r="F707" s="873"/>
      <c r="G707" s="873"/>
      <c r="H707" s="873"/>
      <c r="I707" s="873"/>
      <c r="J707" s="873"/>
      <c r="K707" s="873"/>
      <c r="L707" s="873"/>
      <c r="M707" s="873"/>
      <c r="N707" s="873"/>
      <c r="O707" s="873"/>
      <c r="P707" s="873"/>
      <c r="Q707" s="873"/>
      <c r="R707" s="873"/>
      <c r="S707" s="873"/>
      <c r="T707" s="873"/>
      <c r="U707" s="873"/>
      <c r="V707" s="873"/>
      <c r="W707" s="873"/>
      <c r="X707" s="873"/>
      <c r="Y707" s="873"/>
    </row>
    <row r="708">
      <c r="A708" s="873"/>
      <c r="B708" s="873"/>
      <c r="C708" s="873"/>
      <c r="D708" s="873"/>
      <c r="E708" s="873"/>
      <c r="F708" s="873"/>
      <c r="G708" s="873"/>
      <c r="H708" s="873"/>
      <c r="I708" s="873"/>
      <c r="J708" s="873"/>
      <c r="K708" s="873"/>
      <c r="L708" s="873"/>
      <c r="M708" s="873"/>
      <c r="N708" s="873"/>
      <c r="O708" s="873"/>
      <c r="P708" s="873"/>
      <c r="Q708" s="873"/>
      <c r="R708" s="873"/>
      <c r="S708" s="873"/>
      <c r="T708" s="873"/>
      <c r="U708" s="873"/>
      <c r="V708" s="873"/>
      <c r="W708" s="873"/>
      <c r="X708" s="873"/>
      <c r="Y708" s="873"/>
    </row>
    <row r="709">
      <c r="A709" s="873"/>
      <c r="B709" s="873"/>
      <c r="C709" s="873"/>
      <c r="D709" s="873"/>
      <c r="E709" s="873"/>
      <c r="F709" s="873"/>
      <c r="G709" s="873"/>
      <c r="H709" s="873"/>
      <c r="I709" s="873"/>
      <c r="J709" s="873"/>
      <c r="K709" s="873"/>
      <c r="L709" s="873"/>
      <c r="M709" s="873"/>
      <c r="N709" s="873"/>
      <c r="O709" s="873"/>
      <c r="P709" s="873"/>
      <c r="Q709" s="873"/>
      <c r="R709" s="873"/>
      <c r="S709" s="873"/>
      <c r="T709" s="873"/>
      <c r="U709" s="873"/>
      <c r="V709" s="873"/>
      <c r="W709" s="873"/>
      <c r="X709" s="873"/>
      <c r="Y709" s="873"/>
    </row>
    <row r="710">
      <c r="A710" s="873"/>
      <c r="B710" s="873"/>
      <c r="C710" s="873"/>
      <c r="D710" s="873"/>
      <c r="E710" s="873"/>
      <c r="F710" s="873"/>
      <c r="G710" s="873"/>
      <c r="H710" s="873"/>
      <c r="I710" s="873"/>
      <c r="J710" s="873"/>
      <c r="K710" s="873"/>
      <c r="L710" s="873"/>
      <c r="M710" s="873"/>
      <c r="N710" s="873"/>
      <c r="O710" s="873"/>
      <c r="P710" s="873"/>
      <c r="Q710" s="873"/>
      <c r="R710" s="873"/>
      <c r="S710" s="873"/>
      <c r="T710" s="873"/>
      <c r="U710" s="873"/>
      <c r="V710" s="873"/>
      <c r="W710" s="873"/>
      <c r="X710" s="873"/>
      <c r="Y710" s="873"/>
    </row>
    <row r="711">
      <c r="A711" s="873"/>
      <c r="B711" s="873"/>
      <c r="C711" s="873"/>
      <c r="D711" s="873"/>
      <c r="E711" s="873"/>
      <c r="F711" s="873"/>
      <c r="G711" s="873"/>
      <c r="H711" s="873"/>
      <c r="I711" s="873"/>
      <c r="J711" s="873"/>
      <c r="K711" s="873"/>
      <c r="L711" s="873"/>
      <c r="M711" s="873"/>
      <c r="N711" s="873"/>
      <c r="O711" s="873"/>
      <c r="P711" s="873"/>
      <c r="Q711" s="873"/>
      <c r="R711" s="873"/>
      <c r="S711" s="873"/>
      <c r="T711" s="873"/>
      <c r="U711" s="873"/>
      <c r="V711" s="873"/>
      <c r="W711" s="873"/>
      <c r="X711" s="873"/>
      <c r="Y711" s="873"/>
    </row>
    <row r="712">
      <c r="A712" s="873"/>
      <c r="B712" s="873"/>
      <c r="C712" s="873"/>
      <c r="D712" s="873"/>
      <c r="E712" s="873"/>
      <c r="F712" s="873"/>
      <c r="G712" s="873"/>
      <c r="H712" s="873"/>
      <c r="I712" s="873"/>
      <c r="J712" s="873"/>
      <c r="K712" s="873"/>
      <c r="L712" s="873"/>
      <c r="M712" s="873"/>
      <c r="N712" s="873"/>
      <c r="O712" s="873"/>
      <c r="P712" s="873"/>
      <c r="Q712" s="873"/>
      <c r="R712" s="873"/>
      <c r="S712" s="873"/>
      <c r="T712" s="873"/>
      <c r="U712" s="873"/>
      <c r="V712" s="873"/>
      <c r="W712" s="873"/>
      <c r="X712" s="873"/>
      <c r="Y712" s="873"/>
    </row>
    <row r="713">
      <c r="A713" s="873"/>
      <c r="B713" s="873"/>
      <c r="C713" s="873"/>
      <c r="D713" s="873"/>
      <c r="E713" s="873"/>
      <c r="F713" s="873"/>
      <c r="G713" s="873"/>
      <c r="H713" s="873"/>
      <c r="I713" s="873"/>
      <c r="J713" s="873"/>
      <c r="K713" s="873"/>
      <c r="L713" s="873"/>
      <c r="M713" s="873"/>
      <c r="N713" s="873"/>
      <c r="O713" s="873"/>
      <c r="P713" s="873"/>
      <c r="Q713" s="873"/>
      <c r="R713" s="873"/>
      <c r="S713" s="873"/>
      <c r="T713" s="873"/>
      <c r="U713" s="873"/>
      <c r="V713" s="873"/>
      <c r="W713" s="873"/>
      <c r="X713" s="873"/>
      <c r="Y713" s="873"/>
    </row>
    <row r="714">
      <c r="A714" s="873"/>
      <c r="B714" s="873"/>
      <c r="C714" s="873"/>
      <c r="D714" s="873"/>
      <c r="E714" s="873"/>
      <c r="F714" s="873"/>
      <c r="G714" s="873"/>
      <c r="H714" s="873"/>
      <c r="I714" s="873"/>
      <c r="J714" s="873"/>
      <c r="K714" s="873"/>
      <c r="L714" s="873"/>
      <c r="M714" s="873"/>
      <c r="N714" s="873"/>
      <c r="O714" s="873"/>
      <c r="P714" s="873"/>
      <c r="Q714" s="873"/>
      <c r="R714" s="873"/>
      <c r="S714" s="873"/>
      <c r="T714" s="873"/>
      <c r="U714" s="873"/>
      <c r="V714" s="873"/>
      <c r="W714" s="873"/>
      <c r="X714" s="873"/>
      <c r="Y714" s="873"/>
    </row>
    <row r="715">
      <c r="A715" s="873"/>
      <c r="B715" s="873"/>
      <c r="C715" s="873"/>
      <c r="D715" s="873"/>
      <c r="E715" s="873"/>
      <c r="F715" s="873"/>
      <c r="G715" s="873"/>
      <c r="H715" s="873"/>
      <c r="I715" s="873"/>
      <c r="J715" s="873"/>
      <c r="K715" s="873"/>
      <c r="L715" s="873"/>
      <c r="M715" s="873"/>
      <c r="N715" s="873"/>
      <c r="O715" s="873"/>
      <c r="P715" s="873"/>
      <c r="Q715" s="873"/>
      <c r="R715" s="873"/>
      <c r="S715" s="873"/>
      <c r="T715" s="873"/>
      <c r="U715" s="873"/>
      <c r="V715" s="873"/>
      <c r="W715" s="873"/>
      <c r="X715" s="873"/>
      <c r="Y715" s="873"/>
    </row>
    <row r="716">
      <c r="A716" s="873"/>
      <c r="B716" s="873"/>
      <c r="C716" s="873"/>
      <c r="D716" s="873"/>
      <c r="E716" s="873"/>
      <c r="F716" s="873"/>
      <c r="G716" s="873"/>
      <c r="H716" s="873"/>
      <c r="I716" s="873"/>
      <c r="J716" s="873"/>
      <c r="K716" s="873"/>
      <c r="L716" s="873"/>
      <c r="M716" s="873"/>
      <c r="N716" s="873"/>
      <c r="O716" s="873"/>
      <c r="P716" s="873"/>
      <c r="Q716" s="873"/>
      <c r="R716" s="873"/>
      <c r="S716" s="873"/>
      <c r="T716" s="873"/>
      <c r="U716" s="873"/>
      <c r="V716" s="873"/>
      <c r="W716" s="873"/>
      <c r="X716" s="873"/>
      <c r="Y716" s="873"/>
    </row>
    <row r="717">
      <c r="A717" s="873"/>
      <c r="B717" s="873"/>
      <c r="C717" s="873"/>
      <c r="D717" s="873"/>
      <c r="E717" s="873"/>
      <c r="F717" s="873"/>
      <c r="G717" s="873"/>
      <c r="H717" s="873"/>
      <c r="I717" s="873"/>
      <c r="J717" s="873"/>
      <c r="K717" s="873"/>
      <c r="L717" s="873"/>
      <c r="M717" s="873"/>
      <c r="N717" s="873"/>
      <c r="O717" s="873"/>
      <c r="P717" s="873"/>
      <c r="Q717" s="873"/>
      <c r="R717" s="873"/>
      <c r="S717" s="873"/>
      <c r="T717" s="873"/>
      <c r="U717" s="873"/>
      <c r="V717" s="873"/>
      <c r="W717" s="873"/>
      <c r="X717" s="873"/>
      <c r="Y717" s="873"/>
    </row>
    <row r="718">
      <c r="A718" s="873"/>
      <c r="B718" s="873"/>
      <c r="C718" s="873"/>
      <c r="D718" s="873"/>
      <c r="E718" s="873"/>
      <c r="F718" s="873"/>
      <c r="G718" s="873"/>
      <c r="H718" s="873"/>
      <c r="I718" s="873"/>
      <c r="J718" s="873"/>
      <c r="K718" s="873"/>
      <c r="L718" s="873"/>
      <c r="M718" s="873"/>
      <c r="N718" s="873"/>
      <c r="O718" s="873"/>
      <c r="P718" s="873"/>
      <c r="Q718" s="873"/>
      <c r="R718" s="873"/>
      <c r="S718" s="873"/>
      <c r="T718" s="873"/>
      <c r="U718" s="873"/>
      <c r="V718" s="873"/>
      <c r="W718" s="873"/>
      <c r="X718" s="873"/>
      <c r="Y718" s="873"/>
    </row>
    <row r="719">
      <c r="A719" s="873"/>
      <c r="B719" s="873"/>
      <c r="C719" s="873"/>
      <c r="D719" s="873"/>
      <c r="E719" s="873"/>
      <c r="F719" s="873"/>
      <c r="G719" s="873"/>
      <c r="H719" s="873"/>
      <c r="I719" s="873"/>
      <c r="J719" s="873"/>
      <c r="K719" s="873"/>
      <c r="L719" s="873"/>
      <c r="M719" s="873"/>
      <c r="N719" s="873"/>
      <c r="O719" s="873"/>
      <c r="P719" s="873"/>
      <c r="Q719" s="873"/>
      <c r="R719" s="873"/>
      <c r="S719" s="873"/>
      <c r="T719" s="873"/>
      <c r="U719" s="873"/>
      <c r="V719" s="873"/>
      <c r="W719" s="873"/>
      <c r="X719" s="873"/>
      <c r="Y719" s="873"/>
    </row>
    <row r="720">
      <c r="A720" s="873"/>
      <c r="B720" s="873"/>
      <c r="C720" s="873"/>
      <c r="D720" s="873"/>
      <c r="E720" s="873"/>
      <c r="F720" s="873"/>
      <c r="G720" s="873"/>
      <c r="H720" s="873"/>
      <c r="I720" s="873"/>
      <c r="J720" s="873"/>
      <c r="K720" s="873"/>
      <c r="L720" s="873"/>
      <c r="M720" s="873"/>
      <c r="N720" s="873"/>
      <c r="O720" s="873"/>
      <c r="P720" s="873"/>
      <c r="Q720" s="873"/>
      <c r="R720" s="873"/>
      <c r="S720" s="873"/>
      <c r="T720" s="873"/>
      <c r="U720" s="873"/>
      <c r="V720" s="873"/>
      <c r="W720" s="873"/>
      <c r="X720" s="873"/>
      <c r="Y720" s="873"/>
    </row>
    <row r="721">
      <c r="A721" s="873"/>
      <c r="B721" s="873"/>
      <c r="C721" s="873"/>
      <c r="D721" s="873"/>
      <c r="E721" s="873"/>
      <c r="F721" s="873"/>
      <c r="G721" s="873"/>
      <c r="H721" s="873"/>
      <c r="I721" s="873"/>
      <c r="J721" s="873"/>
      <c r="K721" s="873"/>
      <c r="L721" s="873"/>
      <c r="M721" s="873"/>
      <c r="N721" s="873"/>
      <c r="O721" s="873"/>
      <c r="P721" s="873"/>
      <c r="Q721" s="873"/>
      <c r="R721" s="873"/>
      <c r="S721" s="873"/>
      <c r="T721" s="873"/>
      <c r="U721" s="873"/>
      <c r="V721" s="873"/>
      <c r="W721" s="873"/>
      <c r="X721" s="873"/>
      <c r="Y721" s="873"/>
    </row>
    <row r="722">
      <c r="A722" s="873"/>
      <c r="B722" s="873"/>
      <c r="C722" s="873"/>
      <c r="D722" s="873"/>
      <c r="E722" s="873"/>
      <c r="F722" s="873"/>
      <c r="G722" s="873"/>
      <c r="H722" s="873"/>
      <c r="I722" s="873"/>
      <c r="J722" s="873"/>
      <c r="K722" s="873"/>
      <c r="L722" s="873"/>
      <c r="M722" s="873"/>
      <c r="N722" s="873"/>
      <c r="O722" s="873"/>
      <c r="P722" s="873"/>
      <c r="Q722" s="873"/>
      <c r="R722" s="873"/>
      <c r="S722" s="873"/>
      <c r="T722" s="873"/>
      <c r="U722" s="873"/>
      <c r="V722" s="873"/>
      <c r="W722" s="873"/>
      <c r="X722" s="873"/>
      <c r="Y722" s="873"/>
    </row>
    <row r="723">
      <c r="A723" s="873"/>
      <c r="B723" s="873"/>
      <c r="C723" s="873"/>
      <c r="D723" s="873"/>
      <c r="E723" s="873"/>
      <c r="F723" s="873"/>
      <c r="G723" s="873"/>
      <c r="H723" s="873"/>
      <c r="I723" s="873"/>
      <c r="J723" s="873"/>
      <c r="K723" s="873"/>
      <c r="L723" s="873"/>
      <c r="M723" s="873"/>
      <c r="N723" s="873"/>
      <c r="O723" s="873"/>
      <c r="P723" s="873"/>
      <c r="Q723" s="873"/>
      <c r="R723" s="873"/>
      <c r="S723" s="873"/>
      <c r="T723" s="873"/>
      <c r="U723" s="873"/>
      <c r="V723" s="873"/>
      <c r="W723" s="873"/>
      <c r="X723" s="873"/>
      <c r="Y723" s="873"/>
    </row>
    <row r="724">
      <c r="A724" s="873"/>
      <c r="B724" s="873"/>
      <c r="C724" s="873"/>
      <c r="D724" s="873"/>
      <c r="E724" s="873"/>
      <c r="F724" s="873"/>
      <c r="G724" s="873"/>
      <c r="H724" s="873"/>
      <c r="I724" s="873"/>
      <c r="J724" s="873"/>
      <c r="K724" s="873"/>
      <c r="L724" s="873"/>
      <c r="M724" s="873"/>
      <c r="N724" s="873"/>
      <c r="O724" s="873"/>
      <c r="P724" s="873"/>
      <c r="Q724" s="873"/>
      <c r="R724" s="873"/>
      <c r="S724" s="873"/>
      <c r="T724" s="873"/>
      <c r="U724" s="873"/>
      <c r="V724" s="873"/>
      <c r="W724" s="873"/>
      <c r="X724" s="873"/>
      <c r="Y724" s="873"/>
    </row>
    <row r="725">
      <c r="A725" s="873"/>
      <c r="B725" s="873"/>
      <c r="C725" s="873"/>
      <c r="D725" s="873"/>
      <c r="E725" s="873"/>
      <c r="F725" s="873"/>
      <c r="G725" s="873"/>
      <c r="H725" s="873"/>
      <c r="I725" s="873"/>
      <c r="J725" s="873"/>
      <c r="K725" s="873"/>
      <c r="L725" s="873"/>
      <c r="M725" s="873"/>
      <c r="N725" s="873"/>
      <c r="O725" s="873"/>
      <c r="P725" s="873"/>
      <c r="Q725" s="873"/>
      <c r="R725" s="873"/>
      <c r="S725" s="873"/>
      <c r="T725" s="873"/>
      <c r="U725" s="873"/>
      <c r="V725" s="873"/>
      <c r="W725" s="873"/>
      <c r="X725" s="873"/>
      <c r="Y725" s="873"/>
    </row>
    <row r="726">
      <c r="A726" s="873"/>
      <c r="B726" s="873"/>
      <c r="C726" s="873"/>
      <c r="D726" s="873"/>
      <c r="E726" s="873"/>
      <c r="F726" s="873"/>
      <c r="G726" s="873"/>
      <c r="H726" s="873"/>
      <c r="I726" s="873"/>
      <c r="J726" s="873"/>
      <c r="K726" s="873"/>
      <c r="L726" s="873"/>
      <c r="M726" s="873"/>
      <c r="N726" s="873"/>
      <c r="O726" s="873"/>
      <c r="P726" s="873"/>
      <c r="Q726" s="873"/>
      <c r="R726" s="873"/>
      <c r="S726" s="873"/>
      <c r="T726" s="873"/>
      <c r="U726" s="873"/>
      <c r="V726" s="873"/>
      <c r="W726" s="873"/>
      <c r="X726" s="873"/>
      <c r="Y726" s="873"/>
    </row>
    <row r="727">
      <c r="A727" s="873"/>
      <c r="B727" s="873"/>
      <c r="C727" s="873"/>
      <c r="D727" s="873"/>
      <c r="E727" s="873"/>
      <c r="F727" s="873"/>
      <c r="G727" s="873"/>
      <c r="H727" s="873"/>
      <c r="I727" s="873"/>
      <c r="J727" s="873"/>
      <c r="K727" s="873"/>
      <c r="L727" s="873"/>
      <c r="M727" s="873"/>
      <c r="N727" s="873"/>
      <c r="O727" s="873"/>
      <c r="P727" s="873"/>
      <c r="Q727" s="873"/>
      <c r="R727" s="873"/>
      <c r="S727" s="873"/>
      <c r="T727" s="873"/>
      <c r="U727" s="873"/>
      <c r="V727" s="873"/>
      <c r="W727" s="873"/>
      <c r="X727" s="873"/>
      <c r="Y727" s="873"/>
    </row>
    <row r="728">
      <c r="A728" s="873"/>
      <c r="B728" s="873"/>
      <c r="C728" s="873"/>
      <c r="D728" s="873"/>
      <c r="E728" s="873"/>
      <c r="F728" s="873"/>
      <c r="G728" s="873"/>
      <c r="H728" s="873"/>
      <c r="I728" s="873"/>
      <c r="J728" s="873"/>
      <c r="K728" s="873"/>
      <c r="L728" s="873"/>
      <c r="M728" s="873"/>
      <c r="N728" s="873"/>
      <c r="O728" s="873"/>
      <c r="P728" s="873"/>
      <c r="Q728" s="873"/>
      <c r="R728" s="873"/>
      <c r="S728" s="873"/>
      <c r="T728" s="873"/>
      <c r="U728" s="873"/>
      <c r="V728" s="873"/>
      <c r="W728" s="873"/>
      <c r="X728" s="873"/>
      <c r="Y728" s="873"/>
    </row>
    <row r="729">
      <c r="A729" s="873"/>
      <c r="B729" s="873"/>
      <c r="C729" s="873"/>
      <c r="D729" s="873"/>
      <c r="E729" s="873"/>
      <c r="F729" s="873"/>
      <c r="G729" s="873"/>
      <c r="H729" s="873"/>
      <c r="I729" s="873"/>
      <c r="J729" s="873"/>
      <c r="K729" s="873"/>
      <c r="L729" s="873"/>
      <c r="M729" s="873"/>
      <c r="N729" s="873"/>
      <c r="O729" s="873"/>
      <c r="P729" s="873"/>
      <c r="Q729" s="873"/>
      <c r="R729" s="873"/>
      <c r="S729" s="873"/>
      <c r="T729" s="873"/>
      <c r="U729" s="873"/>
      <c r="V729" s="873"/>
      <c r="W729" s="873"/>
      <c r="X729" s="873"/>
      <c r="Y729" s="873"/>
    </row>
    <row r="730">
      <c r="A730" s="873"/>
      <c r="B730" s="873"/>
      <c r="C730" s="873"/>
      <c r="D730" s="873"/>
      <c r="E730" s="873"/>
      <c r="F730" s="873"/>
      <c r="G730" s="873"/>
      <c r="H730" s="873"/>
      <c r="I730" s="873"/>
      <c r="J730" s="873"/>
      <c r="K730" s="873"/>
      <c r="L730" s="873"/>
      <c r="M730" s="873"/>
      <c r="N730" s="873"/>
      <c r="O730" s="873"/>
      <c r="P730" s="873"/>
      <c r="Q730" s="873"/>
      <c r="R730" s="873"/>
      <c r="S730" s="873"/>
      <c r="T730" s="873"/>
      <c r="U730" s="873"/>
      <c r="V730" s="873"/>
      <c r="W730" s="873"/>
      <c r="X730" s="873"/>
      <c r="Y730" s="873"/>
    </row>
    <row r="731">
      <c r="A731" s="873"/>
      <c r="B731" s="873"/>
      <c r="C731" s="873"/>
      <c r="D731" s="873"/>
      <c r="E731" s="873"/>
      <c r="F731" s="873"/>
      <c r="G731" s="873"/>
      <c r="H731" s="873"/>
      <c r="I731" s="873"/>
      <c r="J731" s="873"/>
      <c r="K731" s="873"/>
      <c r="L731" s="873"/>
      <c r="M731" s="873"/>
      <c r="N731" s="873"/>
      <c r="O731" s="873"/>
      <c r="P731" s="873"/>
      <c r="Q731" s="873"/>
      <c r="R731" s="873"/>
      <c r="S731" s="873"/>
      <c r="T731" s="873"/>
      <c r="U731" s="873"/>
      <c r="V731" s="873"/>
      <c r="W731" s="873"/>
      <c r="X731" s="873"/>
      <c r="Y731" s="873"/>
    </row>
    <row r="732">
      <c r="A732" s="873"/>
      <c r="B732" s="873"/>
      <c r="C732" s="873"/>
      <c r="D732" s="873"/>
      <c r="E732" s="873"/>
      <c r="F732" s="873"/>
      <c r="G732" s="873"/>
      <c r="H732" s="873"/>
      <c r="I732" s="873"/>
      <c r="J732" s="873"/>
      <c r="K732" s="873"/>
      <c r="L732" s="873"/>
      <c r="M732" s="873"/>
      <c r="N732" s="873"/>
      <c r="O732" s="873"/>
      <c r="P732" s="873"/>
      <c r="Q732" s="873"/>
      <c r="R732" s="873"/>
      <c r="S732" s="873"/>
      <c r="T732" s="873"/>
      <c r="U732" s="873"/>
      <c r="V732" s="873"/>
      <c r="W732" s="873"/>
      <c r="X732" s="873"/>
      <c r="Y732" s="873"/>
    </row>
    <row r="733">
      <c r="A733" s="873"/>
      <c r="B733" s="873"/>
      <c r="C733" s="873"/>
      <c r="D733" s="873"/>
      <c r="E733" s="873"/>
      <c r="F733" s="873"/>
      <c r="G733" s="873"/>
      <c r="H733" s="873"/>
      <c r="I733" s="873"/>
      <c r="J733" s="873"/>
      <c r="K733" s="873"/>
      <c r="L733" s="873"/>
      <c r="M733" s="873"/>
      <c r="N733" s="873"/>
      <c r="O733" s="873"/>
      <c r="P733" s="873"/>
      <c r="Q733" s="873"/>
      <c r="R733" s="873"/>
      <c r="S733" s="873"/>
      <c r="T733" s="873"/>
      <c r="U733" s="873"/>
      <c r="V733" s="873"/>
      <c r="W733" s="873"/>
      <c r="X733" s="873"/>
      <c r="Y733" s="873"/>
    </row>
    <row r="734">
      <c r="A734" s="873"/>
      <c r="B734" s="873"/>
      <c r="C734" s="873"/>
      <c r="D734" s="873"/>
      <c r="E734" s="873"/>
      <c r="F734" s="873"/>
      <c r="G734" s="873"/>
      <c r="H734" s="873"/>
      <c r="I734" s="873"/>
      <c r="J734" s="873"/>
      <c r="K734" s="873"/>
      <c r="L734" s="873"/>
      <c r="M734" s="873"/>
      <c r="N734" s="873"/>
      <c r="O734" s="873"/>
      <c r="P734" s="873"/>
      <c r="Q734" s="873"/>
      <c r="R734" s="873"/>
      <c r="S734" s="873"/>
      <c r="T734" s="873"/>
      <c r="U734" s="873"/>
      <c r="V734" s="873"/>
      <c r="W734" s="873"/>
      <c r="X734" s="873"/>
      <c r="Y734" s="873"/>
    </row>
    <row r="735">
      <c r="A735" s="873"/>
      <c r="B735" s="873"/>
      <c r="C735" s="873"/>
      <c r="D735" s="873"/>
      <c r="E735" s="873"/>
      <c r="F735" s="873"/>
      <c r="G735" s="873"/>
      <c r="H735" s="873"/>
      <c r="I735" s="873"/>
      <c r="J735" s="873"/>
      <c r="K735" s="873"/>
      <c r="L735" s="873"/>
      <c r="M735" s="873"/>
      <c r="N735" s="873"/>
      <c r="O735" s="873"/>
      <c r="P735" s="873"/>
      <c r="Q735" s="873"/>
      <c r="R735" s="873"/>
      <c r="S735" s="873"/>
      <c r="T735" s="873"/>
      <c r="U735" s="873"/>
      <c r="V735" s="873"/>
      <c r="W735" s="873"/>
      <c r="X735" s="873"/>
      <c r="Y735" s="873"/>
    </row>
    <row r="736">
      <c r="A736" s="873"/>
      <c r="B736" s="873"/>
      <c r="C736" s="873"/>
      <c r="D736" s="873"/>
      <c r="E736" s="873"/>
      <c r="F736" s="873"/>
      <c r="G736" s="873"/>
      <c r="H736" s="873"/>
      <c r="I736" s="873"/>
      <c r="J736" s="873"/>
      <c r="K736" s="873"/>
      <c r="L736" s="873"/>
      <c r="M736" s="873"/>
      <c r="N736" s="873"/>
      <c r="O736" s="873"/>
      <c r="P736" s="873"/>
      <c r="Q736" s="873"/>
      <c r="R736" s="873"/>
      <c r="S736" s="873"/>
      <c r="T736" s="873"/>
      <c r="U736" s="873"/>
      <c r="V736" s="873"/>
      <c r="W736" s="873"/>
      <c r="X736" s="873"/>
      <c r="Y736" s="873"/>
    </row>
    <row r="737">
      <c r="A737" s="873"/>
      <c r="B737" s="873"/>
      <c r="C737" s="873"/>
      <c r="D737" s="873"/>
      <c r="E737" s="873"/>
      <c r="F737" s="873"/>
      <c r="G737" s="873"/>
      <c r="H737" s="873"/>
      <c r="I737" s="873"/>
      <c r="J737" s="873"/>
      <c r="K737" s="873"/>
      <c r="L737" s="873"/>
      <c r="M737" s="873"/>
      <c r="N737" s="873"/>
      <c r="O737" s="873"/>
      <c r="P737" s="873"/>
      <c r="Q737" s="873"/>
      <c r="R737" s="873"/>
      <c r="S737" s="873"/>
      <c r="T737" s="873"/>
      <c r="U737" s="873"/>
      <c r="V737" s="873"/>
      <c r="W737" s="873"/>
      <c r="X737" s="873"/>
      <c r="Y737" s="873"/>
    </row>
    <row r="738">
      <c r="A738" s="873"/>
      <c r="B738" s="873"/>
      <c r="C738" s="873"/>
      <c r="D738" s="873"/>
      <c r="E738" s="873"/>
      <c r="F738" s="873"/>
      <c r="G738" s="873"/>
      <c r="H738" s="873"/>
      <c r="I738" s="873"/>
      <c r="J738" s="873"/>
      <c r="K738" s="873"/>
      <c r="L738" s="873"/>
      <c r="M738" s="873"/>
      <c r="N738" s="873"/>
      <c r="O738" s="873"/>
      <c r="P738" s="873"/>
      <c r="Q738" s="873"/>
      <c r="R738" s="873"/>
      <c r="S738" s="873"/>
      <c r="T738" s="873"/>
      <c r="U738" s="873"/>
      <c r="V738" s="873"/>
      <c r="W738" s="873"/>
      <c r="X738" s="873"/>
      <c r="Y738" s="873"/>
    </row>
    <row r="739">
      <c r="A739" s="873"/>
      <c r="B739" s="873"/>
      <c r="C739" s="873"/>
      <c r="D739" s="873"/>
      <c r="E739" s="873"/>
      <c r="F739" s="873"/>
      <c r="G739" s="873"/>
      <c r="H739" s="873"/>
      <c r="I739" s="873"/>
      <c r="J739" s="873"/>
      <c r="K739" s="873"/>
      <c r="L739" s="873"/>
      <c r="M739" s="873"/>
      <c r="N739" s="873"/>
      <c r="O739" s="873"/>
      <c r="P739" s="873"/>
      <c r="Q739" s="873"/>
      <c r="R739" s="873"/>
      <c r="S739" s="873"/>
      <c r="T739" s="873"/>
      <c r="U739" s="873"/>
      <c r="V739" s="873"/>
      <c r="W739" s="873"/>
      <c r="X739" s="873"/>
      <c r="Y739" s="873"/>
    </row>
    <row r="740">
      <c r="A740" s="873"/>
      <c r="B740" s="873"/>
      <c r="C740" s="873"/>
      <c r="D740" s="873"/>
      <c r="E740" s="873"/>
      <c r="F740" s="873"/>
      <c r="G740" s="873"/>
      <c r="H740" s="873"/>
      <c r="I740" s="873"/>
      <c r="J740" s="873"/>
      <c r="K740" s="873"/>
      <c r="L740" s="873"/>
      <c r="M740" s="873"/>
      <c r="N740" s="873"/>
      <c r="O740" s="873"/>
      <c r="P740" s="873"/>
      <c r="Q740" s="873"/>
      <c r="R740" s="873"/>
      <c r="S740" s="873"/>
      <c r="T740" s="873"/>
      <c r="U740" s="873"/>
      <c r="V740" s="873"/>
      <c r="W740" s="873"/>
      <c r="X740" s="873"/>
      <c r="Y740" s="873"/>
    </row>
    <row r="741">
      <c r="A741" s="873"/>
      <c r="B741" s="873"/>
      <c r="C741" s="873"/>
      <c r="D741" s="873"/>
      <c r="E741" s="873"/>
      <c r="F741" s="873"/>
      <c r="G741" s="873"/>
      <c r="H741" s="873"/>
      <c r="I741" s="873"/>
      <c r="J741" s="873"/>
      <c r="K741" s="873"/>
      <c r="L741" s="873"/>
      <c r="M741" s="873"/>
      <c r="N741" s="873"/>
      <c r="O741" s="873"/>
      <c r="P741" s="873"/>
      <c r="Q741" s="873"/>
      <c r="R741" s="873"/>
      <c r="S741" s="873"/>
      <c r="T741" s="873"/>
      <c r="U741" s="873"/>
      <c r="V741" s="873"/>
      <c r="W741" s="873"/>
      <c r="X741" s="873"/>
      <c r="Y741" s="873"/>
    </row>
    <row r="742">
      <c r="A742" s="873"/>
      <c r="B742" s="873"/>
      <c r="C742" s="873"/>
      <c r="D742" s="873"/>
      <c r="E742" s="873"/>
      <c r="F742" s="873"/>
      <c r="G742" s="873"/>
      <c r="H742" s="873"/>
      <c r="I742" s="873"/>
      <c r="J742" s="873"/>
      <c r="K742" s="873"/>
      <c r="L742" s="873"/>
      <c r="M742" s="873"/>
      <c r="N742" s="873"/>
      <c r="O742" s="873"/>
      <c r="P742" s="873"/>
      <c r="Q742" s="873"/>
      <c r="R742" s="873"/>
      <c r="S742" s="873"/>
      <c r="T742" s="873"/>
      <c r="U742" s="873"/>
      <c r="V742" s="873"/>
      <c r="W742" s="873"/>
      <c r="X742" s="873"/>
      <c r="Y742" s="873"/>
    </row>
    <row r="743">
      <c r="A743" s="873"/>
      <c r="B743" s="873"/>
      <c r="C743" s="873"/>
      <c r="D743" s="873"/>
      <c r="E743" s="873"/>
      <c r="F743" s="873"/>
      <c r="G743" s="873"/>
      <c r="H743" s="873"/>
      <c r="I743" s="873"/>
      <c r="J743" s="873"/>
      <c r="K743" s="873"/>
      <c r="L743" s="873"/>
      <c r="M743" s="873"/>
      <c r="N743" s="873"/>
      <c r="O743" s="873"/>
      <c r="P743" s="873"/>
      <c r="Q743" s="873"/>
      <c r="R743" s="873"/>
      <c r="S743" s="873"/>
      <c r="T743" s="873"/>
      <c r="U743" s="873"/>
      <c r="V743" s="873"/>
      <c r="W743" s="873"/>
      <c r="X743" s="873"/>
      <c r="Y743" s="873"/>
    </row>
    <row r="744">
      <c r="A744" s="873"/>
      <c r="B744" s="873"/>
      <c r="C744" s="873"/>
      <c r="D744" s="873"/>
      <c r="E744" s="873"/>
      <c r="F744" s="873"/>
      <c r="G744" s="873"/>
      <c r="H744" s="873"/>
      <c r="I744" s="873"/>
      <c r="J744" s="873"/>
      <c r="K744" s="873"/>
      <c r="L744" s="873"/>
      <c r="M744" s="873"/>
      <c r="N744" s="873"/>
      <c r="O744" s="873"/>
      <c r="P744" s="873"/>
      <c r="Q744" s="873"/>
      <c r="R744" s="873"/>
      <c r="S744" s="873"/>
      <c r="T744" s="873"/>
      <c r="U744" s="873"/>
      <c r="V744" s="873"/>
      <c r="W744" s="873"/>
      <c r="X744" s="873"/>
      <c r="Y744" s="873"/>
    </row>
    <row r="745">
      <c r="A745" s="873"/>
      <c r="B745" s="873"/>
      <c r="C745" s="873"/>
      <c r="D745" s="873"/>
      <c r="E745" s="873"/>
      <c r="F745" s="873"/>
      <c r="G745" s="873"/>
      <c r="H745" s="873"/>
      <c r="I745" s="873"/>
      <c r="J745" s="873"/>
      <c r="K745" s="873"/>
      <c r="L745" s="873"/>
      <c r="M745" s="873"/>
      <c r="N745" s="873"/>
      <c r="O745" s="873"/>
      <c r="P745" s="873"/>
      <c r="Q745" s="873"/>
      <c r="R745" s="873"/>
      <c r="S745" s="873"/>
      <c r="T745" s="873"/>
      <c r="U745" s="873"/>
      <c r="V745" s="873"/>
      <c r="W745" s="873"/>
      <c r="X745" s="873"/>
      <c r="Y745" s="873"/>
    </row>
    <row r="746">
      <c r="A746" s="873"/>
      <c r="B746" s="873"/>
      <c r="C746" s="873"/>
      <c r="D746" s="873"/>
      <c r="E746" s="873"/>
      <c r="F746" s="873"/>
      <c r="G746" s="873"/>
      <c r="H746" s="873"/>
      <c r="I746" s="873"/>
      <c r="J746" s="873"/>
      <c r="K746" s="873"/>
      <c r="L746" s="873"/>
      <c r="M746" s="873"/>
      <c r="N746" s="873"/>
      <c r="O746" s="873"/>
      <c r="P746" s="873"/>
      <c r="Q746" s="873"/>
      <c r="R746" s="873"/>
      <c r="S746" s="873"/>
      <c r="T746" s="873"/>
      <c r="U746" s="873"/>
      <c r="V746" s="873"/>
      <c r="W746" s="873"/>
      <c r="X746" s="873"/>
      <c r="Y746" s="873"/>
    </row>
    <row r="747">
      <c r="A747" s="873"/>
      <c r="B747" s="873"/>
      <c r="C747" s="873"/>
      <c r="D747" s="873"/>
      <c r="E747" s="873"/>
      <c r="F747" s="873"/>
      <c r="G747" s="873"/>
      <c r="H747" s="873"/>
      <c r="I747" s="873"/>
      <c r="J747" s="873"/>
      <c r="K747" s="873"/>
      <c r="L747" s="873"/>
      <c r="M747" s="873"/>
      <c r="N747" s="873"/>
      <c r="O747" s="873"/>
      <c r="P747" s="873"/>
      <c r="Q747" s="873"/>
      <c r="R747" s="873"/>
      <c r="S747" s="873"/>
      <c r="T747" s="873"/>
      <c r="U747" s="873"/>
      <c r="V747" s="873"/>
      <c r="W747" s="873"/>
      <c r="X747" s="873"/>
      <c r="Y747" s="873"/>
    </row>
    <row r="748">
      <c r="A748" s="873"/>
      <c r="B748" s="873"/>
      <c r="C748" s="873"/>
      <c r="D748" s="873"/>
      <c r="E748" s="873"/>
      <c r="F748" s="873"/>
      <c r="G748" s="873"/>
      <c r="H748" s="873"/>
      <c r="I748" s="873"/>
      <c r="J748" s="873"/>
      <c r="K748" s="873"/>
      <c r="L748" s="873"/>
      <c r="M748" s="873"/>
      <c r="N748" s="873"/>
      <c r="O748" s="873"/>
      <c r="P748" s="873"/>
      <c r="Q748" s="873"/>
      <c r="R748" s="873"/>
      <c r="S748" s="873"/>
      <c r="T748" s="873"/>
      <c r="U748" s="873"/>
      <c r="V748" s="873"/>
      <c r="W748" s="873"/>
      <c r="X748" s="873"/>
      <c r="Y748" s="873"/>
    </row>
    <row r="749">
      <c r="A749" s="873"/>
      <c r="B749" s="873"/>
      <c r="C749" s="873"/>
      <c r="D749" s="873"/>
      <c r="E749" s="873"/>
      <c r="F749" s="873"/>
      <c r="G749" s="873"/>
      <c r="H749" s="873"/>
      <c r="I749" s="873"/>
      <c r="J749" s="873"/>
      <c r="K749" s="873"/>
      <c r="L749" s="873"/>
      <c r="M749" s="873"/>
      <c r="N749" s="873"/>
      <c r="O749" s="873"/>
      <c r="P749" s="873"/>
      <c r="Q749" s="873"/>
      <c r="R749" s="873"/>
      <c r="S749" s="873"/>
      <c r="T749" s="873"/>
      <c r="U749" s="873"/>
      <c r="V749" s="873"/>
      <c r="W749" s="873"/>
      <c r="X749" s="873"/>
      <c r="Y749" s="873"/>
    </row>
    <row r="750">
      <c r="A750" s="873"/>
      <c r="B750" s="873"/>
      <c r="C750" s="873"/>
      <c r="D750" s="873"/>
      <c r="E750" s="873"/>
      <c r="F750" s="873"/>
      <c r="G750" s="873"/>
      <c r="H750" s="873"/>
      <c r="I750" s="873"/>
      <c r="J750" s="873"/>
      <c r="K750" s="873"/>
      <c r="L750" s="873"/>
      <c r="M750" s="873"/>
      <c r="N750" s="873"/>
      <c r="O750" s="873"/>
      <c r="P750" s="873"/>
      <c r="Q750" s="873"/>
      <c r="R750" s="873"/>
      <c r="S750" s="873"/>
      <c r="T750" s="873"/>
      <c r="U750" s="873"/>
      <c r="V750" s="873"/>
      <c r="W750" s="873"/>
      <c r="X750" s="873"/>
      <c r="Y750" s="873"/>
    </row>
    <row r="751">
      <c r="A751" s="873"/>
      <c r="B751" s="873"/>
      <c r="C751" s="873"/>
      <c r="D751" s="873"/>
      <c r="E751" s="873"/>
      <c r="F751" s="873"/>
      <c r="G751" s="873"/>
      <c r="H751" s="873"/>
      <c r="I751" s="873"/>
      <c r="J751" s="873"/>
      <c r="K751" s="873"/>
      <c r="L751" s="873"/>
      <c r="M751" s="873"/>
      <c r="N751" s="873"/>
      <c r="O751" s="873"/>
      <c r="P751" s="873"/>
      <c r="Q751" s="873"/>
      <c r="R751" s="873"/>
      <c r="S751" s="873"/>
      <c r="T751" s="873"/>
      <c r="U751" s="873"/>
      <c r="V751" s="873"/>
      <c r="W751" s="873"/>
      <c r="X751" s="873"/>
      <c r="Y751" s="873"/>
    </row>
    <row r="752">
      <c r="A752" s="873"/>
      <c r="B752" s="873"/>
      <c r="C752" s="873"/>
      <c r="D752" s="873"/>
      <c r="E752" s="873"/>
      <c r="F752" s="873"/>
      <c r="G752" s="873"/>
      <c r="H752" s="873"/>
      <c r="I752" s="873"/>
      <c r="J752" s="873"/>
      <c r="K752" s="873"/>
      <c r="L752" s="873"/>
      <c r="M752" s="873"/>
      <c r="N752" s="873"/>
      <c r="O752" s="873"/>
      <c r="P752" s="873"/>
      <c r="Q752" s="873"/>
      <c r="R752" s="873"/>
      <c r="S752" s="873"/>
      <c r="T752" s="873"/>
      <c r="U752" s="873"/>
      <c r="V752" s="873"/>
      <c r="W752" s="873"/>
      <c r="X752" s="873"/>
      <c r="Y752" s="873"/>
    </row>
    <row r="753">
      <c r="A753" s="873"/>
      <c r="B753" s="873"/>
      <c r="C753" s="873"/>
      <c r="D753" s="873"/>
      <c r="E753" s="873"/>
      <c r="F753" s="873"/>
      <c r="G753" s="873"/>
      <c r="H753" s="873"/>
      <c r="I753" s="873"/>
      <c r="J753" s="873"/>
      <c r="K753" s="873"/>
      <c r="L753" s="873"/>
      <c r="M753" s="873"/>
      <c r="N753" s="873"/>
      <c r="O753" s="873"/>
      <c r="P753" s="873"/>
      <c r="Q753" s="873"/>
      <c r="R753" s="873"/>
      <c r="S753" s="873"/>
      <c r="T753" s="873"/>
      <c r="U753" s="873"/>
      <c r="V753" s="873"/>
      <c r="W753" s="873"/>
      <c r="X753" s="873"/>
      <c r="Y753" s="873"/>
    </row>
    <row r="754">
      <c r="A754" s="873"/>
      <c r="B754" s="873"/>
      <c r="C754" s="873"/>
      <c r="D754" s="873"/>
      <c r="E754" s="873"/>
      <c r="F754" s="873"/>
      <c r="G754" s="873"/>
      <c r="H754" s="873"/>
      <c r="I754" s="873"/>
      <c r="J754" s="873"/>
      <c r="K754" s="873"/>
      <c r="L754" s="873"/>
      <c r="M754" s="873"/>
      <c r="N754" s="873"/>
      <c r="O754" s="873"/>
      <c r="P754" s="873"/>
      <c r="Q754" s="873"/>
      <c r="R754" s="873"/>
      <c r="S754" s="873"/>
      <c r="T754" s="873"/>
      <c r="U754" s="873"/>
      <c r="V754" s="873"/>
      <c r="W754" s="873"/>
      <c r="X754" s="873"/>
      <c r="Y754" s="873"/>
    </row>
    <row r="755">
      <c r="A755" s="873"/>
      <c r="B755" s="873"/>
      <c r="C755" s="873"/>
      <c r="D755" s="873"/>
      <c r="E755" s="873"/>
      <c r="F755" s="873"/>
      <c r="G755" s="873"/>
      <c r="H755" s="873"/>
      <c r="I755" s="873"/>
      <c r="J755" s="873"/>
      <c r="K755" s="873"/>
      <c r="L755" s="873"/>
      <c r="M755" s="873"/>
      <c r="N755" s="873"/>
      <c r="O755" s="873"/>
      <c r="P755" s="873"/>
      <c r="Q755" s="873"/>
      <c r="R755" s="873"/>
      <c r="S755" s="873"/>
      <c r="T755" s="873"/>
      <c r="U755" s="873"/>
      <c r="V755" s="873"/>
      <c r="W755" s="873"/>
      <c r="X755" s="873"/>
      <c r="Y755" s="873"/>
    </row>
    <row r="756">
      <c r="A756" s="873"/>
      <c r="B756" s="873"/>
      <c r="C756" s="873"/>
      <c r="D756" s="873"/>
      <c r="E756" s="873"/>
      <c r="F756" s="873"/>
      <c r="G756" s="873"/>
      <c r="H756" s="873"/>
      <c r="I756" s="873"/>
      <c r="J756" s="873"/>
      <c r="K756" s="873"/>
      <c r="L756" s="873"/>
      <c r="M756" s="873"/>
      <c r="N756" s="873"/>
      <c r="O756" s="873"/>
      <c r="P756" s="873"/>
      <c r="Q756" s="873"/>
      <c r="R756" s="873"/>
      <c r="S756" s="873"/>
      <c r="T756" s="873"/>
      <c r="U756" s="873"/>
      <c r="V756" s="873"/>
      <c r="W756" s="873"/>
      <c r="X756" s="873"/>
      <c r="Y756" s="873"/>
    </row>
    <row r="757">
      <c r="A757" s="873"/>
      <c r="B757" s="873"/>
      <c r="C757" s="873"/>
      <c r="D757" s="873"/>
      <c r="E757" s="873"/>
      <c r="F757" s="873"/>
      <c r="G757" s="873"/>
      <c r="H757" s="873"/>
      <c r="I757" s="873"/>
      <c r="J757" s="873"/>
      <c r="K757" s="873"/>
      <c r="L757" s="873"/>
      <c r="M757" s="873"/>
      <c r="N757" s="873"/>
      <c r="O757" s="873"/>
      <c r="P757" s="873"/>
      <c r="Q757" s="873"/>
      <c r="R757" s="873"/>
      <c r="S757" s="873"/>
      <c r="T757" s="873"/>
      <c r="U757" s="873"/>
      <c r="V757" s="873"/>
      <c r="W757" s="873"/>
      <c r="X757" s="873"/>
      <c r="Y757" s="873"/>
    </row>
    <row r="758">
      <c r="A758" s="873"/>
      <c r="B758" s="873"/>
      <c r="C758" s="873"/>
      <c r="D758" s="873"/>
      <c r="E758" s="873"/>
      <c r="F758" s="873"/>
      <c r="G758" s="873"/>
      <c r="H758" s="873"/>
      <c r="I758" s="873"/>
      <c r="J758" s="873"/>
      <c r="K758" s="873"/>
      <c r="L758" s="873"/>
      <c r="M758" s="873"/>
      <c r="N758" s="873"/>
      <c r="O758" s="873"/>
      <c r="P758" s="873"/>
      <c r="Q758" s="873"/>
      <c r="R758" s="873"/>
      <c r="S758" s="873"/>
      <c r="T758" s="873"/>
      <c r="U758" s="873"/>
      <c r="V758" s="873"/>
      <c r="W758" s="873"/>
      <c r="X758" s="873"/>
      <c r="Y758" s="873"/>
    </row>
    <row r="759">
      <c r="A759" s="873"/>
      <c r="B759" s="873"/>
      <c r="C759" s="873"/>
      <c r="D759" s="873"/>
      <c r="E759" s="873"/>
      <c r="F759" s="873"/>
      <c r="G759" s="873"/>
      <c r="H759" s="873"/>
      <c r="I759" s="873"/>
      <c r="J759" s="873"/>
      <c r="K759" s="873"/>
      <c r="L759" s="873"/>
      <c r="M759" s="873"/>
      <c r="N759" s="873"/>
      <c r="O759" s="873"/>
      <c r="P759" s="873"/>
      <c r="Q759" s="873"/>
      <c r="R759" s="873"/>
      <c r="S759" s="873"/>
      <c r="T759" s="873"/>
      <c r="U759" s="873"/>
      <c r="V759" s="873"/>
      <c r="W759" s="873"/>
      <c r="X759" s="873"/>
      <c r="Y759" s="873"/>
    </row>
    <row r="760">
      <c r="A760" s="873"/>
      <c r="B760" s="873"/>
      <c r="C760" s="873"/>
      <c r="D760" s="873"/>
      <c r="E760" s="873"/>
      <c r="F760" s="873"/>
      <c r="G760" s="873"/>
      <c r="H760" s="873"/>
      <c r="I760" s="873"/>
      <c r="J760" s="873"/>
      <c r="K760" s="873"/>
      <c r="L760" s="873"/>
      <c r="M760" s="873"/>
      <c r="N760" s="873"/>
      <c r="O760" s="873"/>
      <c r="P760" s="873"/>
      <c r="Q760" s="873"/>
      <c r="R760" s="873"/>
      <c r="S760" s="873"/>
      <c r="T760" s="873"/>
      <c r="U760" s="873"/>
      <c r="V760" s="873"/>
      <c r="W760" s="873"/>
      <c r="X760" s="873"/>
      <c r="Y760" s="873"/>
    </row>
    <row r="761">
      <c r="A761" s="873"/>
      <c r="B761" s="873"/>
      <c r="C761" s="873"/>
      <c r="D761" s="873"/>
      <c r="E761" s="873"/>
      <c r="F761" s="873"/>
      <c r="G761" s="873"/>
      <c r="H761" s="873"/>
      <c r="I761" s="873"/>
      <c r="J761" s="873"/>
      <c r="K761" s="873"/>
      <c r="L761" s="873"/>
      <c r="M761" s="873"/>
      <c r="N761" s="873"/>
      <c r="O761" s="873"/>
      <c r="P761" s="873"/>
      <c r="Q761" s="873"/>
      <c r="R761" s="873"/>
      <c r="S761" s="873"/>
      <c r="T761" s="873"/>
      <c r="U761" s="873"/>
      <c r="V761" s="873"/>
      <c r="W761" s="873"/>
      <c r="X761" s="873"/>
      <c r="Y761" s="873"/>
    </row>
    <row r="762">
      <c r="A762" s="873"/>
      <c r="B762" s="873"/>
      <c r="C762" s="873"/>
      <c r="D762" s="873"/>
      <c r="E762" s="873"/>
      <c r="F762" s="873"/>
      <c r="G762" s="873"/>
      <c r="H762" s="873"/>
      <c r="I762" s="873"/>
      <c r="J762" s="873"/>
      <c r="K762" s="873"/>
      <c r="L762" s="873"/>
      <c r="M762" s="873"/>
      <c r="N762" s="873"/>
      <c r="O762" s="873"/>
      <c r="P762" s="873"/>
      <c r="Q762" s="873"/>
      <c r="R762" s="873"/>
      <c r="S762" s="873"/>
      <c r="T762" s="873"/>
      <c r="U762" s="873"/>
      <c r="V762" s="873"/>
      <c r="W762" s="873"/>
      <c r="X762" s="873"/>
      <c r="Y762" s="873"/>
    </row>
    <row r="763">
      <c r="A763" s="873"/>
      <c r="B763" s="873"/>
      <c r="C763" s="873"/>
      <c r="D763" s="873"/>
      <c r="E763" s="873"/>
      <c r="F763" s="873"/>
      <c r="G763" s="873"/>
      <c r="H763" s="873"/>
      <c r="I763" s="873"/>
      <c r="J763" s="873"/>
      <c r="K763" s="873"/>
      <c r="L763" s="873"/>
      <c r="M763" s="873"/>
      <c r="N763" s="873"/>
      <c r="O763" s="873"/>
      <c r="P763" s="873"/>
      <c r="Q763" s="873"/>
      <c r="R763" s="873"/>
      <c r="S763" s="873"/>
      <c r="T763" s="873"/>
      <c r="U763" s="873"/>
      <c r="V763" s="873"/>
      <c r="W763" s="873"/>
      <c r="X763" s="873"/>
      <c r="Y763" s="873"/>
    </row>
    <row r="764">
      <c r="A764" s="873"/>
      <c r="B764" s="873"/>
      <c r="C764" s="873"/>
      <c r="D764" s="873"/>
      <c r="E764" s="873"/>
      <c r="F764" s="873"/>
      <c r="G764" s="873"/>
      <c r="H764" s="873"/>
      <c r="I764" s="873"/>
      <c r="J764" s="873"/>
      <c r="K764" s="873"/>
      <c r="L764" s="873"/>
      <c r="M764" s="873"/>
      <c r="N764" s="873"/>
      <c r="O764" s="873"/>
      <c r="P764" s="873"/>
      <c r="Q764" s="873"/>
      <c r="R764" s="873"/>
      <c r="S764" s="873"/>
      <c r="T764" s="873"/>
      <c r="U764" s="873"/>
      <c r="V764" s="873"/>
      <c r="W764" s="873"/>
      <c r="X764" s="873"/>
      <c r="Y764" s="873"/>
    </row>
    <row r="765">
      <c r="A765" s="873"/>
      <c r="B765" s="873"/>
      <c r="C765" s="873"/>
      <c r="D765" s="873"/>
      <c r="E765" s="873"/>
      <c r="F765" s="873"/>
      <c r="G765" s="873"/>
      <c r="H765" s="873"/>
      <c r="I765" s="873"/>
      <c r="J765" s="873"/>
      <c r="K765" s="873"/>
      <c r="L765" s="873"/>
      <c r="M765" s="873"/>
      <c r="N765" s="873"/>
      <c r="O765" s="873"/>
      <c r="P765" s="873"/>
      <c r="Q765" s="873"/>
      <c r="R765" s="873"/>
      <c r="S765" s="873"/>
      <c r="T765" s="873"/>
      <c r="U765" s="873"/>
      <c r="V765" s="873"/>
      <c r="W765" s="873"/>
      <c r="X765" s="873"/>
      <c r="Y765" s="873"/>
    </row>
    <row r="766">
      <c r="A766" s="873"/>
      <c r="B766" s="873"/>
      <c r="C766" s="873"/>
      <c r="D766" s="873"/>
      <c r="E766" s="873"/>
      <c r="F766" s="873"/>
      <c r="G766" s="873"/>
      <c r="H766" s="873"/>
      <c r="I766" s="873"/>
      <c r="J766" s="873"/>
      <c r="K766" s="873"/>
      <c r="L766" s="873"/>
      <c r="M766" s="873"/>
      <c r="N766" s="873"/>
      <c r="O766" s="873"/>
      <c r="P766" s="873"/>
      <c r="Q766" s="873"/>
      <c r="R766" s="873"/>
      <c r="S766" s="873"/>
      <c r="T766" s="873"/>
      <c r="U766" s="873"/>
      <c r="V766" s="873"/>
      <c r="W766" s="873"/>
      <c r="X766" s="873"/>
      <c r="Y766" s="873"/>
    </row>
    <row r="767">
      <c r="A767" s="873"/>
      <c r="B767" s="873"/>
      <c r="C767" s="873"/>
      <c r="D767" s="873"/>
      <c r="E767" s="873"/>
      <c r="F767" s="873"/>
      <c r="G767" s="873"/>
      <c r="H767" s="873"/>
      <c r="I767" s="873"/>
      <c r="J767" s="873"/>
      <c r="K767" s="873"/>
      <c r="L767" s="873"/>
      <c r="M767" s="873"/>
      <c r="N767" s="873"/>
      <c r="O767" s="873"/>
      <c r="P767" s="873"/>
      <c r="Q767" s="873"/>
      <c r="R767" s="873"/>
      <c r="S767" s="873"/>
      <c r="T767" s="873"/>
      <c r="U767" s="873"/>
      <c r="V767" s="873"/>
      <c r="W767" s="873"/>
      <c r="X767" s="873"/>
      <c r="Y767" s="873"/>
    </row>
    <row r="768">
      <c r="A768" s="873"/>
      <c r="B768" s="873"/>
      <c r="C768" s="873"/>
      <c r="D768" s="873"/>
      <c r="E768" s="873"/>
      <c r="F768" s="873"/>
      <c r="G768" s="873"/>
      <c r="H768" s="873"/>
      <c r="I768" s="873"/>
      <c r="J768" s="873"/>
      <c r="K768" s="873"/>
      <c r="L768" s="873"/>
      <c r="M768" s="873"/>
      <c r="N768" s="873"/>
      <c r="O768" s="873"/>
      <c r="P768" s="873"/>
      <c r="Q768" s="873"/>
      <c r="R768" s="873"/>
      <c r="S768" s="873"/>
      <c r="T768" s="873"/>
      <c r="U768" s="873"/>
      <c r="V768" s="873"/>
      <c r="W768" s="873"/>
      <c r="X768" s="873"/>
      <c r="Y768" s="873"/>
    </row>
    <row r="769">
      <c r="A769" s="873"/>
      <c r="B769" s="873"/>
      <c r="C769" s="873"/>
      <c r="D769" s="873"/>
      <c r="E769" s="873"/>
      <c r="F769" s="873"/>
      <c r="G769" s="873"/>
      <c r="H769" s="873"/>
      <c r="I769" s="873"/>
      <c r="J769" s="873"/>
      <c r="K769" s="873"/>
      <c r="L769" s="873"/>
      <c r="M769" s="873"/>
      <c r="N769" s="873"/>
      <c r="O769" s="873"/>
      <c r="P769" s="873"/>
      <c r="Q769" s="873"/>
      <c r="R769" s="873"/>
      <c r="S769" s="873"/>
      <c r="T769" s="873"/>
      <c r="U769" s="873"/>
      <c r="V769" s="873"/>
      <c r="W769" s="873"/>
      <c r="X769" s="873"/>
      <c r="Y769" s="873"/>
    </row>
    <row r="770">
      <c r="A770" s="873"/>
      <c r="B770" s="873"/>
      <c r="C770" s="873"/>
      <c r="D770" s="873"/>
      <c r="E770" s="873"/>
      <c r="F770" s="873"/>
      <c r="G770" s="873"/>
      <c r="H770" s="873"/>
      <c r="I770" s="873"/>
      <c r="J770" s="873"/>
      <c r="K770" s="873"/>
      <c r="L770" s="873"/>
      <c r="M770" s="873"/>
      <c r="N770" s="873"/>
      <c r="O770" s="873"/>
      <c r="P770" s="873"/>
      <c r="Q770" s="873"/>
      <c r="R770" s="873"/>
      <c r="S770" s="873"/>
      <c r="T770" s="873"/>
      <c r="U770" s="873"/>
      <c r="V770" s="873"/>
      <c r="W770" s="873"/>
      <c r="X770" s="873"/>
      <c r="Y770" s="873"/>
    </row>
    <row r="771">
      <c r="A771" s="873"/>
      <c r="B771" s="873"/>
      <c r="C771" s="873"/>
      <c r="D771" s="873"/>
      <c r="E771" s="873"/>
      <c r="F771" s="873"/>
      <c r="G771" s="873"/>
      <c r="H771" s="873"/>
      <c r="I771" s="873"/>
      <c r="J771" s="873"/>
      <c r="K771" s="873"/>
      <c r="L771" s="873"/>
      <c r="M771" s="873"/>
      <c r="N771" s="873"/>
      <c r="O771" s="873"/>
      <c r="P771" s="873"/>
      <c r="Q771" s="873"/>
      <c r="R771" s="873"/>
      <c r="S771" s="873"/>
      <c r="T771" s="873"/>
      <c r="U771" s="873"/>
      <c r="V771" s="873"/>
      <c r="W771" s="873"/>
      <c r="X771" s="873"/>
      <c r="Y771" s="873"/>
    </row>
    <row r="772">
      <c r="A772" s="873"/>
      <c r="B772" s="873"/>
      <c r="C772" s="873"/>
      <c r="D772" s="873"/>
      <c r="E772" s="873"/>
      <c r="F772" s="873"/>
      <c r="G772" s="873"/>
      <c r="H772" s="873"/>
      <c r="I772" s="873"/>
      <c r="J772" s="873"/>
      <c r="K772" s="873"/>
      <c r="L772" s="873"/>
      <c r="M772" s="873"/>
      <c r="N772" s="873"/>
      <c r="O772" s="873"/>
      <c r="P772" s="873"/>
      <c r="Q772" s="873"/>
      <c r="R772" s="873"/>
      <c r="S772" s="873"/>
      <c r="T772" s="873"/>
      <c r="U772" s="873"/>
      <c r="V772" s="873"/>
      <c r="W772" s="873"/>
      <c r="X772" s="873"/>
      <c r="Y772" s="873"/>
    </row>
    <row r="773">
      <c r="A773" s="873"/>
      <c r="B773" s="873"/>
      <c r="C773" s="873"/>
      <c r="D773" s="873"/>
      <c r="E773" s="873"/>
      <c r="F773" s="873"/>
      <c r="G773" s="873"/>
      <c r="H773" s="873"/>
      <c r="I773" s="873"/>
      <c r="J773" s="873"/>
      <c r="K773" s="873"/>
      <c r="L773" s="873"/>
      <c r="M773" s="873"/>
      <c r="N773" s="873"/>
      <c r="O773" s="873"/>
      <c r="P773" s="873"/>
      <c r="Q773" s="873"/>
      <c r="R773" s="873"/>
      <c r="S773" s="873"/>
      <c r="T773" s="873"/>
      <c r="U773" s="873"/>
      <c r="V773" s="873"/>
      <c r="W773" s="873"/>
      <c r="X773" s="873"/>
      <c r="Y773" s="873"/>
    </row>
    <row r="774">
      <c r="A774" s="873"/>
      <c r="B774" s="873"/>
      <c r="C774" s="873"/>
      <c r="D774" s="873"/>
      <c r="E774" s="873"/>
      <c r="F774" s="873"/>
      <c r="G774" s="873"/>
      <c r="H774" s="873"/>
      <c r="I774" s="873"/>
      <c r="J774" s="873"/>
      <c r="K774" s="873"/>
      <c r="L774" s="873"/>
      <c r="M774" s="873"/>
      <c r="N774" s="873"/>
      <c r="O774" s="873"/>
      <c r="P774" s="873"/>
      <c r="Q774" s="873"/>
      <c r="R774" s="873"/>
      <c r="S774" s="873"/>
      <c r="T774" s="873"/>
      <c r="U774" s="873"/>
      <c r="V774" s="873"/>
      <c r="W774" s="873"/>
      <c r="X774" s="873"/>
      <c r="Y774" s="873"/>
    </row>
    <row r="775">
      <c r="A775" s="873"/>
      <c r="B775" s="873"/>
      <c r="C775" s="873"/>
      <c r="D775" s="873"/>
      <c r="E775" s="873"/>
      <c r="F775" s="873"/>
      <c r="G775" s="873"/>
      <c r="H775" s="873"/>
      <c r="I775" s="873"/>
      <c r="J775" s="873"/>
      <c r="K775" s="873"/>
      <c r="L775" s="873"/>
      <c r="M775" s="873"/>
      <c r="N775" s="873"/>
      <c r="O775" s="873"/>
      <c r="P775" s="873"/>
      <c r="Q775" s="873"/>
      <c r="R775" s="873"/>
      <c r="S775" s="873"/>
      <c r="T775" s="873"/>
      <c r="U775" s="873"/>
      <c r="V775" s="873"/>
      <c r="W775" s="873"/>
      <c r="X775" s="873"/>
      <c r="Y775" s="873"/>
    </row>
    <row r="776">
      <c r="A776" s="873"/>
      <c r="B776" s="873"/>
      <c r="C776" s="873"/>
      <c r="D776" s="873"/>
      <c r="E776" s="873"/>
      <c r="F776" s="873"/>
      <c r="G776" s="873"/>
      <c r="H776" s="873"/>
      <c r="I776" s="873"/>
      <c r="J776" s="873"/>
      <c r="K776" s="873"/>
      <c r="L776" s="873"/>
      <c r="M776" s="873"/>
      <c r="N776" s="873"/>
      <c r="O776" s="873"/>
      <c r="P776" s="873"/>
      <c r="Q776" s="873"/>
      <c r="R776" s="873"/>
      <c r="S776" s="873"/>
      <c r="T776" s="873"/>
      <c r="U776" s="873"/>
      <c r="V776" s="873"/>
      <c r="W776" s="873"/>
      <c r="X776" s="873"/>
      <c r="Y776" s="873"/>
    </row>
    <row r="777">
      <c r="A777" s="873"/>
      <c r="B777" s="873"/>
      <c r="C777" s="873"/>
      <c r="D777" s="873"/>
      <c r="E777" s="873"/>
      <c r="F777" s="873"/>
      <c r="G777" s="873"/>
      <c r="H777" s="873"/>
      <c r="I777" s="873"/>
      <c r="J777" s="873"/>
      <c r="K777" s="873"/>
      <c r="L777" s="873"/>
      <c r="M777" s="873"/>
      <c r="N777" s="873"/>
      <c r="O777" s="873"/>
      <c r="P777" s="873"/>
      <c r="Q777" s="873"/>
      <c r="R777" s="873"/>
      <c r="S777" s="873"/>
      <c r="T777" s="873"/>
      <c r="U777" s="873"/>
      <c r="V777" s="873"/>
      <c r="W777" s="873"/>
      <c r="X777" s="873"/>
      <c r="Y777" s="873"/>
    </row>
    <row r="778">
      <c r="A778" s="873"/>
      <c r="B778" s="873"/>
      <c r="C778" s="873"/>
      <c r="D778" s="873"/>
      <c r="E778" s="873"/>
      <c r="F778" s="873"/>
      <c r="G778" s="873"/>
      <c r="H778" s="873"/>
      <c r="I778" s="873"/>
      <c r="J778" s="873"/>
      <c r="K778" s="873"/>
      <c r="L778" s="873"/>
      <c r="M778" s="873"/>
      <c r="N778" s="873"/>
      <c r="O778" s="873"/>
      <c r="P778" s="873"/>
      <c r="Q778" s="873"/>
      <c r="R778" s="873"/>
      <c r="S778" s="873"/>
      <c r="T778" s="873"/>
      <c r="U778" s="873"/>
      <c r="V778" s="873"/>
      <c r="W778" s="873"/>
      <c r="X778" s="873"/>
      <c r="Y778" s="873"/>
    </row>
    <row r="779">
      <c r="A779" s="873"/>
      <c r="B779" s="873"/>
      <c r="C779" s="873"/>
      <c r="D779" s="873"/>
      <c r="E779" s="873"/>
      <c r="F779" s="873"/>
      <c r="G779" s="873"/>
      <c r="H779" s="873"/>
      <c r="I779" s="873"/>
      <c r="J779" s="873"/>
      <c r="K779" s="873"/>
      <c r="L779" s="873"/>
      <c r="M779" s="873"/>
      <c r="N779" s="873"/>
      <c r="O779" s="873"/>
      <c r="P779" s="873"/>
      <c r="Q779" s="873"/>
      <c r="R779" s="873"/>
      <c r="S779" s="873"/>
      <c r="T779" s="873"/>
      <c r="U779" s="873"/>
      <c r="V779" s="873"/>
      <c r="W779" s="873"/>
      <c r="X779" s="873"/>
      <c r="Y779" s="873"/>
    </row>
    <row r="780">
      <c r="A780" s="873"/>
      <c r="B780" s="873"/>
      <c r="C780" s="873"/>
      <c r="D780" s="873"/>
      <c r="E780" s="873"/>
      <c r="F780" s="873"/>
      <c r="G780" s="873"/>
      <c r="H780" s="873"/>
      <c r="I780" s="873"/>
      <c r="J780" s="873"/>
      <c r="K780" s="873"/>
      <c r="L780" s="873"/>
      <c r="M780" s="873"/>
      <c r="N780" s="873"/>
      <c r="O780" s="873"/>
      <c r="P780" s="873"/>
      <c r="Q780" s="873"/>
      <c r="R780" s="873"/>
      <c r="S780" s="873"/>
      <c r="T780" s="873"/>
      <c r="U780" s="873"/>
      <c r="V780" s="873"/>
      <c r="W780" s="873"/>
      <c r="X780" s="873"/>
      <c r="Y780" s="873"/>
    </row>
    <row r="781">
      <c r="A781" s="873"/>
      <c r="B781" s="873"/>
      <c r="C781" s="873"/>
      <c r="D781" s="873"/>
      <c r="E781" s="873"/>
      <c r="F781" s="873"/>
      <c r="G781" s="873"/>
      <c r="H781" s="873"/>
      <c r="I781" s="873"/>
      <c r="J781" s="873"/>
      <c r="K781" s="873"/>
      <c r="L781" s="873"/>
      <c r="M781" s="873"/>
      <c r="N781" s="873"/>
      <c r="O781" s="873"/>
      <c r="P781" s="873"/>
      <c r="Q781" s="873"/>
      <c r="R781" s="873"/>
      <c r="S781" s="873"/>
      <c r="T781" s="873"/>
      <c r="U781" s="873"/>
      <c r="V781" s="873"/>
      <c r="W781" s="873"/>
      <c r="X781" s="873"/>
      <c r="Y781" s="873"/>
    </row>
    <row r="782">
      <c r="A782" s="873"/>
      <c r="B782" s="873"/>
      <c r="C782" s="873"/>
      <c r="D782" s="873"/>
      <c r="E782" s="873"/>
      <c r="F782" s="873"/>
      <c r="G782" s="873"/>
      <c r="H782" s="873"/>
      <c r="I782" s="873"/>
      <c r="J782" s="873"/>
      <c r="K782" s="873"/>
      <c r="L782" s="873"/>
      <c r="M782" s="873"/>
      <c r="N782" s="873"/>
      <c r="O782" s="873"/>
      <c r="P782" s="873"/>
      <c r="Q782" s="873"/>
      <c r="R782" s="873"/>
      <c r="S782" s="873"/>
      <c r="T782" s="873"/>
      <c r="U782" s="873"/>
      <c r="V782" s="873"/>
      <c r="W782" s="873"/>
      <c r="X782" s="873"/>
      <c r="Y782" s="873"/>
    </row>
    <row r="783">
      <c r="A783" s="873"/>
      <c r="B783" s="873"/>
      <c r="C783" s="873"/>
      <c r="D783" s="873"/>
      <c r="E783" s="873"/>
      <c r="F783" s="873"/>
      <c r="G783" s="873"/>
      <c r="H783" s="873"/>
      <c r="I783" s="873"/>
      <c r="J783" s="873"/>
      <c r="K783" s="873"/>
      <c r="L783" s="873"/>
      <c r="M783" s="873"/>
      <c r="N783" s="873"/>
      <c r="O783" s="873"/>
      <c r="P783" s="873"/>
      <c r="Q783" s="873"/>
      <c r="R783" s="873"/>
      <c r="S783" s="873"/>
      <c r="T783" s="873"/>
      <c r="U783" s="873"/>
      <c r="V783" s="873"/>
      <c r="W783" s="873"/>
      <c r="X783" s="873"/>
      <c r="Y783" s="873"/>
    </row>
    <row r="784">
      <c r="A784" s="873"/>
      <c r="B784" s="873"/>
      <c r="C784" s="873"/>
      <c r="D784" s="873"/>
      <c r="E784" s="873"/>
      <c r="F784" s="873"/>
      <c r="G784" s="873"/>
      <c r="H784" s="873"/>
      <c r="I784" s="873"/>
      <c r="J784" s="873"/>
      <c r="K784" s="873"/>
      <c r="L784" s="873"/>
      <c r="M784" s="873"/>
      <c r="N784" s="873"/>
      <c r="O784" s="873"/>
      <c r="P784" s="873"/>
      <c r="Q784" s="873"/>
      <c r="R784" s="873"/>
      <c r="S784" s="873"/>
      <c r="T784" s="873"/>
      <c r="U784" s="873"/>
      <c r="V784" s="873"/>
      <c r="W784" s="873"/>
      <c r="X784" s="873"/>
      <c r="Y784" s="873"/>
    </row>
    <row r="785">
      <c r="A785" s="873"/>
      <c r="B785" s="873"/>
      <c r="C785" s="873"/>
      <c r="D785" s="873"/>
      <c r="E785" s="873"/>
      <c r="F785" s="873"/>
      <c r="G785" s="873"/>
      <c r="H785" s="873"/>
      <c r="I785" s="873"/>
      <c r="J785" s="873"/>
      <c r="K785" s="873"/>
      <c r="L785" s="873"/>
      <c r="M785" s="873"/>
      <c r="N785" s="873"/>
      <c r="O785" s="873"/>
      <c r="P785" s="873"/>
      <c r="Q785" s="873"/>
      <c r="R785" s="873"/>
      <c r="S785" s="873"/>
      <c r="T785" s="873"/>
      <c r="U785" s="873"/>
      <c r="V785" s="873"/>
      <c r="W785" s="873"/>
      <c r="X785" s="873"/>
      <c r="Y785" s="873"/>
    </row>
    <row r="786">
      <c r="A786" s="873"/>
      <c r="B786" s="873"/>
      <c r="C786" s="873"/>
      <c r="D786" s="873"/>
      <c r="E786" s="873"/>
      <c r="F786" s="873"/>
      <c r="G786" s="873"/>
      <c r="H786" s="873"/>
      <c r="I786" s="873"/>
      <c r="J786" s="873"/>
      <c r="K786" s="873"/>
      <c r="L786" s="873"/>
      <c r="M786" s="873"/>
      <c r="N786" s="873"/>
      <c r="O786" s="873"/>
      <c r="P786" s="873"/>
      <c r="Q786" s="873"/>
      <c r="R786" s="873"/>
      <c r="S786" s="873"/>
      <c r="T786" s="873"/>
      <c r="U786" s="873"/>
      <c r="V786" s="873"/>
      <c r="W786" s="873"/>
      <c r="X786" s="873"/>
      <c r="Y786" s="873"/>
    </row>
    <row r="787">
      <c r="A787" s="873"/>
      <c r="B787" s="873"/>
      <c r="C787" s="873"/>
      <c r="D787" s="873"/>
      <c r="E787" s="873"/>
      <c r="F787" s="873"/>
      <c r="G787" s="873"/>
      <c r="H787" s="873"/>
      <c r="I787" s="873"/>
      <c r="J787" s="873"/>
      <c r="K787" s="873"/>
      <c r="L787" s="873"/>
      <c r="M787" s="873"/>
      <c r="N787" s="873"/>
      <c r="O787" s="873"/>
      <c r="P787" s="873"/>
      <c r="Q787" s="873"/>
      <c r="R787" s="873"/>
      <c r="S787" s="873"/>
      <c r="T787" s="873"/>
      <c r="U787" s="873"/>
      <c r="V787" s="873"/>
      <c r="W787" s="873"/>
      <c r="X787" s="873"/>
      <c r="Y787" s="873"/>
    </row>
    <row r="788">
      <c r="A788" s="873"/>
      <c r="B788" s="873"/>
      <c r="C788" s="873"/>
      <c r="D788" s="873"/>
      <c r="E788" s="873"/>
      <c r="F788" s="873"/>
      <c r="G788" s="873"/>
      <c r="H788" s="873"/>
      <c r="I788" s="873"/>
      <c r="J788" s="873"/>
      <c r="K788" s="873"/>
      <c r="L788" s="873"/>
      <c r="M788" s="873"/>
      <c r="N788" s="873"/>
      <c r="O788" s="873"/>
      <c r="P788" s="873"/>
      <c r="Q788" s="873"/>
      <c r="R788" s="873"/>
      <c r="S788" s="873"/>
      <c r="T788" s="873"/>
      <c r="U788" s="873"/>
      <c r="V788" s="873"/>
      <c r="W788" s="873"/>
      <c r="X788" s="873"/>
      <c r="Y788" s="873"/>
    </row>
    <row r="789">
      <c r="A789" s="873"/>
      <c r="B789" s="873"/>
      <c r="C789" s="873"/>
      <c r="D789" s="873"/>
      <c r="E789" s="873"/>
      <c r="F789" s="873"/>
      <c r="G789" s="873"/>
      <c r="H789" s="873"/>
      <c r="I789" s="873"/>
      <c r="J789" s="873"/>
      <c r="K789" s="873"/>
      <c r="L789" s="873"/>
      <c r="M789" s="873"/>
      <c r="N789" s="873"/>
      <c r="O789" s="873"/>
      <c r="P789" s="873"/>
      <c r="Q789" s="873"/>
      <c r="R789" s="873"/>
      <c r="S789" s="873"/>
      <c r="T789" s="873"/>
      <c r="U789" s="873"/>
      <c r="V789" s="873"/>
      <c r="W789" s="873"/>
      <c r="X789" s="873"/>
      <c r="Y789" s="873"/>
    </row>
    <row r="790">
      <c r="A790" s="873"/>
      <c r="B790" s="873"/>
      <c r="C790" s="873"/>
      <c r="D790" s="873"/>
      <c r="E790" s="873"/>
      <c r="F790" s="873"/>
      <c r="G790" s="873"/>
      <c r="H790" s="873"/>
      <c r="I790" s="873"/>
      <c r="J790" s="873"/>
      <c r="K790" s="873"/>
      <c r="L790" s="873"/>
      <c r="M790" s="873"/>
      <c r="N790" s="873"/>
      <c r="O790" s="873"/>
      <c r="P790" s="873"/>
      <c r="Q790" s="873"/>
      <c r="R790" s="873"/>
      <c r="S790" s="873"/>
      <c r="T790" s="873"/>
      <c r="U790" s="873"/>
      <c r="V790" s="873"/>
      <c r="W790" s="873"/>
      <c r="X790" s="873"/>
      <c r="Y790" s="873"/>
    </row>
    <row r="791">
      <c r="A791" s="873"/>
      <c r="B791" s="873"/>
      <c r="C791" s="873"/>
      <c r="D791" s="873"/>
      <c r="E791" s="873"/>
      <c r="F791" s="873"/>
      <c r="G791" s="873"/>
      <c r="H791" s="873"/>
      <c r="I791" s="873"/>
      <c r="J791" s="873"/>
      <c r="K791" s="873"/>
      <c r="L791" s="873"/>
      <c r="M791" s="873"/>
      <c r="N791" s="873"/>
      <c r="O791" s="873"/>
      <c r="P791" s="873"/>
      <c r="Q791" s="873"/>
      <c r="R791" s="873"/>
      <c r="S791" s="873"/>
      <c r="T791" s="873"/>
      <c r="U791" s="873"/>
      <c r="V791" s="873"/>
      <c r="W791" s="873"/>
      <c r="X791" s="873"/>
      <c r="Y791" s="873"/>
    </row>
    <row r="792">
      <c r="A792" s="873"/>
      <c r="B792" s="873"/>
      <c r="C792" s="873"/>
      <c r="D792" s="873"/>
      <c r="E792" s="873"/>
      <c r="F792" s="873"/>
      <c r="G792" s="873"/>
      <c r="H792" s="873"/>
      <c r="I792" s="873"/>
      <c r="J792" s="873"/>
      <c r="K792" s="873"/>
      <c r="L792" s="873"/>
      <c r="M792" s="873"/>
      <c r="N792" s="873"/>
      <c r="O792" s="873"/>
      <c r="P792" s="873"/>
      <c r="Q792" s="873"/>
      <c r="R792" s="873"/>
      <c r="S792" s="873"/>
      <c r="T792" s="873"/>
      <c r="U792" s="873"/>
      <c r="V792" s="873"/>
      <c r="W792" s="873"/>
      <c r="X792" s="873"/>
      <c r="Y792" s="873"/>
    </row>
    <row r="793">
      <c r="A793" s="873"/>
      <c r="B793" s="873"/>
      <c r="C793" s="873"/>
      <c r="D793" s="873"/>
      <c r="E793" s="873"/>
      <c r="F793" s="873"/>
      <c r="G793" s="873"/>
      <c r="H793" s="873"/>
      <c r="I793" s="873"/>
      <c r="J793" s="873"/>
      <c r="K793" s="873"/>
      <c r="L793" s="873"/>
      <c r="M793" s="873"/>
      <c r="N793" s="873"/>
      <c r="O793" s="873"/>
      <c r="P793" s="873"/>
      <c r="Q793" s="873"/>
      <c r="R793" s="873"/>
      <c r="S793" s="873"/>
      <c r="T793" s="873"/>
      <c r="U793" s="873"/>
      <c r="V793" s="873"/>
      <c r="W793" s="873"/>
      <c r="X793" s="873"/>
      <c r="Y793" s="873"/>
    </row>
    <row r="794">
      <c r="A794" s="873"/>
      <c r="B794" s="873"/>
      <c r="C794" s="873"/>
      <c r="D794" s="873"/>
      <c r="E794" s="873"/>
      <c r="F794" s="873"/>
      <c r="G794" s="873"/>
      <c r="H794" s="873"/>
      <c r="I794" s="873"/>
      <c r="J794" s="873"/>
      <c r="K794" s="873"/>
      <c r="L794" s="873"/>
      <c r="M794" s="873"/>
      <c r="N794" s="873"/>
      <c r="O794" s="873"/>
      <c r="P794" s="873"/>
      <c r="Q794" s="873"/>
      <c r="R794" s="873"/>
      <c r="S794" s="873"/>
      <c r="T794" s="873"/>
      <c r="U794" s="873"/>
      <c r="V794" s="873"/>
      <c r="W794" s="873"/>
      <c r="X794" s="873"/>
      <c r="Y794" s="873"/>
    </row>
    <row r="795">
      <c r="A795" s="873"/>
      <c r="B795" s="873"/>
      <c r="C795" s="873"/>
      <c r="D795" s="873"/>
      <c r="E795" s="873"/>
      <c r="F795" s="873"/>
      <c r="G795" s="873"/>
      <c r="H795" s="873"/>
      <c r="I795" s="873"/>
      <c r="J795" s="873"/>
      <c r="K795" s="873"/>
      <c r="L795" s="873"/>
      <c r="M795" s="873"/>
      <c r="N795" s="873"/>
      <c r="O795" s="873"/>
      <c r="P795" s="873"/>
      <c r="Q795" s="873"/>
      <c r="R795" s="873"/>
      <c r="S795" s="873"/>
      <c r="T795" s="873"/>
      <c r="U795" s="873"/>
      <c r="V795" s="873"/>
      <c r="W795" s="873"/>
      <c r="X795" s="873"/>
      <c r="Y795" s="873"/>
    </row>
    <row r="796">
      <c r="A796" s="873"/>
      <c r="B796" s="873"/>
      <c r="C796" s="873"/>
      <c r="D796" s="873"/>
      <c r="E796" s="873"/>
      <c r="F796" s="873"/>
      <c r="G796" s="873"/>
      <c r="H796" s="873"/>
      <c r="I796" s="873"/>
      <c r="J796" s="873"/>
      <c r="K796" s="873"/>
      <c r="L796" s="873"/>
      <c r="M796" s="873"/>
      <c r="N796" s="873"/>
      <c r="O796" s="873"/>
      <c r="P796" s="873"/>
      <c r="Q796" s="873"/>
      <c r="R796" s="873"/>
      <c r="S796" s="873"/>
      <c r="T796" s="873"/>
      <c r="U796" s="873"/>
      <c r="V796" s="873"/>
      <c r="W796" s="873"/>
      <c r="X796" s="873"/>
      <c r="Y796" s="873"/>
    </row>
    <row r="797">
      <c r="A797" s="873"/>
      <c r="B797" s="873"/>
      <c r="C797" s="873"/>
      <c r="D797" s="873"/>
      <c r="E797" s="873"/>
      <c r="F797" s="873"/>
      <c r="G797" s="873"/>
      <c r="H797" s="873"/>
      <c r="I797" s="873"/>
      <c r="J797" s="873"/>
      <c r="K797" s="873"/>
      <c r="L797" s="873"/>
      <c r="M797" s="873"/>
      <c r="N797" s="873"/>
      <c r="O797" s="873"/>
      <c r="P797" s="873"/>
      <c r="Q797" s="873"/>
      <c r="R797" s="873"/>
      <c r="S797" s="873"/>
      <c r="T797" s="873"/>
      <c r="U797" s="873"/>
      <c r="V797" s="873"/>
      <c r="W797" s="873"/>
      <c r="X797" s="873"/>
      <c r="Y797" s="873"/>
    </row>
    <row r="798">
      <c r="A798" s="873"/>
      <c r="B798" s="873"/>
      <c r="C798" s="873"/>
      <c r="D798" s="873"/>
      <c r="E798" s="873"/>
      <c r="F798" s="873"/>
      <c r="G798" s="873"/>
      <c r="H798" s="873"/>
      <c r="I798" s="873"/>
      <c r="J798" s="873"/>
      <c r="K798" s="873"/>
      <c r="L798" s="873"/>
      <c r="M798" s="873"/>
      <c r="N798" s="873"/>
      <c r="O798" s="873"/>
      <c r="P798" s="873"/>
      <c r="Q798" s="873"/>
      <c r="R798" s="873"/>
      <c r="S798" s="873"/>
      <c r="T798" s="873"/>
      <c r="U798" s="873"/>
      <c r="V798" s="873"/>
      <c r="W798" s="873"/>
      <c r="X798" s="873"/>
      <c r="Y798" s="873"/>
    </row>
    <row r="799">
      <c r="A799" s="873"/>
      <c r="B799" s="873"/>
      <c r="C799" s="873"/>
      <c r="D799" s="873"/>
      <c r="E799" s="873"/>
      <c r="F799" s="873"/>
      <c r="G799" s="873"/>
      <c r="H799" s="873"/>
      <c r="I799" s="873"/>
      <c r="J799" s="873"/>
      <c r="K799" s="873"/>
      <c r="L799" s="873"/>
      <c r="M799" s="873"/>
      <c r="N799" s="873"/>
      <c r="O799" s="873"/>
      <c r="P799" s="873"/>
      <c r="Q799" s="873"/>
      <c r="R799" s="873"/>
      <c r="S799" s="873"/>
      <c r="T799" s="873"/>
      <c r="U799" s="873"/>
      <c r="V799" s="873"/>
      <c r="W799" s="873"/>
      <c r="X799" s="873"/>
      <c r="Y799" s="873"/>
    </row>
    <row r="800">
      <c r="A800" s="873"/>
      <c r="B800" s="873"/>
      <c r="C800" s="873"/>
      <c r="D800" s="873"/>
      <c r="E800" s="873"/>
      <c r="F800" s="873"/>
      <c r="G800" s="873"/>
      <c r="H800" s="873"/>
      <c r="I800" s="873"/>
      <c r="J800" s="873"/>
      <c r="K800" s="873"/>
      <c r="L800" s="873"/>
      <c r="M800" s="873"/>
      <c r="N800" s="873"/>
      <c r="O800" s="873"/>
      <c r="P800" s="873"/>
      <c r="Q800" s="873"/>
      <c r="R800" s="873"/>
      <c r="S800" s="873"/>
      <c r="T800" s="873"/>
      <c r="U800" s="873"/>
      <c r="V800" s="873"/>
      <c r="W800" s="873"/>
      <c r="X800" s="873"/>
      <c r="Y800" s="873"/>
    </row>
    <row r="801">
      <c r="A801" s="873"/>
      <c r="B801" s="873"/>
      <c r="C801" s="873"/>
      <c r="D801" s="873"/>
      <c r="E801" s="873"/>
      <c r="F801" s="873"/>
      <c r="G801" s="873"/>
      <c r="H801" s="873"/>
      <c r="I801" s="873"/>
      <c r="J801" s="873"/>
      <c r="K801" s="873"/>
      <c r="L801" s="873"/>
      <c r="M801" s="873"/>
      <c r="N801" s="873"/>
      <c r="O801" s="873"/>
      <c r="P801" s="873"/>
      <c r="Q801" s="873"/>
      <c r="R801" s="873"/>
      <c r="S801" s="873"/>
      <c r="T801" s="873"/>
      <c r="U801" s="873"/>
      <c r="V801" s="873"/>
      <c r="W801" s="873"/>
      <c r="X801" s="873"/>
      <c r="Y801" s="873"/>
    </row>
    <row r="802">
      <c r="A802" s="873"/>
      <c r="B802" s="873"/>
      <c r="C802" s="873"/>
      <c r="D802" s="873"/>
      <c r="E802" s="873"/>
      <c r="F802" s="873"/>
      <c r="G802" s="873"/>
      <c r="H802" s="873"/>
      <c r="I802" s="873"/>
      <c r="J802" s="873"/>
      <c r="K802" s="873"/>
      <c r="L802" s="873"/>
      <c r="M802" s="873"/>
      <c r="N802" s="873"/>
      <c r="O802" s="873"/>
      <c r="P802" s="873"/>
      <c r="Q802" s="873"/>
      <c r="R802" s="873"/>
      <c r="S802" s="873"/>
      <c r="T802" s="873"/>
      <c r="U802" s="873"/>
      <c r="V802" s="873"/>
      <c r="W802" s="873"/>
      <c r="X802" s="873"/>
      <c r="Y802" s="873"/>
    </row>
    <row r="803">
      <c r="A803" s="873"/>
      <c r="B803" s="873"/>
      <c r="C803" s="873"/>
      <c r="D803" s="873"/>
      <c r="E803" s="873"/>
      <c r="F803" s="873"/>
      <c r="G803" s="873"/>
      <c r="H803" s="873"/>
      <c r="I803" s="873"/>
      <c r="J803" s="873"/>
      <c r="K803" s="873"/>
      <c r="L803" s="873"/>
      <c r="M803" s="873"/>
      <c r="N803" s="873"/>
      <c r="O803" s="873"/>
      <c r="P803" s="873"/>
      <c r="Q803" s="873"/>
      <c r="R803" s="873"/>
      <c r="S803" s="873"/>
      <c r="T803" s="873"/>
      <c r="U803" s="873"/>
      <c r="V803" s="873"/>
      <c r="W803" s="873"/>
      <c r="X803" s="873"/>
      <c r="Y803" s="873"/>
    </row>
    <row r="804">
      <c r="A804" s="873"/>
      <c r="B804" s="873"/>
      <c r="C804" s="873"/>
      <c r="D804" s="873"/>
      <c r="E804" s="873"/>
      <c r="F804" s="873"/>
      <c r="G804" s="873"/>
      <c r="H804" s="873"/>
      <c r="I804" s="873"/>
      <c r="J804" s="873"/>
      <c r="K804" s="873"/>
      <c r="L804" s="873"/>
      <c r="M804" s="873"/>
      <c r="N804" s="873"/>
      <c r="O804" s="873"/>
      <c r="P804" s="873"/>
      <c r="Q804" s="873"/>
      <c r="R804" s="873"/>
      <c r="S804" s="873"/>
      <c r="T804" s="873"/>
      <c r="U804" s="873"/>
      <c r="V804" s="873"/>
      <c r="W804" s="873"/>
      <c r="X804" s="873"/>
      <c r="Y804" s="873"/>
    </row>
    <row r="805">
      <c r="A805" s="873"/>
      <c r="B805" s="873"/>
      <c r="C805" s="873"/>
      <c r="D805" s="873"/>
      <c r="E805" s="873"/>
      <c r="F805" s="873"/>
      <c r="G805" s="873"/>
      <c r="H805" s="873"/>
      <c r="I805" s="873"/>
      <c r="J805" s="873"/>
      <c r="K805" s="873"/>
      <c r="L805" s="873"/>
      <c r="M805" s="873"/>
      <c r="N805" s="873"/>
      <c r="O805" s="873"/>
      <c r="P805" s="873"/>
      <c r="Q805" s="873"/>
      <c r="R805" s="873"/>
      <c r="S805" s="873"/>
      <c r="T805" s="873"/>
      <c r="U805" s="873"/>
      <c r="V805" s="873"/>
      <c r="W805" s="873"/>
      <c r="X805" s="873"/>
      <c r="Y805" s="873"/>
    </row>
    <row r="806">
      <c r="A806" s="873"/>
      <c r="B806" s="873"/>
      <c r="C806" s="873"/>
      <c r="D806" s="873"/>
      <c r="E806" s="873"/>
      <c r="F806" s="873"/>
      <c r="G806" s="873"/>
      <c r="H806" s="873"/>
      <c r="I806" s="873"/>
      <c r="J806" s="873"/>
      <c r="K806" s="873"/>
      <c r="L806" s="873"/>
      <c r="M806" s="873"/>
      <c r="N806" s="873"/>
      <c r="O806" s="873"/>
      <c r="P806" s="873"/>
      <c r="Q806" s="873"/>
      <c r="R806" s="873"/>
      <c r="S806" s="873"/>
      <c r="T806" s="873"/>
      <c r="U806" s="873"/>
      <c r="V806" s="873"/>
      <c r="W806" s="873"/>
      <c r="X806" s="873"/>
      <c r="Y806" s="873"/>
    </row>
    <row r="807">
      <c r="A807" s="873"/>
      <c r="B807" s="873"/>
      <c r="C807" s="873"/>
      <c r="D807" s="873"/>
      <c r="E807" s="873"/>
      <c r="F807" s="873"/>
      <c r="G807" s="873"/>
      <c r="H807" s="873"/>
      <c r="I807" s="873"/>
      <c r="J807" s="873"/>
      <c r="K807" s="873"/>
      <c r="L807" s="873"/>
      <c r="M807" s="873"/>
      <c r="N807" s="873"/>
      <c r="O807" s="873"/>
      <c r="P807" s="873"/>
      <c r="Q807" s="873"/>
      <c r="R807" s="873"/>
      <c r="S807" s="873"/>
      <c r="T807" s="873"/>
      <c r="U807" s="873"/>
      <c r="V807" s="873"/>
      <c r="W807" s="873"/>
      <c r="X807" s="873"/>
      <c r="Y807" s="873"/>
    </row>
    <row r="808">
      <c r="A808" s="873"/>
      <c r="B808" s="873"/>
      <c r="C808" s="873"/>
      <c r="D808" s="873"/>
      <c r="E808" s="873"/>
      <c r="F808" s="873"/>
      <c r="G808" s="873"/>
      <c r="H808" s="873"/>
      <c r="I808" s="873"/>
      <c r="J808" s="873"/>
      <c r="K808" s="873"/>
      <c r="L808" s="873"/>
      <c r="M808" s="873"/>
      <c r="N808" s="873"/>
      <c r="O808" s="873"/>
      <c r="P808" s="873"/>
      <c r="Q808" s="873"/>
      <c r="R808" s="873"/>
      <c r="S808" s="873"/>
      <c r="T808" s="873"/>
      <c r="U808" s="873"/>
      <c r="V808" s="873"/>
      <c r="W808" s="873"/>
      <c r="X808" s="873"/>
      <c r="Y808" s="873"/>
    </row>
    <row r="809">
      <c r="A809" s="873"/>
      <c r="B809" s="873"/>
      <c r="C809" s="873"/>
      <c r="D809" s="873"/>
      <c r="E809" s="873"/>
      <c r="F809" s="873"/>
      <c r="G809" s="873"/>
      <c r="H809" s="873"/>
      <c r="I809" s="873"/>
      <c r="J809" s="873"/>
      <c r="K809" s="873"/>
      <c r="L809" s="873"/>
      <c r="M809" s="873"/>
      <c r="N809" s="873"/>
      <c r="O809" s="873"/>
      <c r="P809" s="873"/>
      <c r="Q809" s="873"/>
      <c r="R809" s="873"/>
      <c r="S809" s="873"/>
      <c r="T809" s="873"/>
      <c r="U809" s="873"/>
      <c r="V809" s="873"/>
      <c r="W809" s="873"/>
      <c r="X809" s="873"/>
      <c r="Y809" s="873"/>
    </row>
    <row r="810">
      <c r="A810" s="873"/>
      <c r="B810" s="873"/>
      <c r="C810" s="873"/>
      <c r="D810" s="873"/>
      <c r="E810" s="873"/>
      <c r="F810" s="873"/>
      <c r="G810" s="873"/>
      <c r="H810" s="873"/>
      <c r="I810" s="873"/>
      <c r="J810" s="873"/>
      <c r="K810" s="873"/>
      <c r="L810" s="873"/>
      <c r="M810" s="873"/>
      <c r="N810" s="873"/>
      <c r="O810" s="873"/>
      <c r="P810" s="873"/>
      <c r="Q810" s="873"/>
      <c r="R810" s="873"/>
      <c r="S810" s="873"/>
      <c r="T810" s="873"/>
      <c r="U810" s="873"/>
      <c r="V810" s="873"/>
      <c r="W810" s="873"/>
      <c r="X810" s="873"/>
      <c r="Y810" s="873"/>
    </row>
    <row r="811">
      <c r="A811" s="873"/>
      <c r="B811" s="873"/>
      <c r="C811" s="873"/>
      <c r="D811" s="873"/>
      <c r="E811" s="873"/>
      <c r="F811" s="873"/>
      <c r="G811" s="873"/>
      <c r="H811" s="873"/>
      <c r="I811" s="873"/>
      <c r="J811" s="873"/>
      <c r="K811" s="873"/>
      <c r="L811" s="873"/>
      <c r="M811" s="873"/>
      <c r="N811" s="873"/>
      <c r="O811" s="873"/>
      <c r="P811" s="873"/>
      <c r="Q811" s="873"/>
      <c r="R811" s="873"/>
      <c r="S811" s="873"/>
      <c r="T811" s="873"/>
      <c r="U811" s="873"/>
      <c r="V811" s="873"/>
      <c r="W811" s="873"/>
      <c r="X811" s="873"/>
      <c r="Y811" s="873"/>
    </row>
    <row r="812">
      <c r="A812" s="873"/>
      <c r="B812" s="873"/>
      <c r="C812" s="873"/>
      <c r="D812" s="873"/>
      <c r="E812" s="873"/>
      <c r="F812" s="873"/>
      <c r="G812" s="873"/>
      <c r="H812" s="873"/>
      <c r="I812" s="873"/>
      <c r="J812" s="873"/>
      <c r="K812" s="873"/>
      <c r="L812" s="873"/>
      <c r="M812" s="873"/>
      <c r="N812" s="873"/>
      <c r="O812" s="873"/>
      <c r="P812" s="873"/>
      <c r="Q812" s="873"/>
      <c r="R812" s="873"/>
      <c r="S812" s="873"/>
      <c r="T812" s="873"/>
      <c r="U812" s="873"/>
      <c r="V812" s="873"/>
      <c r="W812" s="873"/>
      <c r="X812" s="873"/>
      <c r="Y812" s="873"/>
    </row>
    <row r="813">
      <c r="A813" s="873"/>
      <c r="B813" s="873"/>
      <c r="C813" s="873"/>
      <c r="D813" s="873"/>
      <c r="E813" s="873"/>
      <c r="F813" s="873"/>
      <c r="G813" s="873"/>
      <c r="H813" s="873"/>
      <c r="I813" s="873"/>
      <c r="J813" s="873"/>
      <c r="K813" s="873"/>
      <c r="L813" s="873"/>
      <c r="M813" s="873"/>
      <c r="N813" s="873"/>
      <c r="O813" s="873"/>
      <c r="P813" s="873"/>
      <c r="Q813" s="873"/>
      <c r="R813" s="873"/>
      <c r="S813" s="873"/>
      <c r="T813" s="873"/>
      <c r="U813" s="873"/>
      <c r="V813" s="873"/>
      <c r="W813" s="873"/>
      <c r="X813" s="873"/>
      <c r="Y813" s="873"/>
    </row>
    <row r="814">
      <c r="A814" s="873"/>
      <c r="B814" s="873"/>
      <c r="C814" s="873"/>
      <c r="D814" s="873"/>
      <c r="E814" s="873"/>
      <c r="F814" s="873"/>
      <c r="G814" s="873"/>
      <c r="H814" s="873"/>
      <c r="I814" s="873"/>
      <c r="J814" s="873"/>
      <c r="K814" s="873"/>
      <c r="L814" s="873"/>
      <c r="M814" s="873"/>
      <c r="N814" s="873"/>
      <c r="O814" s="873"/>
      <c r="P814" s="873"/>
      <c r="Q814" s="873"/>
      <c r="R814" s="873"/>
      <c r="S814" s="873"/>
      <c r="T814" s="873"/>
      <c r="U814" s="873"/>
      <c r="V814" s="873"/>
      <c r="W814" s="873"/>
      <c r="X814" s="873"/>
      <c r="Y814" s="873"/>
    </row>
    <row r="815">
      <c r="A815" s="873"/>
      <c r="B815" s="873"/>
      <c r="C815" s="873"/>
      <c r="D815" s="873"/>
      <c r="E815" s="873"/>
      <c r="F815" s="873"/>
      <c r="G815" s="873"/>
      <c r="H815" s="873"/>
      <c r="I815" s="873"/>
      <c r="J815" s="873"/>
      <c r="K815" s="873"/>
      <c r="L815" s="873"/>
      <c r="M815" s="873"/>
      <c r="N815" s="873"/>
      <c r="O815" s="873"/>
      <c r="P815" s="873"/>
      <c r="Q815" s="873"/>
      <c r="R815" s="873"/>
      <c r="S815" s="873"/>
      <c r="T815" s="873"/>
      <c r="U815" s="873"/>
      <c r="V815" s="873"/>
      <c r="W815" s="873"/>
      <c r="X815" s="873"/>
      <c r="Y815" s="873"/>
    </row>
    <row r="816">
      <c r="A816" s="873"/>
      <c r="B816" s="873"/>
      <c r="C816" s="873"/>
      <c r="D816" s="873"/>
      <c r="E816" s="873"/>
      <c r="F816" s="873"/>
      <c r="G816" s="873"/>
      <c r="H816" s="873"/>
      <c r="I816" s="873"/>
      <c r="J816" s="873"/>
      <c r="K816" s="873"/>
      <c r="L816" s="873"/>
      <c r="M816" s="873"/>
      <c r="N816" s="873"/>
      <c r="O816" s="873"/>
      <c r="P816" s="873"/>
      <c r="Q816" s="873"/>
      <c r="R816" s="873"/>
      <c r="S816" s="873"/>
      <c r="T816" s="873"/>
      <c r="U816" s="873"/>
      <c r="V816" s="873"/>
      <c r="W816" s="873"/>
      <c r="X816" s="873"/>
      <c r="Y816" s="873"/>
    </row>
    <row r="817">
      <c r="A817" s="873"/>
      <c r="B817" s="873"/>
      <c r="C817" s="873"/>
      <c r="D817" s="873"/>
      <c r="E817" s="873"/>
      <c r="F817" s="873"/>
      <c r="G817" s="873"/>
      <c r="H817" s="873"/>
      <c r="I817" s="873"/>
      <c r="J817" s="873"/>
      <c r="K817" s="873"/>
      <c r="L817" s="873"/>
      <c r="M817" s="873"/>
      <c r="N817" s="873"/>
      <c r="O817" s="873"/>
      <c r="P817" s="873"/>
      <c r="Q817" s="873"/>
      <c r="R817" s="873"/>
      <c r="S817" s="873"/>
      <c r="T817" s="873"/>
      <c r="U817" s="873"/>
      <c r="V817" s="873"/>
      <c r="W817" s="873"/>
      <c r="X817" s="873"/>
      <c r="Y817" s="873"/>
    </row>
    <row r="818">
      <c r="A818" s="873"/>
      <c r="B818" s="873"/>
      <c r="C818" s="873"/>
      <c r="D818" s="873"/>
      <c r="E818" s="873"/>
      <c r="F818" s="873"/>
      <c r="G818" s="873"/>
      <c r="H818" s="873"/>
      <c r="I818" s="873"/>
      <c r="J818" s="873"/>
      <c r="K818" s="873"/>
      <c r="L818" s="873"/>
      <c r="M818" s="873"/>
      <c r="N818" s="873"/>
      <c r="O818" s="873"/>
      <c r="P818" s="873"/>
      <c r="Q818" s="873"/>
      <c r="R818" s="873"/>
      <c r="S818" s="873"/>
      <c r="T818" s="873"/>
      <c r="U818" s="873"/>
      <c r="V818" s="873"/>
      <c r="W818" s="873"/>
      <c r="X818" s="873"/>
      <c r="Y818" s="873"/>
    </row>
    <row r="819">
      <c r="A819" s="873"/>
      <c r="B819" s="873"/>
      <c r="C819" s="873"/>
      <c r="D819" s="873"/>
      <c r="E819" s="873"/>
      <c r="F819" s="873"/>
      <c r="G819" s="873"/>
      <c r="H819" s="873"/>
      <c r="I819" s="873"/>
      <c r="J819" s="873"/>
      <c r="K819" s="873"/>
      <c r="L819" s="873"/>
      <c r="M819" s="873"/>
      <c r="N819" s="873"/>
      <c r="O819" s="873"/>
      <c r="P819" s="873"/>
      <c r="Q819" s="873"/>
      <c r="R819" s="873"/>
      <c r="S819" s="873"/>
      <c r="T819" s="873"/>
      <c r="U819" s="873"/>
      <c r="V819" s="873"/>
      <c r="W819" s="873"/>
      <c r="X819" s="873"/>
      <c r="Y819" s="873"/>
    </row>
    <row r="820">
      <c r="A820" s="873"/>
      <c r="B820" s="873"/>
      <c r="C820" s="873"/>
      <c r="D820" s="873"/>
      <c r="E820" s="873"/>
      <c r="F820" s="873"/>
      <c r="G820" s="873"/>
      <c r="H820" s="873"/>
      <c r="I820" s="873"/>
      <c r="J820" s="873"/>
      <c r="K820" s="873"/>
      <c r="L820" s="873"/>
      <c r="M820" s="873"/>
      <c r="N820" s="873"/>
      <c r="O820" s="873"/>
      <c r="P820" s="873"/>
      <c r="Q820" s="873"/>
      <c r="R820" s="873"/>
      <c r="S820" s="873"/>
      <c r="T820" s="873"/>
      <c r="U820" s="873"/>
      <c r="V820" s="873"/>
      <c r="W820" s="873"/>
      <c r="X820" s="873"/>
      <c r="Y820" s="873"/>
    </row>
    <row r="821">
      <c r="A821" s="873"/>
      <c r="B821" s="873"/>
      <c r="C821" s="873"/>
      <c r="D821" s="873"/>
      <c r="E821" s="873"/>
      <c r="F821" s="873"/>
      <c r="G821" s="873"/>
      <c r="H821" s="873"/>
      <c r="I821" s="873"/>
      <c r="J821" s="873"/>
      <c r="K821" s="873"/>
      <c r="L821" s="873"/>
      <c r="M821" s="873"/>
      <c r="N821" s="873"/>
      <c r="O821" s="873"/>
      <c r="P821" s="873"/>
      <c r="Q821" s="873"/>
      <c r="R821" s="873"/>
      <c r="S821" s="873"/>
      <c r="T821" s="873"/>
      <c r="U821" s="873"/>
      <c r="V821" s="873"/>
      <c r="W821" s="873"/>
      <c r="X821" s="873"/>
      <c r="Y821" s="873"/>
    </row>
    <row r="822">
      <c r="A822" s="873"/>
      <c r="B822" s="873"/>
      <c r="C822" s="873"/>
      <c r="D822" s="873"/>
      <c r="E822" s="873"/>
      <c r="F822" s="873"/>
      <c r="G822" s="873"/>
      <c r="H822" s="873"/>
      <c r="I822" s="873"/>
      <c r="J822" s="873"/>
      <c r="K822" s="873"/>
      <c r="L822" s="873"/>
      <c r="M822" s="873"/>
      <c r="N822" s="873"/>
      <c r="O822" s="873"/>
      <c r="P822" s="873"/>
      <c r="Q822" s="873"/>
      <c r="R822" s="873"/>
      <c r="S822" s="873"/>
      <c r="T822" s="873"/>
      <c r="U822" s="873"/>
      <c r="V822" s="873"/>
      <c r="W822" s="873"/>
      <c r="X822" s="873"/>
      <c r="Y822" s="873"/>
    </row>
    <row r="823">
      <c r="A823" s="873"/>
      <c r="B823" s="873"/>
      <c r="C823" s="873"/>
      <c r="D823" s="873"/>
      <c r="E823" s="873"/>
      <c r="F823" s="873"/>
      <c r="G823" s="873"/>
      <c r="H823" s="873"/>
      <c r="I823" s="873"/>
      <c r="J823" s="873"/>
      <c r="K823" s="873"/>
      <c r="L823" s="873"/>
      <c r="M823" s="873"/>
      <c r="N823" s="873"/>
      <c r="O823" s="873"/>
      <c r="P823" s="873"/>
      <c r="Q823" s="873"/>
      <c r="R823" s="873"/>
      <c r="S823" s="873"/>
      <c r="T823" s="873"/>
      <c r="U823" s="873"/>
      <c r="V823" s="873"/>
      <c r="W823" s="873"/>
      <c r="X823" s="873"/>
      <c r="Y823" s="873"/>
    </row>
    <row r="824">
      <c r="A824" s="873"/>
      <c r="B824" s="873"/>
      <c r="C824" s="873"/>
      <c r="D824" s="873"/>
      <c r="E824" s="873"/>
      <c r="F824" s="873"/>
      <c r="G824" s="873"/>
      <c r="H824" s="873"/>
      <c r="I824" s="873"/>
      <c r="J824" s="873"/>
      <c r="K824" s="873"/>
      <c r="L824" s="873"/>
      <c r="M824" s="873"/>
      <c r="N824" s="873"/>
      <c r="O824" s="873"/>
      <c r="P824" s="873"/>
      <c r="Q824" s="873"/>
      <c r="R824" s="873"/>
      <c r="S824" s="873"/>
      <c r="T824" s="873"/>
      <c r="U824" s="873"/>
      <c r="V824" s="873"/>
      <c r="W824" s="873"/>
      <c r="X824" s="873"/>
      <c r="Y824" s="873"/>
    </row>
    <row r="825">
      <c r="A825" s="873"/>
      <c r="B825" s="873"/>
      <c r="C825" s="873"/>
      <c r="D825" s="873"/>
      <c r="E825" s="873"/>
      <c r="F825" s="873"/>
      <c r="G825" s="873"/>
      <c r="H825" s="873"/>
      <c r="I825" s="873"/>
      <c r="J825" s="873"/>
      <c r="K825" s="873"/>
      <c r="L825" s="873"/>
      <c r="M825" s="873"/>
      <c r="N825" s="873"/>
      <c r="O825" s="873"/>
      <c r="P825" s="873"/>
      <c r="Q825" s="873"/>
      <c r="R825" s="873"/>
      <c r="S825" s="873"/>
      <c r="T825" s="873"/>
      <c r="U825" s="873"/>
      <c r="V825" s="873"/>
      <c r="W825" s="873"/>
      <c r="X825" s="873"/>
      <c r="Y825" s="873"/>
    </row>
    <row r="826">
      <c r="A826" s="873"/>
      <c r="B826" s="873"/>
      <c r="C826" s="873"/>
      <c r="D826" s="873"/>
      <c r="E826" s="873"/>
      <c r="F826" s="873"/>
      <c r="G826" s="873"/>
      <c r="H826" s="873"/>
      <c r="I826" s="873"/>
      <c r="J826" s="873"/>
      <c r="K826" s="873"/>
      <c r="L826" s="873"/>
      <c r="M826" s="873"/>
      <c r="N826" s="873"/>
      <c r="O826" s="873"/>
      <c r="P826" s="873"/>
      <c r="Q826" s="873"/>
      <c r="R826" s="873"/>
      <c r="S826" s="873"/>
      <c r="T826" s="873"/>
      <c r="U826" s="873"/>
      <c r="V826" s="873"/>
      <c r="W826" s="873"/>
      <c r="X826" s="873"/>
      <c r="Y826" s="873"/>
    </row>
    <row r="827">
      <c r="A827" s="873"/>
      <c r="B827" s="873"/>
      <c r="C827" s="873"/>
      <c r="D827" s="873"/>
      <c r="E827" s="873"/>
      <c r="F827" s="873"/>
      <c r="G827" s="873"/>
      <c r="H827" s="873"/>
      <c r="I827" s="873"/>
      <c r="J827" s="873"/>
      <c r="K827" s="873"/>
      <c r="L827" s="873"/>
      <c r="M827" s="873"/>
      <c r="N827" s="873"/>
      <c r="O827" s="873"/>
      <c r="P827" s="873"/>
      <c r="Q827" s="873"/>
      <c r="R827" s="873"/>
      <c r="S827" s="873"/>
      <c r="T827" s="873"/>
      <c r="U827" s="873"/>
      <c r="V827" s="873"/>
      <c r="W827" s="873"/>
      <c r="X827" s="873"/>
      <c r="Y827" s="873"/>
    </row>
    <row r="828">
      <c r="A828" s="873"/>
      <c r="B828" s="873"/>
      <c r="C828" s="873"/>
      <c r="D828" s="873"/>
      <c r="E828" s="873"/>
      <c r="F828" s="873"/>
      <c r="G828" s="873"/>
      <c r="H828" s="873"/>
      <c r="I828" s="873"/>
      <c r="J828" s="873"/>
      <c r="K828" s="873"/>
      <c r="L828" s="873"/>
      <c r="M828" s="873"/>
      <c r="N828" s="873"/>
      <c r="O828" s="873"/>
      <c r="P828" s="873"/>
      <c r="Q828" s="873"/>
      <c r="R828" s="873"/>
      <c r="S828" s="873"/>
      <c r="T828" s="873"/>
      <c r="U828" s="873"/>
      <c r="V828" s="873"/>
      <c r="W828" s="873"/>
      <c r="X828" s="873"/>
      <c r="Y828" s="873"/>
    </row>
    <row r="829">
      <c r="A829" s="873"/>
      <c r="B829" s="873"/>
      <c r="C829" s="873"/>
      <c r="D829" s="873"/>
      <c r="E829" s="873"/>
      <c r="F829" s="873"/>
      <c r="G829" s="873"/>
      <c r="H829" s="873"/>
      <c r="I829" s="873"/>
      <c r="J829" s="873"/>
      <c r="K829" s="873"/>
      <c r="L829" s="873"/>
      <c r="M829" s="873"/>
      <c r="N829" s="873"/>
      <c r="O829" s="873"/>
      <c r="P829" s="873"/>
      <c r="Q829" s="873"/>
      <c r="R829" s="873"/>
      <c r="S829" s="873"/>
      <c r="T829" s="873"/>
      <c r="U829" s="873"/>
      <c r="V829" s="873"/>
      <c r="W829" s="873"/>
      <c r="X829" s="873"/>
      <c r="Y829" s="873"/>
    </row>
    <row r="830">
      <c r="A830" s="873"/>
      <c r="B830" s="873"/>
      <c r="C830" s="873"/>
      <c r="D830" s="873"/>
      <c r="E830" s="873"/>
      <c r="F830" s="873"/>
      <c r="G830" s="873"/>
      <c r="H830" s="873"/>
      <c r="I830" s="873"/>
      <c r="J830" s="873"/>
      <c r="K830" s="873"/>
      <c r="L830" s="873"/>
      <c r="M830" s="873"/>
      <c r="N830" s="873"/>
      <c r="O830" s="873"/>
      <c r="P830" s="873"/>
      <c r="Q830" s="873"/>
      <c r="R830" s="873"/>
      <c r="S830" s="873"/>
      <c r="T830" s="873"/>
      <c r="U830" s="873"/>
      <c r="V830" s="873"/>
      <c r="W830" s="873"/>
      <c r="X830" s="873"/>
      <c r="Y830" s="873"/>
    </row>
    <row r="831">
      <c r="A831" s="873"/>
      <c r="B831" s="873"/>
      <c r="C831" s="873"/>
      <c r="D831" s="873"/>
      <c r="E831" s="873"/>
      <c r="F831" s="873"/>
      <c r="G831" s="873"/>
      <c r="H831" s="873"/>
      <c r="I831" s="873"/>
      <c r="J831" s="873"/>
      <c r="K831" s="873"/>
      <c r="L831" s="873"/>
      <c r="M831" s="873"/>
      <c r="N831" s="873"/>
      <c r="O831" s="873"/>
      <c r="P831" s="873"/>
      <c r="Q831" s="873"/>
      <c r="R831" s="873"/>
      <c r="S831" s="873"/>
      <c r="T831" s="873"/>
      <c r="U831" s="873"/>
      <c r="V831" s="873"/>
      <c r="W831" s="873"/>
      <c r="X831" s="873"/>
      <c r="Y831" s="873"/>
    </row>
    <row r="832">
      <c r="A832" s="873"/>
      <c r="B832" s="873"/>
      <c r="C832" s="873"/>
      <c r="D832" s="873"/>
      <c r="E832" s="873"/>
      <c r="F832" s="873"/>
      <c r="G832" s="873"/>
      <c r="H832" s="873"/>
      <c r="I832" s="873"/>
      <c r="J832" s="873"/>
      <c r="K832" s="873"/>
      <c r="L832" s="873"/>
      <c r="M832" s="873"/>
      <c r="N832" s="873"/>
      <c r="O832" s="873"/>
      <c r="P832" s="873"/>
      <c r="Q832" s="873"/>
      <c r="R832" s="873"/>
      <c r="S832" s="873"/>
      <c r="T832" s="873"/>
      <c r="U832" s="873"/>
      <c r="V832" s="873"/>
      <c r="W832" s="873"/>
      <c r="X832" s="873"/>
      <c r="Y832" s="873"/>
    </row>
    <row r="833">
      <c r="A833" s="873"/>
      <c r="B833" s="873"/>
      <c r="C833" s="873"/>
      <c r="D833" s="873"/>
      <c r="E833" s="873"/>
      <c r="F833" s="873"/>
      <c r="G833" s="873"/>
      <c r="H833" s="873"/>
      <c r="I833" s="873"/>
      <c r="J833" s="873"/>
      <c r="K833" s="873"/>
      <c r="L833" s="873"/>
      <c r="M833" s="873"/>
      <c r="N833" s="873"/>
      <c r="O833" s="873"/>
      <c r="P833" s="873"/>
      <c r="Q833" s="873"/>
      <c r="R833" s="873"/>
      <c r="S833" s="873"/>
      <c r="T833" s="873"/>
      <c r="U833" s="873"/>
      <c r="V833" s="873"/>
      <c r="W833" s="873"/>
      <c r="X833" s="873"/>
      <c r="Y833" s="873"/>
    </row>
    <row r="834">
      <c r="A834" s="873"/>
      <c r="B834" s="873"/>
      <c r="C834" s="873"/>
      <c r="D834" s="873"/>
      <c r="E834" s="873"/>
      <c r="F834" s="873"/>
      <c r="G834" s="873"/>
      <c r="H834" s="873"/>
      <c r="I834" s="873"/>
      <c r="J834" s="873"/>
      <c r="K834" s="873"/>
      <c r="L834" s="873"/>
      <c r="M834" s="873"/>
      <c r="N834" s="873"/>
      <c r="O834" s="873"/>
      <c r="P834" s="873"/>
      <c r="Q834" s="873"/>
      <c r="R834" s="873"/>
      <c r="S834" s="873"/>
      <c r="T834" s="873"/>
      <c r="U834" s="873"/>
      <c r="V834" s="873"/>
      <c r="W834" s="873"/>
      <c r="X834" s="873"/>
      <c r="Y834" s="873"/>
    </row>
    <row r="835">
      <c r="A835" s="873"/>
      <c r="B835" s="873"/>
      <c r="C835" s="873"/>
      <c r="D835" s="873"/>
      <c r="E835" s="873"/>
      <c r="F835" s="873"/>
      <c r="G835" s="873"/>
      <c r="H835" s="873"/>
      <c r="I835" s="873"/>
      <c r="J835" s="873"/>
      <c r="K835" s="873"/>
      <c r="L835" s="873"/>
      <c r="M835" s="873"/>
      <c r="N835" s="873"/>
      <c r="O835" s="873"/>
      <c r="P835" s="873"/>
      <c r="Q835" s="873"/>
      <c r="R835" s="873"/>
      <c r="S835" s="873"/>
      <c r="T835" s="873"/>
      <c r="U835" s="873"/>
      <c r="V835" s="873"/>
      <c r="W835" s="873"/>
      <c r="X835" s="873"/>
      <c r="Y835" s="873"/>
    </row>
    <row r="836">
      <c r="A836" s="873"/>
      <c r="B836" s="873"/>
      <c r="C836" s="873"/>
      <c r="D836" s="873"/>
      <c r="E836" s="873"/>
      <c r="F836" s="873"/>
      <c r="G836" s="873"/>
      <c r="H836" s="873"/>
      <c r="I836" s="873"/>
      <c r="J836" s="873"/>
      <c r="K836" s="873"/>
      <c r="L836" s="873"/>
      <c r="M836" s="873"/>
      <c r="N836" s="873"/>
      <c r="O836" s="873"/>
      <c r="P836" s="873"/>
      <c r="Q836" s="873"/>
      <c r="R836" s="873"/>
      <c r="S836" s="873"/>
      <c r="T836" s="873"/>
      <c r="U836" s="873"/>
      <c r="V836" s="873"/>
      <c r="W836" s="873"/>
      <c r="X836" s="873"/>
      <c r="Y836" s="873"/>
    </row>
    <row r="837">
      <c r="A837" s="873"/>
      <c r="B837" s="873"/>
      <c r="C837" s="873"/>
      <c r="D837" s="873"/>
      <c r="E837" s="873"/>
      <c r="F837" s="873"/>
      <c r="G837" s="873"/>
      <c r="H837" s="873"/>
      <c r="I837" s="873"/>
      <c r="J837" s="873"/>
      <c r="K837" s="873"/>
      <c r="L837" s="873"/>
      <c r="M837" s="873"/>
      <c r="N837" s="873"/>
      <c r="O837" s="873"/>
      <c r="P837" s="873"/>
      <c r="Q837" s="873"/>
      <c r="R837" s="873"/>
      <c r="S837" s="873"/>
      <c r="T837" s="873"/>
      <c r="U837" s="873"/>
      <c r="V837" s="873"/>
      <c r="W837" s="873"/>
      <c r="X837" s="873"/>
      <c r="Y837" s="873"/>
    </row>
    <row r="838">
      <c r="A838" s="873"/>
      <c r="B838" s="873"/>
      <c r="C838" s="873"/>
      <c r="D838" s="873"/>
      <c r="E838" s="873"/>
      <c r="F838" s="873"/>
      <c r="G838" s="873"/>
      <c r="H838" s="873"/>
      <c r="I838" s="873"/>
      <c r="J838" s="873"/>
      <c r="K838" s="873"/>
      <c r="L838" s="873"/>
      <c r="M838" s="873"/>
      <c r="N838" s="873"/>
      <c r="O838" s="873"/>
      <c r="P838" s="873"/>
      <c r="Q838" s="873"/>
      <c r="R838" s="873"/>
      <c r="S838" s="873"/>
      <c r="T838" s="873"/>
      <c r="U838" s="873"/>
      <c r="V838" s="873"/>
      <c r="W838" s="873"/>
      <c r="X838" s="873"/>
      <c r="Y838" s="873"/>
    </row>
    <row r="839">
      <c r="A839" s="873"/>
      <c r="B839" s="873"/>
      <c r="C839" s="873"/>
      <c r="D839" s="873"/>
      <c r="E839" s="873"/>
      <c r="F839" s="873"/>
      <c r="G839" s="873"/>
      <c r="H839" s="873"/>
      <c r="I839" s="873"/>
      <c r="J839" s="873"/>
      <c r="K839" s="873"/>
      <c r="L839" s="873"/>
      <c r="M839" s="873"/>
      <c r="N839" s="873"/>
      <c r="O839" s="873"/>
      <c r="P839" s="873"/>
      <c r="Q839" s="873"/>
      <c r="R839" s="873"/>
      <c r="S839" s="873"/>
      <c r="T839" s="873"/>
      <c r="U839" s="873"/>
      <c r="V839" s="873"/>
      <c r="W839" s="873"/>
      <c r="X839" s="873"/>
      <c r="Y839" s="873"/>
    </row>
    <row r="840">
      <c r="A840" s="873"/>
      <c r="B840" s="873"/>
      <c r="C840" s="873"/>
      <c r="D840" s="873"/>
      <c r="E840" s="873"/>
      <c r="F840" s="873"/>
      <c r="G840" s="873"/>
      <c r="H840" s="873"/>
      <c r="I840" s="873"/>
      <c r="J840" s="873"/>
      <c r="K840" s="873"/>
      <c r="L840" s="873"/>
      <c r="M840" s="873"/>
      <c r="N840" s="873"/>
      <c r="O840" s="873"/>
      <c r="P840" s="873"/>
      <c r="Q840" s="873"/>
      <c r="R840" s="873"/>
      <c r="S840" s="873"/>
      <c r="T840" s="873"/>
      <c r="U840" s="873"/>
      <c r="V840" s="873"/>
      <c r="W840" s="873"/>
      <c r="X840" s="873"/>
      <c r="Y840" s="873"/>
    </row>
    <row r="841">
      <c r="A841" s="873"/>
      <c r="B841" s="873"/>
      <c r="C841" s="873"/>
      <c r="D841" s="873"/>
      <c r="E841" s="873"/>
      <c r="F841" s="873"/>
      <c r="G841" s="873"/>
      <c r="H841" s="873"/>
      <c r="I841" s="873"/>
      <c r="J841" s="873"/>
      <c r="K841" s="873"/>
      <c r="L841" s="873"/>
      <c r="M841" s="873"/>
      <c r="N841" s="873"/>
      <c r="O841" s="873"/>
      <c r="P841" s="873"/>
      <c r="Q841" s="873"/>
      <c r="R841" s="873"/>
      <c r="S841" s="873"/>
      <c r="T841" s="873"/>
      <c r="U841" s="873"/>
      <c r="V841" s="873"/>
      <c r="W841" s="873"/>
      <c r="X841" s="873"/>
      <c r="Y841" s="873"/>
    </row>
    <row r="842">
      <c r="A842" s="873"/>
      <c r="B842" s="873"/>
      <c r="C842" s="873"/>
      <c r="D842" s="873"/>
      <c r="E842" s="873"/>
      <c r="F842" s="873"/>
      <c r="G842" s="873"/>
      <c r="H842" s="873"/>
      <c r="I842" s="873"/>
      <c r="J842" s="873"/>
      <c r="K842" s="873"/>
      <c r="L842" s="873"/>
      <c r="M842" s="873"/>
      <c r="N842" s="873"/>
      <c r="O842" s="873"/>
      <c r="P842" s="873"/>
      <c r="Q842" s="873"/>
      <c r="R842" s="873"/>
      <c r="S842" s="873"/>
      <c r="T842" s="873"/>
      <c r="U842" s="873"/>
      <c r="V842" s="873"/>
      <c r="W842" s="873"/>
      <c r="X842" s="873"/>
      <c r="Y842" s="873"/>
    </row>
    <row r="843">
      <c r="A843" s="873"/>
      <c r="B843" s="873"/>
      <c r="C843" s="873"/>
      <c r="D843" s="873"/>
      <c r="E843" s="873"/>
      <c r="F843" s="873"/>
      <c r="G843" s="873"/>
      <c r="H843" s="873"/>
      <c r="I843" s="873"/>
      <c r="J843" s="873"/>
      <c r="K843" s="873"/>
      <c r="L843" s="873"/>
      <c r="M843" s="873"/>
      <c r="N843" s="873"/>
      <c r="O843" s="873"/>
      <c r="P843" s="873"/>
      <c r="Q843" s="873"/>
      <c r="R843" s="873"/>
      <c r="S843" s="873"/>
      <c r="T843" s="873"/>
      <c r="U843" s="873"/>
      <c r="V843" s="873"/>
      <c r="W843" s="873"/>
      <c r="X843" s="873"/>
      <c r="Y843" s="873"/>
    </row>
    <row r="844">
      <c r="A844" s="873"/>
      <c r="B844" s="873"/>
      <c r="C844" s="873"/>
      <c r="D844" s="873"/>
      <c r="E844" s="873"/>
      <c r="F844" s="873"/>
      <c r="G844" s="873"/>
      <c r="H844" s="873"/>
      <c r="I844" s="873"/>
      <c r="J844" s="873"/>
      <c r="K844" s="873"/>
      <c r="L844" s="873"/>
      <c r="M844" s="873"/>
      <c r="N844" s="873"/>
      <c r="O844" s="873"/>
      <c r="P844" s="873"/>
      <c r="Q844" s="873"/>
      <c r="R844" s="873"/>
      <c r="S844" s="873"/>
      <c r="T844" s="873"/>
      <c r="U844" s="873"/>
      <c r="V844" s="873"/>
      <c r="W844" s="873"/>
      <c r="X844" s="873"/>
      <c r="Y844" s="873"/>
    </row>
    <row r="845">
      <c r="A845" s="873"/>
      <c r="B845" s="873"/>
      <c r="C845" s="873"/>
      <c r="D845" s="873"/>
      <c r="E845" s="873"/>
      <c r="F845" s="873"/>
      <c r="G845" s="873"/>
      <c r="H845" s="873"/>
      <c r="I845" s="873"/>
      <c r="J845" s="873"/>
      <c r="K845" s="873"/>
      <c r="L845" s="873"/>
      <c r="M845" s="873"/>
      <c r="N845" s="873"/>
      <c r="O845" s="873"/>
      <c r="P845" s="873"/>
      <c r="Q845" s="873"/>
      <c r="R845" s="873"/>
      <c r="S845" s="873"/>
      <c r="T845" s="873"/>
      <c r="U845" s="873"/>
      <c r="V845" s="873"/>
      <c r="W845" s="873"/>
      <c r="X845" s="873"/>
      <c r="Y845" s="873"/>
    </row>
    <row r="846">
      <c r="A846" s="873"/>
      <c r="B846" s="873"/>
      <c r="C846" s="873"/>
      <c r="D846" s="873"/>
      <c r="E846" s="873"/>
      <c r="F846" s="873"/>
      <c r="G846" s="873"/>
      <c r="H846" s="873"/>
      <c r="I846" s="873"/>
      <c r="J846" s="873"/>
      <c r="K846" s="873"/>
      <c r="L846" s="873"/>
      <c r="M846" s="873"/>
      <c r="N846" s="873"/>
      <c r="O846" s="873"/>
      <c r="P846" s="873"/>
      <c r="Q846" s="873"/>
      <c r="R846" s="873"/>
      <c r="S846" s="873"/>
      <c r="T846" s="873"/>
      <c r="U846" s="873"/>
      <c r="V846" s="873"/>
      <c r="W846" s="873"/>
      <c r="X846" s="873"/>
      <c r="Y846" s="873"/>
    </row>
    <row r="847">
      <c r="A847" s="873"/>
      <c r="B847" s="873"/>
      <c r="C847" s="873"/>
      <c r="D847" s="873"/>
      <c r="E847" s="873"/>
      <c r="F847" s="873"/>
      <c r="G847" s="873"/>
      <c r="H847" s="873"/>
      <c r="I847" s="873"/>
      <c r="J847" s="873"/>
      <c r="K847" s="873"/>
      <c r="L847" s="873"/>
      <c r="M847" s="873"/>
      <c r="N847" s="873"/>
      <c r="O847" s="873"/>
      <c r="P847" s="873"/>
      <c r="Q847" s="873"/>
      <c r="R847" s="873"/>
      <c r="S847" s="873"/>
      <c r="T847" s="873"/>
      <c r="U847" s="873"/>
      <c r="V847" s="873"/>
      <c r="W847" s="873"/>
      <c r="X847" s="873"/>
      <c r="Y847" s="873"/>
    </row>
    <row r="848">
      <c r="A848" s="873"/>
      <c r="B848" s="873"/>
      <c r="C848" s="873"/>
      <c r="D848" s="873"/>
      <c r="E848" s="873"/>
      <c r="F848" s="873"/>
      <c r="G848" s="873"/>
      <c r="H848" s="873"/>
      <c r="I848" s="873"/>
      <c r="J848" s="873"/>
      <c r="K848" s="873"/>
      <c r="L848" s="873"/>
      <c r="M848" s="873"/>
      <c r="N848" s="873"/>
      <c r="O848" s="873"/>
      <c r="P848" s="873"/>
      <c r="Q848" s="873"/>
      <c r="R848" s="873"/>
      <c r="S848" s="873"/>
      <c r="T848" s="873"/>
      <c r="U848" s="873"/>
      <c r="V848" s="873"/>
      <c r="W848" s="873"/>
      <c r="X848" s="873"/>
      <c r="Y848" s="873"/>
    </row>
    <row r="849">
      <c r="A849" s="873"/>
      <c r="B849" s="873"/>
      <c r="C849" s="873"/>
      <c r="D849" s="873"/>
      <c r="E849" s="873"/>
      <c r="F849" s="873"/>
      <c r="G849" s="873"/>
      <c r="H849" s="873"/>
      <c r="I849" s="873"/>
      <c r="J849" s="873"/>
      <c r="K849" s="873"/>
      <c r="L849" s="873"/>
      <c r="M849" s="873"/>
      <c r="N849" s="873"/>
      <c r="O849" s="873"/>
      <c r="P849" s="873"/>
      <c r="Q849" s="873"/>
      <c r="R849" s="873"/>
      <c r="S849" s="873"/>
      <c r="T849" s="873"/>
      <c r="U849" s="873"/>
      <c r="V849" s="873"/>
      <c r="W849" s="873"/>
      <c r="X849" s="873"/>
      <c r="Y849" s="873"/>
    </row>
    <row r="850">
      <c r="A850" s="873"/>
      <c r="B850" s="873"/>
      <c r="C850" s="873"/>
      <c r="D850" s="873"/>
      <c r="E850" s="873"/>
      <c r="F850" s="873"/>
      <c r="G850" s="873"/>
      <c r="H850" s="873"/>
      <c r="I850" s="873"/>
      <c r="J850" s="873"/>
      <c r="K850" s="873"/>
      <c r="L850" s="873"/>
      <c r="M850" s="873"/>
      <c r="N850" s="873"/>
      <c r="O850" s="873"/>
      <c r="P850" s="873"/>
      <c r="Q850" s="873"/>
      <c r="R850" s="873"/>
      <c r="S850" s="873"/>
      <c r="T850" s="873"/>
      <c r="U850" s="873"/>
      <c r="V850" s="873"/>
      <c r="W850" s="873"/>
      <c r="X850" s="873"/>
      <c r="Y850" s="873"/>
    </row>
    <row r="851">
      <c r="A851" s="873"/>
      <c r="B851" s="873"/>
      <c r="C851" s="873"/>
      <c r="D851" s="873"/>
      <c r="E851" s="873"/>
      <c r="F851" s="873"/>
      <c r="G851" s="873"/>
      <c r="H851" s="873"/>
      <c r="I851" s="873"/>
      <c r="J851" s="873"/>
      <c r="K851" s="873"/>
      <c r="L851" s="873"/>
      <c r="M851" s="873"/>
      <c r="N851" s="873"/>
      <c r="O851" s="873"/>
      <c r="P851" s="873"/>
      <c r="Q851" s="873"/>
      <c r="R851" s="873"/>
      <c r="S851" s="873"/>
      <c r="T851" s="873"/>
      <c r="U851" s="873"/>
      <c r="V851" s="873"/>
      <c r="W851" s="873"/>
      <c r="X851" s="873"/>
      <c r="Y851" s="873"/>
    </row>
    <row r="852">
      <c r="A852" s="873"/>
      <c r="B852" s="873"/>
      <c r="C852" s="873"/>
      <c r="D852" s="873"/>
      <c r="E852" s="873"/>
      <c r="F852" s="873"/>
      <c r="G852" s="873"/>
      <c r="H852" s="873"/>
      <c r="I852" s="873"/>
      <c r="J852" s="873"/>
      <c r="K852" s="873"/>
      <c r="L852" s="873"/>
      <c r="M852" s="873"/>
      <c r="N852" s="873"/>
      <c r="O852" s="873"/>
      <c r="P852" s="873"/>
      <c r="Q852" s="873"/>
      <c r="R852" s="873"/>
      <c r="S852" s="873"/>
      <c r="T852" s="873"/>
      <c r="U852" s="873"/>
      <c r="V852" s="873"/>
      <c r="W852" s="873"/>
      <c r="X852" s="873"/>
      <c r="Y852" s="873"/>
    </row>
    <row r="853">
      <c r="A853" s="873"/>
      <c r="B853" s="873"/>
      <c r="C853" s="873"/>
      <c r="D853" s="873"/>
      <c r="E853" s="873"/>
      <c r="F853" s="873"/>
      <c r="G853" s="873"/>
      <c r="H853" s="873"/>
      <c r="I853" s="873"/>
      <c r="J853" s="873"/>
      <c r="K853" s="873"/>
      <c r="L853" s="873"/>
      <c r="M853" s="873"/>
      <c r="N853" s="873"/>
      <c r="O853" s="873"/>
      <c r="P853" s="873"/>
      <c r="Q853" s="873"/>
      <c r="R853" s="873"/>
      <c r="S853" s="873"/>
      <c r="T853" s="873"/>
      <c r="U853" s="873"/>
      <c r="V853" s="873"/>
      <c r="W853" s="873"/>
      <c r="X853" s="873"/>
      <c r="Y853" s="873"/>
    </row>
    <row r="854">
      <c r="A854" s="873"/>
      <c r="B854" s="873"/>
      <c r="C854" s="873"/>
      <c r="D854" s="873"/>
      <c r="E854" s="873"/>
      <c r="F854" s="873"/>
      <c r="G854" s="873"/>
      <c r="H854" s="873"/>
      <c r="I854" s="873"/>
      <c r="J854" s="873"/>
      <c r="K854" s="873"/>
      <c r="L854" s="873"/>
      <c r="M854" s="873"/>
      <c r="N854" s="873"/>
      <c r="O854" s="873"/>
      <c r="P854" s="873"/>
      <c r="Q854" s="873"/>
      <c r="R854" s="873"/>
      <c r="S854" s="873"/>
      <c r="T854" s="873"/>
      <c r="U854" s="873"/>
      <c r="V854" s="873"/>
      <c r="W854" s="873"/>
      <c r="X854" s="873"/>
      <c r="Y854" s="873"/>
    </row>
    <row r="855">
      <c r="A855" s="873"/>
      <c r="B855" s="873"/>
      <c r="C855" s="873"/>
      <c r="D855" s="873"/>
      <c r="E855" s="873"/>
      <c r="F855" s="873"/>
      <c r="G855" s="873"/>
      <c r="H855" s="873"/>
      <c r="I855" s="873"/>
      <c r="J855" s="873"/>
      <c r="K855" s="873"/>
      <c r="L855" s="873"/>
      <c r="M855" s="873"/>
      <c r="N855" s="873"/>
      <c r="O855" s="873"/>
      <c r="P855" s="873"/>
      <c r="Q855" s="873"/>
      <c r="R855" s="873"/>
      <c r="S855" s="873"/>
      <c r="T855" s="873"/>
      <c r="U855" s="873"/>
      <c r="V855" s="873"/>
      <c r="W855" s="873"/>
      <c r="X855" s="873"/>
      <c r="Y855" s="873"/>
    </row>
    <row r="856">
      <c r="A856" s="873"/>
      <c r="B856" s="873"/>
      <c r="C856" s="873"/>
      <c r="D856" s="873"/>
      <c r="E856" s="873"/>
      <c r="F856" s="873"/>
      <c r="G856" s="873"/>
      <c r="H856" s="873"/>
      <c r="I856" s="873"/>
      <c r="J856" s="873"/>
      <c r="K856" s="873"/>
      <c r="L856" s="873"/>
      <c r="M856" s="873"/>
      <c r="N856" s="873"/>
      <c r="O856" s="873"/>
      <c r="P856" s="873"/>
      <c r="Q856" s="873"/>
      <c r="R856" s="873"/>
      <c r="S856" s="873"/>
      <c r="T856" s="873"/>
      <c r="U856" s="873"/>
      <c r="V856" s="873"/>
      <c r="W856" s="873"/>
      <c r="X856" s="873"/>
      <c r="Y856" s="873"/>
    </row>
    <row r="857">
      <c r="A857" s="873"/>
      <c r="B857" s="873"/>
      <c r="C857" s="873"/>
      <c r="D857" s="873"/>
      <c r="E857" s="873"/>
      <c r="F857" s="873"/>
      <c r="G857" s="873"/>
      <c r="H857" s="873"/>
      <c r="I857" s="873"/>
      <c r="J857" s="873"/>
      <c r="K857" s="873"/>
      <c r="L857" s="873"/>
      <c r="M857" s="873"/>
      <c r="N857" s="873"/>
      <c r="O857" s="873"/>
      <c r="P857" s="873"/>
      <c r="Q857" s="873"/>
      <c r="R857" s="873"/>
      <c r="S857" s="873"/>
      <c r="T857" s="873"/>
      <c r="U857" s="873"/>
      <c r="V857" s="873"/>
      <c r="W857" s="873"/>
      <c r="X857" s="873"/>
      <c r="Y857" s="873"/>
    </row>
    <row r="858">
      <c r="A858" s="873"/>
      <c r="B858" s="873"/>
      <c r="C858" s="873"/>
      <c r="D858" s="873"/>
      <c r="E858" s="873"/>
      <c r="F858" s="873"/>
      <c r="G858" s="873"/>
      <c r="H858" s="873"/>
      <c r="I858" s="873"/>
      <c r="J858" s="873"/>
      <c r="K858" s="873"/>
      <c r="L858" s="873"/>
      <c r="M858" s="873"/>
      <c r="N858" s="873"/>
      <c r="O858" s="873"/>
      <c r="P858" s="873"/>
      <c r="Q858" s="873"/>
      <c r="R858" s="873"/>
      <c r="S858" s="873"/>
      <c r="T858" s="873"/>
      <c r="U858" s="873"/>
      <c r="V858" s="873"/>
      <c r="W858" s="873"/>
      <c r="X858" s="873"/>
      <c r="Y858" s="873"/>
    </row>
    <row r="859">
      <c r="A859" s="873"/>
      <c r="B859" s="873"/>
      <c r="C859" s="873"/>
      <c r="D859" s="873"/>
      <c r="E859" s="873"/>
      <c r="F859" s="873"/>
      <c r="G859" s="873"/>
      <c r="H859" s="873"/>
      <c r="I859" s="873"/>
      <c r="J859" s="873"/>
      <c r="K859" s="873"/>
      <c r="L859" s="873"/>
      <c r="M859" s="873"/>
      <c r="N859" s="873"/>
      <c r="O859" s="873"/>
      <c r="P859" s="873"/>
      <c r="Q859" s="873"/>
      <c r="R859" s="873"/>
      <c r="S859" s="873"/>
      <c r="T859" s="873"/>
      <c r="U859" s="873"/>
      <c r="V859" s="873"/>
      <c r="W859" s="873"/>
      <c r="X859" s="873"/>
      <c r="Y859" s="873"/>
    </row>
    <row r="860">
      <c r="A860" s="873"/>
      <c r="B860" s="873"/>
      <c r="C860" s="873"/>
      <c r="D860" s="873"/>
      <c r="E860" s="873"/>
      <c r="F860" s="873"/>
      <c r="G860" s="873"/>
      <c r="H860" s="873"/>
      <c r="I860" s="873"/>
      <c r="J860" s="873"/>
      <c r="K860" s="873"/>
      <c r="L860" s="873"/>
      <c r="M860" s="873"/>
      <c r="N860" s="873"/>
      <c r="O860" s="873"/>
      <c r="P860" s="873"/>
      <c r="Q860" s="873"/>
      <c r="R860" s="873"/>
      <c r="S860" s="873"/>
      <c r="T860" s="873"/>
      <c r="U860" s="873"/>
      <c r="V860" s="873"/>
      <c r="W860" s="873"/>
      <c r="X860" s="873"/>
      <c r="Y860" s="873"/>
    </row>
    <row r="861">
      <c r="A861" s="873"/>
      <c r="B861" s="873"/>
      <c r="C861" s="873"/>
      <c r="D861" s="873"/>
      <c r="E861" s="873"/>
      <c r="F861" s="873"/>
      <c r="G861" s="873"/>
      <c r="H861" s="873"/>
      <c r="I861" s="873"/>
      <c r="J861" s="873"/>
      <c r="K861" s="873"/>
      <c r="L861" s="873"/>
      <c r="M861" s="873"/>
      <c r="N861" s="873"/>
      <c r="O861" s="873"/>
      <c r="P861" s="873"/>
      <c r="Q861" s="873"/>
      <c r="R861" s="873"/>
      <c r="S861" s="873"/>
      <c r="T861" s="873"/>
      <c r="U861" s="873"/>
      <c r="V861" s="873"/>
      <c r="W861" s="873"/>
      <c r="X861" s="873"/>
      <c r="Y861" s="873"/>
    </row>
    <row r="862">
      <c r="A862" s="873"/>
      <c r="B862" s="873"/>
      <c r="C862" s="873"/>
      <c r="D862" s="873"/>
      <c r="E862" s="873"/>
      <c r="F862" s="873"/>
      <c r="G862" s="873"/>
      <c r="H862" s="873"/>
      <c r="I862" s="873"/>
      <c r="J862" s="873"/>
      <c r="K862" s="873"/>
      <c r="L862" s="873"/>
      <c r="M862" s="873"/>
      <c r="N862" s="873"/>
      <c r="O862" s="873"/>
      <c r="P862" s="873"/>
      <c r="Q862" s="873"/>
      <c r="R862" s="873"/>
      <c r="S862" s="873"/>
      <c r="T862" s="873"/>
      <c r="U862" s="873"/>
      <c r="V862" s="873"/>
      <c r="W862" s="873"/>
      <c r="X862" s="873"/>
      <c r="Y862" s="873"/>
    </row>
    <row r="863">
      <c r="A863" s="873"/>
      <c r="B863" s="873"/>
      <c r="C863" s="873"/>
      <c r="D863" s="873"/>
      <c r="E863" s="873"/>
      <c r="F863" s="873"/>
      <c r="G863" s="873"/>
      <c r="H863" s="873"/>
      <c r="I863" s="873"/>
      <c r="J863" s="873"/>
      <c r="K863" s="873"/>
      <c r="L863" s="873"/>
      <c r="M863" s="873"/>
      <c r="N863" s="873"/>
      <c r="O863" s="873"/>
      <c r="P863" s="873"/>
      <c r="Q863" s="873"/>
      <c r="R863" s="873"/>
      <c r="S863" s="873"/>
      <c r="T863" s="873"/>
      <c r="U863" s="873"/>
      <c r="V863" s="873"/>
      <c r="W863" s="873"/>
      <c r="X863" s="873"/>
      <c r="Y863" s="873"/>
    </row>
    <row r="864">
      <c r="A864" s="873"/>
      <c r="B864" s="873"/>
      <c r="C864" s="873"/>
      <c r="D864" s="873"/>
      <c r="E864" s="873"/>
      <c r="F864" s="873"/>
      <c r="G864" s="873"/>
      <c r="H864" s="873"/>
      <c r="I864" s="873"/>
      <c r="J864" s="873"/>
      <c r="K864" s="873"/>
      <c r="L864" s="873"/>
      <c r="M864" s="873"/>
      <c r="N864" s="873"/>
      <c r="O864" s="873"/>
      <c r="P864" s="873"/>
      <c r="Q864" s="873"/>
      <c r="R864" s="873"/>
      <c r="S864" s="873"/>
      <c r="T864" s="873"/>
      <c r="U864" s="873"/>
      <c r="V864" s="873"/>
      <c r="W864" s="873"/>
      <c r="X864" s="873"/>
      <c r="Y864" s="873"/>
    </row>
    <row r="865">
      <c r="A865" s="873"/>
      <c r="B865" s="873"/>
      <c r="C865" s="873"/>
      <c r="D865" s="873"/>
      <c r="E865" s="873"/>
      <c r="F865" s="873"/>
      <c r="G865" s="873"/>
      <c r="H865" s="873"/>
      <c r="I865" s="873"/>
      <c r="J865" s="873"/>
      <c r="K865" s="873"/>
      <c r="L865" s="873"/>
      <c r="M865" s="873"/>
      <c r="N865" s="873"/>
      <c r="O865" s="873"/>
      <c r="P865" s="873"/>
      <c r="Q865" s="873"/>
      <c r="R865" s="873"/>
      <c r="S865" s="873"/>
      <c r="T865" s="873"/>
      <c r="U865" s="873"/>
      <c r="V865" s="873"/>
      <c r="W865" s="873"/>
      <c r="X865" s="873"/>
      <c r="Y865" s="873"/>
    </row>
    <row r="866">
      <c r="A866" s="873"/>
      <c r="B866" s="873"/>
      <c r="C866" s="873"/>
      <c r="D866" s="873"/>
      <c r="E866" s="873"/>
      <c r="F866" s="873"/>
      <c r="G866" s="873"/>
      <c r="H866" s="873"/>
      <c r="I866" s="873"/>
      <c r="J866" s="873"/>
      <c r="K866" s="873"/>
      <c r="L866" s="873"/>
      <c r="M866" s="873"/>
      <c r="N866" s="873"/>
      <c r="O866" s="873"/>
      <c r="P866" s="873"/>
      <c r="Q866" s="873"/>
      <c r="R866" s="873"/>
      <c r="S866" s="873"/>
      <c r="T866" s="873"/>
      <c r="U866" s="873"/>
      <c r="V866" s="873"/>
      <c r="W866" s="873"/>
      <c r="X866" s="873"/>
      <c r="Y866" s="873"/>
    </row>
    <row r="867">
      <c r="A867" s="873"/>
      <c r="B867" s="873"/>
      <c r="C867" s="873"/>
      <c r="D867" s="873"/>
      <c r="E867" s="873"/>
      <c r="F867" s="873"/>
      <c r="G867" s="873"/>
      <c r="H867" s="873"/>
      <c r="I867" s="873"/>
      <c r="J867" s="873"/>
      <c r="K867" s="873"/>
      <c r="L867" s="873"/>
      <c r="M867" s="873"/>
      <c r="N867" s="873"/>
      <c r="O867" s="873"/>
      <c r="P867" s="873"/>
      <c r="Q867" s="873"/>
      <c r="R867" s="873"/>
      <c r="S867" s="873"/>
      <c r="T867" s="873"/>
      <c r="U867" s="873"/>
      <c r="V867" s="873"/>
      <c r="W867" s="873"/>
      <c r="X867" s="873"/>
      <c r="Y867" s="873"/>
    </row>
    <row r="868">
      <c r="A868" s="873"/>
      <c r="B868" s="873"/>
      <c r="C868" s="873"/>
      <c r="D868" s="873"/>
      <c r="E868" s="873"/>
      <c r="F868" s="873"/>
      <c r="G868" s="873"/>
      <c r="H868" s="873"/>
      <c r="I868" s="873"/>
      <c r="J868" s="873"/>
      <c r="K868" s="873"/>
      <c r="L868" s="873"/>
      <c r="M868" s="873"/>
      <c r="N868" s="873"/>
      <c r="O868" s="873"/>
      <c r="P868" s="873"/>
      <c r="Q868" s="873"/>
      <c r="R868" s="873"/>
      <c r="S868" s="873"/>
      <c r="T868" s="873"/>
      <c r="U868" s="873"/>
      <c r="V868" s="873"/>
      <c r="W868" s="873"/>
      <c r="X868" s="873"/>
      <c r="Y868" s="873"/>
    </row>
    <row r="869">
      <c r="A869" s="873"/>
      <c r="B869" s="873"/>
      <c r="C869" s="873"/>
      <c r="D869" s="873"/>
      <c r="E869" s="873"/>
      <c r="F869" s="873"/>
      <c r="G869" s="873"/>
      <c r="H869" s="873"/>
      <c r="I869" s="873"/>
      <c r="J869" s="873"/>
      <c r="K869" s="873"/>
      <c r="L869" s="873"/>
      <c r="M869" s="873"/>
      <c r="N869" s="873"/>
      <c r="O869" s="873"/>
      <c r="P869" s="873"/>
      <c r="Q869" s="873"/>
      <c r="R869" s="873"/>
      <c r="S869" s="873"/>
      <c r="T869" s="873"/>
      <c r="U869" s="873"/>
      <c r="V869" s="873"/>
      <c r="W869" s="873"/>
      <c r="X869" s="873"/>
      <c r="Y869" s="873"/>
    </row>
    <row r="870">
      <c r="A870" s="873"/>
      <c r="B870" s="873"/>
      <c r="C870" s="873"/>
      <c r="D870" s="873"/>
      <c r="E870" s="873"/>
      <c r="F870" s="873"/>
      <c r="G870" s="873"/>
      <c r="H870" s="873"/>
      <c r="I870" s="873"/>
      <c r="J870" s="873"/>
      <c r="K870" s="873"/>
      <c r="L870" s="873"/>
      <c r="M870" s="873"/>
      <c r="N870" s="873"/>
      <c r="O870" s="873"/>
      <c r="P870" s="873"/>
      <c r="Q870" s="873"/>
      <c r="R870" s="873"/>
      <c r="S870" s="873"/>
      <c r="T870" s="873"/>
      <c r="U870" s="873"/>
      <c r="V870" s="873"/>
      <c r="W870" s="873"/>
      <c r="X870" s="873"/>
      <c r="Y870" s="873"/>
    </row>
    <row r="871">
      <c r="A871" s="873"/>
      <c r="B871" s="873"/>
      <c r="C871" s="873"/>
      <c r="D871" s="873"/>
      <c r="E871" s="873"/>
      <c r="F871" s="873"/>
      <c r="G871" s="873"/>
      <c r="H871" s="873"/>
      <c r="I871" s="873"/>
      <c r="J871" s="873"/>
      <c r="K871" s="873"/>
      <c r="L871" s="873"/>
      <c r="M871" s="873"/>
      <c r="N871" s="873"/>
      <c r="O871" s="873"/>
      <c r="P871" s="873"/>
      <c r="Q871" s="873"/>
      <c r="R871" s="873"/>
      <c r="S871" s="873"/>
      <c r="T871" s="873"/>
      <c r="U871" s="873"/>
      <c r="V871" s="873"/>
      <c r="W871" s="873"/>
      <c r="X871" s="873"/>
      <c r="Y871" s="873"/>
    </row>
    <row r="872">
      <c r="A872" s="873"/>
      <c r="B872" s="873"/>
      <c r="C872" s="873"/>
      <c r="D872" s="873"/>
      <c r="E872" s="873"/>
      <c r="F872" s="873"/>
      <c r="G872" s="873"/>
      <c r="H872" s="873"/>
      <c r="I872" s="873"/>
      <c r="J872" s="873"/>
      <c r="K872" s="873"/>
      <c r="L872" s="873"/>
      <c r="M872" s="873"/>
      <c r="N872" s="873"/>
      <c r="O872" s="873"/>
      <c r="P872" s="873"/>
      <c r="Q872" s="873"/>
      <c r="R872" s="873"/>
      <c r="S872" s="873"/>
      <c r="T872" s="873"/>
      <c r="U872" s="873"/>
      <c r="V872" s="873"/>
      <c r="W872" s="873"/>
      <c r="X872" s="873"/>
      <c r="Y872" s="873"/>
    </row>
    <row r="873">
      <c r="A873" s="873"/>
      <c r="B873" s="873"/>
      <c r="C873" s="873"/>
      <c r="D873" s="873"/>
      <c r="E873" s="873"/>
      <c r="F873" s="873"/>
      <c r="G873" s="873"/>
      <c r="H873" s="873"/>
      <c r="I873" s="873"/>
      <c r="J873" s="873"/>
      <c r="K873" s="873"/>
      <c r="L873" s="873"/>
      <c r="M873" s="873"/>
      <c r="N873" s="873"/>
      <c r="O873" s="873"/>
      <c r="P873" s="873"/>
      <c r="Q873" s="873"/>
      <c r="R873" s="873"/>
      <c r="S873" s="873"/>
      <c r="T873" s="873"/>
      <c r="U873" s="873"/>
      <c r="V873" s="873"/>
      <c r="W873" s="873"/>
      <c r="X873" s="873"/>
      <c r="Y873" s="873"/>
    </row>
    <row r="874">
      <c r="A874" s="873"/>
      <c r="B874" s="873"/>
      <c r="C874" s="873"/>
      <c r="D874" s="873"/>
      <c r="E874" s="873"/>
      <c r="F874" s="873"/>
      <c r="G874" s="873"/>
      <c r="H874" s="873"/>
      <c r="I874" s="873"/>
      <c r="J874" s="873"/>
      <c r="K874" s="873"/>
      <c r="L874" s="873"/>
      <c r="M874" s="873"/>
      <c r="N874" s="873"/>
      <c r="O874" s="873"/>
      <c r="P874" s="873"/>
      <c r="Q874" s="873"/>
      <c r="R874" s="873"/>
      <c r="S874" s="873"/>
      <c r="T874" s="873"/>
      <c r="U874" s="873"/>
      <c r="V874" s="873"/>
      <c r="W874" s="873"/>
      <c r="X874" s="873"/>
      <c r="Y874" s="873"/>
    </row>
    <row r="875">
      <c r="A875" s="873"/>
      <c r="B875" s="873"/>
      <c r="C875" s="873"/>
      <c r="D875" s="873"/>
      <c r="E875" s="873"/>
      <c r="F875" s="873"/>
      <c r="G875" s="873"/>
      <c r="H875" s="873"/>
      <c r="I875" s="873"/>
      <c r="J875" s="873"/>
      <c r="K875" s="873"/>
      <c r="L875" s="873"/>
      <c r="M875" s="873"/>
      <c r="N875" s="873"/>
      <c r="O875" s="873"/>
      <c r="P875" s="873"/>
      <c r="Q875" s="873"/>
      <c r="R875" s="873"/>
      <c r="S875" s="873"/>
      <c r="T875" s="873"/>
      <c r="U875" s="873"/>
      <c r="V875" s="873"/>
      <c r="W875" s="873"/>
      <c r="X875" s="873"/>
      <c r="Y875" s="873"/>
    </row>
    <row r="876">
      <c r="A876" s="873"/>
      <c r="B876" s="873"/>
      <c r="C876" s="873"/>
      <c r="D876" s="873"/>
      <c r="E876" s="873"/>
      <c r="F876" s="873"/>
      <c r="G876" s="873"/>
      <c r="H876" s="873"/>
      <c r="I876" s="873"/>
      <c r="J876" s="873"/>
      <c r="K876" s="873"/>
      <c r="L876" s="873"/>
      <c r="M876" s="873"/>
      <c r="N876" s="873"/>
      <c r="O876" s="873"/>
      <c r="P876" s="873"/>
      <c r="Q876" s="873"/>
      <c r="R876" s="873"/>
      <c r="S876" s="873"/>
      <c r="T876" s="873"/>
      <c r="U876" s="873"/>
      <c r="V876" s="873"/>
      <c r="W876" s="873"/>
      <c r="X876" s="873"/>
      <c r="Y876" s="873"/>
    </row>
    <row r="877">
      <c r="A877" s="873"/>
      <c r="B877" s="873"/>
      <c r="C877" s="873"/>
      <c r="D877" s="873"/>
      <c r="E877" s="873"/>
      <c r="F877" s="873"/>
      <c r="G877" s="873"/>
      <c r="H877" s="873"/>
      <c r="I877" s="873"/>
      <c r="J877" s="873"/>
      <c r="K877" s="873"/>
      <c r="L877" s="873"/>
      <c r="M877" s="873"/>
      <c r="N877" s="873"/>
      <c r="O877" s="873"/>
      <c r="P877" s="873"/>
      <c r="Q877" s="873"/>
      <c r="R877" s="873"/>
      <c r="S877" s="873"/>
      <c r="T877" s="873"/>
      <c r="U877" s="873"/>
      <c r="V877" s="873"/>
      <c r="W877" s="873"/>
      <c r="X877" s="873"/>
      <c r="Y877" s="873"/>
    </row>
    <row r="878">
      <c r="A878" s="873"/>
      <c r="B878" s="873"/>
      <c r="C878" s="873"/>
      <c r="D878" s="873"/>
      <c r="E878" s="873"/>
      <c r="F878" s="873"/>
      <c r="G878" s="873"/>
      <c r="H878" s="873"/>
      <c r="I878" s="873"/>
      <c r="J878" s="873"/>
      <c r="K878" s="873"/>
      <c r="L878" s="873"/>
      <c r="M878" s="873"/>
      <c r="N878" s="873"/>
      <c r="O878" s="873"/>
      <c r="P878" s="873"/>
      <c r="Q878" s="873"/>
      <c r="R878" s="873"/>
      <c r="S878" s="873"/>
      <c r="T878" s="873"/>
      <c r="U878" s="873"/>
      <c r="V878" s="873"/>
      <c r="W878" s="873"/>
      <c r="X878" s="873"/>
      <c r="Y878" s="873"/>
    </row>
    <row r="879">
      <c r="A879" s="873"/>
      <c r="B879" s="873"/>
      <c r="C879" s="873"/>
      <c r="D879" s="873"/>
      <c r="E879" s="873"/>
      <c r="F879" s="873"/>
      <c r="G879" s="873"/>
      <c r="H879" s="873"/>
      <c r="I879" s="873"/>
      <c r="J879" s="873"/>
      <c r="K879" s="873"/>
      <c r="L879" s="873"/>
      <c r="M879" s="873"/>
      <c r="N879" s="873"/>
      <c r="O879" s="873"/>
      <c r="P879" s="873"/>
      <c r="Q879" s="873"/>
      <c r="R879" s="873"/>
      <c r="S879" s="873"/>
      <c r="T879" s="873"/>
      <c r="U879" s="873"/>
      <c r="V879" s="873"/>
      <c r="W879" s="873"/>
      <c r="X879" s="873"/>
      <c r="Y879" s="873"/>
    </row>
    <row r="880">
      <c r="A880" s="873"/>
      <c r="B880" s="873"/>
      <c r="C880" s="873"/>
      <c r="D880" s="873"/>
      <c r="E880" s="873"/>
      <c r="F880" s="873"/>
      <c r="G880" s="873"/>
      <c r="H880" s="873"/>
      <c r="I880" s="873"/>
      <c r="J880" s="873"/>
      <c r="K880" s="873"/>
      <c r="L880" s="873"/>
      <c r="M880" s="873"/>
      <c r="N880" s="873"/>
      <c r="O880" s="873"/>
      <c r="P880" s="873"/>
      <c r="Q880" s="873"/>
      <c r="R880" s="873"/>
      <c r="S880" s="873"/>
      <c r="T880" s="873"/>
      <c r="U880" s="873"/>
      <c r="V880" s="873"/>
      <c r="W880" s="873"/>
      <c r="X880" s="873"/>
      <c r="Y880" s="873"/>
    </row>
    <row r="881">
      <c r="A881" s="873"/>
      <c r="B881" s="873"/>
      <c r="C881" s="873"/>
      <c r="D881" s="873"/>
      <c r="E881" s="873"/>
      <c r="F881" s="873"/>
      <c r="G881" s="873"/>
      <c r="H881" s="873"/>
      <c r="I881" s="873"/>
      <c r="J881" s="873"/>
      <c r="K881" s="873"/>
      <c r="L881" s="873"/>
      <c r="M881" s="873"/>
      <c r="N881" s="873"/>
      <c r="O881" s="873"/>
      <c r="P881" s="873"/>
      <c r="Q881" s="873"/>
      <c r="R881" s="873"/>
      <c r="S881" s="873"/>
      <c r="T881" s="873"/>
      <c r="U881" s="873"/>
      <c r="V881" s="873"/>
      <c r="W881" s="873"/>
      <c r="X881" s="873"/>
      <c r="Y881" s="873"/>
    </row>
    <row r="882">
      <c r="A882" s="873"/>
      <c r="B882" s="873"/>
      <c r="C882" s="873"/>
      <c r="D882" s="873"/>
      <c r="E882" s="873"/>
      <c r="F882" s="873"/>
      <c r="G882" s="873"/>
      <c r="H882" s="873"/>
      <c r="I882" s="873"/>
      <c r="J882" s="873"/>
      <c r="K882" s="873"/>
      <c r="L882" s="873"/>
      <c r="M882" s="873"/>
      <c r="N882" s="873"/>
      <c r="O882" s="873"/>
      <c r="P882" s="873"/>
      <c r="Q882" s="873"/>
      <c r="R882" s="873"/>
      <c r="S882" s="873"/>
      <c r="T882" s="873"/>
      <c r="U882" s="873"/>
      <c r="V882" s="873"/>
      <c r="W882" s="873"/>
      <c r="X882" s="873"/>
      <c r="Y882" s="873"/>
    </row>
    <row r="883">
      <c r="A883" s="873"/>
      <c r="B883" s="873"/>
      <c r="C883" s="873"/>
      <c r="D883" s="873"/>
      <c r="E883" s="873"/>
      <c r="F883" s="873"/>
      <c r="G883" s="873"/>
      <c r="H883" s="873"/>
      <c r="I883" s="873"/>
      <c r="J883" s="873"/>
      <c r="K883" s="873"/>
      <c r="L883" s="873"/>
      <c r="M883" s="873"/>
      <c r="N883" s="873"/>
      <c r="O883" s="873"/>
      <c r="P883" s="873"/>
      <c r="Q883" s="873"/>
      <c r="R883" s="873"/>
      <c r="S883" s="873"/>
      <c r="T883" s="873"/>
      <c r="U883" s="873"/>
      <c r="V883" s="873"/>
      <c r="W883" s="873"/>
      <c r="X883" s="873"/>
      <c r="Y883" s="873"/>
    </row>
    <row r="884">
      <c r="A884" s="873"/>
      <c r="B884" s="873"/>
      <c r="C884" s="873"/>
      <c r="D884" s="873"/>
      <c r="E884" s="873"/>
      <c r="F884" s="873"/>
      <c r="G884" s="873"/>
      <c r="H884" s="873"/>
      <c r="I884" s="873"/>
      <c r="J884" s="873"/>
      <c r="K884" s="873"/>
      <c r="L884" s="873"/>
      <c r="M884" s="873"/>
      <c r="N884" s="873"/>
      <c r="O884" s="873"/>
      <c r="P884" s="873"/>
      <c r="Q884" s="873"/>
      <c r="R884" s="873"/>
      <c r="S884" s="873"/>
      <c r="T884" s="873"/>
      <c r="U884" s="873"/>
      <c r="V884" s="873"/>
      <c r="W884" s="873"/>
      <c r="X884" s="873"/>
      <c r="Y884" s="873"/>
    </row>
    <row r="885">
      <c r="A885" s="873"/>
      <c r="B885" s="873"/>
      <c r="C885" s="873"/>
      <c r="D885" s="873"/>
      <c r="E885" s="873"/>
      <c r="F885" s="873"/>
      <c r="G885" s="873"/>
      <c r="H885" s="873"/>
      <c r="I885" s="873"/>
      <c r="J885" s="873"/>
      <c r="K885" s="873"/>
      <c r="L885" s="873"/>
      <c r="M885" s="873"/>
      <c r="N885" s="873"/>
      <c r="O885" s="873"/>
      <c r="P885" s="873"/>
      <c r="Q885" s="873"/>
      <c r="R885" s="873"/>
      <c r="S885" s="873"/>
      <c r="T885" s="873"/>
      <c r="U885" s="873"/>
      <c r="V885" s="873"/>
      <c r="W885" s="873"/>
      <c r="X885" s="873"/>
      <c r="Y885" s="873"/>
    </row>
    <row r="886">
      <c r="A886" s="873"/>
      <c r="B886" s="873"/>
      <c r="C886" s="873"/>
      <c r="D886" s="873"/>
      <c r="E886" s="873"/>
      <c r="F886" s="873"/>
      <c r="G886" s="873"/>
      <c r="H886" s="873"/>
      <c r="I886" s="873"/>
      <c r="J886" s="873"/>
      <c r="K886" s="873"/>
      <c r="L886" s="873"/>
      <c r="M886" s="873"/>
      <c r="N886" s="873"/>
      <c r="O886" s="873"/>
      <c r="P886" s="873"/>
      <c r="Q886" s="873"/>
      <c r="R886" s="873"/>
      <c r="S886" s="873"/>
      <c r="T886" s="873"/>
      <c r="U886" s="873"/>
      <c r="V886" s="873"/>
      <c r="W886" s="873"/>
      <c r="X886" s="873"/>
      <c r="Y886" s="873"/>
    </row>
    <row r="887">
      <c r="A887" s="873"/>
      <c r="B887" s="873"/>
      <c r="C887" s="873"/>
      <c r="D887" s="873"/>
      <c r="E887" s="873"/>
      <c r="F887" s="873"/>
      <c r="G887" s="873"/>
      <c r="H887" s="873"/>
      <c r="I887" s="873"/>
      <c r="J887" s="873"/>
      <c r="K887" s="873"/>
      <c r="L887" s="873"/>
      <c r="M887" s="873"/>
      <c r="N887" s="873"/>
      <c r="O887" s="873"/>
      <c r="P887" s="873"/>
      <c r="Q887" s="873"/>
      <c r="R887" s="873"/>
      <c r="S887" s="873"/>
      <c r="T887" s="873"/>
      <c r="U887" s="873"/>
      <c r="V887" s="873"/>
      <c r="W887" s="873"/>
      <c r="X887" s="873"/>
      <c r="Y887" s="873"/>
    </row>
    <row r="888">
      <c r="A888" s="873"/>
      <c r="B888" s="873"/>
      <c r="C888" s="873"/>
      <c r="D888" s="873"/>
      <c r="E888" s="873"/>
      <c r="F888" s="873"/>
      <c r="G888" s="873"/>
      <c r="H888" s="873"/>
      <c r="I888" s="873"/>
      <c r="J888" s="873"/>
      <c r="K888" s="873"/>
      <c r="L888" s="873"/>
      <c r="M888" s="873"/>
      <c r="N888" s="873"/>
      <c r="O888" s="873"/>
      <c r="P888" s="873"/>
      <c r="Q888" s="873"/>
      <c r="R888" s="873"/>
      <c r="S888" s="873"/>
      <c r="T888" s="873"/>
      <c r="U888" s="873"/>
      <c r="V888" s="873"/>
      <c r="W888" s="873"/>
      <c r="X888" s="873"/>
      <c r="Y888" s="873"/>
    </row>
    <row r="889">
      <c r="A889" s="873"/>
      <c r="B889" s="873"/>
      <c r="C889" s="873"/>
      <c r="D889" s="873"/>
      <c r="E889" s="873"/>
      <c r="F889" s="873"/>
      <c r="G889" s="873"/>
      <c r="H889" s="873"/>
      <c r="I889" s="873"/>
      <c r="J889" s="873"/>
      <c r="K889" s="873"/>
      <c r="L889" s="873"/>
      <c r="M889" s="873"/>
      <c r="N889" s="873"/>
      <c r="O889" s="873"/>
      <c r="P889" s="873"/>
      <c r="Q889" s="873"/>
      <c r="R889" s="873"/>
      <c r="S889" s="873"/>
      <c r="T889" s="873"/>
      <c r="U889" s="873"/>
      <c r="V889" s="873"/>
      <c r="W889" s="873"/>
      <c r="X889" s="873"/>
      <c r="Y889" s="873"/>
    </row>
    <row r="890">
      <c r="A890" s="873"/>
      <c r="B890" s="873"/>
      <c r="C890" s="873"/>
      <c r="D890" s="873"/>
      <c r="E890" s="873"/>
      <c r="F890" s="873"/>
      <c r="G890" s="873"/>
      <c r="H890" s="873"/>
      <c r="I890" s="873"/>
      <c r="J890" s="873"/>
      <c r="K890" s="873"/>
      <c r="L890" s="873"/>
      <c r="M890" s="873"/>
      <c r="N890" s="873"/>
      <c r="O890" s="873"/>
      <c r="P890" s="873"/>
      <c r="Q890" s="873"/>
      <c r="R890" s="873"/>
      <c r="S890" s="873"/>
      <c r="T890" s="873"/>
      <c r="U890" s="873"/>
      <c r="V890" s="873"/>
      <c r="W890" s="873"/>
      <c r="X890" s="873"/>
      <c r="Y890" s="873"/>
    </row>
    <row r="891">
      <c r="A891" s="873"/>
      <c r="B891" s="873"/>
      <c r="C891" s="873"/>
      <c r="D891" s="873"/>
      <c r="E891" s="873"/>
      <c r="F891" s="873"/>
      <c r="G891" s="873"/>
      <c r="H891" s="873"/>
      <c r="I891" s="873"/>
      <c r="J891" s="873"/>
      <c r="K891" s="873"/>
      <c r="L891" s="873"/>
      <c r="M891" s="873"/>
      <c r="N891" s="873"/>
      <c r="O891" s="873"/>
      <c r="P891" s="873"/>
      <c r="Q891" s="873"/>
      <c r="R891" s="873"/>
      <c r="S891" s="873"/>
      <c r="T891" s="873"/>
      <c r="U891" s="873"/>
      <c r="V891" s="873"/>
      <c r="W891" s="873"/>
      <c r="X891" s="873"/>
      <c r="Y891" s="873"/>
    </row>
    <row r="892">
      <c r="A892" s="873"/>
      <c r="B892" s="873"/>
      <c r="C892" s="873"/>
      <c r="D892" s="873"/>
      <c r="E892" s="873"/>
      <c r="F892" s="873"/>
      <c r="G892" s="873"/>
      <c r="H892" s="873"/>
      <c r="I892" s="873"/>
      <c r="J892" s="873"/>
      <c r="K892" s="873"/>
      <c r="L892" s="873"/>
      <c r="M892" s="873"/>
      <c r="N892" s="873"/>
      <c r="O892" s="873"/>
      <c r="P892" s="873"/>
      <c r="Q892" s="873"/>
      <c r="R892" s="873"/>
      <c r="S892" s="873"/>
      <c r="T892" s="873"/>
      <c r="U892" s="873"/>
      <c r="V892" s="873"/>
      <c r="W892" s="873"/>
      <c r="X892" s="873"/>
      <c r="Y892" s="873"/>
    </row>
    <row r="893">
      <c r="A893" s="873"/>
      <c r="B893" s="873"/>
      <c r="C893" s="873"/>
      <c r="D893" s="873"/>
      <c r="E893" s="873"/>
      <c r="F893" s="873"/>
      <c r="G893" s="873"/>
      <c r="H893" s="873"/>
      <c r="I893" s="873"/>
      <c r="J893" s="873"/>
      <c r="K893" s="873"/>
      <c r="L893" s="873"/>
      <c r="M893" s="873"/>
      <c r="N893" s="873"/>
      <c r="O893" s="873"/>
      <c r="P893" s="873"/>
      <c r="Q893" s="873"/>
      <c r="R893" s="873"/>
      <c r="S893" s="873"/>
      <c r="T893" s="873"/>
      <c r="U893" s="873"/>
      <c r="V893" s="873"/>
      <c r="W893" s="873"/>
      <c r="X893" s="873"/>
      <c r="Y893" s="873"/>
    </row>
    <row r="894">
      <c r="A894" s="873"/>
      <c r="B894" s="873"/>
      <c r="C894" s="873"/>
      <c r="D894" s="873"/>
      <c r="E894" s="873"/>
      <c r="F894" s="873"/>
      <c r="G894" s="873"/>
      <c r="H894" s="873"/>
      <c r="I894" s="873"/>
      <c r="J894" s="873"/>
      <c r="K894" s="873"/>
      <c r="L894" s="873"/>
      <c r="M894" s="873"/>
      <c r="N894" s="873"/>
      <c r="O894" s="873"/>
      <c r="P894" s="873"/>
      <c r="Q894" s="873"/>
      <c r="R894" s="873"/>
      <c r="S894" s="873"/>
      <c r="T894" s="873"/>
      <c r="U894" s="873"/>
      <c r="V894" s="873"/>
      <c r="W894" s="873"/>
      <c r="X894" s="873"/>
      <c r="Y894" s="873"/>
    </row>
    <row r="895">
      <c r="A895" s="873"/>
      <c r="B895" s="873"/>
      <c r="C895" s="873"/>
      <c r="D895" s="873"/>
      <c r="E895" s="873"/>
      <c r="F895" s="873"/>
      <c r="G895" s="873"/>
      <c r="H895" s="873"/>
      <c r="I895" s="873"/>
      <c r="J895" s="873"/>
      <c r="K895" s="873"/>
      <c r="L895" s="873"/>
      <c r="M895" s="873"/>
      <c r="N895" s="873"/>
      <c r="O895" s="873"/>
      <c r="P895" s="873"/>
      <c r="Q895" s="873"/>
      <c r="R895" s="873"/>
      <c r="S895" s="873"/>
      <c r="T895" s="873"/>
      <c r="U895" s="873"/>
      <c r="V895" s="873"/>
      <c r="W895" s="873"/>
      <c r="X895" s="873"/>
      <c r="Y895" s="873"/>
    </row>
    <row r="896">
      <c r="A896" s="873"/>
      <c r="B896" s="873"/>
      <c r="C896" s="873"/>
      <c r="D896" s="873"/>
      <c r="E896" s="873"/>
      <c r="F896" s="873"/>
      <c r="G896" s="873"/>
      <c r="H896" s="873"/>
      <c r="I896" s="873"/>
      <c r="J896" s="873"/>
      <c r="K896" s="873"/>
      <c r="L896" s="873"/>
      <c r="M896" s="873"/>
      <c r="N896" s="873"/>
      <c r="O896" s="873"/>
      <c r="P896" s="873"/>
      <c r="Q896" s="873"/>
      <c r="R896" s="873"/>
      <c r="S896" s="873"/>
      <c r="T896" s="873"/>
      <c r="U896" s="873"/>
      <c r="V896" s="873"/>
      <c r="W896" s="873"/>
      <c r="X896" s="873"/>
      <c r="Y896" s="873"/>
    </row>
    <row r="897">
      <c r="A897" s="873"/>
      <c r="B897" s="873"/>
      <c r="C897" s="873"/>
      <c r="D897" s="873"/>
      <c r="E897" s="873"/>
      <c r="F897" s="873"/>
      <c r="G897" s="873"/>
      <c r="H897" s="873"/>
      <c r="I897" s="873"/>
      <c r="J897" s="873"/>
      <c r="K897" s="873"/>
      <c r="L897" s="873"/>
      <c r="M897" s="873"/>
      <c r="N897" s="873"/>
      <c r="O897" s="873"/>
      <c r="P897" s="873"/>
      <c r="Q897" s="873"/>
      <c r="R897" s="873"/>
      <c r="S897" s="873"/>
      <c r="T897" s="873"/>
      <c r="U897" s="873"/>
      <c r="V897" s="873"/>
      <c r="W897" s="873"/>
      <c r="X897" s="873"/>
      <c r="Y897" s="873"/>
    </row>
    <row r="898">
      <c r="A898" s="873"/>
      <c r="B898" s="873"/>
      <c r="C898" s="873"/>
      <c r="D898" s="873"/>
      <c r="E898" s="873"/>
      <c r="F898" s="873"/>
      <c r="G898" s="873"/>
      <c r="H898" s="873"/>
      <c r="I898" s="873"/>
      <c r="J898" s="873"/>
      <c r="K898" s="873"/>
      <c r="L898" s="873"/>
      <c r="M898" s="873"/>
      <c r="N898" s="873"/>
      <c r="O898" s="873"/>
      <c r="P898" s="873"/>
      <c r="Q898" s="873"/>
      <c r="R898" s="873"/>
      <c r="S898" s="873"/>
      <c r="T898" s="873"/>
      <c r="U898" s="873"/>
      <c r="V898" s="873"/>
      <c r="W898" s="873"/>
      <c r="X898" s="873"/>
      <c r="Y898" s="873"/>
    </row>
    <row r="899">
      <c r="A899" s="873"/>
      <c r="B899" s="873"/>
      <c r="C899" s="873"/>
      <c r="D899" s="873"/>
      <c r="E899" s="873"/>
      <c r="F899" s="873"/>
      <c r="G899" s="873"/>
      <c r="H899" s="873"/>
      <c r="I899" s="873"/>
      <c r="J899" s="873"/>
      <c r="K899" s="873"/>
      <c r="L899" s="873"/>
      <c r="M899" s="873"/>
      <c r="N899" s="873"/>
      <c r="O899" s="873"/>
      <c r="P899" s="873"/>
      <c r="Q899" s="873"/>
      <c r="R899" s="873"/>
      <c r="S899" s="873"/>
      <c r="T899" s="873"/>
      <c r="U899" s="873"/>
      <c r="V899" s="873"/>
      <c r="W899" s="873"/>
      <c r="X899" s="873"/>
      <c r="Y899" s="873"/>
    </row>
    <row r="900">
      <c r="A900" s="873"/>
      <c r="B900" s="873"/>
      <c r="C900" s="873"/>
      <c r="D900" s="873"/>
      <c r="E900" s="873"/>
      <c r="F900" s="873"/>
      <c r="G900" s="873"/>
      <c r="H900" s="873"/>
      <c r="I900" s="873"/>
      <c r="J900" s="873"/>
      <c r="K900" s="873"/>
      <c r="L900" s="873"/>
      <c r="M900" s="873"/>
      <c r="N900" s="873"/>
      <c r="O900" s="873"/>
      <c r="P900" s="873"/>
      <c r="Q900" s="873"/>
      <c r="R900" s="873"/>
      <c r="S900" s="873"/>
      <c r="T900" s="873"/>
      <c r="U900" s="873"/>
      <c r="V900" s="873"/>
      <c r="W900" s="873"/>
      <c r="X900" s="873"/>
      <c r="Y900" s="873"/>
    </row>
    <row r="901">
      <c r="A901" s="873"/>
      <c r="B901" s="873"/>
      <c r="C901" s="873"/>
      <c r="D901" s="873"/>
      <c r="E901" s="873"/>
      <c r="F901" s="873"/>
      <c r="G901" s="873"/>
      <c r="H901" s="873"/>
      <c r="I901" s="873"/>
      <c r="J901" s="873"/>
      <c r="K901" s="873"/>
      <c r="L901" s="873"/>
      <c r="M901" s="873"/>
      <c r="N901" s="873"/>
      <c r="O901" s="873"/>
      <c r="P901" s="873"/>
      <c r="Q901" s="873"/>
      <c r="R901" s="873"/>
      <c r="S901" s="873"/>
      <c r="T901" s="873"/>
      <c r="U901" s="873"/>
      <c r="V901" s="873"/>
      <c r="W901" s="873"/>
      <c r="X901" s="873"/>
      <c r="Y901" s="873"/>
    </row>
    <row r="902">
      <c r="A902" s="873"/>
      <c r="B902" s="873"/>
      <c r="C902" s="873"/>
      <c r="D902" s="873"/>
      <c r="E902" s="873"/>
      <c r="F902" s="873"/>
      <c r="G902" s="873"/>
      <c r="H902" s="873"/>
      <c r="I902" s="873"/>
      <c r="J902" s="873"/>
      <c r="K902" s="873"/>
      <c r="L902" s="873"/>
      <c r="M902" s="873"/>
      <c r="N902" s="873"/>
      <c r="O902" s="873"/>
      <c r="P902" s="873"/>
      <c r="Q902" s="873"/>
      <c r="R902" s="873"/>
      <c r="S902" s="873"/>
      <c r="T902" s="873"/>
      <c r="U902" s="873"/>
      <c r="V902" s="873"/>
      <c r="W902" s="873"/>
      <c r="X902" s="873"/>
      <c r="Y902" s="873"/>
    </row>
    <row r="903">
      <c r="A903" s="873"/>
      <c r="B903" s="873"/>
      <c r="C903" s="873"/>
      <c r="D903" s="873"/>
      <c r="E903" s="873"/>
      <c r="F903" s="873"/>
      <c r="G903" s="873"/>
      <c r="H903" s="873"/>
      <c r="I903" s="873"/>
      <c r="J903" s="873"/>
      <c r="K903" s="873"/>
      <c r="L903" s="873"/>
      <c r="M903" s="873"/>
      <c r="N903" s="873"/>
      <c r="O903" s="873"/>
      <c r="P903" s="873"/>
      <c r="Q903" s="873"/>
      <c r="R903" s="873"/>
      <c r="S903" s="873"/>
      <c r="T903" s="873"/>
      <c r="U903" s="873"/>
      <c r="V903" s="873"/>
      <c r="W903" s="873"/>
      <c r="X903" s="873"/>
      <c r="Y903" s="873"/>
    </row>
    <row r="904">
      <c r="A904" s="873"/>
      <c r="B904" s="873"/>
      <c r="C904" s="873"/>
      <c r="D904" s="873"/>
      <c r="E904" s="873"/>
      <c r="F904" s="873"/>
      <c r="G904" s="873"/>
      <c r="H904" s="873"/>
      <c r="I904" s="873"/>
      <c r="J904" s="873"/>
      <c r="K904" s="873"/>
      <c r="L904" s="873"/>
      <c r="M904" s="873"/>
      <c r="N904" s="873"/>
      <c r="O904" s="873"/>
      <c r="P904" s="873"/>
      <c r="Q904" s="873"/>
      <c r="R904" s="873"/>
      <c r="S904" s="873"/>
      <c r="T904" s="873"/>
      <c r="U904" s="873"/>
      <c r="V904" s="873"/>
      <c r="W904" s="873"/>
      <c r="X904" s="873"/>
      <c r="Y904" s="873"/>
    </row>
    <row r="905">
      <c r="A905" s="873"/>
      <c r="B905" s="873"/>
      <c r="C905" s="873"/>
      <c r="D905" s="873"/>
      <c r="E905" s="873"/>
      <c r="F905" s="873"/>
      <c r="G905" s="873"/>
      <c r="H905" s="873"/>
      <c r="I905" s="873"/>
      <c r="J905" s="873"/>
      <c r="K905" s="873"/>
      <c r="L905" s="873"/>
      <c r="M905" s="873"/>
      <c r="N905" s="873"/>
      <c r="O905" s="873"/>
      <c r="P905" s="873"/>
      <c r="Q905" s="873"/>
      <c r="R905" s="873"/>
      <c r="S905" s="873"/>
      <c r="T905" s="873"/>
      <c r="U905" s="873"/>
      <c r="V905" s="873"/>
      <c r="W905" s="873"/>
      <c r="X905" s="873"/>
      <c r="Y905" s="873"/>
    </row>
    <row r="906">
      <c r="A906" s="873"/>
      <c r="B906" s="873"/>
      <c r="C906" s="873"/>
      <c r="D906" s="873"/>
      <c r="E906" s="873"/>
      <c r="F906" s="873"/>
      <c r="G906" s="873"/>
      <c r="H906" s="873"/>
      <c r="I906" s="873"/>
      <c r="J906" s="873"/>
      <c r="K906" s="873"/>
      <c r="L906" s="873"/>
      <c r="M906" s="873"/>
      <c r="N906" s="873"/>
      <c r="O906" s="873"/>
      <c r="P906" s="873"/>
      <c r="Q906" s="873"/>
      <c r="R906" s="873"/>
      <c r="S906" s="873"/>
      <c r="T906" s="873"/>
      <c r="U906" s="873"/>
      <c r="V906" s="873"/>
      <c r="W906" s="873"/>
      <c r="X906" s="873"/>
      <c r="Y906" s="873"/>
    </row>
    <row r="907">
      <c r="A907" s="873"/>
      <c r="B907" s="873"/>
      <c r="C907" s="873"/>
      <c r="D907" s="873"/>
      <c r="E907" s="873"/>
      <c r="F907" s="873"/>
      <c r="G907" s="873"/>
      <c r="H907" s="873"/>
      <c r="I907" s="873"/>
      <c r="J907" s="873"/>
      <c r="K907" s="873"/>
      <c r="L907" s="873"/>
      <c r="M907" s="873"/>
      <c r="N907" s="873"/>
      <c r="O907" s="873"/>
      <c r="P907" s="873"/>
      <c r="Q907" s="873"/>
      <c r="R907" s="873"/>
      <c r="S907" s="873"/>
      <c r="T907" s="873"/>
      <c r="U907" s="873"/>
      <c r="V907" s="873"/>
      <c r="W907" s="873"/>
      <c r="X907" s="873"/>
      <c r="Y907" s="873"/>
    </row>
    <row r="908">
      <c r="A908" s="873"/>
      <c r="B908" s="873"/>
      <c r="C908" s="873"/>
      <c r="D908" s="873"/>
      <c r="E908" s="873"/>
      <c r="F908" s="873"/>
      <c r="G908" s="873"/>
      <c r="H908" s="873"/>
      <c r="I908" s="873"/>
      <c r="J908" s="873"/>
      <c r="K908" s="873"/>
      <c r="L908" s="873"/>
      <c r="M908" s="873"/>
      <c r="N908" s="873"/>
      <c r="O908" s="873"/>
      <c r="P908" s="873"/>
      <c r="Q908" s="873"/>
      <c r="R908" s="873"/>
      <c r="S908" s="873"/>
      <c r="T908" s="873"/>
      <c r="U908" s="873"/>
      <c r="V908" s="873"/>
      <c r="W908" s="873"/>
      <c r="X908" s="873"/>
      <c r="Y908" s="873"/>
    </row>
    <row r="909">
      <c r="A909" s="873"/>
      <c r="B909" s="873"/>
      <c r="C909" s="873"/>
      <c r="D909" s="873"/>
      <c r="E909" s="873"/>
      <c r="F909" s="873"/>
      <c r="G909" s="873"/>
      <c r="H909" s="873"/>
      <c r="I909" s="873"/>
      <c r="J909" s="873"/>
      <c r="K909" s="873"/>
      <c r="L909" s="873"/>
      <c r="M909" s="873"/>
      <c r="N909" s="873"/>
      <c r="O909" s="873"/>
      <c r="P909" s="873"/>
      <c r="Q909" s="873"/>
      <c r="R909" s="873"/>
      <c r="S909" s="873"/>
      <c r="T909" s="873"/>
      <c r="U909" s="873"/>
      <c r="V909" s="873"/>
      <c r="W909" s="873"/>
      <c r="X909" s="873"/>
      <c r="Y909" s="873"/>
    </row>
    <row r="910">
      <c r="A910" s="873"/>
      <c r="B910" s="873"/>
      <c r="C910" s="873"/>
      <c r="D910" s="873"/>
      <c r="E910" s="873"/>
      <c r="F910" s="873"/>
      <c r="G910" s="873"/>
      <c r="H910" s="873"/>
      <c r="I910" s="873"/>
      <c r="J910" s="873"/>
      <c r="K910" s="873"/>
      <c r="L910" s="873"/>
      <c r="M910" s="873"/>
      <c r="N910" s="873"/>
      <c r="O910" s="873"/>
      <c r="P910" s="873"/>
      <c r="Q910" s="873"/>
      <c r="R910" s="873"/>
      <c r="S910" s="873"/>
      <c r="T910" s="873"/>
      <c r="U910" s="873"/>
      <c r="V910" s="873"/>
      <c r="W910" s="873"/>
      <c r="X910" s="873"/>
      <c r="Y910" s="873"/>
    </row>
    <row r="911">
      <c r="A911" s="873"/>
      <c r="B911" s="873"/>
      <c r="C911" s="873"/>
      <c r="D911" s="873"/>
      <c r="E911" s="873"/>
      <c r="F911" s="873"/>
      <c r="G911" s="873"/>
      <c r="H911" s="873"/>
      <c r="I911" s="873"/>
      <c r="J911" s="873"/>
      <c r="K911" s="873"/>
      <c r="L911" s="873"/>
      <c r="M911" s="873"/>
      <c r="N911" s="873"/>
      <c r="O911" s="873"/>
      <c r="P911" s="873"/>
      <c r="Q911" s="873"/>
      <c r="R911" s="873"/>
      <c r="S911" s="873"/>
      <c r="T911" s="873"/>
      <c r="U911" s="873"/>
      <c r="V911" s="873"/>
      <c r="W911" s="873"/>
      <c r="X911" s="873"/>
      <c r="Y911" s="873"/>
    </row>
    <row r="912">
      <c r="A912" s="873"/>
      <c r="B912" s="873"/>
      <c r="C912" s="873"/>
      <c r="D912" s="873"/>
      <c r="E912" s="873"/>
      <c r="F912" s="873"/>
      <c r="G912" s="873"/>
      <c r="H912" s="873"/>
      <c r="I912" s="873"/>
      <c r="J912" s="873"/>
      <c r="K912" s="873"/>
      <c r="L912" s="873"/>
      <c r="M912" s="873"/>
      <c r="N912" s="873"/>
      <c r="O912" s="873"/>
      <c r="P912" s="873"/>
      <c r="Q912" s="873"/>
      <c r="R912" s="873"/>
      <c r="S912" s="873"/>
      <c r="T912" s="873"/>
      <c r="U912" s="873"/>
      <c r="V912" s="873"/>
      <c r="W912" s="873"/>
      <c r="X912" s="873"/>
      <c r="Y912" s="873"/>
    </row>
    <row r="913">
      <c r="A913" s="873"/>
      <c r="B913" s="873"/>
      <c r="C913" s="873"/>
      <c r="D913" s="873"/>
      <c r="E913" s="873"/>
      <c r="F913" s="873"/>
      <c r="G913" s="873"/>
      <c r="H913" s="873"/>
      <c r="I913" s="873"/>
      <c r="J913" s="873"/>
      <c r="K913" s="873"/>
      <c r="L913" s="873"/>
      <c r="M913" s="873"/>
      <c r="N913" s="873"/>
      <c r="O913" s="873"/>
      <c r="P913" s="873"/>
      <c r="Q913" s="873"/>
      <c r="R913" s="873"/>
      <c r="S913" s="873"/>
      <c r="T913" s="873"/>
      <c r="U913" s="873"/>
      <c r="V913" s="873"/>
      <c r="W913" s="873"/>
      <c r="X913" s="873"/>
      <c r="Y913" s="873"/>
    </row>
    <row r="914">
      <c r="A914" s="873"/>
      <c r="B914" s="873"/>
      <c r="C914" s="873"/>
      <c r="D914" s="873"/>
      <c r="E914" s="873"/>
      <c r="F914" s="873"/>
      <c r="G914" s="873"/>
      <c r="H914" s="873"/>
      <c r="I914" s="873"/>
      <c r="J914" s="873"/>
      <c r="K914" s="873"/>
      <c r="L914" s="873"/>
      <c r="M914" s="873"/>
      <c r="N914" s="873"/>
      <c r="O914" s="873"/>
      <c r="P914" s="873"/>
      <c r="Q914" s="873"/>
      <c r="R914" s="873"/>
      <c r="S914" s="873"/>
      <c r="T914" s="873"/>
      <c r="U914" s="873"/>
      <c r="V914" s="873"/>
      <c r="W914" s="873"/>
      <c r="X914" s="873"/>
      <c r="Y914" s="873"/>
    </row>
    <row r="915">
      <c r="A915" s="873"/>
      <c r="B915" s="873"/>
      <c r="C915" s="873"/>
      <c r="D915" s="873"/>
      <c r="E915" s="873"/>
      <c r="F915" s="873"/>
      <c r="G915" s="873"/>
      <c r="H915" s="873"/>
      <c r="I915" s="873"/>
      <c r="J915" s="873"/>
      <c r="K915" s="873"/>
      <c r="L915" s="873"/>
      <c r="M915" s="873"/>
      <c r="N915" s="873"/>
      <c r="O915" s="873"/>
      <c r="P915" s="873"/>
      <c r="Q915" s="873"/>
      <c r="R915" s="873"/>
      <c r="S915" s="873"/>
      <c r="T915" s="873"/>
      <c r="U915" s="873"/>
      <c r="V915" s="873"/>
      <c r="W915" s="873"/>
      <c r="X915" s="873"/>
      <c r="Y915" s="873"/>
    </row>
    <row r="916">
      <c r="A916" s="873"/>
      <c r="B916" s="873"/>
      <c r="C916" s="873"/>
      <c r="D916" s="873"/>
      <c r="E916" s="873"/>
      <c r="F916" s="873"/>
      <c r="G916" s="873"/>
      <c r="H916" s="873"/>
      <c r="I916" s="873"/>
      <c r="J916" s="873"/>
      <c r="K916" s="873"/>
      <c r="L916" s="873"/>
      <c r="M916" s="873"/>
      <c r="N916" s="873"/>
      <c r="O916" s="873"/>
      <c r="P916" s="873"/>
      <c r="Q916" s="873"/>
      <c r="R916" s="873"/>
      <c r="S916" s="873"/>
      <c r="T916" s="873"/>
      <c r="U916" s="873"/>
      <c r="V916" s="873"/>
      <c r="W916" s="873"/>
      <c r="X916" s="873"/>
      <c r="Y916" s="873"/>
    </row>
    <row r="917">
      <c r="A917" s="873"/>
      <c r="B917" s="873"/>
      <c r="C917" s="873"/>
      <c r="D917" s="873"/>
      <c r="E917" s="873"/>
      <c r="F917" s="873"/>
      <c r="G917" s="873"/>
      <c r="H917" s="873"/>
      <c r="I917" s="873"/>
      <c r="J917" s="873"/>
      <c r="K917" s="873"/>
      <c r="L917" s="873"/>
      <c r="M917" s="873"/>
      <c r="N917" s="873"/>
      <c r="O917" s="873"/>
      <c r="P917" s="873"/>
      <c r="Q917" s="873"/>
      <c r="R917" s="873"/>
      <c r="S917" s="873"/>
      <c r="T917" s="873"/>
      <c r="U917" s="873"/>
      <c r="V917" s="873"/>
      <c r="W917" s="873"/>
      <c r="X917" s="873"/>
      <c r="Y917" s="873"/>
    </row>
    <row r="918">
      <c r="A918" s="873"/>
      <c r="B918" s="873"/>
      <c r="C918" s="873"/>
      <c r="D918" s="873"/>
      <c r="E918" s="873"/>
      <c r="F918" s="873"/>
      <c r="G918" s="873"/>
      <c r="H918" s="873"/>
      <c r="I918" s="873"/>
      <c r="J918" s="873"/>
      <c r="K918" s="873"/>
      <c r="L918" s="873"/>
      <c r="M918" s="873"/>
      <c r="N918" s="873"/>
      <c r="O918" s="873"/>
      <c r="P918" s="873"/>
      <c r="Q918" s="873"/>
      <c r="R918" s="873"/>
      <c r="S918" s="873"/>
      <c r="T918" s="873"/>
      <c r="U918" s="873"/>
      <c r="V918" s="873"/>
      <c r="W918" s="873"/>
      <c r="X918" s="873"/>
      <c r="Y918" s="873"/>
    </row>
    <row r="919">
      <c r="A919" s="873"/>
      <c r="B919" s="873"/>
      <c r="C919" s="873"/>
      <c r="D919" s="873"/>
      <c r="E919" s="873"/>
      <c r="F919" s="873"/>
      <c r="G919" s="873"/>
      <c r="H919" s="873"/>
      <c r="I919" s="873"/>
      <c r="J919" s="873"/>
      <c r="K919" s="873"/>
      <c r="L919" s="873"/>
      <c r="M919" s="873"/>
      <c r="N919" s="873"/>
      <c r="O919" s="873"/>
      <c r="P919" s="873"/>
      <c r="Q919" s="873"/>
      <c r="R919" s="873"/>
      <c r="S919" s="873"/>
      <c r="T919" s="873"/>
      <c r="U919" s="873"/>
      <c r="V919" s="873"/>
      <c r="W919" s="873"/>
      <c r="X919" s="873"/>
      <c r="Y919" s="873"/>
    </row>
    <row r="920">
      <c r="A920" s="873"/>
      <c r="B920" s="873"/>
      <c r="C920" s="873"/>
      <c r="D920" s="873"/>
      <c r="E920" s="873"/>
      <c r="F920" s="873"/>
      <c r="G920" s="873"/>
      <c r="H920" s="873"/>
      <c r="I920" s="873"/>
      <c r="J920" s="873"/>
      <c r="K920" s="873"/>
      <c r="L920" s="873"/>
      <c r="M920" s="873"/>
      <c r="N920" s="873"/>
      <c r="O920" s="873"/>
      <c r="P920" s="873"/>
      <c r="Q920" s="873"/>
      <c r="R920" s="873"/>
      <c r="S920" s="873"/>
      <c r="T920" s="873"/>
      <c r="U920" s="873"/>
      <c r="V920" s="873"/>
      <c r="W920" s="873"/>
      <c r="X920" s="873"/>
      <c r="Y920" s="873"/>
    </row>
    <row r="921">
      <c r="A921" s="873"/>
      <c r="B921" s="873"/>
      <c r="C921" s="873"/>
      <c r="D921" s="873"/>
      <c r="E921" s="873"/>
      <c r="F921" s="873"/>
      <c r="G921" s="873"/>
      <c r="H921" s="873"/>
      <c r="I921" s="873"/>
      <c r="J921" s="873"/>
      <c r="K921" s="873"/>
      <c r="L921" s="873"/>
      <c r="M921" s="873"/>
      <c r="N921" s="873"/>
      <c r="O921" s="873"/>
      <c r="P921" s="873"/>
      <c r="Q921" s="873"/>
      <c r="R921" s="873"/>
      <c r="S921" s="873"/>
      <c r="T921" s="873"/>
      <c r="U921" s="873"/>
      <c r="V921" s="873"/>
      <c r="W921" s="873"/>
      <c r="X921" s="873"/>
      <c r="Y921" s="873"/>
    </row>
    <row r="922">
      <c r="A922" s="873"/>
      <c r="B922" s="873"/>
      <c r="C922" s="873"/>
      <c r="D922" s="873"/>
      <c r="E922" s="873"/>
      <c r="F922" s="873"/>
      <c r="G922" s="873"/>
      <c r="H922" s="873"/>
      <c r="I922" s="873"/>
      <c r="J922" s="873"/>
      <c r="K922" s="873"/>
      <c r="L922" s="873"/>
      <c r="M922" s="873"/>
      <c r="N922" s="873"/>
      <c r="O922" s="873"/>
      <c r="P922" s="873"/>
      <c r="Q922" s="873"/>
      <c r="R922" s="873"/>
      <c r="S922" s="873"/>
      <c r="T922" s="873"/>
      <c r="U922" s="873"/>
      <c r="V922" s="873"/>
      <c r="W922" s="873"/>
      <c r="X922" s="873"/>
      <c r="Y922" s="873"/>
    </row>
    <row r="923">
      <c r="A923" s="873"/>
      <c r="B923" s="873"/>
      <c r="C923" s="873"/>
      <c r="D923" s="873"/>
      <c r="E923" s="873"/>
      <c r="F923" s="873"/>
      <c r="G923" s="873"/>
      <c r="H923" s="873"/>
      <c r="I923" s="873"/>
      <c r="J923" s="873"/>
      <c r="K923" s="873"/>
      <c r="L923" s="873"/>
      <c r="M923" s="873"/>
      <c r="N923" s="873"/>
      <c r="O923" s="873"/>
      <c r="P923" s="873"/>
      <c r="Q923" s="873"/>
      <c r="R923" s="873"/>
      <c r="S923" s="873"/>
      <c r="T923" s="873"/>
      <c r="U923" s="873"/>
      <c r="V923" s="873"/>
      <c r="W923" s="873"/>
      <c r="X923" s="873"/>
      <c r="Y923" s="873"/>
    </row>
    <row r="924">
      <c r="A924" s="873"/>
      <c r="B924" s="873"/>
      <c r="C924" s="873"/>
      <c r="D924" s="873"/>
      <c r="E924" s="873"/>
      <c r="F924" s="873"/>
      <c r="G924" s="873"/>
      <c r="H924" s="873"/>
      <c r="I924" s="873"/>
      <c r="J924" s="873"/>
      <c r="K924" s="873"/>
      <c r="L924" s="873"/>
      <c r="M924" s="873"/>
      <c r="N924" s="873"/>
      <c r="O924" s="873"/>
      <c r="P924" s="873"/>
      <c r="Q924" s="873"/>
      <c r="R924" s="873"/>
      <c r="S924" s="873"/>
      <c r="T924" s="873"/>
      <c r="U924" s="873"/>
      <c r="V924" s="873"/>
      <c r="W924" s="873"/>
      <c r="X924" s="873"/>
      <c r="Y924" s="873"/>
    </row>
    <row r="925">
      <c r="A925" s="873"/>
      <c r="B925" s="873"/>
      <c r="C925" s="873"/>
      <c r="D925" s="873"/>
      <c r="E925" s="873"/>
      <c r="F925" s="873"/>
      <c r="G925" s="873"/>
      <c r="H925" s="873"/>
      <c r="I925" s="873"/>
      <c r="J925" s="873"/>
      <c r="K925" s="873"/>
      <c r="L925" s="873"/>
      <c r="M925" s="873"/>
      <c r="N925" s="873"/>
      <c r="O925" s="873"/>
      <c r="P925" s="873"/>
      <c r="Q925" s="873"/>
      <c r="R925" s="873"/>
      <c r="S925" s="873"/>
      <c r="T925" s="873"/>
      <c r="U925" s="873"/>
      <c r="V925" s="873"/>
      <c r="W925" s="873"/>
      <c r="X925" s="873"/>
      <c r="Y925" s="873"/>
    </row>
    <row r="926">
      <c r="A926" s="873"/>
      <c r="B926" s="873"/>
      <c r="C926" s="873"/>
      <c r="D926" s="873"/>
      <c r="E926" s="873"/>
      <c r="F926" s="873"/>
      <c r="G926" s="873"/>
      <c r="H926" s="873"/>
      <c r="I926" s="873"/>
      <c r="J926" s="873"/>
      <c r="K926" s="873"/>
      <c r="L926" s="873"/>
      <c r="M926" s="873"/>
      <c r="N926" s="873"/>
      <c r="O926" s="873"/>
      <c r="P926" s="873"/>
      <c r="Q926" s="873"/>
      <c r="R926" s="873"/>
      <c r="S926" s="873"/>
      <c r="T926" s="873"/>
      <c r="U926" s="873"/>
      <c r="V926" s="873"/>
      <c r="W926" s="873"/>
      <c r="X926" s="873"/>
      <c r="Y926" s="873"/>
    </row>
    <row r="927">
      <c r="A927" s="873"/>
      <c r="B927" s="873"/>
      <c r="C927" s="873"/>
      <c r="D927" s="873"/>
      <c r="E927" s="873"/>
      <c r="F927" s="873"/>
      <c r="G927" s="873"/>
      <c r="H927" s="873"/>
      <c r="I927" s="873"/>
      <c r="J927" s="873"/>
      <c r="K927" s="873"/>
      <c r="L927" s="873"/>
      <c r="M927" s="873"/>
      <c r="N927" s="873"/>
      <c r="O927" s="873"/>
      <c r="P927" s="873"/>
      <c r="Q927" s="873"/>
      <c r="R927" s="873"/>
      <c r="S927" s="873"/>
      <c r="T927" s="873"/>
      <c r="U927" s="873"/>
      <c r="V927" s="873"/>
      <c r="W927" s="873"/>
      <c r="X927" s="873"/>
      <c r="Y927" s="873"/>
    </row>
    <row r="928">
      <c r="A928" s="873"/>
      <c r="B928" s="873"/>
      <c r="C928" s="873"/>
      <c r="D928" s="873"/>
      <c r="E928" s="873"/>
      <c r="F928" s="873"/>
      <c r="G928" s="873"/>
      <c r="H928" s="873"/>
      <c r="I928" s="873"/>
      <c r="J928" s="873"/>
      <c r="K928" s="873"/>
      <c r="L928" s="873"/>
      <c r="M928" s="873"/>
      <c r="N928" s="873"/>
      <c r="O928" s="873"/>
      <c r="P928" s="873"/>
      <c r="Q928" s="873"/>
      <c r="R928" s="873"/>
      <c r="S928" s="873"/>
      <c r="T928" s="873"/>
      <c r="U928" s="873"/>
      <c r="V928" s="873"/>
      <c r="W928" s="873"/>
      <c r="X928" s="873"/>
      <c r="Y928" s="873"/>
    </row>
    <row r="929">
      <c r="A929" s="873"/>
      <c r="B929" s="873"/>
      <c r="C929" s="873"/>
      <c r="D929" s="873"/>
      <c r="E929" s="873"/>
      <c r="F929" s="873"/>
      <c r="G929" s="873"/>
      <c r="H929" s="873"/>
      <c r="I929" s="873"/>
      <c r="J929" s="873"/>
      <c r="K929" s="873"/>
      <c r="L929" s="873"/>
      <c r="M929" s="873"/>
      <c r="N929" s="873"/>
      <c r="O929" s="873"/>
      <c r="P929" s="873"/>
      <c r="Q929" s="873"/>
      <c r="R929" s="873"/>
      <c r="S929" s="873"/>
      <c r="T929" s="873"/>
      <c r="U929" s="873"/>
      <c r="V929" s="873"/>
      <c r="W929" s="873"/>
      <c r="X929" s="873"/>
      <c r="Y929" s="873"/>
    </row>
    <row r="930">
      <c r="A930" s="873"/>
      <c r="B930" s="873"/>
      <c r="C930" s="873"/>
      <c r="D930" s="873"/>
      <c r="E930" s="873"/>
      <c r="F930" s="873"/>
      <c r="G930" s="873"/>
      <c r="H930" s="873"/>
      <c r="I930" s="873"/>
      <c r="J930" s="873"/>
      <c r="K930" s="873"/>
      <c r="L930" s="873"/>
      <c r="M930" s="873"/>
      <c r="N930" s="873"/>
      <c r="O930" s="873"/>
      <c r="P930" s="873"/>
      <c r="Q930" s="873"/>
      <c r="R930" s="873"/>
      <c r="S930" s="873"/>
      <c r="T930" s="873"/>
      <c r="U930" s="873"/>
      <c r="V930" s="873"/>
      <c r="W930" s="873"/>
      <c r="X930" s="873"/>
      <c r="Y930" s="873"/>
    </row>
    <row r="931">
      <c r="A931" s="873"/>
      <c r="B931" s="873"/>
      <c r="C931" s="873"/>
      <c r="D931" s="873"/>
      <c r="E931" s="873"/>
      <c r="F931" s="873"/>
      <c r="G931" s="873"/>
      <c r="H931" s="873"/>
      <c r="I931" s="873"/>
      <c r="J931" s="873"/>
      <c r="K931" s="873"/>
      <c r="L931" s="873"/>
      <c r="M931" s="873"/>
      <c r="N931" s="873"/>
      <c r="O931" s="873"/>
      <c r="P931" s="873"/>
      <c r="Q931" s="873"/>
      <c r="R931" s="873"/>
      <c r="S931" s="873"/>
      <c r="T931" s="873"/>
      <c r="U931" s="873"/>
      <c r="V931" s="873"/>
      <c r="W931" s="873"/>
      <c r="X931" s="873"/>
      <c r="Y931" s="873"/>
    </row>
    <row r="932">
      <c r="A932" s="873"/>
      <c r="B932" s="873"/>
      <c r="C932" s="873"/>
      <c r="D932" s="873"/>
      <c r="E932" s="873"/>
      <c r="F932" s="873"/>
      <c r="G932" s="873"/>
      <c r="H932" s="873"/>
      <c r="I932" s="873"/>
      <c r="J932" s="873"/>
      <c r="K932" s="873"/>
      <c r="L932" s="873"/>
      <c r="M932" s="873"/>
      <c r="N932" s="873"/>
      <c r="O932" s="873"/>
      <c r="P932" s="873"/>
      <c r="Q932" s="873"/>
      <c r="R932" s="873"/>
      <c r="S932" s="873"/>
      <c r="T932" s="873"/>
      <c r="U932" s="873"/>
      <c r="V932" s="873"/>
      <c r="W932" s="873"/>
      <c r="X932" s="873"/>
      <c r="Y932" s="873"/>
    </row>
    <row r="933">
      <c r="A933" s="873"/>
      <c r="B933" s="873"/>
      <c r="C933" s="873"/>
      <c r="D933" s="873"/>
      <c r="E933" s="873"/>
      <c r="F933" s="873"/>
      <c r="G933" s="873"/>
      <c r="H933" s="873"/>
      <c r="I933" s="873"/>
      <c r="J933" s="873"/>
      <c r="K933" s="873"/>
      <c r="L933" s="873"/>
      <c r="M933" s="873"/>
      <c r="N933" s="873"/>
      <c r="O933" s="873"/>
      <c r="P933" s="873"/>
      <c r="Q933" s="873"/>
      <c r="R933" s="873"/>
      <c r="S933" s="873"/>
      <c r="T933" s="873"/>
      <c r="U933" s="873"/>
      <c r="V933" s="873"/>
      <c r="W933" s="873"/>
      <c r="X933" s="873"/>
      <c r="Y933" s="873"/>
    </row>
    <row r="934">
      <c r="A934" s="873"/>
      <c r="B934" s="873"/>
      <c r="C934" s="873"/>
      <c r="D934" s="873"/>
      <c r="E934" s="873"/>
      <c r="F934" s="873"/>
      <c r="G934" s="873"/>
      <c r="H934" s="873"/>
      <c r="I934" s="873"/>
      <c r="J934" s="873"/>
      <c r="K934" s="873"/>
      <c r="L934" s="873"/>
      <c r="M934" s="873"/>
      <c r="N934" s="873"/>
      <c r="O934" s="873"/>
      <c r="P934" s="873"/>
      <c r="Q934" s="873"/>
      <c r="R934" s="873"/>
      <c r="S934" s="873"/>
      <c r="T934" s="873"/>
      <c r="U934" s="873"/>
      <c r="V934" s="873"/>
      <c r="W934" s="873"/>
      <c r="X934" s="873"/>
      <c r="Y934" s="873"/>
    </row>
    <row r="935">
      <c r="A935" s="873"/>
      <c r="B935" s="873"/>
      <c r="C935" s="873"/>
      <c r="D935" s="873"/>
      <c r="E935" s="873"/>
      <c r="F935" s="873"/>
      <c r="G935" s="873"/>
      <c r="H935" s="873"/>
      <c r="I935" s="873"/>
      <c r="J935" s="873"/>
      <c r="K935" s="873"/>
      <c r="L935" s="873"/>
      <c r="M935" s="873"/>
      <c r="N935" s="873"/>
      <c r="O935" s="873"/>
      <c r="P935" s="873"/>
      <c r="Q935" s="873"/>
      <c r="R935" s="873"/>
      <c r="S935" s="873"/>
      <c r="T935" s="873"/>
      <c r="U935" s="873"/>
      <c r="V935" s="873"/>
      <c r="W935" s="873"/>
      <c r="X935" s="873"/>
      <c r="Y935" s="873"/>
    </row>
    <row r="936">
      <c r="A936" s="873"/>
      <c r="B936" s="873"/>
      <c r="C936" s="873"/>
      <c r="D936" s="873"/>
      <c r="E936" s="873"/>
      <c r="F936" s="873"/>
      <c r="G936" s="873"/>
      <c r="H936" s="873"/>
      <c r="I936" s="873"/>
      <c r="J936" s="873"/>
      <c r="K936" s="873"/>
      <c r="L936" s="873"/>
      <c r="M936" s="873"/>
      <c r="N936" s="873"/>
      <c r="O936" s="873"/>
      <c r="P936" s="873"/>
      <c r="Q936" s="873"/>
      <c r="R936" s="873"/>
      <c r="S936" s="873"/>
      <c r="T936" s="873"/>
      <c r="U936" s="873"/>
      <c r="V936" s="873"/>
      <c r="W936" s="873"/>
      <c r="X936" s="873"/>
      <c r="Y936" s="873"/>
    </row>
    <row r="937">
      <c r="A937" s="873"/>
      <c r="B937" s="873"/>
      <c r="C937" s="873"/>
      <c r="D937" s="873"/>
      <c r="E937" s="873"/>
      <c r="F937" s="873"/>
      <c r="G937" s="873"/>
      <c r="H937" s="873"/>
      <c r="I937" s="873"/>
      <c r="J937" s="873"/>
      <c r="K937" s="873"/>
      <c r="L937" s="873"/>
      <c r="M937" s="873"/>
      <c r="N937" s="873"/>
      <c r="O937" s="873"/>
      <c r="P937" s="873"/>
      <c r="Q937" s="873"/>
      <c r="R937" s="873"/>
      <c r="S937" s="873"/>
      <c r="T937" s="873"/>
      <c r="U937" s="873"/>
      <c r="V937" s="873"/>
      <c r="W937" s="873"/>
      <c r="X937" s="873"/>
      <c r="Y937" s="873"/>
    </row>
    <row r="938">
      <c r="A938" s="873"/>
      <c r="B938" s="873"/>
      <c r="C938" s="873"/>
      <c r="D938" s="873"/>
      <c r="E938" s="873"/>
      <c r="F938" s="873"/>
      <c r="G938" s="873"/>
      <c r="H938" s="873"/>
      <c r="I938" s="873"/>
      <c r="J938" s="873"/>
      <c r="K938" s="873"/>
      <c r="L938" s="873"/>
      <c r="M938" s="873"/>
      <c r="N938" s="873"/>
      <c r="O938" s="873"/>
      <c r="P938" s="873"/>
      <c r="Q938" s="873"/>
      <c r="R938" s="873"/>
      <c r="S938" s="873"/>
      <c r="T938" s="873"/>
      <c r="U938" s="873"/>
      <c r="V938" s="873"/>
      <c r="W938" s="873"/>
      <c r="X938" s="873"/>
      <c r="Y938" s="873"/>
    </row>
    <row r="939">
      <c r="A939" s="873"/>
      <c r="B939" s="873"/>
      <c r="C939" s="873"/>
      <c r="D939" s="873"/>
      <c r="E939" s="873"/>
      <c r="F939" s="873"/>
      <c r="G939" s="873"/>
      <c r="H939" s="873"/>
      <c r="I939" s="873"/>
      <c r="J939" s="873"/>
      <c r="K939" s="873"/>
      <c r="L939" s="873"/>
      <c r="M939" s="873"/>
      <c r="N939" s="873"/>
      <c r="O939" s="873"/>
      <c r="P939" s="873"/>
      <c r="Q939" s="873"/>
      <c r="R939" s="873"/>
      <c r="S939" s="873"/>
      <c r="T939" s="873"/>
      <c r="U939" s="873"/>
      <c r="V939" s="873"/>
      <c r="W939" s="873"/>
      <c r="X939" s="873"/>
      <c r="Y939" s="873"/>
    </row>
    <row r="940">
      <c r="A940" s="873"/>
      <c r="B940" s="873"/>
      <c r="C940" s="873"/>
      <c r="D940" s="873"/>
      <c r="E940" s="873"/>
      <c r="F940" s="873"/>
      <c r="G940" s="873"/>
      <c r="H940" s="873"/>
      <c r="I940" s="873"/>
      <c r="J940" s="873"/>
      <c r="K940" s="873"/>
      <c r="L940" s="873"/>
      <c r="M940" s="873"/>
      <c r="N940" s="873"/>
      <c r="O940" s="873"/>
      <c r="P940" s="873"/>
      <c r="Q940" s="873"/>
      <c r="R940" s="873"/>
      <c r="S940" s="873"/>
      <c r="T940" s="873"/>
      <c r="U940" s="873"/>
      <c r="V940" s="873"/>
      <c r="W940" s="873"/>
      <c r="X940" s="873"/>
      <c r="Y940" s="873"/>
    </row>
    <row r="941">
      <c r="A941" s="873"/>
      <c r="B941" s="873"/>
      <c r="C941" s="873"/>
      <c r="D941" s="873"/>
      <c r="E941" s="873"/>
      <c r="F941" s="873"/>
      <c r="G941" s="873"/>
      <c r="H941" s="873"/>
      <c r="I941" s="873"/>
      <c r="J941" s="873"/>
      <c r="K941" s="873"/>
      <c r="L941" s="873"/>
      <c r="M941" s="873"/>
      <c r="N941" s="873"/>
      <c r="O941" s="873"/>
      <c r="P941" s="873"/>
      <c r="Q941" s="873"/>
      <c r="R941" s="873"/>
      <c r="S941" s="873"/>
      <c r="T941" s="873"/>
      <c r="U941" s="873"/>
      <c r="V941" s="873"/>
      <c r="W941" s="873"/>
      <c r="X941" s="873"/>
      <c r="Y941" s="873"/>
    </row>
    <row r="942">
      <c r="A942" s="873"/>
      <c r="B942" s="873"/>
      <c r="C942" s="873"/>
      <c r="D942" s="873"/>
      <c r="E942" s="873"/>
      <c r="F942" s="873"/>
      <c r="G942" s="873"/>
      <c r="H942" s="873"/>
      <c r="I942" s="873"/>
      <c r="J942" s="873"/>
      <c r="K942" s="873"/>
      <c r="L942" s="873"/>
      <c r="M942" s="873"/>
      <c r="N942" s="873"/>
      <c r="O942" s="873"/>
      <c r="P942" s="873"/>
      <c r="Q942" s="873"/>
      <c r="R942" s="873"/>
      <c r="S942" s="873"/>
      <c r="T942" s="873"/>
      <c r="U942" s="873"/>
      <c r="V942" s="873"/>
      <c r="W942" s="873"/>
      <c r="X942" s="873"/>
      <c r="Y942" s="873"/>
    </row>
    <row r="943">
      <c r="A943" s="873"/>
      <c r="B943" s="873"/>
      <c r="C943" s="873"/>
      <c r="D943" s="873"/>
      <c r="E943" s="873"/>
      <c r="F943" s="873"/>
      <c r="G943" s="873"/>
      <c r="H943" s="873"/>
      <c r="I943" s="873"/>
      <c r="J943" s="873"/>
      <c r="K943" s="873"/>
      <c r="L943" s="873"/>
      <c r="M943" s="873"/>
      <c r="N943" s="873"/>
      <c r="O943" s="873"/>
      <c r="P943" s="873"/>
      <c r="Q943" s="873"/>
      <c r="R943" s="873"/>
      <c r="S943" s="873"/>
      <c r="T943" s="873"/>
      <c r="U943" s="873"/>
      <c r="V943" s="873"/>
      <c r="W943" s="873"/>
      <c r="X943" s="873"/>
      <c r="Y943" s="873"/>
    </row>
    <row r="944">
      <c r="A944" s="873"/>
      <c r="B944" s="873"/>
      <c r="C944" s="873"/>
      <c r="D944" s="873"/>
      <c r="E944" s="873"/>
      <c r="F944" s="873"/>
      <c r="G944" s="873"/>
      <c r="H944" s="873"/>
      <c r="I944" s="873"/>
      <c r="J944" s="873"/>
      <c r="K944" s="873"/>
      <c r="L944" s="873"/>
      <c r="M944" s="873"/>
      <c r="N944" s="873"/>
      <c r="O944" s="873"/>
      <c r="P944" s="873"/>
      <c r="Q944" s="873"/>
      <c r="R944" s="873"/>
      <c r="S944" s="873"/>
      <c r="T944" s="873"/>
      <c r="U944" s="873"/>
      <c r="V944" s="873"/>
      <c r="W944" s="873"/>
      <c r="X944" s="873"/>
      <c r="Y944" s="873"/>
    </row>
    <row r="945">
      <c r="A945" s="873"/>
      <c r="B945" s="873"/>
      <c r="C945" s="873"/>
      <c r="D945" s="873"/>
      <c r="E945" s="873"/>
      <c r="F945" s="873"/>
      <c r="G945" s="873"/>
      <c r="H945" s="873"/>
      <c r="I945" s="873"/>
      <c r="J945" s="873"/>
      <c r="K945" s="873"/>
      <c r="L945" s="873"/>
      <c r="M945" s="873"/>
      <c r="N945" s="873"/>
      <c r="O945" s="873"/>
      <c r="P945" s="873"/>
      <c r="Q945" s="873"/>
      <c r="R945" s="873"/>
      <c r="S945" s="873"/>
      <c r="T945" s="873"/>
      <c r="U945" s="873"/>
      <c r="V945" s="873"/>
      <c r="W945" s="873"/>
      <c r="X945" s="873"/>
      <c r="Y945" s="873"/>
    </row>
    <row r="946">
      <c r="A946" s="873"/>
      <c r="B946" s="873"/>
      <c r="C946" s="873"/>
      <c r="D946" s="873"/>
      <c r="E946" s="873"/>
      <c r="F946" s="873"/>
      <c r="G946" s="873"/>
      <c r="H946" s="873"/>
      <c r="I946" s="873"/>
      <c r="J946" s="873"/>
      <c r="K946" s="873"/>
      <c r="L946" s="873"/>
      <c r="M946" s="873"/>
      <c r="N946" s="873"/>
      <c r="O946" s="873"/>
      <c r="P946" s="873"/>
      <c r="Q946" s="873"/>
      <c r="R946" s="873"/>
      <c r="S946" s="873"/>
      <c r="T946" s="873"/>
      <c r="U946" s="873"/>
      <c r="V946" s="873"/>
      <c r="W946" s="873"/>
      <c r="X946" s="873"/>
      <c r="Y946" s="873"/>
    </row>
    <row r="947">
      <c r="A947" s="873"/>
      <c r="B947" s="873"/>
      <c r="C947" s="873"/>
      <c r="D947" s="873"/>
      <c r="E947" s="873"/>
      <c r="F947" s="873"/>
      <c r="G947" s="873"/>
      <c r="H947" s="873"/>
      <c r="I947" s="873"/>
      <c r="J947" s="873"/>
      <c r="K947" s="873"/>
      <c r="L947" s="873"/>
      <c r="M947" s="873"/>
      <c r="N947" s="873"/>
      <c r="O947" s="873"/>
      <c r="P947" s="873"/>
      <c r="Q947" s="873"/>
      <c r="R947" s="873"/>
      <c r="S947" s="873"/>
      <c r="T947" s="873"/>
      <c r="U947" s="873"/>
      <c r="V947" s="873"/>
      <c r="W947" s="873"/>
      <c r="X947" s="873"/>
      <c r="Y947" s="873"/>
    </row>
    <row r="948">
      <c r="A948" s="873"/>
      <c r="B948" s="873"/>
      <c r="C948" s="873"/>
      <c r="D948" s="873"/>
      <c r="E948" s="873"/>
      <c r="F948" s="873"/>
      <c r="G948" s="873"/>
      <c r="H948" s="873"/>
      <c r="I948" s="873"/>
      <c r="J948" s="873"/>
      <c r="K948" s="873"/>
      <c r="L948" s="873"/>
      <c r="M948" s="873"/>
      <c r="N948" s="873"/>
      <c r="O948" s="873"/>
      <c r="P948" s="873"/>
      <c r="Q948" s="873"/>
      <c r="R948" s="873"/>
      <c r="S948" s="873"/>
      <c r="T948" s="873"/>
      <c r="U948" s="873"/>
      <c r="V948" s="873"/>
      <c r="W948" s="873"/>
      <c r="X948" s="873"/>
      <c r="Y948" s="873"/>
    </row>
    <row r="949">
      <c r="A949" s="873"/>
      <c r="B949" s="873"/>
      <c r="C949" s="873"/>
      <c r="D949" s="873"/>
      <c r="E949" s="873"/>
      <c r="F949" s="873"/>
      <c r="G949" s="873"/>
      <c r="H949" s="873"/>
      <c r="I949" s="873"/>
      <c r="J949" s="873"/>
      <c r="K949" s="873"/>
      <c r="L949" s="873"/>
      <c r="M949" s="873"/>
      <c r="N949" s="873"/>
      <c r="O949" s="873"/>
      <c r="P949" s="873"/>
      <c r="Q949" s="873"/>
      <c r="R949" s="873"/>
      <c r="S949" s="873"/>
      <c r="T949" s="873"/>
      <c r="U949" s="873"/>
      <c r="V949" s="873"/>
      <c r="W949" s="873"/>
      <c r="X949" s="873"/>
      <c r="Y949" s="873"/>
    </row>
    <row r="950">
      <c r="A950" s="873"/>
      <c r="B950" s="873"/>
      <c r="C950" s="873"/>
      <c r="D950" s="873"/>
      <c r="E950" s="873"/>
      <c r="F950" s="873"/>
      <c r="G950" s="873"/>
      <c r="H950" s="873"/>
      <c r="I950" s="873"/>
      <c r="J950" s="873"/>
      <c r="K950" s="873"/>
      <c r="L950" s="873"/>
      <c r="M950" s="873"/>
      <c r="N950" s="873"/>
      <c r="O950" s="873"/>
      <c r="P950" s="873"/>
      <c r="Q950" s="873"/>
      <c r="R950" s="873"/>
      <c r="S950" s="873"/>
      <c r="T950" s="873"/>
      <c r="U950" s="873"/>
      <c r="V950" s="873"/>
      <c r="W950" s="873"/>
      <c r="X950" s="873"/>
      <c r="Y950" s="873"/>
    </row>
    <row r="951">
      <c r="A951" s="873"/>
      <c r="B951" s="873"/>
      <c r="C951" s="873"/>
      <c r="D951" s="873"/>
      <c r="E951" s="873"/>
      <c r="F951" s="873"/>
      <c r="G951" s="873"/>
      <c r="H951" s="873"/>
      <c r="I951" s="873"/>
      <c r="J951" s="873"/>
      <c r="K951" s="873"/>
      <c r="L951" s="873"/>
      <c r="M951" s="873"/>
      <c r="N951" s="873"/>
      <c r="O951" s="873"/>
      <c r="P951" s="873"/>
      <c r="Q951" s="873"/>
      <c r="R951" s="873"/>
      <c r="S951" s="873"/>
      <c r="T951" s="873"/>
      <c r="U951" s="873"/>
      <c r="V951" s="873"/>
      <c r="W951" s="873"/>
      <c r="X951" s="873"/>
      <c r="Y951" s="873"/>
    </row>
    <row r="952">
      <c r="A952" s="873"/>
      <c r="B952" s="873"/>
      <c r="C952" s="873"/>
      <c r="D952" s="873"/>
      <c r="E952" s="873"/>
      <c r="F952" s="873"/>
      <c r="G952" s="873"/>
      <c r="H952" s="873"/>
      <c r="I952" s="873"/>
      <c r="J952" s="873"/>
      <c r="K952" s="873"/>
      <c r="L952" s="873"/>
      <c r="M952" s="873"/>
      <c r="N952" s="873"/>
      <c r="O952" s="873"/>
      <c r="P952" s="873"/>
      <c r="Q952" s="873"/>
      <c r="R952" s="873"/>
      <c r="S952" s="873"/>
      <c r="T952" s="873"/>
      <c r="U952" s="873"/>
      <c r="V952" s="873"/>
      <c r="W952" s="873"/>
      <c r="X952" s="873"/>
      <c r="Y952" s="873"/>
    </row>
    <row r="953">
      <c r="A953" s="873"/>
      <c r="B953" s="873"/>
      <c r="C953" s="873"/>
      <c r="D953" s="873"/>
      <c r="E953" s="873"/>
      <c r="F953" s="873"/>
      <c r="G953" s="873"/>
      <c r="H953" s="873"/>
      <c r="I953" s="873"/>
      <c r="J953" s="873"/>
      <c r="K953" s="873"/>
      <c r="L953" s="873"/>
      <c r="M953" s="873"/>
      <c r="N953" s="873"/>
      <c r="O953" s="873"/>
      <c r="P953" s="873"/>
      <c r="Q953" s="873"/>
      <c r="R953" s="873"/>
      <c r="S953" s="873"/>
      <c r="T953" s="873"/>
      <c r="U953" s="873"/>
      <c r="V953" s="873"/>
      <c r="W953" s="873"/>
      <c r="X953" s="873"/>
      <c r="Y953" s="873"/>
    </row>
    <row r="954">
      <c r="A954" s="873"/>
      <c r="B954" s="873"/>
      <c r="C954" s="873"/>
      <c r="D954" s="873"/>
      <c r="E954" s="873"/>
      <c r="F954" s="873"/>
      <c r="G954" s="873"/>
      <c r="H954" s="873"/>
      <c r="I954" s="873"/>
      <c r="J954" s="873"/>
      <c r="K954" s="873"/>
      <c r="L954" s="873"/>
      <c r="M954" s="873"/>
      <c r="N954" s="873"/>
      <c r="O954" s="873"/>
      <c r="P954" s="873"/>
      <c r="Q954" s="873"/>
      <c r="R954" s="873"/>
      <c r="S954" s="873"/>
      <c r="T954" s="873"/>
      <c r="U954" s="873"/>
      <c r="V954" s="873"/>
      <c r="W954" s="873"/>
      <c r="X954" s="873"/>
      <c r="Y954" s="873"/>
    </row>
    <row r="955">
      <c r="A955" s="873"/>
      <c r="B955" s="873"/>
      <c r="C955" s="873"/>
      <c r="D955" s="873"/>
      <c r="E955" s="873"/>
      <c r="F955" s="873"/>
      <c r="G955" s="873"/>
      <c r="H955" s="873"/>
      <c r="I955" s="873"/>
      <c r="J955" s="873"/>
      <c r="K955" s="873"/>
      <c r="L955" s="873"/>
      <c r="M955" s="873"/>
      <c r="N955" s="873"/>
      <c r="O955" s="873"/>
      <c r="P955" s="873"/>
      <c r="Q955" s="873"/>
      <c r="R955" s="873"/>
      <c r="S955" s="873"/>
      <c r="T955" s="873"/>
      <c r="U955" s="873"/>
      <c r="V955" s="873"/>
      <c r="W955" s="873"/>
      <c r="X955" s="873"/>
      <c r="Y955" s="873"/>
    </row>
    <row r="956">
      <c r="A956" s="873"/>
      <c r="B956" s="873"/>
      <c r="C956" s="873"/>
      <c r="D956" s="873"/>
      <c r="E956" s="873"/>
      <c r="F956" s="873"/>
      <c r="G956" s="873"/>
      <c r="H956" s="873"/>
      <c r="I956" s="873"/>
      <c r="J956" s="873"/>
      <c r="K956" s="873"/>
      <c r="L956" s="873"/>
      <c r="M956" s="873"/>
      <c r="N956" s="873"/>
      <c r="O956" s="873"/>
      <c r="P956" s="873"/>
      <c r="Q956" s="873"/>
      <c r="R956" s="873"/>
      <c r="S956" s="873"/>
      <c r="T956" s="873"/>
      <c r="U956" s="873"/>
      <c r="V956" s="873"/>
      <c r="W956" s="873"/>
      <c r="X956" s="873"/>
      <c r="Y956" s="873"/>
    </row>
    <row r="957">
      <c r="A957" s="873"/>
      <c r="B957" s="873"/>
      <c r="C957" s="873"/>
      <c r="D957" s="873"/>
      <c r="E957" s="873"/>
      <c r="F957" s="873"/>
      <c r="G957" s="873"/>
      <c r="H957" s="873"/>
      <c r="I957" s="873"/>
      <c r="J957" s="873"/>
      <c r="K957" s="873"/>
      <c r="L957" s="873"/>
      <c r="M957" s="873"/>
      <c r="N957" s="873"/>
      <c r="O957" s="873"/>
      <c r="P957" s="873"/>
      <c r="Q957" s="873"/>
      <c r="R957" s="873"/>
      <c r="S957" s="873"/>
      <c r="T957" s="873"/>
      <c r="U957" s="873"/>
      <c r="V957" s="873"/>
      <c r="W957" s="873"/>
      <c r="X957" s="873"/>
      <c r="Y957" s="873"/>
    </row>
    <row r="958">
      <c r="A958" s="873"/>
      <c r="B958" s="873"/>
      <c r="C958" s="873"/>
      <c r="D958" s="873"/>
      <c r="E958" s="873"/>
      <c r="F958" s="873"/>
      <c r="G958" s="873"/>
      <c r="H958" s="873"/>
      <c r="I958" s="873"/>
      <c r="J958" s="873"/>
      <c r="K958" s="873"/>
      <c r="L958" s="873"/>
      <c r="M958" s="873"/>
      <c r="N958" s="873"/>
      <c r="O958" s="873"/>
      <c r="P958" s="873"/>
      <c r="Q958" s="873"/>
      <c r="R958" s="873"/>
      <c r="S958" s="873"/>
      <c r="T958" s="873"/>
      <c r="U958" s="873"/>
      <c r="V958" s="873"/>
      <c r="W958" s="873"/>
      <c r="X958" s="873"/>
      <c r="Y958" s="873"/>
    </row>
    <row r="959">
      <c r="A959" s="873"/>
      <c r="B959" s="873"/>
      <c r="C959" s="873"/>
      <c r="D959" s="873"/>
      <c r="E959" s="873"/>
      <c r="F959" s="873"/>
      <c r="G959" s="873"/>
      <c r="H959" s="873"/>
      <c r="I959" s="873"/>
      <c r="J959" s="873"/>
      <c r="K959" s="873"/>
      <c r="L959" s="873"/>
      <c r="M959" s="873"/>
      <c r="N959" s="873"/>
      <c r="O959" s="873"/>
      <c r="P959" s="873"/>
      <c r="Q959" s="873"/>
      <c r="R959" s="873"/>
      <c r="S959" s="873"/>
      <c r="T959" s="873"/>
      <c r="U959" s="873"/>
      <c r="V959" s="873"/>
      <c r="W959" s="873"/>
      <c r="X959" s="873"/>
      <c r="Y959" s="873"/>
    </row>
    <row r="960">
      <c r="A960" s="873"/>
      <c r="B960" s="873"/>
      <c r="C960" s="873"/>
      <c r="D960" s="873"/>
      <c r="E960" s="873"/>
      <c r="F960" s="873"/>
      <c r="G960" s="873"/>
      <c r="H960" s="873"/>
      <c r="I960" s="873"/>
      <c r="J960" s="873"/>
      <c r="K960" s="873"/>
      <c r="L960" s="873"/>
      <c r="M960" s="873"/>
      <c r="N960" s="873"/>
      <c r="O960" s="873"/>
      <c r="P960" s="873"/>
      <c r="Q960" s="873"/>
      <c r="R960" s="873"/>
      <c r="S960" s="873"/>
      <c r="T960" s="873"/>
      <c r="U960" s="873"/>
      <c r="V960" s="873"/>
      <c r="W960" s="873"/>
      <c r="X960" s="873"/>
      <c r="Y960" s="873"/>
    </row>
    <row r="961">
      <c r="A961" s="873"/>
      <c r="B961" s="873"/>
      <c r="C961" s="873"/>
      <c r="D961" s="873"/>
      <c r="E961" s="873"/>
      <c r="F961" s="873"/>
      <c r="G961" s="873"/>
      <c r="H961" s="873"/>
      <c r="I961" s="873"/>
      <c r="J961" s="873"/>
      <c r="K961" s="873"/>
      <c r="L961" s="873"/>
      <c r="M961" s="873"/>
      <c r="N961" s="873"/>
      <c r="O961" s="873"/>
      <c r="P961" s="873"/>
      <c r="Q961" s="873"/>
      <c r="R961" s="873"/>
      <c r="S961" s="873"/>
      <c r="T961" s="873"/>
      <c r="U961" s="873"/>
      <c r="V961" s="873"/>
      <c r="W961" s="873"/>
      <c r="X961" s="873"/>
      <c r="Y961" s="873"/>
    </row>
    <row r="962">
      <c r="A962" s="873"/>
      <c r="B962" s="873"/>
      <c r="C962" s="873"/>
      <c r="D962" s="873"/>
      <c r="E962" s="873"/>
      <c r="F962" s="873"/>
      <c r="G962" s="873"/>
      <c r="H962" s="873"/>
      <c r="I962" s="873"/>
      <c r="J962" s="873"/>
      <c r="K962" s="873"/>
      <c r="L962" s="873"/>
      <c r="M962" s="873"/>
      <c r="N962" s="873"/>
      <c r="O962" s="873"/>
      <c r="P962" s="873"/>
      <c r="Q962" s="873"/>
      <c r="R962" s="873"/>
      <c r="S962" s="873"/>
      <c r="T962" s="873"/>
      <c r="U962" s="873"/>
      <c r="V962" s="873"/>
      <c r="W962" s="873"/>
      <c r="X962" s="873"/>
      <c r="Y962" s="873"/>
    </row>
    <row r="963">
      <c r="A963" s="873"/>
      <c r="B963" s="873"/>
      <c r="C963" s="873"/>
      <c r="D963" s="873"/>
      <c r="E963" s="873"/>
      <c r="F963" s="873"/>
      <c r="G963" s="873"/>
      <c r="H963" s="873"/>
      <c r="I963" s="873"/>
      <c r="J963" s="873"/>
      <c r="K963" s="873"/>
      <c r="L963" s="873"/>
      <c r="M963" s="873"/>
      <c r="N963" s="873"/>
      <c r="O963" s="873"/>
      <c r="P963" s="873"/>
      <c r="Q963" s="873"/>
      <c r="R963" s="873"/>
      <c r="S963" s="873"/>
      <c r="T963" s="873"/>
      <c r="U963" s="873"/>
      <c r="V963" s="873"/>
      <c r="W963" s="873"/>
      <c r="X963" s="873"/>
      <c r="Y963" s="873"/>
    </row>
    <row r="964">
      <c r="A964" s="873"/>
      <c r="B964" s="873"/>
      <c r="C964" s="873"/>
      <c r="D964" s="873"/>
      <c r="E964" s="873"/>
      <c r="F964" s="873"/>
      <c r="G964" s="873"/>
      <c r="H964" s="873"/>
      <c r="I964" s="873"/>
      <c r="J964" s="873"/>
      <c r="K964" s="873"/>
      <c r="L964" s="873"/>
      <c r="M964" s="873"/>
      <c r="N964" s="873"/>
      <c r="O964" s="873"/>
      <c r="P964" s="873"/>
      <c r="Q964" s="873"/>
      <c r="R964" s="873"/>
      <c r="S964" s="873"/>
      <c r="T964" s="873"/>
      <c r="U964" s="873"/>
      <c r="V964" s="873"/>
      <c r="W964" s="873"/>
      <c r="X964" s="873"/>
      <c r="Y964" s="873"/>
    </row>
    <row r="965">
      <c r="A965" s="873"/>
      <c r="B965" s="873"/>
      <c r="C965" s="873"/>
      <c r="D965" s="873"/>
      <c r="E965" s="873"/>
      <c r="F965" s="873"/>
      <c r="G965" s="873"/>
      <c r="H965" s="873"/>
      <c r="I965" s="873"/>
      <c r="J965" s="873"/>
      <c r="K965" s="873"/>
      <c r="L965" s="873"/>
      <c r="M965" s="873"/>
      <c r="N965" s="873"/>
      <c r="O965" s="873"/>
      <c r="P965" s="873"/>
      <c r="Q965" s="873"/>
      <c r="R965" s="873"/>
      <c r="S965" s="873"/>
      <c r="T965" s="873"/>
      <c r="U965" s="873"/>
      <c r="V965" s="873"/>
      <c r="W965" s="873"/>
      <c r="X965" s="873"/>
      <c r="Y965" s="873"/>
    </row>
    <row r="966">
      <c r="A966" s="873"/>
      <c r="B966" s="873"/>
      <c r="C966" s="873"/>
      <c r="D966" s="873"/>
      <c r="E966" s="873"/>
      <c r="F966" s="873"/>
      <c r="G966" s="873"/>
      <c r="H966" s="873"/>
      <c r="I966" s="873"/>
      <c r="J966" s="873"/>
      <c r="K966" s="873"/>
      <c r="L966" s="873"/>
      <c r="M966" s="873"/>
      <c r="N966" s="873"/>
      <c r="O966" s="873"/>
      <c r="P966" s="873"/>
      <c r="Q966" s="873"/>
      <c r="R966" s="873"/>
      <c r="S966" s="873"/>
      <c r="T966" s="873"/>
      <c r="U966" s="873"/>
      <c r="V966" s="873"/>
      <c r="W966" s="873"/>
      <c r="X966" s="873"/>
      <c r="Y966" s="873"/>
    </row>
    <row r="967">
      <c r="A967" s="873"/>
      <c r="B967" s="873"/>
      <c r="C967" s="873"/>
      <c r="D967" s="873"/>
      <c r="E967" s="873"/>
      <c r="F967" s="873"/>
      <c r="G967" s="873"/>
      <c r="H967" s="873"/>
      <c r="I967" s="873"/>
      <c r="J967" s="873"/>
      <c r="K967" s="873"/>
      <c r="L967" s="873"/>
      <c r="M967" s="873"/>
      <c r="N967" s="873"/>
      <c r="O967" s="873"/>
      <c r="P967" s="873"/>
      <c r="Q967" s="873"/>
      <c r="R967" s="873"/>
      <c r="S967" s="873"/>
      <c r="T967" s="873"/>
      <c r="U967" s="873"/>
      <c r="V967" s="873"/>
      <c r="W967" s="873"/>
      <c r="X967" s="873"/>
      <c r="Y967" s="873"/>
    </row>
    <row r="968">
      <c r="A968" s="873"/>
      <c r="B968" s="873"/>
      <c r="C968" s="873"/>
      <c r="D968" s="873"/>
      <c r="E968" s="873"/>
      <c r="F968" s="873"/>
      <c r="G968" s="873"/>
      <c r="H968" s="873"/>
      <c r="I968" s="873"/>
      <c r="J968" s="873"/>
      <c r="K968" s="873"/>
      <c r="L968" s="873"/>
      <c r="M968" s="873"/>
      <c r="N968" s="873"/>
      <c r="O968" s="873"/>
      <c r="P968" s="873"/>
      <c r="Q968" s="873"/>
      <c r="R968" s="873"/>
      <c r="S968" s="873"/>
      <c r="T968" s="873"/>
      <c r="U968" s="873"/>
      <c r="V968" s="873"/>
      <c r="W968" s="873"/>
      <c r="X968" s="873"/>
      <c r="Y968" s="873"/>
    </row>
  </sheetData>
  <dataValidations>
    <dataValidation type="list" allowBlank="1" showErrorMessage="1" sqref="C2">
      <formula1>'데이터'!$C$3:$C$21</formula1>
    </dataValidation>
    <dataValidation type="list" allowBlank="1" showErrorMessage="1" sqref="E4:E25">
      <formula1>"2인실,1인실,3인실"</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3.0" ySplit="2.0" topLeftCell="N3" activePane="bottomRight" state="frozen"/>
      <selection activeCell="N1" sqref="N1" pane="topRight"/>
      <selection activeCell="A3" sqref="A3" pane="bottomLeft"/>
      <selection activeCell="N3" sqref="N3" pane="bottomRight"/>
    </sheetView>
  </sheetViews>
  <sheetFormatPr customHeight="1" defaultColWidth="12.63" defaultRowHeight="15.75"/>
  <cols>
    <col customWidth="1" min="1" max="1" width="2.13"/>
    <col customWidth="1" min="2" max="3" width="11.38"/>
    <col customWidth="1" min="4" max="4" width="19.38"/>
    <col customWidth="1" min="5" max="5" width="8.75"/>
    <col customWidth="1" min="6" max="6" width="13.63"/>
    <col customWidth="1" min="7" max="7" width="12.88"/>
    <col customWidth="1" min="8" max="9" width="10.5"/>
    <col customWidth="1" min="10" max="10" width="8.25"/>
    <col customWidth="1" min="11" max="11" width="10.88"/>
    <col customWidth="1" min="12" max="12" width="8.88"/>
    <col customWidth="1" min="13" max="13" width="7.0"/>
    <col customWidth="1" hidden="1" min="14" max="17" width="11.25"/>
    <col customWidth="1" hidden="1" min="18" max="18" width="15.13"/>
    <col customWidth="1" hidden="1" min="19" max="23" width="10.75"/>
    <col hidden="1" min="24" max="42" width="12.63"/>
  </cols>
  <sheetData>
    <row r="1" ht="24.75" customHeight="1">
      <c r="A1" s="883" t="s">
        <v>3051</v>
      </c>
      <c r="B1" s="884" t="s">
        <v>3052</v>
      </c>
      <c r="D1" s="885"/>
      <c r="E1" s="885"/>
      <c r="F1" s="886" t="s">
        <v>3053</v>
      </c>
      <c r="H1" s="885"/>
      <c r="I1" s="885"/>
      <c r="J1" s="885"/>
      <c r="K1" s="885"/>
      <c r="L1" s="885"/>
      <c r="M1" s="885"/>
      <c r="N1" s="887"/>
      <c r="O1" s="887"/>
      <c r="P1" s="887"/>
      <c r="Q1" s="887"/>
      <c r="R1" s="888"/>
      <c r="S1" s="887"/>
      <c r="T1" s="887"/>
      <c r="U1" s="887"/>
      <c r="V1" s="887"/>
      <c r="W1" s="887"/>
      <c r="X1" s="887"/>
      <c r="Y1" s="887"/>
      <c r="Z1" s="887"/>
      <c r="AA1" s="887"/>
      <c r="AB1" s="887"/>
      <c r="AC1" s="887"/>
      <c r="AD1" s="887"/>
      <c r="AE1" s="887"/>
      <c r="AF1" s="887"/>
      <c r="AG1" s="889"/>
      <c r="AH1" s="889"/>
      <c r="AI1" s="889"/>
      <c r="AJ1" s="889"/>
      <c r="AK1" s="889"/>
      <c r="AL1" s="889"/>
      <c r="AM1" s="889"/>
      <c r="AN1" s="889"/>
      <c r="AO1" s="889"/>
      <c r="AP1" s="889"/>
      <c r="AQ1" s="889"/>
      <c r="AR1" s="889"/>
      <c r="AS1" s="889"/>
      <c r="AT1" s="889"/>
      <c r="AU1" s="889"/>
      <c r="AV1" s="889"/>
      <c r="AW1" s="889"/>
      <c r="AX1" s="889"/>
      <c r="AY1" s="889"/>
      <c r="AZ1" s="889"/>
    </row>
    <row r="2">
      <c r="A2" s="883"/>
      <c r="B2" s="890" t="s">
        <v>3054</v>
      </c>
      <c r="C2" s="890" t="s">
        <v>0</v>
      </c>
      <c r="D2" s="890" t="s">
        <v>3055</v>
      </c>
      <c r="E2" s="890" t="s">
        <v>3056</v>
      </c>
      <c r="F2" s="890" t="s">
        <v>3057</v>
      </c>
      <c r="G2" s="890" t="s">
        <v>3058</v>
      </c>
      <c r="H2" s="890" t="s">
        <v>1236</v>
      </c>
      <c r="I2" s="890" t="s">
        <v>1237</v>
      </c>
      <c r="J2" s="890" t="s">
        <v>3059</v>
      </c>
      <c r="K2" s="890" t="s">
        <v>1240</v>
      </c>
      <c r="L2" s="890" t="s">
        <v>3057</v>
      </c>
      <c r="M2" s="890" t="s">
        <v>1244</v>
      </c>
      <c r="N2" s="891">
        <v>23.09</v>
      </c>
      <c r="O2" s="892" t="s">
        <v>3060</v>
      </c>
      <c r="P2" s="891" t="s">
        <v>3061</v>
      </c>
      <c r="Q2" s="891" t="s">
        <v>3062</v>
      </c>
      <c r="R2" s="893" t="s">
        <v>3063</v>
      </c>
      <c r="S2" s="891">
        <v>24.01</v>
      </c>
      <c r="T2" s="891">
        <v>24.02</v>
      </c>
      <c r="U2" s="891">
        <v>24.03</v>
      </c>
      <c r="V2" s="891">
        <v>24.04</v>
      </c>
      <c r="W2" s="891">
        <v>24.05</v>
      </c>
      <c r="X2" s="891">
        <v>24.06</v>
      </c>
      <c r="Y2" s="891">
        <v>24.07</v>
      </c>
      <c r="Z2" s="891">
        <v>24.08</v>
      </c>
      <c r="AA2" s="891">
        <v>24.09</v>
      </c>
      <c r="AB2" s="892" t="s">
        <v>3064</v>
      </c>
      <c r="AC2" s="891" t="s">
        <v>3065</v>
      </c>
      <c r="AD2" s="891" t="s">
        <v>3066</v>
      </c>
      <c r="AE2" s="891">
        <v>25.01</v>
      </c>
      <c r="AF2" s="891">
        <v>25.02</v>
      </c>
      <c r="AG2" s="891">
        <v>25.03</v>
      </c>
      <c r="AH2" s="891">
        <v>25.04</v>
      </c>
      <c r="AI2" s="891">
        <v>25.05</v>
      </c>
      <c r="AJ2" s="891">
        <v>25.06</v>
      </c>
      <c r="AK2" s="891">
        <v>25.07</v>
      </c>
      <c r="AL2" s="891">
        <v>25.08</v>
      </c>
      <c r="AM2" s="891">
        <v>25.09</v>
      </c>
      <c r="AN2" s="892" t="s">
        <v>3067</v>
      </c>
      <c r="AO2" s="891">
        <v>25.11</v>
      </c>
      <c r="AP2" s="891">
        <v>25.12</v>
      </c>
      <c r="AQ2" s="891">
        <v>26.1</v>
      </c>
      <c r="AR2" s="891">
        <v>26.2</v>
      </c>
      <c r="AS2" s="891">
        <v>26.3</v>
      </c>
      <c r="AT2" s="891">
        <v>26.4</v>
      </c>
      <c r="AU2" s="891">
        <v>26.5</v>
      </c>
      <c r="AV2" s="891">
        <v>26.6</v>
      </c>
      <c r="AW2" s="891">
        <v>26.7</v>
      </c>
      <c r="AX2" s="891">
        <v>26.8</v>
      </c>
      <c r="AY2" s="891">
        <v>26.9</v>
      </c>
      <c r="AZ2" s="892" t="s">
        <v>3068</v>
      </c>
      <c r="BA2" s="892" t="s">
        <v>3069</v>
      </c>
      <c r="BB2" s="892" t="s">
        <v>3070</v>
      </c>
    </row>
    <row r="3" ht="16.5" customHeight="1">
      <c r="A3" s="883"/>
      <c r="B3" s="883" t="s">
        <v>1285</v>
      </c>
      <c r="C3" s="883" t="s">
        <v>3071</v>
      </c>
      <c r="D3" s="883" t="s">
        <v>83</v>
      </c>
      <c r="E3" s="894">
        <v>540000.0</v>
      </c>
      <c r="F3" s="895">
        <f t="shared" ref="F3:F5" si="1">E3+E3*10%</f>
        <v>594000</v>
      </c>
      <c r="G3" s="883" t="s">
        <v>88</v>
      </c>
      <c r="H3" s="896">
        <v>45663.0</v>
      </c>
      <c r="I3" s="896">
        <v>46387.0</v>
      </c>
      <c r="J3" s="897" t="s">
        <v>3072</v>
      </c>
      <c r="K3" s="895">
        <v>2000000.0</v>
      </c>
      <c r="L3" s="895">
        <f t="shared" ref="L3:L9" si="2">F3</f>
        <v>594000</v>
      </c>
      <c r="M3" s="895">
        <v>100000.0</v>
      </c>
      <c r="N3" s="898"/>
      <c r="O3" s="898"/>
      <c r="P3" s="898"/>
      <c r="Q3" s="898"/>
      <c r="R3" s="899"/>
      <c r="S3" s="900"/>
      <c r="T3" s="900"/>
      <c r="U3" s="900"/>
      <c r="V3" s="900"/>
      <c r="W3" s="900"/>
      <c r="X3" s="900"/>
      <c r="Y3" s="898">
        <v>510320.0</v>
      </c>
      <c r="Z3" s="898">
        <v>608660.0</v>
      </c>
      <c r="AA3" s="898">
        <v>608660.0</v>
      </c>
      <c r="AB3" s="898">
        <v>608660.0</v>
      </c>
      <c r="AC3" s="898">
        <v>608660.0</v>
      </c>
      <c r="AD3" s="898">
        <v>608660.0</v>
      </c>
      <c r="AE3" s="898">
        <v>608660.0</v>
      </c>
      <c r="AF3" s="898">
        <v>608660.0</v>
      </c>
      <c r="AG3" s="898">
        <v>608660.0</v>
      </c>
      <c r="AH3" s="898">
        <v>608660.0</v>
      </c>
      <c r="AI3" s="898">
        <v>608660.0</v>
      </c>
      <c r="AJ3" s="898">
        <v>608660.0</v>
      </c>
      <c r="AK3" s="898">
        <v>628660.0</v>
      </c>
      <c r="AL3" s="898">
        <v>628660.0</v>
      </c>
      <c r="AM3" s="898">
        <v>628660.0</v>
      </c>
      <c r="AN3" s="898">
        <v>628660.0</v>
      </c>
      <c r="AO3" s="898">
        <v>628660.0</v>
      </c>
      <c r="AP3" s="898">
        <v>628660.0</v>
      </c>
      <c r="AQ3" s="898">
        <v>607300.0</v>
      </c>
      <c r="AR3" s="898">
        <v>607300.0</v>
      </c>
      <c r="AS3" s="898">
        <v>607300.0</v>
      </c>
      <c r="AT3" s="898">
        <v>607300.0</v>
      </c>
      <c r="AU3" s="898">
        <v>607300.0</v>
      </c>
      <c r="AV3" s="898">
        <v>607300.0</v>
      </c>
      <c r="AW3" s="898">
        <v>607300.0</v>
      </c>
      <c r="AX3" s="898">
        <v>607300.0</v>
      </c>
      <c r="AY3" s="898">
        <v>607300.0</v>
      </c>
      <c r="AZ3" s="898">
        <v>607300.0</v>
      </c>
      <c r="BA3" s="898">
        <v>607300.0</v>
      </c>
      <c r="BB3" s="898">
        <v>607300.0</v>
      </c>
    </row>
    <row r="4" ht="16.5" customHeight="1">
      <c r="A4" s="901"/>
      <c r="B4" s="883" t="s">
        <v>1285</v>
      </c>
      <c r="C4" s="883" t="s">
        <v>3073</v>
      </c>
      <c r="D4" s="883" t="s">
        <v>243</v>
      </c>
      <c r="E4" s="895">
        <v>480000.0</v>
      </c>
      <c r="F4" s="895">
        <f t="shared" si="1"/>
        <v>528000</v>
      </c>
      <c r="G4" s="897" t="s">
        <v>1365</v>
      </c>
      <c r="H4" s="896">
        <v>45979.0</v>
      </c>
      <c r="I4" s="896">
        <v>46343.0</v>
      </c>
      <c r="J4" s="897" t="s">
        <v>3074</v>
      </c>
      <c r="K4" s="895">
        <v>2000000.0</v>
      </c>
      <c r="L4" s="895">
        <f t="shared" si="2"/>
        <v>528000</v>
      </c>
      <c r="M4" s="895">
        <v>100000.0</v>
      </c>
      <c r="N4" s="898"/>
      <c r="O4" s="898"/>
      <c r="P4" s="899"/>
      <c r="Q4" s="899"/>
      <c r="R4" s="899"/>
      <c r="S4" s="899"/>
      <c r="T4" s="899"/>
      <c r="U4" s="899"/>
      <c r="V4" s="899"/>
      <c r="W4" s="899"/>
      <c r="X4" s="899"/>
      <c r="Y4" s="899"/>
      <c r="Z4" s="899"/>
      <c r="AA4" s="899"/>
      <c r="AB4" s="899"/>
      <c r="AC4" s="899"/>
      <c r="AD4" s="899"/>
      <c r="AE4" s="899"/>
      <c r="AF4" s="899"/>
      <c r="AG4" s="899"/>
      <c r="AH4" s="899"/>
      <c r="AI4" s="899"/>
      <c r="AJ4" s="899"/>
      <c r="AK4" s="899"/>
      <c r="AL4" s="899"/>
      <c r="AM4" s="899"/>
      <c r="AN4" s="899"/>
      <c r="AO4" s="899">
        <v>247110.0</v>
      </c>
      <c r="AP4" s="899">
        <v>569920.0</v>
      </c>
      <c r="AQ4" s="899">
        <v>569920.0</v>
      </c>
      <c r="AR4" s="899">
        <v>569920.0</v>
      </c>
      <c r="AS4" s="899">
        <v>569920.0</v>
      </c>
      <c r="AT4" s="899">
        <v>569920.0</v>
      </c>
      <c r="AU4" s="899">
        <v>569920.0</v>
      </c>
      <c r="AV4" s="899">
        <v>569920.0</v>
      </c>
      <c r="AW4" s="899">
        <v>569920.0</v>
      </c>
      <c r="AX4" s="899">
        <v>569920.0</v>
      </c>
      <c r="AY4" s="899">
        <v>569920.0</v>
      </c>
      <c r="AZ4" s="899">
        <v>569920.0</v>
      </c>
      <c r="BA4" s="899">
        <v>266830.0</v>
      </c>
    </row>
    <row r="5" ht="16.5" customHeight="1">
      <c r="A5" s="883"/>
      <c r="B5" s="883" t="s">
        <v>1285</v>
      </c>
      <c r="C5" s="883" t="s">
        <v>3073</v>
      </c>
      <c r="D5" s="883" t="s">
        <v>252</v>
      </c>
      <c r="E5" s="895">
        <v>480000.0</v>
      </c>
      <c r="F5" s="895">
        <f t="shared" si="1"/>
        <v>528000</v>
      </c>
      <c r="G5" s="897" t="s">
        <v>1368</v>
      </c>
      <c r="H5" s="896">
        <v>45658.0</v>
      </c>
      <c r="I5" s="896">
        <v>46142.0</v>
      </c>
      <c r="J5" s="897" t="s">
        <v>3074</v>
      </c>
      <c r="K5" s="895">
        <v>1000000.0</v>
      </c>
      <c r="L5" s="895">
        <f t="shared" si="2"/>
        <v>528000</v>
      </c>
      <c r="M5" s="895">
        <v>100000.0</v>
      </c>
      <c r="N5" s="898"/>
      <c r="O5" s="898"/>
      <c r="P5" s="899"/>
      <c r="Q5" s="899"/>
      <c r="R5" s="899"/>
      <c r="S5" s="899"/>
      <c r="T5" s="899"/>
      <c r="U5" s="899"/>
      <c r="V5" s="899"/>
      <c r="W5" s="899"/>
      <c r="X5" s="899"/>
      <c r="Y5" s="899"/>
      <c r="Z5" s="899"/>
      <c r="AA5" s="899"/>
      <c r="AB5" s="899"/>
      <c r="AC5" s="899"/>
      <c r="AD5" s="899"/>
      <c r="AE5" s="899">
        <v>549920.0</v>
      </c>
      <c r="AF5" s="899">
        <v>549920.0</v>
      </c>
      <c r="AG5" s="899">
        <v>549920.0</v>
      </c>
      <c r="AH5" s="899">
        <v>549920.0</v>
      </c>
      <c r="AI5" s="899">
        <v>569920.0</v>
      </c>
      <c r="AJ5" s="899">
        <v>569920.0</v>
      </c>
      <c r="AK5" s="899">
        <v>569920.0</v>
      </c>
      <c r="AL5" s="899">
        <v>569920.0</v>
      </c>
      <c r="AM5" s="899">
        <v>569920.0</v>
      </c>
      <c r="AN5" s="899">
        <v>569920.0</v>
      </c>
      <c r="AO5" s="899">
        <v>569920.0</v>
      </c>
      <c r="AP5" s="899">
        <v>569920.0</v>
      </c>
      <c r="AQ5" s="899">
        <v>569920.0</v>
      </c>
      <c r="AR5" s="899">
        <v>569920.0</v>
      </c>
      <c r="AS5" s="899">
        <v>569920.0</v>
      </c>
      <c r="AT5" s="899">
        <v>569920.0</v>
      </c>
      <c r="AU5" s="899"/>
      <c r="AV5" s="899"/>
      <c r="AW5" s="899"/>
      <c r="AX5" s="899"/>
      <c r="AY5" s="899"/>
      <c r="AZ5" s="899"/>
    </row>
    <row r="6" ht="16.5" customHeight="1">
      <c r="A6" s="883"/>
      <c r="B6" s="883" t="s">
        <v>1285</v>
      </c>
      <c r="C6" s="883" t="s">
        <v>3075</v>
      </c>
      <c r="D6" s="883" t="s">
        <v>1673</v>
      </c>
      <c r="E6" s="895">
        <v>420000.0</v>
      </c>
      <c r="F6" s="895">
        <f>E6+E6*10%+58000</f>
        <v>520000</v>
      </c>
      <c r="G6" s="897" t="s">
        <v>581</v>
      </c>
      <c r="H6" s="902">
        <v>45716.0</v>
      </c>
      <c r="I6" s="902">
        <v>46250.0</v>
      </c>
      <c r="J6" s="897" t="s">
        <v>3076</v>
      </c>
      <c r="K6" s="895">
        <v>1000000.0</v>
      </c>
      <c r="L6" s="895">
        <f t="shared" si="2"/>
        <v>520000</v>
      </c>
      <c r="M6" s="895">
        <v>80000.0</v>
      </c>
      <c r="N6" s="898"/>
      <c r="O6" s="898"/>
      <c r="P6" s="899">
        <f>(L6/30*27)-L6*10%+(M6/30*27)+4400</f>
        <v>492400</v>
      </c>
      <c r="Q6" s="899">
        <f>L6-L6*10%+M6</f>
        <v>548000</v>
      </c>
      <c r="R6" s="899">
        <f>SUM(N6:Q6)</f>
        <v>1040400</v>
      </c>
      <c r="S6" s="899">
        <v>476000.0</v>
      </c>
      <c r="T6" s="899">
        <v>476000.0</v>
      </c>
      <c r="U6" s="899">
        <v>476000.0</v>
      </c>
      <c r="V6" s="899">
        <v>476000.0</v>
      </c>
      <c r="W6" s="899">
        <v>476000.0</v>
      </c>
      <c r="X6" s="899">
        <v>476000.0</v>
      </c>
      <c r="Y6" s="899">
        <v>471600.0</v>
      </c>
      <c r="Z6" s="899">
        <v>471600.0</v>
      </c>
      <c r="AA6" s="899">
        <v>471600.0</v>
      </c>
      <c r="AB6" s="899">
        <v>471600.0</v>
      </c>
      <c r="AC6" s="899">
        <v>471600.0</v>
      </c>
      <c r="AD6" s="899">
        <v>471600.0</v>
      </c>
      <c r="AE6" s="899">
        <v>471600.0</v>
      </c>
      <c r="AF6" s="899">
        <v>471600.0</v>
      </c>
      <c r="AG6" s="899">
        <v>471600.0</v>
      </c>
      <c r="AH6" s="899">
        <v>471600.0</v>
      </c>
      <c r="AI6" s="899">
        <v>471600.0</v>
      </c>
      <c r="AJ6" s="899">
        <v>471600.0</v>
      </c>
      <c r="AK6" s="899">
        <v>471600.0</v>
      </c>
      <c r="AL6" s="899">
        <v>471600.0</v>
      </c>
      <c r="AM6" s="899">
        <v>471600.0</v>
      </c>
      <c r="AN6" s="899">
        <v>471600.0</v>
      </c>
      <c r="AO6" s="899">
        <v>471600.0</v>
      </c>
      <c r="AP6" s="899">
        <v>471600.0</v>
      </c>
      <c r="AQ6" s="899">
        <v>471600.0</v>
      </c>
      <c r="AR6" s="899">
        <v>471600.0</v>
      </c>
      <c r="AS6" s="899">
        <v>471600.0</v>
      </c>
      <c r="AT6" s="899">
        <v>471600.0</v>
      </c>
      <c r="AU6" s="899">
        <v>471600.0</v>
      </c>
      <c r="AV6" s="899">
        <v>471600.0</v>
      </c>
      <c r="AW6" s="899">
        <v>471600.0</v>
      </c>
      <c r="AX6" s="899">
        <v>249370.0</v>
      </c>
      <c r="AY6" s="883"/>
      <c r="AZ6" s="883"/>
    </row>
    <row r="7" ht="16.5" customHeight="1">
      <c r="A7" s="901"/>
      <c r="B7" s="883" t="s">
        <v>1285</v>
      </c>
      <c r="C7" s="901" t="s">
        <v>3077</v>
      </c>
      <c r="D7" s="901" t="s">
        <v>1805</v>
      </c>
      <c r="E7" s="895">
        <v>420000.0</v>
      </c>
      <c r="F7" s="895">
        <v>490000.0</v>
      </c>
      <c r="G7" s="903" t="s">
        <v>1806</v>
      </c>
      <c r="H7" s="904">
        <v>45896.0</v>
      </c>
      <c r="I7" s="904">
        <v>46209.0</v>
      </c>
      <c r="J7" s="903" t="s">
        <v>828</v>
      </c>
      <c r="K7" s="895">
        <v>2000000.0</v>
      </c>
      <c r="L7" s="895">
        <f t="shared" si="2"/>
        <v>490000</v>
      </c>
      <c r="M7" s="895">
        <v>100000.0</v>
      </c>
      <c r="N7" s="905"/>
      <c r="O7" s="905"/>
      <c r="P7" s="906"/>
      <c r="Q7" s="906"/>
      <c r="R7" s="906"/>
      <c r="S7" s="907"/>
      <c r="T7" s="907"/>
      <c r="U7" s="907"/>
      <c r="V7" s="907"/>
      <c r="W7" s="907"/>
      <c r="X7" s="907"/>
      <c r="Y7" s="907"/>
      <c r="Z7" s="907"/>
      <c r="AA7" s="907"/>
      <c r="AB7" s="907"/>
      <c r="AC7" s="907"/>
      <c r="AD7" s="907"/>
      <c r="AE7" s="908"/>
      <c r="AF7" s="908"/>
      <c r="AG7" s="908"/>
      <c r="AH7" s="908"/>
      <c r="AI7" s="908"/>
      <c r="AJ7" s="908"/>
      <c r="AK7" s="908"/>
      <c r="AL7" s="909">
        <v>86410.0</v>
      </c>
      <c r="AM7" s="909">
        <v>536100.0</v>
      </c>
      <c r="AN7" s="909">
        <v>536100.0</v>
      </c>
      <c r="AO7" s="909">
        <v>536100.0</v>
      </c>
      <c r="AP7" s="909">
        <v>536100.0</v>
      </c>
      <c r="AQ7" s="909">
        <v>536100.0</v>
      </c>
      <c r="AR7" s="909">
        <v>536100.0</v>
      </c>
      <c r="AS7" s="909">
        <v>536100.0</v>
      </c>
      <c r="AT7" s="909">
        <v>536100.0</v>
      </c>
      <c r="AU7" s="909">
        <v>536100.0</v>
      </c>
      <c r="AV7" s="909">
        <v>536100.0</v>
      </c>
      <c r="AW7" s="909">
        <v>104550.0</v>
      </c>
      <c r="AX7" s="909"/>
      <c r="AY7" s="909"/>
      <c r="AZ7" s="909"/>
    </row>
    <row r="8" ht="16.5" customHeight="1">
      <c r="A8" s="883"/>
      <c r="B8" s="883" t="s">
        <v>1285</v>
      </c>
      <c r="C8" s="883" t="s">
        <v>3078</v>
      </c>
      <c r="D8" s="883" t="s">
        <v>3079</v>
      </c>
      <c r="E8" s="895">
        <v>390000.0</v>
      </c>
      <c r="F8" s="895">
        <f>E8+E8*10%+1000</f>
        <v>430000</v>
      </c>
      <c r="G8" s="897" t="s">
        <v>1110</v>
      </c>
      <c r="H8" s="902">
        <v>46082.0</v>
      </c>
      <c r="I8" s="902">
        <v>46259.0</v>
      </c>
      <c r="J8" s="897" t="s">
        <v>3080</v>
      </c>
      <c r="K8" s="895">
        <v>1000000.0</v>
      </c>
      <c r="L8" s="895">
        <f t="shared" si="2"/>
        <v>430000</v>
      </c>
      <c r="M8" s="895">
        <v>100000.0</v>
      </c>
      <c r="N8" s="898"/>
      <c r="O8" s="898"/>
      <c r="P8" s="899"/>
      <c r="Q8" s="899"/>
      <c r="R8" s="899"/>
      <c r="S8" s="899"/>
      <c r="T8" s="899"/>
      <c r="U8" s="899">
        <v>467000.0</v>
      </c>
      <c r="V8" s="899">
        <v>467000.0</v>
      </c>
      <c r="W8" s="899">
        <v>467000.0</v>
      </c>
      <c r="X8" s="899">
        <v>467000.0</v>
      </c>
      <c r="Y8" s="899">
        <v>462700.0</v>
      </c>
      <c r="Z8" s="899">
        <v>462700.0</v>
      </c>
      <c r="AA8" s="899">
        <v>462700.0</v>
      </c>
      <c r="AB8" s="899">
        <v>462700.0</v>
      </c>
      <c r="AC8" s="899">
        <v>462700.0</v>
      </c>
      <c r="AD8" s="899">
        <v>462700.0</v>
      </c>
      <c r="AE8" s="899">
        <v>462700.0</v>
      </c>
      <c r="AF8" s="899">
        <v>462700.0</v>
      </c>
      <c r="AG8" s="899">
        <v>462700.0</v>
      </c>
      <c r="AH8" s="899">
        <v>462700.0</v>
      </c>
      <c r="AI8" s="899">
        <v>462700.0</v>
      </c>
      <c r="AJ8" s="899">
        <v>462700.0</v>
      </c>
      <c r="AK8" s="899">
        <v>373700.0</v>
      </c>
      <c r="AL8" s="899">
        <v>373700.0</v>
      </c>
      <c r="AM8" s="899">
        <v>462700.0</v>
      </c>
      <c r="AN8" s="899">
        <v>462700.0</v>
      </c>
      <c r="AO8" s="899">
        <v>462700.0</v>
      </c>
      <c r="AP8" s="899">
        <v>462700.0</v>
      </c>
      <c r="AQ8" s="899">
        <v>373700.0</v>
      </c>
      <c r="AR8" s="899">
        <v>373700.0</v>
      </c>
      <c r="AS8" s="898">
        <v>482700.0</v>
      </c>
      <c r="AT8" s="898">
        <v>482700.0</v>
      </c>
      <c r="AU8" s="898">
        <v>482700.0</v>
      </c>
      <c r="AV8" s="898">
        <v>482700.0</v>
      </c>
      <c r="AW8" s="898">
        <v>482700.0</v>
      </c>
      <c r="AX8" s="898">
        <v>389830.0</v>
      </c>
      <c r="AY8" s="883"/>
      <c r="AZ8" s="883"/>
    </row>
    <row r="9" ht="16.5" customHeight="1">
      <c r="A9" s="883"/>
      <c r="B9" s="883" t="s">
        <v>1285</v>
      </c>
      <c r="C9" s="883" t="s">
        <v>3081</v>
      </c>
      <c r="D9" s="883" t="s">
        <v>322</v>
      </c>
      <c r="E9" s="895">
        <v>520000.0</v>
      </c>
      <c r="F9" s="895">
        <f>E9+E9*10%-22000</f>
        <v>550000</v>
      </c>
      <c r="G9" s="897" t="s">
        <v>1995</v>
      </c>
      <c r="H9" s="902">
        <v>45713.0</v>
      </c>
      <c r="I9" s="902">
        <v>46446.0</v>
      </c>
      <c r="J9" s="897" t="s">
        <v>3080</v>
      </c>
      <c r="K9" s="895">
        <v>1000000.0</v>
      </c>
      <c r="L9" s="895">
        <f t="shared" si="2"/>
        <v>550000</v>
      </c>
      <c r="M9" s="895">
        <v>100000.0</v>
      </c>
      <c r="N9" s="898"/>
      <c r="O9" s="898"/>
      <c r="P9" s="899"/>
      <c r="Q9" s="899"/>
      <c r="R9" s="899"/>
      <c r="S9" s="899"/>
      <c r="AB9" s="899"/>
      <c r="AC9" s="899"/>
      <c r="AD9" s="899"/>
      <c r="AE9" s="899"/>
      <c r="AF9" s="899">
        <v>84610.0</v>
      </c>
      <c r="AG9" s="899">
        <v>589500.0</v>
      </c>
      <c r="AH9" s="899">
        <v>589500.0</v>
      </c>
      <c r="AI9" s="899">
        <v>589500.0</v>
      </c>
      <c r="AJ9" s="899">
        <v>589500.0</v>
      </c>
      <c r="AK9" s="899">
        <v>589500.0</v>
      </c>
      <c r="AL9" s="899">
        <v>589500.0</v>
      </c>
      <c r="AM9" s="899">
        <v>589500.0</v>
      </c>
      <c r="AN9" s="899">
        <v>589500.0</v>
      </c>
      <c r="AO9" s="899">
        <v>589500.0</v>
      </c>
      <c r="AP9" s="899">
        <v>589500.0</v>
      </c>
      <c r="AQ9" s="899">
        <v>589500.0</v>
      </c>
      <c r="AR9" s="899">
        <v>589500.0</v>
      </c>
      <c r="AS9" s="899">
        <v>589500.0</v>
      </c>
      <c r="AT9" s="899">
        <v>589500.0</v>
      </c>
      <c r="AU9" s="899">
        <v>589500.0</v>
      </c>
      <c r="AV9" s="899">
        <v>589500.0</v>
      </c>
      <c r="AW9" s="899">
        <v>589500.0</v>
      </c>
      <c r="AX9" s="899">
        <v>589500.0</v>
      </c>
      <c r="AY9" s="899">
        <v>589500.0</v>
      </c>
      <c r="AZ9" s="899">
        <v>589500.0</v>
      </c>
      <c r="BA9" s="899">
        <v>589500.0</v>
      </c>
      <c r="BB9" s="899">
        <v>589500.0</v>
      </c>
    </row>
    <row r="10">
      <c r="A10" s="889"/>
      <c r="B10" s="885"/>
      <c r="C10" s="910"/>
      <c r="D10" s="883"/>
      <c r="E10" s="895"/>
      <c r="F10" s="895"/>
      <c r="G10" s="910"/>
      <c r="H10" s="910"/>
      <c r="I10" s="910"/>
      <c r="J10" s="910"/>
      <c r="K10" s="910"/>
      <c r="L10" s="883"/>
      <c r="M10" s="910"/>
      <c r="N10" s="911"/>
      <c r="O10" s="911"/>
      <c r="P10" s="911"/>
      <c r="Q10" s="911"/>
      <c r="R10" s="911"/>
      <c r="S10" s="911"/>
      <c r="T10" s="911"/>
      <c r="U10" s="911"/>
      <c r="V10" s="911"/>
      <c r="W10" s="911"/>
      <c r="X10" s="911"/>
      <c r="Y10" s="911"/>
      <c r="Z10" s="911"/>
      <c r="AA10" s="911"/>
      <c r="AB10" s="911"/>
      <c r="AC10" s="911"/>
      <c r="AD10" s="911"/>
      <c r="AE10" s="911"/>
      <c r="AF10" s="911"/>
      <c r="AG10" s="911"/>
      <c r="AH10" s="911"/>
      <c r="AI10" s="911"/>
      <c r="AJ10" s="889"/>
      <c r="AK10" s="889"/>
      <c r="AL10" s="889"/>
      <c r="AM10" s="889"/>
      <c r="AN10" s="889"/>
      <c r="AO10" s="889"/>
      <c r="AP10" s="889"/>
      <c r="AQ10" s="889"/>
      <c r="AR10" s="889"/>
      <c r="AS10" s="889"/>
      <c r="AT10" s="889"/>
      <c r="AU10" s="889"/>
      <c r="AV10" s="889"/>
      <c r="AW10" s="889"/>
      <c r="AX10" s="889"/>
      <c r="AY10" s="889"/>
      <c r="AZ10" s="889"/>
    </row>
    <row r="11">
      <c r="A11" s="889"/>
      <c r="B11" s="885"/>
      <c r="C11" s="910"/>
      <c r="D11" s="883"/>
      <c r="E11" s="895"/>
      <c r="F11" s="895"/>
      <c r="G11" s="910"/>
      <c r="H11" s="910"/>
      <c r="I11" s="910"/>
      <c r="J11" s="910"/>
      <c r="K11" s="910"/>
      <c r="L11" s="883"/>
      <c r="M11" s="910"/>
      <c r="N11" s="911">
        <f t="shared" ref="N11:AI11" si="3">SUM(N3:N9)</f>
        <v>0</v>
      </c>
      <c r="O11" s="911">
        <f t="shared" si="3"/>
        <v>0</v>
      </c>
      <c r="P11" s="911">
        <f t="shared" si="3"/>
        <v>492400</v>
      </c>
      <c r="Q11" s="911">
        <f t="shared" si="3"/>
        <v>548000</v>
      </c>
      <c r="R11" s="911">
        <f t="shared" si="3"/>
        <v>1040400</v>
      </c>
      <c r="S11" s="911">
        <f t="shared" si="3"/>
        <v>476000</v>
      </c>
      <c r="T11" s="911">
        <f t="shared" si="3"/>
        <v>476000</v>
      </c>
      <c r="U11" s="911">
        <f t="shared" si="3"/>
        <v>943000</v>
      </c>
      <c r="V11" s="911">
        <f t="shared" si="3"/>
        <v>943000</v>
      </c>
      <c r="W11" s="911">
        <f t="shared" si="3"/>
        <v>943000</v>
      </c>
      <c r="X11" s="911">
        <f t="shared" si="3"/>
        <v>943000</v>
      </c>
      <c r="Y11" s="911">
        <f t="shared" si="3"/>
        <v>1444620</v>
      </c>
      <c r="Z11" s="911">
        <f t="shared" si="3"/>
        <v>1542960</v>
      </c>
      <c r="AA11" s="911">
        <f t="shared" si="3"/>
        <v>1542960</v>
      </c>
      <c r="AB11" s="911">
        <f t="shared" si="3"/>
        <v>1542960</v>
      </c>
      <c r="AC11" s="911">
        <f t="shared" si="3"/>
        <v>1542960</v>
      </c>
      <c r="AD11" s="911">
        <f t="shared" si="3"/>
        <v>1542960</v>
      </c>
      <c r="AE11" s="911">
        <f t="shared" si="3"/>
        <v>2092880</v>
      </c>
      <c r="AF11" s="911">
        <f t="shared" si="3"/>
        <v>2177490</v>
      </c>
      <c r="AG11" s="911">
        <f t="shared" si="3"/>
        <v>2682380</v>
      </c>
      <c r="AH11" s="911">
        <f t="shared" si="3"/>
        <v>2682380</v>
      </c>
      <c r="AI11" s="911">
        <f t="shared" si="3"/>
        <v>2702380</v>
      </c>
      <c r="AJ11" s="889"/>
      <c r="AK11" s="889"/>
      <c r="AL11" s="889"/>
      <c r="AM11" s="889"/>
      <c r="AN11" s="889"/>
      <c r="AO11" s="889"/>
      <c r="AP11" s="889"/>
      <c r="AQ11" s="889"/>
      <c r="AR11" s="889"/>
      <c r="AS11" s="889"/>
    </row>
    <row r="12">
      <c r="A12" s="889"/>
      <c r="B12" s="885" t="s">
        <v>3082</v>
      </c>
      <c r="C12" s="885" t="s">
        <v>448</v>
      </c>
      <c r="D12" s="883" t="s">
        <v>3083</v>
      </c>
      <c r="E12" s="895">
        <v>450000.0</v>
      </c>
      <c r="F12" s="895">
        <f>E12+E12*10%+5000</f>
        <v>500000</v>
      </c>
      <c r="G12" s="885" t="s">
        <v>1478</v>
      </c>
      <c r="H12" s="912">
        <v>46078.0</v>
      </c>
      <c r="I12" s="912">
        <v>46227.0</v>
      </c>
      <c r="J12" s="897" t="s">
        <v>1440</v>
      </c>
      <c r="K12" s="895">
        <v>2000000.0</v>
      </c>
      <c r="L12" s="895">
        <f>F12</f>
        <v>500000</v>
      </c>
      <c r="M12" s="895">
        <v>100000.0</v>
      </c>
      <c r="N12" s="913"/>
      <c r="O12" s="913"/>
      <c r="P12" s="913"/>
      <c r="Q12" s="913"/>
      <c r="R12" s="914"/>
      <c r="S12" s="913"/>
      <c r="T12" s="913"/>
      <c r="U12" s="913"/>
      <c r="V12" s="913"/>
      <c r="W12" s="913"/>
      <c r="X12" s="913"/>
      <c r="Y12" s="913"/>
      <c r="Z12" s="913"/>
      <c r="AA12" s="888"/>
      <c r="AB12" s="888"/>
      <c r="AC12" s="910"/>
      <c r="AD12" s="910"/>
      <c r="AE12" s="910"/>
      <c r="AF12" s="910"/>
      <c r="AG12" s="889"/>
      <c r="AH12" s="889"/>
      <c r="AI12" s="889"/>
      <c r="AJ12" s="889"/>
      <c r="AK12" s="889"/>
      <c r="AL12" s="889"/>
      <c r="AM12" s="889"/>
      <c r="AN12" s="889"/>
      <c r="AO12" s="889"/>
      <c r="AP12" s="915"/>
      <c r="AQ12" s="909">
        <v>600000.0</v>
      </c>
      <c r="AR12" s="909">
        <v>600000.0</v>
      </c>
      <c r="AS12" s="909">
        <v>600000.0</v>
      </c>
      <c r="AT12" s="909">
        <v>600000.0</v>
      </c>
      <c r="AU12" s="909">
        <v>600000.0</v>
      </c>
      <c r="AV12" s="909">
        <v>600000.0</v>
      </c>
      <c r="AW12" s="909">
        <v>600000.0</v>
      </c>
    </row>
    <row r="13">
      <c r="A13" s="889"/>
      <c r="B13" s="885"/>
      <c r="C13" s="910"/>
      <c r="D13" s="910"/>
      <c r="E13" s="895"/>
      <c r="F13" s="895"/>
      <c r="G13" s="910"/>
      <c r="H13" s="916"/>
      <c r="I13" s="916"/>
      <c r="J13" s="910"/>
      <c r="K13" s="910"/>
      <c r="L13" s="909"/>
      <c r="M13" s="909"/>
      <c r="N13" s="913"/>
      <c r="O13" s="913"/>
      <c r="P13" s="913"/>
      <c r="Q13" s="913"/>
      <c r="R13" s="914"/>
      <c r="S13" s="913"/>
      <c r="T13" s="913"/>
      <c r="U13" s="913"/>
      <c r="V13" s="913"/>
      <c r="W13" s="913"/>
      <c r="X13" s="913"/>
      <c r="Y13" s="913"/>
      <c r="Z13" s="913"/>
      <c r="AA13" s="888"/>
      <c r="AB13" s="888"/>
      <c r="AC13" s="910"/>
      <c r="AD13" s="910"/>
      <c r="AE13" s="910"/>
      <c r="AF13" s="910"/>
      <c r="AG13" s="889"/>
      <c r="AH13" s="889"/>
      <c r="AI13" s="889"/>
      <c r="AJ13" s="889"/>
      <c r="AK13" s="889"/>
      <c r="AL13" s="889"/>
      <c r="AM13" s="889"/>
      <c r="AN13" s="889"/>
      <c r="AO13" s="889"/>
      <c r="AP13" s="889"/>
      <c r="AQ13" s="889"/>
      <c r="AR13" s="889"/>
      <c r="AS13" s="889"/>
      <c r="AT13" s="889"/>
      <c r="AU13" s="889"/>
      <c r="AV13" s="889"/>
      <c r="AW13" s="889"/>
      <c r="AX13" s="889"/>
      <c r="AY13" s="889"/>
      <c r="AZ13" s="889"/>
    </row>
    <row r="14">
      <c r="A14" s="889"/>
      <c r="B14" s="885"/>
      <c r="C14" s="910"/>
      <c r="D14" s="910"/>
      <c r="E14" s="895"/>
      <c r="F14" s="895"/>
      <c r="G14" s="910"/>
      <c r="H14" s="916"/>
      <c r="I14" s="916"/>
      <c r="J14" s="910"/>
      <c r="K14" s="910"/>
      <c r="L14" s="909"/>
      <c r="M14" s="909"/>
      <c r="N14" s="913"/>
      <c r="O14" s="913"/>
      <c r="P14" s="913"/>
      <c r="Q14" s="913"/>
      <c r="R14" s="914"/>
      <c r="S14" s="913"/>
      <c r="T14" s="913"/>
      <c r="U14" s="913"/>
      <c r="V14" s="913"/>
      <c r="W14" s="913"/>
      <c r="X14" s="913"/>
      <c r="Y14" s="913"/>
      <c r="Z14" s="913"/>
      <c r="AA14" s="888"/>
      <c r="AB14" s="888"/>
      <c r="AC14" s="910"/>
      <c r="AD14" s="910"/>
      <c r="AE14" s="910"/>
      <c r="AF14" s="910"/>
      <c r="AG14" s="889"/>
      <c r="AH14" s="889"/>
      <c r="AI14" s="889"/>
      <c r="AJ14" s="889"/>
      <c r="AK14" s="889"/>
      <c r="AL14" s="889"/>
      <c r="AM14" s="889"/>
      <c r="AN14" s="889">
        <f>866670-650000</f>
        <v>216670</v>
      </c>
      <c r="AO14" s="889"/>
      <c r="AP14" s="889"/>
      <c r="AQ14" s="889"/>
      <c r="AR14" s="889"/>
      <c r="AS14" s="889"/>
      <c r="AT14" s="889"/>
      <c r="AU14" s="889"/>
      <c r="AV14" s="889"/>
      <c r="AW14" s="889"/>
      <c r="AX14" s="889"/>
      <c r="AY14" s="889"/>
      <c r="AZ14" s="889"/>
    </row>
    <row r="16">
      <c r="A16" s="889"/>
      <c r="B16" s="885" t="s">
        <v>3084</v>
      </c>
      <c r="C16" s="885" t="s">
        <v>27</v>
      </c>
      <c r="D16" s="883" t="s">
        <v>1572</v>
      </c>
      <c r="E16" s="895">
        <v>620000.0</v>
      </c>
      <c r="F16" s="895">
        <f>E16+E16*10%-2000</f>
        <v>680000</v>
      </c>
      <c r="G16" s="885" t="s">
        <v>1252</v>
      </c>
      <c r="H16" s="912">
        <v>46081.0</v>
      </c>
      <c r="I16" s="912">
        <v>46195.0</v>
      </c>
      <c r="J16" s="897" t="s">
        <v>33</v>
      </c>
      <c r="K16" s="885">
        <v>0.0</v>
      </c>
      <c r="L16" s="895">
        <v>680000.0</v>
      </c>
      <c r="M16" s="895">
        <v>100000.0</v>
      </c>
      <c r="N16" s="913"/>
      <c r="O16" s="913"/>
      <c r="P16" s="913"/>
      <c r="Q16" s="913"/>
      <c r="R16" s="914"/>
      <c r="S16" s="913"/>
      <c r="T16" s="913"/>
      <c r="U16" s="913"/>
      <c r="V16" s="913"/>
      <c r="W16" s="889"/>
      <c r="X16" s="889"/>
      <c r="Y16" s="889"/>
      <c r="Z16" s="889"/>
      <c r="AA16" s="889"/>
      <c r="AB16" s="889"/>
      <c r="AC16" s="889"/>
      <c r="AD16" s="889"/>
      <c r="AE16" s="889"/>
      <c r="AF16" s="889"/>
      <c r="AG16" s="889"/>
      <c r="AH16" s="889"/>
      <c r="AI16" s="889"/>
      <c r="AJ16" s="889"/>
      <c r="AK16" s="889"/>
      <c r="AL16" s="889"/>
      <c r="AM16" s="889"/>
      <c r="AN16" s="889"/>
      <c r="AO16" s="889"/>
      <c r="AP16" s="889"/>
      <c r="AQ16" s="889"/>
      <c r="AR16" s="917">
        <v>830000.0</v>
      </c>
      <c r="AS16" s="909">
        <v>780000.0</v>
      </c>
      <c r="AT16" s="909">
        <v>1404024.0</v>
      </c>
      <c r="AU16" s="889"/>
      <c r="AV16" s="917"/>
      <c r="AW16" s="889"/>
      <c r="AX16" s="889"/>
      <c r="AY16" s="889"/>
      <c r="AZ16" s="889"/>
    </row>
    <row r="17">
      <c r="A17" s="889"/>
      <c r="B17" s="885" t="s">
        <v>3084</v>
      </c>
      <c r="C17" s="885" t="s">
        <v>210</v>
      </c>
      <c r="D17" s="883" t="s">
        <v>226</v>
      </c>
      <c r="E17" s="895">
        <v>620000.0</v>
      </c>
      <c r="F17" s="895">
        <v>680000.0</v>
      </c>
      <c r="G17" s="897" t="s">
        <v>1360</v>
      </c>
      <c r="H17" s="912">
        <v>46078.0</v>
      </c>
      <c r="I17" s="912">
        <v>46195.0</v>
      </c>
      <c r="J17" s="897" t="s">
        <v>216</v>
      </c>
      <c r="K17" s="885">
        <v>0.0</v>
      </c>
      <c r="L17" s="895">
        <f t="shared" ref="L17:L22" si="4">F17</f>
        <v>680000</v>
      </c>
      <c r="M17" s="895">
        <v>100000.0</v>
      </c>
      <c r="N17" s="913"/>
      <c r="O17" s="913"/>
      <c r="P17" s="913"/>
      <c r="Q17" s="913"/>
      <c r="R17" s="914"/>
      <c r="S17" s="913"/>
      <c r="T17" s="913"/>
      <c r="U17" s="913"/>
      <c r="V17" s="913"/>
      <c r="W17" s="913"/>
      <c r="X17" s="913"/>
      <c r="Y17" s="913"/>
      <c r="Z17" s="913"/>
      <c r="AA17" s="888"/>
      <c r="AB17" s="888"/>
      <c r="AC17" s="910"/>
      <c r="AD17" s="910"/>
      <c r="AL17" s="913"/>
      <c r="AM17" s="909"/>
      <c r="AN17" s="909"/>
      <c r="AO17" s="909"/>
      <c r="AP17" s="909"/>
      <c r="AQ17" s="909"/>
      <c r="AR17" s="909">
        <v>885000.0</v>
      </c>
      <c r="AS17" s="909">
        <v>700000.0</v>
      </c>
      <c r="AT17" s="909">
        <v>1482027.0</v>
      </c>
      <c r="AU17" s="909"/>
    </row>
    <row r="18">
      <c r="A18" s="889"/>
      <c r="B18" s="885" t="s">
        <v>3084</v>
      </c>
      <c r="C18" s="883" t="s">
        <v>58</v>
      </c>
      <c r="D18" s="883" t="s">
        <v>59</v>
      </c>
      <c r="E18" s="895">
        <v>650000.0</v>
      </c>
      <c r="F18" s="895">
        <v>700000.0</v>
      </c>
      <c r="G18" s="897" t="s">
        <v>1275</v>
      </c>
      <c r="H18" s="912">
        <v>45894.0</v>
      </c>
      <c r="I18" s="912">
        <v>46173.0</v>
      </c>
      <c r="J18" s="897" t="s">
        <v>63</v>
      </c>
      <c r="K18" s="885">
        <v>0.0</v>
      </c>
      <c r="L18" s="895">
        <f t="shared" si="4"/>
        <v>700000</v>
      </c>
      <c r="M18" s="895">
        <v>100000.0</v>
      </c>
      <c r="N18" s="913"/>
      <c r="O18" s="913"/>
      <c r="P18" s="913"/>
      <c r="Q18" s="913"/>
      <c r="R18" s="914"/>
      <c r="S18" s="913"/>
      <c r="T18" s="913"/>
      <c r="U18" s="913"/>
      <c r="V18" s="913"/>
      <c r="W18" s="913"/>
      <c r="X18" s="913"/>
      <c r="Y18" s="913"/>
      <c r="Z18" s="913"/>
      <c r="AA18" s="888"/>
      <c r="AB18" s="888"/>
      <c r="AC18" s="910"/>
      <c r="AD18" s="910"/>
      <c r="AL18" s="913">
        <v>1091676.0</v>
      </c>
      <c r="AM18" s="909">
        <v>800000.0</v>
      </c>
      <c r="AN18" s="909">
        <v>800000.0</v>
      </c>
      <c r="AO18" s="909">
        <v>800000.0</v>
      </c>
      <c r="AP18" s="909">
        <v>800000.0</v>
      </c>
      <c r="AQ18" s="909">
        <v>800000.0</v>
      </c>
      <c r="AR18" s="909">
        <v>800000.0</v>
      </c>
      <c r="AS18" s="909">
        <v>800000.0</v>
      </c>
      <c r="AT18" s="909">
        <v>800000.0</v>
      </c>
      <c r="AU18" s="909">
        <v>800040.0</v>
      </c>
      <c r="AV18" s="909"/>
      <c r="AW18" s="909"/>
      <c r="AX18" s="909"/>
      <c r="AY18" s="909"/>
      <c r="AZ18" s="909"/>
    </row>
    <row r="19">
      <c r="A19" s="889"/>
      <c r="B19" s="885" t="s">
        <v>3084</v>
      </c>
      <c r="C19" s="883" t="s">
        <v>58</v>
      </c>
      <c r="D19" s="918" t="s">
        <v>64</v>
      </c>
      <c r="E19" s="894">
        <v>600000.0</v>
      </c>
      <c r="F19" s="895">
        <f>E19+E19*10%+40000</f>
        <v>700000</v>
      </c>
      <c r="G19" s="919" t="s">
        <v>3085</v>
      </c>
      <c r="H19" s="912">
        <v>46081.0</v>
      </c>
      <c r="I19" s="912">
        <v>46188.0</v>
      </c>
      <c r="J19" s="897" t="s">
        <v>63</v>
      </c>
      <c r="K19" s="885">
        <v>0.0</v>
      </c>
      <c r="L19" s="895">
        <f t="shared" si="4"/>
        <v>700000</v>
      </c>
      <c r="M19" s="895">
        <v>100000.0</v>
      </c>
      <c r="N19" s="913"/>
      <c r="O19" s="913"/>
      <c r="P19" s="913"/>
      <c r="Q19" s="913"/>
      <c r="R19" s="914"/>
      <c r="S19" s="913"/>
      <c r="T19" s="913"/>
      <c r="U19" s="913"/>
      <c r="V19" s="913"/>
      <c r="W19" s="913"/>
      <c r="X19" s="913"/>
      <c r="Y19" s="913"/>
      <c r="Z19" s="913"/>
      <c r="AA19" s="888"/>
      <c r="AB19" s="888"/>
      <c r="AC19" s="910"/>
      <c r="AD19" s="910"/>
      <c r="AE19" s="915"/>
      <c r="AF19" s="915"/>
      <c r="AG19" s="915"/>
      <c r="AH19" s="915"/>
      <c r="AI19" s="915"/>
      <c r="AJ19" s="915"/>
      <c r="AK19" s="915"/>
      <c r="AL19" s="915"/>
      <c r="AM19" s="915"/>
      <c r="AN19" s="915"/>
      <c r="AO19" s="915"/>
      <c r="AP19" s="915"/>
      <c r="AQ19" s="909"/>
      <c r="AR19" s="917">
        <v>905000.0</v>
      </c>
      <c r="AS19" s="909">
        <v>800000.0</v>
      </c>
      <c r="AT19" s="909">
        <v>1253356.0</v>
      </c>
      <c r="AV19" s="909"/>
      <c r="AW19" s="909"/>
      <c r="AX19" s="909"/>
      <c r="AY19" s="909"/>
      <c r="AZ19" s="909"/>
    </row>
    <row r="20">
      <c r="A20" s="889"/>
      <c r="B20" s="885" t="s">
        <v>3084</v>
      </c>
      <c r="C20" s="883" t="s">
        <v>58</v>
      </c>
      <c r="D20" s="885" t="s">
        <v>1286</v>
      </c>
      <c r="E20" s="895">
        <v>540000.0</v>
      </c>
      <c r="F20" s="895">
        <v>700000.0</v>
      </c>
      <c r="G20" s="885" t="s">
        <v>1287</v>
      </c>
      <c r="H20" s="912">
        <v>46031.0</v>
      </c>
      <c r="I20" s="912">
        <v>46200.0</v>
      </c>
      <c r="J20" s="897" t="s">
        <v>63</v>
      </c>
      <c r="K20" s="885">
        <v>0.0</v>
      </c>
      <c r="L20" s="895">
        <f t="shared" si="4"/>
        <v>700000</v>
      </c>
      <c r="M20" s="895">
        <v>100000.0</v>
      </c>
      <c r="N20" s="913"/>
      <c r="O20" s="913"/>
      <c r="P20" s="913"/>
      <c r="Q20" s="913"/>
      <c r="R20" s="914"/>
      <c r="S20" s="913"/>
      <c r="T20" s="913"/>
      <c r="U20" s="913"/>
      <c r="V20" s="913"/>
      <c r="W20" s="913"/>
      <c r="X20" s="913"/>
      <c r="Y20" s="913"/>
      <c r="Z20" s="913"/>
      <c r="AA20" s="888"/>
      <c r="AB20" s="888"/>
      <c r="AC20" s="910"/>
      <c r="AD20" s="910"/>
      <c r="AE20" s="915"/>
      <c r="AF20" s="915"/>
      <c r="AG20" s="915"/>
      <c r="AH20" s="915"/>
      <c r="AI20" s="915"/>
      <c r="AJ20" s="915"/>
      <c r="AK20" s="915"/>
      <c r="AL20" s="915"/>
      <c r="AM20" s="915"/>
      <c r="AN20" s="915"/>
      <c r="AO20" s="915"/>
      <c r="AP20" s="915"/>
      <c r="AQ20" s="909">
        <v>1286682.0</v>
      </c>
      <c r="AR20" s="909">
        <v>700000.0</v>
      </c>
      <c r="AS20" s="909">
        <v>700000.0</v>
      </c>
      <c r="AT20" s="909">
        <v>700000.0</v>
      </c>
      <c r="AU20" s="909">
        <v>700000.0</v>
      </c>
      <c r="AV20" s="909">
        <v>606684.0</v>
      </c>
      <c r="AW20" s="909"/>
      <c r="AX20" s="909"/>
      <c r="AY20" s="909"/>
      <c r="AZ20" s="909"/>
    </row>
    <row r="21">
      <c r="A21" s="889"/>
      <c r="B21" s="885" t="s">
        <v>3084</v>
      </c>
      <c r="C21" s="883" t="s">
        <v>97</v>
      </c>
      <c r="D21" s="885" t="s">
        <v>125</v>
      </c>
      <c r="E21" s="895">
        <v>500000.0</v>
      </c>
      <c r="F21" s="895">
        <f>E21+E21*10%</f>
        <v>550000</v>
      </c>
      <c r="G21" s="885" t="s">
        <v>1307</v>
      </c>
      <c r="H21" s="912">
        <v>45954.0</v>
      </c>
      <c r="I21" s="912">
        <v>46319.0</v>
      </c>
      <c r="J21" s="897" t="s">
        <v>63</v>
      </c>
      <c r="K21" s="885">
        <v>0.0</v>
      </c>
      <c r="L21" s="895">
        <f t="shared" si="4"/>
        <v>550000</v>
      </c>
      <c r="M21" s="895">
        <v>100000.0</v>
      </c>
      <c r="N21" s="913"/>
      <c r="O21" s="913"/>
      <c r="P21" s="913"/>
      <c r="Q21" s="913"/>
      <c r="R21" s="914"/>
      <c r="S21" s="913"/>
      <c r="T21" s="913"/>
      <c r="U21" s="913"/>
      <c r="V21" s="913"/>
      <c r="W21" s="913"/>
      <c r="X21" s="913"/>
      <c r="Y21" s="913"/>
      <c r="Z21" s="913"/>
      <c r="AA21" s="888"/>
      <c r="AB21" s="888"/>
      <c r="AC21" s="910"/>
      <c r="AD21" s="910"/>
      <c r="AE21" s="915"/>
      <c r="AF21" s="915"/>
      <c r="AG21" s="915"/>
      <c r="AH21" s="915"/>
      <c r="AI21" s="915"/>
      <c r="AJ21" s="915"/>
      <c r="AK21" s="915"/>
      <c r="AL21" s="915"/>
      <c r="AM21" s="915"/>
      <c r="AN21" s="909">
        <v>700000.0</v>
      </c>
      <c r="AO21" s="920">
        <v>650000.0</v>
      </c>
      <c r="AP21" s="920">
        <v>650000.0</v>
      </c>
      <c r="AQ21" s="920">
        <v>801676.0</v>
      </c>
      <c r="AR21" s="909">
        <v>650000.0</v>
      </c>
      <c r="AS21" s="909">
        <v>650000.0</v>
      </c>
      <c r="AT21" s="909">
        <v>650000.0</v>
      </c>
      <c r="AU21" s="909">
        <v>650000.0</v>
      </c>
      <c r="AV21" s="909">
        <v>650000.0</v>
      </c>
      <c r="AW21" s="909">
        <v>650000.0</v>
      </c>
      <c r="AX21" s="909">
        <v>650000.0</v>
      </c>
      <c r="AY21" s="909">
        <v>801676.0</v>
      </c>
    </row>
    <row r="22">
      <c r="A22" s="889"/>
      <c r="B22" s="885" t="s">
        <v>3084</v>
      </c>
      <c r="C22" s="883" t="s">
        <v>1055</v>
      </c>
      <c r="D22" s="883" t="s">
        <v>3086</v>
      </c>
      <c r="E22" s="895">
        <v>420000.0</v>
      </c>
      <c r="F22" s="895">
        <v>440000.0</v>
      </c>
      <c r="G22" s="897" t="s">
        <v>1950</v>
      </c>
      <c r="H22" s="912">
        <v>45894.0</v>
      </c>
      <c r="I22" s="912">
        <v>46259.0</v>
      </c>
      <c r="J22" s="897" t="s">
        <v>33</v>
      </c>
      <c r="K22" s="885">
        <v>0.0</v>
      </c>
      <c r="L22" s="895">
        <f t="shared" si="4"/>
        <v>440000</v>
      </c>
      <c r="M22" s="895">
        <v>100000.0</v>
      </c>
      <c r="N22" s="913"/>
      <c r="O22" s="913"/>
      <c r="P22" s="913"/>
      <c r="Q22" s="913"/>
      <c r="R22" s="914"/>
      <c r="S22" s="913"/>
      <c r="T22" s="913"/>
      <c r="U22" s="913"/>
      <c r="V22" s="913"/>
      <c r="W22" s="913"/>
      <c r="X22" s="913"/>
      <c r="Y22" s="913"/>
      <c r="Z22" s="913"/>
      <c r="AA22" s="888"/>
      <c r="AB22" s="888"/>
      <c r="AC22" s="910"/>
      <c r="AD22" s="910"/>
      <c r="AL22" s="913">
        <v>716007.0</v>
      </c>
      <c r="AM22" s="909">
        <v>540000.0</v>
      </c>
      <c r="AN22" s="909">
        <v>540000.0</v>
      </c>
      <c r="AO22" s="909">
        <v>540000.0</v>
      </c>
      <c r="AP22" s="909">
        <v>540000.0</v>
      </c>
      <c r="AQ22" s="909">
        <v>540000.0</v>
      </c>
      <c r="AR22" s="909">
        <v>540000.0</v>
      </c>
      <c r="AS22" s="909">
        <v>540000.0</v>
      </c>
      <c r="AT22" s="909">
        <v>540000.0</v>
      </c>
      <c r="AU22" s="909">
        <v>540000.0</v>
      </c>
      <c r="AV22" s="909">
        <v>540000.0</v>
      </c>
      <c r="AW22" s="909">
        <v>540000.0</v>
      </c>
      <c r="AX22" s="909">
        <v>432024.0</v>
      </c>
      <c r="AY22" s="909"/>
      <c r="AZ22" s="909"/>
    </row>
    <row r="23">
      <c r="A23" s="921"/>
      <c r="B23" s="922"/>
      <c r="C23" s="922"/>
      <c r="D23" s="922"/>
      <c r="E23" s="922"/>
      <c r="F23" s="922"/>
      <c r="G23" s="922"/>
      <c r="H23" s="912"/>
      <c r="I23" s="912"/>
      <c r="J23" s="922"/>
      <c r="K23" s="922"/>
      <c r="L23" s="923"/>
      <c r="M23" s="887" t="s">
        <v>42</v>
      </c>
      <c r="N23" s="923"/>
      <c r="O23" s="923"/>
      <c r="P23" s="923"/>
      <c r="Q23" s="923"/>
      <c r="R23" s="924"/>
      <c r="S23" s="923"/>
      <c r="T23" s="923"/>
      <c r="U23" s="923"/>
      <c r="V23" s="923"/>
      <c r="W23" s="923"/>
      <c r="X23" s="923"/>
      <c r="Y23" s="923"/>
      <c r="Z23" s="923"/>
      <c r="AA23" s="887"/>
      <c r="AB23" s="911">
        <f t="shared" ref="AB23:AQ23" si="5">SUM(AB17:AB22)</f>
        <v>0</v>
      </c>
      <c r="AC23" s="911">
        <f t="shared" si="5"/>
        <v>0</v>
      </c>
      <c r="AD23" s="911">
        <f t="shared" si="5"/>
        <v>0</v>
      </c>
      <c r="AE23" s="911">
        <f t="shared" si="5"/>
        <v>0</v>
      </c>
      <c r="AF23" s="911">
        <f t="shared" si="5"/>
        <v>0</v>
      </c>
      <c r="AG23" s="911">
        <f t="shared" si="5"/>
        <v>0</v>
      </c>
      <c r="AH23" s="911">
        <f t="shared" si="5"/>
        <v>0</v>
      </c>
      <c r="AI23" s="911">
        <f t="shared" si="5"/>
        <v>0</v>
      </c>
      <c r="AJ23" s="911">
        <f t="shared" si="5"/>
        <v>0</v>
      </c>
      <c r="AK23" s="911">
        <f t="shared" si="5"/>
        <v>0</v>
      </c>
      <c r="AL23" s="911">
        <f t="shared" si="5"/>
        <v>1807683</v>
      </c>
      <c r="AM23" s="911">
        <f t="shared" si="5"/>
        <v>1340000</v>
      </c>
      <c r="AN23" s="911">
        <f t="shared" si="5"/>
        <v>2040000</v>
      </c>
      <c r="AO23" s="911">
        <f t="shared" si="5"/>
        <v>1990000</v>
      </c>
      <c r="AP23" s="911">
        <f t="shared" si="5"/>
        <v>1990000</v>
      </c>
      <c r="AQ23" s="911">
        <f t="shared" si="5"/>
        <v>3428358</v>
      </c>
      <c r="AR23" s="911">
        <f t="shared" ref="AR23:AV23" si="6">SUM(AR16:AR22)</f>
        <v>5310000</v>
      </c>
      <c r="AS23" s="911">
        <f t="shared" si="6"/>
        <v>4970000</v>
      </c>
      <c r="AT23" s="911">
        <f t="shared" si="6"/>
        <v>6829407</v>
      </c>
      <c r="AU23" s="911">
        <f t="shared" si="6"/>
        <v>2690040</v>
      </c>
      <c r="AV23" s="911">
        <f t="shared" si="6"/>
        <v>1796684</v>
      </c>
      <c r="AW23" s="911"/>
      <c r="AX23" s="911"/>
      <c r="AY23" s="913"/>
      <c r="AZ23" s="911"/>
    </row>
    <row r="24">
      <c r="A24" s="889"/>
      <c r="B24" s="910"/>
      <c r="C24" s="910"/>
      <c r="D24" s="910"/>
      <c r="E24" s="910"/>
      <c r="F24" s="910"/>
      <c r="G24" s="910"/>
      <c r="H24" s="912"/>
      <c r="I24" s="912"/>
      <c r="J24" s="910"/>
      <c r="K24" s="910"/>
      <c r="L24" s="909"/>
      <c r="M24" s="909"/>
      <c r="N24" s="913"/>
      <c r="O24" s="913"/>
      <c r="P24" s="913"/>
      <c r="Q24" s="913"/>
      <c r="R24" s="913"/>
      <c r="S24" s="913"/>
      <c r="T24" s="913"/>
      <c r="U24" s="913"/>
      <c r="V24" s="913"/>
      <c r="W24" s="913"/>
      <c r="X24" s="913"/>
      <c r="Y24" s="913"/>
      <c r="Z24" s="913"/>
      <c r="AA24" s="888"/>
      <c r="AB24" s="887" t="s">
        <v>3087</v>
      </c>
      <c r="AC24" s="887" t="s">
        <v>3088</v>
      </c>
      <c r="AD24" s="887" t="s">
        <v>3089</v>
      </c>
      <c r="AE24" s="887" t="s">
        <v>3090</v>
      </c>
      <c r="AF24" s="887" t="s">
        <v>3091</v>
      </c>
      <c r="AG24" s="887" t="s">
        <v>3092</v>
      </c>
      <c r="AH24" s="887" t="s">
        <v>3093</v>
      </c>
      <c r="AI24" s="887" t="s">
        <v>3094</v>
      </c>
      <c r="AJ24" s="887" t="s">
        <v>3095</v>
      </c>
      <c r="AK24" s="887" t="s">
        <v>3096</v>
      </c>
      <c r="AL24" s="925">
        <v>600000.0</v>
      </c>
      <c r="AM24" s="925">
        <v>-600000.0</v>
      </c>
      <c r="AN24" s="925">
        <v>-700000.0</v>
      </c>
      <c r="AO24" s="887" t="s">
        <v>3088</v>
      </c>
      <c r="AP24" s="926" t="s">
        <v>3097</v>
      </c>
      <c r="AQ24" s="926" t="s">
        <v>3098</v>
      </c>
      <c r="AR24" s="926" t="s">
        <v>3099</v>
      </c>
      <c r="AS24" s="889"/>
      <c r="AT24" s="889"/>
      <c r="AU24" s="889"/>
      <c r="AV24" s="889"/>
      <c r="AW24" s="889"/>
      <c r="AX24" s="889"/>
      <c r="AY24" s="889"/>
      <c r="AZ24" s="889"/>
    </row>
    <row r="25">
      <c r="A25" s="889"/>
      <c r="B25" s="927" t="s">
        <v>3100</v>
      </c>
      <c r="C25" s="910"/>
      <c r="D25" s="910"/>
      <c r="E25" s="910"/>
      <c r="F25" s="910"/>
      <c r="G25" s="910"/>
      <c r="H25" s="910"/>
      <c r="I25" s="910"/>
      <c r="J25" s="910"/>
      <c r="K25" s="910"/>
      <c r="L25" s="909"/>
      <c r="M25" s="909"/>
      <c r="N25" s="913"/>
      <c r="O25" s="913"/>
      <c r="P25" s="913"/>
      <c r="Q25" s="913"/>
      <c r="R25" s="913"/>
      <c r="S25" s="913"/>
      <c r="T25" s="913"/>
      <c r="U25" s="913"/>
      <c r="V25" s="913"/>
      <c r="W25" s="913"/>
      <c r="X25" s="913"/>
      <c r="Y25" s="913"/>
      <c r="Z25" s="913"/>
      <c r="AA25" s="913"/>
      <c r="AB25" s="888"/>
      <c r="AC25" s="910"/>
      <c r="AD25" s="910"/>
      <c r="AE25" s="910"/>
      <c r="AF25" s="910"/>
      <c r="AG25" s="889"/>
      <c r="AH25" s="889"/>
      <c r="AI25" s="889"/>
      <c r="AJ25" s="889"/>
      <c r="AK25" s="889"/>
      <c r="AL25" s="928">
        <f t="shared" ref="AL25:AN25" si="7">AL23+AL24</f>
        <v>2407683</v>
      </c>
      <c r="AM25" s="928">
        <f t="shared" si="7"/>
        <v>740000</v>
      </c>
      <c r="AN25" s="928">
        <f t="shared" si="7"/>
        <v>1340000</v>
      </c>
      <c r="AO25" s="889"/>
      <c r="AP25" s="926" t="s">
        <v>3101</v>
      </c>
      <c r="AQ25" s="917" t="s">
        <v>3102</v>
      </c>
      <c r="AR25" s="926" t="s">
        <v>3103</v>
      </c>
      <c r="AS25" s="926"/>
      <c r="AX25" s="926"/>
      <c r="AY25" s="926"/>
      <c r="AZ25" s="926"/>
      <c r="BA25" s="926"/>
      <c r="BB25" s="926"/>
    </row>
    <row r="26">
      <c r="A26" s="889"/>
      <c r="B26" s="929" t="s">
        <v>1243</v>
      </c>
      <c r="C26" s="930">
        <v>233000.0</v>
      </c>
      <c r="E26" s="910"/>
      <c r="F26" s="910"/>
      <c r="G26" s="885"/>
      <c r="H26" s="910"/>
      <c r="I26" s="909"/>
      <c r="J26" s="910"/>
      <c r="K26" s="909"/>
      <c r="L26" s="931"/>
      <c r="M26" s="909"/>
      <c r="N26" s="913"/>
      <c r="O26" s="913"/>
      <c r="P26" s="913"/>
      <c r="Q26" s="913"/>
      <c r="R26" s="913"/>
      <c r="S26" s="913"/>
      <c r="T26" s="913"/>
      <c r="U26" s="913"/>
      <c r="V26" s="913"/>
      <c r="W26" s="913"/>
      <c r="X26" s="913"/>
      <c r="Y26" s="913"/>
      <c r="Z26" s="913"/>
      <c r="AA26" s="913"/>
      <c r="AB26" s="910"/>
      <c r="AC26" s="910"/>
      <c r="AD26" s="914">
        <f>AD38+AD3-M26-M27</f>
        <v>1258260</v>
      </c>
      <c r="AE26" s="910"/>
      <c r="AF26" s="910"/>
      <c r="AG26" s="889"/>
      <c r="AH26" s="889"/>
      <c r="AI26" s="889"/>
      <c r="AJ26" s="889"/>
      <c r="AK26" s="917"/>
      <c r="AL26" s="887" t="s">
        <v>3104</v>
      </c>
      <c r="AM26" s="887" t="s">
        <v>3105</v>
      </c>
      <c r="AN26" s="887" t="s">
        <v>3106</v>
      </c>
      <c r="AO26" s="889"/>
      <c r="AP26" s="926" t="s">
        <v>3107</v>
      </c>
      <c r="AQ26" s="917" t="s">
        <v>3108</v>
      </c>
      <c r="AR26" s="926" t="s">
        <v>3109</v>
      </c>
      <c r="AS26" s="926"/>
      <c r="AX26" s="889"/>
      <c r="AY26" s="926" t="s">
        <v>3084</v>
      </c>
      <c r="AZ26" s="932" t="s">
        <v>3110</v>
      </c>
      <c r="BA26" s="889"/>
      <c r="BB26" s="889"/>
    </row>
    <row r="27">
      <c r="A27" s="889"/>
      <c r="B27" s="933" t="s">
        <v>3111</v>
      </c>
      <c r="C27" s="934">
        <f t="shared" ref="C27:C28" si="8">C26*10%</f>
        <v>23300</v>
      </c>
      <c r="E27" s="910"/>
      <c r="F27" s="910"/>
      <c r="G27" s="910"/>
      <c r="H27" s="885"/>
      <c r="I27" s="909"/>
      <c r="J27" s="910"/>
      <c r="K27" s="909"/>
      <c r="L27" s="909"/>
      <c r="M27" s="909"/>
      <c r="N27" s="913"/>
      <c r="O27" s="913"/>
      <c r="P27" s="913"/>
      <c r="Q27" s="913"/>
      <c r="R27" s="913"/>
      <c r="S27" s="913"/>
      <c r="T27" s="913"/>
      <c r="U27" s="913"/>
      <c r="V27" s="913"/>
      <c r="W27" s="913"/>
      <c r="X27" s="913"/>
      <c r="Y27" s="913"/>
      <c r="Z27" s="913"/>
      <c r="AA27" s="913"/>
      <c r="AB27" s="910"/>
      <c r="AC27" s="910"/>
      <c r="AD27" s="910"/>
      <c r="AE27" s="910"/>
      <c r="AF27" s="910"/>
      <c r="AG27" s="889"/>
      <c r="AH27" s="889"/>
      <c r="AI27" s="889"/>
      <c r="AJ27" s="889"/>
      <c r="AK27" s="917"/>
      <c r="AL27" s="889"/>
      <c r="AM27" s="889"/>
      <c r="AN27" s="926"/>
      <c r="AO27" s="917"/>
      <c r="AP27" s="917"/>
      <c r="AQ27" s="885" t="s">
        <v>3112</v>
      </c>
      <c r="AR27" s="926" t="s">
        <v>3113</v>
      </c>
      <c r="AS27" s="889"/>
      <c r="AX27" s="889"/>
      <c r="AY27" s="889"/>
      <c r="AZ27" s="932" t="s">
        <v>3114</v>
      </c>
      <c r="BA27" s="889"/>
      <c r="BB27" s="889"/>
    </row>
    <row r="28">
      <c r="A28" s="889"/>
      <c r="B28" s="933" t="s">
        <v>3115</v>
      </c>
      <c r="C28" s="934">
        <f t="shared" si="8"/>
        <v>2330</v>
      </c>
      <c r="E28" s="910"/>
      <c r="F28" s="910"/>
      <c r="G28" s="910"/>
      <c r="H28" s="910"/>
      <c r="I28" s="910"/>
      <c r="J28" s="910"/>
      <c r="K28" s="885"/>
      <c r="L28" s="914"/>
      <c r="M28" s="910"/>
      <c r="N28" s="910"/>
      <c r="O28" s="910"/>
      <c r="P28" s="911"/>
      <c r="Q28" s="911"/>
      <c r="R28" s="911"/>
      <c r="S28" s="913"/>
      <c r="T28" s="913"/>
      <c r="U28" s="913"/>
      <c r="V28" s="913"/>
      <c r="W28" s="913"/>
      <c r="X28" s="913"/>
      <c r="Y28" s="913"/>
      <c r="Z28" s="913"/>
      <c r="AA28" s="913"/>
      <c r="AB28" s="910"/>
      <c r="AC28" s="910"/>
      <c r="AD28" s="910"/>
      <c r="AE28" s="910"/>
      <c r="AF28" s="910"/>
      <c r="AG28" s="889"/>
      <c r="AH28" s="889"/>
      <c r="AI28" s="889"/>
      <c r="AJ28" s="889"/>
      <c r="AK28" s="889"/>
      <c r="AL28" s="889"/>
      <c r="AM28" s="889"/>
      <c r="AN28" s="926"/>
      <c r="AO28" s="917"/>
      <c r="AP28" s="935">
        <f>3078012+650000+695000</f>
        <v>4423012</v>
      </c>
      <c r="AQ28" s="889"/>
      <c r="AR28" s="926" t="s">
        <v>3116</v>
      </c>
      <c r="AS28" s="889"/>
      <c r="AX28" s="889"/>
      <c r="AY28" s="889"/>
      <c r="AZ28" s="889"/>
      <c r="BA28" s="889"/>
      <c r="BB28" s="889"/>
    </row>
    <row r="29">
      <c r="A29" s="889"/>
      <c r="B29" s="936" t="s">
        <v>3117</v>
      </c>
      <c r="C29" s="937">
        <f>C26-C27-C28</f>
        <v>207370</v>
      </c>
      <c r="E29" s="889"/>
      <c r="F29" s="889"/>
      <c r="G29" s="889"/>
      <c r="H29" s="889"/>
      <c r="I29" s="889"/>
      <c r="J29" s="889"/>
      <c r="K29" s="926"/>
      <c r="L29" s="928"/>
      <c r="M29" s="889"/>
      <c r="N29" s="889"/>
      <c r="O29" s="889"/>
      <c r="P29" s="938"/>
      <c r="Q29" s="938"/>
      <c r="R29" s="938"/>
      <c r="S29" s="889"/>
      <c r="T29" s="889"/>
      <c r="U29" s="889"/>
      <c r="V29" s="889"/>
      <c r="W29" s="889"/>
      <c r="X29" s="889"/>
      <c r="Y29" s="889"/>
      <c r="Z29" s="889"/>
      <c r="AA29" s="889"/>
      <c r="AB29" s="889"/>
      <c r="AC29" s="889"/>
      <c r="AD29" s="889"/>
      <c r="AE29" s="889"/>
      <c r="AF29" s="926"/>
      <c r="AG29" s="889"/>
      <c r="AH29" s="889"/>
      <c r="AI29" s="889"/>
      <c r="AJ29" s="889"/>
      <c r="AK29" s="889"/>
      <c r="AL29" s="889"/>
      <c r="AM29" s="889"/>
      <c r="AN29" s="889"/>
      <c r="AO29" s="889"/>
      <c r="AQ29" s="926"/>
      <c r="AR29" s="889"/>
      <c r="AS29" s="889"/>
      <c r="AX29" s="889"/>
      <c r="AY29" s="889"/>
      <c r="AZ29" s="889"/>
      <c r="BA29" s="889"/>
      <c r="BB29" s="889"/>
    </row>
    <row r="30">
      <c r="A30" s="889"/>
      <c r="B30" s="933" t="s">
        <v>1244</v>
      </c>
      <c r="C30" s="939">
        <v>42000.0</v>
      </c>
      <c r="E30" s="928"/>
      <c r="F30" s="928"/>
      <c r="G30" s="928"/>
      <c r="H30" s="889"/>
      <c r="I30" s="889"/>
      <c r="J30" s="889"/>
      <c r="K30" s="889"/>
      <c r="L30" s="889"/>
      <c r="O30" s="928"/>
      <c r="P30" s="917"/>
      <c r="Q30" s="928"/>
      <c r="R30" s="928"/>
      <c r="S30" s="928"/>
      <c r="T30" s="928"/>
      <c r="U30" s="928"/>
      <c r="V30" s="889"/>
      <c r="W30" s="889"/>
      <c r="X30" s="889"/>
      <c r="Y30" s="889"/>
      <c r="Z30" s="917"/>
      <c r="AA30" s="938"/>
      <c r="AB30" s="938"/>
      <c r="AC30" s="938"/>
      <c r="AD30" s="917"/>
      <c r="AE30" s="940"/>
      <c r="AF30" s="889"/>
      <c r="AG30" s="889"/>
      <c r="AH30" s="889"/>
      <c r="AI30" s="889"/>
      <c r="AJ30" s="889"/>
      <c r="AK30" s="889"/>
      <c r="AL30" s="889"/>
      <c r="AM30" s="889"/>
      <c r="AN30" s="889"/>
      <c r="AO30" s="889"/>
      <c r="AP30" s="889"/>
      <c r="AQ30" s="889"/>
      <c r="AR30" s="889"/>
      <c r="AS30" s="889"/>
      <c r="AT30" s="889"/>
      <c r="AU30" s="889"/>
      <c r="AV30" s="889"/>
      <c r="AW30" s="889"/>
      <c r="AX30" s="889"/>
      <c r="AY30" s="889"/>
      <c r="AZ30" s="889"/>
    </row>
    <row r="31">
      <c r="A31" s="917"/>
      <c r="B31" s="941" t="s">
        <v>3118</v>
      </c>
      <c r="C31" s="942">
        <f>C29+C30</f>
        <v>249370</v>
      </c>
      <c r="E31" s="928"/>
      <c r="F31" s="928"/>
      <c r="G31" s="928"/>
      <c r="H31" s="926"/>
      <c r="I31" s="928"/>
      <c r="J31" s="926"/>
      <c r="K31" s="917"/>
      <c r="L31" s="889"/>
      <c r="O31" s="928"/>
      <c r="P31" s="928"/>
      <c r="Q31" s="928"/>
      <c r="R31" s="928"/>
      <c r="S31" s="928"/>
      <c r="T31" s="928"/>
      <c r="U31" s="928"/>
      <c r="V31" s="889"/>
      <c r="W31" s="889"/>
      <c r="X31" s="889"/>
      <c r="Y31" s="889"/>
      <c r="Z31" s="938"/>
      <c r="AA31" s="938"/>
      <c r="AB31" s="938"/>
      <c r="AC31" s="938"/>
      <c r="AD31" s="917"/>
      <c r="AE31" s="938"/>
      <c r="AF31" s="926"/>
      <c r="AG31" s="889"/>
      <c r="AH31" s="889"/>
      <c r="AI31" s="889"/>
      <c r="AJ31" s="889"/>
      <c r="AK31" s="889"/>
      <c r="AL31" s="889"/>
      <c r="AM31" s="889"/>
      <c r="AN31" s="889"/>
      <c r="AO31" s="889"/>
      <c r="AP31" s="889"/>
      <c r="AQ31" s="909"/>
      <c r="AR31" s="909"/>
      <c r="AS31" s="889"/>
      <c r="AT31" s="889"/>
      <c r="AU31" s="889"/>
      <c r="AV31" s="917"/>
      <c r="AW31" s="889"/>
      <c r="AX31" s="889"/>
      <c r="AY31" s="889"/>
      <c r="AZ31" s="889"/>
    </row>
    <row r="32">
      <c r="A32" s="917"/>
      <c r="B32" s="917"/>
      <c r="C32" s="917"/>
      <c r="D32" s="889"/>
      <c r="E32" s="889"/>
      <c r="F32" s="889"/>
      <c r="G32" s="889"/>
      <c r="H32" s="926"/>
      <c r="I32" s="928"/>
      <c r="J32" s="926"/>
      <c r="K32" s="926"/>
      <c r="L32" s="889"/>
      <c r="O32" s="889"/>
      <c r="P32" s="889"/>
      <c r="Q32" s="928"/>
      <c r="R32" s="928"/>
      <c r="S32" s="928"/>
      <c r="T32" s="928"/>
      <c r="U32" s="928"/>
      <c r="V32" s="889"/>
      <c r="W32" s="889"/>
      <c r="X32" s="889"/>
      <c r="Y32" s="889"/>
      <c r="Z32" s="938"/>
      <c r="AA32" s="938"/>
      <c r="AB32" s="938"/>
      <c r="AC32" s="938"/>
      <c r="AD32" s="917"/>
      <c r="AE32" s="928"/>
      <c r="AF32" s="926"/>
      <c r="AG32" s="889"/>
      <c r="AH32" s="889"/>
      <c r="AI32" s="889"/>
      <c r="AJ32" s="889"/>
      <c r="AK32" s="889"/>
      <c r="AL32" s="889"/>
      <c r="AM32" s="889"/>
      <c r="AN32" s="889"/>
      <c r="AO32" s="889"/>
      <c r="AP32" s="889"/>
      <c r="AQ32" s="909"/>
      <c r="AR32" s="909"/>
      <c r="AS32" s="889"/>
      <c r="AT32" s="889"/>
      <c r="AU32" s="889"/>
      <c r="AV32" s="889"/>
      <c r="AW32" s="889"/>
      <c r="AX32" s="889"/>
      <c r="AY32" s="889"/>
      <c r="AZ32" s="889"/>
    </row>
    <row r="33">
      <c r="A33" s="889"/>
      <c r="B33" s="889"/>
      <c r="C33" s="889"/>
      <c r="D33" s="926"/>
      <c r="E33" s="926"/>
      <c r="F33" s="926"/>
      <c r="G33" s="926"/>
      <c r="H33" s="889"/>
      <c r="I33" s="889"/>
      <c r="J33" s="889"/>
      <c r="K33" s="889"/>
      <c r="L33" s="889"/>
      <c r="O33" s="889"/>
      <c r="P33" s="889"/>
      <c r="Q33" s="928"/>
      <c r="R33" s="928"/>
      <c r="S33" s="928"/>
      <c r="T33" s="928"/>
      <c r="U33" s="928"/>
      <c r="V33" s="889"/>
      <c r="W33" s="889"/>
      <c r="X33" s="889"/>
      <c r="Y33" s="889"/>
      <c r="Z33" s="889"/>
      <c r="AA33" s="938"/>
      <c r="AB33" s="938"/>
      <c r="AC33" s="940"/>
      <c r="AD33" s="926"/>
      <c r="AE33" s="938"/>
      <c r="AF33" s="926"/>
      <c r="AG33" s="889"/>
      <c r="AH33" s="889"/>
      <c r="AI33" s="889"/>
      <c r="AJ33" s="889"/>
      <c r="AK33" s="889"/>
      <c r="AL33" s="889"/>
      <c r="AM33" s="889"/>
      <c r="AN33" s="889"/>
      <c r="AO33" s="889"/>
      <c r="AP33" s="889"/>
      <c r="AQ33" s="909"/>
      <c r="AR33" s="909"/>
      <c r="AS33" s="926"/>
      <c r="AT33" s="889"/>
      <c r="AU33" s="926"/>
      <c r="AV33" s="926"/>
      <c r="AW33" s="889"/>
      <c r="AX33" s="889"/>
      <c r="AY33" s="889"/>
      <c r="AZ33" s="889"/>
    </row>
    <row r="34">
      <c r="A34" s="926"/>
      <c r="B34" s="926"/>
      <c r="C34" s="926"/>
      <c r="D34" s="917"/>
      <c r="E34" s="928"/>
      <c r="F34" s="928"/>
      <c r="G34" s="928"/>
      <c r="H34" s="889"/>
      <c r="I34" s="889"/>
      <c r="J34" s="889"/>
      <c r="K34" s="889"/>
      <c r="L34" s="889"/>
      <c r="O34" s="889"/>
      <c r="P34" s="889"/>
      <c r="Q34" s="928"/>
      <c r="R34" s="928"/>
      <c r="S34" s="928"/>
      <c r="T34" s="928"/>
      <c r="U34" s="928"/>
      <c r="V34" s="889"/>
      <c r="W34" s="889"/>
      <c r="X34" s="889"/>
      <c r="Y34" s="889"/>
      <c r="Z34" s="917"/>
      <c r="AA34" s="938"/>
      <c r="AB34" s="938"/>
      <c r="AC34" s="938"/>
      <c r="AD34" s="917"/>
      <c r="AE34" s="940"/>
      <c r="AF34" s="926"/>
      <c r="AG34" s="889"/>
      <c r="AH34" s="889"/>
      <c r="AI34" s="889"/>
      <c r="AJ34" s="889"/>
      <c r="AK34" s="889"/>
      <c r="AL34" s="889"/>
      <c r="AM34" s="889"/>
      <c r="AN34" s="889"/>
      <c r="AO34" s="889"/>
      <c r="AP34" s="926"/>
      <c r="AQ34" s="909"/>
      <c r="AR34" s="909"/>
      <c r="AS34" s="889"/>
      <c r="AT34" s="889"/>
      <c r="AU34" s="889"/>
      <c r="AV34" s="889"/>
      <c r="AW34" s="889"/>
      <c r="AX34" s="889"/>
      <c r="AY34" s="889"/>
      <c r="AZ34" s="889"/>
    </row>
    <row r="35">
      <c r="A35" s="889"/>
      <c r="B35" s="889"/>
      <c r="C35" s="889"/>
      <c r="D35" s="889"/>
      <c r="E35" s="889"/>
      <c r="F35" s="889"/>
      <c r="G35" s="889"/>
      <c r="H35" s="889"/>
      <c r="I35" s="889"/>
      <c r="J35" s="889"/>
      <c r="K35" s="889"/>
      <c r="L35" s="889"/>
      <c r="M35" s="889"/>
      <c r="N35" s="943">
        <v>2750000.0</v>
      </c>
      <c r="O35" s="944">
        <f>N35/5</f>
        <v>550000</v>
      </c>
      <c r="P35" s="943">
        <v>50000.0</v>
      </c>
      <c r="Q35" s="944">
        <f>O35+P35</f>
        <v>600000</v>
      </c>
      <c r="R35" s="944"/>
      <c r="S35" s="889"/>
      <c r="T35" s="889"/>
      <c r="U35" s="889"/>
      <c r="V35" s="889"/>
      <c r="W35" s="889"/>
      <c r="X35" s="889"/>
      <c r="Y35" s="889"/>
      <c r="Z35" s="889"/>
      <c r="AA35" s="889"/>
      <c r="AB35" s="889"/>
      <c r="AC35" s="889"/>
      <c r="AD35" s="889"/>
      <c r="AE35" s="889"/>
      <c r="AF35" s="889"/>
      <c r="AG35" s="889"/>
      <c r="AH35" s="889"/>
      <c r="AI35" s="889"/>
      <c r="AJ35" s="889"/>
      <c r="AK35" s="889"/>
      <c r="AL35" s="889"/>
      <c r="AM35" s="889"/>
      <c r="AN35" s="889"/>
      <c r="AO35" s="889"/>
      <c r="AP35" s="926"/>
      <c r="AQ35" s="909"/>
      <c r="AR35" s="909"/>
      <c r="AS35" s="889"/>
      <c r="AT35" s="889"/>
      <c r="AU35" s="889"/>
      <c r="AV35" s="945"/>
      <c r="AW35" s="889"/>
      <c r="AX35" s="889"/>
      <c r="AY35" s="889"/>
      <c r="AZ35" s="889"/>
    </row>
    <row r="36">
      <c r="A36" s="889"/>
      <c r="B36" s="889"/>
      <c r="C36" s="889"/>
      <c r="D36" s="889"/>
      <c r="E36" s="889"/>
      <c r="F36" s="889"/>
      <c r="G36" s="889"/>
      <c r="H36" s="889"/>
      <c r="I36" s="889"/>
      <c r="J36" s="889"/>
      <c r="K36" s="889"/>
      <c r="L36" s="889"/>
      <c r="M36" s="889"/>
      <c r="N36" s="944"/>
      <c r="O36" s="943">
        <v>100000.0</v>
      </c>
      <c r="P36" s="944"/>
      <c r="Q36" s="943">
        <v>100000.0</v>
      </c>
      <c r="R36" s="944"/>
      <c r="S36" s="889"/>
      <c r="T36" s="889"/>
      <c r="U36" s="889"/>
      <c r="V36" s="889"/>
      <c r="W36" s="889"/>
      <c r="X36" s="889"/>
      <c r="Y36" s="889"/>
      <c r="Z36" s="889"/>
      <c r="AA36" s="889"/>
      <c r="AB36" s="889"/>
      <c r="AC36" s="889"/>
      <c r="AD36" s="889"/>
      <c r="AE36" s="889"/>
      <c r="AF36" s="889"/>
      <c r="AG36" s="889"/>
      <c r="AH36" s="889"/>
      <c r="AI36" s="889"/>
      <c r="AJ36" s="889"/>
      <c r="AK36" s="889"/>
      <c r="AL36" s="889"/>
      <c r="AM36" s="889"/>
      <c r="AN36" s="889"/>
      <c r="AO36" s="889"/>
      <c r="AP36" s="889"/>
      <c r="AQ36" s="926"/>
      <c r="AR36" s="889"/>
      <c r="AS36" s="889"/>
      <c r="AT36" s="889"/>
      <c r="AU36" s="889"/>
      <c r="AV36" s="889"/>
      <c r="AW36" s="889"/>
      <c r="AX36" s="889"/>
      <c r="AY36" s="889"/>
      <c r="AZ36" s="889"/>
    </row>
    <row r="37">
      <c r="A37" s="889"/>
      <c r="B37" s="946" t="s">
        <v>3119</v>
      </c>
      <c r="D37" s="889"/>
      <c r="E37" s="889"/>
      <c r="F37" s="889"/>
      <c r="G37" s="889"/>
      <c r="H37" s="889"/>
      <c r="I37" s="889"/>
      <c r="J37" s="889"/>
      <c r="K37" s="889"/>
      <c r="L37" s="889"/>
      <c r="M37" s="889"/>
      <c r="N37" s="944"/>
      <c r="O37" s="944"/>
      <c r="P37" s="944"/>
      <c r="Q37" s="944">
        <f>Q35+Q36</f>
        <v>700000</v>
      </c>
      <c r="R37" s="943">
        <v>5.0</v>
      </c>
      <c r="S37" s="926">
        <f>Q37*R37</f>
        <v>3500000</v>
      </c>
      <c r="T37" s="889"/>
      <c r="U37" s="889"/>
      <c r="V37" s="889"/>
      <c r="W37" s="889"/>
      <c r="X37" s="889"/>
      <c r="Y37" s="889"/>
      <c r="Z37" s="889"/>
      <c r="AA37" s="889"/>
      <c r="AB37" s="889"/>
      <c r="AC37" s="889"/>
      <c r="AD37" s="889"/>
      <c r="AE37" s="889"/>
      <c r="AF37" s="889"/>
      <c r="AG37" s="889"/>
      <c r="AH37" s="889"/>
      <c r="AI37" s="889"/>
      <c r="AJ37" s="889"/>
      <c r="AK37" s="889"/>
      <c r="AL37" s="889"/>
      <c r="AM37" s="889"/>
      <c r="AN37" s="889"/>
      <c r="AO37" s="889"/>
      <c r="AP37" s="889"/>
      <c r="AQ37" s="889"/>
      <c r="AR37" s="889"/>
      <c r="AS37" s="889"/>
      <c r="AT37" s="889"/>
      <c r="AU37" s="889"/>
      <c r="AV37" s="889"/>
      <c r="AW37" s="889"/>
      <c r="AX37" s="889"/>
      <c r="AY37" s="889"/>
      <c r="AZ37" s="889"/>
    </row>
    <row r="38" ht="16.5" customHeight="1">
      <c r="A38" s="883"/>
      <c r="B38" s="883" t="s">
        <v>1285</v>
      </c>
      <c r="C38" s="883" t="s">
        <v>3071</v>
      </c>
      <c r="D38" s="883" t="s">
        <v>59</v>
      </c>
      <c r="E38" s="894">
        <v>620000.0</v>
      </c>
      <c r="F38" s="895">
        <f>E38+E38*10%-42000</f>
        <v>640000</v>
      </c>
      <c r="G38" s="897" t="s">
        <v>62</v>
      </c>
      <c r="H38" s="896">
        <v>45463.0</v>
      </c>
      <c r="I38" s="896">
        <v>45827.0</v>
      </c>
      <c r="J38" s="897" t="s">
        <v>3072</v>
      </c>
      <c r="K38" s="895">
        <v>2000000.0</v>
      </c>
      <c r="L38" s="895">
        <f t="shared" ref="L38:L65" si="9">F38</f>
        <v>640000</v>
      </c>
      <c r="M38" s="895">
        <v>80000.0</v>
      </c>
      <c r="N38" s="898"/>
      <c r="O38" s="898"/>
      <c r="P38" s="898"/>
      <c r="Q38" s="898"/>
      <c r="R38" s="899"/>
      <c r="S38" s="898"/>
      <c r="T38" s="898"/>
      <c r="U38" s="898"/>
      <c r="V38" s="898"/>
      <c r="W38" s="898"/>
      <c r="X38" s="898">
        <v>240500.0</v>
      </c>
      <c r="Y38" s="898">
        <v>649600.0</v>
      </c>
      <c r="Z38" s="898">
        <v>649600.0</v>
      </c>
      <c r="AA38" s="898">
        <v>649600.0</v>
      </c>
      <c r="AB38" s="898">
        <v>649600.0</v>
      </c>
      <c r="AC38" s="898">
        <v>649600.0</v>
      </c>
      <c r="AD38" s="898">
        <v>649600.0</v>
      </c>
      <c r="AE38" s="898">
        <v>649600.0</v>
      </c>
      <c r="AF38" s="898">
        <v>649600.0</v>
      </c>
      <c r="AG38" s="898">
        <v>649600.0</v>
      </c>
      <c r="AH38" s="898">
        <v>649600.0</v>
      </c>
      <c r="AI38" s="898">
        <v>649600.0</v>
      </c>
      <c r="AJ38" s="898">
        <v>411150.0</v>
      </c>
      <c r="AK38" s="883"/>
      <c r="AL38" s="883"/>
      <c r="AM38" s="883"/>
      <c r="AN38" s="883"/>
      <c r="AO38" s="883"/>
      <c r="AP38" s="883"/>
      <c r="AQ38" s="883"/>
      <c r="AR38" s="883"/>
      <c r="AS38" s="883"/>
      <c r="AT38" s="883"/>
      <c r="AU38" s="883"/>
      <c r="AV38" s="883"/>
      <c r="AW38" s="883"/>
      <c r="AX38" s="883"/>
      <c r="AY38" s="883"/>
      <c r="AZ38" s="883"/>
    </row>
    <row r="39" ht="16.5" customHeight="1">
      <c r="A39" s="883"/>
      <c r="B39" s="883" t="s">
        <v>1285</v>
      </c>
      <c r="C39" s="883" t="s">
        <v>3071</v>
      </c>
      <c r="D39" s="883" t="s">
        <v>3120</v>
      </c>
      <c r="E39" s="895">
        <v>540000.0</v>
      </c>
      <c r="F39" s="895">
        <f t="shared" ref="F39:F41" si="10">E39+E39*10%</f>
        <v>594000</v>
      </c>
      <c r="G39" s="897" t="s">
        <v>3121</v>
      </c>
      <c r="H39" s="902">
        <v>45292.0</v>
      </c>
      <c r="I39" s="902">
        <v>45296.0</v>
      </c>
      <c r="J39" s="897" t="s">
        <v>3072</v>
      </c>
      <c r="K39" s="895">
        <v>2000000.0</v>
      </c>
      <c r="L39" s="895">
        <f t="shared" si="9"/>
        <v>594000</v>
      </c>
      <c r="M39" s="895">
        <v>80000.0</v>
      </c>
      <c r="N39" s="910"/>
      <c r="O39" s="898"/>
      <c r="P39" s="899"/>
      <c r="Q39" s="899"/>
      <c r="R39" s="899">
        <f>SUM(O39:Q39)</f>
        <v>0</v>
      </c>
      <c r="S39" s="899">
        <v>99400.0</v>
      </c>
      <c r="T39" s="947"/>
      <c r="U39" s="947"/>
      <c r="V39" s="947"/>
      <c r="W39" s="947"/>
      <c r="X39" s="947"/>
      <c r="Y39" s="947"/>
      <c r="Z39" s="900"/>
      <c r="AA39" s="948"/>
      <c r="AB39" s="883"/>
      <c r="AC39" s="883"/>
      <c r="AD39" s="883"/>
      <c r="AE39" s="883"/>
      <c r="AF39" s="883"/>
      <c r="AG39" s="883"/>
      <c r="AH39" s="883"/>
      <c r="AI39" s="883"/>
      <c r="AJ39" s="883"/>
      <c r="AK39" s="883"/>
      <c r="AL39" s="883"/>
      <c r="AM39" s="883"/>
      <c r="AN39" s="883"/>
      <c r="AO39" s="883"/>
      <c r="AP39" s="883"/>
      <c r="AQ39" s="883"/>
      <c r="AR39" s="883"/>
      <c r="AS39" s="883"/>
      <c r="AT39" s="883"/>
      <c r="AU39" s="883"/>
      <c r="AV39" s="883"/>
      <c r="AW39" s="883"/>
      <c r="AX39" s="883"/>
      <c r="AY39" s="883"/>
      <c r="AZ39" s="883"/>
    </row>
    <row r="40" ht="16.5" customHeight="1">
      <c r="A40" s="883"/>
      <c r="B40" s="883" t="s">
        <v>1285</v>
      </c>
      <c r="C40" s="883" t="s">
        <v>3071</v>
      </c>
      <c r="D40" s="883" t="s">
        <v>83</v>
      </c>
      <c r="E40" s="894">
        <v>540000.0</v>
      </c>
      <c r="F40" s="895">
        <f t="shared" si="10"/>
        <v>594000</v>
      </c>
      <c r="G40" s="883" t="s">
        <v>86</v>
      </c>
      <c r="H40" s="896">
        <v>45297.0</v>
      </c>
      <c r="I40" s="896">
        <v>45478.0</v>
      </c>
      <c r="J40" s="897" t="s">
        <v>3072</v>
      </c>
      <c r="K40" s="895">
        <v>2000000.0</v>
      </c>
      <c r="L40" s="895">
        <f t="shared" si="9"/>
        <v>594000</v>
      </c>
      <c r="M40" s="895">
        <v>80000.0</v>
      </c>
      <c r="N40" s="898"/>
      <c r="O40" s="898"/>
      <c r="P40" s="898"/>
      <c r="Q40" s="898"/>
      <c r="R40" s="899"/>
      <c r="S40" s="898">
        <v>515200.0</v>
      </c>
      <c r="T40" s="898">
        <v>614600.0</v>
      </c>
      <c r="U40" s="898">
        <v>614600.0</v>
      </c>
      <c r="V40" s="898">
        <v>614600.0</v>
      </c>
      <c r="W40" s="898">
        <v>614600.0</v>
      </c>
      <c r="X40" s="898">
        <v>614600.0</v>
      </c>
      <c r="Y40" s="898">
        <v>98340.0</v>
      </c>
      <c r="Z40" s="900"/>
      <c r="AA40" s="900"/>
      <c r="AB40" s="900"/>
      <c r="AC40" s="900"/>
      <c r="AD40" s="900"/>
      <c r="AE40" s="900"/>
      <c r="AF40" s="883"/>
      <c r="AG40" s="883"/>
      <c r="AH40" s="883"/>
      <c r="AI40" s="883"/>
      <c r="AJ40" s="883"/>
      <c r="AK40" s="883"/>
      <c r="AL40" s="883"/>
      <c r="AM40" s="883"/>
      <c r="AN40" s="883"/>
      <c r="AO40" s="883"/>
      <c r="AP40" s="883"/>
      <c r="AQ40" s="883"/>
      <c r="AR40" s="883"/>
      <c r="AS40" s="883"/>
      <c r="AT40" s="883"/>
      <c r="AU40" s="883"/>
      <c r="AV40" s="883"/>
      <c r="AW40" s="883"/>
      <c r="AX40" s="883"/>
      <c r="AY40" s="883"/>
      <c r="AZ40" s="883"/>
    </row>
    <row r="41" ht="16.5" customHeight="1">
      <c r="A41" s="883"/>
      <c r="B41" s="883" t="s">
        <v>1285</v>
      </c>
      <c r="C41" s="883" t="s">
        <v>3071</v>
      </c>
      <c r="D41" s="883" t="s">
        <v>3122</v>
      </c>
      <c r="E41" s="895">
        <v>480000.0</v>
      </c>
      <c r="F41" s="895">
        <f t="shared" si="10"/>
        <v>528000</v>
      </c>
      <c r="G41" s="897" t="s">
        <v>90</v>
      </c>
      <c r="H41" s="902">
        <v>45200.0</v>
      </c>
      <c r="I41" s="902">
        <v>45565.0</v>
      </c>
      <c r="J41" s="897" t="s">
        <v>3072</v>
      </c>
      <c r="K41" s="895">
        <v>1000000.0</v>
      </c>
      <c r="L41" s="895">
        <f t="shared" si="9"/>
        <v>528000</v>
      </c>
      <c r="M41" s="895">
        <v>80000.0</v>
      </c>
      <c r="N41" s="910"/>
      <c r="O41" s="898">
        <f>L41-L41*10%+M41</f>
        <v>555200</v>
      </c>
      <c r="P41" s="899">
        <f>O41</f>
        <v>555200</v>
      </c>
      <c r="Q41" s="899">
        <f>O41</f>
        <v>555200</v>
      </c>
      <c r="R41" s="899">
        <f>SUM(O41:Q41)</f>
        <v>1665600</v>
      </c>
      <c r="S41" s="899">
        <f>Q41</f>
        <v>555200</v>
      </c>
      <c r="T41" s="899">
        <f>S41</f>
        <v>555200</v>
      </c>
      <c r="U41" s="899">
        <f t="shared" ref="U41:X41" si="11">S41</f>
        <v>555200</v>
      </c>
      <c r="V41" s="899">
        <f t="shared" si="11"/>
        <v>555200</v>
      </c>
      <c r="W41" s="899">
        <f t="shared" si="11"/>
        <v>555200</v>
      </c>
      <c r="X41" s="899">
        <f t="shared" si="11"/>
        <v>555200</v>
      </c>
      <c r="Y41" s="899">
        <v>549920.0</v>
      </c>
      <c r="Z41" s="899">
        <v>549920.0</v>
      </c>
      <c r="AA41" s="899">
        <v>549920.0</v>
      </c>
      <c r="AB41" s="900"/>
      <c r="AC41" s="900"/>
      <c r="AD41" s="900"/>
      <c r="AE41" s="900"/>
      <c r="AF41" s="883"/>
      <c r="AG41" s="883"/>
      <c r="AH41" s="883"/>
      <c r="AI41" s="883"/>
      <c r="AJ41" s="883"/>
      <c r="AK41" s="883"/>
      <c r="AL41" s="883"/>
      <c r="AM41" s="883"/>
      <c r="AN41" s="883"/>
      <c r="AO41" s="883"/>
      <c r="AP41" s="883"/>
      <c r="AQ41" s="883"/>
      <c r="AR41" s="883"/>
      <c r="AS41" s="883"/>
      <c r="AT41" s="883"/>
      <c r="AU41" s="883"/>
      <c r="AV41" s="883"/>
      <c r="AW41" s="883"/>
      <c r="AX41" s="883"/>
      <c r="AY41" s="883"/>
      <c r="AZ41" s="883"/>
    </row>
    <row r="42" ht="16.5" customHeight="1">
      <c r="A42" s="883"/>
      <c r="B42" s="883" t="s">
        <v>1285</v>
      </c>
      <c r="C42" s="883" t="s">
        <v>3123</v>
      </c>
      <c r="D42" s="883" t="s">
        <v>167</v>
      </c>
      <c r="E42" s="895">
        <v>550000.0</v>
      </c>
      <c r="F42" s="895">
        <f>E42+E42*10%-10000</f>
        <v>595000</v>
      </c>
      <c r="G42" s="883" t="s">
        <v>3124</v>
      </c>
      <c r="H42" s="896">
        <v>45742.0</v>
      </c>
      <c r="I42" s="896">
        <v>45826.0</v>
      </c>
      <c r="J42" s="897" t="s">
        <v>3072</v>
      </c>
      <c r="K42" s="895">
        <v>2000000.0</v>
      </c>
      <c r="L42" s="895">
        <f t="shared" si="9"/>
        <v>595000</v>
      </c>
      <c r="M42" s="895">
        <v>100000.0</v>
      </c>
      <c r="N42" s="898"/>
      <c r="O42" s="898"/>
      <c r="P42" s="898"/>
      <c r="Q42" s="898"/>
      <c r="R42" s="899"/>
      <c r="S42" s="898"/>
      <c r="T42" s="898"/>
      <c r="U42" s="898"/>
      <c r="V42" s="898"/>
      <c r="W42" s="898"/>
      <c r="X42" s="898"/>
      <c r="Y42" s="898"/>
      <c r="Z42" s="898"/>
      <c r="AA42" s="898"/>
      <c r="AB42" s="898"/>
      <c r="AC42" s="898"/>
      <c r="AD42" s="898"/>
      <c r="AE42" s="898"/>
      <c r="AF42" s="898"/>
      <c r="AG42" s="898">
        <v>121750.0</v>
      </c>
      <c r="AH42" s="898">
        <v>629550.0</v>
      </c>
      <c r="AI42" s="898">
        <v>629550.0</v>
      </c>
      <c r="AJ42" s="898">
        <v>377730.0</v>
      </c>
      <c r="AK42" s="898"/>
      <c r="AL42" s="883"/>
      <c r="AM42" s="883"/>
      <c r="AN42" s="883"/>
      <c r="AO42" s="883"/>
      <c r="AP42" s="883"/>
      <c r="AQ42" s="883"/>
      <c r="AR42" s="883"/>
      <c r="AS42" s="883"/>
      <c r="AT42" s="883"/>
      <c r="AU42" s="883"/>
      <c r="AV42" s="883"/>
      <c r="AW42" s="883"/>
      <c r="AX42" s="883"/>
      <c r="AY42" s="883"/>
      <c r="AZ42" s="883"/>
    </row>
    <row r="43" ht="16.5" customHeight="1">
      <c r="A43" s="883"/>
      <c r="B43" s="883" t="s">
        <v>1285</v>
      </c>
      <c r="C43" s="883" t="s">
        <v>3123</v>
      </c>
      <c r="D43" s="883" t="s">
        <v>187</v>
      </c>
      <c r="E43" s="895">
        <v>480000.0</v>
      </c>
      <c r="F43" s="895">
        <f t="shared" ref="F43:F44" si="12">E43+E43*10%</f>
        <v>528000</v>
      </c>
      <c r="G43" s="895" t="s">
        <v>189</v>
      </c>
      <c r="H43" s="896">
        <v>45322.0</v>
      </c>
      <c r="I43" s="896">
        <v>45869.0</v>
      </c>
      <c r="J43" s="897" t="s">
        <v>3072</v>
      </c>
      <c r="K43" s="895">
        <v>1000000.0</v>
      </c>
      <c r="L43" s="895">
        <f t="shared" si="9"/>
        <v>528000</v>
      </c>
      <c r="M43" s="895">
        <v>80000.0</v>
      </c>
      <c r="N43" s="898"/>
      <c r="O43" s="898"/>
      <c r="P43" s="898"/>
      <c r="Q43" s="898"/>
      <c r="R43" s="899"/>
      <c r="S43" s="898">
        <v>17900.0</v>
      </c>
      <c r="T43" s="898">
        <v>555200.0</v>
      </c>
      <c r="U43" s="898">
        <v>555200.0</v>
      </c>
      <c r="V43" s="898">
        <v>555200.0</v>
      </c>
      <c r="W43" s="898">
        <v>555200.0</v>
      </c>
      <c r="X43" s="898">
        <v>555200.0</v>
      </c>
      <c r="Y43" s="898">
        <v>549920.0</v>
      </c>
      <c r="Z43" s="898">
        <v>549920.0</v>
      </c>
      <c r="AA43" s="898">
        <v>549920.0</v>
      </c>
      <c r="AB43" s="898">
        <v>549920.0</v>
      </c>
      <c r="AC43" s="898">
        <v>549920.0</v>
      </c>
      <c r="AD43" s="898">
        <v>549920.0</v>
      </c>
      <c r="AE43" s="898">
        <v>549920.0</v>
      </c>
      <c r="AF43" s="898">
        <v>549920.0</v>
      </c>
      <c r="AG43" s="898">
        <v>549920.0</v>
      </c>
      <c r="AH43" s="898">
        <v>549920.0</v>
      </c>
      <c r="AI43" s="898">
        <v>549920.0</v>
      </c>
      <c r="AJ43" s="898">
        <v>549920.0</v>
      </c>
      <c r="AK43" s="898">
        <v>549920.0</v>
      </c>
      <c r="AL43" s="883"/>
      <c r="AM43" s="883"/>
      <c r="AN43" s="883"/>
      <c r="AO43" s="883"/>
      <c r="AP43" s="883"/>
      <c r="AQ43" s="883"/>
      <c r="AR43" s="883"/>
      <c r="AS43" s="883"/>
      <c r="AT43" s="883"/>
      <c r="AU43" s="883"/>
      <c r="AV43" s="883"/>
      <c r="AW43" s="883"/>
      <c r="AX43" s="883"/>
      <c r="AY43" s="883"/>
      <c r="AZ43" s="883"/>
    </row>
    <row r="44" ht="16.5" customHeight="1">
      <c r="A44" s="883"/>
      <c r="B44" s="883" t="s">
        <v>1285</v>
      </c>
      <c r="C44" s="883" t="s">
        <v>3073</v>
      </c>
      <c r="D44" s="883" t="s">
        <v>1362</v>
      </c>
      <c r="E44" s="895">
        <v>580000.0</v>
      </c>
      <c r="F44" s="895">
        <f t="shared" si="12"/>
        <v>638000</v>
      </c>
      <c r="G44" s="897" t="s">
        <v>3121</v>
      </c>
      <c r="H44" s="902">
        <v>45261.0</v>
      </c>
      <c r="I44" s="902">
        <v>45291.0</v>
      </c>
      <c r="J44" s="897" t="s">
        <v>3072</v>
      </c>
      <c r="K44" s="895">
        <v>2000000.0</v>
      </c>
      <c r="L44" s="895">
        <f t="shared" si="9"/>
        <v>638000</v>
      </c>
      <c r="M44" s="895">
        <v>80000.0</v>
      </c>
      <c r="N44" s="898"/>
      <c r="O44" s="898"/>
      <c r="P44" s="898"/>
      <c r="Q44" s="898">
        <f>L44-L44*10%+M44+27000</f>
        <v>681200</v>
      </c>
      <c r="R44" s="899"/>
      <c r="S44" s="898"/>
      <c r="T44" s="898"/>
      <c r="U44" s="898"/>
      <c r="V44" s="898"/>
      <c r="W44" s="900"/>
      <c r="X44" s="900"/>
      <c r="Y44" s="900"/>
      <c r="Z44" s="900"/>
      <c r="AA44" s="948"/>
      <c r="AB44" s="883"/>
      <c r="AC44" s="883"/>
      <c r="AD44" s="883"/>
      <c r="AE44" s="883"/>
      <c r="AF44" s="883"/>
      <c r="AG44" s="883"/>
      <c r="AH44" s="883"/>
      <c r="AI44" s="883"/>
      <c r="AJ44" s="883"/>
      <c r="AK44" s="883"/>
      <c r="AL44" s="883"/>
      <c r="AM44" s="883"/>
      <c r="AN44" s="883"/>
      <c r="AO44" s="883"/>
      <c r="AP44" s="883"/>
      <c r="AQ44" s="883"/>
      <c r="AR44" s="883"/>
      <c r="AS44" s="883"/>
      <c r="AT44" s="883"/>
      <c r="AU44" s="883"/>
      <c r="AV44" s="883"/>
      <c r="AW44" s="883"/>
      <c r="AX44" s="883"/>
      <c r="AY44" s="883"/>
      <c r="AZ44" s="883"/>
    </row>
    <row r="45" ht="16.5" customHeight="1">
      <c r="A45" s="883"/>
      <c r="B45" s="883" t="s">
        <v>1285</v>
      </c>
      <c r="C45" s="883" t="s">
        <v>3073</v>
      </c>
      <c r="D45" s="883" t="s">
        <v>3125</v>
      </c>
      <c r="E45" s="895">
        <v>580000.0</v>
      </c>
      <c r="F45" s="895">
        <f>E45+E45*10%+30000</f>
        <v>668000</v>
      </c>
      <c r="G45" s="897" t="s">
        <v>3126</v>
      </c>
      <c r="H45" s="902">
        <v>45209.0</v>
      </c>
      <c r="I45" s="902">
        <v>45291.0</v>
      </c>
      <c r="J45" s="949" t="s">
        <v>3127</v>
      </c>
      <c r="K45" s="895">
        <v>2000000.0</v>
      </c>
      <c r="L45" s="895">
        <f t="shared" si="9"/>
        <v>668000</v>
      </c>
      <c r="M45" s="895">
        <v>80000.0</v>
      </c>
      <c r="N45" s="898"/>
      <c r="O45" s="898">
        <f>(L45/31*22)-(L45/31*22)*10%+(M45/31*22)+168</f>
        <v>483600.2581</v>
      </c>
      <c r="P45" s="898" t="s">
        <v>3128</v>
      </c>
      <c r="Q45" s="950"/>
      <c r="R45" s="899">
        <f>SUM(N45:Q45)</f>
        <v>483600.2581</v>
      </c>
      <c r="S45" s="950"/>
      <c r="T45" s="950"/>
      <c r="U45" s="950"/>
      <c r="V45" s="950"/>
      <c r="W45" s="900"/>
      <c r="X45" s="900"/>
      <c r="Y45" s="900"/>
      <c r="Z45" s="900"/>
      <c r="AA45" s="948"/>
      <c r="AB45" s="883"/>
      <c r="AC45" s="883"/>
      <c r="AD45" s="883"/>
      <c r="AE45" s="883"/>
      <c r="AF45" s="883"/>
      <c r="AG45" s="883"/>
      <c r="AH45" s="883"/>
      <c r="AI45" s="883"/>
      <c r="AJ45" s="883"/>
      <c r="AK45" s="883"/>
      <c r="AL45" s="883"/>
      <c r="AM45" s="883"/>
      <c r="AN45" s="883"/>
      <c r="AO45" s="883"/>
      <c r="AP45" s="883"/>
      <c r="AQ45" s="883"/>
      <c r="AR45" s="883"/>
      <c r="AS45" s="883"/>
      <c r="AT45" s="883"/>
      <c r="AU45" s="883"/>
      <c r="AV45" s="883"/>
      <c r="AW45" s="883"/>
      <c r="AX45" s="883"/>
      <c r="AY45" s="883"/>
      <c r="AZ45" s="883"/>
    </row>
    <row r="46" ht="16.5" customHeight="1">
      <c r="A46" s="883"/>
      <c r="B46" s="883" t="s">
        <v>1285</v>
      </c>
      <c r="C46" s="883" t="s">
        <v>3073</v>
      </c>
      <c r="D46" s="883" t="s">
        <v>3129</v>
      </c>
      <c r="E46" s="895">
        <v>520000.0</v>
      </c>
      <c r="F46" s="895">
        <f t="shared" ref="F46:F52" si="13">E46+E46*10%</f>
        <v>572000</v>
      </c>
      <c r="G46" s="897" t="s">
        <v>3130</v>
      </c>
      <c r="H46" s="902">
        <v>45170.0</v>
      </c>
      <c r="I46" s="902">
        <v>45351.0</v>
      </c>
      <c r="J46" s="951" t="s">
        <v>1285</v>
      </c>
      <c r="K46" s="895">
        <v>2000000.0</v>
      </c>
      <c r="L46" s="895">
        <f t="shared" si="9"/>
        <v>572000</v>
      </c>
      <c r="M46" s="895">
        <v>80000.0</v>
      </c>
      <c r="N46" s="898">
        <f>L46-L46*10%+M46</f>
        <v>594800</v>
      </c>
      <c r="O46" s="898">
        <f>N46</f>
        <v>594800</v>
      </c>
      <c r="P46" s="898">
        <f>N46</f>
        <v>594800</v>
      </c>
      <c r="Q46" s="950"/>
      <c r="R46" s="950"/>
      <c r="S46" s="950"/>
      <c r="T46" s="950"/>
      <c r="U46" s="950"/>
      <c r="V46" s="950"/>
      <c r="W46" s="900"/>
      <c r="X46" s="900"/>
      <c r="Y46" s="900"/>
      <c r="Z46" s="900"/>
      <c r="AA46" s="948"/>
      <c r="AB46" s="883"/>
      <c r="AC46" s="883"/>
      <c r="AD46" s="883"/>
      <c r="AE46" s="883"/>
      <c r="AF46" s="883"/>
      <c r="AG46" s="883"/>
      <c r="AH46" s="883"/>
      <c r="AI46" s="883"/>
      <c r="AJ46" s="883"/>
      <c r="AK46" s="883"/>
      <c r="AL46" s="883"/>
      <c r="AM46" s="883"/>
      <c r="AN46" s="883"/>
      <c r="AO46" s="883"/>
      <c r="AP46" s="883"/>
      <c r="AQ46" s="883"/>
      <c r="AR46" s="883"/>
      <c r="AS46" s="883"/>
      <c r="AT46" s="883"/>
      <c r="AU46" s="883"/>
      <c r="AV46" s="883"/>
      <c r="AW46" s="883"/>
      <c r="AX46" s="883"/>
      <c r="AY46" s="883"/>
      <c r="AZ46" s="883"/>
    </row>
    <row r="47" ht="16.5" customHeight="1">
      <c r="A47" s="883"/>
      <c r="B47" s="883" t="s">
        <v>1285</v>
      </c>
      <c r="C47" s="883" t="s">
        <v>3073</v>
      </c>
      <c r="D47" s="883" t="s">
        <v>3129</v>
      </c>
      <c r="E47" s="895">
        <v>520000.0</v>
      </c>
      <c r="F47" s="895">
        <f t="shared" si="13"/>
        <v>572000</v>
      </c>
      <c r="G47" s="897" t="s">
        <v>3130</v>
      </c>
      <c r="H47" s="902">
        <v>45170.0</v>
      </c>
      <c r="I47" s="902">
        <v>45351.0</v>
      </c>
      <c r="J47" s="951" t="s">
        <v>1285</v>
      </c>
      <c r="K47" s="895"/>
      <c r="L47" s="895">
        <f t="shared" si="9"/>
        <v>572000</v>
      </c>
      <c r="M47" s="895">
        <v>80000.0</v>
      </c>
      <c r="N47" s="898"/>
      <c r="O47" s="898"/>
      <c r="P47" s="898">
        <v>1334000.0</v>
      </c>
      <c r="Q47" s="950"/>
      <c r="R47" s="950"/>
      <c r="S47" s="950"/>
      <c r="T47" s="950"/>
      <c r="U47" s="950"/>
      <c r="V47" s="950"/>
      <c r="W47" s="947"/>
      <c r="X47" s="947"/>
      <c r="Y47" s="947"/>
      <c r="Z47" s="900"/>
      <c r="AA47" s="948"/>
      <c r="AB47" s="883"/>
      <c r="AC47" s="883"/>
      <c r="AD47" s="883"/>
      <c r="AE47" s="883"/>
      <c r="AF47" s="883"/>
      <c r="AG47" s="883"/>
      <c r="AH47" s="883"/>
      <c r="AI47" s="883"/>
      <c r="AJ47" s="883"/>
      <c r="AK47" s="883"/>
      <c r="AL47" s="883"/>
      <c r="AM47" s="883"/>
      <c r="AN47" s="883"/>
      <c r="AO47" s="883"/>
      <c r="AP47" s="883"/>
      <c r="AQ47" s="883"/>
      <c r="AR47" s="883"/>
      <c r="AS47" s="883"/>
      <c r="AT47" s="883"/>
      <c r="AU47" s="883"/>
      <c r="AV47" s="883"/>
      <c r="AW47" s="883"/>
      <c r="AX47" s="883"/>
      <c r="AY47" s="883"/>
      <c r="AZ47" s="883"/>
    </row>
    <row r="48" ht="16.5" customHeight="1">
      <c r="A48" s="883"/>
      <c r="B48" s="883" t="s">
        <v>1285</v>
      </c>
      <c r="C48" s="883" t="s">
        <v>3073</v>
      </c>
      <c r="D48" s="883" t="s">
        <v>3131</v>
      </c>
      <c r="E48" s="895">
        <v>520000.0</v>
      </c>
      <c r="F48" s="895">
        <f t="shared" si="13"/>
        <v>572000</v>
      </c>
      <c r="G48" s="949" t="s">
        <v>235</v>
      </c>
      <c r="H48" s="896">
        <v>45359.0</v>
      </c>
      <c r="I48" s="896">
        <v>45473.0</v>
      </c>
      <c r="J48" s="897" t="s">
        <v>3074</v>
      </c>
      <c r="K48" s="895">
        <v>2000000.0</v>
      </c>
      <c r="L48" s="895">
        <f t="shared" si="9"/>
        <v>572000</v>
      </c>
      <c r="M48" s="895">
        <v>80000.0</v>
      </c>
      <c r="N48" s="949"/>
      <c r="O48" s="949"/>
      <c r="P48" s="952"/>
      <c r="Q48" s="952"/>
      <c r="R48" s="952"/>
      <c r="S48" s="898"/>
      <c r="T48" s="898"/>
      <c r="U48" s="898">
        <v>460700.0</v>
      </c>
      <c r="V48" s="898">
        <v>594800.0</v>
      </c>
      <c r="W48" s="898">
        <v>594800.0</v>
      </c>
      <c r="X48" s="898">
        <v>594800.0</v>
      </c>
      <c r="Y48" s="900"/>
      <c r="Z48" s="900"/>
      <c r="AA48" s="900"/>
      <c r="AB48" s="883"/>
      <c r="AC48" s="883"/>
      <c r="AD48" s="883"/>
      <c r="AE48" s="883"/>
      <c r="AF48" s="883"/>
      <c r="AG48" s="883"/>
      <c r="AH48" s="883"/>
      <c r="AI48" s="883"/>
      <c r="AJ48" s="883"/>
      <c r="AK48" s="883"/>
      <c r="AL48" s="883"/>
      <c r="AM48" s="883"/>
      <c r="AN48" s="883"/>
      <c r="AO48" s="883"/>
      <c r="AP48" s="883"/>
      <c r="AQ48" s="883"/>
      <c r="AR48" s="883"/>
      <c r="AS48" s="883"/>
      <c r="AT48" s="883"/>
      <c r="AU48" s="883"/>
      <c r="AV48" s="883"/>
      <c r="AW48" s="883"/>
      <c r="AX48" s="883"/>
      <c r="AY48" s="883"/>
      <c r="AZ48" s="883"/>
    </row>
    <row r="49" ht="16.5" customHeight="1">
      <c r="A49" s="883"/>
      <c r="B49" s="883" t="s">
        <v>1285</v>
      </c>
      <c r="C49" s="883" t="s">
        <v>3132</v>
      </c>
      <c r="D49" s="883" t="s">
        <v>3133</v>
      </c>
      <c r="E49" s="895">
        <v>520000.0</v>
      </c>
      <c r="F49" s="895">
        <f t="shared" si="13"/>
        <v>572000</v>
      </c>
      <c r="G49" s="897" t="s">
        <v>3134</v>
      </c>
      <c r="H49" s="902">
        <v>45202.0</v>
      </c>
      <c r="I49" s="902">
        <v>45525.0</v>
      </c>
      <c r="J49" s="897" t="s">
        <v>3135</v>
      </c>
      <c r="K49" s="895">
        <v>2000000.0</v>
      </c>
      <c r="L49" s="895">
        <f t="shared" si="9"/>
        <v>572000</v>
      </c>
      <c r="M49" s="895">
        <v>80000.0</v>
      </c>
      <c r="N49" s="898"/>
      <c r="O49" s="898">
        <f>(L49/31*29)-L49*10%+(M49/31*29)+3765</f>
        <v>556500.4839</v>
      </c>
      <c r="P49" s="898">
        <f>L49-L49*10%+M49</f>
        <v>594800</v>
      </c>
      <c r="Q49" s="898">
        <v>445400.0</v>
      </c>
      <c r="R49" s="899">
        <f>SUM(N49:Q49)</f>
        <v>1596700.484</v>
      </c>
      <c r="S49" s="950"/>
      <c r="T49" s="950"/>
      <c r="U49" s="950"/>
      <c r="V49" s="950"/>
      <c r="W49" s="947"/>
      <c r="X49" s="947"/>
      <c r="Y49" s="947"/>
      <c r="Z49" s="900"/>
      <c r="AA49" s="948"/>
      <c r="AB49" s="883"/>
      <c r="AC49" s="883"/>
      <c r="AD49" s="883"/>
      <c r="AE49" s="883"/>
      <c r="AF49" s="883"/>
      <c r="AG49" s="883"/>
      <c r="AH49" s="883"/>
      <c r="AI49" s="883"/>
      <c r="AJ49" s="883"/>
      <c r="AK49" s="883"/>
      <c r="AL49" s="883"/>
      <c r="AM49" s="883"/>
      <c r="AN49" s="883"/>
      <c r="AO49" s="883"/>
      <c r="AP49" s="883"/>
      <c r="AQ49" s="883"/>
      <c r="AR49" s="883"/>
      <c r="AS49" s="883"/>
      <c r="AT49" s="883"/>
      <c r="AU49" s="883"/>
      <c r="AV49" s="883"/>
      <c r="AW49" s="883"/>
      <c r="AX49" s="883"/>
      <c r="AY49" s="883"/>
      <c r="AZ49" s="883"/>
    </row>
    <row r="50" ht="16.5" customHeight="1">
      <c r="A50" s="883"/>
      <c r="B50" s="883" t="s">
        <v>1285</v>
      </c>
      <c r="C50" s="883" t="s">
        <v>3073</v>
      </c>
      <c r="D50" s="883" t="s">
        <v>226</v>
      </c>
      <c r="E50" s="895">
        <v>600000.0</v>
      </c>
      <c r="F50" s="895">
        <f t="shared" si="13"/>
        <v>660000</v>
      </c>
      <c r="G50" s="897" t="s">
        <v>3136</v>
      </c>
      <c r="H50" s="896">
        <v>45473.0</v>
      </c>
      <c r="I50" s="902">
        <v>45565.0</v>
      </c>
      <c r="J50" s="897" t="s">
        <v>3137</v>
      </c>
      <c r="K50" s="895">
        <v>2000000.0</v>
      </c>
      <c r="L50" s="895">
        <f t="shared" si="9"/>
        <v>660000</v>
      </c>
      <c r="M50" s="895">
        <v>80000.0</v>
      </c>
      <c r="N50" s="898"/>
      <c r="O50" s="898"/>
      <c r="P50" s="899"/>
      <c r="Q50" s="899"/>
      <c r="R50" s="899"/>
      <c r="S50" s="900"/>
      <c r="T50" s="900"/>
      <c r="U50" s="900"/>
      <c r="V50" s="900"/>
      <c r="W50" s="900"/>
      <c r="X50" s="900"/>
      <c r="Y50" s="900"/>
      <c r="Z50" s="900"/>
      <c r="AA50" s="900"/>
      <c r="AB50" s="883"/>
      <c r="AC50" s="883"/>
      <c r="AD50" s="883"/>
      <c r="AE50" s="883"/>
      <c r="AF50" s="883"/>
      <c r="AG50" s="883"/>
      <c r="AH50" s="883"/>
      <c r="AI50" s="883"/>
      <c r="AJ50" s="883"/>
      <c r="AK50" s="883"/>
      <c r="AL50" s="883"/>
      <c r="AM50" s="883"/>
      <c r="AN50" s="883"/>
      <c r="AO50" s="883"/>
      <c r="AP50" s="883"/>
      <c r="AQ50" s="883"/>
      <c r="AR50" s="883"/>
      <c r="AS50" s="883"/>
      <c r="AT50" s="883"/>
      <c r="AU50" s="883"/>
      <c r="AV50" s="883"/>
      <c r="AW50" s="883"/>
      <c r="AX50" s="883"/>
      <c r="AY50" s="883"/>
      <c r="AZ50" s="883"/>
    </row>
    <row r="51" ht="16.5" customHeight="1">
      <c r="A51" s="883"/>
      <c r="B51" s="883" t="s">
        <v>1285</v>
      </c>
      <c r="C51" s="883" t="s">
        <v>3138</v>
      </c>
      <c r="D51" s="883" t="s">
        <v>3139</v>
      </c>
      <c r="E51" s="895">
        <v>400000.0</v>
      </c>
      <c r="F51" s="895">
        <f t="shared" si="13"/>
        <v>440000</v>
      </c>
      <c r="G51" s="897" t="s">
        <v>396</v>
      </c>
      <c r="H51" s="902">
        <v>45265.0</v>
      </c>
      <c r="I51" s="902">
        <v>45447.0</v>
      </c>
      <c r="J51" s="897" t="s">
        <v>3072</v>
      </c>
      <c r="K51" s="895">
        <v>1000000.0</v>
      </c>
      <c r="L51" s="895">
        <f t="shared" si="9"/>
        <v>440000</v>
      </c>
      <c r="M51" s="895">
        <v>80000.0</v>
      </c>
      <c r="N51" s="898"/>
      <c r="O51" s="898"/>
      <c r="P51" s="899"/>
      <c r="Q51" s="899">
        <v>414700.0</v>
      </c>
      <c r="R51" s="899">
        <f t="shared" ref="R51:R52" si="14">SUM(N51:Q51)</f>
        <v>414700</v>
      </c>
      <c r="S51" s="899">
        <f t="shared" ref="S51:S52" si="15">L51-L51*10%+M51</f>
        <v>476000</v>
      </c>
      <c r="T51" s="953">
        <v>476000.0</v>
      </c>
      <c r="U51" s="953">
        <v>476000.0</v>
      </c>
      <c r="V51" s="953">
        <v>476000.0</v>
      </c>
      <c r="W51" s="953">
        <v>476000.0</v>
      </c>
      <c r="X51" s="899">
        <v>64100.0</v>
      </c>
      <c r="Y51" s="900"/>
      <c r="Z51" s="900"/>
      <c r="AA51" s="900"/>
      <c r="AB51" s="883"/>
      <c r="AC51" s="883"/>
      <c r="AD51" s="883"/>
      <c r="AE51" s="883"/>
      <c r="AF51" s="883"/>
      <c r="AG51" s="883"/>
      <c r="AH51" s="883"/>
      <c r="AI51" s="883"/>
      <c r="AJ51" s="883"/>
      <c r="AK51" s="883"/>
      <c r="AL51" s="883"/>
      <c r="AM51" s="883"/>
      <c r="AN51" s="883"/>
      <c r="AO51" s="883"/>
      <c r="AP51" s="883"/>
      <c r="AQ51" s="883"/>
      <c r="AR51" s="883"/>
      <c r="AS51" s="883"/>
      <c r="AT51" s="883"/>
      <c r="AU51" s="883"/>
      <c r="AV51" s="883"/>
      <c r="AW51" s="883"/>
      <c r="AX51" s="883"/>
      <c r="AY51" s="883"/>
      <c r="AZ51" s="883"/>
    </row>
    <row r="52" ht="16.5" customHeight="1">
      <c r="A52" s="883"/>
      <c r="B52" s="883" t="s">
        <v>1285</v>
      </c>
      <c r="C52" s="883" t="s">
        <v>3138</v>
      </c>
      <c r="D52" s="883" t="s">
        <v>402</v>
      </c>
      <c r="E52" s="895">
        <v>400000.0</v>
      </c>
      <c r="F52" s="895">
        <f t="shared" si="13"/>
        <v>440000</v>
      </c>
      <c r="G52" s="897" t="s">
        <v>403</v>
      </c>
      <c r="H52" s="902">
        <v>45291.0</v>
      </c>
      <c r="I52" s="902">
        <v>45351.0</v>
      </c>
      <c r="J52" s="897" t="s">
        <v>3072</v>
      </c>
      <c r="K52" s="895">
        <v>1000000.0</v>
      </c>
      <c r="L52" s="895">
        <f t="shared" si="9"/>
        <v>440000</v>
      </c>
      <c r="M52" s="895">
        <v>80000.0</v>
      </c>
      <c r="N52" s="898"/>
      <c r="O52" s="898"/>
      <c r="P52" s="899"/>
      <c r="Q52" s="899">
        <v>15600.0</v>
      </c>
      <c r="R52" s="899">
        <f t="shared" si="14"/>
        <v>15600</v>
      </c>
      <c r="S52" s="899">
        <f t="shared" si="15"/>
        <v>476000</v>
      </c>
      <c r="T52" s="953">
        <v>476000.0</v>
      </c>
      <c r="U52" s="950"/>
      <c r="V52" s="950"/>
      <c r="W52" s="947"/>
      <c r="X52" s="947"/>
      <c r="Y52" s="947"/>
      <c r="Z52" s="900"/>
      <c r="AA52" s="948"/>
      <c r="AB52" s="883"/>
      <c r="AC52" s="883"/>
      <c r="AD52" s="883"/>
      <c r="AE52" s="883"/>
      <c r="AF52" s="883"/>
      <c r="AG52" s="883"/>
      <c r="AH52" s="883"/>
      <c r="AI52" s="883"/>
      <c r="AJ52" s="883"/>
      <c r="AK52" s="883"/>
      <c r="AL52" s="883"/>
      <c r="AM52" s="883"/>
      <c r="AN52" s="883"/>
      <c r="AO52" s="883"/>
      <c r="AP52" s="883"/>
      <c r="AQ52" s="883"/>
      <c r="AR52" s="883"/>
      <c r="AS52" s="883"/>
      <c r="AT52" s="883"/>
      <c r="AU52" s="883"/>
      <c r="AV52" s="883"/>
      <c r="AW52" s="883"/>
      <c r="AX52" s="883"/>
      <c r="AY52" s="883"/>
      <c r="AZ52" s="883"/>
    </row>
    <row r="53">
      <c r="A53" s="883"/>
      <c r="B53" s="883" t="s">
        <v>1285</v>
      </c>
      <c r="C53" s="883" t="s">
        <v>3140</v>
      </c>
      <c r="D53" s="883" t="s">
        <v>1024</v>
      </c>
      <c r="E53" s="895">
        <v>400000.0</v>
      </c>
      <c r="F53" s="895">
        <f>E53+E53*10%+10000</f>
        <v>450000</v>
      </c>
      <c r="G53" s="897" t="s">
        <v>3141</v>
      </c>
      <c r="H53" s="896">
        <v>45379.0</v>
      </c>
      <c r="I53" s="896">
        <v>45471.0</v>
      </c>
      <c r="J53" s="897" t="s">
        <v>3074</v>
      </c>
      <c r="K53" s="895">
        <v>1000000.0</v>
      </c>
      <c r="L53" s="895">
        <f t="shared" si="9"/>
        <v>450000</v>
      </c>
      <c r="M53" s="895">
        <v>80000.0</v>
      </c>
      <c r="N53" s="898"/>
      <c r="O53" s="898"/>
      <c r="P53" s="899"/>
      <c r="Q53" s="899"/>
      <c r="R53" s="899"/>
      <c r="S53" s="899"/>
      <c r="T53" s="899"/>
      <c r="U53" s="899">
        <v>62200.0</v>
      </c>
      <c r="V53" s="899">
        <v>485000.0</v>
      </c>
      <c r="W53" s="899">
        <v>485000.0</v>
      </c>
      <c r="X53" s="899">
        <v>453000.0</v>
      </c>
      <c r="Y53" s="910"/>
      <c r="Z53" s="954"/>
      <c r="AA53" s="948"/>
      <c r="AB53" s="883"/>
      <c r="AC53" s="883"/>
      <c r="AD53" s="883"/>
      <c r="AE53" s="883"/>
      <c r="AF53" s="883"/>
      <c r="AG53" s="883"/>
      <c r="AH53" s="883"/>
      <c r="AI53" s="883"/>
      <c r="AJ53" s="883"/>
      <c r="AK53" s="883"/>
      <c r="AL53" s="883"/>
      <c r="AM53" s="883"/>
      <c r="AN53" s="883"/>
      <c r="AO53" s="883"/>
      <c r="AP53" s="883"/>
      <c r="AQ53" s="883"/>
      <c r="AR53" s="883"/>
      <c r="AS53" s="883"/>
      <c r="AT53" s="883"/>
      <c r="AU53" s="883"/>
      <c r="AV53" s="883"/>
      <c r="AW53" s="883"/>
      <c r="AX53" s="883"/>
      <c r="AY53" s="883"/>
      <c r="AZ53" s="883"/>
    </row>
    <row r="54">
      <c r="A54" s="883"/>
      <c r="B54" s="883" t="s">
        <v>1285</v>
      </c>
      <c r="C54" s="883" t="s">
        <v>3140</v>
      </c>
      <c r="D54" s="883" t="s">
        <v>316</v>
      </c>
      <c r="E54" s="895">
        <v>400000.0</v>
      </c>
      <c r="F54" s="895">
        <v>442000.0</v>
      </c>
      <c r="G54" s="897" t="s">
        <v>3142</v>
      </c>
      <c r="H54" s="896">
        <v>45388.0</v>
      </c>
      <c r="I54" s="896">
        <v>45570.0</v>
      </c>
      <c r="J54" s="897" t="s">
        <v>3074</v>
      </c>
      <c r="K54" s="895">
        <v>1000000.0</v>
      </c>
      <c r="L54" s="895">
        <f t="shared" si="9"/>
        <v>442000</v>
      </c>
      <c r="M54" s="895">
        <v>80000.0</v>
      </c>
      <c r="N54" s="898"/>
      <c r="O54" s="898"/>
      <c r="P54" s="899"/>
      <c r="Q54" s="899"/>
      <c r="R54" s="899"/>
      <c r="S54" s="898"/>
      <c r="T54" s="898"/>
      <c r="U54" s="898"/>
      <c r="V54" s="899">
        <v>398200.0</v>
      </c>
      <c r="W54" s="899">
        <v>477800.0</v>
      </c>
      <c r="X54" s="899">
        <v>477800.0</v>
      </c>
      <c r="Y54" s="899">
        <v>473380.0</v>
      </c>
      <c r="Z54" s="899">
        <v>473380.0</v>
      </c>
      <c r="AA54" s="899">
        <v>473380.0</v>
      </c>
      <c r="AB54" s="899">
        <v>76090.0</v>
      </c>
      <c r="AC54" s="948"/>
      <c r="AD54" s="948"/>
      <c r="AE54" s="948"/>
      <c r="AF54" s="883"/>
      <c r="AG54" s="883"/>
      <c r="AH54" s="883"/>
      <c r="AI54" s="883"/>
      <c r="AJ54" s="883"/>
      <c r="AK54" s="883"/>
      <c r="AL54" s="883"/>
      <c r="AM54" s="883"/>
      <c r="AN54" s="883"/>
      <c r="AO54" s="883"/>
      <c r="AP54" s="883"/>
      <c r="AQ54" s="883"/>
      <c r="AR54" s="883"/>
      <c r="AS54" s="883"/>
      <c r="AT54" s="883"/>
      <c r="AU54" s="883"/>
      <c r="AV54" s="883"/>
      <c r="AW54" s="883"/>
      <c r="AX54" s="883"/>
      <c r="AY54" s="883"/>
      <c r="AZ54" s="883"/>
    </row>
    <row r="55" ht="16.5" customHeight="1">
      <c r="A55" s="883"/>
      <c r="B55" s="883" t="s">
        <v>1285</v>
      </c>
      <c r="C55" s="883" t="s">
        <v>3143</v>
      </c>
      <c r="D55" s="883" t="s">
        <v>3144</v>
      </c>
      <c r="E55" s="895">
        <v>420000.0</v>
      </c>
      <c r="F55" s="895">
        <f>E55+E55*10%+30000</f>
        <v>492000</v>
      </c>
      <c r="G55" s="897" t="s">
        <v>3145</v>
      </c>
      <c r="H55" s="902">
        <v>45184.0</v>
      </c>
      <c r="I55" s="902">
        <v>45291.0</v>
      </c>
      <c r="J55" s="897" t="s">
        <v>3074</v>
      </c>
      <c r="K55" s="895">
        <v>1000000.0</v>
      </c>
      <c r="L55" s="895">
        <f t="shared" si="9"/>
        <v>492000</v>
      </c>
      <c r="M55" s="895">
        <v>80000.0</v>
      </c>
      <c r="N55" s="898">
        <f>(L55/30*16)-(L55/30*16)*10%+(M55/30*16)-27</f>
        <v>278799.6667</v>
      </c>
      <c r="O55" s="898">
        <f>L55-L55*10%+M55</f>
        <v>522800</v>
      </c>
      <c r="P55" s="899">
        <v>522800.0</v>
      </c>
      <c r="Q55" s="899">
        <v>522800.0</v>
      </c>
      <c r="R55" s="899">
        <f>SUM(N55:Q55)</f>
        <v>1847199.667</v>
      </c>
      <c r="S55" s="950"/>
      <c r="T55" s="950"/>
      <c r="U55" s="950"/>
      <c r="V55" s="950"/>
      <c r="W55" s="900"/>
      <c r="X55" s="900"/>
      <c r="Y55" s="900"/>
      <c r="Z55" s="900"/>
      <c r="AA55" s="895"/>
      <c r="AB55" s="883"/>
      <c r="AC55" s="883"/>
      <c r="AD55" s="883"/>
      <c r="AE55" s="883"/>
      <c r="AF55" s="883"/>
      <c r="AG55" s="883"/>
      <c r="AH55" s="883"/>
      <c r="AI55" s="883"/>
      <c r="AJ55" s="883"/>
      <c r="AK55" s="883"/>
      <c r="AL55" s="883"/>
      <c r="AM55" s="883"/>
      <c r="AN55" s="883"/>
      <c r="AO55" s="883"/>
      <c r="AP55" s="883"/>
      <c r="AQ55" s="883"/>
      <c r="AR55" s="883"/>
      <c r="AS55" s="883"/>
      <c r="AT55" s="883"/>
      <c r="AU55" s="883"/>
      <c r="AV55" s="883"/>
      <c r="AW55" s="883"/>
      <c r="AX55" s="883"/>
      <c r="AY55" s="883"/>
      <c r="AZ55" s="883"/>
    </row>
    <row r="56" ht="16.5" customHeight="1">
      <c r="A56" s="883"/>
      <c r="B56" s="883" t="s">
        <v>1285</v>
      </c>
      <c r="C56" s="883" t="s">
        <v>3077</v>
      </c>
      <c r="D56" s="883" t="s">
        <v>1797</v>
      </c>
      <c r="E56" s="895">
        <v>520000.0</v>
      </c>
      <c r="F56" s="895">
        <f>E56+E56*10%</f>
        <v>572000</v>
      </c>
      <c r="G56" s="897" t="s">
        <v>3146</v>
      </c>
      <c r="H56" s="896">
        <v>45526.0</v>
      </c>
      <c r="I56" s="896">
        <v>45562.0</v>
      </c>
      <c r="J56" s="952" t="s">
        <v>3147</v>
      </c>
      <c r="K56" s="895">
        <v>2000000.0</v>
      </c>
      <c r="L56" s="895">
        <f t="shared" si="9"/>
        <v>572000</v>
      </c>
      <c r="M56" s="895">
        <v>80000.0</v>
      </c>
      <c r="N56" s="898"/>
      <c r="O56" s="898"/>
      <c r="P56" s="899"/>
      <c r="Q56" s="899"/>
      <c r="R56" s="899"/>
      <c r="S56" s="900"/>
      <c r="T56" s="900"/>
      <c r="U56" s="900"/>
      <c r="V56" s="900"/>
      <c r="W56" s="900"/>
      <c r="X56" s="900"/>
      <c r="Y56" s="900"/>
      <c r="Z56" s="899">
        <v>190450.0</v>
      </c>
      <c r="AA56" s="899">
        <v>589080.0</v>
      </c>
      <c r="AB56" s="883"/>
      <c r="AC56" s="883"/>
      <c r="AD56" s="883"/>
      <c r="AE56" s="883"/>
      <c r="AF56" s="883"/>
      <c r="AG56" s="883"/>
      <c r="AH56" s="883"/>
      <c r="AI56" s="883"/>
      <c r="AJ56" s="883"/>
      <c r="AK56" s="883"/>
      <c r="AL56" s="883"/>
      <c r="AM56" s="883"/>
      <c r="AN56" s="883"/>
      <c r="AO56" s="883"/>
      <c r="AP56" s="883"/>
      <c r="AQ56" s="883"/>
      <c r="AR56" s="883"/>
      <c r="AS56" s="883"/>
      <c r="AT56" s="883"/>
      <c r="AU56" s="883"/>
      <c r="AV56" s="883"/>
      <c r="AW56" s="883"/>
      <c r="AX56" s="883"/>
      <c r="AY56" s="883"/>
      <c r="AZ56" s="883"/>
    </row>
    <row r="57" ht="16.5" customHeight="1">
      <c r="A57" s="883"/>
      <c r="B57" s="883" t="s">
        <v>1285</v>
      </c>
      <c r="C57" s="883" t="s">
        <v>3123</v>
      </c>
      <c r="D57" s="883" t="s">
        <v>167</v>
      </c>
      <c r="E57" s="895">
        <v>540000.0</v>
      </c>
      <c r="F57" s="895">
        <f>E57+E57*10%+1000</f>
        <v>595000</v>
      </c>
      <c r="G57" s="909" t="s">
        <v>170</v>
      </c>
      <c r="H57" s="896">
        <v>45532.0</v>
      </c>
      <c r="I57" s="896">
        <v>45626.0</v>
      </c>
      <c r="J57" s="897" t="s">
        <v>3072</v>
      </c>
      <c r="K57" s="895">
        <v>2000000.0</v>
      </c>
      <c r="L57" s="895">
        <f t="shared" si="9"/>
        <v>595000</v>
      </c>
      <c r="M57" s="895">
        <v>80000.0</v>
      </c>
      <c r="N57" s="914"/>
      <c r="O57" s="914"/>
      <c r="P57" s="914"/>
      <c r="Q57" s="914"/>
      <c r="R57" s="914"/>
      <c r="S57" s="900"/>
      <c r="T57" s="900"/>
      <c r="U57" s="900"/>
      <c r="V57" s="900"/>
      <c r="W57" s="898">
        <v>99400.0</v>
      </c>
      <c r="X57" s="898">
        <v>615500.0</v>
      </c>
      <c r="Y57" s="898">
        <v>609550.0</v>
      </c>
      <c r="Z57" s="898">
        <v>609550.0</v>
      </c>
      <c r="AA57" s="898">
        <v>609550.0</v>
      </c>
      <c r="AB57" s="898">
        <v>609550.0</v>
      </c>
      <c r="AC57" s="898">
        <v>609550.0</v>
      </c>
      <c r="AD57" s="900"/>
      <c r="AE57" s="900"/>
      <c r="AF57" s="947"/>
      <c r="AG57" s="947"/>
      <c r="AH57" s="947"/>
      <c r="AI57" s="947"/>
      <c r="AJ57" s="947"/>
      <c r="AK57" s="947"/>
      <c r="AL57" s="947"/>
      <c r="AM57" s="947"/>
      <c r="AN57" s="947"/>
      <c r="AO57" s="947"/>
      <c r="AP57" s="947"/>
      <c r="AQ57" s="947"/>
      <c r="AR57" s="947"/>
      <c r="AS57" s="947"/>
      <c r="AT57" s="947"/>
      <c r="AU57" s="947"/>
      <c r="AV57" s="947"/>
      <c r="AW57" s="947"/>
      <c r="AX57" s="947"/>
      <c r="AY57" s="947"/>
      <c r="AZ57" s="947"/>
    </row>
    <row r="58" ht="16.5" customHeight="1">
      <c r="A58" s="883"/>
      <c r="B58" s="883" t="s">
        <v>1285</v>
      </c>
      <c r="C58" s="883" t="s">
        <v>3148</v>
      </c>
      <c r="D58" s="883" t="s">
        <v>456</v>
      </c>
      <c r="E58" s="895">
        <v>520000.0</v>
      </c>
      <c r="F58" s="895">
        <f>E58+E58*10%+100000</f>
        <v>672000</v>
      </c>
      <c r="G58" s="883" t="s">
        <v>460</v>
      </c>
      <c r="H58" s="896">
        <v>45536.0</v>
      </c>
      <c r="I58" s="896">
        <v>45657.0</v>
      </c>
      <c r="J58" s="897" t="s">
        <v>3072</v>
      </c>
      <c r="K58" s="895">
        <v>2000000.0</v>
      </c>
      <c r="L58" s="895">
        <f t="shared" si="9"/>
        <v>672000</v>
      </c>
      <c r="M58" s="895">
        <v>80000.0</v>
      </c>
      <c r="N58" s="898"/>
      <c r="O58" s="898"/>
      <c r="P58" s="899"/>
      <c r="Q58" s="899"/>
      <c r="R58" s="899"/>
      <c r="S58" s="900"/>
      <c r="T58" s="900"/>
      <c r="U58" s="900"/>
      <c r="V58" s="900"/>
      <c r="W58" s="900"/>
      <c r="X58" s="900"/>
      <c r="Y58" s="900"/>
      <c r="Z58" s="900"/>
      <c r="AA58" s="899">
        <v>678080.0</v>
      </c>
      <c r="AB58" s="899">
        <v>678080.0</v>
      </c>
      <c r="AC58" s="899">
        <v>678080.0</v>
      </c>
      <c r="AD58" s="899">
        <v>678080.0</v>
      </c>
      <c r="AE58" s="900"/>
      <c r="AF58" s="899"/>
      <c r="AG58" s="883"/>
      <c r="AH58" s="883"/>
      <c r="AI58" s="883"/>
      <c r="AJ58" s="883"/>
      <c r="AK58" s="883"/>
      <c r="AL58" s="883"/>
      <c r="AM58" s="883"/>
      <c r="AN58" s="883"/>
      <c r="AO58" s="883"/>
      <c r="AP58" s="883"/>
      <c r="AQ58" s="883"/>
      <c r="AR58" s="883"/>
      <c r="AS58" s="883"/>
      <c r="AT58" s="883"/>
      <c r="AU58" s="883"/>
      <c r="AV58" s="883"/>
      <c r="AW58" s="883"/>
      <c r="AX58" s="883"/>
      <c r="AY58" s="883"/>
      <c r="AZ58" s="883"/>
    </row>
    <row r="59" ht="16.5" customHeight="1">
      <c r="A59" s="883"/>
      <c r="B59" s="883" t="s">
        <v>1285</v>
      </c>
      <c r="C59" s="883" t="s">
        <v>3148</v>
      </c>
      <c r="D59" s="883" t="s">
        <v>449</v>
      </c>
      <c r="E59" s="895">
        <v>550000.0</v>
      </c>
      <c r="F59" s="895">
        <f>(E59+10%)+122000</f>
        <v>672000.1</v>
      </c>
      <c r="G59" s="883" t="s">
        <v>3149</v>
      </c>
      <c r="H59" s="896">
        <v>45689.0</v>
      </c>
      <c r="I59" s="896">
        <v>45838.0</v>
      </c>
      <c r="J59" s="897" t="s">
        <v>3072</v>
      </c>
      <c r="K59" s="895">
        <v>2000000.0</v>
      </c>
      <c r="L59" s="895">
        <f t="shared" si="9"/>
        <v>672000.1</v>
      </c>
      <c r="M59" s="895">
        <v>80000.0</v>
      </c>
      <c r="N59" s="898"/>
      <c r="O59" s="898"/>
      <c r="P59" s="899"/>
      <c r="Q59" s="899"/>
      <c r="R59" s="899"/>
      <c r="S59" s="900"/>
      <c r="T59" s="900"/>
      <c r="U59" s="900"/>
      <c r="V59" s="900"/>
      <c r="W59" s="900"/>
      <c r="X59" s="900"/>
      <c r="Y59" s="900"/>
      <c r="Z59" s="900"/>
      <c r="AA59" s="900"/>
      <c r="AB59" s="900"/>
      <c r="AC59" s="900"/>
      <c r="AD59" s="900"/>
      <c r="AE59" s="900"/>
      <c r="AF59" s="955">
        <v>678080.0</v>
      </c>
      <c r="AG59" s="955">
        <v>678080.0</v>
      </c>
      <c r="AH59" s="955">
        <v>678080.0</v>
      </c>
      <c r="AI59" s="955">
        <v>678080.0</v>
      </c>
      <c r="AJ59" s="955">
        <v>678080.0</v>
      </c>
      <c r="AK59" s="883"/>
      <c r="AL59" s="883"/>
      <c r="AM59" s="883"/>
      <c r="AN59" s="883"/>
      <c r="AO59" s="883"/>
      <c r="AP59" s="883"/>
      <c r="AQ59" s="883"/>
      <c r="AR59" s="883"/>
      <c r="AS59" s="883"/>
      <c r="AT59" s="883"/>
      <c r="AU59" s="883"/>
      <c r="AV59" s="883"/>
      <c r="AW59" s="883"/>
      <c r="AX59" s="883"/>
      <c r="AY59" s="883"/>
      <c r="AZ59" s="883"/>
    </row>
    <row r="60" ht="16.5" customHeight="1">
      <c r="A60" s="883"/>
      <c r="B60" s="883" t="s">
        <v>1285</v>
      </c>
      <c r="C60" s="883" t="s">
        <v>3073</v>
      </c>
      <c r="D60" s="883" t="s">
        <v>226</v>
      </c>
      <c r="E60" s="895">
        <v>600000.0</v>
      </c>
      <c r="F60" s="895">
        <f t="shared" ref="F60:F61" si="16">E60+E60*10%</f>
        <v>660000</v>
      </c>
      <c r="G60" s="956" t="s">
        <v>230</v>
      </c>
      <c r="H60" s="896">
        <v>45504.0</v>
      </c>
      <c r="I60" s="902">
        <v>45688.0</v>
      </c>
      <c r="J60" s="897" t="s">
        <v>3137</v>
      </c>
      <c r="K60" s="895">
        <v>2000000.0</v>
      </c>
      <c r="L60" s="895">
        <f t="shared" si="9"/>
        <v>660000</v>
      </c>
      <c r="M60" s="895">
        <v>80000.0</v>
      </c>
      <c r="N60" s="914"/>
      <c r="O60" s="914"/>
      <c r="P60" s="914"/>
      <c r="Q60" s="914"/>
      <c r="R60" s="914"/>
      <c r="S60" s="900"/>
      <c r="T60" s="900"/>
      <c r="U60" s="900"/>
      <c r="V60" s="900"/>
      <c r="W60" s="900"/>
      <c r="X60" s="900"/>
      <c r="Y60" s="957">
        <v>21290.0</v>
      </c>
      <c r="Z60" s="957">
        <v>667400.0</v>
      </c>
      <c r="AA60" s="957">
        <v>667400.0</v>
      </c>
      <c r="AB60" s="957">
        <v>667400.0</v>
      </c>
      <c r="AC60" s="957">
        <v>667400.0</v>
      </c>
      <c r="AD60" s="957">
        <v>667400.0</v>
      </c>
      <c r="AE60" s="957">
        <v>667400.0</v>
      </c>
      <c r="AF60" s="958"/>
      <c r="AG60" s="958"/>
      <c r="AH60" s="958"/>
      <c r="AI60" s="883"/>
      <c r="AJ60" s="883"/>
      <c r="AK60" s="883"/>
      <c r="AL60" s="883"/>
      <c r="AM60" s="883"/>
      <c r="AN60" s="883"/>
      <c r="AO60" s="883"/>
      <c r="AP60" s="883"/>
      <c r="AQ60" s="883"/>
      <c r="AR60" s="883"/>
      <c r="AS60" s="883"/>
      <c r="AT60" s="883"/>
      <c r="AU60" s="883"/>
      <c r="AV60" s="883"/>
      <c r="AW60" s="883"/>
      <c r="AX60" s="883"/>
      <c r="AY60" s="883"/>
      <c r="AZ60" s="883"/>
    </row>
    <row r="61" ht="16.5" customHeight="1">
      <c r="A61" s="883"/>
      <c r="B61" s="883" t="s">
        <v>1285</v>
      </c>
      <c r="C61" s="883" t="s">
        <v>3073</v>
      </c>
      <c r="D61" s="883" t="s">
        <v>1362</v>
      </c>
      <c r="E61" s="895">
        <v>580000.0</v>
      </c>
      <c r="F61" s="895">
        <f t="shared" si="16"/>
        <v>638000</v>
      </c>
      <c r="G61" s="949" t="s">
        <v>242</v>
      </c>
      <c r="H61" s="896">
        <v>45320.0</v>
      </c>
      <c r="I61" s="896">
        <v>45685.0</v>
      </c>
      <c r="J61" s="897" t="s">
        <v>3074</v>
      </c>
      <c r="K61" s="895">
        <v>2000000.0</v>
      </c>
      <c r="L61" s="895">
        <f t="shared" si="9"/>
        <v>638000</v>
      </c>
      <c r="M61" s="895">
        <v>80000.0</v>
      </c>
      <c r="N61" s="949"/>
      <c r="O61" s="949"/>
      <c r="P61" s="952"/>
      <c r="Q61" s="952"/>
      <c r="R61" s="952"/>
      <c r="S61" s="898">
        <v>63500.0</v>
      </c>
      <c r="T61" s="898">
        <v>654200.0</v>
      </c>
      <c r="U61" s="898">
        <v>654200.0</v>
      </c>
      <c r="V61" s="898">
        <v>654200.0</v>
      </c>
      <c r="W61" s="898">
        <v>654200.0</v>
      </c>
      <c r="X61" s="898">
        <v>654200.0</v>
      </c>
      <c r="Y61" s="898">
        <v>647820.0</v>
      </c>
      <c r="Z61" s="898">
        <v>647820.0</v>
      </c>
      <c r="AA61" s="898">
        <v>647820.0</v>
      </c>
      <c r="AB61" s="898">
        <v>647820.0</v>
      </c>
      <c r="AC61" s="898">
        <v>647820.0</v>
      </c>
      <c r="AD61" s="898">
        <v>647820.0</v>
      </c>
      <c r="AE61" s="898">
        <v>584940.0</v>
      </c>
      <c r="AF61" s="915"/>
      <c r="AG61" s="915"/>
      <c r="AH61" s="915"/>
      <c r="AI61" s="883"/>
      <c r="AJ61" s="883"/>
      <c r="AK61" s="883"/>
      <c r="AL61" s="883"/>
      <c r="AM61" s="883"/>
      <c r="AN61" s="883"/>
      <c r="AO61" s="883"/>
      <c r="AP61" s="883"/>
      <c r="AQ61" s="883"/>
      <c r="AR61" s="883"/>
      <c r="AS61" s="883"/>
      <c r="AT61" s="883"/>
      <c r="AU61" s="883"/>
      <c r="AV61" s="883"/>
      <c r="AW61" s="883"/>
      <c r="AX61" s="883"/>
      <c r="AY61" s="883"/>
      <c r="AZ61" s="883"/>
    </row>
    <row r="62" ht="16.5" customHeight="1">
      <c r="A62" s="883"/>
      <c r="B62" s="883" t="s">
        <v>1285</v>
      </c>
      <c r="C62" s="883" t="s">
        <v>3150</v>
      </c>
      <c r="D62" s="883" t="s">
        <v>3151</v>
      </c>
      <c r="E62" s="895">
        <v>420000.0</v>
      </c>
      <c r="F62" s="895">
        <v>400000.0</v>
      </c>
      <c r="G62" s="897" t="s">
        <v>295</v>
      </c>
      <c r="H62" s="896">
        <v>45536.0</v>
      </c>
      <c r="I62" s="902">
        <v>45716.0</v>
      </c>
      <c r="J62" s="897" t="s">
        <v>3127</v>
      </c>
      <c r="K62" s="895">
        <v>2000000.0</v>
      </c>
      <c r="L62" s="895">
        <f t="shared" si="9"/>
        <v>400000</v>
      </c>
      <c r="M62" s="895">
        <v>80000.0</v>
      </c>
      <c r="N62" s="898"/>
      <c r="O62" s="898"/>
      <c r="P62" s="899"/>
      <c r="Q62" s="899"/>
      <c r="R62" s="899"/>
      <c r="S62" s="900"/>
      <c r="T62" s="900"/>
      <c r="U62" s="900"/>
      <c r="V62" s="900"/>
      <c r="W62" s="900"/>
      <c r="X62" s="900"/>
      <c r="Y62" s="900"/>
      <c r="Z62" s="900"/>
      <c r="AA62" s="899">
        <v>436000.0</v>
      </c>
      <c r="AB62" s="899">
        <v>436000.0</v>
      </c>
      <c r="AC62" s="899">
        <v>436000.0</v>
      </c>
      <c r="AD62" s="899">
        <v>436000.0</v>
      </c>
      <c r="AE62" s="899">
        <v>436000.0</v>
      </c>
      <c r="AF62" s="899">
        <v>436000.0</v>
      </c>
      <c r="AG62" s="959"/>
      <c r="AH62" s="959"/>
      <c r="AI62" s="883"/>
      <c r="AJ62" s="883"/>
      <c r="AK62" s="883"/>
      <c r="AL62" s="883"/>
      <c r="AM62" s="883"/>
      <c r="AN62" s="883"/>
      <c r="AO62" s="883"/>
      <c r="AP62" s="883"/>
      <c r="AQ62" s="883"/>
      <c r="AR62" s="883"/>
      <c r="AS62" s="883"/>
      <c r="AT62" s="883"/>
      <c r="AU62" s="883"/>
      <c r="AV62" s="883"/>
      <c r="AW62" s="883"/>
      <c r="AX62" s="883"/>
      <c r="AY62" s="883"/>
      <c r="AZ62" s="883"/>
    </row>
    <row r="63" ht="16.5" customHeight="1">
      <c r="A63" s="901"/>
      <c r="B63" s="883" t="s">
        <v>1285</v>
      </c>
      <c r="C63" s="883" t="s">
        <v>3073</v>
      </c>
      <c r="D63" s="883" t="s">
        <v>2192</v>
      </c>
      <c r="E63" s="895">
        <v>620000.0</v>
      </c>
      <c r="F63" s="895">
        <v>640000.0</v>
      </c>
      <c r="G63" s="895" t="s">
        <v>3152</v>
      </c>
      <c r="H63" s="896">
        <v>45822.0</v>
      </c>
      <c r="I63" s="896">
        <v>45953.0</v>
      </c>
      <c r="J63" s="897" t="s">
        <v>3074</v>
      </c>
      <c r="K63" s="895">
        <v>2000000.0</v>
      </c>
      <c r="L63" s="895">
        <f t="shared" si="9"/>
        <v>640000</v>
      </c>
      <c r="M63" s="895">
        <v>100000.0</v>
      </c>
      <c r="N63" s="898"/>
      <c r="O63" s="898"/>
      <c r="P63" s="899"/>
      <c r="Q63" s="899"/>
      <c r="R63" s="899"/>
      <c r="S63" s="899"/>
      <c r="T63" s="899"/>
      <c r="U63" s="899"/>
      <c r="V63" s="899"/>
      <c r="W63" s="899"/>
      <c r="X63" s="899"/>
      <c r="Y63" s="899"/>
      <c r="Z63" s="899"/>
      <c r="AA63" s="899"/>
      <c r="AB63" s="899"/>
      <c r="AC63" s="899"/>
      <c r="AD63" s="899"/>
      <c r="AE63" s="908"/>
      <c r="AF63" s="908"/>
      <c r="AG63" s="908"/>
      <c r="AH63" s="908"/>
      <c r="AI63" s="908"/>
      <c r="AJ63" s="899">
        <v>379770.0</v>
      </c>
      <c r="AK63" s="899">
        <v>669600.0</v>
      </c>
      <c r="AL63" s="899">
        <v>669600.0</v>
      </c>
      <c r="AM63" s="899">
        <v>669600.0</v>
      </c>
      <c r="AN63" s="899">
        <v>669600.0</v>
      </c>
      <c r="AO63" s="883"/>
      <c r="AP63" s="883"/>
      <c r="AQ63" s="883"/>
      <c r="AR63" s="883"/>
      <c r="AS63" s="883"/>
      <c r="AT63" s="883"/>
      <c r="AU63" s="883"/>
      <c r="AV63" s="883"/>
      <c r="AW63" s="883"/>
      <c r="AX63" s="883"/>
      <c r="AY63" s="883"/>
      <c r="AZ63" s="883"/>
    </row>
    <row r="64" ht="16.5" customHeight="1">
      <c r="A64" s="960"/>
      <c r="B64" s="961" t="s">
        <v>1285</v>
      </c>
      <c r="C64" s="961" t="s">
        <v>3071</v>
      </c>
      <c r="D64" s="918" t="s">
        <v>64</v>
      </c>
      <c r="E64" s="894">
        <v>600000.0</v>
      </c>
      <c r="F64" s="895">
        <f>E64+E64*10%</f>
        <v>660000</v>
      </c>
      <c r="G64" s="919" t="s">
        <v>2041</v>
      </c>
      <c r="H64" s="896">
        <v>45675.0</v>
      </c>
      <c r="I64" s="896">
        <v>46081.0</v>
      </c>
      <c r="J64" s="962" t="s">
        <v>3072</v>
      </c>
      <c r="K64" s="895">
        <v>2000000.0</v>
      </c>
      <c r="L64" s="895">
        <f t="shared" si="9"/>
        <v>660000</v>
      </c>
      <c r="M64" s="895">
        <v>80000.0</v>
      </c>
      <c r="N64" s="18"/>
      <c r="O64" s="18"/>
      <c r="P64" s="18"/>
      <c r="Q64" s="18"/>
      <c r="R64" s="18"/>
      <c r="S64" s="963"/>
      <c r="T64" s="963"/>
      <c r="U64" s="963"/>
      <c r="V64" s="963"/>
      <c r="W64" s="963"/>
      <c r="X64" s="963"/>
      <c r="Y64" s="963"/>
      <c r="Z64" s="963"/>
      <c r="AA64" s="963"/>
      <c r="AB64" s="963"/>
      <c r="AC64" s="963"/>
      <c r="AD64" s="963"/>
      <c r="AE64" s="898">
        <v>301320.0</v>
      </c>
      <c r="AF64" s="898">
        <v>608660.0</v>
      </c>
      <c r="AG64" s="898">
        <v>608660.0</v>
      </c>
      <c r="AH64" s="898">
        <v>608660.0</v>
      </c>
      <c r="AI64" s="898">
        <v>608660.0</v>
      </c>
      <c r="AJ64" s="898">
        <v>608660.0</v>
      </c>
      <c r="AK64" s="898">
        <v>608660.0</v>
      </c>
      <c r="AL64" s="898">
        <v>687400.0</v>
      </c>
      <c r="AM64" s="898">
        <v>687400.0</v>
      </c>
      <c r="AN64" s="898">
        <v>687400.0</v>
      </c>
      <c r="AO64" s="898">
        <v>687400.0</v>
      </c>
      <c r="AP64" s="898">
        <v>687400.0</v>
      </c>
      <c r="AQ64" s="898">
        <v>687400.0</v>
      </c>
      <c r="AR64" s="898">
        <v>687400.0</v>
      </c>
      <c r="AS64" s="964"/>
      <c r="AT64" s="964"/>
      <c r="AU64" s="964"/>
      <c r="AV64" s="964"/>
      <c r="AW64" s="964"/>
      <c r="AX64" s="964"/>
      <c r="AY64" s="964"/>
      <c r="AZ64" s="964"/>
    </row>
    <row r="65" ht="16.5" customHeight="1">
      <c r="A65" s="901"/>
      <c r="B65" s="883" t="s">
        <v>1285</v>
      </c>
      <c r="C65" s="883" t="s">
        <v>3150</v>
      </c>
      <c r="D65" s="883" t="s">
        <v>1673</v>
      </c>
      <c r="E65" s="895">
        <v>420000.0</v>
      </c>
      <c r="F65" s="895">
        <v>520000.0</v>
      </c>
      <c r="G65" s="897" t="s">
        <v>2101</v>
      </c>
      <c r="H65" s="902">
        <v>45716.0</v>
      </c>
      <c r="I65" s="902">
        <v>46078.0</v>
      </c>
      <c r="J65" s="897" t="s">
        <v>3127</v>
      </c>
      <c r="K65" s="895">
        <v>2000000.0</v>
      </c>
      <c r="L65" s="895">
        <f t="shared" si="9"/>
        <v>520000</v>
      </c>
      <c r="M65" s="895">
        <v>100000.0</v>
      </c>
      <c r="N65" s="898"/>
      <c r="O65" s="898"/>
      <c r="P65" s="898"/>
      <c r="Q65" s="898"/>
      <c r="R65" s="898"/>
      <c r="S65" s="898"/>
      <c r="T65" s="898"/>
      <c r="U65" s="898"/>
      <c r="V65" s="898"/>
      <c r="W65" s="898"/>
      <c r="X65" s="898"/>
      <c r="Y65" s="898"/>
      <c r="Z65" s="898"/>
      <c r="AA65" s="898"/>
      <c r="AB65" s="898"/>
      <c r="AC65" s="898"/>
      <c r="AD65" s="898"/>
      <c r="AE65" s="898"/>
      <c r="AF65" s="898">
        <v>20510.0</v>
      </c>
      <c r="AG65" s="909">
        <v>562800.0</v>
      </c>
      <c r="AH65" s="909">
        <v>562800.0</v>
      </c>
      <c r="AI65" s="909">
        <v>562800.0</v>
      </c>
      <c r="AJ65" s="909">
        <v>562800.0</v>
      </c>
      <c r="AK65" s="909">
        <v>562800.0</v>
      </c>
      <c r="AL65" s="909">
        <v>562800.0</v>
      </c>
      <c r="AM65" s="909">
        <v>562800.0</v>
      </c>
      <c r="AN65" s="909">
        <v>562800.0</v>
      </c>
      <c r="AO65" s="909">
        <v>562800.0</v>
      </c>
      <c r="AP65" s="909">
        <v>562800.0</v>
      </c>
      <c r="AQ65" s="909">
        <v>562800.0</v>
      </c>
      <c r="AR65" s="909">
        <v>562800.0</v>
      </c>
      <c r="AS65" s="913"/>
      <c r="AT65" s="913"/>
      <c r="AU65" s="913"/>
      <c r="AV65" s="909"/>
      <c r="AW65" s="909"/>
      <c r="AX65" s="909"/>
      <c r="AY65" s="909"/>
      <c r="AZ65" s="909"/>
    </row>
    <row r="66">
      <c r="A66" s="889"/>
      <c r="B66" s="885"/>
      <c r="C66" s="885"/>
      <c r="D66" s="947"/>
      <c r="E66" s="895"/>
      <c r="F66" s="895"/>
      <c r="G66" s="914"/>
      <c r="H66" s="912"/>
      <c r="I66" s="912"/>
      <c r="J66" s="897"/>
      <c r="K66" s="885"/>
      <c r="L66" s="895"/>
      <c r="M66" s="895"/>
      <c r="N66" s="913"/>
      <c r="O66" s="913"/>
      <c r="P66" s="913"/>
      <c r="Q66" s="913"/>
      <c r="R66" s="914"/>
      <c r="S66" s="913"/>
      <c r="T66" s="913"/>
      <c r="U66" s="913"/>
      <c r="V66" s="913"/>
      <c r="W66" s="913"/>
      <c r="X66" s="913"/>
      <c r="Y66" s="913"/>
      <c r="Z66" s="913"/>
      <c r="AA66" s="888"/>
      <c r="AB66" s="888"/>
      <c r="AC66" s="910"/>
      <c r="AD66" s="910"/>
      <c r="AE66" s="915"/>
      <c r="AF66" s="915"/>
      <c r="AG66" s="915"/>
      <c r="AH66" s="915"/>
      <c r="AI66" s="915"/>
      <c r="AJ66" s="915"/>
      <c r="AK66" s="915"/>
      <c r="AL66" s="913"/>
      <c r="AM66" s="909"/>
      <c r="AN66" s="909"/>
      <c r="AO66" s="909"/>
      <c r="AP66" s="909"/>
      <c r="AQ66" s="909"/>
      <c r="AR66" s="909"/>
      <c r="AS66" s="909"/>
      <c r="AT66" s="909"/>
      <c r="AU66" s="909"/>
      <c r="AV66" s="909"/>
      <c r="AW66" s="909"/>
      <c r="AX66" s="909"/>
      <c r="AY66" s="909"/>
      <c r="AZ66" s="909"/>
    </row>
    <row r="67">
      <c r="A67" s="889"/>
      <c r="B67" s="885"/>
      <c r="C67" s="885"/>
      <c r="D67" s="947"/>
      <c r="E67" s="895"/>
      <c r="F67" s="895"/>
      <c r="G67" s="914"/>
      <c r="H67" s="912"/>
      <c r="I67" s="912"/>
      <c r="J67" s="897"/>
      <c r="K67" s="885"/>
      <c r="L67" s="895"/>
      <c r="M67" s="895"/>
      <c r="N67" s="913"/>
      <c r="O67" s="913"/>
      <c r="P67" s="913"/>
      <c r="Q67" s="913"/>
      <c r="R67" s="914"/>
      <c r="S67" s="913"/>
      <c r="T67" s="913"/>
      <c r="U67" s="913"/>
      <c r="V67" s="913"/>
      <c r="W67" s="913"/>
      <c r="X67" s="913"/>
      <c r="Y67" s="913"/>
      <c r="Z67" s="913"/>
      <c r="AA67" s="888"/>
      <c r="AB67" s="888"/>
      <c r="AC67" s="910"/>
      <c r="AD67" s="910"/>
      <c r="AE67" s="915"/>
      <c r="AF67" s="915"/>
      <c r="AG67" s="915"/>
      <c r="AH67" s="915"/>
      <c r="AI67" s="915"/>
      <c r="AJ67" s="915"/>
      <c r="AK67" s="915"/>
      <c r="AL67" s="913"/>
      <c r="AM67" s="909"/>
      <c r="AN67" s="909"/>
      <c r="AO67" s="909"/>
      <c r="AP67" s="909"/>
      <c r="AQ67" s="909"/>
      <c r="AR67" s="909"/>
      <c r="AS67" s="909"/>
      <c r="AT67" s="909"/>
      <c r="AU67" s="909"/>
      <c r="AV67" s="909"/>
      <c r="AW67" s="909"/>
      <c r="AX67" s="909"/>
      <c r="AY67" s="909"/>
      <c r="AZ67" s="909"/>
    </row>
    <row r="68">
      <c r="A68" s="889"/>
      <c r="B68" s="885"/>
      <c r="C68" s="885"/>
      <c r="D68" s="947"/>
      <c r="E68" s="895"/>
      <c r="F68" s="895"/>
      <c r="G68" s="914"/>
      <c r="H68" s="912"/>
      <c r="I68" s="912"/>
      <c r="J68" s="897"/>
      <c r="K68" s="885"/>
      <c r="L68" s="895"/>
      <c r="M68" s="895"/>
      <c r="N68" s="913"/>
      <c r="O68" s="913"/>
      <c r="P68" s="913"/>
      <c r="Q68" s="913"/>
      <c r="R68" s="914"/>
      <c r="S68" s="913"/>
      <c r="T68" s="913"/>
      <c r="U68" s="913"/>
      <c r="V68" s="913"/>
      <c r="W68" s="913"/>
      <c r="X68" s="913"/>
      <c r="Y68" s="913"/>
      <c r="Z68" s="913"/>
      <c r="AA68" s="888"/>
      <c r="AB68" s="888"/>
      <c r="AC68" s="910"/>
      <c r="AD68" s="910"/>
      <c r="AE68" s="915"/>
      <c r="AF68" s="915"/>
      <c r="AG68" s="915"/>
      <c r="AH68" s="915"/>
      <c r="AI68" s="915"/>
      <c r="AJ68" s="915"/>
      <c r="AK68" s="915"/>
      <c r="AL68" s="913"/>
      <c r="AM68" s="909"/>
      <c r="AN68" s="909"/>
      <c r="AO68" s="909"/>
      <c r="AP68" s="909"/>
      <c r="AQ68" s="909"/>
      <c r="AR68" s="909"/>
      <c r="AS68" s="909"/>
      <c r="AT68" s="909"/>
      <c r="AU68" s="909"/>
      <c r="AV68" s="909"/>
      <c r="AW68" s="909"/>
      <c r="AX68" s="909"/>
      <c r="AY68" s="909"/>
      <c r="AZ68" s="909"/>
    </row>
    <row r="69">
      <c r="A69" s="889"/>
      <c r="B69" s="885"/>
      <c r="C69" s="885"/>
      <c r="D69" s="947"/>
      <c r="E69" s="895"/>
      <c r="F69" s="895"/>
      <c r="G69" s="914"/>
      <c r="H69" s="912"/>
      <c r="I69" s="912"/>
      <c r="J69" s="897"/>
      <c r="K69" s="885"/>
      <c r="L69" s="895"/>
      <c r="M69" s="895"/>
      <c r="N69" s="913"/>
      <c r="O69" s="913"/>
      <c r="P69" s="913"/>
      <c r="Q69" s="913"/>
      <c r="R69" s="914"/>
      <c r="S69" s="913"/>
      <c r="T69" s="913"/>
      <c r="U69" s="913"/>
      <c r="V69" s="913"/>
      <c r="W69" s="913"/>
      <c r="X69" s="913"/>
      <c r="Y69" s="913"/>
      <c r="Z69" s="913"/>
      <c r="AA69" s="888"/>
      <c r="AB69" s="888"/>
      <c r="AC69" s="910"/>
      <c r="AD69" s="910"/>
      <c r="AE69" s="915"/>
      <c r="AF69" s="915"/>
      <c r="AG69" s="915"/>
      <c r="AH69" s="915"/>
      <c r="AI69" s="915"/>
      <c r="AJ69" s="915"/>
      <c r="AK69" s="915"/>
      <c r="AL69" s="913"/>
      <c r="AM69" s="909"/>
      <c r="AN69" s="909"/>
      <c r="AO69" s="909"/>
      <c r="AP69" s="909"/>
      <c r="AQ69" s="909"/>
      <c r="AR69" s="909"/>
      <c r="AS69" s="909"/>
      <c r="AT69" s="909"/>
      <c r="AU69" s="909"/>
      <c r="AV69" s="909"/>
      <c r="AW69" s="909"/>
      <c r="AX69" s="909"/>
      <c r="AY69" s="909"/>
      <c r="AZ69" s="909"/>
    </row>
    <row r="70">
      <c r="A70" s="889"/>
      <c r="B70" s="885"/>
      <c r="C70" s="885"/>
      <c r="D70" s="947"/>
      <c r="E70" s="895"/>
      <c r="F70" s="895"/>
      <c r="G70" s="914"/>
      <c r="H70" s="912"/>
      <c r="I70" s="912"/>
      <c r="J70" s="897"/>
      <c r="K70" s="885"/>
      <c r="L70" s="895"/>
      <c r="M70" s="895"/>
      <c r="N70" s="913"/>
      <c r="O70" s="913"/>
      <c r="P70" s="913"/>
      <c r="Q70" s="913"/>
      <c r="R70" s="914"/>
      <c r="S70" s="913"/>
      <c r="T70" s="913"/>
      <c r="U70" s="913"/>
      <c r="V70" s="913"/>
      <c r="W70" s="913"/>
      <c r="X70" s="913"/>
      <c r="Y70" s="913"/>
      <c r="Z70" s="913"/>
      <c r="AA70" s="888"/>
      <c r="AB70" s="888"/>
      <c r="AC70" s="910"/>
      <c r="AD70" s="910"/>
      <c r="AE70" s="915"/>
      <c r="AF70" s="915"/>
      <c r="AG70" s="915"/>
      <c r="AH70" s="915"/>
      <c r="AI70" s="915"/>
      <c r="AJ70" s="915"/>
      <c r="AK70" s="915"/>
      <c r="AL70" s="913"/>
      <c r="AM70" s="909"/>
      <c r="AN70" s="909"/>
      <c r="AO70" s="909"/>
      <c r="AP70" s="909"/>
      <c r="AQ70" s="909"/>
      <c r="AR70" s="909"/>
      <c r="AS70" s="909"/>
      <c r="AT70" s="909"/>
      <c r="AU70" s="909"/>
      <c r="AV70" s="909"/>
      <c r="AW70" s="909"/>
      <c r="AX70" s="909"/>
      <c r="AY70" s="909"/>
      <c r="AZ70" s="909"/>
    </row>
    <row r="71">
      <c r="A71" s="889"/>
      <c r="B71" s="885" t="s">
        <v>3084</v>
      </c>
      <c r="C71" s="885" t="s">
        <v>154</v>
      </c>
      <c r="D71" s="947" t="s">
        <v>187</v>
      </c>
      <c r="E71" s="895">
        <v>480000.0</v>
      </c>
      <c r="F71" s="895">
        <v>550000.0</v>
      </c>
      <c r="G71" s="914" t="s">
        <v>3153</v>
      </c>
      <c r="H71" s="912">
        <v>45890.0</v>
      </c>
      <c r="I71" s="912">
        <v>46008.0</v>
      </c>
      <c r="J71" s="897" t="s">
        <v>63</v>
      </c>
      <c r="K71" s="885">
        <v>0.0</v>
      </c>
      <c r="L71" s="895">
        <f>F71</f>
        <v>550000</v>
      </c>
      <c r="M71" s="895">
        <v>100000.0</v>
      </c>
      <c r="N71" s="913"/>
      <c r="O71" s="913"/>
      <c r="P71" s="913"/>
      <c r="Q71" s="913"/>
      <c r="R71" s="914"/>
      <c r="S71" s="913"/>
      <c r="T71" s="913"/>
      <c r="U71" s="913"/>
      <c r="V71" s="913"/>
      <c r="W71" s="913"/>
      <c r="X71" s="913"/>
      <c r="Y71" s="913"/>
      <c r="Z71" s="913"/>
      <c r="AA71" s="888"/>
      <c r="AB71" s="888"/>
      <c r="AC71" s="910"/>
      <c r="AD71" s="910"/>
      <c r="AE71" s="915"/>
      <c r="AF71" s="915"/>
      <c r="AG71" s="915"/>
      <c r="AH71" s="915"/>
      <c r="AI71" s="915"/>
      <c r="AJ71" s="915"/>
      <c r="AK71" s="915"/>
      <c r="AL71" s="913">
        <v>993348.0</v>
      </c>
      <c r="AM71" s="909">
        <v>650000.0</v>
      </c>
      <c r="AN71" s="909">
        <v>650000.0</v>
      </c>
      <c r="AO71" s="909">
        <v>346688.0</v>
      </c>
      <c r="AP71" s="909"/>
      <c r="AQ71" s="909"/>
      <c r="AR71" s="909"/>
      <c r="AS71" s="909"/>
      <c r="AT71" s="909"/>
      <c r="AU71" s="909"/>
      <c r="AV71" s="909"/>
      <c r="AW71" s="909"/>
      <c r="AX71" s="909"/>
      <c r="AY71" s="909"/>
      <c r="AZ71" s="909"/>
    </row>
    <row r="72">
      <c r="A72" s="889"/>
      <c r="B72" s="885" t="s">
        <v>3084</v>
      </c>
      <c r="C72" s="885" t="s">
        <v>210</v>
      </c>
      <c r="D72" s="885" t="s">
        <v>1362</v>
      </c>
      <c r="E72" s="895">
        <v>620000.0</v>
      </c>
      <c r="F72" s="895">
        <v>700000.0</v>
      </c>
      <c r="G72" s="885" t="s">
        <v>3154</v>
      </c>
      <c r="H72" s="912">
        <v>45747.0</v>
      </c>
      <c r="I72" s="912">
        <v>46011.0</v>
      </c>
      <c r="J72" s="897" t="s">
        <v>216</v>
      </c>
      <c r="K72" s="885">
        <v>0.0</v>
      </c>
      <c r="L72" s="895">
        <v>650000.0</v>
      </c>
      <c r="M72" s="895">
        <v>100000.0</v>
      </c>
      <c r="N72" s="913"/>
      <c r="O72" s="913"/>
      <c r="P72" s="913"/>
      <c r="Q72" s="913"/>
      <c r="R72" s="914"/>
      <c r="S72" s="913"/>
      <c r="T72" s="913"/>
      <c r="U72" s="913"/>
      <c r="V72" s="913"/>
      <c r="W72" s="913"/>
      <c r="X72" s="913"/>
      <c r="Y72" s="913"/>
      <c r="Z72" s="913"/>
      <c r="AA72" s="888"/>
      <c r="AB72" s="888"/>
      <c r="AC72" s="910"/>
      <c r="AD72" s="910"/>
      <c r="AE72" s="909"/>
      <c r="AF72" s="909"/>
      <c r="AG72" s="909">
        <v>905002.0</v>
      </c>
      <c r="AH72" s="909">
        <v>750000.0</v>
      </c>
      <c r="AI72" s="909">
        <v>750000.0</v>
      </c>
      <c r="AJ72" s="909">
        <v>750000.0</v>
      </c>
      <c r="AK72" s="909">
        <v>750000.0</v>
      </c>
      <c r="AL72" s="909">
        <v>750000.0</v>
      </c>
      <c r="AM72" s="909">
        <v>750000.0</v>
      </c>
      <c r="AN72" s="909">
        <v>750000.0</v>
      </c>
      <c r="AO72" s="909">
        <v>475019.0</v>
      </c>
      <c r="AP72" s="909"/>
      <c r="AQ72" s="909"/>
      <c r="AR72" s="909"/>
      <c r="AS72" s="909"/>
      <c r="AT72" s="909"/>
      <c r="AU72" s="909"/>
      <c r="AV72" s="909"/>
      <c r="AW72" s="909"/>
      <c r="AX72" s="909"/>
      <c r="AY72" s="909"/>
      <c r="AZ72" s="909"/>
    </row>
    <row r="73">
      <c r="A73" s="889"/>
      <c r="B73" s="885" t="s">
        <v>3084</v>
      </c>
      <c r="C73" s="885" t="s">
        <v>154</v>
      </c>
      <c r="D73" s="885" t="s">
        <v>167</v>
      </c>
      <c r="E73" s="895">
        <v>550000.0</v>
      </c>
      <c r="F73" s="895">
        <v>600000.0</v>
      </c>
      <c r="G73" s="885" t="s">
        <v>1287</v>
      </c>
      <c r="H73" s="912">
        <v>45932.0</v>
      </c>
      <c r="I73" s="912">
        <v>46032.0</v>
      </c>
      <c r="J73" s="897" t="s">
        <v>63</v>
      </c>
      <c r="K73" s="885">
        <v>0.0</v>
      </c>
      <c r="L73" s="895">
        <f t="shared" ref="L73:L74" si="17">F73</f>
        <v>600000</v>
      </c>
      <c r="M73" s="895">
        <v>100000.0</v>
      </c>
      <c r="N73" s="913"/>
      <c r="O73" s="913"/>
      <c r="P73" s="913"/>
      <c r="Q73" s="913"/>
      <c r="R73" s="914"/>
      <c r="S73" s="913"/>
      <c r="T73" s="913"/>
      <c r="U73" s="913"/>
      <c r="V73" s="913"/>
      <c r="W73" s="913"/>
      <c r="X73" s="913"/>
      <c r="Y73" s="913"/>
      <c r="Z73" s="913"/>
      <c r="AA73" s="888"/>
      <c r="AB73" s="888"/>
      <c r="AC73" s="910"/>
      <c r="AD73" s="910"/>
      <c r="AE73" s="915"/>
      <c r="AF73" s="915"/>
      <c r="AG73" s="915"/>
      <c r="AH73" s="915"/>
      <c r="AI73" s="915"/>
      <c r="AJ73" s="915"/>
      <c r="AK73" s="915"/>
      <c r="AL73" s="915"/>
      <c r="AM73" s="915"/>
      <c r="AN73" s="909">
        <v>1450020.0</v>
      </c>
      <c r="AO73" s="909">
        <v>700000.0</v>
      </c>
      <c r="AP73" s="909">
        <v>210006.0</v>
      </c>
      <c r="AQ73" s="909"/>
      <c r="AR73" s="909"/>
      <c r="AS73" s="909"/>
      <c r="AT73" s="909"/>
      <c r="AU73" s="909"/>
      <c r="AV73" s="909"/>
      <c r="AW73" s="909"/>
      <c r="AX73" s="909"/>
      <c r="AY73" s="909"/>
      <c r="AZ73" s="909"/>
    </row>
    <row r="74">
      <c r="A74" s="889"/>
      <c r="B74" s="885" t="s">
        <v>3084</v>
      </c>
      <c r="C74" s="883" t="s">
        <v>266</v>
      </c>
      <c r="D74" s="883" t="s">
        <v>269</v>
      </c>
      <c r="E74" s="895">
        <v>600000.0</v>
      </c>
      <c r="F74" s="895">
        <f>E74+E74*10%</f>
        <v>660000</v>
      </c>
      <c r="G74" s="897" t="s">
        <v>3155</v>
      </c>
      <c r="H74" s="912">
        <v>45891.0</v>
      </c>
      <c r="I74" s="912">
        <v>46032.0</v>
      </c>
      <c r="J74" s="897" t="s">
        <v>268</v>
      </c>
      <c r="K74" s="885">
        <v>0.0</v>
      </c>
      <c r="L74" s="895">
        <f t="shared" si="17"/>
        <v>660000</v>
      </c>
      <c r="M74" s="895">
        <v>100000.0</v>
      </c>
      <c r="N74" s="913"/>
      <c r="O74" s="913"/>
      <c r="P74" s="913"/>
      <c r="Q74" s="913"/>
      <c r="R74" s="914"/>
      <c r="S74" s="913"/>
      <c r="T74" s="913"/>
      <c r="U74" s="913"/>
      <c r="V74" s="913"/>
      <c r="W74" s="913"/>
      <c r="X74" s="913"/>
      <c r="Y74" s="913"/>
      <c r="Z74" s="913"/>
      <c r="AA74" s="888"/>
      <c r="AB74" s="888"/>
      <c r="AC74" s="910"/>
      <c r="AD74" s="910"/>
      <c r="AE74" s="915"/>
      <c r="AF74" s="915"/>
      <c r="AG74" s="915"/>
      <c r="AH74" s="915"/>
      <c r="AI74" s="915"/>
      <c r="AJ74" s="915"/>
      <c r="AK74" s="915"/>
      <c r="AL74" s="913">
        <v>1118340.0</v>
      </c>
      <c r="AM74" s="909">
        <v>760000.0</v>
      </c>
      <c r="AN74" s="909">
        <v>760000.0</v>
      </c>
      <c r="AO74" s="909">
        <v>760000.0</v>
      </c>
      <c r="AP74" s="909">
        <v>228006.0</v>
      </c>
      <c r="AQ74" s="909"/>
      <c r="AR74" s="909"/>
      <c r="AS74" s="909"/>
      <c r="AT74" s="909"/>
      <c r="AU74" s="909"/>
      <c r="AV74" s="909"/>
      <c r="AW74" s="909"/>
      <c r="AX74" s="909"/>
      <c r="AY74" s="909"/>
      <c r="AZ74" s="909"/>
    </row>
    <row r="75">
      <c r="A75" s="889"/>
      <c r="B75" s="885" t="s">
        <v>3084</v>
      </c>
      <c r="C75" s="885" t="s">
        <v>27</v>
      </c>
      <c r="D75" s="885" t="s">
        <v>1264</v>
      </c>
      <c r="E75" s="895">
        <v>500000.0</v>
      </c>
      <c r="F75" s="895"/>
      <c r="G75" s="885" t="s">
        <v>3156</v>
      </c>
      <c r="H75" s="912">
        <v>45322.0</v>
      </c>
      <c r="I75" s="912">
        <v>45899.0</v>
      </c>
      <c r="J75" s="965" t="s">
        <v>3157</v>
      </c>
      <c r="K75" s="885">
        <v>0.0</v>
      </c>
      <c r="L75" s="895">
        <v>500000.0</v>
      </c>
      <c r="M75" s="895">
        <v>100000.0</v>
      </c>
      <c r="N75" s="913"/>
      <c r="O75" s="913"/>
      <c r="P75" s="913"/>
      <c r="Q75" s="913"/>
      <c r="R75" s="914"/>
      <c r="S75" s="913"/>
      <c r="T75" s="913"/>
      <c r="U75" s="913"/>
      <c r="V75" s="913"/>
      <c r="W75" s="913"/>
      <c r="X75" s="913"/>
      <c r="Y75" s="913"/>
      <c r="Z75" s="913"/>
      <c r="AA75" s="888"/>
      <c r="AB75" s="888"/>
      <c r="AC75" s="910"/>
      <c r="AD75" s="910"/>
      <c r="AE75" s="909">
        <v>670001.0</v>
      </c>
      <c r="AF75" s="909">
        <v>600000.0</v>
      </c>
      <c r="AG75" s="909">
        <v>600000.0</v>
      </c>
      <c r="AH75" s="909">
        <v>600000.0</v>
      </c>
      <c r="AI75" s="909">
        <v>600000.0</v>
      </c>
      <c r="AJ75" s="909">
        <v>600000.0</v>
      </c>
      <c r="AK75" s="909">
        <v>593000.0</v>
      </c>
      <c r="AL75" s="889"/>
      <c r="AM75" s="889"/>
      <c r="AN75" s="889"/>
      <c r="AO75" s="889"/>
      <c r="AP75" s="889"/>
      <c r="AQ75" s="889"/>
      <c r="AR75" s="889"/>
      <c r="AS75" s="889"/>
      <c r="AT75" s="889"/>
      <c r="AU75" s="889"/>
      <c r="AV75" s="889"/>
      <c r="AW75" s="889"/>
      <c r="AX75" s="889"/>
      <c r="AY75" s="889"/>
      <c r="AZ75" s="889"/>
    </row>
    <row r="76">
      <c r="A76" s="889"/>
      <c r="B76" s="885" t="s">
        <v>3084</v>
      </c>
      <c r="C76" s="885" t="s">
        <v>210</v>
      </c>
      <c r="D76" s="885" t="s">
        <v>211</v>
      </c>
      <c r="E76" s="895">
        <v>620000.0</v>
      </c>
      <c r="F76" s="895">
        <v>700000.0</v>
      </c>
      <c r="G76" s="885" t="s">
        <v>215</v>
      </c>
      <c r="H76" s="912">
        <v>45581.0</v>
      </c>
      <c r="I76" s="912">
        <v>45747.0</v>
      </c>
      <c r="J76" s="965" t="s">
        <v>3157</v>
      </c>
      <c r="K76" s="885">
        <v>0.0</v>
      </c>
      <c r="L76" s="895">
        <v>700000.0</v>
      </c>
      <c r="M76" s="895">
        <v>80000.0</v>
      </c>
      <c r="N76" s="913"/>
      <c r="O76" s="913"/>
      <c r="P76" s="913"/>
      <c r="Q76" s="913"/>
      <c r="R76" s="914"/>
      <c r="S76" s="913"/>
      <c r="T76" s="913"/>
      <c r="U76" s="913"/>
      <c r="V76" s="913"/>
      <c r="W76" s="913"/>
      <c r="X76" s="913"/>
      <c r="Y76" s="913"/>
      <c r="Z76" s="913"/>
      <c r="AA76" s="888"/>
      <c r="AB76" s="913">
        <v>1246016.0</v>
      </c>
      <c r="AC76" s="913">
        <v>780000.0</v>
      </c>
      <c r="AD76" s="913">
        <v>780000.0</v>
      </c>
      <c r="AE76" s="913">
        <v>780000.0</v>
      </c>
      <c r="AF76" s="913">
        <v>780030.0</v>
      </c>
      <c r="AG76" s="915"/>
      <c r="AH76" s="915"/>
      <c r="AI76" s="915"/>
      <c r="AJ76" s="889"/>
      <c r="AK76" s="889"/>
      <c r="AL76" s="889"/>
      <c r="AM76" s="889"/>
      <c r="AN76" s="889"/>
      <c r="AO76" s="889"/>
      <c r="AP76" s="889"/>
      <c r="AQ76" s="889"/>
      <c r="AR76" s="889"/>
      <c r="AS76" s="889"/>
      <c r="AT76" s="889"/>
      <c r="AU76" s="889"/>
      <c r="AV76" s="889"/>
      <c r="AW76" s="889"/>
      <c r="AX76" s="889"/>
      <c r="AY76" s="889"/>
      <c r="AZ76" s="889"/>
    </row>
    <row r="77">
      <c r="A77" s="889"/>
      <c r="B77" s="885" t="s">
        <v>3084</v>
      </c>
      <c r="C77" s="885" t="s">
        <v>97</v>
      </c>
      <c r="D77" s="885" t="s">
        <v>104</v>
      </c>
      <c r="E77" s="895">
        <v>680000.0</v>
      </c>
      <c r="F77" s="895"/>
      <c r="G77" s="885" t="s">
        <v>3158</v>
      </c>
      <c r="H77" s="912">
        <v>45699.0</v>
      </c>
      <c r="I77" s="912">
        <v>45885.0</v>
      </c>
      <c r="J77" s="965" t="s">
        <v>3157</v>
      </c>
      <c r="K77" s="885">
        <v>0.0</v>
      </c>
      <c r="L77" s="895">
        <v>680000.0</v>
      </c>
      <c r="M77" s="895">
        <v>100000.0</v>
      </c>
      <c r="N77" s="913"/>
      <c r="O77" s="913"/>
      <c r="P77" s="913"/>
      <c r="Q77" s="913"/>
      <c r="R77" s="914"/>
      <c r="S77" s="913"/>
      <c r="T77" s="913"/>
      <c r="U77" s="913"/>
      <c r="V77" s="913"/>
      <c r="W77" s="913"/>
      <c r="X77" s="913"/>
      <c r="Y77" s="913"/>
      <c r="Z77" s="913"/>
      <c r="AA77" s="888"/>
      <c r="AB77" s="888"/>
      <c r="AC77" s="910"/>
      <c r="AD77" s="910"/>
      <c r="AE77" s="910"/>
      <c r="AF77" s="913">
        <v>1353018.0</v>
      </c>
      <c r="AG77" s="913">
        <v>780000.0</v>
      </c>
      <c r="AH77" s="913">
        <v>780000.0</v>
      </c>
      <c r="AI77" s="913">
        <v>780000.0</v>
      </c>
      <c r="AJ77" s="913">
        <v>780000.0</v>
      </c>
      <c r="AK77" s="917">
        <v>390015.0</v>
      </c>
      <c r="AL77" s="889"/>
      <c r="AM77" s="889"/>
      <c r="AN77" s="889"/>
      <c r="AO77" s="889"/>
      <c r="AP77" s="889"/>
      <c r="AQ77" s="889"/>
      <c r="AR77" s="889"/>
      <c r="AS77" s="889"/>
      <c r="AT77" s="889"/>
      <c r="AU77" s="889"/>
      <c r="AV77" s="889"/>
      <c r="AW77" s="889"/>
      <c r="AX77" s="889"/>
      <c r="AY77" s="889"/>
      <c r="AZ77" s="889"/>
    </row>
    <row r="78">
      <c r="A78" s="889"/>
      <c r="B78" s="885" t="s">
        <v>3084</v>
      </c>
      <c r="C78" s="885" t="s">
        <v>27</v>
      </c>
      <c r="D78" s="885" t="s">
        <v>1260</v>
      </c>
      <c r="E78" s="895">
        <v>590000.0</v>
      </c>
      <c r="F78" s="895">
        <v>650000.0</v>
      </c>
      <c r="G78" s="885" t="s">
        <v>3159</v>
      </c>
      <c r="H78" s="912">
        <v>45891.0</v>
      </c>
      <c r="I78" s="912">
        <v>45981.0</v>
      </c>
      <c r="J78" s="897" t="s">
        <v>33</v>
      </c>
      <c r="K78" s="885">
        <v>0.0</v>
      </c>
      <c r="L78" s="895">
        <v>650000.0</v>
      </c>
      <c r="M78" s="895">
        <v>100000.0</v>
      </c>
      <c r="N78" s="913"/>
      <c r="O78" s="913"/>
      <c r="P78" s="913"/>
      <c r="Q78" s="913"/>
      <c r="R78" s="914"/>
      <c r="S78" s="913"/>
      <c r="T78" s="913"/>
      <c r="U78" s="913"/>
      <c r="V78" s="913"/>
      <c r="W78" s="913"/>
      <c r="X78" s="913"/>
      <c r="Y78" s="913"/>
      <c r="Z78" s="913"/>
      <c r="AA78" s="888"/>
      <c r="AB78" s="888"/>
      <c r="AC78" s="910"/>
      <c r="AD78" s="910"/>
      <c r="AE78" s="915"/>
      <c r="AF78" s="915"/>
      <c r="AG78" s="915"/>
      <c r="AH78" s="915"/>
      <c r="AI78" s="915"/>
      <c r="AJ78" s="915"/>
      <c r="AK78" s="915"/>
      <c r="AL78" s="917">
        <v>1105010.0</v>
      </c>
      <c r="AM78" s="909">
        <v>750000.0</v>
      </c>
      <c r="AN78" s="909">
        <v>475019.0</v>
      </c>
      <c r="AO78" s="889"/>
      <c r="AP78" s="889"/>
      <c r="AQ78" s="889"/>
      <c r="AR78" s="889"/>
      <c r="AS78" s="889"/>
      <c r="AT78" s="889"/>
      <c r="AU78" s="889"/>
      <c r="AV78" s="889"/>
      <c r="AW78" s="889"/>
      <c r="AX78" s="889"/>
      <c r="AY78" s="889"/>
      <c r="AZ78" s="889"/>
    </row>
    <row r="79">
      <c r="A79" s="889"/>
      <c r="B79" s="885" t="s">
        <v>3084</v>
      </c>
      <c r="C79" s="883" t="s">
        <v>97</v>
      </c>
      <c r="D79" s="885" t="s">
        <v>106</v>
      </c>
      <c r="E79" s="895">
        <v>590000.0</v>
      </c>
      <c r="F79" s="895">
        <f>E79+E79*10%+1000</f>
        <v>650000</v>
      </c>
      <c r="G79" s="885" t="s">
        <v>2051</v>
      </c>
      <c r="H79" s="912">
        <v>45998.0</v>
      </c>
      <c r="I79" s="912">
        <v>46088.0</v>
      </c>
      <c r="J79" s="897" t="s">
        <v>63</v>
      </c>
      <c r="K79" s="885">
        <v>0.0</v>
      </c>
      <c r="L79" s="895">
        <f t="shared" ref="L79:L82" si="18">F79</f>
        <v>650000</v>
      </c>
      <c r="M79" s="895">
        <v>100000.0</v>
      </c>
      <c r="N79" s="913"/>
      <c r="O79" s="913"/>
      <c r="P79" s="913"/>
      <c r="Q79" s="913"/>
      <c r="R79" s="914"/>
      <c r="S79" s="913"/>
      <c r="T79" s="913"/>
      <c r="U79" s="913"/>
      <c r="V79" s="913"/>
      <c r="W79" s="913"/>
      <c r="X79" s="913"/>
      <c r="Y79" s="913"/>
      <c r="Z79" s="913"/>
      <c r="AA79" s="888"/>
      <c r="AB79" s="888"/>
      <c r="AC79" s="910"/>
      <c r="AD79" s="910"/>
      <c r="AE79" s="915"/>
      <c r="AF79" s="915"/>
      <c r="AG79" s="915"/>
      <c r="AH79" s="915"/>
      <c r="AI79" s="915"/>
      <c r="AJ79" s="915"/>
      <c r="AK79" s="909"/>
      <c r="AL79" s="909"/>
      <c r="AM79" s="915"/>
      <c r="AN79" s="909"/>
      <c r="AO79" s="920">
        <v>855000.0</v>
      </c>
      <c r="AP79" s="920">
        <v>695000.0</v>
      </c>
      <c r="AQ79" s="909">
        <v>750000.0</v>
      </c>
      <c r="AR79" s="909"/>
      <c r="AS79" s="909"/>
      <c r="AT79" s="909"/>
      <c r="AU79" s="909"/>
      <c r="AV79" s="909"/>
      <c r="AW79" s="909"/>
      <c r="AX79" s="909"/>
      <c r="AY79" s="909"/>
      <c r="AZ79" s="909"/>
    </row>
    <row r="80">
      <c r="A80" s="889"/>
      <c r="B80" s="885" t="s">
        <v>3084</v>
      </c>
      <c r="C80" s="885" t="s">
        <v>154</v>
      </c>
      <c r="D80" s="883" t="s">
        <v>173</v>
      </c>
      <c r="E80" s="895">
        <v>480000.0</v>
      </c>
      <c r="F80" s="895">
        <v>550000.0</v>
      </c>
      <c r="G80" s="897" t="s">
        <v>3160</v>
      </c>
      <c r="H80" s="912">
        <v>45916.0</v>
      </c>
      <c r="I80" s="912">
        <v>46082.0</v>
      </c>
      <c r="J80" s="897" t="s">
        <v>63</v>
      </c>
      <c r="K80" s="885">
        <v>0.0</v>
      </c>
      <c r="L80" s="895">
        <f t="shared" si="18"/>
        <v>550000</v>
      </c>
      <c r="M80" s="895">
        <v>100000.0</v>
      </c>
      <c r="N80" s="913"/>
      <c r="O80" s="913"/>
      <c r="P80" s="913"/>
      <c r="Q80" s="913"/>
      <c r="R80" s="914"/>
      <c r="S80" s="913"/>
      <c r="T80" s="913"/>
      <c r="U80" s="913"/>
      <c r="V80" s="913"/>
      <c r="W80" s="913"/>
      <c r="X80" s="913"/>
      <c r="Y80" s="913"/>
      <c r="Z80" s="913"/>
      <c r="AA80" s="888"/>
      <c r="AB80" s="888"/>
      <c r="AC80" s="910"/>
      <c r="AD80" s="910"/>
      <c r="AE80" s="915"/>
      <c r="AF80" s="915"/>
      <c r="AG80" s="915"/>
      <c r="AH80" s="915"/>
      <c r="AI80" s="915"/>
      <c r="AJ80" s="915"/>
      <c r="AK80" s="915"/>
      <c r="AL80" s="915"/>
      <c r="AM80" s="909">
        <v>1080020.0</v>
      </c>
      <c r="AN80" s="909">
        <v>650000.0</v>
      </c>
      <c r="AO80" s="909">
        <v>650000.0</v>
      </c>
      <c r="AP80" s="909">
        <v>650000.0</v>
      </c>
      <c r="AQ80" s="909">
        <v>650000.0</v>
      </c>
      <c r="AR80" s="909"/>
      <c r="AS80" s="909"/>
      <c r="AT80" s="909"/>
      <c r="AU80" s="909"/>
      <c r="AV80" s="909"/>
      <c r="AW80" s="909"/>
      <c r="AX80" s="909"/>
      <c r="AY80" s="909"/>
      <c r="AZ80" s="909"/>
    </row>
    <row r="81">
      <c r="A81" s="889"/>
      <c r="B81" s="885" t="s">
        <v>3084</v>
      </c>
      <c r="C81" s="885" t="s">
        <v>154</v>
      </c>
      <c r="D81" s="885" t="s">
        <v>3161</v>
      </c>
      <c r="E81" s="895">
        <v>480000.0</v>
      </c>
      <c r="F81" s="895">
        <v>550000.0</v>
      </c>
      <c r="G81" s="885" t="s">
        <v>3162</v>
      </c>
      <c r="H81" s="912">
        <v>45916.0</v>
      </c>
      <c r="I81" s="912">
        <v>46082.0</v>
      </c>
      <c r="J81" s="897" t="s">
        <v>63</v>
      </c>
      <c r="K81" s="885">
        <v>0.0</v>
      </c>
      <c r="L81" s="895">
        <f t="shared" si="18"/>
        <v>550000</v>
      </c>
      <c r="M81" s="895">
        <v>100000.0</v>
      </c>
      <c r="N81" s="913"/>
      <c r="O81" s="913"/>
      <c r="P81" s="913"/>
      <c r="Q81" s="913"/>
      <c r="R81" s="914"/>
      <c r="S81" s="913"/>
      <c r="T81" s="913"/>
      <c r="U81" s="913"/>
      <c r="V81" s="913"/>
      <c r="W81" s="913"/>
      <c r="X81" s="913"/>
      <c r="Y81" s="913"/>
      <c r="Z81" s="913"/>
      <c r="AA81" s="888"/>
      <c r="AB81" s="888"/>
      <c r="AC81" s="910"/>
      <c r="AD81" s="910"/>
      <c r="AE81" s="915"/>
      <c r="AF81" s="915"/>
      <c r="AG81" s="915"/>
      <c r="AH81" s="915"/>
      <c r="AI81" s="915"/>
      <c r="AJ81" s="915"/>
      <c r="AK81" s="915"/>
      <c r="AL81" s="915"/>
      <c r="AM81" s="909">
        <v>1080020.0</v>
      </c>
      <c r="AN81" s="909">
        <v>650000.0</v>
      </c>
      <c r="AO81" s="909">
        <v>650000.0</v>
      </c>
      <c r="AP81" s="909">
        <v>650000.0</v>
      </c>
      <c r="AQ81" s="909">
        <v>650000.0</v>
      </c>
      <c r="AR81" s="909"/>
      <c r="AS81" s="909"/>
      <c r="AT81" s="909"/>
      <c r="AU81" s="909"/>
      <c r="AV81" s="909"/>
      <c r="AW81" s="909"/>
      <c r="AX81" s="909"/>
      <c r="AY81" s="909"/>
      <c r="AZ81" s="909"/>
    </row>
    <row r="82">
      <c r="A82" s="889"/>
      <c r="B82" s="885" t="s">
        <v>3084</v>
      </c>
      <c r="C82" s="883" t="s">
        <v>328</v>
      </c>
      <c r="D82" s="883" t="s">
        <v>267</v>
      </c>
      <c r="E82" s="895">
        <v>550000.0</v>
      </c>
      <c r="F82" s="895">
        <v>580000.0</v>
      </c>
      <c r="G82" s="897" t="s">
        <v>3163</v>
      </c>
      <c r="H82" s="966" t="s">
        <v>3164</v>
      </c>
      <c r="I82" s="912"/>
      <c r="J82" s="897" t="s">
        <v>216</v>
      </c>
      <c r="K82" s="885">
        <v>0.0</v>
      </c>
      <c r="L82" s="895">
        <f t="shared" si="18"/>
        <v>580000</v>
      </c>
      <c r="M82" s="895">
        <v>100000.0</v>
      </c>
      <c r="N82" s="913"/>
      <c r="O82" s="913"/>
      <c r="P82" s="913"/>
      <c r="Q82" s="913"/>
      <c r="R82" s="914"/>
      <c r="S82" s="913"/>
      <c r="T82" s="913"/>
      <c r="U82" s="913"/>
      <c r="V82" s="913"/>
      <c r="W82" s="913"/>
      <c r="X82" s="913"/>
      <c r="Y82" s="913"/>
      <c r="Z82" s="913"/>
      <c r="AA82" s="888"/>
      <c r="AB82" s="888"/>
      <c r="AC82" s="910"/>
      <c r="AD82" s="910"/>
      <c r="AE82" s="915"/>
      <c r="AF82" s="915"/>
      <c r="AG82" s="915"/>
      <c r="AH82" s="915"/>
      <c r="AI82" s="915"/>
      <c r="AJ82" s="915"/>
      <c r="AK82" s="915"/>
      <c r="AL82" s="915"/>
      <c r="AM82" s="915"/>
      <c r="AN82" s="915"/>
      <c r="AO82" s="915"/>
      <c r="AP82" s="915"/>
      <c r="AQ82" s="920">
        <v>813737.0</v>
      </c>
      <c r="AS82" s="909"/>
      <c r="AT82" s="909"/>
      <c r="AU82" s="909"/>
      <c r="AV82" s="909"/>
      <c r="AW82" s="909"/>
      <c r="AX82" s="909"/>
      <c r="AY82" s="909"/>
      <c r="AZ82" s="909"/>
    </row>
    <row r="83">
      <c r="A83" s="889"/>
      <c r="B83" s="889"/>
      <c r="C83" s="889"/>
      <c r="D83" s="889"/>
      <c r="E83" s="889"/>
      <c r="F83" s="889"/>
      <c r="G83" s="889"/>
      <c r="H83" s="889"/>
      <c r="I83" s="889"/>
      <c r="J83" s="889"/>
      <c r="K83" s="889"/>
      <c r="L83" s="889"/>
      <c r="M83" s="889"/>
      <c r="N83" s="944"/>
      <c r="O83" s="944"/>
      <c r="P83" s="944"/>
      <c r="Q83" s="944"/>
      <c r="R83" s="944"/>
      <c r="S83" s="889"/>
      <c r="T83" s="889"/>
      <c r="U83" s="889"/>
      <c r="V83" s="889"/>
      <c r="W83" s="889"/>
      <c r="X83" s="889"/>
      <c r="Y83" s="889"/>
      <c r="Z83" s="889"/>
      <c r="AA83" s="889"/>
      <c r="AB83" s="889"/>
      <c r="AC83" s="889"/>
      <c r="AD83" s="889"/>
      <c r="AE83" s="889"/>
      <c r="AF83" s="889"/>
      <c r="AG83" s="889"/>
      <c r="AH83" s="889"/>
      <c r="AI83" s="889"/>
      <c r="AJ83" s="889"/>
      <c r="AK83" s="889"/>
      <c r="AL83" s="889"/>
      <c r="AM83" s="889"/>
      <c r="AN83" s="889"/>
      <c r="AO83" s="889"/>
      <c r="AP83" s="889"/>
      <c r="AQ83" s="889"/>
      <c r="AR83" s="889"/>
      <c r="AS83" s="889"/>
      <c r="AT83" s="889"/>
      <c r="AU83" s="889"/>
      <c r="AV83" s="889"/>
      <c r="AW83" s="889"/>
      <c r="AX83" s="889"/>
      <c r="AY83" s="889"/>
      <c r="AZ83" s="889"/>
    </row>
    <row r="84">
      <c r="A84" s="889"/>
      <c r="B84" s="889"/>
      <c r="C84" s="889"/>
      <c r="D84" s="889"/>
      <c r="E84" s="889"/>
      <c r="F84" s="889"/>
      <c r="G84" s="889"/>
      <c r="H84" s="889"/>
      <c r="I84" s="889"/>
      <c r="J84" s="889"/>
      <c r="K84" s="889"/>
      <c r="L84" s="889"/>
      <c r="M84" s="889"/>
      <c r="N84" s="944"/>
      <c r="O84" s="944"/>
      <c r="P84" s="944"/>
      <c r="Q84" s="944"/>
      <c r="R84" s="944"/>
      <c r="S84" s="889"/>
      <c r="T84" s="889"/>
      <c r="U84" s="889"/>
      <c r="V84" s="889"/>
      <c r="W84" s="889"/>
      <c r="X84" s="889"/>
      <c r="Y84" s="889"/>
      <c r="Z84" s="889"/>
      <c r="AA84" s="889"/>
      <c r="AB84" s="889"/>
      <c r="AC84" s="889"/>
      <c r="AD84" s="889"/>
      <c r="AE84" s="889"/>
      <c r="AF84" s="889"/>
      <c r="AG84" s="889"/>
      <c r="AH84" s="889"/>
      <c r="AI84" s="889"/>
      <c r="AJ84" s="889"/>
      <c r="AK84" s="889"/>
      <c r="AL84" s="889"/>
      <c r="AM84" s="889"/>
      <c r="AN84" s="889"/>
      <c r="AO84" s="889"/>
      <c r="AP84" s="889"/>
      <c r="AQ84" s="889"/>
      <c r="AR84" s="889"/>
      <c r="AS84" s="889"/>
      <c r="AT84" s="889"/>
      <c r="AU84" s="889"/>
      <c r="AV84" s="889"/>
      <c r="AW84" s="889"/>
      <c r="AX84" s="889"/>
      <c r="AY84" s="889"/>
      <c r="AZ84" s="889"/>
    </row>
    <row r="85">
      <c r="A85" s="889"/>
      <c r="B85" s="889"/>
      <c r="C85" s="889"/>
      <c r="D85" s="889"/>
      <c r="E85" s="889"/>
      <c r="F85" s="889"/>
      <c r="G85" s="889"/>
      <c r="H85" s="889"/>
      <c r="I85" s="889"/>
      <c r="J85" s="889"/>
      <c r="K85" s="889"/>
      <c r="L85" s="889"/>
      <c r="M85" s="889"/>
      <c r="N85" s="944"/>
      <c r="O85" s="944"/>
      <c r="P85" s="944"/>
      <c r="Q85" s="944"/>
      <c r="R85" s="944"/>
      <c r="S85" s="889"/>
      <c r="T85" s="889"/>
      <c r="U85" s="889"/>
      <c r="V85" s="889"/>
      <c r="W85" s="889"/>
      <c r="X85" s="889"/>
      <c r="Y85" s="889"/>
      <c r="Z85" s="889"/>
      <c r="AA85" s="889"/>
      <c r="AB85" s="889"/>
      <c r="AC85" s="889"/>
      <c r="AD85" s="889"/>
      <c r="AE85" s="889"/>
      <c r="AF85" s="889"/>
      <c r="AG85" s="889"/>
      <c r="AH85" s="889"/>
      <c r="AI85" s="889"/>
      <c r="AJ85" s="889"/>
      <c r="AK85" s="889"/>
      <c r="AL85" s="889"/>
      <c r="AM85" s="889"/>
      <c r="AN85" s="889"/>
      <c r="AO85" s="889"/>
      <c r="AP85" s="889"/>
      <c r="AQ85" s="889"/>
      <c r="AR85" s="889"/>
      <c r="AS85" s="889"/>
      <c r="AT85" s="889"/>
      <c r="AU85" s="889"/>
      <c r="AV85" s="889"/>
      <c r="AW85" s="889"/>
      <c r="AX85" s="889"/>
      <c r="AY85" s="889"/>
      <c r="AZ85" s="889"/>
    </row>
    <row r="86">
      <c r="A86" s="889"/>
      <c r="B86" s="889"/>
      <c r="C86" s="889"/>
      <c r="D86" s="889"/>
      <c r="E86" s="889"/>
      <c r="F86" s="889"/>
      <c r="G86" s="889"/>
      <c r="H86" s="889"/>
      <c r="I86" s="889"/>
      <c r="J86" s="889"/>
      <c r="K86" s="889"/>
      <c r="L86" s="889"/>
      <c r="M86" s="889"/>
      <c r="N86" s="944"/>
      <c r="O86" s="944"/>
      <c r="P86" s="944"/>
      <c r="Q86" s="944"/>
      <c r="R86" s="944"/>
      <c r="S86" s="889"/>
      <c r="T86" s="889"/>
      <c r="U86" s="889"/>
      <c r="V86" s="889"/>
      <c r="W86" s="889"/>
      <c r="X86" s="889"/>
      <c r="Y86" s="889"/>
      <c r="Z86" s="889"/>
      <c r="AA86" s="889"/>
      <c r="AB86" s="889"/>
      <c r="AC86" s="889"/>
      <c r="AD86" s="889"/>
      <c r="AE86" s="889"/>
      <c r="AF86" s="889"/>
      <c r="AG86" s="889"/>
      <c r="AH86" s="889"/>
      <c r="AI86" s="889"/>
      <c r="AJ86" s="889"/>
      <c r="AK86" s="889"/>
      <c r="AL86" s="889"/>
      <c r="AM86" s="889"/>
      <c r="AN86" s="889"/>
      <c r="AO86" s="889"/>
      <c r="AP86" s="889"/>
      <c r="AQ86" s="889"/>
      <c r="AR86" s="889"/>
      <c r="AS86" s="889"/>
      <c r="AT86" s="889"/>
      <c r="AU86" s="889"/>
      <c r="AV86" s="889"/>
      <c r="AW86" s="889"/>
      <c r="AX86" s="889"/>
      <c r="AY86" s="889"/>
      <c r="AZ86" s="889"/>
    </row>
    <row r="87">
      <c r="A87" s="889"/>
      <c r="B87" s="889"/>
      <c r="C87" s="889"/>
      <c r="D87" s="889"/>
      <c r="E87" s="889"/>
      <c r="F87" s="889"/>
      <c r="G87" s="889"/>
      <c r="H87" s="889"/>
      <c r="I87" s="889"/>
      <c r="J87" s="889"/>
      <c r="K87" s="889"/>
      <c r="L87" s="889"/>
      <c r="M87" s="889"/>
      <c r="N87" s="944"/>
      <c r="O87" s="944"/>
      <c r="P87" s="944"/>
      <c r="Q87" s="944"/>
      <c r="R87" s="944"/>
      <c r="S87" s="889"/>
      <c r="T87" s="889"/>
      <c r="U87" s="889"/>
      <c r="V87" s="889"/>
      <c r="W87" s="889"/>
      <c r="X87" s="889"/>
      <c r="Y87" s="889"/>
      <c r="Z87" s="889"/>
      <c r="AA87" s="889"/>
      <c r="AB87" s="889"/>
      <c r="AC87" s="889"/>
      <c r="AD87" s="889"/>
      <c r="AE87" s="889"/>
      <c r="AF87" s="889"/>
      <c r="AG87" s="889"/>
      <c r="AH87" s="889"/>
      <c r="AI87" s="889"/>
      <c r="AJ87" s="889"/>
      <c r="AK87" s="889"/>
      <c r="AL87" s="889"/>
      <c r="AM87" s="889"/>
      <c r="AN87" s="889"/>
      <c r="AO87" s="889"/>
      <c r="AP87" s="889"/>
      <c r="AQ87" s="889"/>
      <c r="AR87" s="889"/>
      <c r="AS87" s="889"/>
      <c r="AT87" s="889"/>
      <c r="AU87" s="889"/>
      <c r="AV87" s="889"/>
      <c r="AW87" s="889"/>
      <c r="AX87" s="889"/>
      <c r="AY87" s="889"/>
      <c r="AZ87" s="889"/>
    </row>
    <row r="88">
      <c r="A88" s="889"/>
      <c r="B88" s="889"/>
      <c r="C88" s="889"/>
      <c r="D88" s="889"/>
      <c r="E88" s="889"/>
      <c r="F88" s="889"/>
      <c r="G88" s="889"/>
      <c r="H88" s="889"/>
      <c r="I88" s="889"/>
      <c r="J88" s="889"/>
      <c r="K88" s="889"/>
      <c r="L88" s="889"/>
      <c r="M88" s="889"/>
      <c r="N88" s="944"/>
      <c r="O88" s="944"/>
      <c r="P88" s="944"/>
      <c r="Q88" s="944"/>
      <c r="R88" s="944"/>
      <c r="S88" s="889"/>
      <c r="T88" s="889"/>
      <c r="U88" s="889"/>
      <c r="V88" s="889"/>
      <c r="W88" s="889"/>
      <c r="X88" s="889"/>
      <c r="Y88" s="889"/>
      <c r="Z88" s="889"/>
      <c r="AA88" s="889"/>
      <c r="AB88" s="889"/>
      <c r="AC88" s="889"/>
      <c r="AD88" s="889"/>
      <c r="AE88" s="889"/>
      <c r="AF88" s="889"/>
      <c r="AG88" s="889"/>
      <c r="AH88" s="889"/>
      <c r="AI88" s="889"/>
      <c r="AJ88" s="889"/>
      <c r="AK88" s="889"/>
      <c r="AL88" s="889"/>
      <c r="AM88" s="889"/>
      <c r="AN88" s="889"/>
      <c r="AO88" s="889"/>
      <c r="AP88" s="889"/>
      <c r="AQ88" s="889"/>
      <c r="AR88" s="889"/>
      <c r="AS88" s="889"/>
      <c r="AT88" s="889"/>
      <c r="AU88" s="889"/>
      <c r="AV88" s="889"/>
      <c r="AW88" s="889"/>
      <c r="AX88" s="889"/>
      <c r="AY88" s="889"/>
      <c r="AZ88" s="889"/>
    </row>
    <row r="89">
      <c r="A89" s="889"/>
      <c r="B89" s="889"/>
      <c r="C89" s="889"/>
      <c r="D89" s="889"/>
      <c r="E89" s="889"/>
      <c r="F89" s="889"/>
      <c r="G89" s="889"/>
      <c r="H89" s="889"/>
      <c r="I89" s="889"/>
      <c r="J89" s="889"/>
      <c r="K89" s="889"/>
      <c r="L89" s="889"/>
      <c r="M89" s="889"/>
      <c r="N89" s="944"/>
      <c r="O89" s="944"/>
      <c r="P89" s="944"/>
      <c r="Q89" s="944"/>
      <c r="R89" s="944"/>
      <c r="S89" s="889"/>
      <c r="T89" s="889"/>
      <c r="U89" s="889"/>
      <c r="V89" s="889"/>
      <c r="W89" s="889"/>
      <c r="X89" s="889"/>
      <c r="Y89" s="889"/>
      <c r="Z89" s="889"/>
      <c r="AA89" s="889"/>
      <c r="AB89" s="889"/>
      <c r="AC89" s="889"/>
      <c r="AD89" s="889"/>
      <c r="AE89" s="889"/>
      <c r="AF89" s="889"/>
      <c r="AG89" s="889"/>
      <c r="AH89" s="889"/>
      <c r="AI89" s="889"/>
      <c r="AJ89" s="889"/>
      <c r="AK89" s="889"/>
      <c r="AL89" s="889"/>
      <c r="AM89" s="889"/>
      <c r="AN89" s="889"/>
      <c r="AO89" s="889"/>
      <c r="AP89" s="889"/>
      <c r="AQ89" s="889"/>
      <c r="AR89" s="889"/>
      <c r="AS89" s="889"/>
      <c r="AT89" s="889"/>
      <c r="AU89" s="889"/>
      <c r="AV89" s="889"/>
      <c r="AW89" s="889"/>
      <c r="AX89" s="889"/>
      <c r="AY89" s="889"/>
      <c r="AZ89" s="889"/>
    </row>
    <row r="90">
      <c r="A90" s="889"/>
      <c r="B90" s="889"/>
      <c r="C90" s="889"/>
      <c r="D90" s="889"/>
      <c r="E90" s="889"/>
      <c r="F90" s="889"/>
      <c r="G90" s="889"/>
      <c r="H90" s="889"/>
      <c r="I90" s="889"/>
      <c r="J90" s="889"/>
      <c r="K90" s="889"/>
      <c r="L90" s="889"/>
      <c r="M90" s="889"/>
      <c r="N90" s="944"/>
      <c r="O90" s="944"/>
      <c r="P90" s="944"/>
      <c r="Q90" s="944"/>
      <c r="R90" s="944"/>
      <c r="S90" s="889"/>
      <c r="T90" s="889"/>
      <c r="U90" s="889"/>
      <c r="V90" s="889"/>
      <c r="W90" s="889"/>
      <c r="X90" s="889"/>
      <c r="Y90" s="889"/>
      <c r="Z90" s="889"/>
      <c r="AA90" s="889"/>
      <c r="AB90" s="889"/>
      <c r="AC90" s="889"/>
      <c r="AD90" s="889"/>
      <c r="AE90" s="889"/>
      <c r="AF90" s="889"/>
      <c r="AG90" s="889"/>
      <c r="AH90" s="889"/>
      <c r="AI90" s="889"/>
      <c r="AJ90" s="889"/>
      <c r="AK90" s="889"/>
      <c r="AL90" s="889"/>
      <c r="AM90" s="889"/>
      <c r="AN90" s="889"/>
      <c r="AO90" s="889"/>
      <c r="AP90" s="889"/>
      <c r="AQ90" s="889"/>
      <c r="AR90" s="889"/>
      <c r="AS90" s="889"/>
      <c r="AT90" s="889"/>
      <c r="AU90" s="889"/>
      <c r="AV90" s="889"/>
      <c r="AW90" s="889"/>
      <c r="AX90" s="889"/>
      <c r="AY90" s="889"/>
      <c r="AZ90" s="889"/>
    </row>
    <row r="91">
      <c r="A91" s="889"/>
      <c r="B91" s="889"/>
      <c r="C91" s="889"/>
      <c r="D91" s="889"/>
      <c r="E91" s="889"/>
      <c r="F91" s="889"/>
      <c r="G91" s="889"/>
      <c r="H91" s="889"/>
      <c r="I91" s="889"/>
      <c r="J91" s="889"/>
      <c r="K91" s="889"/>
      <c r="L91" s="889"/>
      <c r="M91" s="889"/>
      <c r="N91" s="944"/>
      <c r="O91" s="944"/>
      <c r="P91" s="944"/>
      <c r="Q91" s="944"/>
      <c r="R91" s="944"/>
      <c r="S91" s="889"/>
      <c r="T91" s="889"/>
      <c r="U91" s="889"/>
      <c r="V91" s="889"/>
      <c r="W91" s="889"/>
      <c r="X91" s="889"/>
      <c r="Y91" s="889"/>
      <c r="Z91" s="889"/>
      <c r="AA91" s="889"/>
      <c r="AB91" s="889"/>
      <c r="AC91" s="889"/>
      <c r="AD91" s="889"/>
      <c r="AE91" s="889"/>
      <c r="AF91" s="889"/>
      <c r="AG91" s="889"/>
      <c r="AH91" s="889"/>
      <c r="AI91" s="889"/>
      <c r="AJ91" s="889"/>
      <c r="AK91" s="889"/>
      <c r="AL91" s="889"/>
      <c r="AM91" s="889"/>
      <c r="AN91" s="889"/>
      <c r="AO91" s="889"/>
      <c r="AP91" s="889"/>
      <c r="AQ91" s="889"/>
      <c r="AR91" s="889"/>
      <c r="AS91" s="889"/>
      <c r="AT91" s="889"/>
      <c r="AU91" s="889"/>
      <c r="AV91" s="889"/>
      <c r="AW91" s="889"/>
      <c r="AX91" s="889"/>
      <c r="AY91" s="889"/>
      <c r="AZ91" s="889"/>
    </row>
    <row r="92">
      <c r="A92" s="889"/>
      <c r="B92" s="889"/>
      <c r="C92" s="889"/>
      <c r="D92" s="889"/>
      <c r="E92" s="889"/>
      <c r="F92" s="889"/>
      <c r="G92" s="889"/>
      <c r="H92" s="889"/>
      <c r="I92" s="889"/>
      <c r="J92" s="889"/>
      <c r="K92" s="889"/>
      <c r="L92" s="889"/>
      <c r="M92" s="889"/>
      <c r="N92" s="944"/>
      <c r="O92" s="944"/>
      <c r="P92" s="944"/>
      <c r="Q92" s="944"/>
      <c r="R92" s="944"/>
      <c r="S92" s="889"/>
      <c r="T92" s="889"/>
      <c r="U92" s="889"/>
      <c r="V92" s="889"/>
      <c r="W92" s="889"/>
      <c r="X92" s="889"/>
      <c r="Y92" s="889"/>
      <c r="Z92" s="889"/>
      <c r="AA92" s="889"/>
      <c r="AB92" s="889"/>
      <c r="AC92" s="889"/>
      <c r="AD92" s="889"/>
      <c r="AE92" s="889"/>
      <c r="AF92" s="889"/>
      <c r="AG92" s="889"/>
      <c r="AH92" s="889"/>
      <c r="AI92" s="889"/>
      <c r="AJ92" s="889"/>
      <c r="AK92" s="889"/>
      <c r="AL92" s="889"/>
      <c r="AM92" s="889"/>
      <c r="AN92" s="889"/>
      <c r="AO92" s="889"/>
      <c r="AP92" s="889"/>
      <c r="AQ92" s="889"/>
      <c r="AR92" s="889"/>
      <c r="AS92" s="889"/>
      <c r="AT92" s="889"/>
      <c r="AU92" s="889"/>
      <c r="AV92" s="889"/>
      <c r="AW92" s="889"/>
      <c r="AX92" s="889"/>
      <c r="AY92" s="889"/>
      <c r="AZ92" s="889"/>
    </row>
    <row r="93">
      <c r="A93" s="889"/>
      <c r="B93" s="889"/>
      <c r="C93" s="889"/>
      <c r="D93" s="889"/>
      <c r="E93" s="889"/>
      <c r="F93" s="889"/>
      <c r="G93" s="889"/>
      <c r="H93" s="889"/>
      <c r="I93" s="889"/>
      <c r="J93" s="889"/>
      <c r="K93" s="889"/>
      <c r="L93" s="889"/>
      <c r="M93" s="889"/>
      <c r="N93" s="944"/>
      <c r="O93" s="944"/>
      <c r="P93" s="944"/>
      <c r="Q93" s="944"/>
      <c r="R93" s="944"/>
      <c r="S93" s="889"/>
      <c r="T93" s="889"/>
      <c r="U93" s="889"/>
      <c r="V93" s="889"/>
      <c r="W93" s="889"/>
      <c r="X93" s="889"/>
      <c r="Y93" s="889"/>
      <c r="Z93" s="889"/>
      <c r="AA93" s="889"/>
      <c r="AB93" s="889"/>
      <c r="AC93" s="889"/>
      <c r="AD93" s="889"/>
      <c r="AE93" s="889"/>
      <c r="AF93" s="889"/>
      <c r="AG93" s="889"/>
      <c r="AH93" s="889"/>
      <c r="AI93" s="889"/>
      <c r="AJ93" s="889"/>
      <c r="AK93" s="889"/>
      <c r="AL93" s="889"/>
      <c r="AM93" s="889"/>
      <c r="AN93" s="889"/>
      <c r="AO93" s="889"/>
      <c r="AP93" s="889"/>
      <c r="AQ93" s="889"/>
      <c r="AR93" s="889"/>
      <c r="AS93" s="889"/>
      <c r="AT93" s="889"/>
      <c r="AU93" s="889"/>
      <c r="AV93" s="889"/>
      <c r="AW93" s="889"/>
      <c r="AX93" s="889"/>
      <c r="AY93" s="889"/>
      <c r="AZ93" s="889"/>
    </row>
    <row r="94">
      <c r="A94" s="889"/>
      <c r="B94" s="889"/>
      <c r="C94" s="889"/>
      <c r="D94" s="889"/>
      <c r="E94" s="889"/>
      <c r="F94" s="889"/>
      <c r="G94" s="889"/>
      <c r="H94" s="889"/>
      <c r="I94" s="889"/>
      <c r="J94" s="889"/>
      <c r="K94" s="889"/>
      <c r="L94" s="889"/>
      <c r="M94" s="889"/>
      <c r="N94" s="944"/>
      <c r="O94" s="944"/>
      <c r="P94" s="944"/>
      <c r="Q94" s="944"/>
      <c r="R94" s="944"/>
      <c r="S94" s="889"/>
      <c r="T94" s="889"/>
      <c r="U94" s="889"/>
      <c r="V94" s="889"/>
      <c r="W94" s="889"/>
      <c r="X94" s="889"/>
      <c r="Y94" s="889"/>
      <c r="Z94" s="889"/>
      <c r="AA94" s="889"/>
      <c r="AB94" s="889"/>
      <c r="AC94" s="889"/>
      <c r="AD94" s="889"/>
      <c r="AE94" s="889"/>
      <c r="AF94" s="889"/>
      <c r="AG94" s="889"/>
      <c r="AH94" s="889"/>
      <c r="AI94" s="889"/>
      <c r="AJ94" s="889"/>
      <c r="AK94" s="889"/>
      <c r="AL94" s="889"/>
      <c r="AM94" s="889"/>
      <c r="AN94" s="889"/>
      <c r="AO94" s="889"/>
      <c r="AP94" s="889"/>
      <c r="AQ94" s="889"/>
      <c r="AR94" s="889"/>
      <c r="AS94" s="889"/>
      <c r="AT94" s="889"/>
      <c r="AU94" s="889"/>
      <c r="AV94" s="889"/>
      <c r="AW94" s="889"/>
      <c r="AX94" s="889"/>
      <c r="AY94" s="889"/>
      <c r="AZ94" s="889"/>
    </row>
    <row r="95">
      <c r="A95" s="889"/>
      <c r="B95" s="889"/>
      <c r="C95" s="889"/>
      <c r="D95" s="889"/>
      <c r="E95" s="889"/>
      <c r="F95" s="889"/>
      <c r="G95" s="889"/>
      <c r="H95" s="889"/>
      <c r="I95" s="889"/>
      <c r="J95" s="889"/>
      <c r="K95" s="889"/>
      <c r="L95" s="889"/>
      <c r="M95" s="889"/>
      <c r="N95" s="944"/>
      <c r="O95" s="944"/>
      <c r="P95" s="944"/>
      <c r="Q95" s="944"/>
      <c r="R95" s="944"/>
      <c r="S95" s="889"/>
      <c r="T95" s="889"/>
      <c r="U95" s="889"/>
      <c r="V95" s="889"/>
      <c r="W95" s="889"/>
      <c r="X95" s="889"/>
      <c r="Y95" s="889"/>
      <c r="Z95" s="889"/>
      <c r="AA95" s="889"/>
      <c r="AB95" s="889"/>
      <c r="AC95" s="889"/>
      <c r="AD95" s="889"/>
      <c r="AE95" s="889"/>
      <c r="AF95" s="889"/>
      <c r="AG95" s="889"/>
      <c r="AH95" s="889"/>
      <c r="AI95" s="889"/>
      <c r="AJ95" s="889"/>
      <c r="AK95" s="889"/>
      <c r="AL95" s="889"/>
      <c r="AM95" s="889"/>
      <c r="AN95" s="889"/>
      <c r="AO95" s="889"/>
      <c r="AP95" s="889"/>
      <c r="AQ95" s="889"/>
      <c r="AR95" s="889"/>
      <c r="AS95" s="889"/>
      <c r="AT95" s="889"/>
      <c r="AU95" s="889"/>
      <c r="AV95" s="889"/>
      <c r="AW95" s="889"/>
      <c r="AX95" s="889"/>
      <c r="AY95" s="889"/>
      <c r="AZ95" s="889"/>
    </row>
    <row r="96">
      <c r="A96" s="889"/>
      <c r="B96" s="889"/>
      <c r="C96" s="889"/>
      <c r="D96" s="889"/>
      <c r="E96" s="889"/>
      <c r="F96" s="889"/>
      <c r="G96" s="889"/>
      <c r="H96" s="889"/>
      <c r="I96" s="889"/>
      <c r="J96" s="889"/>
      <c r="K96" s="889"/>
      <c r="L96" s="889"/>
      <c r="M96" s="889"/>
      <c r="N96" s="944"/>
      <c r="O96" s="944"/>
      <c r="P96" s="944"/>
      <c r="Q96" s="944"/>
      <c r="R96" s="944"/>
      <c r="S96" s="889"/>
      <c r="T96" s="889"/>
      <c r="U96" s="889"/>
      <c r="V96" s="889"/>
      <c r="W96" s="889"/>
      <c r="X96" s="889"/>
      <c r="Y96" s="889"/>
      <c r="Z96" s="889"/>
      <c r="AA96" s="889"/>
      <c r="AB96" s="889"/>
      <c r="AC96" s="889"/>
      <c r="AD96" s="889"/>
      <c r="AE96" s="889"/>
      <c r="AF96" s="889"/>
      <c r="AG96" s="889"/>
      <c r="AH96" s="889"/>
      <c r="AI96" s="889"/>
      <c r="AJ96" s="889"/>
      <c r="AK96" s="889"/>
      <c r="AL96" s="889"/>
      <c r="AM96" s="889"/>
      <c r="AN96" s="889"/>
      <c r="AO96" s="889"/>
      <c r="AP96" s="889"/>
      <c r="AQ96" s="889"/>
      <c r="AR96" s="889"/>
      <c r="AS96" s="889"/>
      <c r="AT96" s="889"/>
      <c r="AU96" s="889"/>
      <c r="AV96" s="889"/>
      <c r="AW96" s="889"/>
      <c r="AX96" s="889"/>
      <c r="AY96" s="889"/>
      <c r="AZ96" s="889"/>
    </row>
    <row r="97">
      <c r="A97" s="889"/>
      <c r="B97" s="889"/>
      <c r="C97" s="889"/>
      <c r="D97" s="889"/>
      <c r="E97" s="889"/>
      <c r="F97" s="889"/>
      <c r="G97" s="889"/>
      <c r="H97" s="889"/>
      <c r="I97" s="889"/>
      <c r="J97" s="889"/>
      <c r="K97" s="889"/>
      <c r="L97" s="889"/>
      <c r="M97" s="889"/>
      <c r="N97" s="944"/>
      <c r="O97" s="944"/>
      <c r="P97" s="944"/>
      <c r="Q97" s="944"/>
      <c r="R97" s="944"/>
      <c r="S97" s="889"/>
      <c r="T97" s="889"/>
      <c r="U97" s="889"/>
      <c r="V97" s="889"/>
      <c r="W97" s="889"/>
      <c r="X97" s="889"/>
      <c r="Y97" s="889"/>
      <c r="Z97" s="889"/>
      <c r="AA97" s="889"/>
      <c r="AB97" s="889"/>
      <c r="AC97" s="889"/>
      <c r="AD97" s="889"/>
      <c r="AE97" s="889"/>
      <c r="AF97" s="889"/>
      <c r="AG97" s="889"/>
      <c r="AH97" s="889"/>
      <c r="AI97" s="889"/>
      <c r="AJ97" s="889"/>
      <c r="AK97" s="889"/>
      <c r="AL97" s="889"/>
      <c r="AM97" s="889"/>
      <c r="AN97" s="889"/>
      <c r="AO97" s="889"/>
      <c r="AP97" s="889"/>
      <c r="AQ97" s="889"/>
      <c r="AR97" s="889"/>
      <c r="AS97" s="889"/>
      <c r="AT97" s="889"/>
      <c r="AU97" s="889"/>
      <c r="AV97" s="889"/>
      <c r="AW97" s="889"/>
      <c r="AX97" s="889"/>
      <c r="AY97" s="889"/>
      <c r="AZ97" s="889"/>
    </row>
    <row r="98">
      <c r="A98" s="889"/>
      <c r="B98" s="889"/>
      <c r="C98" s="889"/>
      <c r="D98" s="889"/>
      <c r="E98" s="889"/>
      <c r="F98" s="889"/>
      <c r="G98" s="889"/>
      <c r="H98" s="889"/>
      <c r="I98" s="889"/>
      <c r="J98" s="889"/>
      <c r="K98" s="889"/>
      <c r="L98" s="889"/>
      <c r="M98" s="889"/>
      <c r="N98" s="944"/>
      <c r="O98" s="944"/>
      <c r="P98" s="944"/>
      <c r="Q98" s="944"/>
      <c r="R98" s="944"/>
      <c r="S98" s="889"/>
      <c r="T98" s="889"/>
      <c r="U98" s="889"/>
      <c r="V98" s="889"/>
      <c r="W98" s="889"/>
      <c r="X98" s="889"/>
      <c r="Y98" s="889"/>
      <c r="Z98" s="889"/>
      <c r="AA98" s="889"/>
      <c r="AB98" s="889"/>
      <c r="AC98" s="889"/>
      <c r="AD98" s="889"/>
      <c r="AE98" s="889"/>
      <c r="AF98" s="889"/>
      <c r="AG98" s="889"/>
      <c r="AH98" s="889"/>
      <c r="AI98" s="889"/>
      <c r="AJ98" s="889"/>
      <c r="AK98" s="889"/>
      <c r="AL98" s="889"/>
      <c r="AM98" s="889"/>
      <c r="AN98" s="889"/>
      <c r="AO98" s="889"/>
      <c r="AP98" s="889"/>
      <c r="AQ98" s="889"/>
      <c r="AR98" s="889"/>
      <c r="AS98" s="889"/>
      <c r="AT98" s="889"/>
      <c r="AU98" s="889"/>
      <c r="AV98" s="889"/>
      <c r="AW98" s="889"/>
      <c r="AX98" s="889"/>
      <c r="AY98" s="889"/>
      <c r="AZ98" s="889"/>
    </row>
    <row r="99">
      <c r="A99" s="889"/>
      <c r="B99" s="889"/>
      <c r="C99" s="889"/>
      <c r="D99" s="889"/>
      <c r="E99" s="889"/>
      <c r="F99" s="889"/>
      <c r="G99" s="889"/>
      <c r="H99" s="889"/>
      <c r="I99" s="889"/>
      <c r="J99" s="889"/>
      <c r="K99" s="889"/>
      <c r="L99" s="889"/>
      <c r="M99" s="889"/>
      <c r="N99" s="944"/>
      <c r="O99" s="944"/>
      <c r="P99" s="944"/>
      <c r="Q99" s="944"/>
      <c r="R99" s="944"/>
      <c r="S99" s="889"/>
      <c r="T99" s="889"/>
      <c r="U99" s="889"/>
      <c r="V99" s="889"/>
      <c r="W99" s="889"/>
      <c r="X99" s="889"/>
      <c r="Y99" s="889"/>
      <c r="Z99" s="889"/>
      <c r="AA99" s="889"/>
      <c r="AB99" s="889"/>
      <c r="AC99" s="889"/>
      <c r="AD99" s="889"/>
      <c r="AE99" s="889"/>
      <c r="AF99" s="889"/>
      <c r="AG99" s="889"/>
      <c r="AH99" s="889"/>
      <c r="AI99" s="889"/>
      <c r="AJ99" s="889"/>
      <c r="AK99" s="889"/>
      <c r="AL99" s="889"/>
      <c r="AM99" s="889"/>
      <c r="AN99" s="889"/>
      <c r="AO99" s="889"/>
      <c r="AP99" s="889"/>
      <c r="AQ99" s="889"/>
      <c r="AR99" s="889"/>
      <c r="AS99" s="889"/>
      <c r="AT99" s="889"/>
      <c r="AU99" s="889"/>
      <c r="AV99" s="889"/>
      <c r="AW99" s="889"/>
      <c r="AX99" s="889"/>
      <c r="AY99" s="889"/>
      <c r="AZ99" s="889"/>
    </row>
    <row r="100">
      <c r="A100" s="889"/>
      <c r="B100" s="889"/>
      <c r="C100" s="889"/>
      <c r="D100" s="889"/>
      <c r="E100" s="889"/>
      <c r="F100" s="889"/>
      <c r="G100" s="889"/>
      <c r="H100" s="889"/>
      <c r="I100" s="889"/>
      <c r="J100" s="889"/>
      <c r="K100" s="889"/>
      <c r="L100" s="889"/>
      <c r="M100" s="889"/>
      <c r="N100" s="944"/>
      <c r="O100" s="944"/>
      <c r="P100" s="944"/>
      <c r="Q100" s="944"/>
      <c r="R100" s="944"/>
      <c r="S100" s="889"/>
      <c r="T100" s="889"/>
      <c r="U100" s="889"/>
      <c r="V100" s="889"/>
      <c r="W100" s="889"/>
      <c r="X100" s="889"/>
      <c r="Y100" s="889"/>
      <c r="Z100" s="889"/>
      <c r="AA100" s="889"/>
      <c r="AB100" s="889"/>
      <c r="AC100" s="889"/>
      <c r="AD100" s="889"/>
      <c r="AE100" s="889"/>
      <c r="AF100" s="889"/>
      <c r="AG100" s="889"/>
      <c r="AH100" s="889"/>
      <c r="AI100" s="889"/>
      <c r="AJ100" s="889"/>
      <c r="AK100" s="889"/>
      <c r="AL100" s="889"/>
      <c r="AM100" s="889"/>
      <c r="AN100" s="889"/>
      <c r="AO100" s="889"/>
      <c r="AP100" s="889"/>
      <c r="AQ100" s="889"/>
      <c r="AR100" s="889"/>
      <c r="AS100" s="889"/>
      <c r="AT100" s="889"/>
      <c r="AU100" s="889"/>
      <c r="AV100" s="889"/>
      <c r="AW100" s="889"/>
      <c r="AX100" s="889"/>
      <c r="AY100" s="889"/>
      <c r="AZ100" s="889"/>
    </row>
    <row r="101">
      <c r="A101" s="889"/>
      <c r="B101" s="889"/>
      <c r="C101" s="889"/>
      <c r="D101" s="889"/>
      <c r="E101" s="889"/>
      <c r="F101" s="889"/>
      <c r="G101" s="889"/>
      <c r="H101" s="889"/>
      <c r="I101" s="889"/>
      <c r="J101" s="889"/>
      <c r="K101" s="889"/>
      <c r="L101" s="889"/>
      <c r="M101" s="889"/>
      <c r="N101" s="944"/>
      <c r="O101" s="944"/>
      <c r="P101" s="944"/>
      <c r="Q101" s="944"/>
      <c r="R101" s="944"/>
      <c r="S101" s="889"/>
      <c r="T101" s="889"/>
      <c r="U101" s="889"/>
      <c r="V101" s="889"/>
      <c r="W101" s="889"/>
      <c r="X101" s="889"/>
      <c r="Y101" s="889"/>
      <c r="Z101" s="889"/>
      <c r="AA101" s="889"/>
      <c r="AB101" s="889"/>
      <c r="AC101" s="889"/>
      <c r="AD101" s="889"/>
      <c r="AE101" s="889"/>
      <c r="AF101" s="889"/>
      <c r="AG101" s="889"/>
      <c r="AH101" s="889"/>
      <c r="AI101" s="889"/>
      <c r="AJ101" s="889"/>
      <c r="AK101" s="889"/>
      <c r="AL101" s="889"/>
      <c r="AM101" s="889"/>
      <c r="AN101" s="889"/>
      <c r="AO101" s="889"/>
      <c r="AP101" s="889"/>
      <c r="AQ101" s="889"/>
      <c r="AR101" s="889"/>
      <c r="AS101" s="889"/>
      <c r="AT101" s="889"/>
      <c r="AU101" s="889"/>
      <c r="AV101" s="889"/>
      <c r="AW101" s="889"/>
      <c r="AX101" s="889"/>
      <c r="AY101" s="889"/>
      <c r="AZ101" s="889"/>
    </row>
    <row r="102">
      <c r="A102" s="889"/>
      <c r="B102" s="889"/>
      <c r="C102" s="889"/>
      <c r="D102" s="889"/>
      <c r="E102" s="889"/>
      <c r="F102" s="889"/>
      <c r="G102" s="889"/>
      <c r="H102" s="889"/>
      <c r="I102" s="889"/>
      <c r="J102" s="889"/>
      <c r="K102" s="889"/>
      <c r="L102" s="889"/>
      <c r="M102" s="889"/>
      <c r="N102" s="944"/>
      <c r="O102" s="944"/>
      <c r="P102" s="944"/>
      <c r="Q102" s="944"/>
      <c r="R102" s="944"/>
      <c r="S102" s="889"/>
      <c r="T102" s="889"/>
      <c r="U102" s="889"/>
      <c r="V102" s="889"/>
      <c r="W102" s="889"/>
      <c r="X102" s="889"/>
      <c r="Y102" s="889"/>
      <c r="Z102" s="889"/>
      <c r="AA102" s="889"/>
      <c r="AB102" s="889"/>
      <c r="AC102" s="889"/>
      <c r="AD102" s="889"/>
      <c r="AE102" s="889"/>
      <c r="AF102" s="889"/>
      <c r="AG102" s="889"/>
      <c r="AH102" s="889"/>
      <c r="AI102" s="889"/>
      <c r="AJ102" s="889"/>
      <c r="AK102" s="889"/>
      <c r="AL102" s="889"/>
      <c r="AM102" s="889"/>
      <c r="AN102" s="889"/>
      <c r="AO102" s="889"/>
      <c r="AP102" s="889"/>
      <c r="AQ102" s="889"/>
      <c r="AR102" s="889"/>
      <c r="AS102" s="889"/>
      <c r="AT102" s="889"/>
      <c r="AU102" s="889"/>
      <c r="AV102" s="889"/>
      <c r="AW102" s="889"/>
      <c r="AX102" s="889"/>
      <c r="AY102" s="889"/>
      <c r="AZ102" s="889"/>
    </row>
    <row r="103">
      <c r="A103" s="889"/>
      <c r="B103" s="889"/>
      <c r="C103" s="889"/>
      <c r="D103" s="889"/>
      <c r="E103" s="889"/>
      <c r="F103" s="889"/>
      <c r="G103" s="889"/>
      <c r="H103" s="889"/>
      <c r="I103" s="889"/>
      <c r="J103" s="889"/>
      <c r="K103" s="889"/>
      <c r="L103" s="889"/>
      <c r="M103" s="889"/>
      <c r="N103" s="944"/>
      <c r="O103" s="944"/>
      <c r="P103" s="944"/>
      <c r="Q103" s="944"/>
      <c r="R103" s="944"/>
      <c r="S103" s="889"/>
      <c r="T103" s="889"/>
      <c r="U103" s="889"/>
      <c r="V103" s="889"/>
      <c r="W103" s="889"/>
      <c r="X103" s="889"/>
      <c r="Y103" s="889"/>
      <c r="Z103" s="889"/>
      <c r="AA103" s="889"/>
      <c r="AB103" s="889"/>
      <c r="AC103" s="889"/>
      <c r="AD103" s="889"/>
      <c r="AE103" s="889"/>
      <c r="AF103" s="889"/>
      <c r="AG103" s="889"/>
      <c r="AH103" s="889"/>
      <c r="AI103" s="889"/>
      <c r="AJ103" s="889"/>
      <c r="AK103" s="889"/>
      <c r="AL103" s="889"/>
      <c r="AM103" s="889"/>
      <c r="AN103" s="889"/>
      <c r="AO103" s="889"/>
      <c r="AP103" s="889"/>
      <c r="AQ103" s="889"/>
      <c r="AR103" s="889"/>
      <c r="AS103" s="889"/>
      <c r="AT103" s="889"/>
      <c r="AU103" s="889"/>
      <c r="AV103" s="889"/>
      <c r="AW103" s="889"/>
      <c r="AX103" s="889"/>
      <c r="AY103" s="889"/>
      <c r="AZ103" s="889"/>
    </row>
    <row r="104">
      <c r="A104" s="889"/>
      <c r="B104" s="889"/>
      <c r="C104" s="889"/>
      <c r="D104" s="889"/>
      <c r="E104" s="889"/>
      <c r="F104" s="889"/>
      <c r="G104" s="889"/>
      <c r="H104" s="889"/>
      <c r="I104" s="889"/>
      <c r="J104" s="889"/>
      <c r="K104" s="889"/>
      <c r="L104" s="889"/>
      <c r="M104" s="889"/>
      <c r="N104" s="944"/>
      <c r="O104" s="944"/>
      <c r="P104" s="944"/>
      <c r="Q104" s="944"/>
      <c r="R104" s="944"/>
      <c r="S104" s="889"/>
      <c r="T104" s="889"/>
      <c r="U104" s="889"/>
      <c r="V104" s="889"/>
      <c r="W104" s="889"/>
      <c r="X104" s="889"/>
      <c r="Y104" s="889"/>
      <c r="Z104" s="889"/>
      <c r="AA104" s="889"/>
      <c r="AB104" s="889"/>
      <c r="AC104" s="889"/>
      <c r="AD104" s="889"/>
      <c r="AE104" s="889"/>
      <c r="AF104" s="889"/>
      <c r="AG104" s="889"/>
      <c r="AH104" s="889"/>
      <c r="AI104" s="889"/>
      <c r="AJ104" s="889"/>
      <c r="AK104" s="889"/>
      <c r="AL104" s="889"/>
      <c r="AM104" s="889"/>
      <c r="AN104" s="889"/>
      <c r="AO104" s="889"/>
      <c r="AP104" s="889"/>
      <c r="AQ104" s="889"/>
      <c r="AR104" s="889"/>
      <c r="AS104" s="889"/>
      <c r="AT104" s="889"/>
      <c r="AU104" s="889"/>
      <c r="AV104" s="889"/>
      <c r="AW104" s="889"/>
      <c r="AX104" s="889"/>
      <c r="AY104" s="889"/>
      <c r="AZ104" s="889"/>
    </row>
    <row r="105">
      <c r="A105" s="889"/>
      <c r="B105" s="889"/>
      <c r="C105" s="889"/>
      <c r="D105" s="889"/>
      <c r="E105" s="889"/>
      <c r="F105" s="889"/>
      <c r="G105" s="889"/>
      <c r="H105" s="889"/>
      <c r="I105" s="889"/>
      <c r="J105" s="889"/>
      <c r="K105" s="889"/>
      <c r="L105" s="889"/>
      <c r="M105" s="889"/>
      <c r="N105" s="944"/>
      <c r="O105" s="944"/>
      <c r="P105" s="944"/>
      <c r="Q105" s="944"/>
      <c r="R105" s="944"/>
      <c r="S105" s="889"/>
      <c r="T105" s="889"/>
      <c r="U105" s="889"/>
      <c r="V105" s="889"/>
      <c r="W105" s="889"/>
      <c r="X105" s="889"/>
      <c r="Y105" s="889"/>
      <c r="Z105" s="889"/>
      <c r="AA105" s="889"/>
      <c r="AB105" s="889"/>
      <c r="AC105" s="889"/>
      <c r="AD105" s="889"/>
      <c r="AE105" s="889"/>
      <c r="AF105" s="889"/>
      <c r="AG105" s="889"/>
      <c r="AH105" s="889"/>
      <c r="AI105" s="889"/>
      <c r="AJ105" s="889"/>
      <c r="AK105" s="889"/>
      <c r="AL105" s="889"/>
      <c r="AM105" s="889"/>
      <c r="AN105" s="889"/>
      <c r="AO105" s="889"/>
      <c r="AP105" s="889"/>
      <c r="AQ105" s="889"/>
      <c r="AR105" s="889"/>
      <c r="AS105" s="889"/>
      <c r="AT105" s="889"/>
      <c r="AU105" s="889"/>
      <c r="AV105" s="889"/>
      <c r="AW105" s="889"/>
      <c r="AX105" s="889"/>
      <c r="AY105" s="889"/>
      <c r="AZ105" s="889"/>
    </row>
    <row r="106">
      <c r="A106" s="889"/>
      <c r="B106" s="889"/>
      <c r="C106" s="889"/>
      <c r="D106" s="889"/>
      <c r="E106" s="889"/>
      <c r="F106" s="889"/>
      <c r="G106" s="889"/>
      <c r="H106" s="889"/>
      <c r="I106" s="889"/>
      <c r="J106" s="889"/>
      <c r="K106" s="889"/>
      <c r="L106" s="889"/>
      <c r="M106" s="889"/>
      <c r="N106" s="944"/>
      <c r="O106" s="944"/>
      <c r="P106" s="944"/>
      <c r="Q106" s="944"/>
      <c r="R106" s="944"/>
      <c r="S106" s="889"/>
      <c r="T106" s="889"/>
      <c r="U106" s="889"/>
      <c r="V106" s="889"/>
      <c r="W106" s="889"/>
      <c r="X106" s="889"/>
      <c r="Y106" s="889"/>
      <c r="Z106" s="889"/>
      <c r="AA106" s="889"/>
      <c r="AB106" s="889"/>
      <c r="AC106" s="889"/>
      <c r="AD106" s="889"/>
      <c r="AE106" s="889"/>
      <c r="AF106" s="889"/>
      <c r="AG106" s="889"/>
      <c r="AH106" s="889"/>
      <c r="AI106" s="889"/>
      <c r="AJ106" s="889"/>
      <c r="AK106" s="889"/>
      <c r="AL106" s="889"/>
      <c r="AM106" s="889"/>
      <c r="AN106" s="889"/>
      <c r="AO106" s="889"/>
      <c r="AP106" s="889"/>
      <c r="AQ106" s="889"/>
      <c r="AR106" s="889"/>
      <c r="AS106" s="889"/>
      <c r="AT106" s="889"/>
      <c r="AU106" s="889"/>
      <c r="AV106" s="889"/>
      <c r="AW106" s="889"/>
      <c r="AX106" s="889"/>
      <c r="AY106" s="889"/>
      <c r="AZ106" s="889"/>
    </row>
    <row r="107">
      <c r="A107" s="889"/>
      <c r="B107" s="889"/>
      <c r="C107" s="889"/>
      <c r="D107" s="889"/>
      <c r="E107" s="889"/>
      <c r="F107" s="889"/>
      <c r="G107" s="889"/>
      <c r="H107" s="889"/>
      <c r="I107" s="889"/>
      <c r="J107" s="889"/>
      <c r="K107" s="889"/>
      <c r="L107" s="889"/>
      <c r="M107" s="889"/>
      <c r="N107" s="944"/>
      <c r="O107" s="944"/>
      <c r="P107" s="944"/>
      <c r="Q107" s="944"/>
      <c r="R107" s="944"/>
      <c r="S107" s="889"/>
      <c r="T107" s="889"/>
      <c r="U107" s="889"/>
      <c r="V107" s="889"/>
      <c r="W107" s="889"/>
      <c r="X107" s="889"/>
      <c r="Y107" s="889"/>
      <c r="Z107" s="889"/>
      <c r="AA107" s="889"/>
      <c r="AB107" s="889"/>
      <c r="AC107" s="889"/>
      <c r="AD107" s="889"/>
      <c r="AE107" s="889"/>
      <c r="AF107" s="889"/>
      <c r="AG107" s="889"/>
      <c r="AH107" s="889"/>
      <c r="AI107" s="889"/>
      <c r="AJ107" s="889"/>
      <c r="AK107" s="889"/>
      <c r="AL107" s="889"/>
      <c r="AM107" s="889"/>
      <c r="AN107" s="889"/>
      <c r="AO107" s="889"/>
      <c r="AP107" s="889"/>
      <c r="AQ107" s="889"/>
      <c r="AR107" s="889"/>
      <c r="AS107" s="889"/>
      <c r="AT107" s="889"/>
      <c r="AU107" s="889"/>
      <c r="AV107" s="889"/>
      <c r="AW107" s="889"/>
      <c r="AX107" s="889"/>
      <c r="AY107" s="889"/>
      <c r="AZ107" s="889"/>
    </row>
    <row r="108">
      <c r="A108" s="889"/>
      <c r="B108" s="889"/>
      <c r="C108" s="889"/>
      <c r="D108" s="889"/>
      <c r="E108" s="889"/>
      <c r="F108" s="889"/>
      <c r="G108" s="889"/>
      <c r="H108" s="889"/>
      <c r="I108" s="889"/>
      <c r="J108" s="889"/>
      <c r="K108" s="889"/>
      <c r="L108" s="889"/>
      <c r="M108" s="889"/>
      <c r="N108" s="944"/>
      <c r="O108" s="944"/>
      <c r="P108" s="944"/>
      <c r="Q108" s="944"/>
      <c r="R108" s="944"/>
      <c r="S108" s="889"/>
      <c r="T108" s="889"/>
      <c r="U108" s="889"/>
      <c r="V108" s="889"/>
      <c r="W108" s="889"/>
      <c r="X108" s="889"/>
      <c r="Y108" s="889"/>
      <c r="Z108" s="889"/>
      <c r="AA108" s="889"/>
      <c r="AB108" s="889"/>
      <c r="AC108" s="889"/>
      <c r="AD108" s="889"/>
      <c r="AE108" s="889"/>
      <c r="AF108" s="889"/>
      <c r="AG108" s="889"/>
      <c r="AH108" s="889"/>
      <c r="AI108" s="889"/>
      <c r="AJ108" s="889"/>
      <c r="AK108" s="889"/>
      <c r="AL108" s="889"/>
      <c r="AM108" s="889"/>
      <c r="AN108" s="889"/>
      <c r="AO108" s="889"/>
      <c r="AP108" s="889"/>
      <c r="AQ108" s="889"/>
      <c r="AR108" s="889"/>
      <c r="AS108" s="889"/>
      <c r="AT108" s="889"/>
      <c r="AU108" s="889"/>
      <c r="AV108" s="889"/>
      <c r="AW108" s="889"/>
      <c r="AX108" s="889"/>
      <c r="AY108" s="889"/>
      <c r="AZ108" s="889"/>
    </row>
    <row r="109">
      <c r="A109" s="889"/>
      <c r="B109" s="889"/>
      <c r="C109" s="889"/>
      <c r="D109" s="889"/>
      <c r="E109" s="889"/>
      <c r="F109" s="889"/>
      <c r="G109" s="889"/>
      <c r="H109" s="889"/>
      <c r="I109" s="889"/>
      <c r="J109" s="889"/>
      <c r="K109" s="889"/>
      <c r="L109" s="889"/>
      <c r="M109" s="889"/>
      <c r="N109" s="944"/>
      <c r="O109" s="944"/>
      <c r="P109" s="944"/>
      <c r="Q109" s="944"/>
      <c r="R109" s="944"/>
      <c r="S109" s="889"/>
      <c r="T109" s="889"/>
      <c r="U109" s="889"/>
      <c r="V109" s="889"/>
      <c r="W109" s="889"/>
      <c r="X109" s="889"/>
      <c r="Y109" s="889"/>
      <c r="Z109" s="889"/>
      <c r="AA109" s="889"/>
      <c r="AB109" s="889"/>
      <c r="AC109" s="889"/>
      <c r="AD109" s="889"/>
      <c r="AE109" s="889"/>
      <c r="AF109" s="889"/>
      <c r="AG109" s="889"/>
      <c r="AH109" s="889"/>
      <c r="AI109" s="889"/>
      <c r="AJ109" s="889"/>
      <c r="AK109" s="889"/>
      <c r="AL109" s="889"/>
      <c r="AM109" s="889"/>
      <c r="AN109" s="889"/>
      <c r="AO109" s="889"/>
      <c r="AP109" s="889"/>
      <c r="AQ109" s="889"/>
      <c r="AR109" s="889"/>
      <c r="AS109" s="889"/>
      <c r="AT109" s="889"/>
      <c r="AU109" s="889"/>
      <c r="AV109" s="889"/>
      <c r="AW109" s="889"/>
      <c r="AX109" s="889"/>
      <c r="AY109" s="889"/>
      <c r="AZ109" s="889"/>
    </row>
    <row r="110">
      <c r="A110" s="889"/>
      <c r="B110" s="889"/>
      <c r="C110" s="889"/>
      <c r="D110" s="889"/>
      <c r="E110" s="889"/>
      <c r="F110" s="889"/>
      <c r="G110" s="889"/>
      <c r="H110" s="889"/>
      <c r="I110" s="889"/>
      <c r="J110" s="889"/>
      <c r="K110" s="889"/>
      <c r="L110" s="889"/>
      <c r="M110" s="889"/>
      <c r="N110" s="944"/>
      <c r="O110" s="944"/>
      <c r="P110" s="944"/>
      <c r="Q110" s="944"/>
      <c r="R110" s="944"/>
      <c r="S110" s="889"/>
      <c r="T110" s="889"/>
      <c r="U110" s="889"/>
      <c r="V110" s="889"/>
      <c r="W110" s="889"/>
      <c r="X110" s="889"/>
      <c r="Y110" s="889"/>
      <c r="Z110" s="889"/>
      <c r="AA110" s="889"/>
      <c r="AB110" s="889"/>
      <c r="AC110" s="889"/>
      <c r="AD110" s="889"/>
      <c r="AE110" s="889"/>
      <c r="AF110" s="889"/>
      <c r="AG110" s="889"/>
      <c r="AH110" s="889"/>
      <c r="AI110" s="889"/>
      <c r="AJ110" s="889"/>
      <c r="AK110" s="889"/>
      <c r="AL110" s="889"/>
      <c r="AM110" s="889"/>
      <c r="AN110" s="889"/>
      <c r="AO110" s="889"/>
      <c r="AP110" s="889"/>
      <c r="AQ110" s="889"/>
      <c r="AR110" s="889"/>
      <c r="AS110" s="889"/>
      <c r="AT110" s="889"/>
      <c r="AU110" s="889"/>
      <c r="AV110" s="889"/>
      <c r="AW110" s="889"/>
      <c r="AX110" s="889"/>
      <c r="AY110" s="889"/>
      <c r="AZ110" s="889"/>
    </row>
    <row r="111">
      <c r="A111" s="889"/>
      <c r="B111" s="889"/>
      <c r="C111" s="889"/>
      <c r="D111" s="889"/>
      <c r="E111" s="889"/>
      <c r="F111" s="889"/>
      <c r="G111" s="889"/>
      <c r="H111" s="889"/>
      <c r="I111" s="889"/>
      <c r="J111" s="889"/>
      <c r="K111" s="889"/>
      <c r="L111" s="889"/>
      <c r="M111" s="889"/>
      <c r="N111" s="944"/>
      <c r="O111" s="944"/>
      <c r="P111" s="944"/>
      <c r="Q111" s="944"/>
      <c r="R111" s="944"/>
      <c r="S111" s="889"/>
      <c r="T111" s="889"/>
      <c r="U111" s="889"/>
      <c r="V111" s="889"/>
      <c r="W111" s="889"/>
      <c r="X111" s="889"/>
      <c r="Y111" s="889"/>
      <c r="Z111" s="889"/>
      <c r="AA111" s="889"/>
      <c r="AB111" s="889"/>
      <c r="AC111" s="889"/>
      <c r="AD111" s="889"/>
      <c r="AE111" s="889"/>
      <c r="AF111" s="889"/>
      <c r="AG111" s="889"/>
      <c r="AH111" s="889"/>
      <c r="AI111" s="889"/>
      <c r="AJ111" s="889"/>
      <c r="AK111" s="889"/>
      <c r="AL111" s="889"/>
      <c r="AM111" s="889"/>
      <c r="AN111" s="889"/>
      <c r="AO111" s="889"/>
      <c r="AP111" s="889"/>
      <c r="AQ111" s="889"/>
      <c r="AR111" s="889"/>
      <c r="AS111" s="889"/>
      <c r="AT111" s="889"/>
      <c r="AU111" s="889"/>
      <c r="AV111" s="889"/>
      <c r="AW111" s="889"/>
      <c r="AX111" s="889"/>
      <c r="AY111" s="889"/>
      <c r="AZ111" s="889"/>
    </row>
    <row r="112">
      <c r="A112" s="889"/>
      <c r="B112" s="889"/>
      <c r="C112" s="889"/>
      <c r="D112" s="889"/>
      <c r="E112" s="889"/>
      <c r="F112" s="889"/>
      <c r="G112" s="889"/>
      <c r="H112" s="889"/>
      <c r="I112" s="889"/>
      <c r="J112" s="889"/>
      <c r="K112" s="889"/>
      <c r="L112" s="889"/>
      <c r="M112" s="889"/>
      <c r="N112" s="944"/>
      <c r="O112" s="944"/>
      <c r="P112" s="944"/>
      <c r="Q112" s="944"/>
      <c r="R112" s="944"/>
      <c r="S112" s="889"/>
      <c r="T112" s="889"/>
      <c r="U112" s="889"/>
      <c r="V112" s="889"/>
      <c r="W112" s="889"/>
      <c r="X112" s="889"/>
      <c r="Y112" s="889"/>
      <c r="Z112" s="889"/>
      <c r="AA112" s="889"/>
      <c r="AB112" s="889"/>
      <c r="AC112" s="889"/>
      <c r="AD112" s="889"/>
      <c r="AE112" s="889"/>
      <c r="AF112" s="889"/>
      <c r="AG112" s="889"/>
      <c r="AH112" s="889"/>
      <c r="AI112" s="889"/>
      <c r="AJ112" s="889"/>
      <c r="AK112" s="889"/>
      <c r="AL112" s="889"/>
      <c r="AM112" s="889"/>
      <c r="AN112" s="889"/>
      <c r="AO112" s="889"/>
      <c r="AP112" s="889"/>
      <c r="AQ112" s="889"/>
      <c r="AR112" s="889"/>
      <c r="AS112" s="889"/>
      <c r="AT112" s="889"/>
      <c r="AU112" s="889"/>
      <c r="AV112" s="889"/>
      <c r="AW112" s="889"/>
      <c r="AX112" s="889"/>
      <c r="AY112" s="889"/>
      <c r="AZ112" s="889"/>
    </row>
    <row r="113">
      <c r="A113" s="889"/>
      <c r="B113" s="889"/>
      <c r="C113" s="889"/>
      <c r="D113" s="889"/>
      <c r="E113" s="889"/>
      <c r="F113" s="889"/>
      <c r="G113" s="889"/>
      <c r="H113" s="889"/>
      <c r="I113" s="889"/>
      <c r="J113" s="889"/>
      <c r="K113" s="889"/>
      <c r="L113" s="889"/>
      <c r="M113" s="889"/>
      <c r="N113" s="944"/>
      <c r="O113" s="944"/>
      <c r="P113" s="944"/>
      <c r="Q113" s="944"/>
      <c r="R113" s="944"/>
      <c r="S113" s="889"/>
      <c r="T113" s="889"/>
      <c r="U113" s="889"/>
      <c r="V113" s="889"/>
      <c r="W113" s="889"/>
      <c r="X113" s="889"/>
      <c r="Y113" s="889"/>
      <c r="Z113" s="889"/>
      <c r="AA113" s="889"/>
      <c r="AB113" s="889"/>
      <c r="AC113" s="889"/>
      <c r="AD113" s="889"/>
      <c r="AE113" s="889"/>
      <c r="AF113" s="889"/>
      <c r="AG113" s="889"/>
      <c r="AH113" s="889"/>
      <c r="AI113" s="889"/>
      <c r="AJ113" s="889"/>
      <c r="AK113" s="889"/>
      <c r="AL113" s="889"/>
      <c r="AM113" s="889"/>
      <c r="AN113" s="889"/>
      <c r="AO113" s="889"/>
      <c r="AP113" s="889"/>
      <c r="AQ113" s="889"/>
      <c r="AR113" s="889"/>
      <c r="AS113" s="889"/>
      <c r="AT113" s="889"/>
      <c r="AU113" s="889"/>
      <c r="AV113" s="889"/>
      <c r="AW113" s="889"/>
      <c r="AX113" s="889"/>
      <c r="AY113" s="889"/>
      <c r="AZ113" s="889"/>
    </row>
    <row r="114">
      <c r="A114" s="889"/>
      <c r="B114" s="889"/>
      <c r="C114" s="889"/>
      <c r="D114" s="889"/>
      <c r="E114" s="889"/>
      <c r="F114" s="889"/>
      <c r="G114" s="889"/>
      <c r="H114" s="889"/>
      <c r="I114" s="889"/>
      <c r="J114" s="889"/>
      <c r="K114" s="889"/>
      <c r="L114" s="889"/>
      <c r="M114" s="889"/>
      <c r="N114" s="944"/>
      <c r="O114" s="944"/>
      <c r="P114" s="944"/>
      <c r="Q114" s="944"/>
      <c r="R114" s="944"/>
      <c r="S114" s="889"/>
      <c r="T114" s="889"/>
      <c r="U114" s="889"/>
      <c r="V114" s="889"/>
      <c r="W114" s="889"/>
      <c r="X114" s="889"/>
      <c r="Y114" s="889"/>
      <c r="Z114" s="889"/>
      <c r="AA114" s="889"/>
      <c r="AB114" s="889"/>
      <c r="AC114" s="889"/>
      <c r="AD114" s="889"/>
      <c r="AE114" s="889"/>
      <c r="AF114" s="889"/>
      <c r="AG114" s="889"/>
      <c r="AH114" s="889"/>
      <c r="AI114" s="889"/>
      <c r="AJ114" s="889"/>
      <c r="AK114" s="889"/>
      <c r="AL114" s="889"/>
      <c r="AM114" s="889"/>
      <c r="AN114" s="889"/>
      <c r="AO114" s="889"/>
      <c r="AP114" s="889"/>
      <c r="AQ114" s="889"/>
      <c r="AR114" s="889"/>
      <c r="AS114" s="889"/>
      <c r="AT114" s="889"/>
      <c r="AU114" s="889"/>
      <c r="AV114" s="889"/>
      <c r="AW114" s="889"/>
      <c r="AX114" s="889"/>
      <c r="AY114" s="889"/>
      <c r="AZ114" s="889"/>
    </row>
    <row r="115">
      <c r="A115" s="889"/>
      <c r="B115" s="889"/>
      <c r="C115" s="889"/>
      <c r="D115" s="889"/>
      <c r="E115" s="889"/>
      <c r="F115" s="889"/>
      <c r="G115" s="889"/>
      <c r="H115" s="889"/>
      <c r="I115" s="889"/>
      <c r="J115" s="889"/>
      <c r="K115" s="889"/>
      <c r="L115" s="889"/>
      <c r="M115" s="889"/>
      <c r="N115" s="944"/>
      <c r="O115" s="944"/>
      <c r="P115" s="944"/>
      <c r="Q115" s="944"/>
      <c r="R115" s="944"/>
      <c r="S115" s="889"/>
      <c r="T115" s="889"/>
      <c r="U115" s="889"/>
      <c r="V115" s="889"/>
      <c r="W115" s="889"/>
      <c r="X115" s="889"/>
      <c r="Y115" s="889"/>
      <c r="Z115" s="889"/>
      <c r="AA115" s="889"/>
      <c r="AB115" s="889"/>
      <c r="AC115" s="889"/>
      <c r="AD115" s="889"/>
      <c r="AE115" s="889"/>
      <c r="AF115" s="889"/>
      <c r="AG115" s="889"/>
      <c r="AH115" s="889"/>
      <c r="AI115" s="889"/>
      <c r="AJ115" s="889"/>
      <c r="AK115" s="889"/>
      <c r="AL115" s="889"/>
      <c r="AM115" s="889"/>
      <c r="AN115" s="889"/>
      <c r="AO115" s="889"/>
      <c r="AP115" s="889"/>
      <c r="AQ115" s="889"/>
      <c r="AR115" s="889"/>
      <c r="AS115" s="889"/>
      <c r="AT115" s="889"/>
      <c r="AU115" s="889"/>
      <c r="AV115" s="889"/>
      <c r="AW115" s="889"/>
      <c r="AX115" s="889"/>
      <c r="AY115" s="889"/>
      <c r="AZ115" s="889"/>
    </row>
    <row r="116">
      <c r="A116" s="889"/>
      <c r="B116" s="889"/>
      <c r="C116" s="889"/>
      <c r="D116" s="889"/>
      <c r="E116" s="889"/>
      <c r="F116" s="889"/>
      <c r="G116" s="889"/>
      <c r="H116" s="889"/>
      <c r="I116" s="889"/>
      <c r="J116" s="889"/>
      <c r="K116" s="889"/>
      <c r="L116" s="889"/>
      <c r="M116" s="889"/>
      <c r="N116" s="944"/>
      <c r="O116" s="944"/>
      <c r="P116" s="944"/>
      <c r="Q116" s="944"/>
      <c r="R116" s="944"/>
      <c r="S116" s="889"/>
      <c r="T116" s="889"/>
      <c r="U116" s="889"/>
      <c r="V116" s="889"/>
      <c r="W116" s="889"/>
      <c r="X116" s="889"/>
      <c r="Y116" s="889"/>
      <c r="Z116" s="889"/>
      <c r="AA116" s="889"/>
      <c r="AB116" s="889"/>
      <c r="AC116" s="889"/>
      <c r="AD116" s="889"/>
      <c r="AE116" s="889"/>
      <c r="AF116" s="889"/>
      <c r="AG116" s="889"/>
      <c r="AH116" s="889"/>
      <c r="AI116" s="889"/>
      <c r="AJ116" s="889"/>
      <c r="AK116" s="889"/>
      <c r="AL116" s="889"/>
      <c r="AM116" s="889"/>
      <c r="AN116" s="889"/>
      <c r="AO116" s="889"/>
      <c r="AP116" s="889"/>
      <c r="AQ116" s="889"/>
      <c r="AR116" s="889"/>
      <c r="AS116" s="889"/>
      <c r="AT116" s="889"/>
      <c r="AU116" s="889"/>
      <c r="AV116" s="889"/>
      <c r="AW116" s="889"/>
      <c r="AX116" s="889"/>
      <c r="AY116" s="889"/>
      <c r="AZ116" s="889"/>
    </row>
    <row r="117">
      <c r="A117" s="889"/>
      <c r="B117" s="889"/>
      <c r="C117" s="889"/>
      <c r="D117" s="889"/>
      <c r="E117" s="889"/>
      <c r="F117" s="889"/>
      <c r="G117" s="889"/>
      <c r="H117" s="889"/>
      <c r="I117" s="889"/>
      <c r="J117" s="889"/>
      <c r="K117" s="889"/>
      <c r="L117" s="889"/>
      <c r="M117" s="889"/>
      <c r="N117" s="944"/>
      <c r="O117" s="944"/>
      <c r="P117" s="944"/>
      <c r="Q117" s="944"/>
      <c r="R117" s="944"/>
      <c r="S117" s="889"/>
      <c r="T117" s="889"/>
      <c r="U117" s="889"/>
      <c r="V117" s="889"/>
      <c r="W117" s="889"/>
      <c r="X117" s="889"/>
      <c r="Y117" s="889"/>
      <c r="Z117" s="889"/>
      <c r="AA117" s="889"/>
      <c r="AB117" s="889"/>
      <c r="AC117" s="889"/>
      <c r="AD117" s="889"/>
      <c r="AE117" s="889"/>
      <c r="AF117" s="889"/>
      <c r="AG117" s="889"/>
      <c r="AH117" s="889"/>
      <c r="AI117" s="889"/>
      <c r="AJ117" s="889"/>
      <c r="AK117" s="889"/>
      <c r="AL117" s="889"/>
      <c r="AM117" s="889"/>
      <c r="AN117" s="889"/>
      <c r="AO117" s="889"/>
      <c r="AP117" s="889"/>
      <c r="AQ117" s="889"/>
      <c r="AR117" s="889"/>
      <c r="AS117" s="889"/>
      <c r="AT117" s="889"/>
      <c r="AU117" s="889"/>
      <c r="AV117" s="889"/>
      <c r="AW117" s="889"/>
      <c r="AX117" s="889"/>
      <c r="AY117" s="889"/>
      <c r="AZ117" s="889"/>
    </row>
    <row r="118">
      <c r="A118" s="889"/>
      <c r="B118" s="889"/>
      <c r="C118" s="889"/>
      <c r="D118" s="889"/>
      <c r="E118" s="889"/>
      <c r="F118" s="889"/>
      <c r="G118" s="889"/>
      <c r="H118" s="889"/>
      <c r="I118" s="889"/>
      <c r="J118" s="889"/>
      <c r="K118" s="889"/>
      <c r="L118" s="889"/>
      <c r="M118" s="889"/>
      <c r="N118" s="944"/>
      <c r="O118" s="944"/>
      <c r="P118" s="944"/>
      <c r="Q118" s="944"/>
      <c r="R118" s="944"/>
      <c r="S118" s="889"/>
      <c r="T118" s="889"/>
      <c r="U118" s="889"/>
      <c r="V118" s="889"/>
      <c r="W118" s="889"/>
      <c r="X118" s="889"/>
      <c r="Y118" s="889"/>
      <c r="Z118" s="889"/>
      <c r="AA118" s="889"/>
      <c r="AB118" s="889"/>
      <c r="AC118" s="889"/>
      <c r="AD118" s="889"/>
      <c r="AE118" s="889"/>
      <c r="AF118" s="889"/>
      <c r="AG118" s="889"/>
      <c r="AH118" s="889"/>
      <c r="AI118" s="889"/>
      <c r="AJ118" s="889"/>
      <c r="AK118" s="889"/>
      <c r="AL118" s="889"/>
      <c r="AM118" s="889"/>
      <c r="AN118" s="889"/>
      <c r="AO118" s="889"/>
      <c r="AP118" s="889"/>
      <c r="AQ118" s="889"/>
      <c r="AR118" s="889"/>
      <c r="AS118" s="889"/>
      <c r="AT118" s="889"/>
      <c r="AU118" s="889"/>
      <c r="AV118" s="889"/>
      <c r="AW118" s="889"/>
      <c r="AX118" s="889"/>
      <c r="AY118" s="889"/>
      <c r="AZ118" s="889"/>
    </row>
    <row r="119">
      <c r="A119" s="889"/>
      <c r="B119" s="889"/>
      <c r="C119" s="889"/>
      <c r="D119" s="889"/>
      <c r="E119" s="889"/>
      <c r="F119" s="889"/>
      <c r="G119" s="889"/>
      <c r="H119" s="889"/>
      <c r="I119" s="889"/>
      <c r="J119" s="889"/>
      <c r="K119" s="889"/>
      <c r="L119" s="889"/>
      <c r="M119" s="889"/>
      <c r="N119" s="944"/>
      <c r="O119" s="944"/>
      <c r="P119" s="944"/>
      <c r="Q119" s="944"/>
      <c r="R119" s="944"/>
      <c r="S119" s="889"/>
      <c r="T119" s="889"/>
      <c r="U119" s="889"/>
      <c r="V119" s="889"/>
      <c r="W119" s="889"/>
      <c r="X119" s="889"/>
      <c r="Y119" s="889"/>
      <c r="Z119" s="889"/>
      <c r="AA119" s="889"/>
      <c r="AB119" s="889"/>
      <c r="AC119" s="889"/>
      <c r="AD119" s="889"/>
      <c r="AE119" s="889"/>
      <c r="AF119" s="889"/>
      <c r="AG119" s="889"/>
      <c r="AH119" s="889"/>
      <c r="AI119" s="889"/>
      <c r="AJ119" s="889"/>
      <c r="AK119" s="889"/>
      <c r="AL119" s="889"/>
      <c r="AM119" s="889"/>
      <c r="AN119" s="889"/>
      <c r="AO119" s="889"/>
      <c r="AP119" s="889"/>
      <c r="AQ119" s="889"/>
      <c r="AR119" s="889"/>
      <c r="AS119" s="889"/>
      <c r="AT119" s="889"/>
      <c r="AU119" s="889"/>
      <c r="AV119" s="889"/>
      <c r="AW119" s="889"/>
      <c r="AX119" s="889"/>
      <c r="AY119" s="889"/>
      <c r="AZ119" s="889"/>
    </row>
    <row r="120">
      <c r="A120" s="889"/>
      <c r="B120" s="889"/>
      <c r="C120" s="889"/>
      <c r="D120" s="889"/>
      <c r="E120" s="889"/>
      <c r="F120" s="889"/>
      <c r="G120" s="889"/>
      <c r="H120" s="889"/>
      <c r="I120" s="889"/>
      <c r="J120" s="889"/>
      <c r="K120" s="889"/>
      <c r="L120" s="889"/>
      <c r="M120" s="889"/>
      <c r="N120" s="944"/>
      <c r="O120" s="944"/>
      <c r="P120" s="944"/>
      <c r="Q120" s="944"/>
      <c r="R120" s="944"/>
      <c r="S120" s="889"/>
      <c r="T120" s="889"/>
      <c r="U120" s="889"/>
      <c r="V120" s="889"/>
      <c r="W120" s="889"/>
      <c r="X120" s="889"/>
      <c r="Y120" s="889"/>
      <c r="Z120" s="889"/>
      <c r="AA120" s="889"/>
      <c r="AB120" s="889"/>
      <c r="AC120" s="889"/>
      <c r="AD120" s="889"/>
      <c r="AE120" s="889"/>
      <c r="AF120" s="889"/>
      <c r="AG120" s="889"/>
      <c r="AH120" s="889"/>
      <c r="AI120" s="889"/>
      <c r="AJ120" s="889"/>
      <c r="AK120" s="889"/>
      <c r="AL120" s="889"/>
      <c r="AM120" s="889"/>
      <c r="AN120" s="889"/>
      <c r="AO120" s="889"/>
      <c r="AP120" s="889"/>
      <c r="AQ120" s="889"/>
      <c r="AR120" s="889"/>
      <c r="AS120" s="889"/>
      <c r="AT120" s="889"/>
      <c r="AU120" s="889"/>
      <c r="AV120" s="889"/>
      <c r="AW120" s="889"/>
      <c r="AX120" s="889"/>
      <c r="AY120" s="889"/>
      <c r="AZ120" s="889"/>
    </row>
    <row r="121">
      <c r="A121" s="889"/>
      <c r="B121" s="889"/>
      <c r="C121" s="889"/>
      <c r="D121" s="889"/>
      <c r="E121" s="889"/>
      <c r="F121" s="889"/>
      <c r="G121" s="889"/>
      <c r="H121" s="889"/>
      <c r="I121" s="889"/>
      <c r="J121" s="889"/>
      <c r="K121" s="889"/>
      <c r="L121" s="889"/>
      <c r="M121" s="889"/>
      <c r="N121" s="944"/>
      <c r="O121" s="944"/>
      <c r="P121" s="944"/>
      <c r="Q121" s="944"/>
      <c r="R121" s="944"/>
      <c r="S121" s="889"/>
      <c r="T121" s="889"/>
      <c r="U121" s="889"/>
      <c r="V121" s="889"/>
      <c r="W121" s="889"/>
      <c r="X121" s="889"/>
      <c r="Y121" s="889"/>
      <c r="Z121" s="889"/>
      <c r="AA121" s="889"/>
      <c r="AB121" s="889"/>
      <c r="AC121" s="889"/>
      <c r="AD121" s="889"/>
      <c r="AE121" s="889"/>
      <c r="AF121" s="889"/>
      <c r="AG121" s="889"/>
      <c r="AH121" s="889"/>
      <c r="AI121" s="889"/>
      <c r="AJ121" s="889"/>
      <c r="AK121" s="889"/>
      <c r="AL121" s="889"/>
      <c r="AM121" s="889"/>
      <c r="AN121" s="889"/>
      <c r="AO121" s="889"/>
      <c r="AP121" s="889"/>
      <c r="AQ121" s="889"/>
      <c r="AR121" s="889"/>
      <c r="AS121" s="889"/>
      <c r="AT121" s="889"/>
      <c r="AU121" s="889"/>
      <c r="AV121" s="889"/>
      <c r="AW121" s="889"/>
      <c r="AX121" s="889"/>
      <c r="AY121" s="889"/>
      <c r="AZ121" s="889"/>
    </row>
    <row r="122">
      <c r="A122" s="889"/>
      <c r="B122" s="889"/>
      <c r="C122" s="889"/>
      <c r="D122" s="889"/>
      <c r="E122" s="889"/>
      <c r="F122" s="889"/>
      <c r="G122" s="889"/>
      <c r="H122" s="889"/>
      <c r="I122" s="889"/>
      <c r="J122" s="889"/>
      <c r="K122" s="889"/>
      <c r="L122" s="889"/>
      <c r="M122" s="889"/>
      <c r="N122" s="944"/>
      <c r="O122" s="944"/>
      <c r="P122" s="944"/>
      <c r="Q122" s="944"/>
      <c r="R122" s="944"/>
      <c r="S122" s="889"/>
      <c r="T122" s="889"/>
      <c r="U122" s="889"/>
      <c r="V122" s="889"/>
      <c r="W122" s="889"/>
      <c r="X122" s="889"/>
      <c r="Y122" s="889"/>
      <c r="Z122" s="889"/>
      <c r="AA122" s="889"/>
      <c r="AB122" s="889"/>
      <c r="AC122" s="889"/>
      <c r="AD122" s="889"/>
      <c r="AE122" s="889"/>
      <c r="AF122" s="889"/>
      <c r="AG122" s="889"/>
      <c r="AH122" s="889"/>
      <c r="AI122" s="889"/>
      <c r="AJ122" s="889"/>
      <c r="AK122" s="889"/>
      <c r="AL122" s="889"/>
      <c r="AM122" s="889"/>
      <c r="AN122" s="889"/>
      <c r="AO122" s="889"/>
      <c r="AP122" s="889"/>
      <c r="AQ122" s="889"/>
      <c r="AR122" s="889"/>
      <c r="AS122" s="889"/>
      <c r="AT122" s="889"/>
      <c r="AU122" s="889"/>
      <c r="AV122" s="889"/>
      <c r="AW122" s="889"/>
      <c r="AX122" s="889"/>
      <c r="AY122" s="889"/>
      <c r="AZ122" s="889"/>
    </row>
    <row r="123">
      <c r="A123" s="889"/>
      <c r="B123" s="889"/>
      <c r="C123" s="889"/>
      <c r="D123" s="889"/>
      <c r="E123" s="889"/>
      <c r="F123" s="889"/>
      <c r="G123" s="889"/>
      <c r="H123" s="889"/>
      <c r="I123" s="889"/>
      <c r="J123" s="889"/>
      <c r="K123" s="889"/>
      <c r="L123" s="889"/>
      <c r="M123" s="889"/>
      <c r="N123" s="944"/>
      <c r="O123" s="944"/>
      <c r="P123" s="944"/>
      <c r="Q123" s="944"/>
      <c r="R123" s="944"/>
      <c r="S123" s="889"/>
      <c r="T123" s="889"/>
      <c r="U123" s="889"/>
      <c r="V123" s="889"/>
      <c r="W123" s="889"/>
      <c r="X123" s="889"/>
      <c r="Y123" s="889"/>
      <c r="Z123" s="889"/>
      <c r="AA123" s="889"/>
      <c r="AB123" s="889"/>
      <c r="AC123" s="889"/>
      <c r="AD123" s="889"/>
      <c r="AE123" s="889"/>
      <c r="AF123" s="889"/>
      <c r="AG123" s="889"/>
      <c r="AH123" s="889"/>
      <c r="AI123" s="889"/>
      <c r="AJ123" s="889"/>
      <c r="AK123" s="889"/>
      <c r="AL123" s="889"/>
      <c r="AM123" s="889"/>
      <c r="AN123" s="889"/>
      <c r="AO123" s="889"/>
      <c r="AP123" s="889"/>
      <c r="AQ123" s="889"/>
      <c r="AR123" s="889"/>
      <c r="AS123" s="889"/>
      <c r="AT123" s="889"/>
      <c r="AU123" s="889"/>
      <c r="AV123" s="889"/>
      <c r="AW123" s="889"/>
      <c r="AX123" s="889"/>
      <c r="AY123" s="889"/>
      <c r="AZ123" s="889"/>
    </row>
    <row r="124">
      <c r="A124" s="889"/>
      <c r="B124" s="889"/>
      <c r="C124" s="889"/>
      <c r="D124" s="889"/>
      <c r="E124" s="889"/>
      <c r="F124" s="889"/>
      <c r="G124" s="889"/>
      <c r="H124" s="889"/>
      <c r="I124" s="889"/>
      <c r="J124" s="889"/>
      <c r="K124" s="889"/>
      <c r="L124" s="889"/>
      <c r="M124" s="889"/>
      <c r="N124" s="944"/>
      <c r="O124" s="944"/>
      <c r="P124" s="944"/>
      <c r="Q124" s="944"/>
      <c r="R124" s="944"/>
      <c r="S124" s="889"/>
      <c r="T124" s="889"/>
      <c r="U124" s="889"/>
      <c r="V124" s="889"/>
      <c r="W124" s="889"/>
      <c r="X124" s="889"/>
      <c r="Y124" s="889"/>
      <c r="Z124" s="889"/>
      <c r="AA124" s="889"/>
      <c r="AB124" s="889"/>
      <c r="AC124" s="889"/>
      <c r="AD124" s="889"/>
      <c r="AE124" s="889"/>
      <c r="AF124" s="889"/>
      <c r="AG124" s="889"/>
      <c r="AH124" s="889"/>
      <c r="AI124" s="889"/>
      <c r="AJ124" s="889"/>
      <c r="AK124" s="889"/>
      <c r="AL124" s="889"/>
      <c r="AM124" s="889"/>
      <c r="AN124" s="889"/>
      <c r="AO124" s="889"/>
      <c r="AP124" s="889"/>
      <c r="AQ124" s="889"/>
      <c r="AR124" s="889"/>
      <c r="AS124" s="889"/>
      <c r="AT124" s="889"/>
      <c r="AU124" s="889"/>
      <c r="AV124" s="889"/>
      <c r="AW124" s="889"/>
      <c r="AX124" s="889"/>
      <c r="AY124" s="889"/>
      <c r="AZ124" s="889"/>
    </row>
    <row r="125">
      <c r="A125" s="889"/>
      <c r="B125" s="889"/>
      <c r="C125" s="889"/>
      <c r="D125" s="889"/>
      <c r="E125" s="889"/>
      <c r="F125" s="889"/>
      <c r="G125" s="889"/>
      <c r="H125" s="889"/>
      <c r="I125" s="889"/>
      <c r="J125" s="889"/>
      <c r="K125" s="889"/>
      <c r="L125" s="889"/>
      <c r="M125" s="889"/>
      <c r="N125" s="944"/>
      <c r="O125" s="944"/>
      <c r="P125" s="944"/>
      <c r="Q125" s="944"/>
      <c r="R125" s="944"/>
      <c r="S125" s="889"/>
      <c r="T125" s="889"/>
      <c r="U125" s="889"/>
      <c r="V125" s="889"/>
      <c r="W125" s="889"/>
      <c r="X125" s="889"/>
      <c r="Y125" s="889"/>
      <c r="Z125" s="889"/>
      <c r="AA125" s="889"/>
      <c r="AB125" s="889"/>
      <c r="AC125" s="889"/>
      <c r="AD125" s="889"/>
      <c r="AE125" s="889"/>
      <c r="AF125" s="889"/>
      <c r="AG125" s="889"/>
      <c r="AH125" s="889"/>
      <c r="AI125" s="889"/>
      <c r="AJ125" s="889"/>
      <c r="AK125" s="889"/>
      <c r="AL125" s="889"/>
      <c r="AM125" s="889"/>
      <c r="AN125" s="889"/>
      <c r="AO125" s="889"/>
      <c r="AP125" s="889"/>
      <c r="AQ125" s="889"/>
      <c r="AR125" s="889"/>
      <c r="AS125" s="889"/>
      <c r="AT125" s="889"/>
      <c r="AU125" s="889"/>
      <c r="AV125" s="889"/>
      <c r="AW125" s="889"/>
      <c r="AX125" s="889"/>
      <c r="AY125" s="889"/>
      <c r="AZ125" s="889"/>
    </row>
    <row r="126">
      <c r="A126" s="889"/>
      <c r="B126" s="889"/>
      <c r="C126" s="889"/>
      <c r="D126" s="889"/>
      <c r="E126" s="889"/>
      <c r="F126" s="889"/>
      <c r="G126" s="889"/>
      <c r="H126" s="889"/>
      <c r="I126" s="889"/>
      <c r="J126" s="889"/>
      <c r="K126" s="889"/>
      <c r="L126" s="889"/>
      <c r="M126" s="889"/>
      <c r="N126" s="944"/>
      <c r="O126" s="944"/>
      <c r="P126" s="944"/>
      <c r="Q126" s="944"/>
      <c r="R126" s="944"/>
      <c r="S126" s="889"/>
      <c r="T126" s="889"/>
      <c r="U126" s="889"/>
      <c r="V126" s="889"/>
      <c r="W126" s="889"/>
      <c r="X126" s="889"/>
      <c r="Y126" s="889"/>
      <c r="Z126" s="889"/>
      <c r="AA126" s="889"/>
      <c r="AB126" s="889"/>
      <c r="AC126" s="889"/>
      <c r="AD126" s="889"/>
      <c r="AE126" s="889"/>
      <c r="AF126" s="889"/>
      <c r="AG126" s="889"/>
      <c r="AH126" s="889"/>
      <c r="AI126" s="889"/>
      <c r="AJ126" s="889"/>
      <c r="AK126" s="889"/>
      <c r="AL126" s="889"/>
      <c r="AM126" s="889"/>
      <c r="AN126" s="889"/>
      <c r="AO126" s="889"/>
      <c r="AP126" s="889"/>
      <c r="AQ126" s="889"/>
      <c r="AR126" s="889"/>
      <c r="AS126" s="889"/>
      <c r="AT126" s="889"/>
      <c r="AU126" s="889"/>
      <c r="AV126" s="889"/>
      <c r="AW126" s="889"/>
      <c r="AX126" s="889"/>
      <c r="AY126" s="889"/>
      <c r="AZ126" s="889"/>
    </row>
    <row r="127">
      <c r="A127" s="889"/>
      <c r="B127" s="889"/>
      <c r="C127" s="889"/>
      <c r="D127" s="889"/>
      <c r="E127" s="889"/>
      <c r="F127" s="889"/>
      <c r="G127" s="889"/>
      <c r="H127" s="889"/>
      <c r="I127" s="889"/>
      <c r="J127" s="889"/>
      <c r="K127" s="889"/>
      <c r="L127" s="889"/>
      <c r="M127" s="889"/>
      <c r="N127" s="944"/>
      <c r="O127" s="944"/>
      <c r="P127" s="944"/>
      <c r="Q127" s="944"/>
      <c r="R127" s="944"/>
      <c r="S127" s="889"/>
      <c r="T127" s="889"/>
      <c r="U127" s="889"/>
      <c r="V127" s="889"/>
      <c r="W127" s="889"/>
      <c r="X127" s="889"/>
      <c r="Y127" s="889"/>
      <c r="Z127" s="889"/>
      <c r="AA127" s="889"/>
      <c r="AB127" s="889"/>
      <c r="AC127" s="889"/>
      <c r="AD127" s="889"/>
      <c r="AE127" s="889"/>
      <c r="AF127" s="889"/>
      <c r="AG127" s="889"/>
      <c r="AH127" s="889"/>
      <c r="AI127" s="889"/>
      <c r="AJ127" s="889"/>
      <c r="AK127" s="889"/>
      <c r="AL127" s="889"/>
      <c r="AM127" s="889"/>
      <c r="AN127" s="889"/>
      <c r="AO127" s="889"/>
      <c r="AP127" s="889"/>
      <c r="AQ127" s="889"/>
      <c r="AR127" s="889"/>
      <c r="AS127" s="889"/>
      <c r="AT127" s="889"/>
      <c r="AU127" s="889"/>
      <c r="AV127" s="889"/>
      <c r="AW127" s="889"/>
      <c r="AX127" s="889"/>
      <c r="AY127" s="889"/>
      <c r="AZ127" s="889"/>
    </row>
    <row r="128">
      <c r="A128" s="889"/>
      <c r="B128" s="889"/>
      <c r="C128" s="889"/>
      <c r="D128" s="889"/>
      <c r="E128" s="889"/>
      <c r="F128" s="889"/>
      <c r="G128" s="889"/>
      <c r="H128" s="889"/>
      <c r="I128" s="889"/>
      <c r="J128" s="889"/>
      <c r="K128" s="889"/>
      <c r="L128" s="889"/>
      <c r="M128" s="889"/>
      <c r="N128" s="944"/>
      <c r="O128" s="944"/>
      <c r="P128" s="944"/>
      <c r="Q128" s="944"/>
      <c r="R128" s="944"/>
      <c r="S128" s="889"/>
      <c r="T128" s="889"/>
      <c r="U128" s="889"/>
      <c r="V128" s="889"/>
      <c r="W128" s="889"/>
      <c r="X128" s="889"/>
      <c r="Y128" s="889"/>
      <c r="Z128" s="889"/>
      <c r="AA128" s="889"/>
      <c r="AB128" s="889"/>
      <c r="AC128" s="889"/>
      <c r="AD128" s="889"/>
      <c r="AE128" s="889"/>
      <c r="AF128" s="889"/>
      <c r="AG128" s="889"/>
      <c r="AH128" s="889"/>
      <c r="AI128" s="889"/>
      <c r="AJ128" s="889"/>
      <c r="AK128" s="889"/>
      <c r="AL128" s="889"/>
      <c r="AM128" s="889"/>
      <c r="AN128" s="889"/>
      <c r="AO128" s="889"/>
      <c r="AP128" s="889"/>
      <c r="AQ128" s="889"/>
      <c r="AR128" s="889"/>
      <c r="AS128" s="889"/>
      <c r="AT128" s="889"/>
      <c r="AU128" s="889"/>
      <c r="AV128" s="889"/>
      <c r="AW128" s="889"/>
      <c r="AX128" s="889"/>
      <c r="AY128" s="889"/>
      <c r="AZ128" s="889"/>
    </row>
    <row r="129">
      <c r="A129" s="889"/>
      <c r="B129" s="889"/>
      <c r="C129" s="889"/>
      <c r="D129" s="889"/>
      <c r="E129" s="889"/>
      <c r="F129" s="889"/>
      <c r="G129" s="889"/>
      <c r="H129" s="889"/>
      <c r="I129" s="889"/>
      <c r="J129" s="889"/>
      <c r="K129" s="889"/>
      <c r="L129" s="889"/>
      <c r="M129" s="889"/>
      <c r="N129" s="944"/>
      <c r="O129" s="944"/>
      <c r="P129" s="944"/>
      <c r="Q129" s="944"/>
      <c r="R129" s="944"/>
      <c r="S129" s="889"/>
      <c r="T129" s="889"/>
      <c r="U129" s="889"/>
      <c r="V129" s="889"/>
      <c r="W129" s="889"/>
      <c r="X129" s="889"/>
      <c r="Y129" s="889"/>
      <c r="Z129" s="889"/>
      <c r="AA129" s="889"/>
      <c r="AB129" s="889"/>
      <c r="AC129" s="889"/>
      <c r="AD129" s="889"/>
      <c r="AE129" s="889"/>
      <c r="AF129" s="889"/>
      <c r="AG129" s="889"/>
      <c r="AH129" s="889"/>
      <c r="AI129" s="889"/>
      <c r="AJ129" s="889"/>
      <c r="AK129" s="889"/>
      <c r="AL129" s="889"/>
      <c r="AM129" s="889"/>
      <c r="AN129" s="889"/>
      <c r="AO129" s="889"/>
      <c r="AP129" s="889"/>
      <c r="AQ129" s="889"/>
      <c r="AR129" s="889"/>
      <c r="AS129" s="889"/>
      <c r="AT129" s="889"/>
      <c r="AU129" s="889"/>
      <c r="AV129" s="889"/>
      <c r="AW129" s="889"/>
      <c r="AX129" s="889"/>
      <c r="AY129" s="889"/>
      <c r="AZ129" s="889"/>
    </row>
    <row r="130">
      <c r="A130" s="889"/>
      <c r="B130" s="889"/>
      <c r="C130" s="889"/>
      <c r="D130" s="889"/>
      <c r="E130" s="889"/>
      <c r="F130" s="889"/>
      <c r="G130" s="889"/>
      <c r="H130" s="889"/>
      <c r="I130" s="889"/>
      <c r="J130" s="889"/>
      <c r="K130" s="889"/>
      <c r="L130" s="889"/>
      <c r="M130" s="889"/>
      <c r="N130" s="944"/>
      <c r="O130" s="944"/>
      <c r="P130" s="944"/>
      <c r="Q130" s="944"/>
      <c r="R130" s="944"/>
      <c r="S130" s="889"/>
      <c r="T130" s="889"/>
      <c r="U130" s="889"/>
      <c r="V130" s="889"/>
      <c r="W130" s="889"/>
      <c r="X130" s="889"/>
      <c r="Y130" s="889"/>
      <c r="Z130" s="889"/>
      <c r="AA130" s="889"/>
      <c r="AB130" s="889"/>
      <c r="AC130" s="889"/>
      <c r="AD130" s="889"/>
      <c r="AE130" s="889"/>
      <c r="AF130" s="889"/>
      <c r="AG130" s="889"/>
      <c r="AH130" s="889"/>
      <c r="AI130" s="889"/>
      <c r="AJ130" s="889"/>
      <c r="AK130" s="889"/>
      <c r="AL130" s="889"/>
      <c r="AM130" s="889"/>
      <c r="AN130" s="889"/>
      <c r="AO130" s="889"/>
      <c r="AP130" s="889"/>
      <c r="AQ130" s="889"/>
      <c r="AR130" s="889"/>
      <c r="AS130" s="889"/>
      <c r="AT130" s="889"/>
      <c r="AU130" s="889"/>
      <c r="AV130" s="889"/>
      <c r="AW130" s="889"/>
      <c r="AX130" s="889"/>
      <c r="AY130" s="889"/>
      <c r="AZ130" s="889"/>
    </row>
    <row r="131">
      <c r="A131" s="889"/>
      <c r="B131" s="889"/>
      <c r="C131" s="889"/>
      <c r="D131" s="889"/>
      <c r="E131" s="889"/>
      <c r="F131" s="889"/>
      <c r="G131" s="889"/>
      <c r="H131" s="889"/>
      <c r="I131" s="889"/>
      <c r="J131" s="889"/>
      <c r="K131" s="889"/>
      <c r="L131" s="889"/>
      <c r="M131" s="889"/>
      <c r="N131" s="944"/>
      <c r="O131" s="944"/>
      <c r="P131" s="944"/>
      <c r="Q131" s="944"/>
      <c r="R131" s="944"/>
      <c r="S131" s="889"/>
      <c r="T131" s="889"/>
      <c r="U131" s="889"/>
      <c r="V131" s="889"/>
      <c r="W131" s="889"/>
      <c r="X131" s="889"/>
      <c r="Y131" s="889"/>
      <c r="Z131" s="889"/>
      <c r="AA131" s="889"/>
      <c r="AB131" s="889"/>
      <c r="AC131" s="889"/>
      <c r="AD131" s="889"/>
      <c r="AE131" s="889"/>
      <c r="AF131" s="889"/>
      <c r="AG131" s="889"/>
      <c r="AH131" s="889"/>
      <c r="AI131" s="889"/>
      <c r="AJ131" s="889"/>
      <c r="AK131" s="889"/>
      <c r="AL131" s="889"/>
      <c r="AM131" s="889"/>
      <c r="AN131" s="889"/>
      <c r="AO131" s="889"/>
      <c r="AP131" s="889"/>
      <c r="AQ131" s="889"/>
      <c r="AR131" s="889"/>
      <c r="AS131" s="889"/>
      <c r="AT131" s="889"/>
      <c r="AU131" s="889"/>
      <c r="AV131" s="889"/>
      <c r="AW131" s="889"/>
      <c r="AX131" s="889"/>
      <c r="AY131" s="889"/>
      <c r="AZ131" s="889"/>
    </row>
    <row r="132">
      <c r="A132" s="889"/>
      <c r="B132" s="889"/>
      <c r="C132" s="889"/>
      <c r="D132" s="889"/>
      <c r="E132" s="889"/>
      <c r="F132" s="889"/>
      <c r="G132" s="889"/>
      <c r="H132" s="889"/>
      <c r="I132" s="889"/>
      <c r="J132" s="889"/>
      <c r="K132" s="889"/>
      <c r="L132" s="889"/>
      <c r="M132" s="889"/>
      <c r="N132" s="944"/>
      <c r="O132" s="944"/>
      <c r="P132" s="944"/>
      <c r="Q132" s="944"/>
      <c r="R132" s="944"/>
      <c r="S132" s="889"/>
      <c r="T132" s="889"/>
      <c r="U132" s="889"/>
      <c r="V132" s="889"/>
      <c r="W132" s="889"/>
      <c r="X132" s="889"/>
      <c r="Y132" s="889"/>
      <c r="Z132" s="889"/>
      <c r="AA132" s="889"/>
      <c r="AB132" s="889"/>
      <c r="AC132" s="889"/>
      <c r="AD132" s="889"/>
      <c r="AE132" s="889"/>
      <c r="AF132" s="889"/>
      <c r="AG132" s="889"/>
      <c r="AH132" s="889"/>
      <c r="AI132" s="889"/>
      <c r="AJ132" s="889"/>
      <c r="AK132" s="889"/>
      <c r="AL132" s="889"/>
      <c r="AM132" s="889"/>
      <c r="AN132" s="889"/>
      <c r="AO132" s="889"/>
      <c r="AP132" s="889"/>
      <c r="AQ132" s="889"/>
      <c r="AR132" s="889"/>
      <c r="AS132" s="889"/>
      <c r="AT132" s="889"/>
      <c r="AU132" s="889"/>
      <c r="AV132" s="889"/>
      <c r="AW132" s="889"/>
      <c r="AX132" s="889"/>
      <c r="AY132" s="889"/>
      <c r="AZ132" s="889"/>
    </row>
    <row r="133">
      <c r="A133" s="889"/>
      <c r="B133" s="889"/>
      <c r="C133" s="889"/>
      <c r="D133" s="889"/>
      <c r="E133" s="889"/>
      <c r="F133" s="889"/>
      <c r="G133" s="889"/>
      <c r="H133" s="889"/>
      <c r="I133" s="889"/>
      <c r="J133" s="889"/>
      <c r="K133" s="889"/>
      <c r="L133" s="889"/>
      <c r="M133" s="889"/>
      <c r="N133" s="944"/>
      <c r="O133" s="944"/>
      <c r="P133" s="944"/>
      <c r="Q133" s="944"/>
      <c r="R133" s="944"/>
      <c r="S133" s="889"/>
      <c r="T133" s="889"/>
      <c r="U133" s="889"/>
      <c r="V133" s="889"/>
      <c r="W133" s="889"/>
      <c r="X133" s="889"/>
      <c r="Y133" s="889"/>
      <c r="Z133" s="889"/>
      <c r="AA133" s="889"/>
      <c r="AB133" s="889"/>
      <c r="AC133" s="889"/>
      <c r="AD133" s="889"/>
      <c r="AE133" s="889"/>
      <c r="AF133" s="889"/>
      <c r="AG133" s="889"/>
      <c r="AH133" s="889"/>
      <c r="AI133" s="889"/>
      <c r="AJ133" s="889"/>
      <c r="AK133" s="889"/>
      <c r="AL133" s="889"/>
      <c r="AM133" s="889"/>
      <c r="AN133" s="889"/>
      <c r="AO133" s="889"/>
      <c r="AP133" s="889"/>
      <c r="AQ133" s="889"/>
      <c r="AR133" s="889"/>
      <c r="AS133" s="889"/>
      <c r="AT133" s="889"/>
      <c r="AU133" s="889"/>
      <c r="AV133" s="889"/>
      <c r="AW133" s="889"/>
      <c r="AX133" s="889"/>
      <c r="AY133" s="889"/>
      <c r="AZ133" s="889"/>
    </row>
    <row r="134">
      <c r="A134" s="889"/>
      <c r="B134" s="889"/>
      <c r="C134" s="889"/>
      <c r="D134" s="889"/>
      <c r="E134" s="889"/>
      <c r="F134" s="889"/>
      <c r="G134" s="889"/>
      <c r="H134" s="889"/>
      <c r="I134" s="889"/>
      <c r="J134" s="889"/>
      <c r="K134" s="889"/>
      <c r="L134" s="889"/>
      <c r="M134" s="889"/>
      <c r="N134" s="944"/>
      <c r="O134" s="944"/>
      <c r="P134" s="944"/>
      <c r="Q134" s="944"/>
      <c r="R134" s="944"/>
      <c r="S134" s="889"/>
      <c r="T134" s="889"/>
      <c r="U134" s="889"/>
      <c r="V134" s="889"/>
      <c r="W134" s="889"/>
      <c r="X134" s="889"/>
      <c r="Y134" s="889"/>
      <c r="Z134" s="889"/>
      <c r="AA134" s="889"/>
      <c r="AB134" s="889"/>
      <c r="AC134" s="889"/>
      <c r="AD134" s="889"/>
      <c r="AE134" s="889"/>
      <c r="AF134" s="889"/>
      <c r="AG134" s="889"/>
      <c r="AH134" s="889"/>
      <c r="AI134" s="889"/>
      <c r="AJ134" s="889"/>
      <c r="AK134" s="889"/>
      <c r="AL134" s="889"/>
      <c r="AM134" s="889"/>
      <c r="AN134" s="889"/>
      <c r="AO134" s="889"/>
      <c r="AP134" s="889"/>
      <c r="AQ134" s="889"/>
      <c r="AR134" s="889"/>
      <c r="AS134" s="889"/>
      <c r="AT134" s="889"/>
      <c r="AU134" s="889"/>
      <c r="AV134" s="889"/>
      <c r="AW134" s="889"/>
      <c r="AX134" s="889"/>
      <c r="AY134" s="889"/>
      <c r="AZ134" s="889"/>
    </row>
    <row r="135">
      <c r="A135" s="889"/>
      <c r="B135" s="889"/>
      <c r="C135" s="889"/>
      <c r="D135" s="889"/>
      <c r="E135" s="889"/>
      <c r="F135" s="889"/>
      <c r="G135" s="889"/>
      <c r="H135" s="889"/>
      <c r="I135" s="889"/>
      <c r="J135" s="889"/>
      <c r="K135" s="889"/>
      <c r="L135" s="889"/>
      <c r="M135" s="889"/>
      <c r="N135" s="944"/>
      <c r="O135" s="944"/>
      <c r="P135" s="944"/>
      <c r="Q135" s="944"/>
      <c r="R135" s="944"/>
      <c r="S135" s="889"/>
      <c r="T135" s="889"/>
      <c r="U135" s="889"/>
      <c r="V135" s="889"/>
      <c r="W135" s="889"/>
      <c r="X135" s="889"/>
      <c r="Y135" s="889"/>
      <c r="Z135" s="889"/>
      <c r="AA135" s="889"/>
      <c r="AB135" s="889"/>
      <c r="AC135" s="889"/>
      <c r="AD135" s="889"/>
      <c r="AE135" s="889"/>
      <c r="AF135" s="889"/>
      <c r="AG135" s="889"/>
      <c r="AH135" s="889"/>
      <c r="AI135" s="889"/>
      <c r="AJ135" s="889"/>
      <c r="AK135" s="889"/>
      <c r="AL135" s="889"/>
      <c r="AM135" s="889"/>
      <c r="AN135" s="889"/>
      <c r="AO135" s="889"/>
      <c r="AP135" s="889"/>
      <c r="AQ135" s="889"/>
      <c r="AR135" s="889"/>
      <c r="AS135" s="889"/>
      <c r="AT135" s="889"/>
      <c r="AU135" s="889"/>
      <c r="AV135" s="889"/>
      <c r="AW135" s="889"/>
      <c r="AX135" s="889"/>
      <c r="AY135" s="889"/>
      <c r="AZ135" s="889"/>
    </row>
    <row r="136">
      <c r="A136" s="889"/>
      <c r="B136" s="889"/>
      <c r="C136" s="889"/>
      <c r="D136" s="889"/>
      <c r="E136" s="889"/>
      <c r="F136" s="889"/>
      <c r="G136" s="889"/>
      <c r="H136" s="889"/>
      <c r="I136" s="889"/>
      <c r="J136" s="889"/>
      <c r="K136" s="889"/>
      <c r="L136" s="889"/>
      <c r="M136" s="889"/>
      <c r="N136" s="944"/>
      <c r="O136" s="944"/>
      <c r="P136" s="944"/>
      <c r="Q136" s="944"/>
      <c r="R136" s="944"/>
      <c r="S136" s="889"/>
      <c r="T136" s="889"/>
      <c r="U136" s="889"/>
      <c r="V136" s="889"/>
      <c r="W136" s="889"/>
      <c r="X136" s="889"/>
      <c r="Y136" s="889"/>
      <c r="Z136" s="889"/>
      <c r="AA136" s="889"/>
      <c r="AB136" s="889"/>
      <c r="AC136" s="889"/>
      <c r="AD136" s="889"/>
      <c r="AE136" s="889"/>
      <c r="AF136" s="889"/>
      <c r="AG136" s="889"/>
      <c r="AH136" s="889"/>
      <c r="AI136" s="889"/>
      <c r="AJ136" s="889"/>
      <c r="AK136" s="889"/>
      <c r="AL136" s="889"/>
      <c r="AM136" s="889"/>
      <c r="AN136" s="889"/>
      <c r="AO136" s="889"/>
      <c r="AP136" s="889"/>
      <c r="AQ136" s="889"/>
      <c r="AR136" s="889"/>
      <c r="AS136" s="889"/>
      <c r="AT136" s="889"/>
      <c r="AU136" s="889"/>
      <c r="AV136" s="889"/>
      <c r="AW136" s="889"/>
      <c r="AX136" s="889"/>
      <c r="AY136" s="889"/>
      <c r="AZ136" s="889"/>
    </row>
    <row r="137">
      <c r="A137" s="889"/>
      <c r="B137" s="889"/>
      <c r="C137" s="889"/>
      <c r="D137" s="889"/>
      <c r="E137" s="889"/>
      <c r="F137" s="889"/>
      <c r="G137" s="889"/>
      <c r="H137" s="889"/>
      <c r="I137" s="889"/>
      <c r="J137" s="889"/>
      <c r="K137" s="889"/>
      <c r="L137" s="889"/>
      <c r="M137" s="889"/>
      <c r="N137" s="944"/>
      <c r="O137" s="944"/>
      <c r="P137" s="944"/>
      <c r="Q137" s="944"/>
      <c r="R137" s="944"/>
      <c r="S137" s="889"/>
      <c r="T137" s="889"/>
      <c r="U137" s="889"/>
      <c r="V137" s="889"/>
      <c r="W137" s="889"/>
      <c r="X137" s="889"/>
      <c r="Y137" s="889"/>
      <c r="Z137" s="889"/>
      <c r="AA137" s="889"/>
      <c r="AB137" s="889"/>
      <c r="AC137" s="889"/>
      <c r="AD137" s="889"/>
      <c r="AE137" s="889"/>
      <c r="AF137" s="889"/>
      <c r="AG137" s="889"/>
      <c r="AH137" s="889"/>
      <c r="AI137" s="889"/>
      <c r="AJ137" s="889"/>
      <c r="AK137" s="889"/>
      <c r="AL137" s="889"/>
      <c r="AM137" s="889"/>
      <c r="AN137" s="889"/>
      <c r="AO137" s="889"/>
      <c r="AP137" s="889"/>
      <c r="AQ137" s="889"/>
      <c r="AR137" s="889"/>
      <c r="AS137" s="889"/>
      <c r="AT137" s="889"/>
      <c r="AU137" s="889"/>
      <c r="AV137" s="889"/>
      <c r="AW137" s="889"/>
      <c r="AX137" s="889"/>
      <c r="AY137" s="889"/>
      <c r="AZ137" s="889"/>
    </row>
    <row r="138">
      <c r="A138" s="889"/>
      <c r="B138" s="889"/>
      <c r="C138" s="889"/>
      <c r="D138" s="889"/>
      <c r="E138" s="889"/>
      <c r="F138" s="889"/>
      <c r="G138" s="889"/>
      <c r="H138" s="889"/>
      <c r="I138" s="889"/>
      <c r="J138" s="889"/>
      <c r="K138" s="889"/>
      <c r="L138" s="889"/>
      <c r="M138" s="889"/>
      <c r="N138" s="944"/>
      <c r="O138" s="944"/>
      <c r="P138" s="944"/>
      <c r="Q138" s="944"/>
      <c r="R138" s="944"/>
      <c r="S138" s="889"/>
      <c r="T138" s="889"/>
      <c r="U138" s="889"/>
      <c r="V138" s="889"/>
      <c r="W138" s="889"/>
      <c r="X138" s="889"/>
      <c r="Y138" s="889"/>
      <c r="Z138" s="889"/>
      <c r="AA138" s="889"/>
      <c r="AB138" s="889"/>
      <c r="AC138" s="889"/>
      <c r="AD138" s="889"/>
      <c r="AE138" s="889"/>
      <c r="AF138" s="889"/>
      <c r="AG138" s="889"/>
      <c r="AH138" s="889"/>
      <c r="AI138" s="889"/>
      <c r="AJ138" s="889"/>
      <c r="AK138" s="889"/>
      <c r="AL138" s="889"/>
      <c r="AM138" s="889"/>
      <c r="AN138" s="889"/>
      <c r="AO138" s="889"/>
      <c r="AP138" s="889"/>
      <c r="AQ138" s="889"/>
      <c r="AR138" s="889"/>
      <c r="AS138" s="889"/>
      <c r="AT138" s="889"/>
      <c r="AU138" s="889"/>
      <c r="AV138" s="889"/>
      <c r="AW138" s="889"/>
      <c r="AX138" s="889"/>
      <c r="AY138" s="889"/>
      <c r="AZ138" s="889"/>
    </row>
    <row r="139">
      <c r="A139" s="889"/>
      <c r="B139" s="889"/>
      <c r="C139" s="889"/>
      <c r="D139" s="889"/>
      <c r="E139" s="889"/>
      <c r="F139" s="889"/>
      <c r="G139" s="889"/>
      <c r="H139" s="889"/>
      <c r="I139" s="889"/>
      <c r="J139" s="889"/>
      <c r="K139" s="889"/>
      <c r="L139" s="889"/>
      <c r="M139" s="889"/>
      <c r="N139" s="944"/>
      <c r="O139" s="944"/>
      <c r="P139" s="944"/>
      <c r="Q139" s="944"/>
      <c r="R139" s="944"/>
      <c r="S139" s="889"/>
      <c r="T139" s="889"/>
      <c r="U139" s="889"/>
      <c r="V139" s="889"/>
      <c r="W139" s="889"/>
      <c r="X139" s="889"/>
      <c r="Y139" s="889"/>
      <c r="Z139" s="889"/>
      <c r="AA139" s="889"/>
      <c r="AB139" s="889"/>
      <c r="AC139" s="889"/>
      <c r="AD139" s="889"/>
      <c r="AE139" s="889"/>
      <c r="AF139" s="889"/>
      <c r="AG139" s="889"/>
      <c r="AH139" s="889"/>
      <c r="AI139" s="889"/>
      <c r="AJ139" s="889"/>
      <c r="AK139" s="889"/>
      <c r="AL139" s="889"/>
      <c r="AM139" s="889"/>
      <c r="AN139" s="889"/>
      <c r="AO139" s="889"/>
      <c r="AP139" s="889"/>
      <c r="AQ139" s="889"/>
      <c r="AR139" s="889"/>
      <c r="AS139" s="889"/>
      <c r="AT139" s="889"/>
      <c r="AU139" s="889"/>
      <c r="AV139" s="889"/>
      <c r="AW139" s="889"/>
      <c r="AX139" s="889"/>
      <c r="AY139" s="889"/>
      <c r="AZ139" s="889"/>
    </row>
    <row r="140">
      <c r="A140" s="889"/>
      <c r="B140" s="889"/>
      <c r="C140" s="889"/>
      <c r="D140" s="889"/>
      <c r="E140" s="889"/>
      <c r="F140" s="889"/>
      <c r="G140" s="889"/>
      <c r="H140" s="889"/>
      <c r="I140" s="889"/>
      <c r="J140" s="889"/>
      <c r="K140" s="889"/>
      <c r="L140" s="889"/>
      <c r="M140" s="889"/>
      <c r="N140" s="944"/>
      <c r="O140" s="944"/>
      <c r="P140" s="944"/>
      <c r="Q140" s="944"/>
      <c r="R140" s="944"/>
      <c r="S140" s="889"/>
      <c r="T140" s="889"/>
      <c r="U140" s="889"/>
      <c r="V140" s="889"/>
      <c r="W140" s="889"/>
      <c r="X140" s="889"/>
      <c r="Y140" s="889"/>
      <c r="Z140" s="889"/>
      <c r="AA140" s="889"/>
      <c r="AB140" s="889"/>
      <c r="AC140" s="889"/>
      <c r="AD140" s="889"/>
      <c r="AE140" s="889"/>
      <c r="AF140" s="889"/>
      <c r="AG140" s="889"/>
      <c r="AH140" s="889"/>
      <c r="AI140" s="889"/>
      <c r="AJ140" s="889"/>
      <c r="AK140" s="889"/>
      <c r="AL140" s="889"/>
      <c r="AM140" s="889"/>
      <c r="AN140" s="889"/>
      <c r="AO140" s="889"/>
      <c r="AP140" s="889"/>
      <c r="AQ140" s="889"/>
      <c r="AR140" s="889"/>
      <c r="AS140" s="889"/>
      <c r="AT140" s="889"/>
      <c r="AU140" s="889"/>
      <c r="AV140" s="889"/>
      <c r="AW140" s="889"/>
      <c r="AX140" s="889"/>
      <c r="AY140" s="889"/>
      <c r="AZ140" s="889"/>
    </row>
    <row r="141">
      <c r="A141" s="889"/>
      <c r="B141" s="889"/>
      <c r="C141" s="889"/>
      <c r="D141" s="889"/>
      <c r="E141" s="889"/>
      <c r="F141" s="889"/>
      <c r="G141" s="889"/>
      <c r="H141" s="889"/>
      <c r="I141" s="889"/>
      <c r="J141" s="889"/>
      <c r="K141" s="889"/>
      <c r="L141" s="889"/>
      <c r="M141" s="889"/>
      <c r="N141" s="944"/>
      <c r="O141" s="944"/>
      <c r="P141" s="944"/>
      <c r="Q141" s="944"/>
      <c r="R141" s="944"/>
      <c r="S141" s="889"/>
      <c r="T141" s="889"/>
      <c r="U141" s="889"/>
      <c r="V141" s="889"/>
      <c r="W141" s="889"/>
      <c r="X141" s="889"/>
      <c r="Y141" s="889"/>
      <c r="Z141" s="889"/>
      <c r="AA141" s="889"/>
      <c r="AB141" s="889"/>
      <c r="AC141" s="889"/>
      <c r="AD141" s="889"/>
      <c r="AE141" s="889"/>
      <c r="AF141" s="889"/>
      <c r="AG141" s="889"/>
      <c r="AH141" s="889"/>
      <c r="AI141" s="889"/>
      <c r="AJ141" s="889"/>
      <c r="AK141" s="889"/>
      <c r="AL141" s="889"/>
      <c r="AM141" s="889"/>
      <c r="AN141" s="889"/>
      <c r="AO141" s="889"/>
      <c r="AP141" s="889"/>
      <c r="AQ141" s="889"/>
      <c r="AR141" s="889"/>
      <c r="AS141" s="889"/>
      <c r="AT141" s="889"/>
      <c r="AU141" s="889"/>
      <c r="AV141" s="889"/>
      <c r="AW141" s="889"/>
      <c r="AX141" s="889"/>
      <c r="AY141" s="889"/>
      <c r="AZ141" s="889"/>
    </row>
    <row r="142">
      <c r="A142" s="889"/>
      <c r="B142" s="889"/>
      <c r="C142" s="889"/>
      <c r="D142" s="889"/>
      <c r="E142" s="889"/>
      <c r="F142" s="889"/>
      <c r="G142" s="889"/>
      <c r="H142" s="889"/>
      <c r="I142" s="889"/>
      <c r="J142" s="889"/>
      <c r="K142" s="889"/>
      <c r="L142" s="889"/>
      <c r="M142" s="889"/>
      <c r="N142" s="944"/>
      <c r="O142" s="944"/>
      <c r="P142" s="944"/>
      <c r="Q142" s="944"/>
      <c r="R142" s="944"/>
      <c r="S142" s="889"/>
      <c r="T142" s="889"/>
      <c r="U142" s="889"/>
      <c r="V142" s="889"/>
      <c r="W142" s="889"/>
      <c r="X142" s="889"/>
      <c r="Y142" s="889"/>
      <c r="Z142" s="889"/>
      <c r="AA142" s="889"/>
      <c r="AB142" s="889"/>
      <c r="AC142" s="889"/>
      <c r="AD142" s="889"/>
      <c r="AE142" s="889"/>
      <c r="AF142" s="889"/>
      <c r="AG142" s="889"/>
      <c r="AH142" s="889"/>
      <c r="AI142" s="889"/>
      <c r="AJ142" s="889"/>
      <c r="AK142" s="889"/>
      <c r="AL142" s="889"/>
      <c r="AM142" s="889"/>
      <c r="AN142" s="889"/>
      <c r="AO142" s="889"/>
      <c r="AP142" s="889"/>
      <c r="AQ142" s="889"/>
      <c r="AR142" s="889"/>
      <c r="AS142" s="889"/>
      <c r="AT142" s="889"/>
      <c r="AU142" s="889"/>
      <c r="AV142" s="889"/>
      <c r="AW142" s="889"/>
      <c r="AX142" s="889"/>
      <c r="AY142" s="889"/>
      <c r="AZ142" s="889"/>
    </row>
    <row r="143">
      <c r="A143" s="889"/>
      <c r="B143" s="889"/>
      <c r="C143" s="889"/>
      <c r="D143" s="889"/>
      <c r="E143" s="889"/>
      <c r="F143" s="889"/>
      <c r="G143" s="889"/>
      <c r="H143" s="889"/>
      <c r="I143" s="889"/>
      <c r="J143" s="889"/>
      <c r="K143" s="889"/>
      <c r="L143" s="889"/>
      <c r="M143" s="889"/>
      <c r="N143" s="944"/>
      <c r="O143" s="944"/>
      <c r="P143" s="944"/>
      <c r="Q143" s="944"/>
      <c r="R143" s="944"/>
      <c r="S143" s="889"/>
      <c r="T143" s="889"/>
      <c r="U143" s="889"/>
      <c r="V143" s="889"/>
      <c r="W143" s="889"/>
      <c r="X143" s="889"/>
      <c r="Y143" s="889"/>
      <c r="Z143" s="889"/>
      <c r="AA143" s="889"/>
      <c r="AB143" s="889"/>
      <c r="AC143" s="889"/>
      <c r="AD143" s="889"/>
      <c r="AE143" s="889"/>
      <c r="AF143" s="889"/>
      <c r="AG143" s="889"/>
      <c r="AH143" s="889"/>
      <c r="AI143" s="889"/>
      <c r="AJ143" s="889"/>
      <c r="AK143" s="889"/>
      <c r="AL143" s="889"/>
      <c r="AM143" s="889"/>
      <c r="AN143" s="889"/>
      <c r="AO143" s="889"/>
      <c r="AP143" s="889"/>
      <c r="AQ143" s="889"/>
      <c r="AR143" s="889"/>
      <c r="AS143" s="889"/>
      <c r="AT143" s="889"/>
      <c r="AU143" s="889"/>
      <c r="AV143" s="889"/>
      <c r="AW143" s="889"/>
      <c r="AX143" s="889"/>
      <c r="AY143" s="889"/>
      <c r="AZ143" s="889"/>
    </row>
    <row r="144">
      <c r="A144" s="889"/>
      <c r="B144" s="889"/>
      <c r="C144" s="889"/>
      <c r="D144" s="889"/>
      <c r="E144" s="889"/>
      <c r="F144" s="889"/>
      <c r="G144" s="889"/>
      <c r="H144" s="889"/>
      <c r="I144" s="889"/>
      <c r="J144" s="889"/>
      <c r="K144" s="889"/>
      <c r="L144" s="889"/>
      <c r="M144" s="889"/>
      <c r="N144" s="944"/>
      <c r="O144" s="944"/>
      <c r="P144" s="944"/>
      <c r="Q144" s="944"/>
      <c r="R144" s="944"/>
      <c r="S144" s="889"/>
      <c r="T144" s="889"/>
      <c r="U144" s="889"/>
      <c r="V144" s="889"/>
      <c r="W144" s="889"/>
      <c r="X144" s="889"/>
      <c r="Y144" s="889"/>
      <c r="Z144" s="889"/>
      <c r="AA144" s="889"/>
      <c r="AB144" s="889"/>
      <c r="AC144" s="889"/>
      <c r="AD144" s="889"/>
      <c r="AE144" s="889"/>
      <c r="AF144" s="889"/>
      <c r="AG144" s="889"/>
      <c r="AH144" s="889"/>
      <c r="AI144" s="889"/>
      <c r="AJ144" s="889"/>
      <c r="AK144" s="889"/>
      <c r="AL144" s="889"/>
      <c r="AM144" s="889"/>
      <c r="AN144" s="889"/>
      <c r="AO144" s="889"/>
      <c r="AP144" s="889"/>
      <c r="AQ144" s="889"/>
      <c r="AR144" s="889"/>
      <c r="AS144" s="889"/>
      <c r="AT144" s="889"/>
      <c r="AU144" s="889"/>
      <c r="AV144" s="889"/>
      <c r="AW144" s="889"/>
      <c r="AX144" s="889"/>
      <c r="AY144" s="889"/>
      <c r="AZ144" s="889"/>
    </row>
    <row r="145">
      <c r="A145" s="889"/>
      <c r="B145" s="889"/>
      <c r="C145" s="889"/>
      <c r="D145" s="889"/>
      <c r="E145" s="889"/>
      <c r="F145" s="889"/>
      <c r="G145" s="889"/>
      <c r="H145" s="889"/>
      <c r="I145" s="889"/>
      <c r="J145" s="889"/>
      <c r="K145" s="889"/>
      <c r="L145" s="889"/>
      <c r="M145" s="889"/>
      <c r="N145" s="944"/>
      <c r="O145" s="944"/>
      <c r="P145" s="944"/>
      <c r="Q145" s="944"/>
      <c r="R145" s="944"/>
      <c r="S145" s="889"/>
      <c r="T145" s="889"/>
      <c r="U145" s="889"/>
      <c r="V145" s="889"/>
      <c r="W145" s="889"/>
      <c r="X145" s="889"/>
      <c r="Y145" s="889"/>
      <c r="Z145" s="889"/>
      <c r="AA145" s="889"/>
      <c r="AB145" s="889"/>
      <c r="AC145" s="889"/>
      <c r="AD145" s="889"/>
      <c r="AE145" s="889"/>
      <c r="AF145" s="889"/>
      <c r="AG145" s="889"/>
      <c r="AH145" s="889"/>
      <c r="AI145" s="889"/>
      <c r="AJ145" s="889"/>
      <c r="AK145" s="889"/>
      <c r="AL145" s="889"/>
      <c r="AM145" s="889"/>
      <c r="AN145" s="889"/>
      <c r="AO145" s="889"/>
      <c r="AP145" s="889"/>
      <c r="AQ145" s="889"/>
      <c r="AR145" s="889"/>
      <c r="AS145" s="889"/>
      <c r="AT145" s="889"/>
      <c r="AU145" s="889"/>
      <c r="AV145" s="889"/>
      <c r="AW145" s="889"/>
      <c r="AX145" s="889"/>
      <c r="AY145" s="889"/>
      <c r="AZ145" s="889"/>
    </row>
    <row r="146">
      <c r="A146" s="889"/>
      <c r="B146" s="889"/>
      <c r="C146" s="889"/>
      <c r="D146" s="889"/>
      <c r="E146" s="889"/>
      <c r="F146" s="889"/>
      <c r="G146" s="889"/>
      <c r="H146" s="889"/>
      <c r="I146" s="889"/>
      <c r="J146" s="889"/>
      <c r="K146" s="889"/>
      <c r="L146" s="889"/>
      <c r="M146" s="889"/>
      <c r="N146" s="944"/>
      <c r="O146" s="944"/>
      <c r="P146" s="944"/>
      <c r="Q146" s="944"/>
      <c r="R146" s="944"/>
      <c r="S146" s="889"/>
      <c r="T146" s="889"/>
      <c r="U146" s="889"/>
      <c r="V146" s="889"/>
      <c r="W146" s="889"/>
      <c r="X146" s="889"/>
      <c r="Y146" s="889"/>
      <c r="Z146" s="889"/>
      <c r="AA146" s="889"/>
      <c r="AB146" s="889"/>
      <c r="AC146" s="889"/>
      <c r="AD146" s="889"/>
      <c r="AE146" s="889"/>
      <c r="AF146" s="889"/>
      <c r="AG146" s="889"/>
      <c r="AH146" s="889"/>
      <c r="AI146" s="889"/>
      <c r="AJ146" s="889"/>
      <c r="AK146" s="889"/>
      <c r="AL146" s="889"/>
      <c r="AM146" s="889"/>
      <c r="AN146" s="889"/>
      <c r="AO146" s="889"/>
      <c r="AP146" s="889"/>
      <c r="AQ146" s="889"/>
      <c r="AR146" s="889"/>
      <c r="AS146" s="889"/>
      <c r="AT146" s="889"/>
      <c r="AU146" s="889"/>
      <c r="AV146" s="889"/>
      <c r="AW146" s="889"/>
      <c r="AX146" s="889"/>
      <c r="AY146" s="889"/>
      <c r="AZ146" s="889"/>
    </row>
    <row r="147">
      <c r="A147" s="889"/>
      <c r="B147" s="889"/>
      <c r="C147" s="889"/>
      <c r="D147" s="889"/>
      <c r="E147" s="889"/>
      <c r="F147" s="889"/>
      <c r="G147" s="889"/>
      <c r="H147" s="889"/>
      <c r="I147" s="889"/>
      <c r="J147" s="889"/>
      <c r="K147" s="889"/>
      <c r="L147" s="889"/>
      <c r="M147" s="889"/>
      <c r="N147" s="944"/>
      <c r="O147" s="944"/>
      <c r="P147" s="944"/>
      <c r="Q147" s="944"/>
      <c r="R147" s="944"/>
      <c r="S147" s="889"/>
      <c r="T147" s="889"/>
      <c r="U147" s="889"/>
      <c r="V147" s="889"/>
      <c r="W147" s="889"/>
      <c r="X147" s="889"/>
      <c r="Y147" s="889"/>
      <c r="Z147" s="889"/>
      <c r="AA147" s="889"/>
      <c r="AB147" s="889"/>
      <c r="AC147" s="889"/>
      <c r="AD147" s="889"/>
      <c r="AE147" s="889"/>
      <c r="AF147" s="889"/>
      <c r="AG147" s="889"/>
      <c r="AH147" s="889"/>
      <c r="AI147" s="889"/>
      <c r="AJ147" s="889"/>
      <c r="AK147" s="889"/>
      <c r="AL147" s="889"/>
      <c r="AM147" s="889"/>
      <c r="AN147" s="889"/>
      <c r="AO147" s="889"/>
      <c r="AP147" s="889"/>
      <c r="AQ147" s="889"/>
      <c r="AR147" s="889"/>
      <c r="AS147" s="889"/>
      <c r="AT147" s="889"/>
      <c r="AU147" s="889"/>
      <c r="AV147" s="889"/>
      <c r="AW147" s="889"/>
      <c r="AX147" s="889"/>
      <c r="AY147" s="889"/>
      <c r="AZ147" s="889"/>
    </row>
    <row r="148">
      <c r="A148" s="889"/>
      <c r="B148" s="889"/>
      <c r="C148" s="889"/>
      <c r="D148" s="889"/>
      <c r="E148" s="889"/>
      <c r="F148" s="889"/>
      <c r="G148" s="889"/>
      <c r="H148" s="889"/>
      <c r="I148" s="889"/>
      <c r="J148" s="889"/>
      <c r="K148" s="889"/>
      <c r="L148" s="889"/>
      <c r="M148" s="889"/>
      <c r="N148" s="944"/>
      <c r="O148" s="944"/>
      <c r="P148" s="944"/>
      <c r="Q148" s="944"/>
      <c r="R148" s="944"/>
      <c r="S148" s="889"/>
      <c r="T148" s="889"/>
      <c r="U148" s="889"/>
      <c r="V148" s="889"/>
      <c r="W148" s="889"/>
      <c r="X148" s="889"/>
      <c r="Y148" s="889"/>
      <c r="Z148" s="889"/>
      <c r="AA148" s="889"/>
      <c r="AB148" s="889"/>
      <c r="AC148" s="889"/>
      <c r="AD148" s="889"/>
      <c r="AE148" s="889"/>
      <c r="AF148" s="889"/>
      <c r="AG148" s="889"/>
      <c r="AH148" s="889"/>
      <c r="AI148" s="889"/>
      <c r="AJ148" s="889"/>
      <c r="AK148" s="889"/>
      <c r="AL148" s="889"/>
      <c r="AM148" s="889"/>
      <c r="AN148" s="889"/>
      <c r="AO148" s="889"/>
      <c r="AP148" s="889"/>
      <c r="AQ148" s="889"/>
      <c r="AR148" s="889"/>
      <c r="AS148" s="889"/>
      <c r="AT148" s="889"/>
      <c r="AU148" s="889"/>
      <c r="AV148" s="889"/>
      <c r="AW148" s="889"/>
      <c r="AX148" s="889"/>
      <c r="AY148" s="889"/>
      <c r="AZ148" s="889"/>
    </row>
    <row r="149">
      <c r="A149" s="889"/>
      <c r="B149" s="889"/>
      <c r="C149" s="889"/>
      <c r="D149" s="889"/>
      <c r="E149" s="889"/>
      <c r="F149" s="889"/>
      <c r="G149" s="889"/>
      <c r="H149" s="889"/>
      <c r="I149" s="889"/>
      <c r="J149" s="889"/>
      <c r="K149" s="889"/>
      <c r="L149" s="889"/>
      <c r="M149" s="889"/>
      <c r="N149" s="944"/>
      <c r="O149" s="944"/>
      <c r="P149" s="944"/>
      <c r="Q149" s="944"/>
      <c r="R149" s="944"/>
      <c r="S149" s="889"/>
      <c r="T149" s="889"/>
      <c r="U149" s="889"/>
      <c r="V149" s="889"/>
      <c r="W149" s="889"/>
      <c r="X149" s="889"/>
      <c r="Y149" s="889"/>
      <c r="Z149" s="889"/>
      <c r="AA149" s="889"/>
      <c r="AB149" s="889"/>
      <c r="AC149" s="889"/>
      <c r="AD149" s="889"/>
      <c r="AE149" s="889"/>
      <c r="AF149" s="889"/>
      <c r="AG149" s="889"/>
      <c r="AH149" s="889"/>
      <c r="AI149" s="889"/>
      <c r="AJ149" s="889"/>
      <c r="AK149" s="889"/>
      <c r="AL149" s="889"/>
      <c r="AM149" s="889"/>
      <c r="AN149" s="889"/>
      <c r="AO149" s="889"/>
      <c r="AP149" s="889"/>
      <c r="AQ149" s="889"/>
      <c r="AR149" s="889"/>
      <c r="AS149" s="889"/>
      <c r="AT149" s="889"/>
      <c r="AU149" s="889"/>
      <c r="AV149" s="889"/>
      <c r="AW149" s="889"/>
      <c r="AX149" s="889"/>
      <c r="AY149" s="889"/>
      <c r="AZ149" s="889"/>
    </row>
    <row r="150">
      <c r="A150" s="889"/>
      <c r="B150" s="889"/>
      <c r="C150" s="889"/>
      <c r="D150" s="889"/>
      <c r="E150" s="889"/>
      <c r="F150" s="889"/>
      <c r="G150" s="889"/>
      <c r="H150" s="889"/>
      <c r="I150" s="889"/>
      <c r="J150" s="889"/>
      <c r="K150" s="889"/>
      <c r="L150" s="889"/>
      <c r="M150" s="889"/>
      <c r="N150" s="944"/>
      <c r="O150" s="944"/>
      <c r="P150" s="944"/>
      <c r="Q150" s="944"/>
      <c r="R150" s="944"/>
      <c r="S150" s="889"/>
      <c r="T150" s="889"/>
      <c r="U150" s="889"/>
      <c r="V150" s="889"/>
      <c r="W150" s="889"/>
      <c r="X150" s="889"/>
      <c r="Y150" s="889"/>
      <c r="Z150" s="889"/>
      <c r="AA150" s="889"/>
      <c r="AB150" s="889"/>
      <c r="AC150" s="889"/>
      <c r="AD150" s="889"/>
      <c r="AE150" s="889"/>
      <c r="AF150" s="889"/>
      <c r="AG150" s="889"/>
      <c r="AH150" s="889"/>
      <c r="AI150" s="889"/>
      <c r="AJ150" s="889"/>
      <c r="AK150" s="889"/>
      <c r="AL150" s="889"/>
      <c r="AM150" s="889"/>
      <c r="AN150" s="889"/>
      <c r="AO150" s="889"/>
      <c r="AP150" s="889"/>
      <c r="AQ150" s="889"/>
      <c r="AR150" s="889"/>
      <c r="AS150" s="889"/>
      <c r="AT150" s="889"/>
      <c r="AU150" s="889"/>
      <c r="AV150" s="889"/>
      <c r="AW150" s="889"/>
      <c r="AX150" s="889"/>
      <c r="AY150" s="889"/>
      <c r="AZ150" s="889"/>
    </row>
    <row r="151">
      <c r="A151" s="889"/>
      <c r="B151" s="889"/>
      <c r="C151" s="889"/>
      <c r="D151" s="889"/>
      <c r="E151" s="889"/>
      <c r="F151" s="889"/>
      <c r="G151" s="889"/>
      <c r="H151" s="889"/>
      <c r="I151" s="889"/>
      <c r="J151" s="889"/>
      <c r="K151" s="889"/>
      <c r="L151" s="889"/>
      <c r="M151" s="889"/>
      <c r="N151" s="944"/>
      <c r="O151" s="944"/>
      <c r="P151" s="944"/>
      <c r="Q151" s="944"/>
      <c r="R151" s="944"/>
      <c r="S151" s="889"/>
      <c r="T151" s="889"/>
      <c r="U151" s="889"/>
      <c r="V151" s="889"/>
      <c r="W151" s="889"/>
      <c r="X151" s="889"/>
      <c r="Y151" s="889"/>
      <c r="Z151" s="889"/>
      <c r="AA151" s="889"/>
      <c r="AB151" s="889"/>
      <c r="AC151" s="889"/>
      <c r="AD151" s="889"/>
      <c r="AE151" s="889"/>
      <c r="AF151" s="889"/>
      <c r="AG151" s="889"/>
      <c r="AH151" s="889"/>
      <c r="AI151" s="889"/>
      <c r="AJ151" s="889"/>
      <c r="AK151" s="889"/>
      <c r="AL151" s="889"/>
      <c r="AM151" s="889"/>
      <c r="AN151" s="889"/>
      <c r="AO151" s="889"/>
      <c r="AP151" s="889"/>
      <c r="AQ151" s="889"/>
      <c r="AR151" s="889"/>
      <c r="AS151" s="889"/>
      <c r="AT151" s="889"/>
      <c r="AU151" s="889"/>
      <c r="AV151" s="889"/>
      <c r="AW151" s="889"/>
      <c r="AX151" s="889"/>
      <c r="AY151" s="889"/>
      <c r="AZ151" s="889"/>
    </row>
    <row r="152">
      <c r="A152" s="889"/>
      <c r="B152" s="889"/>
      <c r="C152" s="889"/>
      <c r="D152" s="889"/>
      <c r="E152" s="889"/>
      <c r="F152" s="889"/>
      <c r="G152" s="889"/>
      <c r="H152" s="889"/>
      <c r="I152" s="889"/>
      <c r="J152" s="889"/>
      <c r="K152" s="889"/>
      <c r="L152" s="889"/>
      <c r="M152" s="889"/>
      <c r="N152" s="944"/>
      <c r="O152" s="944"/>
      <c r="P152" s="944"/>
      <c r="Q152" s="944"/>
      <c r="R152" s="944"/>
      <c r="S152" s="889"/>
      <c r="T152" s="889"/>
      <c r="U152" s="889"/>
      <c r="V152" s="889"/>
      <c r="W152" s="889"/>
      <c r="X152" s="889"/>
      <c r="Y152" s="889"/>
      <c r="Z152" s="889"/>
      <c r="AA152" s="889"/>
      <c r="AB152" s="889"/>
      <c r="AC152" s="889"/>
      <c r="AD152" s="889"/>
      <c r="AE152" s="889"/>
      <c r="AF152" s="889"/>
      <c r="AG152" s="889"/>
      <c r="AH152" s="889"/>
      <c r="AI152" s="889"/>
      <c r="AJ152" s="889"/>
      <c r="AK152" s="889"/>
      <c r="AL152" s="889"/>
      <c r="AM152" s="889"/>
      <c r="AN152" s="889"/>
      <c r="AO152" s="889"/>
      <c r="AP152" s="889"/>
      <c r="AQ152" s="889"/>
      <c r="AR152" s="889"/>
      <c r="AS152" s="889"/>
      <c r="AT152" s="889"/>
      <c r="AU152" s="889"/>
      <c r="AV152" s="889"/>
      <c r="AW152" s="889"/>
      <c r="AX152" s="889"/>
      <c r="AY152" s="889"/>
      <c r="AZ152" s="889"/>
    </row>
    <row r="153">
      <c r="A153" s="889"/>
      <c r="B153" s="889"/>
      <c r="C153" s="889"/>
      <c r="D153" s="889"/>
      <c r="E153" s="889"/>
      <c r="F153" s="889"/>
      <c r="G153" s="889"/>
      <c r="H153" s="889"/>
      <c r="I153" s="889"/>
      <c r="J153" s="889"/>
      <c r="K153" s="889"/>
      <c r="L153" s="889"/>
      <c r="M153" s="889"/>
      <c r="N153" s="944"/>
      <c r="O153" s="944"/>
      <c r="P153" s="944"/>
      <c r="Q153" s="944"/>
      <c r="R153" s="944"/>
      <c r="S153" s="889"/>
      <c r="T153" s="889"/>
      <c r="U153" s="889"/>
      <c r="V153" s="889"/>
      <c r="W153" s="889"/>
      <c r="X153" s="889"/>
      <c r="Y153" s="889"/>
      <c r="Z153" s="889"/>
      <c r="AA153" s="889"/>
      <c r="AB153" s="889"/>
      <c r="AC153" s="889"/>
      <c r="AD153" s="889"/>
      <c r="AE153" s="889"/>
      <c r="AF153" s="889"/>
      <c r="AG153" s="889"/>
      <c r="AH153" s="889"/>
      <c r="AI153" s="889"/>
      <c r="AJ153" s="889"/>
      <c r="AK153" s="889"/>
      <c r="AL153" s="889"/>
      <c r="AM153" s="889"/>
      <c r="AN153" s="889"/>
      <c r="AO153" s="889"/>
      <c r="AP153" s="889"/>
      <c r="AQ153" s="889"/>
      <c r="AR153" s="889"/>
      <c r="AS153" s="889"/>
      <c r="AT153" s="889"/>
      <c r="AU153" s="889"/>
      <c r="AV153" s="889"/>
      <c r="AW153" s="889"/>
      <c r="AX153" s="889"/>
      <c r="AY153" s="889"/>
      <c r="AZ153" s="889"/>
    </row>
    <row r="154">
      <c r="A154" s="889"/>
      <c r="B154" s="889"/>
      <c r="C154" s="889"/>
      <c r="D154" s="889"/>
      <c r="E154" s="889"/>
      <c r="F154" s="889"/>
      <c r="G154" s="889"/>
      <c r="H154" s="889"/>
      <c r="I154" s="889"/>
      <c r="J154" s="889"/>
      <c r="K154" s="889"/>
      <c r="L154" s="889"/>
      <c r="M154" s="889"/>
      <c r="N154" s="944"/>
      <c r="O154" s="944"/>
      <c r="P154" s="944"/>
      <c r="Q154" s="944"/>
      <c r="R154" s="944"/>
      <c r="S154" s="889"/>
      <c r="T154" s="889"/>
      <c r="U154" s="889"/>
      <c r="V154" s="889"/>
      <c r="W154" s="889"/>
      <c r="X154" s="889"/>
      <c r="Y154" s="889"/>
      <c r="Z154" s="889"/>
      <c r="AA154" s="889"/>
      <c r="AB154" s="889"/>
      <c r="AC154" s="889"/>
      <c r="AD154" s="889"/>
      <c r="AE154" s="889"/>
      <c r="AF154" s="889"/>
      <c r="AG154" s="889"/>
      <c r="AH154" s="889"/>
      <c r="AI154" s="889"/>
      <c r="AJ154" s="889"/>
      <c r="AK154" s="889"/>
      <c r="AL154" s="889"/>
      <c r="AM154" s="889"/>
      <c r="AN154" s="889"/>
      <c r="AO154" s="889"/>
      <c r="AP154" s="889"/>
      <c r="AQ154" s="889"/>
      <c r="AR154" s="889"/>
      <c r="AS154" s="889"/>
      <c r="AT154" s="889"/>
      <c r="AU154" s="889"/>
      <c r="AV154" s="889"/>
      <c r="AW154" s="889"/>
      <c r="AX154" s="889"/>
      <c r="AY154" s="889"/>
      <c r="AZ154" s="889"/>
    </row>
    <row r="155">
      <c r="A155" s="889"/>
      <c r="B155" s="889"/>
      <c r="C155" s="889"/>
      <c r="D155" s="889"/>
      <c r="E155" s="889"/>
      <c r="F155" s="889"/>
      <c r="G155" s="889"/>
      <c r="H155" s="889"/>
      <c r="I155" s="889"/>
      <c r="J155" s="889"/>
      <c r="K155" s="889"/>
      <c r="L155" s="889"/>
      <c r="M155" s="889"/>
      <c r="N155" s="944"/>
      <c r="O155" s="944"/>
      <c r="P155" s="944"/>
      <c r="Q155" s="944"/>
      <c r="R155" s="944"/>
      <c r="S155" s="889"/>
      <c r="T155" s="889"/>
      <c r="U155" s="889"/>
      <c r="V155" s="889"/>
      <c r="W155" s="889"/>
      <c r="X155" s="889"/>
      <c r="Y155" s="889"/>
      <c r="Z155" s="889"/>
      <c r="AA155" s="889"/>
      <c r="AB155" s="889"/>
      <c r="AC155" s="889"/>
      <c r="AD155" s="889"/>
      <c r="AE155" s="889"/>
      <c r="AF155" s="889"/>
      <c r="AG155" s="889"/>
      <c r="AH155" s="889"/>
      <c r="AI155" s="889"/>
      <c r="AJ155" s="889"/>
      <c r="AK155" s="889"/>
      <c r="AL155" s="889"/>
      <c r="AM155" s="889"/>
      <c r="AN155" s="889"/>
      <c r="AO155" s="889"/>
      <c r="AP155" s="889"/>
      <c r="AQ155" s="889"/>
      <c r="AR155" s="889"/>
      <c r="AS155" s="889"/>
      <c r="AT155" s="889"/>
      <c r="AU155" s="889"/>
      <c r="AV155" s="889"/>
      <c r="AW155" s="889"/>
      <c r="AX155" s="889"/>
      <c r="AY155" s="889"/>
      <c r="AZ155" s="889"/>
    </row>
    <row r="156">
      <c r="A156" s="889"/>
      <c r="B156" s="889"/>
      <c r="C156" s="889"/>
      <c r="D156" s="889"/>
      <c r="E156" s="889"/>
      <c r="F156" s="889"/>
      <c r="G156" s="889"/>
      <c r="H156" s="889"/>
      <c r="I156" s="889"/>
      <c r="J156" s="889"/>
      <c r="K156" s="889"/>
      <c r="L156" s="889"/>
      <c r="M156" s="889"/>
      <c r="N156" s="944"/>
      <c r="O156" s="944"/>
      <c r="P156" s="944"/>
      <c r="Q156" s="944"/>
      <c r="R156" s="944"/>
      <c r="S156" s="889"/>
      <c r="T156" s="889"/>
      <c r="U156" s="889"/>
      <c r="V156" s="889"/>
      <c r="W156" s="889"/>
      <c r="X156" s="889"/>
      <c r="Y156" s="889"/>
      <c r="Z156" s="889"/>
      <c r="AA156" s="889"/>
      <c r="AB156" s="889"/>
      <c r="AC156" s="889"/>
      <c r="AD156" s="889"/>
      <c r="AE156" s="889"/>
      <c r="AF156" s="889"/>
      <c r="AG156" s="889"/>
      <c r="AH156" s="889"/>
      <c r="AI156" s="889"/>
      <c r="AJ156" s="889"/>
      <c r="AK156" s="889"/>
      <c r="AL156" s="889"/>
      <c r="AM156" s="889"/>
      <c r="AN156" s="889"/>
      <c r="AO156" s="889"/>
      <c r="AP156" s="889"/>
      <c r="AQ156" s="889"/>
      <c r="AR156" s="889"/>
      <c r="AS156" s="889"/>
      <c r="AT156" s="889"/>
      <c r="AU156" s="889"/>
      <c r="AV156" s="889"/>
      <c r="AW156" s="889"/>
      <c r="AX156" s="889"/>
      <c r="AY156" s="889"/>
      <c r="AZ156" s="889"/>
    </row>
    <row r="157">
      <c r="A157" s="889"/>
      <c r="B157" s="889"/>
      <c r="C157" s="889"/>
      <c r="D157" s="889"/>
      <c r="E157" s="889"/>
      <c r="F157" s="889"/>
      <c r="G157" s="889"/>
      <c r="H157" s="889"/>
      <c r="I157" s="889"/>
      <c r="J157" s="889"/>
      <c r="K157" s="889"/>
      <c r="L157" s="889"/>
      <c r="M157" s="889"/>
      <c r="N157" s="944"/>
      <c r="O157" s="944"/>
      <c r="P157" s="944"/>
      <c r="Q157" s="944"/>
      <c r="R157" s="944"/>
      <c r="S157" s="889"/>
      <c r="T157" s="889"/>
      <c r="U157" s="889"/>
      <c r="V157" s="889"/>
      <c r="W157" s="889"/>
      <c r="X157" s="889"/>
      <c r="Y157" s="889"/>
      <c r="Z157" s="889"/>
      <c r="AA157" s="889"/>
      <c r="AB157" s="889"/>
      <c r="AC157" s="889"/>
      <c r="AD157" s="889"/>
      <c r="AE157" s="889"/>
      <c r="AF157" s="889"/>
      <c r="AG157" s="889"/>
      <c r="AH157" s="889"/>
      <c r="AI157" s="889"/>
      <c r="AJ157" s="889"/>
      <c r="AK157" s="889"/>
      <c r="AL157" s="889"/>
      <c r="AM157" s="889"/>
      <c r="AN157" s="889"/>
      <c r="AO157" s="889"/>
      <c r="AP157" s="889"/>
      <c r="AQ157" s="889"/>
      <c r="AR157" s="889"/>
      <c r="AS157" s="889"/>
      <c r="AT157" s="889"/>
      <c r="AU157" s="889"/>
      <c r="AV157" s="889"/>
      <c r="AW157" s="889"/>
      <c r="AX157" s="889"/>
      <c r="AY157" s="889"/>
      <c r="AZ157" s="889"/>
    </row>
    <row r="158">
      <c r="A158" s="889"/>
      <c r="B158" s="889"/>
      <c r="C158" s="889"/>
      <c r="D158" s="889"/>
      <c r="E158" s="889"/>
      <c r="F158" s="889"/>
      <c r="G158" s="889"/>
      <c r="H158" s="889"/>
      <c r="I158" s="889"/>
      <c r="J158" s="889"/>
      <c r="K158" s="889"/>
      <c r="L158" s="889"/>
      <c r="M158" s="889"/>
      <c r="N158" s="944"/>
      <c r="O158" s="944"/>
      <c r="P158" s="944"/>
      <c r="Q158" s="944"/>
      <c r="R158" s="944"/>
      <c r="S158" s="889"/>
      <c r="T158" s="889"/>
      <c r="U158" s="889"/>
      <c r="V158" s="889"/>
      <c r="W158" s="889"/>
      <c r="X158" s="889"/>
      <c r="Y158" s="889"/>
      <c r="Z158" s="889"/>
      <c r="AA158" s="889"/>
      <c r="AB158" s="889"/>
      <c r="AC158" s="889"/>
      <c r="AD158" s="889"/>
      <c r="AE158" s="889"/>
      <c r="AF158" s="889"/>
      <c r="AG158" s="889"/>
      <c r="AH158" s="889"/>
      <c r="AI158" s="889"/>
      <c r="AJ158" s="889"/>
      <c r="AK158" s="889"/>
      <c r="AL158" s="889"/>
      <c r="AM158" s="889"/>
      <c r="AN158" s="889"/>
      <c r="AO158" s="889"/>
      <c r="AP158" s="889"/>
      <c r="AQ158" s="889"/>
      <c r="AR158" s="889"/>
      <c r="AS158" s="889"/>
      <c r="AT158" s="889"/>
      <c r="AU158" s="889"/>
      <c r="AV158" s="889"/>
      <c r="AW158" s="889"/>
      <c r="AX158" s="889"/>
      <c r="AY158" s="889"/>
      <c r="AZ158" s="889"/>
    </row>
    <row r="159">
      <c r="A159" s="889"/>
      <c r="B159" s="889"/>
      <c r="C159" s="889"/>
      <c r="D159" s="889"/>
      <c r="E159" s="889"/>
      <c r="F159" s="889"/>
      <c r="G159" s="889"/>
      <c r="H159" s="889"/>
      <c r="I159" s="889"/>
      <c r="J159" s="889"/>
      <c r="K159" s="889"/>
      <c r="L159" s="889"/>
      <c r="M159" s="889"/>
      <c r="N159" s="944"/>
      <c r="O159" s="944"/>
      <c r="P159" s="944"/>
      <c r="Q159" s="944"/>
      <c r="R159" s="944"/>
      <c r="S159" s="889"/>
      <c r="T159" s="889"/>
      <c r="U159" s="889"/>
      <c r="V159" s="889"/>
      <c r="W159" s="889"/>
      <c r="X159" s="889"/>
      <c r="Y159" s="889"/>
      <c r="Z159" s="889"/>
      <c r="AA159" s="889"/>
      <c r="AB159" s="889"/>
      <c r="AC159" s="889"/>
      <c r="AD159" s="889"/>
      <c r="AE159" s="889"/>
      <c r="AF159" s="889"/>
      <c r="AG159" s="889"/>
      <c r="AH159" s="889"/>
      <c r="AI159" s="889"/>
      <c r="AJ159" s="889"/>
      <c r="AK159" s="889"/>
      <c r="AL159" s="889"/>
      <c r="AM159" s="889"/>
      <c r="AN159" s="889"/>
      <c r="AO159" s="889"/>
      <c r="AP159" s="889"/>
      <c r="AQ159" s="889"/>
      <c r="AR159" s="889"/>
      <c r="AS159" s="889"/>
      <c r="AT159" s="889"/>
      <c r="AU159" s="889"/>
      <c r="AV159" s="889"/>
      <c r="AW159" s="889"/>
      <c r="AX159" s="889"/>
      <c r="AY159" s="889"/>
      <c r="AZ159" s="889"/>
    </row>
    <row r="160">
      <c r="A160" s="889"/>
      <c r="B160" s="889"/>
      <c r="C160" s="889"/>
      <c r="D160" s="889"/>
      <c r="E160" s="889"/>
      <c r="F160" s="889"/>
      <c r="G160" s="889"/>
      <c r="H160" s="889"/>
      <c r="I160" s="889"/>
      <c r="J160" s="889"/>
      <c r="K160" s="889"/>
      <c r="L160" s="889"/>
      <c r="M160" s="889"/>
      <c r="N160" s="944"/>
      <c r="O160" s="944"/>
      <c r="P160" s="944"/>
      <c r="Q160" s="944"/>
      <c r="R160" s="944"/>
      <c r="S160" s="889"/>
      <c r="T160" s="889"/>
      <c r="U160" s="889"/>
      <c r="V160" s="889"/>
      <c r="W160" s="889"/>
      <c r="X160" s="889"/>
      <c r="Y160" s="889"/>
      <c r="Z160" s="889"/>
      <c r="AA160" s="889"/>
      <c r="AB160" s="889"/>
      <c r="AC160" s="889"/>
      <c r="AD160" s="889"/>
      <c r="AE160" s="889"/>
      <c r="AF160" s="889"/>
      <c r="AG160" s="889"/>
      <c r="AH160" s="889"/>
      <c r="AI160" s="889"/>
      <c r="AJ160" s="889"/>
      <c r="AK160" s="889"/>
      <c r="AL160" s="889"/>
      <c r="AM160" s="889"/>
      <c r="AN160" s="889"/>
      <c r="AO160" s="889"/>
      <c r="AP160" s="889"/>
      <c r="AQ160" s="889"/>
      <c r="AR160" s="889"/>
      <c r="AS160" s="889"/>
      <c r="AT160" s="889"/>
      <c r="AU160" s="889"/>
      <c r="AV160" s="889"/>
      <c r="AW160" s="889"/>
      <c r="AX160" s="889"/>
      <c r="AY160" s="889"/>
      <c r="AZ160" s="889"/>
    </row>
    <row r="161">
      <c r="A161" s="889"/>
      <c r="B161" s="889"/>
      <c r="C161" s="889"/>
      <c r="D161" s="889"/>
      <c r="E161" s="889"/>
      <c r="F161" s="889"/>
      <c r="G161" s="889"/>
      <c r="H161" s="889"/>
      <c r="I161" s="889"/>
      <c r="J161" s="889"/>
      <c r="K161" s="889"/>
      <c r="L161" s="889"/>
      <c r="M161" s="889"/>
      <c r="N161" s="944"/>
      <c r="O161" s="944"/>
      <c r="P161" s="944"/>
      <c r="Q161" s="944"/>
      <c r="R161" s="944"/>
      <c r="S161" s="889"/>
      <c r="T161" s="889"/>
      <c r="U161" s="889"/>
      <c r="V161" s="889"/>
      <c r="W161" s="889"/>
      <c r="X161" s="889"/>
      <c r="Y161" s="889"/>
      <c r="Z161" s="889"/>
      <c r="AA161" s="889"/>
      <c r="AB161" s="889"/>
      <c r="AC161" s="889"/>
      <c r="AD161" s="889"/>
      <c r="AE161" s="889"/>
      <c r="AF161" s="889"/>
      <c r="AG161" s="889"/>
      <c r="AH161" s="889"/>
      <c r="AI161" s="889"/>
      <c r="AJ161" s="889"/>
      <c r="AK161" s="889"/>
      <c r="AL161" s="889"/>
      <c r="AM161" s="889"/>
      <c r="AN161" s="889"/>
      <c r="AO161" s="889"/>
      <c r="AP161" s="889"/>
      <c r="AQ161" s="889"/>
      <c r="AR161" s="889"/>
      <c r="AS161" s="889"/>
      <c r="AT161" s="889"/>
      <c r="AU161" s="889"/>
      <c r="AV161" s="889"/>
      <c r="AW161" s="889"/>
      <c r="AX161" s="889"/>
      <c r="AY161" s="889"/>
      <c r="AZ161" s="889"/>
    </row>
    <row r="162">
      <c r="A162" s="889"/>
      <c r="B162" s="889"/>
      <c r="C162" s="889"/>
      <c r="D162" s="889"/>
      <c r="E162" s="889"/>
      <c r="F162" s="889"/>
      <c r="G162" s="889"/>
      <c r="H162" s="889"/>
      <c r="I162" s="889"/>
      <c r="J162" s="889"/>
      <c r="K162" s="889"/>
      <c r="L162" s="889"/>
      <c r="M162" s="889"/>
      <c r="N162" s="944"/>
      <c r="O162" s="944"/>
      <c r="P162" s="944"/>
      <c r="Q162" s="944"/>
      <c r="R162" s="944"/>
      <c r="S162" s="889"/>
      <c r="T162" s="889"/>
      <c r="U162" s="889"/>
      <c r="V162" s="889"/>
      <c r="W162" s="889"/>
      <c r="X162" s="889"/>
      <c r="Y162" s="889"/>
      <c r="Z162" s="889"/>
      <c r="AA162" s="889"/>
      <c r="AB162" s="889"/>
      <c r="AC162" s="889"/>
      <c r="AD162" s="889"/>
      <c r="AE162" s="889"/>
      <c r="AF162" s="889"/>
      <c r="AG162" s="889"/>
      <c r="AH162" s="889"/>
      <c r="AI162" s="889"/>
      <c r="AJ162" s="889"/>
      <c r="AK162" s="889"/>
      <c r="AL162" s="889"/>
      <c r="AM162" s="889"/>
      <c r="AN162" s="889"/>
      <c r="AO162" s="889"/>
      <c r="AP162" s="889"/>
      <c r="AQ162" s="889"/>
      <c r="AR162" s="889"/>
      <c r="AS162" s="889"/>
      <c r="AT162" s="889"/>
      <c r="AU162" s="889"/>
      <c r="AV162" s="889"/>
      <c r="AW162" s="889"/>
      <c r="AX162" s="889"/>
      <c r="AY162" s="889"/>
      <c r="AZ162" s="889"/>
    </row>
    <row r="163">
      <c r="A163" s="889"/>
      <c r="B163" s="889"/>
      <c r="C163" s="889"/>
      <c r="D163" s="889"/>
      <c r="E163" s="889"/>
      <c r="F163" s="889"/>
      <c r="G163" s="889"/>
      <c r="H163" s="889"/>
      <c r="I163" s="889"/>
      <c r="J163" s="889"/>
      <c r="K163" s="889"/>
      <c r="L163" s="889"/>
      <c r="M163" s="889"/>
      <c r="N163" s="944"/>
      <c r="O163" s="944"/>
      <c r="P163" s="944"/>
      <c r="Q163" s="944"/>
      <c r="R163" s="944"/>
      <c r="S163" s="889"/>
      <c r="T163" s="889"/>
      <c r="U163" s="889"/>
      <c r="V163" s="889"/>
      <c r="W163" s="889"/>
      <c r="X163" s="889"/>
      <c r="Y163" s="889"/>
      <c r="Z163" s="889"/>
      <c r="AA163" s="889"/>
      <c r="AB163" s="889"/>
      <c r="AC163" s="889"/>
      <c r="AD163" s="889"/>
      <c r="AE163" s="889"/>
      <c r="AF163" s="889"/>
      <c r="AG163" s="889"/>
      <c r="AH163" s="889"/>
      <c r="AI163" s="889"/>
      <c r="AJ163" s="889"/>
      <c r="AK163" s="889"/>
      <c r="AL163" s="889"/>
      <c r="AM163" s="889"/>
      <c r="AN163" s="889"/>
      <c r="AO163" s="889"/>
      <c r="AP163" s="889"/>
      <c r="AQ163" s="889"/>
      <c r="AR163" s="889"/>
      <c r="AS163" s="889"/>
      <c r="AT163" s="889"/>
      <c r="AU163" s="889"/>
      <c r="AV163" s="889"/>
      <c r="AW163" s="889"/>
      <c r="AX163" s="889"/>
      <c r="AY163" s="889"/>
      <c r="AZ163" s="889"/>
    </row>
    <row r="164">
      <c r="A164" s="889"/>
      <c r="B164" s="889"/>
      <c r="C164" s="889"/>
      <c r="D164" s="889"/>
      <c r="E164" s="889"/>
      <c r="F164" s="889"/>
      <c r="G164" s="889"/>
      <c r="H164" s="889"/>
      <c r="I164" s="889"/>
      <c r="J164" s="889"/>
      <c r="K164" s="889"/>
      <c r="L164" s="889"/>
      <c r="M164" s="889"/>
      <c r="N164" s="944"/>
      <c r="O164" s="944"/>
      <c r="P164" s="944"/>
      <c r="Q164" s="944"/>
      <c r="R164" s="944"/>
      <c r="S164" s="889"/>
      <c r="T164" s="889"/>
      <c r="U164" s="889"/>
      <c r="V164" s="889"/>
      <c r="W164" s="889"/>
      <c r="X164" s="889"/>
      <c r="Y164" s="889"/>
      <c r="Z164" s="889"/>
      <c r="AA164" s="889"/>
      <c r="AB164" s="889"/>
      <c r="AC164" s="889"/>
      <c r="AD164" s="889"/>
      <c r="AE164" s="889"/>
      <c r="AF164" s="889"/>
      <c r="AG164" s="889"/>
      <c r="AH164" s="889"/>
      <c r="AI164" s="889"/>
      <c r="AJ164" s="889"/>
      <c r="AK164" s="889"/>
      <c r="AL164" s="889"/>
      <c r="AM164" s="889"/>
      <c r="AN164" s="889"/>
      <c r="AO164" s="889"/>
      <c r="AP164" s="889"/>
      <c r="AQ164" s="889"/>
      <c r="AR164" s="889"/>
      <c r="AS164" s="889"/>
      <c r="AT164" s="889"/>
      <c r="AU164" s="889"/>
      <c r="AV164" s="889"/>
      <c r="AW164" s="889"/>
      <c r="AX164" s="889"/>
      <c r="AY164" s="889"/>
      <c r="AZ164" s="889"/>
    </row>
    <row r="165">
      <c r="A165" s="889"/>
      <c r="B165" s="889"/>
      <c r="C165" s="889"/>
      <c r="D165" s="889"/>
      <c r="E165" s="889"/>
      <c r="F165" s="889"/>
      <c r="G165" s="889"/>
      <c r="H165" s="889"/>
      <c r="I165" s="889"/>
      <c r="J165" s="889"/>
      <c r="K165" s="889"/>
      <c r="L165" s="889"/>
      <c r="M165" s="889"/>
      <c r="N165" s="944"/>
      <c r="O165" s="944"/>
      <c r="P165" s="944"/>
      <c r="Q165" s="944"/>
      <c r="R165" s="944"/>
      <c r="S165" s="889"/>
      <c r="T165" s="889"/>
      <c r="U165" s="889"/>
      <c r="V165" s="889"/>
      <c r="W165" s="889"/>
      <c r="X165" s="889"/>
      <c r="Y165" s="889"/>
      <c r="Z165" s="889"/>
      <c r="AA165" s="889"/>
      <c r="AB165" s="889"/>
      <c r="AC165" s="889"/>
      <c r="AD165" s="889"/>
      <c r="AE165" s="889"/>
      <c r="AF165" s="889"/>
      <c r="AG165" s="889"/>
      <c r="AH165" s="889"/>
      <c r="AI165" s="889"/>
      <c r="AJ165" s="889"/>
      <c r="AK165" s="889"/>
      <c r="AL165" s="889"/>
      <c r="AM165" s="889"/>
      <c r="AN165" s="889"/>
      <c r="AO165" s="889"/>
      <c r="AP165" s="889"/>
      <c r="AQ165" s="889"/>
      <c r="AR165" s="889"/>
      <c r="AS165" s="889"/>
      <c r="AT165" s="889"/>
      <c r="AU165" s="889"/>
      <c r="AV165" s="889"/>
      <c r="AW165" s="889"/>
      <c r="AX165" s="889"/>
      <c r="AY165" s="889"/>
      <c r="AZ165" s="889"/>
    </row>
    <row r="166">
      <c r="A166" s="889"/>
      <c r="B166" s="889"/>
      <c r="C166" s="889"/>
      <c r="D166" s="889"/>
      <c r="E166" s="889"/>
      <c r="F166" s="889"/>
      <c r="G166" s="889"/>
      <c r="H166" s="889"/>
      <c r="I166" s="889"/>
      <c r="J166" s="889"/>
      <c r="K166" s="889"/>
      <c r="L166" s="889"/>
      <c r="M166" s="889"/>
      <c r="N166" s="944"/>
      <c r="O166" s="944"/>
      <c r="P166" s="944"/>
      <c r="Q166" s="944"/>
      <c r="R166" s="944"/>
      <c r="S166" s="889"/>
      <c r="T166" s="889"/>
      <c r="U166" s="889"/>
      <c r="V166" s="889"/>
      <c r="W166" s="889"/>
      <c r="X166" s="889"/>
      <c r="Y166" s="889"/>
      <c r="Z166" s="889"/>
      <c r="AA166" s="889"/>
      <c r="AB166" s="889"/>
      <c r="AC166" s="889"/>
      <c r="AD166" s="889"/>
      <c r="AE166" s="889"/>
      <c r="AF166" s="889"/>
      <c r="AG166" s="889"/>
      <c r="AH166" s="889"/>
      <c r="AI166" s="889"/>
      <c r="AJ166" s="889"/>
      <c r="AK166" s="889"/>
      <c r="AL166" s="889"/>
      <c r="AM166" s="889"/>
      <c r="AN166" s="889"/>
      <c r="AO166" s="889"/>
      <c r="AP166" s="889"/>
      <c r="AQ166" s="889"/>
      <c r="AR166" s="889"/>
      <c r="AS166" s="889"/>
      <c r="AT166" s="889"/>
      <c r="AU166" s="889"/>
      <c r="AV166" s="889"/>
      <c r="AW166" s="889"/>
      <c r="AX166" s="889"/>
      <c r="AY166" s="889"/>
      <c r="AZ166" s="889"/>
    </row>
    <row r="167">
      <c r="A167" s="889"/>
      <c r="B167" s="889"/>
      <c r="C167" s="889"/>
      <c r="D167" s="889"/>
      <c r="E167" s="889"/>
      <c r="F167" s="889"/>
      <c r="G167" s="889"/>
      <c r="H167" s="889"/>
      <c r="I167" s="889"/>
      <c r="J167" s="889"/>
      <c r="K167" s="889"/>
      <c r="L167" s="889"/>
      <c r="M167" s="889"/>
      <c r="N167" s="944"/>
      <c r="O167" s="944"/>
      <c r="P167" s="944"/>
      <c r="Q167" s="944"/>
      <c r="R167" s="944"/>
      <c r="S167" s="889"/>
      <c r="T167" s="889"/>
      <c r="U167" s="889"/>
      <c r="V167" s="889"/>
      <c r="W167" s="889"/>
      <c r="X167" s="889"/>
      <c r="Y167" s="889"/>
      <c r="Z167" s="889"/>
      <c r="AA167" s="889"/>
      <c r="AB167" s="889"/>
      <c r="AC167" s="889"/>
      <c r="AD167" s="889"/>
      <c r="AE167" s="889"/>
      <c r="AF167" s="889"/>
      <c r="AG167" s="889"/>
      <c r="AH167" s="889"/>
      <c r="AI167" s="889"/>
      <c r="AJ167" s="889"/>
      <c r="AK167" s="889"/>
      <c r="AL167" s="889"/>
      <c r="AM167" s="889"/>
      <c r="AN167" s="889"/>
      <c r="AO167" s="889"/>
      <c r="AP167" s="889"/>
      <c r="AQ167" s="889"/>
      <c r="AR167" s="889"/>
      <c r="AS167" s="889"/>
      <c r="AT167" s="889"/>
      <c r="AU167" s="889"/>
      <c r="AV167" s="889"/>
      <c r="AW167" s="889"/>
      <c r="AX167" s="889"/>
      <c r="AY167" s="889"/>
      <c r="AZ167" s="889"/>
    </row>
    <row r="168">
      <c r="A168" s="889"/>
      <c r="B168" s="889"/>
      <c r="C168" s="889"/>
      <c r="D168" s="889"/>
      <c r="E168" s="889"/>
      <c r="F168" s="889"/>
      <c r="G168" s="889"/>
      <c r="H168" s="889"/>
      <c r="I168" s="889"/>
      <c r="J168" s="889"/>
      <c r="K168" s="889"/>
      <c r="L168" s="889"/>
      <c r="M168" s="889"/>
      <c r="N168" s="944"/>
      <c r="O168" s="944"/>
      <c r="P168" s="944"/>
      <c r="Q168" s="944"/>
      <c r="R168" s="944"/>
      <c r="S168" s="889"/>
      <c r="T168" s="889"/>
      <c r="U168" s="889"/>
      <c r="V168" s="889"/>
      <c r="W168" s="889"/>
      <c r="X168" s="889"/>
      <c r="Y168" s="889"/>
      <c r="Z168" s="889"/>
      <c r="AA168" s="889"/>
      <c r="AB168" s="889"/>
      <c r="AC168" s="889"/>
      <c r="AD168" s="889"/>
      <c r="AE168" s="889"/>
      <c r="AF168" s="889"/>
      <c r="AG168" s="889"/>
      <c r="AH168" s="889"/>
      <c r="AI168" s="889"/>
      <c r="AJ168" s="889"/>
      <c r="AK168" s="889"/>
      <c r="AL168" s="889"/>
      <c r="AM168" s="889"/>
      <c r="AN168" s="889"/>
      <c r="AO168" s="889"/>
      <c r="AP168" s="889"/>
      <c r="AQ168" s="889"/>
      <c r="AR168" s="889"/>
      <c r="AS168" s="889"/>
      <c r="AT168" s="889"/>
      <c r="AU168" s="889"/>
      <c r="AV168" s="889"/>
      <c r="AW168" s="889"/>
      <c r="AX168" s="889"/>
      <c r="AY168" s="889"/>
      <c r="AZ168" s="889"/>
    </row>
    <row r="169">
      <c r="A169" s="889"/>
      <c r="B169" s="889"/>
      <c r="C169" s="889"/>
      <c r="D169" s="889"/>
      <c r="E169" s="889"/>
      <c r="F169" s="889"/>
      <c r="G169" s="889"/>
      <c r="H169" s="889"/>
      <c r="I169" s="889"/>
      <c r="J169" s="889"/>
      <c r="K169" s="889"/>
      <c r="L169" s="889"/>
      <c r="M169" s="889"/>
      <c r="N169" s="944"/>
      <c r="O169" s="944"/>
      <c r="P169" s="944"/>
      <c r="Q169" s="944"/>
      <c r="R169" s="944"/>
      <c r="S169" s="889"/>
      <c r="T169" s="889"/>
      <c r="U169" s="889"/>
      <c r="V169" s="889"/>
      <c r="W169" s="889"/>
      <c r="X169" s="889"/>
      <c r="Y169" s="889"/>
      <c r="Z169" s="889"/>
      <c r="AA169" s="889"/>
      <c r="AB169" s="889"/>
      <c r="AC169" s="889"/>
      <c r="AD169" s="889"/>
      <c r="AE169" s="889"/>
      <c r="AF169" s="889"/>
      <c r="AG169" s="889"/>
      <c r="AH169" s="889"/>
      <c r="AI169" s="889"/>
      <c r="AJ169" s="889"/>
      <c r="AK169" s="889"/>
      <c r="AL169" s="889"/>
      <c r="AM169" s="889"/>
      <c r="AN169" s="889"/>
      <c r="AO169" s="889"/>
      <c r="AP169" s="889"/>
      <c r="AQ169" s="889"/>
      <c r="AR169" s="889"/>
      <c r="AS169" s="889"/>
      <c r="AT169" s="889"/>
      <c r="AU169" s="889"/>
      <c r="AV169" s="889"/>
      <c r="AW169" s="889"/>
      <c r="AX169" s="889"/>
      <c r="AY169" s="889"/>
      <c r="AZ169" s="889"/>
    </row>
    <row r="170">
      <c r="A170" s="889"/>
      <c r="B170" s="889"/>
      <c r="C170" s="889"/>
      <c r="D170" s="889"/>
      <c r="E170" s="889"/>
      <c r="F170" s="889"/>
      <c r="G170" s="889"/>
      <c r="H170" s="889"/>
      <c r="I170" s="889"/>
      <c r="J170" s="889"/>
      <c r="K170" s="889"/>
      <c r="L170" s="889"/>
      <c r="M170" s="889"/>
      <c r="N170" s="944"/>
      <c r="O170" s="944"/>
      <c r="P170" s="944"/>
      <c r="Q170" s="944"/>
      <c r="R170" s="944"/>
      <c r="S170" s="889"/>
      <c r="T170" s="889"/>
      <c r="U170" s="889"/>
      <c r="V170" s="889"/>
      <c r="W170" s="889"/>
      <c r="X170" s="889"/>
      <c r="Y170" s="889"/>
      <c r="Z170" s="889"/>
      <c r="AA170" s="889"/>
      <c r="AB170" s="889"/>
      <c r="AC170" s="889"/>
      <c r="AD170" s="889"/>
      <c r="AE170" s="889"/>
      <c r="AF170" s="889"/>
      <c r="AG170" s="889"/>
      <c r="AH170" s="889"/>
      <c r="AI170" s="889"/>
      <c r="AJ170" s="889"/>
      <c r="AK170" s="889"/>
      <c r="AL170" s="889"/>
      <c r="AM170" s="889"/>
      <c r="AN170" s="889"/>
      <c r="AO170" s="889"/>
      <c r="AP170" s="889"/>
      <c r="AQ170" s="889"/>
      <c r="AR170" s="889"/>
      <c r="AS170" s="889"/>
      <c r="AT170" s="889"/>
      <c r="AU170" s="889"/>
      <c r="AV170" s="889"/>
      <c r="AW170" s="889"/>
      <c r="AX170" s="889"/>
      <c r="AY170" s="889"/>
      <c r="AZ170" s="889"/>
    </row>
    <row r="171">
      <c r="A171" s="889"/>
      <c r="B171" s="889"/>
      <c r="C171" s="889"/>
      <c r="D171" s="889"/>
      <c r="E171" s="889"/>
      <c r="F171" s="889"/>
      <c r="G171" s="889"/>
      <c r="H171" s="889"/>
      <c r="I171" s="889"/>
      <c r="J171" s="889"/>
      <c r="K171" s="889"/>
      <c r="L171" s="889"/>
      <c r="M171" s="889"/>
      <c r="N171" s="944"/>
      <c r="O171" s="944"/>
      <c r="P171" s="944"/>
      <c r="Q171" s="944"/>
      <c r="R171" s="944"/>
      <c r="S171" s="889"/>
      <c r="T171" s="889"/>
      <c r="U171" s="889"/>
      <c r="V171" s="889"/>
      <c r="W171" s="889"/>
      <c r="X171" s="889"/>
      <c r="Y171" s="889"/>
      <c r="Z171" s="889"/>
      <c r="AA171" s="889"/>
      <c r="AB171" s="889"/>
      <c r="AC171" s="889"/>
      <c r="AD171" s="889"/>
      <c r="AE171" s="889"/>
      <c r="AF171" s="889"/>
      <c r="AG171" s="889"/>
      <c r="AH171" s="889"/>
      <c r="AI171" s="889"/>
      <c r="AJ171" s="889"/>
      <c r="AK171" s="889"/>
      <c r="AL171" s="889"/>
      <c r="AM171" s="889"/>
      <c r="AN171" s="889"/>
      <c r="AO171" s="889"/>
      <c r="AP171" s="889"/>
      <c r="AQ171" s="889"/>
      <c r="AR171" s="889"/>
      <c r="AS171" s="889"/>
      <c r="AT171" s="889"/>
      <c r="AU171" s="889"/>
      <c r="AV171" s="889"/>
      <c r="AW171" s="889"/>
      <c r="AX171" s="889"/>
      <c r="AY171" s="889"/>
      <c r="AZ171" s="889"/>
    </row>
    <row r="172">
      <c r="A172" s="889"/>
      <c r="B172" s="889"/>
      <c r="C172" s="889"/>
      <c r="D172" s="889"/>
      <c r="E172" s="889"/>
      <c r="F172" s="889"/>
      <c r="G172" s="889"/>
      <c r="H172" s="889"/>
      <c r="I172" s="889"/>
      <c r="J172" s="889"/>
      <c r="K172" s="889"/>
      <c r="L172" s="889"/>
      <c r="M172" s="889"/>
      <c r="N172" s="944"/>
      <c r="O172" s="944"/>
      <c r="P172" s="944"/>
      <c r="Q172" s="944"/>
      <c r="R172" s="944"/>
      <c r="S172" s="889"/>
      <c r="T172" s="889"/>
      <c r="U172" s="889"/>
      <c r="V172" s="889"/>
      <c r="W172" s="889"/>
      <c r="X172" s="889"/>
      <c r="Y172" s="889"/>
      <c r="Z172" s="889"/>
      <c r="AA172" s="889"/>
      <c r="AB172" s="889"/>
      <c r="AC172" s="889"/>
      <c r="AD172" s="889"/>
      <c r="AE172" s="889"/>
      <c r="AF172" s="889"/>
      <c r="AG172" s="889"/>
      <c r="AH172" s="889"/>
      <c r="AI172" s="889"/>
      <c r="AJ172" s="889"/>
      <c r="AK172" s="889"/>
      <c r="AL172" s="889"/>
      <c r="AM172" s="889"/>
      <c r="AN172" s="889"/>
      <c r="AO172" s="889"/>
      <c r="AP172" s="889"/>
      <c r="AQ172" s="889"/>
      <c r="AR172" s="889"/>
      <c r="AS172" s="889"/>
      <c r="AT172" s="889"/>
      <c r="AU172" s="889"/>
      <c r="AV172" s="889"/>
      <c r="AW172" s="889"/>
      <c r="AX172" s="889"/>
      <c r="AY172" s="889"/>
      <c r="AZ172" s="889"/>
    </row>
    <row r="173">
      <c r="A173" s="889"/>
      <c r="B173" s="889"/>
      <c r="C173" s="889"/>
      <c r="D173" s="889"/>
      <c r="E173" s="889"/>
      <c r="F173" s="889"/>
      <c r="G173" s="889"/>
      <c r="H173" s="889"/>
      <c r="I173" s="889"/>
      <c r="J173" s="889"/>
      <c r="K173" s="889"/>
      <c r="L173" s="889"/>
      <c r="M173" s="889"/>
      <c r="N173" s="944"/>
      <c r="O173" s="944"/>
      <c r="P173" s="944"/>
      <c r="Q173" s="944"/>
      <c r="R173" s="944"/>
      <c r="S173" s="889"/>
      <c r="T173" s="889"/>
      <c r="U173" s="889"/>
      <c r="V173" s="889"/>
      <c r="W173" s="889"/>
      <c r="X173" s="889"/>
      <c r="Y173" s="889"/>
      <c r="Z173" s="889"/>
      <c r="AA173" s="889"/>
      <c r="AB173" s="889"/>
      <c r="AC173" s="889"/>
      <c r="AD173" s="889"/>
      <c r="AE173" s="889"/>
      <c r="AF173" s="889"/>
      <c r="AG173" s="889"/>
      <c r="AH173" s="889"/>
      <c r="AI173" s="889"/>
      <c r="AJ173" s="889"/>
      <c r="AK173" s="889"/>
      <c r="AL173" s="889"/>
      <c r="AM173" s="889"/>
      <c r="AN173" s="889"/>
      <c r="AO173" s="889"/>
      <c r="AP173" s="889"/>
      <c r="AQ173" s="889"/>
      <c r="AR173" s="889"/>
      <c r="AS173" s="889"/>
      <c r="AT173" s="889"/>
      <c r="AU173" s="889"/>
      <c r="AV173" s="889"/>
      <c r="AW173" s="889"/>
      <c r="AX173" s="889"/>
      <c r="AY173" s="889"/>
      <c r="AZ173" s="889"/>
    </row>
    <row r="174">
      <c r="A174" s="889"/>
      <c r="B174" s="889"/>
      <c r="C174" s="889"/>
      <c r="D174" s="889"/>
      <c r="E174" s="889"/>
      <c r="F174" s="889"/>
      <c r="G174" s="889"/>
      <c r="H174" s="889"/>
      <c r="I174" s="889"/>
      <c r="J174" s="889"/>
      <c r="K174" s="889"/>
      <c r="L174" s="889"/>
      <c r="M174" s="889"/>
      <c r="N174" s="944"/>
      <c r="O174" s="944"/>
      <c r="P174" s="944"/>
      <c r="Q174" s="944"/>
      <c r="R174" s="944"/>
      <c r="S174" s="889"/>
      <c r="T174" s="889"/>
      <c r="U174" s="889"/>
      <c r="V174" s="889"/>
      <c r="W174" s="889"/>
      <c r="X174" s="889"/>
      <c r="Y174" s="889"/>
      <c r="Z174" s="889"/>
      <c r="AA174" s="889"/>
      <c r="AB174" s="889"/>
      <c r="AC174" s="889"/>
      <c r="AD174" s="889"/>
      <c r="AE174" s="889"/>
      <c r="AF174" s="889"/>
      <c r="AG174" s="889"/>
      <c r="AH174" s="889"/>
      <c r="AI174" s="889"/>
      <c r="AJ174" s="889"/>
      <c r="AK174" s="889"/>
      <c r="AL174" s="889"/>
      <c r="AM174" s="889"/>
      <c r="AN174" s="889"/>
      <c r="AO174" s="889"/>
      <c r="AP174" s="889"/>
      <c r="AQ174" s="889"/>
      <c r="AR174" s="889"/>
      <c r="AS174" s="889"/>
      <c r="AT174" s="889"/>
      <c r="AU174" s="889"/>
      <c r="AV174" s="889"/>
      <c r="AW174" s="889"/>
      <c r="AX174" s="889"/>
      <c r="AY174" s="889"/>
      <c r="AZ174" s="889"/>
    </row>
    <row r="175">
      <c r="A175" s="889"/>
      <c r="B175" s="889"/>
      <c r="C175" s="889"/>
      <c r="D175" s="889"/>
      <c r="E175" s="889"/>
      <c r="F175" s="889"/>
      <c r="G175" s="889"/>
      <c r="H175" s="889"/>
      <c r="I175" s="889"/>
      <c r="J175" s="889"/>
      <c r="K175" s="889"/>
      <c r="L175" s="889"/>
      <c r="M175" s="889"/>
      <c r="N175" s="944"/>
      <c r="O175" s="944"/>
      <c r="P175" s="944"/>
      <c r="Q175" s="944"/>
      <c r="R175" s="944"/>
      <c r="S175" s="889"/>
      <c r="T175" s="889"/>
      <c r="U175" s="889"/>
      <c r="V175" s="889"/>
      <c r="W175" s="889"/>
      <c r="X175" s="889"/>
      <c r="Y175" s="889"/>
      <c r="Z175" s="889"/>
      <c r="AA175" s="889"/>
      <c r="AB175" s="889"/>
      <c r="AC175" s="889"/>
      <c r="AD175" s="889"/>
      <c r="AE175" s="889"/>
      <c r="AF175" s="889"/>
      <c r="AG175" s="889"/>
      <c r="AH175" s="889"/>
      <c r="AI175" s="889"/>
      <c r="AJ175" s="889"/>
      <c r="AK175" s="889"/>
      <c r="AL175" s="889"/>
      <c r="AM175" s="889"/>
      <c r="AN175" s="889"/>
      <c r="AO175" s="889"/>
      <c r="AP175" s="889"/>
      <c r="AQ175" s="889"/>
      <c r="AR175" s="889"/>
      <c r="AS175" s="889"/>
      <c r="AT175" s="889"/>
      <c r="AU175" s="889"/>
      <c r="AV175" s="889"/>
      <c r="AW175" s="889"/>
      <c r="AX175" s="889"/>
      <c r="AY175" s="889"/>
      <c r="AZ175" s="889"/>
    </row>
    <row r="176">
      <c r="A176" s="889"/>
      <c r="B176" s="889"/>
      <c r="C176" s="889"/>
      <c r="D176" s="889"/>
      <c r="E176" s="889"/>
      <c r="F176" s="889"/>
      <c r="G176" s="889"/>
      <c r="H176" s="889"/>
      <c r="I176" s="889"/>
      <c r="J176" s="889"/>
      <c r="K176" s="889"/>
      <c r="L176" s="889"/>
      <c r="M176" s="889"/>
      <c r="N176" s="944"/>
      <c r="O176" s="944"/>
      <c r="P176" s="944"/>
      <c r="Q176" s="944"/>
      <c r="R176" s="944"/>
      <c r="S176" s="889"/>
      <c r="T176" s="889"/>
      <c r="U176" s="889"/>
      <c r="V176" s="889"/>
      <c r="W176" s="889"/>
      <c r="X176" s="889"/>
      <c r="Y176" s="889"/>
      <c r="Z176" s="889"/>
      <c r="AA176" s="889"/>
      <c r="AB176" s="889"/>
      <c r="AC176" s="889"/>
      <c r="AD176" s="889"/>
      <c r="AE176" s="889"/>
      <c r="AF176" s="889"/>
      <c r="AG176" s="889"/>
      <c r="AH176" s="889"/>
      <c r="AI176" s="889"/>
      <c r="AJ176" s="889"/>
      <c r="AK176" s="889"/>
      <c r="AL176" s="889"/>
      <c r="AM176" s="889"/>
      <c r="AN176" s="889"/>
      <c r="AO176" s="889"/>
      <c r="AP176" s="889"/>
      <c r="AQ176" s="889"/>
      <c r="AR176" s="889"/>
      <c r="AS176" s="889"/>
      <c r="AT176" s="889"/>
      <c r="AU176" s="889"/>
      <c r="AV176" s="889"/>
      <c r="AW176" s="889"/>
      <c r="AX176" s="889"/>
      <c r="AY176" s="889"/>
      <c r="AZ176" s="889"/>
    </row>
    <row r="177">
      <c r="A177" s="889"/>
      <c r="B177" s="889"/>
      <c r="C177" s="889"/>
      <c r="D177" s="889"/>
      <c r="E177" s="889"/>
      <c r="F177" s="889"/>
      <c r="G177" s="889"/>
      <c r="H177" s="889"/>
      <c r="I177" s="889"/>
      <c r="J177" s="889"/>
      <c r="K177" s="889"/>
      <c r="L177" s="889"/>
      <c r="M177" s="889"/>
      <c r="N177" s="944"/>
      <c r="O177" s="944"/>
      <c r="P177" s="944"/>
      <c r="Q177" s="944"/>
      <c r="R177" s="944"/>
      <c r="S177" s="889"/>
      <c r="T177" s="889"/>
      <c r="U177" s="889"/>
      <c r="V177" s="889"/>
      <c r="W177" s="889"/>
      <c r="X177" s="889"/>
      <c r="Y177" s="889"/>
      <c r="Z177" s="889"/>
      <c r="AA177" s="889"/>
      <c r="AB177" s="889"/>
      <c r="AC177" s="889"/>
      <c r="AD177" s="889"/>
      <c r="AE177" s="889"/>
      <c r="AF177" s="889"/>
      <c r="AG177" s="889"/>
      <c r="AH177" s="889"/>
      <c r="AI177" s="889"/>
      <c r="AJ177" s="889"/>
      <c r="AK177" s="889"/>
      <c r="AL177" s="889"/>
      <c r="AM177" s="889"/>
      <c r="AN177" s="889"/>
      <c r="AO177" s="889"/>
      <c r="AP177" s="889"/>
      <c r="AQ177" s="889"/>
      <c r="AR177" s="889"/>
      <c r="AS177" s="889"/>
      <c r="AT177" s="889"/>
      <c r="AU177" s="889"/>
      <c r="AV177" s="889"/>
      <c r="AW177" s="889"/>
      <c r="AX177" s="889"/>
      <c r="AY177" s="889"/>
      <c r="AZ177" s="889"/>
    </row>
    <row r="178">
      <c r="A178" s="889"/>
      <c r="B178" s="889"/>
      <c r="C178" s="889"/>
      <c r="D178" s="889"/>
      <c r="E178" s="889"/>
      <c r="F178" s="889"/>
      <c r="G178" s="889"/>
      <c r="H178" s="889"/>
      <c r="I178" s="889"/>
      <c r="J178" s="889"/>
      <c r="K178" s="889"/>
      <c r="L178" s="889"/>
      <c r="M178" s="889"/>
      <c r="N178" s="944"/>
      <c r="O178" s="944"/>
      <c r="P178" s="944"/>
      <c r="Q178" s="944"/>
      <c r="R178" s="944"/>
      <c r="S178" s="889"/>
      <c r="T178" s="889"/>
      <c r="U178" s="889"/>
      <c r="V178" s="889"/>
      <c r="W178" s="889"/>
      <c r="X178" s="889"/>
      <c r="Y178" s="889"/>
      <c r="Z178" s="889"/>
      <c r="AA178" s="889"/>
      <c r="AB178" s="889"/>
      <c r="AC178" s="889"/>
      <c r="AD178" s="889"/>
      <c r="AE178" s="889"/>
      <c r="AF178" s="889"/>
      <c r="AG178" s="889"/>
      <c r="AH178" s="889"/>
      <c r="AI178" s="889"/>
      <c r="AJ178" s="889"/>
      <c r="AK178" s="889"/>
      <c r="AL178" s="889"/>
      <c r="AM178" s="889"/>
      <c r="AN178" s="889"/>
      <c r="AO178" s="889"/>
      <c r="AP178" s="889"/>
      <c r="AQ178" s="889"/>
      <c r="AR178" s="889"/>
      <c r="AS178" s="889"/>
      <c r="AT178" s="889"/>
      <c r="AU178" s="889"/>
      <c r="AV178" s="889"/>
      <c r="AW178" s="889"/>
      <c r="AX178" s="889"/>
      <c r="AY178" s="889"/>
      <c r="AZ178" s="889"/>
    </row>
    <row r="179">
      <c r="A179" s="889"/>
      <c r="B179" s="889"/>
      <c r="C179" s="889"/>
      <c r="D179" s="889"/>
      <c r="E179" s="889"/>
      <c r="F179" s="889"/>
      <c r="G179" s="889"/>
      <c r="H179" s="889"/>
      <c r="I179" s="889"/>
      <c r="J179" s="889"/>
      <c r="K179" s="889"/>
      <c r="L179" s="889"/>
      <c r="M179" s="889"/>
      <c r="N179" s="944"/>
      <c r="O179" s="944"/>
      <c r="P179" s="944"/>
      <c r="Q179" s="944"/>
      <c r="R179" s="944"/>
      <c r="S179" s="889"/>
      <c r="T179" s="889"/>
      <c r="U179" s="889"/>
      <c r="V179" s="889"/>
      <c r="W179" s="889"/>
      <c r="X179" s="889"/>
      <c r="Y179" s="889"/>
      <c r="Z179" s="889"/>
      <c r="AA179" s="889"/>
      <c r="AB179" s="889"/>
      <c r="AC179" s="889"/>
      <c r="AD179" s="889"/>
      <c r="AE179" s="889"/>
      <c r="AF179" s="889"/>
      <c r="AG179" s="889"/>
      <c r="AH179" s="889"/>
      <c r="AI179" s="889"/>
      <c r="AJ179" s="889"/>
      <c r="AK179" s="889"/>
      <c r="AL179" s="889"/>
      <c r="AM179" s="889"/>
      <c r="AN179" s="889"/>
      <c r="AO179" s="889"/>
      <c r="AP179" s="889"/>
      <c r="AQ179" s="889"/>
      <c r="AR179" s="889"/>
      <c r="AS179" s="889"/>
      <c r="AT179" s="889"/>
      <c r="AU179" s="889"/>
      <c r="AV179" s="889"/>
      <c r="AW179" s="889"/>
      <c r="AX179" s="889"/>
      <c r="AY179" s="889"/>
      <c r="AZ179" s="889"/>
    </row>
    <row r="180">
      <c r="A180" s="889"/>
      <c r="B180" s="889"/>
      <c r="C180" s="889"/>
      <c r="D180" s="889"/>
      <c r="E180" s="889"/>
      <c r="F180" s="889"/>
      <c r="G180" s="889"/>
      <c r="H180" s="889"/>
      <c r="I180" s="889"/>
      <c r="J180" s="889"/>
      <c r="K180" s="889"/>
      <c r="L180" s="889"/>
      <c r="M180" s="889"/>
      <c r="N180" s="944"/>
      <c r="O180" s="944"/>
      <c r="P180" s="944"/>
      <c r="Q180" s="944"/>
      <c r="R180" s="944"/>
      <c r="S180" s="889"/>
      <c r="T180" s="889"/>
      <c r="U180" s="889"/>
      <c r="V180" s="889"/>
      <c r="W180" s="889"/>
      <c r="X180" s="889"/>
      <c r="Y180" s="889"/>
      <c r="Z180" s="889"/>
      <c r="AA180" s="889"/>
      <c r="AB180" s="889"/>
      <c r="AC180" s="889"/>
      <c r="AD180" s="889"/>
      <c r="AE180" s="889"/>
      <c r="AF180" s="889"/>
      <c r="AG180" s="889"/>
      <c r="AH180" s="889"/>
      <c r="AI180" s="889"/>
      <c r="AJ180" s="889"/>
      <c r="AK180" s="889"/>
      <c r="AL180" s="889"/>
      <c r="AM180" s="889"/>
      <c r="AN180" s="889"/>
      <c r="AO180" s="889"/>
      <c r="AP180" s="889"/>
      <c r="AQ180" s="889"/>
      <c r="AR180" s="889"/>
      <c r="AS180" s="889"/>
      <c r="AT180" s="889"/>
      <c r="AU180" s="889"/>
      <c r="AV180" s="889"/>
      <c r="AW180" s="889"/>
      <c r="AX180" s="889"/>
      <c r="AY180" s="889"/>
      <c r="AZ180" s="889"/>
    </row>
    <row r="181">
      <c r="A181" s="889"/>
      <c r="B181" s="889"/>
      <c r="C181" s="889"/>
      <c r="D181" s="889"/>
      <c r="E181" s="889"/>
      <c r="F181" s="889"/>
      <c r="G181" s="889"/>
      <c r="H181" s="889"/>
      <c r="I181" s="889"/>
      <c r="J181" s="889"/>
      <c r="K181" s="889"/>
      <c r="L181" s="889"/>
      <c r="M181" s="889"/>
      <c r="N181" s="944"/>
      <c r="O181" s="944"/>
      <c r="P181" s="944"/>
      <c r="Q181" s="944"/>
      <c r="R181" s="944"/>
      <c r="S181" s="889"/>
      <c r="T181" s="889"/>
      <c r="U181" s="889"/>
      <c r="V181" s="889"/>
      <c r="W181" s="889"/>
      <c r="X181" s="889"/>
      <c r="Y181" s="889"/>
      <c r="Z181" s="889"/>
      <c r="AA181" s="889"/>
      <c r="AB181" s="889"/>
      <c r="AC181" s="889"/>
      <c r="AD181" s="889"/>
      <c r="AE181" s="889"/>
      <c r="AF181" s="889"/>
      <c r="AG181" s="889"/>
      <c r="AH181" s="889"/>
      <c r="AI181" s="889"/>
      <c r="AJ181" s="889"/>
      <c r="AK181" s="889"/>
      <c r="AL181" s="889"/>
      <c r="AM181" s="889"/>
      <c r="AN181" s="889"/>
      <c r="AO181" s="889"/>
      <c r="AP181" s="889"/>
      <c r="AQ181" s="889"/>
      <c r="AR181" s="889"/>
      <c r="AS181" s="889"/>
      <c r="AT181" s="889"/>
      <c r="AU181" s="889"/>
      <c r="AV181" s="889"/>
      <c r="AW181" s="889"/>
      <c r="AX181" s="889"/>
      <c r="AY181" s="889"/>
      <c r="AZ181" s="889"/>
    </row>
    <row r="182">
      <c r="A182" s="889"/>
      <c r="B182" s="889"/>
      <c r="C182" s="889"/>
      <c r="D182" s="889"/>
      <c r="E182" s="889"/>
      <c r="F182" s="889"/>
      <c r="G182" s="889"/>
      <c r="H182" s="889"/>
      <c r="I182" s="889"/>
      <c r="J182" s="889"/>
      <c r="K182" s="889"/>
      <c r="L182" s="889"/>
      <c r="M182" s="889"/>
      <c r="N182" s="944"/>
      <c r="O182" s="944"/>
      <c r="P182" s="944"/>
      <c r="Q182" s="944"/>
      <c r="R182" s="944"/>
      <c r="S182" s="889"/>
      <c r="T182" s="889"/>
      <c r="U182" s="889"/>
      <c r="V182" s="889"/>
      <c r="W182" s="889"/>
      <c r="X182" s="889"/>
      <c r="Y182" s="889"/>
      <c r="Z182" s="889"/>
      <c r="AA182" s="889"/>
      <c r="AB182" s="889"/>
      <c r="AC182" s="889"/>
      <c r="AD182" s="889"/>
      <c r="AE182" s="889"/>
      <c r="AF182" s="889"/>
      <c r="AG182" s="889"/>
      <c r="AH182" s="889"/>
      <c r="AI182" s="889"/>
      <c r="AJ182" s="889"/>
      <c r="AK182" s="889"/>
      <c r="AL182" s="889"/>
      <c r="AM182" s="889"/>
      <c r="AN182" s="889"/>
      <c r="AO182" s="889"/>
      <c r="AP182" s="889"/>
      <c r="AQ182" s="889"/>
      <c r="AR182" s="889"/>
      <c r="AS182" s="889"/>
      <c r="AT182" s="889"/>
      <c r="AU182" s="889"/>
      <c r="AV182" s="889"/>
      <c r="AW182" s="889"/>
      <c r="AX182" s="889"/>
      <c r="AY182" s="889"/>
      <c r="AZ182" s="889"/>
    </row>
    <row r="183">
      <c r="A183" s="889"/>
      <c r="B183" s="889"/>
      <c r="C183" s="889"/>
      <c r="D183" s="889"/>
      <c r="E183" s="889"/>
      <c r="F183" s="889"/>
      <c r="G183" s="889"/>
      <c r="H183" s="889"/>
      <c r="I183" s="889"/>
      <c r="J183" s="889"/>
      <c r="K183" s="889"/>
      <c r="L183" s="889"/>
      <c r="M183" s="889"/>
      <c r="N183" s="944"/>
      <c r="O183" s="944"/>
      <c r="P183" s="944"/>
      <c r="Q183" s="944"/>
      <c r="R183" s="944"/>
      <c r="S183" s="889"/>
      <c r="T183" s="889"/>
      <c r="U183" s="889"/>
      <c r="V183" s="889"/>
      <c r="W183" s="889"/>
      <c r="X183" s="889"/>
      <c r="Y183" s="889"/>
      <c r="Z183" s="889"/>
      <c r="AA183" s="889"/>
      <c r="AB183" s="889"/>
      <c r="AC183" s="889"/>
      <c r="AD183" s="889"/>
      <c r="AE183" s="889"/>
      <c r="AF183" s="889"/>
      <c r="AG183" s="889"/>
      <c r="AH183" s="889"/>
      <c r="AI183" s="889"/>
      <c r="AJ183" s="889"/>
      <c r="AK183" s="889"/>
      <c r="AL183" s="889"/>
      <c r="AM183" s="889"/>
      <c r="AN183" s="889"/>
      <c r="AO183" s="889"/>
      <c r="AP183" s="889"/>
      <c r="AQ183" s="889"/>
      <c r="AR183" s="889"/>
      <c r="AS183" s="889"/>
      <c r="AT183" s="889"/>
      <c r="AU183" s="889"/>
      <c r="AV183" s="889"/>
      <c r="AW183" s="889"/>
      <c r="AX183" s="889"/>
      <c r="AY183" s="889"/>
      <c r="AZ183" s="889"/>
    </row>
    <row r="184">
      <c r="A184" s="889"/>
      <c r="B184" s="889"/>
      <c r="C184" s="889"/>
      <c r="D184" s="889"/>
      <c r="E184" s="889"/>
      <c r="F184" s="889"/>
      <c r="G184" s="889"/>
      <c r="H184" s="889"/>
      <c r="I184" s="889"/>
      <c r="J184" s="889"/>
      <c r="K184" s="889"/>
      <c r="L184" s="889"/>
      <c r="M184" s="889"/>
      <c r="N184" s="944"/>
      <c r="O184" s="944"/>
      <c r="P184" s="944"/>
      <c r="Q184" s="944"/>
      <c r="R184" s="944"/>
      <c r="S184" s="889"/>
      <c r="T184" s="889"/>
      <c r="U184" s="889"/>
      <c r="V184" s="889"/>
      <c r="W184" s="889"/>
      <c r="X184" s="889"/>
      <c r="Y184" s="889"/>
      <c r="Z184" s="889"/>
      <c r="AA184" s="889"/>
      <c r="AB184" s="889"/>
      <c r="AC184" s="889"/>
      <c r="AD184" s="889"/>
      <c r="AE184" s="889"/>
      <c r="AF184" s="889"/>
      <c r="AG184" s="889"/>
      <c r="AH184" s="889"/>
      <c r="AI184" s="889"/>
      <c r="AJ184" s="889"/>
      <c r="AK184" s="889"/>
      <c r="AL184" s="889"/>
      <c r="AM184" s="889"/>
      <c r="AN184" s="889"/>
      <c r="AO184" s="889"/>
      <c r="AP184" s="889"/>
      <c r="AQ184" s="889"/>
      <c r="AR184" s="889"/>
      <c r="AS184" s="889"/>
      <c r="AT184" s="889"/>
      <c r="AU184" s="889"/>
      <c r="AV184" s="889"/>
      <c r="AW184" s="889"/>
      <c r="AX184" s="889"/>
      <c r="AY184" s="889"/>
      <c r="AZ184" s="889"/>
    </row>
    <row r="185">
      <c r="A185" s="889"/>
      <c r="B185" s="889"/>
      <c r="C185" s="889"/>
      <c r="D185" s="889"/>
      <c r="E185" s="889"/>
      <c r="F185" s="889"/>
      <c r="G185" s="889"/>
      <c r="H185" s="889"/>
      <c r="I185" s="889"/>
      <c r="J185" s="889"/>
      <c r="K185" s="889"/>
      <c r="L185" s="889"/>
      <c r="M185" s="889"/>
      <c r="N185" s="944"/>
      <c r="O185" s="944"/>
      <c r="P185" s="944"/>
      <c r="Q185" s="944"/>
      <c r="R185" s="944"/>
      <c r="S185" s="889"/>
      <c r="T185" s="889"/>
      <c r="U185" s="889"/>
      <c r="V185" s="889"/>
      <c r="W185" s="889"/>
      <c r="X185" s="889"/>
      <c r="Y185" s="889"/>
      <c r="Z185" s="889"/>
      <c r="AA185" s="889"/>
      <c r="AB185" s="889"/>
      <c r="AC185" s="889"/>
      <c r="AD185" s="889"/>
      <c r="AE185" s="889"/>
      <c r="AF185" s="889"/>
      <c r="AG185" s="889"/>
      <c r="AH185" s="889"/>
      <c r="AI185" s="889"/>
      <c r="AJ185" s="889"/>
      <c r="AK185" s="889"/>
      <c r="AL185" s="889"/>
      <c r="AM185" s="889"/>
      <c r="AN185" s="889"/>
      <c r="AO185" s="889"/>
      <c r="AP185" s="889"/>
      <c r="AQ185" s="889"/>
      <c r="AR185" s="889"/>
      <c r="AS185" s="889"/>
      <c r="AT185" s="889"/>
      <c r="AU185" s="889"/>
      <c r="AV185" s="889"/>
      <c r="AW185" s="889"/>
      <c r="AX185" s="889"/>
      <c r="AY185" s="889"/>
      <c r="AZ185" s="889"/>
    </row>
    <row r="186">
      <c r="A186" s="889"/>
      <c r="B186" s="889"/>
      <c r="C186" s="889"/>
      <c r="D186" s="889"/>
      <c r="E186" s="889"/>
      <c r="F186" s="889"/>
      <c r="G186" s="889"/>
      <c r="H186" s="889"/>
      <c r="I186" s="889"/>
      <c r="J186" s="889"/>
      <c r="K186" s="889"/>
      <c r="L186" s="889"/>
      <c r="M186" s="889"/>
      <c r="N186" s="944"/>
      <c r="O186" s="944"/>
      <c r="P186" s="944"/>
      <c r="Q186" s="944"/>
      <c r="R186" s="944"/>
      <c r="S186" s="889"/>
      <c r="T186" s="889"/>
      <c r="U186" s="889"/>
      <c r="V186" s="889"/>
      <c r="W186" s="889"/>
      <c r="X186" s="889"/>
      <c r="Y186" s="889"/>
      <c r="Z186" s="889"/>
      <c r="AA186" s="889"/>
      <c r="AB186" s="889"/>
      <c r="AC186" s="889"/>
      <c r="AD186" s="889"/>
      <c r="AE186" s="889"/>
      <c r="AF186" s="889"/>
      <c r="AG186" s="889"/>
      <c r="AH186" s="889"/>
      <c r="AI186" s="889"/>
      <c r="AJ186" s="889"/>
      <c r="AK186" s="889"/>
      <c r="AL186" s="889"/>
      <c r="AM186" s="889"/>
      <c r="AN186" s="889"/>
      <c r="AO186" s="889"/>
      <c r="AP186" s="889"/>
      <c r="AQ186" s="889"/>
      <c r="AR186" s="889"/>
      <c r="AS186" s="889"/>
      <c r="AT186" s="889"/>
      <c r="AU186" s="889"/>
      <c r="AV186" s="889"/>
      <c r="AW186" s="889"/>
      <c r="AX186" s="889"/>
      <c r="AY186" s="889"/>
      <c r="AZ186" s="889"/>
    </row>
    <row r="187">
      <c r="A187" s="889"/>
      <c r="B187" s="889"/>
      <c r="C187" s="889"/>
      <c r="D187" s="889"/>
      <c r="E187" s="889"/>
      <c r="F187" s="889"/>
      <c r="G187" s="889"/>
      <c r="H187" s="889"/>
      <c r="I187" s="889"/>
      <c r="J187" s="889"/>
      <c r="K187" s="889"/>
      <c r="L187" s="889"/>
      <c r="M187" s="889"/>
      <c r="N187" s="944"/>
      <c r="O187" s="944"/>
      <c r="P187" s="944"/>
      <c r="Q187" s="944"/>
      <c r="R187" s="944"/>
      <c r="S187" s="889"/>
      <c r="T187" s="889"/>
      <c r="U187" s="889"/>
      <c r="V187" s="889"/>
      <c r="W187" s="889"/>
      <c r="X187" s="889"/>
      <c r="Y187" s="889"/>
      <c r="Z187" s="889"/>
      <c r="AA187" s="889"/>
      <c r="AB187" s="889"/>
      <c r="AC187" s="889"/>
      <c r="AD187" s="889"/>
      <c r="AE187" s="889"/>
      <c r="AF187" s="889"/>
      <c r="AG187" s="889"/>
      <c r="AH187" s="889"/>
      <c r="AI187" s="889"/>
      <c r="AJ187" s="889"/>
      <c r="AK187" s="889"/>
      <c r="AL187" s="889"/>
      <c r="AM187" s="889"/>
      <c r="AN187" s="889"/>
      <c r="AO187" s="889"/>
      <c r="AP187" s="889"/>
      <c r="AQ187" s="889"/>
      <c r="AR187" s="889"/>
      <c r="AS187" s="889"/>
      <c r="AT187" s="889"/>
      <c r="AU187" s="889"/>
      <c r="AV187" s="889"/>
      <c r="AW187" s="889"/>
      <c r="AX187" s="889"/>
      <c r="AY187" s="889"/>
      <c r="AZ187" s="889"/>
    </row>
    <row r="188">
      <c r="A188" s="889"/>
      <c r="B188" s="889"/>
      <c r="C188" s="889"/>
      <c r="D188" s="889"/>
      <c r="E188" s="889"/>
      <c r="F188" s="889"/>
      <c r="G188" s="889"/>
      <c r="H188" s="889"/>
      <c r="I188" s="889"/>
      <c r="J188" s="889"/>
      <c r="K188" s="889"/>
      <c r="L188" s="889"/>
      <c r="M188" s="889"/>
      <c r="N188" s="944"/>
      <c r="O188" s="944"/>
      <c r="P188" s="944"/>
      <c r="Q188" s="944"/>
      <c r="R188" s="944"/>
      <c r="S188" s="889"/>
      <c r="T188" s="889"/>
      <c r="U188" s="889"/>
      <c r="V188" s="889"/>
      <c r="W188" s="889"/>
      <c r="X188" s="889"/>
      <c r="Y188" s="889"/>
      <c r="Z188" s="889"/>
      <c r="AA188" s="889"/>
      <c r="AB188" s="889"/>
      <c r="AC188" s="889"/>
      <c r="AD188" s="889"/>
      <c r="AE188" s="889"/>
      <c r="AF188" s="889"/>
      <c r="AG188" s="889"/>
      <c r="AH188" s="889"/>
      <c r="AI188" s="889"/>
      <c r="AJ188" s="889"/>
      <c r="AK188" s="889"/>
      <c r="AL188" s="889"/>
      <c r="AM188" s="889"/>
      <c r="AN188" s="889"/>
      <c r="AO188" s="889"/>
      <c r="AP188" s="889"/>
      <c r="AQ188" s="889"/>
      <c r="AR188" s="889"/>
      <c r="AS188" s="889"/>
      <c r="AT188" s="889"/>
      <c r="AU188" s="889"/>
      <c r="AV188" s="889"/>
      <c r="AW188" s="889"/>
      <c r="AX188" s="889"/>
      <c r="AY188" s="889"/>
      <c r="AZ188" s="889"/>
    </row>
    <row r="189">
      <c r="A189" s="889"/>
      <c r="B189" s="889"/>
      <c r="C189" s="889"/>
      <c r="D189" s="889"/>
      <c r="E189" s="889"/>
      <c r="F189" s="889"/>
      <c r="G189" s="889"/>
      <c r="H189" s="889"/>
      <c r="I189" s="889"/>
      <c r="J189" s="889"/>
      <c r="K189" s="889"/>
      <c r="L189" s="889"/>
      <c r="M189" s="889"/>
      <c r="N189" s="944"/>
      <c r="O189" s="944"/>
      <c r="P189" s="944"/>
      <c r="Q189" s="944"/>
      <c r="R189" s="944"/>
      <c r="S189" s="889"/>
      <c r="T189" s="889"/>
      <c r="U189" s="889"/>
      <c r="V189" s="889"/>
      <c r="W189" s="889"/>
      <c r="X189" s="889"/>
      <c r="Y189" s="889"/>
      <c r="Z189" s="889"/>
      <c r="AA189" s="889"/>
      <c r="AB189" s="889"/>
      <c r="AC189" s="889"/>
      <c r="AD189" s="889"/>
      <c r="AE189" s="889"/>
      <c r="AF189" s="889"/>
      <c r="AG189" s="889"/>
      <c r="AH189" s="889"/>
      <c r="AI189" s="889"/>
      <c r="AJ189" s="889"/>
      <c r="AK189" s="889"/>
      <c r="AL189" s="889"/>
      <c r="AM189" s="889"/>
      <c r="AN189" s="889"/>
      <c r="AO189" s="889"/>
      <c r="AP189" s="889"/>
      <c r="AQ189" s="889"/>
      <c r="AR189" s="889"/>
      <c r="AS189" s="889"/>
      <c r="AT189" s="889"/>
      <c r="AU189" s="889"/>
      <c r="AV189" s="889"/>
      <c r="AW189" s="889"/>
      <c r="AX189" s="889"/>
      <c r="AY189" s="889"/>
      <c r="AZ189" s="889"/>
    </row>
    <row r="190">
      <c r="A190" s="889"/>
      <c r="B190" s="889"/>
      <c r="C190" s="889"/>
      <c r="D190" s="889"/>
      <c r="E190" s="889"/>
      <c r="F190" s="889"/>
      <c r="G190" s="889"/>
      <c r="H190" s="889"/>
      <c r="I190" s="889"/>
      <c r="J190" s="889"/>
      <c r="K190" s="889"/>
      <c r="L190" s="889"/>
      <c r="M190" s="889"/>
      <c r="N190" s="944"/>
      <c r="O190" s="944"/>
      <c r="P190" s="944"/>
      <c r="Q190" s="944"/>
      <c r="R190" s="944"/>
      <c r="S190" s="889"/>
      <c r="T190" s="889"/>
      <c r="U190" s="889"/>
      <c r="V190" s="889"/>
      <c r="W190" s="889"/>
      <c r="X190" s="889"/>
      <c r="Y190" s="889"/>
      <c r="Z190" s="889"/>
      <c r="AA190" s="889"/>
      <c r="AB190" s="889"/>
      <c r="AC190" s="889"/>
      <c r="AD190" s="889"/>
      <c r="AE190" s="889"/>
      <c r="AF190" s="889"/>
      <c r="AG190" s="889"/>
      <c r="AH190" s="889"/>
      <c r="AI190" s="889"/>
      <c r="AJ190" s="889"/>
      <c r="AK190" s="889"/>
      <c r="AL190" s="889"/>
      <c r="AM190" s="889"/>
      <c r="AN190" s="889"/>
      <c r="AO190" s="889"/>
      <c r="AP190" s="889"/>
      <c r="AQ190" s="889"/>
      <c r="AR190" s="889"/>
      <c r="AS190" s="889"/>
      <c r="AT190" s="889"/>
      <c r="AU190" s="889"/>
      <c r="AV190" s="889"/>
      <c r="AW190" s="889"/>
      <c r="AX190" s="889"/>
      <c r="AY190" s="889"/>
      <c r="AZ190" s="889"/>
    </row>
    <row r="191">
      <c r="A191" s="889"/>
      <c r="B191" s="889"/>
      <c r="C191" s="889"/>
      <c r="D191" s="889"/>
      <c r="E191" s="889"/>
      <c r="F191" s="889"/>
      <c r="G191" s="889"/>
      <c r="H191" s="889"/>
      <c r="I191" s="889"/>
      <c r="J191" s="889"/>
      <c r="K191" s="889"/>
      <c r="L191" s="889"/>
      <c r="M191" s="889"/>
      <c r="N191" s="944"/>
      <c r="O191" s="944"/>
      <c r="P191" s="944"/>
      <c r="Q191" s="944"/>
      <c r="R191" s="944"/>
      <c r="S191" s="889"/>
      <c r="T191" s="889"/>
      <c r="U191" s="889"/>
      <c r="V191" s="889"/>
      <c r="W191" s="889"/>
      <c r="X191" s="889"/>
      <c r="Y191" s="889"/>
      <c r="Z191" s="889"/>
      <c r="AA191" s="889"/>
      <c r="AB191" s="889"/>
      <c r="AC191" s="889"/>
      <c r="AD191" s="889"/>
      <c r="AE191" s="889"/>
      <c r="AF191" s="889"/>
      <c r="AG191" s="889"/>
      <c r="AH191" s="889"/>
      <c r="AI191" s="889"/>
      <c r="AJ191" s="889"/>
      <c r="AK191" s="889"/>
      <c r="AL191" s="889"/>
      <c r="AM191" s="889"/>
      <c r="AN191" s="889"/>
      <c r="AO191" s="889"/>
      <c r="AP191" s="889"/>
      <c r="AQ191" s="889"/>
      <c r="AR191" s="889"/>
      <c r="AS191" s="889"/>
      <c r="AT191" s="889"/>
      <c r="AU191" s="889"/>
      <c r="AV191" s="889"/>
      <c r="AW191" s="889"/>
      <c r="AX191" s="889"/>
      <c r="AY191" s="889"/>
      <c r="AZ191" s="889"/>
    </row>
    <row r="192">
      <c r="A192" s="889"/>
      <c r="B192" s="889"/>
      <c r="C192" s="889"/>
      <c r="D192" s="889"/>
      <c r="E192" s="889"/>
      <c r="F192" s="889"/>
      <c r="G192" s="889"/>
      <c r="H192" s="889"/>
      <c r="I192" s="889"/>
      <c r="J192" s="889"/>
      <c r="K192" s="889"/>
      <c r="L192" s="889"/>
      <c r="M192" s="889"/>
      <c r="N192" s="944"/>
      <c r="O192" s="944"/>
      <c r="P192" s="944"/>
      <c r="Q192" s="944"/>
      <c r="R192" s="944"/>
      <c r="S192" s="889"/>
      <c r="T192" s="889"/>
      <c r="U192" s="889"/>
      <c r="V192" s="889"/>
      <c r="W192" s="889"/>
      <c r="X192" s="889"/>
      <c r="Y192" s="889"/>
      <c r="Z192" s="889"/>
      <c r="AA192" s="889"/>
      <c r="AB192" s="889"/>
      <c r="AC192" s="889"/>
      <c r="AD192" s="889"/>
      <c r="AE192" s="889"/>
      <c r="AF192" s="889"/>
      <c r="AG192" s="889"/>
      <c r="AH192" s="889"/>
      <c r="AI192" s="889"/>
      <c r="AJ192" s="889"/>
      <c r="AK192" s="889"/>
      <c r="AL192" s="889"/>
      <c r="AM192" s="889"/>
      <c r="AN192" s="889"/>
      <c r="AO192" s="889"/>
      <c r="AP192" s="889"/>
      <c r="AQ192" s="889"/>
      <c r="AR192" s="889"/>
      <c r="AS192" s="889"/>
      <c r="AT192" s="889"/>
      <c r="AU192" s="889"/>
      <c r="AV192" s="889"/>
      <c r="AW192" s="889"/>
      <c r="AX192" s="889"/>
      <c r="AY192" s="889"/>
      <c r="AZ192" s="889"/>
    </row>
    <row r="193">
      <c r="A193" s="889"/>
      <c r="B193" s="889"/>
      <c r="C193" s="889"/>
      <c r="D193" s="889"/>
      <c r="E193" s="889"/>
      <c r="F193" s="889"/>
      <c r="G193" s="889"/>
      <c r="H193" s="889"/>
      <c r="I193" s="889"/>
      <c r="J193" s="889"/>
      <c r="K193" s="889"/>
      <c r="L193" s="889"/>
      <c r="M193" s="889"/>
      <c r="N193" s="944"/>
      <c r="O193" s="944"/>
      <c r="P193" s="944"/>
      <c r="Q193" s="944"/>
      <c r="R193" s="944"/>
      <c r="S193" s="889"/>
      <c r="T193" s="889"/>
      <c r="U193" s="889"/>
      <c r="V193" s="889"/>
      <c r="W193" s="889"/>
      <c r="X193" s="889"/>
      <c r="Y193" s="889"/>
      <c r="Z193" s="889"/>
      <c r="AA193" s="889"/>
      <c r="AB193" s="889"/>
      <c r="AC193" s="889"/>
      <c r="AD193" s="889"/>
      <c r="AE193" s="889"/>
      <c r="AF193" s="889"/>
      <c r="AG193" s="889"/>
      <c r="AH193" s="889"/>
      <c r="AI193" s="889"/>
      <c r="AJ193" s="889"/>
      <c r="AK193" s="889"/>
      <c r="AL193" s="889"/>
      <c r="AM193" s="889"/>
      <c r="AN193" s="889"/>
      <c r="AO193" s="889"/>
      <c r="AP193" s="889"/>
      <c r="AQ193" s="889"/>
      <c r="AR193" s="889"/>
      <c r="AS193" s="889"/>
      <c r="AT193" s="889"/>
      <c r="AU193" s="889"/>
      <c r="AV193" s="889"/>
      <c r="AW193" s="889"/>
      <c r="AX193" s="889"/>
      <c r="AY193" s="889"/>
      <c r="AZ193" s="889"/>
    </row>
    <row r="194">
      <c r="A194" s="889"/>
      <c r="B194" s="889"/>
      <c r="C194" s="889"/>
      <c r="D194" s="889"/>
      <c r="E194" s="889"/>
      <c r="F194" s="889"/>
      <c r="G194" s="889"/>
      <c r="H194" s="889"/>
      <c r="I194" s="889"/>
      <c r="J194" s="889"/>
      <c r="K194" s="889"/>
      <c r="L194" s="889"/>
      <c r="M194" s="889"/>
      <c r="N194" s="944"/>
      <c r="O194" s="944"/>
      <c r="P194" s="944"/>
      <c r="Q194" s="944"/>
      <c r="R194" s="944"/>
      <c r="S194" s="889"/>
      <c r="T194" s="889"/>
      <c r="U194" s="889"/>
      <c r="V194" s="889"/>
      <c r="W194" s="889"/>
      <c r="X194" s="889"/>
      <c r="Y194" s="889"/>
      <c r="Z194" s="889"/>
      <c r="AA194" s="889"/>
      <c r="AB194" s="889"/>
      <c r="AC194" s="889"/>
      <c r="AD194" s="889"/>
      <c r="AE194" s="889"/>
      <c r="AF194" s="889"/>
      <c r="AG194" s="889"/>
      <c r="AH194" s="889"/>
      <c r="AI194" s="889"/>
      <c r="AJ194" s="889"/>
      <c r="AK194" s="889"/>
      <c r="AL194" s="889"/>
      <c r="AM194" s="889"/>
      <c r="AN194" s="889"/>
      <c r="AO194" s="889"/>
      <c r="AP194" s="889"/>
      <c r="AQ194" s="889"/>
      <c r="AR194" s="889"/>
      <c r="AS194" s="889"/>
      <c r="AT194" s="889"/>
      <c r="AU194" s="889"/>
      <c r="AV194" s="889"/>
      <c r="AW194" s="889"/>
      <c r="AX194" s="889"/>
      <c r="AY194" s="889"/>
      <c r="AZ194" s="889"/>
    </row>
    <row r="195">
      <c r="A195" s="889"/>
      <c r="B195" s="889"/>
      <c r="C195" s="889"/>
      <c r="D195" s="889"/>
      <c r="E195" s="889"/>
      <c r="F195" s="889"/>
      <c r="G195" s="889"/>
      <c r="H195" s="889"/>
      <c r="I195" s="889"/>
      <c r="J195" s="889"/>
      <c r="K195" s="889"/>
      <c r="L195" s="889"/>
      <c r="M195" s="889"/>
      <c r="N195" s="944"/>
      <c r="O195" s="944"/>
      <c r="P195" s="944"/>
      <c r="Q195" s="944"/>
      <c r="R195" s="944"/>
      <c r="S195" s="889"/>
      <c r="T195" s="889"/>
      <c r="U195" s="889"/>
      <c r="V195" s="889"/>
      <c r="W195" s="889"/>
      <c r="X195" s="889"/>
      <c r="Y195" s="889"/>
      <c r="Z195" s="889"/>
      <c r="AA195" s="889"/>
      <c r="AB195" s="889"/>
      <c r="AC195" s="889"/>
      <c r="AD195" s="889"/>
      <c r="AE195" s="889"/>
      <c r="AF195" s="889"/>
      <c r="AG195" s="889"/>
      <c r="AH195" s="889"/>
      <c r="AI195" s="889"/>
      <c r="AJ195" s="889"/>
      <c r="AK195" s="889"/>
      <c r="AL195" s="889"/>
      <c r="AM195" s="889"/>
      <c r="AN195" s="889"/>
      <c r="AO195" s="889"/>
      <c r="AP195" s="889"/>
      <c r="AQ195" s="889"/>
      <c r="AR195" s="889"/>
      <c r="AS195" s="889"/>
      <c r="AT195" s="889"/>
      <c r="AU195" s="889"/>
      <c r="AV195" s="889"/>
      <c r="AW195" s="889"/>
      <c r="AX195" s="889"/>
      <c r="AY195" s="889"/>
      <c r="AZ195" s="889"/>
    </row>
    <row r="196">
      <c r="A196" s="889"/>
      <c r="B196" s="889"/>
      <c r="C196" s="889"/>
      <c r="D196" s="889"/>
      <c r="E196" s="889"/>
      <c r="F196" s="889"/>
      <c r="G196" s="889"/>
      <c r="H196" s="889"/>
      <c r="I196" s="889"/>
      <c r="J196" s="889"/>
      <c r="K196" s="889"/>
      <c r="L196" s="889"/>
      <c r="M196" s="889"/>
      <c r="N196" s="944"/>
      <c r="O196" s="944"/>
      <c r="P196" s="944"/>
      <c r="Q196" s="944"/>
      <c r="R196" s="944"/>
      <c r="S196" s="889"/>
      <c r="T196" s="889"/>
      <c r="U196" s="889"/>
      <c r="V196" s="889"/>
      <c r="W196" s="889"/>
      <c r="X196" s="889"/>
      <c r="Y196" s="889"/>
      <c r="Z196" s="889"/>
      <c r="AA196" s="889"/>
      <c r="AB196" s="889"/>
      <c r="AC196" s="889"/>
      <c r="AD196" s="889"/>
      <c r="AE196" s="889"/>
      <c r="AF196" s="889"/>
      <c r="AG196" s="889"/>
      <c r="AH196" s="889"/>
      <c r="AI196" s="889"/>
      <c r="AJ196" s="889"/>
      <c r="AK196" s="889"/>
      <c r="AL196" s="889"/>
      <c r="AM196" s="889"/>
      <c r="AN196" s="889"/>
      <c r="AO196" s="889"/>
      <c r="AP196" s="889"/>
      <c r="AQ196" s="889"/>
      <c r="AR196" s="889"/>
      <c r="AS196" s="889"/>
      <c r="AT196" s="889"/>
      <c r="AU196" s="889"/>
      <c r="AV196" s="889"/>
      <c r="AW196" s="889"/>
      <c r="AX196" s="889"/>
      <c r="AY196" s="889"/>
      <c r="AZ196" s="889"/>
    </row>
    <row r="197">
      <c r="A197" s="889"/>
      <c r="B197" s="889"/>
      <c r="C197" s="889"/>
      <c r="D197" s="889"/>
      <c r="E197" s="889"/>
      <c r="F197" s="889"/>
      <c r="G197" s="889"/>
      <c r="H197" s="889"/>
      <c r="I197" s="889"/>
      <c r="J197" s="889"/>
      <c r="K197" s="889"/>
      <c r="L197" s="889"/>
      <c r="M197" s="889"/>
      <c r="N197" s="944"/>
      <c r="O197" s="944"/>
      <c r="P197" s="944"/>
      <c r="Q197" s="944"/>
      <c r="R197" s="944"/>
      <c r="S197" s="889"/>
      <c r="T197" s="889"/>
      <c r="U197" s="889"/>
      <c r="V197" s="889"/>
      <c r="W197" s="889"/>
      <c r="X197" s="889"/>
      <c r="Y197" s="889"/>
      <c r="Z197" s="889"/>
      <c r="AA197" s="889"/>
      <c r="AB197" s="889"/>
      <c r="AC197" s="889"/>
      <c r="AD197" s="889"/>
      <c r="AE197" s="889"/>
      <c r="AF197" s="889"/>
      <c r="AG197" s="889"/>
      <c r="AH197" s="889"/>
      <c r="AI197" s="889"/>
      <c r="AJ197" s="889"/>
      <c r="AK197" s="889"/>
      <c r="AL197" s="889"/>
      <c r="AM197" s="889"/>
      <c r="AN197" s="889"/>
      <c r="AO197" s="889"/>
      <c r="AP197" s="889"/>
      <c r="AQ197" s="889"/>
      <c r="AR197" s="889"/>
      <c r="AS197" s="889"/>
      <c r="AT197" s="889"/>
      <c r="AU197" s="889"/>
      <c r="AV197" s="889"/>
      <c r="AW197" s="889"/>
      <c r="AX197" s="889"/>
      <c r="AY197" s="889"/>
      <c r="AZ197" s="889"/>
    </row>
    <row r="198">
      <c r="A198" s="889"/>
      <c r="B198" s="889"/>
      <c r="C198" s="889"/>
      <c r="D198" s="889"/>
      <c r="E198" s="889"/>
      <c r="F198" s="889"/>
      <c r="G198" s="889"/>
      <c r="H198" s="889"/>
      <c r="I198" s="889"/>
      <c r="J198" s="889"/>
      <c r="K198" s="889"/>
      <c r="L198" s="889"/>
      <c r="M198" s="889"/>
      <c r="N198" s="944"/>
      <c r="O198" s="944"/>
      <c r="P198" s="944"/>
      <c r="Q198" s="944"/>
      <c r="R198" s="944"/>
      <c r="S198" s="889"/>
      <c r="T198" s="889"/>
      <c r="U198" s="889"/>
      <c r="V198" s="889"/>
      <c r="W198" s="889"/>
      <c r="X198" s="889"/>
      <c r="Y198" s="889"/>
      <c r="Z198" s="889"/>
      <c r="AA198" s="889"/>
      <c r="AB198" s="889"/>
      <c r="AC198" s="889"/>
      <c r="AD198" s="889"/>
      <c r="AE198" s="889"/>
      <c r="AF198" s="889"/>
      <c r="AG198" s="889"/>
      <c r="AH198" s="889"/>
      <c r="AI198" s="889"/>
      <c r="AJ198" s="889"/>
      <c r="AK198" s="889"/>
      <c r="AL198" s="889"/>
      <c r="AM198" s="889"/>
      <c r="AN198" s="889"/>
      <c r="AO198" s="889"/>
      <c r="AP198" s="889"/>
      <c r="AQ198" s="889"/>
      <c r="AR198" s="889"/>
      <c r="AS198" s="889"/>
      <c r="AT198" s="889"/>
      <c r="AU198" s="889"/>
      <c r="AV198" s="889"/>
      <c r="AW198" s="889"/>
      <c r="AX198" s="889"/>
      <c r="AY198" s="889"/>
      <c r="AZ198" s="889"/>
    </row>
    <row r="199">
      <c r="A199" s="889"/>
      <c r="B199" s="889"/>
      <c r="C199" s="889"/>
      <c r="D199" s="889"/>
      <c r="E199" s="889"/>
      <c r="F199" s="889"/>
      <c r="G199" s="889"/>
      <c r="H199" s="889"/>
      <c r="I199" s="889"/>
      <c r="J199" s="889"/>
      <c r="K199" s="889"/>
      <c r="L199" s="889"/>
      <c r="M199" s="889"/>
      <c r="N199" s="944"/>
      <c r="O199" s="944"/>
      <c r="P199" s="944"/>
      <c r="Q199" s="944"/>
      <c r="R199" s="944"/>
      <c r="S199" s="889"/>
      <c r="T199" s="889"/>
      <c r="U199" s="889"/>
      <c r="V199" s="889"/>
      <c r="W199" s="889"/>
      <c r="X199" s="889"/>
      <c r="Y199" s="889"/>
      <c r="Z199" s="889"/>
      <c r="AA199" s="889"/>
      <c r="AB199" s="889"/>
      <c r="AC199" s="889"/>
      <c r="AD199" s="889"/>
      <c r="AE199" s="889"/>
      <c r="AF199" s="889"/>
      <c r="AG199" s="889"/>
      <c r="AH199" s="889"/>
      <c r="AI199" s="889"/>
      <c r="AJ199" s="889"/>
      <c r="AK199" s="889"/>
      <c r="AL199" s="889"/>
      <c r="AM199" s="889"/>
      <c r="AN199" s="889"/>
      <c r="AO199" s="889"/>
      <c r="AP199" s="889"/>
      <c r="AQ199" s="889"/>
      <c r="AR199" s="889"/>
      <c r="AS199" s="889"/>
      <c r="AT199" s="889"/>
      <c r="AU199" s="889"/>
      <c r="AV199" s="889"/>
      <c r="AW199" s="889"/>
      <c r="AX199" s="889"/>
      <c r="AY199" s="889"/>
      <c r="AZ199" s="889"/>
    </row>
    <row r="200">
      <c r="A200" s="889"/>
      <c r="B200" s="889"/>
      <c r="C200" s="889"/>
      <c r="D200" s="889"/>
      <c r="E200" s="889"/>
      <c r="F200" s="889"/>
      <c r="G200" s="889"/>
      <c r="H200" s="889"/>
      <c r="I200" s="889"/>
      <c r="J200" s="889"/>
      <c r="K200" s="889"/>
      <c r="L200" s="889"/>
      <c r="M200" s="889"/>
      <c r="N200" s="944"/>
      <c r="O200" s="944"/>
      <c r="P200" s="944"/>
      <c r="Q200" s="944"/>
      <c r="R200" s="944"/>
      <c r="S200" s="889"/>
      <c r="T200" s="889"/>
      <c r="U200" s="889"/>
      <c r="V200" s="889"/>
      <c r="W200" s="889"/>
      <c r="X200" s="889"/>
      <c r="Y200" s="889"/>
      <c r="Z200" s="889"/>
      <c r="AA200" s="889"/>
      <c r="AB200" s="889"/>
      <c r="AC200" s="889"/>
      <c r="AD200" s="889"/>
      <c r="AE200" s="889"/>
      <c r="AF200" s="889"/>
      <c r="AG200" s="889"/>
      <c r="AH200" s="889"/>
      <c r="AI200" s="889"/>
      <c r="AJ200" s="889"/>
      <c r="AK200" s="889"/>
      <c r="AL200" s="889"/>
      <c r="AM200" s="889"/>
      <c r="AN200" s="889"/>
      <c r="AO200" s="889"/>
      <c r="AP200" s="889"/>
      <c r="AQ200" s="889"/>
      <c r="AR200" s="889"/>
      <c r="AS200" s="889"/>
      <c r="AT200" s="889"/>
      <c r="AU200" s="889"/>
      <c r="AV200" s="889"/>
      <c r="AW200" s="889"/>
      <c r="AX200" s="889"/>
      <c r="AY200" s="889"/>
      <c r="AZ200" s="889"/>
    </row>
    <row r="201">
      <c r="A201" s="889"/>
      <c r="B201" s="889"/>
      <c r="C201" s="889"/>
      <c r="D201" s="889"/>
      <c r="E201" s="889"/>
      <c r="F201" s="889"/>
      <c r="G201" s="889"/>
      <c r="H201" s="889"/>
      <c r="I201" s="889"/>
      <c r="J201" s="889"/>
      <c r="K201" s="889"/>
      <c r="L201" s="889"/>
      <c r="M201" s="889"/>
      <c r="N201" s="944"/>
      <c r="O201" s="944"/>
      <c r="P201" s="944"/>
      <c r="Q201" s="944"/>
      <c r="R201" s="944"/>
      <c r="S201" s="889"/>
      <c r="T201" s="889"/>
      <c r="U201" s="889"/>
      <c r="V201" s="889"/>
      <c r="W201" s="889"/>
      <c r="X201" s="889"/>
      <c r="Y201" s="889"/>
      <c r="Z201" s="889"/>
      <c r="AA201" s="889"/>
      <c r="AB201" s="889"/>
      <c r="AC201" s="889"/>
      <c r="AD201" s="889"/>
      <c r="AE201" s="889"/>
      <c r="AF201" s="889"/>
      <c r="AG201" s="889"/>
      <c r="AH201" s="889"/>
      <c r="AI201" s="889"/>
      <c r="AJ201" s="889"/>
      <c r="AK201" s="889"/>
      <c r="AL201" s="889"/>
      <c r="AM201" s="889"/>
      <c r="AN201" s="889"/>
      <c r="AO201" s="889"/>
      <c r="AP201" s="889"/>
      <c r="AQ201" s="889"/>
      <c r="AR201" s="889"/>
      <c r="AS201" s="889"/>
      <c r="AT201" s="889"/>
      <c r="AU201" s="889"/>
      <c r="AV201" s="889"/>
      <c r="AW201" s="889"/>
      <c r="AX201" s="889"/>
      <c r="AY201" s="889"/>
      <c r="AZ201" s="889"/>
    </row>
    <row r="202">
      <c r="A202" s="889"/>
      <c r="B202" s="889"/>
      <c r="C202" s="889"/>
      <c r="D202" s="889"/>
      <c r="E202" s="889"/>
      <c r="F202" s="889"/>
      <c r="G202" s="889"/>
      <c r="H202" s="889"/>
      <c r="I202" s="889"/>
      <c r="J202" s="889"/>
      <c r="K202" s="889"/>
      <c r="L202" s="889"/>
      <c r="M202" s="889"/>
      <c r="N202" s="944"/>
      <c r="O202" s="944"/>
      <c r="P202" s="944"/>
      <c r="Q202" s="944"/>
      <c r="R202" s="944"/>
      <c r="S202" s="889"/>
      <c r="T202" s="889"/>
      <c r="U202" s="889"/>
      <c r="V202" s="889"/>
      <c r="W202" s="889"/>
      <c r="X202" s="889"/>
      <c r="Y202" s="889"/>
      <c r="Z202" s="889"/>
      <c r="AA202" s="889"/>
      <c r="AB202" s="889"/>
      <c r="AC202" s="889"/>
      <c r="AD202" s="889"/>
      <c r="AE202" s="889"/>
      <c r="AF202" s="889"/>
      <c r="AG202" s="889"/>
      <c r="AH202" s="889"/>
      <c r="AI202" s="889"/>
      <c r="AJ202" s="889"/>
      <c r="AK202" s="889"/>
      <c r="AL202" s="889"/>
      <c r="AM202" s="889"/>
      <c r="AN202" s="889"/>
      <c r="AO202" s="889"/>
      <c r="AP202" s="889"/>
      <c r="AQ202" s="889"/>
      <c r="AR202" s="889"/>
      <c r="AS202" s="889"/>
      <c r="AT202" s="889"/>
      <c r="AU202" s="889"/>
      <c r="AV202" s="889"/>
      <c r="AW202" s="889"/>
      <c r="AX202" s="889"/>
      <c r="AY202" s="889"/>
      <c r="AZ202" s="889"/>
    </row>
    <row r="203">
      <c r="A203" s="889"/>
      <c r="B203" s="889"/>
      <c r="C203" s="889"/>
      <c r="D203" s="889"/>
      <c r="E203" s="889"/>
      <c r="F203" s="889"/>
      <c r="G203" s="889"/>
      <c r="H203" s="889"/>
      <c r="I203" s="889"/>
      <c r="J203" s="889"/>
      <c r="K203" s="889"/>
      <c r="L203" s="889"/>
      <c r="M203" s="889"/>
      <c r="N203" s="944"/>
      <c r="O203" s="944"/>
      <c r="P203" s="944"/>
      <c r="Q203" s="944"/>
      <c r="R203" s="944"/>
      <c r="S203" s="889"/>
      <c r="T203" s="889"/>
      <c r="U203" s="889"/>
      <c r="V203" s="889"/>
      <c r="W203" s="889"/>
      <c r="X203" s="889"/>
      <c r="Y203" s="889"/>
      <c r="Z203" s="889"/>
      <c r="AA203" s="889"/>
      <c r="AB203" s="889"/>
      <c r="AC203" s="889"/>
      <c r="AD203" s="889"/>
      <c r="AE203" s="889"/>
      <c r="AF203" s="889"/>
      <c r="AG203" s="889"/>
      <c r="AH203" s="889"/>
      <c r="AI203" s="889"/>
      <c r="AJ203" s="889"/>
      <c r="AK203" s="889"/>
      <c r="AL203" s="889"/>
      <c r="AM203" s="889"/>
      <c r="AN203" s="889"/>
      <c r="AO203" s="889"/>
      <c r="AP203" s="889"/>
      <c r="AQ203" s="889"/>
      <c r="AR203" s="889"/>
      <c r="AS203" s="889"/>
      <c r="AT203" s="889"/>
      <c r="AU203" s="889"/>
      <c r="AV203" s="889"/>
      <c r="AW203" s="889"/>
      <c r="AX203" s="889"/>
      <c r="AY203" s="889"/>
      <c r="AZ203" s="889"/>
    </row>
    <row r="204">
      <c r="A204" s="889"/>
      <c r="B204" s="889"/>
      <c r="C204" s="889"/>
      <c r="D204" s="889"/>
      <c r="E204" s="889"/>
      <c r="F204" s="889"/>
      <c r="G204" s="889"/>
      <c r="H204" s="889"/>
      <c r="I204" s="889"/>
      <c r="J204" s="889"/>
      <c r="K204" s="889"/>
      <c r="L204" s="889"/>
      <c r="M204" s="889"/>
      <c r="N204" s="944"/>
      <c r="O204" s="944"/>
      <c r="P204" s="944"/>
      <c r="Q204" s="944"/>
      <c r="R204" s="944"/>
      <c r="S204" s="889"/>
      <c r="T204" s="889"/>
      <c r="U204" s="889"/>
      <c r="V204" s="889"/>
      <c r="W204" s="889"/>
      <c r="X204" s="889"/>
      <c r="Y204" s="889"/>
      <c r="Z204" s="889"/>
      <c r="AA204" s="889"/>
      <c r="AB204" s="889"/>
      <c r="AC204" s="889"/>
      <c r="AD204" s="889"/>
      <c r="AE204" s="889"/>
      <c r="AF204" s="889"/>
      <c r="AG204" s="889"/>
      <c r="AH204" s="889"/>
      <c r="AI204" s="889"/>
      <c r="AJ204" s="889"/>
      <c r="AK204" s="889"/>
      <c r="AL204" s="889"/>
      <c r="AM204" s="889"/>
      <c r="AN204" s="889"/>
      <c r="AO204" s="889"/>
      <c r="AP204" s="889"/>
      <c r="AQ204" s="889"/>
      <c r="AR204" s="889"/>
      <c r="AS204" s="889"/>
      <c r="AT204" s="889"/>
      <c r="AU204" s="889"/>
      <c r="AV204" s="889"/>
      <c r="AW204" s="889"/>
      <c r="AX204" s="889"/>
      <c r="AY204" s="889"/>
      <c r="AZ204" s="889"/>
    </row>
    <row r="205">
      <c r="A205" s="889"/>
      <c r="B205" s="889"/>
      <c r="C205" s="889"/>
      <c r="D205" s="889"/>
      <c r="E205" s="889"/>
      <c r="F205" s="889"/>
      <c r="G205" s="889"/>
      <c r="H205" s="889"/>
      <c r="I205" s="889"/>
      <c r="J205" s="889"/>
      <c r="K205" s="889"/>
      <c r="L205" s="889"/>
      <c r="M205" s="889"/>
      <c r="N205" s="944"/>
      <c r="O205" s="944"/>
      <c r="P205" s="944"/>
      <c r="Q205" s="944"/>
      <c r="R205" s="944"/>
      <c r="S205" s="889"/>
      <c r="T205" s="889"/>
      <c r="U205" s="889"/>
      <c r="V205" s="889"/>
      <c r="W205" s="889"/>
      <c r="X205" s="889"/>
      <c r="Y205" s="889"/>
      <c r="Z205" s="889"/>
      <c r="AA205" s="889"/>
      <c r="AB205" s="889"/>
      <c r="AC205" s="889"/>
      <c r="AD205" s="889"/>
      <c r="AE205" s="889"/>
      <c r="AF205" s="889"/>
      <c r="AG205" s="889"/>
      <c r="AH205" s="889"/>
      <c r="AI205" s="889"/>
      <c r="AJ205" s="889"/>
      <c r="AK205" s="889"/>
      <c r="AL205" s="889"/>
      <c r="AM205" s="889"/>
      <c r="AN205" s="889"/>
      <c r="AO205" s="889"/>
      <c r="AP205" s="889"/>
      <c r="AQ205" s="889"/>
      <c r="AR205" s="889"/>
      <c r="AS205" s="889"/>
      <c r="AT205" s="889"/>
      <c r="AU205" s="889"/>
      <c r="AV205" s="889"/>
      <c r="AW205" s="889"/>
      <c r="AX205" s="889"/>
      <c r="AY205" s="889"/>
      <c r="AZ205" s="889"/>
    </row>
    <row r="206">
      <c r="A206" s="889"/>
      <c r="B206" s="889"/>
      <c r="C206" s="889"/>
      <c r="D206" s="889"/>
      <c r="E206" s="889"/>
      <c r="F206" s="889"/>
      <c r="G206" s="889"/>
      <c r="H206" s="889"/>
      <c r="I206" s="889"/>
      <c r="J206" s="889"/>
      <c r="K206" s="889"/>
      <c r="L206" s="889"/>
      <c r="M206" s="889"/>
      <c r="N206" s="944"/>
      <c r="O206" s="944"/>
      <c r="P206" s="944"/>
      <c r="Q206" s="944"/>
      <c r="R206" s="944"/>
      <c r="S206" s="889"/>
      <c r="T206" s="889"/>
      <c r="U206" s="889"/>
      <c r="V206" s="889"/>
      <c r="W206" s="889"/>
      <c r="X206" s="889"/>
      <c r="Y206" s="889"/>
      <c r="Z206" s="889"/>
      <c r="AA206" s="889"/>
      <c r="AB206" s="889"/>
      <c r="AC206" s="889"/>
      <c r="AD206" s="889"/>
      <c r="AE206" s="889"/>
      <c r="AF206" s="889"/>
      <c r="AG206" s="889"/>
      <c r="AH206" s="889"/>
      <c r="AI206" s="889"/>
      <c r="AJ206" s="889"/>
      <c r="AK206" s="889"/>
      <c r="AL206" s="889"/>
      <c r="AM206" s="889"/>
      <c r="AN206" s="889"/>
      <c r="AO206" s="889"/>
      <c r="AP206" s="889"/>
      <c r="AQ206" s="889"/>
      <c r="AR206" s="889"/>
      <c r="AS206" s="889"/>
      <c r="AT206" s="889"/>
      <c r="AU206" s="889"/>
      <c r="AV206" s="889"/>
      <c r="AW206" s="889"/>
      <c r="AX206" s="889"/>
      <c r="AY206" s="889"/>
      <c r="AZ206" s="889"/>
    </row>
    <row r="207">
      <c r="A207" s="889"/>
      <c r="B207" s="889"/>
      <c r="C207" s="889"/>
      <c r="D207" s="889"/>
      <c r="E207" s="889"/>
      <c r="F207" s="889"/>
      <c r="G207" s="889"/>
      <c r="H207" s="889"/>
      <c r="I207" s="889"/>
      <c r="J207" s="889"/>
      <c r="K207" s="889"/>
      <c r="L207" s="889"/>
      <c r="M207" s="889"/>
      <c r="N207" s="944"/>
      <c r="O207" s="944"/>
      <c r="P207" s="944"/>
      <c r="Q207" s="944"/>
      <c r="R207" s="944"/>
      <c r="S207" s="889"/>
      <c r="T207" s="889"/>
      <c r="U207" s="889"/>
      <c r="V207" s="889"/>
      <c r="W207" s="889"/>
      <c r="X207" s="889"/>
      <c r="Y207" s="889"/>
      <c r="Z207" s="889"/>
      <c r="AA207" s="889"/>
      <c r="AB207" s="889"/>
      <c r="AC207" s="889"/>
      <c r="AD207" s="889"/>
      <c r="AE207" s="889"/>
      <c r="AF207" s="889"/>
      <c r="AG207" s="889"/>
      <c r="AH207" s="889"/>
      <c r="AI207" s="889"/>
      <c r="AJ207" s="889"/>
      <c r="AK207" s="889"/>
      <c r="AL207" s="889"/>
      <c r="AM207" s="889"/>
      <c r="AN207" s="889"/>
      <c r="AO207" s="889"/>
      <c r="AP207" s="889"/>
      <c r="AQ207" s="889"/>
      <c r="AR207" s="889"/>
      <c r="AS207" s="889"/>
      <c r="AT207" s="889"/>
      <c r="AU207" s="889"/>
      <c r="AV207" s="889"/>
      <c r="AW207" s="889"/>
      <c r="AX207" s="889"/>
      <c r="AY207" s="889"/>
      <c r="AZ207" s="889"/>
    </row>
    <row r="208">
      <c r="A208" s="889"/>
      <c r="B208" s="889"/>
      <c r="C208" s="889"/>
      <c r="D208" s="889"/>
      <c r="E208" s="889"/>
      <c r="F208" s="889"/>
      <c r="G208" s="889"/>
      <c r="H208" s="889"/>
      <c r="I208" s="889"/>
      <c r="J208" s="889"/>
      <c r="K208" s="889"/>
      <c r="L208" s="889"/>
      <c r="M208" s="889"/>
      <c r="N208" s="944"/>
      <c r="O208" s="944"/>
      <c r="P208" s="944"/>
      <c r="Q208" s="944"/>
      <c r="R208" s="944"/>
      <c r="S208" s="889"/>
      <c r="T208" s="889"/>
      <c r="U208" s="889"/>
      <c r="V208" s="889"/>
      <c r="W208" s="889"/>
      <c r="X208" s="889"/>
      <c r="Y208" s="889"/>
      <c r="Z208" s="889"/>
      <c r="AA208" s="889"/>
      <c r="AB208" s="889"/>
      <c r="AC208" s="889"/>
      <c r="AD208" s="889"/>
      <c r="AE208" s="889"/>
      <c r="AF208" s="889"/>
      <c r="AG208" s="889"/>
      <c r="AH208" s="889"/>
      <c r="AI208" s="889"/>
      <c r="AJ208" s="889"/>
      <c r="AK208" s="889"/>
      <c r="AL208" s="889"/>
      <c r="AM208" s="889"/>
      <c r="AN208" s="889"/>
      <c r="AO208" s="889"/>
      <c r="AP208" s="889"/>
      <c r="AQ208" s="889"/>
      <c r="AR208" s="889"/>
      <c r="AS208" s="889"/>
      <c r="AT208" s="889"/>
      <c r="AU208" s="889"/>
      <c r="AV208" s="889"/>
      <c r="AW208" s="889"/>
      <c r="AX208" s="889"/>
      <c r="AY208" s="889"/>
      <c r="AZ208" s="889"/>
    </row>
    <row r="209">
      <c r="A209" s="889"/>
      <c r="B209" s="889"/>
      <c r="C209" s="889"/>
      <c r="D209" s="889"/>
      <c r="E209" s="889"/>
      <c r="F209" s="889"/>
      <c r="G209" s="889"/>
      <c r="H209" s="889"/>
      <c r="I209" s="889"/>
      <c r="J209" s="889"/>
      <c r="K209" s="889"/>
      <c r="L209" s="889"/>
      <c r="M209" s="889"/>
      <c r="N209" s="944"/>
      <c r="O209" s="944"/>
      <c r="P209" s="944"/>
      <c r="Q209" s="944"/>
      <c r="R209" s="944"/>
      <c r="S209" s="889"/>
      <c r="T209" s="889"/>
      <c r="U209" s="889"/>
      <c r="V209" s="889"/>
      <c r="W209" s="889"/>
      <c r="X209" s="889"/>
      <c r="Y209" s="889"/>
      <c r="Z209" s="889"/>
      <c r="AA209" s="889"/>
      <c r="AB209" s="889"/>
      <c r="AC209" s="889"/>
      <c r="AD209" s="889"/>
      <c r="AE209" s="889"/>
      <c r="AF209" s="889"/>
      <c r="AG209" s="889"/>
      <c r="AH209" s="889"/>
      <c r="AI209" s="889"/>
      <c r="AJ209" s="889"/>
      <c r="AK209" s="889"/>
      <c r="AL209" s="889"/>
      <c r="AM209" s="889"/>
      <c r="AN209" s="889"/>
      <c r="AO209" s="889"/>
      <c r="AP209" s="889"/>
      <c r="AQ209" s="889"/>
      <c r="AR209" s="889"/>
      <c r="AS209" s="889"/>
      <c r="AT209" s="889"/>
      <c r="AU209" s="889"/>
      <c r="AV209" s="889"/>
      <c r="AW209" s="889"/>
      <c r="AX209" s="889"/>
      <c r="AY209" s="889"/>
      <c r="AZ209" s="889"/>
    </row>
    <row r="210">
      <c r="A210" s="889"/>
      <c r="B210" s="889"/>
      <c r="C210" s="889"/>
      <c r="D210" s="889"/>
      <c r="E210" s="889"/>
      <c r="F210" s="889"/>
      <c r="G210" s="889"/>
      <c r="H210" s="889"/>
      <c r="I210" s="889"/>
      <c r="J210" s="889"/>
      <c r="K210" s="889"/>
      <c r="L210" s="889"/>
      <c r="M210" s="889"/>
      <c r="N210" s="944"/>
      <c r="O210" s="944"/>
      <c r="P210" s="944"/>
      <c r="Q210" s="944"/>
      <c r="R210" s="944"/>
      <c r="S210" s="889"/>
      <c r="T210" s="889"/>
      <c r="U210" s="889"/>
      <c r="V210" s="889"/>
      <c r="W210" s="889"/>
      <c r="X210" s="889"/>
      <c r="Y210" s="889"/>
      <c r="Z210" s="889"/>
      <c r="AA210" s="889"/>
      <c r="AB210" s="889"/>
      <c r="AC210" s="889"/>
      <c r="AD210" s="889"/>
      <c r="AE210" s="889"/>
      <c r="AF210" s="889"/>
      <c r="AG210" s="889"/>
      <c r="AH210" s="889"/>
      <c r="AI210" s="889"/>
      <c r="AJ210" s="889"/>
      <c r="AK210" s="889"/>
      <c r="AL210" s="889"/>
      <c r="AM210" s="889"/>
      <c r="AN210" s="889"/>
      <c r="AO210" s="889"/>
      <c r="AP210" s="889"/>
      <c r="AQ210" s="889"/>
      <c r="AR210" s="889"/>
      <c r="AS210" s="889"/>
      <c r="AT210" s="889"/>
      <c r="AU210" s="889"/>
      <c r="AV210" s="889"/>
      <c r="AW210" s="889"/>
      <c r="AX210" s="889"/>
      <c r="AY210" s="889"/>
      <c r="AZ210" s="889"/>
    </row>
    <row r="211">
      <c r="A211" s="889"/>
      <c r="B211" s="889"/>
      <c r="C211" s="889"/>
      <c r="D211" s="889"/>
      <c r="E211" s="889"/>
      <c r="F211" s="889"/>
      <c r="G211" s="889"/>
      <c r="H211" s="889"/>
      <c r="I211" s="889"/>
      <c r="J211" s="889"/>
      <c r="K211" s="889"/>
      <c r="L211" s="889"/>
      <c r="M211" s="889"/>
      <c r="N211" s="944"/>
      <c r="O211" s="944"/>
      <c r="P211" s="944"/>
      <c r="Q211" s="944"/>
      <c r="R211" s="944"/>
      <c r="S211" s="889"/>
      <c r="T211" s="889"/>
      <c r="U211" s="889"/>
      <c r="V211" s="889"/>
      <c r="W211" s="889"/>
      <c r="X211" s="889"/>
      <c r="Y211" s="889"/>
      <c r="Z211" s="889"/>
      <c r="AA211" s="889"/>
      <c r="AB211" s="889"/>
      <c r="AC211" s="889"/>
      <c r="AD211" s="889"/>
      <c r="AE211" s="889"/>
      <c r="AF211" s="889"/>
      <c r="AG211" s="889"/>
      <c r="AH211" s="889"/>
      <c r="AI211" s="889"/>
      <c r="AJ211" s="889"/>
      <c r="AK211" s="889"/>
      <c r="AL211" s="889"/>
      <c r="AM211" s="889"/>
      <c r="AN211" s="889"/>
      <c r="AO211" s="889"/>
      <c r="AP211" s="889"/>
      <c r="AQ211" s="889"/>
      <c r="AR211" s="889"/>
      <c r="AS211" s="889"/>
      <c r="AT211" s="889"/>
      <c r="AU211" s="889"/>
      <c r="AV211" s="889"/>
      <c r="AW211" s="889"/>
      <c r="AX211" s="889"/>
      <c r="AY211" s="889"/>
      <c r="AZ211" s="889"/>
    </row>
    <row r="212">
      <c r="A212" s="889"/>
      <c r="B212" s="889"/>
      <c r="C212" s="889"/>
      <c r="D212" s="889"/>
      <c r="E212" s="889"/>
      <c r="F212" s="889"/>
      <c r="G212" s="889"/>
      <c r="H212" s="889"/>
      <c r="I212" s="889"/>
      <c r="J212" s="889"/>
      <c r="K212" s="889"/>
      <c r="L212" s="889"/>
      <c r="M212" s="889"/>
      <c r="N212" s="944"/>
      <c r="O212" s="944"/>
      <c r="P212" s="944"/>
      <c r="Q212" s="944"/>
      <c r="R212" s="944"/>
      <c r="S212" s="889"/>
      <c r="T212" s="889"/>
      <c r="U212" s="889"/>
      <c r="V212" s="889"/>
      <c r="W212" s="889"/>
      <c r="X212" s="889"/>
      <c r="Y212" s="889"/>
      <c r="Z212" s="889"/>
      <c r="AA212" s="889"/>
      <c r="AB212" s="889"/>
      <c r="AC212" s="889"/>
      <c r="AD212" s="889"/>
      <c r="AE212" s="889"/>
      <c r="AF212" s="889"/>
      <c r="AG212" s="889"/>
      <c r="AH212" s="889"/>
      <c r="AI212" s="889"/>
      <c r="AJ212" s="889"/>
      <c r="AK212" s="889"/>
      <c r="AL212" s="889"/>
      <c r="AM212" s="889"/>
      <c r="AN212" s="889"/>
      <c r="AO212" s="889"/>
      <c r="AP212" s="889"/>
      <c r="AQ212" s="889"/>
      <c r="AR212" s="889"/>
      <c r="AS212" s="889"/>
      <c r="AT212" s="889"/>
      <c r="AU212" s="889"/>
      <c r="AV212" s="889"/>
      <c r="AW212" s="889"/>
      <c r="AX212" s="889"/>
      <c r="AY212" s="889"/>
      <c r="AZ212" s="889"/>
    </row>
    <row r="213">
      <c r="A213" s="889"/>
      <c r="B213" s="889"/>
      <c r="C213" s="889"/>
      <c r="D213" s="889"/>
      <c r="E213" s="889"/>
      <c r="F213" s="889"/>
      <c r="G213" s="889"/>
      <c r="H213" s="889"/>
      <c r="I213" s="889"/>
      <c r="J213" s="889"/>
      <c r="K213" s="889"/>
      <c r="L213" s="889"/>
      <c r="M213" s="889"/>
      <c r="N213" s="944"/>
      <c r="O213" s="944"/>
      <c r="P213" s="944"/>
      <c r="Q213" s="944"/>
      <c r="R213" s="944"/>
      <c r="S213" s="889"/>
      <c r="T213" s="889"/>
      <c r="U213" s="889"/>
      <c r="V213" s="889"/>
      <c r="W213" s="889"/>
      <c r="X213" s="889"/>
      <c r="Y213" s="889"/>
      <c r="Z213" s="889"/>
      <c r="AA213" s="889"/>
      <c r="AB213" s="889"/>
      <c r="AC213" s="889"/>
      <c r="AD213" s="889"/>
      <c r="AE213" s="889"/>
      <c r="AF213" s="889"/>
      <c r="AG213" s="889"/>
      <c r="AH213" s="889"/>
      <c r="AI213" s="889"/>
      <c r="AJ213" s="889"/>
      <c r="AK213" s="889"/>
      <c r="AL213" s="889"/>
      <c r="AM213" s="889"/>
      <c r="AN213" s="889"/>
      <c r="AO213" s="889"/>
      <c r="AP213" s="889"/>
      <c r="AQ213" s="889"/>
      <c r="AR213" s="889"/>
      <c r="AS213" s="889"/>
      <c r="AT213" s="889"/>
      <c r="AU213" s="889"/>
      <c r="AV213" s="889"/>
      <c r="AW213" s="889"/>
      <c r="AX213" s="889"/>
      <c r="AY213" s="889"/>
      <c r="AZ213" s="889"/>
    </row>
    <row r="214">
      <c r="A214" s="889"/>
      <c r="B214" s="889"/>
      <c r="C214" s="889"/>
      <c r="D214" s="889"/>
      <c r="E214" s="889"/>
      <c r="F214" s="889"/>
      <c r="G214" s="889"/>
      <c r="H214" s="889"/>
      <c r="I214" s="889"/>
      <c r="J214" s="889"/>
      <c r="K214" s="889"/>
      <c r="L214" s="889"/>
      <c r="M214" s="889"/>
      <c r="N214" s="944"/>
      <c r="O214" s="944"/>
      <c r="P214" s="944"/>
      <c r="Q214" s="944"/>
      <c r="R214" s="944"/>
      <c r="S214" s="889"/>
      <c r="T214" s="889"/>
      <c r="U214" s="889"/>
      <c r="V214" s="889"/>
      <c r="W214" s="889"/>
      <c r="X214" s="889"/>
      <c r="Y214" s="889"/>
      <c r="Z214" s="889"/>
      <c r="AA214" s="889"/>
      <c r="AB214" s="889"/>
      <c r="AC214" s="889"/>
      <c r="AD214" s="889"/>
      <c r="AE214" s="889"/>
      <c r="AF214" s="889"/>
      <c r="AG214" s="889"/>
      <c r="AH214" s="889"/>
      <c r="AI214" s="889"/>
      <c r="AJ214" s="889"/>
      <c r="AK214" s="889"/>
      <c r="AL214" s="889"/>
      <c r="AM214" s="889"/>
      <c r="AN214" s="889"/>
      <c r="AO214" s="889"/>
      <c r="AP214" s="889"/>
      <c r="AQ214" s="889"/>
      <c r="AR214" s="889"/>
      <c r="AS214" s="889"/>
      <c r="AT214" s="889"/>
      <c r="AU214" s="889"/>
      <c r="AV214" s="889"/>
      <c r="AW214" s="889"/>
      <c r="AX214" s="889"/>
      <c r="AY214" s="889"/>
      <c r="AZ214" s="889"/>
    </row>
    <row r="215">
      <c r="A215" s="889"/>
      <c r="B215" s="889"/>
      <c r="C215" s="889"/>
      <c r="D215" s="889"/>
      <c r="E215" s="889"/>
      <c r="F215" s="889"/>
      <c r="G215" s="889"/>
      <c r="H215" s="889"/>
      <c r="I215" s="889"/>
      <c r="J215" s="889"/>
      <c r="K215" s="889"/>
      <c r="L215" s="889"/>
      <c r="M215" s="889"/>
      <c r="N215" s="944"/>
      <c r="O215" s="944"/>
      <c r="P215" s="944"/>
      <c r="Q215" s="944"/>
      <c r="R215" s="944"/>
      <c r="S215" s="889"/>
      <c r="T215" s="889"/>
      <c r="U215" s="889"/>
      <c r="V215" s="889"/>
      <c r="W215" s="889"/>
      <c r="X215" s="889"/>
      <c r="Y215" s="889"/>
      <c r="Z215" s="889"/>
      <c r="AA215" s="889"/>
      <c r="AB215" s="889"/>
      <c r="AC215" s="889"/>
      <c r="AD215" s="889"/>
      <c r="AE215" s="889"/>
      <c r="AF215" s="889"/>
      <c r="AG215" s="889"/>
      <c r="AH215" s="889"/>
      <c r="AI215" s="889"/>
      <c r="AJ215" s="889"/>
      <c r="AK215" s="889"/>
      <c r="AL215" s="889"/>
      <c r="AM215" s="889"/>
      <c r="AN215" s="889"/>
      <c r="AO215" s="889"/>
      <c r="AP215" s="889"/>
      <c r="AQ215" s="889"/>
      <c r="AR215" s="889"/>
      <c r="AS215" s="889"/>
      <c r="AT215" s="889"/>
      <c r="AU215" s="889"/>
      <c r="AV215" s="889"/>
      <c r="AW215" s="889"/>
      <c r="AX215" s="889"/>
      <c r="AY215" s="889"/>
      <c r="AZ215" s="889"/>
    </row>
    <row r="216">
      <c r="A216" s="889"/>
      <c r="B216" s="889"/>
      <c r="C216" s="889"/>
      <c r="D216" s="889"/>
      <c r="E216" s="889"/>
      <c r="F216" s="889"/>
      <c r="G216" s="889"/>
      <c r="H216" s="889"/>
      <c r="I216" s="889"/>
      <c r="J216" s="889"/>
      <c r="K216" s="889"/>
      <c r="L216" s="889"/>
      <c r="M216" s="889"/>
      <c r="N216" s="944"/>
      <c r="O216" s="944"/>
      <c r="P216" s="944"/>
      <c r="Q216" s="944"/>
      <c r="R216" s="944"/>
      <c r="S216" s="889"/>
      <c r="T216" s="889"/>
      <c r="U216" s="889"/>
      <c r="V216" s="889"/>
      <c r="W216" s="889"/>
      <c r="X216" s="889"/>
      <c r="Y216" s="889"/>
      <c r="Z216" s="889"/>
      <c r="AA216" s="889"/>
      <c r="AB216" s="889"/>
      <c r="AC216" s="889"/>
      <c r="AD216" s="889"/>
      <c r="AE216" s="889"/>
      <c r="AF216" s="889"/>
      <c r="AG216" s="889"/>
      <c r="AH216" s="889"/>
      <c r="AI216" s="889"/>
      <c r="AJ216" s="889"/>
      <c r="AK216" s="889"/>
      <c r="AL216" s="889"/>
      <c r="AM216" s="889"/>
      <c r="AN216" s="889"/>
      <c r="AO216" s="889"/>
      <c r="AP216" s="889"/>
      <c r="AQ216" s="889"/>
      <c r="AR216" s="889"/>
      <c r="AS216" s="889"/>
      <c r="AT216" s="889"/>
      <c r="AU216" s="889"/>
      <c r="AV216" s="889"/>
      <c r="AW216" s="889"/>
      <c r="AX216" s="889"/>
      <c r="AY216" s="889"/>
      <c r="AZ216" s="889"/>
    </row>
    <row r="217">
      <c r="A217" s="889"/>
      <c r="B217" s="889"/>
      <c r="C217" s="889"/>
      <c r="D217" s="889"/>
      <c r="E217" s="889"/>
      <c r="F217" s="889"/>
      <c r="G217" s="889"/>
      <c r="H217" s="889"/>
      <c r="I217" s="889"/>
      <c r="J217" s="889"/>
      <c r="K217" s="889"/>
      <c r="L217" s="889"/>
      <c r="M217" s="889"/>
      <c r="N217" s="944"/>
      <c r="O217" s="944"/>
      <c r="P217" s="944"/>
      <c r="Q217" s="944"/>
      <c r="R217" s="944"/>
      <c r="S217" s="889"/>
      <c r="T217" s="889"/>
      <c r="U217" s="889"/>
      <c r="V217" s="889"/>
      <c r="W217" s="889"/>
      <c r="X217" s="889"/>
      <c r="Y217" s="889"/>
      <c r="Z217" s="889"/>
      <c r="AA217" s="889"/>
      <c r="AB217" s="889"/>
      <c r="AC217" s="889"/>
      <c r="AD217" s="889"/>
      <c r="AE217" s="889"/>
      <c r="AF217" s="889"/>
      <c r="AG217" s="889"/>
      <c r="AH217" s="889"/>
      <c r="AI217" s="889"/>
      <c r="AJ217" s="889"/>
      <c r="AK217" s="889"/>
      <c r="AL217" s="889"/>
      <c r="AM217" s="889"/>
      <c r="AN217" s="889"/>
      <c r="AO217" s="889"/>
      <c r="AP217" s="889"/>
      <c r="AQ217" s="889"/>
      <c r="AR217" s="889"/>
      <c r="AS217" s="889"/>
      <c r="AT217" s="889"/>
      <c r="AU217" s="889"/>
      <c r="AV217" s="889"/>
      <c r="AW217" s="889"/>
      <c r="AX217" s="889"/>
      <c r="AY217" s="889"/>
      <c r="AZ217" s="889"/>
    </row>
    <row r="218">
      <c r="A218" s="889"/>
      <c r="B218" s="889"/>
      <c r="C218" s="889"/>
      <c r="D218" s="889"/>
      <c r="E218" s="889"/>
      <c r="F218" s="889"/>
      <c r="G218" s="889"/>
      <c r="H218" s="889"/>
      <c r="I218" s="889"/>
      <c r="J218" s="889"/>
      <c r="K218" s="889"/>
      <c r="L218" s="889"/>
      <c r="M218" s="889"/>
      <c r="N218" s="944"/>
      <c r="O218" s="944"/>
      <c r="P218" s="944"/>
      <c r="Q218" s="944"/>
      <c r="R218" s="944"/>
      <c r="S218" s="889"/>
      <c r="T218" s="889"/>
      <c r="U218" s="889"/>
      <c r="V218" s="889"/>
      <c r="W218" s="889"/>
      <c r="X218" s="889"/>
      <c r="Y218" s="889"/>
      <c r="Z218" s="889"/>
      <c r="AA218" s="889"/>
      <c r="AB218" s="889"/>
      <c r="AC218" s="889"/>
      <c r="AD218" s="889"/>
      <c r="AE218" s="889"/>
      <c r="AF218" s="889"/>
      <c r="AG218" s="889"/>
      <c r="AH218" s="889"/>
      <c r="AI218" s="889"/>
      <c r="AJ218" s="889"/>
      <c r="AK218" s="889"/>
      <c r="AL218" s="889"/>
      <c r="AM218" s="889"/>
      <c r="AN218" s="889"/>
      <c r="AO218" s="889"/>
      <c r="AP218" s="889"/>
      <c r="AQ218" s="889"/>
      <c r="AR218" s="889"/>
      <c r="AS218" s="889"/>
      <c r="AT218" s="889"/>
      <c r="AU218" s="889"/>
      <c r="AV218" s="889"/>
      <c r="AW218" s="889"/>
      <c r="AX218" s="889"/>
      <c r="AY218" s="889"/>
      <c r="AZ218" s="889"/>
    </row>
    <row r="219">
      <c r="A219" s="889"/>
      <c r="B219" s="889"/>
      <c r="C219" s="889"/>
      <c r="D219" s="889"/>
      <c r="E219" s="889"/>
      <c r="F219" s="889"/>
      <c r="G219" s="889"/>
      <c r="H219" s="889"/>
      <c r="I219" s="889"/>
      <c r="J219" s="889"/>
      <c r="K219" s="889"/>
      <c r="L219" s="889"/>
      <c r="M219" s="889"/>
      <c r="N219" s="944"/>
      <c r="O219" s="944"/>
      <c r="P219" s="944"/>
      <c r="Q219" s="944"/>
      <c r="R219" s="944"/>
      <c r="S219" s="889"/>
      <c r="T219" s="889"/>
      <c r="U219" s="889"/>
      <c r="V219" s="889"/>
      <c r="W219" s="889"/>
      <c r="X219" s="889"/>
      <c r="Y219" s="889"/>
      <c r="Z219" s="889"/>
      <c r="AA219" s="889"/>
      <c r="AB219" s="889"/>
      <c r="AC219" s="889"/>
      <c r="AD219" s="889"/>
      <c r="AE219" s="889"/>
      <c r="AF219" s="889"/>
      <c r="AG219" s="889"/>
      <c r="AH219" s="889"/>
      <c r="AI219" s="889"/>
      <c r="AJ219" s="889"/>
      <c r="AK219" s="889"/>
      <c r="AL219" s="889"/>
      <c r="AM219" s="889"/>
      <c r="AN219" s="889"/>
      <c r="AO219" s="889"/>
      <c r="AP219" s="889"/>
      <c r="AQ219" s="889"/>
      <c r="AR219" s="889"/>
      <c r="AS219" s="889"/>
      <c r="AT219" s="889"/>
      <c r="AU219" s="889"/>
      <c r="AV219" s="889"/>
      <c r="AW219" s="889"/>
      <c r="AX219" s="889"/>
      <c r="AY219" s="889"/>
      <c r="AZ219" s="889"/>
    </row>
    <row r="220">
      <c r="A220" s="889"/>
      <c r="B220" s="889"/>
      <c r="C220" s="889"/>
      <c r="D220" s="889"/>
      <c r="E220" s="889"/>
      <c r="F220" s="889"/>
      <c r="G220" s="889"/>
      <c r="H220" s="889"/>
      <c r="I220" s="889"/>
      <c r="J220" s="889"/>
      <c r="K220" s="889"/>
      <c r="L220" s="889"/>
      <c r="M220" s="889"/>
      <c r="N220" s="944"/>
      <c r="O220" s="944"/>
      <c r="P220" s="944"/>
      <c r="Q220" s="944"/>
      <c r="R220" s="944"/>
      <c r="S220" s="889"/>
      <c r="T220" s="889"/>
      <c r="U220" s="889"/>
      <c r="V220" s="889"/>
      <c r="W220" s="889"/>
      <c r="X220" s="889"/>
      <c r="Y220" s="889"/>
      <c r="Z220" s="889"/>
      <c r="AA220" s="889"/>
      <c r="AB220" s="889"/>
      <c r="AC220" s="889"/>
      <c r="AD220" s="889"/>
      <c r="AE220" s="889"/>
      <c r="AF220" s="889"/>
      <c r="AG220" s="889"/>
      <c r="AH220" s="889"/>
      <c r="AI220" s="889"/>
      <c r="AJ220" s="889"/>
      <c r="AK220" s="889"/>
      <c r="AL220" s="889"/>
      <c r="AM220" s="889"/>
      <c r="AN220" s="889"/>
      <c r="AO220" s="889"/>
      <c r="AP220" s="889"/>
      <c r="AQ220" s="889"/>
      <c r="AR220" s="889"/>
      <c r="AS220" s="889"/>
      <c r="AT220" s="889"/>
      <c r="AU220" s="889"/>
      <c r="AV220" s="889"/>
      <c r="AW220" s="889"/>
      <c r="AX220" s="889"/>
      <c r="AY220" s="889"/>
      <c r="AZ220" s="889"/>
    </row>
    <row r="221">
      <c r="A221" s="889"/>
      <c r="B221" s="889"/>
      <c r="C221" s="889"/>
      <c r="D221" s="889"/>
      <c r="E221" s="889"/>
      <c r="F221" s="889"/>
      <c r="G221" s="889"/>
      <c r="H221" s="889"/>
      <c r="I221" s="889"/>
      <c r="J221" s="889"/>
      <c r="K221" s="889"/>
      <c r="L221" s="889"/>
      <c r="M221" s="889"/>
      <c r="N221" s="944"/>
      <c r="O221" s="944"/>
      <c r="P221" s="944"/>
      <c r="Q221" s="944"/>
      <c r="R221" s="944"/>
      <c r="S221" s="889"/>
      <c r="T221" s="889"/>
      <c r="U221" s="889"/>
      <c r="V221" s="889"/>
      <c r="W221" s="889"/>
      <c r="X221" s="889"/>
      <c r="Y221" s="889"/>
      <c r="Z221" s="889"/>
      <c r="AA221" s="889"/>
      <c r="AB221" s="889"/>
      <c r="AC221" s="889"/>
      <c r="AD221" s="889"/>
      <c r="AE221" s="889"/>
      <c r="AF221" s="889"/>
      <c r="AG221" s="889"/>
      <c r="AH221" s="889"/>
      <c r="AI221" s="889"/>
      <c r="AJ221" s="889"/>
      <c r="AK221" s="889"/>
      <c r="AL221" s="889"/>
      <c r="AM221" s="889"/>
      <c r="AN221" s="889"/>
      <c r="AO221" s="889"/>
      <c r="AP221" s="889"/>
      <c r="AQ221" s="889"/>
      <c r="AR221" s="889"/>
      <c r="AS221" s="889"/>
      <c r="AT221" s="889"/>
      <c r="AU221" s="889"/>
      <c r="AV221" s="889"/>
      <c r="AW221" s="889"/>
      <c r="AX221" s="889"/>
      <c r="AY221" s="889"/>
      <c r="AZ221" s="889"/>
    </row>
    <row r="222">
      <c r="A222" s="889"/>
      <c r="B222" s="889"/>
      <c r="C222" s="889"/>
      <c r="D222" s="889"/>
      <c r="E222" s="889"/>
      <c r="F222" s="889"/>
      <c r="G222" s="889"/>
      <c r="H222" s="889"/>
      <c r="I222" s="889"/>
      <c r="J222" s="889"/>
      <c r="K222" s="889"/>
      <c r="L222" s="889"/>
      <c r="M222" s="889"/>
      <c r="N222" s="944"/>
      <c r="O222" s="944"/>
      <c r="P222" s="944"/>
      <c r="Q222" s="944"/>
      <c r="R222" s="944"/>
      <c r="S222" s="889"/>
      <c r="T222" s="889"/>
      <c r="U222" s="889"/>
      <c r="V222" s="889"/>
      <c r="W222" s="889"/>
      <c r="X222" s="889"/>
      <c r="Y222" s="889"/>
      <c r="Z222" s="889"/>
      <c r="AA222" s="889"/>
      <c r="AB222" s="889"/>
      <c r="AC222" s="889"/>
      <c r="AD222" s="889"/>
      <c r="AE222" s="889"/>
      <c r="AF222" s="889"/>
      <c r="AG222" s="889"/>
      <c r="AH222" s="889"/>
      <c r="AI222" s="889"/>
      <c r="AJ222" s="889"/>
      <c r="AK222" s="889"/>
      <c r="AL222" s="889"/>
      <c r="AM222" s="889"/>
      <c r="AN222" s="889"/>
      <c r="AO222" s="889"/>
      <c r="AP222" s="889"/>
      <c r="AQ222" s="889"/>
      <c r="AR222" s="889"/>
      <c r="AS222" s="889"/>
      <c r="AT222" s="889"/>
      <c r="AU222" s="889"/>
      <c r="AV222" s="889"/>
      <c r="AW222" s="889"/>
      <c r="AX222" s="889"/>
      <c r="AY222" s="889"/>
      <c r="AZ222" s="889"/>
    </row>
    <row r="223">
      <c r="A223" s="889"/>
      <c r="B223" s="889"/>
      <c r="C223" s="889"/>
      <c r="D223" s="889"/>
      <c r="E223" s="889"/>
      <c r="F223" s="889"/>
      <c r="G223" s="889"/>
      <c r="H223" s="889"/>
      <c r="I223" s="889"/>
      <c r="J223" s="889"/>
      <c r="K223" s="889"/>
      <c r="L223" s="889"/>
      <c r="M223" s="889"/>
      <c r="N223" s="944"/>
      <c r="O223" s="944"/>
      <c r="P223" s="944"/>
      <c r="Q223" s="944"/>
      <c r="R223" s="944"/>
      <c r="S223" s="889"/>
      <c r="T223" s="889"/>
      <c r="U223" s="889"/>
      <c r="V223" s="889"/>
      <c r="W223" s="889"/>
      <c r="X223" s="889"/>
      <c r="Y223" s="889"/>
      <c r="Z223" s="889"/>
      <c r="AA223" s="889"/>
      <c r="AB223" s="889"/>
      <c r="AC223" s="889"/>
      <c r="AD223" s="889"/>
      <c r="AE223" s="889"/>
      <c r="AF223" s="889"/>
      <c r="AG223" s="889"/>
      <c r="AH223" s="889"/>
      <c r="AI223" s="889"/>
      <c r="AJ223" s="889"/>
      <c r="AK223" s="889"/>
      <c r="AL223" s="889"/>
      <c r="AM223" s="889"/>
      <c r="AN223" s="889"/>
      <c r="AO223" s="889"/>
      <c r="AP223" s="889"/>
      <c r="AQ223" s="889"/>
      <c r="AR223" s="889"/>
      <c r="AS223" s="889"/>
      <c r="AT223" s="889"/>
      <c r="AU223" s="889"/>
      <c r="AV223" s="889"/>
      <c r="AW223" s="889"/>
      <c r="AX223" s="889"/>
      <c r="AY223" s="889"/>
      <c r="AZ223" s="889"/>
    </row>
    <row r="224">
      <c r="A224" s="889"/>
      <c r="B224" s="889"/>
      <c r="C224" s="889"/>
      <c r="D224" s="889"/>
      <c r="E224" s="889"/>
      <c r="F224" s="889"/>
      <c r="G224" s="889"/>
      <c r="H224" s="889"/>
      <c r="I224" s="889"/>
      <c r="J224" s="889"/>
      <c r="K224" s="889"/>
      <c r="L224" s="889"/>
      <c r="M224" s="889"/>
      <c r="N224" s="944"/>
      <c r="O224" s="944"/>
      <c r="P224" s="944"/>
      <c r="Q224" s="944"/>
      <c r="R224" s="944"/>
      <c r="S224" s="889"/>
      <c r="T224" s="889"/>
      <c r="U224" s="889"/>
      <c r="V224" s="889"/>
      <c r="W224" s="889"/>
      <c r="X224" s="889"/>
      <c r="Y224" s="889"/>
      <c r="Z224" s="889"/>
      <c r="AA224" s="889"/>
      <c r="AB224" s="889"/>
      <c r="AC224" s="889"/>
      <c r="AD224" s="889"/>
      <c r="AE224" s="889"/>
      <c r="AF224" s="889"/>
      <c r="AG224" s="889"/>
      <c r="AH224" s="889"/>
      <c r="AI224" s="889"/>
      <c r="AJ224" s="889"/>
      <c r="AK224" s="889"/>
      <c r="AL224" s="889"/>
      <c r="AM224" s="889"/>
      <c r="AN224" s="889"/>
      <c r="AO224" s="889"/>
      <c r="AP224" s="889"/>
      <c r="AQ224" s="889"/>
      <c r="AR224" s="889"/>
      <c r="AS224" s="889"/>
      <c r="AT224" s="889"/>
      <c r="AU224" s="889"/>
      <c r="AV224" s="889"/>
      <c r="AW224" s="889"/>
      <c r="AX224" s="889"/>
      <c r="AY224" s="889"/>
      <c r="AZ224" s="889"/>
    </row>
    <row r="225">
      <c r="A225" s="889"/>
      <c r="B225" s="889"/>
      <c r="C225" s="889"/>
      <c r="D225" s="889"/>
      <c r="E225" s="889"/>
      <c r="F225" s="889"/>
      <c r="G225" s="889"/>
      <c r="H225" s="889"/>
      <c r="I225" s="889"/>
      <c r="J225" s="889"/>
      <c r="K225" s="889"/>
      <c r="L225" s="889"/>
      <c r="M225" s="889"/>
      <c r="N225" s="944"/>
      <c r="O225" s="944"/>
      <c r="P225" s="944"/>
      <c r="Q225" s="944"/>
      <c r="R225" s="944"/>
      <c r="S225" s="889"/>
      <c r="T225" s="889"/>
      <c r="U225" s="889"/>
      <c r="V225" s="889"/>
      <c r="W225" s="889"/>
      <c r="X225" s="889"/>
      <c r="Y225" s="889"/>
      <c r="Z225" s="889"/>
      <c r="AA225" s="889"/>
      <c r="AB225" s="889"/>
      <c r="AC225" s="889"/>
      <c r="AD225" s="889"/>
      <c r="AE225" s="889"/>
      <c r="AF225" s="889"/>
      <c r="AG225" s="889"/>
      <c r="AH225" s="889"/>
      <c r="AI225" s="889"/>
      <c r="AJ225" s="889"/>
      <c r="AK225" s="889"/>
      <c r="AL225" s="889"/>
      <c r="AM225" s="889"/>
      <c r="AN225" s="889"/>
      <c r="AO225" s="889"/>
      <c r="AP225" s="889"/>
      <c r="AQ225" s="889"/>
      <c r="AR225" s="889"/>
      <c r="AS225" s="889"/>
      <c r="AT225" s="889"/>
      <c r="AU225" s="889"/>
      <c r="AV225" s="889"/>
      <c r="AW225" s="889"/>
      <c r="AX225" s="889"/>
      <c r="AY225" s="889"/>
      <c r="AZ225" s="889"/>
    </row>
    <row r="226">
      <c r="A226" s="889"/>
      <c r="B226" s="889"/>
      <c r="C226" s="889"/>
      <c r="D226" s="889"/>
      <c r="E226" s="889"/>
      <c r="F226" s="889"/>
      <c r="G226" s="889"/>
      <c r="H226" s="889"/>
      <c r="I226" s="889"/>
      <c r="J226" s="889"/>
      <c r="K226" s="889"/>
      <c r="L226" s="889"/>
      <c r="M226" s="889"/>
      <c r="N226" s="944"/>
      <c r="O226" s="944"/>
      <c r="P226" s="944"/>
      <c r="Q226" s="944"/>
      <c r="R226" s="944"/>
      <c r="S226" s="889"/>
      <c r="T226" s="889"/>
      <c r="U226" s="889"/>
      <c r="V226" s="889"/>
      <c r="W226" s="889"/>
      <c r="X226" s="889"/>
      <c r="Y226" s="889"/>
      <c r="Z226" s="889"/>
      <c r="AA226" s="889"/>
      <c r="AB226" s="889"/>
      <c r="AC226" s="889"/>
      <c r="AD226" s="889"/>
      <c r="AE226" s="889"/>
      <c r="AF226" s="889"/>
      <c r="AG226" s="889"/>
      <c r="AH226" s="889"/>
      <c r="AI226" s="889"/>
      <c r="AJ226" s="889"/>
      <c r="AK226" s="889"/>
      <c r="AL226" s="889"/>
      <c r="AM226" s="889"/>
      <c r="AN226" s="889"/>
      <c r="AO226" s="889"/>
      <c r="AP226" s="889"/>
      <c r="AQ226" s="889"/>
      <c r="AR226" s="889"/>
      <c r="AS226" s="889"/>
      <c r="AT226" s="889"/>
      <c r="AU226" s="889"/>
      <c r="AV226" s="889"/>
      <c r="AW226" s="889"/>
      <c r="AX226" s="889"/>
      <c r="AY226" s="889"/>
      <c r="AZ226" s="889"/>
    </row>
    <row r="227">
      <c r="A227" s="889"/>
      <c r="B227" s="889"/>
      <c r="C227" s="889"/>
      <c r="D227" s="889"/>
      <c r="E227" s="889"/>
      <c r="F227" s="889"/>
      <c r="G227" s="889"/>
      <c r="H227" s="889"/>
      <c r="I227" s="889"/>
      <c r="J227" s="889"/>
      <c r="K227" s="889"/>
      <c r="L227" s="889"/>
      <c r="M227" s="889"/>
      <c r="N227" s="944"/>
      <c r="O227" s="944"/>
      <c r="P227" s="944"/>
      <c r="Q227" s="944"/>
      <c r="R227" s="944"/>
      <c r="S227" s="889"/>
      <c r="T227" s="889"/>
      <c r="U227" s="889"/>
      <c r="V227" s="889"/>
      <c r="W227" s="889"/>
      <c r="X227" s="889"/>
      <c r="Y227" s="889"/>
      <c r="Z227" s="889"/>
      <c r="AA227" s="889"/>
      <c r="AB227" s="889"/>
      <c r="AC227" s="889"/>
      <c r="AD227" s="889"/>
      <c r="AE227" s="889"/>
      <c r="AF227" s="889"/>
      <c r="AG227" s="889"/>
      <c r="AH227" s="889"/>
      <c r="AI227" s="889"/>
      <c r="AJ227" s="889"/>
      <c r="AK227" s="889"/>
      <c r="AL227" s="889"/>
      <c r="AM227" s="889"/>
      <c r="AN227" s="889"/>
      <c r="AO227" s="889"/>
      <c r="AP227" s="889"/>
      <c r="AQ227" s="889"/>
      <c r="AR227" s="889"/>
      <c r="AS227" s="889"/>
      <c r="AT227" s="889"/>
      <c r="AU227" s="889"/>
      <c r="AV227" s="889"/>
      <c r="AW227" s="889"/>
      <c r="AX227" s="889"/>
      <c r="AY227" s="889"/>
      <c r="AZ227" s="889"/>
    </row>
    <row r="228">
      <c r="A228" s="889"/>
      <c r="B228" s="889"/>
      <c r="C228" s="889"/>
      <c r="D228" s="889"/>
      <c r="E228" s="889"/>
      <c r="F228" s="889"/>
      <c r="G228" s="889"/>
      <c r="H228" s="889"/>
      <c r="I228" s="889"/>
      <c r="J228" s="889"/>
      <c r="K228" s="889"/>
      <c r="L228" s="889"/>
      <c r="M228" s="889"/>
      <c r="N228" s="944"/>
      <c r="O228" s="944"/>
      <c r="P228" s="944"/>
      <c r="Q228" s="944"/>
      <c r="R228" s="944"/>
      <c r="S228" s="889"/>
      <c r="T228" s="889"/>
      <c r="U228" s="889"/>
      <c r="V228" s="889"/>
      <c r="W228" s="889"/>
      <c r="X228" s="889"/>
      <c r="Y228" s="889"/>
      <c r="Z228" s="889"/>
      <c r="AA228" s="889"/>
      <c r="AB228" s="889"/>
      <c r="AC228" s="889"/>
      <c r="AD228" s="889"/>
      <c r="AE228" s="889"/>
      <c r="AF228" s="889"/>
      <c r="AG228" s="889"/>
      <c r="AH228" s="889"/>
      <c r="AI228" s="889"/>
      <c r="AJ228" s="889"/>
      <c r="AK228" s="889"/>
      <c r="AL228" s="889"/>
      <c r="AM228" s="889"/>
      <c r="AN228" s="889"/>
      <c r="AO228" s="889"/>
      <c r="AP228" s="889"/>
      <c r="AQ228" s="889"/>
      <c r="AR228" s="889"/>
      <c r="AS228" s="889"/>
      <c r="AT228" s="889"/>
      <c r="AU228" s="889"/>
      <c r="AV228" s="889"/>
      <c r="AW228" s="889"/>
      <c r="AX228" s="889"/>
      <c r="AY228" s="889"/>
      <c r="AZ228" s="889"/>
    </row>
    <row r="229">
      <c r="A229" s="889"/>
      <c r="B229" s="889"/>
      <c r="C229" s="889"/>
      <c r="D229" s="889"/>
      <c r="E229" s="889"/>
      <c r="F229" s="889"/>
      <c r="G229" s="889"/>
      <c r="H229" s="889"/>
      <c r="I229" s="889"/>
      <c r="J229" s="889"/>
      <c r="K229" s="889"/>
      <c r="L229" s="889"/>
      <c r="M229" s="889"/>
      <c r="N229" s="944"/>
      <c r="O229" s="944"/>
      <c r="P229" s="944"/>
      <c r="Q229" s="944"/>
      <c r="R229" s="944"/>
      <c r="S229" s="889"/>
      <c r="T229" s="889"/>
      <c r="U229" s="889"/>
      <c r="V229" s="889"/>
      <c r="W229" s="889"/>
      <c r="X229" s="889"/>
      <c r="Y229" s="889"/>
      <c r="Z229" s="889"/>
      <c r="AA229" s="889"/>
      <c r="AB229" s="889"/>
      <c r="AC229" s="889"/>
      <c r="AD229" s="889"/>
      <c r="AE229" s="889"/>
      <c r="AF229" s="889"/>
      <c r="AG229" s="889"/>
      <c r="AH229" s="889"/>
      <c r="AI229" s="889"/>
      <c r="AJ229" s="889"/>
      <c r="AK229" s="889"/>
      <c r="AL229" s="889"/>
      <c r="AM229" s="889"/>
      <c r="AN229" s="889"/>
      <c r="AO229" s="889"/>
      <c r="AP229" s="889"/>
      <c r="AQ229" s="889"/>
      <c r="AR229" s="889"/>
      <c r="AS229" s="889"/>
      <c r="AT229" s="889"/>
      <c r="AU229" s="889"/>
      <c r="AV229" s="889"/>
      <c r="AW229" s="889"/>
      <c r="AX229" s="889"/>
      <c r="AY229" s="889"/>
      <c r="AZ229" s="889"/>
    </row>
    <row r="230">
      <c r="A230" s="889"/>
      <c r="B230" s="889"/>
      <c r="C230" s="889"/>
      <c r="D230" s="889"/>
      <c r="E230" s="889"/>
      <c r="F230" s="889"/>
      <c r="G230" s="889"/>
      <c r="H230" s="889"/>
      <c r="I230" s="889"/>
      <c r="J230" s="889"/>
      <c r="K230" s="889"/>
      <c r="L230" s="889"/>
      <c r="M230" s="889"/>
      <c r="N230" s="944"/>
      <c r="O230" s="944"/>
      <c r="P230" s="944"/>
      <c r="Q230" s="944"/>
      <c r="R230" s="944"/>
      <c r="S230" s="889"/>
      <c r="T230" s="889"/>
      <c r="U230" s="889"/>
      <c r="V230" s="889"/>
      <c r="W230" s="889"/>
      <c r="X230" s="889"/>
      <c r="Y230" s="889"/>
      <c r="Z230" s="889"/>
      <c r="AA230" s="889"/>
      <c r="AB230" s="889"/>
      <c r="AC230" s="889"/>
      <c r="AD230" s="889"/>
      <c r="AE230" s="889"/>
      <c r="AF230" s="889"/>
      <c r="AG230" s="889"/>
      <c r="AH230" s="889"/>
      <c r="AI230" s="889"/>
      <c r="AJ230" s="889"/>
      <c r="AK230" s="889"/>
      <c r="AL230" s="889"/>
      <c r="AM230" s="889"/>
      <c r="AN230" s="889"/>
      <c r="AO230" s="889"/>
      <c r="AP230" s="889"/>
      <c r="AQ230" s="889"/>
      <c r="AR230" s="889"/>
      <c r="AS230" s="889"/>
      <c r="AT230" s="889"/>
      <c r="AU230" s="889"/>
      <c r="AV230" s="889"/>
      <c r="AW230" s="889"/>
      <c r="AX230" s="889"/>
      <c r="AY230" s="889"/>
      <c r="AZ230" s="889"/>
    </row>
    <row r="231">
      <c r="A231" s="889"/>
      <c r="B231" s="889"/>
      <c r="C231" s="889"/>
      <c r="D231" s="889"/>
      <c r="E231" s="889"/>
      <c r="F231" s="889"/>
      <c r="G231" s="889"/>
      <c r="H231" s="889"/>
      <c r="I231" s="889"/>
      <c r="J231" s="889"/>
      <c r="K231" s="889"/>
      <c r="L231" s="889"/>
      <c r="M231" s="889"/>
      <c r="N231" s="944"/>
      <c r="O231" s="944"/>
      <c r="P231" s="944"/>
      <c r="Q231" s="944"/>
      <c r="R231" s="944"/>
      <c r="S231" s="889"/>
      <c r="T231" s="889"/>
      <c r="U231" s="889"/>
      <c r="V231" s="889"/>
      <c r="W231" s="889"/>
      <c r="X231" s="889"/>
      <c r="Y231" s="889"/>
      <c r="Z231" s="889"/>
      <c r="AA231" s="889"/>
      <c r="AB231" s="889"/>
      <c r="AC231" s="889"/>
      <c r="AD231" s="889"/>
      <c r="AE231" s="889"/>
      <c r="AF231" s="889"/>
      <c r="AG231" s="889"/>
      <c r="AH231" s="889"/>
      <c r="AI231" s="889"/>
      <c r="AJ231" s="889"/>
      <c r="AK231" s="889"/>
      <c r="AL231" s="889"/>
      <c r="AM231" s="889"/>
      <c r="AN231" s="889"/>
      <c r="AO231" s="889"/>
      <c r="AP231" s="889"/>
      <c r="AQ231" s="889"/>
      <c r="AR231" s="889"/>
      <c r="AS231" s="889"/>
      <c r="AT231" s="889"/>
      <c r="AU231" s="889"/>
      <c r="AV231" s="889"/>
      <c r="AW231" s="889"/>
      <c r="AX231" s="889"/>
      <c r="AY231" s="889"/>
      <c r="AZ231" s="889"/>
    </row>
    <row r="232">
      <c r="A232" s="889"/>
      <c r="B232" s="889"/>
      <c r="C232" s="889"/>
      <c r="D232" s="889"/>
      <c r="E232" s="889"/>
      <c r="F232" s="889"/>
      <c r="G232" s="889"/>
      <c r="H232" s="889"/>
      <c r="I232" s="889"/>
      <c r="J232" s="889"/>
      <c r="K232" s="889"/>
      <c r="L232" s="889"/>
      <c r="M232" s="889"/>
      <c r="N232" s="944"/>
      <c r="O232" s="944"/>
      <c r="P232" s="944"/>
      <c r="Q232" s="944"/>
      <c r="R232" s="944"/>
      <c r="S232" s="889"/>
      <c r="T232" s="889"/>
      <c r="U232" s="889"/>
      <c r="V232" s="889"/>
      <c r="W232" s="889"/>
      <c r="X232" s="889"/>
      <c r="Y232" s="889"/>
      <c r="Z232" s="889"/>
      <c r="AA232" s="889"/>
      <c r="AB232" s="889"/>
      <c r="AC232" s="889"/>
      <c r="AD232" s="889"/>
      <c r="AE232" s="889"/>
      <c r="AF232" s="889"/>
      <c r="AG232" s="889"/>
      <c r="AH232" s="889"/>
      <c r="AI232" s="889"/>
      <c r="AJ232" s="889"/>
      <c r="AK232" s="889"/>
      <c r="AL232" s="889"/>
      <c r="AM232" s="889"/>
      <c r="AN232" s="889"/>
      <c r="AO232" s="889"/>
      <c r="AP232" s="889"/>
      <c r="AQ232" s="889"/>
      <c r="AR232" s="889"/>
      <c r="AS232" s="889"/>
      <c r="AT232" s="889"/>
      <c r="AU232" s="889"/>
      <c r="AV232" s="889"/>
      <c r="AW232" s="889"/>
      <c r="AX232" s="889"/>
      <c r="AY232" s="889"/>
      <c r="AZ232" s="889"/>
    </row>
    <row r="233">
      <c r="A233" s="889"/>
      <c r="B233" s="889"/>
      <c r="C233" s="889"/>
      <c r="D233" s="889"/>
      <c r="E233" s="889"/>
      <c r="F233" s="889"/>
      <c r="G233" s="889"/>
      <c r="H233" s="889"/>
      <c r="I233" s="889"/>
      <c r="J233" s="889"/>
      <c r="K233" s="889"/>
      <c r="L233" s="889"/>
      <c r="M233" s="889"/>
      <c r="N233" s="944"/>
      <c r="O233" s="944"/>
      <c r="P233" s="944"/>
      <c r="Q233" s="944"/>
      <c r="R233" s="944"/>
      <c r="S233" s="889"/>
      <c r="T233" s="889"/>
      <c r="U233" s="889"/>
      <c r="V233" s="889"/>
      <c r="W233" s="889"/>
      <c r="X233" s="889"/>
      <c r="Y233" s="889"/>
      <c r="Z233" s="889"/>
      <c r="AA233" s="889"/>
      <c r="AB233" s="889"/>
      <c r="AC233" s="889"/>
      <c r="AD233" s="889"/>
      <c r="AE233" s="889"/>
      <c r="AF233" s="889"/>
      <c r="AG233" s="889"/>
      <c r="AH233" s="889"/>
      <c r="AI233" s="889"/>
      <c r="AJ233" s="889"/>
      <c r="AK233" s="889"/>
      <c r="AL233" s="889"/>
      <c r="AM233" s="889"/>
      <c r="AN233" s="889"/>
      <c r="AO233" s="889"/>
      <c r="AP233" s="889"/>
      <c r="AQ233" s="889"/>
      <c r="AR233" s="889"/>
      <c r="AS233" s="889"/>
      <c r="AT233" s="889"/>
      <c r="AU233" s="889"/>
      <c r="AV233" s="889"/>
      <c r="AW233" s="889"/>
      <c r="AX233" s="889"/>
      <c r="AY233" s="889"/>
      <c r="AZ233" s="889"/>
    </row>
    <row r="234">
      <c r="A234" s="889"/>
      <c r="B234" s="889"/>
      <c r="C234" s="889"/>
      <c r="D234" s="889"/>
      <c r="E234" s="889"/>
      <c r="F234" s="889"/>
      <c r="G234" s="889"/>
      <c r="H234" s="889"/>
      <c r="I234" s="889"/>
      <c r="J234" s="889"/>
      <c r="K234" s="889"/>
      <c r="L234" s="889"/>
      <c r="M234" s="889"/>
      <c r="N234" s="944"/>
      <c r="O234" s="944"/>
      <c r="P234" s="944"/>
      <c r="Q234" s="944"/>
      <c r="R234" s="944"/>
      <c r="S234" s="889"/>
      <c r="T234" s="889"/>
      <c r="U234" s="889"/>
      <c r="V234" s="889"/>
      <c r="W234" s="889"/>
      <c r="X234" s="889"/>
      <c r="Y234" s="889"/>
      <c r="Z234" s="889"/>
      <c r="AA234" s="889"/>
      <c r="AB234" s="889"/>
      <c r="AC234" s="889"/>
      <c r="AD234" s="889"/>
      <c r="AE234" s="889"/>
      <c r="AF234" s="889"/>
      <c r="AG234" s="889"/>
      <c r="AH234" s="889"/>
      <c r="AI234" s="889"/>
      <c r="AJ234" s="889"/>
      <c r="AK234" s="889"/>
      <c r="AL234" s="889"/>
      <c r="AM234" s="889"/>
      <c r="AN234" s="889"/>
      <c r="AO234" s="889"/>
      <c r="AP234" s="889"/>
      <c r="AQ234" s="889"/>
      <c r="AR234" s="889"/>
      <c r="AS234" s="889"/>
      <c r="AT234" s="889"/>
      <c r="AU234" s="889"/>
      <c r="AV234" s="889"/>
      <c r="AW234" s="889"/>
      <c r="AX234" s="889"/>
      <c r="AY234" s="889"/>
      <c r="AZ234" s="889"/>
    </row>
    <row r="235">
      <c r="A235" s="889"/>
      <c r="B235" s="889"/>
      <c r="C235" s="889"/>
      <c r="D235" s="889"/>
      <c r="E235" s="889"/>
      <c r="F235" s="889"/>
      <c r="G235" s="889"/>
      <c r="H235" s="889"/>
      <c r="I235" s="889"/>
      <c r="J235" s="889"/>
      <c r="K235" s="889"/>
      <c r="L235" s="889"/>
      <c r="M235" s="889"/>
      <c r="N235" s="944"/>
      <c r="O235" s="944"/>
      <c r="P235" s="944"/>
      <c r="Q235" s="944"/>
      <c r="R235" s="944"/>
      <c r="S235" s="889"/>
      <c r="T235" s="889"/>
      <c r="U235" s="889"/>
      <c r="V235" s="889"/>
      <c r="W235" s="889"/>
      <c r="X235" s="889"/>
      <c r="Y235" s="889"/>
      <c r="Z235" s="889"/>
      <c r="AA235" s="889"/>
      <c r="AB235" s="889"/>
      <c r="AC235" s="889"/>
      <c r="AD235" s="889"/>
      <c r="AE235" s="889"/>
      <c r="AF235" s="889"/>
      <c r="AG235" s="889"/>
      <c r="AH235" s="889"/>
      <c r="AI235" s="889"/>
      <c r="AJ235" s="889"/>
      <c r="AK235" s="889"/>
      <c r="AL235" s="889"/>
      <c r="AM235" s="889"/>
      <c r="AN235" s="889"/>
      <c r="AO235" s="889"/>
      <c r="AP235" s="889"/>
      <c r="AQ235" s="889"/>
      <c r="AR235" s="889"/>
      <c r="AS235" s="889"/>
      <c r="AT235" s="889"/>
      <c r="AU235" s="889"/>
      <c r="AV235" s="889"/>
      <c r="AW235" s="889"/>
      <c r="AX235" s="889"/>
      <c r="AY235" s="889"/>
      <c r="AZ235" s="889"/>
    </row>
    <row r="236">
      <c r="A236" s="889"/>
      <c r="B236" s="889"/>
      <c r="C236" s="889"/>
      <c r="D236" s="889"/>
      <c r="E236" s="889"/>
      <c r="F236" s="889"/>
      <c r="G236" s="889"/>
      <c r="H236" s="889"/>
      <c r="I236" s="889"/>
      <c r="J236" s="889"/>
      <c r="K236" s="889"/>
      <c r="L236" s="889"/>
      <c r="M236" s="889"/>
      <c r="N236" s="944"/>
      <c r="O236" s="944"/>
      <c r="P236" s="944"/>
      <c r="Q236" s="944"/>
      <c r="R236" s="944"/>
      <c r="S236" s="889"/>
      <c r="T236" s="889"/>
      <c r="U236" s="889"/>
      <c r="V236" s="889"/>
      <c r="W236" s="889"/>
      <c r="X236" s="889"/>
      <c r="Y236" s="889"/>
      <c r="Z236" s="889"/>
      <c r="AA236" s="889"/>
      <c r="AB236" s="889"/>
      <c r="AC236" s="889"/>
      <c r="AD236" s="889"/>
      <c r="AE236" s="889"/>
      <c r="AF236" s="889"/>
      <c r="AG236" s="889"/>
      <c r="AH236" s="889"/>
      <c r="AI236" s="889"/>
      <c r="AJ236" s="889"/>
      <c r="AK236" s="889"/>
      <c r="AL236" s="889"/>
      <c r="AM236" s="889"/>
      <c r="AN236" s="889"/>
      <c r="AO236" s="889"/>
      <c r="AP236" s="889"/>
      <c r="AQ236" s="889"/>
      <c r="AR236" s="889"/>
      <c r="AS236" s="889"/>
      <c r="AT236" s="889"/>
      <c r="AU236" s="889"/>
      <c r="AV236" s="889"/>
      <c r="AW236" s="889"/>
      <c r="AX236" s="889"/>
      <c r="AY236" s="889"/>
      <c r="AZ236" s="889"/>
    </row>
    <row r="237">
      <c r="A237" s="889"/>
      <c r="B237" s="889"/>
      <c r="C237" s="889"/>
      <c r="D237" s="889"/>
      <c r="E237" s="889"/>
      <c r="F237" s="889"/>
      <c r="G237" s="889"/>
      <c r="H237" s="889"/>
      <c r="I237" s="889"/>
      <c r="J237" s="889"/>
      <c r="K237" s="889"/>
      <c r="L237" s="889"/>
      <c r="M237" s="889"/>
      <c r="N237" s="944"/>
      <c r="O237" s="944"/>
      <c r="P237" s="944"/>
      <c r="Q237" s="944"/>
      <c r="R237" s="944"/>
      <c r="S237" s="889"/>
      <c r="T237" s="889"/>
      <c r="U237" s="889"/>
      <c r="V237" s="889"/>
      <c r="W237" s="889"/>
      <c r="X237" s="889"/>
      <c r="Y237" s="889"/>
      <c r="Z237" s="889"/>
      <c r="AA237" s="889"/>
      <c r="AB237" s="889"/>
      <c r="AC237" s="889"/>
      <c r="AD237" s="889"/>
      <c r="AE237" s="889"/>
      <c r="AF237" s="889"/>
      <c r="AG237" s="889"/>
      <c r="AH237" s="889"/>
      <c r="AI237" s="889"/>
      <c r="AJ237" s="889"/>
      <c r="AK237" s="889"/>
      <c r="AL237" s="889"/>
      <c r="AM237" s="889"/>
      <c r="AN237" s="889"/>
      <c r="AO237" s="889"/>
      <c r="AP237" s="889"/>
      <c r="AQ237" s="889"/>
      <c r="AR237" s="889"/>
      <c r="AS237" s="889"/>
      <c r="AT237" s="889"/>
      <c r="AU237" s="889"/>
      <c r="AV237" s="889"/>
      <c r="AW237" s="889"/>
      <c r="AX237" s="889"/>
      <c r="AY237" s="889"/>
      <c r="AZ237" s="889"/>
    </row>
    <row r="238">
      <c r="A238" s="889"/>
      <c r="B238" s="889"/>
      <c r="C238" s="889"/>
      <c r="D238" s="889"/>
      <c r="E238" s="889"/>
      <c r="F238" s="889"/>
      <c r="G238" s="889"/>
      <c r="H238" s="889"/>
      <c r="I238" s="889"/>
      <c r="J238" s="889"/>
      <c r="K238" s="889"/>
      <c r="L238" s="889"/>
      <c r="M238" s="889"/>
      <c r="N238" s="944"/>
      <c r="O238" s="944"/>
      <c r="P238" s="944"/>
      <c r="Q238" s="944"/>
      <c r="R238" s="944"/>
      <c r="S238" s="889"/>
      <c r="T238" s="889"/>
      <c r="U238" s="889"/>
      <c r="V238" s="889"/>
      <c r="W238" s="889"/>
      <c r="X238" s="889"/>
      <c r="Y238" s="889"/>
      <c r="Z238" s="889"/>
      <c r="AA238" s="889"/>
      <c r="AB238" s="889"/>
      <c r="AC238" s="889"/>
      <c r="AD238" s="889"/>
      <c r="AE238" s="889"/>
      <c r="AF238" s="889"/>
      <c r="AG238" s="889"/>
      <c r="AH238" s="889"/>
      <c r="AI238" s="889"/>
      <c r="AJ238" s="889"/>
      <c r="AK238" s="889"/>
      <c r="AL238" s="889"/>
      <c r="AM238" s="889"/>
      <c r="AN238" s="889"/>
      <c r="AO238" s="889"/>
      <c r="AP238" s="889"/>
      <c r="AQ238" s="889"/>
      <c r="AR238" s="889"/>
      <c r="AS238" s="889"/>
      <c r="AT238" s="889"/>
      <c r="AU238" s="889"/>
      <c r="AV238" s="889"/>
      <c r="AW238" s="889"/>
      <c r="AX238" s="889"/>
      <c r="AY238" s="889"/>
      <c r="AZ238" s="889"/>
    </row>
    <row r="239">
      <c r="A239" s="889"/>
      <c r="B239" s="889"/>
      <c r="C239" s="889"/>
      <c r="D239" s="889"/>
      <c r="E239" s="889"/>
      <c r="F239" s="889"/>
      <c r="G239" s="889"/>
      <c r="H239" s="889"/>
      <c r="I239" s="889"/>
      <c r="J239" s="889"/>
      <c r="K239" s="889"/>
      <c r="L239" s="889"/>
      <c r="M239" s="889"/>
      <c r="N239" s="944"/>
      <c r="O239" s="944"/>
      <c r="P239" s="944"/>
      <c r="Q239" s="944"/>
      <c r="R239" s="944"/>
      <c r="S239" s="889"/>
      <c r="T239" s="889"/>
      <c r="U239" s="889"/>
      <c r="V239" s="889"/>
      <c r="W239" s="889"/>
      <c r="X239" s="889"/>
      <c r="Y239" s="889"/>
      <c r="Z239" s="889"/>
      <c r="AA239" s="889"/>
      <c r="AB239" s="889"/>
      <c r="AC239" s="889"/>
      <c r="AD239" s="889"/>
      <c r="AE239" s="889"/>
      <c r="AF239" s="889"/>
      <c r="AG239" s="889"/>
      <c r="AH239" s="889"/>
      <c r="AI239" s="889"/>
      <c r="AJ239" s="889"/>
      <c r="AK239" s="889"/>
      <c r="AL239" s="889"/>
      <c r="AM239" s="889"/>
      <c r="AN239" s="889"/>
      <c r="AO239" s="889"/>
      <c r="AP239" s="889"/>
      <c r="AQ239" s="889"/>
      <c r="AR239" s="889"/>
      <c r="AS239" s="889"/>
      <c r="AT239" s="889"/>
      <c r="AU239" s="889"/>
      <c r="AV239" s="889"/>
      <c r="AW239" s="889"/>
      <c r="AX239" s="889"/>
      <c r="AY239" s="889"/>
      <c r="AZ239" s="889"/>
    </row>
    <row r="240">
      <c r="A240" s="889"/>
      <c r="B240" s="889"/>
      <c r="C240" s="889"/>
      <c r="D240" s="889"/>
      <c r="E240" s="889"/>
      <c r="F240" s="889"/>
      <c r="G240" s="889"/>
      <c r="H240" s="889"/>
      <c r="I240" s="889"/>
      <c r="J240" s="889"/>
      <c r="K240" s="889"/>
      <c r="L240" s="889"/>
      <c r="M240" s="889"/>
      <c r="N240" s="944"/>
      <c r="O240" s="944"/>
      <c r="P240" s="944"/>
      <c r="Q240" s="944"/>
      <c r="R240" s="944"/>
      <c r="S240" s="889"/>
      <c r="T240" s="889"/>
      <c r="U240" s="889"/>
      <c r="V240" s="889"/>
      <c r="W240" s="889"/>
      <c r="X240" s="889"/>
      <c r="Y240" s="889"/>
      <c r="Z240" s="889"/>
      <c r="AA240" s="889"/>
      <c r="AB240" s="889"/>
      <c r="AC240" s="889"/>
      <c r="AD240" s="889"/>
      <c r="AE240" s="889"/>
      <c r="AF240" s="889"/>
      <c r="AG240" s="889"/>
      <c r="AH240" s="889"/>
      <c r="AI240" s="889"/>
      <c r="AJ240" s="889"/>
      <c r="AK240" s="889"/>
      <c r="AL240" s="889"/>
      <c r="AM240" s="889"/>
      <c r="AN240" s="889"/>
      <c r="AO240" s="889"/>
      <c r="AP240" s="889"/>
      <c r="AQ240" s="889"/>
      <c r="AR240" s="889"/>
      <c r="AS240" s="889"/>
      <c r="AT240" s="889"/>
      <c r="AU240" s="889"/>
      <c r="AV240" s="889"/>
      <c r="AW240" s="889"/>
      <c r="AX240" s="889"/>
      <c r="AY240" s="889"/>
      <c r="AZ240" s="889"/>
    </row>
    <row r="241">
      <c r="A241" s="889"/>
      <c r="B241" s="889"/>
      <c r="C241" s="889"/>
      <c r="D241" s="889"/>
      <c r="E241" s="889"/>
      <c r="F241" s="889"/>
      <c r="G241" s="889"/>
      <c r="H241" s="889"/>
      <c r="I241" s="889"/>
      <c r="J241" s="889"/>
      <c r="K241" s="889"/>
      <c r="L241" s="889"/>
      <c r="M241" s="889"/>
      <c r="N241" s="944"/>
      <c r="O241" s="944"/>
      <c r="P241" s="944"/>
      <c r="Q241" s="944"/>
      <c r="R241" s="944"/>
      <c r="S241" s="889"/>
      <c r="T241" s="889"/>
      <c r="U241" s="889"/>
      <c r="V241" s="889"/>
      <c r="W241" s="889"/>
      <c r="X241" s="889"/>
      <c r="Y241" s="889"/>
      <c r="Z241" s="889"/>
      <c r="AA241" s="889"/>
      <c r="AB241" s="889"/>
      <c r="AC241" s="889"/>
      <c r="AD241" s="889"/>
      <c r="AE241" s="889"/>
      <c r="AF241" s="889"/>
      <c r="AG241" s="889"/>
      <c r="AH241" s="889"/>
      <c r="AI241" s="889"/>
      <c r="AJ241" s="889"/>
      <c r="AK241" s="889"/>
      <c r="AL241" s="889"/>
      <c r="AM241" s="889"/>
      <c r="AN241" s="889"/>
      <c r="AO241" s="889"/>
      <c r="AP241" s="889"/>
      <c r="AQ241" s="889"/>
      <c r="AR241" s="889"/>
      <c r="AS241" s="889"/>
      <c r="AT241" s="889"/>
      <c r="AU241" s="889"/>
      <c r="AV241" s="889"/>
      <c r="AW241" s="889"/>
      <c r="AX241" s="889"/>
      <c r="AY241" s="889"/>
      <c r="AZ241" s="889"/>
    </row>
    <row r="242">
      <c r="A242" s="889"/>
      <c r="B242" s="889"/>
      <c r="C242" s="889"/>
      <c r="D242" s="889"/>
      <c r="E242" s="889"/>
      <c r="F242" s="889"/>
      <c r="G242" s="889"/>
      <c r="H242" s="889"/>
      <c r="I242" s="889"/>
      <c r="J242" s="889"/>
      <c r="K242" s="889"/>
      <c r="L242" s="889"/>
      <c r="M242" s="889"/>
      <c r="N242" s="944"/>
      <c r="O242" s="944"/>
      <c r="P242" s="944"/>
      <c r="Q242" s="944"/>
      <c r="R242" s="944"/>
      <c r="S242" s="889"/>
      <c r="T242" s="889"/>
      <c r="U242" s="889"/>
      <c r="V242" s="889"/>
      <c r="W242" s="889"/>
      <c r="X242" s="889"/>
      <c r="Y242" s="889"/>
      <c r="Z242" s="889"/>
      <c r="AA242" s="889"/>
      <c r="AB242" s="889"/>
      <c r="AC242" s="889"/>
      <c r="AD242" s="889"/>
      <c r="AE242" s="889"/>
      <c r="AF242" s="889"/>
      <c r="AG242" s="889"/>
      <c r="AH242" s="889"/>
      <c r="AI242" s="889"/>
      <c r="AJ242" s="889"/>
      <c r="AK242" s="889"/>
      <c r="AL242" s="889"/>
      <c r="AM242" s="889"/>
      <c r="AN242" s="889"/>
      <c r="AO242" s="889"/>
      <c r="AP242" s="889"/>
      <c r="AQ242" s="889"/>
      <c r="AR242" s="889"/>
      <c r="AS242" s="889"/>
      <c r="AT242" s="889"/>
      <c r="AU242" s="889"/>
      <c r="AV242" s="889"/>
      <c r="AW242" s="889"/>
      <c r="AX242" s="889"/>
      <c r="AY242" s="889"/>
      <c r="AZ242" s="889"/>
    </row>
    <row r="243">
      <c r="A243" s="889"/>
      <c r="B243" s="889"/>
      <c r="C243" s="889"/>
      <c r="D243" s="889"/>
      <c r="E243" s="889"/>
      <c r="F243" s="889"/>
      <c r="G243" s="889"/>
      <c r="H243" s="889"/>
      <c r="I243" s="889"/>
      <c r="J243" s="889"/>
      <c r="K243" s="889"/>
      <c r="L243" s="889"/>
      <c r="M243" s="889"/>
      <c r="N243" s="944"/>
      <c r="O243" s="944"/>
      <c r="P243" s="944"/>
      <c r="Q243" s="944"/>
      <c r="R243" s="944"/>
      <c r="S243" s="889"/>
      <c r="T243" s="889"/>
      <c r="U243" s="889"/>
      <c r="V243" s="889"/>
      <c r="W243" s="889"/>
      <c r="X243" s="889"/>
      <c r="Y243" s="889"/>
      <c r="Z243" s="889"/>
      <c r="AA243" s="889"/>
      <c r="AB243" s="889"/>
      <c r="AC243" s="889"/>
      <c r="AD243" s="889"/>
      <c r="AE243" s="889"/>
      <c r="AF243" s="889"/>
      <c r="AG243" s="889"/>
      <c r="AH243" s="889"/>
      <c r="AI243" s="889"/>
      <c r="AJ243" s="889"/>
      <c r="AK243" s="889"/>
      <c r="AL243" s="889"/>
      <c r="AM243" s="889"/>
      <c r="AN243" s="889"/>
      <c r="AO243" s="889"/>
      <c r="AP243" s="889"/>
      <c r="AQ243" s="889"/>
      <c r="AR243" s="889"/>
      <c r="AS243" s="889"/>
      <c r="AT243" s="889"/>
      <c r="AU243" s="889"/>
      <c r="AV243" s="889"/>
      <c r="AW243" s="889"/>
      <c r="AX243" s="889"/>
      <c r="AY243" s="889"/>
      <c r="AZ243" s="889"/>
    </row>
    <row r="244">
      <c r="A244" s="889"/>
      <c r="B244" s="889"/>
      <c r="C244" s="889"/>
      <c r="D244" s="889"/>
      <c r="E244" s="889"/>
      <c r="F244" s="889"/>
      <c r="G244" s="889"/>
      <c r="H244" s="889"/>
      <c r="I244" s="889"/>
      <c r="J244" s="889"/>
      <c r="K244" s="889"/>
      <c r="L244" s="889"/>
      <c r="M244" s="889"/>
      <c r="N244" s="944"/>
      <c r="O244" s="944"/>
      <c r="P244" s="944"/>
      <c r="Q244" s="944"/>
      <c r="R244" s="944"/>
      <c r="S244" s="889"/>
      <c r="T244" s="889"/>
      <c r="U244" s="889"/>
      <c r="V244" s="889"/>
      <c r="W244" s="889"/>
      <c r="X244" s="889"/>
      <c r="Y244" s="889"/>
      <c r="Z244" s="889"/>
      <c r="AA244" s="889"/>
      <c r="AB244" s="889"/>
      <c r="AC244" s="889"/>
      <c r="AD244" s="889"/>
      <c r="AE244" s="889"/>
      <c r="AF244" s="889"/>
      <c r="AG244" s="889"/>
      <c r="AH244" s="889"/>
      <c r="AI244" s="889"/>
      <c r="AJ244" s="889"/>
      <c r="AK244" s="889"/>
      <c r="AL244" s="889"/>
      <c r="AM244" s="889"/>
      <c r="AN244" s="889"/>
      <c r="AO244" s="889"/>
      <c r="AP244" s="889"/>
      <c r="AQ244" s="889"/>
      <c r="AR244" s="889"/>
      <c r="AS244" s="889"/>
      <c r="AT244" s="889"/>
      <c r="AU244" s="889"/>
      <c r="AV244" s="889"/>
      <c r="AW244" s="889"/>
      <c r="AX244" s="889"/>
      <c r="AY244" s="889"/>
      <c r="AZ244" s="889"/>
    </row>
    <row r="245">
      <c r="A245" s="889"/>
      <c r="B245" s="889"/>
      <c r="C245" s="889"/>
      <c r="D245" s="889"/>
      <c r="E245" s="889"/>
      <c r="F245" s="889"/>
      <c r="G245" s="889"/>
      <c r="H245" s="889"/>
      <c r="I245" s="889"/>
      <c r="J245" s="889"/>
      <c r="K245" s="889"/>
      <c r="L245" s="889"/>
      <c r="M245" s="889"/>
      <c r="N245" s="944"/>
      <c r="O245" s="944"/>
      <c r="P245" s="944"/>
      <c r="Q245" s="944"/>
      <c r="R245" s="944"/>
      <c r="S245" s="889"/>
      <c r="T245" s="889"/>
      <c r="U245" s="889"/>
      <c r="V245" s="889"/>
      <c r="W245" s="889"/>
      <c r="X245" s="889"/>
      <c r="Y245" s="889"/>
      <c r="Z245" s="889"/>
      <c r="AA245" s="889"/>
      <c r="AB245" s="889"/>
      <c r="AC245" s="889"/>
      <c r="AD245" s="889"/>
      <c r="AE245" s="889"/>
      <c r="AF245" s="889"/>
      <c r="AG245" s="889"/>
      <c r="AH245" s="889"/>
      <c r="AI245" s="889"/>
      <c r="AJ245" s="889"/>
      <c r="AK245" s="889"/>
      <c r="AL245" s="889"/>
      <c r="AM245" s="889"/>
      <c r="AN245" s="889"/>
      <c r="AO245" s="889"/>
      <c r="AP245" s="889"/>
      <c r="AQ245" s="889"/>
      <c r="AR245" s="889"/>
      <c r="AS245" s="889"/>
      <c r="AT245" s="889"/>
      <c r="AU245" s="889"/>
      <c r="AV245" s="889"/>
      <c r="AW245" s="889"/>
      <c r="AX245" s="889"/>
      <c r="AY245" s="889"/>
      <c r="AZ245" s="889"/>
    </row>
    <row r="246">
      <c r="A246" s="889"/>
      <c r="B246" s="889"/>
      <c r="C246" s="889"/>
      <c r="D246" s="889"/>
      <c r="E246" s="889"/>
      <c r="F246" s="889"/>
      <c r="G246" s="889"/>
      <c r="H246" s="889"/>
      <c r="I246" s="889"/>
      <c r="J246" s="889"/>
      <c r="K246" s="889"/>
      <c r="L246" s="889"/>
      <c r="M246" s="889"/>
      <c r="N246" s="944"/>
      <c r="O246" s="944"/>
      <c r="P246" s="944"/>
      <c r="Q246" s="944"/>
      <c r="R246" s="944"/>
      <c r="S246" s="889"/>
      <c r="T246" s="889"/>
      <c r="U246" s="889"/>
      <c r="V246" s="889"/>
      <c r="W246" s="889"/>
      <c r="X246" s="889"/>
      <c r="Y246" s="889"/>
      <c r="Z246" s="889"/>
      <c r="AA246" s="889"/>
      <c r="AB246" s="889"/>
      <c r="AC246" s="889"/>
      <c r="AD246" s="889"/>
      <c r="AE246" s="889"/>
      <c r="AF246" s="889"/>
      <c r="AG246" s="889"/>
      <c r="AH246" s="889"/>
      <c r="AI246" s="889"/>
      <c r="AJ246" s="889"/>
      <c r="AK246" s="889"/>
      <c r="AL246" s="889"/>
      <c r="AM246" s="889"/>
      <c r="AN246" s="889"/>
      <c r="AO246" s="889"/>
      <c r="AP246" s="889"/>
      <c r="AQ246" s="889"/>
      <c r="AR246" s="889"/>
      <c r="AS246" s="889"/>
      <c r="AT246" s="889"/>
      <c r="AU246" s="889"/>
      <c r="AV246" s="889"/>
      <c r="AW246" s="889"/>
      <c r="AX246" s="889"/>
      <c r="AY246" s="889"/>
      <c r="AZ246" s="889"/>
    </row>
    <row r="247">
      <c r="A247" s="889"/>
      <c r="B247" s="889"/>
      <c r="C247" s="889"/>
      <c r="D247" s="889"/>
      <c r="E247" s="889"/>
      <c r="F247" s="889"/>
      <c r="G247" s="889"/>
      <c r="H247" s="889"/>
      <c r="I247" s="889"/>
      <c r="J247" s="889"/>
      <c r="K247" s="889"/>
      <c r="L247" s="889"/>
      <c r="M247" s="889"/>
      <c r="N247" s="944"/>
      <c r="O247" s="944"/>
      <c r="P247" s="944"/>
      <c r="Q247" s="944"/>
      <c r="R247" s="944"/>
      <c r="S247" s="889"/>
      <c r="T247" s="889"/>
      <c r="U247" s="889"/>
      <c r="V247" s="889"/>
      <c r="W247" s="889"/>
      <c r="X247" s="889"/>
      <c r="Y247" s="889"/>
      <c r="Z247" s="889"/>
      <c r="AA247" s="889"/>
      <c r="AB247" s="889"/>
      <c r="AC247" s="889"/>
      <c r="AD247" s="889"/>
      <c r="AE247" s="889"/>
      <c r="AF247" s="889"/>
      <c r="AG247" s="889"/>
      <c r="AH247" s="889"/>
      <c r="AI247" s="889"/>
      <c r="AJ247" s="889"/>
      <c r="AK247" s="889"/>
      <c r="AL247" s="889"/>
      <c r="AM247" s="889"/>
      <c r="AN247" s="889"/>
      <c r="AO247" s="889"/>
      <c r="AP247" s="889"/>
      <c r="AQ247" s="889"/>
      <c r="AR247" s="889"/>
      <c r="AS247" s="889"/>
      <c r="AT247" s="889"/>
      <c r="AU247" s="889"/>
      <c r="AV247" s="889"/>
      <c r="AW247" s="889"/>
      <c r="AX247" s="889"/>
      <c r="AY247" s="889"/>
      <c r="AZ247" s="889"/>
    </row>
    <row r="248">
      <c r="A248" s="889"/>
      <c r="B248" s="889"/>
      <c r="C248" s="889"/>
      <c r="D248" s="889"/>
      <c r="E248" s="889"/>
      <c r="F248" s="889"/>
      <c r="G248" s="889"/>
      <c r="H248" s="889"/>
      <c r="I248" s="889"/>
      <c r="J248" s="889"/>
      <c r="K248" s="889"/>
      <c r="L248" s="889"/>
      <c r="M248" s="889"/>
      <c r="N248" s="944"/>
      <c r="O248" s="944"/>
      <c r="P248" s="944"/>
      <c r="Q248" s="944"/>
      <c r="R248" s="944"/>
      <c r="S248" s="889"/>
      <c r="T248" s="889"/>
      <c r="U248" s="889"/>
      <c r="V248" s="889"/>
      <c r="W248" s="889"/>
      <c r="X248" s="889"/>
      <c r="Y248" s="889"/>
      <c r="Z248" s="889"/>
      <c r="AA248" s="889"/>
      <c r="AB248" s="889"/>
      <c r="AC248" s="889"/>
      <c r="AD248" s="889"/>
      <c r="AE248" s="889"/>
      <c r="AF248" s="889"/>
      <c r="AG248" s="889"/>
      <c r="AH248" s="889"/>
      <c r="AI248" s="889"/>
      <c r="AJ248" s="889"/>
      <c r="AK248" s="889"/>
      <c r="AL248" s="889"/>
      <c r="AM248" s="889"/>
      <c r="AN248" s="889"/>
      <c r="AO248" s="889"/>
      <c r="AP248" s="889"/>
      <c r="AQ248" s="889"/>
      <c r="AR248" s="889"/>
      <c r="AS248" s="889"/>
      <c r="AT248" s="889"/>
      <c r="AU248" s="889"/>
      <c r="AV248" s="889"/>
      <c r="AW248" s="889"/>
      <c r="AX248" s="889"/>
      <c r="AY248" s="889"/>
      <c r="AZ248" s="889"/>
    </row>
    <row r="249">
      <c r="A249" s="889"/>
      <c r="B249" s="889"/>
      <c r="C249" s="889"/>
      <c r="D249" s="889"/>
      <c r="E249" s="889"/>
      <c r="F249" s="889"/>
      <c r="G249" s="889"/>
      <c r="H249" s="889"/>
      <c r="I249" s="889"/>
      <c r="J249" s="889"/>
      <c r="K249" s="889"/>
      <c r="L249" s="889"/>
      <c r="M249" s="889"/>
      <c r="N249" s="944"/>
      <c r="O249" s="944"/>
      <c r="P249" s="944"/>
      <c r="Q249" s="944"/>
      <c r="R249" s="944"/>
      <c r="S249" s="889"/>
      <c r="T249" s="889"/>
      <c r="U249" s="889"/>
      <c r="V249" s="889"/>
      <c r="W249" s="889"/>
      <c r="X249" s="889"/>
      <c r="Y249" s="889"/>
      <c r="Z249" s="889"/>
      <c r="AA249" s="889"/>
      <c r="AB249" s="889"/>
      <c r="AC249" s="889"/>
      <c r="AD249" s="889"/>
      <c r="AE249" s="889"/>
      <c r="AF249" s="889"/>
      <c r="AG249" s="889"/>
      <c r="AH249" s="889"/>
      <c r="AI249" s="889"/>
      <c r="AJ249" s="889"/>
      <c r="AK249" s="889"/>
      <c r="AL249" s="889"/>
      <c r="AM249" s="889"/>
      <c r="AN249" s="889"/>
      <c r="AO249" s="889"/>
      <c r="AP249" s="889"/>
      <c r="AQ249" s="889"/>
      <c r="AR249" s="889"/>
      <c r="AS249" s="889"/>
      <c r="AT249" s="889"/>
      <c r="AU249" s="889"/>
      <c r="AV249" s="889"/>
      <c r="AW249" s="889"/>
      <c r="AX249" s="889"/>
      <c r="AY249" s="889"/>
      <c r="AZ249" s="889"/>
    </row>
    <row r="250">
      <c r="A250" s="889"/>
      <c r="B250" s="889"/>
      <c r="C250" s="889"/>
      <c r="D250" s="889"/>
      <c r="E250" s="889"/>
      <c r="F250" s="889"/>
      <c r="G250" s="889"/>
      <c r="H250" s="889"/>
      <c r="I250" s="889"/>
      <c r="J250" s="889"/>
      <c r="K250" s="889"/>
      <c r="L250" s="889"/>
      <c r="M250" s="889"/>
      <c r="N250" s="944"/>
      <c r="O250" s="944"/>
      <c r="P250" s="944"/>
      <c r="Q250" s="944"/>
      <c r="R250" s="944"/>
      <c r="S250" s="889"/>
      <c r="T250" s="889"/>
      <c r="U250" s="889"/>
      <c r="V250" s="889"/>
      <c r="W250" s="889"/>
      <c r="X250" s="889"/>
      <c r="Y250" s="889"/>
      <c r="Z250" s="889"/>
      <c r="AA250" s="889"/>
      <c r="AB250" s="889"/>
      <c r="AC250" s="889"/>
      <c r="AD250" s="889"/>
      <c r="AE250" s="889"/>
      <c r="AF250" s="889"/>
      <c r="AG250" s="889"/>
      <c r="AH250" s="889"/>
      <c r="AI250" s="889"/>
      <c r="AJ250" s="889"/>
      <c r="AK250" s="889"/>
      <c r="AL250" s="889"/>
      <c r="AM250" s="889"/>
      <c r="AN250" s="889"/>
      <c r="AO250" s="889"/>
      <c r="AP250" s="889"/>
      <c r="AQ250" s="889"/>
      <c r="AR250" s="889"/>
      <c r="AS250" s="889"/>
      <c r="AT250" s="889"/>
      <c r="AU250" s="889"/>
      <c r="AV250" s="889"/>
      <c r="AW250" s="889"/>
      <c r="AX250" s="889"/>
      <c r="AY250" s="889"/>
      <c r="AZ250" s="889"/>
    </row>
    <row r="251">
      <c r="A251" s="889"/>
      <c r="B251" s="889"/>
      <c r="C251" s="889"/>
      <c r="D251" s="889"/>
      <c r="E251" s="889"/>
      <c r="F251" s="889"/>
      <c r="G251" s="889"/>
      <c r="H251" s="889"/>
      <c r="I251" s="889"/>
      <c r="J251" s="889"/>
      <c r="K251" s="889"/>
      <c r="L251" s="889"/>
      <c r="M251" s="889"/>
      <c r="N251" s="944"/>
      <c r="O251" s="944"/>
      <c r="P251" s="944"/>
      <c r="Q251" s="944"/>
      <c r="R251" s="944"/>
      <c r="S251" s="889"/>
      <c r="T251" s="889"/>
      <c r="U251" s="889"/>
      <c r="V251" s="889"/>
      <c r="W251" s="889"/>
      <c r="X251" s="889"/>
      <c r="Y251" s="889"/>
      <c r="Z251" s="889"/>
      <c r="AA251" s="889"/>
      <c r="AB251" s="889"/>
      <c r="AC251" s="889"/>
      <c r="AD251" s="889"/>
      <c r="AE251" s="889"/>
      <c r="AF251" s="889"/>
      <c r="AG251" s="889"/>
      <c r="AH251" s="889"/>
      <c r="AI251" s="889"/>
      <c r="AJ251" s="889"/>
      <c r="AK251" s="889"/>
      <c r="AL251" s="889"/>
      <c r="AM251" s="889"/>
      <c r="AN251" s="889"/>
      <c r="AO251" s="889"/>
      <c r="AP251" s="889"/>
      <c r="AQ251" s="889"/>
      <c r="AR251" s="889"/>
      <c r="AS251" s="889"/>
      <c r="AT251" s="889"/>
      <c r="AU251" s="889"/>
      <c r="AV251" s="889"/>
      <c r="AW251" s="889"/>
      <c r="AX251" s="889"/>
      <c r="AY251" s="889"/>
      <c r="AZ251" s="889"/>
    </row>
    <row r="252">
      <c r="A252" s="889"/>
      <c r="B252" s="889"/>
      <c r="C252" s="889"/>
      <c r="D252" s="889"/>
      <c r="E252" s="889"/>
      <c r="F252" s="889"/>
      <c r="G252" s="889"/>
      <c r="H252" s="889"/>
      <c r="I252" s="889"/>
      <c r="J252" s="889"/>
      <c r="K252" s="889"/>
      <c r="L252" s="889"/>
      <c r="M252" s="889"/>
      <c r="N252" s="944"/>
      <c r="O252" s="944"/>
      <c r="P252" s="944"/>
      <c r="Q252" s="944"/>
      <c r="R252" s="944"/>
      <c r="S252" s="889"/>
      <c r="T252" s="889"/>
      <c r="U252" s="889"/>
      <c r="V252" s="889"/>
      <c r="W252" s="889"/>
      <c r="X252" s="889"/>
      <c r="Y252" s="889"/>
      <c r="Z252" s="889"/>
      <c r="AA252" s="889"/>
      <c r="AB252" s="889"/>
      <c r="AC252" s="889"/>
      <c r="AD252" s="889"/>
      <c r="AE252" s="889"/>
      <c r="AF252" s="889"/>
      <c r="AG252" s="889"/>
      <c r="AH252" s="889"/>
      <c r="AI252" s="889"/>
      <c r="AJ252" s="889"/>
      <c r="AK252" s="889"/>
      <c r="AL252" s="889"/>
      <c r="AM252" s="889"/>
      <c r="AN252" s="889"/>
      <c r="AO252" s="889"/>
      <c r="AP252" s="889"/>
      <c r="AQ252" s="889"/>
      <c r="AR252" s="889"/>
      <c r="AS252" s="889"/>
      <c r="AT252" s="889"/>
      <c r="AU252" s="889"/>
      <c r="AV252" s="889"/>
      <c r="AW252" s="889"/>
      <c r="AX252" s="889"/>
      <c r="AY252" s="889"/>
      <c r="AZ252" s="889"/>
    </row>
    <row r="253">
      <c r="A253" s="889"/>
      <c r="B253" s="889"/>
      <c r="C253" s="889"/>
      <c r="D253" s="889"/>
      <c r="E253" s="889"/>
      <c r="F253" s="889"/>
      <c r="G253" s="889"/>
      <c r="H253" s="889"/>
      <c r="I253" s="889"/>
      <c r="J253" s="889"/>
      <c r="K253" s="889"/>
      <c r="L253" s="889"/>
      <c r="M253" s="889"/>
      <c r="N253" s="944"/>
      <c r="O253" s="944"/>
      <c r="P253" s="944"/>
      <c r="Q253" s="944"/>
      <c r="R253" s="944"/>
      <c r="S253" s="889"/>
      <c r="T253" s="889"/>
      <c r="U253" s="889"/>
      <c r="V253" s="889"/>
      <c r="W253" s="889"/>
      <c r="X253" s="889"/>
      <c r="Y253" s="889"/>
      <c r="Z253" s="889"/>
      <c r="AA253" s="889"/>
      <c r="AB253" s="889"/>
      <c r="AC253" s="889"/>
      <c r="AD253" s="889"/>
      <c r="AE253" s="889"/>
      <c r="AF253" s="889"/>
      <c r="AG253" s="889"/>
      <c r="AH253" s="889"/>
      <c r="AI253" s="889"/>
      <c r="AJ253" s="889"/>
      <c r="AK253" s="889"/>
      <c r="AL253" s="889"/>
      <c r="AM253" s="889"/>
      <c r="AN253" s="889"/>
      <c r="AO253" s="889"/>
      <c r="AP253" s="889"/>
      <c r="AQ253" s="889"/>
      <c r="AR253" s="889"/>
      <c r="AS253" s="889"/>
      <c r="AT253" s="889"/>
      <c r="AU253" s="889"/>
      <c r="AV253" s="889"/>
      <c r="AW253" s="889"/>
      <c r="AX253" s="889"/>
      <c r="AY253" s="889"/>
      <c r="AZ253" s="889"/>
    </row>
    <row r="254">
      <c r="A254" s="889"/>
      <c r="B254" s="889"/>
      <c r="C254" s="889"/>
      <c r="D254" s="889"/>
      <c r="E254" s="889"/>
      <c r="F254" s="889"/>
      <c r="G254" s="889"/>
      <c r="H254" s="889"/>
      <c r="I254" s="889"/>
      <c r="J254" s="889"/>
      <c r="K254" s="889"/>
      <c r="L254" s="889"/>
      <c r="M254" s="889"/>
      <c r="N254" s="944"/>
      <c r="O254" s="944"/>
      <c r="P254" s="944"/>
      <c r="Q254" s="944"/>
      <c r="R254" s="944"/>
      <c r="S254" s="889"/>
      <c r="T254" s="889"/>
      <c r="U254" s="889"/>
      <c r="V254" s="889"/>
      <c r="W254" s="889"/>
      <c r="X254" s="889"/>
      <c r="Y254" s="889"/>
      <c r="Z254" s="889"/>
      <c r="AA254" s="889"/>
      <c r="AB254" s="889"/>
      <c r="AC254" s="889"/>
      <c r="AD254" s="889"/>
      <c r="AE254" s="889"/>
      <c r="AF254" s="889"/>
      <c r="AG254" s="889"/>
      <c r="AH254" s="889"/>
      <c r="AI254" s="889"/>
      <c r="AJ254" s="889"/>
      <c r="AK254" s="889"/>
      <c r="AL254" s="889"/>
      <c r="AM254" s="889"/>
      <c r="AN254" s="889"/>
      <c r="AO254" s="889"/>
      <c r="AP254" s="889"/>
      <c r="AQ254" s="889"/>
      <c r="AR254" s="889"/>
      <c r="AS254" s="889"/>
      <c r="AT254" s="889"/>
      <c r="AU254" s="889"/>
      <c r="AV254" s="889"/>
      <c r="AW254" s="889"/>
      <c r="AX254" s="889"/>
      <c r="AY254" s="889"/>
      <c r="AZ254" s="889"/>
    </row>
    <row r="255">
      <c r="A255" s="889"/>
      <c r="B255" s="889"/>
      <c r="C255" s="889"/>
      <c r="D255" s="889"/>
      <c r="E255" s="889"/>
      <c r="F255" s="889"/>
      <c r="G255" s="889"/>
      <c r="H255" s="889"/>
      <c r="I255" s="889"/>
      <c r="J255" s="889"/>
      <c r="K255" s="889"/>
      <c r="L255" s="889"/>
      <c r="M255" s="889"/>
      <c r="N255" s="944"/>
      <c r="O255" s="944"/>
      <c r="P255" s="944"/>
      <c r="Q255" s="944"/>
      <c r="R255" s="944"/>
      <c r="S255" s="889"/>
      <c r="T255" s="889"/>
      <c r="U255" s="889"/>
      <c r="V255" s="889"/>
      <c r="W255" s="889"/>
      <c r="X255" s="889"/>
      <c r="Y255" s="889"/>
      <c r="Z255" s="889"/>
      <c r="AA255" s="889"/>
      <c r="AB255" s="889"/>
      <c r="AC255" s="889"/>
      <c r="AD255" s="889"/>
      <c r="AE255" s="889"/>
      <c r="AF255" s="889"/>
      <c r="AG255" s="889"/>
      <c r="AH255" s="889"/>
      <c r="AI255" s="889"/>
      <c r="AJ255" s="889"/>
      <c r="AK255" s="889"/>
      <c r="AL255" s="889"/>
      <c r="AM255" s="889"/>
      <c r="AN255" s="889"/>
      <c r="AO255" s="889"/>
      <c r="AP255" s="889"/>
      <c r="AQ255" s="889"/>
      <c r="AR255" s="889"/>
      <c r="AS255" s="889"/>
      <c r="AT255" s="889"/>
      <c r="AU255" s="889"/>
      <c r="AV255" s="889"/>
      <c r="AW255" s="889"/>
      <c r="AX255" s="889"/>
      <c r="AY255" s="889"/>
      <c r="AZ255" s="889"/>
    </row>
    <row r="256">
      <c r="A256" s="889"/>
      <c r="B256" s="889"/>
      <c r="C256" s="889"/>
      <c r="D256" s="889"/>
      <c r="E256" s="889"/>
      <c r="F256" s="889"/>
      <c r="G256" s="889"/>
      <c r="H256" s="889"/>
      <c r="I256" s="889"/>
      <c r="J256" s="889"/>
      <c r="K256" s="889"/>
      <c r="L256" s="889"/>
      <c r="M256" s="889"/>
      <c r="N256" s="944"/>
      <c r="O256" s="944"/>
      <c r="P256" s="944"/>
      <c r="Q256" s="944"/>
      <c r="R256" s="944"/>
      <c r="S256" s="889"/>
      <c r="T256" s="889"/>
      <c r="U256" s="889"/>
      <c r="V256" s="889"/>
      <c r="W256" s="889"/>
      <c r="X256" s="889"/>
      <c r="Y256" s="889"/>
      <c r="Z256" s="889"/>
      <c r="AA256" s="889"/>
      <c r="AB256" s="889"/>
      <c r="AC256" s="889"/>
      <c r="AD256" s="889"/>
      <c r="AE256" s="889"/>
      <c r="AF256" s="889"/>
      <c r="AG256" s="889"/>
      <c r="AH256" s="889"/>
      <c r="AI256" s="889"/>
      <c r="AJ256" s="889"/>
      <c r="AK256" s="889"/>
      <c r="AL256" s="889"/>
      <c r="AM256" s="889"/>
      <c r="AN256" s="889"/>
      <c r="AO256" s="889"/>
      <c r="AP256" s="889"/>
      <c r="AQ256" s="889"/>
      <c r="AR256" s="889"/>
      <c r="AS256" s="889"/>
      <c r="AT256" s="889"/>
      <c r="AU256" s="889"/>
      <c r="AV256" s="889"/>
      <c r="AW256" s="889"/>
      <c r="AX256" s="889"/>
      <c r="AY256" s="889"/>
      <c r="AZ256" s="889"/>
    </row>
    <row r="257">
      <c r="A257" s="889"/>
      <c r="B257" s="889"/>
      <c r="C257" s="889"/>
      <c r="D257" s="889"/>
      <c r="E257" s="889"/>
      <c r="F257" s="889"/>
      <c r="G257" s="889"/>
      <c r="H257" s="889"/>
      <c r="I257" s="889"/>
      <c r="J257" s="889"/>
      <c r="K257" s="889"/>
      <c r="L257" s="889"/>
      <c r="M257" s="889"/>
      <c r="N257" s="944"/>
      <c r="O257" s="944"/>
      <c r="P257" s="944"/>
      <c r="Q257" s="944"/>
      <c r="R257" s="944"/>
      <c r="S257" s="889"/>
      <c r="T257" s="889"/>
      <c r="U257" s="889"/>
      <c r="V257" s="889"/>
      <c r="W257" s="889"/>
      <c r="X257" s="889"/>
      <c r="Y257" s="889"/>
      <c r="Z257" s="889"/>
      <c r="AA257" s="889"/>
      <c r="AB257" s="889"/>
      <c r="AC257" s="889"/>
      <c r="AD257" s="889"/>
      <c r="AE257" s="889"/>
      <c r="AF257" s="889"/>
      <c r="AG257" s="889"/>
      <c r="AH257" s="889"/>
      <c r="AI257" s="889"/>
      <c r="AJ257" s="889"/>
      <c r="AK257" s="889"/>
      <c r="AL257" s="889"/>
      <c r="AM257" s="889"/>
      <c r="AN257" s="889"/>
      <c r="AO257" s="889"/>
      <c r="AP257" s="889"/>
      <c r="AQ257" s="889"/>
      <c r="AR257" s="889"/>
      <c r="AS257" s="889"/>
      <c r="AT257" s="889"/>
      <c r="AU257" s="889"/>
      <c r="AV257" s="889"/>
      <c r="AW257" s="889"/>
      <c r="AX257" s="889"/>
      <c r="AY257" s="889"/>
      <c r="AZ257" s="889"/>
    </row>
    <row r="258">
      <c r="A258" s="889"/>
      <c r="B258" s="889"/>
      <c r="C258" s="889"/>
      <c r="D258" s="889"/>
      <c r="E258" s="889"/>
      <c r="F258" s="889"/>
      <c r="G258" s="889"/>
      <c r="H258" s="889"/>
      <c r="I258" s="889"/>
      <c r="J258" s="889"/>
      <c r="K258" s="889"/>
      <c r="L258" s="889"/>
      <c r="M258" s="889"/>
      <c r="N258" s="944"/>
      <c r="O258" s="944"/>
      <c r="P258" s="944"/>
      <c r="Q258" s="944"/>
      <c r="R258" s="944"/>
      <c r="S258" s="889"/>
      <c r="T258" s="889"/>
      <c r="U258" s="889"/>
      <c r="V258" s="889"/>
      <c r="W258" s="889"/>
      <c r="X258" s="889"/>
      <c r="Y258" s="889"/>
      <c r="Z258" s="889"/>
      <c r="AA258" s="889"/>
      <c r="AB258" s="889"/>
      <c r="AC258" s="889"/>
      <c r="AD258" s="889"/>
      <c r="AE258" s="889"/>
      <c r="AF258" s="889"/>
      <c r="AG258" s="889"/>
      <c r="AH258" s="889"/>
      <c r="AI258" s="889"/>
      <c r="AJ258" s="889"/>
      <c r="AK258" s="889"/>
      <c r="AL258" s="889"/>
      <c r="AM258" s="889"/>
      <c r="AN258" s="889"/>
      <c r="AO258" s="889"/>
      <c r="AP258" s="889"/>
      <c r="AQ258" s="889"/>
      <c r="AR258" s="889"/>
      <c r="AS258" s="889"/>
      <c r="AT258" s="889"/>
      <c r="AU258" s="889"/>
      <c r="AV258" s="889"/>
      <c r="AW258" s="889"/>
      <c r="AX258" s="889"/>
      <c r="AY258" s="889"/>
      <c r="AZ258" s="889"/>
    </row>
    <row r="259">
      <c r="A259" s="889"/>
      <c r="B259" s="889"/>
      <c r="C259" s="889"/>
      <c r="D259" s="889"/>
      <c r="E259" s="889"/>
      <c r="F259" s="889"/>
      <c r="G259" s="889"/>
      <c r="H259" s="889"/>
      <c r="I259" s="889"/>
      <c r="J259" s="889"/>
      <c r="K259" s="889"/>
      <c r="L259" s="889"/>
      <c r="M259" s="889"/>
      <c r="N259" s="944"/>
      <c r="O259" s="944"/>
      <c r="P259" s="944"/>
      <c r="Q259" s="944"/>
      <c r="R259" s="944"/>
      <c r="S259" s="889"/>
      <c r="T259" s="889"/>
      <c r="U259" s="889"/>
      <c r="V259" s="889"/>
      <c r="W259" s="889"/>
      <c r="X259" s="889"/>
      <c r="Y259" s="889"/>
      <c r="Z259" s="889"/>
      <c r="AA259" s="889"/>
      <c r="AB259" s="889"/>
      <c r="AC259" s="889"/>
      <c r="AD259" s="889"/>
      <c r="AE259" s="889"/>
      <c r="AF259" s="889"/>
      <c r="AG259" s="889"/>
      <c r="AH259" s="889"/>
      <c r="AI259" s="889"/>
      <c r="AJ259" s="889"/>
      <c r="AK259" s="889"/>
      <c r="AL259" s="889"/>
      <c r="AM259" s="889"/>
      <c r="AN259" s="889"/>
      <c r="AO259" s="889"/>
      <c r="AP259" s="889"/>
      <c r="AQ259" s="889"/>
      <c r="AR259" s="889"/>
      <c r="AS259" s="889"/>
      <c r="AT259" s="889"/>
      <c r="AU259" s="889"/>
      <c r="AV259" s="889"/>
      <c r="AW259" s="889"/>
      <c r="AX259" s="889"/>
      <c r="AY259" s="889"/>
      <c r="AZ259" s="889"/>
    </row>
    <row r="260">
      <c r="A260" s="889"/>
      <c r="B260" s="889"/>
      <c r="C260" s="889"/>
      <c r="D260" s="889"/>
      <c r="E260" s="889"/>
      <c r="F260" s="889"/>
      <c r="G260" s="889"/>
      <c r="H260" s="889"/>
      <c r="I260" s="889"/>
      <c r="J260" s="889"/>
      <c r="K260" s="889"/>
      <c r="L260" s="889"/>
      <c r="M260" s="889"/>
      <c r="N260" s="944"/>
      <c r="O260" s="944"/>
      <c r="P260" s="944"/>
      <c r="Q260" s="944"/>
      <c r="R260" s="944"/>
      <c r="S260" s="889"/>
      <c r="T260" s="889"/>
      <c r="U260" s="889"/>
      <c r="V260" s="889"/>
      <c r="W260" s="889"/>
      <c r="X260" s="889"/>
      <c r="Y260" s="889"/>
      <c r="Z260" s="889"/>
      <c r="AA260" s="889"/>
      <c r="AB260" s="889"/>
      <c r="AC260" s="889"/>
      <c r="AD260" s="889"/>
      <c r="AE260" s="889"/>
      <c r="AF260" s="889"/>
      <c r="AG260" s="889"/>
      <c r="AH260" s="889"/>
      <c r="AI260" s="889"/>
      <c r="AJ260" s="889"/>
      <c r="AK260" s="889"/>
      <c r="AL260" s="889"/>
      <c r="AM260" s="889"/>
      <c r="AN260" s="889"/>
      <c r="AO260" s="889"/>
      <c r="AP260" s="889"/>
      <c r="AQ260" s="889"/>
      <c r="AR260" s="889"/>
      <c r="AS260" s="889"/>
      <c r="AT260" s="889"/>
      <c r="AU260" s="889"/>
      <c r="AV260" s="889"/>
      <c r="AW260" s="889"/>
      <c r="AX260" s="889"/>
      <c r="AY260" s="889"/>
      <c r="AZ260" s="889"/>
    </row>
    <row r="261">
      <c r="A261" s="889"/>
      <c r="B261" s="889"/>
      <c r="C261" s="889"/>
      <c r="D261" s="889"/>
      <c r="E261" s="889"/>
      <c r="F261" s="889"/>
      <c r="G261" s="889"/>
      <c r="H261" s="889"/>
      <c r="I261" s="889"/>
      <c r="J261" s="889"/>
      <c r="K261" s="889"/>
      <c r="L261" s="889"/>
      <c r="M261" s="889"/>
      <c r="N261" s="944"/>
      <c r="O261" s="944"/>
      <c r="P261" s="944"/>
      <c r="Q261" s="944"/>
      <c r="R261" s="944"/>
      <c r="S261" s="889"/>
      <c r="T261" s="889"/>
      <c r="U261" s="889"/>
      <c r="V261" s="889"/>
      <c r="W261" s="889"/>
      <c r="X261" s="889"/>
      <c r="Y261" s="889"/>
      <c r="Z261" s="889"/>
      <c r="AA261" s="889"/>
      <c r="AB261" s="889"/>
      <c r="AC261" s="889"/>
      <c r="AD261" s="889"/>
      <c r="AE261" s="889"/>
      <c r="AF261" s="889"/>
      <c r="AG261" s="889"/>
      <c r="AH261" s="889"/>
      <c r="AI261" s="889"/>
      <c r="AJ261" s="889"/>
      <c r="AK261" s="889"/>
      <c r="AL261" s="889"/>
      <c r="AM261" s="889"/>
      <c r="AN261" s="889"/>
      <c r="AO261" s="889"/>
      <c r="AP261" s="889"/>
      <c r="AQ261" s="889"/>
      <c r="AR261" s="889"/>
      <c r="AS261" s="889"/>
      <c r="AT261" s="889"/>
      <c r="AU261" s="889"/>
      <c r="AV261" s="889"/>
      <c r="AW261" s="889"/>
      <c r="AX261" s="889"/>
      <c r="AY261" s="889"/>
      <c r="AZ261" s="889"/>
    </row>
    <row r="262">
      <c r="A262" s="889"/>
      <c r="B262" s="889"/>
      <c r="C262" s="889"/>
      <c r="D262" s="889"/>
      <c r="E262" s="889"/>
      <c r="F262" s="889"/>
      <c r="G262" s="889"/>
      <c r="H262" s="889"/>
      <c r="I262" s="889"/>
      <c r="J262" s="889"/>
      <c r="K262" s="889"/>
      <c r="L262" s="889"/>
      <c r="M262" s="889"/>
      <c r="N262" s="944"/>
      <c r="O262" s="944"/>
      <c r="P262" s="944"/>
      <c r="Q262" s="944"/>
      <c r="R262" s="944"/>
      <c r="S262" s="889"/>
      <c r="T262" s="889"/>
      <c r="U262" s="889"/>
      <c r="V262" s="889"/>
      <c r="W262" s="889"/>
      <c r="X262" s="889"/>
      <c r="Y262" s="889"/>
      <c r="Z262" s="889"/>
      <c r="AA262" s="889"/>
      <c r="AB262" s="889"/>
      <c r="AC262" s="889"/>
      <c r="AD262" s="889"/>
      <c r="AE262" s="889"/>
      <c r="AF262" s="889"/>
      <c r="AG262" s="889"/>
      <c r="AH262" s="889"/>
      <c r="AI262" s="889"/>
      <c r="AJ262" s="889"/>
      <c r="AK262" s="889"/>
      <c r="AL262" s="889"/>
      <c r="AM262" s="889"/>
      <c r="AN262" s="889"/>
      <c r="AO262" s="889"/>
      <c r="AP262" s="889"/>
      <c r="AQ262" s="889"/>
      <c r="AR262" s="889"/>
      <c r="AS262" s="889"/>
      <c r="AT262" s="889"/>
      <c r="AU262" s="889"/>
      <c r="AV262" s="889"/>
      <c r="AW262" s="889"/>
      <c r="AX262" s="889"/>
      <c r="AY262" s="889"/>
      <c r="AZ262" s="889"/>
    </row>
    <row r="263">
      <c r="A263" s="889"/>
      <c r="B263" s="889"/>
      <c r="C263" s="889"/>
      <c r="D263" s="889"/>
      <c r="E263" s="889"/>
      <c r="F263" s="889"/>
      <c r="G263" s="889"/>
      <c r="H263" s="889"/>
      <c r="I263" s="889"/>
      <c r="J263" s="889"/>
      <c r="K263" s="889"/>
      <c r="L263" s="889"/>
      <c r="M263" s="889"/>
      <c r="N263" s="944"/>
      <c r="O263" s="944"/>
      <c r="P263" s="944"/>
      <c r="Q263" s="944"/>
      <c r="R263" s="944"/>
      <c r="S263" s="889"/>
      <c r="T263" s="889"/>
      <c r="U263" s="889"/>
      <c r="V263" s="889"/>
      <c r="W263" s="889"/>
      <c r="X263" s="889"/>
      <c r="Y263" s="889"/>
      <c r="Z263" s="889"/>
      <c r="AA263" s="889"/>
      <c r="AB263" s="889"/>
      <c r="AC263" s="889"/>
      <c r="AD263" s="889"/>
      <c r="AE263" s="889"/>
      <c r="AF263" s="889"/>
      <c r="AG263" s="889"/>
      <c r="AH263" s="889"/>
      <c r="AI263" s="889"/>
      <c r="AJ263" s="889"/>
      <c r="AK263" s="889"/>
      <c r="AL263" s="889"/>
      <c r="AM263" s="889"/>
      <c r="AN263" s="889"/>
      <c r="AO263" s="889"/>
      <c r="AP263" s="889"/>
      <c r="AQ263" s="889"/>
      <c r="AR263" s="889"/>
      <c r="AS263" s="889"/>
      <c r="AT263" s="889"/>
      <c r="AU263" s="889"/>
      <c r="AV263" s="889"/>
      <c r="AW263" s="889"/>
      <c r="AX263" s="889"/>
      <c r="AY263" s="889"/>
      <c r="AZ263" s="889"/>
    </row>
    <row r="264">
      <c r="A264" s="889"/>
      <c r="B264" s="889"/>
      <c r="C264" s="889"/>
      <c r="D264" s="889"/>
      <c r="E264" s="889"/>
      <c r="F264" s="889"/>
      <c r="G264" s="889"/>
      <c r="H264" s="889"/>
      <c r="I264" s="889"/>
      <c r="J264" s="889"/>
      <c r="K264" s="889"/>
      <c r="L264" s="889"/>
      <c r="M264" s="889"/>
      <c r="N264" s="944"/>
      <c r="O264" s="944"/>
      <c r="P264" s="944"/>
      <c r="Q264" s="944"/>
      <c r="R264" s="944"/>
      <c r="S264" s="889"/>
      <c r="T264" s="889"/>
      <c r="U264" s="889"/>
      <c r="V264" s="889"/>
      <c r="W264" s="889"/>
      <c r="X264" s="889"/>
      <c r="Y264" s="889"/>
      <c r="Z264" s="889"/>
      <c r="AA264" s="889"/>
      <c r="AB264" s="889"/>
      <c r="AC264" s="889"/>
      <c r="AD264" s="889"/>
      <c r="AE264" s="889"/>
      <c r="AF264" s="889"/>
      <c r="AG264" s="889"/>
      <c r="AH264" s="889"/>
      <c r="AI264" s="889"/>
      <c r="AJ264" s="889"/>
      <c r="AK264" s="889"/>
      <c r="AL264" s="889"/>
      <c r="AM264" s="889"/>
      <c r="AN264" s="889"/>
      <c r="AO264" s="889"/>
      <c r="AP264" s="889"/>
      <c r="AQ264" s="889"/>
      <c r="AR264" s="889"/>
      <c r="AS264" s="889"/>
      <c r="AT264" s="889"/>
      <c r="AU264" s="889"/>
      <c r="AV264" s="889"/>
      <c r="AW264" s="889"/>
      <c r="AX264" s="889"/>
      <c r="AY264" s="889"/>
      <c r="AZ264" s="889"/>
    </row>
    <row r="265">
      <c r="A265" s="889"/>
      <c r="B265" s="889"/>
      <c r="C265" s="889"/>
      <c r="D265" s="889"/>
      <c r="E265" s="889"/>
      <c r="F265" s="889"/>
      <c r="G265" s="889"/>
      <c r="H265" s="889"/>
      <c r="I265" s="889"/>
      <c r="J265" s="889"/>
      <c r="K265" s="889"/>
      <c r="L265" s="889"/>
      <c r="M265" s="889"/>
      <c r="N265" s="944"/>
      <c r="O265" s="944"/>
      <c r="P265" s="944"/>
      <c r="Q265" s="944"/>
      <c r="R265" s="944"/>
      <c r="S265" s="889"/>
      <c r="T265" s="889"/>
      <c r="U265" s="889"/>
      <c r="V265" s="889"/>
      <c r="W265" s="889"/>
      <c r="X265" s="889"/>
      <c r="Y265" s="889"/>
      <c r="Z265" s="889"/>
      <c r="AA265" s="889"/>
      <c r="AB265" s="889"/>
      <c r="AC265" s="889"/>
      <c r="AD265" s="889"/>
      <c r="AE265" s="889"/>
      <c r="AF265" s="889"/>
      <c r="AG265" s="889"/>
      <c r="AH265" s="889"/>
      <c r="AI265" s="889"/>
      <c r="AJ265" s="889"/>
      <c r="AK265" s="889"/>
      <c r="AL265" s="889"/>
      <c r="AM265" s="889"/>
      <c r="AN265" s="889"/>
      <c r="AO265" s="889"/>
      <c r="AP265" s="889"/>
      <c r="AQ265" s="889"/>
      <c r="AR265" s="889"/>
      <c r="AS265" s="889"/>
      <c r="AT265" s="889"/>
      <c r="AU265" s="889"/>
      <c r="AV265" s="889"/>
      <c r="AW265" s="889"/>
      <c r="AX265" s="889"/>
      <c r="AY265" s="889"/>
      <c r="AZ265" s="889"/>
    </row>
    <row r="266">
      <c r="A266" s="889"/>
      <c r="B266" s="889"/>
      <c r="C266" s="889"/>
      <c r="D266" s="889"/>
      <c r="E266" s="889"/>
      <c r="F266" s="889"/>
      <c r="G266" s="889"/>
      <c r="H266" s="889"/>
      <c r="I266" s="889"/>
      <c r="J266" s="889"/>
      <c r="K266" s="889"/>
      <c r="L266" s="889"/>
      <c r="M266" s="889"/>
      <c r="N266" s="944"/>
      <c r="O266" s="944"/>
      <c r="P266" s="944"/>
      <c r="Q266" s="944"/>
      <c r="R266" s="944"/>
      <c r="S266" s="889"/>
      <c r="T266" s="889"/>
      <c r="U266" s="889"/>
      <c r="V266" s="889"/>
      <c r="W266" s="889"/>
      <c r="X266" s="889"/>
      <c r="Y266" s="889"/>
      <c r="Z266" s="889"/>
      <c r="AA266" s="889"/>
      <c r="AB266" s="889"/>
      <c r="AC266" s="889"/>
      <c r="AD266" s="889"/>
      <c r="AE266" s="889"/>
      <c r="AF266" s="889"/>
      <c r="AG266" s="889"/>
      <c r="AH266" s="889"/>
      <c r="AI266" s="889"/>
      <c r="AJ266" s="889"/>
      <c r="AK266" s="889"/>
      <c r="AL266" s="889"/>
      <c r="AM266" s="889"/>
      <c r="AN266" s="889"/>
      <c r="AO266" s="889"/>
      <c r="AP266" s="889"/>
      <c r="AQ266" s="889"/>
      <c r="AR266" s="889"/>
      <c r="AS266" s="889"/>
      <c r="AT266" s="889"/>
      <c r="AU266" s="889"/>
      <c r="AV266" s="889"/>
      <c r="AW266" s="889"/>
      <c r="AX266" s="889"/>
      <c r="AY266" s="889"/>
      <c r="AZ266" s="889"/>
    </row>
    <row r="267">
      <c r="A267" s="889"/>
      <c r="B267" s="889"/>
      <c r="C267" s="889"/>
      <c r="D267" s="889"/>
      <c r="E267" s="889"/>
      <c r="F267" s="889"/>
      <c r="G267" s="889"/>
      <c r="H267" s="889"/>
      <c r="I267" s="889"/>
      <c r="J267" s="889"/>
      <c r="K267" s="889"/>
      <c r="L267" s="889"/>
      <c r="M267" s="889"/>
      <c r="N267" s="944"/>
      <c r="O267" s="944"/>
      <c r="P267" s="944"/>
      <c r="Q267" s="944"/>
      <c r="R267" s="944"/>
      <c r="S267" s="889"/>
      <c r="T267" s="889"/>
      <c r="U267" s="889"/>
      <c r="V267" s="889"/>
      <c r="W267" s="889"/>
      <c r="X267" s="889"/>
      <c r="Y267" s="889"/>
      <c r="Z267" s="889"/>
      <c r="AA267" s="889"/>
      <c r="AB267" s="889"/>
      <c r="AC267" s="889"/>
      <c r="AD267" s="889"/>
      <c r="AE267" s="889"/>
      <c r="AF267" s="889"/>
      <c r="AG267" s="889"/>
      <c r="AH267" s="889"/>
      <c r="AI267" s="889"/>
      <c r="AJ267" s="889"/>
      <c r="AK267" s="889"/>
      <c r="AL267" s="889"/>
      <c r="AM267" s="889"/>
      <c r="AN267" s="889"/>
      <c r="AO267" s="889"/>
      <c r="AP267" s="889"/>
      <c r="AQ267" s="889"/>
      <c r="AR267" s="889"/>
      <c r="AS267" s="889"/>
      <c r="AT267" s="889"/>
      <c r="AU267" s="889"/>
      <c r="AV267" s="889"/>
      <c r="AW267" s="889"/>
      <c r="AX267" s="889"/>
      <c r="AY267" s="889"/>
      <c r="AZ267" s="889"/>
    </row>
    <row r="268">
      <c r="A268" s="889"/>
      <c r="B268" s="889"/>
      <c r="C268" s="889"/>
      <c r="D268" s="889"/>
      <c r="E268" s="889"/>
      <c r="F268" s="889"/>
      <c r="G268" s="889"/>
      <c r="H268" s="889"/>
      <c r="I268" s="889"/>
      <c r="J268" s="889"/>
      <c r="K268" s="889"/>
      <c r="L268" s="889"/>
      <c r="M268" s="889"/>
      <c r="N268" s="944"/>
      <c r="O268" s="944"/>
      <c r="P268" s="944"/>
      <c r="Q268" s="944"/>
      <c r="R268" s="944"/>
      <c r="S268" s="889"/>
      <c r="T268" s="889"/>
      <c r="U268" s="889"/>
      <c r="V268" s="889"/>
      <c r="W268" s="889"/>
      <c r="X268" s="889"/>
      <c r="Y268" s="889"/>
      <c r="Z268" s="889"/>
      <c r="AA268" s="889"/>
      <c r="AB268" s="889"/>
      <c r="AC268" s="889"/>
      <c r="AD268" s="889"/>
      <c r="AE268" s="889"/>
      <c r="AF268" s="889"/>
      <c r="AG268" s="889"/>
      <c r="AH268" s="889"/>
      <c r="AI268" s="889"/>
      <c r="AJ268" s="889"/>
      <c r="AK268" s="889"/>
      <c r="AL268" s="889"/>
      <c r="AM268" s="889"/>
      <c r="AN268" s="889"/>
      <c r="AO268" s="889"/>
      <c r="AP268" s="889"/>
      <c r="AQ268" s="889"/>
      <c r="AR268" s="889"/>
      <c r="AS268" s="889"/>
      <c r="AT268" s="889"/>
      <c r="AU268" s="889"/>
      <c r="AV268" s="889"/>
      <c r="AW268" s="889"/>
      <c r="AX268" s="889"/>
      <c r="AY268" s="889"/>
      <c r="AZ268" s="889"/>
    </row>
    <row r="269">
      <c r="A269" s="889"/>
      <c r="B269" s="889"/>
      <c r="C269" s="889"/>
      <c r="D269" s="889"/>
      <c r="E269" s="889"/>
      <c r="F269" s="889"/>
      <c r="G269" s="889"/>
      <c r="H269" s="889"/>
      <c r="I269" s="889"/>
      <c r="J269" s="889"/>
      <c r="K269" s="889"/>
      <c r="L269" s="889"/>
      <c r="M269" s="889"/>
      <c r="N269" s="944"/>
      <c r="O269" s="944"/>
      <c r="P269" s="944"/>
      <c r="Q269" s="944"/>
      <c r="R269" s="944"/>
      <c r="S269" s="889"/>
      <c r="T269" s="889"/>
      <c r="U269" s="889"/>
      <c r="V269" s="889"/>
      <c r="W269" s="889"/>
      <c r="X269" s="889"/>
      <c r="Y269" s="889"/>
      <c r="Z269" s="889"/>
      <c r="AA269" s="889"/>
      <c r="AB269" s="889"/>
      <c r="AC269" s="889"/>
      <c r="AD269" s="889"/>
      <c r="AE269" s="889"/>
      <c r="AF269" s="889"/>
      <c r="AG269" s="889"/>
      <c r="AH269" s="889"/>
      <c r="AI269" s="889"/>
      <c r="AJ269" s="889"/>
      <c r="AK269" s="889"/>
      <c r="AL269" s="889"/>
      <c r="AM269" s="889"/>
      <c r="AN269" s="889"/>
      <c r="AO269" s="889"/>
      <c r="AP269" s="889"/>
      <c r="AQ269" s="889"/>
      <c r="AR269" s="889"/>
      <c r="AS269" s="889"/>
      <c r="AT269" s="889"/>
      <c r="AU269" s="889"/>
      <c r="AV269" s="889"/>
      <c r="AW269" s="889"/>
      <c r="AX269" s="889"/>
      <c r="AY269" s="889"/>
      <c r="AZ269" s="889"/>
    </row>
    <row r="270">
      <c r="A270" s="889"/>
      <c r="B270" s="889"/>
      <c r="C270" s="889"/>
      <c r="D270" s="889"/>
      <c r="E270" s="889"/>
      <c r="F270" s="889"/>
      <c r="G270" s="889"/>
      <c r="H270" s="889"/>
      <c r="I270" s="889"/>
      <c r="J270" s="889"/>
      <c r="K270" s="889"/>
      <c r="L270" s="889"/>
      <c r="M270" s="889"/>
      <c r="N270" s="944"/>
      <c r="O270" s="944"/>
      <c r="P270" s="944"/>
      <c r="Q270" s="944"/>
      <c r="R270" s="944"/>
      <c r="S270" s="889"/>
      <c r="T270" s="889"/>
      <c r="U270" s="889"/>
      <c r="V270" s="889"/>
      <c r="W270" s="889"/>
      <c r="X270" s="889"/>
      <c r="Y270" s="889"/>
      <c r="Z270" s="889"/>
      <c r="AA270" s="889"/>
      <c r="AB270" s="889"/>
      <c r="AC270" s="889"/>
      <c r="AD270" s="889"/>
      <c r="AE270" s="889"/>
      <c r="AF270" s="889"/>
      <c r="AG270" s="889"/>
      <c r="AH270" s="889"/>
      <c r="AI270" s="889"/>
      <c r="AJ270" s="889"/>
      <c r="AK270" s="889"/>
      <c r="AL270" s="889"/>
      <c r="AM270" s="889"/>
      <c r="AN270" s="889"/>
      <c r="AO270" s="889"/>
      <c r="AP270" s="889"/>
      <c r="AQ270" s="889"/>
      <c r="AR270" s="889"/>
      <c r="AS270" s="889"/>
      <c r="AT270" s="889"/>
      <c r="AU270" s="889"/>
      <c r="AV270" s="889"/>
      <c r="AW270" s="889"/>
      <c r="AX270" s="889"/>
      <c r="AY270" s="889"/>
      <c r="AZ270" s="889"/>
    </row>
    <row r="271">
      <c r="A271" s="889"/>
      <c r="B271" s="889"/>
      <c r="C271" s="889"/>
      <c r="D271" s="889"/>
      <c r="E271" s="889"/>
      <c r="F271" s="889"/>
      <c r="G271" s="889"/>
      <c r="H271" s="889"/>
      <c r="I271" s="889"/>
      <c r="J271" s="889"/>
      <c r="K271" s="889"/>
      <c r="L271" s="889"/>
      <c r="M271" s="889"/>
      <c r="N271" s="944"/>
      <c r="O271" s="944"/>
      <c r="P271" s="944"/>
      <c r="Q271" s="944"/>
      <c r="R271" s="944"/>
      <c r="S271" s="889"/>
      <c r="T271" s="889"/>
      <c r="U271" s="889"/>
      <c r="V271" s="889"/>
      <c r="W271" s="889"/>
      <c r="X271" s="889"/>
      <c r="Y271" s="889"/>
      <c r="Z271" s="889"/>
      <c r="AA271" s="889"/>
      <c r="AB271" s="889"/>
      <c r="AC271" s="889"/>
      <c r="AD271" s="889"/>
      <c r="AE271" s="889"/>
      <c r="AF271" s="889"/>
      <c r="AG271" s="889"/>
      <c r="AH271" s="889"/>
      <c r="AI271" s="889"/>
      <c r="AJ271" s="889"/>
      <c r="AK271" s="889"/>
      <c r="AL271" s="889"/>
      <c r="AM271" s="889"/>
      <c r="AN271" s="889"/>
      <c r="AO271" s="889"/>
      <c r="AP271" s="889"/>
      <c r="AQ271" s="889"/>
      <c r="AR271" s="889"/>
      <c r="AS271" s="889"/>
      <c r="AT271" s="889"/>
      <c r="AU271" s="889"/>
      <c r="AV271" s="889"/>
      <c r="AW271" s="889"/>
      <c r="AX271" s="889"/>
      <c r="AY271" s="889"/>
      <c r="AZ271" s="889"/>
    </row>
    <row r="272">
      <c r="A272" s="889"/>
      <c r="B272" s="889"/>
      <c r="C272" s="889"/>
      <c r="D272" s="889"/>
      <c r="E272" s="889"/>
      <c r="F272" s="889"/>
      <c r="G272" s="889"/>
      <c r="H272" s="889"/>
      <c r="I272" s="889"/>
      <c r="J272" s="889"/>
      <c r="K272" s="889"/>
      <c r="L272" s="889"/>
      <c r="M272" s="889"/>
      <c r="N272" s="944"/>
      <c r="O272" s="944"/>
      <c r="P272" s="944"/>
      <c r="Q272" s="944"/>
      <c r="R272" s="944"/>
      <c r="S272" s="889"/>
      <c r="T272" s="889"/>
      <c r="U272" s="889"/>
      <c r="V272" s="889"/>
      <c r="W272" s="889"/>
      <c r="X272" s="889"/>
      <c r="Y272" s="889"/>
      <c r="Z272" s="889"/>
      <c r="AA272" s="889"/>
      <c r="AB272" s="889"/>
      <c r="AC272" s="889"/>
      <c r="AD272" s="889"/>
      <c r="AE272" s="889"/>
      <c r="AF272" s="889"/>
      <c r="AG272" s="889"/>
      <c r="AH272" s="889"/>
      <c r="AI272" s="889"/>
      <c r="AJ272" s="889"/>
      <c r="AK272" s="889"/>
      <c r="AL272" s="889"/>
      <c r="AM272" s="889"/>
      <c r="AN272" s="889"/>
      <c r="AO272" s="889"/>
      <c r="AP272" s="889"/>
      <c r="AQ272" s="889"/>
      <c r="AR272" s="889"/>
      <c r="AS272" s="889"/>
      <c r="AT272" s="889"/>
      <c r="AU272" s="889"/>
      <c r="AV272" s="889"/>
      <c r="AW272" s="889"/>
      <c r="AX272" s="889"/>
      <c r="AY272" s="889"/>
      <c r="AZ272" s="889"/>
    </row>
    <row r="273">
      <c r="A273" s="889"/>
      <c r="B273" s="889"/>
      <c r="C273" s="889"/>
      <c r="D273" s="889"/>
      <c r="E273" s="889"/>
      <c r="F273" s="889"/>
      <c r="G273" s="889"/>
      <c r="H273" s="889"/>
      <c r="I273" s="889"/>
      <c r="J273" s="889"/>
      <c r="K273" s="889"/>
      <c r="L273" s="889"/>
      <c r="M273" s="889"/>
      <c r="N273" s="944"/>
      <c r="O273" s="944"/>
      <c r="P273" s="944"/>
      <c r="Q273" s="944"/>
      <c r="R273" s="944"/>
      <c r="S273" s="889"/>
      <c r="T273" s="889"/>
      <c r="U273" s="889"/>
      <c r="V273" s="889"/>
      <c r="W273" s="889"/>
      <c r="X273" s="889"/>
      <c r="Y273" s="889"/>
      <c r="Z273" s="889"/>
      <c r="AA273" s="889"/>
      <c r="AB273" s="889"/>
      <c r="AC273" s="889"/>
      <c r="AD273" s="889"/>
      <c r="AE273" s="889"/>
      <c r="AF273" s="889"/>
      <c r="AG273" s="889"/>
      <c r="AH273" s="889"/>
      <c r="AI273" s="889"/>
      <c r="AJ273" s="889"/>
      <c r="AK273" s="889"/>
      <c r="AL273" s="889"/>
      <c r="AM273" s="889"/>
      <c r="AN273" s="889"/>
      <c r="AO273" s="889"/>
      <c r="AP273" s="889"/>
      <c r="AQ273" s="889"/>
      <c r="AR273" s="889"/>
      <c r="AS273" s="889"/>
      <c r="AT273" s="889"/>
      <c r="AU273" s="889"/>
      <c r="AV273" s="889"/>
      <c r="AW273" s="889"/>
      <c r="AX273" s="889"/>
      <c r="AY273" s="889"/>
      <c r="AZ273" s="889"/>
    </row>
    <row r="274">
      <c r="A274" s="889"/>
      <c r="B274" s="889"/>
      <c r="C274" s="889"/>
      <c r="D274" s="889"/>
      <c r="E274" s="889"/>
      <c r="F274" s="889"/>
      <c r="G274" s="889"/>
      <c r="H274" s="889"/>
      <c r="I274" s="889"/>
      <c r="J274" s="889"/>
      <c r="K274" s="889"/>
      <c r="L274" s="889"/>
      <c r="M274" s="889"/>
      <c r="N274" s="944"/>
      <c r="O274" s="944"/>
      <c r="P274" s="944"/>
      <c r="Q274" s="944"/>
      <c r="R274" s="944"/>
      <c r="S274" s="889"/>
      <c r="T274" s="889"/>
      <c r="U274" s="889"/>
      <c r="V274" s="889"/>
      <c r="W274" s="889"/>
      <c r="X274" s="889"/>
      <c r="Y274" s="889"/>
      <c r="Z274" s="889"/>
      <c r="AA274" s="889"/>
      <c r="AB274" s="889"/>
      <c r="AC274" s="889"/>
      <c r="AD274" s="889"/>
      <c r="AE274" s="889"/>
      <c r="AF274" s="889"/>
      <c r="AG274" s="889"/>
      <c r="AH274" s="889"/>
      <c r="AI274" s="889"/>
      <c r="AJ274" s="889"/>
      <c r="AK274" s="889"/>
      <c r="AL274" s="889"/>
      <c r="AM274" s="889"/>
      <c r="AN274" s="889"/>
      <c r="AO274" s="889"/>
      <c r="AP274" s="889"/>
      <c r="AQ274" s="889"/>
      <c r="AR274" s="889"/>
      <c r="AS274" s="889"/>
      <c r="AT274" s="889"/>
      <c r="AU274" s="889"/>
      <c r="AV274" s="889"/>
      <c r="AW274" s="889"/>
      <c r="AX274" s="889"/>
      <c r="AY274" s="889"/>
      <c r="AZ274" s="889"/>
    </row>
    <row r="275">
      <c r="A275" s="889"/>
      <c r="B275" s="889"/>
      <c r="C275" s="889"/>
      <c r="D275" s="889"/>
      <c r="E275" s="889"/>
      <c r="F275" s="889"/>
      <c r="G275" s="889"/>
      <c r="H275" s="889"/>
      <c r="I275" s="889"/>
      <c r="J275" s="889"/>
      <c r="K275" s="889"/>
      <c r="L275" s="889"/>
      <c r="M275" s="889"/>
      <c r="N275" s="944"/>
      <c r="O275" s="944"/>
      <c r="P275" s="944"/>
      <c r="Q275" s="944"/>
      <c r="R275" s="944"/>
      <c r="S275" s="889"/>
      <c r="T275" s="889"/>
      <c r="U275" s="889"/>
      <c r="V275" s="889"/>
      <c r="W275" s="889"/>
      <c r="X275" s="889"/>
      <c r="Y275" s="889"/>
      <c r="Z275" s="889"/>
      <c r="AA275" s="889"/>
      <c r="AB275" s="889"/>
      <c r="AC275" s="889"/>
      <c r="AD275" s="889"/>
      <c r="AE275" s="889"/>
      <c r="AF275" s="889"/>
      <c r="AG275" s="889"/>
      <c r="AH275" s="889"/>
      <c r="AI275" s="889"/>
      <c r="AJ275" s="889"/>
      <c r="AK275" s="889"/>
      <c r="AL275" s="889"/>
      <c r="AM275" s="889"/>
      <c r="AN275" s="889"/>
      <c r="AO275" s="889"/>
      <c r="AP275" s="889"/>
      <c r="AQ275" s="889"/>
      <c r="AR275" s="889"/>
      <c r="AS275" s="889"/>
      <c r="AT275" s="889"/>
      <c r="AU275" s="889"/>
      <c r="AV275" s="889"/>
      <c r="AW275" s="889"/>
      <c r="AX275" s="889"/>
      <c r="AY275" s="889"/>
      <c r="AZ275" s="889"/>
    </row>
    <row r="276">
      <c r="A276" s="889"/>
      <c r="B276" s="889"/>
      <c r="C276" s="889"/>
      <c r="D276" s="889"/>
      <c r="E276" s="889"/>
      <c r="F276" s="889"/>
      <c r="G276" s="889"/>
      <c r="H276" s="889"/>
      <c r="I276" s="889"/>
      <c r="J276" s="889"/>
      <c r="K276" s="889"/>
      <c r="L276" s="889"/>
      <c r="M276" s="889"/>
      <c r="N276" s="944"/>
      <c r="O276" s="944"/>
      <c r="P276" s="944"/>
      <c r="Q276" s="944"/>
      <c r="R276" s="944"/>
      <c r="S276" s="889"/>
      <c r="T276" s="889"/>
      <c r="U276" s="889"/>
      <c r="V276" s="889"/>
      <c r="W276" s="889"/>
      <c r="X276" s="889"/>
      <c r="Y276" s="889"/>
      <c r="Z276" s="889"/>
      <c r="AA276" s="889"/>
      <c r="AB276" s="889"/>
      <c r="AC276" s="889"/>
      <c r="AD276" s="889"/>
      <c r="AE276" s="889"/>
      <c r="AF276" s="889"/>
      <c r="AG276" s="889"/>
      <c r="AH276" s="889"/>
      <c r="AI276" s="889"/>
      <c r="AJ276" s="889"/>
      <c r="AK276" s="889"/>
      <c r="AL276" s="889"/>
      <c r="AM276" s="889"/>
      <c r="AN276" s="889"/>
      <c r="AO276" s="889"/>
      <c r="AP276" s="889"/>
      <c r="AQ276" s="889"/>
      <c r="AR276" s="889"/>
      <c r="AS276" s="889"/>
      <c r="AT276" s="889"/>
      <c r="AU276" s="889"/>
      <c r="AV276" s="889"/>
      <c r="AW276" s="889"/>
      <c r="AX276" s="889"/>
      <c r="AY276" s="889"/>
      <c r="AZ276" s="889"/>
    </row>
    <row r="277">
      <c r="A277" s="889"/>
      <c r="B277" s="889"/>
      <c r="C277" s="889"/>
      <c r="D277" s="889"/>
      <c r="E277" s="889"/>
      <c r="F277" s="889"/>
      <c r="G277" s="889"/>
      <c r="H277" s="889"/>
      <c r="I277" s="889"/>
      <c r="J277" s="889"/>
      <c r="K277" s="889"/>
      <c r="L277" s="889"/>
      <c r="M277" s="889"/>
      <c r="N277" s="944"/>
      <c r="O277" s="944"/>
      <c r="P277" s="944"/>
      <c r="Q277" s="944"/>
      <c r="R277" s="944"/>
      <c r="S277" s="889"/>
      <c r="T277" s="889"/>
      <c r="U277" s="889"/>
      <c r="V277" s="889"/>
      <c r="W277" s="889"/>
      <c r="X277" s="889"/>
      <c r="Y277" s="889"/>
      <c r="Z277" s="889"/>
      <c r="AA277" s="889"/>
      <c r="AB277" s="889"/>
      <c r="AC277" s="889"/>
      <c r="AD277" s="889"/>
      <c r="AE277" s="889"/>
      <c r="AF277" s="889"/>
      <c r="AG277" s="889"/>
      <c r="AH277" s="889"/>
      <c r="AI277" s="889"/>
      <c r="AJ277" s="889"/>
      <c r="AK277" s="889"/>
      <c r="AL277" s="889"/>
      <c r="AM277" s="889"/>
      <c r="AN277" s="889"/>
      <c r="AO277" s="889"/>
      <c r="AP277" s="889"/>
      <c r="AQ277" s="889"/>
      <c r="AR277" s="889"/>
      <c r="AS277" s="889"/>
      <c r="AT277" s="889"/>
      <c r="AU277" s="889"/>
      <c r="AV277" s="889"/>
      <c r="AW277" s="889"/>
      <c r="AX277" s="889"/>
      <c r="AY277" s="889"/>
      <c r="AZ277" s="889"/>
    </row>
    <row r="278">
      <c r="A278" s="889"/>
      <c r="B278" s="889"/>
      <c r="C278" s="889"/>
      <c r="D278" s="889"/>
      <c r="E278" s="889"/>
      <c r="F278" s="889"/>
      <c r="G278" s="889"/>
      <c r="H278" s="889"/>
      <c r="I278" s="889"/>
      <c r="J278" s="889"/>
      <c r="K278" s="889"/>
      <c r="L278" s="889"/>
      <c r="M278" s="889"/>
      <c r="N278" s="944"/>
      <c r="O278" s="944"/>
      <c r="P278" s="944"/>
      <c r="Q278" s="944"/>
      <c r="R278" s="944"/>
      <c r="S278" s="889"/>
      <c r="T278" s="889"/>
      <c r="U278" s="889"/>
      <c r="V278" s="889"/>
      <c r="W278" s="889"/>
      <c r="X278" s="889"/>
      <c r="Y278" s="889"/>
      <c r="Z278" s="889"/>
      <c r="AA278" s="889"/>
      <c r="AB278" s="889"/>
      <c r="AC278" s="889"/>
      <c r="AD278" s="889"/>
      <c r="AE278" s="889"/>
      <c r="AF278" s="889"/>
      <c r="AG278" s="889"/>
      <c r="AH278" s="889"/>
      <c r="AI278" s="889"/>
      <c r="AJ278" s="889"/>
      <c r="AK278" s="889"/>
      <c r="AL278" s="889"/>
      <c r="AM278" s="889"/>
      <c r="AN278" s="889"/>
      <c r="AO278" s="889"/>
      <c r="AP278" s="889"/>
      <c r="AQ278" s="889"/>
      <c r="AR278" s="889"/>
      <c r="AS278" s="889"/>
      <c r="AT278" s="889"/>
      <c r="AU278" s="889"/>
      <c r="AV278" s="889"/>
      <c r="AW278" s="889"/>
      <c r="AX278" s="889"/>
      <c r="AY278" s="889"/>
      <c r="AZ278" s="889"/>
    </row>
    <row r="279">
      <c r="A279" s="889"/>
      <c r="B279" s="889"/>
      <c r="C279" s="889"/>
      <c r="D279" s="889"/>
      <c r="E279" s="889"/>
      <c r="F279" s="889"/>
      <c r="G279" s="889"/>
      <c r="H279" s="889"/>
      <c r="I279" s="889"/>
      <c r="J279" s="889"/>
      <c r="K279" s="889"/>
      <c r="L279" s="889"/>
      <c r="M279" s="889"/>
      <c r="N279" s="944"/>
      <c r="O279" s="944"/>
      <c r="P279" s="944"/>
      <c r="Q279" s="944"/>
      <c r="R279" s="944"/>
      <c r="S279" s="889"/>
      <c r="T279" s="889"/>
      <c r="U279" s="889"/>
      <c r="V279" s="889"/>
      <c r="W279" s="889"/>
      <c r="X279" s="889"/>
      <c r="Y279" s="889"/>
      <c r="Z279" s="889"/>
      <c r="AA279" s="889"/>
      <c r="AB279" s="889"/>
      <c r="AC279" s="889"/>
      <c r="AD279" s="889"/>
      <c r="AE279" s="889"/>
      <c r="AF279" s="889"/>
      <c r="AG279" s="889"/>
      <c r="AH279" s="889"/>
      <c r="AI279" s="889"/>
      <c r="AJ279" s="889"/>
      <c r="AK279" s="889"/>
      <c r="AL279" s="889"/>
      <c r="AM279" s="889"/>
      <c r="AN279" s="889"/>
      <c r="AO279" s="889"/>
      <c r="AP279" s="889"/>
      <c r="AQ279" s="889"/>
      <c r="AR279" s="889"/>
      <c r="AS279" s="889"/>
      <c r="AT279" s="889"/>
      <c r="AU279" s="889"/>
      <c r="AV279" s="889"/>
      <c r="AW279" s="889"/>
      <c r="AX279" s="889"/>
      <c r="AY279" s="889"/>
      <c r="AZ279" s="889"/>
    </row>
    <row r="280">
      <c r="A280" s="889"/>
      <c r="B280" s="889"/>
      <c r="C280" s="889"/>
      <c r="D280" s="889"/>
      <c r="E280" s="889"/>
      <c r="F280" s="889"/>
      <c r="G280" s="889"/>
      <c r="H280" s="889"/>
      <c r="I280" s="889"/>
      <c r="J280" s="889"/>
      <c r="K280" s="889"/>
      <c r="L280" s="889"/>
      <c r="M280" s="889"/>
      <c r="N280" s="944"/>
      <c r="O280" s="944"/>
      <c r="P280" s="944"/>
      <c r="Q280" s="944"/>
      <c r="R280" s="944"/>
      <c r="S280" s="889"/>
      <c r="T280" s="889"/>
      <c r="U280" s="889"/>
      <c r="V280" s="889"/>
      <c r="W280" s="889"/>
      <c r="X280" s="889"/>
      <c r="Y280" s="889"/>
      <c r="Z280" s="889"/>
      <c r="AA280" s="889"/>
      <c r="AB280" s="889"/>
      <c r="AC280" s="889"/>
      <c r="AD280" s="889"/>
      <c r="AE280" s="889"/>
      <c r="AF280" s="889"/>
      <c r="AG280" s="889"/>
      <c r="AH280" s="889"/>
      <c r="AI280" s="889"/>
      <c r="AJ280" s="889"/>
      <c r="AK280" s="889"/>
      <c r="AL280" s="889"/>
      <c r="AM280" s="889"/>
      <c r="AN280" s="889"/>
      <c r="AO280" s="889"/>
      <c r="AP280" s="889"/>
      <c r="AQ280" s="889"/>
      <c r="AR280" s="889"/>
      <c r="AS280" s="889"/>
      <c r="AT280" s="889"/>
      <c r="AU280" s="889"/>
      <c r="AV280" s="889"/>
      <c r="AW280" s="889"/>
      <c r="AX280" s="889"/>
      <c r="AY280" s="889"/>
      <c r="AZ280" s="889"/>
    </row>
    <row r="281">
      <c r="A281" s="889"/>
      <c r="B281" s="889"/>
      <c r="C281" s="889"/>
      <c r="D281" s="889"/>
      <c r="E281" s="889"/>
      <c r="F281" s="889"/>
      <c r="G281" s="889"/>
      <c r="H281" s="889"/>
      <c r="I281" s="889"/>
      <c r="J281" s="889"/>
      <c r="K281" s="889"/>
      <c r="L281" s="889"/>
      <c r="M281" s="889"/>
      <c r="N281" s="944"/>
      <c r="O281" s="944"/>
      <c r="P281" s="944"/>
      <c r="Q281" s="944"/>
      <c r="R281" s="944"/>
      <c r="S281" s="889"/>
      <c r="T281" s="889"/>
      <c r="U281" s="889"/>
      <c r="V281" s="889"/>
      <c r="W281" s="889"/>
      <c r="X281" s="889"/>
      <c r="Y281" s="889"/>
      <c r="Z281" s="889"/>
      <c r="AA281" s="889"/>
      <c r="AB281" s="889"/>
      <c r="AC281" s="889"/>
      <c r="AD281" s="889"/>
      <c r="AE281" s="889"/>
      <c r="AF281" s="889"/>
      <c r="AG281" s="889"/>
      <c r="AH281" s="889"/>
      <c r="AI281" s="889"/>
      <c r="AJ281" s="889"/>
      <c r="AK281" s="889"/>
      <c r="AL281" s="889"/>
      <c r="AM281" s="889"/>
      <c r="AN281" s="889"/>
      <c r="AO281" s="889"/>
      <c r="AP281" s="889"/>
      <c r="AQ281" s="889"/>
      <c r="AR281" s="889"/>
      <c r="AS281" s="889"/>
      <c r="AT281" s="889"/>
      <c r="AU281" s="889"/>
      <c r="AV281" s="889"/>
      <c r="AW281" s="889"/>
      <c r="AX281" s="889"/>
      <c r="AY281" s="889"/>
      <c r="AZ281" s="889"/>
    </row>
    <row r="282">
      <c r="A282" s="889"/>
      <c r="B282" s="889"/>
      <c r="C282" s="889"/>
      <c r="D282" s="889"/>
      <c r="E282" s="889"/>
      <c r="F282" s="889"/>
      <c r="G282" s="889"/>
      <c r="H282" s="889"/>
      <c r="I282" s="889"/>
      <c r="J282" s="889"/>
      <c r="K282" s="889"/>
      <c r="L282" s="889"/>
      <c r="M282" s="889"/>
      <c r="N282" s="944"/>
      <c r="O282" s="944"/>
      <c r="P282" s="944"/>
      <c r="Q282" s="944"/>
      <c r="R282" s="944"/>
      <c r="S282" s="889"/>
      <c r="T282" s="889"/>
      <c r="U282" s="889"/>
      <c r="V282" s="889"/>
      <c r="W282" s="889"/>
      <c r="X282" s="889"/>
      <c r="Y282" s="889"/>
      <c r="Z282" s="889"/>
      <c r="AA282" s="889"/>
      <c r="AB282" s="889"/>
      <c r="AC282" s="889"/>
      <c r="AD282" s="889"/>
      <c r="AE282" s="889"/>
      <c r="AF282" s="889"/>
      <c r="AG282" s="889"/>
      <c r="AH282" s="889"/>
      <c r="AI282" s="889"/>
      <c r="AJ282" s="889"/>
      <c r="AK282" s="889"/>
      <c r="AL282" s="889"/>
      <c r="AM282" s="889"/>
      <c r="AN282" s="889"/>
      <c r="AO282" s="889"/>
      <c r="AP282" s="889"/>
      <c r="AQ282" s="889"/>
      <c r="AR282" s="889"/>
      <c r="AS282" s="889"/>
      <c r="AT282" s="889"/>
      <c r="AU282" s="889"/>
      <c r="AV282" s="889"/>
      <c r="AW282" s="889"/>
      <c r="AX282" s="889"/>
      <c r="AY282" s="889"/>
      <c r="AZ282" s="889"/>
    </row>
    <row r="283">
      <c r="A283" s="889"/>
      <c r="B283" s="889"/>
      <c r="C283" s="889"/>
      <c r="D283" s="889"/>
      <c r="E283" s="889"/>
      <c r="F283" s="889"/>
      <c r="G283" s="889"/>
      <c r="H283" s="889"/>
      <c r="I283" s="889"/>
      <c r="J283" s="889"/>
      <c r="K283" s="889"/>
      <c r="L283" s="889"/>
      <c r="M283" s="889"/>
      <c r="N283" s="944"/>
      <c r="O283" s="944"/>
      <c r="P283" s="944"/>
      <c r="Q283" s="944"/>
      <c r="R283" s="944"/>
      <c r="S283" s="889"/>
      <c r="T283" s="889"/>
      <c r="U283" s="889"/>
      <c r="V283" s="889"/>
      <c r="W283" s="889"/>
      <c r="X283" s="889"/>
      <c r="Y283" s="889"/>
      <c r="Z283" s="889"/>
      <c r="AA283" s="889"/>
      <c r="AB283" s="889"/>
      <c r="AC283" s="889"/>
      <c r="AD283" s="889"/>
      <c r="AE283" s="889"/>
      <c r="AF283" s="889"/>
      <c r="AG283" s="889"/>
      <c r="AH283" s="889"/>
      <c r="AI283" s="889"/>
      <c r="AJ283" s="889"/>
      <c r="AK283" s="889"/>
      <c r="AL283" s="889"/>
      <c r="AM283" s="889"/>
      <c r="AN283" s="889"/>
      <c r="AO283" s="889"/>
      <c r="AP283" s="889"/>
      <c r="AQ283" s="889"/>
      <c r="AR283" s="889"/>
      <c r="AS283" s="889"/>
      <c r="AT283" s="889"/>
      <c r="AU283" s="889"/>
      <c r="AV283" s="889"/>
      <c r="AW283" s="889"/>
      <c r="AX283" s="889"/>
      <c r="AY283" s="889"/>
      <c r="AZ283" s="889"/>
    </row>
    <row r="284">
      <c r="A284" s="889"/>
      <c r="B284" s="889"/>
      <c r="C284" s="889"/>
      <c r="D284" s="889"/>
      <c r="E284" s="889"/>
      <c r="F284" s="889"/>
      <c r="G284" s="889"/>
      <c r="H284" s="889"/>
      <c r="I284" s="889"/>
      <c r="J284" s="889"/>
      <c r="K284" s="889"/>
      <c r="L284" s="889"/>
      <c r="M284" s="889"/>
      <c r="N284" s="944"/>
      <c r="O284" s="944"/>
      <c r="P284" s="944"/>
      <c r="Q284" s="944"/>
      <c r="R284" s="944"/>
      <c r="S284" s="889"/>
      <c r="T284" s="889"/>
      <c r="U284" s="889"/>
      <c r="V284" s="889"/>
      <c r="W284" s="889"/>
      <c r="X284" s="889"/>
      <c r="Y284" s="889"/>
      <c r="Z284" s="889"/>
      <c r="AA284" s="889"/>
      <c r="AB284" s="889"/>
      <c r="AC284" s="889"/>
      <c r="AD284" s="889"/>
      <c r="AE284" s="889"/>
      <c r="AF284" s="889"/>
      <c r="AG284" s="889"/>
      <c r="AH284" s="889"/>
      <c r="AI284" s="889"/>
      <c r="AJ284" s="889"/>
      <c r="AK284" s="889"/>
      <c r="AL284" s="889"/>
      <c r="AM284" s="889"/>
      <c r="AN284" s="889"/>
      <c r="AO284" s="889"/>
      <c r="AP284" s="889"/>
      <c r="AQ284" s="889"/>
      <c r="AR284" s="889"/>
      <c r="AS284" s="889"/>
      <c r="AT284" s="889"/>
      <c r="AU284" s="889"/>
      <c r="AV284" s="889"/>
      <c r="AW284" s="889"/>
      <c r="AX284" s="889"/>
      <c r="AY284" s="889"/>
      <c r="AZ284" s="889"/>
    </row>
    <row r="285">
      <c r="A285" s="889"/>
      <c r="B285" s="889"/>
      <c r="C285" s="889"/>
      <c r="D285" s="889"/>
      <c r="E285" s="889"/>
      <c r="F285" s="889"/>
      <c r="G285" s="889"/>
      <c r="H285" s="889"/>
      <c r="I285" s="889"/>
      <c r="J285" s="889"/>
      <c r="K285" s="889"/>
      <c r="L285" s="889"/>
      <c r="M285" s="889"/>
      <c r="N285" s="944"/>
      <c r="O285" s="944"/>
      <c r="P285" s="944"/>
      <c r="Q285" s="944"/>
      <c r="R285" s="944"/>
      <c r="S285" s="889"/>
      <c r="T285" s="889"/>
      <c r="U285" s="889"/>
      <c r="V285" s="889"/>
      <c r="W285" s="889"/>
      <c r="X285" s="889"/>
      <c r="Y285" s="889"/>
      <c r="Z285" s="889"/>
      <c r="AA285" s="889"/>
      <c r="AB285" s="889"/>
      <c r="AC285" s="889"/>
      <c r="AD285" s="889"/>
      <c r="AE285" s="889"/>
      <c r="AF285" s="889"/>
      <c r="AG285" s="889"/>
      <c r="AH285" s="889"/>
      <c r="AI285" s="889"/>
      <c r="AJ285" s="889"/>
      <c r="AK285" s="889"/>
      <c r="AL285" s="889"/>
      <c r="AM285" s="889"/>
      <c r="AN285" s="889"/>
      <c r="AO285" s="889"/>
      <c r="AP285" s="889"/>
      <c r="AQ285" s="889"/>
      <c r="AR285" s="889"/>
      <c r="AS285" s="889"/>
      <c r="AT285" s="889"/>
      <c r="AU285" s="889"/>
      <c r="AV285" s="889"/>
      <c r="AW285" s="889"/>
      <c r="AX285" s="889"/>
      <c r="AY285" s="889"/>
      <c r="AZ285" s="889"/>
    </row>
    <row r="286">
      <c r="A286" s="889"/>
      <c r="B286" s="889"/>
      <c r="C286" s="889"/>
      <c r="D286" s="889"/>
      <c r="E286" s="889"/>
      <c r="F286" s="889"/>
      <c r="G286" s="889"/>
      <c r="H286" s="889"/>
      <c r="I286" s="889"/>
      <c r="J286" s="889"/>
      <c r="K286" s="889"/>
      <c r="L286" s="889"/>
      <c r="M286" s="889"/>
      <c r="N286" s="944"/>
      <c r="O286" s="944"/>
      <c r="P286" s="944"/>
      <c r="Q286" s="944"/>
      <c r="R286" s="944"/>
      <c r="S286" s="889"/>
      <c r="T286" s="889"/>
      <c r="U286" s="889"/>
      <c r="V286" s="889"/>
      <c r="W286" s="889"/>
      <c r="X286" s="889"/>
      <c r="Y286" s="889"/>
      <c r="Z286" s="889"/>
      <c r="AA286" s="889"/>
      <c r="AB286" s="889"/>
      <c r="AC286" s="889"/>
      <c r="AD286" s="889"/>
      <c r="AE286" s="889"/>
      <c r="AF286" s="889"/>
      <c r="AG286" s="889"/>
      <c r="AH286" s="889"/>
      <c r="AI286" s="889"/>
      <c r="AJ286" s="889"/>
      <c r="AK286" s="889"/>
      <c r="AL286" s="889"/>
      <c r="AM286" s="889"/>
      <c r="AN286" s="889"/>
      <c r="AO286" s="889"/>
      <c r="AP286" s="889"/>
      <c r="AQ286" s="889"/>
      <c r="AR286" s="889"/>
      <c r="AS286" s="889"/>
      <c r="AT286" s="889"/>
      <c r="AU286" s="889"/>
      <c r="AV286" s="889"/>
      <c r="AW286" s="889"/>
      <c r="AX286" s="889"/>
      <c r="AY286" s="889"/>
      <c r="AZ286" s="889"/>
    </row>
    <row r="287">
      <c r="A287" s="889"/>
      <c r="B287" s="889"/>
      <c r="C287" s="889"/>
      <c r="D287" s="889"/>
      <c r="E287" s="889"/>
      <c r="F287" s="889"/>
      <c r="G287" s="889"/>
      <c r="H287" s="889"/>
      <c r="I287" s="889"/>
      <c r="J287" s="889"/>
      <c r="K287" s="889"/>
      <c r="L287" s="889"/>
      <c r="M287" s="889"/>
      <c r="N287" s="944"/>
      <c r="O287" s="944"/>
      <c r="P287" s="944"/>
      <c r="Q287" s="944"/>
      <c r="R287" s="944"/>
      <c r="S287" s="889"/>
      <c r="T287" s="889"/>
      <c r="U287" s="889"/>
      <c r="V287" s="889"/>
      <c r="W287" s="889"/>
      <c r="X287" s="889"/>
      <c r="Y287" s="889"/>
      <c r="Z287" s="889"/>
      <c r="AA287" s="889"/>
      <c r="AB287" s="889"/>
      <c r="AC287" s="889"/>
      <c r="AD287" s="889"/>
      <c r="AE287" s="889"/>
      <c r="AF287" s="889"/>
      <c r="AG287" s="889"/>
      <c r="AH287" s="889"/>
      <c r="AI287" s="889"/>
      <c r="AJ287" s="889"/>
      <c r="AK287" s="889"/>
      <c r="AL287" s="889"/>
      <c r="AM287" s="889"/>
      <c r="AN287" s="889"/>
      <c r="AO287" s="889"/>
      <c r="AP287" s="889"/>
      <c r="AQ287" s="889"/>
      <c r="AR287" s="889"/>
      <c r="AS287" s="889"/>
      <c r="AT287" s="889"/>
      <c r="AU287" s="889"/>
      <c r="AV287" s="889"/>
      <c r="AW287" s="889"/>
      <c r="AX287" s="889"/>
      <c r="AY287" s="889"/>
      <c r="AZ287" s="889"/>
    </row>
    <row r="288">
      <c r="A288" s="889"/>
      <c r="B288" s="889"/>
      <c r="C288" s="889"/>
      <c r="D288" s="889"/>
      <c r="E288" s="889"/>
      <c r="F288" s="889"/>
      <c r="G288" s="889"/>
      <c r="H288" s="889"/>
      <c r="I288" s="889"/>
      <c r="J288" s="889"/>
      <c r="K288" s="889"/>
      <c r="L288" s="889"/>
      <c r="M288" s="889"/>
      <c r="N288" s="944"/>
      <c r="O288" s="944"/>
      <c r="P288" s="944"/>
      <c r="Q288" s="944"/>
      <c r="R288" s="944"/>
      <c r="S288" s="889"/>
      <c r="T288" s="889"/>
      <c r="U288" s="889"/>
      <c r="V288" s="889"/>
      <c r="W288" s="889"/>
      <c r="X288" s="889"/>
      <c r="Y288" s="889"/>
      <c r="Z288" s="889"/>
      <c r="AA288" s="889"/>
      <c r="AB288" s="889"/>
      <c r="AC288" s="889"/>
      <c r="AD288" s="889"/>
      <c r="AE288" s="889"/>
      <c r="AF288" s="889"/>
      <c r="AG288" s="889"/>
      <c r="AH288" s="889"/>
      <c r="AI288" s="889"/>
      <c r="AJ288" s="889"/>
      <c r="AK288" s="889"/>
      <c r="AL288" s="889"/>
      <c r="AM288" s="889"/>
      <c r="AN288" s="889"/>
      <c r="AO288" s="889"/>
      <c r="AP288" s="889"/>
      <c r="AQ288" s="889"/>
      <c r="AR288" s="889"/>
      <c r="AS288" s="889"/>
      <c r="AT288" s="889"/>
      <c r="AU288" s="889"/>
      <c r="AV288" s="889"/>
      <c r="AW288" s="889"/>
      <c r="AX288" s="889"/>
      <c r="AY288" s="889"/>
      <c r="AZ288" s="889"/>
    </row>
    <row r="289">
      <c r="A289" s="889"/>
      <c r="B289" s="889"/>
      <c r="C289" s="889"/>
      <c r="D289" s="889"/>
      <c r="E289" s="889"/>
      <c r="F289" s="889"/>
      <c r="G289" s="889"/>
      <c r="H289" s="889"/>
      <c r="I289" s="889"/>
      <c r="J289" s="889"/>
      <c r="K289" s="889"/>
      <c r="L289" s="889"/>
      <c r="M289" s="889"/>
      <c r="N289" s="944"/>
      <c r="O289" s="944"/>
      <c r="P289" s="944"/>
      <c r="Q289" s="944"/>
      <c r="R289" s="944"/>
      <c r="S289" s="889"/>
      <c r="T289" s="889"/>
      <c r="U289" s="889"/>
      <c r="V289" s="889"/>
      <c r="W289" s="889"/>
      <c r="X289" s="889"/>
      <c r="Y289" s="889"/>
      <c r="Z289" s="889"/>
      <c r="AA289" s="889"/>
      <c r="AB289" s="889"/>
      <c r="AC289" s="889"/>
      <c r="AD289" s="889"/>
      <c r="AE289" s="889"/>
      <c r="AF289" s="889"/>
      <c r="AG289" s="889"/>
      <c r="AH289" s="889"/>
      <c r="AI289" s="889"/>
      <c r="AJ289" s="889"/>
      <c r="AK289" s="889"/>
      <c r="AL289" s="889"/>
      <c r="AM289" s="889"/>
      <c r="AN289" s="889"/>
      <c r="AO289" s="889"/>
      <c r="AP289" s="889"/>
      <c r="AQ289" s="889"/>
      <c r="AR289" s="889"/>
      <c r="AS289" s="889"/>
      <c r="AT289" s="889"/>
      <c r="AU289" s="889"/>
      <c r="AV289" s="889"/>
      <c r="AW289" s="889"/>
      <c r="AX289" s="889"/>
      <c r="AY289" s="889"/>
      <c r="AZ289" s="889"/>
    </row>
    <row r="290">
      <c r="A290" s="889"/>
      <c r="B290" s="889"/>
      <c r="C290" s="889"/>
      <c r="D290" s="889"/>
      <c r="E290" s="889"/>
      <c r="F290" s="889"/>
      <c r="G290" s="889"/>
      <c r="H290" s="889"/>
      <c r="I290" s="889"/>
      <c r="J290" s="889"/>
      <c r="K290" s="889"/>
      <c r="L290" s="889"/>
      <c r="M290" s="889"/>
      <c r="N290" s="944"/>
      <c r="O290" s="944"/>
      <c r="P290" s="944"/>
      <c r="Q290" s="944"/>
      <c r="R290" s="944"/>
      <c r="S290" s="889"/>
      <c r="T290" s="889"/>
      <c r="U290" s="889"/>
      <c r="V290" s="889"/>
      <c r="W290" s="889"/>
      <c r="X290" s="889"/>
      <c r="Y290" s="889"/>
      <c r="Z290" s="889"/>
      <c r="AA290" s="889"/>
      <c r="AB290" s="889"/>
      <c r="AC290" s="889"/>
      <c r="AD290" s="889"/>
      <c r="AE290" s="889"/>
      <c r="AF290" s="889"/>
      <c r="AG290" s="889"/>
      <c r="AH290" s="889"/>
      <c r="AI290" s="889"/>
      <c r="AJ290" s="889"/>
      <c r="AK290" s="889"/>
      <c r="AL290" s="889"/>
      <c r="AM290" s="889"/>
      <c r="AN290" s="889"/>
      <c r="AO290" s="889"/>
      <c r="AP290" s="889"/>
      <c r="AQ290" s="889"/>
      <c r="AR290" s="889"/>
      <c r="AS290" s="889"/>
      <c r="AT290" s="889"/>
      <c r="AU290" s="889"/>
      <c r="AV290" s="889"/>
      <c r="AW290" s="889"/>
      <c r="AX290" s="889"/>
      <c r="AY290" s="889"/>
      <c r="AZ290" s="889"/>
    </row>
    <row r="291">
      <c r="A291" s="889"/>
      <c r="B291" s="889"/>
      <c r="C291" s="889"/>
      <c r="D291" s="889"/>
      <c r="E291" s="889"/>
      <c r="F291" s="889"/>
      <c r="G291" s="889"/>
      <c r="H291" s="889"/>
      <c r="I291" s="889"/>
      <c r="J291" s="889"/>
      <c r="K291" s="889"/>
      <c r="L291" s="889"/>
      <c r="M291" s="889"/>
      <c r="N291" s="944"/>
      <c r="O291" s="944"/>
      <c r="P291" s="944"/>
      <c r="Q291" s="944"/>
      <c r="R291" s="944"/>
      <c r="S291" s="889"/>
      <c r="T291" s="889"/>
      <c r="U291" s="889"/>
      <c r="V291" s="889"/>
      <c r="W291" s="889"/>
      <c r="X291" s="889"/>
      <c r="Y291" s="889"/>
      <c r="Z291" s="889"/>
      <c r="AA291" s="889"/>
      <c r="AB291" s="889"/>
      <c r="AC291" s="889"/>
      <c r="AD291" s="889"/>
      <c r="AE291" s="889"/>
      <c r="AF291" s="889"/>
      <c r="AG291" s="889"/>
      <c r="AH291" s="889"/>
      <c r="AI291" s="889"/>
      <c r="AJ291" s="889"/>
      <c r="AK291" s="889"/>
      <c r="AL291" s="889"/>
      <c r="AM291" s="889"/>
      <c r="AN291" s="889"/>
      <c r="AO291" s="889"/>
      <c r="AP291" s="889"/>
      <c r="AQ291" s="889"/>
      <c r="AR291" s="889"/>
      <c r="AS291" s="889"/>
      <c r="AT291" s="889"/>
      <c r="AU291" s="889"/>
      <c r="AV291" s="889"/>
      <c r="AW291" s="889"/>
      <c r="AX291" s="889"/>
      <c r="AY291" s="889"/>
      <c r="AZ291" s="889"/>
    </row>
    <row r="292">
      <c r="A292" s="889"/>
      <c r="B292" s="889"/>
      <c r="C292" s="889"/>
      <c r="D292" s="889"/>
      <c r="E292" s="889"/>
      <c r="F292" s="889"/>
      <c r="G292" s="889"/>
      <c r="H292" s="889"/>
      <c r="I292" s="889"/>
      <c r="J292" s="889"/>
      <c r="K292" s="889"/>
      <c r="L292" s="889"/>
      <c r="M292" s="889"/>
      <c r="N292" s="944"/>
      <c r="O292" s="944"/>
      <c r="P292" s="944"/>
      <c r="Q292" s="944"/>
      <c r="R292" s="944"/>
      <c r="S292" s="889"/>
      <c r="T292" s="889"/>
      <c r="U292" s="889"/>
      <c r="V292" s="889"/>
      <c r="W292" s="889"/>
      <c r="X292" s="889"/>
      <c r="Y292" s="889"/>
      <c r="Z292" s="889"/>
      <c r="AA292" s="889"/>
      <c r="AB292" s="889"/>
      <c r="AC292" s="889"/>
      <c r="AD292" s="889"/>
      <c r="AE292" s="889"/>
      <c r="AF292" s="889"/>
      <c r="AG292" s="889"/>
      <c r="AH292" s="889"/>
      <c r="AI292" s="889"/>
      <c r="AJ292" s="889"/>
      <c r="AK292" s="889"/>
      <c r="AL292" s="889"/>
      <c r="AM292" s="889"/>
      <c r="AN292" s="889"/>
      <c r="AO292" s="889"/>
      <c r="AP292" s="889"/>
      <c r="AQ292" s="889"/>
      <c r="AR292" s="889"/>
      <c r="AS292" s="889"/>
      <c r="AT292" s="889"/>
      <c r="AU292" s="889"/>
      <c r="AV292" s="889"/>
      <c r="AW292" s="889"/>
      <c r="AX292" s="889"/>
      <c r="AY292" s="889"/>
      <c r="AZ292" s="889"/>
    </row>
    <row r="293">
      <c r="A293" s="889"/>
      <c r="B293" s="889"/>
      <c r="C293" s="889"/>
      <c r="D293" s="889"/>
      <c r="E293" s="889"/>
      <c r="F293" s="889"/>
      <c r="G293" s="889"/>
      <c r="H293" s="889"/>
      <c r="I293" s="889"/>
      <c r="J293" s="889"/>
      <c r="K293" s="889"/>
      <c r="L293" s="889"/>
      <c r="M293" s="889"/>
      <c r="N293" s="944"/>
      <c r="O293" s="944"/>
      <c r="P293" s="944"/>
      <c r="Q293" s="944"/>
      <c r="R293" s="944"/>
      <c r="S293" s="889"/>
      <c r="T293" s="889"/>
      <c r="U293" s="889"/>
      <c r="V293" s="889"/>
      <c r="W293" s="889"/>
      <c r="X293" s="889"/>
      <c r="Y293" s="889"/>
      <c r="Z293" s="889"/>
      <c r="AA293" s="889"/>
      <c r="AB293" s="889"/>
      <c r="AC293" s="889"/>
      <c r="AD293" s="889"/>
      <c r="AE293" s="889"/>
      <c r="AF293" s="889"/>
      <c r="AG293" s="889"/>
      <c r="AH293" s="889"/>
      <c r="AI293" s="889"/>
      <c r="AJ293" s="889"/>
      <c r="AK293" s="889"/>
      <c r="AL293" s="889"/>
      <c r="AM293" s="889"/>
      <c r="AN293" s="889"/>
      <c r="AO293" s="889"/>
      <c r="AP293" s="889"/>
      <c r="AQ293" s="889"/>
      <c r="AR293" s="889"/>
      <c r="AS293" s="889"/>
      <c r="AT293" s="889"/>
      <c r="AU293" s="889"/>
      <c r="AV293" s="889"/>
      <c r="AW293" s="889"/>
      <c r="AX293" s="889"/>
      <c r="AY293" s="889"/>
      <c r="AZ293" s="889"/>
    </row>
    <row r="294">
      <c r="A294" s="889"/>
      <c r="B294" s="889"/>
      <c r="C294" s="889"/>
      <c r="D294" s="889"/>
      <c r="E294" s="889"/>
      <c r="F294" s="889"/>
      <c r="G294" s="889"/>
      <c r="H294" s="889"/>
      <c r="I294" s="889"/>
      <c r="J294" s="889"/>
      <c r="K294" s="889"/>
      <c r="L294" s="889"/>
      <c r="M294" s="889"/>
      <c r="N294" s="944"/>
      <c r="O294" s="944"/>
      <c r="P294" s="944"/>
      <c r="Q294" s="944"/>
      <c r="R294" s="944"/>
      <c r="S294" s="889"/>
      <c r="T294" s="889"/>
      <c r="U294" s="889"/>
      <c r="V294" s="889"/>
      <c r="W294" s="889"/>
      <c r="X294" s="889"/>
      <c r="Y294" s="889"/>
      <c r="Z294" s="889"/>
      <c r="AA294" s="889"/>
      <c r="AB294" s="889"/>
      <c r="AC294" s="889"/>
      <c r="AD294" s="889"/>
      <c r="AE294" s="889"/>
      <c r="AF294" s="889"/>
      <c r="AG294" s="889"/>
      <c r="AH294" s="889"/>
      <c r="AI294" s="889"/>
      <c r="AJ294" s="889"/>
      <c r="AK294" s="889"/>
      <c r="AL294" s="889"/>
      <c r="AM294" s="889"/>
      <c r="AN294" s="889"/>
      <c r="AO294" s="889"/>
      <c r="AP294" s="889"/>
      <c r="AQ294" s="889"/>
      <c r="AR294" s="889"/>
      <c r="AS294" s="889"/>
      <c r="AT294" s="889"/>
      <c r="AU294" s="889"/>
      <c r="AV294" s="889"/>
      <c r="AW294" s="889"/>
      <c r="AX294" s="889"/>
      <c r="AY294" s="889"/>
      <c r="AZ294" s="889"/>
    </row>
    <row r="295">
      <c r="A295" s="889"/>
      <c r="B295" s="889"/>
      <c r="C295" s="889"/>
      <c r="D295" s="889"/>
      <c r="E295" s="889"/>
      <c r="F295" s="889"/>
      <c r="G295" s="889"/>
      <c r="H295" s="889"/>
      <c r="I295" s="889"/>
      <c r="J295" s="889"/>
      <c r="K295" s="889"/>
      <c r="L295" s="889"/>
      <c r="M295" s="889"/>
      <c r="N295" s="944"/>
      <c r="O295" s="944"/>
      <c r="P295" s="944"/>
      <c r="Q295" s="944"/>
      <c r="R295" s="944"/>
      <c r="S295" s="889"/>
      <c r="T295" s="889"/>
      <c r="U295" s="889"/>
      <c r="V295" s="889"/>
      <c r="W295" s="889"/>
      <c r="X295" s="889"/>
      <c r="Y295" s="889"/>
      <c r="Z295" s="889"/>
      <c r="AA295" s="889"/>
      <c r="AB295" s="889"/>
      <c r="AC295" s="889"/>
      <c r="AD295" s="889"/>
      <c r="AE295" s="889"/>
      <c r="AF295" s="889"/>
      <c r="AG295" s="889"/>
      <c r="AH295" s="889"/>
      <c r="AI295" s="889"/>
      <c r="AJ295" s="889"/>
      <c r="AK295" s="889"/>
      <c r="AL295" s="889"/>
      <c r="AM295" s="889"/>
      <c r="AN295" s="889"/>
      <c r="AO295" s="889"/>
      <c r="AP295" s="889"/>
      <c r="AQ295" s="889"/>
      <c r="AR295" s="889"/>
      <c r="AS295" s="889"/>
      <c r="AT295" s="889"/>
      <c r="AU295" s="889"/>
      <c r="AV295" s="889"/>
      <c r="AW295" s="889"/>
      <c r="AX295" s="889"/>
      <c r="AY295" s="889"/>
      <c r="AZ295" s="889"/>
    </row>
    <row r="296">
      <c r="A296" s="889"/>
      <c r="B296" s="889"/>
      <c r="C296" s="889"/>
      <c r="D296" s="889"/>
      <c r="E296" s="889"/>
      <c r="F296" s="889"/>
      <c r="G296" s="889"/>
      <c r="H296" s="889"/>
      <c r="I296" s="889"/>
      <c r="J296" s="889"/>
      <c r="K296" s="889"/>
      <c r="L296" s="889"/>
      <c r="M296" s="889"/>
      <c r="N296" s="944"/>
      <c r="O296" s="944"/>
      <c r="P296" s="944"/>
      <c r="Q296" s="944"/>
      <c r="R296" s="944"/>
      <c r="S296" s="889"/>
      <c r="T296" s="889"/>
      <c r="U296" s="889"/>
      <c r="V296" s="889"/>
      <c r="W296" s="889"/>
      <c r="X296" s="889"/>
      <c r="Y296" s="889"/>
      <c r="Z296" s="889"/>
      <c r="AA296" s="889"/>
      <c r="AB296" s="889"/>
      <c r="AC296" s="889"/>
      <c r="AD296" s="889"/>
      <c r="AE296" s="889"/>
      <c r="AF296" s="889"/>
      <c r="AG296" s="889"/>
      <c r="AH296" s="889"/>
      <c r="AI296" s="889"/>
      <c r="AJ296" s="889"/>
      <c r="AK296" s="889"/>
      <c r="AL296" s="889"/>
      <c r="AM296" s="889"/>
      <c r="AN296" s="889"/>
      <c r="AO296" s="889"/>
      <c r="AP296" s="889"/>
      <c r="AQ296" s="889"/>
      <c r="AR296" s="889"/>
      <c r="AS296" s="889"/>
      <c r="AT296" s="889"/>
      <c r="AU296" s="889"/>
      <c r="AV296" s="889"/>
      <c r="AW296" s="889"/>
      <c r="AX296" s="889"/>
      <c r="AY296" s="889"/>
      <c r="AZ296" s="889"/>
    </row>
    <row r="297">
      <c r="A297" s="889"/>
      <c r="B297" s="889"/>
      <c r="C297" s="889"/>
      <c r="D297" s="889"/>
      <c r="E297" s="889"/>
      <c r="F297" s="889"/>
      <c r="G297" s="889"/>
      <c r="H297" s="889"/>
      <c r="I297" s="889"/>
      <c r="J297" s="889"/>
      <c r="K297" s="889"/>
      <c r="L297" s="889"/>
      <c r="M297" s="889"/>
      <c r="N297" s="944"/>
      <c r="O297" s="944"/>
      <c r="P297" s="944"/>
      <c r="Q297" s="944"/>
      <c r="R297" s="944"/>
      <c r="S297" s="889"/>
      <c r="T297" s="889"/>
      <c r="U297" s="889"/>
      <c r="V297" s="889"/>
      <c r="W297" s="889"/>
      <c r="X297" s="889"/>
      <c r="Y297" s="889"/>
      <c r="Z297" s="889"/>
      <c r="AA297" s="889"/>
      <c r="AB297" s="889"/>
      <c r="AC297" s="889"/>
      <c r="AD297" s="889"/>
      <c r="AE297" s="889"/>
      <c r="AF297" s="889"/>
      <c r="AG297" s="889"/>
      <c r="AH297" s="889"/>
      <c r="AI297" s="889"/>
      <c r="AJ297" s="889"/>
      <c r="AK297" s="889"/>
      <c r="AL297" s="889"/>
      <c r="AM297" s="889"/>
      <c r="AN297" s="889"/>
      <c r="AO297" s="889"/>
      <c r="AP297" s="889"/>
      <c r="AQ297" s="889"/>
      <c r="AR297" s="889"/>
      <c r="AS297" s="889"/>
      <c r="AT297" s="889"/>
      <c r="AU297" s="889"/>
      <c r="AV297" s="889"/>
      <c r="AW297" s="889"/>
      <c r="AX297" s="889"/>
      <c r="AY297" s="889"/>
      <c r="AZ297" s="889"/>
    </row>
    <row r="298">
      <c r="A298" s="889"/>
      <c r="B298" s="889"/>
      <c r="C298" s="889"/>
      <c r="D298" s="889"/>
      <c r="E298" s="889"/>
      <c r="F298" s="889"/>
      <c r="G298" s="889"/>
      <c r="H298" s="889"/>
      <c r="I298" s="889"/>
      <c r="J298" s="889"/>
      <c r="K298" s="889"/>
      <c r="L298" s="889"/>
      <c r="M298" s="889"/>
      <c r="N298" s="944"/>
      <c r="O298" s="944"/>
      <c r="P298" s="944"/>
      <c r="Q298" s="944"/>
      <c r="R298" s="944"/>
      <c r="S298" s="889"/>
      <c r="T298" s="889"/>
      <c r="U298" s="889"/>
      <c r="V298" s="889"/>
      <c r="W298" s="889"/>
      <c r="X298" s="889"/>
      <c r="Y298" s="889"/>
      <c r="Z298" s="889"/>
      <c r="AA298" s="889"/>
      <c r="AB298" s="889"/>
      <c r="AC298" s="889"/>
      <c r="AD298" s="889"/>
      <c r="AE298" s="889"/>
      <c r="AF298" s="889"/>
      <c r="AG298" s="889"/>
      <c r="AH298" s="889"/>
      <c r="AI298" s="889"/>
      <c r="AJ298" s="889"/>
      <c r="AK298" s="889"/>
      <c r="AL298" s="889"/>
      <c r="AM298" s="889"/>
      <c r="AN298" s="889"/>
      <c r="AO298" s="889"/>
      <c r="AP298" s="889"/>
      <c r="AQ298" s="889"/>
      <c r="AR298" s="889"/>
      <c r="AS298" s="889"/>
      <c r="AT298" s="889"/>
      <c r="AU298" s="889"/>
      <c r="AV298" s="889"/>
      <c r="AW298" s="889"/>
      <c r="AX298" s="889"/>
      <c r="AY298" s="889"/>
      <c r="AZ298" s="889"/>
    </row>
    <row r="299">
      <c r="A299" s="889"/>
      <c r="B299" s="889"/>
      <c r="C299" s="889"/>
      <c r="D299" s="889"/>
      <c r="E299" s="889"/>
      <c r="F299" s="889"/>
      <c r="G299" s="889"/>
      <c r="H299" s="889"/>
      <c r="I299" s="889"/>
      <c r="J299" s="889"/>
      <c r="K299" s="889"/>
      <c r="L299" s="889"/>
      <c r="M299" s="889"/>
      <c r="N299" s="944"/>
      <c r="O299" s="944"/>
      <c r="P299" s="944"/>
      <c r="Q299" s="944"/>
      <c r="R299" s="944"/>
      <c r="S299" s="889"/>
      <c r="T299" s="889"/>
      <c r="U299" s="889"/>
      <c r="V299" s="889"/>
      <c r="W299" s="889"/>
      <c r="X299" s="889"/>
      <c r="Y299" s="889"/>
      <c r="Z299" s="889"/>
      <c r="AA299" s="889"/>
      <c r="AB299" s="889"/>
      <c r="AC299" s="889"/>
      <c r="AD299" s="889"/>
      <c r="AE299" s="889"/>
      <c r="AF299" s="889"/>
      <c r="AG299" s="889"/>
      <c r="AH299" s="889"/>
      <c r="AI299" s="889"/>
      <c r="AJ299" s="889"/>
      <c r="AK299" s="889"/>
      <c r="AL299" s="889"/>
      <c r="AM299" s="889"/>
      <c r="AN299" s="889"/>
      <c r="AO299" s="889"/>
      <c r="AP299" s="889"/>
      <c r="AQ299" s="889"/>
      <c r="AR299" s="889"/>
      <c r="AS299" s="889"/>
      <c r="AT299" s="889"/>
      <c r="AU299" s="889"/>
      <c r="AV299" s="889"/>
      <c r="AW299" s="889"/>
      <c r="AX299" s="889"/>
      <c r="AY299" s="889"/>
      <c r="AZ299" s="889"/>
    </row>
    <row r="300">
      <c r="A300" s="889"/>
      <c r="B300" s="889"/>
      <c r="C300" s="889"/>
      <c r="D300" s="889"/>
      <c r="E300" s="889"/>
      <c r="F300" s="889"/>
      <c r="G300" s="889"/>
      <c r="H300" s="889"/>
      <c r="I300" s="889"/>
      <c r="J300" s="889"/>
      <c r="K300" s="889"/>
      <c r="L300" s="889"/>
      <c r="M300" s="889"/>
      <c r="N300" s="944"/>
      <c r="O300" s="944"/>
      <c r="P300" s="944"/>
      <c r="Q300" s="944"/>
      <c r="R300" s="944"/>
      <c r="S300" s="889"/>
      <c r="T300" s="889"/>
      <c r="U300" s="889"/>
      <c r="V300" s="889"/>
      <c r="W300" s="889"/>
      <c r="X300" s="889"/>
      <c r="Y300" s="889"/>
      <c r="Z300" s="889"/>
      <c r="AA300" s="889"/>
      <c r="AB300" s="889"/>
      <c r="AC300" s="889"/>
      <c r="AD300" s="889"/>
      <c r="AE300" s="889"/>
      <c r="AF300" s="889"/>
      <c r="AG300" s="889"/>
      <c r="AH300" s="889"/>
      <c r="AI300" s="889"/>
      <c r="AJ300" s="889"/>
      <c r="AK300" s="889"/>
      <c r="AL300" s="889"/>
      <c r="AM300" s="889"/>
      <c r="AN300" s="889"/>
      <c r="AO300" s="889"/>
      <c r="AP300" s="889"/>
      <c r="AQ300" s="889"/>
      <c r="AR300" s="889"/>
      <c r="AS300" s="889"/>
      <c r="AT300" s="889"/>
      <c r="AU300" s="889"/>
      <c r="AV300" s="889"/>
      <c r="AW300" s="889"/>
      <c r="AX300" s="889"/>
      <c r="AY300" s="889"/>
      <c r="AZ300" s="889"/>
    </row>
    <row r="301">
      <c r="A301" s="889"/>
      <c r="B301" s="889"/>
      <c r="C301" s="889"/>
      <c r="D301" s="889"/>
      <c r="E301" s="889"/>
      <c r="F301" s="889"/>
      <c r="G301" s="889"/>
      <c r="H301" s="889"/>
      <c r="I301" s="889"/>
      <c r="J301" s="889"/>
      <c r="K301" s="889"/>
      <c r="L301" s="889"/>
      <c r="M301" s="889"/>
      <c r="N301" s="944"/>
      <c r="O301" s="944"/>
      <c r="P301" s="944"/>
      <c r="Q301" s="944"/>
      <c r="R301" s="944"/>
      <c r="S301" s="889"/>
      <c r="T301" s="889"/>
      <c r="U301" s="889"/>
      <c r="V301" s="889"/>
      <c r="W301" s="889"/>
      <c r="X301" s="889"/>
      <c r="Y301" s="889"/>
      <c r="Z301" s="889"/>
      <c r="AA301" s="889"/>
      <c r="AB301" s="889"/>
      <c r="AC301" s="889"/>
      <c r="AD301" s="889"/>
      <c r="AE301" s="889"/>
      <c r="AF301" s="889"/>
      <c r="AG301" s="889"/>
      <c r="AH301" s="889"/>
      <c r="AI301" s="889"/>
      <c r="AJ301" s="889"/>
      <c r="AK301" s="889"/>
      <c r="AL301" s="889"/>
      <c r="AM301" s="889"/>
      <c r="AN301" s="889"/>
      <c r="AO301" s="889"/>
      <c r="AP301" s="889"/>
      <c r="AQ301" s="889"/>
      <c r="AR301" s="889"/>
      <c r="AS301" s="889"/>
      <c r="AT301" s="889"/>
      <c r="AU301" s="889"/>
      <c r="AV301" s="889"/>
      <c r="AW301" s="889"/>
      <c r="AX301" s="889"/>
      <c r="AY301" s="889"/>
      <c r="AZ301" s="889"/>
    </row>
    <row r="302">
      <c r="A302" s="889"/>
      <c r="B302" s="889"/>
      <c r="C302" s="889"/>
      <c r="D302" s="889"/>
      <c r="E302" s="889"/>
      <c r="F302" s="889"/>
      <c r="G302" s="889"/>
      <c r="H302" s="889"/>
      <c r="I302" s="889"/>
      <c r="J302" s="889"/>
      <c r="K302" s="889"/>
      <c r="L302" s="889"/>
      <c r="M302" s="889"/>
      <c r="N302" s="944"/>
      <c r="O302" s="944"/>
      <c r="P302" s="944"/>
      <c r="Q302" s="944"/>
      <c r="R302" s="944"/>
      <c r="S302" s="889"/>
      <c r="T302" s="889"/>
      <c r="U302" s="889"/>
      <c r="V302" s="889"/>
      <c r="W302" s="889"/>
      <c r="X302" s="889"/>
      <c r="Y302" s="889"/>
      <c r="Z302" s="889"/>
      <c r="AA302" s="889"/>
      <c r="AB302" s="889"/>
      <c r="AC302" s="889"/>
      <c r="AD302" s="889"/>
      <c r="AE302" s="889"/>
      <c r="AF302" s="889"/>
      <c r="AG302" s="889"/>
      <c r="AH302" s="889"/>
      <c r="AI302" s="889"/>
      <c r="AJ302" s="889"/>
      <c r="AK302" s="889"/>
      <c r="AL302" s="889"/>
      <c r="AM302" s="889"/>
      <c r="AN302" s="889"/>
      <c r="AO302" s="889"/>
      <c r="AP302" s="889"/>
      <c r="AQ302" s="889"/>
      <c r="AR302" s="889"/>
      <c r="AS302" s="889"/>
      <c r="AT302" s="889"/>
      <c r="AU302" s="889"/>
      <c r="AV302" s="889"/>
      <c r="AW302" s="889"/>
      <c r="AX302" s="889"/>
      <c r="AY302" s="889"/>
      <c r="AZ302" s="889"/>
    </row>
    <row r="303">
      <c r="A303" s="889"/>
      <c r="B303" s="889"/>
      <c r="C303" s="889"/>
      <c r="D303" s="889"/>
      <c r="E303" s="889"/>
      <c r="F303" s="889"/>
      <c r="G303" s="889"/>
      <c r="H303" s="889"/>
      <c r="I303" s="889"/>
      <c r="J303" s="889"/>
      <c r="K303" s="889"/>
      <c r="L303" s="889"/>
      <c r="M303" s="889"/>
      <c r="N303" s="944"/>
      <c r="O303" s="944"/>
      <c r="P303" s="944"/>
      <c r="Q303" s="944"/>
      <c r="R303" s="944"/>
      <c r="S303" s="889"/>
      <c r="T303" s="889"/>
      <c r="U303" s="889"/>
      <c r="V303" s="889"/>
      <c r="W303" s="889"/>
      <c r="X303" s="889"/>
      <c r="Y303" s="889"/>
      <c r="Z303" s="889"/>
      <c r="AA303" s="889"/>
      <c r="AB303" s="889"/>
      <c r="AC303" s="889"/>
      <c r="AD303" s="889"/>
      <c r="AE303" s="889"/>
      <c r="AF303" s="889"/>
      <c r="AG303" s="889"/>
      <c r="AH303" s="889"/>
      <c r="AI303" s="889"/>
      <c r="AJ303" s="889"/>
      <c r="AK303" s="889"/>
      <c r="AL303" s="889"/>
      <c r="AM303" s="889"/>
      <c r="AN303" s="889"/>
      <c r="AO303" s="889"/>
      <c r="AP303" s="889"/>
      <c r="AQ303" s="889"/>
      <c r="AR303" s="889"/>
      <c r="AS303" s="889"/>
      <c r="AT303" s="889"/>
      <c r="AU303" s="889"/>
      <c r="AV303" s="889"/>
      <c r="AW303" s="889"/>
      <c r="AX303" s="889"/>
      <c r="AY303" s="889"/>
      <c r="AZ303" s="889"/>
    </row>
    <row r="304">
      <c r="A304" s="889"/>
      <c r="B304" s="889"/>
      <c r="C304" s="889"/>
      <c r="D304" s="889"/>
      <c r="E304" s="889"/>
      <c r="F304" s="889"/>
      <c r="G304" s="889"/>
      <c r="H304" s="889"/>
      <c r="I304" s="889"/>
      <c r="J304" s="889"/>
      <c r="K304" s="889"/>
      <c r="L304" s="889"/>
      <c r="M304" s="889"/>
      <c r="N304" s="944"/>
      <c r="O304" s="944"/>
      <c r="P304" s="944"/>
      <c r="Q304" s="944"/>
      <c r="R304" s="944"/>
      <c r="S304" s="889"/>
      <c r="T304" s="889"/>
      <c r="U304" s="889"/>
      <c r="V304" s="889"/>
      <c r="W304" s="889"/>
      <c r="X304" s="889"/>
      <c r="Y304" s="889"/>
      <c r="Z304" s="889"/>
      <c r="AA304" s="889"/>
      <c r="AB304" s="889"/>
      <c r="AC304" s="889"/>
      <c r="AD304" s="889"/>
      <c r="AE304" s="889"/>
      <c r="AF304" s="889"/>
      <c r="AG304" s="889"/>
      <c r="AH304" s="889"/>
      <c r="AI304" s="889"/>
      <c r="AJ304" s="889"/>
      <c r="AK304" s="889"/>
      <c r="AL304" s="889"/>
      <c r="AM304" s="889"/>
      <c r="AN304" s="889"/>
      <c r="AO304" s="889"/>
      <c r="AP304" s="889"/>
      <c r="AQ304" s="889"/>
      <c r="AR304" s="889"/>
      <c r="AS304" s="889"/>
      <c r="AT304" s="889"/>
      <c r="AU304" s="889"/>
      <c r="AV304" s="889"/>
      <c r="AW304" s="889"/>
      <c r="AX304" s="889"/>
      <c r="AY304" s="889"/>
      <c r="AZ304" s="889"/>
    </row>
    <row r="305">
      <c r="A305" s="889"/>
      <c r="B305" s="889"/>
      <c r="C305" s="889"/>
      <c r="D305" s="889"/>
      <c r="E305" s="889"/>
      <c r="F305" s="889"/>
      <c r="G305" s="889"/>
      <c r="H305" s="889"/>
      <c r="I305" s="889"/>
      <c r="J305" s="889"/>
      <c r="K305" s="889"/>
      <c r="L305" s="889"/>
      <c r="M305" s="889"/>
      <c r="N305" s="944"/>
      <c r="O305" s="944"/>
      <c r="P305" s="944"/>
      <c r="Q305" s="944"/>
      <c r="R305" s="944"/>
      <c r="S305" s="889"/>
      <c r="T305" s="889"/>
      <c r="U305" s="889"/>
      <c r="V305" s="889"/>
      <c r="W305" s="889"/>
      <c r="X305" s="889"/>
      <c r="Y305" s="889"/>
      <c r="Z305" s="889"/>
      <c r="AA305" s="889"/>
      <c r="AB305" s="889"/>
      <c r="AC305" s="889"/>
      <c r="AD305" s="889"/>
      <c r="AE305" s="889"/>
      <c r="AF305" s="889"/>
      <c r="AG305" s="889"/>
      <c r="AH305" s="889"/>
      <c r="AI305" s="889"/>
      <c r="AJ305" s="889"/>
      <c r="AK305" s="889"/>
      <c r="AL305" s="889"/>
      <c r="AM305" s="889"/>
      <c r="AN305" s="889"/>
      <c r="AO305" s="889"/>
      <c r="AP305" s="889"/>
      <c r="AQ305" s="889"/>
      <c r="AR305" s="889"/>
      <c r="AS305" s="889"/>
      <c r="AT305" s="889"/>
      <c r="AU305" s="889"/>
      <c r="AV305" s="889"/>
      <c r="AW305" s="889"/>
      <c r="AX305" s="889"/>
      <c r="AY305" s="889"/>
      <c r="AZ305" s="889"/>
    </row>
    <row r="306">
      <c r="A306" s="889"/>
      <c r="B306" s="889"/>
      <c r="C306" s="889"/>
      <c r="D306" s="889"/>
      <c r="E306" s="889"/>
      <c r="F306" s="889"/>
      <c r="G306" s="889"/>
      <c r="H306" s="889"/>
      <c r="I306" s="889"/>
      <c r="J306" s="889"/>
      <c r="K306" s="889"/>
      <c r="L306" s="889"/>
      <c r="M306" s="889"/>
      <c r="N306" s="944"/>
      <c r="O306" s="944"/>
      <c r="P306" s="944"/>
      <c r="Q306" s="944"/>
      <c r="R306" s="944"/>
      <c r="S306" s="889"/>
      <c r="T306" s="889"/>
      <c r="U306" s="889"/>
      <c r="V306" s="889"/>
      <c r="W306" s="889"/>
      <c r="X306" s="889"/>
      <c r="Y306" s="889"/>
      <c r="Z306" s="889"/>
      <c r="AA306" s="889"/>
      <c r="AB306" s="889"/>
      <c r="AC306" s="889"/>
      <c r="AD306" s="889"/>
      <c r="AE306" s="889"/>
      <c r="AF306" s="889"/>
      <c r="AG306" s="889"/>
      <c r="AH306" s="889"/>
      <c r="AI306" s="889"/>
      <c r="AJ306" s="889"/>
      <c r="AK306" s="889"/>
      <c r="AL306" s="889"/>
      <c r="AM306" s="889"/>
      <c r="AN306" s="889"/>
      <c r="AO306" s="889"/>
      <c r="AP306" s="889"/>
      <c r="AQ306" s="889"/>
      <c r="AR306" s="889"/>
      <c r="AS306" s="889"/>
      <c r="AT306" s="889"/>
      <c r="AU306" s="889"/>
      <c r="AV306" s="889"/>
      <c r="AW306" s="889"/>
      <c r="AX306" s="889"/>
      <c r="AY306" s="889"/>
      <c r="AZ306" s="889"/>
    </row>
    <row r="307">
      <c r="A307" s="889"/>
      <c r="B307" s="889"/>
      <c r="C307" s="889"/>
      <c r="D307" s="889"/>
      <c r="E307" s="889"/>
      <c r="F307" s="889"/>
      <c r="G307" s="889"/>
      <c r="H307" s="889"/>
      <c r="I307" s="889"/>
      <c r="J307" s="889"/>
      <c r="K307" s="889"/>
      <c r="L307" s="889"/>
      <c r="M307" s="889"/>
      <c r="N307" s="944"/>
      <c r="O307" s="944"/>
      <c r="P307" s="944"/>
      <c r="Q307" s="944"/>
      <c r="R307" s="944"/>
      <c r="S307" s="889"/>
      <c r="T307" s="889"/>
      <c r="U307" s="889"/>
      <c r="V307" s="889"/>
      <c r="W307" s="889"/>
      <c r="X307" s="889"/>
      <c r="Y307" s="889"/>
      <c r="Z307" s="889"/>
      <c r="AA307" s="889"/>
      <c r="AB307" s="889"/>
      <c r="AC307" s="889"/>
      <c r="AD307" s="889"/>
      <c r="AE307" s="889"/>
      <c r="AF307" s="889"/>
      <c r="AG307" s="889"/>
      <c r="AH307" s="889"/>
      <c r="AI307" s="889"/>
      <c r="AJ307" s="889"/>
      <c r="AK307" s="889"/>
      <c r="AL307" s="889"/>
      <c r="AM307" s="889"/>
      <c r="AN307" s="889"/>
      <c r="AO307" s="889"/>
      <c r="AP307" s="889"/>
      <c r="AQ307" s="889"/>
      <c r="AR307" s="889"/>
      <c r="AS307" s="889"/>
      <c r="AT307" s="889"/>
      <c r="AU307" s="889"/>
      <c r="AV307" s="889"/>
      <c r="AW307" s="889"/>
      <c r="AX307" s="889"/>
      <c r="AY307" s="889"/>
      <c r="AZ307" s="889"/>
    </row>
    <row r="308">
      <c r="A308" s="889"/>
      <c r="B308" s="889"/>
      <c r="C308" s="889"/>
      <c r="D308" s="889"/>
      <c r="E308" s="889"/>
      <c r="F308" s="889"/>
      <c r="G308" s="889"/>
      <c r="H308" s="889"/>
      <c r="I308" s="889"/>
      <c r="J308" s="889"/>
      <c r="K308" s="889"/>
      <c r="L308" s="889"/>
      <c r="M308" s="889"/>
      <c r="N308" s="944"/>
      <c r="O308" s="944"/>
      <c r="P308" s="944"/>
      <c r="Q308" s="944"/>
      <c r="R308" s="944"/>
      <c r="S308" s="889"/>
      <c r="T308" s="889"/>
      <c r="U308" s="889"/>
      <c r="V308" s="889"/>
      <c r="W308" s="889"/>
      <c r="X308" s="889"/>
      <c r="Y308" s="889"/>
      <c r="Z308" s="889"/>
      <c r="AA308" s="889"/>
      <c r="AB308" s="889"/>
      <c r="AC308" s="889"/>
      <c r="AD308" s="889"/>
      <c r="AE308" s="889"/>
      <c r="AF308" s="889"/>
      <c r="AG308" s="889"/>
      <c r="AH308" s="889"/>
      <c r="AI308" s="889"/>
      <c r="AJ308" s="889"/>
      <c r="AK308" s="889"/>
      <c r="AL308" s="889"/>
      <c r="AM308" s="889"/>
      <c r="AN308" s="889"/>
      <c r="AO308" s="889"/>
      <c r="AP308" s="889"/>
      <c r="AQ308" s="889"/>
      <c r="AR308" s="889"/>
      <c r="AS308" s="889"/>
      <c r="AT308" s="889"/>
      <c r="AU308" s="889"/>
      <c r="AV308" s="889"/>
      <c r="AW308" s="889"/>
      <c r="AX308" s="889"/>
      <c r="AY308" s="889"/>
      <c r="AZ308" s="889"/>
    </row>
    <row r="309">
      <c r="A309" s="889"/>
      <c r="B309" s="889"/>
      <c r="C309" s="889"/>
      <c r="D309" s="889"/>
      <c r="E309" s="889"/>
      <c r="F309" s="889"/>
      <c r="G309" s="889"/>
      <c r="H309" s="889"/>
      <c r="I309" s="889"/>
      <c r="J309" s="889"/>
      <c r="K309" s="889"/>
      <c r="L309" s="889"/>
      <c r="M309" s="889"/>
      <c r="N309" s="944"/>
      <c r="O309" s="944"/>
      <c r="P309" s="944"/>
      <c r="Q309" s="944"/>
      <c r="R309" s="944"/>
      <c r="S309" s="889"/>
      <c r="T309" s="889"/>
      <c r="U309" s="889"/>
      <c r="V309" s="889"/>
      <c r="W309" s="889"/>
      <c r="X309" s="889"/>
      <c r="Y309" s="889"/>
      <c r="Z309" s="889"/>
      <c r="AA309" s="889"/>
      <c r="AB309" s="889"/>
      <c r="AC309" s="889"/>
      <c r="AD309" s="889"/>
      <c r="AE309" s="889"/>
      <c r="AF309" s="889"/>
      <c r="AG309" s="889"/>
      <c r="AH309" s="889"/>
      <c r="AI309" s="889"/>
      <c r="AJ309" s="889"/>
      <c r="AK309" s="889"/>
      <c r="AL309" s="889"/>
      <c r="AM309" s="889"/>
      <c r="AN309" s="889"/>
      <c r="AO309" s="889"/>
      <c r="AP309" s="889"/>
      <c r="AQ309" s="889"/>
      <c r="AR309" s="889"/>
      <c r="AS309" s="889"/>
      <c r="AT309" s="889"/>
      <c r="AU309" s="889"/>
      <c r="AV309" s="889"/>
      <c r="AW309" s="889"/>
      <c r="AX309" s="889"/>
      <c r="AY309" s="889"/>
      <c r="AZ309" s="889"/>
    </row>
    <row r="310">
      <c r="A310" s="889"/>
      <c r="B310" s="889"/>
      <c r="C310" s="889"/>
      <c r="D310" s="889"/>
      <c r="E310" s="889"/>
      <c r="F310" s="889"/>
      <c r="G310" s="889"/>
      <c r="H310" s="889"/>
      <c r="I310" s="889"/>
      <c r="J310" s="889"/>
      <c r="K310" s="889"/>
      <c r="L310" s="889"/>
      <c r="M310" s="889"/>
      <c r="N310" s="944"/>
      <c r="O310" s="944"/>
      <c r="P310" s="944"/>
      <c r="Q310" s="944"/>
      <c r="R310" s="944"/>
      <c r="S310" s="889"/>
      <c r="T310" s="889"/>
      <c r="U310" s="889"/>
      <c r="V310" s="889"/>
      <c r="W310" s="889"/>
      <c r="X310" s="889"/>
      <c r="Y310" s="889"/>
      <c r="Z310" s="889"/>
      <c r="AA310" s="889"/>
      <c r="AB310" s="889"/>
      <c r="AC310" s="889"/>
      <c r="AD310" s="889"/>
      <c r="AE310" s="889"/>
      <c r="AF310" s="889"/>
      <c r="AG310" s="889"/>
      <c r="AH310" s="889"/>
      <c r="AI310" s="889"/>
      <c r="AJ310" s="889"/>
      <c r="AK310" s="889"/>
      <c r="AL310" s="889"/>
      <c r="AM310" s="889"/>
      <c r="AN310" s="889"/>
      <c r="AO310" s="889"/>
      <c r="AP310" s="889"/>
      <c r="AQ310" s="889"/>
      <c r="AR310" s="889"/>
      <c r="AS310" s="889"/>
      <c r="AT310" s="889"/>
      <c r="AU310" s="889"/>
      <c r="AV310" s="889"/>
      <c r="AW310" s="889"/>
      <c r="AX310" s="889"/>
      <c r="AY310" s="889"/>
      <c r="AZ310" s="889"/>
    </row>
    <row r="311">
      <c r="A311" s="889"/>
      <c r="B311" s="889"/>
      <c r="C311" s="889"/>
      <c r="D311" s="889"/>
      <c r="E311" s="889"/>
      <c r="F311" s="889"/>
      <c r="G311" s="889"/>
      <c r="H311" s="889"/>
      <c r="I311" s="889"/>
      <c r="J311" s="889"/>
      <c r="K311" s="889"/>
      <c r="L311" s="889"/>
      <c r="M311" s="889"/>
      <c r="N311" s="944"/>
      <c r="O311" s="944"/>
      <c r="P311" s="944"/>
      <c r="Q311" s="944"/>
      <c r="R311" s="944"/>
      <c r="S311" s="889"/>
      <c r="T311" s="889"/>
      <c r="U311" s="889"/>
      <c r="V311" s="889"/>
      <c r="W311" s="889"/>
      <c r="X311" s="889"/>
      <c r="Y311" s="889"/>
      <c r="Z311" s="889"/>
      <c r="AA311" s="889"/>
      <c r="AB311" s="889"/>
      <c r="AC311" s="889"/>
      <c r="AD311" s="889"/>
      <c r="AE311" s="889"/>
      <c r="AF311" s="889"/>
      <c r="AG311" s="889"/>
      <c r="AH311" s="889"/>
      <c r="AI311" s="889"/>
      <c r="AJ311" s="889"/>
      <c r="AK311" s="889"/>
      <c r="AL311" s="889"/>
      <c r="AM311" s="889"/>
      <c r="AN311" s="889"/>
      <c r="AO311" s="889"/>
      <c r="AP311" s="889"/>
      <c r="AQ311" s="889"/>
      <c r="AR311" s="889"/>
      <c r="AS311" s="889"/>
      <c r="AT311" s="889"/>
      <c r="AU311" s="889"/>
      <c r="AV311" s="889"/>
      <c r="AW311" s="889"/>
      <c r="AX311" s="889"/>
      <c r="AY311" s="889"/>
      <c r="AZ311" s="889"/>
    </row>
    <row r="312">
      <c r="A312" s="889"/>
      <c r="B312" s="889"/>
      <c r="C312" s="889"/>
      <c r="D312" s="889"/>
      <c r="E312" s="889"/>
      <c r="F312" s="889"/>
      <c r="G312" s="889"/>
      <c r="H312" s="889"/>
      <c r="I312" s="889"/>
      <c r="J312" s="889"/>
      <c r="K312" s="889"/>
      <c r="L312" s="889"/>
      <c r="M312" s="889"/>
      <c r="N312" s="944"/>
      <c r="O312" s="944"/>
      <c r="P312" s="944"/>
      <c r="Q312" s="944"/>
      <c r="R312" s="944"/>
      <c r="S312" s="889"/>
      <c r="T312" s="889"/>
      <c r="U312" s="889"/>
      <c r="V312" s="889"/>
      <c r="W312" s="889"/>
      <c r="X312" s="889"/>
      <c r="Y312" s="889"/>
      <c r="Z312" s="889"/>
      <c r="AA312" s="889"/>
      <c r="AB312" s="889"/>
      <c r="AC312" s="889"/>
      <c r="AD312" s="889"/>
      <c r="AE312" s="889"/>
      <c r="AF312" s="889"/>
      <c r="AG312" s="889"/>
      <c r="AH312" s="889"/>
      <c r="AI312" s="889"/>
      <c r="AJ312" s="889"/>
      <c r="AK312" s="889"/>
      <c r="AL312" s="889"/>
      <c r="AM312" s="889"/>
      <c r="AN312" s="889"/>
      <c r="AO312" s="889"/>
      <c r="AP312" s="889"/>
      <c r="AQ312" s="889"/>
      <c r="AR312" s="889"/>
      <c r="AS312" s="889"/>
      <c r="AT312" s="889"/>
      <c r="AU312" s="889"/>
      <c r="AV312" s="889"/>
      <c r="AW312" s="889"/>
      <c r="AX312" s="889"/>
      <c r="AY312" s="889"/>
      <c r="AZ312" s="889"/>
    </row>
    <row r="313">
      <c r="A313" s="889"/>
      <c r="B313" s="889"/>
      <c r="C313" s="889"/>
      <c r="D313" s="889"/>
      <c r="E313" s="889"/>
      <c r="F313" s="889"/>
      <c r="G313" s="889"/>
      <c r="H313" s="889"/>
      <c r="I313" s="889"/>
      <c r="J313" s="889"/>
      <c r="K313" s="889"/>
      <c r="L313" s="889"/>
      <c r="M313" s="889"/>
      <c r="N313" s="944"/>
      <c r="O313" s="944"/>
      <c r="P313" s="944"/>
      <c r="Q313" s="944"/>
      <c r="R313" s="944"/>
      <c r="S313" s="889"/>
      <c r="T313" s="889"/>
      <c r="U313" s="889"/>
      <c r="V313" s="889"/>
      <c r="W313" s="889"/>
      <c r="X313" s="889"/>
      <c r="Y313" s="889"/>
      <c r="Z313" s="889"/>
      <c r="AA313" s="889"/>
      <c r="AB313" s="889"/>
      <c r="AC313" s="889"/>
      <c r="AD313" s="889"/>
      <c r="AE313" s="889"/>
      <c r="AF313" s="889"/>
      <c r="AG313" s="889"/>
      <c r="AH313" s="889"/>
      <c r="AI313" s="889"/>
      <c r="AJ313" s="889"/>
      <c r="AK313" s="889"/>
      <c r="AL313" s="889"/>
      <c r="AM313" s="889"/>
      <c r="AN313" s="889"/>
      <c r="AO313" s="889"/>
      <c r="AP313" s="889"/>
      <c r="AQ313" s="889"/>
      <c r="AR313" s="889"/>
      <c r="AS313" s="889"/>
      <c r="AT313" s="889"/>
      <c r="AU313" s="889"/>
      <c r="AV313" s="889"/>
      <c r="AW313" s="889"/>
      <c r="AX313" s="889"/>
      <c r="AY313" s="889"/>
      <c r="AZ313" s="889"/>
    </row>
    <row r="314">
      <c r="A314" s="889"/>
      <c r="B314" s="889"/>
      <c r="C314" s="889"/>
      <c r="D314" s="889"/>
      <c r="E314" s="889"/>
      <c r="F314" s="889"/>
      <c r="G314" s="889"/>
      <c r="H314" s="889"/>
      <c r="I314" s="889"/>
      <c r="J314" s="889"/>
      <c r="K314" s="889"/>
      <c r="L314" s="889"/>
      <c r="M314" s="889"/>
      <c r="N314" s="944"/>
      <c r="O314" s="944"/>
      <c r="P314" s="944"/>
      <c r="Q314" s="944"/>
      <c r="R314" s="944"/>
      <c r="S314" s="889"/>
      <c r="T314" s="889"/>
      <c r="U314" s="889"/>
      <c r="V314" s="889"/>
      <c r="W314" s="889"/>
      <c r="X314" s="889"/>
      <c r="Y314" s="889"/>
      <c r="Z314" s="889"/>
      <c r="AA314" s="889"/>
      <c r="AB314" s="889"/>
      <c r="AC314" s="889"/>
      <c r="AD314" s="889"/>
      <c r="AE314" s="889"/>
      <c r="AF314" s="889"/>
      <c r="AG314" s="889"/>
      <c r="AH314" s="889"/>
      <c r="AI314" s="889"/>
      <c r="AJ314" s="889"/>
      <c r="AK314" s="889"/>
      <c r="AL314" s="889"/>
      <c r="AM314" s="889"/>
      <c r="AN314" s="889"/>
      <c r="AO314" s="889"/>
      <c r="AP314" s="889"/>
      <c r="AQ314" s="889"/>
      <c r="AR314" s="889"/>
      <c r="AS314" s="889"/>
      <c r="AT314" s="889"/>
      <c r="AU314" s="889"/>
      <c r="AV314" s="889"/>
      <c r="AW314" s="889"/>
      <c r="AX314" s="889"/>
      <c r="AY314" s="889"/>
      <c r="AZ314" s="889"/>
    </row>
    <row r="315">
      <c r="A315" s="889"/>
      <c r="B315" s="889"/>
      <c r="C315" s="889"/>
      <c r="D315" s="889"/>
      <c r="E315" s="889"/>
      <c r="F315" s="889"/>
      <c r="G315" s="889"/>
      <c r="H315" s="889"/>
      <c r="I315" s="889"/>
      <c r="J315" s="889"/>
      <c r="K315" s="889"/>
      <c r="L315" s="889"/>
      <c r="M315" s="889"/>
      <c r="N315" s="944"/>
      <c r="O315" s="944"/>
      <c r="P315" s="944"/>
      <c r="Q315" s="944"/>
      <c r="R315" s="944"/>
      <c r="S315" s="889"/>
      <c r="T315" s="889"/>
      <c r="U315" s="889"/>
      <c r="V315" s="889"/>
      <c r="W315" s="889"/>
      <c r="X315" s="889"/>
      <c r="Y315" s="889"/>
      <c r="Z315" s="889"/>
      <c r="AA315" s="889"/>
      <c r="AB315" s="889"/>
      <c r="AC315" s="889"/>
      <c r="AD315" s="889"/>
      <c r="AE315" s="889"/>
      <c r="AF315" s="889"/>
      <c r="AG315" s="889"/>
      <c r="AH315" s="889"/>
      <c r="AI315" s="889"/>
      <c r="AJ315" s="889"/>
      <c r="AK315" s="889"/>
      <c r="AL315" s="889"/>
      <c r="AM315" s="889"/>
      <c r="AN315" s="889"/>
      <c r="AO315" s="889"/>
      <c r="AP315" s="889"/>
      <c r="AQ315" s="889"/>
      <c r="AR315" s="889"/>
      <c r="AS315" s="889"/>
      <c r="AT315" s="889"/>
      <c r="AU315" s="889"/>
      <c r="AV315" s="889"/>
      <c r="AW315" s="889"/>
      <c r="AX315" s="889"/>
      <c r="AY315" s="889"/>
      <c r="AZ315" s="889"/>
    </row>
    <row r="316">
      <c r="A316" s="889"/>
      <c r="B316" s="889"/>
      <c r="C316" s="889"/>
      <c r="D316" s="889"/>
      <c r="E316" s="889"/>
      <c r="F316" s="889"/>
      <c r="G316" s="889"/>
      <c r="H316" s="889"/>
      <c r="I316" s="889"/>
      <c r="J316" s="889"/>
      <c r="K316" s="889"/>
      <c r="L316" s="889"/>
      <c r="M316" s="889"/>
      <c r="N316" s="944"/>
      <c r="O316" s="944"/>
      <c r="P316" s="944"/>
      <c r="Q316" s="944"/>
      <c r="R316" s="944"/>
      <c r="S316" s="889"/>
      <c r="T316" s="889"/>
      <c r="U316" s="889"/>
      <c r="V316" s="889"/>
      <c r="W316" s="889"/>
      <c r="X316" s="889"/>
      <c r="Y316" s="889"/>
      <c r="Z316" s="889"/>
      <c r="AA316" s="889"/>
      <c r="AB316" s="889"/>
      <c r="AC316" s="889"/>
      <c r="AD316" s="889"/>
      <c r="AE316" s="889"/>
      <c r="AF316" s="889"/>
      <c r="AG316" s="889"/>
      <c r="AH316" s="889"/>
      <c r="AI316" s="889"/>
      <c r="AJ316" s="889"/>
      <c r="AK316" s="889"/>
      <c r="AL316" s="889"/>
      <c r="AM316" s="889"/>
      <c r="AN316" s="889"/>
      <c r="AO316" s="889"/>
      <c r="AP316" s="889"/>
      <c r="AQ316" s="889"/>
      <c r="AR316" s="889"/>
      <c r="AS316" s="889"/>
      <c r="AT316" s="889"/>
      <c r="AU316" s="889"/>
      <c r="AV316" s="889"/>
      <c r="AW316" s="889"/>
      <c r="AX316" s="889"/>
      <c r="AY316" s="889"/>
      <c r="AZ316" s="889"/>
    </row>
    <row r="317">
      <c r="A317" s="889"/>
      <c r="B317" s="889"/>
      <c r="C317" s="889"/>
      <c r="D317" s="889"/>
      <c r="E317" s="889"/>
      <c r="F317" s="889"/>
      <c r="G317" s="889"/>
      <c r="H317" s="889"/>
      <c r="I317" s="889"/>
      <c r="J317" s="889"/>
      <c r="K317" s="889"/>
      <c r="L317" s="889"/>
      <c r="M317" s="889"/>
      <c r="N317" s="944"/>
      <c r="O317" s="944"/>
      <c r="P317" s="944"/>
      <c r="Q317" s="944"/>
      <c r="R317" s="944"/>
      <c r="S317" s="889"/>
      <c r="T317" s="889"/>
      <c r="U317" s="889"/>
      <c r="V317" s="889"/>
      <c r="W317" s="889"/>
      <c r="X317" s="889"/>
      <c r="Y317" s="889"/>
      <c r="Z317" s="889"/>
      <c r="AA317" s="889"/>
      <c r="AB317" s="889"/>
      <c r="AC317" s="889"/>
      <c r="AD317" s="889"/>
      <c r="AE317" s="889"/>
      <c r="AF317" s="889"/>
      <c r="AG317" s="889"/>
      <c r="AH317" s="889"/>
      <c r="AI317" s="889"/>
      <c r="AJ317" s="889"/>
      <c r="AK317" s="889"/>
      <c r="AL317" s="889"/>
      <c r="AM317" s="889"/>
      <c r="AN317" s="889"/>
      <c r="AO317" s="889"/>
      <c r="AP317" s="889"/>
      <c r="AQ317" s="889"/>
      <c r="AR317" s="889"/>
      <c r="AS317" s="889"/>
      <c r="AT317" s="889"/>
      <c r="AU317" s="889"/>
      <c r="AV317" s="889"/>
      <c r="AW317" s="889"/>
      <c r="AX317" s="889"/>
      <c r="AY317" s="889"/>
      <c r="AZ317" s="889"/>
    </row>
    <row r="318">
      <c r="A318" s="889"/>
      <c r="B318" s="889"/>
      <c r="C318" s="889"/>
      <c r="D318" s="889"/>
      <c r="E318" s="889"/>
      <c r="F318" s="889"/>
      <c r="G318" s="889"/>
      <c r="H318" s="889"/>
      <c r="I318" s="889"/>
      <c r="J318" s="889"/>
      <c r="K318" s="889"/>
      <c r="L318" s="889"/>
      <c r="M318" s="889"/>
      <c r="N318" s="944"/>
      <c r="O318" s="944"/>
      <c r="P318" s="944"/>
      <c r="Q318" s="944"/>
      <c r="R318" s="944"/>
      <c r="S318" s="889"/>
      <c r="T318" s="889"/>
      <c r="U318" s="889"/>
      <c r="V318" s="889"/>
      <c r="W318" s="889"/>
      <c r="X318" s="889"/>
      <c r="Y318" s="889"/>
      <c r="Z318" s="889"/>
      <c r="AA318" s="889"/>
      <c r="AB318" s="889"/>
      <c r="AC318" s="889"/>
      <c r="AD318" s="889"/>
      <c r="AE318" s="889"/>
      <c r="AF318" s="889"/>
      <c r="AG318" s="889"/>
      <c r="AH318" s="889"/>
      <c r="AI318" s="889"/>
      <c r="AJ318" s="889"/>
      <c r="AK318" s="889"/>
      <c r="AL318" s="889"/>
      <c r="AM318" s="889"/>
      <c r="AN318" s="889"/>
      <c r="AO318" s="889"/>
      <c r="AP318" s="889"/>
      <c r="AQ318" s="889"/>
      <c r="AR318" s="889"/>
      <c r="AS318" s="889"/>
      <c r="AT318" s="889"/>
      <c r="AU318" s="889"/>
      <c r="AV318" s="889"/>
      <c r="AW318" s="889"/>
      <c r="AX318" s="889"/>
      <c r="AY318" s="889"/>
      <c r="AZ318" s="889"/>
    </row>
    <row r="319">
      <c r="A319" s="889"/>
      <c r="B319" s="889"/>
      <c r="C319" s="889"/>
      <c r="D319" s="889"/>
      <c r="E319" s="889"/>
      <c r="F319" s="889"/>
      <c r="G319" s="889"/>
      <c r="H319" s="889"/>
      <c r="I319" s="889"/>
      <c r="J319" s="889"/>
      <c r="K319" s="889"/>
      <c r="L319" s="889"/>
      <c r="M319" s="889"/>
      <c r="N319" s="944"/>
      <c r="O319" s="944"/>
      <c r="P319" s="944"/>
      <c r="Q319" s="944"/>
      <c r="R319" s="944"/>
      <c r="S319" s="889"/>
      <c r="T319" s="889"/>
      <c r="U319" s="889"/>
      <c r="V319" s="889"/>
      <c r="W319" s="889"/>
      <c r="X319" s="889"/>
      <c r="Y319" s="889"/>
      <c r="Z319" s="889"/>
      <c r="AA319" s="889"/>
      <c r="AB319" s="889"/>
      <c r="AC319" s="889"/>
      <c r="AD319" s="889"/>
      <c r="AE319" s="889"/>
      <c r="AF319" s="889"/>
      <c r="AG319" s="889"/>
      <c r="AH319" s="889"/>
      <c r="AI319" s="889"/>
      <c r="AJ319" s="889"/>
      <c r="AK319" s="889"/>
      <c r="AL319" s="889"/>
      <c r="AM319" s="889"/>
      <c r="AN319" s="889"/>
      <c r="AO319" s="889"/>
      <c r="AP319" s="889"/>
      <c r="AQ319" s="889"/>
      <c r="AR319" s="889"/>
      <c r="AS319" s="889"/>
      <c r="AT319" s="889"/>
      <c r="AU319" s="889"/>
      <c r="AV319" s="889"/>
      <c r="AW319" s="889"/>
      <c r="AX319" s="889"/>
      <c r="AY319" s="889"/>
      <c r="AZ319" s="889"/>
    </row>
    <row r="320">
      <c r="A320" s="889"/>
      <c r="B320" s="889"/>
      <c r="C320" s="889"/>
      <c r="D320" s="889"/>
      <c r="E320" s="889"/>
      <c r="F320" s="889"/>
      <c r="G320" s="889"/>
      <c r="H320" s="889"/>
      <c r="I320" s="889"/>
      <c r="J320" s="889"/>
      <c r="K320" s="889"/>
      <c r="L320" s="889"/>
      <c r="M320" s="889"/>
      <c r="N320" s="944"/>
      <c r="O320" s="944"/>
      <c r="P320" s="944"/>
      <c r="Q320" s="944"/>
      <c r="R320" s="944"/>
      <c r="S320" s="889"/>
      <c r="T320" s="889"/>
      <c r="U320" s="889"/>
      <c r="V320" s="889"/>
      <c r="W320" s="889"/>
      <c r="X320" s="889"/>
      <c r="Y320" s="889"/>
      <c r="Z320" s="889"/>
      <c r="AA320" s="889"/>
      <c r="AB320" s="889"/>
      <c r="AC320" s="889"/>
      <c r="AD320" s="889"/>
      <c r="AE320" s="889"/>
      <c r="AF320" s="889"/>
      <c r="AG320" s="889"/>
      <c r="AH320" s="889"/>
      <c r="AI320" s="889"/>
      <c r="AJ320" s="889"/>
      <c r="AK320" s="889"/>
      <c r="AL320" s="889"/>
      <c r="AM320" s="889"/>
      <c r="AN320" s="889"/>
      <c r="AO320" s="889"/>
      <c r="AP320" s="889"/>
      <c r="AQ320" s="889"/>
      <c r="AR320" s="889"/>
      <c r="AS320" s="889"/>
      <c r="AT320" s="889"/>
      <c r="AU320" s="889"/>
      <c r="AV320" s="889"/>
      <c r="AW320" s="889"/>
      <c r="AX320" s="889"/>
      <c r="AY320" s="889"/>
      <c r="AZ320" s="889"/>
    </row>
    <row r="321">
      <c r="A321" s="889"/>
      <c r="B321" s="889"/>
      <c r="C321" s="889"/>
      <c r="D321" s="889"/>
      <c r="E321" s="889"/>
      <c r="F321" s="889"/>
      <c r="G321" s="889"/>
      <c r="H321" s="889"/>
      <c r="I321" s="889"/>
      <c r="J321" s="889"/>
      <c r="K321" s="889"/>
      <c r="L321" s="889"/>
      <c r="M321" s="889"/>
      <c r="N321" s="944"/>
      <c r="O321" s="944"/>
      <c r="P321" s="944"/>
      <c r="Q321" s="944"/>
      <c r="R321" s="944"/>
      <c r="S321" s="889"/>
      <c r="T321" s="889"/>
      <c r="U321" s="889"/>
      <c r="V321" s="889"/>
      <c r="W321" s="889"/>
      <c r="X321" s="889"/>
      <c r="Y321" s="889"/>
      <c r="Z321" s="889"/>
      <c r="AA321" s="889"/>
      <c r="AB321" s="889"/>
      <c r="AC321" s="889"/>
      <c r="AD321" s="889"/>
      <c r="AE321" s="889"/>
      <c r="AF321" s="889"/>
      <c r="AG321" s="889"/>
      <c r="AH321" s="889"/>
      <c r="AI321" s="889"/>
      <c r="AJ321" s="889"/>
      <c r="AK321" s="889"/>
      <c r="AL321" s="889"/>
      <c r="AM321" s="889"/>
      <c r="AN321" s="889"/>
      <c r="AO321" s="889"/>
      <c r="AP321" s="889"/>
      <c r="AQ321" s="889"/>
      <c r="AR321" s="889"/>
      <c r="AS321" s="889"/>
      <c r="AT321" s="889"/>
      <c r="AU321" s="889"/>
      <c r="AV321" s="889"/>
      <c r="AW321" s="889"/>
      <c r="AX321" s="889"/>
      <c r="AY321" s="889"/>
      <c r="AZ321" s="889"/>
    </row>
    <row r="322">
      <c r="A322" s="889"/>
      <c r="B322" s="889"/>
      <c r="C322" s="889"/>
      <c r="D322" s="889"/>
      <c r="E322" s="889"/>
      <c r="F322" s="889"/>
      <c r="G322" s="889"/>
      <c r="H322" s="889"/>
      <c r="I322" s="889"/>
      <c r="J322" s="889"/>
      <c r="K322" s="889"/>
      <c r="L322" s="889"/>
      <c r="M322" s="889"/>
      <c r="N322" s="944"/>
      <c r="O322" s="944"/>
      <c r="P322" s="944"/>
      <c r="Q322" s="944"/>
      <c r="R322" s="944"/>
      <c r="S322" s="889"/>
      <c r="T322" s="889"/>
      <c r="U322" s="889"/>
      <c r="V322" s="889"/>
      <c r="W322" s="889"/>
      <c r="X322" s="889"/>
      <c r="Y322" s="889"/>
      <c r="Z322" s="889"/>
      <c r="AA322" s="889"/>
      <c r="AB322" s="889"/>
      <c r="AC322" s="889"/>
      <c r="AD322" s="889"/>
      <c r="AE322" s="889"/>
      <c r="AF322" s="889"/>
      <c r="AG322" s="889"/>
      <c r="AH322" s="889"/>
      <c r="AI322" s="889"/>
      <c r="AJ322" s="889"/>
      <c r="AK322" s="889"/>
      <c r="AL322" s="889"/>
      <c r="AM322" s="889"/>
      <c r="AN322" s="889"/>
      <c r="AO322" s="889"/>
      <c r="AP322" s="889"/>
      <c r="AQ322" s="889"/>
      <c r="AR322" s="889"/>
      <c r="AS322" s="889"/>
      <c r="AT322" s="889"/>
      <c r="AU322" s="889"/>
      <c r="AV322" s="889"/>
      <c r="AW322" s="889"/>
      <c r="AX322" s="889"/>
      <c r="AY322" s="889"/>
      <c r="AZ322" s="889"/>
    </row>
    <row r="323">
      <c r="A323" s="889"/>
      <c r="B323" s="889"/>
      <c r="C323" s="889"/>
      <c r="D323" s="889"/>
      <c r="E323" s="889"/>
      <c r="F323" s="889"/>
      <c r="G323" s="889"/>
      <c r="H323" s="889"/>
      <c r="I323" s="889"/>
      <c r="J323" s="889"/>
      <c r="K323" s="889"/>
      <c r="L323" s="889"/>
      <c r="M323" s="889"/>
      <c r="N323" s="944"/>
      <c r="O323" s="944"/>
      <c r="P323" s="944"/>
      <c r="Q323" s="944"/>
      <c r="R323" s="944"/>
      <c r="S323" s="889"/>
      <c r="T323" s="889"/>
      <c r="U323" s="889"/>
      <c r="V323" s="889"/>
      <c r="W323" s="889"/>
      <c r="X323" s="889"/>
      <c r="Y323" s="889"/>
      <c r="Z323" s="889"/>
      <c r="AA323" s="889"/>
      <c r="AB323" s="889"/>
      <c r="AC323" s="889"/>
      <c r="AD323" s="889"/>
      <c r="AE323" s="889"/>
      <c r="AF323" s="889"/>
      <c r="AG323" s="889"/>
      <c r="AH323" s="889"/>
      <c r="AI323" s="889"/>
      <c r="AJ323" s="889"/>
      <c r="AK323" s="889"/>
      <c r="AL323" s="889"/>
      <c r="AM323" s="889"/>
      <c r="AN323" s="889"/>
      <c r="AO323" s="889"/>
      <c r="AP323" s="889"/>
      <c r="AQ323" s="889"/>
      <c r="AR323" s="889"/>
      <c r="AS323" s="889"/>
      <c r="AT323" s="889"/>
      <c r="AU323" s="889"/>
      <c r="AV323" s="889"/>
      <c r="AW323" s="889"/>
      <c r="AX323" s="889"/>
      <c r="AY323" s="889"/>
      <c r="AZ323" s="889"/>
    </row>
    <row r="324">
      <c r="A324" s="889"/>
      <c r="B324" s="889"/>
      <c r="C324" s="889"/>
      <c r="D324" s="889"/>
      <c r="E324" s="889"/>
      <c r="F324" s="889"/>
      <c r="G324" s="889"/>
      <c r="H324" s="889"/>
      <c r="I324" s="889"/>
      <c r="J324" s="889"/>
      <c r="K324" s="889"/>
      <c r="L324" s="889"/>
      <c r="M324" s="889"/>
      <c r="N324" s="944"/>
      <c r="O324" s="944"/>
      <c r="P324" s="944"/>
      <c r="Q324" s="944"/>
      <c r="R324" s="944"/>
      <c r="S324" s="889"/>
      <c r="T324" s="889"/>
      <c r="U324" s="889"/>
      <c r="V324" s="889"/>
      <c r="W324" s="889"/>
      <c r="X324" s="889"/>
      <c r="Y324" s="889"/>
      <c r="Z324" s="889"/>
      <c r="AA324" s="889"/>
      <c r="AB324" s="889"/>
      <c r="AC324" s="889"/>
      <c r="AD324" s="889"/>
      <c r="AE324" s="889"/>
      <c r="AF324" s="889"/>
      <c r="AG324" s="889"/>
      <c r="AH324" s="889"/>
      <c r="AI324" s="889"/>
      <c r="AJ324" s="889"/>
      <c r="AK324" s="889"/>
      <c r="AL324" s="889"/>
      <c r="AM324" s="889"/>
      <c r="AN324" s="889"/>
      <c r="AO324" s="889"/>
      <c r="AP324" s="889"/>
      <c r="AQ324" s="889"/>
      <c r="AR324" s="889"/>
      <c r="AS324" s="889"/>
      <c r="AT324" s="889"/>
      <c r="AU324" s="889"/>
      <c r="AV324" s="889"/>
      <c r="AW324" s="889"/>
      <c r="AX324" s="889"/>
      <c r="AY324" s="889"/>
      <c r="AZ324" s="889"/>
    </row>
    <row r="325">
      <c r="A325" s="889"/>
      <c r="B325" s="889"/>
      <c r="C325" s="889"/>
      <c r="D325" s="889"/>
      <c r="E325" s="889"/>
      <c r="F325" s="889"/>
      <c r="G325" s="889"/>
      <c r="H325" s="889"/>
      <c r="I325" s="889"/>
      <c r="J325" s="889"/>
      <c r="K325" s="889"/>
      <c r="L325" s="889"/>
      <c r="M325" s="889"/>
      <c r="N325" s="944"/>
      <c r="O325" s="944"/>
      <c r="P325" s="944"/>
      <c r="Q325" s="944"/>
      <c r="R325" s="944"/>
      <c r="S325" s="889"/>
      <c r="T325" s="889"/>
      <c r="U325" s="889"/>
      <c r="V325" s="889"/>
      <c r="W325" s="889"/>
      <c r="X325" s="889"/>
      <c r="Y325" s="889"/>
      <c r="Z325" s="889"/>
      <c r="AA325" s="889"/>
      <c r="AB325" s="889"/>
      <c r="AC325" s="889"/>
      <c r="AD325" s="889"/>
      <c r="AE325" s="889"/>
      <c r="AF325" s="889"/>
      <c r="AG325" s="889"/>
      <c r="AH325" s="889"/>
      <c r="AI325" s="889"/>
      <c r="AJ325" s="889"/>
      <c r="AK325" s="889"/>
      <c r="AL325" s="889"/>
      <c r="AM325" s="889"/>
      <c r="AN325" s="889"/>
      <c r="AO325" s="889"/>
      <c r="AP325" s="889"/>
      <c r="AQ325" s="889"/>
      <c r="AR325" s="889"/>
      <c r="AS325" s="889"/>
      <c r="AT325" s="889"/>
      <c r="AU325" s="889"/>
      <c r="AV325" s="889"/>
      <c r="AW325" s="889"/>
      <c r="AX325" s="889"/>
      <c r="AY325" s="889"/>
      <c r="AZ325" s="889"/>
    </row>
    <row r="326">
      <c r="A326" s="889"/>
      <c r="B326" s="889"/>
      <c r="C326" s="889"/>
      <c r="D326" s="889"/>
      <c r="E326" s="889"/>
      <c r="F326" s="889"/>
      <c r="G326" s="889"/>
      <c r="H326" s="889"/>
      <c r="I326" s="889"/>
      <c r="J326" s="889"/>
      <c r="K326" s="889"/>
      <c r="L326" s="889"/>
      <c r="M326" s="889"/>
      <c r="N326" s="944"/>
      <c r="O326" s="944"/>
      <c r="P326" s="944"/>
      <c r="Q326" s="944"/>
      <c r="R326" s="944"/>
      <c r="S326" s="889"/>
      <c r="T326" s="889"/>
      <c r="U326" s="889"/>
      <c r="V326" s="889"/>
      <c r="W326" s="889"/>
      <c r="X326" s="889"/>
      <c r="Y326" s="889"/>
      <c r="Z326" s="889"/>
      <c r="AA326" s="889"/>
      <c r="AB326" s="889"/>
      <c r="AC326" s="889"/>
      <c r="AD326" s="889"/>
      <c r="AE326" s="889"/>
      <c r="AF326" s="889"/>
      <c r="AG326" s="889"/>
      <c r="AH326" s="889"/>
      <c r="AI326" s="889"/>
      <c r="AJ326" s="889"/>
      <c r="AK326" s="889"/>
      <c r="AL326" s="889"/>
      <c r="AM326" s="889"/>
      <c r="AN326" s="889"/>
      <c r="AO326" s="889"/>
      <c r="AP326" s="889"/>
      <c r="AQ326" s="889"/>
      <c r="AR326" s="889"/>
      <c r="AS326" s="889"/>
      <c r="AT326" s="889"/>
      <c r="AU326" s="889"/>
      <c r="AV326" s="889"/>
      <c r="AW326" s="889"/>
      <c r="AX326" s="889"/>
      <c r="AY326" s="889"/>
      <c r="AZ326" s="889"/>
    </row>
    <row r="327">
      <c r="A327" s="889"/>
      <c r="B327" s="889"/>
      <c r="C327" s="889"/>
      <c r="D327" s="889"/>
      <c r="E327" s="889"/>
      <c r="F327" s="889"/>
      <c r="G327" s="889"/>
      <c r="H327" s="889"/>
      <c r="I327" s="889"/>
      <c r="J327" s="889"/>
      <c r="K327" s="889"/>
      <c r="L327" s="889"/>
      <c r="M327" s="889"/>
      <c r="N327" s="944"/>
      <c r="O327" s="944"/>
      <c r="P327" s="944"/>
      <c r="Q327" s="944"/>
      <c r="R327" s="944"/>
      <c r="S327" s="889"/>
      <c r="T327" s="889"/>
      <c r="U327" s="889"/>
      <c r="V327" s="889"/>
      <c r="W327" s="889"/>
      <c r="X327" s="889"/>
      <c r="Y327" s="889"/>
      <c r="Z327" s="889"/>
      <c r="AA327" s="889"/>
      <c r="AB327" s="889"/>
      <c r="AC327" s="889"/>
      <c r="AD327" s="889"/>
      <c r="AE327" s="889"/>
      <c r="AF327" s="889"/>
      <c r="AG327" s="889"/>
      <c r="AH327" s="889"/>
      <c r="AI327" s="889"/>
      <c r="AJ327" s="889"/>
      <c r="AK327" s="889"/>
      <c r="AL327" s="889"/>
      <c r="AM327" s="889"/>
      <c r="AN327" s="889"/>
      <c r="AO327" s="889"/>
      <c r="AP327" s="889"/>
      <c r="AQ327" s="889"/>
      <c r="AR327" s="889"/>
      <c r="AS327" s="889"/>
      <c r="AT327" s="889"/>
      <c r="AU327" s="889"/>
      <c r="AV327" s="889"/>
      <c r="AW327" s="889"/>
      <c r="AX327" s="889"/>
      <c r="AY327" s="889"/>
      <c r="AZ327" s="889"/>
    </row>
    <row r="328">
      <c r="A328" s="889"/>
      <c r="B328" s="889"/>
      <c r="C328" s="889"/>
      <c r="D328" s="889"/>
      <c r="E328" s="889"/>
      <c r="F328" s="889"/>
      <c r="G328" s="889"/>
      <c r="H328" s="889"/>
      <c r="I328" s="889"/>
      <c r="J328" s="889"/>
      <c r="K328" s="889"/>
      <c r="L328" s="889"/>
      <c r="M328" s="889"/>
      <c r="N328" s="944"/>
      <c r="O328" s="944"/>
      <c r="P328" s="944"/>
      <c r="Q328" s="944"/>
      <c r="R328" s="944"/>
      <c r="S328" s="889"/>
      <c r="T328" s="889"/>
      <c r="U328" s="889"/>
      <c r="V328" s="889"/>
      <c r="W328" s="889"/>
      <c r="X328" s="889"/>
      <c r="Y328" s="889"/>
      <c r="Z328" s="889"/>
      <c r="AA328" s="889"/>
      <c r="AB328" s="889"/>
      <c r="AC328" s="889"/>
      <c r="AD328" s="889"/>
      <c r="AE328" s="889"/>
      <c r="AF328" s="889"/>
      <c r="AG328" s="889"/>
      <c r="AH328" s="889"/>
      <c r="AI328" s="889"/>
      <c r="AJ328" s="889"/>
      <c r="AK328" s="889"/>
      <c r="AL328" s="889"/>
      <c r="AM328" s="889"/>
      <c r="AN328" s="889"/>
      <c r="AO328" s="889"/>
      <c r="AP328" s="889"/>
      <c r="AQ328" s="889"/>
      <c r="AR328" s="889"/>
      <c r="AS328" s="889"/>
      <c r="AT328" s="889"/>
      <c r="AU328" s="889"/>
      <c r="AV328" s="889"/>
      <c r="AW328" s="889"/>
      <c r="AX328" s="889"/>
      <c r="AY328" s="889"/>
      <c r="AZ328" s="889"/>
    </row>
    <row r="329">
      <c r="A329" s="889"/>
      <c r="B329" s="889"/>
      <c r="C329" s="889"/>
      <c r="D329" s="889"/>
      <c r="E329" s="889"/>
      <c r="F329" s="889"/>
      <c r="G329" s="889"/>
      <c r="H329" s="889"/>
      <c r="I329" s="889"/>
      <c r="J329" s="889"/>
      <c r="K329" s="889"/>
      <c r="L329" s="889"/>
      <c r="M329" s="889"/>
      <c r="N329" s="944"/>
      <c r="O329" s="944"/>
      <c r="P329" s="944"/>
      <c r="Q329" s="944"/>
      <c r="R329" s="944"/>
      <c r="S329" s="889"/>
      <c r="T329" s="889"/>
      <c r="U329" s="889"/>
      <c r="V329" s="889"/>
      <c r="W329" s="889"/>
      <c r="X329" s="889"/>
      <c r="Y329" s="889"/>
      <c r="Z329" s="889"/>
      <c r="AA329" s="889"/>
      <c r="AB329" s="889"/>
      <c r="AC329" s="889"/>
      <c r="AD329" s="889"/>
      <c r="AE329" s="889"/>
      <c r="AF329" s="889"/>
      <c r="AG329" s="889"/>
      <c r="AH329" s="889"/>
      <c r="AI329" s="889"/>
      <c r="AJ329" s="889"/>
      <c r="AK329" s="889"/>
      <c r="AL329" s="889"/>
      <c r="AM329" s="889"/>
      <c r="AN329" s="889"/>
      <c r="AO329" s="889"/>
      <c r="AP329" s="889"/>
      <c r="AQ329" s="889"/>
      <c r="AR329" s="889"/>
      <c r="AS329" s="889"/>
      <c r="AT329" s="889"/>
      <c r="AU329" s="889"/>
      <c r="AV329" s="889"/>
      <c r="AW329" s="889"/>
      <c r="AX329" s="889"/>
      <c r="AY329" s="889"/>
      <c r="AZ329" s="889"/>
    </row>
    <row r="330">
      <c r="A330" s="889"/>
      <c r="B330" s="889"/>
      <c r="C330" s="889"/>
      <c r="D330" s="889"/>
      <c r="E330" s="889"/>
      <c r="F330" s="889"/>
      <c r="G330" s="889"/>
      <c r="H330" s="889"/>
      <c r="I330" s="889"/>
      <c r="J330" s="889"/>
      <c r="K330" s="889"/>
      <c r="L330" s="889"/>
      <c r="M330" s="889"/>
      <c r="N330" s="944"/>
      <c r="O330" s="944"/>
      <c r="P330" s="944"/>
      <c r="Q330" s="944"/>
      <c r="R330" s="944"/>
      <c r="S330" s="889"/>
      <c r="T330" s="889"/>
      <c r="U330" s="889"/>
      <c r="V330" s="889"/>
      <c r="W330" s="889"/>
      <c r="X330" s="889"/>
      <c r="Y330" s="889"/>
      <c r="Z330" s="889"/>
      <c r="AA330" s="889"/>
      <c r="AB330" s="889"/>
      <c r="AC330" s="889"/>
      <c r="AD330" s="889"/>
      <c r="AE330" s="889"/>
      <c r="AF330" s="889"/>
      <c r="AG330" s="889"/>
      <c r="AH330" s="889"/>
      <c r="AI330" s="889"/>
      <c r="AJ330" s="889"/>
      <c r="AK330" s="889"/>
      <c r="AL330" s="889"/>
      <c r="AM330" s="889"/>
      <c r="AN330" s="889"/>
      <c r="AO330" s="889"/>
      <c r="AP330" s="889"/>
      <c r="AQ330" s="889"/>
      <c r="AR330" s="889"/>
      <c r="AS330" s="889"/>
      <c r="AT330" s="889"/>
      <c r="AU330" s="889"/>
      <c r="AV330" s="889"/>
      <c r="AW330" s="889"/>
      <c r="AX330" s="889"/>
      <c r="AY330" s="889"/>
      <c r="AZ330" s="889"/>
    </row>
    <row r="331">
      <c r="A331" s="889"/>
      <c r="B331" s="889"/>
      <c r="C331" s="889"/>
      <c r="D331" s="889"/>
      <c r="E331" s="889"/>
      <c r="F331" s="889"/>
      <c r="G331" s="889"/>
      <c r="H331" s="889"/>
      <c r="I331" s="889"/>
      <c r="J331" s="889"/>
      <c r="K331" s="889"/>
      <c r="L331" s="889"/>
      <c r="M331" s="889"/>
      <c r="N331" s="944"/>
      <c r="O331" s="944"/>
      <c r="P331" s="944"/>
      <c r="Q331" s="944"/>
      <c r="R331" s="944"/>
      <c r="S331" s="889"/>
      <c r="T331" s="889"/>
      <c r="U331" s="889"/>
      <c r="V331" s="889"/>
      <c r="W331" s="889"/>
      <c r="X331" s="889"/>
      <c r="Y331" s="889"/>
      <c r="Z331" s="889"/>
      <c r="AA331" s="889"/>
      <c r="AB331" s="889"/>
      <c r="AC331" s="889"/>
      <c r="AD331" s="889"/>
      <c r="AE331" s="889"/>
      <c r="AF331" s="889"/>
      <c r="AG331" s="889"/>
      <c r="AH331" s="889"/>
      <c r="AI331" s="889"/>
      <c r="AJ331" s="889"/>
      <c r="AK331" s="889"/>
      <c r="AL331" s="889"/>
      <c r="AM331" s="889"/>
      <c r="AN331" s="889"/>
      <c r="AO331" s="889"/>
      <c r="AP331" s="889"/>
      <c r="AQ331" s="889"/>
      <c r="AR331" s="889"/>
      <c r="AS331" s="889"/>
      <c r="AT331" s="889"/>
      <c r="AU331" s="889"/>
      <c r="AV331" s="889"/>
      <c r="AW331" s="889"/>
      <c r="AX331" s="889"/>
      <c r="AY331" s="889"/>
      <c r="AZ331" s="889"/>
    </row>
    <row r="332">
      <c r="A332" s="889"/>
      <c r="B332" s="889"/>
      <c r="C332" s="889"/>
      <c r="D332" s="889"/>
      <c r="E332" s="889"/>
      <c r="F332" s="889"/>
      <c r="G332" s="889"/>
      <c r="H332" s="889"/>
      <c r="I332" s="889"/>
      <c r="J332" s="889"/>
      <c r="K332" s="889"/>
      <c r="L332" s="889"/>
      <c r="M332" s="889"/>
      <c r="N332" s="944"/>
      <c r="O332" s="944"/>
      <c r="P332" s="944"/>
      <c r="Q332" s="944"/>
      <c r="R332" s="944"/>
      <c r="S332" s="889"/>
      <c r="T332" s="889"/>
      <c r="U332" s="889"/>
      <c r="V332" s="889"/>
      <c r="W332" s="889"/>
      <c r="X332" s="889"/>
      <c r="Y332" s="889"/>
      <c r="Z332" s="889"/>
      <c r="AA332" s="889"/>
      <c r="AB332" s="889"/>
      <c r="AC332" s="889"/>
      <c r="AD332" s="889"/>
      <c r="AE332" s="889"/>
      <c r="AF332" s="889"/>
      <c r="AG332" s="889"/>
      <c r="AH332" s="889"/>
      <c r="AI332" s="889"/>
      <c r="AJ332" s="889"/>
      <c r="AK332" s="889"/>
      <c r="AL332" s="889"/>
      <c r="AM332" s="889"/>
      <c r="AN332" s="889"/>
      <c r="AO332" s="889"/>
      <c r="AP332" s="889"/>
      <c r="AQ332" s="889"/>
      <c r="AR332" s="889"/>
      <c r="AS332" s="889"/>
      <c r="AT332" s="889"/>
      <c r="AU332" s="889"/>
      <c r="AV332" s="889"/>
      <c r="AW332" s="889"/>
      <c r="AX332" s="889"/>
      <c r="AY332" s="889"/>
      <c r="AZ332" s="889"/>
    </row>
    <row r="333">
      <c r="A333" s="889"/>
      <c r="B333" s="889"/>
      <c r="C333" s="889"/>
      <c r="D333" s="889"/>
      <c r="E333" s="889"/>
      <c r="F333" s="889"/>
      <c r="G333" s="889"/>
      <c r="H333" s="889"/>
      <c r="I333" s="889"/>
      <c r="J333" s="889"/>
      <c r="K333" s="889"/>
      <c r="L333" s="889"/>
      <c r="M333" s="889"/>
      <c r="N333" s="944"/>
      <c r="O333" s="944"/>
      <c r="P333" s="944"/>
      <c r="Q333" s="944"/>
      <c r="R333" s="944"/>
      <c r="S333" s="889"/>
      <c r="T333" s="889"/>
      <c r="U333" s="889"/>
      <c r="V333" s="889"/>
      <c r="W333" s="889"/>
      <c r="X333" s="889"/>
      <c r="Y333" s="889"/>
      <c r="Z333" s="889"/>
      <c r="AA333" s="889"/>
      <c r="AB333" s="889"/>
      <c r="AC333" s="889"/>
      <c r="AD333" s="889"/>
      <c r="AE333" s="889"/>
      <c r="AF333" s="889"/>
      <c r="AG333" s="889"/>
      <c r="AH333" s="889"/>
      <c r="AI333" s="889"/>
      <c r="AJ333" s="889"/>
      <c r="AK333" s="889"/>
      <c r="AL333" s="889"/>
      <c r="AM333" s="889"/>
      <c r="AN333" s="889"/>
      <c r="AO333" s="889"/>
      <c r="AP333" s="889"/>
      <c r="AQ333" s="889"/>
      <c r="AR333" s="889"/>
      <c r="AS333" s="889"/>
      <c r="AT333" s="889"/>
      <c r="AU333" s="889"/>
      <c r="AV333" s="889"/>
      <c r="AW333" s="889"/>
      <c r="AX333" s="889"/>
      <c r="AY333" s="889"/>
      <c r="AZ333" s="889"/>
    </row>
    <row r="334">
      <c r="A334" s="889"/>
      <c r="B334" s="889"/>
      <c r="C334" s="889"/>
      <c r="D334" s="889"/>
      <c r="E334" s="889"/>
      <c r="F334" s="889"/>
      <c r="G334" s="889"/>
      <c r="H334" s="889"/>
      <c r="I334" s="889"/>
      <c r="J334" s="889"/>
      <c r="K334" s="889"/>
      <c r="L334" s="889"/>
      <c r="M334" s="889"/>
      <c r="N334" s="944"/>
      <c r="O334" s="944"/>
      <c r="P334" s="944"/>
      <c r="Q334" s="944"/>
      <c r="R334" s="944"/>
      <c r="S334" s="889"/>
      <c r="T334" s="889"/>
      <c r="U334" s="889"/>
      <c r="V334" s="889"/>
      <c r="W334" s="889"/>
      <c r="X334" s="889"/>
      <c r="Y334" s="889"/>
      <c r="Z334" s="889"/>
      <c r="AA334" s="889"/>
      <c r="AB334" s="889"/>
      <c r="AC334" s="889"/>
      <c r="AD334" s="889"/>
      <c r="AE334" s="889"/>
      <c r="AF334" s="889"/>
      <c r="AG334" s="889"/>
      <c r="AH334" s="889"/>
      <c r="AI334" s="889"/>
      <c r="AJ334" s="889"/>
      <c r="AK334" s="889"/>
      <c r="AL334" s="889"/>
      <c r="AM334" s="889"/>
      <c r="AN334" s="889"/>
      <c r="AO334" s="889"/>
      <c r="AP334" s="889"/>
      <c r="AQ334" s="889"/>
      <c r="AR334" s="889"/>
      <c r="AS334" s="889"/>
      <c r="AT334" s="889"/>
      <c r="AU334" s="889"/>
      <c r="AV334" s="889"/>
      <c r="AW334" s="889"/>
      <c r="AX334" s="889"/>
      <c r="AY334" s="889"/>
      <c r="AZ334" s="889"/>
    </row>
    <row r="335">
      <c r="A335" s="889"/>
      <c r="B335" s="889"/>
      <c r="C335" s="889"/>
      <c r="D335" s="889"/>
      <c r="E335" s="889"/>
      <c r="F335" s="889"/>
      <c r="G335" s="889"/>
      <c r="H335" s="889"/>
      <c r="I335" s="889"/>
      <c r="J335" s="889"/>
      <c r="K335" s="889"/>
      <c r="L335" s="889"/>
      <c r="M335" s="889"/>
      <c r="N335" s="944"/>
      <c r="O335" s="944"/>
      <c r="P335" s="944"/>
      <c r="Q335" s="944"/>
      <c r="R335" s="944"/>
      <c r="S335" s="889"/>
      <c r="T335" s="889"/>
      <c r="U335" s="889"/>
      <c r="V335" s="889"/>
      <c r="W335" s="889"/>
      <c r="X335" s="889"/>
      <c r="Y335" s="889"/>
      <c r="Z335" s="889"/>
      <c r="AA335" s="889"/>
      <c r="AB335" s="889"/>
      <c r="AC335" s="889"/>
      <c r="AD335" s="889"/>
      <c r="AE335" s="889"/>
      <c r="AF335" s="889"/>
      <c r="AG335" s="889"/>
      <c r="AH335" s="889"/>
      <c r="AI335" s="889"/>
      <c r="AJ335" s="889"/>
      <c r="AK335" s="889"/>
      <c r="AL335" s="889"/>
      <c r="AM335" s="889"/>
      <c r="AN335" s="889"/>
      <c r="AO335" s="889"/>
      <c r="AP335" s="889"/>
      <c r="AQ335" s="889"/>
      <c r="AR335" s="889"/>
      <c r="AS335" s="889"/>
      <c r="AT335" s="889"/>
      <c r="AU335" s="889"/>
      <c r="AV335" s="889"/>
      <c r="AW335" s="889"/>
      <c r="AX335" s="889"/>
      <c r="AY335" s="889"/>
      <c r="AZ335" s="889"/>
    </row>
    <row r="336">
      <c r="A336" s="889"/>
      <c r="B336" s="889"/>
      <c r="C336" s="889"/>
      <c r="D336" s="889"/>
      <c r="E336" s="889"/>
      <c r="F336" s="889"/>
      <c r="G336" s="889"/>
      <c r="H336" s="889"/>
      <c r="I336" s="889"/>
      <c r="J336" s="889"/>
      <c r="K336" s="889"/>
      <c r="L336" s="889"/>
      <c r="M336" s="889"/>
      <c r="N336" s="944"/>
      <c r="O336" s="944"/>
      <c r="P336" s="944"/>
      <c r="Q336" s="944"/>
      <c r="R336" s="944"/>
      <c r="S336" s="889"/>
      <c r="T336" s="889"/>
      <c r="U336" s="889"/>
      <c r="V336" s="889"/>
      <c r="W336" s="889"/>
      <c r="X336" s="889"/>
      <c r="Y336" s="889"/>
      <c r="Z336" s="889"/>
      <c r="AA336" s="889"/>
      <c r="AB336" s="889"/>
      <c r="AC336" s="889"/>
      <c r="AD336" s="889"/>
      <c r="AE336" s="889"/>
      <c r="AF336" s="889"/>
      <c r="AG336" s="889"/>
      <c r="AH336" s="889"/>
      <c r="AI336" s="889"/>
      <c r="AJ336" s="889"/>
      <c r="AK336" s="889"/>
      <c r="AL336" s="889"/>
      <c r="AM336" s="889"/>
      <c r="AN336" s="889"/>
      <c r="AO336" s="889"/>
      <c r="AP336" s="889"/>
      <c r="AQ336" s="889"/>
      <c r="AR336" s="889"/>
      <c r="AS336" s="889"/>
      <c r="AT336" s="889"/>
      <c r="AU336" s="889"/>
      <c r="AV336" s="889"/>
      <c r="AW336" s="889"/>
      <c r="AX336" s="889"/>
      <c r="AY336" s="889"/>
      <c r="AZ336" s="889"/>
    </row>
    <row r="337">
      <c r="A337" s="889"/>
      <c r="B337" s="889"/>
      <c r="C337" s="889"/>
      <c r="D337" s="889"/>
      <c r="E337" s="889"/>
      <c r="F337" s="889"/>
      <c r="G337" s="889"/>
      <c r="H337" s="889"/>
      <c r="I337" s="889"/>
      <c r="J337" s="889"/>
      <c r="K337" s="889"/>
      <c r="L337" s="889"/>
      <c r="M337" s="889"/>
      <c r="N337" s="944"/>
      <c r="O337" s="944"/>
      <c r="P337" s="944"/>
      <c r="Q337" s="944"/>
      <c r="R337" s="944"/>
      <c r="S337" s="889"/>
      <c r="T337" s="889"/>
      <c r="U337" s="889"/>
      <c r="V337" s="889"/>
      <c r="W337" s="889"/>
      <c r="X337" s="889"/>
      <c r="Y337" s="889"/>
      <c r="Z337" s="889"/>
      <c r="AA337" s="889"/>
      <c r="AB337" s="889"/>
      <c r="AC337" s="889"/>
      <c r="AD337" s="889"/>
      <c r="AE337" s="889"/>
      <c r="AF337" s="889"/>
      <c r="AG337" s="889"/>
      <c r="AH337" s="889"/>
      <c r="AI337" s="889"/>
      <c r="AJ337" s="889"/>
      <c r="AK337" s="889"/>
      <c r="AL337" s="889"/>
      <c r="AM337" s="889"/>
      <c r="AN337" s="889"/>
      <c r="AO337" s="889"/>
      <c r="AP337" s="889"/>
      <c r="AQ337" s="889"/>
      <c r="AR337" s="889"/>
      <c r="AS337" s="889"/>
      <c r="AT337" s="889"/>
      <c r="AU337" s="889"/>
      <c r="AV337" s="889"/>
      <c r="AW337" s="889"/>
      <c r="AX337" s="889"/>
      <c r="AY337" s="889"/>
      <c r="AZ337" s="889"/>
    </row>
    <row r="338">
      <c r="A338" s="889"/>
      <c r="B338" s="889"/>
      <c r="C338" s="889"/>
      <c r="D338" s="889"/>
      <c r="E338" s="889"/>
      <c r="F338" s="889"/>
      <c r="G338" s="889"/>
      <c r="H338" s="889"/>
      <c r="I338" s="889"/>
      <c r="J338" s="889"/>
      <c r="K338" s="889"/>
      <c r="L338" s="889"/>
      <c r="M338" s="889"/>
      <c r="N338" s="944"/>
      <c r="O338" s="944"/>
      <c r="P338" s="944"/>
      <c r="Q338" s="944"/>
      <c r="R338" s="944"/>
      <c r="S338" s="889"/>
      <c r="T338" s="889"/>
      <c r="U338" s="889"/>
      <c r="V338" s="889"/>
      <c r="W338" s="889"/>
      <c r="X338" s="889"/>
      <c r="Y338" s="889"/>
      <c r="Z338" s="889"/>
      <c r="AA338" s="889"/>
      <c r="AB338" s="889"/>
      <c r="AC338" s="889"/>
      <c r="AD338" s="889"/>
      <c r="AE338" s="889"/>
      <c r="AF338" s="889"/>
      <c r="AG338" s="889"/>
      <c r="AH338" s="889"/>
      <c r="AI338" s="889"/>
      <c r="AJ338" s="889"/>
      <c r="AK338" s="889"/>
      <c r="AL338" s="889"/>
      <c r="AM338" s="889"/>
      <c r="AN338" s="889"/>
      <c r="AO338" s="889"/>
      <c r="AP338" s="889"/>
      <c r="AQ338" s="889"/>
      <c r="AR338" s="889"/>
      <c r="AS338" s="889"/>
      <c r="AT338" s="889"/>
      <c r="AU338" s="889"/>
      <c r="AV338" s="889"/>
      <c r="AW338" s="889"/>
      <c r="AX338" s="889"/>
      <c r="AY338" s="889"/>
      <c r="AZ338" s="889"/>
    </row>
    <row r="339">
      <c r="A339" s="889"/>
      <c r="B339" s="889"/>
      <c r="C339" s="889"/>
      <c r="D339" s="889"/>
      <c r="E339" s="889"/>
      <c r="F339" s="889"/>
      <c r="G339" s="889"/>
      <c r="H339" s="889"/>
      <c r="I339" s="889"/>
      <c r="J339" s="889"/>
      <c r="K339" s="889"/>
      <c r="L339" s="889"/>
      <c r="M339" s="889"/>
      <c r="N339" s="944"/>
      <c r="O339" s="944"/>
      <c r="P339" s="944"/>
      <c r="Q339" s="944"/>
      <c r="R339" s="944"/>
      <c r="S339" s="889"/>
      <c r="T339" s="889"/>
      <c r="U339" s="889"/>
      <c r="V339" s="889"/>
      <c r="W339" s="889"/>
      <c r="X339" s="889"/>
      <c r="Y339" s="889"/>
      <c r="Z339" s="889"/>
      <c r="AA339" s="889"/>
      <c r="AB339" s="889"/>
      <c r="AC339" s="889"/>
      <c r="AD339" s="889"/>
      <c r="AE339" s="889"/>
      <c r="AF339" s="889"/>
      <c r="AG339" s="889"/>
      <c r="AH339" s="889"/>
      <c r="AI339" s="889"/>
      <c r="AJ339" s="889"/>
      <c r="AK339" s="889"/>
      <c r="AL339" s="889"/>
      <c r="AM339" s="889"/>
      <c r="AN339" s="889"/>
      <c r="AO339" s="889"/>
      <c r="AP339" s="889"/>
      <c r="AQ339" s="889"/>
      <c r="AR339" s="889"/>
      <c r="AS339" s="889"/>
      <c r="AT339" s="889"/>
      <c r="AU339" s="889"/>
      <c r="AV339" s="889"/>
      <c r="AW339" s="889"/>
      <c r="AX339" s="889"/>
      <c r="AY339" s="889"/>
      <c r="AZ339" s="889"/>
    </row>
    <row r="340">
      <c r="A340" s="889"/>
      <c r="B340" s="889"/>
      <c r="C340" s="889"/>
      <c r="D340" s="889"/>
      <c r="E340" s="889"/>
      <c r="F340" s="889"/>
      <c r="G340" s="889"/>
      <c r="H340" s="889"/>
      <c r="I340" s="889"/>
      <c r="J340" s="889"/>
      <c r="K340" s="889"/>
      <c r="L340" s="889"/>
      <c r="M340" s="889"/>
      <c r="N340" s="944"/>
      <c r="O340" s="944"/>
      <c r="P340" s="944"/>
      <c r="Q340" s="944"/>
      <c r="R340" s="944"/>
      <c r="S340" s="889"/>
      <c r="T340" s="889"/>
      <c r="U340" s="889"/>
      <c r="V340" s="889"/>
      <c r="W340" s="889"/>
      <c r="X340" s="889"/>
      <c r="Y340" s="889"/>
      <c r="Z340" s="889"/>
      <c r="AA340" s="889"/>
      <c r="AB340" s="889"/>
      <c r="AC340" s="889"/>
      <c r="AD340" s="889"/>
      <c r="AE340" s="889"/>
      <c r="AF340" s="889"/>
      <c r="AG340" s="889"/>
      <c r="AH340" s="889"/>
      <c r="AI340" s="889"/>
      <c r="AJ340" s="889"/>
      <c r="AK340" s="889"/>
      <c r="AL340" s="889"/>
      <c r="AM340" s="889"/>
      <c r="AN340" s="889"/>
      <c r="AO340" s="889"/>
      <c r="AP340" s="889"/>
      <c r="AQ340" s="889"/>
      <c r="AR340" s="889"/>
      <c r="AS340" s="889"/>
      <c r="AT340" s="889"/>
      <c r="AU340" s="889"/>
      <c r="AV340" s="889"/>
      <c r="AW340" s="889"/>
      <c r="AX340" s="889"/>
      <c r="AY340" s="889"/>
      <c r="AZ340" s="889"/>
    </row>
    <row r="341">
      <c r="A341" s="889"/>
      <c r="B341" s="889"/>
      <c r="C341" s="889"/>
      <c r="D341" s="889"/>
      <c r="E341" s="889"/>
      <c r="F341" s="889"/>
      <c r="G341" s="889"/>
      <c r="H341" s="889"/>
      <c r="I341" s="889"/>
      <c r="J341" s="889"/>
      <c r="K341" s="889"/>
      <c r="L341" s="889"/>
      <c r="M341" s="889"/>
      <c r="N341" s="944"/>
      <c r="O341" s="944"/>
      <c r="P341" s="944"/>
      <c r="Q341" s="944"/>
      <c r="R341" s="944"/>
      <c r="S341" s="889"/>
      <c r="T341" s="889"/>
      <c r="U341" s="889"/>
      <c r="V341" s="889"/>
      <c r="W341" s="889"/>
      <c r="X341" s="889"/>
      <c r="Y341" s="889"/>
      <c r="Z341" s="889"/>
      <c r="AA341" s="889"/>
      <c r="AB341" s="889"/>
      <c r="AC341" s="889"/>
      <c r="AD341" s="889"/>
      <c r="AE341" s="889"/>
      <c r="AF341" s="889"/>
      <c r="AG341" s="889"/>
      <c r="AH341" s="889"/>
      <c r="AI341" s="889"/>
      <c r="AJ341" s="889"/>
      <c r="AK341" s="889"/>
      <c r="AL341" s="889"/>
      <c r="AM341" s="889"/>
      <c r="AN341" s="889"/>
      <c r="AO341" s="889"/>
      <c r="AP341" s="889"/>
      <c r="AQ341" s="889"/>
      <c r="AR341" s="889"/>
      <c r="AS341" s="889"/>
      <c r="AT341" s="889"/>
      <c r="AU341" s="889"/>
      <c r="AV341" s="889"/>
      <c r="AW341" s="889"/>
      <c r="AX341" s="889"/>
      <c r="AY341" s="889"/>
      <c r="AZ341" s="889"/>
    </row>
    <row r="342">
      <c r="A342" s="889"/>
      <c r="B342" s="889"/>
      <c r="C342" s="889"/>
      <c r="D342" s="889"/>
      <c r="E342" s="889"/>
      <c r="F342" s="889"/>
      <c r="G342" s="889"/>
      <c r="H342" s="889"/>
      <c r="I342" s="889"/>
      <c r="J342" s="889"/>
      <c r="K342" s="889"/>
      <c r="L342" s="889"/>
      <c r="M342" s="889"/>
      <c r="N342" s="944"/>
      <c r="O342" s="944"/>
      <c r="P342" s="944"/>
      <c r="Q342" s="944"/>
      <c r="R342" s="944"/>
      <c r="S342" s="889"/>
      <c r="T342" s="889"/>
      <c r="U342" s="889"/>
      <c r="V342" s="889"/>
      <c r="W342" s="889"/>
      <c r="X342" s="889"/>
      <c r="Y342" s="889"/>
      <c r="Z342" s="889"/>
      <c r="AA342" s="889"/>
      <c r="AB342" s="889"/>
      <c r="AC342" s="889"/>
      <c r="AD342" s="889"/>
      <c r="AE342" s="889"/>
      <c r="AF342" s="889"/>
      <c r="AG342" s="889"/>
      <c r="AH342" s="889"/>
      <c r="AI342" s="889"/>
      <c r="AJ342" s="889"/>
      <c r="AK342" s="889"/>
      <c r="AL342" s="889"/>
      <c r="AM342" s="889"/>
      <c r="AN342" s="889"/>
      <c r="AO342" s="889"/>
      <c r="AP342" s="889"/>
      <c r="AQ342" s="889"/>
      <c r="AR342" s="889"/>
      <c r="AS342" s="889"/>
      <c r="AT342" s="889"/>
      <c r="AU342" s="889"/>
      <c r="AV342" s="889"/>
      <c r="AW342" s="889"/>
      <c r="AX342" s="889"/>
      <c r="AY342" s="889"/>
      <c r="AZ342" s="889"/>
    </row>
    <row r="343">
      <c r="A343" s="889"/>
      <c r="B343" s="889"/>
      <c r="C343" s="889"/>
      <c r="D343" s="889"/>
      <c r="E343" s="889"/>
      <c r="F343" s="889"/>
      <c r="G343" s="889"/>
      <c r="H343" s="889"/>
      <c r="I343" s="889"/>
      <c r="J343" s="889"/>
      <c r="K343" s="889"/>
      <c r="L343" s="889"/>
      <c r="M343" s="889"/>
      <c r="N343" s="944"/>
      <c r="O343" s="944"/>
      <c r="P343" s="944"/>
      <c r="Q343" s="944"/>
      <c r="R343" s="944"/>
      <c r="S343" s="889"/>
      <c r="T343" s="889"/>
      <c r="U343" s="889"/>
      <c r="V343" s="889"/>
      <c r="W343" s="889"/>
      <c r="X343" s="889"/>
      <c r="Y343" s="889"/>
      <c r="Z343" s="889"/>
      <c r="AA343" s="889"/>
      <c r="AB343" s="889"/>
      <c r="AC343" s="889"/>
      <c r="AD343" s="889"/>
      <c r="AE343" s="889"/>
      <c r="AF343" s="889"/>
      <c r="AG343" s="889"/>
      <c r="AH343" s="889"/>
      <c r="AI343" s="889"/>
      <c r="AJ343" s="889"/>
      <c r="AK343" s="889"/>
      <c r="AL343" s="889"/>
      <c r="AM343" s="889"/>
      <c r="AN343" s="889"/>
      <c r="AO343" s="889"/>
      <c r="AP343" s="889"/>
      <c r="AQ343" s="889"/>
      <c r="AR343" s="889"/>
      <c r="AS343" s="889"/>
      <c r="AT343" s="889"/>
      <c r="AU343" s="889"/>
      <c r="AV343" s="889"/>
      <c r="AW343" s="889"/>
      <c r="AX343" s="889"/>
      <c r="AY343" s="889"/>
      <c r="AZ343" s="889"/>
    </row>
    <row r="344">
      <c r="A344" s="889"/>
      <c r="B344" s="889"/>
      <c r="C344" s="889"/>
      <c r="D344" s="889"/>
      <c r="E344" s="889"/>
      <c r="F344" s="889"/>
      <c r="G344" s="889"/>
      <c r="H344" s="889"/>
      <c r="I344" s="889"/>
      <c r="J344" s="889"/>
      <c r="K344" s="889"/>
      <c r="L344" s="889"/>
      <c r="M344" s="889"/>
      <c r="N344" s="944"/>
      <c r="O344" s="944"/>
      <c r="P344" s="944"/>
      <c r="Q344" s="944"/>
      <c r="R344" s="944"/>
      <c r="S344" s="889"/>
      <c r="T344" s="889"/>
      <c r="U344" s="889"/>
      <c r="V344" s="889"/>
      <c r="W344" s="889"/>
      <c r="X344" s="889"/>
      <c r="Y344" s="889"/>
      <c r="Z344" s="889"/>
      <c r="AA344" s="889"/>
      <c r="AB344" s="889"/>
      <c r="AC344" s="889"/>
      <c r="AD344" s="889"/>
      <c r="AE344" s="889"/>
      <c r="AF344" s="889"/>
      <c r="AG344" s="889"/>
      <c r="AH344" s="889"/>
      <c r="AI344" s="889"/>
      <c r="AJ344" s="889"/>
      <c r="AK344" s="889"/>
      <c r="AL344" s="889"/>
      <c r="AM344" s="889"/>
      <c r="AN344" s="889"/>
      <c r="AO344" s="889"/>
      <c r="AP344" s="889"/>
      <c r="AQ344" s="889"/>
      <c r="AR344" s="889"/>
      <c r="AS344" s="889"/>
      <c r="AT344" s="889"/>
      <c r="AU344" s="889"/>
      <c r="AV344" s="889"/>
      <c r="AW344" s="889"/>
      <c r="AX344" s="889"/>
      <c r="AY344" s="889"/>
      <c r="AZ344" s="889"/>
    </row>
    <row r="345">
      <c r="A345" s="889"/>
      <c r="B345" s="889"/>
      <c r="C345" s="889"/>
      <c r="D345" s="889"/>
      <c r="E345" s="889"/>
      <c r="F345" s="889"/>
      <c r="G345" s="889"/>
      <c r="H345" s="889"/>
      <c r="I345" s="889"/>
      <c r="J345" s="889"/>
      <c r="K345" s="889"/>
      <c r="L345" s="889"/>
      <c r="M345" s="889"/>
      <c r="N345" s="944"/>
      <c r="O345" s="944"/>
      <c r="P345" s="944"/>
      <c r="Q345" s="944"/>
      <c r="R345" s="944"/>
      <c r="S345" s="889"/>
      <c r="T345" s="889"/>
      <c r="U345" s="889"/>
      <c r="V345" s="889"/>
      <c r="W345" s="889"/>
      <c r="X345" s="889"/>
      <c r="Y345" s="889"/>
      <c r="Z345" s="889"/>
      <c r="AA345" s="889"/>
      <c r="AB345" s="889"/>
      <c r="AC345" s="889"/>
      <c r="AD345" s="889"/>
      <c r="AE345" s="889"/>
      <c r="AF345" s="889"/>
      <c r="AG345" s="889"/>
      <c r="AH345" s="889"/>
      <c r="AI345" s="889"/>
      <c r="AJ345" s="889"/>
      <c r="AK345" s="889"/>
      <c r="AL345" s="889"/>
      <c r="AM345" s="889"/>
      <c r="AN345" s="889"/>
      <c r="AO345" s="889"/>
      <c r="AP345" s="889"/>
      <c r="AQ345" s="889"/>
      <c r="AR345" s="889"/>
      <c r="AS345" s="889"/>
      <c r="AT345" s="889"/>
      <c r="AU345" s="889"/>
      <c r="AV345" s="889"/>
      <c r="AW345" s="889"/>
      <c r="AX345" s="889"/>
      <c r="AY345" s="889"/>
      <c r="AZ345" s="889"/>
    </row>
    <row r="346">
      <c r="A346" s="889"/>
      <c r="B346" s="889"/>
      <c r="C346" s="889"/>
      <c r="D346" s="889"/>
      <c r="E346" s="889"/>
      <c r="F346" s="889"/>
      <c r="G346" s="889"/>
      <c r="H346" s="889"/>
      <c r="I346" s="889"/>
      <c r="J346" s="889"/>
      <c r="K346" s="889"/>
      <c r="L346" s="889"/>
      <c r="M346" s="889"/>
      <c r="N346" s="944"/>
      <c r="O346" s="944"/>
      <c r="P346" s="944"/>
      <c r="Q346" s="944"/>
      <c r="R346" s="944"/>
      <c r="S346" s="889"/>
      <c r="T346" s="889"/>
      <c r="U346" s="889"/>
      <c r="V346" s="889"/>
      <c r="W346" s="889"/>
      <c r="X346" s="889"/>
      <c r="Y346" s="889"/>
      <c r="Z346" s="889"/>
      <c r="AA346" s="889"/>
      <c r="AB346" s="889"/>
      <c r="AC346" s="889"/>
      <c r="AD346" s="889"/>
      <c r="AE346" s="889"/>
      <c r="AF346" s="889"/>
      <c r="AG346" s="889"/>
      <c r="AH346" s="889"/>
      <c r="AI346" s="889"/>
      <c r="AJ346" s="889"/>
      <c r="AK346" s="889"/>
      <c r="AL346" s="889"/>
      <c r="AM346" s="889"/>
      <c r="AN346" s="889"/>
      <c r="AO346" s="889"/>
      <c r="AP346" s="889"/>
      <c r="AQ346" s="889"/>
      <c r="AR346" s="889"/>
      <c r="AS346" s="889"/>
      <c r="AT346" s="889"/>
      <c r="AU346" s="889"/>
      <c r="AV346" s="889"/>
      <c r="AW346" s="889"/>
      <c r="AX346" s="889"/>
      <c r="AY346" s="889"/>
      <c r="AZ346" s="889"/>
    </row>
    <row r="347">
      <c r="A347" s="889"/>
      <c r="B347" s="889"/>
      <c r="C347" s="889"/>
      <c r="D347" s="889"/>
      <c r="E347" s="889"/>
      <c r="F347" s="889"/>
      <c r="G347" s="889"/>
      <c r="H347" s="889"/>
      <c r="I347" s="889"/>
      <c r="J347" s="889"/>
      <c r="K347" s="889"/>
      <c r="L347" s="889"/>
      <c r="M347" s="889"/>
      <c r="N347" s="944"/>
      <c r="O347" s="944"/>
      <c r="P347" s="944"/>
      <c r="Q347" s="944"/>
      <c r="R347" s="944"/>
      <c r="S347" s="889"/>
      <c r="T347" s="889"/>
      <c r="U347" s="889"/>
      <c r="V347" s="889"/>
      <c r="W347" s="889"/>
      <c r="X347" s="889"/>
      <c r="Y347" s="889"/>
      <c r="Z347" s="889"/>
      <c r="AA347" s="889"/>
      <c r="AB347" s="889"/>
      <c r="AC347" s="889"/>
      <c r="AD347" s="889"/>
      <c r="AE347" s="889"/>
      <c r="AF347" s="889"/>
      <c r="AG347" s="889"/>
      <c r="AH347" s="889"/>
      <c r="AI347" s="889"/>
      <c r="AJ347" s="889"/>
      <c r="AK347" s="889"/>
      <c r="AL347" s="889"/>
      <c r="AM347" s="889"/>
      <c r="AN347" s="889"/>
      <c r="AO347" s="889"/>
      <c r="AP347" s="889"/>
      <c r="AQ347" s="889"/>
      <c r="AR347" s="889"/>
      <c r="AS347" s="889"/>
      <c r="AT347" s="889"/>
      <c r="AU347" s="889"/>
      <c r="AV347" s="889"/>
      <c r="AW347" s="889"/>
      <c r="AX347" s="889"/>
      <c r="AY347" s="889"/>
      <c r="AZ347" s="889"/>
    </row>
    <row r="348">
      <c r="A348" s="889"/>
      <c r="B348" s="889"/>
      <c r="C348" s="889"/>
      <c r="D348" s="889"/>
      <c r="E348" s="889"/>
      <c r="F348" s="889"/>
      <c r="G348" s="889"/>
      <c r="H348" s="889"/>
      <c r="I348" s="889"/>
      <c r="J348" s="889"/>
      <c r="K348" s="889"/>
      <c r="L348" s="889"/>
      <c r="M348" s="889"/>
      <c r="N348" s="944"/>
      <c r="O348" s="944"/>
      <c r="P348" s="944"/>
      <c r="Q348" s="944"/>
      <c r="R348" s="944"/>
      <c r="S348" s="889"/>
      <c r="T348" s="889"/>
      <c r="U348" s="889"/>
      <c r="V348" s="889"/>
      <c r="W348" s="889"/>
      <c r="X348" s="889"/>
      <c r="Y348" s="889"/>
      <c r="Z348" s="889"/>
      <c r="AA348" s="889"/>
      <c r="AB348" s="889"/>
      <c r="AC348" s="889"/>
      <c r="AD348" s="889"/>
      <c r="AE348" s="889"/>
      <c r="AF348" s="889"/>
      <c r="AG348" s="889"/>
      <c r="AH348" s="889"/>
      <c r="AI348" s="889"/>
      <c r="AJ348" s="889"/>
      <c r="AK348" s="889"/>
      <c r="AL348" s="889"/>
      <c r="AM348" s="889"/>
      <c r="AN348" s="889"/>
      <c r="AO348" s="889"/>
      <c r="AP348" s="889"/>
      <c r="AQ348" s="889"/>
      <c r="AR348" s="889"/>
      <c r="AS348" s="889"/>
      <c r="AT348" s="889"/>
      <c r="AU348" s="889"/>
      <c r="AV348" s="889"/>
      <c r="AW348" s="889"/>
      <c r="AX348" s="889"/>
      <c r="AY348" s="889"/>
      <c r="AZ348" s="889"/>
    </row>
    <row r="349">
      <c r="A349" s="889"/>
      <c r="B349" s="889"/>
      <c r="C349" s="889"/>
      <c r="D349" s="889"/>
      <c r="E349" s="889"/>
      <c r="F349" s="889"/>
      <c r="G349" s="889"/>
      <c r="H349" s="889"/>
      <c r="I349" s="889"/>
      <c r="J349" s="889"/>
      <c r="K349" s="889"/>
      <c r="L349" s="889"/>
      <c r="M349" s="889"/>
      <c r="N349" s="944"/>
      <c r="O349" s="944"/>
      <c r="P349" s="944"/>
      <c r="Q349" s="944"/>
      <c r="R349" s="944"/>
      <c r="S349" s="889"/>
      <c r="T349" s="889"/>
      <c r="U349" s="889"/>
      <c r="V349" s="889"/>
      <c r="W349" s="889"/>
      <c r="X349" s="889"/>
      <c r="Y349" s="889"/>
      <c r="Z349" s="889"/>
      <c r="AA349" s="889"/>
      <c r="AB349" s="889"/>
      <c r="AC349" s="889"/>
      <c r="AD349" s="889"/>
      <c r="AE349" s="889"/>
      <c r="AF349" s="889"/>
      <c r="AG349" s="889"/>
      <c r="AH349" s="889"/>
      <c r="AI349" s="889"/>
      <c r="AJ349" s="889"/>
      <c r="AK349" s="889"/>
      <c r="AL349" s="889"/>
      <c r="AM349" s="889"/>
      <c r="AN349" s="889"/>
      <c r="AO349" s="889"/>
      <c r="AP349" s="889"/>
      <c r="AQ349" s="889"/>
      <c r="AR349" s="889"/>
      <c r="AS349" s="889"/>
      <c r="AT349" s="889"/>
      <c r="AU349" s="889"/>
      <c r="AV349" s="889"/>
      <c r="AW349" s="889"/>
      <c r="AX349" s="889"/>
      <c r="AY349" s="889"/>
      <c r="AZ349" s="889"/>
    </row>
    <row r="350">
      <c r="A350" s="889"/>
      <c r="B350" s="889"/>
      <c r="C350" s="889"/>
      <c r="D350" s="889"/>
      <c r="E350" s="889"/>
      <c r="F350" s="889"/>
      <c r="G350" s="889"/>
      <c r="H350" s="889"/>
      <c r="I350" s="889"/>
      <c r="J350" s="889"/>
      <c r="K350" s="889"/>
      <c r="L350" s="889"/>
      <c r="M350" s="889"/>
      <c r="N350" s="944"/>
      <c r="O350" s="944"/>
      <c r="P350" s="944"/>
      <c r="Q350" s="944"/>
      <c r="R350" s="944"/>
      <c r="S350" s="889"/>
      <c r="T350" s="889"/>
      <c r="U350" s="889"/>
      <c r="V350" s="889"/>
      <c r="W350" s="889"/>
      <c r="X350" s="889"/>
      <c r="Y350" s="889"/>
      <c r="Z350" s="889"/>
      <c r="AA350" s="889"/>
      <c r="AB350" s="889"/>
      <c r="AC350" s="889"/>
      <c r="AD350" s="889"/>
      <c r="AE350" s="889"/>
      <c r="AF350" s="889"/>
      <c r="AG350" s="889"/>
      <c r="AH350" s="889"/>
      <c r="AI350" s="889"/>
      <c r="AJ350" s="889"/>
      <c r="AK350" s="889"/>
      <c r="AL350" s="889"/>
      <c r="AM350" s="889"/>
      <c r="AN350" s="889"/>
      <c r="AO350" s="889"/>
      <c r="AP350" s="889"/>
      <c r="AQ350" s="889"/>
      <c r="AR350" s="889"/>
      <c r="AS350" s="889"/>
      <c r="AT350" s="889"/>
      <c r="AU350" s="889"/>
      <c r="AV350" s="889"/>
      <c r="AW350" s="889"/>
      <c r="AX350" s="889"/>
      <c r="AY350" s="889"/>
      <c r="AZ350" s="889"/>
    </row>
    <row r="351">
      <c r="A351" s="889"/>
      <c r="B351" s="889"/>
      <c r="C351" s="889"/>
      <c r="D351" s="889"/>
      <c r="E351" s="889"/>
      <c r="F351" s="889"/>
      <c r="G351" s="889"/>
      <c r="H351" s="889"/>
      <c r="I351" s="889"/>
      <c r="J351" s="889"/>
      <c r="K351" s="889"/>
      <c r="L351" s="889"/>
      <c r="M351" s="889"/>
      <c r="N351" s="944"/>
      <c r="O351" s="944"/>
      <c r="P351" s="944"/>
      <c r="Q351" s="944"/>
      <c r="R351" s="944"/>
      <c r="S351" s="889"/>
      <c r="T351" s="889"/>
      <c r="U351" s="889"/>
      <c r="V351" s="889"/>
      <c r="W351" s="889"/>
      <c r="X351" s="889"/>
      <c r="Y351" s="889"/>
      <c r="Z351" s="889"/>
      <c r="AA351" s="889"/>
      <c r="AB351" s="889"/>
      <c r="AC351" s="889"/>
      <c r="AD351" s="889"/>
      <c r="AE351" s="889"/>
      <c r="AF351" s="889"/>
      <c r="AG351" s="889"/>
      <c r="AH351" s="889"/>
      <c r="AI351" s="889"/>
      <c r="AJ351" s="889"/>
      <c r="AK351" s="889"/>
      <c r="AL351" s="889"/>
      <c r="AM351" s="889"/>
      <c r="AN351" s="889"/>
      <c r="AO351" s="889"/>
      <c r="AP351" s="889"/>
      <c r="AQ351" s="889"/>
      <c r="AR351" s="889"/>
      <c r="AS351" s="889"/>
      <c r="AT351" s="889"/>
      <c r="AU351" s="889"/>
      <c r="AV351" s="889"/>
      <c r="AW351" s="889"/>
      <c r="AX351" s="889"/>
      <c r="AY351" s="889"/>
      <c r="AZ351" s="889"/>
    </row>
    <row r="352">
      <c r="A352" s="889"/>
      <c r="B352" s="889"/>
      <c r="C352" s="889"/>
      <c r="D352" s="889"/>
      <c r="E352" s="889"/>
      <c r="F352" s="889"/>
      <c r="G352" s="889"/>
      <c r="H352" s="889"/>
      <c r="I352" s="889"/>
      <c r="J352" s="889"/>
      <c r="K352" s="889"/>
      <c r="L352" s="889"/>
      <c r="M352" s="889"/>
      <c r="N352" s="944"/>
      <c r="O352" s="944"/>
      <c r="P352" s="944"/>
      <c r="Q352" s="944"/>
      <c r="R352" s="944"/>
      <c r="S352" s="889"/>
      <c r="T352" s="889"/>
      <c r="U352" s="889"/>
      <c r="V352" s="889"/>
      <c r="W352" s="889"/>
      <c r="X352" s="889"/>
      <c r="Y352" s="889"/>
      <c r="Z352" s="889"/>
      <c r="AA352" s="889"/>
      <c r="AB352" s="889"/>
      <c r="AC352" s="889"/>
      <c r="AD352" s="889"/>
      <c r="AE352" s="889"/>
      <c r="AF352" s="889"/>
      <c r="AG352" s="889"/>
      <c r="AH352" s="889"/>
      <c r="AI352" s="889"/>
      <c r="AJ352" s="889"/>
      <c r="AK352" s="889"/>
      <c r="AL352" s="889"/>
      <c r="AM352" s="889"/>
      <c r="AN352" s="889"/>
      <c r="AO352" s="889"/>
      <c r="AP352" s="889"/>
      <c r="AQ352" s="889"/>
      <c r="AR352" s="889"/>
      <c r="AS352" s="889"/>
      <c r="AT352" s="889"/>
      <c r="AU352" s="889"/>
      <c r="AV352" s="889"/>
      <c r="AW352" s="889"/>
      <c r="AX352" s="889"/>
      <c r="AY352" s="889"/>
      <c r="AZ352" s="889"/>
    </row>
    <row r="353">
      <c r="A353" s="889"/>
      <c r="B353" s="889"/>
      <c r="C353" s="889"/>
      <c r="D353" s="889"/>
      <c r="E353" s="889"/>
      <c r="F353" s="889"/>
      <c r="G353" s="889"/>
      <c r="H353" s="889"/>
      <c r="I353" s="889"/>
      <c r="J353" s="889"/>
      <c r="K353" s="889"/>
      <c r="L353" s="889"/>
      <c r="M353" s="889"/>
      <c r="N353" s="944"/>
      <c r="O353" s="944"/>
      <c r="P353" s="944"/>
      <c r="Q353" s="944"/>
      <c r="R353" s="944"/>
      <c r="S353" s="889"/>
      <c r="T353" s="889"/>
      <c r="U353" s="889"/>
      <c r="V353" s="889"/>
      <c r="W353" s="889"/>
      <c r="X353" s="889"/>
      <c r="Y353" s="889"/>
      <c r="Z353" s="889"/>
      <c r="AA353" s="889"/>
      <c r="AB353" s="889"/>
      <c r="AC353" s="889"/>
      <c r="AD353" s="889"/>
      <c r="AE353" s="889"/>
      <c r="AF353" s="889"/>
      <c r="AG353" s="889"/>
      <c r="AH353" s="889"/>
      <c r="AI353" s="889"/>
      <c r="AJ353" s="889"/>
      <c r="AK353" s="889"/>
      <c r="AL353" s="889"/>
      <c r="AM353" s="889"/>
      <c r="AN353" s="889"/>
      <c r="AO353" s="889"/>
      <c r="AP353" s="889"/>
      <c r="AQ353" s="889"/>
      <c r="AR353" s="889"/>
      <c r="AS353" s="889"/>
      <c r="AT353" s="889"/>
      <c r="AU353" s="889"/>
      <c r="AV353" s="889"/>
      <c r="AW353" s="889"/>
      <c r="AX353" s="889"/>
      <c r="AY353" s="889"/>
      <c r="AZ353" s="889"/>
    </row>
    <row r="354">
      <c r="A354" s="889"/>
      <c r="B354" s="889"/>
      <c r="C354" s="889"/>
      <c r="D354" s="889"/>
      <c r="E354" s="889"/>
      <c r="F354" s="889"/>
      <c r="G354" s="889"/>
      <c r="H354" s="889"/>
      <c r="I354" s="889"/>
      <c r="J354" s="889"/>
      <c r="K354" s="889"/>
      <c r="L354" s="889"/>
      <c r="M354" s="889"/>
      <c r="N354" s="944"/>
      <c r="O354" s="944"/>
      <c r="P354" s="944"/>
      <c r="Q354" s="944"/>
      <c r="R354" s="944"/>
      <c r="S354" s="889"/>
      <c r="T354" s="889"/>
      <c r="U354" s="889"/>
      <c r="V354" s="889"/>
      <c r="W354" s="889"/>
      <c r="X354" s="889"/>
      <c r="Y354" s="889"/>
      <c r="Z354" s="889"/>
      <c r="AA354" s="889"/>
      <c r="AB354" s="889"/>
      <c r="AC354" s="889"/>
      <c r="AD354" s="889"/>
      <c r="AE354" s="889"/>
      <c r="AF354" s="889"/>
      <c r="AG354" s="889"/>
      <c r="AH354" s="889"/>
      <c r="AI354" s="889"/>
      <c r="AJ354" s="889"/>
      <c r="AK354" s="889"/>
      <c r="AL354" s="889"/>
      <c r="AM354" s="889"/>
      <c r="AN354" s="889"/>
      <c r="AO354" s="889"/>
      <c r="AP354" s="889"/>
      <c r="AQ354" s="889"/>
      <c r="AR354" s="889"/>
      <c r="AS354" s="889"/>
      <c r="AT354" s="889"/>
      <c r="AU354" s="889"/>
      <c r="AV354" s="889"/>
      <c r="AW354" s="889"/>
      <c r="AX354" s="889"/>
      <c r="AY354" s="889"/>
      <c r="AZ354" s="889"/>
    </row>
    <row r="355">
      <c r="A355" s="889"/>
      <c r="B355" s="889"/>
      <c r="C355" s="889"/>
      <c r="D355" s="889"/>
      <c r="E355" s="889"/>
      <c r="F355" s="889"/>
      <c r="G355" s="889"/>
      <c r="H355" s="889"/>
      <c r="I355" s="889"/>
      <c r="J355" s="889"/>
      <c r="K355" s="889"/>
      <c r="L355" s="889"/>
      <c r="M355" s="889"/>
      <c r="N355" s="944"/>
      <c r="O355" s="944"/>
      <c r="P355" s="944"/>
      <c r="Q355" s="944"/>
      <c r="R355" s="944"/>
      <c r="S355" s="889"/>
      <c r="T355" s="889"/>
      <c r="U355" s="889"/>
      <c r="V355" s="889"/>
      <c r="W355" s="889"/>
      <c r="X355" s="889"/>
      <c r="Y355" s="889"/>
      <c r="Z355" s="889"/>
      <c r="AA355" s="889"/>
      <c r="AB355" s="889"/>
      <c r="AC355" s="889"/>
      <c r="AD355" s="889"/>
      <c r="AE355" s="889"/>
      <c r="AF355" s="889"/>
      <c r="AG355" s="889"/>
      <c r="AH355" s="889"/>
      <c r="AI355" s="889"/>
      <c r="AJ355" s="889"/>
      <c r="AK355" s="889"/>
      <c r="AL355" s="889"/>
      <c r="AM355" s="889"/>
      <c r="AN355" s="889"/>
      <c r="AO355" s="889"/>
      <c r="AP355" s="889"/>
      <c r="AQ355" s="889"/>
      <c r="AR355" s="889"/>
      <c r="AS355" s="889"/>
      <c r="AT355" s="889"/>
      <c r="AU355" s="889"/>
      <c r="AV355" s="889"/>
      <c r="AW355" s="889"/>
      <c r="AX355" s="889"/>
      <c r="AY355" s="889"/>
      <c r="AZ355" s="889"/>
    </row>
    <row r="356">
      <c r="A356" s="889"/>
      <c r="B356" s="889"/>
      <c r="C356" s="889"/>
      <c r="D356" s="889"/>
      <c r="E356" s="889"/>
      <c r="F356" s="889"/>
      <c r="G356" s="889"/>
      <c r="H356" s="889"/>
      <c r="I356" s="889"/>
      <c r="J356" s="889"/>
      <c r="K356" s="889"/>
      <c r="L356" s="889"/>
      <c r="M356" s="889"/>
      <c r="N356" s="944"/>
      <c r="O356" s="944"/>
      <c r="P356" s="944"/>
      <c r="Q356" s="944"/>
      <c r="R356" s="944"/>
      <c r="S356" s="889"/>
      <c r="T356" s="889"/>
      <c r="U356" s="889"/>
      <c r="V356" s="889"/>
      <c r="W356" s="889"/>
      <c r="X356" s="889"/>
      <c r="Y356" s="889"/>
      <c r="Z356" s="889"/>
      <c r="AA356" s="889"/>
      <c r="AB356" s="889"/>
      <c r="AC356" s="889"/>
      <c r="AD356" s="889"/>
      <c r="AE356" s="889"/>
      <c r="AF356" s="889"/>
      <c r="AG356" s="889"/>
      <c r="AH356" s="889"/>
      <c r="AI356" s="889"/>
      <c r="AJ356" s="889"/>
      <c r="AK356" s="889"/>
      <c r="AL356" s="889"/>
      <c r="AM356" s="889"/>
      <c r="AN356" s="889"/>
      <c r="AO356" s="889"/>
      <c r="AP356" s="889"/>
      <c r="AQ356" s="889"/>
      <c r="AR356" s="889"/>
      <c r="AS356" s="889"/>
      <c r="AT356" s="889"/>
      <c r="AU356" s="889"/>
      <c r="AV356" s="889"/>
      <c r="AW356" s="889"/>
      <c r="AX356" s="889"/>
      <c r="AY356" s="889"/>
      <c r="AZ356" s="889"/>
    </row>
    <row r="357">
      <c r="A357" s="889"/>
      <c r="B357" s="889"/>
      <c r="C357" s="889"/>
      <c r="D357" s="889"/>
      <c r="E357" s="889"/>
      <c r="F357" s="889"/>
      <c r="G357" s="889"/>
      <c r="H357" s="889"/>
      <c r="I357" s="889"/>
      <c r="J357" s="889"/>
      <c r="K357" s="889"/>
      <c r="L357" s="889"/>
      <c r="M357" s="889"/>
      <c r="N357" s="944"/>
      <c r="O357" s="944"/>
      <c r="P357" s="944"/>
      <c r="Q357" s="944"/>
      <c r="R357" s="944"/>
      <c r="S357" s="889"/>
      <c r="T357" s="889"/>
      <c r="U357" s="889"/>
      <c r="V357" s="889"/>
      <c r="W357" s="889"/>
      <c r="X357" s="889"/>
      <c r="Y357" s="889"/>
      <c r="Z357" s="889"/>
      <c r="AA357" s="889"/>
      <c r="AB357" s="889"/>
      <c r="AC357" s="889"/>
      <c r="AD357" s="889"/>
      <c r="AE357" s="889"/>
      <c r="AF357" s="889"/>
      <c r="AG357" s="889"/>
      <c r="AH357" s="889"/>
      <c r="AI357" s="889"/>
      <c r="AJ357" s="889"/>
      <c r="AK357" s="889"/>
      <c r="AL357" s="889"/>
      <c r="AM357" s="889"/>
      <c r="AN357" s="889"/>
      <c r="AO357" s="889"/>
      <c r="AP357" s="889"/>
      <c r="AQ357" s="889"/>
      <c r="AR357" s="889"/>
      <c r="AS357" s="889"/>
      <c r="AT357" s="889"/>
      <c r="AU357" s="889"/>
      <c r="AV357" s="889"/>
      <c r="AW357" s="889"/>
      <c r="AX357" s="889"/>
      <c r="AY357" s="889"/>
      <c r="AZ357" s="889"/>
    </row>
    <row r="358">
      <c r="A358" s="889"/>
      <c r="B358" s="889"/>
      <c r="C358" s="889"/>
      <c r="D358" s="889"/>
      <c r="E358" s="889"/>
      <c r="F358" s="889"/>
      <c r="G358" s="889"/>
      <c r="H358" s="889"/>
      <c r="I358" s="889"/>
      <c r="J358" s="889"/>
      <c r="K358" s="889"/>
      <c r="L358" s="889"/>
      <c r="M358" s="889"/>
      <c r="N358" s="944"/>
      <c r="O358" s="944"/>
      <c r="P358" s="944"/>
      <c r="Q358" s="944"/>
      <c r="R358" s="944"/>
      <c r="S358" s="889"/>
      <c r="T358" s="889"/>
      <c r="U358" s="889"/>
      <c r="V358" s="889"/>
      <c r="W358" s="889"/>
      <c r="X358" s="889"/>
      <c r="Y358" s="889"/>
      <c r="Z358" s="889"/>
      <c r="AA358" s="889"/>
      <c r="AB358" s="889"/>
      <c r="AC358" s="889"/>
      <c r="AD358" s="889"/>
      <c r="AE358" s="889"/>
      <c r="AF358" s="889"/>
      <c r="AG358" s="889"/>
      <c r="AH358" s="889"/>
      <c r="AI358" s="889"/>
      <c r="AJ358" s="889"/>
      <c r="AK358" s="889"/>
      <c r="AL358" s="889"/>
      <c r="AM358" s="889"/>
      <c r="AN358" s="889"/>
      <c r="AO358" s="889"/>
      <c r="AP358" s="889"/>
      <c r="AQ358" s="889"/>
      <c r="AR358" s="889"/>
      <c r="AS358" s="889"/>
      <c r="AT358" s="889"/>
      <c r="AU358" s="889"/>
      <c r="AV358" s="889"/>
      <c r="AW358" s="889"/>
      <c r="AX358" s="889"/>
      <c r="AY358" s="889"/>
      <c r="AZ358" s="889"/>
    </row>
    <row r="359">
      <c r="A359" s="889"/>
      <c r="B359" s="889"/>
      <c r="C359" s="889"/>
      <c r="D359" s="889"/>
      <c r="E359" s="889"/>
      <c r="F359" s="889"/>
      <c r="G359" s="889"/>
      <c r="H359" s="889"/>
      <c r="I359" s="889"/>
      <c r="J359" s="889"/>
      <c r="K359" s="889"/>
      <c r="L359" s="889"/>
      <c r="M359" s="889"/>
      <c r="N359" s="944"/>
      <c r="O359" s="944"/>
      <c r="P359" s="944"/>
      <c r="Q359" s="944"/>
      <c r="R359" s="944"/>
      <c r="S359" s="889"/>
      <c r="T359" s="889"/>
      <c r="U359" s="889"/>
      <c r="V359" s="889"/>
      <c r="W359" s="889"/>
      <c r="X359" s="889"/>
      <c r="Y359" s="889"/>
      <c r="Z359" s="889"/>
      <c r="AA359" s="889"/>
      <c r="AB359" s="889"/>
      <c r="AC359" s="889"/>
      <c r="AD359" s="889"/>
      <c r="AE359" s="889"/>
      <c r="AF359" s="889"/>
      <c r="AG359" s="889"/>
      <c r="AH359" s="889"/>
      <c r="AI359" s="889"/>
      <c r="AJ359" s="889"/>
      <c r="AK359" s="889"/>
      <c r="AL359" s="889"/>
      <c r="AM359" s="889"/>
      <c r="AN359" s="889"/>
      <c r="AO359" s="889"/>
      <c r="AP359" s="889"/>
      <c r="AQ359" s="889"/>
      <c r="AR359" s="889"/>
      <c r="AS359" s="889"/>
      <c r="AT359" s="889"/>
      <c r="AU359" s="889"/>
      <c r="AV359" s="889"/>
      <c r="AW359" s="889"/>
      <c r="AX359" s="889"/>
      <c r="AY359" s="889"/>
      <c r="AZ359" s="889"/>
    </row>
    <row r="360">
      <c r="A360" s="889"/>
      <c r="B360" s="889"/>
      <c r="C360" s="889"/>
      <c r="D360" s="889"/>
      <c r="E360" s="889"/>
      <c r="F360" s="889"/>
      <c r="G360" s="889"/>
      <c r="H360" s="889"/>
      <c r="I360" s="889"/>
      <c r="J360" s="889"/>
      <c r="K360" s="889"/>
      <c r="L360" s="889"/>
      <c r="M360" s="889"/>
      <c r="N360" s="944"/>
      <c r="O360" s="944"/>
      <c r="P360" s="944"/>
      <c r="Q360" s="944"/>
      <c r="R360" s="944"/>
      <c r="S360" s="889"/>
      <c r="T360" s="889"/>
      <c r="U360" s="889"/>
      <c r="V360" s="889"/>
      <c r="W360" s="889"/>
      <c r="X360" s="889"/>
      <c r="Y360" s="889"/>
      <c r="Z360" s="889"/>
      <c r="AA360" s="889"/>
      <c r="AB360" s="889"/>
      <c r="AC360" s="889"/>
      <c r="AD360" s="889"/>
      <c r="AE360" s="889"/>
      <c r="AF360" s="889"/>
      <c r="AG360" s="889"/>
      <c r="AH360" s="889"/>
      <c r="AI360" s="889"/>
      <c r="AJ360" s="889"/>
      <c r="AK360" s="889"/>
      <c r="AL360" s="889"/>
      <c r="AM360" s="889"/>
      <c r="AN360" s="889"/>
      <c r="AO360" s="889"/>
      <c r="AP360" s="889"/>
      <c r="AQ360" s="889"/>
      <c r="AR360" s="889"/>
      <c r="AS360" s="889"/>
      <c r="AT360" s="889"/>
      <c r="AU360" s="889"/>
      <c r="AV360" s="889"/>
      <c r="AW360" s="889"/>
      <c r="AX360" s="889"/>
      <c r="AY360" s="889"/>
      <c r="AZ360" s="889"/>
    </row>
    <row r="361">
      <c r="A361" s="889"/>
      <c r="B361" s="889"/>
      <c r="C361" s="889"/>
      <c r="D361" s="889"/>
      <c r="E361" s="889"/>
      <c r="F361" s="889"/>
      <c r="G361" s="889"/>
      <c r="H361" s="889"/>
      <c r="I361" s="889"/>
      <c r="J361" s="889"/>
      <c r="K361" s="889"/>
      <c r="L361" s="889"/>
      <c r="M361" s="889"/>
      <c r="N361" s="944"/>
      <c r="O361" s="944"/>
      <c r="P361" s="944"/>
      <c r="Q361" s="944"/>
      <c r="R361" s="944"/>
      <c r="S361" s="889"/>
      <c r="T361" s="889"/>
      <c r="U361" s="889"/>
      <c r="V361" s="889"/>
      <c r="W361" s="889"/>
      <c r="X361" s="889"/>
      <c r="Y361" s="889"/>
      <c r="Z361" s="889"/>
      <c r="AA361" s="889"/>
      <c r="AB361" s="889"/>
      <c r="AC361" s="889"/>
      <c r="AD361" s="889"/>
      <c r="AE361" s="889"/>
      <c r="AF361" s="889"/>
      <c r="AG361" s="889"/>
      <c r="AH361" s="889"/>
      <c r="AI361" s="889"/>
      <c r="AJ361" s="889"/>
      <c r="AK361" s="889"/>
      <c r="AL361" s="889"/>
      <c r="AM361" s="889"/>
      <c r="AN361" s="889"/>
      <c r="AO361" s="889"/>
      <c r="AP361" s="889"/>
      <c r="AQ361" s="889"/>
      <c r="AR361" s="889"/>
      <c r="AS361" s="889"/>
      <c r="AT361" s="889"/>
      <c r="AU361" s="889"/>
      <c r="AV361" s="889"/>
      <c r="AW361" s="889"/>
      <c r="AX361" s="889"/>
      <c r="AY361" s="889"/>
      <c r="AZ361" s="889"/>
    </row>
    <row r="362">
      <c r="A362" s="889"/>
      <c r="B362" s="889"/>
      <c r="C362" s="889"/>
      <c r="D362" s="889"/>
      <c r="E362" s="889"/>
      <c r="F362" s="889"/>
      <c r="G362" s="889"/>
      <c r="H362" s="889"/>
      <c r="I362" s="889"/>
      <c r="J362" s="889"/>
      <c r="K362" s="889"/>
      <c r="L362" s="889"/>
      <c r="M362" s="889"/>
      <c r="N362" s="944"/>
      <c r="O362" s="944"/>
      <c r="P362" s="944"/>
      <c r="Q362" s="944"/>
      <c r="R362" s="944"/>
      <c r="S362" s="889"/>
      <c r="T362" s="889"/>
      <c r="U362" s="889"/>
      <c r="V362" s="889"/>
      <c r="W362" s="889"/>
      <c r="X362" s="889"/>
      <c r="Y362" s="889"/>
      <c r="Z362" s="889"/>
      <c r="AA362" s="889"/>
      <c r="AB362" s="889"/>
      <c r="AC362" s="889"/>
      <c r="AD362" s="889"/>
      <c r="AE362" s="889"/>
      <c r="AF362" s="889"/>
      <c r="AG362" s="889"/>
      <c r="AH362" s="889"/>
      <c r="AI362" s="889"/>
      <c r="AJ362" s="889"/>
      <c r="AK362" s="889"/>
      <c r="AL362" s="889"/>
      <c r="AM362" s="889"/>
      <c r="AN362" s="889"/>
      <c r="AO362" s="889"/>
      <c r="AP362" s="889"/>
      <c r="AQ362" s="889"/>
      <c r="AR362" s="889"/>
      <c r="AS362" s="889"/>
      <c r="AT362" s="889"/>
      <c r="AU362" s="889"/>
      <c r="AV362" s="889"/>
      <c r="AW362" s="889"/>
      <c r="AX362" s="889"/>
      <c r="AY362" s="889"/>
      <c r="AZ362" s="889"/>
    </row>
    <row r="363">
      <c r="A363" s="889"/>
      <c r="B363" s="889"/>
      <c r="C363" s="889"/>
      <c r="D363" s="889"/>
      <c r="E363" s="889"/>
      <c r="F363" s="889"/>
      <c r="G363" s="889"/>
      <c r="H363" s="889"/>
      <c r="I363" s="889"/>
      <c r="J363" s="889"/>
      <c r="K363" s="889"/>
      <c r="L363" s="889"/>
      <c r="M363" s="889"/>
      <c r="N363" s="944"/>
      <c r="O363" s="944"/>
      <c r="P363" s="944"/>
      <c r="Q363" s="944"/>
      <c r="R363" s="944"/>
      <c r="S363" s="889"/>
      <c r="T363" s="889"/>
      <c r="U363" s="889"/>
      <c r="V363" s="889"/>
      <c r="W363" s="889"/>
      <c r="X363" s="889"/>
      <c r="Y363" s="889"/>
      <c r="Z363" s="889"/>
      <c r="AA363" s="889"/>
      <c r="AB363" s="889"/>
      <c r="AC363" s="889"/>
      <c r="AD363" s="889"/>
      <c r="AE363" s="889"/>
      <c r="AF363" s="889"/>
      <c r="AG363" s="889"/>
      <c r="AH363" s="889"/>
      <c r="AI363" s="889"/>
      <c r="AJ363" s="889"/>
      <c r="AK363" s="889"/>
      <c r="AL363" s="889"/>
      <c r="AM363" s="889"/>
      <c r="AN363" s="889"/>
      <c r="AO363" s="889"/>
      <c r="AP363" s="889"/>
      <c r="AQ363" s="889"/>
      <c r="AR363" s="889"/>
      <c r="AS363" s="889"/>
      <c r="AT363" s="889"/>
      <c r="AU363" s="889"/>
      <c r="AV363" s="889"/>
      <c r="AW363" s="889"/>
      <c r="AX363" s="889"/>
      <c r="AY363" s="889"/>
      <c r="AZ363" s="889"/>
    </row>
    <row r="364">
      <c r="A364" s="889"/>
      <c r="B364" s="889"/>
      <c r="C364" s="889"/>
      <c r="D364" s="889"/>
      <c r="E364" s="889"/>
      <c r="F364" s="889"/>
      <c r="G364" s="889"/>
      <c r="H364" s="889"/>
      <c r="I364" s="889"/>
      <c r="J364" s="889"/>
      <c r="K364" s="889"/>
      <c r="L364" s="889"/>
      <c r="M364" s="889"/>
      <c r="N364" s="944"/>
      <c r="O364" s="944"/>
      <c r="P364" s="944"/>
      <c r="Q364" s="944"/>
      <c r="R364" s="944"/>
      <c r="S364" s="889"/>
      <c r="T364" s="889"/>
      <c r="U364" s="889"/>
      <c r="V364" s="889"/>
      <c r="W364" s="889"/>
      <c r="X364" s="889"/>
      <c r="Y364" s="889"/>
      <c r="Z364" s="889"/>
      <c r="AA364" s="889"/>
      <c r="AB364" s="889"/>
      <c r="AC364" s="889"/>
      <c r="AD364" s="889"/>
      <c r="AE364" s="889"/>
      <c r="AF364" s="889"/>
      <c r="AG364" s="889"/>
      <c r="AH364" s="889"/>
      <c r="AI364" s="889"/>
      <c r="AJ364" s="889"/>
      <c r="AK364" s="889"/>
      <c r="AL364" s="889"/>
      <c r="AM364" s="889"/>
      <c r="AN364" s="889"/>
      <c r="AO364" s="889"/>
      <c r="AP364" s="889"/>
      <c r="AQ364" s="889"/>
      <c r="AR364" s="889"/>
      <c r="AS364" s="889"/>
      <c r="AT364" s="889"/>
      <c r="AU364" s="889"/>
      <c r="AV364" s="889"/>
      <c r="AW364" s="889"/>
      <c r="AX364" s="889"/>
      <c r="AY364" s="889"/>
      <c r="AZ364" s="889"/>
    </row>
    <row r="365">
      <c r="A365" s="889"/>
      <c r="B365" s="889"/>
      <c r="C365" s="889"/>
      <c r="D365" s="889"/>
      <c r="E365" s="889"/>
      <c r="F365" s="889"/>
      <c r="G365" s="889"/>
      <c r="H365" s="889"/>
      <c r="I365" s="889"/>
      <c r="J365" s="889"/>
      <c r="K365" s="889"/>
      <c r="L365" s="889"/>
      <c r="M365" s="889"/>
      <c r="N365" s="944"/>
      <c r="O365" s="944"/>
      <c r="P365" s="944"/>
      <c r="Q365" s="944"/>
      <c r="R365" s="944"/>
      <c r="S365" s="889"/>
      <c r="T365" s="889"/>
      <c r="U365" s="889"/>
      <c r="V365" s="889"/>
      <c r="W365" s="889"/>
      <c r="X365" s="889"/>
      <c r="Y365" s="889"/>
      <c r="Z365" s="889"/>
      <c r="AA365" s="889"/>
      <c r="AB365" s="889"/>
      <c r="AC365" s="889"/>
      <c r="AD365" s="889"/>
      <c r="AE365" s="889"/>
      <c r="AF365" s="889"/>
      <c r="AG365" s="889"/>
      <c r="AH365" s="889"/>
      <c r="AI365" s="889"/>
      <c r="AJ365" s="889"/>
      <c r="AK365" s="889"/>
      <c r="AL365" s="889"/>
      <c r="AM365" s="889"/>
      <c r="AN365" s="889"/>
      <c r="AO365" s="889"/>
      <c r="AP365" s="889"/>
      <c r="AQ365" s="889"/>
      <c r="AR365" s="889"/>
      <c r="AS365" s="889"/>
      <c r="AT365" s="889"/>
      <c r="AU365" s="889"/>
      <c r="AV365" s="889"/>
      <c r="AW365" s="889"/>
      <c r="AX365" s="889"/>
      <c r="AY365" s="889"/>
      <c r="AZ365" s="889"/>
    </row>
    <row r="366">
      <c r="A366" s="889"/>
      <c r="B366" s="889"/>
      <c r="C366" s="889"/>
      <c r="D366" s="889"/>
      <c r="E366" s="889"/>
      <c r="F366" s="889"/>
      <c r="G366" s="889"/>
      <c r="H366" s="889"/>
      <c r="I366" s="889"/>
      <c r="J366" s="889"/>
      <c r="K366" s="889"/>
      <c r="L366" s="889"/>
      <c r="M366" s="889"/>
      <c r="N366" s="944"/>
      <c r="O366" s="944"/>
      <c r="P366" s="944"/>
      <c r="Q366" s="944"/>
      <c r="R366" s="944"/>
      <c r="S366" s="889"/>
      <c r="T366" s="889"/>
      <c r="U366" s="889"/>
      <c r="V366" s="889"/>
      <c r="W366" s="889"/>
      <c r="X366" s="889"/>
      <c r="Y366" s="889"/>
      <c r="Z366" s="889"/>
      <c r="AA366" s="889"/>
      <c r="AB366" s="889"/>
      <c r="AC366" s="889"/>
      <c r="AD366" s="889"/>
      <c r="AE366" s="889"/>
      <c r="AF366" s="889"/>
      <c r="AG366" s="889"/>
      <c r="AH366" s="889"/>
      <c r="AI366" s="889"/>
      <c r="AJ366" s="889"/>
      <c r="AK366" s="889"/>
      <c r="AL366" s="889"/>
      <c r="AM366" s="889"/>
      <c r="AN366" s="889"/>
      <c r="AO366" s="889"/>
      <c r="AP366" s="889"/>
      <c r="AQ366" s="889"/>
      <c r="AR366" s="889"/>
      <c r="AS366" s="889"/>
      <c r="AT366" s="889"/>
      <c r="AU366" s="889"/>
      <c r="AV366" s="889"/>
      <c r="AW366" s="889"/>
      <c r="AX366" s="889"/>
      <c r="AY366" s="889"/>
      <c r="AZ366" s="889"/>
    </row>
    <row r="367">
      <c r="A367" s="889"/>
      <c r="B367" s="889"/>
      <c r="C367" s="889"/>
      <c r="D367" s="889"/>
      <c r="E367" s="889"/>
      <c r="F367" s="889"/>
      <c r="G367" s="889"/>
      <c r="H367" s="889"/>
      <c r="I367" s="889"/>
      <c r="J367" s="889"/>
      <c r="K367" s="889"/>
      <c r="L367" s="889"/>
      <c r="M367" s="889"/>
      <c r="N367" s="944"/>
      <c r="O367" s="944"/>
      <c r="P367" s="944"/>
      <c r="Q367" s="944"/>
      <c r="R367" s="944"/>
      <c r="S367" s="889"/>
      <c r="T367" s="889"/>
      <c r="U367" s="889"/>
      <c r="V367" s="889"/>
      <c r="W367" s="889"/>
      <c r="X367" s="889"/>
      <c r="Y367" s="889"/>
      <c r="Z367" s="889"/>
      <c r="AA367" s="889"/>
      <c r="AB367" s="889"/>
      <c r="AC367" s="889"/>
      <c r="AD367" s="889"/>
      <c r="AE367" s="889"/>
      <c r="AF367" s="889"/>
      <c r="AG367" s="889"/>
      <c r="AH367" s="889"/>
      <c r="AI367" s="889"/>
      <c r="AJ367" s="889"/>
      <c r="AK367" s="889"/>
      <c r="AL367" s="889"/>
      <c r="AM367" s="889"/>
      <c r="AN367" s="889"/>
      <c r="AO367" s="889"/>
      <c r="AP367" s="889"/>
      <c r="AQ367" s="889"/>
      <c r="AR367" s="889"/>
      <c r="AS367" s="889"/>
      <c r="AT367" s="889"/>
      <c r="AU367" s="889"/>
      <c r="AV367" s="889"/>
      <c r="AW367" s="889"/>
      <c r="AX367" s="889"/>
      <c r="AY367" s="889"/>
      <c r="AZ367" s="889"/>
    </row>
    <row r="368">
      <c r="A368" s="889"/>
      <c r="B368" s="889"/>
      <c r="C368" s="889"/>
      <c r="D368" s="889"/>
      <c r="E368" s="889"/>
      <c r="F368" s="889"/>
      <c r="G368" s="889"/>
      <c r="H368" s="889"/>
      <c r="I368" s="889"/>
      <c r="J368" s="889"/>
      <c r="K368" s="889"/>
      <c r="L368" s="889"/>
      <c r="M368" s="889"/>
      <c r="N368" s="944"/>
      <c r="O368" s="944"/>
      <c r="P368" s="944"/>
      <c r="Q368" s="944"/>
      <c r="R368" s="944"/>
      <c r="S368" s="889"/>
      <c r="T368" s="889"/>
      <c r="U368" s="889"/>
      <c r="V368" s="889"/>
      <c r="W368" s="889"/>
      <c r="X368" s="889"/>
      <c r="Y368" s="889"/>
      <c r="Z368" s="889"/>
      <c r="AA368" s="889"/>
      <c r="AB368" s="889"/>
      <c r="AC368" s="889"/>
      <c r="AD368" s="889"/>
      <c r="AE368" s="889"/>
      <c r="AF368" s="889"/>
      <c r="AG368" s="889"/>
      <c r="AH368" s="889"/>
      <c r="AI368" s="889"/>
      <c r="AJ368" s="889"/>
      <c r="AK368" s="889"/>
      <c r="AL368" s="889"/>
      <c r="AM368" s="889"/>
      <c r="AN368" s="889"/>
      <c r="AO368" s="889"/>
      <c r="AP368" s="889"/>
      <c r="AQ368" s="889"/>
      <c r="AR368" s="889"/>
      <c r="AS368" s="889"/>
      <c r="AT368" s="889"/>
      <c r="AU368" s="889"/>
      <c r="AV368" s="889"/>
      <c r="AW368" s="889"/>
      <c r="AX368" s="889"/>
      <c r="AY368" s="889"/>
      <c r="AZ368" s="889"/>
    </row>
    <row r="369">
      <c r="A369" s="889"/>
      <c r="B369" s="889"/>
      <c r="C369" s="889"/>
      <c r="D369" s="889"/>
      <c r="E369" s="889"/>
      <c r="F369" s="889"/>
      <c r="G369" s="889"/>
      <c r="H369" s="889"/>
      <c r="I369" s="889"/>
      <c r="J369" s="889"/>
      <c r="K369" s="889"/>
      <c r="L369" s="889"/>
      <c r="M369" s="889"/>
      <c r="N369" s="944"/>
      <c r="O369" s="944"/>
      <c r="P369" s="944"/>
      <c r="Q369" s="944"/>
      <c r="R369" s="944"/>
      <c r="S369" s="889"/>
      <c r="T369" s="889"/>
      <c r="U369" s="889"/>
      <c r="V369" s="889"/>
      <c r="W369" s="889"/>
      <c r="X369" s="889"/>
      <c r="Y369" s="889"/>
      <c r="Z369" s="889"/>
      <c r="AA369" s="889"/>
      <c r="AB369" s="889"/>
      <c r="AC369" s="889"/>
      <c r="AD369" s="889"/>
      <c r="AE369" s="889"/>
      <c r="AF369" s="889"/>
      <c r="AG369" s="889"/>
      <c r="AH369" s="889"/>
      <c r="AI369" s="889"/>
      <c r="AJ369" s="889"/>
      <c r="AK369" s="889"/>
      <c r="AL369" s="889"/>
      <c r="AM369" s="889"/>
      <c r="AN369" s="889"/>
      <c r="AO369" s="889"/>
      <c r="AP369" s="889"/>
      <c r="AQ369" s="889"/>
      <c r="AR369" s="889"/>
      <c r="AS369" s="889"/>
      <c r="AT369" s="889"/>
      <c r="AU369" s="889"/>
      <c r="AV369" s="889"/>
      <c r="AW369" s="889"/>
      <c r="AX369" s="889"/>
      <c r="AY369" s="889"/>
      <c r="AZ369" s="889"/>
    </row>
    <row r="370">
      <c r="A370" s="889"/>
      <c r="B370" s="889"/>
      <c r="C370" s="889"/>
      <c r="D370" s="889"/>
      <c r="E370" s="889"/>
      <c r="F370" s="889"/>
      <c r="G370" s="889"/>
      <c r="H370" s="889"/>
      <c r="I370" s="889"/>
      <c r="J370" s="889"/>
      <c r="K370" s="889"/>
      <c r="L370" s="889"/>
      <c r="M370" s="889"/>
      <c r="N370" s="944"/>
      <c r="O370" s="944"/>
      <c r="P370" s="944"/>
      <c r="Q370" s="944"/>
      <c r="R370" s="944"/>
      <c r="S370" s="889"/>
      <c r="T370" s="889"/>
      <c r="U370" s="889"/>
      <c r="V370" s="889"/>
      <c r="W370" s="889"/>
      <c r="X370" s="889"/>
      <c r="Y370" s="889"/>
      <c r="Z370" s="889"/>
      <c r="AA370" s="889"/>
      <c r="AB370" s="889"/>
      <c r="AC370" s="889"/>
      <c r="AD370" s="889"/>
      <c r="AE370" s="889"/>
      <c r="AF370" s="889"/>
      <c r="AG370" s="889"/>
      <c r="AH370" s="889"/>
      <c r="AI370" s="889"/>
      <c r="AJ370" s="889"/>
      <c r="AK370" s="889"/>
      <c r="AL370" s="889"/>
      <c r="AM370" s="889"/>
      <c r="AN370" s="889"/>
      <c r="AO370" s="889"/>
      <c r="AP370" s="889"/>
      <c r="AQ370" s="889"/>
      <c r="AR370" s="889"/>
      <c r="AS370" s="889"/>
      <c r="AT370" s="889"/>
      <c r="AU370" s="889"/>
      <c r="AV370" s="889"/>
      <c r="AW370" s="889"/>
      <c r="AX370" s="889"/>
      <c r="AY370" s="889"/>
      <c r="AZ370" s="889"/>
    </row>
    <row r="371">
      <c r="A371" s="889"/>
      <c r="B371" s="889"/>
      <c r="C371" s="889"/>
      <c r="D371" s="889"/>
      <c r="E371" s="889"/>
      <c r="F371" s="889"/>
      <c r="G371" s="889"/>
      <c r="H371" s="889"/>
      <c r="I371" s="889"/>
      <c r="J371" s="889"/>
      <c r="K371" s="889"/>
      <c r="L371" s="889"/>
      <c r="M371" s="889"/>
      <c r="N371" s="944"/>
      <c r="O371" s="944"/>
      <c r="P371" s="944"/>
      <c r="Q371" s="944"/>
      <c r="R371" s="944"/>
      <c r="S371" s="889"/>
      <c r="T371" s="889"/>
      <c r="U371" s="889"/>
      <c r="V371" s="889"/>
      <c r="W371" s="889"/>
      <c r="X371" s="889"/>
      <c r="Y371" s="889"/>
      <c r="Z371" s="889"/>
      <c r="AA371" s="889"/>
      <c r="AB371" s="889"/>
      <c r="AC371" s="889"/>
      <c r="AD371" s="889"/>
      <c r="AE371" s="889"/>
      <c r="AF371" s="889"/>
      <c r="AG371" s="889"/>
      <c r="AH371" s="889"/>
      <c r="AI371" s="889"/>
      <c r="AJ371" s="889"/>
      <c r="AK371" s="889"/>
      <c r="AL371" s="889"/>
      <c r="AM371" s="889"/>
      <c r="AN371" s="889"/>
      <c r="AO371" s="889"/>
      <c r="AP371" s="889"/>
      <c r="AQ371" s="889"/>
      <c r="AR371" s="889"/>
      <c r="AS371" s="889"/>
      <c r="AT371" s="889"/>
      <c r="AU371" s="889"/>
      <c r="AV371" s="889"/>
      <c r="AW371" s="889"/>
      <c r="AX371" s="889"/>
      <c r="AY371" s="889"/>
      <c r="AZ371" s="889"/>
    </row>
    <row r="372">
      <c r="A372" s="889"/>
      <c r="B372" s="889"/>
      <c r="C372" s="889"/>
      <c r="D372" s="889"/>
      <c r="E372" s="889"/>
      <c r="F372" s="889"/>
      <c r="G372" s="889"/>
      <c r="H372" s="889"/>
      <c r="I372" s="889"/>
      <c r="J372" s="889"/>
      <c r="K372" s="889"/>
      <c r="L372" s="889"/>
      <c r="M372" s="889"/>
      <c r="N372" s="944"/>
      <c r="O372" s="944"/>
      <c r="P372" s="944"/>
      <c r="Q372" s="944"/>
      <c r="R372" s="944"/>
      <c r="S372" s="889"/>
      <c r="T372" s="889"/>
      <c r="U372" s="889"/>
      <c r="V372" s="889"/>
      <c r="W372" s="889"/>
      <c r="X372" s="889"/>
      <c r="Y372" s="889"/>
      <c r="Z372" s="889"/>
      <c r="AA372" s="889"/>
      <c r="AB372" s="889"/>
      <c r="AC372" s="889"/>
      <c r="AD372" s="889"/>
      <c r="AE372" s="889"/>
      <c r="AF372" s="889"/>
      <c r="AG372" s="889"/>
      <c r="AH372" s="889"/>
      <c r="AI372" s="889"/>
      <c r="AJ372" s="889"/>
      <c r="AK372" s="889"/>
      <c r="AL372" s="889"/>
      <c r="AM372" s="889"/>
      <c r="AN372" s="889"/>
      <c r="AO372" s="889"/>
      <c r="AP372" s="889"/>
      <c r="AQ372" s="889"/>
      <c r="AR372" s="889"/>
      <c r="AS372" s="889"/>
      <c r="AT372" s="889"/>
      <c r="AU372" s="889"/>
      <c r="AV372" s="889"/>
      <c r="AW372" s="889"/>
      <c r="AX372" s="889"/>
      <c r="AY372" s="889"/>
      <c r="AZ372" s="889"/>
    </row>
    <row r="373">
      <c r="A373" s="889"/>
      <c r="B373" s="889"/>
      <c r="C373" s="889"/>
      <c r="D373" s="889"/>
      <c r="E373" s="889"/>
      <c r="F373" s="889"/>
      <c r="G373" s="889"/>
      <c r="H373" s="889"/>
      <c r="I373" s="889"/>
      <c r="J373" s="889"/>
      <c r="K373" s="889"/>
      <c r="L373" s="889"/>
      <c r="M373" s="889"/>
      <c r="N373" s="944"/>
      <c r="O373" s="944"/>
      <c r="P373" s="944"/>
      <c r="Q373" s="944"/>
      <c r="R373" s="944"/>
      <c r="S373" s="889"/>
      <c r="T373" s="889"/>
      <c r="U373" s="889"/>
      <c r="V373" s="889"/>
      <c r="W373" s="889"/>
      <c r="X373" s="889"/>
      <c r="Y373" s="889"/>
      <c r="Z373" s="889"/>
      <c r="AA373" s="889"/>
      <c r="AB373" s="889"/>
      <c r="AC373" s="889"/>
      <c r="AD373" s="889"/>
      <c r="AE373" s="889"/>
      <c r="AF373" s="889"/>
      <c r="AG373" s="889"/>
      <c r="AH373" s="889"/>
      <c r="AI373" s="889"/>
      <c r="AJ373" s="889"/>
      <c r="AK373" s="889"/>
      <c r="AL373" s="889"/>
      <c r="AM373" s="889"/>
      <c r="AN373" s="889"/>
      <c r="AO373" s="889"/>
      <c r="AP373" s="889"/>
      <c r="AQ373" s="889"/>
      <c r="AR373" s="889"/>
      <c r="AS373" s="889"/>
      <c r="AT373" s="889"/>
      <c r="AU373" s="889"/>
      <c r="AV373" s="889"/>
      <c r="AW373" s="889"/>
      <c r="AX373" s="889"/>
      <c r="AY373" s="889"/>
      <c r="AZ373" s="889"/>
    </row>
    <row r="374">
      <c r="A374" s="889"/>
      <c r="B374" s="889"/>
      <c r="C374" s="889"/>
      <c r="D374" s="889"/>
      <c r="E374" s="889"/>
      <c r="F374" s="889"/>
      <c r="G374" s="889"/>
      <c r="H374" s="889"/>
      <c r="I374" s="889"/>
      <c r="J374" s="889"/>
      <c r="K374" s="889"/>
      <c r="L374" s="889"/>
      <c r="M374" s="889"/>
      <c r="N374" s="944"/>
      <c r="O374" s="944"/>
      <c r="P374" s="944"/>
      <c r="Q374" s="944"/>
      <c r="R374" s="944"/>
      <c r="S374" s="889"/>
      <c r="T374" s="889"/>
      <c r="U374" s="889"/>
      <c r="V374" s="889"/>
      <c r="W374" s="889"/>
      <c r="X374" s="889"/>
      <c r="Y374" s="889"/>
      <c r="Z374" s="889"/>
      <c r="AA374" s="889"/>
      <c r="AB374" s="889"/>
      <c r="AC374" s="889"/>
      <c r="AD374" s="889"/>
      <c r="AE374" s="889"/>
      <c r="AF374" s="889"/>
      <c r="AG374" s="889"/>
      <c r="AH374" s="889"/>
      <c r="AI374" s="889"/>
      <c r="AJ374" s="889"/>
      <c r="AK374" s="889"/>
      <c r="AL374" s="889"/>
      <c r="AM374" s="889"/>
      <c r="AN374" s="889"/>
      <c r="AO374" s="889"/>
      <c r="AP374" s="889"/>
      <c r="AQ374" s="889"/>
      <c r="AR374" s="889"/>
      <c r="AS374" s="889"/>
      <c r="AT374" s="889"/>
      <c r="AU374" s="889"/>
      <c r="AV374" s="889"/>
      <c r="AW374" s="889"/>
      <c r="AX374" s="889"/>
      <c r="AY374" s="889"/>
      <c r="AZ374" s="889"/>
    </row>
    <row r="375">
      <c r="A375" s="889"/>
      <c r="B375" s="889"/>
      <c r="C375" s="889"/>
      <c r="D375" s="889"/>
      <c r="E375" s="889"/>
      <c r="F375" s="889"/>
      <c r="G375" s="889"/>
      <c r="H375" s="889"/>
      <c r="I375" s="889"/>
      <c r="J375" s="889"/>
      <c r="K375" s="889"/>
      <c r="L375" s="889"/>
      <c r="M375" s="889"/>
      <c r="N375" s="944"/>
      <c r="O375" s="944"/>
      <c r="P375" s="944"/>
      <c r="Q375" s="944"/>
      <c r="R375" s="944"/>
      <c r="S375" s="889"/>
      <c r="T375" s="889"/>
      <c r="U375" s="889"/>
      <c r="V375" s="889"/>
      <c r="W375" s="889"/>
      <c r="X375" s="889"/>
      <c r="Y375" s="889"/>
      <c r="Z375" s="889"/>
      <c r="AA375" s="889"/>
      <c r="AB375" s="889"/>
      <c r="AC375" s="889"/>
      <c r="AD375" s="889"/>
      <c r="AE375" s="889"/>
      <c r="AF375" s="889"/>
      <c r="AG375" s="889"/>
      <c r="AH375" s="889"/>
      <c r="AI375" s="889"/>
      <c r="AJ375" s="889"/>
      <c r="AK375" s="889"/>
      <c r="AL375" s="889"/>
      <c r="AM375" s="889"/>
      <c r="AN375" s="889"/>
      <c r="AO375" s="889"/>
      <c r="AP375" s="889"/>
      <c r="AQ375" s="889"/>
      <c r="AR375" s="889"/>
      <c r="AS375" s="889"/>
      <c r="AT375" s="889"/>
      <c r="AU375" s="889"/>
      <c r="AV375" s="889"/>
      <c r="AW375" s="889"/>
      <c r="AX375" s="889"/>
      <c r="AY375" s="889"/>
      <c r="AZ375" s="889"/>
    </row>
    <row r="376">
      <c r="A376" s="889"/>
      <c r="B376" s="889"/>
      <c r="C376" s="889"/>
      <c r="D376" s="889"/>
      <c r="E376" s="889"/>
      <c r="F376" s="889"/>
      <c r="G376" s="889"/>
      <c r="H376" s="889"/>
      <c r="I376" s="889"/>
      <c r="J376" s="889"/>
      <c r="K376" s="889"/>
      <c r="L376" s="889"/>
      <c r="M376" s="889"/>
      <c r="N376" s="944"/>
      <c r="O376" s="944"/>
      <c r="P376" s="944"/>
      <c r="Q376" s="944"/>
      <c r="R376" s="944"/>
      <c r="S376" s="889"/>
      <c r="T376" s="889"/>
      <c r="U376" s="889"/>
      <c r="V376" s="889"/>
      <c r="W376" s="889"/>
      <c r="X376" s="889"/>
      <c r="Y376" s="889"/>
      <c r="Z376" s="889"/>
      <c r="AA376" s="889"/>
      <c r="AB376" s="889"/>
      <c r="AC376" s="889"/>
      <c r="AD376" s="889"/>
      <c r="AE376" s="889"/>
      <c r="AF376" s="889"/>
      <c r="AG376" s="889"/>
      <c r="AH376" s="889"/>
      <c r="AI376" s="889"/>
      <c r="AJ376" s="889"/>
      <c r="AK376" s="889"/>
      <c r="AL376" s="889"/>
      <c r="AM376" s="889"/>
      <c r="AN376" s="889"/>
      <c r="AO376" s="889"/>
      <c r="AP376" s="889"/>
      <c r="AQ376" s="889"/>
      <c r="AR376" s="889"/>
      <c r="AS376" s="889"/>
      <c r="AT376" s="889"/>
      <c r="AU376" s="889"/>
      <c r="AV376" s="889"/>
      <c r="AW376" s="889"/>
      <c r="AX376" s="889"/>
      <c r="AY376" s="889"/>
      <c r="AZ376" s="889"/>
    </row>
    <row r="377">
      <c r="A377" s="889"/>
      <c r="B377" s="889"/>
      <c r="C377" s="889"/>
      <c r="D377" s="889"/>
      <c r="E377" s="889"/>
      <c r="F377" s="889"/>
      <c r="G377" s="889"/>
      <c r="H377" s="889"/>
      <c r="I377" s="889"/>
      <c r="J377" s="889"/>
      <c r="K377" s="889"/>
      <c r="L377" s="889"/>
      <c r="M377" s="889"/>
      <c r="N377" s="944"/>
      <c r="O377" s="944"/>
      <c r="P377" s="944"/>
      <c r="Q377" s="944"/>
      <c r="R377" s="944"/>
      <c r="S377" s="889"/>
      <c r="T377" s="889"/>
      <c r="U377" s="889"/>
      <c r="V377" s="889"/>
      <c r="W377" s="889"/>
      <c r="X377" s="889"/>
      <c r="Y377" s="889"/>
      <c r="Z377" s="889"/>
      <c r="AA377" s="889"/>
      <c r="AB377" s="889"/>
      <c r="AC377" s="889"/>
      <c r="AD377" s="889"/>
      <c r="AE377" s="889"/>
      <c r="AF377" s="889"/>
      <c r="AG377" s="889"/>
      <c r="AH377" s="889"/>
      <c r="AI377" s="889"/>
      <c r="AJ377" s="889"/>
      <c r="AK377" s="889"/>
      <c r="AL377" s="889"/>
      <c r="AM377" s="889"/>
      <c r="AN377" s="889"/>
      <c r="AO377" s="889"/>
      <c r="AP377" s="889"/>
      <c r="AQ377" s="889"/>
      <c r="AR377" s="889"/>
      <c r="AS377" s="889"/>
      <c r="AT377" s="889"/>
      <c r="AU377" s="889"/>
      <c r="AV377" s="889"/>
      <c r="AW377" s="889"/>
      <c r="AX377" s="889"/>
      <c r="AY377" s="889"/>
      <c r="AZ377" s="889"/>
    </row>
    <row r="378">
      <c r="A378" s="889"/>
      <c r="B378" s="889"/>
      <c r="C378" s="889"/>
      <c r="D378" s="889"/>
      <c r="E378" s="889"/>
      <c r="F378" s="889"/>
      <c r="G378" s="889"/>
      <c r="H378" s="889"/>
      <c r="I378" s="889"/>
      <c r="J378" s="889"/>
      <c r="K378" s="889"/>
      <c r="L378" s="889"/>
      <c r="M378" s="889"/>
      <c r="N378" s="944"/>
      <c r="O378" s="944"/>
      <c r="P378" s="944"/>
      <c r="Q378" s="944"/>
      <c r="R378" s="944"/>
      <c r="S378" s="889"/>
      <c r="T378" s="889"/>
      <c r="U378" s="889"/>
      <c r="V378" s="889"/>
      <c r="W378" s="889"/>
      <c r="X378" s="889"/>
      <c r="Y378" s="889"/>
      <c r="Z378" s="889"/>
      <c r="AA378" s="889"/>
      <c r="AB378" s="889"/>
      <c r="AC378" s="889"/>
      <c r="AD378" s="889"/>
      <c r="AE378" s="889"/>
      <c r="AF378" s="889"/>
      <c r="AG378" s="889"/>
      <c r="AH378" s="889"/>
      <c r="AI378" s="889"/>
      <c r="AJ378" s="889"/>
      <c r="AK378" s="889"/>
      <c r="AL378" s="889"/>
      <c r="AM378" s="889"/>
      <c r="AN378" s="889"/>
      <c r="AO378" s="889"/>
      <c r="AP378" s="889"/>
      <c r="AQ378" s="889"/>
      <c r="AR378" s="889"/>
      <c r="AS378" s="889"/>
      <c r="AT378" s="889"/>
      <c r="AU378" s="889"/>
      <c r="AV378" s="889"/>
      <c r="AW378" s="889"/>
      <c r="AX378" s="889"/>
      <c r="AY378" s="889"/>
      <c r="AZ378" s="889"/>
    </row>
    <row r="379">
      <c r="A379" s="889"/>
      <c r="B379" s="889"/>
      <c r="C379" s="889"/>
      <c r="D379" s="889"/>
      <c r="E379" s="889"/>
      <c r="F379" s="889"/>
      <c r="G379" s="889"/>
      <c r="H379" s="889"/>
      <c r="I379" s="889"/>
      <c r="J379" s="889"/>
      <c r="K379" s="889"/>
      <c r="L379" s="889"/>
      <c r="M379" s="889"/>
      <c r="N379" s="944"/>
      <c r="O379" s="944"/>
      <c r="P379" s="944"/>
      <c r="Q379" s="944"/>
      <c r="R379" s="944"/>
      <c r="S379" s="889"/>
      <c r="T379" s="889"/>
      <c r="U379" s="889"/>
      <c r="V379" s="889"/>
      <c r="W379" s="889"/>
      <c r="X379" s="889"/>
      <c r="Y379" s="889"/>
      <c r="Z379" s="889"/>
      <c r="AA379" s="889"/>
      <c r="AB379" s="889"/>
      <c r="AC379" s="889"/>
      <c r="AD379" s="889"/>
      <c r="AE379" s="889"/>
      <c r="AF379" s="889"/>
      <c r="AG379" s="889"/>
      <c r="AH379" s="889"/>
      <c r="AI379" s="889"/>
      <c r="AJ379" s="889"/>
      <c r="AK379" s="889"/>
      <c r="AL379" s="889"/>
      <c r="AM379" s="889"/>
      <c r="AN379" s="889"/>
      <c r="AO379" s="889"/>
      <c r="AP379" s="889"/>
      <c r="AQ379" s="889"/>
      <c r="AR379" s="889"/>
      <c r="AS379" s="889"/>
      <c r="AT379" s="889"/>
      <c r="AU379" s="889"/>
      <c r="AV379" s="889"/>
      <c r="AW379" s="889"/>
      <c r="AX379" s="889"/>
      <c r="AY379" s="889"/>
      <c r="AZ379" s="889"/>
    </row>
    <row r="380">
      <c r="A380" s="889"/>
      <c r="B380" s="889"/>
      <c r="C380" s="889"/>
      <c r="D380" s="889"/>
      <c r="E380" s="889"/>
      <c r="F380" s="889"/>
      <c r="G380" s="889"/>
      <c r="H380" s="889"/>
      <c r="I380" s="889"/>
      <c r="J380" s="889"/>
      <c r="K380" s="889"/>
      <c r="L380" s="889"/>
      <c r="M380" s="889"/>
      <c r="N380" s="944"/>
      <c r="O380" s="944"/>
      <c r="P380" s="944"/>
      <c r="Q380" s="944"/>
      <c r="R380" s="944"/>
      <c r="S380" s="889"/>
      <c r="T380" s="889"/>
      <c r="U380" s="889"/>
      <c r="V380" s="889"/>
      <c r="W380" s="889"/>
      <c r="X380" s="889"/>
      <c r="Y380" s="889"/>
      <c r="Z380" s="889"/>
      <c r="AA380" s="889"/>
      <c r="AB380" s="889"/>
      <c r="AC380" s="889"/>
      <c r="AD380" s="889"/>
      <c r="AE380" s="889"/>
      <c r="AF380" s="889"/>
      <c r="AG380" s="889"/>
      <c r="AH380" s="889"/>
      <c r="AI380" s="889"/>
      <c r="AJ380" s="889"/>
      <c r="AK380" s="889"/>
      <c r="AL380" s="889"/>
      <c r="AM380" s="889"/>
      <c r="AN380" s="889"/>
      <c r="AO380" s="889"/>
      <c r="AP380" s="889"/>
      <c r="AQ380" s="889"/>
      <c r="AR380" s="889"/>
      <c r="AS380" s="889"/>
      <c r="AT380" s="889"/>
      <c r="AU380" s="889"/>
      <c r="AV380" s="889"/>
      <c r="AW380" s="889"/>
      <c r="AX380" s="889"/>
      <c r="AY380" s="889"/>
      <c r="AZ380" s="889"/>
    </row>
    <row r="381">
      <c r="A381" s="889"/>
      <c r="B381" s="889"/>
      <c r="C381" s="889"/>
      <c r="D381" s="889"/>
      <c r="E381" s="889"/>
      <c r="F381" s="889"/>
      <c r="G381" s="889"/>
      <c r="H381" s="889"/>
      <c r="I381" s="889"/>
      <c r="J381" s="889"/>
      <c r="K381" s="889"/>
      <c r="L381" s="889"/>
      <c r="M381" s="889"/>
      <c r="N381" s="944"/>
      <c r="O381" s="944"/>
      <c r="P381" s="944"/>
      <c r="Q381" s="944"/>
      <c r="R381" s="944"/>
      <c r="S381" s="889"/>
      <c r="T381" s="889"/>
      <c r="U381" s="889"/>
      <c r="V381" s="889"/>
      <c r="W381" s="889"/>
      <c r="X381" s="889"/>
      <c r="Y381" s="889"/>
      <c r="Z381" s="889"/>
      <c r="AA381" s="889"/>
      <c r="AB381" s="889"/>
      <c r="AC381" s="889"/>
      <c r="AD381" s="889"/>
      <c r="AE381" s="889"/>
      <c r="AF381" s="889"/>
      <c r="AG381" s="889"/>
      <c r="AH381" s="889"/>
      <c r="AI381" s="889"/>
      <c r="AJ381" s="889"/>
      <c r="AK381" s="889"/>
      <c r="AL381" s="889"/>
      <c r="AM381" s="889"/>
      <c r="AN381" s="889"/>
      <c r="AO381" s="889"/>
      <c r="AP381" s="889"/>
      <c r="AQ381" s="889"/>
      <c r="AR381" s="889"/>
      <c r="AS381" s="889"/>
      <c r="AT381" s="889"/>
      <c r="AU381" s="889"/>
      <c r="AV381" s="889"/>
      <c r="AW381" s="889"/>
      <c r="AX381" s="889"/>
      <c r="AY381" s="889"/>
      <c r="AZ381" s="889"/>
    </row>
    <row r="382">
      <c r="A382" s="889"/>
      <c r="B382" s="889"/>
      <c r="C382" s="889"/>
      <c r="D382" s="889"/>
      <c r="E382" s="889"/>
      <c r="F382" s="889"/>
      <c r="G382" s="889"/>
      <c r="H382" s="889"/>
      <c r="I382" s="889"/>
      <c r="J382" s="889"/>
      <c r="K382" s="889"/>
      <c r="L382" s="889"/>
      <c r="M382" s="889"/>
      <c r="N382" s="944"/>
      <c r="O382" s="944"/>
      <c r="P382" s="944"/>
      <c r="Q382" s="944"/>
      <c r="R382" s="944"/>
      <c r="S382" s="889"/>
      <c r="T382" s="889"/>
      <c r="U382" s="889"/>
      <c r="V382" s="889"/>
      <c r="W382" s="889"/>
      <c r="X382" s="889"/>
      <c r="Y382" s="889"/>
      <c r="Z382" s="889"/>
      <c r="AA382" s="889"/>
      <c r="AB382" s="889"/>
      <c r="AC382" s="889"/>
      <c r="AD382" s="889"/>
      <c r="AE382" s="889"/>
      <c r="AF382" s="889"/>
      <c r="AG382" s="889"/>
      <c r="AH382" s="889"/>
      <c r="AI382" s="889"/>
      <c r="AJ382" s="889"/>
      <c r="AK382" s="889"/>
      <c r="AL382" s="889"/>
      <c r="AM382" s="889"/>
      <c r="AN382" s="889"/>
      <c r="AO382" s="889"/>
      <c r="AP382" s="889"/>
      <c r="AQ382" s="889"/>
      <c r="AR382" s="889"/>
      <c r="AS382" s="889"/>
      <c r="AT382" s="889"/>
      <c r="AU382" s="889"/>
      <c r="AV382" s="889"/>
      <c r="AW382" s="889"/>
      <c r="AX382" s="889"/>
      <c r="AY382" s="889"/>
      <c r="AZ382" s="889"/>
    </row>
    <row r="383">
      <c r="A383" s="889"/>
      <c r="B383" s="889"/>
      <c r="C383" s="889"/>
      <c r="D383" s="889"/>
      <c r="E383" s="889"/>
      <c r="F383" s="889"/>
      <c r="G383" s="889"/>
      <c r="H383" s="889"/>
      <c r="I383" s="889"/>
      <c r="J383" s="889"/>
      <c r="K383" s="889"/>
      <c r="L383" s="889"/>
      <c r="M383" s="889"/>
      <c r="N383" s="944"/>
      <c r="O383" s="944"/>
      <c r="P383" s="944"/>
      <c r="Q383" s="944"/>
      <c r="R383" s="944"/>
      <c r="S383" s="889"/>
      <c r="T383" s="889"/>
      <c r="U383" s="889"/>
      <c r="V383" s="889"/>
      <c r="W383" s="889"/>
      <c r="X383" s="889"/>
      <c r="Y383" s="889"/>
      <c r="Z383" s="889"/>
      <c r="AA383" s="889"/>
      <c r="AB383" s="889"/>
      <c r="AC383" s="889"/>
      <c r="AD383" s="889"/>
      <c r="AE383" s="889"/>
      <c r="AF383" s="889"/>
      <c r="AG383" s="889"/>
      <c r="AH383" s="889"/>
      <c r="AI383" s="889"/>
      <c r="AJ383" s="889"/>
      <c r="AK383" s="889"/>
      <c r="AL383" s="889"/>
      <c r="AM383" s="889"/>
      <c r="AN383" s="889"/>
      <c r="AO383" s="889"/>
      <c r="AP383" s="889"/>
      <c r="AQ383" s="889"/>
      <c r="AR383" s="889"/>
      <c r="AS383" s="889"/>
      <c r="AT383" s="889"/>
      <c r="AU383" s="889"/>
      <c r="AV383" s="889"/>
      <c r="AW383" s="889"/>
      <c r="AX383" s="889"/>
      <c r="AY383" s="889"/>
      <c r="AZ383" s="889"/>
    </row>
    <row r="384">
      <c r="A384" s="889"/>
      <c r="B384" s="889"/>
      <c r="C384" s="889"/>
      <c r="D384" s="889"/>
      <c r="E384" s="889"/>
      <c r="F384" s="889"/>
      <c r="G384" s="889"/>
      <c r="H384" s="889"/>
      <c r="I384" s="889"/>
      <c r="J384" s="889"/>
      <c r="K384" s="889"/>
      <c r="L384" s="889"/>
      <c r="M384" s="889"/>
      <c r="N384" s="944"/>
      <c r="O384" s="944"/>
      <c r="P384" s="944"/>
      <c r="Q384" s="944"/>
      <c r="R384" s="944"/>
      <c r="S384" s="889"/>
      <c r="T384" s="889"/>
      <c r="U384" s="889"/>
      <c r="V384" s="889"/>
      <c r="W384" s="889"/>
      <c r="X384" s="889"/>
      <c r="Y384" s="889"/>
      <c r="Z384" s="889"/>
      <c r="AA384" s="889"/>
      <c r="AB384" s="889"/>
      <c r="AC384" s="889"/>
      <c r="AD384" s="889"/>
      <c r="AE384" s="889"/>
      <c r="AF384" s="889"/>
      <c r="AG384" s="889"/>
      <c r="AH384" s="889"/>
      <c r="AI384" s="889"/>
      <c r="AJ384" s="889"/>
      <c r="AK384" s="889"/>
      <c r="AL384" s="889"/>
      <c r="AM384" s="889"/>
      <c r="AN384" s="889"/>
      <c r="AO384" s="889"/>
      <c r="AP384" s="889"/>
      <c r="AQ384" s="889"/>
      <c r="AR384" s="889"/>
      <c r="AS384" s="889"/>
      <c r="AT384" s="889"/>
      <c r="AU384" s="889"/>
      <c r="AV384" s="889"/>
      <c r="AW384" s="889"/>
      <c r="AX384" s="889"/>
      <c r="AY384" s="889"/>
      <c r="AZ384" s="889"/>
    </row>
    <row r="385">
      <c r="A385" s="889"/>
      <c r="B385" s="889"/>
      <c r="C385" s="889"/>
      <c r="D385" s="889"/>
      <c r="E385" s="889"/>
      <c r="F385" s="889"/>
      <c r="G385" s="889"/>
      <c r="H385" s="889"/>
      <c r="I385" s="889"/>
      <c r="J385" s="889"/>
      <c r="K385" s="889"/>
      <c r="L385" s="889"/>
      <c r="M385" s="889"/>
      <c r="N385" s="944"/>
      <c r="O385" s="944"/>
      <c r="P385" s="944"/>
      <c r="Q385" s="944"/>
      <c r="R385" s="944"/>
      <c r="S385" s="889"/>
      <c r="T385" s="889"/>
      <c r="U385" s="889"/>
      <c r="V385" s="889"/>
      <c r="W385" s="889"/>
      <c r="X385" s="889"/>
      <c r="Y385" s="889"/>
      <c r="Z385" s="889"/>
      <c r="AA385" s="889"/>
      <c r="AB385" s="889"/>
      <c r="AC385" s="889"/>
      <c r="AD385" s="889"/>
      <c r="AE385" s="889"/>
      <c r="AF385" s="889"/>
      <c r="AG385" s="889"/>
      <c r="AH385" s="889"/>
      <c r="AI385" s="889"/>
      <c r="AJ385" s="889"/>
      <c r="AK385" s="889"/>
      <c r="AL385" s="889"/>
      <c r="AM385" s="889"/>
      <c r="AN385" s="889"/>
      <c r="AO385" s="889"/>
      <c r="AP385" s="889"/>
      <c r="AQ385" s="889"/>
      <c r="AR385" s="889"/>
      <c r="AS385" s="889"/>
      <c r="AT385" s="889"/>
      <c r="AU385" s="889"/>
      <c r="AV385" s="889"/>
      <c r="AW385" s="889"/>
      <c r="AX385" s="889"/>
      <c r="AY385" s="889"/>
      <c r="AZ385" s="889"/>
    </row>
    <row r="386">
      <c r="A386" s="889"/>
      <c r="B386" s="889"/>
      <c r="C386" s="889"/>
      <c r="D386" s="889"/>
      <c r="E386" s="889"/>
      <c r="F386" s="889"/>
      <c r="G386" s="889"/>
      <c r="H386" s="889"/>
      <c r="I386" s="889"/>
      <c r="J386" s="889"/>
      <c r="K386" s="889"/>
      <c r="L386" s="889"/>
      <c r="M386" s="889"/>
      <c r="N386" s="944"/>
      <c r="O386" s="944"/>
      <c r="P386" s="944"/>
      <c r="Q386" s="944"/>
      <c r="R386" s="944"/>
      <c r="S386" s="889"/>
      <c r="T386" s="889"/>
      <c r="U386" s="889"/>
      <c r="V386" s="889"/>
      <c r="W386" s="889"/>
      <c r="X386" s="889"/>
      <c r="Y386" s="889"/>
      <c r="Z386" s="889"/>
      <c r="AA386" s="889"/>
      <c r="AB386" s="889"/>
      <c r="AC386" s="889"/>
      <c r="AD386" s="889"/>
      <c r="AE386" s="889"/>
      <c r="AF386" s="889"/>
      <c r="AG386" s="889"/>
      <c r="AH386" s="889"/>
      <c r="AI386" s="889"/>
      <c r="AJ386" s="889"/>
      <c r="AK386" s="889"/>
      <c r="AL386" s="889"/>
      <c r="AM386" s="889"/>
      <c r="AN386" s="889"/>
      <c r="AO386" s="889"/>
      <c r="AP386" s="889"/>
      <c r="AQ386" s="889"/>
      <c r="AR386" s="889"/>
      <c r="AS386" s="889"/>
      <c r="AT386" s="889"/>
      <c r="AU386" s="889"/>
      <c r="AV386" s="889"/>
      <c r="AW386" s="889"/>
      <c r="AX386" s="889"/>
      <c r="AY386" s="889"/>
      <c r="AZ386" s="889"/>
    </row>
    <row r="387">
      <c r="A387" s="889"/>
      <c r="B387" s="889"/>
      <c r="C387" s="889"/>
      <c r="D387" s="889"/>
      <c r="E387" s="889"/>
      <c r="F387" s="889"/>
      <c r="G387" s="889"/>
      <c r="H387" s="889"/>
      <c r="I387" s="889"/>
      <c r="J387" s="889"/>
      <c r="K387" s="889"/>
      <c r="L387" s="889"/>
      <c r="M387" s="889"/>
      <c r="N387" s="944"/>
      <c r="O387" s="944"/>
      <c r="P387" s="944"/>
      <c r="Q387" s="944"/>
      <c r="R387" s="944"/>
      <c r="S387" s="889"/>
      <c r="T387" s="889"/>
      <c r="U387" s="889"/>
      <c r="V387" s="889"/>
      <c r="W387" s="889"/>
      <c r="X387" s="889"/>
      <c r="Y387" s="889"/>
      <c r="Z387" s="889"/>
      <c r="AA387" s="889"/>
      <c r="AB387" s="889"/>
      <c r="AC387" s="889"/>
      <c r="AD387" s="889"/>
      <c r="AE387" s="889"/>
      <c r="AF387" s="889"/>
      <c r="AG387" s="889"/>
      <c r="AH387" s="889"/>
      <c r="AI387" s="889"/>
      <c r="AJ387" s="889"/>
      <c r="AK387" s="889"/>
      <c r="AL387" s="889"/>
      <c r="AM387" s="889"/>
      <c r="AN387" s="889"/>
      <c r="AO387" s="889"/>
      <c r="AP387" s="889"/>
      <c r="AQ387" s="889"/>
      <c r="AR387" s="889"/>
      <c r="AS387" s="889"/>
      <c r="AT387" s="889"/>
      <c r="AU387" s="889"/>
      <c r="AV387" s="889"/>
      <c r="AW387" s="889"/>
      <c r="AX387" s="889"/>
      <c r="AY387" s="889"/>
      <c r="AZ387" s="889"/>
    </row>
    <row r="388">
      <c r="A388" s="889"/>
      <c r="B388" s="889"/>
      <c r="C388" s="889"/>
      <c r="D388" s="889"/>
      <c r="E388" s="889"/>
      <c r="F388" s="889"/>
      <c r="G388" s="889"/>
      <c r="H388" s="889"/>
      <c r="I388" s="889"/>
      <c r="J388" s="889"/>
      <c r="K388" s="889"/>
      <c r="L388" s="889"/>
      <c r="M388" s="889"/>
      <c r="N388" s="944"/>
      <c r="O388" s="944"/>
      <c r="P388" s="944"/>
      <c r="Q388" s="944"/>
      <c r="R388" s="944"/>
      <c r="S388" s="889"/>
      <c r="T388" s="889"/>
      <c r="U388" s="889"/>
      <c r="V388" s="889"/>
      <c r="W388" s="889"/>
      <c r="X388" s="889"/>
      <c r="Y388" s="889"/>
      <c r="Z388" s="889"/>
      <c r="AA388" s="889"/>
      <c r="AB388" s="889"/>
      <c r="AC388" s="889"/>
      <c r="AD388" s="889"/>
      <c r="AE388" s="889"/>
      <c r="AF388" s="889"/>
      <c r="AG388" s="889"/>
      <c r="AH388" s="889"/>
      <c r="AI388" s="889"/>
      <c r="AJ388" s="889"/>
      <c r="AK388" s="889"/>
      <c r="AL388" s="889"/>
      <c r="AM388" s="889"/>
      <c r="AN388" s="889"/>
      <c r="AO388" s="889"/>
      <c r="AP388" s="889"/>
      <c r="AQ388" s="889"/>
      <c r="AR388" s="889"/>
      <c r="AS388" s="889"/>
      <c r="AT388" s="889"/>
      <c r="AU388" s="889"/>
      <c r="AV388" s="889"/>
      <c r="AW388" s="889"/>
      <c r="AX388" s="889"/>
      <c r="AY388" s="889"/>
      <c r="AZ388" s="889"/>
    </row>
    <row r="389">
      <c r="A389" s="889"/>
      <c r="B389" s="889"/>
      <c r="C389" s="889"/>
      <c r="D389" s="889"/>
      <c r="E389" s="889"/>
      <c r="F389" s="889"/>
      <c r="G389" s="889"/>
      <c r="H389" s="889"/>
      <c r="I389" s="889"/>
      <c r="J389" s="889"/>
      <c r="K389" s="889"/>
      <c r="L389" s="889"/>
      <c r="M389" s="889"/>
      <c r="N389" s="944"/>
      <c r="O389" s="944"/>
      <c r="P389" s="944"/>
      <c r="Q389" s="944"/>
      <c r="R389" s="944"/>
      <c r="S389" s="889"/>
      <c r="T389" s="889"/>
      <c r="U389" s="889"/>
      <c r="V389" s="889"/>
      <c r="W389" s="889"/>
      <c r="X389" s="889"/>
      <c r="Y389" s="889"/>
      <c r="Z389" s="889"/>
      <c r="AA389" s="889"/>
      <c r="AB389" s="889"/>
      <c r="AC389" s="889"/>
      <c r="AD389" s="889"/>
      <c r="AE389" s="889"/>
      <c r="AF389" s="889"/>
      <c r="AG389" s="889"/>
      <c r="AH389" s="889"/>
      <c r="AI389" s="889"/>
      <c r="AJ389" s="889"/>
      <c r="AK389" s="889"/>
      <c r="AL389" s="889"/>
      <c r="AM389" s="889"/>
      <c r="AN389" s="889"/>
      <c r="AO389" s="889"/>
      <c r="AP389" s="889"/>
      <c r="AQ389" s="889"/>
      <c r="AR389" s="889"/>
      <c r="AS389" s="889"/>
      <c r="AT389" s="889"/>
      <c r="AU389" s="889"/>
      <c r="AV389" s="889"/>
      <c r="AW389" s="889"/>
      <c r="AX389" s="889"/>
      <c r="AY389" s="889"/>
      <c r="AZ389" s="889"/>
    </row>
    <row r="390">
      <c r="A390" s="889"/>
      <c r="B390" s="889"/>
      <c r="C390" s="889"/>
      <c r="D390" s="889"/>
      <c r="E390" s="889"/>
      <c r="F390" s="889"/>
      <c r="G390" s="889"/>
      <c r="H390" s="889"/>
      <c r="I390" s="889"/>
      <c r="J390" s="889"/>
      <c r="K390" s="889"/>
      <c r="L390" s="889"/>
      <c r="M390" s="889"/>
      <c r="N390" s="944"/>
      <c r="O390" s="944"/>
      <c r="P390" s="944"/>
      <c r="Q390" s="944"/>
      <c r="R390" s="944"/>
      <c r="S390" s="889"/>
      <c r="T390" s="889"/>
      <c r="U390" s="889"/>
      <c r="V390" s="889"/>
      <c r="W390" s="889"/>
      <c r="X390" s="889"/>
      <c r="Y390" s="889"/>
      <c r="Z390" s="889"/>
      <c r="AA390" s="889"/>
      <c r="AB390" s="889"/>
      <c r="AC390" s="889"/>
      <c r="AD390" s="889"/>
      <c r="AE390" s="889"/>
      <c r="AF390" s="889"/>
      <c r="AG390" s="889"/>
      <c r="AH390" s="889"/>
      <c r="AI390" s="889"/>
      <c r="AJ390" s="889"/>
      <c r="AK390" s="889"/>
      <c r="AL390" s="889"/>
      <c r="AM390" s="889"/>
      <c r="AN390" s="889"/>
      <c r="AO390" s="889"/>
      <c r="AP390" s="889"/>
      <c r="AQ390" s="889"/>
      <c r="AR390" s="889"/>
      <c r="AS390" s="889"/>
      <c r="AT390" s="889"/>
      <c r="AU390" s="889"/>
      <c r="AV390" s="889"/>
      <c r="AW390" s="889"/>
      <c r="AX390" s="889"/>
      <c r="AY390" s="889"/>
      <c r="AZ390" s="889"/>
    </row>
    <row r="391">
      <c r="A391" s="889"/>
      <c r="B391" s="889"/>
      <c r="C391" s="889"/>
      <c r="D391" s="889"/>
      <c r="E391" s="889"/>
      <c r="F391" s="889"/>
      <c r="G391" s="889"/>
      <c r="H391" s="889"/>
      <c r="I391" s="889"/>
      <c r="J391" s="889"/>
      <c r="K391" s="889"/>
      <c r="L391" s="889"/>
      <c r="M391" s="889"/>
      <c r="N391" s="944"/>
      <c r="O391" s="944"/>
      <c r="P391" s="944"/>
      <c r="Q391" s="944"/>
      <c r="R391" s="944"/>
      <c r="S391" s="889"/>
      <c r="T391" s="889"/>
      <c r="U391" s="889"/>
      <c r="V391" s="889"/>
      <c r="W391" s="889"/>
      <c r="X391" s="889"/>
      <c r="Y391" s="889"/>
      <c r="Z391" s="889"/>
      <c r="AA391" s="889"/>
      <c r="AB391" s="889"/>
      <c r="AC391" s="889"/>
      <c r="AD391" s="889"/>
      <c r="AE391" s="889"/>
      <c r="AF391" s="889"/>
      <c r="AG391" s="889"/>
      <c r="AH391" s="889"/>
      <c r="AI391" s="889"/>
      <c r="AJ391" s="889"/>
      <c r="AK391" s="889"/>
      <c r="AL391" s="889"/>
      <c r="AM391" s="889"/>
      <c r="AN391" s="889"/>
      <c r="AO391" s="889"/>
      <c r="AP391" s="889"/>
      <c r="AQ391" s="889"/>
      <c r="AR391" s="889"/>
      <c r="AS391" s="889"/>
      <c r="AT391" s="889"/>
      <c r="AU391" s="889"/>
      <c r="AV391" s="889"/>
      <c r="AW391" s="889"/>
      <c r="AX391" s="889"/>
      <c r="AY391" s="889"/>
      <c r="AZ391" s="889"/>
    </row>
    <row r="392">
      <c r="A392" s="889"/>
      <c r="B392" s="889"/>
      <c r="C392" s="889"/>
      <c r="D392" s="889"/>
      <c r="E392" s="889"/>
      <c r="F392" s="889"/>
      <c r="G392" s="889"/>
      <c r="H392" s="889"/>
      <c r="I392" s="889"/>
      <c r="J392" s="889"/>
      <c r="K392" s="889"/>
      <c r="L392" s="889"/>
      <c r="M392" s="889"/>
      <c r="N392" s="944"/>
      <c r="O392" s="944"/>
      <c r="P392" s="944"/>
      <c r="Q392" s="944"/>
      <c r="R392" s="944"/>
      <c r="S392" s="889"/>
      <c r="T392" s="889"/>
      <c r="U392" s="889"/>
      <c r="V392" s="889"/>
      <c r="W392" s="889"/>
      <c r="X392" s="889"/>
      <c r="Y392" s="889"/>
      <c r="Z392" s="889"/>
      <c r="AA392" s="889"/>
      <c r="AB392" s="889"/>
      <c r="AC392" s="889"/>
      <c r="AD392" s="889"/>
      <c r="AE392" s="889"/>
      <c r="AF392" s="889"/>
      <c r="AG392" s="889"/>
      <c r="AH392" s="889"/>
      <c r="AI392" s="889"/>
      <c r="AJ392" s="889"/>
      <c r="AK392" s="889"/>
      <c r="AL392" s="889"/>
      <c r="AM392" s="889"/>
      <c r="AN392" s="889"/>
      <c r="AO392" s="889"/>
      <c r="AP392" s="889"/>
      <c r="AQ392" s="889"/>
      <c r="AR392" s="889"/>
      <c r="AS392" s="889"/>
      <c r="AT392" s="889"/>
      <c r="AU392" s="889"/>
      <c r="AV392" s="889"/>
      <c r="AW392" s="889"/>
      <c r="AX392" s="889"/>
      <c r="AY392" s="889"/>
      <c r="AZ392" s="889"/>
    </row>
    <row r="393">
      <c r="A393" s="889"/>
      <c r="B393" s="889"/>
      <c r="C393" s="889"/>
      <c r="D393" s="889"/>
      <c r="E393" s="889"/>
      <c r="F393" s="889"/>
      <c r="G393" s="889"/>
      <c r="H393" s="889"/>
      <c r="I393" s="889"/>
      <c r="J393" s="889"/>
      <c r="K393" s="889"/>
      <c r="L393" s="889"/>
      <c r="M393" s="889"/>
      <c r="N393" s="944"/>
      <c r="O393" s="944"/>
      <c r="P393" s="944"/>
      <c r="Q393" s="944"/>
      <c r="R393" s="944"/>
      <c r="S393" s="889"/>
      <c r="T393" s="889"/>
      <c r="U393" s="889"/>
      <c r="V393" s="889"/>
      <c r="W393" s="889"/>
      <c r="X393" s="889"/>
      <c r="Y393" s="889"/>
      <c r="Z393" s="889"/>
      <c r="AA393" s="889"/>
      <c r="AB393" s="889"/>
      <c r="AC393" s="889"/>
      <c r="AD393" s="889"/>
      <c r="AE393" s="889"/>
      <c r="AF393" s="889"/>
      <c r="AG393" s="889"/>
      <c r="AH393" s="889"/>
      <c r="AI393" s="889"/>
      <c r="AJ393" s="889"/>
      <c r="AK393" s="889"/>
      <c r="AL393" s="889"/>
      <c r="AM393" s="889"/>
      <c r="AN393" s="889"/>
      <c r="AO393" s="889"/>
      <c r="AP393" s="889"/>
      <c r="AQ393" s="889"/>
      <c r="AR393" s="889"/>
      <c r="AS393" s="889"/>
      <c r="AT393" s="889"/>
      <c r="AU393" s="889"/>
      <c r="AV393" s="889"/>
      <c r="AW393" s="889"/>
      <c r="AX393" s="889"/>
      <c r="AY393" s="889"/>
      <c r="AZ393" s="889"/>
    </row>
    <row r="394">
      <c r="A394" s="889"/>
      <c r="B394" s="889"/>
      <c r="C394" s="889"/>
      <c r="D394" s="889"/>
      <c r="E394" s="889"/>
      <c r="F394" s="889"/>
      <c r="G394" s="889"/>
      <c r="H394" s="889"/>
      <c r="I394" s="889"/>
      <c r="J394" s="889"/>
      <c r="K394" s="889"/>
      <c r="L394" s="889"/>
      <c r="M394" s="889"/>
      <c r="N394" s="944"/>
      <c r="O394" s="944"/>
      <c r="P394" s="944"/>
      <c r="Q394" s="944"/>
      <c r="R394" s="944"/>
      <c r="S394" s="889"/>
      <c r="T394" s="889"/>
      <c r="U394" s="889"/>
      <c r="V394" s="889"/>
      <c r="W394" s="889"/>
      <c r="X394" s="889"/>
      <c r="Y394" s="889"/>
      <c r="Z394" s="889"/>
      <c r="AA394" s="889"/>
      <c r="AB394" s="889"/>
      <c r="AC394" s="889"/>
      <c r="AD394" s="889"/>
      <c r="AE394" s="889"/>
      <c r="AF394" s="889"/>
      <c r="AG394" s="889"/>
      <c r="AH394" s="889"/>
      <c r="AI394" s="889"/>
      <c r="AJ394" s="889"/>
      <c r="AK394" s="889"/>
      <c r="AL394" s="889"/>
      <c r="AM394" s="889"/>
      <c r="AN394" s="889"/>
      <c r="AO394" s="889"/>
      <c r="AP394" s="889"/>
      <c r="AQ394" s="889"/>
      <c r="AR394" s="889"/>
      <c r="AS394" s="889"/>
      <c r="AT394" s="889"/>
      <c r="AU394" s="889"/>
      <c r="AV394" s="889"/>
      <c r="AW394" s="889"/>
      <c r="AX394" s="889"/>
      <c r="AY394" s="889"/>
      <c r="AZ394" s="889"/>
    </row>
    <row r="395">
      <c r="A395" s="889"/>
      <c r="B395" s="889"/>
      <c r="C395" s="889"/>
      <c r="D395" s="889"/>
      <c r="E395" s="889"/>
      <c r="F395" s="889"/>
      <c r="G395" s="889"/>
      <c r="H395" s="889"/>
      <c r="I395" s="889"/>
      <c r="J395" s="889"/>
      <c r="K395" s="889"/>
      <c r="L395" s="889"/>
      <c r="M395" s="889"/>
      <c r="N395" s="944"/>
      <c r="O395" s="944"/>
      <c r="P395" s="944"/>
      <c r="Q395" s="944"/>
      <c r="R395" s="944"/>
      <c r="S395" s="889"/>
      <c r="T395" s="889"/>
      <c r="U395" s="889"/>
      <c r="V395" s="889"/>
      <c r="W395" s="889"/>
      <c r="X395" s="889"/>
      <c r="Y395" s="889"/>
      <c r="Z395" s="889"/>
      <c r="AA395" s="889"/>
      <c r="AB395" s="889"/>
      <c r="AC395" s="889"/>
      <c r="AD395" s="889"/>
      <c r="AE395" s="889"/>
      <c r="AF395" s="889"/>
      <c r="AG395" s="889"/>
      <c r="AH395" s="889"/>
      <c r="AI395" s="889"/>
      <c r="AJ395" s="889"/>
      <c r="AK395" s="889"/>
      <c r="AL395" s="889"/>
      <c r="AM395" s="889"/>
      <c r="AN395" s="889"/>
      <c r="AO395" s="889"/>
      <c r="AP395" s="889"/>
      <c r="AQ395" s="889"/>
      <c r="AR395" s="889"/>
      <c r="AS395" s="889"/>
      <c r="AT395" s="889"/>
      <c r="AU395" s="889"/>
      <c r="AV395" s="889"/>
      <c r="AW395" s="889"/>
      <c r="AX395" s="889"/>
      <c r="AY395" s="889"/>
      <c r="AZ395" s="889"/>
    </row>
    <row r="396">
      <c r="A396" s="889"/>
      <c r="B396" s="889"/>
      <c r="C396" s="889"/>
      <c r="D396" s="889"/>
      <c r="E396" s="889"/>
      <c r="F396" s="889"/>
      <c r="G396" s="889"/>
      <c r="H396" s="889"/>
      <c r="I396" s="889"/>
      <c r="J396" s="889"/>
      <c r="K396" s="889"/>
      <c r="L396" s="889"/>
      <c r="M396" s="889"/>
      <c r="N396" s="944"/>
      <c r="O396" s="944"/>
      <c r="P396" s="944"/>
      <c r="Q396" s="944"/>
      <c r="R396" s="944"/>
      <c r="S396" s="889"/>
      <c r="T396" s="889"/>
      <c r="U396" s="889"/>
      <c r="V396" s="889"/>
      <c r="W396" s="889"/>
      <c r="X396" s="889"/>
      <c r="Y396" s="889"/>
      <c r="Z396" s="889"/>
      <c r="AA396" s="889"/>
      <c r="AB396" s="889"/>
      <c r="AC396" s="889"/>
      <c r="AD396" s="889"/>
      <c r="AE396" s="889"/>
      <c r="AF396" s="889"/>
      <c r="AG396" s="889"/>
      <c r="AH396" s="889"/>
      <c r="AI396" s="889"/>
      <c r="AJ396" s="889"/>
      <c r="AK396" s="889"/>
      <c r="AL396" s="889"/>
      <c r="AM396" s="889"/>
      <c r="AN396" s="889"/>
      <c r="AO396" s="889"/>
      <c r="AP396" s="889"/>
      <c r="AQ396" s="889"/>
      <c r="AR396" s="889"/>
      <c r="AS396" s="889"/>
      <c r="AT396" s="889"/>
      <c r="AU396" s="889"/>
      <c r="AV396" s="889"/>
      <c r="AW396" s="889"/>
      <c r="AX396" s="889"/>
      <c r="AY396" s="889"/>
      <c r="AZ396" s="889"/>
    </row>
    <row r="397">
      <c r="A397" s="889"/>
      <c r="B397" s="889"/>
      <c r="C397" s="889"/>
      <c r="D397" s="889"/>
      <c r="E397" s="889"/>
      <c r="F397" s="889"/>
      <c r="G397" s="889"/>
      <c r="H397" s="889"/>
      <c r="I397" s="889"/>
      <c r="J397" s="889"/>
      <c r="K397" s="889"/>
      <c r="L397" s="889"/>
      <c r="M397" s="889"/>
      <c r="N397" s="944"/>
      <c r="O397" s="944"/>
      <c r="P397" s="944"/>
      <c r="Q397" s="944"/>
      <c r="R397" s="944"/>
      <c r="S397" s="889"/>
      <c r="T397" s="889"/>
      <c r="U397" s="889"/>
      <c r="V397" s="889"/>
      <c r="W397" s="889"/>
      <c r="X397" s="889"/>
      <c r="Y397" s="889"/>
      <c r="Z397" s="889"/>
      <c r="AA397" s="889"/>
      <c r="AB397" s="889"/>
      <c r="AC397" s="889"/>
      <c r="AD397" s="889"/>
      <c r="AE397" s="889"/>
      <c r="AF397" s="889"/>
      <c r="AG397" s="889"/>
      <c r="AH397" s="889"/>
      <c r="AI397" s="889"/>
      <c r="AJ397" s="889"/>
      <c r="AK397" s="889"/>
      <c r="AL397" s="889"/>
      <c r="AM397" s="889"/>
      <c r="AN397" s="889"/>
      <c r="AO397" s="889"/>
      <c r="AP397" s="889"/>
      <c r="AQ397" s="889"/>
      <c r="AR397" s="889"/>
      <c r="AS397" s="889"/>
      <c r="AT397" s="889"/>
      <c r="AU397" s="889"/>
      <c r="AV397" s="889"/>
      <c r="AW397" s="889"/>
      <c r="AX397" s="889"/>
      <c r="AY397" s="889"/>
      <c r="AZ397" s="889"/>
    </row>
    <row r="398">
      <c r="A398" s="889"/>
      <c r="B398" s="889"/>
      <c r="C398" s="889"/>
      <c r="D398" s="889"/>
      <c r="E398" s="889"/>
      <c r="F398" s="889"/>
      <c r="G398" s="889"/>
      <c r="H398" s="889"/>
      <c r="I398" s="889"/>
      <c r="J398" s="889"/>
      <c r="K398" s="889"/>
      <c r="L398" s="889"/>
      <c r="M398" s="889"/>
      <c r="N398" s="944"/>
      <c r="O398" s="944"/>
      <c r="P398" s="944"/>
      <c r="Q398" s="944"/>
      <c r="R398" s="944"/>
      <c r="S398" s="889"/>
      <c r="T398" s="889"/>
      <c r="U398" s="889"/>
      <c r="V398" s="889"/>
      <c r="W398" s="889"/>
      <c r="X398" s="889"/>
      <c r="Y398" s="889"/>
      <c r="Z398" s="889"/>
      <c r="AA398" s="889"/>
      <c r="AB398" s="889"/>
      <c r="AC398" s="889"/>
      <c r="AD398" s="889"/>
      <c r="AE398" s="889"/>
      <c r="AF398" s="889"/>
      <c r="AG398" s="889"/>
      <c r="AH398" s="889"/>
      <c r="AI398" s="889"/>
      <c r="AJ398" s="889"/>
      <c r="AK398" s="889"/>
      <c r="AL398" s="889"/>
      <c r="AM398" s="889"/>
      <c r="AN398" s="889"/>
      <c r="AO398" s="889"/>
      <c r="AP398" s="889"/>
      <c r="AQ398" s="889"/>
      <c r="AR398" s="889"/>
      <c r="AS398" s="889"/>
      <c r="AT398" s="889"/>
      <c r="AU398" s="889"/>
      <c r="AV398" s="889"/>
      <c r="AW398" s="889"/>
      <c r="AX398" s="889"/>
      <c r="AY398" s="889"/>
      <c r="AZ398" s="889"/>
    </row>
    <row r="399">
      <c r="A399" s="889"/>
      <c r="B399" s="889"/>
      <c r="C399" s="889"/>
      <c r="D399" s="889"/>
      <c r="E399" s="889"/>
      <c r="F399" s="889"/>
      <c r="G399" s="889"/>
      <c r="H399" s="889"/>
      <c r="I399" s="889"/>
      <c r="J399" s="889"/>
      <c r="K399" s="889"/>
      <c r="L399" s="889"/>
      <c r="M399" s="889"/>
      <c r="N399" s="944"/>
      <c r="O399" s="944"/>
      <c r="P399" s="944"/>
      <c r="Q399" s="944"/>
      <c r="R399" s="944"/>
      <c r="S399" s="889"/>
      <c r="T399" s="889"/>
      <c r="U399" s="889"/>
      <c r="V399" s="889"/>
      <c r="W399" s="889"/>
      <c r="X399" s="889"/>
      <c r="Y399" s="889"/>
      <c r="Z399" s="889"/>
      <c r="AA399" s="889"/>
      <c r="AB399" s="889"/>
      <c r="AC399" s="889"/>
      <c r="AD399" s="889"/>
      <c r="AE399" s="889"/>
      <c r="AF399" s="889"/>
      <c r="AG399" s="889"/>
      <c r="AH399" s="889"/>
      <c r="AI399" s="889"/>
      <c r="AJ399" s="889"/>
      <c r="AK399" s="889"/>
      <c r="AL399" s="889"/>
      <c r="AM399" s="889"/>
      <c r="AN399" s="889"/>
      <c r="AO399" s="889"/>
      <c r="AP399" s="889"/>
      <c r="AQ399" s="889"/>
      <c r="AR399" s="889"/>
      <c r="AS399" s="889"/>
      <c r="AT399" s="889"/>
      <c r="AU399" s="889"/>
      <c r="AV399" s="889"/>
      <c r="AW399" s="889"/>
      <c r="AX399" s="889"/>
      <c r="AY399" s="889"/>
      <c r="AZ399" s="889"/>
    </row>
    <row r="400">
      <c r="A400" s="889"/>
      <c r="B400" s="889"/>
      <c r="C400" s="889"/>
      <c r="D400" s="889"/>
      <c r="E400" s="889"/>
      <c r="F400" s="889"/>
      <c r="G400" s="889"/>
      <c r="H400" s="889"/>
      <c r="I400" s="889"/>
      <c r="J400" s="889"/>
      <c r="K400" s="889"/>
      <c r="L400" s="889"/>
      <c r="M400" s="889"/>
      <c r="N400" s="944"/>
      <c r="O400" s="944"/>
      <c r="P400" s="944"/>
      <c r="Q400" s="944"/>
      <c r="R400" s="944"/>
      <c r="S400" s="889"/>
      <c r="T400" s="889"/>
      <c r="U400" s="889"/>
      <c r="V400" s="889"/>
      <c r="W400" s="889"/>
      <c r="X400" s="889"/>
      <c r="Y400" s="889"/>
      <c r="Z400" s="889"/>
      <c r="AA400" s="889"/>
      <c r="AB400" s="889"/>
      <c r="AC400" s="889"/>
      <c r="AD400" s="889"/>
      <c r="AE400" s="889"/>
      <c r="AF400" s="889"/>
      <c r="AG400" s="889"/>
      <c r="AH400" s="889"/>
      <c r="AI400" s="889"/>
      <c r="AJ400" s="889"/>
      <c r="AK400" s="889"/>
      <c r="AL400" s="889"/>
      <c r="AM400" s="889"/>
      <c r="AN400" s="889"/>
      <c r="AO400" s="889"/>
      <c r="AP400" s="889"/>
      <c r="AQ400" s="889"/>
      <c r="AR400" s="889"/>
      <c r="AS400" s="889"/>
      <c r="AT400" s="889"/>
      <c r="AU400" s="889"/>
      <c r="AV400" s="889"/>
      <c r="AW400" s="889"/>
      <c r="AX400" s="889"/>
      <c r="AY400" s="889"/>
      <c r="AZ400" s="889"/>
    </row>
    <row r="401">
      <c r="A401" s="889"/>
      <c r="B401" s="889"/>
      <c r="C401" s="889"/>
      <c r="D401" s="889"/>
      <c r="E401" s="889"/>
      <c r="F401" s="889"/>
      <c r="G401" s="889"/>
      <c r="H401" s="889"/>
      <c r="I401" s="889"/>
      <c r="J401" s="889"/>
      <c r="K401" s="889"/>
      <c r="L401" s="889"/>
      <c r="M401" s="889"/>
      <c r="N401" s="944"/>
      <c r="O401" s="944"/>
      <c r="P401" s="944"/>
      <c r="Q401" s="944"/>
      <c r="R401" s="944"/>
      <c r="S401" s="889"/>
      <c r="T401" s="889"/>
      <c r="U401" s="889"/>
      <c r="V401" s="889"/>
      <c r="W401" s="889"/>
      <c r="X401" s="889"/>
      <c r="Y401" s="889"/>
      <c r="Z401" s="889"/>
      <c r="AA401" s="889"/>
      <c r="AB401" s="889"/>
      <c r="AC401" s="889"/>
      <c r="AD401" s="889"/>
      <c r="AE401" s="889"/>
      <c r="AF401" s="889"/>
      <c r="AG401" s="889"/>
      <c r="AH401" s="889"/>
      <c r="AI401" s="889"/>
      <c r="AJ401" s="889"/>
      <c r="AK401" s="889"/>
      <c r="AL401" s="889"/>
      <c r="AM401" s="889"/>
      <c r="AN401" s="889"/>
      <c r="AO401" s="889"/>
      <c r="AP401" s="889"/>
      <c r="AQ401" s="889"/>
      <c r="AR401" s="889"/>
      <c r="AS401" s="889"/>
      <c r="AT401" s="889"/>
      <c r="AU401" s="889"/>
      <c r="AV401" s="889"/>
      <c r="AW401" s="889"/>
      <c r="AX401" s="889"/>
      <c r="AY401" s="889"/>
      <c r="AZ401" s="889"/>
    </row>
    <row r="402">
      <c r="A402" s="889"/>
      <c r="B402" s="889"/>
      <c r="C402" s="889"/>
      <c r="D402" s="889"/>
      <c r="E402" s="889"/>
      <c r="F402" s="889"/>
      <c r="G402" s="889"/>
      <c r="H402" s="889"/>
      <c r="I402" s="889"/>
      <c r="J402" s="889"/>
      <c r="K402" s="889"/>
      <c r="L402" s="889"/>
      <c r="M402" s="889"/>
      <c r="N402" s="944"/>
      <c r="O402" s="944"/>
      <c r="P402" s="944"/>
      <c r="Q402" s="944"/>
      <c r="R402" s="944"/>
      <c r="S402" s="889"/>
      <c r="T402" s="889"/>
      <c r="U402" s="889"/>
      <c r="V402" s="889"/>
      <c r="W402" s="889"/>
      <c r="X402" s="889"/>
      <c r="Y402" s="889"/>
      <c r="Z402" s="889"/>
      <c r="AA402" s="889"/>
      <c r="AB402" s="889"/>
      <c r="AC402" s="889"/>
      <c r="AD402" s="889"/>
      <c r="AE402" s="889"/>
      <c r="AF402" s="889"/>
      <c r="AG402" s="889"/>
      <c r="AH402" s="889"/>
      <c r="AI402" s="889"/>
      <c r="AJ402" s="889"/>
      <c r="AK402" s="889"/>
      <c r="AL402" s="889"/>
      <c r="AM402" s="889"/>
      <c r="AN402" s="889"/>
      <c r="AO402" s="889"/>
      <c r="AP402" s="889"/>
      <c r="AQ402" s="889"/>
      <c r="AR402" s="889"/>
      <c r="AS402" s="889"/>
      <c r="AT402" s="889"/>
      <c r="AU402" s="889"/>
      <c r="AV402" s="889"/>
      <c r="AW402" s="889"/>
      <c r="AX402" s="889"/>
      <c r="AY402" s="889"/>
      <c r="AZ402" s="889"/>
    </row>
    <row r="403">
      <c r="A403" s="889"/>
      <c r="B403" s="889"/>
      <c r="C403" s="889"/>
      <c r="D403" s="889"/>
      <c r="E403" s="889"/>
      <c r="F403" s="889"/>
      <c r="G403" s="889"/>
      <c r="H403" s="889"/>
      <c r="I403" s="889"/>
      <c r="J403" s="889"/>
      <c r="K403" s="889"/>
      <c r="L403" s="889"/>
      <c r="M403" s="889"/>
      <c r="N403" s="944"/>
      <c r="O403" s="944"/>
      <c r="P403" s="944"/>
      <c r="Q403" s="944"/>
      <c r="R403" s="944"/>
      <c r="S403" s="889"/>
      <c r="T403" s="889"/>
      <c r="U403" s="889"/>
      <c r="V403" s="889"/>
      <c r="W403" s="889"/>
      <c r="X403" s="889"/>
      <c r="Y403" s="889"/>
      <c r="Z403" s="889"/>
      <c r="AA403" s="889"/>
      <c r="AB403" s="889"/>
      <c r="AC403" s="889"/>
      <c r="AD403" s="889"/>
      <c r="AE403" s="889"/>
      <c r="AF403" s="889"/>
      <c r="AG403" s="889"/>
      <c r="AH403" s="889"/>
      <c r="AI403" s="889"/>
      <c r="AJ403" s="889"/>
      <c r="AK403" s="889"/>
      <c r="AL403" s="889"/>
      <c r="AM403" s="889"/>
      <c r="AN403" s="889"/>
      <c r="AO403" s="889"/>
      <c r="AP403" s="889"/>
      <c r="AQ403" s="889"/>
      <c r="AR403" s="889"/>
      <c r="AS403" s="889"/>
      <c r="AT403" s="889"/>
      <c r="AU403" s="889"/>
      <c r="AV403" s="889"/>
      <c r="AW403" s="889"/>
      <c r="AX403" s="889"/>
      <c r="AY403" s="889"/>
      <c r="AZ403" s="889"/>
    </row>
    <row r="404">
      <c r="A404" s="889"/>
      <c r="B404" s="889"/>
      <c r="C404" s="889"/>
      <c r="D404" s="889"/>
      <c r="E404" s="889"/>
      <c r="F404" s="889"/>
      <c r="G404" s="889"/>
      <c r="H404" s="889"/>
      <c r="I404" s="889"/>
      <c r="J404" s="889"/>
      <c r="K404" s="889"/>
      <c r="L404" s="889"/>
      <c r="M404" s="889"/>
      <c r="N404" s="944"/>
      <c r="O404" s="944"/>
      <c r="P404" s="944"/>
      <c r="Q404" s="944"/>
      <c r="R404" s="944"/>
      <c r="S404" s="889"/>
      <c r="T404" s="889"/>
      <c r="U404" s="889"/>
      <c r="V404" s="889"/>
      <c r="W404" s="889"/>
      <c r="X404" s="889"/>
      <c r="Y404" s="889"/>
      <c r="Z404" s="889"/>
      <c r="AA404" s="889"/>
      <c r="AB404" s="889"/>
      <c r="AC404" s="889"/>
      <c r="AD404" s="889"/>
      <c r="AE404" s="889"/>
      <c r="AF404" s="889"/>
      <c r="AG404" s="889"/>
      <c r="AH404" s="889"/>
      <c r="AI404" s="889"/>
      <c r="AJ404" s="889"/>
      <c r="AK404" s="889"/>
      <c r="AL404" s="889"/>
      <c r="AM404" s="889"/>
      <c r="AN404" s="889"/>
      <c r="AO404" s="889"/>
      <c r="AP404" s="889"/>
      <c r="AQ404" s="889"/>
      <c r="AR404" s="889"/>
      <c r="AS404" s="889"/>
      <c r="AT404" s="889"/>
      <c r="AU404" s="889"/>
      <c r="AV404" s="889"/>
      <c r="AW404" s="889"/>
      <c r="AX404" s="889"/>
      <c r="AY404" s="889"/>
      <c r="AZ404" s="889"/>
    </row>
    <row r="405">
      <c r="A405" s="889"/>
      <c r="B405" s="889"/>
      <c r="C405" s="889"/>
      <c r="D405" s="889"/>
      <c r="E405" s="889"/>
      <c r="F405" s="889"/>
      <c r="G405" s="889"/>
      <c r="H405" s="889"/>
      <c r="I405" s="889"/>
      <c r="J405" s="889"/>
      <c r="K405" s="889"/>
      <c r="L405" s="889"/>
      <c r="M405" s="889"/>
      <c r="N405" s="944"/>
      <c r="O405" s="944"/>
      <c r="P405" s="944"/>
      <c r="Q405" s="944"/>
      <c r="R405" s="944"/>
      <c r="S405" s="889"/>
      <c r="T405" s="889"/>
      <c r="U405" s="889"/>
      <c r="V405" s="889"/>
      <c r="W405" s="889"/>
      <c r="X405" s="889"/>
      <c r="Y405" s="889"/>
      <c r="Z405" s="889"/>
      <c r="AA405" s="889"/>
      <c r="AB405" s="889"/>
      <c r="AC405" s="889"/>
      <c r="AD405" s="889"/>
      <c r="AE405" s="889"/>
      <c r="AF405" s="889"/>
      <c r="AG405" s="889"/>
      <c r="AH405" s="889"/>
      <c r="AI405" s="889"/>
      <c r="AJ405" s="889"/>
      <c r="AK405" s="889"/>
      <c r="AL405" s="889"/>
      <c r="AM405" s="889"/>
      <c r="AN405" s="889"/>
      <c r="AO405" s="889"/>
      <c r="AP405" s="889"/>
      <c r="AQ405" s="889"/>
      <c r="AR405" s="889"/>
      <c r="AS405" s="889"/>
      <c r="AT405" s="889"/>
      <c r="AU405" s="889"/>
      <c r="AV405" s="889"/>
      <c r="AW405" s="889"/>
      <c r="AX405" s="889"/>
      <c r="AY405" s="889"/>
      <c r="AZ405" s="889"/>
    </row>
    <row r="406">
      <c r="A406" s="889"/>
      <c r="B406" s="889"/>
      <c r="C406" s="889"/>
      <c r="D406" s="889"/>
      <c r="E406" s="889"/>
      <c r="F406" s="889"/>
      <c r="G406" s="889"/>
      <c r="H406" s="889"/>
      <c r="I406" s="889"/>
      <c r="J406" s="889"/>
      <c r="K406" s="889"/>
      <c r="L406" s="889"/>
      <c r="M406" s="889"/>
      <c r="N406" s="944"/>
      <c r="O406" s="944"/>
      <c r="P406" s="944"/>
      <c r="Q406" s="944"/>
      <c r="R406" s="944"/>
      <c r="S406" s="889"/>
      <c r="T406" s="889"/>
      <c r="U406" s="889"/>
      <c r="V406" s="889"/>
      <c r="W406" s="889"/>
      <c r="X406" s="889"/>
      <c r="Y406" s="889"/>
      <c r="Z406" s="889"/>
      <c r="AA406" s="889"/>
      <c r="AB406" s="889"/>
      <c r="AC406" s="889"/>
      <c r="AD406" s="889"/>
      <c r="AE406" s="889"/>
      <c r="AF406" s="889"/>
      <c r="AG406" s="889"/>
      <c r="AH406" s="889"/>
      <c r="AI406" s="889"/>
      <c r="AJ406" s="889"/>
      <c r="AK406" s="889"/>
      <c r="AL406" s="889"/>
      <c r="AM406" s="889"/>
      <c r="AN406" s="889"/>
      <c r="AO406" s="889"/>
      <c r="AP406" s="889"/>
      <c r="AQ406" s="889"/>
      <c r="AR406" s="889"/>
      <c r="AS406" s="889"/>
      <c r="AT406" s="889"/>
      <c r="AU406" s="889"/>
      <c r="AV406" s="889"/>
      <c r="AW406" s="889"/>
      <c r="AX406" s="889"/>
      <c r="AY406" s="889"/>
      <c r="AZ406" s="889"/>
    </row>
    <row r="407">
      <c r="A407" s="889"/>
      <c r="B407" s="889"/>
      <c r="C407" s="889"/>
      <c r="D407" s="889"/>
      <c r="E407" s="889"/>
      <c r="F407" s="889"/>
      <c r="G407" s="889"/>
      <c r="H407" s="889"/>
      <c r="I407" s="889"/>
      <c r="J407" s="889"/>
      <c r="K407" s="889"/>
      <c r="L407" s="889"/>
      <c r="M407" s="889"/>
      <c r="N407" s="944"/>
      <c r="O407" s="944"/>
      <c r="P407" s="944"/>
      <c r="Q407" s="944"/>
      <c r="R407" s="944"/>
      <c r="S407" s="889"/>
      <c r="T407" s="889"/>
      <c r="U407" s="889"/>
      <c r="V407" s="889"/>
      <c r="W407" s="889"/>
      <c r="X407" s="889"/>
      <c r="Y407" s="889"/>
      <c r="Z407" s="889"/>
      <c r="AA407" s="889"/>
      <c r="AB407" s="889"/>
      <c r="AC407" s="889"/>
      <c r="AD407" s="889"/>
      <c r="AE407" s="889"/>
      <c r="AF407" s="889"/>
      <c r="AG407" s="889"/>
      <c r="AH407" s="889"/>
      <c r="AI407" s="889"/>
      <c r="AJ407" s="889"/>
      <c r="AK407" s="889"/>
      <c r="AL407" s="889"/>
      <c r="AM407" s="889"/>
      <c r="AN407" s="889"/>
      <c r="AO407" s="889"/>
      <c r="AP407" s="889"/>
      <c r="AQ407" s="889"/>
      <c r="AR407" s="889"/>
      <c r="AS407" s="889"/>
      <c r="AT407" s="889"/>
      <c r="AU407" s="889"/>
      <c r="AV407" s="889"/>
      <c r="AW407" s="889"/>
      <c r="AX407" s="889"/>
      <c r="AY407" s="889"/>
      <c r="AZ407" s="889"/>
    </row>
    <row r="408">
      <c r="A408" s="889"/>
      <c r="B408" s="889"/>
      <c r="C408" s="889"/>
      <c r="D408" s="889"/>
      <c r="E408" s="889"/>
      <c r="F408" s="889"/>
      <c r="G408" s="889"/>
      <c r="H408" s="889"/>
      <c r="I408" s="889"/>
      <c r="J408" s="889"/>
      <c r="K408" s="889"/>
      <c r="L408" s="889"/>
      <c r="M408" s="889"/>
      <c r="N408" s="944"/>
      <c r="O408" s="944"/>
      <c r="P408" s="944"/>
      <c r="Q408" s="944"/>
      <c r="R408" s="944"/>
      <c r="S408" s="889"/>
      <c r="T408" s="889"/>
      <c r="U408" s="889"/>
      <c r="V408" s="889"/>
      <c r="W408" s="889"/>
      <c r="X408" s="889"/>
      <c r="Y408" s="889"/>
      <c r="Z408" s="889"/>
      <c r="AA408" s="889"/>
      <c r="AB408" s="889"/>
      <c r="AC408" s="889"/>
      <c r="AD408" s="889"/>
      <c r="AE408" s="889"/>
      <c r="AF408" s="889"/>
      <c r="AG408" s="889"/>
      <c r="AH408" s="889"/>
      <c r="AI408" s="889"/>
      <c r="AJ408" s="889"/>
      <c r="AK408" s="889"/>
      <c r="AL408" s="889"/>
      <c r="AM408" s="889"/>
      <c r="AN408" s="889"/>
      <c r="AO408" s="889"/>
      <c r="AP408" s="889"/>
      <c r="AQ408" s="889"/>
      <c r="AR408" s="889"/>
      <c r="AS408" s="889"/>
      <c r="AT408" s="889"/>
      <c r="AU408" s="889"/>
      <c r="AV408" s="889"/>
      <c r="AW408" s="889"/>
      <c r="AX408" s="889"/>
      <c r="AY408" s="889"/>
      <c r="AZ408" s="889"/>
    </row>
    <row r="409">
      <c r="A409" s="889"/>
      <c r="B409" s="889"/>
      <c r="C409" s="889"/>
      <c r="D409" s="889"/>
      <c r="E409" s="889"/>
      <c r="F409" s="889"/>
      <c r="G409" s="889"/>
      <c r="H409" s="889"/>
      <c r="I409" s="889"/>
      <c r="J409" s="889"/>
      <c r="K409" s="889"/>
      <c r="L409" s="889"/>
      <c r="M409" s="889"/>
      <c r="N409" s="944"/>
      <c r="O409" s="944"/>
      <c r="P409" s="944"/>
      <c r="Q409" s="944"/>
      <c r="R409" s="944"/>
      <c r="S409" s="889"/>
      <c r="T409" s="889"/>
      <c r="U409" s="889"/>
      <c r="V409" s="889"/>
      <c r="W409" s="889"/>
      <c r="X409" s="889"/>
      <c r="Y409" s="889"/>
      <c r="Z409" s="889"/>
      <c r="AA409" s="889"/>
      <c r="AB409" s="889"/>
      <c r="AC409" s="889"/>
      <c r="AD409" s="889"/>
      <c r="AE409" s="889"/>
      <c r="AF409" s="889"/>
      <c r="AG409" s="889"/>
      <c r="AH409" s="889"/>
      <c r="AI409" s="889"/>
      <c r="AJ409" s="889"/>
      <c r="AK409" s="889"/>
      <c r="AL409" s="889"/>
      <c r="AM409" s="889"/>
      <c r="AN409" s="889"/>
      <c r="AO409" s="889"/>
      <c r="AP409" s="889"/>
      <c r="AQ409" s="889"/>
      <c r="AR409" s="889"/>
      <c r="AS409" s="889"/>
      <c r="AT409" s="889"/>
      <c r="AU409" s="889"/>
      <c r="AV409" s="889"/>
      <c r="AW409" s="889"/>
      <c r="AX409" s="889"/>
      <c r="AY409" s="889"/>
      <c r="AZ409" s="889"/>
    </row>
    <row r="410">
      <c r="A410" s="889"/>
      <c r="B410" s="889"/>
      <c r="C410" s="889"/>
      <c r="D410" s="889"/>
      <c r="E410" s="889"/>
      <c r="F410" s="889"/>
      <c r="G410" s="889"/>
      <c r="H410" s="889"/>
      <c r="I410" s="889"/>
      <c r="J410" s="889"/>
      <c r="K410" s="889"/>
      <c r="L410" s="889"/>
      <c r="M410" s="889"/>
      <c r="N410" s="944"/>
      <c r="O410" s="944"/>
      <c r="P410" s="944"/>
      <c r="Q410" s="944"/>
      <c r="R410" s="944"/>
      <c r="S410" s="889"/>
      <c r="T410" s="889"/>
      <c r="U410" s="889"/>
      <c r="V410" s="889"/>
      <c r="W410" s="889"/>
      <c r="X410" s="889"/>
      <c r="Y410" s="889"/>
      <c r="Z410" s="889"/>
      <c r="AA410" s="889"/>
      <c r="AB410" s="889"/>
      <c r="AC410" s="889"/>
      <c r="AD410" s="889"/>
      <c r="AE410" s="889"/>
      <c r="AF410" s="889"/>
      <c r="AG410" s="889"/>
      <c r="AH410" s="889"/>
      <c r="AI410" s="889"/>
      <c r="AJ410" s="889"/>
      <c r="AK410" s="889"/>
      <c r="AL410" s="889"/>
      <c r="AM410" s="889"/>
      <c r="AN410" s="889"/>
      <c r="AO410" s="889"/>
      <c r="AP410" s="889"/>
      <c r="AQ410" s="889"/>
      <c r="AR410" s="889"/>
      <c r="AS410" s="889"/>
      <c r="AT410" s="889"/>
      <c r="AU410" s="889"/>
      <c r="AV410" s="889"/>
      <c r="AW410" s="889"/>
      <c r="AX410" s="889"/>
      <c r="AY410" s="889"/>
      <c r="AZ410" s="889"/>
    </row>
    <row r="411">
      <c r="A411" s="889"/>
      <c r="B411" s="889"/>
      <c r="C411" s="889"/>
      <c r="D411" s="889"/>
      <c r="E411" s="889"/>
      <c r="F411" s="889"/>
      <c r="G411" s="889"/>
      <c r="H411" s="889"/>
      <c r="I411" s="889"/>
      <c r="J411" s="889"/>
      <c r="K411" s="889"/>
      <c r="L411" s="889"/>
      <c r="M411" s="889"/>
      <c r="N411" s="944"/>
      <c r="O411" s="944"/>
      <c r="P411" s="944"/>
      <c r="Q411" s="944"/>
      <c r="R411" s="944"/>
      <c r="S411" s="889"/>
      <c r="T411" s="889"/>
      <c r="U411" s="889"/>
      <c r="V411" s="889"/>
      <c r="W411" s="889"/>
      <c r="X411" s="889"/>
      <c r="Y411" s="889"/>
      <c r="Z411" s="889"/>
      <c r="AA411" s="889"/>
      <c r="AB411" s="889"/>
      <c r="AC411" s="889"/>
      <c r="AD411" s="889"/>
      <c r="AE411" s="889"/>
      <c r="AF411" s="889"/>
      <c r="AG411" s="889"/>
      <c r="AH411" s="889"/>
      <c r="AI411" s="889"/>
      <c r="AJ411" s="889"/>
      <c r="AK411" s="889"/>
      <c r="AL411" s="889"/>
      <c r="AM411" s="889"/>
      <c r="AN411" s="889"/>
      <c r="AO411" s="889"/>
      <c r="AP411" s="889"/>
      <c r="AQ411" s="889"/>
      <c r="AR411" s="889"/>
      <c r="AS411" s="889"/>
      <c r="AT411" s="889"/>
      <c r="AU411" s="889"/>
      <c r="AV411" s="889"/>
      <c r="AW411" s="889"/>
      <c r="AX411" s="889"/>
      <c r="AY411" s="889"/>
      <c r="AZ411" s="889"/>
    </row>
    <row r="412">
      <c r="A412" s="889"/>
      <c r="B412" s="889"/>
      <c r="C412" s="889"/>
      <c r="D412" s="889"/>
      <c r="E412" s="889"/>
      <c r="F412" s="889"/>
      <c r="G412" s="889"/>
      <c r="H412" s="889"/>
      <c r="I412" s="889"/>
      <c r="J412" s="889"/>
      <c r="K412" s="889"/>
      <c r="L412" s="889"/>
      <c r="M412" s="889"/>
      <c r="N412" s="944"/>
      <c r="O412" s="944"/>
      <c r="P412" s="944"/>
      <c r="Q412" s="944"/>
      <c r="R412" s="944"/>
      <c r="S412" s="889"/>
      <c r="T412" s="889"/>
      <c r="U412" s="889"/>
      <c r="V412" s="889"/>
      <c r="W412" s="889"/>
      <c r="X412" s="889"/>
      <c r="Y412" s="889"/>
      <c r="Z412" s="889"/>
      <c r="AA412" s="889"/>
      <c r="AB412" s="889"/>
      <c r="AC412" s="889"/>
      <c r="AD412" s="889"/>
      <c r="AE412" s="889"/>
      <c r="AF412" s="889"/>
      <c r="AG412" s="889"/>
      <c r="AH412" s="889"/>
      <c r="AI412" s="889"/>
      <c r="AJ412" s="889"/>
      <c r="AK412" s="889"/>
      <c r="AL412" s="889"/>
      <c r="AM412" s="889"/>
      <c r="AN412" s="889"/>
      <c r="AO412" s="889"/>
      <c r="AP412" s="889"/>
      <c r="AQ412" s="889"/>
      <c r="AR412" s="889"/>
      <c r="AS412" s="889"/>
      <c r="AT412" s="889"/>
      <c r="AU412" s="889"/>
      <c r="AV412" s="889"/>
      <c r="AW412" s="889"/>
      <c r="AX412" s="889"/>
      <c r="AY412" s="889"/>
      <c r="AZ412" s="889"/>
    </row>
    <row r="413">
      <c r="A413" s="889"/>
      <c r="B413" s="889"/>
      <c r="C413" s="889"/>
      <c r="D413" s="889"/>
      <c r="E413" s="889"/>
      <c r="F413" s="889"/>
      <c r="G413" s="889"/>
      <c r="H413" s="889"/>
      <c r="I413" s="889"/>
      <c r="J413" s="889"/>
      <c r="K413" s="889"/>
      <c r="L413" s="889"/>
      <c r="M413" s="889"/>
      <c r="N413" s="944"/>
      <c r="O413" s="944"/>
      <c r="P413" s="944"/>
      <c r="Q413" s="944"/>
      <c r="R413" s="944"/>
      <c r="S413" s="889"/>
      <c r="T413" s="889"/>
      <c r="U413" s="889"/>
      <c r="V413" s="889"/>
      <c r="W413" s="889"/>
      <c r="X413" s="889"/>
      <c r="Y413" s="889"/>
      <c r="Z413" s="889"/>
      <c r="AA413" s="889"/>
      <c r="AB413" s="889"/>
      <c r="AC413" s="889"/>
      <c r="AD413" s="889"/>
      <c r="AE413" s="889"/>
      <c r="AF413" s="889"/>
      <c r="AG413" s="889"/>
      <c r="AH413" s="889"/>
      <c r="AI413" s="889"/>
      <c r="AJ413" s="889"/>
      <c r="AK413" s="889"/>
      <c r="AL413" s="889"/>
      <c r="AM413" s="889"/>
      <c r="AN413" s="889"/>
      <c r="AO413" s="889"/>
      <c r="AP413" s="889"/>
      <c r="AQ413" s="889"/>
      <c r="AR413" s="889"/>
      <c r="AS413" s="889"/>
      <c r="AT413" s="889"/>
      <c r="AU413" s="889"/>
      <c r="AV413" s="889"/>
      <c r="AW413" s="889"/>
      <c r="AX413" s="889"/>
      <c r="AY413" s="889"/>
      <c r="AZ413" s="889"/>
    </row>
    <row r="414">
      <c r="A414" s="889"/>
      <c r="B414" s="889"/>
      <c r="C414" s="889"/>
      <c r="D414" s="889"/>
      <c r="E414" s="889"/>
      <c r="F414" s="889"/>
      <c r="G414" s="889"/>
      <c r="H414" s="889"/>
      <c r="I414" s="889"/>
      <c r="J414" s="889"/>
      <c r="K414" s="889"/>
      <c r="L414" s="889"/>
      <c r="M414" s="889"/>
      <c r="N414" s="944"/>
      <c r="O414" s="944"/>
      <c r="P414" s="944"/>
      <c r="Q414" s="944"/>
      <c r="R414" s="944"/>
      <c r="S414" s="889"/>
      <c r="T414" s="889"/>
      <c r="U414" s="889"/>
      <c r="V414" s="889"/>
      <c r="W414" s="889"/>
      <c r="X414" s="889"/>
      <c r="Y414" s="889"/>
      <c r="Z414" s="889"/>
      <c r="AA414" s="889"/>
      <c r="AB414" s="889"/>
      <c r="AC414" s="889"/>
      <c r="AD414" s="889"/>
      <c r="AE414" s="889"/>
      <c r="AF414" s="889"/>
      <c r="AG414" s="889"/>
      <c r="AH414" s="889"/>
      <c r="AI414" s="889"/>
      <c r="AJ414" s="889"/>
      <c r="AK414" s="889"/>
      <c r="AL414" s="889"/>
      <c r="AM414" s="889"/>
      <c r="AN414" s="889"/>
      <c r="AO414" s="889"/>
      <c r="AP414" s="889"/>
      <c r="AQ414" s="889"/>
      <c r="AR414" s="889"/>
      <c r="AS414" s="889"/>
      <c r="AT414" s="889"/>
      <c r="AU414" s="889"/>
      <c r="AV414" s="889"/>
      <c r="AW414" s="889"/>
      <c r="AX414" s="889"/>
      <c r="AY414" s="889"/>
      <c r="AZ414" s="889"/>
    </row>
    <row r="415">
      <c r="A415" s="889"/>
      <c r="B415" s="889"/>
      <c r="C415" s="889"/>
      <c r="D415" s="889"/>
      <c r="E415" s="889"/>
      <c r="F415" s="889"/>
      <c r="G415" s="889"/>
      <c r="H415" s="889"/>
      <c r="I415" s="889"/>
      <c r="J415" s="889"/>
      <c r="K415" s="889"/>
      <c r="L415" s="889"/>
      <c r="M415" s="889"/>
      <c r="N415" s="944"/>
      <c r="O415" s="944"/>
      <c r="P415" s="944"/>
      <c r="Q415" s="944"/>
      <c r="R415" s="944"/>
      <c r="S415" s="889"/>
      <c r="T415" s="889"/>
      <c r="U415" s="889"/>
      <c r="V415" s="889"/>
      <c r="W415" s="889"/>
      <c r="X415" s="889"/>
      <c r="Y415" s="889"/>
      <c r="Z415" s="889"/>
      <c r="AA415" s="889"/>
      <c r="AB415" s="889"/>
      <c r="AC415" s="889"/>
      <c r="AD415" s="889"/>
      <c r="AE415" s="889"/>
      <c r="AF415" s="889"/>
      <c r="AG415" s="889"/>
      <c r="AH415" s="889"/>
      <c r="AI415" s="889"/>
      <c r="AJ415" s="889"/>
      <c r="AK415" s="889"/>
      <c r="AL415" s="889"/>
      <c r="AM415" s="889"/>
      <c r="AN415" s="889"/>
      <c r="AO415" s="889"/>
      <c r="AP415" s="889"/>
      <c r="AQ415" s="889"/>
      <c r="AR415" s="889"/>
      <c r="AS415" s="889"/>
      <c r="AT415" s="889"/>
      <c r="AU415" s="889"/>
      <c r="AV415" s="889"/>
      <c r="AW415" s="889"/>
      <c r="AX415" s="889"/>
      <c r="AY415" s="889"/>
      <c r="AZ415" s="889"/>
    </row>
    <row r="416">
      <c r="A416" s="889"/>
      <c r="B416" s="889"/>
      <c r="C416" s="889"/>
      <c r="D416" s="889"/>
      <c r="E416" s="889"/>
      <c r="F416" s="889"/>
      <c r="G416" s="889"/>
      <c r="H416" s="889"/>
      <c r="I416" s="889"/>
      <c r="J416" s="889"/>
      <c r="K416" s="889"/>
      <c r="L416" s="889"/>
      <c r="M416" s="889"/>
      <c r="N416" s="944"/>
      <c r="O416" s="944"/>
      <c r="P416" s="944"/>
      <c r="Q416" s="944"/>
      <c r="R416" s="944"/>
      <c r="S416" s="889"/>
      <c r="T416" s="889"/>
      <c r="U416" s="889"/>
      <c r="V416" s="889"/>
      <c r="W416" s="889"/>
      <c r="X416" s="889"/>
      <c r="Y416" s="889"/>
      <c r="Z416" s="889"/>
      <c r="AA416" s="889"/>
      <c r="AB416" s="889"/>
      <c r="AC416" s="889"/>
      <c r="AD416" s="889"/>
      <c r="AE416" s="889"/>
      <c r="AF416" s="889"/>
      <c r="AG416" s="889"/>
      <c r="AH416" s="889"/>
      <c r="AI416" s="889"/>
      <c r="AJ416" s="889"/>
      <c r="AK416" s="889"/>
      <c r="AL416" s="889"/>
      <c r="AM416" s="889"/>
      <c r="AN416" s="889"/>
      <c r="AO416" s="889"/>
      <c r="AP416" s="889"/>
      <c r="AQ416" s="889"/>
      <c r="AR416" s="889"/>
      <c r="AS416" s="889"/>
      <c r="AT416" s="889"/>
      <c r="AU416" s="889"/>
      <c r="AV416" s="889"/>
      <c r="AW416" s="889"/>
      <c r="AX416" s="889"/>
      <c r="AY416" s="889"/>
      <c r="AZ416" s="889"/>
    </row>
    <row r="417">
      <c r="A417" s="889"/>
      <c r="B417" s="889"/>
      <c r="C417" s="889"/>
      <c r="D417" s="889"/>
      <c r="E417" s="889"/>
      <c r="F417" s="889"/>
      <c r="G417" s="889"/>
      <c r="H417" s="889"/>
      <c r="I417" s="889"/>
      <c r="J417" s="889"/>
      <c r="K417" s="889"/>
      <c r="L417" s="889"/>
      <c r="M417" s="889"/>
      <c r="N417" s="944"/>
      <c r="O417" s="944"/>
      <c r="P417" s="944"/>
      <c r="Q417" s="944"/>
      <c r="R417" s="944"/>
      <c r="S417" s="889"/>
      <c r="T417" s="889"/>
      <c r="U417" s="889"/>
      <c r="V417" s="889"/>
      <c r="W417" s="889"/>
      <c r="X417" s="889"/>
      <c r="Y417" s="889"/>
      <c r="Z417" s="889"/>
      <c r="AA417" s="889"/>
      <c r="AB417" s="889"/>
      <c r="AC417" s="889"/>
      <c r="AD417" s="889"/>
      <c r="AE417" s="889"/>
      <c r="AF417" s="889"/>
      <c r="AG417" s="889"/>
      <c r="AH417" s="889"/>
      <c r="AI417" s="889"/>
      <c r="AJ417" s="889"/>
      <c r="AK417" s="889"/>
      <c r="AL417" s="889"/>
      <c r="AM417" s="889"/>
      <c r="AN417" s="889"/>
      <c r="AO417" s="889"/>
      <c r="AP417" s="889"/>
      <c r="AQ417" s="889"/>
      <c r="AR417" s="889"/>
      <c r="AS417" s="889"/>
      <c r="AT417" s="889"/>
      <c r="AU417" s="889"/>
      <c r="AV417" s="889"/>
      <c r="AW417" s="889"/>
      <c r="AX417" s="889"/>
      <c r="AY417" s="889"/>
      <c r="AZ417" s="889"/>
    </row>
    <row r="418">
      <c r="A418" s="889"/>
      <c r="B418" s="889"/>
      <c r="C418" s="889"/>
      <c r="D418" s="889"/>
      <c r="E418" s="889"/>
      <c r="F418" s="889"/>
      <c r="G418" s="889"/>
      <c r="H418" s="889"/>
      <c r="I418" s="889"/>
      <c r="J418" s="889"/>
      <c r="K418" s="889"/>
      <c r="L418" s="889"/>
      <c r="M418" s="889"/>
      <c r="N418" s="944"/>
      <c r="O418" s="944"/>
      <c r="P418" s="944"/>
      <c r="Q418" s="944"/>
      <c r="R418" s="944"/>
      <c r="S418" s="889"/>
      <c r="T418" s="889"/>
      <c r="U418" s="889"/>
      <c r="V418" s="889"/>
      <c r="W418" s="889"/>
      <c r="X418" s="889"/>
      <c r="Y418" s="889"/>
      <c r="Z418" s="889"/>
      <c r="AA418" s="889"/>
      <c r="AB418" s="889"/>
      <c r="AC418" s="889"/>
      <c r="AD418" s="889"/>
      <c r="AE418" s="889"/>
      <c r="AF418" s="889"/>
      <c r="AG418" s="889"/>
      <c r="AH418" s="889"/>
      <c r="AI418" s="889"/>
      <c r="AJ418" s="889"/>
      <c r="AK418" s="889"/>
      <c r="AL418" s="889"/>
      <c r="AM418" s="889"/>
      <c r="AN418" s="889"/>
      <c r="AO418" s="889"/>
      <c r="AP418" s="889"/>
      <c r="AQ418" s="889"/>
      <c r="AR418" s="889"/>
      <c r="AS418" s="889"/>
      <c r="AT418" s="889"/>
      <c r="AU418" s="889"/>
      <c r="AV418" s="889"/>
      <c r="AW418" s="889"/>
      <c r="AX418" s="889"/>
      <c r="AY418" s="889"/>
      <c r="AZ418" s="889"/>
    </row>
    <row r="419">
      <c r="A419" s="889"/>
      <c r="B419" s="889"/>
      <c r="C419" s="889"/>
      <c r="D419" s="889"/>
      <c r="E419" s="889"/>
      <c r="F419" s="889"/>
      <c r="G419" s="889"/>
      <c r="H419" s="889"/>
      <c r="I419" s="889"/>
      <c r="J419" s="889"/>
      <c r="K419" s="889"/>
      <c r="L419" s="889"/>
      <c r="M419" s="889"/>
      <c r="N419" s="944"/>
      <c r="O419" s="944"/>
      <c r="P419" s="944"/>
      <c r="Q419" s="944"/>
      <c r="R419" s="944"/>
      <c r="S419" s="889"/>
      <c r="T419" s="889"/>
      <c r="U419" s="889"/>
      <c r="V419" s="889"/>
      <c r="W419" s="889"/>
      <c r="X419" s="889"/>
      <c r="Y419" s="889"/>
      <c r="Z419" s="889"/>
      <c r="AA419" s="889"/>
      <c r="AB419" s="889"/>
      <c r="AC419" s="889"/>
      <c r="AD419" s="889"/>
      <c r="AE419" s="889"/>
      <c r="AF419" s="889"/>
      <c r="AG419" s="889"/>
      <c r="AH419" s="889"/>
      <c r="AI419" s="889"/>
      <c r="AJ419" s="889"/>
      <c r="AK419" s="889"/>
      <c r="AL419" s="889"/>
      <c r="AM419" s="889"/>
      <c r="AN419" s="889"/>
      <c r="AO419" s="889"/>
      <c r="AP419" s="889"/>
      <c r="AQ419" s="889"/>
      <c r="AR419" s="889"/>
      <c r="AS419" s="889"/>
      <c r="AT419" s="889"/>
      <c r="AU419" s="889"/>
      <c r="AV419" s="889"/>
      <c r="AW419" s="889"/>
      <c r="AX419" s="889"/>
      <c r="AY419" s="889"/>
      <c r="AZ419" s="889"/>
    </row>
    <row r="420">
      <c r="A420" s="889"/>
      <c r="B420" s="889"/>
      <c r="C420" s="889"/>
      <c r="D420" s="889"/>
      <c r="E420" s="889"/>
      <c r="F420" s="889"/>
      <c r="G420" s="889"/>
      <c r="H420" s="889"/>
      <c r="I420" s="889"/>
      <c r="J420" s="889"/>
      <c r="K420" s="889"/>
      <c r="L420" s="889"/>
      <c r="M420" s="889"/>
      <c r="N420" s="944"/>
      <c r="O420" s="944"/>
      <c r="P420" s="944"/>
      <c r="Q420" s="944"/>
      <c r="R420" s="944"/>
      <c r="S420" s="889"/>
      <c r="T420" s="889"/>
      <c r="U420" s="889"/>
      <c r="V420" s="889"/>
      <c r="W420" s="889"/>
      <c r="X420" s="889"/>
      <c r="Y420" s="889"/>
      <c r="Z420" s="889"/>
      <c r="AA420" s="889"/>
      <c r="AB420" s="889"/>
      <c r="AC420" s="889"/>
      <c r="AD420" s="889"/>
      <c r="AE420" s="889"/>
      <c r="AF420" s="889"/>
      <c r="AG420" s="889"/>
      <c r="AH420" s="889"/>
      <c r="AI420" s="889"/>
      <c r="AJ420" s="889"/>
      <c r="AK420" s="889"/>
      <c r="AL420" s="889"/>
      <c r="AM420" s="889"/>
      <c r="AN420" s="889"/>
      <c r="AO420" s="889"/>
      <c r="AP420" s="889"/>
      <c r="AQ420" s="889"/>
      <c r="AR420" s="889"/>
      <c r="AS420" s="889"/>
      <c r="AT420" s="889"/>
      <c r="AU420" s="889"/>
      <c r="AV420" s="889"/>
      <c r="AW420" s="889"/>
      <c r="AX420" s="889"/>
      <c r="AY420" s="889"/>
      <c r="AZ420" s="889"/>
    </row>
    <row r="421">
      <c r="A421" s="889"/>
      <c r="B421" s="889"/>
      <c r="C421" s="889"/>
      <c r="D421" s="889"/>
      <c r="E421" s="889"/>
      <c r="F421" s="889"/>
      <c r="G421" s="889"/>
      <c r="H421" s="889"/>
      <c r="I421" s="889"/>
      <c r="J421" s="889"/>
      <c r="K421" s="889"/>
      <c r="L421" s="889"/>
      <c r="M421" s="889"/>
      <c r="N421" s="944"/>
      <c r="O421" s="944"/>
      <c r="P421" s="944"/>
      <c r="Q421" s="944"/>
      <c r="R421" s="944"/>
      <c r="S421" s="889"/>
      <c r="T421" s="889"/>
      <c r="U421" s="889"/>
      <c r="V421" s="889"/>
      <c r="W421" s="889"/>
      <c r="X421" s="889"/>
      <c r="Y421" s="889"/>
      <c r="Z421" s="889"/>
      <c r="AA421" s="889"/>
      <c r="AB421" s="889"/>
      <c r="AC421" s="889"/>
      <c r="AD421" s="889"/>
      <c r="AE421" s="889"/>
      <c r="AF421" s="889"/>
      <c r="AG421" s="889"/>
      <c r="AH421" s="889"/>
      <c r="AI421" s="889"/>
      <c r="AJ421" s="889"/>
      <c r="AK421" s="889"/>
      <c r="AL421" s="889"/>
      <c r="AM421" s="889"/>
      <c r="AN421" s="889"/>
      <c r="AO421" s="889"/>
      <c r="AP421" s="889"/>
      <c r="AQ421" s="889"/>
      <c r="AR421" s="889"/>
      <c r="AS421" s="889"/>
      <c r="AT421" s="889"/>
      <c r="AU421" s="889"/>
      <c r="AV421" s="889"/>
      <c r="AW421" s="889"/>
      <c r="AX421" s="889"/>
      <c r="AY421" s="889"/>
      <c r="AZ421" s="889"/>
    </row>
    <row r="422">
      <c r="A422" s="889"/>
      <c r="B422" s="889"/>
      <c r="C422" s="889"/>
      <c r="D422" s="889"/>
      <c r="E422" s="889"/>
      <c r="F422" s="889"/>
      <c r="G422" s="889"/>
      <c r="H422" s="889"/>
      <c r="I422" s="889"/>
      <c r="J422" s="889"/>
      <c r="K422" s="889"/>
      <c r="L422" s="889"/>
      <c r="M422" s="889"/>
      <c r="N422" s="944"/>
      <c r="O422" s="944"/>
      <c r="P422" s="944"/>
      <c r="Q422" s="944"/>
      <c r="R422" s="944"/>
      <c r="S422" s="889"/>
      <c r="T422" s="889"/>
      <c r="U422" s="889"/>
      <c r="V422" s="889"/>
      <c r="W422" s="889"/>
      <c r="X422" s="889"/>
      <c r="Y422" s="889"/>
      <c r="Z422" s="889"/>
      <c r="AA422" s="889"/>
      <c r="AB422" s="889"/>
      <c r="AC422" s="889"/>
      <c r="AD422" s="889"/>
      <c r="AE422" s="889"/>
      <c r="AF422" s="889"/>
      <c r="AG422" s="889"/>
      <c r="AH422" s="889"/>
      <c r="AI422" s="889"/>
      <c r="AJ422" s="889"/>
      <c r="AK422" s="889"/>
      <c r="AL422" s="889"/>
      <c r="AM422" s="889"/>
      <c r="AN422" s="889"/>
      <c r="AO422" s="889"/>
      <c r="AP422" s="889"/>
      <c r="AQ422" s="889"/>
      <c r="AR422" s="889"/>
      <c r="AS422" s="889"/>
      <c r="AT422" s="889"/>
      <c r="AU422" s="889"/>
      <c r="AV422" s="889"/>
      <c r="AW422" s="889"/>
      <c r="AX422" s="889"/>
      <c r="AY422" s="889"/>
      <c r="AZ422" s="889"/>
    </row>
    <row r="423">
      <c r="A423" s="889"/>
      <c r="B423" s="889"/>
      <c r="C423" s="889"/>
      <c r="D423" s="889"/>
      <c r="E423" s="889"/>
      <c r="F423" s="889"/>
      <c r="G423" s="889"/>
      <c r="H423" s="889"/>
      <c r="I423" s="889"/>
      <c r="J423" s="889"/>
      <c r="K423" s="889"/>
      <c r="L423" s="889"/>
      <c r="M423" s="889"/>
      <c r="N423" s="944"/>
      <c r="O423" s="944"/>
      <c r="P423" s="944"/>
      <c r="Q423" s="944"/>
      <c r="R423" s="944"/>
      <c r="S423" s="889"/>
      <c r="T423" s="889"/>
      <c r="U423" s="889"/>
      <c r="V423" s="889"/>
      <c r="W423" s="889"/>
      <c r="X423" s="889"/>
      <c r="Y423" s="889"/>
      <c r="Z423" s="889"/>
      <c r="AA423" s="889"/>
      <c r="AB423" s="889"/>
      <c r="AC423" s="889"/>
      <c r="AD423" s="889"/>
      <c r="AE423" s="889"/>
      <c r="AF423" s="889"/>
      <c r="AG423" s="889"/>
      <c r="AH423" s="889"/>
      <c r="AI423" s="889"/>
      <c r="AJ423" s="889"/>
      <c r="AK423" s="889"/>
      <c r="AL423" s="889"/>
      <c r="AM423" s="889"/>
      <c r="AN423" s="889"/>
      <c r="AO423" s="889"/>
      <c r="AP423" s="889"/>
      <c r="AQ423" s="889"/>
      <c r="AR423" s="889"/>
      <c r="AS423" s="889"/>
      <c r="AT423" s="889"/>
      <c r="AU423" s="889"/>
      <c r="AV423" s="889"/>
      <c r="AW423" s="889"/>
      <c r="AX423" s="889"/>
      <c r="AY423" s="889"/>
      <c r="AZ423" s="889"/>
    </row>
    <row r="424">
      <c r="A424" s="889"/>
      <c r="B424" s="889"/>
      <c r="C424" s="889"/>
      <c r="D424" s="889"/>
      <c r="E424" s="889"/>
      <c r="F424" s="889"/>
      <c r="G424" s="889"/>
      <c r="H424" s="889"/>
      <c r="I424" s="889"/>
      <c r="J424" s="889"/>
      <c r="K424" s="889"/>
      <c r="L424" s="889"/>
      <c r="M424" s="889"/>
      <c r="N424" s="944"/>
      <c r="O424" s="944"/>
      <c r="P424" s="944"/>
      <c r="Q424" s="944"/>
      <c r="R424" s="944"/>
      <c r="S424" s="889"/>
      <c r="T424" s="889"/>
      <c r="U424" s="889"/>
      <c r="V424" s="889"/>
      <c r="W424" s="889"/>
      <c r="X424" s="889"/>
      <c r="Y424" s="889"/>
      <c r="Z424" s="889"/>
      <c r="AA424" s="889"/>
      <c r="AB424" s="889"/>
      <c r="AC424" s="889"/>
      <c r="AD424" s="889"/>
      <c r="AE424" s="889"/>
      <c r="AF424" s="889"/>
      <c r="AG424" s="889"/>
      <c r="AH424" s="889"/>
      <c r="AI424" s="889"/>
      <c r="AJ424" s="889"/>
      <c r="AK424" s="889"/>
      <c r="AL424" s="889"/>
      <c r="AM424" s="889"/>
      <c r="AN424" s="889"/>
      <c r="AO424" s="889"/>
      <c r="AP424" s="889"/>
      <c r="AQ424" s="889"/>
      <c r="AR424" s="889"/>
      <c r="AS424" s="889"/>
      <c r="AT424" s="889"/>
      <c r="AU424" s="889"/>
      <c r="AV424" s="889"/>
      <c r="AW424" s="889"/>
      <c r="AX424" s="889"/>
      <c r="AY424" s="889"/>
      <c r="AZ424" s="889"/>
    </row>
    <row r="425">
      <c r="A425" s="889"/>
      <c r="B425" s="889"/>
      <c r="C425" s="889"/>
      <c r="D425" s="889"/>
      <c r="E425" s="889"/>
      <c r="F425" s="889"/>
      <c r="G425" s="889"/>
      <c r="H425" s="889"/>
      <c r="I425" s="889"/>
      <c r="J425" s="889"/>
      <c r="K425" s="889"/>
      <c r="L425" s="889"/>
      <c r="M425" s="889"/>
      <c r="N425" s="944"/>
      <c r="O425" s="944"/>
      <c r="P425" s="944"/>
      <c r="Q425" s="944"/>
      <c r="R425" s="944"/>
      <c r="S425" s="889"/>
      <c r="T425" s="889"/>
      <c r="U425" s="889"/>
      <c r="V425" s="889"/>
      <c r="W425" s="889"/>
      <c r="X425" s="889"/>
      <c r="Y425" s="889"/>
      <c r="Z425" s="889"/>
      <c r="AA425" s="889"/>
      <c r="AB425" s="889"/>
      <c r="AC425" s="889"/>
      <c r="AD425" s="889"/>
      <c r="AE425" s="889"/>
      <c r="AF425" s="889"/>
      <c r="AG425" s="889"/>
      <c r="AH425" s="889"/>
      <c r="AI425" s="889"/>
      <c r="AJ425" s="889"/>
      <c r="AK425" s="889"/>
      <c r="AL425" s="889"/>
      <c r="AM425" s="889"/>
      <c r="AN425" s="889"/>
      <c r="AO425" s="889"/>
      <c r="AP425" s="889"/>
      <c r="AQ425" s="889"/>
      <c r="AR425" s="889"/>
      <c r="AS425" s="889"/>
      <c r="AT425" s="889"/>
      <c r="AU425" s="889"/>
      <c r="AV425" s="889"/>
      <c r="AW425" s="889"/>
      <c r="AX425" s="889"/>
      <c r="AY425" s="889"/>
      <c r="AZ425" s="889"/>
    </row>
    <row r="426">
      <c r="A426" s="889"/>
      <c r="B426" s="889"/>
      <c r="C426" s="889"/>
      <c r="D426" s="889"/>
      <c r="E426" s="889"/>
      <c r="F426" s="889"/>
      <c r="G426" s="889"/>
      <c r="H426" s="889"/>
      <c r="I426" s="889"/>
      <c r="J426" s="889"/>
      <c r="K426" s="889"/>
      <c r="L426" s="889"/>
      <c r="M426" s="889"/>
      <c r="N426" s="944"/>
      <c r="O426" s="944"/>
      <c r="P426" s="944"/>
      <c r="Q426" s="944"/>
      <c r="R426" s="944"/>
      <c r="S426" s="889"/>
      <c r="T426" s="889"/>
      <c r="U426" s="889"/>
      <c r="V426" s="889"/>
      <c r="W426" s="889"/>
      <c r="X426" s="889"/>
      <c r="Y426" s="889"/>
      <c r="Z426" s="889"/>
      <c r="AA426" s="889"/>
      <c r="AB426" s="889"/>
      <c r="AC426" s="889"/>
      <c r="AD426" s="889"/>
      <c r="AE426" s="889"/>
      <c r="AF426" s="889"/>
      <c r="AG426" s="889"/>
      <c r="AH426" s="889"/>
      <c r="AI426" s="889"/>
      <c r="AJ426" s="889"/>
      <c r="AK426" s="889"/>
      <c r="AL426" s="889"/>
      <c r="AM426" s="889"/>
      <c r="AN426" s="889"/>
      <c r="AO426" s="889"/>
      <c r="AP426" s="889"/>
      <c r="AQ426" s="889"/>
      <c r="AR426" s="889"/>
      <c r="AS426" s="889"/>
      <c r="AT426" s="889"/>
      <c r="AU426" s="889"/>
      <c r="AV426" s="889"/>
      <c r="AW426" s="889"/>
      <c r="AX426" s="889"/>
      <c r="AY426" s="889"/>
      <c r="AZ426" s="889"/>
    </row>
    <row r="427">
      <c r="A427" s="889"/>
      <c r="B427" s="889"/>
      <c r="C427" s="889"/>
      <c r="D427" s="889"/>
      <c r="E427" s="889"/>
      <c r="F427" s="889"/>
      <c r="G427" s="889"/>
      <c r="H427" s="889"/>
      <c r="I427" s="889"/>
      <c r="J427" s="889"/>
      <c r="K427" s="889"/>
      <c r="L427" s="889"/>
      <c r="M427" s="889"/>
      <c r="N427" s="944"/>
      <c r="O427" s="944"/>
      <c r="P427" s="944"/>
      <c r="Q427" s="944"/>
      <c r="R427" s="944"/>
      <c r="S427" s="889"/>
      <c r="T427" s="889"/>
      <c r="U427" s="889"/>
      <c r="V427" s="889"/>
      <c r="W427" s="889"/>
      <c r="X427" s="889"/>
      <c r="Y427" s="889"/>
      <c r="Z427" s="889"/>
      <c r="AA427" s="889"/>
      <c r="AB427" s="889"/>
      <c r="AC427" s="889"/>
      <c r="AD427" s="889"/>
      <c r="AE427" s="889"/>
      <c r="AF427" s="889"/>
      <c r="AG427" s="889"/>
      <c r="AH427" s="889"/>
      <c r="AI427" s="889"/>
      <c r="AJ427" s="889"/>
      <c r="AK427" s="889"/>
      <c r="AL427" s="889"/>
      <c r="AM427" s="889"/>
      <c r="AN427" s="889"/>
      <c r="AO427" s="889"/>
      <c r="AP427" s="889"/>
      <c r="AQ427" s="889"/>
      <c r="AR427" s="889"/>
      <c r="AS427" s="889"/>
      <c r="AT427" s="889"/>
      <c r="AU427" s="889"/>
      <c r="AV427" s="889"/>
      <c r="AW427" s="889"/>
      <c r="AX427" s="889"/>
      <c r="AY427" s="889"/>
      <c r="AZ427" s="889"/>
    </row>
    <row r="428">
      <c r="A428" s="889"/>
      <c r="B428" s="889"/>
      <c r="C428" s="889"/>
      <c r="D428" s="889"/>
      <c r="E428" s="889"/>
      <c r="F428" s="889"/>
      <c r="G428" s="889"/>
      <c r="H428" s="889"/>
      <c r="I428" s="889"/>
      <c r="J428" s="889"/>
      <c r="K428" s="889"/>
      <c r="L428" s="889"/>
      <c r="M428" s="889"/>
      <c r="N428" s="944"/>
      <c r="O428" s="944"/>
      <c r="P428" s="944"/>
      <c r="Q428" s="944"/>
      <c r="R428" s="944"/>
      <c r="S428" s="889"/>
      <c r="T428" s="889"/>
      <c r="U428" s="889"/>
      <c r="V428" s="889"/>
      <c r="W428" s="889"/>
      <c r="X428" s="889"/>
      <c r="Y428" s="889"/>
      <c r="Z428" s="889"/>
      <c r="AA428" s="889"/>
      <c r="AB428" s="889"/>
      <c r="AC428" s="889"/>
      <c r="AD428" s="889"/>
      <c r="AE428" s="889"/>
      <c r="AF428" s="889"/>
      <c r="AG428" s="889"/>
      <c r="AH428" s="889"/>
      <c r="AI428" s="889"/>
      <c r="AJ428" s="889"/>
      <c r="AK428" s="889"/>
      <c r="AL428" s="889"/>
      <c r="AM428" s="889"/>
      <c r="AN428" s="889"/>
      <c r="AO428" s="889"/>
      <c r="AP428" s="889"/>
      <c r="AQ428" s="889"/>
      <c r="AR428" s="889"/>
      <c r="AS428" s="889"/>
      <c r="AT428" s="889"/>
      <c r="AU428" s="889"/>
      <c r="AV428" s="889"/>
      <c r="AW428" s="889"/>
      <c r="AX428" s="889"/>
      <c r="AY428" s="889"/>
      <c r="AZ428" s="889"/>
    </row>
    <row r="429">
      <c r="A429" s="889"/>
      <c r="B429" s="889"/>
      <c r="C429" s="889"/>
      <c r="D429" s="889"/>
      <c r="E429" s="889"/>
      <c r="F429" s="889"/>
      <c r="G429" s="889"/>
      <c r="H429" s="889"/>
      <c r="I429" s="889"/>
      <c r="J429" s="889"/>
      <c r="K429" s="889"/>
      <c r="L429" s="889"/>
      <c r="M429" s="889"/>
      <c r="N429" s="944"/>
      <c r="O429" s="944"/>
      <c r="P429" s="944"/>
      <c r="Q429" s="944"/>
      <c r="R429" s="944"/>
      <c r="S429" s="889"/>
      <c r="T429" s="889"/>
      <c r="U429" s="889"/>
      <c r="V429" s="889"/>
      <c r="W429" s="889"/>
      <c r="X429" s="889"/>
      <c r="Y429" s="889"/>
      <c r="Z429" s="889"/>
      <c r="AA429" s="889"/>
      <c r="AB429" s="889"/>
      <c r="AC429" s="889"/>
      <c r="AD429" s="889"/>
      <c r="AE429" s="889"/>
      <c r="AF429" s="889"/>
      <c r="AG429" s="889"/>
      <c r="AH429" s="889"/>
      <c r="AI429" s="889"/>
      <c r="AJ429" s="889"/>
      <c r="AK429" s="889"/>
      <c r="AL429" s="889"/>
      <c r="AM429" s="889"/>
      <c r="AN429" s="889"/>
      <c r="AO429" s="889"/>
      <c r="AP429" s="889"/>
      <c r="AQ429" s="889"/>
      <c r="AR429" s="889"/>
      <c r="AS429" s="889"/>
      <c r="AT429" s="889"/>
      <c r="AU429" s="889"/>
      <c r="AV429" s="889"/>
      <c r="AW429" s="889"/>
      <c r="AX429" s="889"/>
      <c r="AY429" s="889"/>
      <c r="AZ429" s="889"/>
    </row>
    <row r="430">
      <c r="A430" s="889"/>
      <c r="B430" s="889"/>
      <c r="C430" s="889"/>
      <c r="D430" s="889"/>
      <c r="E430" s="889"/>
      <c r="F430" s="889"/>
      <c r="G430" s="889"/>
      <c r="H430" s="889"/>
      <c r="I430" s="889"/>
      <c r="J430" s="889"/>
      <c r="K430" s="889"/>
      <c r="L430" s="889"/>
      <c r="M430" s="889"/>
      <c r="N430" s="944"/>
      <c r="O430" s="944"/>
      <c r="P430" s="944"/>
      <c r="Q430" s="944"/>
      <c r="R430" s="944"/>
      <c r="S430" s="889"/>
      <c r="T430" s="889"/>
      <c r="U430" s="889"/>
      <c r="V430" s="889"/>
      <c r="W430" s="889"/>
      <c r="X430" s="889"/>
      <c r="Y430" s="889"/>
      <c r="Z430" s="889"/>
      <c r="AA430" s="889"/>
      <c r="AB430" s="889"/>
      <c r="AC430" s="889"/>
      <c r="AD430" s="889"/>
      <c r="AE430" s="889"/>
      <c r="AF430" s="889"/>
      <c r="AG430" s="889"/>
      <c r="AH430" s="889"/>
      <c r="AI430" s="889"/>
      <c r="AJ430" s="889"/>
      <c r="AK430" s="889"/>
      <c r="AL430" s="889"/>
      <c r="AM430" s="889"/>
      <c r="AN430" s="889"/>
      <c r="AO430" s="889"/>
      <c r="AP430" s="889"/>
      <c r="AQ430" s="889"/>
      <c r="AR430" s="889"/>
      <c r="AS430" s="889"/>
      <c r="AT430" s="889"/>
      <c r="AU430" s="889"/>
      <c r="AV430" s="889"/>
      <c r="AW430" s="889"/>
      <c r="AX430" s="889"/>
      <c r="AY430" s="889"/>
      <c r="AZ430" s="889"/>
    </row>
    <row r="431">
      <c r="A431" s="889"/>
      <c r="B431" s="889"/>
      <c r="C431" s="889"/>
      <c r="D431" s="889"/>
      <c r="E431" s="889"/>
      <c r="F431" s="889"/>
      <c r="G431" s="889"/>
      <c r="H431" s="889"/>
      <c r="I431" s="889"/>
      <c r="J431" s="889"/>
      <c r="K431" s="889"/>
      <c r="L431" s="889"/>
      <c r="M431" s="889"/>
      <c r="N431" s="944"/>
      <c r="O431" s="944"/>
      <c r="P431" s="944"/>
      <c r="Q431" s="944"/>
      <c r="R431" s="944"/>
      <c r="S431" s="889"/>
      <c r="T431" s="889"/>
      <c r="U431" s="889"/>
      <c r="V431" s="889"/>
      <c r="W431" s="889"/>
      <c r="X431" s="889"/>
      <c r="Y431" s="889"/>
      <c r="Z431" s="889"/>
      <c r="AA431" s="889"/>
      <c r="AB431" s="889"/>
      <c r="AC431" s="889"/>
      <c r="AD431" s="889"/>
      <c r="AE431" s="889"/>
      <c r="AF431" s="889"/>
      <c r="AG431" s="889"/>
      <c r="AH431" s="889"/>
      <c r="AI431" s="889"/>
      <c r="AJ431" s="889"/>
      <c r="AK431" s="889"/>
      <c r="AL431" s="889"/>
      <c r="AM431" s="889"/>
      <c r="AN431" s="889"/>
      <c r="AO431" s="889"/>
      <c r="AP431" s="889"/>
      <c r="AQ431" s="889"/>
      <c r="AR431" s="889"/>
      <c r="AS431" s="889"/>
      <c r="AT431" s="889"/>
      <c r="AU431" s="889"/>
      <c r="AV431" s="889"/>
      <c r="AW431" s="889"/>
      <c r="AX431" s="889"/>
      <c r="AY431" s="889"/>
      <c r="AZ431" s="889"/>
    </row>
    <row r="432">
      <c r="A432" s="889"/>
      <c r="B432" s="889"/>
      <c r="C432" s="889"/>
      <c r="D432" s="889"/>
      <c r="E432" s="889"/>
      <c r="F432" s="889"/>
      <c r="G432" s="889"/>
      <c r="H432" s="889"/>
      <c r="I432" s="889"/>
      <c r="J432" s="889"/>
      <c r="K432" s="889"/>
      <c r="L432" s="889"/>
      <c r="M432" s="889"/>
      <c r="N432" s="944"/>
      <c r="O432" s="944"/>
      <c r="P432" s="944"/>
      <c r="Q432" s="944"/>
      <c r="R432" s="944"/>
      <c r="S432" s="889"/>
      <c r="T432" s="889"/>
      <c r="U432" s="889"/>
      <c r="V432" s="889"/>
      <c r="W432" s="889"/>
      <c r="X432" s="889"/>
      <c r="Y432" s="889"/>
      <c r="Z432" s="889"/>
      <c r="AA432" s="889"/>
      <c r="AB432" s="889"/>
      <c r="AC432" s="889"/>
      <c r="AD432" s="889"/>
      <c r="AE432" s="889"/>
      <c r="AF432" s="889"/>
      <c r="AG432" s="889"/>
      <c r="AH432" s="889"/>
      <c r="AI432" s="889"/>
      <c r="AJ432" s="889"/>
      <c r="AK432" s="889"/>
      <c r="AL432" s="889"/>
      <c r="AM432" s="889"/>
      <c r="AN432" s="889"/>
      <c r="AO432" s="889"/>
      <c r="AP432" s="889"/>
      <c r="AQ432" s="889"/>
      <c r="AR432" s="889"/>
      <c r="AS432" s="889"/>
      <c r="AT432" s="889"/>
      <c r="AU432" s="889"/>
      <c r="AV432" s="889"/>
      <c r="AW432" s="889"/>
      <c r="AX432" s="889"/>
      <c r="AY432" s="889"/>
      <c r="AZ432" s="889"/>
    </row>
    <row r="433">
      <c r="A433" s="889"/>
      <c r="B433" s="889"/>
      <c r="C433" s="889"/>
      <c r="D433" s="889"/>
      <c r="E433" s="889"/>
      <c r="F433" s="889"/>
      <c r="G433" s="889"/>
      <c r="H433" s="889"/>
      <c r="I433" s="889"/>
      <c r="J433" s="889"/>
      <c r="K433" s="889"/>
      <c r="L433" s="889"/>
      <c r="M433" s="889"/>
      <c r="N433" s="944"/>
      <c r="O433" s="944"/>
      <c r="P433" s="944"/>
      <c r="Q433" s="944"/>
      <c r="R433" s="944"/>
      <c r="S433" s="889"/>
      <c r="T433" s="889"/>
      <c r="U433" s="889"/>
      <c r="V433" s="889"/>
      <c r="W433" s="889"/>
      <c r="X433" s="889"/>
      <c r="Y433" s="889"/>
      <c r="Z433" s="889"/>
      <c r="AA433" s="889"/>
      <c r="AB433" s="889"/>
      <c r="AC433" s="889"/>
      <c r="AD433" s="889"/>
      <c r="AE433" s="889"/>
      <c r="AF433" s="889"/>
      <c r="AG433" s="889"/>
      <c r="AH433" s="889"/>
      <c r="AI433" s="889"/>
      <c r="AJ433" s="889"/>
      <c r="AK433" s="889"/>
      <c r="AL433" s="889"/>
      <c r="AM433" s="889"/>
      <c r="AN433" s="889"/>
      <c r="AO433" s="889"/>
      <c r="AP433" s="889"/>
      <c r="AQ433" s="889"/>
      <c r="AR433" s="889"/>
      <c r="AS433" s="889"/>
      <c r="AT433" s="889"/>
      <c r="AU433" s="889"/>
      <c r="AV433" s="889"/>
      <c r="AW433" s="889"/>
      <c r="AX433" s="889"/>
      <c r="AY433" s="889"/>
      <c r="AZ433" s="889"/>
    </row>
    <row r="434">
      <c r="A434" s="889"/>
      <c r="B434" s="889"/>
      <c r="C434" s="889"/>
      <c r="D434" s="889"/>
      <c r="E434" s="889"/>
      <c r="F434" s="889"/>
      <c r="G434" s="889"/>
      <c r="H434" s="889"/>
      <c r="I434" s="889"/>
      <c r="J434" s="889"/>
      <c r="K434" s="889"/>
      <c r="L434" s="889"/>
      <c r="M434" s="889"/>
      <c r="N434" s="944"/>
      <c r="O434" s="944"/>
      <c r="P434" s="944"/>
      <c r="Q434" s="944"/>
      <c r="R434" s="944"/>
      <c r="S434" s="889"/>
      <c r="T434" s="889"/>
      <c r="U434" s="889"/>
      <c r="V434" s="889"/>
      <c r="W434" s="889"/>
      <c r="X434" s="889"/>
      <c r="Y434" s="889"/>
      <c r="Z434" s="889"/>
      <c r="AA434" s="889"/>
      <c r="AB434" s="889"/>
      <c r="AC434" s="889"/>
      <c r="AD434" s="889"/>
      <c r="AE434" s="889"/>
      <c r="AF434" s="889"/>
      <c r="AG434" s="889"/>
      <c r="AH434" s="889"/>
      <c r="AI434" s="889"/>
      <c r="AJ434" s="889"/>
      <c r="AK434" s="889"/>
      <c r="AL434" s="889"/>
      <c r="AM434" s="889"/>
      <c r="AN434" s="889"/>
      <c r="AO434" s="889"/>
      <c r="AP434" s="889"/>
      <c r="AQ434" s="889"/>
      <c r="AR434" s="889"/>
      <c r="AS434" s="889"/>
      <c r="AT434" s="889"/>
      <c r="AU434" s="889"/>
      <c r="AV434" s="889"/>
      <c r="AW434" s="889"/>
      <c r="AX434" s="889"/>
      <c r="AY434" s="889"/>
      <c r="AZ434" s="889"/>
    </row>
    <row r="435">
      <c r="A435" s="889"/>
      <c r="B435" s="889"/>
      <c r="C435" s="889"/>
      <c r="D435" s="889"/>
      <c r="E435" s="889"/>
      <c r="F435" s="889"/>
      <c r="G435" s="889"/>
      <c r="H435" s="889"/>
      <c r="I435" s="889"/>
      <c r="J435" s="889"/>
      <c r="K435" s="889"/>
      <c r="L435" s="889"/>
      <c r="M435" s="889"/>
      <c r="N435" s="944"/>
      <c r="O435" s="944"/>
      <c r="P435" s="944"/>
      <c r="Q435" s="944"/>
      <c r="R435" s="944"/>
      <c r="S435" s="889"/>
      <c r="T435" s="889"/>
      <c r="U435" s="889"/>
      <c r="V435" s="889"/>
      <c r="W435" s="889"/>
      <c r="X435" s="889"/>
      <c r="Y435" s="889"/>
      <c r="Z435" s="889"/>
      <c r="AA435" s="889"/>
      <c r="AB435" s="889"/>
      <c r="AC435" s="889"/>
      <c r="AD435" s="889"/>
      <c r="AE435" s="889"/>
      <c r="AF435" s="889"/>
      <c r="AG435" s="889"/>
      <c r="AH435" s="889"/>
      <c r="AI435" s="889"/>
      <c r="AJ435" s="889"/>
      <c r="AK435" s="889"/>
      <c r="AL435" s="889"/>
      <c r="AM435" s="889"/>
      <c r="AN435" s="889"/>
      <c r="AO435" s="889"/>
      <c r="AP435" s="889"/>
      <c r="AQ435" s="889"/>
      <c r="AR435" s="889"/>
      <c r="AS435" s="889"/>
      <c r="AT435" s="889"/>
      <c r="AU435" s="889"/>
      <c r="AV435" s="889"/>
      <c r="AW435" s="889"/>
      <c r="AX435" s="889"/>
      <c r="AY435" s="889"/>
      <c r="AZ435" s="889"/>
    </row>
    <row r="436">
      <c r="A436" s="889"/>
      <c r="B436" s="889"/>
      <c r="C436" s="889"/>
      <c r="D436" s="889"/>
      <c r="E436" s="889"/>
      <c r="F436" s="889"/>
      <c r="G436" s="889"/>
      <c r="H436" s="889"/>
      <c r="I436" s="889"/>
      <c r="J436" s="889"/>
      <c r="K436" s="889"/>
      <c r="L436" s="889"/>
      <c r="M436" s="889"/>
      <c r="N436" s="944"/>
      <c r="O436" s="944"/>
      <c r="P436" s="944"/>
      <c r="Q436" s="944"/>
      <c r="R436" s="944"/>
      <c r="S436" s="889"/>
      <c r="T436" s="889"/>
      <c r="U436" s="889"/>
      <c r="V436" s="889"/>
      <c r="W436" s="889"/>
      <c r="X436" s="889"/>
      <c r="Y436" s="889"/>
      <c r="Z436" s="889"/>
      <c r="AA436" s="889"/>
      <c r="AB436" s="889"/>
      <c r="AC436" s="889"/>
      <c r="AD436" s="889"/>
      <c r="AE436" s="889"/>
      <c r="AF436" s="889"/>
      <c r="AG436" s="889"/>
      <c r="AH436" s="889"/>
      <c r="AI436" s="889"/>
      <c r="AJ436" s="889"/>
      <c r="AK436" s="889"/>
      <c r="AL436" s="889"/>
      <c r="AM436" s="889"/>
      <c r="AN436" s="889"/>
      <c r="AO436" s="889"/>
      <c r="AP436" s="889"/>
      <c r="AQ436" s="889"/>
      <c r="AR436" s="889"/>
      <c r="AS436" s="889"/>
      <c r="AT436" s="889"/>
      <c r="AU436" s="889"/>
      <c r="AV436" s="889"/>
      <c r="AW436" s="889"/>
      <c r="AX436" s="889"/>
      <c r="AY436" s="889"/>
      <c r="AZ436" s="889"/>
    </row>
    <row r="437">
      <c r="A437" s="889"/>
      <c r="B437" s="889"/>
      <c r="C437" s="889"/>
      <c r="D437" s="889"/>
      <c r="E437" s="889"/>
      <c r="F437" s="889"/>
      <c r="G437" s="889"/>
      <c r="H437" s="889"/>
      <c r="I437" s="889"/>
      <c r="J437" s="889"/>
      <c r="K437" s="889"/>
      <c r="L437" s="889"/>
      <c r="M437" s="889"/>
      <c r="N437" s="944"/>
      <c r="O437" s="944"/>
      <c r="P437" s="944"/>
      <c r="Q437" s="944"/>
      <c r="R437" s="944"/>
      <c r="S437" s="889"/>
      <c r="T437" s="889"/>
      <c r="U437" s="889"/>
      <c r="V437" s="889"/>
      <c r="W437" s="889"/>
      <c r="X437" s="889"/>
      <c r="Y437" s="889"/>
      <c r="Z437" s="889"/>
      <c r="AA437" s="889"/>
      <c r="AB437" s="889"/>
      <c r="AC437" s="889"/>
      <c r="AD437" s="889"/>
      <c r="AE437" s="889"/>
      <c r="AF437" s="889"/>
      <c r="AG437" s="889"/>
      <c r="AH437" s="889"/>
      <c r="AI437" s="889"/>
      <c r="AJ437" s="889"/>
      <c r="AK437" s="889"/>
      <c r="AL437" s="889"/>
      <c r="AM437" s="889"/>
      <c r="AN437" s="889"/>
      <c r="AO437" s="889"/>
      <c r="AP437" s="889"/>
      <c r="AQ437" s="889"/>
      <c r="AR437" s="889"/>
      <c r="AS437" s="889"/>
      <c r="AT437" s="889"/>
      <c r="AU437" s="889"/>
      <c r="AV437" s="889"/>
      <c r="AW437" s="889"/>
      <c r="AX437" s="889"/>
      <c r="AY437" s="889"/>
      <c r="AZ437" s="889"/>
    </row>
    <row r="438">
      <c r="A438" s="889"/>
      <c r="B438" s="889"/>
      <c r="C438" s="889"/>
      <c r="D438" s="889"/>
      <c r="E438" s="889"/>
      <c r="F438" s="889"/>
      <c r="G438" s="889"/>
      <c r="H438" s="889"/>
      <c r="I438" s="889"/>
      <c r="J438" s="889"/>
      <c r="K438" s="889"/>
      <c r="L438" s="889"/>
      <c r="M438" s="889"/>
      <c r="N438" s="944"/>
      <c r="O438" s="944"/>
      <c r="P438" s="944"/>
      <c r="Q438" s="944"/>
      <c r="R438" s="944"/>
      <c r="S438" s="889"/>
      <c r="T438" s="889"/>
      <c r="U438" s="889"/>
      <c r="V438" s="889"/>
      <c r="W438" s="889"/>
      <c r="X438" s="889"/>
      <c r="Y438" s="889"/>
      <c r="Z438" s="889"/>
      <c r="AA438" s="889"/>
      <c r="AB438" s="889"/>
      <c r="AC438" s="889"/>
      <c r="AD438" s="889"/>
      <c r="AE438" s="889"/>
      <c r="AF438" s="889"/>
      <c r="AG438" s="889"/>
      <c r="AH438" s="889"/>
      <c r="AI438" s="889"/>
      <c r="AJ438" s="889"/>
      <c r="AK438" s="889"/>
      <c r="AL438" s="889"/>
      <c r="AM438" s="889"/>
      <c r="AN438" s="889"/>
      <c r="AO438" s="889"/>
      <c r="AP438" s="889"/>
      <c r="AQ438" s="889"/>
      <c r="AR438" s="889"/>
      <c r="AS438" s="889"/>
      <c r="AT438" s="889"/>
      <c r="AU438" s="889"/>
      <c r="AV438" s="889"/>
      <c r="AW438" s="889"/>
      <c r="AX438" s="889"/>
      <c r="AY438" s="889"/>
      <c r="AZ438" s="889"/>
    </row>
    <row r="439">
      <c r="A439" s="889"/>
      <c r="B439" s="889"/>
      <c r="C439" s="889"/>
      <c r="D439" s="889"/>
      <c r="E439" s="889"/>
      <c r="F439" s="889"/>
      <c r="G439" s="889"/>
      <c r="H439" s="889"/>
      <c r="I439" s="889"/>
      <c r="J439" s="889"/>
      <c r="K439" s="889"/>
      <c r="L439" s="889"/>
      <c r="M439" s="889"/>
      <c r="N439" s="944"/>
      <c r="O439" s="944"/>
      <c r="P439" s="944"/>
      <c r="Q439" s="944"/>
      <c r="R439" s="944"/>
      <c r="S439" s="889"/>
      <c r="T439" s="889"/>
      <c r="U439" s="889"/>
      <c r="V439" s="889"/>
      <c r="W439" s="889"/>
      <c r="X439" s="889"/>
      <c r="Y439" s="889"/>
      <c r="Z439" s="889"/>
      <c r="AA439" s="889"/>
      <c r="AB439" s="889"/>
      <c r="AC439" s="889"/>
      <c r="AD439" s="889"/>
      <c r="AE439" s="889"/>
      <c r="AF439" s="889"/>
      <c r="AG439" s="889"/>
      <c r="AH439" s="889"/>
      <c r="AI439" s="889"/>
      <c r="AJ439" s="889"/>
      <c r="AK439" s="889"/>
      <c r="AL439" s="889"/>
      <c r="AM439" s="889"/>
      <c r="AN439" s="889"/>
      <c r="AO439" s="889"/>
      <c r="AP439" s="889"/>
      <c r="AQ439" s="889"/>
      <c r="AR439" s="889"/>
      <c r="AS439" s="889"/>
      <c r="AT439" s="889"/>
      <c r="AU439" s="889"/>
      <c r="AV439" s="889"/>
      <c r="AW439" s="889"/>
      <c r="AX439" s="889"/>
      <c r="AY439" s="889"/>
      <c r="AZ439" s="889"/>
    </row>
    <row r="440">
      <c r="A440" s="889"/>
      <c r="B440" s="889"/>
      <c r="C440" s="889"/>
      <c r="D440" s="889"/>
      <c r="E440" s="889"/>
      <c r="F440" s="889"/>
      <c r="G440" s="889"/>
      <c r="H440" s="889"/>
      <c r="I440" s="889"/>
      <c r="J440" s="889"/>
      <c r="K440" s="889"/>
      <c r="L440" s="889"/>
      <c r="M440" s="889"/>
      <c r="N440" s="944"/>
      <c r="O440" s="944"/>
      <c r="P440" s="944"/>
      <c r="Q440" s="944"/>
      <c r="R440" s="944"/>
      <c r="S440" s="889"/>
      <c r="T440" s="889"/>
      <c r="U440" s="889"/>
      <c r="V440" s="889"/>
      <c r="W440" s="889"/>
      <c r="X440" s="889"/>
      <c r="Y440" s="889"/>
      <c r="Z440" s="889"/>
      <c r="AA440" s="889"/>
      <c r="AB440" s="889"/>
      <c r="AC440" s="889"/>
      <c r="AD440" s="889"/>
      <c r="AE440" s="889"/>
      <c r="AF440" s="889"/>
      <c r="AG440" s="889"/>
      <c r="AH440" s="889"/>
      <c r="AI440" s="889"/>
      <c r="AJ440" s="889"/>
      <c r="AK440" s="889"/>
      <c r="AL440" s="889"/>
      <c r="AM440" s="889"/>
      <c r="AN440" s="889"/>
      <c r="AO440" s="889"/>
      <c r="AP440" s="889"/>
      <c r="AQ440" s="889"/>
      <c r="AR440" s="889"/>
      <c r="AS440" s="889"/>
      <c r="AT440" s="889"/>
      <c r="AU440" s="889"/>
      <c r="AV440" s="889"/>
      <c r="AW440" s="889"/>
      <c r="AX440" s="889"/>
      <c r="AY440" s="889"/>
      <c r="AZ440" s="889"/>
    </row>
    <row r="441">
      <c r="A441" s="889"/>
      <c r="B441" s="889"/>
      <c r="C441" s="889"/>
      <c r="D441" s="889"/>
      <c r="E441" s="889"/>
      <c r="F441" s="889"/>
      <c r="G441" s="889"/>
      <c r="H441" s="889"/>
      <c r="I441" s="889"/>
      <c r="J441" s="889"/>
      <c r="K441" s="889"/>
      <c r="L441" s="889"/>
      <c r="M441" s="889"/>
      <c r="N441" s="944"/>
      <c r="O441" s="944"/>
      <c r="P441" s="944"/>
      <c r="Q441" s="944"/>
      <c r="R441" s="944"/>
      <c r="S441" s="889"/>
      <c r="T441" s="889"/>
      <c r="U441" s="889"/>
      <c r="V441" s="889"/>
      <c r="W441" s="889"/>
      <c r="X441" s="889"/>
      <c r="Y441" s="889"/>
      <c r="Z441" s="889"/>
      <c r="AA441" s="889"/>
      <c r="AB441" s="889"/>
      <c r="AC441" s="889"/>
      <c r="AD441" s="889"/>
      <c r="AE441" s="889"/>
      <c r="AF441" s="889"/>
      <c r="AG441" s="889"/>
      <c r="AH441" s="889"/>
      <c r="AI441" s="889"/>
      <c r="AJ441" s="889"/>
      <c r="AK441" s="889"/>
      <c r="AL441" s="889"/>
      <c r="AM441" s="889"/>
      <c r="AN441" s="889"/>
      <c r="AO441" s="889"/>
      <c r="AP441" s="889"/>
      <c r="AQ441" s="889"/>
      <c r="AR441" s="889"/>
      <c r="AS441" s="889"/>
      <c r="AT441" s="889"/>
      <c r="AU441" s="889"/>
      <c r="AV441" s="889"/>
      <c r="AW441" s="889"/>
      <c r="AX441" s="889"/>
      <c r="AY441" s="889"/>
      <c r="AZ441" s="889"/>
    </row>
    <row r="442">
      <c r="A442" s="889"/>
      <c r="B442" s="889"/>
      <c r="C442" s="889"/>
      <c r="D442" s="889"/>
      <c r="E442" s="889"/>
      <c r="F442" s="889"/>
      <c r="G442" s="889"/>
      <c r="H442" s="889"/>
      <c r="I442" s="889"/>
      <c r="J442" s="889"/>
      <c r="K442" s="889"/>
      <c r="L442" s="889"/>
      <c r="M442" s="889"/>
      <c r="N442" s="944"/>
      <c r="O442" s="944"/>
      <c r="P442" s="944"/>
      <c r="Q442" s="944"/>
      <c r="R442" s="944"/>
      <c r="S442" s="889"/>
      <c r="T442" s="889"/>
      <c r="U442" s="889"/>
      <c r="V442" s="889"/>
      <c r="W442" s="889"/>
      <c r="X442" s="889"/>
      <c r="Y442" s="889"/>
      <c r="Z442" s="889"/>
      <c r="AA442" s="889"/>
      <c r="AB442" s="889"/>
      <c r="AC442" s="889"/>
      <c r="AD442" s="889"/>
      <c r="AE442" s="889"/>
      <c r="AF442" s="889"/>
      <c r="AG442" s="889"/>
      <c r="AH442" s="889"/>
      <c r="AI442" s="889"/>
      <c r="AJ442" s="889"/>
      <c r="AK442" s="889"/>
      <c r="AL442" s="889"/>
      <c r="AM442" s="889"/>
      <c r="AN442" s="889"/>
      <c r="AO442" s="889"/>
      <c r="AP442" s="889"/>
      <c r="AQ442" s="889"/>
      <c r="AR442" s="889"/>
      <c r="AS442" s="889"/>
      <c r="AT442" s="889"/>
      <c r="AU442" s="889"/>
      <c r="AV442" s="889"/>
      <c r="AW442" s="889"/>
      <c r="AX442" s="889"/>
      <c r="AY442" s="889"/>
      <c r="AZ442" s="889"/>
    </row>
    <row r="443">
      <c r="A443" s="889"/>
      <c r="B443" s="889"/>
      <c r="C443" s="889"/>
      <c r="D443" s="889"/>
      <c r="E443" s="889"/>
      <c r="F443" s="889"/>
      <c r="G443" s="889"/>
      <c r="H443" s="889"/>
      <c r="I443" s="889"/>
      <c r="J443" s="889"/>
      <c r="K443" s="889"/>
      <c r="L443" s="889"/>
      <c r="M443" s="889"/>
      <c r="N443" s="944"/>
      <c r="O443" s="944"/>
      <c r="P443" s="944"/>
      <c r="Q443" s="944"/>
      <c r="R443" s="944"/>
      <c r="S443" s="889"/>
      <c r="T443" s="889"/>
      <c r="U443" s="889"/>
      <c r="V443" s="889"/>
      <c r="W443" s="889"/>
      <c r="X443" s="889"/>
      <c r="Y443" s="889"/>
      <c r="Z443" s="889"/>
      <c r="AA443" s="889"/>
      <c r="AB443" s="889"/>
      <c r="AC443" s="889"/>
      <c r="AD443" s="889"/>
      <c r="AE443" s="889"/>
      <c r="AF443" s="889"/>
      <c r="AG443" s="889"/>
      <c r="AH443" s="889"/>
      <c r="AI443" s="889"/>
      <c r="AJ443" s="889"/>
      <c r="AK443" s="889"/>
      <c r="AL443" s="889"/>
      <c r="AM443" s="889"/>
      <c r="AN443" s="889"/>
      <c r="AO443" s="889"/>
      <c r="AP443" s="889"/>
      <c r="AQ443" s="889"/>
      <c r="AR443" s="889"/>
      <c r="AS443" s="889"/>
      <c r="AT443" s="889"/>
      <c r="AU443" s="889"/>
      <c r="AV443" s="889"/>
      <c r="AW443" s="889"/>
      <c r="AX443" s="889"/>
      <c r="AY443" s="889"/>
      <c r="AZ443" s="889"/>
    </row>
    <row r="444">
      <c r="A444" s="889"/>
      <c r="B444" s="889"/>
      <c r="C444" s="889"/>
      <c r="D444" s="889"/>
      <c r="E444" s="889"/>
      <c r="F444" s="889"/>
      <c r="G444" s="889"/>
      <c r="H444" s="889"/>
      <c r="I444" s="889"/>
      <c r="J444" s="889"/>
      <c r="K444" s="889"/>
      <c r="L444" s="889"/>
      <c r="M444" s="889"/>
      <c r="N444" s="944"/>
      <c r="O444" s="944"/>
      <c r="P444" s="944"/>
      <c r="Q444" s="944"/>
      <c r="R444" s="944"/>
      <c r="S444" s="889"/>
      <c r="T444" s="889"/>
      <c r="U444" s="889"/>
      <c r="V444" s="889"/>
      <c r="W444" s="889"/>
      <c r="X444" s="889"/>
      <c r="Y444" s="889"/>
      <c r="Z444" s="889"/>
      <c r="AA444" s="889"/>
      <c r="AB444" s="889"/>
      <c r="AC444" s="889"/>
      <c r="AD444" s="889"/>
      <c r="AE444" s="889"/>
      <c r="AF444" s="889"/>
      <c r="AG444" s="889"/>
      <c r="AH444" s="889"/>
      <c r="AI444" s="889"/>
      <c r="AJ444" s="889"/>
      <c r="AK444" s="889"/>
      <c r="AL444" s="889"/>
      <c r="AM444" s="889"/>
      <c r="AN444" s="889"/>
      <c r="AO444" s="889"/>
      <c r="AP444" s="889"/>
      <c r="AQ444" s="889"/>
      <c r="AR444" s="889"/>
      <c r="AS444" s="889"/>
      <c r="AT444" s="889"/>
      <c r="AU444" s="889"/>
      <c r="AV444" s="889"/>
      <c r="AW444" s="889"/>
      <c r="AX444" s="889"/>
      <c r="AY444" s="889"/>
      <c r="AZ444" s="889"/>
    </row>
    <row r="445">
      <c r="A445" s="889"/>
      <c r="B445" s="889"/>
      <c r="C445" s="889"/>
      <c r="D445" s="889"/>
      <c r="E445" s="889"/>
      <c r="F445" s="889"/>
      <c r="G445" s="889"/>
      <c r="H445" s="889"/>
      <c r="I445" s="889"/>
      <c r="J445" s="889"/>
      <c r="K445" s="889"/>
      <c r="L445" s="889"/>
      <c r="M445" s="889"/>
      <c r="N445" s="944"/>
      <c r="O445" s="944"/>
      <c r="P445" s="944"/>
      <c r="Q445" s="944"/>
      <c r="R445" s="944"/>
      <c r="S445" s="889"/>
      <c r="T445" s="889"/>
      <c r="U445" s="889"/>
      <c r="V445" s="889"/>
      <c r="W445" s="889"/>
      <c r="X445" s="889"/>
      <c r="Y445" s="889"/>
      <c r="Z445" s="889"/>
      <c r="AA445" s="889"/>
      <c r="AB445" s="889"/>
      <c r="AC445" s="889"/>
      <c r="AD445" s="889"/>
      <c r="AE445" s="889"/>
      <c r="AF445" s="889"/>
      <c r="AG445" s="889"/>
      <c r="AH445" s="889"/>
      <c r="AI445" s="889"/>
      <c r="AJ445" s="889"/>
      <c r="AK445" s="889"/>
      <c r="AL445" s="889"/>
      <c r="AM445" s="889"/>
      <c r="AN445" s="889"/>
      <c r="AO445" s="889"/>
      <c r="AP445" s="889"/>
      <c r="AQ445" s="889"/>
      <c r="AR445" s="889"/>
      <c r="AS445" s="889"/>
      <c r="AT445" s="889"/>
      <c r="AU445" s="889"/>
      <c r="AV445" s="889"/>
      <c r="AW445" s="889"/>
      <c r="AX445" s="889"/>
      <c r="AY445" s="889"/>
      <c r="AZ445" s="889"/>
    </row>
    <row r="446">
      <c r="A446" s="889"/>
      <c r="B446" s="889"/>
      <c r="C446" s="889"/>
      <c r="D446" s="889"/>
      <c r="E446" s="889"/>
      <c r="F446" s="889"/>
      <c r="G446" s="889"/>
      <c r="H446" s="889"/>
      <c r="I446" s="889"/>
      <c r="J446" s="889"/>
      <c r="K446" s="889"/>
      <c r="L446" s="889"/>
      <c r="M446" s="889"/>
      <c r="N446" s="944"/>
      <c r="O446" s="944"/>
      <c r="P446" s="944"/>
      <c r="Q446" s="944"/>
      <c r="R446" s="944"/>
      <c r="S446" s="889"/>
      <c r="T446" s="889"/>
      <c r="U446" s="889"/>
      <c r="V446" s="889"/>
      <c r="W446" s="889"/>
      <c r="X446" s="889"/>
      <c r="Y446" s="889"/>
      <c r="Z446" s="889"/>
      <c r="AA446" s="889"/>
      <c r="AB446" s="889"/>
      <c r="AC446" s="889"/>
      <c r="AD446" s="889"/>
      <c r="AE446" s="889"/>
      <c r="AF446" s="889"/>
      <c r="AG446" s="889"/>
      <c r="AH446" s="889"/>
      <c r="AI446" s="889"/>
      <c r="AJ446" s="889"/>
      <c r="AK446" s="889"/>
      <c r="AL446" s="889"/>
      <c r="AM446" s="889"/>
      <c r="AN446" s="889"/>
      <c r="AO446" s="889"/>
      <c r="AP446" s="889"/>
      <c r="AQ446" s="889"/>
      <c r="AR446" s="889"/>
      <c r="AS446" s="889"/>
      <c r="AT446" s="889"/>
      <c r="AU446" s="889"/>
      <c r="AV446" s="889"/>
      <c r="AW446" s="889"/>
      <c r="AX446" s="889"/>
      <c r="AY446" s="889"/>
      <c r="AZ446" s="889"/>
    </row>
    <row r="447">
      <c r="A447" s="889"/>
      <c r="B447" s="889"/>
      <c r="C447" s="889"/>
      <c r="D447" s="889"/>
      <c r="E447" s="889"/>
      <c r="F447" s="889"/>
      <c r="G447" s="889"/>
      <c r="H447" s="889"/>
      <c r="I447" s="889"/>
      <c r="J447" s="889"/>
      <c r="K447" s="889"/>
      <c r="L447" s="889"/>
      <c r="M447" s="889"/>
      <c r="N447" s="944"/>
      <c r="O447" s="944"/>
      <c r="P447" s="944"/>
      <c r="Q447" s="944"/>
      <c r="R447" s="944"/>
      <c r="S447" s="889"/>
      <c r="T447" s="889"/>
      <c r="U447" s="889"/>
      <c r="V447" s="889"/>
      <c r="W447" s="889"/>
      <c r="X447" s="889"/>
      <c r="Y447" s="889"/>
      <c r="Z447" s="889"/>
      <c r="AA447" s="889"/>
      <c r="AB447" s="889"/>
      <c r="AC447" s="889"/>
      <c r="AD447" s="889"/>
      <c r="AE447" s="889"/>
      <c r="AF447" s="889"/>
      <c r="AG447" s="889"/>
      <c r="AH447" s="889"/>
      <c r="AI447" s="889"/>
      <c r="AJ447" s="889"/>
      <c r="AK447" s="889"/>
      <c r="AL447" s="889"/>
      <c r="AM447" s="889"/>
      <c r="AN447" s="889"/>
      <c r="AO447" s="889"/>
      <c r="AP447" s="889"/>
      <c r="AQ447" s="889"/>
      <c r="AR447" s="889"/>
      <c r="AS447" s="889"/>
      <c r="AT447" s="889"/>
      <c r="AU447" s="889"/>
      <c r="AV447" s="889"/>
      <c r="AW447" s="889"/>
      <c r="AX447" s="889"/>
      <c r="AY447" s="889"/>
      <c r="AZ447" s="889"/>
    </row>
    <row r="448">
      <c r="A448" s="889"/>
      <c r="B448" s="889"/>
      <c r="C448" s="889"/>
      <c r="D448" s="889"/>
      <c r="E448" s="889"/>
      <c r="F448" s="889"/>
      <c r="G448" s="889"/>
      <c r="H448" s="889"/>
      <c r="I448" s="889"/>
      <c r="J448" s="889"/>
      <c r="K448" s="889"/>
      <c r="L448" s="889"/>
      <c r="M448" s="889"/>
      <c r="N448" s="944"/>
      <c r="O448" s="944"/>
      <c r="P448" s="944"/>
      <c r="Q448" s="944"/>
      <c r="R448" s="944"/>
      <c r="S448" s="889"/>
      <c r="T448" s="889"/>
      <c r="U448" s="889"/>
      <c r="V448" s="889"/>
      <c r="W448" s="889"/>
      <c r="X448" s="889"/>
      <c r="Y448" s="889"/>
      <c r="Z448" s="889"/>
      <c r="AA448" s="889"/>
      <c r="AB448" s="889"/>
      <c r="AC448" s="889"/>
      <c r="AD448" s="889"/>
      <c r="AE448" s="889"/>
      <c r="AF448" s="889"/>
      <c r="AG448" s="889"/>
      <c r="AH448" s="889"/>
      <c r="AI448" s="889"/>
      <c r="AJ448" s="889"/>
      <c r="AK448" s="889"/>
      <c r="AL448" s="889"/>
      <c r="AM448" s="889"/>
      <c r="AN448" s="889"/>
      <c r="AO448" s="889"/>
      <c r="AP448" s="889"/>
      <c r="AQ448" s="889"/>
      <c r="AR448" s="889"/>
      <c r="AS448" s="889"/>
      <c r="AT448" s="889"/>
      <c r="AU448" s="889"/>
      <c r="AV448" s="889"/>
      <c r="AW448" s="889"/>
      <c r="AX448" s="889"/>
      <c r="AY448" s="889"/>
      <c r="AZ448" s="889"/>
    </row>
    <row r="449">
      <c r="A449" s="889"/>
      <c r="B449" s="889"/>
      <c r="C449" s="889"/>
      <c r="D449" s="889"/>
      <c r="E449" s="889"/>
      <c r="F449" s="889"/>
      <c r="G449" s="889"/>
      <c r="H449" s="889"/>
      <c r="I449" s="889"/>
      <c r="J449" s="889"/>
      <c r="K449" s="889"/>
      <c r="L449" s="889"/>
      <c r="M449" s="889"/>
      <c r="N449" s="944"/>
      <c r="O449" s="944"/>
      <c r="P449" s="944"/>
      <c r="Q449" s="944"/>
      <c r="R449" s="944"/>
      <c r="S449" s="889"/>
      <c r="T449" s="889"/>
      <c r="U449" s="889"/>
      <c r="V449" s="889"/>
      <c r="W449" s="889"/>
      <c r="X449" s="889"/>
      <c r="Y449" s="889"/>
      <c r="Z449" s="889"/>
      <c r="AA449" s="889"/>
      <c r="AB449" s="889"/>
      <c r="AC449" s="889"/>
      <c r="AD449" s="889"/>
      <c r="AE449" s="889"/>
      <c r="AF449" s="889"/>
      <c r="AG449" s="889"/>
      <c r="AH449" s="889"/>
      <c r="AI449" s="889"/>
      <c r="AJ449" s="889"/>
      <c r="AK449" s="889"/>
      <c r="AL449" s="889"/>
      <c r="AM449" s="889"/>
      <c r="AN449" s="889"/>
      <c r="AO449" s="889"/>
      <c r="AP449" s="889"/>
      <c r="AQ449" s="889"/>
      <c r="AR449" s="889"/>
      <c r="AS449" s="889"/>
      <c r="AT449" s="889"/>
      <c r="AU449" s="889"/>
      <c r="AV449" s="889"/>
      <c r="AW449" s="889"/>
      <c r="AX449" s="889"/>
      <c r="AY449" s="889"/>
      <c r="AZ449" s="889"/>
    </row>
    <row r="450">
      <c r="A450" s="889"/>
      <c r="B450" s="889"/>
      <c r="C450" s="889"/>
      <c r="D450" s="889"/>
      <c r="E450" s="889"/>
      <c r="F450" s="889"/>
      <c r="G450" s="889"/>
      <c r="H450" s="889"/>
      <c r="I450" s="889"/>
      <c r="J450" s="889"/>
      <c r="K450" s="889"/>
      <c r="L450" s="889"/>
      <c r="M450" s="889"/>
      <c r="N450" s="944"/>
      <c r="O450" s="944"/>
      <c r="P450" s="944"/>
      <c r="Q450" s="944"/>
      <c r="R450" s="944"/>
      <c r="S450" s="889"/>
      <c r="T450" s="889"/>
      <c r="U450" s="889"/>
      <c r="V450" s="889"/>
      <c r="W450" s="889"/>
      <c r="X450" s="889"/>
      <c r="Y450" s="889"/>
      <c r="Z450" s="889"/>
      <c r="AA450" s="889"/>
      <c r="AB450" s="889"/>
      <c r="AC450" s="889"/>
      <c r="AD450" s="889"/>
      <c r="AE450" s="889"/>
      <c r="AF450" s="889"/>
      <c r="AG450" s="889"/>
      <c r="AH450" s="889"/>
      <c r="AI450" s="889"/>
      <c r="AJ450" s="889"/>
      <c r="AK450" s="889"/>
      <c r="AL450" s="889"/>
      <c r="AM450" s="889"/>
      <c r="AN450" s="889"/>
      <c r="AO450" s="889"/>
      <c r="AP450" s="889"/>
      <c r="AQ450" s="889"/>
      <c r="AR450" s="889"/>
      <c r="AS450" s="889"/>
      <c r="AT450" s="889"/>
      <c r="AU450" s="889"/>
      <c r="AV450" s="889"/>
      <c r="AW450" s="889"/>
      <c r="AX450" s="889"/>
      <c r="AY450" s="889"/>
      <c r="AZ450" s="889"/>
    </row>
    <row r="451">
      <c r="A451" s="889"/>
      <c r="B451" s="889"/>
      <c r="C451" s="889"/>
      <c r="D451" s="889"/>
      <c r="E451" s="889"/>
      <c r="F451" s="889"/>
      <c r="G451" s="889"/>
      <c r="H451" s="889"/>
      <c r="I451" s="889"/>
      <c r="J451" s="889"/>
      <c r="K451" s="889"/>
      <c r="L451" s="889"/>
      <c r="M451" s="889"/>
      <c r="N451" s="944"/>
      <c r="O451" s="944"/>
      <c r="P451" s="944"/>
      <c r="Q451" s="944"/>
      <c r="R451" s="944"/>
      <c r="S451" s="889"/>
      <c r="T451" s="889"/>
      <c r="U451" s="889"/>
      <c r="V451" s="889"/>
      <c r="W451" s="889"/>
      <c r="X451" s="889"/>
      <c r="Y451" s="889"/>
      <c r="Z451" s="889"/>
      <c r="AA451" s="889"/>
      <c r="AB451" s="889"/>
      <c r="AC451" s="889"/>
      <c r="AD451" s="889"/>
      <c r="AE451" s="889"/>
      <c r="AF451" s="889"/>
      <c r="AG451" s="889"/>
      <c r="AH451" s="889"/>
      <c r="AI451" s="889"/>
      <c r="AJ451" s="889"/>
      <c r="AK451" s="889"/>
      <c r="AL451" s="889"/>
      <c r="AM451" s="889"/>
      <c r="AN451" s="889"/>
      <c r="AO451" s="889"/>
      <c r="AP451" s="889"/>
      <c r="AQ451" s="889"/>
      <c r="AR451" s="889"/>
      <c r="AS451" s="889"/>
      <c r="AT451" s="889"/>
      <c r="AU451" s="889"/>
      <c r="AV451" s="889"/>
      <c r="AW451" s="889"/>
      <c r="AX451" s="889"/>
      <c r="AY451" s="889"/>
      <c r="AZ451" s="889"/>
    </row>
    <row r="452">
      <c r="A452" s="889"/>
      <c r="B452" s="889"/>
      <c r="C452" s="889"/>
      <c r="D452" s="889"/>
      <c r="E452" s="889"/>
      <c r="F452" s="889"/>
      <c r="G452" s="889"/>
      <c r="H452" s="889"/>
      <c r="I452" s="889"/>
      <c r="J452" s="889"/>
      <c r="K452" s="889"/>
      <c r="L452" s="889"/>
      <c r="M452" s="889"/>
      <c r="N452" s="944"/>
      <c r="O452" s="944"/>
      <c r="P452" s="944"/>
      <c r="Q452" s="944"/>
      <c r="R452" s="944"/>
      <c r="S452" s="889"/>
      <c r="T452" s="889"/>
      <c r="U452" s="889"/>
      <c r="V452" s="889"/>
      <c r="W452" s="889"/>
      <c r="X452" s="889"/>
      <c r="Y452" s="889"/>
      <c r="Z452" s="889"/>
      <c r="AA452" s="889"/>
      <c r="AB452" s="889"/>
      <c r="AC452" s="889"/>
      <c r="AD452" s="889"/>
      <c r="AE452" s="889"/>
      <c r="AF452" s="889"/>
      <c r="AG452" s="889"/>
      <c r="AH452" s="889"/>
      <c r="AI452" s="889"/>
      <c r="AJ452" s="889"/>
      <c r="AK452" s="889"/>
      <c r="AL452" s="889"/>
      <c r="AM452" s="889"/>
      <c r="AN452" s="889"/>
      <c r="AO452" s="889"/>
      <c r="AP452" s="889"/>
      <c r="AQ452" s="889"/>
      <c r="AR452" s="889"/>
      <c r="AS452" s="889"/>
      <c r="AT452" s="889"/>
      <c r="AU452" s="889"/>
      <c r="AV452" s="889"/>
      <c r="AW452" s="889"/>
      <c r="AX452" s="889"/>
      <c r="AY452" s="889"/>
      <c r="AZ452" s="889"/>
    </row>
    <row r="453">
      <c r="A453" s="889"/>
      <c r="B453" s="889"/>
      <c r="C453" s="889"/>
      <c r="D453" s="889"/>
      <c r="E453" s="889"/>
      <c r="F453" s="889"/>
      <c r="G453" s="889"/>
      <c r="H453" s="889"/>
      <c r="I453" s="889"/>
      <c r="J453" s="889"/>
      <c r="K453" s="889"/>
      <c r="L453" s="889"/>
      <c r="M453" s="889"/>
      <c r="N453" s="944"/>
      <c r="O453" s="944"/>
      <c r="P453" s="944"/>
      <c r="Q453" s="944"/>
      <c r="R453" s="944"/>
      <c r="S453" s="889"/>
      <c r="T453" s="889"/>
      <c r="U453" s="889"/>
      <c r="V453" s="889"/>
      <c r="W453" s="889"/>
      <c r="X453" s="889"/>
      <c r="Y453" s="889"/>
      <c r="Z453" s="889"/>
      <c r="AA453" s="889"/>
      <c r="AB453" s="889"/>
      <c r="AC453" s="889"/>
      <c r="AD453" s="889"/>
      <c r="AE453" s="889"/>
      <c r="AF453" s="889"/>
      <c r="AG453" s="889"/>
      <c r="AH453" s="889"/>
      <c r="AI453" s="889"/>
      <c r="AJ453" s="889"/>
      <c r="AK453" s="889"/>
      <c r="AL453" s="889"/>
      <c r="AM453" s="889"/>
      <c r="AN453" s="889"/>
      <c r="AO453" s="889"/>
      <c r="AP453" s="889"/>
      <c r="AQ453" s="889"/>
      <c r="AR453" s="889"/>
      <c r="AS453" s="889"/>
      <c r="AT453" s="889"/>
      <c r="AU453" s="889"/>
      <c r="AV453" s="889"/>
      <c r="AW453" s="889"/>
      <c r="AX453" s="889"/>
      <c r="AY453" s="889"/>
      <c r="AZ453" s="889"/>
    </row>
    <row r="454">
      <c r="A454" s="889"/>
      <c r="B454" s="889"/>
      <c r="C454" s="889"/>
      <c r="D454" s="889"/>
      <c r="E454" s="889"/>
      <c r="F454" s="889"/>
      <c r="G454" s="889"/>
      <c r="H454" s="889"/>
      <c r="I454" s="889"/>
      <c r="J454" s="889"/>
      <c r="K454" s="889"/>
      <c r="L454" s="889"/>
      <c r="M454" s="889"/>
      <c r="N454" s="944"/>
      <c r="O454" s="944"/>
      <c r="P454" s="944"/>
      <c r="Q454" s="944"/>
      <c r="R454" s="944"/>
      <c r="S454" s="889"/>
      <c r="T454" s="889"/>
      <c r="U454" s="889"/>
      <c r="V454" s="889"/>
      <c r="W454" s="889"/>
      <c r="X454" s="889"/>
      <c r="Y454" s="889"/>
      <c r="Z454" s="889"/>
      <c r="AA454" s="889"/>
      <c r="AB454" s="889"/>
      <c r="AC454" s="889"/>
      <c r="AD454" s="889"/>
      <c r="AE454" s="889"/>
      <c r="AF454" s="889"/>
      <c r="AG454" s="889"/>
      <c r="AH454" s="889"/>
      <c r="AI454" s="889"/>
      <c r="AJ454" s="889"/>
      <c r="AK454" s="889"/>
      <c r="AL454" s="889"/>
      <c r="AM454" s="889"/>
      <c r="AN454" s="889"/>
      <c r="AO454" s="889"/>
      <c r="AP454" s="889"/>
      <c r="AQ454" s="889"/>
      <c r="AR454" s="889"/>
      <c r="AS454" s="889"/>
      <c r="AT454" s="889"/>
      <c r="AU454" s="889"/>
      <c r="AV454" s="889"/>
      <c r="AW454" s="889"/>
      <c r="AX454" s="889"/>
      <c r="AY454" s="889"/>
      <c r="AZ454" s="889"/>
    </row>
    <row r="455">
      <c r="A455" s="889"/>
      <c r="B455" s="889"/>
      <c r="C455" s="889"/>
      <c r="D455" s="889"/>
      <c r="E455" s="889"/>
      <c r="F455" s="889"/>
      <c r="G455" s="889"/>
      <c r="H455" s="889"/>
      <c r="I455" s="889"/>
      <c r="J455" s="889"/>
      <c r="K455" s="889"/>
      <c r="L455" s="889"/>
      <c r="M455" s="889"/>
      <c r="N455" s="944"/>
      <c r="O455" s="944"/>
      <c r="P455" s="944"/>
      <c r="Q455" s="944"/>
      <c r="R455" s="944"/>
      <c r="S455" s="889"/>
      <c r="T455" s="889"/>
      <c r="U455" s="889"/>
      <c r="V455" s="889"/>
      <c r="W455" s="889"/>
      <c r="X455" s="889"/>
      <c r="Y455" s="889"/>
      <c r="Z455" s="889"/>
      <c r="AA455" s="889"/>
      <c r="AB455" s="889"/>
      <c r="AC455" s="889"/>
      <c r="AD455" s="889"/>
      <c r="AE455" s="889"/>
      <c r="AF455" s="889"/>
      <c r="AG455" s="889"/>
      <c r="AH455" s="889"/>
      <c r="AI455" s="889"/>
      <c r="AJ455" s="889"/>
      <c r="AK455" s="889"/>
      <c r="AL455" s="889"/>
      <c r="AM455" s="889"/>
      <c r="AN455" s="889"/>
      <c r="AO455" s="889"/>
      <c r="AP455" s="889"/>
      <c r="AQ455" s="889"/>
      <c r="AR455" s="889"/>
      <c r="AS455" s="889"/>
      <c r="AT455" s="889"/>
      <c r="AU455" s="889"/>
      <c r="AV455" s="889"/>
      <c r="AW455" s="889"/>
      <c r="AX455" s="889"/>
      <c r="AY455" s="889"/>
      <c r="AZ455" s="889"/>
    </row>
    <row r="456">
      <c r="A456" s="889"/>
      <c r="B456" s="889"/>
      <c r="C456" s="889"/>
      <c r="D456" s="889"/>
      <c r="E456" s="889"/>
      <c r="F456" s="889"/>
      <c r="G456" s="889"/>
      <c r="H456" s="889"/>
      <c r="I456" s="889"/>
      <c r="J456" s="889"/>
      <c r="K456" s="889"/>
      <c r="L456" s="889"/>
      <c r="M456" s="889"/>
      <c r="N456" s="944"/>
      <c r="O456" s="944"/>
      <c r="P456" s="944"/>
      <c r="Q456" s="944"/>
      <c r="R456" s="944"/>
      <c r="S456" s="889"/>
      <c r="T456" s="889"/>
      <c r="U456" s="889"/>
      <c r="V456" s="889"/>
      <c r="W456" s="889"/>
      <c r="X456" s="889"/>
      <c r="Y456" s="889"/>
      <c r="Z456" s="889"/>
      <c r="AA456" s="889"/>
      <c r="AB456" s="889"/>
      <c r="AC456" s="889"/>
      <c r="AD456" s="889"/>
      <c r="AE456" s="889"/>
      <c r="AF456" s="889"/>
      <c r="AG456" s="889"/>
      <c r="AH456" s="889"/>
      <c r="AI456" s="889"/>
      <c r="AJ456" s="889"/>
      <c r="AK456" s="889"/>
      <c r="AL456" s="889"/>
      <c r="AM456" s="889"/>
      <c r="AN456" s="889"/>
      <c r="AO456" s="889"/>
      <c r="AP456" s="889"/>
      <c r="AQ456" s="889"/>
      <c r="AR456" s="889"/>
      <c r="AS456" s="889"/>
      <c r="AT456" s="889"/>
      <c r="AU456" s="889"/>
      <c r="AV456" s="889"/>
      <c r="AW456" s="889"/>
      <c r="AX456" s="889"/>
      <c r="AY456" s="889"/>
      <c r="AZ456" s="889"/>
    </row>
    <row r="457">
      <c r="A457" s="889"/>
      <c r="B457" s="889"/>
      <c r="C457" s="889"/>
      <c r="D457" s="889"/>
      <c r="E457" s="889"/>
      <c r="F457" s="889"/>
      <c r="G457" s="889"/>
      <c r="H457" s="889"/>
      <c r="I457" s="889"/>
      <c r="J457" s="889"/>
      <c r="K457" s="889"/>
      <c r="L457" s="889"/>
      <c r="M457" s="889"/>
      <c r="N457" s="944"/>
      <c r="O457" s="944"/>
      <c r="P457" s="944"/>
      <c r="Q457" s="944"/>
      <c r="R457" s="944"/>
      <c r="S457" s="889"/>
      <c r="T457" s="889"/>
      <c r="U457" s="889"/>
      <c r="V457" s="889"/>
      <c r="W457" s="889"/>
      <c r="X457" s="889"/>
      <c r="Y457" s="889"/>
      <c r="Z457" s="889"/>
      <c r="AA457" s="889"/>
      <c r="AB457" s="889"/>
      <c r="AC457" s="889"/>
      <c r="AD457" s="889"/>
      <c r="AE457" s="889"/>
      <c r="AF457" s="889"/>
      <c r="AG457" s="889"/>
      <c r="AH457" s="889"/>
      <c r="AI457" s="889"/>
      <c r="AJ457" s="889"/>
      <c r="AK457" s="889"/>
      <c r="AL457" s="889"/>
      <c r="AM457" s="889"/>
      <c r="AN457" s="889"/>
      <c r="AO457" s="889"/>
      <c r="AP457" s="889"/>
      <c r="AQ457" s="889"/>
      <c r="AR457" s="889"/>
      <c r="AS457" s="889"/>
      <c r="AT457" s="889"/>
      <c r="AU457" s="889"/>
      <c r="AV457" s="889"/>
      <c r="AW457" s="889"/>
      <c r="AX457" s="889"/>
      <c r="AY457" s="889"/>
      <c r="AZ457" s="889"/>
    </row>
    <row r="458">
      <c r="A458" s="889"/>
      <c r="B458" s="889"/>
      <c r="C458" s="889"/>
      <c r="D458" s="889"/>
      <c r="E458" s="889"/>
      <c r="F458" s="889"/>
      <c r="G458" s="889"/>
      <c r="H458" s="889"/>
      <c r="I458" s="889"/>
      <c r="J458" s="889"/>
      <c r="K458" s="889"/>
      <c r="L458" s="889"/>
      <c r="M458" s="889"/>
      <c r="N458" s="944"/>
      <c r="O458" s="944"/>
      <c r="P458" s="944"/>
      <c r="Q458" s="944"/>
      <c r="R458" s="944"/>
      <c r="S458" s="889"/>
      <c r="T458" s="889"/>
      <c r="U458" s="889"/>
      <c r="V458" s="889"/>
      <c r="W458" s="889"/>
      <c r="X458" s="889"/>
      <c r="Y458" s="889"/>
      <c r="Z458" s="889"/>
      <c r="AA458" s="889"/>
      <c r="AB458" s="889"/>
      <c r="AC458" s="889"/>
      <c r="AD458" s="889"/>
      <c r="AE458" s="889"/>
      <c r="AF458" s="889"/>
      <c r="AG458" s="889"/>
      <c r="AH458" s="889"/>
      <c r="AI458" s="889"/>
      <c r="AJ458" s="889"/>
      <c r="AK458" s="889"/>
      <c r="AL458" s="889"/>
      <c r="AM458" s="889"/>
      <c r="AN458" s="889"/>
      <c r="AO458" s="889"/>
      <c r="AP458" s="889"/>
      <c r="AQ458" s="889"/>
      <c r="AR458" s="889"/>
      <c r="AS458" s="889"/>
      <c r="AT458" s="889"/>
      <c r="AU458" s="889"/>
      <c r="AV458" s="889"/>
      <c r="AW458" s="889"/>
      <c r="AX458" s="889"/>
      <c r="AY458" s="889"/>
      <c r="AZ458" s="889"/>
    </row>
    <row r="459">
      <c r="A459" s="889"/>
      <c r="B459" s="889"/>
      <c r="C459" s="889"/>
      <c r="D459" s="889"/>
      <c r="E459" s="889"/>
      <c r="F459" s="889"/>
      <c r="G459" s="889"/>
      <c r="H459" s="889"/>
      <c r="I459" s="889"/>
      <c r="J459" s="889"/>
      <c r="K459" s="889"/>
      <c r="L459" s="889"/>
      <c r="M459" s="889"/>
      <c r="N459" s="944"/>
      <c r="O459" s="944"/>
      <c r="P459" s="944"/>
      <c r="Q459" s="944"/>
      <c r="R459" s="944"/>
      <c r="S459" s="889"/>
      <c r="T459" s="889"/>
      <c r="U459" s="889"/>
      <c r="V459" s="889"/>
      <c r="W459" s="889"/>
      <c r="X459" s="889"/>
      <c r="Y459" s="889"/>
      <c r="Z459" s="889"/>
      <c r="AA459" s="889"/>
      <c r="AB459" s="889"/>
      <c r="AC459" s="889"/>
      <c r="AD459" s="889"/>
      <c r="AE459" s="889"/>
      <c r="AF459" s="889"/>
      <c r="AG459" s="889"/>
      <c r="AH459" s="889"/>
      <c r="AI459" s="889"/>
      <c r="AJ459" s="889"/>
      <c r="AK459" s="889"/>
      <c r="AL459" s="889"/>
      <c r="AM459" s="889"/>
      <c r="AN459" s="889"/>
      <c r="AO459" s="889"/>
      <c r="AP459" s="889"/>
      <c r="AQ459" s="889"/>
      <c r="AR459" s="889"/>
      <c r="AS459" s="889"/>
      <c r="AT459" s="889"/>
      <c r="AU459" s="889"/>
      <c r="AV459" s="889"/>
      <c r="AW459" s="889"/>
      <c r="AX459" s="889"/>
      <c r="AY459" s="889"/>
      <c r="AZ459" s="889"/>
    </row>
    <row r="460">
      <c r="A460" s="889"/>
      <c r="B460" s="889"/>
      <c r="C460" s="889"/>
      <c r="D460" s="889"/>
      <c r="E460" s="889"/>
      <c r="F460" s="889"/>
      <c r="G460" s="889"/>
      <c r="H460" s="889"/>
      <c r="I460" s="889"/>
      <c r="J460" s="889"/>
      <c r="K460" s="889"/>
      <c r="L460" s="889"/>
      <c r="M460" s="889"/>
      <c r="N460" s="944"/>
      <c r="O460" s="944"/>
      <c r="P460" s="944"/>
      <c r="Q460" s="944"/>
      <c r="R460" s="944"/>
      <c r="S460" s="889"/>
      <c r="T460" s="889"/>
      <c r="U460" s="889"/>
      <c r="V460" s="889"/>
      <c r="W460" s="889"/>
      <c r="X460" s="889"/>
      <c r="Y460" s="889"/>
      <c r="Z460" s="889"/>
      <c r="AA460" s="889"/>
      <c r="AB460" s="889"/>
      <c r="AC460" s="889"/>
      <c r="AD460" s="889"/>
      <c r="AE460" s="889"/>
      <c r="AF460" s="889"/>
      <c r="AG460" s="889"/>
      <c r="AH460" s="889"/>
      <c r="AI460" s="889"/>
      <c r="AJ460" s="889"/>
      <c r="AK460" s="889"/>
      <c r="AL460" s="889"/>
      <c r="AM460" s="889"/>
      <c r="AN460" s="889"/>
      <c r="AO460" s="889"/>
      <c r="AP460" s="889"/>
      <c r="AQ460" s="889"/>
      <c r="AR460" s="889"/>
      <c r="AS460" s="889"/>
      <c r="AT460" s="889"/>
      <c r="AU460" s="889"/>
      <c r="AV460" s="889"/>
      <c r="AW460" s="889"/>
      <c r="AX460" s="889"/>
      <c r="AY460" s="889"/>
      <c r="AZ460" s="889"/>
    </row>
    <row r="461">
      <c r="A461" s="889"/>
      <c r="B461" s="889"/>
      <c r="C461" s="889"/>
      <c r="D461" s="889"/>
      <c r="E461" s="889"/>
      <c r="F461" s="889"/>
      <c r="G461" s="889"/>
      <c r="H461" s="889"/>
      <c r="I461" s="889"/>
      <c r="J461" s="889"/>
      <c r="K461" s="889"/>
      <c r="L461" s="889"/>
      <c r="M461" s="889"/>
      <c r="N461" s="944"/>
      <c r="O461" s="944"/>
      <c r="P461" s="944"/>
      <c r="Q461" s="944"/>
      <c r="R461" s="944"/>
      <c r="S461" s="889"/>
      <c r="T461" s="889"/>
      <c r="U461" s="889"/>
      <c r="V461" s="889"/>
      <c r="W461" s="889"/>
      <c r="X461" s="889"/>
      <c r="Y461" s="889"/>
      <c r="Z461" s="889"/>
      <c r="AA461" s="889"/>
      <c r="AB461" s="889"/>
      <c r="AC461" s="889"/>
      <c r="AD461" s="889"/>
      <c r="AE461" s="889"/>
      <c r="AF461" s="889"/>
      <c r="AG461" s="889"/>
      <c r="AH461" s="889"/>
      <c r="AI461" s="889"/>
      <c r="AJ461" s="889"/>
      <c r="AK461" s="889"/>
      <c r="AL461" s="889"/>
      <c r="AM461" s="889"/>
      <c r="AN461" s="889"/>
      <c r="AO461" s="889"/>
      <c r="AP461" s="889"/>
      <c r="AQ461" s="889"/>
      <c r="AR461" s="889"/>
      <c r="AS461" s="889"/>
      <c r="AT461" s="889"/>
      <c r="AU461" s="889"/>
      <c r="AV461" s="889"/>
      <c r="AW461" s="889"/>
      <c r="AX461" s="889"/>
      <c r="AY461" s="889"/>
      <c r="AZ461" s="889"/>
    </row>
    <row r="462">
      <c r="A462" s="889"/>
      <c r="B462" s="889"/>
      <c r="C462" s="889"/>
      <c r="D462" s="889"/>
      <c r="E462" s="889"/>
      <c r="F462" s="889"/>
      <c r="G462" s="889"/>
      <c r="H462" s="889"/>
      <c r="I462" s="889"/>
      <c r="J462" s="889"/>
      <c r="K462" s="889"/>
      <c r="L462" s="889"/>
      <c r="M462" s="889"/>
      <c r="N462" s="944"/>
      <c r="O462" s="944"/>
      <c r="P462" s="944"/>
      <c r="Q462" s="944"/>
      <c r="R462" s="944"/>
      <c r="S462" s="889"/>
      <c r="T462" s="889"/>
      <c r="U462" s="889"/>
      <c r="V462" s="889"/>
      <c r="W462" s="889"/>
      <c r="X462" s="889"/>
      <c r="Y462" s="889"/>
      <c r="Z462" s="889"/>
      <c r="AA462" s="889"/>
      <c r="AB462" s="889"/>
      <c r="AC462" s="889"/>
      <c r="AD462" s="889"/>
      <c r="AE462" s="889"/>
      <c r="AF462" s="889"/>
      <c r="AG462" s="889"/>
      <c r="AH462" s="889"/>
      <c r="AI462" s="889"/>
      <c r="AJ462" s="889"/>
      <c r="AK462" s="889"/>
      <c r="AL462" s="889"/>
      <c r="AM462" s="889"/>
      <c r="AN462" s="889"/>
      <c r="AO462" s="889"/>
      <c r="AP462" s="889"/>
      <c r="AQ462" s="889"/>
      <c r="AR462" s="889"/>
      <c r="AS462" s="889"/>
      <c r="AT462" s="889"/>
      <c r="AU462" s="889"/>
      <c r="AV462" s="889"/>
      <c r="AW462" s="889"/>
      <c r="AX462" s="889"/>
      <c r="AY462" s="889"/>
      <c r="AZ462" s="889"/>
    </row>
    <row r="463">
      <c r="A463" s="889"/>
      <c r="B463" s="889"/>
      <c r="C463" s="889"/>
      <c r="D463" s="889"/>
      <c r="E463" s="889"/>
      <c r="F463" s="889"/>
      <c r="G463" s="889"/>
      <c r="H463" s="889"/>
      <c r="I463" s="889"/>
      <c r="J463" s="889"/>
      <c r="K463" s="889"/>
      <c r="L463" s="889"/>
      <c r="M463" s="889"/>
      <c r="N463" s="944"/>
      <c r="O463" s="944"/>
      <c r="P463" s="944"/>
      <c r="Q463" s="944"/>
      <c r="R463" s="944"/>
      <c r="S463" s="889"/>
      <c r="T463" s="889"/>
      <c r="U463" s="889"/>
      <c r="V463" s="889"/>
      <c r="W463" s="889"/>
      <c r="X463" s="889"/>
      <c r="Y463" s="889"/>
      <c r="Z463" s="889"/>
      <c r="AA463" s="889"/>
      <c r="AB463" s="889"/>
      <c r="AC463" s="889"/>
      <c r="AD463" s="889"/>
      <c r="AE463" s="889"/>
      <c r="AF463" s="889"/>
      <c r="AG463" s="889"/>
      <c r="AH463" s="889"/>
      <c r="AI463" s="889"/>
      <c r="AJ463" s="889"/>
      <c r="AK463" s="889"/>
      <c r="AL463" s="889"/>
      <c r="AM463" s="889"/>
      <c r="AN463" s="889"/>
      <c r="AO463" s="889"/>
      <c r="AP463" s="889"/>
      <c r="AQ463" s="889"/>
      <c r="AR463" s="889"/>
      <c r="AS463" s="889"/>
      <c r="AT463" s="889"/>
      <c r="AU463" s="889"/>
      <c r="AV463" s="889"/>
      <c r="AW463" s="889"/>
      <c r="AX463" s="889"/>
      <c r="AY463" s="889"/>
      <c r="AZ463" s="889"/>
    </row>
    <row r="464">
      <c r="A464" s="889"/>
      <c r="B464" s="889"/>
      <c r="C464" s="889"/>
      <c r="D464" s="889"/>
      <c r="E464" s="889"/>
      <c r="F464" s="889"/>
      <c r="G464" s="889"/>
      <c r="H464" s="889"/>
      <c r="I464" s="889"/>
      <c r="J464" s="889"/>
      <c r="K464" s="889"/>
      <c r="L464" s="889"/>
      <c r="M464" s="889"/>
      <c r="N464" s="944"/>
      <c r="O464" s="944"/>
      <c r="P464" s="944"/>
      <c r="Q464" s="944"/>
      <c r="R464" s="944"/>
      <c r="S464" s="889"/>
      <c r="T464" s="889"/>
      <c r="U464" s="889"/>
      <c r="V464" s="889"/>
      <c r="W464" s="889"/>
      <c r="X464" s="889"/>
      <c r="Y464" s="889"/>
      <c r="Z464" s="889"/>
      <c r="AA464" s="889"/>
      <c r="AB464" s="889"/>
      <c r="AC464" s="889"/>
      <c r="AD464" s="889"/>
      <c r="AE464" s="889"/>
      <c r="AF464" s="889"/>
      <c r="AG464" s="889"/>
      <c r="AH464" s="889"/>
      <c r="AI464" s="889"/>
      <c r="AJ464" s="889"/>
      <c r="AK464" s="889"/>
      <c r="AL464" s="889"/>
      <c r="AM464" s="889"/>
      <c r="AN464" s="889"/>
      <c r="AO464" s="889"/>
      <c r="AP464" s="889"/>
      <c r="AQ464" s="889"/>
      <c r="AR464" s="889"/>
      <c r="AS464" s="889"/>
      <c r="AT464" s="889"/>
      <c r="AU464" s="889"/>
      <c r="AV464" s="889"/>
      <c r="AW464" s="889"/>
      <c r="AX464" s="889"/>
      <c r="AY464" s="889"/>
      <c r="AZ464" s="889"/>
    </row>
    <row r="465">
      <c r="A465" s="889"/>
      <c r="B465" s="889"/>
      <c r="C465" s="889"/>
      <c r="D465" s="889"/>
      <c r="E465" s="889"/>
      <c r="F465" s="889"/>
      <c r="G465" s="889"/>
      <c r="H465" s="889"/>
      <c r="I465" s="889"/>
      <c r="J465" s="889"/>
      <c r="K465" s="889"/>
      <c r="L465" s="889"/>
      <c r="M465" s="889"/>
      <c r="N465" s="944"/>
      <c r="O465" s="944"/>
      <c r="P465" s="944"/>
      <c r="Q465" s="944"/>
      <c r="R465" s="944"/>
      <c r="S465" s="889"/>
      <c r="T465" s="889"/>
      <c r="U465" s="889"/>
      <c r="V465" s="889"/>
      <c r="W465" s="889"/>
      <c r="X465" s="889"/>
      <c r="Y465" s="889"/>
      <c r="Z465" s="889"/>
      <c r="AA465" s="889"/>
      <c r="AB465" s="889"/>
      <c r="AC465" s="889"/>
      <c r="AD465" s="889"/>
      <c r="AE465" s="889"/>
      <c r="AF465" s="889"/>
      <c r="AG465" s="889"/>
      <c r="AH465" s="889"/>
      <c r="AI465" s="889"/>
      <c r="AJ465" s="889"/>
      <c r="AK465" s="889"/>
      <c r="AL465" s="889"/>
      <c r="AM465" s="889"/>
      <c r="AN465" s="889"/>
      <c r="AO465" s="889"/>
      <c r="AP465" s="889"/>
      <c r="AQ465" s="889"/>
      <c r="AR465" s="889"/>
      <c r="AS465" s="889"/>
      <c r="AT465" s="889"/>
      <c r="AU465" s="889"/>
      <c r="AV465" s="889"/>
      <c r="AW465" s="889"/>
      <c r="AX465" s="889"/>
      <c r="AY465" s="889"/>
      <c r="AZ465" s="889"/>
    </row>
    <row r="466">
      <c r="A466" s="889"/>
      <c r="B466" s="889"/>
      <c r="C466" s="889"/>
      <c r="D466" s="889"/>
      <c r="E466" s="889"/>
      <c r="F466" s="889"/>
      <c r="G466" s="889"/>
      <c r="H466" s="889"/>
      <c r="I466" s="889"/>
      <c r="J466" s="889"/>
      <c r="K466" s="889"/>
      <c r="L466" s="889"/>
      <c r="M466" s="889"/>
      <c r="N466" s="944"/>
      <c r="O466" s="944"/>
      <c r="P466" s="944"/>
      <c r="Q466" s="944"/>
      <c r="R466" s="944"/>
      <c r="S466" s="889"/>
      <c r="T466" s="889"/>
      <c r="U466" s="889"/>
      <c r="V466" s="889"/>
      <c r="W466" s="889"/>
      <c r="X466" s="889"/>
      <c r="Y466" s="889"/>
      <c r="Z466" s="889"/>
      <c r="AA466" s="889"/>
      <c r="AB466" s="889"/>
      <c r="AC466" s="889"/>
      <c r="AD466" s="889"/>
      <c r="AE466" s="889"/>
      <c r="AF466" s="889"/>
      <c r="AG466" s="889"/>
      <c r="AH466" s="889"/>
      <c r="AI466" s="889"/>
      <c r="AJ466" s="889"/>
      <c r="AK466" s="889"/>
      <c r="AL466" s="889"/>
      <c r="AM466" s="889"/>
      <c r="AN466" s="889"/>
      <c r="AO466" s="889"/>
      <c r="AP466" s="889"/>
      <c r="AQ466" s="889"/>
      <c r="AR466" s="889"/>
      <c r="AS466" s="889"/>
      <c r="AT466" s="889"/>
      <c r="AU466" s="889"/>
      <c r="AV466" s="889"/>
      <c r="AW466" s="889"/>
      <c r="AX466" s="889"/>
      <c r="AY466" s="889"/>
      <c r="AZ466" s="889"/>
    </row>
    <row r="467">
      <c r="A467" s="889"/>
      <c r="B467" s="889"/>
      <c r="C467" s="889"/>
      <c r="D467" s="889"/>
      <c r="E467" s="889"/>
      <c r="F467" s="889"/>
      <c r="G467" s="889"/>
      <c r="H467" s="889"/>
      <c r="I467" s="889"/>
      <c r="J467" s="889"/>
      <c r="K467" s="889"/>
      <c r="L467" s="889"/>
      <c r="M467" s="889"/>
      <c r="N467" s="944"/>
      <c r="O467" s="944"/>
      <c r="P467" s="944"/>
      <c r="Q467" s="944"/>
      <c r="R467" s="944"/>
      <c r="S467" s="889"/>
      <c r="T467" s="889"/>
      <c r="U467" s="889"/>
      <c r="V467" s="889"/>
      <c r="W467" s="889"/>
      <c r="X467" s="889"/>
      <c r="Y467" s="889"/>
      <c r="Z467" s="889"/>
      <c r="AA467" s="889"/>
      <c r="AB467" s="889"/>
      <c r="AC467" s="889"/>
      <c r="AD467" s="889"/>
      <c r="AE467" s="889"/>
      <c r="AF467" s="889"/>
      <c r="AG467" s="889"/>
      <c r="AH467" s="889"/>
      <c r="AI467" s="889"/>
      <c r="AJ467" s="889"/>
      <c r="AK467" s="889"/>
      <c r="AL467" s="889"/>
      <c r="AM467" s="889"/>
      <c r="AN467" s="889"/>
      <c r="AO467" s="889"/>
      <c r="AP467" s="889"/>
      <c r="AQ467" s="889"/>
      <c r="AR467" s="889"/>
      <c r="AS467" s="889"/>
      <c r="AT467" s="889"/>
      <c r="AU467" s="889"/>
      <c r="AV467" s="889"/>
      <c r="AW467" s="889"/>
      <c r="AX467" s="889"/>
      <c r="AY467" s="889"/>
      <c r="AZ467" s="889"/>
    </row>
    <row r="468">
      <c r="A468" s="889"/>
      <c r="B468" s="889"/>
      <c r="C468" s="889"/>
      <c r="D468" s="889"/>
      <c r="E468" s="889"/>
      <c r="F468" s="889"/>
      <c r="G468" s="889"/>
      <c r="H468" s="889"/>
      <c r="I468" s="889"/>
      <c r="J468" s="889"/>
      <c r="K468" s="889"/>
      <c r="L468" s="889"/>
      <c r="M468" s="889"/>
      <c r="N468" s="944"/>
      <c r="O468" s="944"/>
      <c r="P468" s="944"/>
      <c r="Q468" s="944"/>
      <c r="R468" s="944"/>
      <c r="S468" s="889"/>
      <c r="T468" s="889"/>
      <c r="U468" s="889"/>
      <c r="V468" s="889"/>
      <c r="W468" s="889"/>
      <c r="X468" s="889"/>
      <c r="Y468" s="889"/>
      <c r="Z468" s="889"/>
      <c r="AA468" s="889"/>
      <c r="AB468" s="889"/>
      <c r="AC468" s="889"/>
      <c r="AD468" s="889"/>
      <c r="AE468" s="889"/>
      <c r="AF468" s="889"/>
      <c r="AG468" s="889"/>
      <c r="AH468" s="889"/>
      <c r="AI468" s="889"/>
      <c r="AJ468" s="889"/>
      <c r="AK468" s="889"/>
      <c r="AL468" s="889"/>
      <c r="AM468" s="889"/>
      <c r="AN468" s="889"/>
      <c r="AO468" s="889"/>
      <c r="AP468" s="889"/>
      <c r="AQ468" s="889"/>
      <c r="AR468" s="889"/>
      <c r="AS468" s="889"/>
      <c r="AT468" s="889"/>
      <c r="AU468" s="889"/>
      <c r="AV468" s="889"/>
      <c r="AW468" s="889"/>
      <c r="AX468" s="889"/>
      <c r="AY468" s="889"/>
      <c r="AZ468" s="889"/>
    </row>
    <row r="469">
      <c r="A469" s="889"/>
      <c r="B469" s="889"/>
      <c r="C469" s="889"/>
      <c r="D469" s="889"/>
      <c r="E469" s="889"/>
      <c r="F469" s="889"/>
      <c r="G469" s="889"/>
      <c r="H469" s="889"/>
      <c r="I469" s="889"/>
      <c r="J469" s="889"/>
      <c r="K469" s="889"/>
      <c r="L469" s="889"/>
      <c r="M469" s="889"/>
      <c r="N469" s="944"/>
      <c r="O469" s="944"/>
      <c r="P469" s="944"/>
      <c r="Q469" s="944"/>
      <c r="R469" s="944"/>
      <c r="S469" s="889"/>
      <c r="T469" s="889"/>
      <c r="U469" s="889"/>
      <c r="V469" s="889"/>
      <c r="W469" s="889"/>
      <c r="X469" s="889"/>
      <c r="Y469" s="889"/>
      <c r="Z469" s="889"/>
      <c r="AA469" s="889"/>
      <c r="AB469" s="889"/>
      <c r="AC469" s="889"/>
      <c r="AD469" s="889"/>
      <c r="AE469" s="889"/>
      <c r="AF469" s="889"/>
      <c r="AG469" s="889"/>
      <c r="AH469" s="889"/>
      <c r="AI469" s="889"/>
      <c r="AJ469" s="889"/>
      <c r="AK469" s="889"/>
      <c r="AL469" s="889"/>
      <c r="AM469" s="889"/>
      <c r="AN469" s="889"/>
      <c r="AO469" s="889"/>
      <c r="AP469" s="889"/>
      <c r="AQ469" s="889"/>
      <c r="AR469" s="889"/>
      <c r="AS469" s="889"/>
      <c r="AT469" s="889"/>
      <c r="AU469" s="889"/>
      <c r="AV469" s="889"/>
      <c r="AW469" s="889"/>
      <c r="AX469" s="889"/>
      <c r="AY469" s="889"/>
      <c r="AZ469" s="889"/>
    </row>
    <row r="470">
      <c r="A470" s="889"/>
      <c r="B470" s="889"/>
      <c r="C470" s="889"/>
      <c r="D470" s="889"/>
      <c r="E470" s="889"/>
      <c r="F470" s="889"/>
      <c r="G470" s="889"/>
      <c r="H470" s="889"/>
      <c r="I470" s="889"/>
      <c r="J470" s="889"/>
      <c r="K470" s="889"/>
      <c r="L470" s="889"/>
      <c r="M470" s="889"/>
      <c r="N470" s="944"/>
      <c r="O470" s="944"/>
      <c r="P470" s="944"/>
      <c r="Q470" s="944"/>
      <c r="R470" s="944"/>
      <c r="S470" s="889"/>
      <c r="T470" s="889"/>
      <c r="U470" s="889"/>
      <c r="V470" s="889"/>
      <c r="W470" s="889"/>
      <c r="X470" s="889"/>
      <c r="Y470" s="889"/>
      <c r="Z470" s="889"/>
      <c r="AA470" s="889"/>
      <c r="AB470" s="889"/>
      <c r="AC470" s="889"/>
      <c r="AD470" s="889"/>
      <c r="AE470" s="889"/>
      <c r="AF470" s="889"/>
      <c r="AG470" s="889"/>
      <c r="AH470" s="889"/>
      <c r="AI470" s="889"/>
      <c r="AJ470" s="889"/>
      <c r="AK470" s="889"/>
      <c r="AL470" s="889"/>
      <c r="AM470" s="889"/>
      <c r="AN470" s="889"/>
      <c r="AO470" s="889"/>
      <c r="AP470" s="889"/>
      <c r="AQ470" s="889"/>
      <c r="AR470" s="889"/>
      <c r="AS470" s="889"/>
      <c r="AT470" s="889"/>
      <c r="AU470" s="889"/>
      <c r="AV470" s="889"/>
      <c r="AW470" s="889"/>
      <c r="AX470" s="889"/>
      <c r="AY470" s="889"/>
      <c r="AZ470" s="889"/>
    </row>
    <row r="471">
      <c r="A471" s="889"/>
      <c r="B471" s="889"/>
      <c r="C471" s="889"/>
      <c r="D471" s="889"/>
      <c r="E471" s="889"/>
      <c r="F471" s="889"/>
      <c r="G471" s="889"/>
      <c r="H471" s="889"/>
      <c r="I471" s="889"/>
      <c r="J471" s="889"/>
      <c r="K471" s="889"/>
      <c r="L471" s="889"/>
      <c r="M471" s="889"/>
      <c r="N471" s="944"/>
      <c r="O471" s="944"/>
      <c r="P471" s="944"/>
      <c r="Q471" s="944"/>
      <c r="R471" s="944"/>
      <c r="S471" s="889"/>
      <c r="T471" s="889"/>
      <c r="U471" s="889"/>
      <c r="V471" s="889"/>
      <c r="W471" s="889"/>
      <c r="X471" s="889"/>
      <c r="Y471" s="889"/>
      <c r="Z471" s="889"/>
      <c r="AA471" s="889"/>
      <c r="AB471" s="889"/>
      <c r="AC471" s="889"/>
      <c r="AD471" s="889"/>
      <c r="AE471" s="889"/>
      <c r="AF471" s="889"/>
      <c r="AG471" s="889"/>
      <c r="AH471" s="889"/>
      <c r="AI471" s="889"/>
      <c r="AJ471" s="889"/>
      <c r="AK471" s="889"/>
      <c r="AL471" s="889"/>
      <c r="AM471" s="889"/>
      <c r="AN471" s="889"/>
      <c r="AO471" s="889"/>
      <c r="AP471" s="889"/>
      <c r="AQ471" s="889"/>
      <c r="AR471" s="889"/>
      <c r="AS471" s="889"/>
      <c r="AT471" s="889"/>
      <c r="AU471" s="889"/>
      <c r="AV471" s="889"/>
      <c r="AW471" s="889"/>
      <c r="AX471" s="889"/>
      <c r="AY471" s="889"/>
      <c r="AZ471" s="889"/>
    </row>
    <row r="472">
      <c r="A472" s="889"/>
      <c r="B472" s="889"/>
      <c r="C472" s="889"/>
      <c r="D472" s="889"/>
      <c r="E472" s="889"/>
      <c r="F472" s="889"/>
      <c r="G472" s="889"/>
      <c r="H472" s="889"/>
      <c r="I472" s="889"/>
      <c r="J472" s="889"/>
      <c r="K472" s="889"/>
      <c r="L472" s="889"/>
      <c r="M472" s="889"/>
      <c r="N472" s="944"/>
      <c r="O472" s="944"/>
      <c r="P472" s="944"/>
      <c r="Q472" s="944"/>
      <c r="R472" s="944"/>
      <c r="S472" s="889"/>
      <c r="T472" s="889"/>
      <c r="U472" s="889"/>
      <c r="V472" s="889"/>
      <c r="W472" s="889"/>
      <c r="X472" s="889"/>
      <c r="Y472" s="889"/>
      <c r="Z472" s="889"/>
      <c r="AA472" s="889"/>
      <c r="AB472" s="889"/>
      <c r="AC472" s="889"/>
      <c r="AD472" s="889"/>
      <c r="AE472" s="889"/>
      <c r="AF472" s="889"/>
      <c r="AG472" s="889"/>
      <c r="AH472" s="889"/>
      <c r="AI472" s="889"/>
      <c r="AJ472" s="889"/>
      <c r="AK472" s="889"/>
      <c r="AL472" s="889"/>
      <c r="AM472" s="889"/>
      <c r="AN472" s="889"/>
      <c r="AO472" s="889"/>
      <c r="AP472" s="889"/>
      <c r="AQ472" s="889"/>
      <c r="AR472" s="889"/>
      <c r="AS472" s="889"/>
      <c r="AT472" s="889"/>
      <c r="AU472" s="889"/>
      <c r="AV472" s="889"/>
      <c r="AW472" s="889"/>
      <c r="AX472" s="889"/>
      <c r="AY472" s="889"/>
      <c r="AZ472" s="889"/>
    </row>
    <row r="473">
      <c r="A473" s="889"/>
      <c r="B473" s="889"/>
      <c r="C473" s="889"/>
      <c r="D473" s="889"/>
      <c r="E473" s="889"/>
      <c r="F473" s="889"/>
      <c r="G473" s="889"/>
      <c r="H473" s="889"/>
      <c r="I473" s="889"/>
      <c r="J473" s="889"/>
      <c r="K473" s="889"/>
      <c r="L473" s="889"/>
      <c r="M473" s="889"/>
      <c r="N473" s="944"/>
      <c r="O473" s="944"/>
      <c r="P473" s="944"/>
      <c r="Q473" s="944"/>
      <c r="R473" s="944"/>
      <c r="S473" s="889"/>
      <c r="T473" s="889"/>
      <c r="U473" s="889"/>
      <c r="V473" s="889"/>
      <c r="W473" s="889"/>
      <c r="X473" s="889"/>
      <c r="Y473" s="889"/>
      <c r="Z473" s="889"/>
      <c r="AA473" s="889"/>
      <c r="AB473" s="889"/>
      <c r="AC473" s="889"/>
      <c r="AD473" s="889"/>
      <c r="AE473" s="889"/>
      <c r="AF473" s="889"/>
      <c r="AG473" s="889"/>
      <c r="AH473" s="889"/>
      <c r="AI473" s="889"/>
      <c r="AJ473" s="889"/>
      <c r="AK473" s="889"/>
      <c r="AL473" s="889"/>
      <c r="AM473" s="889"/>
      <c r="AN473" s="889"/>
      <c r="AO473" s="889"/>
      <c r="AP473" s="889"/>
      <c r="AQ473" s="889"/>
      <c r="AR473" s="889"/>
      <c r="AS473" s="889"/>
      <c r="AT473" s="889"/>
      <c r="AU473" s="889"/>
      <c r="AV473" s="889"/>
      <c r="AW473" s="889"/>
      <c r="AX473" s="889"/>
      <c r="AY473" s="889"/>
      <c r="AZ473" s="889"/>
    </row>
    <row r="474">
      <c r="A474" s="889"/>
      <c r="B474" s="889"/>
      <c r="C474" s="889"/>
      <c r="D474" s="889"/>
      <c r="E474" s="889"/>
      <c r="F474" s="889"/>
      <c r="G474" s="889"/>
      <c r="H474" s="889"/>
      <c r="I474" s="889"/>
      <c r="J474" s="889"/>
      <c r="K474" s="889"/>
      <c r="L474" s="889"/>
      <c r="M474" s="889"/>
      <c r="N474" s="944"/>
      <c r="O474" s="944"/>
      <c r="P474" s="944"/>
      <c r="Q474" s="944"/>
      <c r="R474" s="944"/>
      <c r="S474" s="889"/>
      <c r="T474" s="889"/>
      <c r="U474" s="889"/>
      <c r="V474" s="889"/>
      <c r="W474" s="889"/>
      <c r="X474" s="889"/>
      <c r="Y474" s="889"/>
      <c r="Z474" s="889"/>
      <c r="AA474" s="889"/>
      <c r="AB474" s="889"/>
      <c r="AC474" s="889"/>
      <c r="AD474" s="889"/>
      <c r="AE474" s="889"/>
      <c r="AF474" s="889"/>
      <c r="AG474" s="889"/>
      <c r="AH474" s="889"/>
      <c r="AI474" s="889"/>
      <c r="AJ474" s="889"/>
      <c r="AK474" s="889"/>
      <c r="AL474" s="889"/>
      <c r="AM474" s="889"/>
      <c r="AN474" s="889"/>
      <c r="AO474" s="889"/>
      <c r="AP474" s="889"/>
      <c r="AQ474" s="889"/>
      <c r="AR474" s="889"/>
      <c r="AS474" s="889"/>
      <c r="AT474" s="889"/>
      <c r="AU474" s="889"/>
      <c r="AV474" s="889"/>
      <c r="AW474" s="889"/>
      <c r="AX474" s="889"/>
      <c r="AY474" s="889"/>
      <c r="AZ474" s="889"/>
    </row>
    <row r="475">
      <c r="A475" s="889"/>
      <c r="B475" s="889"/>
      <c r="C475" s="889"/>
      <c r="D475" s="889"/>
      <c r="E475" s="889"/>
      <c r="F475" s="889"/>
      <c r="G475" s="889"/>
      <c r="H475" s="889"/>
      <c r="I475" s="889"/>
      <c r="J475" s="889"/>
      <c r="K475" s="889"/>
      <c r="L475" s="889"/>
      <c r="M475" s="889"/>
      <c r="N475" s="944"/>
      <c r="O475" s="944"/>
      <c r="P475" s="944"/>
      <c r="Q475" s="944"/>
      <c r="R475" s="944"/>
      <c r="S475" s="889"/>
      <c r="T475" s="889"/>
      <c r="U475" s="889"/>
      <c r="V475" s="889"/>
      <c r="W475" s="889"/>
      <c r="X475" s="889"/>
      <c r="Y475" s="889"/>
      <c r="Z475" s="889"/>
      <c r="AA475" s="889"/>
      <c r="AB475" s="889"/>
      <c r="AC475" s="889"/>
      <c r="AD475" s="889"/>
      <c r="AE475" s="889"/>
      <c r="AF475" s="889"/>
      <c r="AG475" s="889"/>
      <c r="AH475" s="889"/>
      <c r="AI475" s="889"/>
      <c r="AJ475" s="889"/>
      <c r="AK475" s="889"/>
      <c r="AL475" s="889"/>
      <c r="AM475" s="889"/>
      <c r="AN475" s="889"/>
      <c r="AO475" s="889"/>
      <c r="AP475" s="889"/>
      <c r="AQ475" s="889"/>
      <c r="AR475" s="889"/>
      <c r="AS475" s="889"/>
      <c r="AT475" s="889"/>
      <c r="AU475" s="889"/>
      <c r="AV475" s="889"/>
      <c r="AW475" s="889"/>
      <c r="AX475" s="889"/>
      <c r="AY475" s="889"/>
      <c r="AZ475" s="889"/>
    </row>
    <row r="476">
      <c r="A476" s="889"/>
      <c r="B476" s="889"/>
      <c r="C476" s="889"/>
      <c r="D476" s="889"/>
      <c r="E476" s="889"/>
      <c r="F476" s="889"/>
      <c r="G476" s="889"/>
      <c r="H476" s="889"/>
      <c r="I476" s="889"/>
      <c r="J476" s="889"/>
      <c r="K476" s="889"/>
      <c r="L476" s="889"/>
      <c r="M476" s="889"/>
      <c r="N476" s="944"/>
      <c r="O476" s="944"/>
      <c r="P476" s="944"/>
      <c r="Q476" s="944"/>
      <c r="R476" s="944"/>
      <c r="S476" s="889"/>
      <c r="T476" s="889"/>
      <c r="U476" s="889"/>
      <c r="V476" s="889"/>
      <c r="W476" s="889"/>
      <c r="X476" s="889"/>
      <c r="Y476" s="889"/>
      <c r="Z476" s="889"/>
      <c r="AA476" s="889"/>
      <c r="AB476" s="889"/>
      <c r="AC476" s="889"/>
      <c r="AD476" s="889"/>
      <c r="AE476" s="889"/>
      <c r="AF476" s="889"/>
      <c r="AG476" s="889"/>
      <c r="AH476" s="889"/>
      <c r="AI476" s="889"/>
      <c r="AJ476" s="889"/>
      <c r="AK476" s="889"/>
      <c r="AL476" s="889"/>
      <c r="AM476" s="889"/>
      <c r="AN476" s="889"/>
      <c r="AO476" s="889"/>
      <c r="AP476" s="889"/>
      <c r="AQ476" s="889"/>
      <c r="AR476" s="889"/>
      <c r="AS476" s="889"/>
      <c r="AT476" s="889"/>
      <c r="AU476" s="889"/>
      <c r="AV476" s="889"/>
      <c r="AW476" s="889"/>
      <c r="AX476" s="889"/>
      <c r="AY476" s="889"/>
      <c r="AZ476" s="889"/>
    </row>
    <row r="477">
      <c r="A477" s="889"/>
      <c r="B477" s="889"/>
      <c r="C477" s="889"/>
      <c r="D477" s="889"/>
      <c r="E477" s="889"/>
      <c r="F477" s="889"/>
      <c r="G477" s="889"/>
      <c r="H477" s="889"/>
      <c r="I477" s="889"/>
      <c r="J477" s="889"/>
      <c r="K477" s="889"/>
      <c r="L477" s="889"/>
      <c r="M477" s="889"/>
      <c r="N477" s="944"/>
      <c r="O477" s="944"/>
      <c r="P477" s="944"/>
      <c r="Q477" s="944"/>
      <c r="R477" s="944"/>
      <c r="S477" s="889"/>
      <c r="T477" s="889"/>
      <c r="U477" s="889"/>
      <c r="V477" s="889"/>
      <c r="W477" s="889"/>
      <c r="X477" s="889"/>
      <c r="Y477" s="889"/>
      <c r="Z477" s="889"/>
      <c r="AA477" s="889"/>
      <c r="AB477" s="889"/>
      <c r="AC477" s="889"/>
      <c r="AD477" s="889"/>
      <c r="AE477" s="889"/>
      <c r="AF477" s="889"/>
      <c r="AG477" s="889"/>
      <c r="AH477" s="889"/>
      <c r="AI477" s="889"/>
      <c r="AJ477" s="889"/>
      <c r="AK477" s="889"/>
      <c r="AL477" s="889"/>
      <c r="AM477" s="889"/>
      <c r="AN477" s="889"/>
      <c r="AO477" s="889"/>
      <c r="AP477" s="889"/>
      <c r="AQ477" s="889"/>
      <c r="AR477" s="889"/>
      <c r="AS477" s="889"/>
      <c r="AT477" s="889"/>
      <c r="AU477" s="889"/>
      <c r="AV477" s="889"/>
      <c r="AW477" s="889"/>
      <c r="AX477" s="889"/>
      <c r="AY477" s="889"/>
      <c r="AZ477" s="889"/>
    </row>
    <row r="478">
      <c r="A478" s="889"/>
      <c r="B478" s="889"/>
      <c r="C478" s="889"/>
      <c r="D478" s="889"/>
      <c r="E478" s="889"/>
      <c r="F478" s="889"/>
      <c r="G478" s="889"/>
      <c r="H478" s="889"/>
      <c r="I478" s="889"/>
      <c r="J478" s="889"/>
      <c r="K478" s="889"/>
      <c r="L478" s="889"/>
      <c r="M478" s="889"/>
      <c r="N478" s="944"/>
      <c r="O478" s="944"/>
      <c r="P478" s="944"/>
      <c r="Q478" s="944"/>
      <c r="R478" s="944"/>
      <c r="S478" s="889"/>
      <c r="T478" s="889"/>
      <c r="U478" s="889"/>
      <c r="V478" s="889"/>
      <c r="W478" s="889"/>
      <c r="X478" s="889"/>
      <c r="Y478" s="889"/>
      <c r="Z478" s="889"/>
      <c r="AA478" s="889"/>
      <c r="AB478" s="889"/>
      <c r="AC478" s="889"/>
      <c r="AD478" s="889"/>
      <c r="AE478" s="889"/>
      <c r="AF478" s="889"/>
      <c r="AG478" s="889"/>
      <c r="AH478" s="889"/>
      <c r="AI478" s="889"/>
      <c r="AJ478" s="889"/>
      <c r="AK478" s="889"/>
      <c r="AL478" s="889"/>
      <c r="AM478" s="889"/>
      <c r="AN478" s="889"/>
      <c r="AO478" s="889"/>
      <c r="AP478" s="889"/>
      <c r="AQ478" s="889"/>
      <c r="AR478" s="889"/>
      <c r="AS478" s="889"/>
      <c r="AT478" s="889"/>
      <c r="AU478" s="889"/>
      <c r="AV478" s="889"/>
      <c r="AW478" s="889"/>
      <c r="AX478" s="889"/>
      <c r="AY478" s="889"/>
      <c r="AZ478" s="889"/>
    </row>
    <row r="479">
      <c r="A479" s="889"/>
      <c r="B479" s="889"/>
      <c r="C479" s="889"/>
      <c r="D479" s="889"/>
      <c r="E479" s="889"/>
      <c r="F479" s="889"/>
      <c r="G479" s="889"/>
      <c r="H479" s="889"/>
      <c r="I479" s="889"/>
      <c r="J479" s="889"/>
      <c r="K479" s="889"/>
      <c r="L479" s="889"/>
      <c r="M479" s="889"/>
      <c r="N479" s="944"/>
      <c r="O479" s="944"/>
      <c r="P479" s="944"/>
      <c r="Q479" s="944"/>
      <c r="R479" s="944"/>
      <c r="S479" s="889"/>
      <c r="T479" s="889"/>
      <c r="U479" s="889"/>
      <c r="V479" s="889"/>
      <c r="W479" s="889"/>
      <c r="X479" s="889"/>
      <c r="Y479" s="889"/>
      <c r="Z479" s="889"/>
      <c r="AA479" s="889"/>
      <c r="AB479" s="889"/>
      <c r="AC479" s="889"/>
      <c r="AD479" s="889"/>
      <c r="AE479" s="889"/>
      <c r="AF479" s="889"/>
      <c r="AG479" s="889"/>
      <c r="AH479" s="889"/>
      <c r="AI479" s="889"/>
      <c r="AJ479" s="889"/>
      <c r="AK479" s="889"/>
      <c r="AL479" s="889"/>
      <c r="AM479" s="889"/>
      <c r="AN479" s="889"/>
      <c r="AO479" s="889"/>
      <c r="AP479" s="889"/>
      <c r="AQ479" s="889"/>
      <c r="AR479" s="889"/>
      <c r="AS479" s="889"/>
      <c r="AT479" s="889"/>
      <c r="AU479" s="889"/>
      <c r="AV479" s="889"/>
      <c r="AW479" s="889"/>
      <c r="AX479" s="889"/>
      <c r="AY479" s="889"/>
      <c r="AZ479" s="889"/>
    </row>
    <row r="480">
      <c r="A480" s="889"/>
      <c r="B480" s="889"/>
      <c r="C480" s="889"/>
      <c r="D480" s="889"/>
      <c r="E480" s="889"/>
      <c r="F480" s="889"/>
      <c r="G480" s="889"/>
      <c r="H480" s="889"/>
      <c r="I480" s="889"/>
      <c r="J480" s="889"/>
      <c r="K480" s="889"/>
      <c r="L480" s="889"/>
      <c r="M480" s="889"/>
      <c r="N480" s="944"/>
      <c r="O480" s="944"/>
      <c r="P480" s="944"/>
      <c r="Q480" s="944"/>
      <c r="R480" s="944"/>
      <c r="S480" s="889"/>
      <c r="T480" s="889"/>
      <c r="U480" s="889"/>
      <c r="V480" s="889"/>
      <c r="W480" s="889"/>
      <c r="X480" s="889"/>
      <c r="Y480" s="889"/>
      <c r="Z480" s="889"/>
      <c r="AA480" s="889"/>
      <c r="AB480" s="889"/>
      <c r="AC480" s="889"/>
      <c r="AD480" s="889"/>
      <c r="AE480" s="889"/>
      <c r="AF480" s="889"/>
      <c r="AG480" s="889"/>
      <c r="AH480" s="889"/>
      <c r="AI480" s="889"/>
      <c r="AJ480" s="889"/>
      <c r="AK480" s="889"/>
      <c r="AL480" s="889"/>
      <c r="AM480" s="889"/>
      <c r="AN480" s="889"/>
      <c r="AO480" s="889"/>
      <c r="AP480" s="889"/>
      <c r="AQ480" s="889"/>
      <c r="AR480" s="889"/>
      <c r="AS480" s="889"/>
      <c r="AT480" s="889"/>
      <c r="AU480" s="889"/>
      <c r="AV480" s="889"/>
      <c r="AW480" s="889"/>
      <c r="AX480" s="889"/>
      <c r="AY480" s="889"/>
      <c r="AZ480" s="889"/>
    </row>
    <row r="481">
      <c r="A481" s="889"/>
      <c r="B481" s="889"/>
      <c r="C481" s="889"/>
      <c r="D481" s="889"/>
      <c r="E481" s="889"/>
      <c r="F481" s="889"/>
      <c r="G481" s="889"/>
      <c r="H481" s="889"/>
      <c r="I481" s="889"/>
      <c r="J481" s="889"/>
      <c r="K481" s="889"/>
      <c r="L481" s="889"/>
      <c r="M481" s="889"/>
      <c r="N481" s="944"/>
      <c r="O481" s="944"/>
      <c r="P481" s="944"/>
      <c r="Q481" s="944"/>
      <c r="R481" s="944"/>
      <c r="S481" s="889"/>
      <c r="T481" s="889"/>
      <c r="U481" s="889"/>
      <c r="V481" s="889"/>
      <c r="W481" s="889"/>
      <c r="X481" s="889"/>
      <c r="Y481" s="889"/>
      <c r="Z481" s="889"/>
      <c r="AA481" s="889"/>
      <c r="AB481" s="889"/>
      <c r="AC481" s="889"/>
      <c r="AD481" s="889"/>
      <c r="AE481" s="889"/>
      <c r="AF481" s="889"/>
      <c r="AG481" s="889"/>
      <c r="AH481" s="889"/>
      <c r="AI481" s="889"/>
      <c r="AJ481" s="889"/>
      <c r="AK481" s="889"/>
      <c r="AL481" s="889"/>
      <c r="AM481" s="889"/>
      <c r="AN481" s="889"/>
      <c r="AO481" s="889"/>
      <c r="AP481" s="889"/>
      <c r="AQ481" s="889"/>
      <c r="AR481" s="889"/>
      <c r="AS481" s="889"/>
      <c r="AT481" s="889"/>
      <c r="AU481" s="889"/>
      <c r="AV481" s="889"/>
      <c r="AW481" s="889"/>
      <c r="AX481" s="889"/>
      <c r="AY481" s="889"/>
      <c r="AZ481" s="889"/>
    </row>
    <row r="482">
      <c r="A482" s="889"/>
      <c r="B482" s="889"/>
      <c r="C482" s="889"/>
      <c r="D482" s="889"/>
      <c r="E482" s="889"/>
      <c r="F482" s="889"/>
      <c r="G482" s="889"/>
      <c r="H482" s="889"/>
      <c r="I482" s="889"/>
      <c r="J482" s="889"/>
      <c r="K482" s="889"/>
      <c r="L482" s="889"/>
      <c r="M482" s="889"/>
      <c r="N482" s="944"/>
      <c r="O482" s="944"/>
      <c r="P482" s="944"/>
      <c r="Q482" s="944"/>
      <c r="R482" s="944"/>
      <c r="S482" s="889"/>
      <c r="T482" s="889"/>
      <c r="U482" s="889"/>
      <c r="V482" s="889"/>
      <c r="W482" s="889"/>
      <c r="X482" s="889"/>
      <c r="Y482" s="889"/>
      <c r="Z482" s="889"/>
      <c r="AA482" s="889"/>
      <c r="AB482" s="889"/>
      <c r="AC482" s="889"/>
      <c r="AD482" s="889"/>
      <c r="AE482" s="889"/>
      <c r="AF482" s="889"/>
      <c r="AG482" s="889"/>
      <c r="AH482" s="889"/>
      <c r="AI482" s="889"/>
      <c r="AJ482" s="889"/>
      <c r="AK482" s="889"/>
      <c r="AL482" s="889"/>
      <c r="AM482" s="889"/>
      <c r="AN482" s="889"/>
      <c r="AO482" s="889"/>
      <c r="AP482" s="889"/>
      <c r="AQ482" s="889"/>
      <c r="AR482" s="889"/>
      <c r="AS482" s="889"/>
      <c r="AT482" s="889"/>
      <c r="AU482" s="889"/>
      <c r="AV482" s="889"/>
      <c r="AW482" s="889"/>
      <c r="AX482" s="889"/>
      <c r="AY482" s="889"/>
      <c r="AZ482" s="889"/>
    </row>
    <row r="483">
      <c r="A483" s="889"/>
      <c r="B483" s="889"/>
      <c r="C483" s="889"/>
      <c r="D483" s="889"/>
      <c r="E483" s="889"/>
      <c r="F483" s="889"/>
      <c r="G483" s="889"/>
      <c r="H483" s="889"/>
      <c r="I483" s="889"/>
      <c r="J483" s="889"/>
      <c r="K483" s="889"/>
      <c r="L483" s="889"/>
      <c r="M483" s="889"/>
      <c r="N483" s="944"/>
      <c r="O483" s="944"/>
      <c r="P483" s="944"/>
      <c r="Q483" s="944"/>
      <c r="R483" s="944"/>
      <c r="S483" s="889"/>
      <c r="T483" s="889"/>
      <c r="U483" s="889"/>
      <c r="V483" s="889"/>
      <c r="W483" s="889"/>
      <c r="X483" s="889"/>
      <c r="Y483" s="889"/>
      <c r="Z483" s="889"/>
      <c r="AA483" s="889"/>
      <c r="AB483" s="889"/>
      <c r="AC483" s="889"/>
      <c r="AD483" s="889"/>
      <c r="AE483" s="889"/>
      <c r="AF483" s="889"/>
      <c r="AG483" s="889"/>
      <c r="AH483" s="889"/>
      <c r="AI483" s="889"/>
      <c r="AJ483" s="889"/>
      <c r="AK483" s="889"/>
      <c r="AL483" s="889"/>
      <c r="AM483" s="889"/>
      <c r="AN483" s="889"/>
      <c r="AO483" s="889"/>
      <c r="AP483" s="889"/>
      <c r="AQ483" s="889"/>
      <c r="AR483" s="889"/>
      <c r="AS483" s="889"/>
      <c r="AT483" s="889"/>
      <c r="AU483" s="889"/>
      <c r="AV483" s="889"/>
      <c r="AW483" s="889"/>
      <c r="AX483" s="889"/>
      <c r="AY483" s="889"/>
      <c r="AZ483" s="889"/>
    </row>
    <row r="484">
      <c r="A484" s="889"/>
      <c r="B484" s="889"/>
      <c r="C484" s="889"/>
      <c r="D484" s="889"/>
      <c r="E484" s="889"/>
      <c r="F484" s="889"/>
      <c r="G484" s="889"/>
      <c r="H484" s="889"/>
      <c r="I484" s="889"/>
      <c r="J484" s="889"/>
      <c r="K484" s="889"/>
      <c r="L484" s="889"/>
      <c r="M484" s="889"/>
      <c r="N484" s="944"/>
      <c r="O484" s="944"/>
      <c r="P484" s="944"/>
      <c r="Q484" s="944"/>
      <c r="R484" s="944"/>
      <c r="S484" s="889"/>
      <c r="T484" s="889"/>
      <c r="U484" s="889"/>
      <c r="V484" s="889"/>
      <c r="W484" s="889"/>
      <c r="X484" s="889"/>
      <c r="Y484" s="889"/>
      <c r="Z484" s="889"/>
      <c r="AA484" s="889"/>
      <c r="AB484" s="889"/>
      <c r="AC484" s="889"/>
      <c r="AD484" s="889"/>
      <c r="AE484" s="889"/>
      <c r="AF484" s="889"/>
      <c r="AG484" s="889"/>
      <c r="AH484" s="889"/>
      <c r="AI484" s="889"/>
      <c r="AJ484" s="889"/>
      <c r="AK484" s="889"/>
      <c r="AL484" s="889"/>
      <c r="AM484" s="889"/>
      <c r="AN484" s="889"/>
      <c r="AO484" s="889"/>
      <c r="AP484" s="889"/>
      <c r="AQ484" s="889"/>
      <c r="AR484" s="889"/>
      <c r="AS484" s="889"/>
      <c r="AT484" s="889"/>
      <c r="AU484" s="889"/>
      <c r="AV484" s="889"/>
      <c r="AW484" s="889"/>
      <c r="AX484" s="889"/>
      <c r="AY484" s="889"/>
      <c r="AZ484" s="889"/>
    </row>
    <row r="485">
      <c r="A485" s="889"/>
      <c r="B485" s="889"/>
      <c r="C485" s="889"/>
      <c r="D485" s="889"/>
      <c r="E485" s="889"/>
      <c r="F485" s="889"/>
      <c r="G485" s="889"/>
      <c r="H485" s="889"/>
      <c r="I485" s="889"/>
      <c r="J485" s="889"/>
      <c r="K485" s="889"/>
      <c r="L485" s="889"/>
      <c r="M485" s="889"/>
      <c r="N485" s="944"/>
      <c r="O485" s="944"/>
      <c r="P485" s="944"/>
      <c r="Q485" s="944"/>
      <c r="R485" s="944"/>
      <c r="S485" s="889"/>
      <c r="T485" s="889"/>
      <c r="U485" s="889"/>
      <c r="V485" s="889"/>
      <c r="W485" s="889"/>
      <c r="X485" s="889"/>
      <c r="Y485" s="889"/>
      <c r="Z485" s="889"/>
      <c r="AA485" s="889"/>
      <c r="AB485" s="889"/>
      <c r="AC485" s="889"/>
      <c r="AD485" s="889"/>
      <c r="AE485" s="889"/>
      <c r="AF485" s="889"/>
      <c r="AG485" s="889"/>
      <c r="AH485" s="889"/>
      <c r="AI485" s="889"/>
      <c r="AJ485" s="889"/>
      <c r="AK485" s="889"/>
      <c r="AL485" s="889"/>
      <c r="AM485" s="889"/>
      <c r="AN485" s="889"/>
      <c r="AO485" s="889"/>
      <c r="AP485" s="889"/>
      <c r="AQ485" s="889"/>
      <c r="AR485" s="889"/>
      <c r="AS485" s="889"/>
      <c r="AT485" s="889"/>
      <c r="AU485" s="889"/>
      <c r="AV485" s="889"/>
      <c r="AW485" s="889"/>
      <c r="AX485" s="889"/>
      <c r="AY485" s="889"/>
      <c r="AZ485" s="889"/>
    </row>
    <row r="486">
      <c r="A486" s="889"/>
      <c r="B486" s="889"/>
      <c r="C486" s="889"/>
      <c r="D486" s="889"/>
      <c r="E486" s="889"/>
      <c r="F486" s="889"/>
      <c r="G486" s="889"/>
      <c r="H486" s="889"/>
      <c r="I486" s="889"/>
      <c r="J486" s="889"/>
      <c r="K486" s="889"/>
      <c r="L486" s="889"/>
      <c r="M486" s="889"/>
      <c r="N486" s="944"/>
      <c r="O486" s="944"/>
      <c r="P486" s="944"/>
      <c r="Q486" s="944"/>
      <c r="R486" s="944"/>
      <c r="S486" s="889"/>
      <c r="T486" s="889"/>
      <c r="U486" s="889"/>
      <c r="V486" s="889"/>
      <c r="W486" s="889"/>
      <c r="X486" s="889"/>
      <c r="Y486" s="889"/>
      <c r="Z486" s="889"/>
      <c r="AA486" s="889"/>
      <c r="AB486" s="889"/>
      <c r="AC486" s="889"/>
      <c r="AD486" s="889"/>
      <c r="AE486" s="889"/>
      <c r="AF486" s="889"/>
      <c r="AG486" s="889"/>
      <c r="AH486" s="889"/>
      <c r="AI486" s="889"/>
      <c r="AJ486" s="889"/>
      <c r="AK486" s="889"/>
      <c r="AL486" s="889"/>
      <c r="AM486" s="889"/>
      <c r="AN486" s="889"/>
      <c r="AO486" s="889"/>
      <c r="AP486" s="889"/>
      <c r="AQ486" s="889"/>
      <c r="AR486" s="889"/>
      <c r="AS486" s="889"/>
      <c r="AT486" s="889"/>
      <c r="AU486" s="889"/>
      <c r="AV486" s="889"/>
      <c r="AW486" s="889"/>
      <c r="AX486" s="889"/>
      <c r="AY486" s="889"/>
      <c r="AZ486" s="889"/>
    </row>
    <row r="487">
      <c r="A487" s="889"/>
      <c r="B487" s="889"/>
      <c r="C487" s="889"/>
      <c r="D487" s="889"/>
      <c r="E487" s="889"/>
      <c r="F487" s="889"/>
      <c r="G487" s="889"/>
      <c r="H487" s="889"/>
      <c r="I487" s="889"/>
      <c r="J487" s="889"/>
      <c r="K487" s="889"/>
      <c r="L487" s="889"/>
      <c r="M487" s="889"/>
      <c r="N487" s="944"/>
      <c r="O487" s="944"/>
      <c r="P487" s="944"/>
      <c r="Q487" s="944"/>
      <c r="R487" s="944"/>
      <c r="S487" s="889"/>
      <c r="T487" s="889"/>
      <c r="U487" s="889"/>
      <c r="V487" s="889"/>
      <c r="W487" s="889"/>
      <c r="X487" s="889"/>
      <c r="Y487" s="889"/>
      <c r="Z487" s="889"/>
      <c r="AA487" s="889"/>
      <c r="AB487" s="889"/>
      <c r="AC487" s="889"/>
      <c r="AD487" s="889"/>
      <c r="AE487" s="889"/>
      <c r="AF487" s="889"/>
      <c r="AG487" s="889"/>
      <c r="AH487" s="889"/>
      <c r="AI487" s="889"/>
      <c r="AJ487" s="889"/>
      <c r="AK487" s="889"/>
      <c r="AL487" s="889"/>
      <c r="AM487" s="889"/>
      <c r="AN487" s="889"/>
      <c r="AO487" s="889"/>
      <c r="AP487" s="889"/>
      <c r="AQ487" s="889"/>
      <c r="AR487" s="889"/>
      <c r="AS487" s="889"/>
      <c r="AT487" s="889"/>
      <c r="AU487" s="889"/>
      <c r="AV487" s="889"/>
      <c r="AW487" s="889"/>
      <c r="AX487" s="889"/>
      <c r="AY487" s="889"/>
      <c r="AZ487" s="889"/>
    </row>
    <row r="488">
      <c r="A488" s="889"/>
      <c r="B488" s="889"/>
      <c r="C488" s="889"/>
      <c r="D488" s="889"/>
      <c r="E488" s="889"/>
      <c r="F488" s="889"/>
      <c r="G488" s="889"/>
      <c r="H488" s="889"/>
      <c r="I488" s="889"/>
      <c r="J488" s="889"/>
      <c r="K488" s="889"/>
      <c r="L488" s="889"/>
      <c r="M488" s="889"/>
      <c r="N488" s="944"/>
      <c r="O488" s="944"/>
      <c r="P488" s="944"/>
      <c r="Q488" s="944"/>
      <c r="R488" s="944"/>
      <c r="S488" s="889"/>
      <c r="T488" s="889"/>
      <c r="U488" s="889"/>
      <c r="V488" s="889"/>
      <c r="W488" s="889"/>
      <c r="X488" s="889"/>
      <c r="Y488" s="889"/>
      <c r="Z488" s="889"/>
      <c r="AA488" s="889"/>
      <c r="AB488" s="889"/>
      <c r="AC488" s="889"/>
      <c r="AD488" s="889"/>
      <c r="AE488" s="889"/>
      <c r="AF488" s="889"/>
      <c r="AG488" s="889"/>
      <c r="AH488" s="889"/>
      <c r="AI488" s="889"/>
      <c r="AJ488" s="889"/>
      <c r="AK488" s="889"/>
      <c r="AL488" s="889"/>
      <c r="AM488" s="889"/>
      <c r="AN488" s="889"/>
      <c r="AO488" s="889"/>
      <c r="AP488" s="889"/>
      <c r="AQ488" s="889"/>
      <c r="AR488" s="889"/>
      <c r="AS488" s="889"/>
      <c r="AT488" s="889"/>
      <c r="AU488" s="889"/>
      <c r="AV488" s="889"/>
      <c r="AW488" s="889"/>
      <c r="AX488" s="889"/>
      <c r="AY488" s="889"/>
      <c r="AZ488" s="889"/>
    </row>
    <row r="489">
      <c r="A489" s="889"/>
      <c r="B489" s="889"/>
      <c r="C489" s="889"/>
      <c r="D489" s="889"/>
      <c r="E489" s="889"/>
      <c r="F489" s="889"/>
      <c r="G489" s="889"/>
      <c r="H489" s="889"/>
      <c r="I489" s="889"/>
      <c r="J489" s="889"/>
      <c r="K489" s="889"/>
      <c r="L489" s="889"/>
      <c r="M489" s="889"/>
      <c r="N489" s="944"/>
      <c r="O489" s="944"/>
      <c r="P489" s="944"/>
      <c r="Q489" s="944"/>
      <c r="R489" s="944"/>
      <c r="S489" s="889"/>
      <c r="T489" s="889"/>
      <c r="U489" s="889"/>
      <c r="V489" s="889"/>
      <c r="W489" s="889"/>
      <c r="X489" s="889"/>
      <c r="Y489" s="889"/>
      <c r="Z489" s="889"/>
      <c r="AA489" s="889"/>
      <c r="AB489" s="889"/>
      <c r="AC489" s="889"/>
      <c r="AD489" s="889"/>
      <c r="AE489" s="889"/>
      <c r="AF489" s="889"/>
      <c r="AG489" s="889"/>
      <c r="AH489" s="889"/>
      <c r="AI489" s="889"/>
      <c r="AJ489" s="889"/>
      <c r="AK489" s="889"/>
      <c r="AL489" s="889"/>
      <c r="AM489" s="889"/>
      <c r="AN489" s="889"/>
      <c r="AO489" s="889"/>
      <c r="AP489" s="889"/>
      <c r="AQ489" s="889"/>
      <c r="AR489" s="889"/>
      <c r="AS489" s="889"/>
      <c r="AT489" s="889"/>
      <c r="AU489" s="889"/>
      <c r="AV489" s="889"/>
      <c r="AW489" s="889"/>
      <c r="AX489" s="889"/>
      <c r="AY489" s="889"/>
      <c r="AZ489" s="889"/>
    </row>
    <row r="490">
      <c r="A490" s="889"/>
      <c r="B490" s="889"/>
      <c r="C490" s="889"/>
      <c r="D490" s="889"/>
      <c r="E490" s="889"/>
      <c r="F490" s="889"/>
      <c r="G490" s="889"/>
      <c r="H490" s="889"/>
      <c r="I490" s="889"/>
      <c r="J490" s="889"/>
      <c r="K490" s="889"/>
      <c r="L490" s="889"/>
      <c r="M490" s="889"/>
      <c r="N490" s="944"/>
      <c r="O490" s="944"/>
      <c r="P490" s="944"/>
      <c r="Q490" s="944"/>
      <c r="R490" s="944"/>
      <c r="S490" s="889"/>
      <c r="T490" s="889"/>
      <c r="U490" s="889"/>
      <c r="V490" s="889"/>
      <c r="W490" s="889"/>
      <c r="X490" s="889"/>
      <c r="Y490" s="889"/>
      <c r="Z490" s="889"/>
      <c r="AA490" s="889"/>
      <c r="AB490" s="889"/>
      <c r="AC490" s="889"/>
      <c r="AD490" s="889"/>
      <c r="AE490" s="889"/>
      <c r="AF490" s="889"/>
      <c r="AG490" s="889"/>
      <c r="AH490" s="889"/>
      <c r="AI490" s="889"/>
      <c r="AJ490" s="889"/>
      <c r="AK490" s="889"/>
      <c r="AL490" s="889"/>
      <c r="AM490" s="889"/>
      <c r="AN490" s="889"/>
      <c r="AO490" s="889"/>
      <c r="AP490" s="889"/>
      <c r="AQ490" s="889"/>
      <c r="AR490" s="889"/>
      <c r="AS490" s="889"/>
      <c r="AT490" s="889"/>
      <c r="AU490" s="889"/>
      <c r="AV490" s="889"/>
      <c r="AW490" s="889"/>
      <c r="AX490" s="889"/>
      <c r="AY490" s="889"/>
      <c r="AZ490" s="889"/>
    </row>
    <row r="491">
      <c r="A491" s="889"/>
      <c r="B491" s="889"/>
      <c r="C491" s="889"/>
      <c r="D491" s="889"/>
      <c r="E491" s="889"/>
      <c r="F491" s="889"/>
      <c r="G491" s="889"/>
      <c r="H491" s="889"/>
      <c r="I491" s="889"/>
      <c r="J491" s="889"/>
      <c r="K491" s="889"/>
      <c r="L491" s="889"/>
      <c r="M491" s="889"/>
      <c r="N491" s="944"/>
      <c r="O491" s="944"/>
      <c r="P491" s="944"/>
      <c r="Q491" s="944"/>
      <c r="R491" s="944"/>
      <c r="S491" s="889"/>
      <c r="T491" s="889"/>
      <c r="U491" s="889"/>
      <c r="V491" s="889"/>
      <c r="W491" s="889"/>
      <c r="X491" s="889"/>
      <c r="Y491" s="889"/>
      <c r="Z491" s="889"/>
      <c r="AA491" s="889"/>
      <c r="AB491" s="889"/>
      <c r="AC491" s="889"/>
      <c r="AD491" s="889"/>
      <c r="AE491" s="889"/>
      <c r="AF491" s="889"/>
      <c r="AG491" s="889"/>
      <c r="AH491" s="889"/>
      <c r="AI491" s="889"/>
      <c r="AJ491" s="889"/>
      <c r="AK491" s="889"/>
      <c r="AL491" s="889"/>
      <c r="AM491" s="889"/>
      <c r="AN491" s="889"/>
      <c r="AO491" s="889"/>
      <c r="AP491" s="889"/>
      <c r="AQ491" s="889"/>
      <c r="AR491" s="889"/>
      <c r="AS491" s="889"/>
      <c r="AT491" s="889"/>
      <c r="AU491" s="889"/>
      <c r="AV491" s="889"/>
      <c r="AW491" s="889"/>
      <c r="AX491" s="889"/>
      <c r="AY491" s="889"/>
      <c r="AZ491" s="889"/>
    </row>
    <row r="492">
      <c r="A492" s="889"/>
      <c r="B492" s="889"/>
      <c r="C492" s="889"/>
      <c r="D492" s="889"/>
      <c r="E492" s="889"/>
      <c r="F492" s="889"/>
      <c r="G492" s="889"/>
      <c r="H492" s="889"/>
      <c r="I492" s="889"/>
      <c r="J492" s="889"/>
      <c r="K492" s="889"/>
      <c r="L492" s="889"/>
      <c r="M492" s="889"/>
      <c r="N492" s="944"/>
      <c r="O492" s="944"/>
      <c r="P492" s="944"/>
      <c r="Q492" s="944"/>
      <c r="R492" s="944"/>
      <c r="S492" s="889"/>
      <c r="T492" s="889"/>
      <c r="U492" s="889"/>
      <c r="V492" s="889"/>
      <c r="W492" s="889"/>
      <c r="X492" s="889"/>
      <c r="Y492" s="889"/>
      <c r="Z492" s="889"/>
      <c r="AA492" s="889"/>
      <c r="AB492" s="889"/>
      <c r="AC492" s="889"/>
      <c r="AD492" s="889"/>
      <c r="AE492" s="889"/>
      <c r="AF492" s="889"/>
      <c r="AG492" s="889"/>
      <c r="AH492" s="889"/>
      <c r="AI492" s="889"/>
      <c r="AJ492" s="889"/>
      <c r="AK492" s="889"/>
      <c r="AL492" s="889"/>
      <c r="AM492" s="889"/>
      <c r="AN492" s="889"/>
      <c r="AO492" s="889"/>
      <c r="AP492" s="889"/>
      <c r="AQ492" s="889"/>
      <c r="AR492" s="889"/>
      <c r="AS492" s="889"/>
      <c r="AT492" s="889"/>
      <c r="AU492" s="889"/>
      <c r="AV492" s="889"/>
      <c r="AW492" s="889"/>
      <c r="AX492" s="889"/>
      <c r="AY492" s="889"/>
      <c r="AZ492" s="889"/>
    </row>
    <row r="493">
      <c r="A493" s="889"/>
      <c r="B493" s="889"/>
      <c r="C493" s="889"/>
      <c r="D493" s="889"/>
      <c r="E493" s="889"/>
      <c r="F493" s="889"/>
      <c r="G493" s="889"/>
      <c r="H493" s="889"/>
      <c r="I493" s="889"/>
      <c r="J493" s="889"/>
      <c r="K493" s="889"/>
      <c r="L493" s="889"/>
      <c r="M493" s="889"/>
      <c r="N493" s="944"/>
      <c r="O493" s="944"/>
      <c r="P493" s="944"/>
      <c r="Q493" s="944"/>
      <c r="R493" s="944"/>
      <c r="S493" s="889"/>
      <c r="T493" s="889"/>
      <c r="U493" s="889"/>
      <c r="V493" s="889"/>
      <c r="W493" s="889"/>
      <c r="X493" s="889"/>
      <c r="Y493" s="889"/>
      <c r="Z493" s="889"/>
      <c r="AA493" s="889"/>
      <c r="AB493" s="889"/>
      <c r="AC493" s="889"/>
      <c r="AD493" s="889"/>
      <c r="AE493" s="889"/>
      <c r="AF493" s="889"/>
      <c r="AG493" s="889"/>
      <c r="AH493" s="889"/>
      <c r="AI493" s="889"/>
      <c r="AJ493" s="889"/>
      <c r="AK493" s="889"/>
      <c r="AL493" s="889"/>
      <c r="AM493" s="889"/>
      <c r="AN493" s="889"/>
      <c r="AO493" s="889"/>
      <c r="AP493" s="889"/>
      <c r="AQ493" s="889"/>
      <c r="AR493" s="889"/>
      <c r="AS493" s="889"/>
      <c r="AT493" s="889"/>
      <c r="AU493" s="889"/>
      <c r="AV493" s="889"/>
      <c r="AW493" s="889"/>
      <c r="AX493" s="889"/>
      <c r="AY493" s="889"/>
      <c r="AZ493" s="889"/>
    </row>
    <row r="494">
      <c r="A494" s="889"/>
      <c r="B494" s="889"/>
      <c r="C494" s="889"/>
      <c r="D494" s="889"/>
      <c r="E494" s="889"/>
      <c r="F494" s="889"/>
      <c r="G494" s="889"/>
      <c r="H494" s="889"/>
      <c r="I494" s="889"/>
      <c r="J494" s="889"/>
      <c r="K494" s="889"/>
      <c r="L494" s="889"/>
      <c r="M494" s="889"/>
      <c r="N494" s="944"/>
      <c r="O494" s="944"/>
      <c r="P494" s="944"/>
      <c r="Q494" s="944"/>
      <c r="R494" s="944"/>
      <c r="S494" s="889"/>
      <c r="T494" s="889"/>
      <c r="U494" s="889"/>
      <c r="V494" s="889"/>
      <c r="W494" s="889"/>
      <c r="X494" s="889"/>
      <c r="Y494" s="889"/>
      <c r="Z494" s="889"/>
      <c r="AA494" s="889"/>
      <c r="AB494" s="889"/>
      <c r="AC494" s="889"/>
      <c r="AD494" s="889"/>
      <c r="AE494" s="889"/>
      <c r="AF494" s="889"/>
      <c r="AG494" s="889"/>
      <c r="AH494" s="889"/>
      <c r="AI494" s="889"/>
      <c r="AJ494" s="889"/>
      <c r="AK494" s="889"/>
      <c r="AL494" s="889"/>
      <c r="AM494" s="889"/>
      <c r="AN494" s="889"/>
      <c r="AO494" s="889"/>
      <c r="AP494" s="889"/>
      <c r="AQ494" s="889"/>
      <c r="AR494" s="889"/>
      <c r="AS494" s="889"/>
      <c r="AT494" s="889"/>
      <c r="AU494" s="889"/>
      <c r="AV494" s="889"/>
      <c r="AW494" s="889"/>
      <c r="AX494" s="889"/>
      <c r="AY494" s="889"/>
      <c r="AZ494" s="889"/>
    </row>
    <row r="495">
      <c r="A495" s="889"/>
      <c r="B495" s="889"/>
      <c r="C495" s="889"/>
      <c r="D495" s="889"/>
      <c r="E495" s="889"/>
      <c r="F495" s="889"/>
      <c r="G495" s="889"/>
      <c r="H495" s="889"/>
      <c r="I495" s="889"/>
      <c r="J495" s="889"/>
      <c r="K495" s="889"/>
      <c r="L495" s="889"/>
      <c r="M495" s="889"/>
      <c r="N495" s="944"/>
      <c r="O495" s="944"/>
      <c r="P495" s="944"/>
      <c r="Q495" s="944"/>
      <c r="R495" s="944"/>
      <c r="S495" s="889"/>
      <c r="T495" s="889"/>
      <c r="U495" s="889"/>
      <c r="V495" s="889"/>
      <c r="W495" s="889"/>
      <c r="X495" s="889"/>
      <c r="Y495" s="889"/>
      <c r="Z495" s="889"/>
      <c r="AA495" s="889"/>
      <c r="AB495" s="889"/>
      <c r="AC495" s="889"/>
      <c r="AD495" s="889"/>
      <c r="AE495" s="889"/>
      <c r="AF495" s="889"/>
      <c r="AG495" s="889"/>
      <c r="AH495" s="889"/>
      <c r="AI495" s="889"/>
      <c r="AJ495" s="889"/>
      <c r="AK495" s="889"/>
      <c r="AL495" s="889"/>
      <c r="AM495" s="889"/>
      <c r="AN495" s="889"/>
      <c r="AO495" s="889"/>
      <c r="AP495" s="889"/>
      <c r="AQ495" s="889"/>
      <c r="AR495" s="889"/>
      <c r="AS495" s="889"/>
      <c r="AT495" s="889"/>
      <c r="AU495" s="889"/>
      <c r="AV495" s="889"/>
      <c r="AW495" s="889"/>
      <c r="AX495" s="889"/>
      <c r="AY495" s="889"/>
      <c r="AZ495" s="889"/>
    </row>
    <row r="496">
      <c r="A496" s="889"/>
      <c r="B496" s="889"/>
      <c r="C496" s="889"/>
      <c r="D496" s="889"/>
      <c r="E496" s="889"/>
      <c r="F496" s="889"/>
      <c r="G496" s="889"/>
      <c r="H496" s="889"/>
      <c r="I496" s="889"/>
      <c r="J496" s="889"/>
      <c r="K496" s="889"/>
      <c r="L496" s="889"/>
      <c r="M496" s="889"/>
      <c r="N496" s="944"/>
      <c r="O496" s="944"/>
      <c r="P496" s="944"/>
      <c r="Q496" s="944"/>
      <c r="R496" s="944"/>
      <c r="S496" s="889"/>
      <c r="T496" s="889"/>
      <c r="U496" s="889"/>
      <c r="V496" s="889"/>
      <c r="W496" s="889"/>
      <c r="X496" s="889"/>
      <c r="Y496" s="889"/>
      <c r="Z496" s="889"/>
      <c r="AA496" s="889"/>
      <c r="AB496" s="889"/>
      <c r="AC496" s="889"/>
      <c r="AD496" s="889"/>
      <c r="AE496" s="889"/>
      <c r="AF496" s="889"/>
      <c r="AG496" s="889"/>
      <c r="AH496" s="889"/>
      <c r="AI496" s="889"/>
      <c r="AJ496" s="889"/>
      <c r="AK496" s="889"/>
      <c r="AL496" s="889"/>
      <c r="AM496" s="889"/>
      <c r="AN496" s="889"/>
      <c r="AO496" s="889"/>
      <c r="AP496" s="889"/>
      <c r="AQ496" s="889"/>
      <c r="AR496" s="889"/>
      <c r="AS496" s="889"/>
      <c r="AT496" s="889"/>
      <c r="AU496" s="889"/>
      <c r="AV496" s="889"/>
      <c r="AW496" s="889"/>
      <c r="AX496" s="889"/>
      <c r="AY496" s="889"/>
      <c r="AZ496" s="889"/>
    </row>
    <row r="497">
      <c r="A497" s="889"/>
      <c r="B497" s="889"/>
      <c r="C497" s="889"/>
      <c r="D497" s="889"/>
      <c r="E497" s="889"/>
      <c r="F497" s="889"/>
      <c r="G497" s="889"/>
      <c r="H497" s="889"/>
      <c r="I497" s="889"/>
      <c r="J497" s="889"/>
      <c r="K497" s="889"/>
      <c r="L497" s="889"/>
      <c r="M497" s="889"/>
      <c r="N497" s="944"/>
      <c r="O497" s="944"/>
      <c r="P497" s="944"/>
      <c r="Q497" s="944"/>
      <c r="R497" s="944"/>
      <c r="S497" s="889"/>
      <c r="T497" s="889"/>
      <c r="U497" s="889"/>
      <c r="V497" s="889"/>
      <c r="W497" s="889"/>
      <c r="X497" s="889"/>
      <c r="Y497" s="889"/>
      <c r="Z497" s="889"/>
      <c r="AA497" s="889"/>
      <c r="AB497" s="889"/>
      <c r="AC497" s="889"/>
      <c r="AD497" s="889"/>
      <c r="AE497" s="889"/>
      <c r="AF497" s="889"/>
      <c r="AG497" s="889"/>
      <c r="AH497" s="889"/>
      <c r="AI497" s="889"/>
      <c r="AJ497" s="889"/>
      <c r="AK497" s="889"/>
      <c r="AL497" s="889"/>
      <c r="AM497" s="889"/>
      <c r="AN497" s="889"/>
      <c r="AO497" s="889"/>
      <c r="AP497" s="889"/>
      <c r="AQ497" s="889"/>
      <c r="AR497" s="889"/>
      <c r="AS497" s="889"/>
      <c r="AT497" s="889"/>
      <c r="AU497" s="889"/>
      <c r="AV497" s="889"/>
      <c r="AW497" s="889"/>
      <c r="AX497" s="889"/>
      <c r="AY497" s="889"/>
      <c r="AZ497" s="889"/>
    </row>
    <row r="498">
      <c r="A498" s="889"/>
      <c r="B498" s="889"/>
      <c r="C498" s="889"/>
      <c r="D498" s="889"/>
      <c r="E498" s="889"/>
      <c r="F498" s="889"/>
      <c r="G498" s="889"/>
      <c r="H498" s="889"/>
      <c r="I498" s="889"/>
      <c r="J498" s="889"/>
      <c r="K498" s="889"/>
      <c r="L498" s="889"/>
      <c r="M498" s="889"/>
      <c r="N498" s="944"/>
      <c r="O498" s="944"/>
      <c r="P498" s="944"/>
      <c r="Q498" s="944"/>
      <c r="R498" s="944"/>
      <c r="S498" s="889"/>
      <c r="T498" s="889"/>
      <c r="U498" s="889"/>
      <c r="V498" s="889"/>
      <c r="W498" s="889"/>
      <c r="X498" s="889"/>
      <c r="Y498" s="889"/>
      <c r="Z498" s="889"/>
      <c r="AA498" s="889"/>
      <c r="AB498" s="889"/>
      <c r="AC498" s="889"/>
      <c r="AD498" s="889"/>
      <c r="AE498" s="889"/>
      <c r="AF498" s="889"/>
      <c r="AG498" s="889"/>
      <c r="AH498" s="889"/>
      <c r="AI498" s="889"/>
      <c r="AJ498" s="889"/>
      <c r="AK498" s="889"/>
      <c r="AL498" s="889"/>
      <c r="AM498" s="889"/>
      <c r="AN498" s="889"/>
      <c r="AO498" s="889"/>
      <c r="AP498" s="889"/>
      <c r="AQ498" s="889"/>
      <c r="AR498" s="889"/>
      <c r="AS498" s="889"/>
      <c r="AT498" s="889"/>
      <c r="AU498" s="889"/>
      <c r="AV498" s="889"/>
      <c r="AW498" s="889"/>
      <c r="AX498" s="889"/>
      <c r="AY498" s="889"/>
      <c r="AZ498" s="889"/>
    </row>
    <row r="499">
      <c r="A499" s="889"/>
      <c r="B499" s="889"/>
      <c r="C499" s="889"/>
      <c r="D499" s="889"/>
      <c r="E499" s="889"/>
      <c r="F499" s="889"/>
      <c r="G499" s="889"/>
      <c r="H499" s="889"/>
      <c r="I499" s="889"/>
      <c r="J499" s="889"/>
      <c r="K499" s="889"/>
      <c r="L499" s="889"/>
      <c r="M499" s="889"/>
      <c r="N499" s="944"/>
      <c r="O499" s="944"/>
      <c r="P499" s="944"/>
      <c r="Q499" s="944"/>
      <c r="R499" s="944"/>
      <c r="S499" s="889"/>
      <c r="T499" s="889"/>
      <c r="U499" s="889"/>
      <c r="V499" s="889"/>
      <c r="W499" s="889"/>
      <c r="X499" s="889"/>
      <c r="Y499" s="889"/>
      <c r="Z499" s="889"/>
      <c r="AA499" s="889"/>
      <c r="AB499" s="889"/>
      <c r="AC499" s="889"/>
      <c r="AD499" s="889"/>
      <c r="AE499" s="889"/>
      <c r="AF499" s="889"/>
      <c r="AG499" s="889"/>
      <c r="AH499" s="889"/>
      <c r="AI499" s="889"/>
      <c r="AJ499" s="889"/>
      <c r="AK499" s="889"/>
      <c r="AL499" s="889"/>
      <c r="AM499" s="889"/>
      <c r="AN499" s="889"/>
      <c r="AO499" s="889"/>
      <c r="AP499" s="889"/>
      <c r="AQ499" s="889"/>
      <c r="AR499" s="889"/>
      <c r="AS499" s="889"/>
      <c r="AT499" s="889"/>
      <c r="AU499" s="889"/>
      <c r="AV499" s="889"/>
      <c r="AW499" s="889"/>
      <c r="AX499" s="889"/>
      <c r="AY499" s="889"/>
      <c r="AZ499" s="889"/>
    </row>
    <row r="500">
      <c r="A500" s="889"/>
      <c r="B500" s="889"/>
      <c r="C500" s="889"/>
      <c r="D500" s="889"/>
      <c r="E500" s="889"/>
      <c r="F500" s="889"/>
      <c r="G500" s="889"/>
      <c r="H500" s="889"/>
      <c r="I500" s="889"/>
      <c r="J500" s="889"/>
      <c r="K500" s="889"/>
      <c r="L500" s="889"/>
      <c r="M500" s="889"/>
      <c r="N500" s="944"/>
      <c r="O500" s="944"/>
      <c r="P500" s="944"/>
      <c r="Q500" s="944"/>
      <c r="R500" s="944"/>
      <c r="S500" s="889"/>
      <c r="T500" s="889"/>
      <c r="U500" s="889"/>
      <c r="V500" s="889"/>
      <c r="W500" s="889"/>
      <c r="X500" s="889"/>
      <c r="Y500" s="889"/>
      <c r="Z500" s="889"/>
      <c r="AA500" s="889"/>
      <c r="AB500" s="889"/>
      <c r="AC500" s="889"/>
      <c r="AD500" s="889"/>
      <c r="AE500" s="889"/>
      <c r="AF500" s="889"/>
      <c r="AG500" s="889"/>
      <c r="AH500" s="889"/>
      <c r="AI500" s="889"/>
      <c r="AJ500" s="889"/>
      <c r="AK500" s="889"/>
      <c r="AL500" s="889"/>
      <c r="AM500" s="889"/>
      <c r="AN500" s="889"/>
      <c r="AO500" s="889"/>
      <c r="AP500" s="889"/>
      <c r="AQ500" s="889"/>
      <c r="AR500" s="889"/>
      <c r="AS500" s="889"/>
      <c r="AT500" s="889"/>
      <c r="AU500" s="889"/>
      <c r="AV500" s="889"/>
      <c r="AW500" s="889"/>
      <c r="AX500" s="889"/>
      <c r="AY500" s="889"/>
      <c r="AZ500" s="889"/>
    </row>
    <row r="501">
      <c r="A501" s="889"/>
      <c r="B501" s="889"/>
      <c r="C501" s="889"/>
      <c r="D501" s="889"/>
      <c r="E501" s="889"/>
      <c r="F501" s="889"/>
      <c r="G501" s="889"/>
      <c r="H501" s="889"/>
      <c r="I501" s="889"/>
      <c r="J501" s="889"/>
      <c r="K501" s="889"/>
      <c r="L501" s="889"/>
      <c r="M501" s="889"/>
      <c r="N501" s="944"/>
      <c r="O501" s="944"/>
      <c r="P501" s="944"/>
      <c r="Q501" s="944"/>
      <c r="R501" s="944"/>
      <c r="S501" s="889"/>
      <c r="T501" s="889"/>
      <c r="U501" s="889"/>
      <c r="V501" s="889"/>
      <c r="W501" s="889"/>
      <c r="X501" s="889"/>
      <c r="Y501" s="889"/>
      <c r="Z501" s="889"/>
      <c r="AA501" s="889"/>
      <c r="AB501" s="889"/>
      <c r="AC501" s="889"/>
      <c r="AD501" s="889"/>
      <c r="AE501" s="889"/>
      <c r="AF501" s="889"/>
      <c r="AG501" s="889"/>
      <c r="AH501" s="889"/>
      <c r="AI501" s="889"/>
      <c r="AJ501" s="889"/>
      <c r="AK501" s="889"/>
      <c r="AL501" s="889"/>
      <c r="AM501" s="889"/>
      <c r="AN501" s="889"/>
      <c r="AO501" s="889"/>
      <c r="AP501" s="889"/>
      <c r="AQ501" s="889"/>
      <c r="AR501" s="889"/>
      <c r="AS501" s="889"/>
      <c r="AT501" s="889"/>
      <c r="AU501" s="889"/>
      <c r="AV501" s="889"/>
      <c r="AW501" s="889"/>
      <c r="AX501" s="889"/>
      <c r="AY501" s="889"/>
      <c r="AZ501" s="889"/>
    </row>
    <row r="502">
      <c r="A502" s="889"/>
      <c r="B502" s="889"/>
      <c r="C502" s="889"/>
      <c r="D502" s="889"/>
      <c r="E502" s="889"/>
      <c r="F502" s="889"/>
      <c r="G502" s="889"/>
      <c r="H502" s="889"/>
      <c r="I502" s="889"/>
      <c r="J502" s="889"/>
      <c r="K502" s="889"/>
      <c r="L502" s="889"/>
      <c r="M502" s="889"/>
      <c r="N502" s="944"/>
      <c r="O502" s="944"/>
      <c r="P502" s="944"/>
      <c r="Q502" s="944"/>
      <c r="R502" s="944"/>
      <c r="S502" s="889"/>
      <c r="T502" s="889"/>
      <c r="U502" s="889"/>
      <c r="V502" s="889"/>
      <c r="W502" s="889"/>
      <c r="X502" s="889"/>
      <c r="Y502" s="889"/>
      <c r="Z502" s="889"/>
      <c r="AA502" s="889"/>
      <c r="AB502" s="889"/>
      <c r="AC502" s="889"/>
      <c r="AD502" s="889"/>
      <c r="AE502" s="889"/>
      <c r="AF502" s="889"/>
      <c r="AG502" s="889"/>
      <c r="AH502" s="889"/>
      <c r="AI502" s="889"/>
      <c r="AJ502" s="889"/>
      <c r="AK502" s="889"/>
      <c r="AL502" s="889"/>
      <c r="AM502" s="889"/>
      <c r="AN502" s="889"/>
      <c r="AO502" s="889"/>
      <c r="AP502" s="889"/>
      <c r="AQ502" s="889"/>
      <c r="AR502" s="889"/>
      <c r="AS502" s="889"/>
      <c r="AT502" s="889"/>
      <c r="AU502" s="889"/>
      <c r="AV502" s="889"/>
      <c r="AW502" s="889"/>
      <c r="AX502" s="889"/>
      <c r="AY502" s="889"/>
      <c r="AZ502" s="889"/>
    </row>
    <row r="503">
      <c r="A503" s="889"/>
      <c r="B503" s="889"/>
      <c r="C503" s="889"/>
      <c r="D503" s="889"/>
      <c r="E503" s="889"/>
      <c r="F503" s="889"/>
      <c r="G503" s="889"/>
      <c r="H503" s="889"/>
      <c r="I503" s="889"/>
      <c r="J503" s="889"/>
      <c r="K503" s="889"/>
      <c r="L503" s="889"/>
      <c r="M503" s="889"/>
      <c r="N503" s="944"/>
      <c r="O503" s="944"/>
      <c r="P503" s="944"/>
      <c r="Q503" s="944"/>
      <c r="R503" s="944"/>
      <c r="S503" s="889"/>
      <c r="T503" s="889"/>
      <c r="U503" s="889"/>
      <c r="V503" s="889"/>
      <c r="W503" s="889"/>
      <c r="X503" s="889"/>
      <c r="Y503" s="889"/>
      <c r="Z503" s="889"/>
      <c r="AA503" s="889"/>
      <c r="AB503" s="889"/>
      <c r="AC503" s="889"/>
      <c r="AD503" s="889"/>
      <c r="AE503" s="889"/>
      <c r="AF503" s="889"/>
      <c r="AG503" s="889"/>
      <c r="AH503" s="889"/>
      <c r="AI503" s="889"/>
      <c r="AJ503" s="889"/>
      <c r="AK503" s="889"/>
      <c r="AL503" s="889"/>
      <c r="AM503" s="889"/>
      <c r="AN503" s="889"/>
      <c r="AO503" s="889"/>
      <c r="AP503" s="889"/>
      <c r="AQ503" s="889"/>
      <c r="AR503" s="889"/>
      <c r="AS503" s="889"/>
      <c r="AT503" s="889"/>
      <c r="AU503" s="889"/>
      <c r="AV503" s="889"/>
      <c r="AW503" s="889"/>
      <c r="AX503" s="889"/>
      <c r="AY503" s="889"/>
      <c r="AZ503" s="889"/>
    </row>
    <row r="504">
      <c r="A504" s="889"/>
      <c r="B504" s="889"/>
      <c r="C504" s="889"/>
      <c r="D504" s="889"/>
      <c r="E504" s="889"/>
      <c r="F504" s="889"/>
      <c r="G504" s="889"/>
      <c r="H504" s="889"/>
      <c r="I504" s="889"/>
      <c r="J504" s="889"/>
      <c r="K504" s="889"/>
      <c r="L504" s="889"/>
      <c r="M504" s="889"/>
      <c r="N504" s="944"/>
      <c r="O504" s="944"/>
      <c r="P504" s="944"/>
      <c r="Q504" s="944"/>
      <c r="R504" s="944"/>
      <c r="S504" s="889"/>
      <c r="T504" s="889"/>
      <c r="U504" s="889"/>
      <c r="V504" s="889"/>
      <c r="W504" s="889"/>
      <c r="X504" s="889"/>
      <c r="Y504" s="889"/>
      <c r="Z504" s="889"/>
      <c r="AA504" s="889"/>
      <c r="AB504" s="889"/>
      <c r="AC504" s="889"/>
      <c r="AD504" s="889"/>
      <c r="AE504" s="889"/>
      <c r="AF504" s="889"/>
      <c r="AG504" s="889"/>
      <c r="AH504" s="889"/>
      <c r="AI504" s="889"/>
      <c r="AJ504" s="889"/>
      <c r="AK504" s="889"/>
      <c r="AL504" s="889"/>
      <c r="AM504" s="889"/>
      <c r="AN504" s="889"/>
      <c r="AO504" s="889"/>
      <c r="AP504" s="889"/>
      <c r="AQ504" s="889"/>
      <c r="AR504" s="889"/>
      <c r="AS504" s="889"/>
      <c r="AT504" s="889"/>
      <c r="AU504" s="889"/>
      <c r="AV504" s="889"/>
      <c r="AW504" s="889"/>
      <c r="AX504" s="889"/>
      <c r="AY504" s="889"/>
      <c r="AZ504" s="889"/>
    </row>
    <row r="505">
      <c r="A505" s="889"/>
      <c r="B505" s="889"/>
      <c r="C505" s="889"/>
      <c r="D505" s="889"/>
      <c r="E505" s="889"/>
      <c r="F505" s="889"/>
      <c r="G505" s="889"/>
      <c r="H505" s="889"/>
      <c r="I505" s="889"/>
      <c r="J505" s="889"/>
      <c r="K505" s="889"/>
      <c r="L505" s="889"/>
      <c r="M505" s="889"/>
      <c r="N505" s="944"/>
      <c r="O505" s="944"/>
      <c r="P505" s="944"/>
      <c r="Q505" s="944"/>
      <c r="R505" s="944"/>
      <c r="S505" s="889"/>
      <c r="T505" s="889"/>
      <c r="U505" s="889"/>
      <c r="V505" s="889"/>
      <c r="W505" s="889"/>
      <c r="X505" s="889"/>
      <c r="Y505" s="889"/>
      <c r="Z505" s="889"/>
      <c r="AA505" s="889"/>
      <c r="AB505" s="889"/>
      <c r="AC505" s="889"/>
      <c r="AD505" s="889"/>
      <c r="AE505" s="889"/>
      <c r="AF505" s="889"/>
      <c r="AG505" s="889"/>
      <c r="AH505" s="889"/>
      <c r="AI505" s="889"/>
      <c r="AJ505" s="889"/>
      <c r="AK505" s="889"/>
      <c r="AL505" s="889"/>
      <c r="AM505" s="889"/>
      <c r="AN505" s="889"/>
      <c r="AO505" s="889"/>
      <c r="AP505" s="889"/>
      <c r="AQ505" s="889"/>
      <c r="AR505" s="889"/>
      <c r="AS505" s="889"/>
      <c r="AT505" s="889"/>
      <c r="AU505" s="889"/>
      <c r="AV505" s="889"/>
      <c r="AW505" s="889"/>
      <c r="AX505" s="889"/>
      <c r="AY505" s="889"/>
      <c r="AZ505" s="889"/>
    </row>
    <row r="506">
      <c r="A506" s="889"/>
      <c r="B506" s="889"/>
      <c r="C506" s="889"/>
      <c r="D506" s="889"/>
      <c r="E506" s="889"/>
      <c r="F506" s="889"/>
      <c r="G506" s="889"/>
      <c r="H506" s="889"/>
      <c r="I506" s="889"/>
      <c r="J506" s="889"/>
      <c r="K506" s="889"/>
      <c r="L506" s="889"/>
      <c r="M506" s="889"/>
      <c r="N506" s="944"/>
      <c r="O506" s="944"/>
      <c r="P506" s="944"/>
      <c r="Q506" s="944"/>
      <c r="R506" s="944"/>
      <c r="S506" s="889"/>
      <c r="T506" s="889"/>
      <c r="U506" s="889"/>
      <c r="V506" s="889"/>
      <c r="W506" s="889"/>
      <c r="X506" s="889"/>
      <c r="Y506" s="889"/>
      <c r="Z506" s="889"/>
      <c r="AA506" s="889"/>
      <c r="AB506" s="889"/>
      <c r="AC506" s="889"/>
      <c r="AD506" s="889"/>
      <c r="AE506" s="889"/>
      <c r="AF506" s="889"/>
      <c r="AG506" s="889"/>
      <c r="AH506" s="889"/>
      <c r="AI506" s="889"/>
      <c r="AJ506" s="889"/>
      <c r="AK506" s="889"/>
      <c r="AL506" s="889"/>
      <c r="AM506" s="889"/>
      <c r="AN506" s="889"/>
      <c r="AO506" s="889"/>
      <c r="AP506" s="889"/>
      <c r="AQ506" s="889"/>
      <c r="AR506" s="889"/>
      <c r="AS506" s="889"/>
      <c r="AT506" s="889"/>
      <c r="AU506" s="889"/>
      <c r="AV506" s="889"/>
      <c r="AW506" s="889"/>
      <c r="AX506" s="889"/>
      <c r="AY506" s="889"/>
      <c r="AZ506" s="889"/>
    </row>
    <row r="507">
      <c r="A507" s="889"/>
      <c r="B507" s="889"/>
      <c r="C507" s="889"/>
      <c r="D507" s="889"/>
      <c r="E507" s="889"/>
      <c r="F507" s="889"/>
      <c r="G507" s="889"/>
      <c r="H507" s="889"/>
      <c r="I507" s="889"/>
      <c r="J507" s="889"/>
      <c r="K507" s="889"/>
      <c r="L507" s="889"/>
      <c r="M507" s="889"/>
      <c r="N507" s="944"/>
      <c r="O507" s="944"/>
      <c r="P507" s="944"/>
      <c r="Q507" s="944"/>
      <c r="R507" s="944"/>
      <c r="S507" s="889"/>
      <c r="T507" s="889"/>
      <c r="U507" s="889"/>
      <c r="V507" s="889"/>
      <c r="W507" s="889"/>
      <c r="X507" s="889"/>
      <c r="Y507" s="889"/>
      <c r="Z507" s="889"/>
      <c r="AA507" s="889"/>
      <c r="AB507" s="889"/>
      <c r="AC507" s="889"/>
      <c r="AD507" s="889"/>
      <c r="AE507" s="889"/>
      <c r="AF507" s="889"/>
      <c r="AG507" s="889"/>
      <c r="AH507" s="889"/>
      <c r="AI507" s="889"/>
      <c r="AJ507" s="889"/>
      <c r="AK507" s="889"/>
      <c r="AL507" s="889"/>
      <c r="AM507" s="889"/>
      <c r="AN507" s="889"/>
      <c r="AO507" s="889"/>
      <c r="AP507" s="889"/>
      <c r="AQ507" s="889"/>
      <c r="AR507" s="889"/>
      <c r="AS507" s="889"/>
      <c r="AT507" s="889"/>
      <c r="AU507" s="889"/>
      <c r="AV507" s="889"/>
      <c r="AW507" s="889"/>
      <c r="AX507" s="889"/>
      <c r="AY507" s="889"/>
      <c r="AZ507" s="889"/>
    </row>
    <row r="508">
      <c r="A508" s="889"/>
      <c r="B508" s="889"/>
      <c r="C508" s="889"/>
      <c r="D508" s="889"/>
      <c r="E508" s="889"/>
      <c r="F508" s="889"/>
      <c r="G508" s="889"/>
      <c r="H508" s="889"/>
      <c r="I508" s="889"/>
      <c r="J508" s="889"/>
      <c r="K508" s="889"/>
      <c r="L508" s="889"/>
      <c r="M508" s="889"/>
      <c r="N508" s="944"/>
      <c r="O508" s="944"/>
      <c r="P508" s="944"/>
      <c r="Q508" s="944"/>
      <c r="R508" s="944"/>
      <c r="S508" s="889"/>
      <c r="T508" s="889"/>
      <c r="U508" s="889"/>
      <c r="V508" s="889"/>
      <c r="W508" s="889"/>
      <c r="X508" s="889"/>
      <c r="Y508" s="889"/>
      <c r="Z508" s="889"/>
      <c r="AA508" s="889"/>
      <c r="AB508" s="889"/>
      <c r="AC508" s="889"/>
      <c r="AD508" s="889"/>
      <c r="AE508" s="889"/>
      <c r="AF508" s="889"/>
      <c r="AG508" s="889"/>
      <c r="AH508" s="889"/>
      <c r="AI508" s="889"/>
      <c r="AJ508" s="889"/>
      <c r="AK508" s="889"/>
      <c r="AL508" s="889"/>
      <c r="AM508" s="889"/>
      <c r="AN508" s="889"/>
      <c r="AO508" s="889"/>
      <c r="AP508" s="889"/>
      <c r="AQ508" s="889"/>
      <c r="AR508" s="889"/>
      <c r="AS508" s="889"/>
      <c r="AT508" s="889"/>
      <c r="AU508" s="889"/>
      <c r="AV508" s="889"/>
      <c r="AW508" s="889"/>
      <c r="AX508" s="889"/>
      <c r="AY508" s="889"/>
      <c r="AZ508" s="889"/>
    </row>
    <row r="509">
      <c r="A509" s="889"/>
      <c r="B509" s="889"/>
      <c r="C509" s="889"/>
      <c r="D509" s="889"/>
      <c r="E509" s="889"/>
      <c r="F509" s="889"/>
      <c r="G509" s="889"/>
      <c r="H509" s="889"/>
      <c r="I509" s="889"/>
      <c r="J509" s="889"/>
      <c r="K509" s="889"/>
      <c r="L509" s="889"/>
      <c r="M509" s="889"/>
      <c r="N509" s="944"/>
      <c r="O509" s="944"/>
      <c r="P509" s="944"/>
      <c r="Q509" s="944"/>
      <c r="R509" s="944"/>
      <c r="S509" s="889"/>
      <c r="T509" s="889"/>
      <c r="U509" s="889"/>
      <c r="V509" s="889"/>
      <c r="W509" s="889"/>
      <c r="X509" s="889"/>
      <c r="Y509" s="889"/>
      <c r="Z509" s="889"/>
      <c r="AA509" s="889"/>
      <c r="AB509" s="889"/>
      <c r="AC509" s="889"/>
      <c r="AD509" s="889"/>
      <c r="AE509" s="889"/>
      <c r="AF509" s="889"/>
      <c r="AG509" s="889"/>
      <c r="AH509" s="889"/>
      <c r="AI509" s="889"/>
      <c r="AJ509" s="889"/>
      <c r="AK509" s="889"/>
      <c r="AL509" s="889"/>
      <c r="AM509" s="889"/>
      <c r="AN509" s="889"/>
      <c r="AO509" s="889"/>
      <c r="AP509" s="889"/>
      <c r="AQ509" s="889"/>
      <c r="AR509" s="889"/>
      <c r="AS509" s="889"/>
      <c r="AT509" s="889"/>
      <c r="AU509" s="889"/>
      <c r="AV509" s="889"/>
      <c r="AW509" s="889"/>
      <c r="AX509" s="889"/>
      <c r="AY509" s="889"/>
      <c r="AZ509" s="889"/>
    </row>
    <row r="510">
      <c r="A510" s="889"/>
      <c r="B510" s="889"/>
      <c r="C510" s="889"/>
      <c r="D510" s="889"/>
      <c r="E510" s="889"/>
      <c r="F510" s="889"/>
      <c r="G510" s="889"/>
      <c r="H510" s="889"/>
      <c r="I510" s="889"/>
      <c r="J510" s="889"/>
      <c r="K510" s="889"/>
      <c r="L510" s="889"/>
      <c r="M510" s="889"/>
      <c r="N510" s="944"/>
      <c r="O510" s="944"/>
      <c r="P510" s="944"/>
      <c r="Q510" s="944"/>
      <c r="R510" s="944"/>
      <c r="S510" s="889"/>
      <c r="T510" s="889"/>
      <c r="U510" s="889"/>
      <c r="V510" s="889"/>
      <c r="W510" s="889"/>
      <c r="X510" s="889"/>
      <c r="Y510" s="889"/>
      <c r="Z510" s="889"/>
      <c r="AA510" s="889"/>
      <c r="AB510" s="889"/>
      <c r="AC510" s="889"/>
      <c r="AD510" s="889"/>
      <c r="AE510" s="889"/>
      <c r="AF510" s="889"/>
      <c r="AG510" s="889"/>
      <c r="AH510" s="889"/>
      <c r="AI510" s="889"/>
      <c r="AJ510" s="889"/>
      <c r="AK510" s="889"/>
      <c r="AL510" s="889"/>
      <c r="AM510" s="889"/>
      <c r="AN510" s="889"/>
      <c r="AO510" s="889"/>
      <c r="AP510" s="889"/>
      <c r="AQ510" s="889"/>
      <c r="AR510" s="889"/>
      <c r="AS510" s="889"/>
      <c r="AT510" s="889"/>
      <c r="AU510" s="889"/>
      <c r="AV510" s="889"/>
      <c r="AW510" s="889"/>
      <c r="AX510" s="889"/>
      <c r="AY510" s="889"/>
      <c r="AZ510" s="889"/>
    </row>
    <row r="511">
      <c r="A511" s="889"/>
      <c r="B511" s="889"/>
      <c r="C511" s="889"/>
      <c r="D511" s="889"/>
      <c r="E511" s="889"/>
      <c r="F511" s="889"/>
      <c r="G511" s="889"/>
      <c r="H511" s="889"/>
      <c r="I511" s="889"/>
      <c r="J511" s="889"/>
      <c r="K511" s="889"/>
      <c r="L511" s="889"/>
      <c r="M511" s="889"/>
      <c r="N511" s="944"/>
      <c r="O511" s="944"/>
      <c r="P511" s="944"/>
      <c r="Q511" s="944"/>
      <c r="R511" s="944"/>
      <c r="S511" s="889"/>
      <c r="T511" s="889"/>
      <c r="U511" s="889"/>
      <c r="V511" s="889"/>
      <c r="W511" s="889"/>
      <c r="X511" s="889"/>
      <c r="Y511" s="889"/>
      <c r="Z511" s="889"/>
      <c r="AA511" s="889"/>
      <c r="AB511" s="889"/>
      <c r="AC511" s="889"/>
      <c r="AD511" s="889"/>
      <c r="AE511" s="889"/>
      <c r="AF511" s="889"/>
      <c r="AG511" s="889"/>
      <c r="AH511" s="889"/>
      <c r="AI511" s="889"/>
      <c r="AJ511" s="889"/>
      <c r="AK511" s="889"/>
      <c r="AL511" s="889"/>
      <c r="AM511" s="889"/>
      <c r="AN511" s="889"/>
      <c r="AO511" s="889"/>
      <c r="AP511" s="889"/>
      <c r="AQ511" s="889"/>
      <c r="AR511" s="889"/>
      <c r="AS511" s="889"/>
      <c r="AT511" s="889"/>
      <c r="AU511" s="889"/>
      <c r="AV511" s="889"/>
      <c r="AW511" s="889"/>
      <c r="AX511" s="889"/>
      <c r="AY511" s="889"/>
      <c r="AZ511" s="889"/>
    </row>
    <row r="512">
      <c r="A512" s="889"/>
      <c r="B512" s="889"/>
      <c r="C512" s="889"/>
      <c r="D512" s="889"/>
      <c r="E512" s="889"/>
      <c r="F512" s="889"/>
      <c r="G512" s="889"/>
      <c r="H512" s="889"/>
      <c r="I512" s="889"/>
      <c r="J512" s="889"/>
      <c r="K512" s="889"/>
      <c r="L512" s="889"/>
      <c r="M512" s="889"/>
      <c r="N512" s="944"/>
      <c r="O512" s="944"/>
      <c r="P512" s="944"/>
      <c r="Q512" s="944"/>
      <c r="R512" s="944"/>
      <c r="S512" s="889"/>
      <c r="T512" s="889"/>
      <c r="U512" s="889"/>
      <c r="V512" s="889"/>
      <c r="W512" s="889"/>
      <c r="X512" s="889"/>
      <c r="Y512" s="889"/>
      <c r="Z512" s="889"/>
      <c r="AA512" s="889"/>
      <c r="AB512" s="889"/>
      <c r="AC512" s="889"/>
      <c r="AD512" s="889"/>
      <c r="AE512" s="889"/>
      <c r="AF512" s="889"/>
      <c r="AG512" s="889"/>
      <c r="AH512" s="889"/>
      <c r="AI512" s="889"/>
      <c r="AJ512" s="889"/>
      <c r="AK512" s="889"/>
      <c r="AL512" s="889"/>
      <c r="AM512" s="889"/>
      <c r="AN512" s="889"/>
      <c r="AO512" s="889"/>
      <c r="AP512" s="889"/>
      <c r="AQ512" s="889"/>
      <c r="AR512" s="889"/>
      <c r="AS512" s="889"/>
      <c r="AT512" s="889"/>
      <c r="AU512" s="889"/>
      <c r="AV512" s="889"/>
      <c r="AW512" s="889"/>
      <c r="AX512" s="889"/>
      <c r="AY512" s="889"/>
      <c r="AZ512" s="889"/>
    </row>
    <row r="513">
      <c r="A513" s="889"/>
      <c r="B513" s="889"/>
      <c r="C513" s="889"/>
      <c r="D513" s="889"/>
      <c r="E513" s="889"/>
      <c r="F513" s="889"/>
      <c r="G513" s="889"/>
      <c r="H513" s="889"/>
      <c r="I513" s="889"/>
      <c r="J513" s="889"/>
      <c r="K513" s="889"/>
      <c r="L513" s="889"/>
      <c r="M513" s="889"/>
      <c r="N513" s="944"/>
      <c r="O513" s="944"/>
      <c r="P513" s="944"/>
      <c r="Q513" s="944"/>
      <c r="R513" s="944"/>
      <c r="S513" s="889"/>
      <c r="T513" s="889"/>
      <c r="U513" s="889"/>
      <c r="V513" s="889"/>
      <c r="W513" s="889"/>
      <c r="X513" s="889"/>
      <c r="Y513" s="889"/>
      <c r="Z513" s="889"/>
      <c r="AA513" s="889"/>
      <c r="AB513" s="889"/>
      <c r="AC513" s="889"/>
      <c r="AD513" s="889"/>
      <c r="AE513" s="889"/>
      <c r="AF513" s="889"/>
      <c r="AG513" s="889"/>
      <c r="AH513" s="889"/>
      <c r="AI513" s="889"/>
      <c r="AJ513" s="889"/>
      <c r="AK513" s="889"/>
      <c r="AL513" s="889"/>
      <c r="AM513" s="889"/>
      <c r="AN513" s="889"/>
      <c r="AO513" s="889"/>
      <c r="AP513" s="889"/>
      <c r="AQ513" s="889"/>
      <c r="AR513" s="889"/>
      <c r="AS513" s="889"/>
      <c r="AT513" s="889"/>
      <c r="AU513" s="889"/>
      <c r="AV513" s="889"/>
      <c r="AW513" s="889"/>
      <c r="AX513" s="889"/>
      <c r="AY513" s="889"/>
      <c r="AZ513" s="889"/>
    </row>
    <row r="514">
      <c r="A514" s="889"/>
      <c r="B514" s="889"/>
      <c r="C514" s="889"/>
      <c r="D514" s="889"/>
      <c r="E514" s="889"/>
      <c r="F514" s="889"/>
      <c r="G514" s="889"/>
      <c r="H514" s="889"/>
      <c r="I514" s="889"/>
      <c r="J514" s="889"/>
      <c r="K514" s="889"/>
      <c r="L514" s="889"/>
      <c r="M514" s="889"/>
      <c r="N514" s="944"/>
      <c r="O514" s="944"/>
      <c r="P514" s="944"/>
      <c r="Q514" s="944"/>
      <c r="R514" s="944"/>
      <c r="S514" s="889"/>
      <c r="T514" s="889"/>
      <c r="U514" s="889"/>
      <c r="V514" s="889"/>
      <c r="W514" s="889"/>
      <c r="X514" s="889"/>
      <c r="Y514" s="889"/>
      <c r="Z514" s="889"/>
      <c r="AA514" s="889"/>
      <c r="AB514" s="889"/>
      <c r="AC514" s="889"/>
      <c r="AD514" s="889"/>
      <c r="AE514" s="889"/>
      <c r="AF514" s="889"/>
      <c r="AG514" s="889"/>
      <c r="AH514" s="889"/>
      <c r="AI514" s="889"/>
      <c r="AJ514" s="889"/>
      <c r="AK514" s="889"/>
      <c r="AL514" s="889"/>
      <c r="AM514" s="889"/>
      <c r="AN514" s="889"/>
      <c r="AO514" s="889"/>
      <c r="AP514" s="889"/>
      <c r="AQ514" s="889"/>
      <c r="AR514" s="889"/>
      <c r="AS514" s="889"/>
      <c r="AT514" s="889"/>
      <c r="AU514" s="889"/>
      <c r="AV514" s="889"/>
      <c r="AW514" s="889"/>
      <c r="AX514" s="889"/>
      <c r="AY514" s="889"/>
      <c r="AZ514" s="889"/>
    </row>
    <row r="515">
      <c r="A515" s="889"/>
      <c r="B515" s="889"/>
      <c r="C515" s="889"/>
      <c r="D515" s="889"/>
      <c r="E515" s="889"/>
      <c r="F515" s="889"/>
      <c r="G515" s="889"/>
      <c r="H515" s="889"/>
      <c r="I515" s="889"/>
      <c r="J515" s="889"/>
      <c r="K515" s="889"/>
      <c r="L515" s="889"/>
      <c r="M515" s="889"/>
      <c r="N515" s="944"/>
      <c r="O515" s="944"/>
      <c r="P515" s="944"/>
      <c r="Q515" s="944"/>
      <c r="R515" s="944"/>
      <c r="S515" s="889"/>
      <c r="T515" s="889"/>
      <c r="U515" s="889"/>
      <c r="V515" s="889"/>
      <c r="W515" s="889"/>
      <c r="X515" s="889"/>
      <c r="Y515" s="889"/>
      <c r="Z515" s="889"/>
      <c r="AA515" s="889"/>
      <c r="AB515" s="889"/>
      <c r="AC515" s="889"/>
      <c r="AD515" s="889"/>
      <c r="AE515" s="889"/>
      <c r="AF515" s="889"/>
      <c r="AG515" s="889"/>
      <c r="AH515" s="889"/>
      <c r="AI515" s="889"/>
      <c r="AJ515" s="889"/>
      <c r="AK515" s="889"/>
      <c r="AL515" s="889"/>
      <c r="AM515" s="889"/>
      <c r="AN515" s="889"/>
      <c r="AO515" s="889"/>
      <c r="AP515" s="889"/>
      <c r="AQ515" s="889"/>
      <c r="AR515" s="889"/>
      <c r="AS515" s="889"/>
      <c r="AT515" s="889"/>
      <c r="AU515" s="889"/>
      <c r="AV515" s="889"/>
      <c r="AW515" s="889"/>
      <c r="AX515" s="889"/>
      <c r="AY515" s="889"/>
      <c r="AZ515" s="889"/>
    </row>
    <row r="516">
      <c r="A516" s="889"/>
      <c r="B516" s="889"/>
      <c r="C516" s="889"/>
      <c r="D516" s="889"/>
      <c r="E516" s="889"/>
      <c r="F516" s="889"/>
      <c r="G516" s="889"/>
      <c r="H516" s="889"/>
      <c r="I516" s="889"/>
      <c r="J516" s="889"/>
      <c r="K516" s="889"/>
      <c r="L516" s="889"/>
      <c r="M516" s="889"/>
      <c r="N516" s="944"/>
      <c r="O516" s="944"/>
      <c r="P516" s="944"/>
      <c r="Q516" s="944"/>
      <c r="R516" s="944"/>
      <c r="S516" s="889"/>
      <c r="T516" s="889"/>
      <c r="U516" s="889"/>
      <c r="V516" s="889"/>
      <c r="W516" s="889"/>
      <c r="X516" s="889"/>
      <c r="Y516" s="889"/>
      <c r="Z516" s="889"/>
      <c r="AA516" s="889"/>
      <c r="AB516" s="889"/>
      <c r="AC516" s="889"/>
      <c r="AD516" s="889"/>
      <c r="AE516" s="889"/>
      <c r="AF516" s="889"/>
      <c r="AG516" s="889"/>
      <c r="AH516" s="889"/>
      <c r="AI516" s="889"/>
      <c r="AJ516" s="889"/>
      <c r="AK516" s="889"/>
      <c r="AL516" s="889"/>
      <c r="AM516" s="889"/>
      <c r="AN516" s="889"/>
      <c r="AO516" s="889"/>
      <c r="AP516" s="889"/>
      <c r="AQ516" s="889"/>
      <c r="AR516" s="889"/>
      <c r="AS516" s="889"/>
      <c r="AT516" s="889"/>
      <c r="AU516" s="889"/>
      <c r="AV516" s="889"/>
      <c r="AW516" s="889"/>
      <c r="AX516" s="889"/>
      <c r="AY516" s="889"/>
      <c r="AZ516" s="889"/>
    </row>
    <row r="517">
      <c r="A517" s="889"/>
      <c r="B517" s="889"/>
      <c r="C517" s="889"/>
      <c r="D517" s="889"/>
      <c r="E517" s="889"/>
      <c r="F517" s="889"/>
      <c r="G517" s="889"/>
      <c r="H517" s="889"/>
      <c r="I517" s="889"/>
      <c r="J517" s="889"/>
      <c r="K517" s="889"/>
      <c r="L517" s="889"/>
      <c r="M517" s="889"/>
      <c r="N517" s="944"/>
      <c r="O517" s="944"/>
      <c r="P517" s="944"/>
      <c r="Q517" s="944"/>
      <c r="R517" s="944"/>
      <c r="S517" s="889"/>
      <c r="T517" s="889"/>
      <c r="U517" s="889"/>
      <c r="V517" s="889"/>
      <c r="W517" s="889"/>
      <c r="X517" s="889"/>
      <c r="Y517" s="889"/>
      <c r="Z517" s="889"/>
      <c r="AA517" s="889"/>
      <c r="AB517" s="889"/>
      <c r="AC517" s="889"/>
      <c r="AD517" s="889"/>
      <c r="AE517" s="889"/>
      <c r="AF517" s="889"/>
      <c r="AG517" s="889"/>
      <c r="AH517" s="889"/>
      <c r="AI517" s="889"/>
      <c r="AJ517" s="889"/>
      <c r="AK517" s="889"/>
      <c r="AL517" s="889"/>
      <c r="AM517" s="889"/>
      <c r="AN517" s="889"/>
      <c r="AO517" s="889"/>
      <c r="AP517" s="889"/>
      <c r="AQ517" s="889"/>
      <c r="AR517" s="889"/>
      <c r="AS517" s="889"/>
      <c r="AT517" s="889"/>
      <c r="AU517" s="889"/>
      <c r="AV517" s="889"/>
      <c r="AW517" s="889"/>
      <c r="AX517" s="889"/>
      <c r="AY517" s="889"/>
      <c r="AZ517" s="889"/>
    </row>
    <row r="518">
      <c r="A518" s="889"/>
      <c r="B518" s="889"/>
      <c r="C518" s="889"/>
      <c r="D518" s="889"/>
      <c r="E518" s="889"/>
      <c r="F518" s="889"/>
      <c r="G518" s="889"/>
      <c r="H518" s="889"/>
      <c r="I518" s="889"/>
      <c r="J518" s="889"/>
      <c r="K518" s="889"/>
      <c r="L518" s="889"/>
      <c r="M518" s="889"/>
      <c r="N518" s="944"/>
      <c r="O518" s="944"/>
      <c r="P518" s="944"/>
      <c r="Q518" s="944"/>
      <c r="R518" s="944"/>
      <c r="S518" s="889"/>
      <c r="T518" s="889"/>
      <c r="U518" s="889"/>
      <c r="V518" s="889"/>
      <c r="W518" s="889"/>
      <c r="X518" s="889"/>
      <c r="Y518" s="889"/>
      <c r="Z518" s="889"/>
      <c r="AA518" s="889"/>
      <c r="AB518" s="889"/>
      <c r="AC518" s="889"/>
      <c r="AD518" s="889"/>
      <c r="AE518" s="889"/>
      <c r="AF518" s="889"/>
      <c r="AG518" s="889"/>
      <c r="AH518" s="889"/>
      <c r="AI518" s="889"/>
      <c r="AJ518" s="889"/>
      <c r="AK518" s="889"/>
      <c r="AL518" s="889"/>
      <c r="AM518" s="889"/>
      <c r="AN518" s="889"/>
      <c r="AO518" s="889"/>
      <c r="AP518" s="889"/>
      <c r="AQ518" s="889"/>
      <c r="AR518" s="889"/>
      <c r="AS518" s="889"/>
      <c r="AT518" s="889"/>
      <c r="AU518" s="889"/>
      <c r="AV518" s="889"/>
      <c r="AW518" s="889"/>
      <c r="AX518" s="889"/>
      <c r="AY518" s="889"/>
      <c r="AZ518" s="889"/>
    </row>
    <row r="519">
      <c r="A519" s="889"/>
      <c r="B519" s="889"/>
      <c r="C519" s="889"/>
      <c r="D519" s="889"/>
      <c r="E519" s="889"/>
      <c r="F519" s="889"/>
      <c r="G519" s="889"/>
      <c r="H519" s="889"/>
      <c r="I519" s="889"/>
      <c r="J519" s="889"/>
      <c r="K519" s="889"/>
      <c r="L519" s="889"/>
      <c r="M519" s="889"/>
      <c r="N519" s="944"/>
      <c r="O519" s="944"/>
      <c r="P519" s="944"/>
      <c r="Q519" s="944"/>
      <c r="R519" s="944"/>
      <c r="S519" s="889"/>
      <c r="T519" s="889"/>
      <c r="U519" s="889"/>
      <c r="V519" s="889"/>
      <c r="W519" s="889"/>
      <c r="X519" s="889"/>
      <c r="Y519" s="889"/>
      <c r="Z519" s="889"/>
      <c r="AA519" s="889"/>
      <c r="AB519" s="889"/>
      <c r="AC519" s="889"/>
      <c r="AD519" s="889"/>
      <c r="AE519" s="889"/>
      <c r="AF519" s="889"/>
      <c r="AG519" s="889"/>
      <c r="AH519" s="889"/>
      <c r="AI519" s="889"/>
      <c r="AJ519" s="889"/>
      <c r="AK519" s="889"/>
      <c r="AL519" s="889"/>
      <c r="AM519" s="889"/>
      <c r="AN519" s="889"/>
      <c r="AO519" s="889"/>
      <c r="AP519" s="889"/>
      <c r="AQ519" s="889"/>
      <c r="AR519" s="889"/>
      <c r="AS519" s="889"/>
      <c r="AT519" s="889"/>
      <c r="AU519" s="889"/>
      <c r="AV519" s="889"/>
      <c r="AW519" s="889"/>
      <c r="AX519" s="889"/>
      <c r="AY519" s="889"/>
      <c r="AZ519" s="889"/>
    </row>
    <row r="520">
      <c r="A520" s="889"/>
      <c r="B520" s="889"/>
      <c r="C520" s="889"/>
      <c r="D520" s="889"/>
      <c r="E520" s="889"/>
      <c r="F520" s="889"/>
      <c r="G520" s="889"/>
      <c r="H520" s="889"/>
      <c r="I520" s="889"/>
      <c r="J520" s="889"/>
      <c r="K520" s="889"/>
      <c r="L520" s="889"/>
      <c r="M520" s="889"/>
      <c r="N520" s="944"/>
      <c r="O520" s="944"/>
      <c r="P520" s="944"/>
      <c r="Q520" s="944"/>
      <c r="R520" s="944"/>
      <c r="S520" s="889"/>
      <c r="T520" s="889"/>
      <c r="U520" s="889"/>
      <c r="V520" s="889"/>
      <c r="W520" s="889"/>
      <c r="X520" s="889"/>
      <c r="Y520" s="889"/>
      <c r="Z520" s="889"/>
      <c r="AA520" s="889"/>
      <c r="AB520" s="889"/>
      <c r="AC520" s="889"/>
      <c r="AD520" s="889"/>
      <c r="AE520" s="889"/>
      <c r="AF520" s="889"/>
      <c r="AG520" s="889"/>
      <c r="AH520" s="889"/>
      <c r="AI520" s="889"/>
      <c r="AJ520" s="889"/>
      <c r="AK520" s="889"/>
      <c r="AL520" s="889"/>
      <c r="AM520" s="889"/>
      <c r="AN520" s="889"/>
      <c r="AO520" s="889"/>
      <c r="AP520" s="889"/>
      <c r="AQ520" s="889"/>
      <c r="AR520" s="889"/>
      <c r="AS520" s="889"/>
      <c r="AT520" s="889"/>
      <c r="AU520" s="889"/>
      <c r="AV520" s="889"/>
      <c r="AW520" s="889"/>
      <c r="AX520" s="889"/>
      <c r="AY520" s="889"/>
      <c r="AZ520" s="889"/>
    </row>
    <row r="521">
      <c r="A521" s="889"/>
      <c r="B521" s="889"/>
      <c r="C521" s="889"/>
      <c r="D521" s="889"/>
      <c r="E521" s="889"/>
      <c r="F521" s="889"/>
      <c r="G521" s="889"/>
      <c r="H521" s="889"/>
      <c r="I521" s="889"/>
      <c r="J521" s="889"/>
      <c r="K521" s="889"/>
      <c r="L521" s="889"/>
      <c r="M521" s="889"/>
      <c r="N521" s="944"/>
      <c r="O521" s="944"/>
      <c r="P521" s="944"/>
      <c r="Q521" s="944"/>
      <c r="R521" s="944"/>
      <c r="S521" s="889"/>
      <c r="T521" s="889"/>
      <c r="U521" s="889"/>
      <c r="V521" s="889"/>
      <c r="W521" s="889"/>
      <c r="X521" s="889"/>
      <c r="Y521" s="889"/>
      <c r="Z521" s="889"/>
      <c r="AA521" s="889"/>
      <c r="AB521" s="889"/>
      <c r="AC521" s="889"/>
      <c r="AD521" s="889"/>
      <c r="AE521" s="889"/>
      <c r="AF521" s="889"/>
      <c r="AG521" s="889"/>
      <c r="AH521" s="889"/>
      <c r="AI521" s="889"/>
      <c r="AJ521" s="889"/>
      <c r="AK521" s="889"/>
      <c r="AL521" s="889"/>
      <c r="AM521" s="889"/>
      <c r="AN521" s="889"/>
      <c r="AO521" s="889"/>
      <c r="AP521" s="889"/>
      <c r="AQ521" s="889"/>
      <c r="AR521" s="889"/>
      <c r="AS521" s="889"/>
      <c r="AT521" s="889"/>
      <c r="AU521" s="889"/>
      <c r="AV521" s="889"/>
      <c r="AW521" s="889"/>
      <c r="AX521" s="889"/>
      <c r="AY521" s="889"/>
      <c r="AZ521" s="889"/>
    </row>
    <row r="522">
      <c r="A522" s="889"/>
      <c r="B522" s="889"/>
      <c r="C522" s="889"/>
      <c r="D522" s="889"/>
      <c r="E522" s="889"/>
      <c r="F522" s="889"/>
      <c r="G522" s="889"/>
      <c r="H522" s="889"/>
      <c r="I522" s="889"/>
      <c r="J522" s="889"/>
      <c r="K522" s="889"/>
      <c r="L522" s="889"/>
      <c r="M522" s="889"/>
      <c r="N522" s="944"/>
      <c r="O522" s="944"/>
      <c r="P522" s="944"/>
      <c r="Q522" s="944"/>
      <c r="R522" s="944"/>
      <c r="S522" s="889"/>
      <c r="T522" s="889"/>
      <c r="U522" s="889"/>
      <c r="V522" s="889"/>
      <c r="W522" s="889"/>
      <c r="X522" s="889"/>
      <c r="Y522" s="889"/>
      <c r="Z522" s="889"/>
      <c r="AA522" s="889"/>
      <c r="AB522" s="889"/>
      <c r="AC522" s="889"/>
      <c r="AD522" s="889"/>
      <c r="AE522" s="889"/>
      <c r="AF522" s="889"/>
      <c r="AG522" s="889"/>
      <c r="AH522" s="889"/>
      <c r="AI522" s="889"/>
      <c r="AJ522" s="889"/>
      <c r="AK522" s="889"/>
      <c r="AL522" s="889"/>
      <c r="AM522" s="889"/>
      <c r="AN522" s="889"/>
      <c r="AO522" s="889"/>
      <c r="AP522" s="889"/>
      <c r="AQ522" s="889"/>
      <c r="AR522" s="889"/>
      <c r="AS522" s="889"/>
      <c r="AT522" s="889"/>
      <c r="AU522" s="889"/>
      <c r="AV522" s="889"/>
      <c r="AW522" s="889"/>
      <c r="AX522" s="889"/>
      <c r="AY522" s="889"/>
      <c r="AZ522" s="889"/>
    </row>
    <row r="523">
      <c r="A523" s="889"/>
      <c r="B523" s="889"/>
      <c r="C523" s="889"/>
      <c r="D523" s="889"/>
      <c r="E523" s="889"/>
      <c r="F523" s="889"/>
      <c r="G523" s="889"/>
      <c r="H523" s="889"/>
      <c r="I523" s="889"/>
      <c r="J523" s="889"/>
      <c r="K523" s="889"/>
      <c r="L523" s="889"/>
      <c r="M523" s="889"/>
      <c r="N523" s="944"/>
      <c r="O523" s="944"/>
      <c r="P523" s="944"/>
      <c r="Q523" s="944"/>
      <c r="R523" s="944"/>
      <c r="S523" s="889"/>
      <c r="T523" s="889"/>
      <c r="U523" s="889"/>
      <c r="V523" s="889"/>
      <c r="W523" s="889"/>
      <c r="X523" s="889"/>
      <c r="Y523" s="889"/>
      <c r="Z523" s="889"/>
      <c r="AA523" s="889"/>
      <c r="AB523" s="889"/>
      <c r="AC523" s="889"/>
      <c r="AD523" s="889"/>
      <c r="AE523" s="889"/>
      <c r="AF523" s="889"/>
      <c r="AG523" s="889"/>
      <c r="AH523" s="889"/>
      <c r="AI523" s="889"/>
      <c r="AJ523" s="889"/>
      <c r="AK523" s="889"/>
      <c r="AL523" s="889"/>
      <c r="AM523" s="889"/>
      <c r="AN523" s="889"/>
      <c r="AO523" s="889"/>
      <c r="AP523" s="889"/>
      <c r="AQ523" s="889"/>
      <c r="AR523" s="889"/>
      <c r="AS523" s="889"/>
      <c r="AT523" s="889"/>
      <c r="AU523" s="889"/>
      <c r="AV523" s="889"/>
      <c r="AW523" s="889"/>
      <c r="AX523" s="889"/>
      <c r="AY523" s="889"/>
      <c r="AZ523" s="889"/>
    </row>
    <row r="524">
      <c r="A524" s="889"/>
      <c r="B524" s="889"/>
      <c r="C524" s="889"/>
      <c r="D524" s="889"/>
      <c r="E524" s="889"/>
      <c r="F524" s="889"/>
      <c r="G524" s="889"/>
      <c r="H524" s="889"/>
      <c r="I524" s="889"/>
      <c r="J524" s="889"/>
      <c r="K524" s="889"/>
      <c r="L524" s="889"/>
      <c r="M524" s="889"/>
      <c r="N524" s="944"/>
      <c r="O524" s="944"/>
      <c r="P524" s="944"/>
      <c r="Q524" s="944"/>
      <c r="R524" s="944"/>
      <c r="S524" s="889"/>
      <c r="T524" s="889"/>
      <c r="U524" s="889"/>
      <c r="V524" s="889"/>
      <c r="W524" s="889"/>
      <c r="X524" s="889"/>
      <c r="Y524" s="889"/>
      <c r="Z524" s="889"/>
      <c r="AA524" s="889"/>
      <c r="AB524" s="889"/>
      <c r="AC524" s="889"/>
      <c r="AD524" s="889"/>
      <c r="AE524" s="889"/>
      <c r="AF524" s="889"/>
      <c r="AG524" s="889"/>
      <c r="AH524" s="889"/>
      <c r="AI524" s="889"/>
      <c r="AJ524" s="889"/>
      <c r="AK524" s="889"/>
      <c r="AL524" s="889"/>
      <c r="AM524" s="889"/>
      <c r="AN524" s="889"/>
      <c r="AO524" s="889"/>
      <c r="AP524" s="889"/>
      <c r="AQ524" s="889"/>
      <c r="AR524" s="889"/>
      <c r="AS524" s="889"/>
      <c r="AT524" s="889"/>
      <c r="AU524" s="889"/>
      <c r="AV524" s="889"/>
      <c r="AW524" s="889"/>
      <c r="AX524" s="889"/>
      <c r="AY524" s="889"/>
      <c r="AZ524" s="889"/>
    </row>
    <row r="525">
      <c r="A525" s="889"/>
      <c r="B525" s="889"/>
      <c r="C525" s="889"/>
      <c r="D525" s="889"/>
      <c r="E525" s="889"/>
      <c r="F525" s="889"/>
      <c r="G525" s="889"/>
      <c r="H525" s="889"/>
      <c r="I525" s="889"/>
      <c r="J525" s="889"/>
      <c r="K525" s="889"/>
      <c r="L525" s="889"/>
      <c r="M525" s="889"/>
      <c r="N525" s="944"/>
      <c r="O525" s="944"/>
      <c r="P525" s="944"/>
      <c r="Q525" s="944"/>
      <c r="R525" s="944"/>
      <c r="S525" s="889"/>
      <c r="T525" s="889"/>
      <c r="U525" s="889"/>
      <c r="V525" s="889"/>
      <c r="W525" s="889"/>
      <c r="X525" s="889"/>
      <c r="Y525" s="889"/>
      <c r="Z525" s="889"/>
      <c r="AA525" s="889"/>
      <c r="AB525" s="889"/>
      <c r="AC525" s="889"/>
      <c r="AD525" s="889"/>
      <c r="AE525" s="889"/>
      <c r="AF525" s="889"/>
      <c r="AG525" s="889"/>
      <c r="AH525" s="889"/>
      <c r="AI525" s="889"/>
      <c r="AJ525" s="889"/>
      <c r="AK525" s="889"/>
      <c r="AL525" s="889"/>
      <c r="AM525" s="889"/>
      <c r="AN525" s="889"/>
      <c r="AO525" s="889"/>
      <c r="AP525" s="889"/>
      <c r="AQ525" s="889"/>
      <c r="AR525" s="889"/>
      <c r="AS525" s="889"/>
      <c r="AT525" s="889"/>
      <c r="AU525" s="889"/>
      <c r="AV525" s="889"/>
      <c r="AW525" s="889"/>
      <c r="AX525" s="889"/>
      <c r="AY525" s="889"/>
      <c r="AZ525" s="889"/>
    </row>
    <row r="526">
      <c r="A526" s="889"/>
      <c r="B526" s="889"/>
      <c r="C526" s="889"/>
      <c r="D526" s="889"/>
      <c r="E526" s="889"/>
      <c r="F526" s="889"/>
      <c r="G526" s="889"/>
      <c r="H526" s="889"/>
      <c r="I526" s="889"/>
      <c r="J526" s="889"/>
      <c r="K526" s="889"/>
      <c r="L526" s="889"/>
      <c r="M526" s="889"/>
      <c r="N526" s="944"/>
      <c r="O526" s="944"/>
      <c r="P526" s="944"/>
      <c r="Q526" s="944"/>
      <c r="R526" s="944"/>
      <c r="S526" s="889"/>
      <c r="T526" s="889"/>
      <c r="U526" s="889"/>
      <c r="V526" s="889"/>
      <c r="W526" s="889"/>
      <c r="X526" s="889"/>
      <c r="Y526" s="889"/>
      <c r="Z526" s="889"/>
      <c r="AA526" s="889"/>
      <c r="AB526" s="889"/>
      <c r="AC526" s="889"/>
      <c r="AD526" s="889"/>
      <c r="AE526" s="889"/>
      <c r="AF526" s="889"/>
      <c r="AG526" s="889"/>
      <c r="AH526" s="889"/>
      <c r="AI526" s="889"/>
      <c r="AJ526" s="889"/>
      <c r="AK526" s="889"/>
      <c r="AL526" s="889"/>
      <c r="AM526" s="889"/>
      <c r="AN526" s="889"/>
      <c r="AO526" s="889"/>
      <c r="AP526" s="889"/>
      <c r="AQ526" s="889"/>
      <c r="AR526" s="889"/>
      <c r="AS526" s="889"/>
      <c r="AT526" s="889"/>
      <c r="AU526" s="889"/>
      <c r="AV526" s="889"/>
      <c r="AW526" s="889"/>
      <c r="AX526" s="889"/>
      <c r="AY526" s="889"/>
      <c r="AZ526" s="889"/>
    </row>
    <row r="527">
      <c r="A527" s="889"/>
      <c r="B527" s="889"/>
      <c r="C527" s="889"/>
      <c r="D527" s="889"/>
      <c r="E527" s="889"/>
      <c r="F527" s="889"/>
      <c r="G527" s="889"/>
      <c r="H527" s="889"/>
      <c r="I527" s="889"/>
      <c r="J527" s="889"/>
      <c r="K527" s="889"/>
      <c r="L527" s="889"/>
      <c r="M527" s="889"/>
      <c r="N527" s="944"/>
      <c r="O527" s="944"/>
      <c r="P527" s="944"/>
      <c r="Q527" s="944"/>
      <c r="R527" s="944"/>
      <c r="S527" s="889"/>
      <c r="T527" s="889"/>
      <c r="U527" s="889"/>
      <c r="V527" s="889"/>
      <c r="W527" s="889"/>
      <c r="X527" s="889"/>
      <c r="Y527" s="889"/>
      <c r="Z527" s="889"/>
      <c r="AA527" s="889"/>
      <c r="AB527" s="889"/>
      <c r="AC527" s="889"/>
      <c r="AD527" s="889"/>
      <c r="AE527" s="889"/>
      <c r="AF527" s="889"/>
      <c r="AG527" s="889"/>
      <c r="AH527" s="889"/>
      <c r="AI527" s="889"/>
      <c r="AJ527" s="889"/>
      <c r="AK527" s="889"/>
      <c r="AL527" s="889"/>
      <c r="AM527" s="889"/>
      <c r="AN527" s="889"/>
      <c r="AO527" s="889"/>
      <c r="AP527" s="889"/>
      <c r="AQ527" s="889"/>
      <c r="AR527" s="889"/>
      <c r="AS527" s="889"/>
      <c r="AT527" s="889"/>
      <c r="AU527" s="889"/>
      <c r="AV527" s="889"/>
      <c r="AW527" s="889"/>
      <c r="AX527" s="889"/>
      <c r="AY527" s="889"/>
      <c r="AZ527" s="889"/>
    </row>
    <row r="528">
      <c r="A528" s="889"/>
      <c r="B528" s="889"/>
      <c r="C528" s="889"/>
      <c r="D528" s="889"/>
      <c r="E528" s="889"/>
      <c r="F528" s="889"/>
      <c r="G528" s="889"/>
      <c r="H528" s="889"/>
      <c r="I528" s="889"/>
      <c r="J528" s="889"/>
      <c r="K528" s="889"/>
      <c r="L528" s="889"/>
      <c r="M528" s="889"/>
      <c r="N528" s="944"/>
      <c r="O528" s="944"/>
      <c r="P528" s="944"/>
      <c r="Q528" s="944"/>
      <c r="R528" s="944"/>
      <c r="S528" s="889"/>
      <c r="T528" s="889"/>
      <c r="U528" s="889"/>
      <c r="V528" s="889"/>
      <c r="W528" s="889"/>
      <c r="X528" s="889"/>
      <c r="Y528" s="889"/>
      <c r="Z528" s="889"/>
      <c r="AA528" s="889"/>
      <c r="AB528" s="889"/>
      <c r="AC528" s="889"/>
      <c r="AD528" s="889"/>
      <c r="AE528" s="889"/>
      <c r="AF528" s="889"/>
      <c r="AG528" s="889"/>
      <c r="AH528" s="889"/>
      <c r="AI528" s="889"/>
      <c r="AJ528" s="889"/>
      <c r="AK528" s="889"/>
      <c r="AL528" s="889"/>
      <c r="AM528" s="889"/>
      <c r="AN528" s="889"/>
      <c r="AO528" s="889"/>
      <c r="AP528" s="889"/>
      <c r="AQ528" s="889"/>
      <c r="AR528" s="889"/>
      <c r="AS528" s="889"/>
      <c r="AT528" s="889"/>
      <c r="AU528" s="889"/>
      <c r="AV528" s="889"/>
      <c r="AW528" s="889"/>
      <c r="AX528" s="889"/>
      <c r="AY528" s="889"/>
      <c r="AZ528" s="889"/>
    </row>
    <row r="529">
      <c r="A529" s="889"/>
      <c r="B529" s="889"/>
      <c r="C529" s="889"/>
      <c r="D529" s="889"/>
      <c r="E529" s="889"/>
      <c r="F529" s="889"/>
      <c r="G529" s="889"/>
      <c r="H529" s="889"/>
      <c r="I529" s="889"/>
      <c r="J529" s="889"/>
      <c r="K529" s="889"/>
      <c r="L529" s="889"/>
      <c r="M529" s="889"/>
      <c r="N529" s="944"/>
      <c r="O529" s="944"/>
      <c r="P529" s="944"/>
      <c r="Q529" s="944"/>
      <c r="R529" s="944"/>
      <c r="S529" s="889"/>
      <c r="T529" s="889"/>
      <c r="U529" s="889"/>
      <c r="V529" s="889"/>
      <c r="W529" s="889"/>
      <c r="X529" s="889"/>
      <c r="Y529" s="889"/>
      <c r="Z529" s="889"/>
      <c r="AA529" s="889"/>
      <c r="AB529" s="889"/>
      <c r="AC529" s="889"/>
      <c r="AD529" s="889"/>
      <c r="AE529" s="889"/>
      <c r="AF529" s="889"/>
      <c r="AG529" s="889"/>
      <c r="AH529" s="889"/>
      <c r="AI529" s="889"/>
      <c r="AJ529" s="889"/>
      <c r="AK529" s="889"/>
      <c r="AL529" s="889"/>
      <c r="AM529" s="889"/>
      <c r="AN529" s="889"/>
      <c r="AO529" s="889"/>
      <c r="AP529" s="889"/>
      <c r="AQ529" s="889"/>
      <c r="AR529" s="889"/>
      <c r="AS529" s="889"/>
      <c r="AT529" s="889"/>
      <c r="AU529" s="889"/>
      <c r="AV529" s="889"/>
      <c r="AW529" s="889"/>
      <c r="AX529" s="889"/>
      <c r="AY529" s="889"/>
      <c r="AZ529" s="889"/>
    </row>
    <row r="530">
      <c r="A530" s="889"/>
      <c r="B530" s="889"/>
      <c r="C530" s="889"/>
      <c r="D530" s="889"/>
      <c r="E530" s="889"/>
      <c r="F530" s="889"/>
      <c r="G530" s="889"/>
      <c r="H530" s="889"/>
      <c r="I530" s="889"/>
      <c r="J530" s="889"/>
      <c r="K530" s="889"/>
      <c r="L530" s="889"/>
      <c r="M530" s="889"/>
      <c r="N530" s="944"/>
      <c r="O530" s="944"/>
      <c r="P530" s="944"/>
      <c r="Q530" s="944"/>
      <c r="R530" s="944"/>
      <c r="S530" s="889"/>
      <c r="T530" s="889"/>
      <c r="U530" s="889"/>
      <c r="V530" s="889"/>
      <c r="W530" s="889"/>
      <c r="X530" s="889"/>
      <c r="Y530" s="889"/>
      <c r="Z530" s="889"/>
      <c r="AA530" s="889"/>
      <c r="AB530" s="889"/>
      <c r="AC530" s="889"/>
      <c r="AD530" s="889"/>
      <c r="AE530" s="889"/>
      <c r="AF530" s="889"/>
      <c r="AG530" s="889"/>
      <c r="AH530" s="889"/>
      <c r="AI530" s="889"/>
      <c r="AJ530" s="889"/>
      <c r="AK530" s="889"/>
      <c r="AL530" s="889"/>
      <c r="AM530" s="889"/>
      <c r="AN530" s="889"/>
      <c r="AO530" s="889"/>
      <c r="AP530" s="889"/>
      <c r="AQ530" s="889"/>
      <c r="AR530" s="889"/>
      <c r="AS530" s="889"/>
      <c r="AT530" s="889"/>
      <c r="AU530" s="889"/>
      <c r="AV530" s="889"/>
      <c r="AW530" s="889"/>
      <c r="AX530" s="889"/>
      <c r="AY530" s="889"/>
      <c r="AZ530" s="889"/>
    </row>
    <row r="531">
      <c r="A531" s="889"/>
      <c r="B531" s="889"/>
      <c r="C531" s="889"/>
      <c r="D531" s="889"/>
      <c r="E531" s="889"/>
      <c r="F531" s="889"/>
      <c r="G531" s="889"/>
      <c r="H531" s="889"/>
      <c r="I531" s="889"/>
      <c r="J531" s="889"/>
      <c r="K531" s="889"/>
      <c r="L531" s="889"/>
      <c r="M531" s="889"/>
      <c r="N531" s="944"/>
      <c r="O531" s="944"/>
      <c r="P531" s="944"/>
      <c r="Q531" s="944"/>
      <c r="R531" s="944"/>
      <c r="S531" s="889"/>
      <c r="T531" s="889"/>
      <c r="U531" s="889"/>
      <c r="V531" s="889"/>
      <c r="W531" s="889"/>
      <c r="X531" s="889"/>
      <c r="Y531" s="889"/>
      <c r="Z531" s="889"/>
      <c r="AA531" s="889"/>
      <c r="AB531" s="889"/>
      <c r="AC531" s="889"/>
      <c r="AD531" s="889"/>
      <c r="AE531" s="889"/>
      <c r="AF531" s="889"/>
      <c r="AG531" s="889"/>
      <c r="AH531" s="889"/>
      <c r="AI531" s="889"/>
      <c r="AJ531" s="889"/>
      <c r="AK531" s="889"/>
      <c r="AL531" s="889"/>
      <c r="AM531" s="889"/>
      <c r="AN531" s="889"/>
      <c r="AO531" s="889"/>
      <c r="AP531" s="889"/>
      <c r="AQ531" s="889"/>
      <c r="AR531" s="889"/>
      <c r="AS531" s="889"/>
      <c r="AT531" s="889"/>
      <c r="AU531" s="889"/>
      <c r="AV531" s="889"/>
      <c r="AW531" s="889"/>
      <c r="AX531" s="889"/>
      <c r="AY531" s="889"/>
      <c r="AZ531" s="889"/>
    </row>
    <row r="532">
      <c r="A532" s="889"/>
      <c r="B532" s="889"/>
      <c r="C532" s="889"/>
      <c r="D532" s="889"/>
      <c r="E532" s="889"/>
      <c r="F532" s="889"/>
      <c r="G532" s="889"/>
      <c r="H532" s="889"/>
      <c r="I532" s="889"/>
      <c r="J532" s="889"/>
      <c r="K532" s="889"/>
      <c r="L532" s="889"/>
      <c r="M532" s="889"/>
      <c r="N532" s="944"/>
      <c r="O532" s="944"/>
      <c r="P532" s="944"/>
      <c r="Q532" s="944"/>
      <c r="R532" s="944"/>
      <c r="S532" s="889"/>
      <c r="T532" s="889"/>
      <c r="U532" s="889"/>
      <c r="V532" s="889"/>
      <c r="W532" s="889"/>
      <c r="X532" s="889"/>
      <c r="Y532" s="889"/>
      <c r="Z532" s="889"/>
      <c r="AA532" s="889"/>
      <c r="AB532" s="889"/>
      <c r="AC532" s="889"/>
      <c r="AD532" s="889"/>
      <c r="AE532" s="889"/>
      <c r="AF532" s="889"/>
      <c r="AG532" s="889"/>
      <c r="AH532" s="889"/>
      <c r="AI532" s="889"/>
      <c r="AJ532" s="889"/>
      <c r="AK532" s="889"/>
      <c r="AL532" s="889"/>
      <c r="AM532" s="889"/>
      <c r="AN532" s="889"/>
      <c r="AO532" s="889"/>
      <c r="AP532" s="889"/>
      <c r="AQ532" s="889"/>
      <c r="AR532" s="889"/>
      <c r="AS532" s="889"/>
      <c r="AT532" s="889"/>
      <c r="AU532" s="889"/>
      <c r="AV532" s="889"/>
      <c r="AW532" s="889"/>
      <c r="AX532" s="889"/>
      <c r="AY532" s="889"/>
      <c r="AZ532" s="889"/>
    </row>
    <row r="533">
      <c r="A533" s="889"/>
      <c r="B533" s="889"/>
      <c r="C533" s="889"/>
      <c r="D533" s="889"/>
      <c r="E533" s="889"/>
      <c r="F533" s="889"/>
      <c r="G533" s="889"/>
      <c r="H533" s="889"/>
      <c r="I533" s="889"/>
      <c r="J533" s="889"/>
      <c r="K533" s="889"/>
      <c r="L533" s="889"/>
      <c r="M533" s="889"/>
      <c r="N533" s="944"/>
      <c r="O533" s="944"/>
      <c r="P533" s="944"/>
      <c r="Q533" s="944"/>
      <c r="R533" s="944"/>
      <c r="S533" s="889"/>
      <c r="T533" s="889"/>
      <c r="U533" s="889"/>
      <c r="V533" s="889"/>
      <c r="W533" s="889"/>
      <c r="X533" s="889"/>
      <c r="Y533" s="889"/>
      <c r="Z533" s="889"/>
      <c r="AA533" s="889"/>
      <c r="AB533" s="889"/>
      <c r="AC533" s="889"/>
      <c r="AD533" s="889"/>
      <c r="AE533" s="889"/>
      <c r="AF533" s="889"/>
      <c r="AG533" s="889"/>
      <c r="AH533" s="889"/>
      <c r="AI533" s="889"/>
      <c r="AJ533" s="889"/>
      <c r="AK533" s="889"/>
      <c r="AL533" s="889"/>
      <c r="AM533" s="889"/>
      <c r="AN533" s="889"/>
      <c r="AO533" s="889"/>
      <c r="AP533" s="889"/>
      <c r="AQ533" s="889"/>
      <c r="AR533" s="889"/>
      <c r="AS533" s="889"/>
      <c r="AT533" s="889"/>
      <c r="AU533" s="889"/>
      <c r="AV533" s="889"/>
      <c r="AW533" s="889"/>
      <c r="AX533" s="889"/>
      <c r="AY533" s="889"/>
      <c r="AZ533" s="889"/>
    </row>
    <row r="534">
      <c r="A534" s="889"/>
      <c r="B534" s="889"/>
      <c r="C534" s="889"/>
      <c r="D534" s="889"/>
      <c r="E534" s="889"/>
      <c r="F534" s="889"/>
      <c r="G534" s="889"/>
      <c r="H534" s="889"/>
      <c r="I534" s="889"/>
      <c r="J534" s="889"/>
      <c r="K534" s="889"/>
      <c r="L534" s="889"/>
      <c r="M534" s="889"/>
      <c r="N534" s="944"/>
      <c r="O534" s="944"/>
      <c r="P534" s="944"/>
      <c r="Q534" s="944"/>
      <c r="R534" s="944"/>
      <c r="S534" s="889"/>
      <c r="T534" s="889"/>
      <c r="U534" s="889"/>
      <c r="V534" s="889"/>
      <c r="W534" s="889"/>
      <c r="X534" s="889"/>
      <c r="Y534" s="889"/>
      <c r="Z534" s="889"/>
      <c r="AA534" s="889"/>
      <c r="AB534" s="889"/>
      <c r="AC534" s="889"/>
      <c r="AD534" s="889"/>
      <c r="AE534" s="889"/>
      <c r="AF534" s="889"/>
      <c r="AG534" s="889"/>
      <c r="AH534" s="889"/>
      <c r="AI534" s="889"/>
      <c r="AJ534" s="889"/>
      <c r="AK534" s="889"/>
      <c r="AL534" s="889"/>
      <c r="AM534" s="889"/>
      <c r="AN534" s="889"/>
      <c r="AO534" s="889"/>
      <c r="AP534" s="889"/>
      <c r="AQ534" s="889"/>
      <c r="AR534" s="889"/>
      <c r="AS534" s="889"/>
      <c r="AT534" s="889"/>
      <c r="AU534" s="889"/>
      <c r="AV534" s="889"/>
      <c r="AW534" s="889"/>
      <c r="AX534" s="889"/>
      <c r="AY534" s="889"/>
      <c r="AZ534" s="889"/>
    </row>
    <row r="535">
      <c r="A535" s="889"/>
      <c r="B535" s="889"/>
      <c r="C535" s="889"/>
      <c r="D535" s="889"/>
      <c r="E535" s="889"/>
      <c r="F535" s="889"/>
      <c r="G535" s="889"/>
      <c r="H535" s="889"/>
      <c r="I535" s="889"/>
      <c r="J535" s="889"/>
      <c r="K535" s="889"/>
      <c r="L535" s="889"/>
      <c r="M535" s="889"/>
      <c r="N535" s="944"/>
      <c r="O535" s="944"/>
      <c r="P535" s="944"/>
      <c r="Q535" s="944"/>
      <c r="R535" s="944"/>
      <c r="S535" s="889"/>
      <c r="T535" s="889"/>
      <c r="U535" s="889"/>
      <c r="V535" s="889"/>
      <c r="W535" s="889"/>
      <c r="X535" s="889"/>
      <c r="Y535" s="889"/>
      <c r="Z535" s="889"/>
      <c r="AA535" s="889"/>
      <c r="AB535" s="889"/>
      <c r="AC535" s="889"/>
      <c r="AD535" s="889"/>
      <c r="AE535" s="889"/>
      <c r="AF535" s="889"/>
      <c r="AG535" s="889"/>
      <c r="AH535" s="889"/>
      <c r="AI535" s="889"/>
      <c r="AJ535" s="889"/>
      <c r="AK535" s="889"/>
      <c r="AL535" s="889"/>
      <c r="AM535" s="889"/>
      <c r="AN535" s="889"/>
      <c r="AO535" s="889"/>
      <c r="AP535" s="889"/>
      <c r="AQ535" s="889"/>
      <c r="AR535" s="889"/>
      <c r="AS535" s="889"/>
      <c r="AT535" s="889"/>
      <c r="AU535" s="889"/>
      <c r="AV535" s="889"/>
      <c r="AW535" s="889"/>
      <c r="AX535" s="889"/>
      <c r="AY535" s="889"/>
      <c r="AZ535" s="889"/>
    </row>
    <row r="536">
      <c r="A536" s="889"/>
      <c r="B536" s="889"/>
      <c r="C536" s="889"/>
      <c r="D536" s="889"/>
      <c r="E536" s="889"/>
      <c r="F536" s="889"/>
      <c r="G536" s="889"/>
      <c r="H536" s="889"/>
      <c r="I536" s="889"/>
      <c r="J536" s="889"/>
      <c r="K536" s="889"/>
      <c r="L536" s="889"/>
      <c r="M536" s="889"/>
      <c r="N536" s="944"/>
      <c r="O536" s="944"/>
      <c r="P536" s="944"/>
      <c r="Q536" s="944"/>
      <c r="R536" s="944"/>
      <c r="S536" s="889"/>
      <c r="T536" s="889"/>
      <c r="U536" s="889"/>
      <c r="V536" s="889"/>
      <c r="W536" s="889"/>
      <c r="X536" s="889"/>
      <c r="Y536" s="889"/>
      <c r="Z536" s="889"/>
      <c r="AA536" s="889"/>
      <c r="AB536" s="889"/>
      <c r="AC536" s="889"/>
      <c r="AD536" s="889"/>
      <c r="AE536" s="889"/>
      <c r="AF536" s="889"/>
      <c r="AG536" s="889"/>
      <c r="AH536" s="889"/>
      <c r="AI536" s="889"/>
      <c r="AJ536" s="889"/>
      <c r="AK536" s="889"/>
      <c r="AL536" s="889"/>
      <c r="AM536" s="889"/>
      <c r="AN536" s="889"/>
      <c r="AO536" s="889"/>
      <c r="AP536" s="889"/>
      <c r="AQ536" s="889"/>
      <c r="AR536" s="889"/>
      <c r="AS536" s="889"/>
      <c r="AT536" s="889"/>
      <c r="AU536" s="889"/>
      <c r="AV536" s="889"/>
      <c r="AW536" s="889"/>
      <c r="AX536" s="889"/>
      <c r="AY536" s="889"/>
      <c r="AZ536" s="889"/>
    </row>
    <row r="537">
      <c r="A537" s="889"/>
      <c r="B537" s="889"/>
      <c r="C537" s="889"/>
      <c r="D537" s="889"/>
      <c r="E537" s="889"/>
      <c r="F537" s="889"/>
      <c r="G537" s="889"/>
      <c r="H537" s="889"/>
      <c r="I537" s="889"/>
      <c r="J537" s="889"/>
      <c r="K537" s="889"/>
      <c r="L537" s="889"/>
      <c r="M537" s="889"/>
      <c r="N537" s="944"/>
      <c r="O537" s="944"/>
      <c r="P537" s="944"/>
      <c r="Q537" s="944"/>
      <c r="R537" s="944"/>
      <c r="S537" s="889"/>
      <c r="T537" s="889"/>
      <c r="U537" s="889"/>
      <c r="V537" s="889"/>
      <c r="W537" s="889"/>
      <c r="X537" s="889"/>
      <c r="Y537" s="889"/>
      <c r="Z537" s="889"/>
      <c r="AA537" s="889"/>
      <c r="AB537" s="889"/>
      <c r="AC537" s="889"/>
      <c r="AD537" s="889"/>
      <c r="AE537" s="889"/>
      <c r="AF537" s="889"/>
      <c r="AG537" s="889"/>
      <c r="AH537" s="889"/>
      <c r="AI537" s="889"/>
      <c r="AJ537" s="889"/>
      <c r="AK537" s="889"/>
      <c r="AL537" s="889"/>
      <c r="AM537" s="889"/>
      <c r="AN537" s="889"/>
      <c r="AO537" s="889"/>
      <c r="AP537" s="889"/>
      <c r="AQ537" s="889"/>
      <c r="AR537" s="889"/>
      <c r="AS537" s="889"/>
      <c r="AT537" s="889"/>
      <c r="AU537" s="889"/>
      <c r="AV537" s="889"/>
      <c r="AW537" s="889"/>
      <c r="AX537" s="889"/>
      <c r="AY537" s="889"/>
      <c r="AZ537" s="889"/>
    </row>
    <row r="538">
      <c r="A538" s="889"/>
      <c r="B538" s="889"/>
      <c r="C538" s="889"/>
      <c r="D538" s="889"/>
      <c r="E538" s="889"/>
      <c r="F538" s="889"/>
      <c r="G538" s="889"/>
      <c r="H538" s="889"/>
      <c r="I538" s="889"/>
      <c r="J538" s="889"/>
      <c r="K538" s="889"/>
      <c r="L538" s="889"/>
      <c r="M538" s="889"/>
      <c r="N538" s="944"/>
      <c r="O538" s="944"/>
      <c r="P538" s="944"/>
      <c r="Q538" s="944"/>
      <c r="R538" s="944"/>
      <c r="S538" s="889"/>
      <c r="T538" s="889"/>
      <c r="U538" s="889"/>
      <c r="V538" s="889"/>
      <c r="W538" s="889"/>
      <c r="X538" s="889"/>
      <c r="Y538" s="889"/>
      <c r="Z538" s="889"/>
      <c r="AA538" s="889"/>
      <c r="AB538" s="889"/>
      <c r="AC538" s="889"/>
      <c r="AD538" s="889"/>
      <c r="AE538" s="889"/>
      <c r="AF538" s="889"/>
      <c r="AG538" s="889"/>
      <c r="AH538" s="889"/>
      <c r="AI538" s="889"/>
      <c r="AJ538" s="889"/>
      <c r="AK538" s="889"/>
      <c r="AL538" s="889"/>
      <c r="AM538" s="889"/>
      <c r="AN538" s="889"/>
      <c r="AO538" s="889"/>
      <c r="AP538" s="889"/>
      <c r="AQ538" s="889"/>
      <c r="AR538" s="889"/>
      <c r="AS538" s="889"/>
      <c r="AT538" s="889"/>
      <c r="AU538" s="889"/>
      <c r="AV538" s="889"/>
      <c r="AW538" s="889"/>
      <c r="AX538" s="889"/>
      <c r="AY538" s="889"/>
      <c r="AZ538" s="889"/>
    </row>
    <row r="539">
      <c r="A539" s="889"/>
      <c r="B539" s="889"/>
      <c r="C539" s="889"/>
      <c r="D539" s="889"/>
      <c r="E539" s="889"/>
      <c r="F539" s="889"/>
      <c r="G539" s="889"/>
      <c r="H539" s="889"/>
      <c r="I539" s="889"/>
      <c r="J539" s="889"/>
      <c r="K539" s="889"/>
      <c r="L539" s="889"/>
      <c r="M539" s="889"/>
      <c r="N539" s="944"/>
      <c r="O539" s="944"/>
      <c r="P539" s="944"/>
      <c r="Q539" s="944"/>
      <c r="R539" s="944"/>
      <c r="S539" s="889"/>
      <c r="T539" s="889"/>
      <c r="U539" s="889"/>
      <c r="V539" s="889"/>
      <c r="W539" s="889"/>
      <c r="X539" s="889"/>
      <c r="Y539" s="889"/>
      <c r="Z539" s="889"/>
      <c r="AA539" s="889"/>
      <c r="AB539" s="889"/>
      <c r="AC539" s="889"/>
      <c r="AD539" s="889"/>
      <c r="AE539" s="889"/>
      <c r="AF539" s="889"/>
      <c r="AG539" s="889"/>
      <c r="AH539" s="889"/>
      <c r="AI539" s="889"/>
      <c r="AJ539" s="889"/>
      <c r="AK539" s="889"/>
      <c r="AL539" s="889"/>
      <c r="AM539" s="889"/>
      <c r="AN539" s="889"/>
      <c r="AO539" s="889"/>
      <c r="AP539" s="889"/>
      <c r="AQ539" s="889"/>
      <c r="AR539" s="889"/>
      <c r="AS539" s="889"/>
      <c r="AT539" s="889"/>
      <c r="AU539" s="889"/>
      <c r="AV539" s="889"/>
      <c r="AW539" s="889"/>
      <c r="AX539" s="889"/>
      <c r="AY539" s="889"/>
      <c r="AZ539" s="889"/>
    </row>
    <row r="540">
      <c r="A540" s="889"/>
      <c r="B540" s="889"/>
      <c r="C540" s="889"/>
      <c r="D540" s="889"/>
      <c r="E540" s="889"/>
      <c r="F540" s="889"/>
      <c r="G540" s="889"/>
      <c r="H540" s="889"/>
      <c r="I540" s="889"/>
      <c r="J540" s="889"/>
      <c r="K540" s="889"/>
      <c r="L540" s="889"/>
      <c r="M540" s="889"/>
      <c r="N540" s="944"/>
      <c r="O540" s="944"/>
      <c r="P540" s="944"/>
      <c r="Q540" s="944"/>
      <c r="R540" s="944"/>
      <c r="S540" s="889"/>
      <c r="T540" s="889"/>
      <c r="U540" s="889"/>
      <c r="V540" s="889"/>
      <c r="W540" s="889"/>
      <c r="X540" s="889"/>
      <c r="Y540" s="889"/>
      <c r="Z540" s="889"/>
      <c r="AA540" s="889"/>
      <c r="AB540" s="889"/>
      <c r="AC540" s="889"/>
      <c r="AD540" s="889"/>
      <c r="AE540" s="889"/>
      <c r="AF540" s="889"/>
      <c r="AG540" s="889"/>
      <c r="AH540" s="889"/>
      <c r="AI540" s="889"/>
      <c r="AJ540" s="889"/>
      <c r="AK540" s="889"/>
      <c r="AL540" s="889"/>
      <c r="AM540" s="889"/>
      <c r="AN540" s="889"/>
      <c r="AO540" s="889"/>
      <c r="AP540" s="889"/>
      <c r="AQ540" s="889"/>
      <c r="AR540" s="889"/>
      <c r="AS540" s="889"/>
      <c r="AT540" s="889"/>
      <c r="AU540" s="889"/>
      <c r="AV540" s="889"/>
      <c r="AW540" s="889"/>
      <c r="AX540" s="889"/>
      <c r="AY540" s="889"/>
      <c r="AZ540" s="889"/>
    </row>
    <row r="541">
      <c r="A541" s="889"/>
      <c r="B541" s="889"/>
      <c r="C541" s="889"/>
      <c r="D541" s="889"/>
      <c r="E541" s="889"/>
      <c r="F541" s="889"/>
      <c r="G541" s="889"/>
      <c r="H541" s="889"/>
      <c r="I541" s="889"/>
      <c r="J541" s="889"/>
      <c r="K541" s="889"/>
      <c r="L541" s="889"/>
      <c r="M541" s="889"/>
      <c r="N541" s="944"/>
      <c r="O541" s="944"/>
      <c r="P541" s="944"/>
      <c r="Q541" s="944"/>
      <c r="R541" s="944"/>
      <c r="S541" s="889"/>
      <c r="T541" s="889"/>
      <c r="U541" s="889"/>
      <c r="V541" s="889"/>
      <c r="W541" s="889"/>
      <c r="X541" s="889"/>
      <c r="Y541" s="889"/>
      <c r="Z541" s="889"/>
      <c r="AA541" s="889"/>
      <c r="AB541" s="889"/>
      <c r="AC541" s="889"/>
      <c r="AD541" s="889"/>
      <c r="AE541" s="889"/>
      <c r="AF541" s="889"/>
      <c r="AG541" s="889"/>
      <c r="AH541" s="889"/>
      <c r="AI541" s="889"/>
      <c r="AJ541" s="889"/>
      <c r="AK541" s="889"/>
      <c r="AL541" s="889"/>
      <c r="AM541" s="889"/>
      <c r="AN541" s="889"/>
      <c r="AO541" s="889"/>
      <c r="AP541" s="889"/>
      <c r="AQ541" s="889"/>
      <c r="AR541" s="889"/>
      <c r="AS541" s="889"/>
      <c r="AT541" s="889"/>
      <c r="AU541" s="889"/>
      <c r="AV541" s="889"/>
      <c r="AW541" s="889"/>
      <c r="AX541" s="889"/>
      <c r="AY541" s="889"/>
      <c r="AZ541" s="889"/>
    </row>
    <row r="542">
      <c r="A542" s="889"/>
      <c r="B542" s="889"/>
      <c r="C542" s="889"/>
      <c r="D542" s="889"/>
      <c r="E542" s="889"/>
      <c r="F542" s="889"/>
      <c r="G542" s="889"/>
      <c r="H542" s="889"/>
      <c r="I542" s="889"/>
      <c r="J542" s="889"/>
      <c r="K542" s="889"/>
      <c r="L542" s="889"/>
      <c r="M542" s="889"/>
      <c r="N542" s="944"/>
      <c r="O542" s="944"/>
      <c r="P542" s="944"/>
      <c r="Q542" s="944"/>
      <c r="R542" s="944"/>
      <c r="S542" s="889"/>
      <c r="T542" s="889"/>
      <c r="U542" s="889"/>
      <c r="V542" s="889"/>
      <c r="W542" s="889"/>
      <c r="X542" s="889"/>
      <c r="Y542" s="889"/>
      <c r="Z542" s="889"/>
      <c r="AA542" s="889"/>
      <c r="AB542" s="889"/>
      <c r="AC542" s="889"/>
      <c r="AD542" s="889"/>
      <c r="AE542" s="889"/>
      <c r="AF542" s="889"/>
      <c r="AG542" s="889"/>
      <c r="AH542" s="889"/>
      <c r="AI542" s="889"/>
      <c r="AJ542" s="889"/>
      <c r="AK542" s="889"/>
      <c r="AL542" s="889"/>
      <c r="AM542" s="889"/>
      <c r="AN542" s="889"/>
      <c r="AO542" s="889"/>
      <c r="AP542" s="889"/>
      <c r="AQ542" s="889"/>
      <c r="AR542" s="889"/>
      <c r="AS542" s="889"/>
      <c r="AT542" s="889"/>
      <c r="AU542" s="889"/>
      <c r="AV542" s="889"/>
      <c r="AW542" s="889"/>
      <c r="AX542" s="889"/>
      <c r="AY542" s="889"/>
      <c r="AZ542" s="889"/>
    </row>
    <row r="543">
      <c r="A543" s="889"/>
      <c r="B543" s="889"/>
      <c r="C543" s="889"/>
      <c r="D543" s="889"/>
      <c r="E543" s="889"/>
      <c r="F543" s="889"/>
      <c r="G543" s="889"/>
      <c r="H543" s="889"/>
      <c r="I543" s="889"/>
      <c r="J543" s="889"/>
      <c r="K543" s="889"/>
      <c r="L543" s="889"/>
      <c r="M543" s="889"/>
      <c r="N543" s="944"/>
      <c r="O543" s="944"/>
      <c r="P543" s="944"/>
      <c r="Q543" s="944"/>
      <c r="R543" s="944"/>
      <c r="S543" s="889"/>
      <c r="T543" s="889"/>
      <c r="U543" s="889"/>
      <c r="V543" s="889"/>
      <c r="W543" s="889"/>
      <c r="X543" s="889"/>
      <c r="Y543" s="889"/>
      <c r="Z543" s="889"/>
      <c r="AA543" s="889"/>
      <c r="AB543" s="889"/>
      <c r="AC543" s="889"/>
      <c r="AD543" s="889"/>
      <c r="AE543" s="889"/>
      <c r="AF543" s="889"/>
      <c r="AG543" s="889"/>
      <c r="AH543" s="889"/>
      <c r="AI543" s="889"/>
      <c r="AJ543" s="889"/>
      <c r="AK543" s="889"/>
      <c r="AL543" s="889"/>
      <c r="AM543" s="889"/>
      <c r="AN543" s="889"/>
      <c r="AO543" s="889"/>
      <c r="AP543" s="889"/>
      <c r="AQ543" s="889"/>
      <c r="AR543" s="889"/>
      <c r="AS543" s="889"/>
      <c r="AT543" s="889"/>
      <c r="AU543" s="889"/>
      <c r="AV543" s="889"/>
      <c r="AW543" s="889"/>
      <c r="AX543" s="889"/>
      <c r="AY543" s="889"/>
      <c r="AZ543" s="889"/>
    </row>
    <row r="544">
      <c r="A544" s="889"/>
      <c r="B544" s="889"/>
      <c r="C544" s="889"/>
      <c r="D544" s="889"/>
      <c r="E544" s="889"/>
      <c r="F544" s="889"/>
      <c r="G544" s="889"/>
      <c r="H544" s="889"/>
      <c r="I544" s="889"/>
      <c r="J544" s="889"/>
      <c r="K544" s="889"/>
      <c r="L544" s="889"/>
      <c r="M544" s="889"/>
      <c r="N544" s="944"/>
      <c r="O544" s="944"/>
      <c r="P544" s="944"/>
      <c r="Q544" s="944"/>
      <c r="R544" s="944"/>
      <c r="S544" s="889"/>
      <c r="T544" s="889"/>
      <c r="U544" s="889"/>
      <c r="V544" s="889"/>
      <c r="W544" s="889"/>
      <c r="X544" s="889"/>
      <c r="Y544" s="889"/>
      <c r="Z544" s="889"/>
      <c r="AA544" s="889"/>
      <c r="AB544" s="889"/>
      <c r="AC544" s="889"/>
      <c r="AD544" s="889"/>
      <c r="AE544" s="889"/>
      <c r="AF544" s="889"/>
      <c r="AG544" s="889"/>
      <c r="AH544" s="889"/>
      <c r="AI544" s="889"/>
      <c r="AJ544" s="889"/>
      <c r="AK544" s="889"/>
      <c r="AL544" s="889"/>
      <c r="AM544" s="889"/>
      <c r="AN544" s="889"/>
      <c r="AO544" s="889"/>
      <c r="AP544" s="889"/>
      <c r="AQ544" s="889"/>
      <c r="AR544" s="889"/>
      <c r="AS544" s="889"/>
      <c r="AT544" s="889"/>
      <c r="AU544" s="889"/>
      <c r="AV544" s="889"/>
      <c r="AW544" s="889"/>
      <c r="AX544" s="889"/>
      <c r="AY544" s="889"/>
      <c r="AZ544" s="889"/>
    </row>
    <row r="545">
      <c r="A545" s="889"/>
      <c r="B545" s="889"/>
      <c r="C545" s="889"/>
      <c r="D545" s="889"/>
      <c r="E545" s="889"/>
      <c r="F545" s="889"/>
      <c r="G545" s="889"/>
      <c r="H545" s="889"/>
      <c r="I545" s="889"/>
      <c r="J545" s="889"/>
      <c r="K545" s="889"/>
      <c r="L545" s="889"/>
      <c r="M545" s="889"/>
      <c r="N545" s="944"/>
      <c r="O545" s="944"/>
      <c r="P545" s="944"/>
      <c r="Q545" s="944"/>
      <c r="R545" s="944"/>
      <c r="S545" s="889"/>
      <c r="T545" s="889"/>
      <c r="U545" s="889"/>
      <c r="V545" s="889"/>
      <c r="W545" s="889"/>
      <c r="X545" s="889"/>
      <c r="Y545" s="889"/>
      <c r="Z545" s="889"/>
      <c r="AA545" s="889"/>
      <c r="AB545" s="889"/>
      <c r="AC545" s="889"/>
      <c r="AD545" s="889"/>
      <c r="AE545" s="889"/>
      <c r="AF545" s="889"/>
      <c r="AG545" s="889"/>
      <c r="AH545" s="889"/>
      <c r="AI545" s="889"/>
      <c r="AJ545" s="889"/>
      <c r="AK545" s="889"/>
      <c r="AL545" s="889"/>
      <c r="AM545" s="889"/>
      <c r="AN545" s="889"/>
      <c r="AO545" s="889"/>
      <c r="AP545" s="889"/>
      <c r="AQ545" s="889"/>
      <c r="AR545" s="889"/>
      <c r="AS545" s="889"/>
      <c r="AT545" s="889"/>
      <c r="AU545" s="889"/>
      <c r="AV545" s="889"/>
      <c r="AW545" s="889"/>
      <c r="AX545" s="889"/>
      <c r="AY545" s="889"/>
      <c r="AZ545" s="889"/>
    </row>
    <row r="546">
      <c r="A546" s="889"/>
      <c r="B546" s="889"/>
      <c r="C546" s="889"/>
      <c r="D546" s="889"/>
      <c r="E546" s="889"/>
      <c r="F546" s="889"/>
      <c r="G546" s="889"/>
      <c r="H546" s="889"/>
      <c r="I546" s="889"/>
      <c r="J546" s="889"/>
      <c r="K546" s="889"/>
      <c r="L546" s="889"/>
      <c r="M546" s="889"/>
      <c r="N546" s="944"/>
      <c r="O546" s="944"/>
      <c r="P546" s="944"/>
      <c r="Q546" s="944"/>
      <c r="R546" s="944"/>
      <c r="S546" s="889"/>
      <c r="T546" s="889"/>
      <c r="U546" s="889"/>
      <c r="V546" s="889"/>
      <c r="W546" s="889"/>
      <c r="X546" s="889"/>
      <c r="Y546" s="889"/>
      <c r="Z546" s="889"/>
      <c r="AA546" s="889"/>
      <c r="AB546" s="889"/>
      <c r="AC546" s="889"/>
      <c r="AD546" s="889"/>
      <c r="AE546" s="889"/>
      <c r="AF546" s="889"/>
      <c r="AG546" s="889"/>
      <c r="AH546" s="889"/>
      <c r="AI546" s="889"/>
      <c r="AJ546" s="889"/>
      <c r="AK546" s="889"/>
      <c r="AL546" s="889"/>
      <c r="AM546" s="889"/>
      <c r="AN546" s="889"/>
      <c r="AO546" s="889"/>
      <c r="AP546" s="889"/>
      <c r="AQ546" s="889"/>
      <c r="AR546" s="889"/>
      <c r="AS546" s="889"/>
      <c r="AT546" s="889"/>
      <c r="AU546" s="889"/>
      <c r="AV546" s="889"/>
      <c r="AW546" s="889"/>
      <c r="AX546" s="889"/>
      <c r="AY546" s="889"/>
      <c r="AZ546" s="889"/>
    </row>
    <row r="547">
      <c r="A547" s="889"/>
      <c r="B547" s="889"/>
      <c r="C547" s="889"/>
      <c r="D547" s="889"/>
      <c r="E547" s="889"/>
      <c r="F547" s="889"/>
      <c r="G547" s="889"/>
      <c r="H547" s="889"/>
      <c r="I547" s="889"/>
      <c r="J547" s="889"/>
      <c r="K547" s="889"/>
      <c r="L547" s="889"/>
      <c r="M547" s="889"/>
      <c r="N547" s="944"/>
      <c r="O547" s="944"/>
      <c r="P547" s="944"/>
      <c r="Q547" s="944"/>
      <c r="R547" s="944"/>
      <c r="S547" s="889"/>
      <c r="T547" s="889"/>
      <c r="U547" s="889"/>
      <c r="V547" s="889"/>
      <c r="W547" s="889"/>
      <c r="X547" s="889"/>
      <c r="Y547" s="889"/>
      <c r="Z547" s="889"/>
      <c r="AA547" s="889"/>
      <c r="AB547" s="889"/>
      <c r="AC547" s="889"/>
      <c r="AD547" s="889"/>
      <c r="AE547" s="889"/>
      <c r="AF547" s="889"/>
      <c r="AG547" s="889"/>
      <c r="AH547" s="889"/>
      <c r="AI547" s="889"/>
      <c r="AJ547" s="889"/>
      <c r="AK547" s="889"/>
      <c r="AL547" s="889"/>
      <c r="AM547" s="889"/>
      <c r="AN547" s="889"/>
      <c r="AO547" s="889"/>
      <c r="AP547" s="889"/>
      <c r="AQ547" s="889"/>
      <c r="AR547" s="889"/>
      <c r="AS547" s="889"/>
      <c r="AT547" s="889"/>
      <c r="AU547" s="889"/>
      <c r="AV547" s="889"/>
      <c r="AW547" s="889"/>
      <c r="AX547" s="889"/>
      <c r="AY547" s="889"/>
      <c r="AZ547" s="889"/>
    </row>
    <row r="548">
      <c r="A548" s="889"/>
      <c r="B548" s="889"/>
      <c r="C548" s="889"/>
      <c r="D548" s="889"/>
      <c r="E548" s="889"/>
      <c r="F548" s="889"/>
      <c r="G548" s="889"/>
      <c r="H548" s="889"/>
      <c r="I548" s="889"/>
      <c r="J548" s="889"/>
      <c r="K548" s="889"/>
      <c r="L548" s="889"/>
      <c r="M548" s="889"/>
      <c r="N548" s="944"/>
      <c r="O548" s="944"/>
      <c r="P548" s="944"/>
      <c r="Q548" s="944"/>
      <c r="R548" s="944"/>
      <c r="S548" s="889"/>
      <c r="T548" s="889"/>
      <c r="U548" s="889"/>
      <c r="V548" s="889"/>
      <c r="W548" s="889"/>
      <c r="X548" s="889"/>
      <c r="Y548" s="889"/>
      <c r="Z548" s="889"/>
      <c r="AA548" s="889"/>
      <c r="AB548" s="889"/>
      <c r="AC548" s="889"/>
      <c r="AD548" s="889"/>
      <c r="AE548" s="889"/>
      <c r="AF548" s="889"/>
      <c r="AG548" s="889"/>
      <c r="AH548" s="889"/>
      <c r="AI548" s="889"/>
      <c r="AJ548" s="889"/>
      <c r="AK548" s="889"/>
      <c r="AL548" s="889"/>
      <c r="AM548" s="889"/>
      <c r="AN548" s="889"/>
      <c r="AO548" s="889"/>
      <c r="AP548" s="889"/>
      <c r="AQ548" s="889"/>
      <c r="AR548" s="889"/>
      <c r="AS548" s="889"/>
      <c r="AT548" s="889"/>
      <c r="AU548" s="889"/>
      <c r="AV548" s="889"/>
      <c r="AW548" s="889"/>
      <c r="AX548" s="889"/>
      <c r="AY548" s="889"/>
      <c r="AZ548" s="889"/>
    </row>
    <row r="549">
      <c r="A549" s="889"/>
      <c r="B549" s="889"/>
      <c r="C549" s="889"/>
      <c r="D549" s="889"/>
      <c r="E549" s="889"/>
      <c r="F549" s="889"/>
      <c r="G549" s="889"/>
      <c r="H549" s="889"/>
      <c r="I549" s="889"/>
      <c r="J549" s="889"/>
      <c r="K549" s="889"/>
      <c r="L549" s="889"/>
      <c r="M549" s="889"/>
      <c r="N549" s="944"/>
      <c r="O549" s="944"/>
      <c r="P549" s="944"/>
      <c r="Q549" s="944"/>
      <c r="R549" s="944"/>
      <c r="S549" s="889"/>
      <c r="T549" s="889"/>
      <c r="U549" s="889"/>
      <c r="V549" s="889"/>
      <c r="W549" s="889"/>
      <c r="X549" s="889"/>
      <c r="Y549" s="889"/>
      <c r="Z549" s="889"/>
      <c r="AA549" s="889"/>
      <c r="AB549" s="889"/>
      <c r="AC549" s="889"/>
      <c r="AD549" s="889"/>
      <c r="AE549" s="889"/>
      <c r="AF549" s="889"/>
      <c r="AG549" s="889"/>
      <c r="AH549" s="889"/>
      <c r="AI549" s="889"/>
      <c r="AJ549" s="889"/>
      <c r="AK549" s="889"/>
      <c r="AL549" s="889"/>
      <c r="AM549" s="889"/>
      <c r="AN549" s="889"/>
      <c r="AO549" s="889"/>
      <c r="AP549" s="889"/>
      <c r="AQ549" s="889"/>
      <c r="AR549" s="889"/>
      <c r="AS549" s="889"/>
      <c r="AT549" s="889"/>
      <c r="AU549" s="889"/>
      <c r="AV549" s="889"/>
      <c r="AW549" s="889"/>
      <c r="AX549" s="889"/>
      <c r="AY549" s="889"/>
      <c r="AZ549" s="889"/>
    </row>
    <row r="550">
      <c r="A550" s="889"/>
      <c r="B550" s="889"/>
      <c r="C550" s="889"/>
      <c r="D550" s="889"/>
      <c r="E550" s="889"/>
      <c r="F550" s="889"/>
      <c r="G550" s="889"/>
      <c r="H550" s="889"/>
      <c r="I550" s="889"/>
      <c r="J550" s="889"/>
      <c r="K550" s="889"/>
      <c r="L550" s="889"/>
      <c r="M550" s="889"/>
      <c r="N550" s="944"/>
      <c r="O550" s="944"/>
      <c r="P550" s="944"/>
      <c r="Q550" s="944"/>
      <c r="R550" s="944"/>
      <c r="S550" s="889"/>
      <c r="T550" s="889"/>
      <c r="U550" s="889"/>
      <c r="V550" s="889"/>
      <c r="W550" s="889"/>
      <c r="X550" s="889"/>
      <c r="Y550" s="889"/>
      <c r="Z550" s="889"/>
      <c r="AA550" s="889"/>
      <c r="AB550" s="889"/>
      <c r="AC550" s="889"/>
      <c r="AD550" s="889"/>
      <c r="AE550" s="889"/>
      <c r="AF550" s="889"/>
      <c r="AG550" s="889"/>
      <c r="AH550" s="889"/>
      <c r="AI550" s="889"/>
      <c r="AJ550" s="889"/>
      <c r="AK550" s="889"/>
      <c r="AL550" s="889"/>
      <c r="AM550" s="889"/>
      <c r="AN550" s="889"/>
      <c r="AO550" s="889"/>
      <c r="AP550" s="889"/>
      <c r="AQ550" s="889"/>
      <c r="AR550" s="889"/>
      <c r="AS550" s="889"/>
      <c r="AT550" s="889"/>
      <c r="AU550" s="889"/>
      <c r="AV550" s="889"/>
      <c r="AW550" s="889"/>
      <c r="AX550" s="889"/>
      <c r="AY550" s="889"/>
      <c r="AZ550" s="889"/>
    </row>
    <row r="551">
      <c r="A551" s="889"/>
      <c r="B551" s="889"/>
      <c r="C551" s="889"/>
      <c r="D551" s="889"/>
      <c r="E551" s="889"/>
      <c r="F551" s="889"/>
      <c r="G551" s="889"/>
      <c r="H551" s="889"/>
      <c r="I551" s="889"/>
      <c r="J551" s="889"/>
      <c r="K551" s="889"/>
      <c r="L551" s="889"/>
      <c r="M551" s="889"/>
      <c r="N551" s="944"/>
      <c r="O551" s="944"/>
      <c r="P551" s="944"/>
      <c r="Q551" s="944"/>
      <c r="R551" s="944"/>
      <c r="S551" s="889"/>
      <c r="T551" s="889"/>
      <c r="U551" s="889"/>
      <c r="V551" s="889"/>
      <c r="W551" s="889"/>
      <c r="X551" s="889"/>
      <c r="Y551" s="889"/>
      <c r="Z551" s="889"/>
      <c r="AA551" s="889"/>
      <c r="AB551" s="889"/>
      <c r="AC551" s="889"/>
      <c r="AD551" s="889"/>
      <c r="AE551" s="889"/>
      <c r="AF551" s="889"/>
      <c r="AG551" s="889"/>
      <c r="AH551" s="889"/>
      <c r="AI551" s="889"/>
      <c r="AJ551" s="889"/>
      <c r="AK551" s="889"/>
      <c r="AL551" s="889"/>
      <c r="AM551" s="889"/>
      <c r="AN551" s="889"/>
      <c r="AO551" s="889"/>
      <c r="AP551" s="889"/>
      <c r="AQ551" s="889"/>
      <c r="AR551" s="889"/>
      <c r="AS551" s="889"/>
      <c r="AT551" s="889"/>
      <c r="AU551" s="889"/>
      <c r="AV551" s="889"/>
      <c r="AW551" s="889"/>
      <c r="AX551" s="889"/>
      <c r="AY551" s="889"/>
      <c r="AZ551" s="889"/>
    </row>
    <row r="552">
      <c r="A552" s="889"/>
      <c r="B552" s="889"/>
      <c r="C552" s="889"/>
      <c r="D552" s="889"/>
      <c r="E552" s="889"/>
      <c r="F552" s="889"/>
      <c r="G552" s="889"/>
      <c r="H552" s="889"/>
      <c r="I552" s="889"/>
      <c r="J552" s="889"/>
      <c r="K552" s="889"/>
      <c r="L552" s="889"/>
      <c r="M552" s="889"/>
      <c r="N552" s="944"/>
      <c r="O552" s="944"/>
      <c r="P552" s="944"/>
      <c r="Q552" s="944"/>
      <c r="R552" s="944"/>
      <c r="S552" s="889"/>
      <c r="T552" s="889"/>
      <c r="U552" s="889"/>
      <c r="V552" s="889"/>
      <c r="W552" s="889"/>
      <c r="X552" s="889"/>
      <c r="Y552" s="889"/>
      <c r="Z552" s="889"/>
      <c r="AA552" s="889"/>
      <c r="AB552" s="889"/>
      <c r="AC552" s="889"/>
      <c r="AD552" s="889"/>
      <c r="AE552" s="889"/>
      <c r="AF552" s="889"/>
      <c r="AG552" s="889"/>
      <c r="AH552" s="889"/>
      <c r="AI552" s="889"/>
      <c r="AJ552" s="889"/>
      <c r="AK552" s="889"/>
      <c r="AL552" s="889"/>
      <c r="AM552" s="889"/>
      <c r="AN552" s="889"/>
      <c r="AO552" s="889"/>
      <c r="AP552" s="889"/>
      <c r="AQ552" s="889"/>
      <c r="AR552" s="889"/>
      <c r="AS552" s="889"/>
      <c r="AT552" s="889"/>
      <c r="AU552" s="889"/>
      <c r="AV552" s="889"/>
      <c r="AW552" s="889"/>
      <c r="AX552" s="889"/>
      <c r="AY552" s="889"/>
      <c r="AZ552" s="889"/>
    </row>
    <row r="553">
      <c r="A553" s="889"/>
      <c r="B553" s="889"/>
      <c r="C553" s="889"/>
      <c r="D553" s="889"/>
      <c r="E553" s="889"/>
      <c r="F553" s="889"/>
      <c r="G553" s="889"/>
      <c r="H553" s="889"/>
      <c r="I553" s="889"/>
      <c r="J553" s="889"/>
      <c r="K553" s="889"/>
      <c r="L553" s="889"/>
      <c r="M553" s="889"/>
      <c r="N553" s="944"/>
      <c r="O553" s="944"/>
      <c r="P553" s="944"/>
      <c r="Q553" s="944"/>
      <c r="R553" s="944"/>
      <c r="S553" s="889"/>
      <c r="T553" s="889"/>
      <c r="U553" s="889"/>
      <c r="V553" s="889"/>
      <c r="W553" s="889"/>
      <c r="X553" s="889"/>
      <c r="Y553" s="889"/>
      <c r="Z553" s="889"/>
      <c r="AA553" s="889"/>
      <c r="AB553" s="889"/>
      <c r="AC553" s="889"/>
      <c r="AD553" s="889"/>
      <c r="AE553" s="889"/>
      <c r="AF553" s="889"/>
      <c r="AG553" s="889"/>
      <c r="AH553" s="889"/>
      <c r="AI553" s="889"/>
      <c r="AJ553" s="889"/>
      <c r="AK553" s="889"/>
      <c r="AL553" s="889"/>
      <c r="AM553" s="889"/>
      <c r="AN553" s="889"/>
      <c r="AO553" s="889"/>
      <c r="AP553" s="889"/>
      <c r="AQ553" s="889"/>
      <c r="AR553" s="889"/>
      <c r="AS553" s="889"/>
      <c r="AT553" s="889"/>
      <c r="AU553" s="889"/>
      <c r="AV553" s="889"/>
      <c r="AW553" s="889"/>
      <c r="AX553" s="889"/>
      <c r="AY553" s="889"/>
      <c r="AZ553" s="889"/>
    </row>
    <row r="554">
      <c r="A554" s="889"/>
      <c r="B554" s="889"/>
      <c r="C554" s="889"/>
      <c r="D554" s="889"/>
      <c r="E554" s="889"/>
      <c r="F554" s="889"/>
      <c r="G554" s="889"/>
      <c r="H554" s="889"/>
      <c r="I554" s="889"/>
      <c r="J554" s="889"/>
      <c r="K554" s="889"/>
      <c r="L554" s="889"/>
      <c r="M554" s="889"/>
      <c r="N554" s="944"/>
      <c r="O554" s="944"/>
      <c r="P554" s="944"/>
      <c r="Q554" s="944"/>
      <c r="R554" s="944"/>
      <c r="S554" s="889"/>
      <c r="T554" s="889"/>
      <c r="U554" s="889"/>
      <c r="V554" s="889"/>
      <c r="W554" s="889"/>
      <c r="X554" s="889"/>
      <c r="Y554" s="889"/>
      <c r="Z554" s="889"/>
      <c r="AA554" s="889"/>
      <c r="AB554" s="889"/>
      <c r="AC554" s="889"/>
      <c r="AD554" s="889"/>
      <c r="AE554" s="889"/>
      <c r="AF554" s="889"/>
      <c r="AG554" s="889"/>
      <c r="AH554" s="889"/>
      <c r="AI554" s="889"/>
      <c r="AJ554" s="889"/>
      <c r="AK554" s="889"/>
      <c r="AL554" s="889"/>
      <c r="AM554" s="889"/>
      <c r="AN554" s="889"/>
      <c r="AO554" s="889"/>
      <c r="AP554" s="889"/>
      <c r="AQ554" s="889"/>
      <c r="AR554" s="889"/>
      <c r="AS554" s="889"/>
      <c r="AT554" s="889"/>
      <c r="AU554" s="889"/>
      <c r="AV554" s="889"/>
      <c r="AW554" s="889"/>
      <c r="AX554" s="889"/>
      <c r="AY554" s="889"/>
      <c r="AZ554" s="889"/>
    </row>
    <row r="555">
      <c r="A555" s="889"/>
      <c r="B555" s="889"/>
      <c r="C555" s="889"/>
      <c r="D555" s="889"/>
      <c r="E555" s="889"/>
      <c r="F555" s="889"/>
      <c r="G555" s="889"/>
      <c r="H555" s="889"/>
      <c r="I555" s="889"/>
      <c r="J555" s="889"/>
      <c r="K555" s="889"/>
      <c r="L555" s="889"/>
      <c r="M555" s="889"/>
      <c r="N555" s="944"/>
      <c r="O555" s="944"/>
      <c r="P555" s="944"/>
      <c r="Q555" s="944"/>
      <c r="R555" s="944"/>
      <c r="S555" s="889"/>
      <c r="T555" s="889"/>
      <c r="U555" s="889"/>
      <c r="V555" s="889"/>
      <c r="W555" s="889"/>
      <c r="X555" s="889"/>
      <c r="Y555" s="889"/>
      <c r="Z555" s="889"/>
      <c r="AA555" s="889"/>
      <c r="AB555" s="889"/>
      <c r="AC555" s="889"/>
      <c r="AD555" s="889"/>
      <c r="AE555" s="889"/>
      <c r="AF555" s="889"/>
      <c r="AG555" s="889"/>
      <c r="AH555" s="889"/>
      <c r="AI555" s="889"/>
      <c r="AJ555" s="889"/>
      <c r="AK555" s="889"/>
      <c r="AL555" s="889"/>
      <c r="AM555" s="889"/>
      <c r="AN555" s="889"/>
      <c r="AO555" s="889"/>
      <c r="AP555" s="889"/>
      <c r="AQ555" s="889"/>
      <c r="AR555" s="889"/>
      <c r="AS555" s="889"/>
      <c r="AT555" s="889"/>
      <c r="AU555" s="889"/>
      <c r="AV555" s="889"/>
      <c r="AW555" s="889"/>
      <c r="AX555" s="889"/>
      <c r="AY555" s="889"/>
      <c r="AZ555" s="889"/>
    </row>
    <row r="556">
      <c r="A556" s="889"/>
      <c r="B556" s="889"/>
      <c r="C556" s="889"/>
      <c r="D556" s="889"/>
      <c r="E556" s="889"/>
      <c r="F556" s="889"/>
      <c r="G556" s="889"/>
      <c r="H556" s="889"/>
      <c r="I556" s="889"/>
      <c r="J556" s="889"/>
      <c r="K556" s="889"/>
      <c r="L556" s="889"/>
      <c r="M556" s="889"/>
      <c r="N556" s="944"/>
      <c r="O556" s="944"/>
      <c r="P556" s="944"/>
      <c r="Q556" s="944"/>
      <c r="R556" s="944"/>
      <c r="S556" s="889"/>
      <c r="T556" s="889"/>
      <c r="U556" s="889"/>
      <c r="V556" s="889"/>
      <c r="W556" s="889"/>
      <c r="X556" s="889"/>
      <c r="Y556" s="889"/>
      <c r="Z556" s="889"/>
      <c r="AA556" s="889"/>
      <c r="AB556" s="889"/>
      <c r="AC556" s="889"/>
      <c r="AD556" s="889"/>
      <c r="AE556" s="889"/>
      <c r="AF556" s="889"/>
      <c r="AG556" s="889"/>
      <c r="AH556" s="889"/>
      <c r="AI556" s="889"/>
      <c r="AJ556" s="889"/>
      <c r="AK556" s="889"/>
      <c r="AL556" s="889"/>
      <c r="AM556" s="889"/>
      <c r="AN556" s="889"/>
      <c r="AO556" s="889"/>
      <c r="AP556" s="889"/>
      <c r="AQ556" s="889"/>
      <c r="AR556" s="889"/>
      <c r="AS556" s="889"/>
      <c r="AT556" s="889"/>
      <c r="AU556" s="889"/>
      <c r="AV556" s="889"/>
      <c r="AW556" s="889"/>
      <c r="AX556" s="889"/>
      <c r="AY556" s="889"/>
      <c r="AZ556" s="889"/>
    </row>
    <row r="557">
      <c r="A557" s="889"/>
      <c r="B557" s="889"/>
      <c r="C557" s="889"/>
      <c r="D557" s="889"/>
      <c r="E557" s="889"/>
      <c r="F557" s="889"/>
      <c r="G557" s="889"/>
      <c r="H557" s="889"/>
      <c r="I557" s="889"/>
      <c r="J557" s="889"/>
      <c r="K557" s="889"/>
      <c r="L557" s="889"/>
      <c r="M557" s="889"/>
      <c r="N557" s="944"/>
      <c r="O557" s="944"/>
      <c r="P557" s="944"/>
      <c r="Q557" s="944"/>
      <c r="R557" s="944"/>
      <c r="S557" s="889"/>
      <c r="T557" s="889"/>
      <c r="U557" s="889"/>
      <c r="V557" s="889"/>
      <c r="W557" s="889"/>
      <c r="X557" s="889"/>
      <c r="Y557" s="889"/>
      <c r="Z557" s="889"/>
      <c r="AA557" s="889"/>
      <c r="AB557" s="889"/>
      <c r="AC557" s="889"/>
      <c r="AD557" s="889"/>
      <c r="AE557" s="889"/>
      <c r="AF557" s="889"/>
      <c r="AG557" s="889"/>
      <c r="AH557" s="889"/>
      <c r="AI557" s="889"/>
      <c r="AJ557" s="889"/>
      <c r="AK557" s="889"/>
      <c r="AL557" s="889"/>
      <c r="AM557" s="889"/>
      <c r="AN557" s="889"/>
      <c r="AO557" s="889"/>
      <c r="AP557" s="889"/>
      <c r="AQ557" s="889"/>
      <c r="AR557" s="889"/>
      <c r="AS557" s="889"/>
      <c r="AT557" s="889"/>
      <c r="AU557" s="889"/>
      <c r="AV557" s="889"/>
      <c r="AW557" s="889"/>
      <c r="AX557" s="889"/>
      <c r="AY557" s="889"/>
      <c r="AZ557" s="889"/>
    </row>
    <row r="558">
      <c r="A558" s="889"/>
      <c r="B558" s="889"/>
      <c r="C558" s="889"/>
      <c r="D558" s="889"/>
      <c r="E558" s="889"/>
      <c r="F558" s="889"/>
      <c r="G558" s="889"/>
      <c r="H558" s="889"/>
      <c r="I558" s="889"/>
      <c r="J558" s="889"/>
      <c r="K558" s="889"/>
      <c r="L558" s="889"/>
      <c r="M558" s="889"/>
      <c r="N558" s="944"/>
      <c r="O558" s="944"/>
      <c r="P558" s="944"/>
      <c r="Q558" s="944"/>
      <c r="R558" s="944"/>
      <c r="S558" s="889"/>
      <c r="T558" s="889"/>
      <c r="U558" s="889"/>
      <c r="V558" s="889"/>
      <c r="W558" s="889"/>
      <c r="X558" s="889"/>
      <c r="Y558" s="889"/>
      <c r="Z558" s="889"/>
      <c r="AA558" s="889"/>
      <c r="AB558" s="889"/>
      <c r="AC558" s="889"/>
      <c r="AD558" s="889"/>
      <c r="AE558" s="889"/>
      <c r="AF558" s="889"/>
      <c r="AG558" s="889"/>
      <c r="AH558" s="889"/>
      <c r="AI558" s="889"/>
      <c r="AJ558" s="889"/>
      <c r="AK558" s="889"/>
      <c r="AL558" s="889"/>
      <c r="AM558" s="889"/>
      <c r="AN558" s="889"/>
      <c r="AO558" s="889"/>
      <c r="AP558" s="889"/>
      <c r="AQ558" s="889"/>
      <c r="AR558" s="889"/>
      <c r="AS558" s="889"/>
      <c r="AT558" s="889"/>
      <c r="AU558" s="889"/>
      <c r="AV558" s="889"/>
      <c r="AW558" s="889"/>
      <c r="AX558" s="889"/>
      <c r="AY558" s="889"/>
      <c r="AZ558" s="889"/>
    </row>
    <row r="559">
      <c r="A559" s="889"/>
      <c r="B559" s="889"/>
      <c r="C559" s="889"/>
      <c r="D559" s="889"/>
      <c r="E559" s="889"/>
      <c r="F559" s="889"/>
      <c r="G559" s="889"/>
      <c r="H559" s="889"/>
      <c r="I559" s="889"/>
      <c r="J559" s="889"/>
      <c r="K559" s="889"/>
      <c r="L559" s="889"/>
      <c r="M559" s="889"/>
      <c r="N559" s="944"/>
      <c r="O559" s="944"/>
      <c r="P559" s="944"/>
      <c r="Q559" s="944"/>
      <c r="R559" s="944"/>
      <c r="S559" s="889"/>
      <c r="T559" s="889"/>
      <c r="U559" s="889"/>
      <c r="V559" s="889"/>
      <c r="W559" s="889"/>
      <c r="X559" s="889"/>
      <c r="Y559" s="889"/>
      <c r="Z559" s="889"/>
      <c r="AA559" s="889"/>
      <c r="AB559" s="889"/>
      <c r="AC559" s="889"/>
      <c r="AD559" s="889"/>
      <c r="AE559" s="889"/>
      <c r="AF559" s="889"/>
      <c r="AG559" s="889"/>
      <c r="AH559" s="889"/>
      <c r="AI559" s="889"/>
      <c r="AJ559" s="889"/>
      <c r="AK559" s="889"/>
      <c r="AL559" s="889"/>
      <c r="AM559" s="889"/>
      <c r="AN559" s="889"/>
      <c r="AO559" s="889"/>
      <c r="AP559" s="889"/>
      <c r="AQ559" s="889"/>
      <c r="AR559" s="889"/>
      <c r="AS559" s="889"/>
      <c r="AT559" s="889"/>
      <c r="AU559" s="889"/>
      <c r="AV559" s="889"/>
      <c r="AW559" s="889"/>
      <c r="AX559" s="889"/>
      <c r="AY559" s="889"/>
      <c r="AZ559" s="889"/>
    </row>
    <row r="560">
      <c r="A560" s="889"/>
      <c r="B560" s="889"/>
      <c r="C560" s="889"/>
      <c r="D560" s="889"/>
      <c r="E560" s="889"/>
      <c r="F560" s="889"/>
      <c r="G560" s="889"/>
      <c r="H560" s="889"/>
      <c r="I560" s="889"/>
      <c r="J560" s="889"/>
      <c r="K560" s="889"/>
      <c r="L560" s="889"/>
      <c r="M560" s="889"/>
      <c r="N560" s="944"/>
      <c r="O560" s="944"/>
      <c r="P560" s="944"/>
      <c r="Q560" s="944"/>
      <c r="R560" s="944"/>
      <c r="S560" s="889"/>
      <c r="T560" s="889"/>
      <c r="U560" s="889"/>
      <c r="V560" s="889"/>
      <c r="W560" s="889"/>
      <c r="X560" s="889"/>
      <c r="Y560" s="889"/>
      <c r="Z560" s="889"/>
      <c r="AA560" s="889"/>
      <c r="AB560" s="889"/>
      <c r="AC560" s="889"/>
      <c r="AD560" s="889"/>
      <c r="AE560" s="889"/>
      <c r="AF560" s="889"/>
      <c r="AG560" s="889"/>
      <c r="AH560" s="889"/>
      <c r="AI560" s="889"/>
      <c r="AJ560" s="889"/>
      <c r="AK560" s="889"/>
      <c r="AL560" s="889"/>
      <c r="AM560" s="889"/>
      <c r="AN560" s="889"/>
      <c r="AO560" s="889"/>
      <c r="AP560" s="889"/>
      <c r="AQ560" s="889"/>
      <c r="AR560" s="889"/>
      <c r="AS560" s="889"/>
      <c r="AT560" s="889"/>
      <c r="AU560" s="889"/>
      <c r="AV560" s="889"/>
      <c r="AW560" s="889"/>
      <c r="AX560" s="889"/>
      <c r="AY560" s="889"/>
      <c r="AZ560" s="889"/>
    </row>
    <row r="561">
      <c r="A561" s="889"/>
      <c r="B561" s="889"/>
      <c r="C561" s="889"/>
      <c r="D561" s="889"/>
      <c r="E561" s="889"/>
      <c r="F561" s="889"/>
      <c r="G561" s="889"/>
      <c r="H561" s="889"/>
      <c r="I561" s="889"/>
      <c r="J561" s="889"/>
      <c r="K561" s="889"/>
      <c r="L561" s="889"/>
      <c r="M561" s="889"/>
      <c r="N561" s="944"/>
      <c r="O561" s="944"/>
      <c r="P561" s="944"/>
      <c r="Q561" s="944"/>
      <c r="R561" s="944"/>
      <c r="S561" s="889"/>
      <c r="T561" s="889"/>
      <c r="U561" s="889"/>
      <c r="V561" s="889"/>
      <c r="W561" s="889"/>
      <c r="X561" s="889"/>
      <c r="Y561" s="889"/>
      <c r="Z561" s="889"/>
      <c r="AA561" s="889"/>
      <c r="AB561" s="889"/>
      <c r="AC561" s="889"/>
      <c r="AD561" s="889"/>
      <c r="AE561" s="889"/>
      <c r="AF561" s="889"/>
      <c r="AG561" s="889"/>
      <c r="AH561" s="889"/>
      <c r="AI561" s="889"/>
      <c r="AJ561" s="889"/>
      <c r="AK561" s="889"/>
      <c r="AL561" s="889"/>
      <c r="AM561" s="889"/>
      <c r="AN561" s="889"/>
      <c r="AO561" s="889"/>
      <c r="AP561" s="889"/>
      <c r="AQ561" s="889"/>
      <c r="AR561" s="889"/>
      <c r="AS561" s="889"/>
      <c r="AT561" s="889"/>
      <c r="AU561" s="889"/>
      <c r="AV561" s="889"/>
      <c r="AW561" s="889"/>
      <c r="AX561" s="889"/>
      <c r="AY561" s="889"/>
      <c r="AZ561" s="889"/>
    </row>
    <row r="562">
      <c r="A562" s="889"/>
      <c r="B562" s="889"/>
      <c r="C562" s="889"/>
      <c r="D562" s="889"/>
      <c r="E562" s="889"/>
      <c r="F562" s="889"/>
      <c r="G562" s="889"/>
      <c r="H562" s="889"/>
      <c r="I562" s="889"/>
      <c r="J562" s="889"/>
      <c r="K562" s="889"/>
      <c r="L562" s="889"/>
      <c r="M562" s="889"/>
      <c r="N562" s="944"/>
      <c r="O562" s="944"/>
      <c r="P562" s="944"/>
      <c r="Q562" s="944"/>
      <c r="R562" s="944"/>
      <c r="S562" s="889"/>
      <c r="T562" s="889"/>
      <c r="U562" s="889"/>
      <c r="V562" s="889"/>
      <c r="W562" s="889"/>
      <c r="X562" s="889"/>
      <c r="Y562" s="889"/>
      <c r="Z562" s="889"/>
      <c r="AA562" s="889"/>
      <c r="AB562" s="889"/>
      <c r="AC562" s="889"/>
      <c r="AD562" s="889"/>
      <c r="AE562" s="889"/>
      <c r="AF562" s="889"/>
      <c r="AG562" s="889"/>
      <c r="AH562" s="889"/>
      <c r="AI562" s="889"/>
      <c r="AJ562" s="889"/>
      <c r="AK562" s="889"/>
      <c r="AL562" s="889"/>
      <c r="AM562" s="889"/>
      <c r="AN562" s="889"/>
      <c r="AO562" s="889"/>
      <c r="AP562" s="889"/>
      <c r="AQ562" s="889"/>
      <c r="AR562" s="889"/>
      <c r="AS562" s="889"/>
      <c r="AT562" s="889"/>
      <c r="AU562" s="889"/>
      <c r="AV562" s="889"/>
      <c r="AW562" s="889"/>
      <c r="AX562" s="889"/>
      <c r="AY562" s="889"/>
      <c r="AZ562" s="889"/>
    </row>
    <row r="563">
      <c r="A563" s="889"/>
      <c r="B563" s="889"/>
      <c r="C563" s="889"/>
      <c r="D563" s="889"/>
      <c r="E563" s="889"/>
      <c r="F563" s="889"/>
      <c r="G563" s="889"/>
      <c r="H563" s="889"/>
      <c r="I563" s="889"/>
      <c r="J563" s="889"/>
      <c r="K563" s="889"/>
      <c r="L563" s="889"/>
      <c r="M563" s="889"/>
      <c r="N563" s="944"/>
      <c r="O563" s="944"/>
      <c r="P563" s="944"/>
      <c r="Q563" s="944"/>
      <c r="R563" s="944"/>
      <c r="S563" s="889"/>
      <c r="T563" s="889"/>
      <c r="U563" s="889"/>
      <c r="V563" s="889"/>
      <c r="W563" s="889"/>
      <c r="X563" s="889"/>
      <c r="Y563" s="889"/>
      <c r="Z563" s="889"/>
      <c r="AA563" s="889"/>
      <c r="AB563" s="889"/>
      <c r="AC563" s="889"/>
      <c r="AD563" s="889"/>
      <c r="AE563" s="889"/>
      <c r="AF563" s="889"/>
      <c r="AG563" s="889"/>
      <c r="AH563" s="889"/>
      <c r="AI563" s="889"/>
      <c r="AJ563" s="889"/>
      <c r="AK563" s="889"/>
      <c r="AL563" s="889"/>
      <c r="AM563" s="889"/>
      <c r="AN563" s="889"/>
      <c r="AO563" s="889"/>
      <c r="AP563" s="889"/>
      <c r="AQ563" s="889"/>
      <c r="AR563" s="889"/>
      <c r="AS563" s="889"/>
      <c r="AT563" s="889"/>
      <c r="AU563" s="889"/>
      <c r="AV563" s="889"/>
      <c r="AW563" s="889"/>
      <c r="AX563" s="889"/>
      <c r="AY563" s="889"/>
      <c r="AZ563" s="889"/>
    </row>
    <row r="564">
      <c r="A564" s="889"/>
      <c r="B564" s="889"/>
      <c r="C564" s="889"/>
      <c r="D564" s="889"/>
      <c r="E564" s="889"/>
      <c r="F564" s="889"/>
      <c r="G564" s="889"/>
      <c r="H564" s="889"/>
      <c r="I564" s="889"/>
      <c r="J564" s="889"/>
      <c r="K564" s="889"/>
      <c r="L564" s="889"/>
      <c r="M564" s="889"/>
      <c r="N564" s="944"/>
      <c r="O564" s="944"/>
      <c r="P564" s="944"/>
      <c r="Q564" s="944"/>
      <c r="R564" s="944"/>
      <c r="S564" s="889"/>
      <c r="T564" s="889"/>
      <c r="U564" s="889"/>
      <c r="V564" s="889"/>
      <c r="W564" s="889"/>
      <c r="X564" s="889"/>
      <c r="Y564" s="889"/>
      <c r="Z564" s="889"/>
      <c r="AA564" s="889"/>
      <c r="AB564" s="889"/>
      <c r="AC564" s="889"/>
      <c r="AD564" s="889"/>
      <c r="AE564" s="889"/>
      <c r="AF564" s="889"/>
      <c r="AG564" s="889"/>
      <c r="AH564" s="889"/>
      <c r="AI564" s="889"/>
      <c r="AJ564" s="889"/>
      <c r="AK564" s="889"/>
      <c r="AL564" s="889"/>
      <c r="AM564" s="889"/>
      <c r="AN564" s="889"/>
      <c r="AO564" s="889"/>
      <c r="AP564" s="889"/>
      <c r="AQ564" s="889"/>
      <c r="AR564" s="889"/>
      <c r="AS564" s="889"/>
      <c r="AT564" s="889"/>
      <c r="AU564" s="889"/>
      <c r="AV564" s="889"/>
      <c r="AW564" s="889"/>
      <c r="AX564" s="889"/>
      <c r="AY564" s="889"/>
      <c r="AZ564" s="889"/>
    </row>
    <row r="565">
      <c r="A565" s="889"/>
      <c r="B565" s="889"/>
      <c r="C565" s="889"/>
      <c r="D565" s="889"/>
      <c r="E565" s="889"/>
      <c r="F565" s="889"/>
      <c r="G565" s="889"/>
      <c r="H565" s="889"/>
      <c r="I565" s="889"/>
      <c r="J565" s="889"/>
      <c r="K565" s="889"/>
      <c r="L565" s="889"/>
      <c r="M565" s="889"/>
      <c r="N565" s="944"/>
      <c r="O565" s="944"/>
      <c r="P565" s="944"/>
      <c r="Q565" s="944"/>
      <c r="R565" s="944"/>
      <c r="S565" s="889"/>
      <c r="T565" s="889"/>
      <c r="U565" s="889"/>
      <c r="V565" s="889"/>
      <c r="W565" s="889"/>
      <c r="X565" s="889"/>
      <c r="Y565" s="889"/>
      <c r="Z565" s="889"/>
      <c r="AA565" s="889"/>
      <c r="AB565" s="889"/>
      <c r="AC565" s="889"/>
      <c r="AD565" s="889"/>
      <c r="AE565" s="889"/>
      <c r="AF565" s="889"/>
      <c r="AG565" s="889"/>
      <c r="AH565" s="889"/>
      <c r="AI565" s="889"/>
      <c r="AJ565" s="889"/>
      <c r="AK565" s="889"/>
      <c r="AL565" s="889"/>
      <c r="AM565" s="889"/>
      <c r="AN565" s="889"/>
      <c r="AO565" s="889"/>
      <c r="AP565" s="889"/>
      <c r="AQ565" s="889"/>
      <c r="AR565" s="889"/>
      <c r="AS565" s="889"/>
      <c r="AT565" s="889"/>
      <c r="AU565" s="889"/>
      <c r="AV565" s="889"/>
      <c r="AW565" s="889"/>
      <c r="AX565" s="889"/>
      <c r="AY565" s="889"/>
      <c r="AZ565" s="889"/>
    </row>
    <row r="566">
      <c r="A566" s="889"/>
      <c r="B566" s="889"/>
      <c r="C566" s="889"/>
      <c r="D566" s="889"/>
      <c r="E566" s="889"/>
      <c r="F566" s="889"/>
      <c r="G566" s="889"/>
      <c r="H566" s="889"/>
      <c r="I566" s="889"/>
      <c r="J566" s="889"/>
      <c r="K566" s="889"/>
      <c r="L566" s="889"/>
      <c r="M566" s="889"/>
      <c r="N566" s="944"/>
      <c r="O566" s="944"/>
      <c r="P566" s="944"/>
      <c r="Q566" s="944"/>
      <c r="R566" s="944"/>
      <c r="S566" s="889"/>
      <c r="T566" s="889"/>
      <c r="U566" s="889"/>
      <c r="V566" s="889"/>
      <c r="W566" s="889"/>
      <c r="X566" s="889"/>
      <c r="Y566" s="889"/>
      <c r="Z566" s="889"/>
      <c r="AA566" s="889"/>
      <c r="AB566" s="889"/>
      <c r="AC566" s="889"/>
      <c r="AD566" s="889"/>
      <c r="AE566" s="889"/>
      <c r="AF566" s="889"/>
      <c r="AG566" s="889"/>
      <c r="AH566" s="889"/>
      <c r="AI566" s="889"/>
      <c r="AJ566" s="889"/>
      <c r="AK566" s="889"/>
      <c r="AL566" s="889"/>
      <c r="AM566" s="889"/>
      <c r="AN566" s="889"/>
      <c r="AO566" s="889"/>
      <c r="AP566" s="889"/>
      <c r="AQ566" s="889"/>
      <c r="AR566" s="889"/>
      <c r="AS566" s="889"/>
      <c r="AT566" s="889"/>
      <c r="AU566" s="889"/>
      <c r="AV566" s="889"/>
      <c r="AW566" s="889"/>
      <c r="AX566" s="889"/>
      <c r="AY566" s="889"/>
      <c r="AZ566" s="889"/>
    </row>
    <row r="567">
      <c r="A567" s="889"/>
      <c r="B567" s="889"/>
      <c r="C567" s="889"/>
      <c r="D567" s="889"/>
      <c r="E567" s="889"/>
      <c r="F567" s="889"/>
      <c r="G567" s="889"/>
      <c r="H567" s="889"/>
      <c r="I567" s="889"/>
      <c r="J567" s="889"/>
      <c r="K567" s="889"/>
      <c r="L567" s="889"/>
      <c r="M567" s="889"/>
      <c r="N567" s="944"/>
      <c r="O567" s="944"/>
      <c r="P567" s="944"/>
      <c r="Q567" s="944"/>
      <c r="R567" s="944"/>
      <c r="S567" s="889"/>
      <c r="T567" s="889"/>
      <c r="U567" s="889"/>
      <c r="V567" s="889"/>
      <c r="W567" s="889"/>
      <c r="X567" s="889"/>
      <c r="Y567" s="889"/>
      <c r="Z567" s="889"/>
      <c r="AA567" s="889"/>
      <c r="AB567" s="889"/>
      <c r="AC567" s="889"/>
      <c r="AD567" s="889"/>
      <c r="AE567" s="889"/>
      <c r="AF567" s="889"/>
      <c r="AG567" s="889"/>
      <c r="AH567" s="889"/>
      <c r="AI567" s="889"/>
      <c r="AJ567" s="889"/>
      <c r="AK567" s="889"/>
      <c r="AL567" s="889"/>
      <c r="AM567" s="889"/>
      <c r="AN567" s="889"/>
      <c r="AO567" s="889"/>
      <c r="AP567" s="889"/>
      <c r="AQ567" s="889"/>
      <c r="AR567" s="889"/>
      <c r="AS567" s="889"/>
      <c r="AT567" s="889"/>
      <c r="AU567" s="889"/>
      <c r="AV567" s="889"/>
      <c r="AW567" s="889"/>
      <c r="AX567" s="889"/>
      <c r="AY567" s="889"/>
      <c r="AZ567" s="889"/>
    </row>
    <row r="568">
      <c r="A568" s="889"/>
      <c r="B568" s="889"/>
      <c r="C568" s="889"/>
      <c r="D568" s="889"/>
      <c r="E568" s="889"/>
      <c r="F568" s="889"/>
      <c r="G568" s="889"/>
      <c r="H568" s="889"/>
      <c r="I568" s="889"/>
      <c r="J568" s="889"/>
      <c r="K568" s="889"/>
      <c r="L568" s="889"/>
      <c r="M568" s="889"/>
      <c r="N568" s="944"/>
      <c r="O568" s="944"/>
      <c r="P568" s="944"/>
      <c r="Q568" s="944"/>
      <c r="R568" s="944"/>
      <c r="S568" s="889"/>
      <c r="T568" s="889"/>
      <c r="U568" s="889"/>
      <c r="V568" s="889"/>
      <c r="W568" s="889"/>
      <c r="X568" s="889"/>
      <c r="Y568" s="889"/>
      <c r="Z568" s="889"/>
      <c r="AA568" s="889"/>
      <c r="AB568" s="889"/>
      <c r="AC568" s="889"/>
      <c r="AD568" s="889"/>
      <c r="AE568" s="889"/>
      <c r="AF568" s="889"/>
      <c r="AG568" s="889"/>
      <c r="AH568" s="889"/>
      <c r="AI568" s="889"/>
      <c r="AJ568" s="889"/>
      <c r="AK568" s="889"/>
      <c r="AL568" s="889"/>
      <c r="AM568" s="889"/>
      <c r="AN568" s="889"/>
      <c r="AO568" s="889"/>
      <c r="AP568" s="889"/>
      <c r="AQ568" s="889"/>
      <c r="AR568" s="889"/>
      <c r="AS568" s="889"/>
      <c r="AT568" s="889"/>
      <c r="AU568" s="889"/>
      <c r="AV568" s="889"/>
      <c r="AW568" s="889"/>
      <c r="AX568" s="889"/>
      <c r="AY568" s="889"/>
      <c r="AZ568" s="889"/>
    </row>
    <row r="569">
      <c r="A569" s="889"/>
      <c r="B569" s="889"/>
      <c r="C569" s="889"/>
      <c r="D569" s="889"/>
      <c r="E569" s="889"/>
      <c r="F569" s="889"/>
      <c r="G569" s="889"/>
      <c r="H569" s="889"/>
      <c r="I569" s="889"/>
      <c r="J569" s="889"/>
      <c r="K569" s="889"/>
      <c r="L569" s="889"/>
      <c r="M569" s="889"/>
      <c r="N569" s="944"/>
      <c r="O569" s="944"/>
      <c r="P569" s="944"/>
      <c r="Q569" s="944"/>
      <c r="R569" s="944"/>
      <c r="S569" s="889"/>
      <c r="T569" s="889"/>
      <c r="U569" s="889"/>
      <c r="V569" s="889"/>
      <c r="W569" s="889"/>
      <c r="X569" s="889"/>
      <c r="Y569" s="889"/>
      <c r="Z569" s="889"/>
      <c r="AA569" s="889"/>
      <c r="AB569" s="889"/>
      <c r="AC569" s="889"/>
      <c r="AD569" s="889"/>
      <c r="AE569" s="889"/>
      <c r="AF569" s="889"/>
      <c r="AG569" s="889"/>
      <c r="AH569" s="889"/>
      <c r="AI569" s="889"/>
      <c r="AJ569" s="889"/>
      <c r="AK569" s="889"/>
      <c r="AL569" s="889"/>
      <c r="AM569" s="889"/>
      <c r="AN569" s="889"/>
      <c r="AO569" s="889"/>
      <c r="AP569" s="889"/>
      <c r="AQ569" s="889"/>
      <c r="AR569" s="889"/>
      <c r="AS569" s="889"/>
      <c r="AT569" s="889"/>
      <c r="AU569" s="889"/>
      <c r="AV569" s="889"/>
      <c r="AW569" s="889"/>
      <c r="AX569" s="889"/>
      <c r="AY569" s="889"/>
      <c r="AZ569" s="889"/>
    </row>
    <row r="570">
      <c r="A570" s="889"/>
      <c r="B570" s="889"/>
      <c r="C570" s="889"/>
      <c r="D570" s="889"/>
      <c r="E570" s="889"/>
      <c r="F570" s="889"/>
      <c r="G570" s="889"/>
      <c r="H570" s="889"/>
      <c r="I570" s="889"/>
      <c r="J570" s="889"/>
      <c r="K570" s="889"/>
      <c r="L570" s="889"/>
      <c r="M570" s="889"/>
      <c r="N570" s="944"/>
      <c r="O570" s="944"/>
      <c r="P570" s="944"/>
      <c r="Q570" s="944"/>
      <c r="R570" s="944"/>
      <c r="S570" s="889"/>
      <c r="T570" s="889"/>
      <c r="U570" s="889"/>
      <c r="V570" s="889"/>
      <c r="W570" s="889"/>
      <c r="X570" s="889"/>
      <c r="Y570" s="889"/>
      <c r="Z570" s="889"/>
      <c r="AA570" s="889"/>
      <c r="AB570" s="889"/>
      <c r="AC570" s="889"/>
      <c r="AD570" s="889"/>
      <c r="AE570" s="889"/>
      <c r="AF570" s="889"/>
      <c r="AG570" s="889"/>
      <c r="AH570" s="889"/>
      <c r="AI570" s="889"/>
      <c r="AJ570" s="889"/>
      <c r="AK570" s="889"/>
      <c r="AL570" s="889"/>
      <c r="AM570" s="889"/>
      <c r="AN570" s="889"/>
      <c r="AO570" s="889"/>
      <c r="AP570" s="889"/>
      <c r="AQ570" s="889"/>
      <c r="AR570" s="889"/>
      <c r="AS570" s="889"/>
      <c r="AT570" s="889"/>
      <c r="AU570" s="889"/>
      <c r="AV570" s="889"/>
      <c r="AW570" s="889"/>
      <c r="AX570" s="889"/>
      <c r="AY570" s="889"/>
      <c r="AZ570" s="889"/>
    </row>
    <row r="571">
      <c r="A571" s="889"/>
      <c r="B571" s="889"/>
      <c r="C571" s="889"/>
      <c r="D571" s="889"/>
      <c r="E571" s="889"/>
      <c r="F571" s="889"/>
      <c r="G571" s="889"/>
      <c r="H571" s="889"/>
      <c r="I571" s="889"/>
      <c r="J571" s="889"/>
      <c r="K571" s="889"/>
      <c r="L571" s="889"/>
      <c r="M571" s="889"/>
      <c r="N571" s="944"/>
      <c r="O571" s="944"/>
      <c r="P571" s="944"/>
      <c r="Q571" s="944"/>
      <c r="R571" s="944"/>
      <c r="S571" s="889"/>
      <c r="T571" s="889"/>
      <c r="U571" s="889"/>
      <c r="V571" s="889"/>
      <c r="W571" s="889"/>
      <c r="X571" s="889"/>
      <c r="Y571" s="889"/>
      <c r="Z571" s="889"/>
      <c r="AA571" s="889"/>
      <c r="AB571" s="889"/>
      <c r="AC571" s="889"/>
      <c r="AD571" s="889"/>
      <c r="AE571" s="889"/>
      <c r="AF571" s="889"/>
      <c r="AG571" s="889"/>
      <c r="AH571" s="889"/>
      <c r="AI571" s="889"/>
      <c r="AJ571" s="889"/>
      <c r="AK571" s="889"/>
      <c r="AL571" s="889"/>
      <c r="AM571" s="889"/>
      <c r="AN571" s="889"/>
      <c r="AO571" s="889"/>
      <c r="AP571" s="889"/>
      <c r="AQ571" s="889"/>
      <c r="AR571" s="889"/>
      <c r="AS571" s="889"/>
      <c r="AT571" s="889"/>
      <c r="AU571" s="889"/>
      <c r="AV571" s="889"/>
      <c r="AW571" s="889"/>
      <c r="AX571" s="889"/>
      <c r="AY571" s="889"/>
      <c r="AZ571" s="889"/>
    </row>
    <row r="572">
      <c r="A572" s="889"/>
      <c r="B572" s="889"/>
      <c r="C572" s="889"/>
      <c r="D572" s="889"/>
      <c r="E572" s="889"/>
      <c r="F572" s="889"/>
      <c r="G572" s="889"/>
      <c r="H572" s="889"/>
      <c r="I572" s="889"/>
      <c r="J572" s="889"/>
      <c r="K572" s="889"/>
      <c r="L572" s="889"/>
      <c r="M572" s="889"/>
      <c r="N572" s="944"/>
      <c r="O572" s="944"/>
      <c r="P572" s="944"/>
      <c r="Q572" s="944"/>
      <c r="R572" s="944"/>
      <c r="S572" s="889"/>
      <c r="T572" s="889"/>
      <c r="U572" s="889"/>
      <c r="V572" s="889"/>
      <c r="W572" s="889"/>
      <c r="X572" s="889"/>
      <c r="Y572" s="889"/>
      <c r="Z572" s="889"/>
      <c r="AA572" s="889"/>
      <c r="AB572" s="889"/>
      <c r="AC572" s="889"/>
      <c r="AD572" s="889"/>
      <c r="AE572" s="889"/>
      <c r="AF572" s="889"/>
      <c r="AG572" s="889"/>
      <c r="AH572" s="889"/>
      <c r="AI572" s="889"/>
      <c r="AJ572" s="889"/>
      <c r="AK572" s="889"/>
      <c r="AL572" s="889"/>
      <c r="AM572" s="889"/>
      <c r="AN572" s="889"/>
      <c r="AO572" s="889"/>
      <c r="AP572" s="889"/>
      <c r="AQ572" s="889"/>
      <c r="AR572" s="889"/>
      <c r="AS572" s="889"/>
      <c r="AT572" s="889"/>
      <c r="AU572" s="889"/>
      <c r="AV572" s="889"/>
      <c r="AW572" s="889"/>
      <c r="AX572" s="889"/>
      <c r="AY572" s="889"/>
      <c r="AZ572" s="889"/>
    </row>
    <row r="573">
      <c r="A573" s="889"/>
      <c r="B573" s="889"/>
      <c r="C573" s="889"/>
      <c r="D573" s="889"/>
      <c r="E573" s="889"/>
      <c r="F573" s="889"/>
      <c r="G573" s="889"/>
      <c r="H573" s="889"/>
      <c r="I573" s="889"/>
      <c r="J573" s="889"/>
      <c r="K573" s="889"/>
      <c r="L573" s="889"/>
      <c r="M573" s="889"/>
      <c r="N573" s="944"/>
      <c r="O573" s="944"/>
      <c r="P573" s="944"/>
      <c r="Q573" s="944"/>
      <c r="R573" s="944"/>
      <c r="S573" s="889"/>
      <c r="T573" s="889"/>
      <c r="U573" s="889"/>
      <c r="V573" s="889"/>
      <c r="W573" s="889"/>
      <c r="X573" s="889"/>
      <c r="Y573" s="889"/>
      <c r="Z573" s="889"/>
      <c r="AA573" s="889"/>
      <c r="AB573" s="889"/>
      <c r="AC573" s="889"/>
      <c r="AD573" s="889"/>
      <c r="AE573" s="889"/>
      <c r="AF573" s="889"/>
      <c r="AG573" s="889"/>
      <c r="AH573" s="889"/>
      <c r="AI573" s="889"/>
      <c r="AJ573" s="889"/>
      <c r="AK573" s="889"/>
      <c r="AL573" s="889"/>
      <c r="AM573" s="889"/>
      <c r="AN573" s="889"/>
      <c r="AO573" s="889"/>
      <c r="AP573" s="889"/>
      <c r="AQ573" s="889"/>
      <c r="AR573" s="889"/>
      <c r="AS573" s="889"/>
      <c r="AT573" s="889"/>
      <c r="AU573" s="889"/>
      <c r="AV573" s="889"/>
      <c r="AW573" s="889"/>
      <c r="AX573" s="889"/>
      <c r="AY573" s="889"/>
      <c r="AZ573" s="889"/>
    </row>
    <row r="574">
      <c r="A574" s="889"/>
      <c r="B574" s="889"/>
      <c r="C574" s="889"/>
      <c r="D574" s="889"/>
      <c r="E574" s="889"/>
      <c r="F574" s="889"/>
      <c r="G574" s="889"/>
      <c r="H574" s="889"/>
      <c r="I574" s="889"/>
      <c r="J574" s="889"/>
      <c r="K574" s="889"/>
      <c r="L574" s="889"/>
      <c r="M574" s="889"/>
      <c r="N574" s="944"/>
      <c r="O574" s="944"/>
      <c r="P574" s="944"/>
      <c r="Q574" s="944"/>
      <c r="R574" s="944"/>
      <c r="S574" s="889"/>
      <c r="T574" s="889"/>
      <c r="U574" s="889"/>
      <c r="V574" s="889"/>
      <c r="W574" s="889"/>
      <c r="X574" s="889"/>
      <c r="Y574" s="889"/>
      <c r="Z574" s="889"/>
      <c r="AA574" s="889"/>
      <c r="AB574" s="889"/>
      <c r="AC574" s="889"/>
      <c r="AD574" s="889"/>
      <c r="AE574" s="889"/>
      <c r="AF574" s="889"/>
      <c r="AG574" s="889"/>
      <c r="AH574" s="889"/>
      <c r="AI574" s="889"/>
      <c r="AJ574" s="889"/>
      <c r="AK574" s="889"/>
      <c r="AL574" s="889"/>
      <c r="AM574" s="889"/>
      <c r="AN574" s="889"/>
      <c r="AO574" s="889"/>
      <c r="AP574" s="889"/>
      <c r="AQ574" s="889"/>
      <c r="AR574" s="889"/>
      <c r="AS574" s="889"/>
      <c r="AT574" s="889"/>
      <c r="AU574" s="889"/>
      <c r="AV574" s="889"/>
      <c r="AW574" s="889"/>
      <c r="AX574" s="889"/>
      <c r="AY574" s="889"/>
      <c r="AZ574" s="889"/>
    </row>
    <row r="575">
      <c r="A575" s="889"/>
      <c r="B575" s="889"/>
      <c r="C575" s="889"/>
      <c r="D575" s="889"/>
      <c r="E575" s="889"/>
      <c r="F575" s="889"/>
      <c r="G575" s="889"/>
      <c r="H575" s="889"/>
      <c r="I575" s="889"/>
      <c r="J575" s="889"/>
      <c r="K575" s="889"/>
      <c r="L575" s="889"/>
      <c r="M575" s="889"/>
      <c r="N575" s="944"/>
      <c r="O575" s="944"/>
      <c r="P575" s="944"/>
      <c r="Q575" s="944"/>
      <c r="R575" s="944"/>
      <c r="S575" s="889"/>
      <c r="T575" s="889"/>
      <c r="U575" s="889"/>
      <c r="V575" s="889"/>
      <c r="W575" s="889"/>
      <c r="X575" s="889"/>
      <c r="Y575" s="889"/>
      <c r="Z575" s="889"/>
      <c r="AA575" s="889"/>
      <c r="AB575" s="889"/>
      <c r="AC575" s="889"/>
      <c r="AD575" s="889"/>
      <c r="AE575" s="889"/>
      <c r="AF575" s="889"/>
      <c r="AG575" s="889"/>
      <c r="AH575" s="889"/>
      <c r="AI575" s="889"/>
      <c r="AJ575" s="889"/>
      <c r="AK575" s="889"/>
      <c r="AL575" s="889"/>
      <c r="AM575" s="889"/>
      <c r="AN575" s="889"/>
      <c r="AO575" s="889"/>
      <c r="AP575" s="889"/>
      <c r="AQ575" s="889"/>
      <c r="AR575" s="889"/>
      <c r="AS575" s="889"/>
      <c r="AT575" s="889"/>
      <c r="AU575" s="889"/>
      <c r="AV575" s="889"/>
      <c r="AW575" s="889"/>
      <c r="AX575" s="889"/>
      <c r="AY575" s="889"/>
      <c r="AZ575" s="889"/>
    </row>
    <row r="576">
      <c r="A576" s="889"/>
      <c r="B576" s="889"/>
      <c r="C576" s="889"/>
      <c r="D576" s="889"/>
      <c r="E576" s="889"/>
      <c r="F576" s="889"/>
      <c r="G576" s="889"/>
      <c r="H576" s="889"/>
      <c r="I576" s="889"/>
      <c r="J576" s="889"/>
      <c r="K576" s="889"/>
      <c r="L576" s="889"/>
      <c r="M576" s="889"/>
      <c r="N576" s="944"/>
      <c r="O576" s="944"/>
      <c r="P576" s="944"/>
      <c r="Q576" s="944"/>
      <c r="R576" s="944"/>
      <c r="S576" s="889"/>
      <c r="T576" s="889"/>
      <c r="U576" s="889"/>
      <c r="V576" s="889"/>
      <c r="W576" s="889"/>
      <c r="X576" s="889"/>
      <c r="Y576" s="889"/>
      <c r="Z576" s="889"/>
      <c r="AA576" s="889"/>
      <c r="AB576" s="889"/>
      <c r="AC576" s="889"/>
      <c r="AD576" s="889"/>
      <c r="AE576" s="889"/>
      <c r="AF576" s="889"/>
      <c r="AG576" s="889"/>
      <c r="AH576" s="889"/>
      <c r="AI576" s="889"/>
      <c r="AJ576" s="889"/>
      <c r="AK576" s="889"/>
      <c r="AL576" s="889"/>
      <c r="AM576" s="889"/>
      <c r="AN576" s="889"/>
      <c r="AO576" s="889"/>
      <c r="AP576" s="889"/>
      <c r="AQ576" s="889"/>
      <c r="AR576" s="889"/>
      <c r="AS576" s="889"/>
      <c r="AT576" s="889"/>
      <c r="AU576" s="889"/>
      <c r="AV576" s="889"/>
      <c r="AW576" s="889"/>
      <c r="AX576" s="889"/>
      <c r="AY576" s="889"/>
      <c r="AZ576" s="889"/>
    </row>
    <row r="577">
      <c r="A577" s="889"/>
      <c r="B577" s="889"/>
      <c r="C577" s="889"/>
      <c r="D577" s="889"/>
      <c r="E577" s="889"/>
      <c r="F577" s="889"/>
      <c r="G577" s="889"/>
      <c r="H577" s="889"/>
      <c r="I577" s="889"/>
      <c r="J577" s="889"/>
      <c r="K577" s="889"/>
      <c r="L577" s="889"/>
      <c r="M577" s="889"/>
      <c r="N577" s="944"/>
      <c r="O577" s="944"/>
      <c r="P577" s="944"/>
      <c r="Q577" s="944"/>
      <c r="R577" s="944"/>
      <c r="S577" s="889"/>
      <c r="T577" s="889"/>
      <c r="U577" s="889"/>
      <c r="V577" s="889"/>
      <c r="W577" s="889"/>
      <c r="X577" s="889"/>
      <c r="Y577" s="889"/>
      <c r="Z577" s="889"/>
      <c r="AA577" s="889"/>
      <c r="AB577" s="889"/>
      <c r="AC577" s="889"/>
      <c r="AD577" s="889"/>
      <c r="AE577" s="889"/>
      <c r="AF577" s="889"/>
      <c r="AG577" s="889"/>
      <c r="AH577" s="889"/>
      <c r="AI577" s="889"/>
      <c r="AJ577" s="889"/>
      <c r="AK577" s="889"/>
      <c r="AL577" s="889"/>
      <c r="AM577" s="889"/>
      <c r="AN577" s="889"/>
      <c r="AO577" s="889"/>
      <c r="AP577" s="889"/>
      <c r="AQ577" s="889"/>
      <c r="AR577" s="889"/>
      <c r="AS577" s="889"/>
      <c r="AT577" s="889"/>
      <c r="AU577" s="889"/>
      <c r="AV577" s="889"/>
      <c r="AW577" s="889"/>
      <c r="AX577" s="889"/>
      <c r="AY577" s="889"/>
      <c r="AZ577" s="889"/>
    </row>
    <row r="578">
      <c r="A578" s="889"/>
      <c r="B578" s="889"/>
      <c r="C578" s="889"/>
      <c r="D578" s="889"/>
      <c r="E578" s="889"/>
      <c r="F578" s="889"/>
      <c r="G578" s="889"/>
      <c r="H578" s="889"/>
      <c r="I578" s="889"/>
      <c r="J578" s="889"/>
      <c r="K578" s="889"/>
      <c r="L578" s="889"/>
      <c r="M578" s="889"/>
      <c r="N578" s="944"/>
      <c r="O578" s="944"/>
      <c r="P578" s="944"/>
      <c r="Q578" s="944"/>
      <c r="R578" s="944"/>
      <c r="S578" s="889"/>
      <c r="T578" s="889"/>
      <c r="U578" s="889"/>
      <c r="V578" s="889"/>
      <c r="W578" s="889"/>
      <c r="X578" s="889"/>
      <c r="Y578" s="889"/>
      <c r="Z578" s="889"/>
      <c r="AA578" s="889"/>
      <c r="AB578" s="889"/>
      <c r="AC578" s="889"/>
      <c r="AD578" s="889"/>
      <c r="AE578" s="889"/>
      <c r="AF578" s="889"/>
      <c r="AG578" s="889"/>
      <c r="AH578" s="889"/>
      <c r="AI578" s="889"/>
      <c r="AJ578" s="889"/>
      <c r="AK578" s="889"/>
      <c r="AL578" s="889"/>
      <c r="AM578" s="889"/>
      <c r="AN578" s="889"/>
      <c r="AO578" s="889"/>
      <c r="AP578" s="889"/>
      <c r="AQ578" s="889"/>
      <c r="AR578" s="889"/>
      <c r="AS578" s="889"/>
      <c r="AT578" s="889"/>
      <c r="AU578" s="889"/>
      <c r="AV578" s="889"/>
      <c r="AW578" s="889"/>
      <c r="AX578" s="889"/>
      <c r="AY578" s="889"/>
      <c r="AZ578" s="889"/>
    </row>
    <row r="579">
      <c r="A579" s="889"/>
      <c r="B579" s="889"/>
      <c r="C579" s="889"/>
      <c r="D579" s="889"/>
      <c r="E579" s="889"/>
      <c r="F579" s="889"/>
      <c r="G579" s="889"/>
      <c r="H579" s="889"/>
      <c r="I579" s="889"/>
      <c r="J579" s="889"/>
      <c r="K579" s="889"/>
      <c r="L579" s="889"/>
      <c r="M579" s="889"/>
      <c r="N579" s="944"/>
      <c r="O579" s="944"/>
      <c r="P579" s="944"/>
      <c r="Q579" s="944"/>
      <c r="R579" s="944"/>
      <c r="S579" s="889"/>
      <c r="T579" s="889"/>
      <c r="U579" s="889"/>
      <c r="V579" s="889"/>
      <c r="W579" s="889"/>
      <c r="X579" s="889"/>
      <c r="Y579" s="889"/>
      <c r="Z579" s="889"/>
      <c r="AA579" s="889"/>
      <c r="AB579" s="889"/>
      <c r="AC579" s="889"/>
      <c r="AD579" s="889"/>
      <c r="AE579" s="889"/>
      <c r="AF579" s="889"/>
      <c r="AG579" s="889"/>
      <c r="AH579" s="889"/>
      <c r="AI579" s="889"/>
      <c r="AJ579" s="889"/>
      <c r="AK579" s="889"/>
      <c r="AL579" s="889"/>
      <c r="AM579" s="889"/>
      <c r="AN579" s="889"/>
      <c r="AO579" s="889"/>
      <c r="AP579" s="889"/>
      <c r="AQ579" s="889"/>
      <c r="AR579" s="889"/>
      <c r="AS579" s="889"/>
      <c r="AT579" s="889"/>
      <c r="AU579" s="889"/>
      <c r="AV579" s="889"/>
      <c r="AW579" s="889"/>
      <c r="AX579" s="889"/>
      <c r="AY579" s="889"/>
      <c r="AZ579" s="889"/>
    </row>
    <row r="580">
      <c r="A580" s="889"/>
      <c r="B580" s="889"/>
      <c r="C580" s="889"/>
      <c r="D580" s="889"/>
      <c r="E580" s="889"/>
      <c r="F580" s="889"/>
      <c r="G580" s="889"/>
      <c r="H580" s="889"/>
      <c r="I580" s="889"/>
      <c r="J580" s="889"/>
      <c r="K580" s="889"/>
      <c r="L580" s="889"/>
      <c r="M580" s="889"/>
      <c r="N580" s="944"/>
      <c r="O580" s="944"/>
      <c r="P580" s="944"/>
      <c r="Q580" s="944"/>
      <c r="R580" s="944"/>
      <c r="S580" s="889"/>
      <c r="T580" s="889"/>
      <c r="U580" s="889"/>
      <c r="V580" s="889"/>
      <c r="W580" s="889"/>
      <c r="X580" s="889"/>
      <c r="Y580" s="889"/>
      <c r="Z580" s="889"/>
      <c r="AA580" s="889"/>
      <c r="AB580" s="889"/>
      <c r="AC580" s="889"/>
      <c r="AD580" s="889"/>
      <c r="AE580" s="889"/>
      <c r="AF580" s="889"/>
      <c r="AG580" s="889"/>
      <c r="AH580" s="889"/>
      <c r="AI580" s="889"/>
      <c r="AJ580" s="889"/>
      <c r="AK580" s="889"/>
      <c r="AL580" s="889"/>
      <c r="AM580" s="889"/>
      <c r="AN580" s="889"/>
      <c r="AO580" s="889"/>
      <c r="AP580" s="889"/>
      <c r="AQ580" s="889"/>
      <c r="AR580" s="889"/>
      <c r="AS580" s="889"/>
      <c r="AT580" s="889"/>
      <c r="AU580" s="889"/>
      <c r="AV580" s="889"/>
      <c r="AW580" s="889"/>
      <c r="AX580" s="889"/>
      <c r="AY580" s="889"/>
      <c r="AZ580" s="889"/>
    </row>
    <row r="581">
      <c r="A581" s="889"/>
      <c r="B581" s="889"/>
      <c r="C581" s="889"/>
      <c r="D581" s="889"/>
      <c r="E581" s="889"/>
      <c r="F581" s="889"/>
      <c r="G581" s="889"/>
      <c r="H581" s="889"/>
      <c r="I581" s="889"/>
      <c r="J581" s="889"/>
      <c r="K581" s="889"/>
      <c r="L581" s="889"/>
      <c r="M581" s="889"/>
      <c r="N581" s="944"/>
      <c r="O581" s="944"/>
      <c r="P581" s="944"/>
      <c r="Q581" s="944"/>
      <c r="R581" s="944"/>
      <c r="S581" s="889"/>
      <c r="T581" s="889"/>
      <c r="U581" s="889"/>
      <c r="V581" s="889"/>
      <c r="W581" s="889"/>
      <c r="X581" s="889"/>
      <c r="Y581" s="889"/>
      <c r="Z581" s="889"/>
      <c r="AA581" s="889"/>
      <c r="AB581" s="889"/>
      <c r="AC581" s="889"/>
      <c r="AD581" s="889"/>
      <c r="AE581" s="889"/>
      <c r="AF581" s="889"/>
      <c r="AG581" s="889"/>
      <c r="AH581" s="889"/>
      <c r="AI581" s="889"/>
      <c r="AJ581" s="889"/>
      <c r="AK581" s="889"/>
      <c r="AL581" s="889"/>
      <c r="AM581" s="889"/>
      <c r="AN581" s="889"/>
      <c r="AO581" s="889"/>
      <c r="AP581" s="889"/>
      <c r="AQ581" s="889"/>
      <c r="AR581" s="889"/>
      <c r="AS581" s="889"/>
      <c r="AT581" s="889"/>
      <c r="AU581" s="889"/>
      <c r="AV581" s="889"/>
      <c r="AW581" s="889"/>
      <c r="AX581" s="889"/>
      <c r="AY581" s="889"/>
      <c r="AZ581" s="889"/>
    </row>
    <row r="582">
      <c r="A582" s="889"/>
      <c r="B582" s="889"/>
      <c r="C582" s="889"/>
      <c r="D582" s="889"/>
      <c r="E582" s="889"/>
      <c r="F582" s="889"/>
      <c r="G582" s="889"/>
      <c r="H582" s="889"/>
      <c r="I582" s="889"/>
      <c r="J582" s="889"/>
      <c r="K582" s="889"/>
      <c r="L582" s="889"/>
      <c r="M582" s="889"/>
      <c r="N582" s="944"/>
      <c r="O582" s="944"/>
      <c r="P582" s="944"/>
      <c r="Q582" s="944"/>
      <c r="R582" s="944"/>
      <c r="S582" s="889"/>
      <c r="T582" s="889"/>
      <c r="U582" s="889"/>
      <c r="V582" s="889"/>
      <c r="W582" s="889"/>
      <c r="X582" s="889"/>
      <c r="Y582" s="889"/>
      <c r="Z582" s="889"/>
      <c r="AA582" s="889"/>
      <c r="AB582" s="889"/>
      <c r="AC582" s="889"/>
      <c r="AD582" s="889"/>
      <c r="AE582" s="889"/>
      <c r="AF582" s="889"/>
      <c r="AG582" s="889"/>
      <c r="AH582" s="889"/>
      <c r="AI582" s="889"/>
      <c r="AJ582" s="889"/>
      <c r="AK582" s="889"/>
      <c r="AL582" s="889"/>
      <c r="AM582" s="889"/>
      <c r="AN582" s="889"/>
      <c r="AO582" s="889"/>
      <c r="AP582" s="889"/>
      <c r="AQ582" s="889"/>
      <c r="AR582" s="889"/>
      <c r="AS582" s="889"/>
      <c r="AT582" s="889"/>
      <c r="AU582" s="889"/>
      <c r="AV582" s="889"/>
      <c r="AW582" s="889"/>
      <c r="AX582" s="889"/>
      <c r="AY582" s="889"/>
      <c r="AZ582" s="889"/>
    </row>
    <row r="583">
      <c r="A583" s="889"/>
      <c r="B583" s="889"/>
      <c r="C583" s="889"/>
      <c r="D583" s="889"/>
      <c r="E583" s="889"/>
      <c r="F583" s="889"/>
      <c r="G583" s="889"/>
      <c r="H583" s="889"/>
      <c r="I583" s="889"/>
      <c r="J583" s="889"/>
      <c r="K583" s="889"/>
      <c r="L583" s="889"/>
      <c r="M583" s="889"/>
      <c r="N583" s="944"/>
      <c r="O583" s="944"/>
      <c r="P583" s="944"/>
      <c r="Q583" s="944"/>
      <c r="R583" s="944"/>
      <c r="S583" s="889"/>
      <c r="T583" s="889"/>
      <c r="U583" s="889"/>
      <c r="V583" s="889"/>
      <c r="W583" s="889"/>
      <c r="X583" s="889"/>
      <c r="Y583" s="889"/>
      <c r="Z583" s="889"/>
      <c r="AA583" s="889"/>
      <c r="AB583" s="889"/>
      <c r="AC583" s="889"/>
      <c r="AD583" s="889"/>
      <c r="AE583" s="889"/>
      <c r="AF583" s="889"/>
      <c r="AG583" s="889"/>
      <c r="AH583" s="889"/>
      <c r="AI583" s="889"/>
      <c r="AJ583" s="889"/>
      <c r="AK583" s="889"/>
      <c r="AL583" s="889"/>
      <c r="AM583" s="889"/>
      <c r="AN583" s="889"/>
      <c r="AO583" s="889"/>
      <c r="AP583" s="889"/>
      <c r="AQ583" s="889"/>
      <c r="AR583" s="889"/>
      <c r="AS583" s="889"/>
      <c r="AT583" s="889"/>
      <c r="AU583" s="889"/>
      <c r="AV583" s="889"/>
      <c r="AW583" s="889"/>
      <c r="AX583" s="889"/>
      <c r="AY583" s="889"/>
      <c r="AZ583" s="889"/>
    </row>
    <row r="584">
      <c r="A584" s="889"/>
      <c r="B584" s="889"/>
      <c r="C584" s="889"/>
      <c r="D584" s="889"/>
      <c r="E584" s="889"/>
      <c r="F584" s="889"/>
      <c r="G584" s="889"/>
      <c r="H584" s="889"/>
      <c r="I584" s="889"/>
      <c r="J584" s="889"/>
      <c r="K584" s="889"/>
      <c r="L584" s="889"/>
      <c r="M584" s="889"/>
      <c r="N584" s="944"/>
      <c r="O584" s="944"/>
      <c r="P584" s="944"/>
      <c r="Q584" s="944"/>
      <c r="R584" s="944"/>
      <c r="S584" s="889"/>
      <c r="T584" s="889"/>
      <c r="U584" s="889"/>
      <c r="V584" s="889"/>
      <c r="W584" s="889"/>
      <c r="X584" s="889"/>
      <c r="Y584" s="889"/>
      <c r="Z584" s="889"/>
      <c r="AA584" s="889"/>
      <c r="AB584" s="889"/>
      <c r="AC584" s="889"/>
      <c r="AD584" s="889"/>
      <c r="AE584" s="889"/>
      <c r="AF584" s="889"/>
      <c r="AG584" s="889"/>
      <c r="AH584" s="889"/>
      <c r="AI584" s="889"/>
      <c r="AJ584" s="889"/>
      <c r="AK584" s="889"/>
      <c r="AL584" s="889"/>
      <c r="AM584" s="889"/>
      <c r="AN584" s="889"/>
      <c r="AO584" s="889"/>
      <c r="AP584" s="889"/>
      <c r="AQ584" s="889"/>
      <c r="AR584" s="889"/>
      <c r="AS584" s="889"/>
      <c r="AT584" s="889"/>
      <c r="AU584" s="889"/>
      <c r="AV584" s="889"/>
      <c r="AW584" s="889"/>
      <c r="AX584" s="889"/>
      <c r="AY584" s="889"/>
      <c r="AZ584" s="889"/>
    </row>
    <row r="585">
      <c r="A585" s="889"/>
      <c r="B585" s="889"/>
      <c r="C585" s="889"/>
      <c r="D585" s="889"/>
      <c r="E585" s="889"/>
      <c r="F585" s="889"/>
      <c r="G585" s="889"/>
      <c r="H585" s="889"/>
      <c r="I585" s="889"/>
      <c r="J585" s="889"/>
      <c r="K585" s="889"/>
      <c r="L585" s="889"/>
      <c r="M585" s="889"/>
      <c r="N585" s="944"/>
      <c r="O585" s="944"/>
      <c r="P585" s="944"/>
      <c r="Q585" s="944"/>
      <c r="R585" s="944"/>
      <c r="S585" s="889"/>
      <c r="T585" s="889"/>
      <c r="U585" s="889"/>
      <c r="V585" s="889"/>
      <c r="W585" s="889"/>
      <c r="X585" s="889"/>
      <c r="Y585" s="889"/>
      <c r="Z585" s="889"/>
      <c r="AA585" s="889"/>
      <c r="AB585" s="889"/>
      <c r="AC585" s="889"/>
      <c r="AD585" s="889"/>
      <c r="AE585" s="889"/>
      <c r="AF585" s="889"/>
      <c r="AG585" s="889"/>
      <c r="AH585" s="889"/>
      <c r="AI585" s="889"/>
      <c r="AJ585" s="889"/>
      <c r="AK585" s="889"/>
      <c r="AL585" s="889"/>
      <c r="AM585" s="889"/>
      <c r="AN585" s="889"/>
      <c r="AO585" s="889"/>
      <c r="AP585" s="889"/>
      <c r="AQ585" s="889"/>
      <c r="AR585" s="889"/>
      <c r="AS585" s="889"/>
      <c r="AT585" s="889"/>
      <c r="AU585" s="889"/>
      <c r="AV585" s="889"/>
      <c r="AW585" s="889"/>
      <c r="AX585" s="889"/>
      <c r="AY585" s="889"/>
      <c r="AZ585" s="889"/>
    </row>
    <row r="586">
      <c r="A586" s="889"/>
      <c r="B586" s="889"/>
      <c r="C586" s="889"/>
      <c r="D586" s="889"/>
      <c r="E586" s="889"/>
      <c r="F586" s="889"/>
      <c r="G586" s="889"/>
      <c r="H586" s="889"/>
      <c r="I586" s="889"/>
      <c r="J586" s="889"/>
      <c r="K586" s="889"/>
      <c r="L586" s="889"/>
      <c r="M586" s="889"/>
      <c r="N586" s="944"/>
      <c r="O586" s="944"/>
      <c r="P586" s="944"/>
      <c r="Q586" s="944"/>
      <c r="R586" s="944"/>
      <c r="S586" s="889"/>
      <c r="T586" s="889"/>
      <c r="U586" s="889"/>
      <c r="V586" s="889"/>
      <c r="W586" s="889"/>
      <c r="X586" s="889"/>
      <c r="Y586" s="889"/>
      <c r="Z586" s="889"/>
      <c r="AA586" s="889"/>
      <c r="AB586" s="889"/>
      <c r="AC586" s="889"/>
      <c r="AD586" s="889"/>
      <c r="AE586" s="889"/>
      <c r="AF586" s="889"/>
      <c r="AG586" s="889"/>
      <c r="AH586" s="889"/>
      <c r="AI586" s="889"/>
      <c r="AJ586" s="889"/>
      <c r="AK586" s="889"/>
      <c r="AL586" s="889"/>
      <c r="AM586" s="889"/>
      <c r="AN586" s="889"/>
      <c r="AO586" s="889"/>
      <c r="AP586" s="889"/>
      <c r="AQ586" s="889"/>
      <c r="AR586" s="889"/>
      <c r="AS586" s="889"/>
      <c r="AT586" s="889"/>
      <c r="AU586" s="889"/>
      <c r="AV586" s="889"/>
      <c r="AW586" s="889"/>
      <c r="AX586" s="889"/>
      <c r="AY586" s="889"/>
      <c r="AZ586" s="889"/>
    </row>
    <row r="587">
      <c r="A587" s="889"/>
      <c r="B587" s="889"/>
      <c r="C587" s="889"/>
      <c r="D587" s="889"/>
      <c r="E587" s="889"/>
      <c r="F587" s="889"/>
      <c r="G587" s="889"/>
      <c r="H587" s="889"/>
      <c r="I587" s="889"/>
      <c r="J587" s="889"/>
      <c r="K587" s="889"/>
      <c r="L587" s="889"/>
      <c r="M587" s="889"/>
      <c r="N587" s="944"/>
      <c r="O587" s="944"/>
      <c r="P587" s="944"/>
      <c r="Q587" s="944"/>
      <c r="R587" s="944"/>
      <c r="S587" s="889"/>
      <c r="T587" s="889"/>
      <c r="U587" s="889"/>
      <c r="V587" s="889"/>
      <c r="W587" s="889"/>
      <c r="X587" s="889"/>
      <c r="Y587" s="889"/>
      <c r="Z587" s="889"/>
      <c r="AA587" s="889"/>
      <c r="AB587" s="889"/>
      <c r="AC587" s="889"/>
      <c r="AD587" s="889"/>
      <c r="AE587" s="889"/>
      <c r="AF587" s="889"/>
      <c r="AG587" s="889"/>
      <c r="AH587" s="889"/>
      <c r="AI587" s="889"/>
      <c r="AJ587" s="889"/>
      <c r="AK587" s="889"/>
      <c r="AL587" s="889"/>
      <c r="AM587" s="889"/>
      <c r="AN587" s="889"/>
      <c r="AO587" s="889"/>
      <c r="AP587" s="889"/>
      <c r="AQ587" s="889"/>
      <c r="AR587" s="889"/>
      <c r="AS587" s="889"/>
      <c r="AT587" s="889"/>
      <c r="AU587" s="889"/>
      <c r="AV587" s="889"/>
      <c r="AW587" s="889"/>
      <c r="AX587" s="889"/>
      <c r="AY587" s="889"/>
      <c r="AZ587" s="889"/>
    </row>
    <row r="588">
      <c r="A588" s="889"/>
      <c r="B588" s="889"/>
      <c r="C588" s="889"/>
      <c r="D588" s="889"/>
      <c r="E588" s="889"/>
      <c r="F588" s="889"/>
      <c r="G588" s="889"/>
      <c r="H588" s="889"/>
      <c r="I588" s="889"/>
      <c r="J588" s="889"/>
      <c r="K588" s="889"/>
      <c r="L588" s="889"/>
      <c r="M588" s="889"/>
      <c r="N588" s="944"/>
      <c r="O588" s="944"/>
      <c r="P588" s="944"/>
      <c r="Q588" s="944"/>
      <c r="R588" s="944"/>
      <c r="S588" s="889"/>
      <c r="T588" s="889"/>
      <c r="U588" s="889"/>
      <c r="V588" s="889"/>
      <c r="W588" s="889"/>
      <c r="X588" s="889"/>
      <c r="Y588" s="889"/>
      <c r="Z588" s="889"/>
      <c r="AA588" s="889"/>
      <c r="AB588" s="889"/>
      <c r="AC588" s="889"/>
      <c r="AD588" s="889"/>
      <c r="AE588" s="889"/>
      <c r="AF588" s="889"/>
      <c r="AG588" s="889"/>
      <c r="AH588" s="889"/>
      <c r="AI588" s="889"/>
      <c r="AJ588" s="889"/>
      <c r="AK588" s="889"/>
      <c r="AL588" s="889"/>
      <c r="AM588" s="889"/>
      <c r="AN588" s="889"/>
      <c r="AO588" s="889"/>
      <c r="AP588" s="889"/>
      <c r="AQ588" s="889"/>
      <c r="AR588" s="889"/>
      <c r="AS588" s="889"/>
      <c r="AT588" s="889"/>
      <c r="AU588" s="889"/>
      <c r="AV588" s="889"/>
      <c r="AW588" s="889"/>
      <c r="AX588" s="889"/>
      <c r="AY588" s="889"/>
      <c r="AZ588" s="889"/>
    </row>
    <row r="589">
      <c r="A589" s="889"/>
      <c r="B589" s="889"/>
      <c r="C589" s="889"/>
      <c r="D589" s="889"/>
      <c r="E589" s="889"/>
      <c r="F589" s="889"/>
      <c r="G589" s="889"/>
      <c r="H589" s="889"/>
      <c r="I589" s="889"/>
      <c r="J589" s="889"/>
      <c r="K589" s="889"/>
      <c r="L589" s="889"/>
      <c r="M589" s="889"/>
      <c r="N589" s="944"/>
      <c r="O589" s="944"/>
      <c r="P589" s="944"/>
      <c r="Q589" s="944"/>
      <c r="R589" s="944"/>
      <c r="S589" s="889"/>
      <c r="T589" s="889"/>
      <c r="U589" s="889"/>
      <c r="V589" s="889"/>
      <c r="W589" s="889"/>
      <c r="X589" s="889"/>
      <c r="Y589" s="889"/>
      <c r="Z589" s="889"/>
      <c r="AA589" s="889"/>
      <c r="AB589" s="889"/>
      <c r="AC589" s="889"/>
      <c r="AD589" s="889"/>
      <c r="AE589" s="889"/>
      <c r="AF589" s="889"/>
      <c r="AG589" s="889"/>
      <c r="AH589" s="889"/>
      <c r="AI589" s="889"/>
      <c r="AJ589" s="889"/>
      <c r="AK589" s="889"/>
      <c r="AL589" s="889"/>
      <c r="AM589" s="889"/>
      <c r="AN589" s="889"/>
      <c r="AO589" s="889"/>
      <c r="AP589" s="889"/>
      <c r="AQ589" s="889"/>
      <c r="AR589" s="889"/>
      <c r="AS589" s="889"/>
      <c r="AT589" s="889"/>
      <c r="AU589" s="889"/>
      <c r="AV589" s="889"/>
      <c r="AW589" s="889"/>
      <c r="AX589" s="889"/>
      <c r="AY589" s="889"/>
      <c r="AZ589" s="889"/>
    </row>
    <row r="590">
      <c r="A590" s="889"/>
      <c r="B590" s="889"/>
      <c r="C590" s="889"/>
      <c r="D590" s="889"/>
      <c r="E590" s="889"/>
      <c r="F590" s="889"/>
      <c r="G590" s="889"/>
      <c r="H590" s="889"/>
      <c r="I590" s="889"/>
      <c r="J590" s="889"/>
      <c r="K590" s="889"/>
      <c r="L590" s="889"/>
      <c r="M590" s="889"/>
      <c r="N590" s="944"/>
      <c r="O590" s="944"/>
      <c r="P590" s="944"/>
      <c r="Q590" s="944"/>
      <c r="R590" s="944"/>
      <c r="S590" s="889"/>
      <c r="T590" s="889"/>
      <c r="U590" s="889"/>
      <c r="V590" s="889"/>
      <c r="W590" s="889"/>
      <c r="X590" s="889"/>
      <c r="Y590" s="889"/>
      <c r="Z590" s="889"/>
      <c r="AA590" s="889"/>
      <c r="AB590" s="889"/>
      <c r="AC590" s="889"/>
      <c r="AD590" s="889"/>
      <c r="AE590" s="889"/>
      <c r="AF590" s="889"/>
      <c r="AG590" s="889"/>
      <c r="AH590" s="889"/>
      <c r="AI590" s="889"/>
      <c r="AJ590" s="889"/>
      <c r="AK590" s="889"/>
      <c r="AL590" s="889"/>
      <c r="AM590" s="889"/>
      <c r="AN590" s="889"/>
      <c r="AO590" s="889"/>
      <c r="AP590" s="889"/>
      <c r="AQ590" s="889"/>
      <c r="AR590" s="889"/>
      <c r="AS590" s="889"/>
      <c r="AT590" s="889"/>
      <c r="AU590" s="889"/>
      <c r="AV590" s="889"/>
      <c r="AW590" s="889"/>
      <c r="AX590" s="889"/>
      <c r="AY590" s="889"/>
      <c r="AZ590" s="889"/>
    </row>
    <row r="591">
      <c r="A591" s="889"/>
      <c r="B591" s="889"/>
      <c r="C591" s="889"/>
      <c r="D591" s="889"/>
      <c r="E591" s="889"/>
      <c r="F591" s="889"/>
      <c r="G591" s="889"/>
      <c r="H591" s="889"/>
      <c r="I591" s="889"/>
      <c r="J591" s="889"/>
      <c r="K591" s="889"/>
      <c r="L591" s="889"/>
      <c r="M591" s="889"/>
      <c r="N591" s="944"/>
      <c r="O591" s="944"/>
      <c r="P591" s="944"/>
      <c r="Q591" s="944"/>
      <c r="R591" s="944"/>
      <c r="S591" s="889"/>
      <c r="T591" s="889"/>
      <c r="U591" s="889"/>
      <c r="V591" s="889"/>
      <c r="W591" s="889"/>
      <c r="X591" s="889"/>
      <c r="Y591" s="889"/>
      <c r="Z591" s="889"/>
      <c r="AA591" s="889"/>
      <c r="AB591" s="889"/>
      <c r="AC591" s="889"/>
      <c r="AD591" s="889"/>
      <c r="AE591" s="889"/>
      <c r="AF591" s="889"/>
      <c r="AG591" s="889"/>
      <c r="AH591" s="889"/>
      <c r="AI591" s="889"/>
      <c r="AJ591" s="889"/>
      <c r="AK591" s="889"/>
      <c r="AL591" s="889"/>
      <c r="AM591" s="889"/>
      <c r="AN591" s="889"/>
      <c r="AO591" s="889"/>
      <c r="AP591" s="889"/>
      <c r="AQ591" s="889"/>
      <c r="AR591" s="889"/>
      <c r="AS591" s="889"/>
      <c r="AT591" s="889"/>
      <c r="AU591" s="889"/>
      <c r="AV591" s="889"/>
      <c r="AW591" s="889"/>
      <c r="AX591" s="889"/>
      <c r="AY591" s="889"/>
      <c r="AZ591" s="889"/>
    </row>
    <row r="592">
      <c r="A592" s="889"/>
      <c r="B592" s="889"/>
      <c r="C592" s="889"/>
      <c r="D592" s="889"/>
      <c r="E592" s="889"/>
      <c r="F592" s="889"/>
      <c r="G592" s="889"/>
      <c r="H592" s="889"/>
      <c r="I592" s="889"/>
      <c r="J592" s="889"/>
      <c r="K592" s="889"/>
      <c r="L592" s="889"/>
      <c r="M592" s="889"/>
      <c r="N592" s="944"/>
      <c r="O592" s="944"/>
      <c r="P592" s="944"/>
      <c r="Q592" s="944"/>
      <c r="R592" s="944"/>
      <c r="S592" s="889"/>
      <c r="T592" s="889"/>
      <c r="U592" s="889"/>
      <c r="V592" s="889"/>
      <c r="W592" s="889"/>
      <c r="X592" s="889"/>
      <c r="Y592" s="889"/>
      <c r="Z592" s="889"/>
      <c r="AA592" s="889"/>
      <c r="AB592" s="889"/>
      <c r="AC592" s="889"/>
      <c r="AD592" s="889"/>
      <c r="AE592" s="889"/>
      <c r="AF592" s="889"/>
      <c r="AG592" s="889"/>
      <c r="AH592" s="889"/>
      <c r="AI592" s="889"/>
      <c r="AJ592" s="889"/>
      <c r="AK592" s="889"/>
      <c r="AL592" s="889"/>
      <c r="AM592" s="889"/>
      <c r="AN592" s="889"/>
      <c r="AO592" s="889"/>
      <c r="AP592" s="889"/>
      <c r="AQ592" s="889"/>
      <c r="AR592" s="889"/>
      <c r="AS592" s="889"/>
      <c r="AT592" s="889"/>
      <c r="AU592" s="889"/>
      <c r="AV592" s="889"/>
      <c r="AW592" s="889"/>
      <c r="AX592" s="889"/>
      <c r="AY592" s="889"/>
      <c r="AZ592" s="889"/>
    </row>
    <row r="593">
      <c r="A593" s="889"/>
      <c r="B593" s="889"/>
      <c r="C593" s="889"/>
      <c r="D593" s="889"/>
      <c r="E593" s="889"/>
      <c r="F593" s="889"/>
      <c r="G593" s="889"/>
      <c r="H593" s="889"/>
      <c r="I593" s="889"/>
      <c r="J593" s="889"/>
      <c r="K593" s="889"/>
      <c r="L593" s="889"/>
      <c r="M593" s="889"/>
      <c r="N593" s="944"/>
      <c r="O593" s="944"/>
      <c r="P593" s="944"/>
      <c r="Q593" s="944"/>
      <c r="R593" s="944"/>
      <c r="S593" s="889"/>
      <c r="T593" s="889"/>
      <c r="U593" s="889"/>
      <c r="V593" s="889"/>
      <c r="W593" s="889"/>
      <c r="X593" s="889"/>
      <c r="Y593" s="889"/>
      <c r="Z593" s="889"/>
      <c r="AA593" s="889"/>
      <c r="AB593" s="889"/>
      <c r="AC593" s="889"/>
      <c r="AD593" s="889"/>
      <c r="AE593" s="889"/>
      <c r="AF593" s="889"/>
      <c r="AG593" s="889"/>
      <c r="AH593" s="889"/>
      <c r="AI593" s="889"/>
      <c r="AJ593" s="889"/>
      <c r="AK593" s="889"/>
      <c r="AL593" s="889"/>
      <c r="AM593" s="889"/>
      <c r="AN593" s="889"/>
      <c r="AO593" s="889"/>
      <c r="AP593" s="889"/>
      <c r="AQ593" s="889"/>
      <c r="AR593" s="889"/>
      <c r="AS593" s="889"/>
      <c r="AT593" s="889"/>
      <c r="AU593" s="889"/>
      <c r="AV593" s="889"/>
      <c r="AW593" s="889"/>
      <c r="AX593" s="889"/>
      <c r="AY593" s="889"/>
      <c r="AZ593" s="889"/>
    </row>
    <row r="594">
      <c r="A594" s="889"/>
      <c r="B594" s="889"/>
      <c r="C594" s="889"/>
      <c r="D594" s="889"/>
      <c r="E594" s="889"/>
      <c r="F594" s="889"/>
      <c r="G594" s="889"/>
      <c r="H594" s="889"/>
      <c r="I594" s="889"/>
      <c r="J594" s="889"/>
      <c r="K594" s="889"/>
      <c r="L594" s="889"/>
      <c r="M594" s="889"/>
      <c r="N594" s="944"/>
      <c r="O594" s="944"/>
      <c r="P594" s="944"/>
      <c r="Q594" s="944"/>
      <c r="R594" s="944"/>
      <c r="S594" s="889"/>
      <c r="T594" s="889"/>
      <c r="U594" s="889"/>
      <c r="V594" s="889"/>
      <c r="W594" s="889"/>
      <c r="X594" s="889"/>
      <c r="Y594" s="889"/>
      <c r="Z594" s="889"/>
      <c r="AA594" s="889"/>
      <c r="AB594" s="889"/>
      <c r="AC594" s="889"/>
      <c r="AD594" s="889"/>
      <c r="AE594" s="889"/>
      <c r="AF594" s="889"/>
      <c r="AG594" s="889"/>
      <c r="AH594" s="889"/>
      <c r="AI594" s="889"/>
      <c r="AJ594" s="889"/>
      <c r="AK594" s="889"/>
      <c r="AL594" s="889"/>
      <c r="AM594" s="889"/>
      <c r="AN594" s="889"/>
      <c r="AO594" s="889"/>
      <c r="AP594" s="889"/>
      <c r="AQ594" s="889"/>
      <c r="AR594" s="889"/>
      <c r="AS594" s="889"/>
      <c r="AT594" s="889"/>
      <c r="AU594" s="889"/>
      <c r="AV594" s="889"/>
      <c r="AW594" s="889"/>
      <c r="AX594" s="889"/>
      <c r="AY594" s="889"/>
      <c r="AZ594" s="889"/>
    </row>
    <row r="595">
      <c r="A595" s="889"/>
      <c r="B595" s="889"/>
      <c r="C595" s="889"/>
      <c r="D595" s="889"/>
      <c r="E595" s="889"/>
      <c r="F595" s="889"/>
      <c r="G595" s="889"/>
      <c r="H595" s="889"/>
      <c r="I595" s="889"/>
      <c r="J595" s="889"/>
      <c r="K595" s="889"/>
      <c r="L595" s="889"/>
      <c r="M595" s="889"/>
      <c r="N595" s="944"/>
      <c r="O595" s="944"/>
      <c r="P595" s="944"/>
      <c r="Q595" s="944"/>
      <c r="R595" s="944"/>
      <c r="S595" s="889"/>
      <c r="T595" s="889"/>
      <c r="U595" s="889"/>
      <c r="V595" s="889"/>
      <c r="W595" s="889"/>
      <c r="X595" s="889"/>
      <c r="Y595" s="889"/>
      <c r="Z595" s="889"/>
      <c r="AA595" s="889"/>
      <c r="AB595" s="889"/>
      <c r="AC595" s="889"/>
      <c r="AD595" s="889"/>
      <c r="AE595" s="889"/>
      <c r="AF595" s="889"/>
      <c r="AG595" s="889"/>
      <c r="AH595" s="889"/>
      <c r="AI595" s="889"/>
      <c r="AJ595" s="889"/>
      <c r="AK595" s="889"/>
      <c r="AL595" s="889"/>
      <c r="AM595" s="889"/>
      <c r="AN595" s="889"/>
      <c r="AO595" s="889"/>
      <c r="AP595" s="889"/>
      <c r="AQ595" s="889"/>
      <c r="AR595" s="889"/>
      <c r="AS595" s="889"/>
      <c r="AT595" s="889"/>
      <c r="AU595" s="889"/>
      <c r="AV595" s="889"/>
      <c r="AW595" s="889"/>
      <c r="AX595" s="889"/>
      <c r="AY595" s="889"/>
      <c r="AZ595" s="889"/>
    </row>
    <row r="596">
      <c r="A596" s="889"/>
      <c r="B596" s="889"/>
      <c r="C596" s="889"/>
      <c r="D596" s="889"/>
      <c r="E596" s="889"/>
      <c r="F596" s="889"/>
      <c r="G596" s="889"/>
      <c r="H596" s="889"/>
      <c r="I596" s="889"/>
      <c r="J596" s="889"/>
      <c r="K596" s="889"/>
      <c r="L596" s="889"/>
      <c r="M596" s="889"/>
      <c r="N596" s="944"/>
      <c r="O596" s="944"/>
      <c r="P596" s="944"/>
      <c r="Q596" s="944"/>
      <c r="R596" s="944"/>
      <c r="S596" s="889"/>
      <c r="T596" s="889"/>
      <c r="U596" s="889"/>
      <c r="V596" s="889"/>
      <c r="W596" s="889"/>
      <c r="X596" s="889"/>
      <c r="Y596" s="889"/>
      <c r="Z596" s="889"/>
      <c r="AA596" s="889"/>
      <c r="AB596" s="889"/>
      <c r="AC596" s="889"/>
      <c r="AD596" s="889"/>
      <c r="AE596" s="889"/>
      <c r="AF596" s="889"/>
      <c r="AG596" s="889"/>
      <c r="AH596" s="889"/>
      <c r="AI596" s="889"/>
      <c r="AJ596" s="889"/>
      <c r="AK596" s="889"/>
      <c r="AL596" s="889"/>
      <c r="AM596" s="889"/>
      <c r="AN596" s="889"/>
      <c r="AO596" s="889"/>
      <c r="AP596" s="889"/>
      <c r="AQ596" s="889"/>
      <c r="AR596" s="889"/>
      <c r="AS596" s="889"/>
      <c r="AT596" s="889"/>
      <c r="AU596" s="889"/>
      <c r="AV596" s="889"/>
      <c r="AW596" s="889"/>
      <c r="AX596" s="889"/>
      <c r="AY596" s="889"/>
      <c r="AZ596" s="889"/>
    </row>
    <row r="597">
      <c r="A597" s="889"/>
      <c r="B597" s="889"/>
      <c r="C597" s="889"/>
      <c r="D597" s="889"/>
      <c r="E597" s="889"/>
      <c r="F597" s="889"/>
      <c r="G597" s="889"/>
      <c r="H597" s="889"/>
      <c r="I597" s="889"/>
      <c r="J597" s="889"/>
      <c r="K597" s="889"/>
      <c r="L597" s="889"/>
      <c r="M597" s="889"/>
      <c r="N597" s="944"/>
      <c r="O597" s="944"/>
      <c r="P597" s="944"/>
      <c r="Q597" s="944"/>
      <c r="R597" s="944"/>
      <c r="S597" s="889"/>
      <c r="T597" s="889"/>
      <c r="U597" s="889"/>
      <c r="V597" s="889"/>
      <c r="W597" s="889"/>
      <c r="X597" s="889"/>
      <c r="Y597" s="889"/>
      <c r="Z597" s="889"/>
      <c r="AA597" s="889"/>
      <c r="AB597" s="889"/>
      <c r="AC597" s="889"/>
      <c r="AD597" s="889"/>
      <c r="AE597" s="889"/>
      <c r="AF597" s="889"/>
      <c r="AG597" s="889"/>
      <c r="AH597" s="889"/>
      <c r="AI597" s="889"/>
      <c r="AJ597" s="889"/>
      <c r="AK597" s="889"/>
      <c r="AL597" s="889"/>
      <c r="AM597" s="889"/>
      <c r="AN597" s="889"/>
      <c r="AO597" s="889"/>
      <c r="AP597" s="889"/>
      <c r="AQ597" s="889"/>
      <c r="AR597" s="889"/>
      <c r="AS597" s="889"/>
      <c r="AT597" s="889"/>
      <c r="AU597" s="889"/>
      <c r="AV597" s="889"/>
      <c r="AW597" s="889"/>
      <c r="AX597" s="889"/>
      <c r="AY597" s="889"/>
      <c r="AZ597" s="889"/>
    </row>
    <row r="598">
      <c r="A598" s="889"/>
      <c r="B598" s="889"/>
      <c r="C598" s="889"/>
      <c r="D598" s="889"/>
      <c r="E598" s="889"/>
      <c r="F598" s="889"/>
      <c r="G598" s="889"/>
      <c r="H598" s="889"/>
      <c r="I598" s="889"/>
      <c r="J598" s="889"/>
      <c r="K598" s="889"/>
      <c r="L598" s="889"/>
      <c r="M598" s="889"/>
      <c r="N598" s="944"/>
      <c r="O598" s="944"/>
      <c r="P598" s="944"/>
      <c r="Q598" s="944"/>
      <c r="R598" s="944"/>
      <c r="S598" s="889"/>
      <c r="T598" s="889"/>
      <c r="U598" s="889"/>
      <c r="V598" s="889"/>
      <c r="W598" s="889"/>
      <c r="X598" s="889"/>
      <c r="Y598" s="889"/>
      <c r="Z598" s="889"/>
      <c r="AA598" s="889"/>
      <c r="AB598" s="889"/>
      <c r="AC598" s="889"/>
      <c r="AD598" s="889"/>
      <c r="AE598" s="889"/>
      <c r="AF598" s="889"/>
      <c r="AG598" s="889"/>
      <c r="AH598" s="889"/>
      <c r="AI598" s="889"/>
      <c r="AJ598" s="889"/>
      <c r="AK598" s="889"/>
      <c r="AL598" s="889"/>
      <c r="AM598" s="889"/>
      <c r="AN598" s="889"/>
      <c r="AO598" s="889"/>
      <c r="AP598" s="889"/>
      <c r="AQ598" s="889"/>
      <c r="AR598" s="889"/>
      <c r="AS598" s="889"/>
      <c r="AT598" s="889"/>
      <c r="AU598" s="889"/>
      <c r="AV598" s="889"/>
      <c r="AW598" s="889"/>
      <c r="AX598" s="889"/>
      <c r="AY598" s="889"/>
      <c r="AZ598" s="889"/>
    </row>
    <row r="599">
      <c r="A599" s="889"/>
      <c r="B599" s="889"/>
      <c r="C599" s="889"/>
      <c r="D599" s="889"/>
      <c r="E599" s="889"/>
      <c r="F599" s="889"/>
      <c r="G599" s="889"/>
      <c r="H599" s="889"/>
      <c r="I599" s="889"/>
      <c r="J599" s="889"/>
      <c r="K599" s="889"/>
      <c r="L599" s="889"/>
      <c r="M599" s="889"/>
      <c r="N599" s="944"/>
      <c r="O599" s="944"/>
      <c r="P599" s="944"/>
      <c r="Q599" s="944"/>
      <c r="R599" s="944"/>
      <c r="S599" s="889"/>
      <c r="T599" s="889"/>
      <c r="U599" s="889"/>
      <c r="V599" s="889"/>
      <c r="W599" s="889"/>
      <c r="X599" s="889"/>
      <c r="Y599" s="889"/>
      <c r="Z599" s="889"/>
      <c r="AA599" s="889"/>
      <c r="AB599" s="889"/>
      <c r="AC599" s="889"/>
      <c r="AD599" s="889"/>
      <c r="AE599" s="889"/>
      <c r="AF599" s="889"/>
      <c r="AG599" s="889"/>
      <c r="AH599" s="889"/>
      <c r="AI599" s="889"/>
      <c r="AJ599" s="889"/>
      <c r="AK599" s="889"/>
      <c r="AL599" s="889"/>
      <c r="AM599" s="889"/>
      <c r="AN599" s="889"/>
      <c r="AO599" s="889"/>
      <c r="AP599" s="889"/>
      <c r="AQ599" s="889"/>
      <c r="AR599" s="889"/>
      <c r="AS599" s="889"/>
      <c r="AT599" s="889"/>
      <c r="AU599" s="889"/>
      <c r="AV599" s="889"/>
      <c r="AW599" s="889"/>
      <c r="AX599" s="889"/>
      <c r="AY599" s="889"/>
      <c r="AZ599" s="889"/>
    </row>
    <row r="600">
      <c r="A600" s="889"/>
      <c r="B600" s="889"/>
      <c r="C600" s="889"/>
      <c r="D600" s="889"/>
      <c r="E600" s="889"/>
      <c r="F600" s="889"/>
      <c r="G600" s="889"/>
      <c r="H600" s="889"/>
      <c r="I600" s="889"/>
      <c r="J600" s="889"/>
      <c r="K600" s="889"/>
      <c r="L600" s="889"/>
      <c r="M600" s="889"/>
      <c r="N600" s="944"/>
      <c r="O600" s="944"/>
      <c r="P600" s="944"/>
      <c r="Q600" s="944"/>
      <c r="R600" s="944"/>
      <c r="S600" s="889"/>
      <c r="T600" s="889"/>
      <c r="U600" s="889"/>
      <c r="V600" s="889"/>
      <c r="W600" s="889"/>
      <c r="X600" s="889"/>
      <c r="Y600" s="889"/>
      <c r="Z600" s="889"/>
      <c r="AA600" s="889"/>
      <c r="AB600" s="889"/>
      <c r="AC600" s="889"/>
      <c r="AD600" s="889"/>
      <c r="AE600" s="889"/>
      <c r="AF600" s="889"/>
      <c r="AG600" s="889"/>
      <c r="AH600" s="889"/>
      <c r="AI600" s="889"/>
      <c r="AJ600" s="889"/>
      <c r="AK600" s="889"/>
      <c r="AL600" s="889"/>
      <c r="AM600" s="889"/>
      <c r="AN600" s="889"/>
      <c r="AO600" s="889"/>
      <c r="AP600" s="889"/>
      <c r="AQ600" s="889"/>
      <c r="AR600" s="889"/>
      <c r="AS600" s="889"/>
      <c r="AT600" s="889"/>
      <c r="AU600" s="889"/>
      <c r="AV600" s="889"/>
      <c r="AW600" s="889"/>
      <c r="AX600" s="889"/>
      <c r="AY600" s="889"/>
      <c r="AZ600" s="889"/>
    </row>
    <row r="601">
      <c r="A601" s="889"/>
      <c r="B601" s="889"/>
      <c r="C601" s="889"/>
      <c r="D601" s="889"/>
      <c r="E601" s="889"/>
      <c r="F601" s="889"/>
      <c r="G601" s="889"/>
      <c r="H601" s="889"/>
      <c r="I601" s="889"/>
      <c r="J601" s="889"/>
      <c r="K601" s="889"/>
      <c r="L601" s="889"/>
      <c r="M601" s="889"/>
      <c r="N601" s="944"/>
      <c r="O601" s="944"/>
      <c r="P601" s="944"/>
      <c r="Q601" s="944"/>
      <c r="R601" s="944"/>
      <c r="S601" s="889"/>
      <c r="T601" s="889"/>
      <c r="U601" s="889"/>
      <c r="V601" s="889"/>
      <c r="W601" s="889"/>
      <c r="X601" s="889"/>
      <c r="Y601" s="889"/>
      <c r="Z601" s="889"/>
      <c r="AA601" s="889"/>
      <c r="AB601" s="889"/>
      <c r="AC601" s="889"/>
      <c r="AD601" s="889"/>
      <c r="AE601" s="889"/>
      <c r="AF601" s="889"/>
      <c r="AG601" s="889"/>
      <c r="AH601" s="889"/>
      <c r="AI601" s="889"/>
      <c r="AJ601" s="889"/>
      <c r="AK601" s="889"/>
      <c r="AL601" s="889"/>
      <c r="AM601" s="889"/>
      <c r="AN601" s="889"/>
      <c r="AO601" s="889"/>
      <c r="AP601" s="889"/>
      <c r="AQ601" s="889"/>
      <c r="AR601" s="889"/>
      <c r="AS601" s="889"/>
      <c r="AT601" s="889"/>
      <c r="AU601" s="889"/>
      <c r="AV601" s="889"/>
      <c r="AW601" s="889"/>
      <c r="AX601" s="889"/>
      <c r="AY601" s="889"/>
      <c r="AZ601" s="889"/>
    </row>
    <row r="602">
      <c r="A602" s="889"/>
      <c r="B602" s="889"/>
      <c r="C602" s="889"/>
      <c r="D602" s="889"/>
      <c r="E602" s="889"/>
      <c r="F602" s="889"/>
      <c r="G602" s="889"/>
      <c r="H602" s="889"/>
      <c r="I602" s="889"/>
      <c r="J602" s="889"/>
      <c r="K602" s="889"/>
      <c r="L602" s="889"/>
      <c r="M602" s="889"/>
      <c r="N602" s="944"/>
      <c r="O602" s="944"/>
      <c r="P602" s="944"/>
      <c r="Q602" s="944"/>
      <c r="R602" s="944"/>
      <c r="S602" s="889"/>
      <c r="T602" s="889"/>
      <c r="U602" s="889"/>
      <c r="V602" s="889"/>
      <c r="W602" s="889"/>
      <c r="X602" s="889"/>
      <c r="Y602" s="889"/>
      <c r="Z602" s="889"/>
      <c r="AA602" s="889"/>
      <c r="AB602" s="889"/>
      <c r="AC602" s="889"/>
      <c r="AD602" s="889"/>
      <c r="AE602" s="889"/>
      <c r="AF602" s="889"/>
      <c r="AG602" s="889"/>
      <c r="AH602" s="889"/>
      <c r="AI602" s="889"/>
      <c r="AJ602" s="889"/>
      <c r="AK602" s="889"/>
      <c r="AL602" s="889"/>
      <c r="AM602" s="889"/>
      <c r="AN602" s="889"/>
      <c r="AO602" s="889"/>
      <c r="AP602" s="889"/>
      <c r="AQ602" s="889"/>
      <c r="AR602" s="889"/>
      <c r="AS602" s="889"/>
      <c r="AT602" s="889"/>
      <c r="AU602" s="889"/>
      <c r="AV602" s="889"/>
      <c r="AW602" s="889"/>
      <c r="AX602" s="889"/>
      <c r="AY602" s="889"/>
      <c r="AZ602" s="889"/>
    </row>
    <row r="603">
      <c r="A603" s="889"/>
      <c r="B603" s="889"/>
      <c r="C603" s="889"/>
      <c r="D603" s="889"/>
      <c r="E603" s="889"/>
      <c r="F603" s="889"/>
      <c r="G603" s="889"/>
      <c r="H603" s="889"/>
      <c r="I603" s="889"/>
      <c r="J603" s="889"/>
      <c r="K603" s="889"/>
      <c r="L603" s="889"/>
      <c r="M603" s="889"/>
      <c r="N603" s="944"/>
      <c r="O603" s="944"/>
      <c r="P603" s="944"/>
      <c r="Q603" s="944"/>
      <c r="R603" s="944"/>
      <c r="S603" s="889"/>
      <c r="T603" s="889"/>
      <c r="U603" s="889"/>
      <c r="V603" s="889"/>
      <c r="W603" s="889"/>
      <c r="X603" s="889"/>
      <c r="Y603" s="889"/>
      <c r="Z603" s="889"/>
      <c r="AA603" s="889"/>
      <c r="AB603" s="889"/>
      <c r="AC603" s="889"/>
      <c r="AD603" s="889"/>
      <c r="AE603" s="889"/>
      <c r="AF603" s="889"/>
      <c r="AG603" s="889"/>
      <c r="AH603" s="889"/>
      <c r="AI603" s="889"/>
      <c r="AJ603" s="889"/>
      <c r="AK603" s="889"/>
      <c r="AL603" s="889"/>
      <c r="AM603" s="889"/>
      <c r="AN603" s="889"/>
      <c r="AO603" s="889"/>
      <c r="AP603" s="889"/>
      <c r="AQ603" s="889"/>
      <c r="AR603" s="889"/>
      <c r="AS603" s="889"/>
      <c r="AT603" s="889"/>
      <c r="AU603" s="889"/>
      <c r="AV603" s="889"/>
      <c r="AW603" s="889"/>
      <c r="AX603" s="889"/>
      <c r="AY603" s="889"/>
      <c r="AZ603" s="889"/>
    </row>
    <row r="604">
      <c r="A604" s="889"/>
      <c r="B604" s="889"/>
      <c r="C604" s="889"/>
      <c r="D604" s="889"/>
      <c r="E604" s="889"/>
      <c r="F604" s="889"/>
      <c r="G604" s="889"/>
      <c r="H604" s="889"/>
      <c r="I604" s="889"/>
      <c r="J604" s="889"/>
      <c r="K604" s="889"/>
      <c r="L604" s="889"/>
      <c r="M604" s="889"/>
      <c r="N604" s="944"/>
      <c r="O604" s="944"/>
      <c r="P604" s="944"/>
      <c r="Q604" s="944"/>
      <c r="R604" s="944"/>
      <c r="S604" s="889"/>
      <c r="T604" s="889"/>
      <c r="U604" s="889"/>
      <c r="V604" s="889"/>
      <c r="W604" s="889"/>
      <c r="X604" s="889"/>
      <c r="Y604" s="889"/>
      <c r="Z604" s="889"/>
      <c r="AA604" s="889"/>
      <c r="AB604" s="889"/>
      <c r="AC604" s="889"/>
      <c r="AD604" s="889"/>
      <c r="AE604" s="889"/>
      <c r="AF604" s="889"/>
      <c r="AG604" s="889"/>
      <c r="AH604" s="889"/>
      <c r="AI604" s="889"/>
      <c r="AJ604" s="889"/>
      <c r="AK604" s="889"/>
      <c r="AL604" s="889"/>
      <c r="AM604" s="889"/>
      <c r="AN604" s="889"/>
      <c r="AO604" s="889"/>
      <c r="AP604" s="889"/>
      <c r="AQ604" s="889"/>
      <c r="AR604" s="889"/>
      <c r="AS604" s="889"/>
      <c r="AT604" s="889"/>
      <c r="AU604" s="889"/>
      <c r="AV604" s="889"/>
      <c r="AW604" s="889"/>
      <c r="AX604" s="889"/>
      <c r="AY604" s="889"/>
      <c r="AZ604" s="889"/>
    </row>
    <row r="605">
      <c r="A605" s="889"/>
      <c r="B605" s="889"/>
      <c r="C605" s="889"/>
      <c r="D605" s="889"/>
      <c r="E605" s="889"/>
      <c r="F605" s="889"/>
      <c r="G605" s="889"/>
      <c r="H605" s="889"/>
      <c r="I605" s="889"/>
      <c r="J605" s="889"/>
      <c r="K605" s="889"/>
      <c r="L605" s="889"/>
      <c r="M605" s="889"/>
      <c r="N605" s="944"/>
      <c r="O605" s="944"/>
      <c r="P605" s="944"/>
      <c r="Q605" s="944"/>
      <c r="R605" s="944"/>
      <c r="S605" s="889"/>
      <c r="T605" s="889"/>
      <c r="U605" s="889"/>
      <c r="V605" s="889"/>
      <c r="W605" s="889"/>
      <c r="X605" s="889"/>
      <c r="Y605" s="889"/>
      <c r="Z605" s="889"/>
      <c r="AA605" s="889"/>
      <c r="AB605" s="889"/>
      <c r="AC605" s="889"/>
      <c r="AD605" s="889"/>
      <c r="AE605" s="889"/>
      <c r="AF605" s="889"/>
      <c r="AG605" s="889"/>
      <c r="AH605" s="889"/>
      <c r="AI605" s="889"/>
      <c r="AJ605" s="889"/>
      <c r="AK605" s="889"/>
      <c r="AL605" s="889"/>
      <c r="AM605" s="889"/>
      <c r="AN605" s="889"/>
      <c r="AO605" s="889"/>
      <c r="AP605" s="889"/>
      <c r="AQ605" s="889"/>
      <c r="AR605" s="889"/>
      <c r="AS605" s="889"/>
      <c r="AT605" s="889"/>
      <c r="AU605" s="889"/>
      <c r="AV605" s="889"/>
      <c r="AW605" s="889"/>
      <c r="AX605" s="889"/>
      <c r="AY605" s="889"/>
      <c r="AZ605" s="889"/>
    </row>
    <row r="606">
      <c r="A606" s="889"/>
      <c r="B606" s="889"/>
      <c r="C606" s="889"/>
      <c r="D606" s="889"/>
      <c r="E606" s="889"/>
      <c r="F606" s="889"/>
      <c r="G606" s="889"/>
      <c r="H606" s="889"/>
      <c r="I606" s="889"/>
      <c r="J606" s="889"/>
      <c r="K606" s="889"/>
      <c r="L606" s="889"/>
      <c r="M606" s="889"/>
      <c r="N606" s="944"/>
      <c r="O606" s="944"/>
      <c r="P606" s="944"/>
      <c r="Q606" s="944"/>
      <c r="R606" s="944"/>
      <c r="S606" s="889"/>
      <c r="T606" s="889"/>
      <c r="U606" s="889"/>
      <c r="V606" s="889"/>
      <c r="W606" s="889"/>
      <c r="X606" s="889"/>
      <c r="Y606" s="889"/>
      <c r="Z606" s="889"/>
      <c r="AA606" s="889"/>
      <c r="AB606" s="889"/>
      <c r="AC606" s="889"/>
      <c r="AD606" s="889"/>
      <c r="AE606" s="889"/>
      <c r="AF606" s="889"/>
      <c r="AG606" s="889"/>
      <c r="AH606" s="889"/>
      <c r="AI606" s="889"/>
      <c r="AJ606" s="889"/>
      <c r="AK606" s="889"/>
      <c r="AL606" s="889"/>
      <c r="AM606" s="889"/>
      <c r="AN606" s="889"/>
      <c r="AO606" s="889"/>
      <c r="AP606" s="889"/>
      <c r="AQ606" s="889"/>
      <c r="AR606" s="889"/>
      <c r="AS606" s="889"/>
      <c r="AT606" s="889"/>
      <c r="AU606" s="889"/>
      <c r="AV606" s="889"/>
      <c r="AW606" s="889"/>
      <c r="AX606" s="889"/>
      <c r="AY606" s="889"/>
      <c r="AZ606" s="889"/>
    </row>
    <row r="607">
      <c r="A607" s="889"/>
      <c r="B607" s="889"/>
      <c r="C607" s="889"/>
      <c r="D607" s="889"/>
      <c r="E607" s="889"/>
      <c r="F607" s="889"/>
      <c r="G607" s="889"/>
      <c r="H607" s="889"/>
      <c r="I607" s="889"/>
      <c r="J607" s="889"/>
      <c r="K607" s="889"/>
      <c r="L607" s="889"/>
      <c r="M607" s="889"/>
      <c r="N607" s="944"/>
      <c r="O607" s="944"/>
      <c r="P607" s="944"/>
      <c r="Q607" s="944"/>
      <c r="R607" s="944"/>
      <c r="S607" s="889"/>
      <c r="T607" s="889"/>
      <c r="U607" s="889"/>
      <c r="V607" s="889"/>
      <c r="W607" s="889"/>
      <c r="X607" s="889"/>
      <c r="Y607" s="889"/>
      <c r="Z607" s="889"/>
      <c r="AA607" s="889"/>
      <c r="AB607" s="889"/>
      <c r="AC607" s="889"/>
      <c r="AD607" s="889"/>
      <c r="AE607" s="889"/>
      <c r="AF607" s="889"/>
      <c r="AG607" s="889"/>
      <c r="AH607" s="889"/>
      <c r="AI607" s="889"/>
      <c r="AJ607" s="889"/>
      <c r="AK607" s="889"/>
      <c r="AL607" s="889"/>
      <c r="AM607" s="889"/>
      <c r="AN607" s="889"/>
      <c r="AO607" s="889"/>
      <c r="AP607" s="889"/>
      <c r="AQ607" s="889"/>
      <c r="AR607" s="889"/>
      <c r="AS607" s="889"/>
      <c r="AT607" s="889"/>
      <c r="AU607" s="889"/>
      <c r="AV607" s="889"/>
      <c r="AW607" s="889"/>
      <c r="AX607" s="889"/>
      <c r="AY607" s="889"/>
      <c r="AZ607" s="889"/>
    </row>
    <row r="608">
      <c r="A608" s="889"/>
      <c r="B608" s="889"/>
      <c r="C608" s="889"/>
      <c r="D608" s="889"/>
      <c r="E608" s="889"/>
      <c r="F608" s="889"/>
      <c r="G608" s="889"/>
      <c r="H608" s="889"/>
      <c r="I608" s="889"/>
      <c r="J608" s="889"/>
      <c r="K608" s="889"/>
      <c r="L608" s="889"/>
      <c r="M608" s="889"/>
      <c r="N608" s="944"/>
      <c r="O608" s="944"/>
      <c r="P608" s="944"/>
      <c r="Q608" s="944"/>
      <c r="R608" s="944"/>
      <c r="S608" s="889"/>
      <c r="T608" s="889"/>
      <c r="U608" s="889"/>
      <c r="V608" s="889"/>
      <c r="W608" s="889"/>
      <c r="X608" s="889"/>
      <c r="Y608" s="889"/>
      <c r="Z608" s="889"/>
      <c r="AA608" s="889"/>
      <c r="AB608" s="889"/>
      <c r="AC608" s="889"/>
      <c r="AD608" s="889"/>
      <c r="AE608" s="889"/>
      <c r="AF608" s="889"/>
      <c r="AG608" s="889"/>
      <c r="AH608" s="889"/>
      <c r="AI608" s="889"/>
      <c r="AJ608" s="889"/>
      <c r="AK608" s="889"/>
      <c r="AL608" s="889"/>
      <c r="AM608" s="889"/>
      <c r="AN608" s="889"/>
      <c r="AO608" s="889"/>
      <c r="AP608" s="889"/>
      <c r="AQ608" s="889"/>
      <c r="AR608" s="889"/>
      <c r="AS608" s="889"/>
      <c r="AT608" s="889"/>
      <c r="AU608" s="889"/>
      <c r="AV608" s="889"/>
      <c r="AW608" s="889"/>
      <c r="AX608" s="889"/>
      <c r="AY608" s="889"/>
      <c r="AZ608" s="889"/>
    </row>
    <row r="609">
      <c r="A609" s="889"/>
      <c r="B609" s="889"/>
      <c r="C609" s="889"/>
      <c r="D609" s="889"/>
      <c r="E609" s="889"/>
      <c r="F609" s="889"/>
      <c r="G609" s="889"/>
      <c r="H609" s="889"/>
      <c r="I609" s="889"/>
      <c r="J609" s="889"/>
      <c r="K609" s="889"/>
      <c r="L609" s="889"/>
      <c r="M609" s="889"/>
      <c r="N609" s="944"/>
      <c r="O609" s="944"/>
      <c r="P609" s="944"/>
      <c r="Q609" s="944"/>
      <c r="R609" s="944"/>
      <c r="S609" s="889"/>
      <c r="T609" s="889"/>
      <c r="U609" s="889"/>
      <c r="V609" s="889"/>
      <c r="W609" s="889"/>
      <c r="X609" s="889"/>
      <c r="Y609" s="889"/>
      <c r="Z609" s="889"/>
      <c r="AA609" s="889"/>
      <c r="AB609" s="889"/>
      <c r="AC609" s="889"/>
      <c r="AD609" s="889"/>
      <c r="AE609" s="889"/>
      <c r="AF609" s="889"/>
      <c r="AG609" s="889"/>
      <c r="AH609" s="889"/>
      <c r="AI609" s="889"/>
      <c r="AJ609" s="889"/>
      <c r="AK609" s="889"/>
      <c r="AL609" s="889"/>
      <c r="AM609" s="889"/>
      <c r="AN609" s="889"/>
      <c r="AO609" s="889"/>
      <c r="AP609" s="889"/>
      <c r="AQ609" s="889"/>
      <c r="AR609" s="889"/>
      <c r="AS609" s="889"/>
      <c r="AT609" s="889"/>
      <c r="AU609" s="889"/>
      <c r="AV609" s="889"/>
      <c r="AW609" s="889"/>
      <c r="AX609" s="889"/>
      <c r="AY609" s="889"/>
      <c r="AZ609" s="889"/>
    </row>
    <row r="610">
      <c r="A610" s="889"/>
      <c r="B610" s="889"/>
      <c r="C610" s="889"/>
      <c r="D610" s="889"/>
      <c r="E610" s="889"/>
      <c r="F610" s="889"/>
      <c r="G610" s="889"/>
      <c r="H610" s="889"/>
      <c r="I610" s="889"/>
      <c r="J610" s="889"/>
      <c r="K610" s="889"/>
      <c r="L610" s="889"/>
      <c r="M610" s="889"/>
      <c r="N610" s="944"/>
      <c r="O610" s="944"/>
      <c r="P610" s="944"/>
      <c r="Q610" s="944"/>
      <c r="R610" s="944"/>
      <c r="S610" s="889"/>
      <c r="T610" s="889"/>
      <c r="U610" s="889"/>
      <c r="V610" s="889"/>
      <c r="W610" s="889"/>
      <c r="X610" s="889"/>
      <c r="Y610" s="889"/>
      <c r="Z610" s="889"/>
      <c r="AA610" s="889"/>
      <c r="AB610" s="889"/>
      <c r="AC610" s="889"/>
      <c r="AD610" s="889"/>
      <c r="AE610" s="889"/>
      <c r="AF610" s="889"/>
      <c r="AG610" s="889"/>
      <c r="AH610" s="889"/>
      <c r="AI610" s="889"/>
      <c r="AJ610" s="889"/>
      <c r="AK610" s="889"/>
      <c r="AL610" s="889"/>
      <c r="AM610" s="889"/>
      <c r="AN610" s="889"/>
      <c r="AO610" s="889"/>
      <c r="AP610" s="889"/>
      <c r="AQ610" s="889"/>
      <c r="AR610" s="889"/>
      <c r="AS610" s="889"/>
      <c r="AT610" s="889"/>
      <c r="AU610" s="889"/>
      <c r="AV610" s="889"/>
      <c r="AW610" s="889"/>
      <c r="AX610" s="889"/>
      <c r="AY610" s="889"/>
      <c r="AZ610" s="889"/>
    </row>
    <row r="611">
      <c r="A611" s="889"/>
      <c r="B611" s="889"/>
      <c r="C611" s="889"/>
      <c r="D611" s="889"/>
      <c r="E611" s="889"/>
      <c r="F611" s="889"/>
      <c r="G611" s="889"/>
      <c r="H611" s="889"/>
      <c r="I611" s="889"/>
      <c r="J611" s="889"/>
      <c r="K611" s="889"/>
      <c r="L611" s="889"/>
      <c r="M611" s="889"/>
      <c r="N611" s="944"/>
      <c r="O611" s="944"/>
      <c r="P611" s="944"/>
      <c r="Q611" s="944"/>
      <c r="R611" s="944"/>
      <c r="S611" s="889"/>
      <c r="T611" s="889"/>
      <c r="U611" s="889"/>
      <c r="V611" s="889"/>
      <c r="W611" s="889"/>
      <c r="X611" s="889"/>
      <c r="Y611" s="889"/>
      <c r="Z611" s="889"/>
      <c r="AA611" s="889"/>
      <c r="AB611" s="889"/>
      <c r="AC611" s="889"/>
      <c r="AD611" s="889"/>
      <c r="AE611" s="889"/>
      <c r="AF611" s="889"/>
      <c r="AG611" s="889"/>
      <c r="AH611" s="889"/>
      <c r="AI611" s="889"/>
      <c r="AJ611" s="889"/>
      <c r="AK611" s="889"/>
      <c r="AL611" s="889"/>
      <c r="AM611" s="889"/>
      <c r="AN611" s="889"/>
      <c r="AO611" s="889"/>
      <c r="AP611" s="889"/>
      <c r="AQ611" s="889"/>
      <c r="AR611" s="889"/>
      <c r="AS611" s="889"/>
      <c r="AT611" s="889"/>
      <c r="AU611" s="889"/>
      <c r="AV611" s="889"/>
      <c r="AW611" s="889"/>
      <c r="AX611" s="889"/>
      <c r="AY611" s="889"/>
      <c r="AZ611" s="889"/>
    </row>
    <row r="612">
      <c r="A612" s="889"/>
      <c r="B612" s="889"/>
      <c r="C612" s="889"/>
      <c r="D612" s="889"/>
      <c r="E612" s="889"/>
      <c r="F612" s="889"/>
      <c r="G612" s="889"/>
      <c r="H612" s="889"/>
      <c r="I612" s="889"/>
      <c r="J612" s="889"/>
      <c r="K612" s="889"/>
      <c r="L612" s="889"/>
      <c r="M612" s="889"/>
      <c r="N612" s="944"/>
      <c r="O612" s="944"/>
      <c r="P612" s="944"/>
      <c r="Q612" s="944"/>
      <c r="R612" s="944"/>
      <c r="S612" s="889"/>
      <c r="T612" s="889"/>
      <c r="U612" s="889"/>
      <c r="V612" s="889"/>
      <c r="W612" s="889"/>
      <c r="X612" s="889"/>
      <c r="Y612" s="889"/>
      <c r="Z612" s="889"/>
      <c r="AA612" s="889"/>
      <c r="AB612" s="889"/>
      <c r="AC612" s="889"/>
      <c r="AD612" s="889"/>
      <c r="AE612" s="889"/>
      <c r="AF612" s="889"/>
      <c r="AG612" s="889"/>
      <c r="AH612" s="889"/>
      <c r="AI612" s="889"/>
      <c r="AJ612" s="889"/>
      <c r="AK612" s="889"/>
      <c r="AL612" s="889"/>
      <c r="AM612" s="889"/>
      <c r="AN612" s="889"/>
      <c r="AO612" s="889"/>
      <c r="AP612" s="889"/>
      <c r="AQ612" s="889"/>
      <c r="AR612" s="889"/>
      <c r="AS612" s="889"/>
      <c r="AT612" s="889"/>
      <c r="AU612" s="889"/>
      <c r="AV612" s="889"/>
      <c r="AW612" s="889"/>
      <c r="AX612" s="889"/>
      <c r="AY612" s="889"/>
      <c r="AZ612" s="889"/>
    </row>
    <row r="613">
      <c r="A613" s="889"/>
      <c r="B613" s="889"/>
      <c r="C613" s="889"/>
      <c r="D613" s="889"/>
      <c r="E613" s="889"/>
      <c r="F613" s="889"/>
      <c r="G613" s="889"/>
      <c r="H613" s="889"/>
      <c r="I613" s="889"/>
      <c r="J613" s="889"/>
      <c r="K613" s="889"/>
      <c r="L613" s="889"/>
      <c r="M613" s="889"/>
      <c r="N613" s="944"/>
      <c r="O613" s="944"/>
      <c r="P613" s="944"/>
      <c r="Q613" s="944"/>
      <c r="R613" s="944"/>
      <c r="S613" s="889"/>
      <c r="T613" s="889"/>
      <c r="U613" s="889"/>
      <c r="V613" s="889"/>
      <c r="W613" s="889"/>
      <c r="X613" s="889"/>
      <c r="Y613" s="889"/>
      <c r="Z613" s="889"/>
      <c r="AA613" s="889"/>
      <c r="AB613" s="889"/>
      <c r="AC613" s="889"/>
      <c r="AD613" s="889"/>
      <c r="AE613" s="889"/>
      <c r="AF613" s="889"/>
      <c r="AG613" s="889"/>
      <c r="AH613" s="889"/>
      <c r="AI613" s="889"/>
      <c r="AJ613" s="889"/>
      <c r="AK613" s="889"/>
      <c r="AL613" s="889"/>
      <c r="AM613" s="889"/>
      <c r="AN613" s="889"/>
      <c r="AO613" s="889"/>
      <c r="AP613" s="889"/>
      <c r="AQ613" s="889"/>
      <c r="AR613" s="889"/>
      <c r="AS613" s="889"/>
      <c r="AT613" s="889"/>
      <c r="AU613" s="889"/>
      <c r="AV613" s="889"/>
      <c r="AW613" s="889"/>
      <c r="AX613" s="889"/>
      <c r="AY613" s="889"/>
      <c r="AZ613" s="889"/>
    </row>
    <row r="614">
      <c r="A614" s="889"/>
      <c r="B614" s="889"/>
      <c r="C614" s="889"/>
      <c r="D614" s="889"/>
      <c r="E614" s="889"/>
      <c r="F614" s="889"/>
      <c r="G614" s="889"/>
      <c r="H614" s="889"/>
      <c r="I614" s="889"/>
      <c r="J614" s="889"/>
      <c r="K614" s="889"/>
      <c r="L614" s="889"/>
      <c r="M614" s="889"/>
      <c r="N614" s="944"/>
      <c r="O614" s="944"/>
      <c r="P614" s="944"/>
      <c r="Q614" s="944"/>
      <c r="R614" s="944"/>
      <c r="S614" s="889"/>
      <c r="T614" s="889"/>
      <c r="U614" s="889"/>
      <c r="V614" s="889"/>
      <c r="W614" s="889"/>
      <c r="X614" s="889"/>
      <c r="Y614" s="889"/>
      <c r="Z614" s="889"/>
      <c r="AA614" s="889"/>
      <c r="AB614" s="889"/>
      <c r="AC614" s="889"/>
      <c r="AD614" s="889"/>
      <c r="AE614" s="889"/>
      <c r="AF614" s="889"/>
      <c r="AG614" s="889"/>
      <c r="AH614" s="889"/>
      <c r="AI614" s="889"/>
      <c r="AJ614" s="889"/>
      <c r="AK614" s="889"/>
      <c r="AL614" s="889"/>
      <c r="AM614" s="889"/>
      <c r="AN614" s="889"/>
      <c r="AO614" s="889"/>
      <c r="AP614" s="889"/>
      <c r="AQ614" s="889"/>
      <c r="AR614" s="889"/>
      <c r="AS614" s="889"/>
      <c r="AT614" s="889"/>
      <c r="AU614" s="889"/>
      <c r="AV614" s="889"/>
      <c r="AW614" s="889"/>
      <c r="AX614" s="889"/>
      <c r="AY614" s="889"/>
      <c r="AZ614" s="889"/>
    </row>
    <row r="615">
      <c r="A615" s="889"/>
      <c r="B615" s="889"/>
      <c r="C615" s="889"/>
      <c r="D615" s="889"/>
      <c r="E615" s="889"/>
      <c r="F615" s="889"/>
      <c r="G615" s="889"/>
      <c r="H615" s="889"/>
      <c r="I615" s="889"/>
      <c r="J615" s="889"/>
      <c r="K615" s="889"/>
      <c r="L615" s="889"/>
      <c r="M615" s="889"/>
      <c r="N615" s="944"/>
      <c r="O615" s="944"/>
      <c r="P615" s="944"/>
      <c r="Q615" s="944"/>
      <c r="R615" s="944"/>
      <c r="S615" s="889"/>
      <c r="T615" s="889"/>
      <c r="U615" s="889"/>
      <c r="V615" s="889"/>
      <c r="W615" s="889"/>
      <c r="X615" s="889"/>
      <c r="Y615" s="889"/>
      <c r="Z615" s="889"/>
      <c r="AA615" s="889"/>
      <c r="AB615" s="889"/>
      <c r="AC615" s="889"/>
      <c r="AD615" s="889"/>
      <c r="AE615" s="889"/>
      <c r="AF615" s="889"/>
      <c r="AG615" s="889"/>
      <c r="AH615" s="889"/>
      <c r="AI615" s="889"/>
      <c r="AJ615" s="889"/>
      <c r="AK615" s="889"/>
      <c r="AL615" s="889"/>
      <c r="AM615" s="889"/>
      <c r="AN615" s="889"/>
      <c r="AO615" s="889"/>
      <c r="AP615" s="889"/>
      <c r="AQ615" s="889"/>
      <c r="AR615" s="889"/>
      <c r="AS615" s="889"/>
      <c r="AT615" s="889"/>
      <c r="AU615" s="889"/>
      <c r="AV615" s="889"/>
      <c r="AW615" s="889"/>
      <c r="AX615" s="889"/>
      <c r="AY615" s="889"/>
      <c r="AZ615" s="889"/>
    </row>
    <row r="616">
      <c r="A616" s="889"/>
      <c r="B616" s="889"/>
      <c r="C616" s="889"/>
      <c r="D616" s="889"/>
      <c r="E616" s="889"/>
      <c r="F616" s="889"/>
      <c r="G616" s="889"/>
      <c r="H616" s="889"/>
      <c r="I616" s="889"/>
      <c r="J616" s="889"/>
      <c r="K616" s="889"/>
      <c r="L616" s="889"/>
      <c r="M616" s="889"/>
      <c r="N616" s="944"/>
      <c r="O616" s="944"/>
      <c r="P616" s="944"/>
      <c r="Q616" s="944"/>
      <c r="R616" s="944"/>
      <c r="S616" s="889"/>
      <c r="T616" s="889"/>
      <c r="U616" s="889"/>
      <c r="V616" s="889"/>
      <c r="W616" s="889"/>
      <c r="X616" s="889"/>
      <c r="Y616" s="889"/>
      <c r="Z616" s="889"/>
      <c r="AA616" s="889"/>
      <c r="AB616" s="889"/>
      <c r="AC616" s="889"/>
      <c r="AD616" s="889"/>
      <c r="AE616" s="889"/>
      <c r="AF616" s="889"/>
      <c r="AG616" s="889"/>
      <c r="AH616" s="889"/>
      <c r="AI616" s="889"/>
      <c r="AJ616" s="889"/>
      <c r="AK616" s="889"/>
      <c r="AL616" s="889"/>
      <c r="AM616" s="889"/>
      <c r="AN616" s="889"/>
      <c r="AO616" s="889"/>
      <c r="AP616" s="889"/>
      <c r="AQ616" s="889"/>
      <c r="AR616" s="889"/>
      <c r="AS616" s="889"/>
      <c r="AT616" s="889"/>
      <c r="AU616" s="889"/>
      <c r="AV616" s="889"/>
      <c r="AW616" s="889"/>
      <c r="AX616" s="889"/>
      <c r="AY616" s="889"/>
      <c r="AZ616" s="889"/>
    </row>
    <row r="617">
      <c r="A617" s="889"/>
      <c r="B617" s="889"/>
      <c r="C617" s="889"/>
      <c r="D617" s="889"/>
      <c r="E617" s="889"/>
      <c r="F617" s="889"/>
      <c r="G617" s="889"/>
      <c r="H617" s="889"/>
      <c r="I617" s="889"/>
      <c r="J617" s="889"/>
      <c r="K617" s="889"/>
      <c r="L617" s="889"/>
      <c r="M617" s="889"/>
      <c r="N617" s="944"/>
      <c r="O617" s="944"/>
      <c r="P617" s="944"/>
      <c r="Q617" s="944"/>
      <c r="R617" s="944"/>
      <c r="S617" s="889"/>
      <c r="T617" s="889"/>
      <c r="U617" s="889"/>
      <c r="V617" s="889"/>
      <c r="W617" s="889"/>
      <c r="X617" s="889"/>
      <c r="Y617" s="889"/>
      <c r="Z617" s="889"/>
      <c r="AA617" s="889"/>
      <c r="AB617" s="889"/>
      <c r="AC617" s="889"/>
      <c r="AD617" s="889"/>
      <c r="AE617" s="889"/>
      <c r="AF617" s="889"/>
      <c r="AG617" s="889"/>
      <c r="AH617" s="889"/>
      <c r="AI617" s="889"/>
      <c r="AJ617" s="889"/>
      <c r="AK617" s="889"/>
      <c r="AL617" s="889"/>
      <c r="AM617" s="889"/>
      <c r="AN617" s="889"/>
      <c r="AO617" s="889"/>
      <c r="AP617" s="889"/>
      <c r="AQ617" s="889"/>
      <c r="AR617" s="889"/>
      <c r="AS617" s="889"/>
      <c r="AT617" s="889"/>
      <c r="AU617" s="889"/>
      <c r="AV617" s="889"/>
      <c r="AW617" s="889"/>
      <c r="AX617" s="889"/>
      <c r="AY617" s="889"/>
      <c r="AZ617" s="889"/>
    </row>
    <row r="618">
      <c r="A618" s="889"/>
      <c r="B618" s="889"/>
      <c r="C618" s="889"/>
      <c r="D618" s="889"/>
      <c r="E618" s="889"/>
      <c r="F618" s="889"/>
      <c r="G618" s="889"/>
      <c r="H618" s="889"/>
      <c r="I618" s="889"/>
      <c r="J618" s="889"/>
      <c r="K618" s="889"/>
      <c r="L618" s="889"/>
      <c r="M618" s="889"/>
      <c r="N618" s="944"/>
      <c r="O618" s="944"/>
      <c r="P618" s="944"/>
      <c r="Q618" s="944"/>
      <c r="R618" s="944"/>
      <c r="S618" s="889"/>
      <c r="T618" s="889"/>
      <c r="U618" s="889"/>
      <c r="V618" s="889"/>
      <c r="W618" s="889"/>
      <c r="X618" s="889"/>
      <c r="Y618" s="889"/>
      <c r="Z618" s="889"/>
      <c r="AA618" s="889"/>
      <c r="AB618" s="889"/>
      <c r="AC618" s="889"/>
      <c r="AD618" s="889"/>
      <c r="AE618" s="889"/>
      <c r="AF618" s="889"/>
      <c r="AG618" s="889"/>
      <c r="AH618" s="889"/>
      <c r="AI618" s="889"/>
      <c r="AJ618" s="889"/>
      <c r="AK618" s="889"/>
      <c r="AL618" s="889"/>
      <c r="AM618" s="889"/>
      <c r="AN618" s="889"/>
      <c r="AO618" s="889"/>
      <c r="AP618" s="889"/>
      <c r="AQ618" s="889"/>
      <c r="AR618" s="889"/>
      <c r="AS618" s="889"/>
      <c r="AT618" s="889"/>
      <c r="AU618" s="889"/>
      <c r="AV618" s="889"/>
      <c r="AW618" s="889"/>
      <c r="AX618" s="889"/>
      <c r="AY618" s="889"/>
      <c r="AZ618" s="889"/>
    </row>
    <row r="619">
      <c r="A619" s="889"/>
      <c r="B619" s="889"/>
      <c r="C619" s="889"/>
      <c r="D619" s="889"/>
      <c r="E619" s="889"/>
      <c r="F619" s="889"/>
      <c r="G619" s="889"/>
      <c r="H619" s="889"/>
      <c r="I619" s="889"/>
      <c r="J619" s="889"/>
      <c r="K619" s="889"/>
      <c r="L619" s="889"/>
      <c r="M619" s="889"/>
      <c r="N619" s="944"/>
      <c r="O619" s="944"/>
      <c r="P619" s="944"/>
      <c r="Q619" s="944"/>
      <c r="R619" s="944"/>
      <c r="S619" s="889"/>
      <c r="T619" s="889"/>
      <c r="U619" s="889"/>
      <c r="V619" s="889"/>
      <c r="W619" s="889"/>
      <c r="X619" s="889"/>
      <c r="Y619" s="889"/>
      <c r="Z619" s="889"/>
      <c r="AA619" s="889"/>
      <c r="AB619" s="889"/>
      <c r="AC619" s="889"/>
      <c r="AD619" s="889"/>
      <c r="AE619" s="889"/>
      <c r="AF619" s="889"/>
      <c r="AG619" s="889"/>
      <c r="AH619" s="889"/>
      <c r="AI619" s="889"/>
      <c r="AJ619" s="889"/>
      <c r="AK619" s="889"/>
      <c r="AL619" s="889"/>
      <c r="AM619" s="889"/>
      <c r="AN619" s="889"/>
      <c r="AO619" s="889"/>
      <c r="AP619" s="889"/>
      <c r="AQ619" s="889"/>
      <c r="AR619" s="889"/>
      <c r="AS619" s="889"/>
      <c r="AT619" s="889"/>
      <c r="AU619" s="889"/>
      <c r="AV619" s="889"/>
      <c r="AW619" s="889"/>
      <c r="AX619" s="889"/>
      <c r="AY619" s="889"/>
      <c r="AZ619" s="889"/>
    </row>
    <row r="620">
      <c r="A620" s="889"/>
      <c r="B620" s="889"/>
      <c r="C620" s="889"/>
      <c r="D620" s="889"/>
      <c r="E620" s="889"/>
      <c r="F620" s="889"/>
      <c r="G620" s="889"/>
      <c r="H620" s="889"/>
      <c r="I620" s="889"/>
      <c r="J620" s="889"/>
      <c r="K620" s="889"/>
      <c r="L620" s="889"/>
      <c r="M620" s="889"/>
      <c r="N620" s="944"/>
      <c r="O620" s="944"/>
      <c r="P620" s="944"/>
      <c r="Q620" s="944"/>
      <c r="R620" s="944"/>
      <c r="S620" s="889"/>
      <c r="T620" s="889"/>
      <c r="U620" s="889"/>
      <c r="V620" s="889"/>
      <c r="W620" s="889"/>
      <c r="X620" s="889"/>
      <c r="Y620" s="889"/>
      <c r="Z620" s="889"/>
      <c r="AA620" s="889"/>
      <c r="AB620" s="889"/>
      <c r="AC620" s="889"/>
      <c r="AD620" s="889"/>
      <c r="AE620" s="889"/>
      <c r="AF620" s="889"/>
      <c r="AG620" s="889"/>
      <c r="AH620" s="889"/>
      <c r="AI620" s="889"/>
      <c r="AJ620" s="889"/>
      <c r="AK620" s="889"/>
      <c r="AL620" s="889"/>
      <c r="AM620" s="889"/>
      <c r="AN620" s="889"/>
      <c r="AO620" s="889"/>
      <c r="AP620" s="889"/>
      <c r="AQ620" s="889"/>
      <c r="AR620" s="889"/>
      <c r="AS620" s="889"/>
      <c r="AT620" s="889"/>
      <c r="AU620" s="889"/>
      <c r="AV620" s="889"/>
      <c r="AW620" s="889"/>
      <c r="AX620" s="889"/>
      <c r="AY620" s="889"/>
      <c r="AZ620" s="889"/>
    </row>
    <row r="621">
      <c r="A621" s="889"/>
      <c r="B621" s="889"/>
      <c r="C621" s="889"/>
      <c r="D621" s="889"/>
      <c r="E621" s="889"/>
      <c r="F621" s="889"/>
      <c r="G621" s="889"/>
      <c r="H621" s="889"/>
      <c r="I621" s="889"/>
      <c r="J621" s="889"/>
      <c r="K621" s="889"/>
      <c r="L621" s="889"/>
      <c r="M621" s="889"/>
      <c r="N621" s="944"/>
      <c r="O621" s="944"/>
      <c r="P621" s="944"/>
      <c r="Q621" s="944"/>
      <c r="R621" s="944"/>
      <c r="S621" s="889"/>
      <c r="T621" s="889"/>
      <c r="U621" s="889"/>
      <c r="V621" s="889"/>
      <c r="W621" s="889"/>
      <c r="X621" s="889"/>
      <c r="Y621" s="889"/>
      <c r="Z621" s="889"/>
      <c r="AA621" s="889"/>
      <c r="AB621" s="889"/>
      <c r="AC621" s="889"/>
      <c r="AD621" s="889"/>
      <c r="AE621" s="889"/>
      <c r="AF621" s="889"/>
      <c r="AG621" s="889"/>
      <c r="AH621" s="889"/>
      <c r="AI621" s="889"/>
      <c r="AJ621" s="889"/>
      <c r="AK621" s="889"/>
      <c r="AL621" s="889"/>
      <c r="AM621" s="889"/>
      <c r="AN621" s="889"/>
      <c r="AO621" s="889"/>
      <c r="AP621" s="889"/>
      <c r="AQ621" s="889"/>
      <c r="AR621" s="889"/>
      <c r="AS621" s="889"/>
      <c r="AT621" s="889"/>
      <c r="AU621" s="889"/>
      <c r="AV621" s="889"/>
      <c r="AW621" s="889"/>
      <c r="AX621" s="889"/>
      <c r="AY621" s="889"/>
      <c r="AZ621" s="889"/>
    </row>
    <row r="622">
      <c r="A622" s="889"/>
      <c r="B622" s="889"/>
      <c r="C622" s="889"/>
      <c r="D622" s="889"/>
      <c r="E622" s="889"/>
      <c r="F622" s="889"/>
      <c r="G622" s="889"/>
      <c r="H622" s="889"/>
      <c r="I622" s="889"/>
      <c r="J622" s="889"/>
      <c r="K622" s="889"/>
      <c r="L622" s="889"/>
      <c r="M622" s="889"/>
      <c r="N622" s="944"/>
      <c r="O622" s="944"/>
      <c r="P622" s="944"/>
      <c r="Q622" s="944"/>
      <c r="R622" s="944"/>
      <c r="S622" s="889"/>
      <c r="T622" s="889"/>
      <c r="U622" s="889"/>
      <c r="V622" s="889"/>
      <c r="W622" s="889"/>
      <c r="X622" s="889"/>
      <c r="Y622" s="889"/>
      <c r="Z622" s="889"/>
      <c r="AA622" s="889"/>
      <c r="AB622" s="889"/>
      <c r="AC622" s="889"/>
      <c r="AD622" s="889"/>
      <c r="AE622" s="889"/>
      <c r="AF622" s="889"/>
      <c r="AG622" s="889"/>
      <c r="AH622" s="889"/>
      <c r="AI622" s="889"/>
      <c r="AJ622" s="889"/>
      <c r="AK622" s="889"/>
      <c r="AL622" s="889"/>
      <c r="AM622" s="889"/>
      <c r="AN622" s="889"/>
      <c r="AO622" s="889"/>
      <c r="AP622" s="889"/>
      <c r="AQ622" s="889"/>
      <c r="AR622" s="889"/>
      <c r="AS622" s="889"/>
      <c r="AT622" s="889"/>
      <c r="AU622" s="889"/>
      <c r="AV622" s="889"/>
      <c r="AW622" s="889"/>
      <c r="AX622" s="889"/>
      <c r="AY622" s="889"/>
      <c r="AZ622" s="889"/>
    </row>
    <row r="623">
      <c r="A623" s="889"/>
      <c r="B623" s="889"/>
      <c r="C623" s="889"/>
      <c r="D623" s="889"/>
      <c r="E623" s="889"/>
      <c r="F623" s="889"/>
      <c r="G623" s="889"/>
      <c r="H623" s="889"/>
      <c r="I623" s="889"/>
      <c r="J623" s="889"/>
      <c r="K623" s="889"/>
      <c r="L623" s="889"/>
      <c r="M623" s="889"/>
      <c r="N623" s="944"/>
      <c r="O623" s="944"/>
      <c r="P623" s="944"/>
      <c r="Q623" s="944"/>
      <c r="R623" s="944"/>
      <c r="S623" s="889"/>
      <c r="T623" s="889"/>
      <c r="U623" s="889"/>
      <c r="V623" s="889"/>
      <c r="W623" s="889"/>
      <c r="X623" s="889"/>
      <c r="Y623" s="889"/>
      <c r="Z623" s="889"/>
      <c r="AA623" s="889"/>
      <c r="AB623" s="889"/>
      <c r="AC623" s="889"/>
      <c r="AD623" s="889"/>
      <c r="AE623" s="889"/>
      <c r="AF623" s="889"/>
      <c r="AG623" s="889"/>
      <c r="AH623" s="889"/>
      <c r="AI623" s="889"/>
      <c r="AJ623" s="889"/>
      <c r="AK623" s="889"/>
      <c r="AL623" s="889"/>
      <c r="AM623" s="889"/>
      <c r="AN623" s="889"/>
      <c r="AO623" s="889"/>
      <c r="AP623" s="889"/>
      <c r="AQ623" s="889"/>
      <c r="AR623" s="889"/>
      <c r="AS623" s="889"/>
      <c r="AT623" s="889"/>
      <c r="AU623" s="889"/>
      <c r="AV623" s="889"/>
      <c r="AW623" s="889"/>
      <c r="AX623" s="889"/>
      <c r="AY623" s="889"/>
      <c r="AZ623" s="889"/>
    </row>
    <row r="624">
      <c r="A624" s="889"/>
      <c r="B624" s="889"/>
      <c r="C624" s="889"/>
      <c r="D624" s="889"/>
      <c r="E624" s="889"/>
      <c r="F624" s="889"/>
      <c r="G624" s="889"/>
      <c r="H624" s="889"/>
      <c r="I624" s="889"/>
      <c r="J624" s="889"/>
      <c r="K624" s="889"/>
      <c r="L624" s="889"/>
      <c r="M624" s="889"/>
      <c r="N624" s="944"/>
      <c r="O624" s="944"/>
      <c r="P624" s="944"/>
      <c r="Q624" s="944"/>
      <c r="R624" s="944"/>
      <c r="S624" s="889"/>
      <c r="T624" s="889"/>
      <c r="U624" s="889"/>
      <c r="V624" s="889"/>
      <c r="W624" s="889"/>
      <c r="X624" s="889"/>
      <c r="Y624" s="889"/>
      <c r="Z624" s="889"/>
      <c r="AA624" s="889"/>
      <c r="AB624" s="889"/>
      <c r="AC624" s="889"/>
      <c r="AD624" s="889"/>
      <c r="AE624" s="889"/>
      <c r="AF624" s="889"/>
      <c r="AG624" s="889"/>
      <c r="AH624" s="889"/>
      <c r="AI624" s="889"/>
      <c r="AJ624" s="889"/>
      <c r="AK624" s="889"/>
      <c r="AL624" s="889"/>
      <c r="AM624" s="889"/>
      <c r="AN624" s="889"/>
      <c r="AO624" s="889"/>
      <c r="AP624" s="889"/>
      <c r="AQ624" s="889"/>
      <c r="AR624" s="889"/>
      <c r="AS624" s="889"/>
      <c r="AT624" s="889"/>
      <c r="AU624" s="889"/>
      <c r="AV624" s="889"/>
      <c r="AW624" s="889"/>
      <c r="AX624" s="889"/>
      <c r="AY624" s="889"/>
      <c r="AZ624" s="889"/>
    </row>
    <row r="625">
      <c r="A625" s="889"/>
      <c r="B625" s="889"/>
      <c r="C625" s="889"/>
      <c r="D625" s="889"/>
      <c r="E625" s="889"/>
      <c r="F625" s="889"/>
      <c r="G625" s="889"/>
      <c r="H625" s="889"/>
      <c r="I625" s="889"/>
      <c r="J625" s="889"/>
      <c r="K625" s="889"/>
      <c r="L625" s="889"/>
      <c r="M625" s="889"/>
      <c r="N625" s="944"/>
      <c r="O625" s="944"/>
      <c r="P625" s="944"/>
      <c r="Q625" s="944"/>
      <c r="R625" s="944"/>
      <c r="S625" s="889"/>
      <c r="T625" s="889"/>
      <c r="U625" s="889"/>
      <c r="V625" s="889"/>
      <c r="W625" s="889"/>
      <c r="X625" s="889"/>
      <c r="Y625" s="889"/>
      <c r="Z625" s="889"/>
      <c r="AA625" s="889"/>
      <c r="AB625" s="889"/>
      <c r="AC625" s="889"/>
      <c r="AD625" s="889"/>
      <c r="AE625" s="889"/>
      <c r="AF625" s="889"/>
      <c r="AG625" s="889"/>
      <c r="AH625" s="889"/>
      <c r="AI625" s="889"/>
      <c r="AJ625" s="889"/>
      <c r="AK625" s="889"/>
      <c r="AL625" s="889"/>
      <c r="AM625" s="889"/>
      <c r="AN625" s="889"/>
      <c r="AO625" s="889"/>
      <c r="AP625" s="889"/>
      <c r="AQ625" s="889"/>
      <c r="AR625" s="889"/>
      <c r="AS625" s="889"/>
      <c r="AT625" s="889"/>
      <c r="AU625" s="889"/>
      <c r="AV625" s="889"/>
      <c r="AW625" s="889"/>
      <c r="AX625" s="889"/>
      <c r="AY625" s="889"/>
      <c r="AZ625" s="889"/>
    </row>
    <row r="626">
      <c r="A626" s="889"/>
      <c r="B626" s="889"/>
      <c r="C626" s="889"/>
      <c r="D626" s="889"/>
      <c r="E626" s="889"/>
      <c r="F626" s="889"/>
      <c r="G626" s="889"/>
      <c r="H626" s="889"/>
      <c r="I626" s="889"/>
      <c r="J626" s="889"/>
      <c r="K626" s="889"/>
      <c r="L626" s="889"/>
      <c r="M626" s="889"/>
      <c r="N626" s="944"/>
      <c r="O626" s="944"/>
      <c r="P626" s="944"/>
      <c r="Q626" s="944"/>
      <c r="R626" s="944"/>
      <c r="S626" s="889"/>
      <c r="T626" s="889"/>
      <c r="U626" s="889"/>
      <c r="V626" s="889"/>
      <c r="W626" s="889"/>
      <c r="X626" s="889"/>
      <c r="Y626" s="889"/>
      <c r="Z626" s="889"/>
      <c r="AA626" s="889"/>
      <c r="AB626" s="889"/>
      <c r="AC626" s="889"/>
      <c r="AD626" s="889"/>
      <c r="AE626" s="889"/>
      <c r="AF626" s="889"/>
      <c r="AG626" s="889"/>
      <c r="AH626" s="889"/>
      <c r="AI626" s="889"/>
      <c r="AJ626" s="889"/>
      <c r="AK626" s="889"/>
      <c r="AL626" s="889"/>
      <c r="AM626" s="889"/>
      <c r="AN626" s="889"/>
      <c r="AO626" s="889"/>
      <c r="AP626" s="889"/>
      <c r="AQ626" s="889"/>
      <c r="AR626" s="889"/>
      <c r="AS626" s="889"/>
      <c r="AT626" s="889"/>
      <c r="AU626" s="889"/>
      <c r="AV626" s="889"/>
      <c r="AW626" s="889"/>
      <c r="AX626" s="889"/>
      <c r="AY626" s="889"/>
      <c r="AZ626" s="889"/>
    </row>
    <row r="627">
      <c r="A627" s="889"/>
      <c r="B627" s="889"/>
      <c r="C627" s="889"/>
      <c r="D627" s="889"/>
      <c r="E627" s="889"/>
      <c r="F627" s="889"/>
      <c r="G627" s="889"/>
      <c r="H627" s="889"/>
      <c r="I627" s="889"/>
      <c r="J627" s="889"/>
      <c r="K627" s="889"/>
      <c r="L627" s="889"/>
      <c r="M627" s="889"/>
      <c r="N627" s="944"/>
      <c r="O627" s="944"/>
      <c r="P627" s="944"/>
      <c r="Q627" s="944"/>
      <c r="R627" s="944"/>
      <c r="S627" s="889"/>
      <c r="T627" s="889"/>
      <c r="U627" s="889"/>
      <c r="V627" s="889"/>
      <c r="W627" s="889"/>
      <c r="X627" s="889"/>
      <c r="Y627" s="889"/>
      <c r="Z627" s="889"/>
      <c r="AA627" s="889"/>
      <c r="AB627" s="889"/>
      <c r="AC627" s="889"/>
      <c r="AD627" s="889"/>
      <c r="AE627" s="889"/>
      <c r="AF627" s="889"/>
      <c r="AG627" s="889"/>
      <c r="AH627" s="889"/>
      <c r="AI627" s="889"/>
      <c r="AJ627" s="889"/>
      <c r="AK627" s="889"/>
      <c r="AL627" s="889"/>
      <c r="AM627" s="889"/>
      <c r="AN627" s="889"/>
      <c r="AO627" s="889"/>
      <c r="AP627" s="889"/>
      <c r="AQ627" s="889"/>
      <c r="AR627" s="889"/>
      <c r="AS627" s="889"/>
      <c r="AT627" s="889"/>
      <c r="AU627" s="889"/>
      <c r="AV627" s="889"/>
      <c r="AW627" s="889"/>
      <c r="AX627" s="889"/>
      <c r="AY627" s="889"/>
      <c r="AZ627" s="889"/>
    </row>
    <row r="628">
      <c r="A628" s="889"/>
      <c r="B628" s="889"/>
      <c r="C628" s="889"/>
      <c r="D628" s="889"/>
      <c r="E628" s="889"/>
      <c r="F628" s="889"/>
      <c r="G628" s="889"/>
      <c r="H628" s="889"/>
      <c r="I628" s="889"/>
      <c r="J628" s="889"/>
      <c r="K628" s="889"/>
      <c r="L628" s="889"/>
      <c r="M628" s="889"/>
      <c r="N628" s="944"/>
      <c r="O628" s="944"/>
      <c r="P628" s="944"/>
      <c r="Q628" s="944"/>
      <c r="R628" s="944"/>
      <c r="S628" s="889"/>
      <c r="T628" s="889"/>
      <c r="U628" s="889"/>
      <c r="V628" s="889"/>
      <c r="W628" s="889"/>
      <c r="X628" s="889"/>
      <c r="Y628" s="889"/>
      <c r="Z628" s="889"/>
      <c r="AA628" s="889"/>
      <c r="AB628" s="889"/>
      <c r="AC628" s="889"/>
      <c r="AD628" s="889"/>
      <c r="AE628" s="889"/>
      <c r="AF628" s="889"/>
      <c r="AG628" s="889"/>
      <c r="AH628" s="889"/>
      <c r="AI628" s="889"/>
      <c r="AJ628" s="889"/>
      <c r="AK628" s="889"/>
      <c r="AL628" s="889"/>
      <c r="AM628" s="889"/>
      <c r="AN628" s="889"/>
      <c r="AO628" s="889"/>
      <c r="AP628" s="889"/>
      <c r="AQ628" s="889"/>
      <c r="AR628" s="889"/>
      <c r="AS628" s="889"/>
      <c r="AT628" s="889"/>
      <c r="AU628" s="889"/>
      <c r="AV628" s="889"/>
      <c r="AW628" s="889"/>
      <c r="AX628" s="889"/>
      <c r="AY628" s="889"/>
      <c r="AZ628" s="889"/>
    </row>
    <row r="629">
      <c r="A629" s="889"/>
      <c r="B629" s="889"/>
      <c r="C629" s="889"/>
      <c r="D629" s="889"/>
      <c r="E629" s="889"/>
      <c r="F629" s="889"/>
      <c r="G629" s="889"/>
      <c r="H629" s="889"/>
      <c r="I629" s="889"/>
      <c r="J629" s="889"/>
      <c r="K629" s="889"/>
      <c r="L629" s="889"/>
      <c r="M629" s="889"/>
      <c r="N629" s="944"/>
      <c r="O629" s="944"/>
      <c r="P629" s="944"/>
      <c r="Q629" s="944"/>
      <c r="R629" s="944"/>
      <c r="S629" s="889"/>
      <c r="T629" s="889"/>
      <c r="U629" s="889"/>
      <c r="V629" s="889"/>
      <c r="W629" s="889"/>
      <c r="X629" s="889"/>
      <c r="Y629" s="889"/>
      <c r="Z629" s="889"/>
      <c r="AA629" s="889"/>
      <c r="AB629" s="889"/>
      <c r="AC629" s="889"/>
      <c r="AD629" s="889"/>
      <c r="AE629" s="889"/>
      <c r="AF629" s="889"/>
      <c r="AG629" s="889"/>
      <c r="AH629" s="889"/>
      <c r="AI629" s="889"/>
      <c r="AJ629" s="889"/>
      <c r="AK629" s="889"/>
      <c r="AL629" s="889"/>
      <c r="AM629" s="889"/>
      <c r="AN629" s="889"/>
      <c r="AO629" s="889"/>
      <c r="AP629" s="889"/>
      <c r="AQ629" s="889"/>
      <c r="AR629" s="889"/>
      <c r="AS629" s="889"/>
      <c r="AT629" s="889"/>
      <c r="AU629" s="889"/>
      <c r="AV629" s="889"/>
      <c r="AW629" s="889"/>
      <c r="AX629" s="889"/>
      <c r="AY629" s="889"/>
      <c r="AZ629" s="889"/>
    </row>
    <row r="630">
      <c r="A630" s="889"/>
      <c r="B630" s="889"/>
      <c r="C630" s="889"/>
      <c r="D630" s="889"/>
      <c r="E630" s="889"/>
      <c r="F630" s="889"/>
      <c r="G630" s="889"/>
      <c r="H630" s="889"/>
      <c r="I630" s="889"/>
      <c r="J630" s="889"/>
      <c r="K630" s="889"/>
      <c r="L630" s="889"/>
      <c r="M630" s="889"/>
      <c r="N630" s="944"/>
      <c r="O630" s="944"/>
      <c r="P630" s="944"/>
      <c r="Q630" s="944"/>
      <c r="R630" s="944"/>
      <c r="S630" s="889"/>
      <c r="T630" s="889"/>
      <c r="U630" s="889"/>
      <c r="V630" s="889"/>
      <c r="W630" s="889"/>
      <c r="X630" s="889"/>
      <c r="Y630" s="889"/>
      <c r="Z630" s="889"/>
      <c r="AA630" s="889"/>
      <c r="AB630" s="889"/>
      <c r="AC630" s="889"/>
      <c r="AD630" s="889"/>
      <c r="AE630" s="889"/>
      <c r="AF630" s="889"/>
      <c r="AG630" s="889"/>
      <c r="AH630" s="889"/>
      <c r="AI630" s="889"/>
      <c r="AJ630" s="889"/>
      <c r="AK630" s="889"/>
      <c r="AL630" s="889"/>
      <c r="AM630" s="889"/>
      <c r="AN630" s="889"/>
      <c r="AO630" s="889"/>
      <c r="AP630" s="889"/>
      <c r="AQ630" s="889"/>
      <c r="AR630" s="889"/>
      <c r="AS630" s="889"/>
      <c r="AT630" s="889"/>
      <c r="AU630" s="889"/>
      <c r="AV630" s="889"/>
      <c r="AW630" s="889"/>
      <c r="AX630" s="889"/>
      <c r="AY630" s="889"/>
      <c r="AZ630" s="889"/>
    </row>
    <row r="631">
      <c r="A631" s="889"/>
      <c r="B631" s="889"/>
      <c r="C631" s="889"/>
      <c r="D631" s="889"/>
      <c r="E631" s="889"/>
      <c r="F631" s="889"/>
      <c r="G631" s="889"/>
      <c r="H631" s="889"/>
      <c r="I631" s="889"/>
      <c r="J631" s="889"/>
      <c r="K631" s="889"/>
      <c r="L631" s="889"/>
      <c r="M631" s="889"/>
      <c r="N631" s="944"/>
      <c r="O631" s="944"/>
      <c r="P631" s="944"/>
      <c r="Q631" s="944"/>
      <c r="R631" s="944"/>
      <c r="S631" s="889"/>
      <c r="T631" s="889"/>
      <c r="U631" s="889"/>
      <c r="V631" s="889"/>
      <c r="W631" s="889"/>
      <c r="X631" s="889"/>
      <c r="Y631" s="889"/>
      <c r="Z631" s="889"/>
      <c r="AA631" s="889"/>
      <c r="AB631" s="889"/>
      <c r="AC631" s="889"/>
      <c r="AD631" s="889"/>
      <c r="AE631" s="889"/>
      <c r="AF631" s="889"/>
      <c r="AG631" s="889"/>
      <c r="AH631" s="889"/>
      <c r="AI631" s="889"/>
      <c r="AJ631" s="889"/>
      <c r="AK631" s="889"/>
      <c r="AL631" s="889"/>
      <c r="AM631" s="889"/>
      <c r="AN631" s="889"/>
      <c r="AO631" s="889"/>
      <c r="AP631" s="889"/>
      <c r="AQ631" s="889"/>
      <c r="AR631" s="889"/>
      <c r="AS631" s="889"/>
      <c r="AT631" s="889"/>
      <c r="AU631" s="889"/>
      <c r="AV631" s="889"/>
      <c r="AW631" s="889"/>
      <c r="AX631" s="889"/>
      <c r="AY631" s="889"/>
      <c r="AZ631" s="889"/>
    </row>
    <row r="632">
      <c r="A632" s="889"/>
      <c r="B632" s="889"/>
      <c r="C632" s="889"/>
      <c r="D632" s="889"/>
      <c r="E632" s="889"/>
      <c r="F632" s="889"/>
      <c r="G632" s="889"/>
      <c r="H632" s="889"/>
      <c r="I632" s="889"/>
      <c r="J632" s="889"/>
      <c r="K632" s="889"/>
      <c r="L632" s="889"/>
      <c r="M632" s="889"/>
      <c r="N632" s="944"/>
      <c r="O632" s="944"/>
      <c r="P632" s="944"/>
      <c r="Q632" s="944"/>
      <c r="R632" s="944"/>
      <c r="S632" s="889"/>
      <c r="T632" s="889"/>
      <c r="U632" s="889"/>
      <c r="V632" s="889"/>
      <c r="W632" s="889"/>
      <c r="X632" s="889"/>
      <c r="Y632" s="889"/>
      <c r="Z632" s="889"/>
      <c r="AA632" s="889"/>
      <c r="AB632" s="889"/>
      <c r="AC632" s="889"/>
      <c r="AD632" s="889"/>
      <c r="AE632" s="889"/>
      <c r="AF632" s="889"/>
      <c r="AG632" s="889"/>
      <c r="AH632" s="889"/>
      <c r="AI632" s="889"/>
      <c r="AJ632" s="889"/>
      <c r="AK632" s="889"/>
      <c r="AL632" s="889"/>
      <c r="AM632" s="889"/>
      <c r="AN632" s="889"/>
      <c r="AO632" s="889"/>
      <c r="AP632" s="889"/>
      <c r="AQ632" s="889"/>
      <c r="AR632" s="889"/>
      <c r="AS632" s="889"/>
      <c r="AT632" s="889"/>
      <c r="AU632" s="889"/>
      <c r="AV632" s="889"/>
      <c r="AW632" s="889"/>
      <c r="AX632" s="889"/>
      <c r="AY632" s="889"/>
      <c r="AZ632" s="889"/>
    </row>
    <row r="633">
      <c r="A633" s="889"/>
      <c r="B633" s="889"/>
      <c r="C633" s="889"/>
      <c r="D633" s="889"/>
      <c r="E633" s="889"/>
      <c r="F633" s="889"/>
      <c r="G633" s="889"/>
      <c r="H633" s="889"/>
      <c r="I633" s="889"/>
      <c r="J633" s="889"/>
      <c r="K633" s="889"/>
      <c r="L633" s="889"/>
      <c r="M633" s="889"/>
      <c r="N633" s="944"/>
      <c r="O633" s="944"/>
      <c r="P633" s="944"/>
      <c r="Q633" s="944"/>
      <c r="R633" s="944"/>
      <c r="S633" s="889"/>
      <c r="T633" s="889"/>
      <c r="U633" s="889"/>
      <c r="V633" s="889"/>
      <c r="W633" s="889"/>
      <c r="X633" s="889"/>
      <c r="Y633" s="889"/>
      <c r="Z633" s="889"/>
      <c r="AA633" s="889"/>
      <c r="AB633" s="889"/>
      <c r="AC633" s="889"/>
      <c r="AD633" s="889"/>
      <c r="AE633" s="889"/>
      <c r="AF633" s="889"/>
      <c r="AG633" s="889"/>
      <c r="AH633" s="889"/>
      <c r="AI633" s="889"/>
      <c r="AJ633" s="889"/>
      <c r="AK633" s="889"/>
      <c r="AL633" s="889"/>
      <c r="AM633" s="889"/>
      <c r="AN633" s="889"/>
      <c r="AO633" s="889"/>
      <c r="AP633" s="889"/>
      <c r="AQ633" s="889"/>
      <c r="AR633" s="889"/>
      <c r="AS633" s="889"/>
      <c r="AT633" s="889"/>
      <c r="AU633" s="889"/>
      <c r="AV633" s="889"/>
      <c r="AW633" s="889"/>
      <c r="AX633" s="889"/>
      <c r="AY633" s="889"/>
      <c r="AZ633" s="889"/>
    </row>
    <row r="634">
      <c r="A634" s="889"/>
      <c r="B634" s="889"/>
      <c r="C634" s="889"/>
      <c r="D634" s="889"/>
      <c r="E634" s="889"/>
      <c r="F634" s="889"/>
      <c r="G634" s="889"/>
      <c r="H634" s="889"/>
      <c r="I634" s="889"/>
      <c r="J634" s="889"/>
      <c r="K634" s="889"/>
      <c r="L634" s="889"/>
      <c r="M634" s="889"/>
      <c r="N634" s="944"/>
      <c r="O634" s="944"/>
      <c r="P634" s="944"/>
      <c r="Q634" s="944"/>
      <c r="R634" s="944"/>
      <c r="S634" s="889"/>
      <c r="T634" s="889"/>
      <c r="U634" s="889"/>
      <c r="V634" s="889"/>
      <c r="W634" s="889"/>
      <c r="X634" s="889"/>
      <c r="Y634" s="889"/>
      <c r="Z634" s="889"/>
      <c r="AA634" s="889"/>
      <c r="AB634" s="889"/>
      <c r="AC634" s="889"/>
      <c r="AD634" s="889"/>
      <c r="AE634" s="889"/>
      <c r="AF634" s="889"/>
      <c r="AG634" s="889"/>
      <c r="AH634" s="889"/>
      <c r="AI634" s="889"/>
      <c r="AJ634" s="889"/>
      <c r="AK634" s="889"/>
      <c r="AL634" s="889"/>
      <c r="AM634" s="889"/>
      <c r="AN634" s="889"/>
      <c r="AO634" s="889"/>
      <c r="AP634" s="889"/>
      <c r="AQ634" s="889"/>
      <c r="AR634" s="889"/>
      <c r="AS634" s="889"/>
      <c r="AT634" s="889"/>
      <c r="AU634" s="889"/>
      <c r="AV634" s="889"/>
      <c r="AW634" s="889"/>
      <c r="AX634" s="889"/>
      <c r="AY634" s="889"/>
      <c r="AZ634" s="889"/>
    </row>
    <row r="635">
      <c r="A635" s="889"/>
      <c r="B635" s="889"/>
      <c r="C635" s="889"/>
      <c r="D635" s="889"/>
      <c r="E635" s="889"/>
      <c r="F635" s="889"/>
      <c r="G635" s="889"/>
      <c r="H635" s="889"/>
      <c r="I635" s="889"/>
      <c r="J635" s="889"/>
      <c r="K635" s="889"/>
      <c r="L635" s="889"/>
      <c r="M635" s="889"/>
      <c r="N635" s="944"/>
      <c r="O635" s="944"/>
      <c r="P635" s="944"/>
      <c r="Q635" s="944"/>
      <c r="R635" s="944"/>
      <c r="S635" s="889"/>
      <c r="T635" s="889"/>
      <c r="U635" s="889"/>
      <c r="V635" s="889"/>
      <c r="W635" s="889"/>
      <c r="X635" s="889"/>
      <c r="Y635" s="889"/>
      <c r="Z635" s="889"/>
      <c r="AA635" s="889"/>
      <c r="AB635" s="889"/>
      <c r="AC635" s="889"/>
      <c r="AD635" s="889"/>
      <c r="AE635" s="889"/>
      <c r="AF635" s="889"/>
      <c r="AG635" s="889"/>
      <c r="AH635" s="889"/>
      <c r="AI635" s="889"/>
      <c r="AJ635" s="889"/>
      <c r="AK635" s="889"/>
      <c r="AL635" s="889"/>
      <c r="AM635" s="889"/>
      <c r="AN635" s="889"/>
      <c r="AO635" s="889"/>
      <c r="AP635" s="889"/>
      <c r="AQ635" s="889"/>
      <c r="AR635" s="889"/>
      <c r="AS635" s="889"/>
      <c r="AT635" s="889"/>
      <c r="AU635" s="889"/>
      <c r="AV635" s="889"/>
      <c r="AW635" s="889"/>
      <c r="AX635" s="889"/>
      <c r="AY635" s="889"/>
      <c r="AZ635" s="889"/>
    </row>
    <row r="636">
      <c r="A636" s="889"/>
      <c r="B636" s="889"/>
      <c r="C636" s="889"/>
      <c r="D636" s="889"/>
      <c r="E636" s="889"/>
      <c r="F636" s="889"/>
      <c r="G636" s="889"/>
      <c r="H636" s="889"/>
      <c r="I636" s="889"/>
      <c r="J636" s="889"/>
      <c r="K636" s="889"/>
      <c r="L636" s="889"/>
      <c r="M636" s="889"/>
      <c r="N636" s="944"/>
      <c r="O636" s="944"/>
      <c r="P636" s="944"/>
      <c r="Q636" s="944"/>
      <c r="R636" s="944"/>
      <c r="S636" s="889"/>
      <c r="T636" s="889"/>
      <c r="U636" s="889"/>
      <c r="V636" s="889"/>
      <c r="W636" s="889"/>
      <c r="X636" s="889"/>
      <c r="Y636" s="889"/>
      <c r="Z636" s="889"/>
      <c r="AA636" s="889"/>
      <c r="AB636" s="889"/>
      <c r="AC636" s="889"/>
      <c r="AD636" s="889"/>
      <c r="AE636" s="889"/>
      <c r="AF636" s="889"/>
      <c r="AG636" s="889"/>
      <c r="AH636" s="889"/>
      <c r="AI636" s="889"/>
      <c r="AJ636" s="889"/>
      <c r="AK636" s="889"/>
      <c r="AL636" s="889"/>
      <c r="AM636" s="889"/>
      <c r="AN636" s="889"/>
      <c r="AO636" s="889"/>
      <c r="AP636" s="889"/>
      <c r="AQ636" s="889"/>
      <c r="AR636" s="889"/>
      <c r="AS636" s="889"/>
      <c r="AT636" s="889"/>
      <c r="AU636" s="889"/>
      <c r="AV636" s="889"/>
      <c r="AW636" s="889"/>
      <c r="AX636" s="889"/>
      <c r="AY636" s="889"/>
      <c r="AZ636" s="889"/>
    </row>
    <row r="637">
      <c r="A637" s="889"/>
      <c r="B637" s="889"/>
      <c r="C637" s="889"/>
      <c r="D637" s="889"/>
      <c r="E637" s="889"/>
      <c r="F637" s="889"/>
      <c r="G637" s="889"/>
      <c r="H637" s="889"/>
      <c r="I637" s="889"/>
      <c r="J637" s="889"/>
      <c r="K637" s="889"/>
      <c r="L637" s="889"/>
      <c r="M637" s="889"/>
      <c r="N637" s="944"/>
      <c r="O637" s="944"/>
      <c r="P637" s="944"/>
      <c r="Q637" s="944"/>
      <c r="R637" s="944"/>
      <c r="S637" s="889"/>
      <c r="T637" s="889"/>
      <c r="U637" s="889"/>
      <c r="V637" s="889"/>
      <c r="W637" s="889"/>
      <c r="X637" s="889"/>
      <c r="Y637" s="889"/>
      <c r="Z637" s="889"/>
      <c r="AA637" s="889"/>
      <c r="AB637" s="889"/>
      <c r="AC637" s="889"/>
      <c r="AD637" s="889"/>
      <c r="AE637" s="889"/>
      <c r="AF637" s="889"/>
      <c r="AG637" s="889"/>
      <c r="AH637" s="889"/>
      <c r="AI637" s="889"/>
      <c r="AJ637" s="889"/>
      <c r="AK637" s="889"/>
      <c r="AL637" s="889"/>
      <c r="AM637" s="889"/>
      <c r="AN637" s="889"/>
      <c r="AO637" s="889"/>
      <c r="AP637" s="889"/>
      <c r="AQ637" s="889"/>
      <c r="AR637" s="889"/>
      <c r="AS637" s="889"/>
      <c r="AT637" s="889"/>
      <c r="AU637" s="889"/>
      <c r="AV637" s="889"/>
      <c r="AW637" s="889"/>
      <c r="AX637" s="889"/>
      <c r="AY637" s="889"/>
      <c r="AZ637" s="889"/>
    </row>
    <row r="638">
      <c r="A638" s="889"/>
      <c r="B638" s="889"/>
      <c r="C638" s="889"/>
      <c r="D638" s="889"/>
      <c r="E638" s="889"/>
      <c r="F638" s="889"/>
      <c r="G638" s="889"/>
      <c r="H638" s="889"/>
      <c r="I638" s="889"/>
      <c r="J638" s="889"/>
      <c r="K638" s="889"/>
      <c r="L638" s="889"/>
      <c r="M638" s="889"/>
      <c r="N638" s="944"/>
      <c r="O638" s="944"/>
      <c r="P638" s="944"/>
      <c r="Q638" s="944"/>
      <c r="R638" s="944"/>
      <c r="S638" s="889"/>
      <c r="T638" s="889"/>
      <c r="U638" s="889"/>
      <c r="V638" s="889"/>
      <c r="W638" s="889"/>
      <c r="X638" s="889"/>
      <c r="Y638" s="889"/>
      <c r="Z638" s="889"/>
      <c r="AA638" s="889"/>
      <c r="AB638" s="889"/>
      <c r="AC638" s="889"/>
      <c r="AD638" s="889"/>
      <c r="AE638" s="889"/>
      <c r="AF638" s="889"/>
      <c r="AG638" s="889"/>
      <c r="AH638" s="889"/>
      <c r="AI638" s="889"/>
      <c r="AJ638" s="889"/>
      <c r="AK638" s="889"/>
      <c r="AL638" s="889"/>
      <c r="AM638" s="889"/>
      <c r="AN638" s="889"/>
      <c r="AO638" s="889"/>
      <c r="AP638" s="889"/>
      <c r="AQ638" s="889"/>
      <c r="AR638" s="889"/>
      <c r="AS638" s="889"/>
      <c r="AT638" s="889"/>
      <c r="AU638" s="889"/>
      <c r="AV638" s="889"/>
      <c r="AW638" s="889"/>
      <c r="AX638" s="889"/>
      <c r="AY638" s="889"/>
      <c r="AZ638" s="889"/>
    </row>
    <row r="639">
      <c r="A639" s="889"/>
      <c r="B639" s="889"/>
      <c r="C639" s="889"/>
      <c r="D639" s="889"/>
      <c r="E639" s="889"/>
      <c r="F639" s="889"/>
      <c r="G639" s="889"/>
      <c r="H639" s="889"/>
      <c r="I639" s="889"/>
      <c r="J639" s="889"/>
      <c r="K639" s="889"/>
      <c r="L639" s="889"/>
      <c r="M639" s="889"/>
      <c r="N639" s="944"/>
      <c r="O639" s="944"/>
      <c r="P639" s="944"/>
      <c r="Q639" s="944"/>
      <c r="R639" s="944"/>
      <c r="S639" s="889"/>
      <c r="T639" s="889"/>
      <c r="U639" s="889"/>
      <c r="V639" s="889"/>
      <c r="W639" s="889"/>
      <c r="X639" s="889"/>
      <c r="Y639" s="889"/>
      <c r="Z639" s="889"/>
      <c r="AA639" s="889"/>
      <c r="AB639" s="889"/>
      <c r="AC639" s="889"/>
      <c r="AD639" s="889"/>
      <c r="AE639" s="889"/>
      <c r="AF639" s="889"/>
      <c r="AG639" s="889"/>
      <c r="AH639" s="889"/>
      <c r="AI639" s="889"/>
      <c r="AJ639" s="889"/>
      <c r="AK639" s="889"/>
      <c r="AL639" s="889"/>
      <c r="AM639" s="889"/>
      <c r="AN639" s="889"/>
      <c r="AO639" s="889"/>
      <c r="AP639" s="889"/>
      <c r="AQ639" s="889"/>
      <c r="AR639" s="889"/>
      <c r="AS639" s="889"/>
      <c r="AT639" s="889"/>
      <c r="AU639" s="889"/>
      <c r="AV639" s="889"/>
      <c r="AW639" s="889"/>
      <c r="AX639" s="889"/>
      <c r="AY639" s="889"/>
      <c r="AZ639" s="889"/>
    </row>
    <row r="640">
      <c r="A640" s="889"/>
      <c r="B640" s="889"/>
      <c r="C640" s="889"/>
      <c r="D640" s="889"/>
      <c r="E640" s="889"/>
      <c r="F640" s="889"/>
      <c r="G640" s="889"/>
      <c r="H640" s="889"/>
      <c r="I640" s="889"/>
      <c r="J640" s="889"/>
      <c r="K640" s="889"/>
      <c r="L640" s="889"/>
      <c r="M640" s="889"/>
      <c r="N640" s="944"/>
      <c r="O640" s="944"/>
      <c r="P640" s="944"/>
      <c r="Q640" s="944"/>
      <c r="R640" s="944"/>
      <c r="S640" s="889"/>
      <c r="T640" s="889"/>
      <c r="U640" s="889"/>
      <c r="V640" s="889"/>
      <c r="W640" s="889"/>
      <c r="X640" s="889"/>
      <c r="Y640" s="889"/>
      <c r="Z640" s="889"/>
      <c r="AA640" s="889"/>
      <c r="AB640" s="889"/>
      <c r="AC640" s="889"/>
      <c r="AD640" s="889"/>
      <c r="AE640" s="889"/>
      <c r="AF640" s="889"/>
      <c r="AG640" s="889"/>
      <c r="AH640" s="889"/>
      <c r="AI640" s="889"/>
      <c r="AJ640" s="889"/>
      <c r="AK640" s="889"/>
      <c r="AL640" s="889"/>
      <c r="AM640" s="889"/>
      <c r="AN640" s="889"/>
      <c r="AO640" s="889"/>
      <c r="AP640" s="889"/>
      <c r="AQ640" s="889"/>
      <c r="AR640" s="889"/>
      <c r="AS640" s="889"/>
      <c r="AT640" s="889"/>
      <c r="AU640" s="889"/>
      <c r="AV640" s="889"/>
      <c r="AW640" s="889"/>
      <c r="AX640" s="889"/>
      <c r="AY640" s="889"/>
      <c r="AZ640" s="889"/>
    </row>
    <row r="641">
      <c r="A641" s="889"/>
      <c r="B641" s="889"/>
      <c r="C641" s="889"/>
      <c r="D641" s="889"/>
      <c r="E641" s="889"/>
      <c r="F641" s="889"/>
      <c r="G641" s="889"/>
      <c r="H641" s="889"/>
      <c r="I641" s="889"/>
      <c r="J641" s="889"/>
      <c r="K641" s="889"/>
      <c r="L641" s="889"/>
      <c r="M641" s="889"/>
      <c r="N641" s="944"/>
      <c r="O641" s="944"/>
      <c r="P641" s="944"/>
      <c r="Q641" s="944"/>
      <c r="R641" s="944"/>
      <c r="S641" s="889"/>
      <c r="T641" s="889"/>
      <c r="U641" s="889"/>
      <c r="V641" s="889"/>
      <c r="W641" s="889"/>
      <c r="X641" s="889"/>
      <c r="Y641" s="889"/>
      <c r="Z641" s="889"/>
      <c r="AA641" s="889"/>
      <c r="AB641" s="889"/>
      <c r="AC641" s="889"/>
      <c r="AD641" s="889"/>
      <c r="AE641" s="889"/>
      <c r="AF641" s="889"/>
      <c r="AG641" s="889"/>
      <c r="AH641" s="889"/>
      <c r="AI641" s="889"/>
      <c r="AJ641" s="889"/>
      <c r="AK641" s="889"/>
      <c r="AL641" s="889"/>
      <c r="AM641" s="889"/>
      <c r="AN641" s="889"/>
      <c r="AO641" s="889"/>
      <c r="AP641" s="889"/>
      <c r="AQ641" s="889"/>
      <c r="AR641" s="889"/>
      <c r="AS641" s="889"/>
      <c r="AT641" s="889"/>
      <c r="AU641" s="889"/>
      <c r="AV641" s="889"/>
      <c r="AW641" s="889"/>
      <c r="AX641" s="889"/>
      <c r="AY641" s="889"/>
      <c r="AZ641" s="889"/>
    </row>
    <row r="642">
      <c r="A642" s="889"/>
      <c r="B642" s="889"/>
      <c r="C642" s="889"/>
      <c r="D642" s="889"/>
      <c r="E642" s="889"/>
      <c r="F642" s="889"/>
      <c r="G642" s="889"/>
      <c r="H642" s="889"/>
      <c r="I642" s="889"/>
      <c r="J642" s="889"/>
      <c r="K642" s="889"/>
      <c r="L642" s="889"/>
      <c r="M642" s="889"/>
      <c r="N642" s="944"/>
      <c r="O642" s="944"/>
      <c r="P642" s="944"/>
      <c r="Q642" s="944"/>
      <c r="R642" s="944"/>
      <c r="S642" s="889"/>
      <c r="T642" s="889"/>
      <c r="U642" s="889"/>
      <c r="V642" s="889"/>
      <c r="W642" s="889"/>
      <c r="X642" s="889"/>
      <c r="Y642" s="889"/>
      <c r="Z642" s="889"/>
      <c r="AA642" s="889"/>
      <c r="AB642" s="889"/>
      <c r="AC642" s="889"/>
      <c r="AD642" s="889"/>
      <c r="AE642" s="889"/>
      <c r="AF642" s="889"/>
      <c r="AG642" s="889"/>
      <c r="AH642" s="889"/>
      <c r="AI642" s="889"/>
      <c r="AJ642" s="889"/>
      <c r="AK642" s="889"/>
      <c r="AL642" s="889"/>
      <c r="AM642" s="889"/>
      <c r="AN642" s="889"/>
      <c r="AO642" s="889"/>
      <c r="AP642" s="889"/>
      <c r="AQ642" s="889"/>
      <c r="AR642" s="889"/>
      <c r="AS642" s="889"/>
      <c r="AT642" s="889"/>
      <c r="AU642" s="889"/>
      <c r="AV642" s="889"/>
      <c r="AW642" s="889"/>
      <c r="AX642" s="889"/>
      <c r="AY642" s="889"/>
      <c r="AZ642" s="889"/>
    </row>
    <row r="643">
      <c r="A643" s="889"/>
      <c r="B643" s="889"/>
      <c r="C643" s="889"/>
      <c r="D643" s="889"/>
      <c r="E643" s="889"/>
      <c r="F643" s="889"/>
      <c r="G643" s="889"/>
      <c r="H643" s="889"/>
      <c r="I643" s="889"/>
      <c r="J643" s="889"/>
      <c r="K643" s="889"/>
      <c r="L643" s="889"/>
      <c r="M643" s="889"/>
      <c r="N643" s="944"/>
      <c r="O643" s="944"/>
      <c r="P643" s="944"/>
      <c r="Q643" s="944"/>
      <c r="R643" s="944"/>
      <c r="S643" s="889"/>
      <c r="T643" s="889"/>
      <c r="U643" s="889"/>
      <c r="V643" s="889"/>
      <c r="W643" s="889"/>
      <c r="X643" s="889"/>
      <c r="Y643" s="889"/>
      <c r="Z643" s="889"/>
      <c r="AA643" s="889"/>
      <c r="AB643" s="889"/>
      <c r="AC643" s="889"/>
      <c r="AD643" s="889"/>
      <c r="AE643" s="889"/>
      <c r="AF643" s="889"/>
      <c r="AG643" s="889"/>
      <c r="AH643" s="889"/>
      <c r="AI643" s="889"/>
      <c r="AJ643" s="889"/>
      <c r="AK643" s="889"/>
      <c r="AL643" s="889"/>
      <c r="AM643" s="889"/>
      <c r="AN643" s="889"/>
      <c r="AO643" s="889"/>
      <c r="AP643" s="889"/>
      <c r="AQ643" s="889"/>
      <c r="AR643" s="889"/>
      <c r="AS643" s="889"/>
      <c r="AT643" s="889"/>
      <c r="AU643" s="889"/>
      <c r="AV643" s="889"/>
      <c r="AW643" s="889"/>
      <c r="AX643" s="889"/>
      <c r="AY643" s="889"/>
      <c r="AZ643" s="889"/>
    </row>
    <row r="644">
      <c r="A644" s="889"/>
      <c r="B644" s="889"/>
      <c r="C644" s="889"/>
      <c r="D644" s="889"/>
      <c r="E644" s="889"/>
      <c r="F644" s="889"/>
      <c r="G644" s="889"/>
      <c r="H644" s="889"/>
      <c r="I644" s="889"/>
      <c r="J644" s="889"/>
      <c r="K644" s="889"/>
      <c r="L644" s="889"/>
      <c r="M644" s="889"/>
      <c r="N644" s="944"/>
      <c r="O644" s="944"/>
      <c r="P644" s="944"/>
      <c r="Q644" s="944"/>
      <c r="R644" s="944"/>
      <c r="S644" s="889"/>
      <c r="T644" s="889"/>
      <c r="U644" s="889"/>
      <c r="V644" s="889"/>
      <c r="W644" s="889"/>
      <c r="X644" s="889"/>
      <c r="Y644" s="889"/>
      <c r="Z644" s="889"/>
      <c r="AA644" s="889"/>
      <c r="AB644" s="889"/>
      <c r="AC644" s="889"/>
      <c r="AD644" s="889"/>
      <c r="AE644" s="889"/>
      <c r="AF644" s="889"/>
      <c r="AG644" s="889"/>
      <c r="AH644" s="889"/>
      <c r="AI644" s="889"/>
      <c r="AJ644" s="889"/>
      <c r="AK644" s="889"/>
      <c r="AL644" s="889"/>
      <c r="AM644" s="889"/>
      <c r="AN644" s="889"/>
      <c r="AO644" s="889"/>
      <c r="AP644" s="889"/>
      <c r="AQ644" s="889"/>
      <c r="AR644" s="889"/>
      <c r="AS644" s="889"/>
      <c r="AT644" s="889"/>
      <c r="AU644" s="889"/>
      <c r="AV644" s="889"/>
      <c r="AW644" s="889"/>
      <c r="AX644" s="889"/>
      <c r="AY644" s="889"/>
      <c r="AZ644" s="889"/>
    </row>
    <row r="645">
      <c r="A645" s="889"/>
      <c r="B645" s="889"/>
      <c r="C645" s="889"/>
      <c r="D645" s="889"/>
      <c r="E645" s="889"/>
      <c r="F645" s="889"/>
      <c r="G645" s="889"/>
      <c r="H645" s="889"/>
      <c r="I645" s="889"/>
      <c r="J645" s="889"/>
      <c r="K645" s="889"/>
      <c r="L645" s="889"/>
      <c r="M645" s="889"/>
      <c r="N645" s="944"/>
      <c r="O645" s="944"/>
      <c r="P645" s="944"/>
      <c r="Q645" s="944"/>
      <c r="R645" s="944"/>
      <c r="S645" s="889"/>
      <c r="T645" s="889"/>
      <c r="U645" s="889"/>
      <c r="V645" s="889"/>
      <c r="W645" s="889"/>
      <c r="X645" s="889"/>
      <c r="Y645" s="889"/>
      <c r="Z645" s="889"/>
      <c r="AA645" s="889"/>
      <c r="AB645" s="889"/>
      <c r="AC645" s="889"/>
      <c r="AD645" s="889"/>
      <c r="AE645" s="889"/>
      <c r="AF645" s="889"/>
      <c r="AG645" s="889"/>
      <c r="AH645" s="889"/>
      <c r="AI645" s="889"/>
      <c r="AJ645" s="889"/>
      <c r="AK645" s="889"/>
      <c r="AL645" s="889"/>
      <c r="AM645" s="889"/>
      <c r="AN645" s="889"/>
      <c r="AO645" s="889"/>
      <c r="AP645" s="889"/>
      <c r="AQ645" s="889"/>
      <c r="AR645" s="889"/>
      <c r="AS645" s="889"/>
      <c r="AT645" s="889"/>
      <c r="AU645" s="889"/>
      <c r="AV645" s="889"/>
      <c r="AW645" s="889"/>
      <c r="AX645" s="889"/>
      <c r="AY645" s="889"/>
      <c r="AZ645" s="889"/>
    </row>
    <row r="646">
      <c r="A646" s="889"/>
      <c r="B646" s="889"/>
      <c r="C646" s="889"/>
      <c r="D646" s="889"/>
      <c r="E646" s="889"/>
      <c r="F646" s="889"/>
      <c r="G646" s="889"/>
      <c r="H646" s="889"/>
      <c r="I646" s="889"/>
      <c r="J646" s="889"/>
      <c r="K646" s="889"/>
      <c r="L646" s="889"/>
      <c r="M646" s="889"/>
      <c r="N646" s="944"/>
      <c r="O646" s="944"/>
      <c r="P646" s="944"/>
      <c r="Q646" s="944"/>
      <c r="R646" s="944"/>
      <c r="S646" s="889"/>
      <c r="T646" s="889"/>
      <c r="U646" s="889"/>
      <c r="V646" s="889"/>
      <c r="W646" s="889"/>
      <c r="X646" s="889"/>
      <c r="Y646" s="889"/>
      <c r="Z646" s="889"/>
      <c r="AA646" s="889"/>
      <c r="AB646" s="889"/>
      <c r="AC646" s="889"/>
      <c r="AD646" s="889"/>
      <c r="AE646" s="889"/>
      <c r="AF646" s="889"/>
      <c r="AG646" s="889"/>
      <c r="AH646" s="889"/>
      <c r="AI646" s="889"/>
      <c r="AJ646" s="889"/>
      <c r="AK646" s="889"/>
      <c r="AL646" s="889"/>
      <c r="AM646" s="889"/>
      <c r="AN646" s="889"/>
      <c r="AO646" s="889"/>
      <c r="AP646" s="889"/>
      <c r="AQ646" s="889"/>
      <c r="AR646" s="889"/>
      <c r="AS646" s="889"/>
      <c r="AT646" s="889"/>
      <c r="AU646" s="889"/>
      <c r="AV646" s="889"/>
      <c r="AW646" s="889"/>
      <c r="AX646" s="889"/>
      <c r="AY646" s="889"/>
      <c r="AZ646" s="889"/>
    </row>
    <row r="647">
      <c r="A647" s="889"/>
      <c r="B647" s="889"/>
      <c r="C647" s="889"/>
      <c r="D647" s="889"/>
      <c r="E647" s="889"/>
      <c r="F647" s="889"/>
      <c r="G647" s="889"/>
      <c r="H647" s="889"/>
      <c r="I647" s="889"/>
      <c r="J647" s="889"/>
      <c r="K647" s="889"/>
      <c r="L647" s="889"/>
      <c r="M647" s="889"/>
      <c r="N647" s="944"/>
      <c r="O647" s="944"/>
      <c r="P647" s="944"/>
      <c r="Q647" s="944"/>
      <c r="R647" s="944"/>
      <c r="S647" s="889"/>
      <c r="T647" s="889"/>
      <c r="U647" s="889"/>
      <c r="V647" s="889"/>
      <c r="W647" s="889"/>
      <c r="X647" s="889"/>
      <c r="Y647" s="889"/>
      <c r="Z647" s="889"/>
      <c r="AA647" s="889"/>
      <c r="AB647" s="889"/>
      <c r="AC647" s="889"/>
      <c r="AD647" s="889"/>
      <c r="AE647" s="889"/>
      <c r="AF647" s="889"/>
      <c r="AG647" s="889"/>
      <c r="AH647" s="889"/>
      <c r="AI647" s="889"/>
      <c r="AJ647" s="889"/>
      <c r="AK647" s="889"/>
      <c r="AL647" s="889"/>
      <c r="AM647" s="889"/>
      <c r="AN647" s="889"/>
      <c r="AO647" s="889"/>
      <c r="AP647" s="889"/>
      <c r="AQ647" s="889"/>
      <c r="AR647" s="889"/>
      <c r="AS647" s="889"/>
      <c r="AT647" s="889"/>
      <c r="AU647" s="889"/>
      <c r="AV647" s="889"/>
      <c r="AW647" s="889"/>
      <c r="AX647" s="889"/>
      <c r="AY647" s="889"/>
      <c r="AZ647" s="889"/>
    </row>
    <row r="648">
      <c r="A648" s="889"/>
      <c r="B648" s="889"/>
      <c r="C648" s="889"/>
      <c r="D648" s="889"/>
      <c r="E648" s="889"/>
      <c r="F648" s="889"/>
      <c r="G648" s="889"/>
      <c r="H648" s="889"/>
      <c r="I648" s="889"/>
      <c r="J648" s="889"/>
      <c r="K648" s="889"/>
      <c r="L648" s="889"/>
      <c r="M648" s="889"/>
      <c r="N648" s="944"/>
      <c r="O648" s="944"/>
      <c r="P648" s="944"/>
      <c r="Q648" s="944"/>
      <c r="R648" s="944"/>
      <c r="S648" s="889"/>
      <c r="T648" s="889"/>
      <c r="U648" s="889"/>
      <c r="V648" s="889"/>
      <c r="W648" s="889"/>
      <c r="X648" s="889"/>
      <c r="Y648" s="889"/>
      <c r="Z648" s="889"/>
      <c r="AA648" s="889"/>
      <c r="AB648" s="889"/>
      <c r="AC648" s="889"/>
      <c r="AD648" s="889"/>
      <c r="AE648" s="889"/>
      <c r="AF648" s="889"/>
      <c r="AG648" s="889"/>
      <c r="AH648" s="889"/>
      <c r="AI648" s="889"/>
      <c r="AJ648" s="889"/>
      <c r="AK648" s="889"/>
      <c r="AL648" s="889"/>
      <c r="AM648" s="889"/>
      <c r="AN648" s="889"/>
      <c r="AO648" s="889"/>
      <c r="AP648" s="889"/>
      <c r="AQ648" s="889"/>
      <c r="AR648" s="889"/>
      <c r="AS648" s="889"/>
      <c r="AT648" s="889"/>
      <c r="AU648" s="889"/>
      <c r="AV648" s="889"/>
      <c r="AW648" s="889"/>
      <c r="AX648" s="889"/>
      <c r="AY648" s="889"/>
      <c r="AZ648" s="889"/>
    </row>
    <row r="649">
      <c r="A649" s="889"/>
      <c r="B649" s="889"/>
      <c r="C649" s="889"/>
      <c r="D649" s="889"/>
      <c r="E649" s="889"/>
      <c r="F649" s="889"/>
      <c r="G649" s="889"/>
      <c r="H649" s="889"/>
      <c r="I649" s="889"/>
      <c r="J649" s="889"/>
      <c r="K649" s="889"/>
      <c r="L649" s="889"/>
      <c r="M649" s="889"/>
      <c r="N649" s="944"/>
      <c r="O649" s="944"/>
      <c r="P649" s="944"/>
      <c r="Q649" s="944"/>
      <c r="R649" s="944"/>
      <c r="S649" s="889"/>
      <c r="T649" s="889"/>
      <c r="U649" s="889"/>
      <c r="V649" s="889"/>
      <c r="W649" s="889"/>
      <c r="X649" s="889"/>
      <c r="Y649" s="889"/>
      <c r="Z649" s="889"/>
      <c r="AA649" s="889"/>
      <c r="AB649" s="889"/>
      <c r="AC649" s="889"/>
      <c r="AD649" s="889"/>
      <c r="AE649" s="889"/>
      <c r="AF649" s="889"/>
      <c r="AG649" s="889"/>
      <c r="AH649" s="889"/>
      <c r="AI649" s="889"/>
      <c r="AJ649" s="889"/>
      <c r="AK649" s="889"/>
      <c r="AL649" s="889"/>
      <c r="AM649" s="889"/>
      <c r="AN649" s="889"/>
      <c r="AO649" s="889"/>
      <c r="AP649" s="889"/>
      <c r="AQ649" s="889"/>
      <c r="AR649" s="889"/>
      <c r="AS649" s="889"/>
      <c r="AT649" s="889"/>
      <c r="AU649" s="889"/>
      <c r="AV649" s="889"/>
      <c r="AW649" s="889"/>
      <c r="AX649" s="889"/>
      <c r="AY649" s="889"/>
      <c r="AZ649" s="889"/>
    </row>
    <row r="650">
      <c r="A650" s="889"/>
      <c r="B650" s="889"/>
      <c r="C650" s="889"/>
      <c r="D650" s="889"/>
      <c r="E650" s="889"/>
      <c r="F650" s="889"/>
      <c r="G650" s="889"/>
      <c r="H650" s="889"/>
      <c r="I650" s="889"/>
      <c r="J650" s="889"/>
      <c r="K650" s="889"/>
      <c r="L650" s="889"/>
      <c r="M650" s="889"/>
      <c r="N650" s="944"/>
      <c r="O650" s="944"/>
      <c r="P650" s="944"/>
      <c r="Q650" s="944"/>
      <c r="R650" s="944"/>
      <c r="S650" s="889"/>
      <c r="T650" s="889"/>
      <c r="U650" s="889"/>
      <c r="V650" s="889"/>
      <c r="W650" s="889"/>
      <c r="X650" s="889"/>
      <c r="Y650" s="889"/>
      <c r="Z650" s="889"/>
      <c r="AA650" s="889"/>
      <c r="AB650" s="889"/>
      <c r="AC650" s="889"/>
      <c r="AD650" s="889"/>
      <c r="AE650" s="889"/>
      <c r="AF650" s="889"/>
      <c r="AG650" s="889"/>
      <c r="AH650" s="889"/>
      <c r="AI650" s="889"/>
      <c r="AJ650" s="889"/>
      <c r="AK650" s="889"/>
      <c r="AL650" s="889"/>
      <c r="AM650" s="889"/>
      <c r="AN650" s="889"/>
      <c r="AO650" s="889"/>
      <c r="AP650" s="889"/>
      <c r="AQ650" s="889"/>
      <c r="AR650" s="889"/>
      <c r="AS650" s="889"/>
      <c r="AT650" s="889"/>
      <c r="AU650" s="889"/>
      <c r="AV650" s="889"/>
      <c r="AW650" s="889"/>
      <c r="AX650" s="889"/>
      <c r="AY650" s="889"/>
      <c r="AZ650" s="889"/>
    </row>
    <row r="651">
      <c r="A651" s="889"/>
      <c r="B651" s="889"/>
      <c r="C651" s="889"/>
      <c r="D651" s="889"/>
      <c r="E651" s="889"/>
      <c r="F651" s="889"/>
      <c r="G651" s="889"/>
      <c r="H651" s="889"/>
      <c r="I651" s="889"/>
      <c r="J651" s="889"/>
      <c r="K651" s="889"/>
      <c r="L651" s="889"/>
      <c r="M651" s="889"/>
      <c r="N651" s="944"/>
      <c r="O651" s="944"/>
      <c r="P651" s="944"/>
      <c r="Q651" s="944"/>
      <c r="R651" s="944"/>
      <c r="S651" s="889"/>
      <c r="T651" s="889"/>
      <c r="U651" s="889"/>
      <c r="V651" s="889"/>
      <c r="W651" s="889"/>
      <c r="X651" s="889"/>
      <c r="Y651" s="889"/>
      <c r="Z651" s="889"/>
      <c r="AA651" s="889"/>
      <c r="AB651" s="889"/>
      <c r="AC651" s="889"/>
      <c r="AD651" s="889"/>
      <c r="AE651" s="889"/>
      <c r="AF651" s="889"/>
      <c r="AG651" s="889"/>
      <c r="AH651" s="889"/>
      <c r="AI651" s="889"/>
      <c r="AJ651" s="889"/>
      <c r="AK651" s="889"/>
      <c r="AL651" s="889"/>
      <c r="AM651" s="889"/>
      <c r="AN651" s="889"/>
      <c r="AO651" s="889"/>
      <c r="AP651" s="889"/>
      <c r="AQ651" s="889"/>
      <c r="AR651" s="889"/>
      <c r="AS651" s="889"/>
      <c r="AT651" s="889"/>
      <c r="AU651" s="889"/>
      <c r="AV651" s="889"/>
      <c r="AW651" s="889"/>
      <c r="AX651" s="889"/>
      <c r="AY651" s="889"/>
      <c r="AZ651" s="889"/>
    </row>
    <row r="652">
      <c r="A652" s="889"/>
      <c r="B652" s="889"/>
      <c r="C652" s="889"/>
      <c r="D652" s="889"/>
      <c r="E652" s="889"/>
      <c r="F652" s="889"/>
      <c r="G652" s="889"/>
      <c r="H652" s="889"/>
      <c r="I652" s="889"/>
      <c r="J652" s="889"/>
      <c r="K652" s="889"/>
      <c r="L652" s="889"/>
      <c r="M652" s="889"/>
      <c r="N652" s="944"/>
      <c r="O652" s="944"/>
      <c r="P652" s="944"/>
      <c r="Q652" s="944"/>
      <c r="R652" s="944"/>
      <c r="S652" s="889"/>
      <c r="T652" s="889"/>
      <c r="U652" s="889"/>
      <c r="V652" s="889"/>
      <c r="W652" s="889"/>
      <c r="X652" s="889"/>
      <c r="Y652" s="889"/>
      <c r="Z652" s="889"/>
      <c r="AA652" s="889"/>
      <c r="AB652" s="889"/>
      <c r="AC652" s="889"/>
      <c r="AD652" s="889"/>
      <c r="AE652" s="889"/>
      <c r="AF652" s="889"/>
      <c r="AG652" s="889"/>
      <c r="AH652" s="889"/>
      <c r="AI652" s="889"/>
      <c r="AJ652" s="889"/>
      <c r="AK652" s="889"/>
      <c r="AL652" s="889"/>
      <c r="AM652" s="889"/>
      <c r="AN652" s="889"/>
      <c r="AO652" s="889"/>
      <c r="AP652" s="889"/>
      <c r="AQ652" s="889"/>
      <c r="AR652" s="889"/>
      <c r="AS652" s="889"/>
      <c r="AT652" s="889"/>
      <c r="AU652" s="889"/>
      <c r="AV652" s="889"/>
      <c r="AW652" s="889"/>
      <c r="AX652" s="889"/>
      <c r="AY652" s="889"/>
      <c r="AZ652" s="889"/>
    </row>
    <row r="653">
      <c r="A653" s="889"/>
      <c r="B653" s="889"/>
      <c r="C653" s="889"/>
      <c r="D653" s="889"/>
      <c r="E653" s="889"/>
      <c r="F653" s="889"/>
      <c r="G653" s="889"/>
      <c r="H653" s="889"/>
      <c r="I653" s="889"/>
      <c r="J653" s="889"/>
      <c r="K653" s="889"/>
      <c r="L653" s="889"/>
      <c r="M653" s="889"/>
      <c r="N653" s="944"/>
      <c r="O653" s="944"/>
      <c r="P653" s="944"/>
      <c r="Q653" s="944"/>
      <c r="R653" s="944"/>
      <c r="S653" s="889"/>
      <c r="T653" s="889"/>
      <c r="U653" s="889"/>
      <c r="V653" s="889"/>
      <c r="W653" s="889"/>
      <c r="X653" s="889"/>
      <c r="Y653" s="889"/>
      <c r="Z653" s="889"/>
      <c r="AA653" s="889"/>
      <c r="AB653" s="889"/>
      <c r="AC653" s="889"/>
      <c r="AD653" s="889"/>
      <c r="AE653" s="889"/>
      <c r="AF653" s="889"/>
      <c r="AG653" s="889"/>
      <c r="AH653" s="889"/>
      <c r="AI653" s="889"/>
      <c r="AJ653" s="889"/>
      <c r="AK653" s="889"/>
      <c r="AL653" s="889"/>
      <c r="AM653" s="889"/>
      <c r="AN653" s="889"/>
      <c r="AO653" s="889"/>
      <c r="AP653" s="889"/>
      <c r="AQ653" s="889"/>
      <c r="AR653" s="889"/>
      <c r="AS653" s="889"/>
      <c r="AT653" s="889"/>
      <c r="AU653" s="889"/>
      <c r="AV653" s="889"/>
      <c r="AW653" s="889"/>
      <c r="AX653" s="889"/>
      <c r="AY653" s="889"/>
      <c r="AZ653" s="889"/>
    </row>
    <row r="654">
      <c r="A654" s="889"/>
      <c r="B654" s="889"/>
      <c r="C654" s="889"/>
      <c r="D654" s="889"/>
      <c r="E654" s="889"/>
      <c r="F654" s="889"/>
      <c r="G654" s="889"/>
      <c r="H654" s="889"/>
      <c r="I654" s="889"/>
      <c r="J654" s="889"/>
      <c r="K654" s="889"/>
      <c r="L654" s="889"/>
      <c r="M654" s="889"/>
      <c r="N654" s="944"/>
      <c r="O654" s="944"/>
      <c r="P654" s="944"/>
      <c r="Q654" s="944"/>
      <c r="R654" s="944"/>
      <c r="S654" s="889"/>
      <c r="T654" s="889"/>
      <c r="U654" s="889"/>
      <c r="V654" s="889"/>
      <c r="W654" s="889"/>
      <c r="X654" s="889"/>
      <c r="Y654" s="889"/>
      <c r="Z654" s="889"/>
      <c r="AA654" s="889"/>
      <c r="AB654" s="889"/>
      <c r="AC654" s="889"/>
      <c r="AD654" s="889"/>
      <c r="AE654" s="889"/>
      <c r="AF654" s="889"/>
      <c r="AG654" s="889"/>
      <c r="AH654" s="889"/>
      <c r="AI654" s="889"/>
      <c r="AJ654" s="889"/>
      <c r="AK654" s="889"/>
      <c r="AL654" s="889"/>
      <c r="AM654" s="889"/>
      <c r="AN654" s="889"/>
      <c r="AO654" s="889"/>
      <c r="AP654" s="889"/>
      <c r="AQ654" s="889"/>
      <c r="AR654" s="889"/>
      <c r="AS654" s="889"/>
      <c r="AT654" s="889"/>
      <c r="AU654" s="889"/>
      <c r="AV654" s="889"/>
      <c r="AW654" s="889"/>
      <c r="AX654" s="889"/>
      <c r="AY654" s="889"/>
      <c r="AZ654" s="889"/>
    </row>
    <row r="655">
      <c r="A655" s="889"/>
      <c r="B655" s="889"/>
      <c r="C655" s="889"/>
      <c r="D655" s="889"/>
      <c r="E655" s="889"/>
      <c r="F655" s="889"/>
      <c r="G655" s="889"/>
      <c r="H655" s="889"/>
      <c r="I655" s="889"/>
      <c r="J655" s="889"/>
      <c r="K655" s="889"/>
      <c r="L655" s="889"/>
      <c r="M655" s="889"/>
      <c r="N655" s="944"/>
      <c r="O655" s="944"/>
      <c r="P655" s="944"/>
      <c r="Q655" s="944"/>
      <c r="R655" s="944"/>
      <c r="S655" s="889"/>
      <c r="T655" s="889"/>
      <c r="U655" s="889"/>
      <c r="V655" s="889"/>
      <c r="W655" s="889"/>
      <c r="X655" s="889"/>
      <c r="Y655" s="889"/>
      <c r="Z655" s="889"/>
      <c r="AA655" s="889"/>
      <c r="AB655" s="889"/>
      <c r="AC655" s="889"/>
      <c r="AD655" s="889"/>
      <c r="AE655" s="889"/>
      <c r="AF655" s="889"/>
      <c r="AG655" s="889"/>
      <c r="AH655" s="889"/>
      <c r="AI655" s="889"/>
      <c r="AJ655" s="889"/>
      <c r="AK655" s="889"/>
      <c r="AL655" s="889"/>
      <c r="AM655" s="889"/>
      <c r="AN655" s="889"/>
      <c r="AO655" s="889"/>
      <c r="AP655" s="889"/>
      <c r="AQ655" s="889"/>
      <c r="AR655" s="889"/>
      <c r="AS655" s="889"/>
      <c r="AT655" s="889"/>
      <c r="AU655" s="889"/>
      <c r="AV655" s="889"/>
      <c r="AW655" s="889"/>
      <c r="AX655" s="889"/>
      <c r="AY655" s="889"/>
      <c r="AZ655" s="889"/>
    </row>
    <row r="656">
      <c r="A656" s="889"/>
      <c r="B656" s="889"/>
      <c r="C656" s="889"/>
      <c r="D656" s="889"/>
      <c r="E656" s="889"/>
      <c r="F656" s="889"/>
      <c r="G656" s="889"/>
      <c r="H656" s="889"/>
      <c r="I656" s="889"/>
      <c r="J656" s="889"/>
      <c r="K656" s="889"/>
      <c r="L656" s="889"/>
      <c r="M656" s="889"/>
      <c r="N656" s="944"/>
      <c r="O656" s="944"/>
      <c r="P656" s="944"/>
      <c r="Q656" s="944"/>
      <c r="R656" s="944"/>
      <c r="S656" s="889"/>
      <c r="T656" s="889"/>
      <c r="U656" s="889"/>
      <c r="V656" s="889"/>
      <c r="W656" s="889"/>
      <c r="X656" s="889"/>
      <c r="Y656" s="889"/>
      <c r="Z656" s="889"/>
      <c r="AA656" s="889"/>
      <c r="AB656" s="889"/>
      <c r="AC656" s="889"/>
      <c r="AD656" s="889"/>
      <c r="AE656" s="889"/>
      <c r="AF656" s="889"/>
      <c r="AG656" s="889"/>
      <c r="AH656" s="889"/>
      <c r="AI656" s="889"/>
      <c r="AJ656" s="889"/>
      <c r="AK656" s="889"/>
      <c r="AL656" s="889"/>
      <c r="AM656" s="889"/>
      <c r="AN656" s="889"/>
      <c r="AO656" s="889"/>
      <c r="AP656" s="889"/>
      <c r="AQ656" s="889"/>
      <c r="AR656" s="889"/>
      <c r="AS656" s="889"/>
      <c r="AT656" s="889"/>
      <c r="AU656" s="889"/>
      <c r="AV656" s="889"/>
      <c r="AW656" s="889"/>
      <c r="AX656" s="889"/>
      <c r="AY656" s="889"/>
      <c r="AZ656" s="889"/>
    </row>
    <row r="657">
      <c r="A657" s="889"/>
      <c r="B657" s="889"/>
      <c r="C657" s="889"/>
      <c r="D657" s="889"/>
      <c r="E657" s="889"/>
      <c r="F657" s="889"/>
      <c r="G657" s="889"/>
      <c r="H657" s="889"/>
      <c r="I657" s="889"/>
      <c r="J657" s="889"/>
      <c r="K657" s="889"/>
      <c r="L657" s="889"/>
      <c r="M657" s="889"/>
      <c r="N657" s="944"/>
      <c r="O657" s="944"/>
      <c r="P657" s="944"/>
      <c r="Q657" s="944"/>
      <c r="R657" s="944"/>
      <c r="S657" s="889"/>
      <c r="T657" s="889"/>
      <c r="U657" s="889"/>
      <c r="V657" s="889"/>
      <c r="W657" s="889"/>
      <c r="X657" s="889"/>
      <c r="Y657" s="889"/>
      <c r="Z657" s="889"/>
      <c r="AA657" s="889"/>
      <c r="AB657" s="889"/>
      <c r="AC657" s="889"/>
      <c r="AD657" s="889"/>
      <c r="AE657" s="889"/>
      <c r="AF657" s="889"/>
      <c r="AG657" s="889"/>
      <c r="AH657" s="889"/>
      <c r="AI657" s="889"/>
      <c r="AJ657" s="889"/>
      <c r="AK657" s="889"/>
      <c r="AL657" s="889"/>
      <c r="AM657" s="889"/>
      <c r="AN657" s="889"/>
      <c r="AO657" s="889"/>
      <c r="AP657" s="889"/>
      <c r="AQ657" s="889"/>
      <c r="AR657" s="889"/>
      <c r="AS657" s="889"/>
      <c r="AT657" s="889"/>
      <c r="AU657" s="889"/>
      <c r="AV657" s="889"/>
      <c r="AW657" s="889"/>
      <c r="AX657" s="889"/>
      <c r="AY657" s="889"/>
      <c r="AZ657" s="889"/>
    </row>
    <row r="658">
      <c r="A658" s="889"/>
      <c r="B658" s="889"/>
      <c r="C658" s="889"/>
      <c r="D658" s="889"/>
      <c r="E658" s="889"/>
      <c r="F658" s="889"/>
      <c r="G658" s="889"/>
      <c r="H658" s="889"/>
      <c r="I658" s="889"/>
      <c r="J658" s="889"/>
      <c r="K658" s="889"/>
      <c r="L658" s="889"/>
      <c r="M658" s="889"/>
      <c r="N658" s="944"/>
      <c r="O658" s="944"/>
      <c r="P658" s="944"/>
      <c r="Q658" s="944"/>
      <c r="R658" s="944"/>
      <c r="S658" s="889"/>
      <c r="T658" s="889"/>
      <c r="U658" s="889"/>
      <c r="V658" s="889"/>
      <c r="W658" s="889"/>
      <c r="X658" s="889"/>
      <c r="Y658" s="889"/>
      <c r="Z658" s="889"/>
      <c r="AA658" s="889"/>
      <c r="AB658" s="889"/>
      <c r="AC658" s="889"/>
      <c r="AD658" s="889"/>
      <c r="AE658" s="889"/>
      <c r="AF658" s="889"/>
      <c r="AG658" s="889"/>
      <c r="AH658" s="889"/>
      <c r="AI658" s="889"/>
      <c r="AJ658" s="889"/>
      <c r="AK658" s="889"/>
      <c r="AL658" s="889"/>
      <c r="AM658" s="889"/>
      <c r="AN658" s="889"/>
      <c r="AO658" s="889"/>
      <c r="AP658" s="889"/>
      <c r="AQ658" s="889"/>
      <c r="AR658" s="889"/>
      <c r="AS658" s="889"/>
      <c r="AT658" s="889"/>
      <c r="AU658" s="889"/>
      <c r="AV658" s="889"/>
      <c r="AW658" s="889"/>
      <c r="AX658" s="889"/>
      <c r="AY658" s="889"/>
      <c r="AZ658" s="889"/>
    </row>
    <row r="659">
      <c r="A659" s="889"/>
      <c r="B659" s="889"/>
      <c r="C659" s="889"/>
      <c r="D659" s="889"/>
      <c r="E659" s="889"/>
      <c r="F659" s="889"/>
      <c r="G659" s="889"/>
      <c r="H659" s="889"/>
      <c r="I659" s="889"/>
      <c r="J659" s="889"/>
      <c r="K659" s="889"/>
      <c r="L659" s="889"/>
      <c r="M659" s="889"/>
      <c r="N659" s="944"/>
      <c r="O659" s="944"/>
      <c r="P659" s="944"/>
      <c r="Q659" s="944"/>
      <c r="R659" s="944"/>
      <c r="S659" s="889"/>
      <c r="T659" s="889"/>
      <c r="U659" s="889"/>
      <c r="V659" s="889"/>
      <c r="W659" s="889"/>
      <c r="X659" s="889"/>
      <c r="Y659" s="889"/>
      <c r="Z659" s="889"/>
      <c r="AA659" s="889"/>
      <c r="AB659" s="889"/>
      <c r="AC659" s="889"/>
      <c r="AD659" s="889"/>
      <c r="AE659" s="889"/>
      <c r="AF659" s="889"/>
      <c r="AG659" s="889"/>
      <c r="AH659" s="889"/>
      <c r="AI659" s="889"/>
      <c r="AJ659" s="889"/>
      <c r="AK659" s="889"/>
      <c r="AL659" s="889"/>
      <c r="AM659" s="889"/>
      <c r="AN659" s="889"/>
      <c r="AO659" s="889"/>
      <c r="AP659" s="889"/>
      <c r="AQ659" s="889"/>
      <c r="AR659" s="889"/>
      <c r="AS659" s="889"/>
      <c r="AT659" s="889"/>
      <c r="AU659" s="889"/>
      <c r="AV659" s="889"/>
      <c r="AW659" s="889"/>
      <c r="AX659" s="889"/>
      <c r="AY659" s="889"/>
      <c r="AZ659" s="889"/>
    </row>
    <row r="660">
      <c r="A660" s="889"/>
      <c r="B660" s="889"/>
      <c r="C660" s="889"/>
      <c r="D660" s="889"/>
      <c r="E660" s="889"/>
      <c r="F660" s="889"/>
      <c r="G660" s="889"/>
      <c r="H660" s="889"/>
      <c r="I660" s="889"/>
      <c r="J660" s="889"/>
      <c r="K660" s="889"/>
      <c r="L660" s="889"/>
      <c r="M660" s="889"/>
      <c r="N660" s="944"/>
      <c r="O660" s="944"/>
      <c r="P660" s="944"/>
      <c r="Q660" s="944"/>
      <c r="R660" s="944"/>
      <c r="S660" s="889"/>
      <c r="T660" s="889"/>
      <c r="U660" s="889"/>
      <c r="V660" s="889"/>
      <c r="W660" s="889"/>
      <c r="X660" s="889"/>
      <c r="Y660" s="889"/>
      <c r="Z660" s="889"/>
      <c r="AA660" s="889"/>
      <c r="AB660" s="889"/>
      <c r="AC660" s="889"/>
      <c r="AD660" s="889"/>
      <c r="AE660" s="889"/>
      <c r="AF660" s="889"/>
      <c r="AG660" s="889"/>
      <c r="AH660" s="889"/>
      <c r="AI660" s="889"/>
      <c r="AJ660" s="889"/>
      <c r="AK660" s="889"/>
      <c r="AL660" s="889"/>
      <c r="AM660" s="889"/>
      <c r="AN660" s="889"/>
      <c r="AO660" s="889"/>
      <c r="AP660" s="889"/>
      <c r="AQ660" s="889"/>
      <c r="AR660" s="889"/>
      <c r="AS660" s="889"/>
      <c r="AT660" s="889"/>
      <c r="AU660" s="889"/>
      <c r="AV660" s="889"/>
      <c r="AW660" s="889"/>
      <c r="AX660" s="889"/>
      <c r="AY660" s="889"/>
      <c r="AZ660" s="889"/>
    </row>
    <row r="661">
      <c r="A661" s="889"/>
      <c r="B661" s="889"/>
      <c r="C661" s="889"/>
      <c r="D661" s="889"/>
      <c r="E661" s="889"/>
      <c r="F661" s="889"/>
      <c r="G661" s="889"/>
      <c r="H661" s="889"/>
      <c r="I661" s="889"/>
      <c r="J661" s="889"/>
      <c r="K661" s="889"/>
      <c r="L661" s="889"/>
      <c r="M661" s="889"/>
      <c r="N661" s="944"/>
      <c r="O661" s="944"/>
      <c r="P661" s="944"/>
      <c r="Q661" s="944"/>
      <c r="R661" s="944"/>
      <c r="S661" s="889"/>
      <c r="T661" s="889"/>
      <c r="U661" s="889"/>
      <c r="V661" s="889"/>
      <c r="W661" s="889"/>
      <c r="X661" s="889"/>
      <c r="Y661" s="889"/>
      <c r="Z661" s="889"/>
      <c r="AA661" s="889"/>
      <c r="AB661" s="889"/>
      <c r="AC661" s="889"/>
      <c r="AD661" s="889"/>
      <c r="AE661" s="889"/>
      <c r="AF661" s="889"/>
      <c r="AG661" s="889"/>
      <c r="AH661" s="889"/>
      <c r="AI661" s="889"/>
      <c r="AJ661" s="889"/>
      <c r="AK661" s="889"/>
      <c r="AL661" s="889"/>
      <c r="AM661" s="889"/>
      <c r="AN661" s="889"/>
      <c r="AO661" s="889"/>
      <c r="AP661" s="889"/>
      <c r="AQ661" s="889"/>
      <c r="AR661" s="889"/>
      <c r="AS661" s="889"/>
      <c r="AT661" s="889"/>
      <c r="AU661" s="889"/>
      <c r="AV661" s="889"/>
      <c r="AW661" s="889"/>
      <c r="AX661" s="889"/>
      <c r="AY661" s="889"/>
      <c r="AZ661" s="889"/>
    </row>
    <row r="662">
      <c r="A662" s="889"/>
      <c r="B662" s="889"/>
      <c r="C662" s="889"/>
      <c r="D662" s="889"/>
      <c r="E662" s="889"/>
      <c r="F662" s="889"/>
      <c r="G662" s="889"/>
      <c r="H662" s="889"/>
      <c r="I662" s="889"/>
      <c r="J662" s="889"/>
      <c r="K662" s="889"/>
      <c r="L662" s="889"/>
      <c r="M662" s="889"/>
      <c r="N662" s="944"/>
      <c r="O662" s="944"/>
      <c r="P662" s="944"/>
      <c r="Q662" s="944"/>
      <c r="R662" s="944"/>
      <c r="S662" s="889"/>
      <c r="T662" s="889"/>
      <c r="U662" s="889"/>
      <c r="V662" s="889"/>
      <c r="W662" s="889"/>
      <c r="X662" s="889"/>
      <c r="Y662" s="889"/>
      <c r="Z662" s="889"/>
      <c r="AA662" s="889"/>
      <c r="AB662" s="889"/>
      <c r="AC662" s="889"/>
      <c r="AD662" s="889"/>
      <c r="AE662" s="889"/>
      <c r="AF662" s="889"/>
      <c r="AG662" s="889"/>
      <c r="AH662" s="889"/>
      <c r="AI662" s="889"/>
      <c r="AJ662" s="889"/>
      <c r="AK662" s="889"/>
      <c r="AL662" s="889"/>
      <c r="AM662" s="889"/>
      <c r="AN662" s="889"/>
      <c r="AO662" s="889"/>
      <c r="AP662" s="889"/>
      <c r="AQ662" s="889"/>
      <c r="AR662" s="889"/>
      <c r="AS662" s="889"/>
      <c r="AT662" s="889"/>
      <c r="AU662" s="889"/>
      <c r="AV662" s="889"/>
      <c r="AW662" s="889"/>
      <c r="AX662" s="889"/>
      <c r="AY662" s="889"/>
      <c r="AZ662" s="889"/>
    </row>
    <row r="663">
      <c r="A663" s="889"/>
      <c r="B663" s="889"/>
      <c r="C663" s="889"/>
      <c r="D663" s="889"/>
      <c r="E663" s="889"/>
      <c r="F663" s="889"/>
      <c r="G663" s="889"/>
      <c r="H663" s="889"/>
      <c r="I663" s="889"/>
      <c r="J663" s="889"/>
      <c r="K663" s="889"/>
      <c r="L663" s="889"/>
      <c r="M663" s="889"/>
      <c r="N663" s="944"/>
      <c r="O663" s="944"/>
      <c r="P663" s="944"/>
      <c r="Q663" s="944"/>
      <c r="R663" s="944"/>
      <c r="S663" s="889"/>
      <c r="T663" s="889"/>
      <c r="U663" s="889"/>
      <c r="V663" s="889"/>
      <c r="W663" s="889"/>
      <c r="X663" s="889"/>
      <c r="Y663" s="889"/>
      <c r="Z663" s="889"/>
      <c r="AA663" s="889"/>
      <c r="AB663" s="889"/>
      <c r="AC663" s="889"/>
      <c r="AD663" s="889"/>
      <c r="AE663" s="889"/>
      <c r="AF663" s="889"/>
      <c r="AG663" s="889"/>
      <c r="AH663" s="889"/>
      <c r="AI663" s="889"/>
      <c r="AJ663" s="889"/>
      <c r="AK663" s="889"/>
      <c r="AL663" s="889"/>
      <c r="AM663" s="889"/>
      <c r="AN663" s="889"/>
      <c r="AO663" s="889"/>
      <c r="AP663" s="889"/>
      <c r="AQ663" s="889"/>
      <c r="AR663" s="889"/>
      <c r="AS663" s="889"/>
      <c r="AT663" s="889"/>
      <c r="AU663" s="889"/>
      <c r="AV663" s="889"/>
      <c r="AW663" s="889"/>
      <c r="AX663" s="889"/>
      <c r="AY663" s="889"/>
      <c r="AZ663" s="889"/>
    </row>
    <row r="664">
      <c r="A664" s="889"/>
      <c r="B664" s="889"/>
      <c r="C664" s="889"/>
      <c r="D664" s="889"/>
      <c r="E664" s="889"/>
      <c r="F664" s="889"/>
      <c r="G664" s="889"/>
      <c r="H664" s="889"/>
      <c r="I664" s="889"/>
      <c r="J664" s="889"/>
      <c r="K664" s="889"/>
      <c r="L664" s="889"/>
      <c r="M664" s="889"/>
      <c r="N664" s="944"/>
      <c r="O664" s="944"/>
      <c r="P664" s="944"/>
      <c r="Q664" s="944"/>
      <c r="R664" s="944"/>
      <c r="S664" s="889"/>
      <c r="T664" s="889"/>
      <c r="U664" s="889"/>
      <c r="V664" s="889"/>
      <c r="W664" s="889"/>
      <c r="X664" s="889"/>
      <c r="Y664" s="889"/>
      <c r="Z664" s="889"/>
      <c r="AA664" s="889"/>
      <c r="AB664" s="889"/>
      <c r="AC664" s="889"/>
      <c r="AD664" s="889"/>
      <c r="AE664" s="889"/>
      <c r="AF664" s="889"/>
      <c r="AG664" s="889"/>
      <c r="AH664" s="889"/>
      <c r="AI664" s="889"/>
      <c r="AJ664" s="889"/>
      <c r="AK664" s="889"/>
      <c r="AL664" s="889"/>
      <c r="AM664" s="889"/>
      <c r="AN664" s="889"/>
      <c r="AO664" s="889"/>
      <c r="AP664" s="889"/>
      <c r="AQ664" s="889"/>
      <c r="AR664" s="889"/>
      <c r="AS664" s="889"/>
      <c r="AT664" s="889"/>
      <c r="AU664" s="889"/>
      <c r="AV664" s="889"/>
      <c r="AW664" s="889"/>
      <c r="AX664" s="889"/>
      <c r="AY664" s="889"/>
      <c r="AZ664" s="889"/>
    </row>
    <row r="665">
      <c r="A665" s="889"/>
      <c r="B665" s="889"/>
      <c r="C665" s="889"/>
      <c r="D665" s="889"/>
      <c r="E665" s="889"/>
      <c r="F665" s="889"/>
      <c r="G665" s="889"/>
      <c r="H665" s="889"/>
      <c r="I665" s="889"/>
      <c r="J665" s="889"/>
      <c r="K665" s="889"/>
      <c r="L665" s="889"/>
      <c r="M665" s="889"/>
      <c r="N665" s="944"/>
      <c r="O665" s="944"/>
      <c r="P665" s="944"/>
      <c r="Q665" s="944"/>
      <c r="R665" s="944"/>
      <c r="S665" s="889"/>
      <c r="T665" s="889"/>
      <c r="U665" s="889"/>
      <c r="V665" s="889"/>
      <c r="W665" s="889"/>
      <c r="X665" s="889"/>
      <c r="Y665" s="889"/>
      <c r="Z665" s="889"/>
      <c r="AA665" s="889"/>
      <c r="AB665" s="889"/>
      <c r="AC665" s="889"/>
      <c r="AD665" s="889"/>
      <c r="AE665" s="889"/>
      <c r="AF665" s="889"/>
      <c r="AG665" s="889"/>
      <c r="AH665" s="889"/>
      <c r="AI665" s="889"/>
      <c r="AJ665" s="889"/>
      <c r="AK665" s="889"/>
      <c r="AL665" s="889"/>
      <c r="AM665" s="889"/>
      <c r="AN665" s="889"/>
      <c r="AO665" s="889"/>
      <c r="AP665" s="889"/>
      <c r="AQ665" s="889"/>
      <c r="AR665" s="889"/>
      <c r="AS665" s="889"/>
      <c r="AT665" s="889"/>
      <c r="AU665" s="889"/>
      <c r="AV665" s="889"/>
      <c r="AW665" s="889"/>
      <c r="AX665" s="889"/>
      <c r="AY665" s="889"/>
      <c r="AZ665" s="889"/>
    </row>
    <row r="666">
      <c r="A666" s="889"/>
      <c r="B666" s="889"/>
      <c r="C666" s="889"/>
      <c r="D666" s="889"/>
      <c r="E666" s="889"/>
      <c r="F666" s="889"/>
      <c r="G666" s="889"/>
      <c r="H666" s="889"/>
      <c r="I666" s="889"/>
      <c r="J666" s="889"/>
      <c r="K666" s="889"/>
      <c r="L666" s="889"/>
      <c r="M666" s="889"/>
      <c r="N666" s="944"/>
      <c r="O666" s="944"/>
      <c r="P666" s="944"/>
      <c r="Q666" s="944"/>
      <c r="R666" s="944"/>
      <c r="S666" s="889"/>
      <c r="T666" s="889"/>
      <c r="U666" s="889"/>
      <c r="V666" s="889"/>
      <c r="W666" s="889"/>
      <c r="X666" s="889"/>
      <c r="Y666" s="889"/>
      <c r="Z666" s="889"/>
      <c r="AA666" s="889"/>
      <c r="AB666" s="889"/>
      <c r="AC666" s="889"/>
      <c r="AD666" s="889"/>
      <c r="AE666" s="889"/>
      <c r="AF666" s="889"/>
      <c r="AG666" s="889"/>
      <c r="AH666" s="889"/>
      <c r="AI666" s="889"/>
      <c r="AJ666" s="889"/>
      <c r="AK666" s="889"/>
      <c r="AL666" s="889"/>
      <c r="AM666" s="889"/>
      <c r="AN666" s="889"/>
      <c r="AO666" s="889"/>
      <c r="AP666" s="889"/>
      <c r="AQ666" s="889"/>
      <c r="AR666" s="889"/>
      <c r="AS666" s="889"/>
      <c r="AT666" s="889"/>
      <c r="AU666" s="889"/>
      <c r="AV666" s="889"/>
      <c r="AW666" s="889"/>
      <c r="AX666" s="889"/>
      <c r="AY666" s="889"/>
      <c r="AZ666" s="889"/>
    </row>
    <row r="667">
      <c r="A667" s="889"/>
      <c r="B667" s="889"/>
      <c r="C667" s="889"/>
      <c r="D667" s="889"/>
      <c r="E667" s="889"/>
      <c r="F667" s="889"/>
      <c r="G667" s="889"/>
      <c r="H667" s="889"/>
      <c r="I667" s="889"/>
      <c r="J667" s="889"/>
      <c r="K667" s="889"/>
      <c r="L667" s="889"/>
      <c r="M667" s="889"/>
      <c r="N667" s="944"/>
      <c r="O667" s="944"/>
      <c r="P667" s="944"/>
      <c r="Q667" s="944"/>
      <c r="R667" s="944"/>
      <c r="S667" s="889"/>
      <c r="T667" s="889"/>
      <c r="U667" s="889"/>
      <c r="V667" s="889"/>
      <c r="W667" s="889"/>
      <c r="X667" s="889"/>
      <c r="Y667" s="889"/>
      <c r="Z667" s="889"/>
      <c r="AA667" s="889"/>
      <c r="AB667" s="889"/>
      <c r="AC667" s="889"/>
      <c r="AD667" s="889"/>
      <c r="AE667" s="889"/>
      <c r="AF667" s="889"/>
      <c r="AG667" s="889"/>
      <c r="AH667" s="889"/>
      <c r="AI667" s="889"/>
      <c r="AJ667" s="889"/>
      <c r="AK667" s="889"/>
      <c r="AL667" s="889"/>
      <c r="AM667" s="889"/>
      <c r="AN667" s="889"/>
      <c r="AO667" s="889"/>
      <c r="AP667" s="889"/>
      <c r="AQ667" s="889"/>
      <c r="AR667" s="889"/>
      <c r="AS667" s="889"/>
      <c r="AT667" s="889"/>
      <c r="AU667" s="889"/>
      <c r="AV667" s="889"/>
      <c r="AW667" s="889"/>
      <c r="AX667" s="889"/>
      <c r="AY667" s="889"/>
      <c r="AZ667" s="889"/>
    </row>
    <row r="668">
      <c r="A668" s="889"/>
      <c r="B668" s="889"/>
      <c r="C668" s="889"/>
      <c r="D668" s="889"/>
      <c r="E668" s="889"/>
      <c r="F668" s="889"/>
      <c r="G668" s="889"/>
      <c r="H668" s="889"/>
      <c r="I668" s="889"/>
      <c r="J668" s="889"/>
      <c r="K668" s="889"/>
      <c r="L668" s="889"/>
      <c r="M668" s="889"/>
      <c r="N668" s="944"/>
      <c r="O668" s="944"/>
      <c r="P668" s="944"/>
      <c r="Q668" s="944"/>
      <c r="R668" s="944"/>
      <c r="S668" s="889"/>
      <c r="T668" s="889"/>
      <c r="U668" s="889"/>
      <c r="V668" s="889"/>
      <c r="W668" s="889"/>
      <c r="X668" s="889"/>
      <c r="Y668" s="889"/>
      <c r="Z668" s="889"/>
      <c r="AA668" s="889"/>
      <c r="AB668" s="889"/>
      <c r="AC668" s="889"/>
      <c r="AD668" s="889"/>
      <c r="AE668" s="889"/>
      <c r="AF668" s="889"/>
      <c r="AG668" s="889"/>
      <c r="AH668" s="889"/>
      <c r="AI668" s="889"/>
      <c r="AJ668" s="889"/>
      <c r="AK668" s="889"/>
      <c r="AL668" s="889"/>
      <c r="AM668" s="889"/>
      <c r="AN668" s="889"/>
      <c r="AO668" s="889"/>
      <c r="AP668" s="889"/>
      <c r="AQ668" s="889"/>
      <c r="AR668" s="889"/>
      <c r="AS668" s="889"/>
      <c r="AT668" s="889"/>
      <c r="AU668" s="889"/>
      <c r="AV668" s="889"/>
      <c r="AW668" s="889"/>
      <c r="AX668" s="889"/>
      <c r="AY668" s="889"/>
      <c r="AZ668" s="889"/>
    </row>
    <row r="669">
      <c r="A669" s="889"/>
      <c r="B669" s="889"/>
      <c r="C669" s="889"/>
      <c r="D669" s="889"/>
      <c r="E669" s="889"/>
      <c r="F669" s="889"/>
      <c r="G669" s="889"/>
      <c r="H669" s="889"/>
      <c r="I669" s="889"/>
      <c r="J669" s="889"/>
      <c r="K669" s="889"/>
      <c r="L669" s="889"/>
      <c r="M669" s="889"/>
      <c r="N669" s="944"/>
      <c r="O669" s="944"/>
      <c r="P669" s="944"/>
      <c r="Q669" s="944"/>
      <c r="R669" s="944"/>
      <c r="S669" s="889"/>
      <c r="T669" s="889"/>
      <c r="U669" s="889"/>
      <c r="V669" s="889"/>
      <c r="W669" s="889"/>
      <c r="X669" s="889"/>
      <c r="Y669" s="889"/>
      <c r="Z669" s="889"/>
      <c r="AA669" s="889"/>
      <c r="AB669" s="889"/>
      <c r="AC669" s="889"/>
      <c r="AD669" s="889"/>
      <c r="AE669" s="889"/>
      <c r="AF669" s="889"/>
      <c r="AG669" s="889"/>
      <c r="AH669" s="889"/>
      <c r="AI669" s="889"/>
      <c r="AJ669" s="889"/>
      <c r="AK669" s="889"/>
      <c r="AL669" s="889"/>
      <c r="AM669" s="889"/>
      <c r="AN669" s="889"/>
      <c r="AO669" s="889"/>
      <c r="AP669" s="889"/>
      <c r="AQ669" s="889"/>
      <c r="AR669" s="889"/>
      <c r="AS669" s="889"/>
      <c r="AT669" s="889"/>
      <c r="AU669" s="889"/>
      <c r="AV669" s="889"/>
      <c r="AW669" s="889"/>
      <c r="AX669" s="889"/>
      <c r="AY669" s="889"/>
      <c r="AZ669" s="889"/>
    </row>
    <row r="670">
      <c r="A670" s="889"/>
      <c r="B670" s="889"/>
      <c r="C670" s="889"/>
      <c r="D670" s="889"/>
      <c r="E670" s="889"/>
      <c r="F670" s="889"/>
      <c r="G670" s="889"/>
      <c r="H670" s="889"/>
      <c r="I670" s="889"/>
      <c r="J670" s="889"/>
      <c r="K670" s="889"/>
      <c r="L670" s="889"/>
      <c r="M670" s="889"/>
      <c r="N670" s="944"/>
      <c r="O670" s="944"/>
      <c r="P670" s="944"/>
      <c r="Q670" s="944"/>
      <c r="R670" s="944"/>
      <c r="S670" s="889"/>
      <c r="T670" s="889"/>
      <c r="U670" s="889"/>
      <c r="V670" s="889"/>
      <c r="W670" s="889"/>
      <c r="X670" s="889"/>
      <c r="Y670" s="889"/>
      <c r="Z670" s="889"/>
      <c r="AA670" s="889"/>
      <c r="AB670" s="889"/>
      <c r="AC670" s="889"/>
      <c r="AD670" s="889"/>
      <c r="AE670" s="889"/>
      <c r="AF670" s="889"/>
      <c r="AG670" s="889"/>
      <c r="AH670" s="889"/>
      <c r="AI670" s="889"/>
      <c r="AJ670" s="889"/>
      <c r="AK670" s="889"/>
      <c r="AL670" s="889"/>
      <c r="AM670" s="889"/>
      <c r="AN670" s="889"/>
      <c r="AO670" s="889"/>
      <c r="AP670" s="889"/>
      <c r="AQ670" s="889"/>
      <c r="AR670" s="889"/>
      <c r="AS670" s="889"/>
      <c r="AT670" s="889"/>
      <c r="AU670" s="889"/>
      <c r="AV670" s="889"/>
      <c r="AW670" s="889"/>
      <c r="AX670" s="889"/>
      <c r="AY670" s="889"/>
      <c r="AZ670" s="889"/>
    </row>
    <row r="671">
      <c r="A671" s="889"/>
      <c r="B671" s="889"/>
      <c r="C671" s="889"/>
      <c r="D671" s="889"/>
      <c r="E671" s="889"/>
      <c r="F671" s="889"/>
      <c r="G671" s="889"/>
      <c r="H671" s="889"/>
      <c r="I671" s="889"/>
      <c r="J671" s="889"/>
      <c r="K671" s="889"/>
      <c r="L671" s="889"/>
      <c r="M671" s="889"/>
      <c r="N671" s="944"/>
      <c r="O671" s="944"/>
      <c r="P671" s="944"/>
      <c r="Q671" s="944"/>
      <c r="R671" s="944"/>
      <c r="S671" s="889"/>
      <c r="T671" s="889"/>
      <c r="U671" s="889"/>
      <c r="V671" s="889"/>
      <c r="W671" s="889"/>
      <c r="X671" s="889"/>
      <c r="Y671" s="889"/>
      <c r="Z671" s="889"/>
      <c r="AA671" s="889"/>
      <c r="AB671" s="889"/>
      <c r="AC671" s="889"/>
      <c r="AD671" s="889"/>
      <c r="AE671" s="889"/>
      <c r="AF671" s="889"/>
      <c r="AG671" s="889"/>
      <c r="AH671" s="889"/>
      <c r="AI671" s="889"/>
      <c r="AJ671" s="889"/>
      <c r="AK671" s="889"/>
      <c r="AL671" s="889"/>
      <c r="AM671" s="889"/>
      <c r="AN671" s="889"/>
      <c r="AO671" s="889"/>
      <c r="AP671" s="889"/>
      <c r="AQ671" s="889"/>
      <c r="AR671" s="889"/>
      <c r="AS671" s="889"/>
      <c r="AT671" s="889"/>
      <c r="AU671" s="889"/>
      <c r="AV671" s="889"/>
      <c r="AW671" s="889"/>
      <c r="AX671" s="889"/>
      <c r="AY671" s="889"/>
      <c r="AZ671" s="889"/>
    </row>
    <row r="672">
      <c r="A672" s="889"/>
      <c r="B672" s="889"/>
      <c r="C672" s="889"/>
      <c r="D672" s="889"/>
      <c r="E672" s="889"/>
      <c r="F672" s="889"/>
      <c r="G672" s="889"/>
      <c r="H672" s="889"/>
      <c r="I672" s="889"/>
      <c r="J672" s="889"/>
      <c r="K672" s="889"/>
      <c r="L672" s="889"/>
      <c r="M672" s="889"/>
      <c r="N672" s="944"/>
      <c r="O672" s="944"/>
      <c r="P672" s="944"/>
      <c r="Q672" s="944"/>
      <c r="R672" s="944"/>
      <c r="S672" s="889"/>
      <c r="T672" s="889"/>
      <c r="U672" s="889"/>
      <c r="V672" s="889"/>
      <c r="W672" s="889"/>
      <c r="X672" s="889"/>
      <c r="Y672" s="889"/>
      <c r="Z672" s="889"/>
      <c r="AA672" s="889"/>
      <c r="AB672" s="889"/>
      <c r="AC672" s="889"/>
      <c r="AD672" s="889"/>
      <c r="AE672" s="889"/>
      <c r="AF672" s="889"/>
      <c r="AG672" s="889"/>
      <c r="AH672" s="889"/>
      <c r="AI672" s="889"/>
      <c r="AJ672" s="889"/>
      <c r="AK672" s="889"/>
      <c r="AL672" s="889"/>
      <c r="AM672" s="889"/>
      <c r="AN672" s="889"/>
      <c r="AO672" s="889"/>
      <c r="AP672" s="889"/>
      <c r="AQ672" s="889"/>
      <c r="AR672" s="889"/>
      <c r="AS672" s="889"/>
      <c r="AT672" s="889"/>
      <c r="AU672" s="889"/>
      <c r="AV672" s="889"/>
      <c r="AW672" s="889"/>
      <c r="AX672" s="889"/>
      <c r="AY672" s="889"/>
      <c r="AZ672" s="889"/>
    </row>
    <row r="673">
      <c r="A673" s="889"/>
      <c r="B673" s="889"/>
      <c r="C673" s="889"/>
      <c r="D673" s="889"/>
      <c r="E673" s="889"/>
      <c r="F673" s="889"/>
      <c r="G673" s="889"/>
      <c r="H673" s="889"/>
      <c r="I673" s="889"/>
      <c r="J673" s="889"/>
      <c r="K673" s="889"/>
      <c r="L673" s="889"/>
      <c r="M673" s="889"/>
      <c r="N673" s="944"/>
      <c r="O673" s="944"/>
      <c r="P673" s="944"/>
      <c r="Q673" s="944"/>
      <c r="R673" s="944"/>
      <c r="S673" s="889"/>
      <c r="T673" s="889"/>
      <c r="U673" s="889"/>
      <c r="V673" s="889"/>
      <c r="W673" s="889"/>
      <c r="X673" s="889"/>
      <c r="Y673" s="889"/>
      <c r="Z673" s="889"/>
      <c r="AA673" s="889"/>
      <c r="AB673" s="889"/>
      <c r="AC673" s="889"/>
      <c r="AD673" s="889"/>
      <c r="AE673" s="889"/>
      <c r="AF673" s="889"/>
      <c r="AG673" s="889"/>
      <c r="AH673" s="889"/>
      <c r="AI673" s="889"/>
      <c r="AJ673" s="889"/>
      <c r="AK673" s="889"/>
      <c r="AL673" s="889"/>
      <c r="AM673" s="889"/>
      <c r="AN673" s="889"/>
      <c r="AO673" s="889"/>
      <c r="AP673" s="889"/>
      <c r="AQ673" s="889"/>
      <c r="AR673" s="889"/>
      <c r="AS673" s="889"/>
      <c r="AT673" s="889"/>
      <c r="AU673" s="889"/>
      <c r="AV673" s="889"/>
      <c r="AW673" s="889"/>
      <c r="AX673" s="889"/>
      <c r="AY673" s="889"/>
      <c r="AZ673" s="889"/>
    </row>
    <row r="674">
      <c r="A674" s="889"/>
      <c r="B674" s="889"/>
      <c r="C674" s="889"/>
      <c r="D674" s="889"/>
      <c r="E674" s="889"/>
      <c r="F674" s="889"/>
      <c r="G674" s="889"/>
      <c r="H674" s="889"/>
      <c r="I674" s="889"/>
      <c r="J674" s="889"/>
      <c r="K674" s="889"/>
      <c r="L674" s="889"/>
      <c r="M674" s="889"/>
      <c r="N674" s="944"/>
      <c r="O674" s="944"/>
      <c r="P674" s="944"/>
      <c r="Q674" s="944"/>
      <c r="R674" s="944"/>
      <c r="S674" s="889"/>
      <c r="T674" s="889"/>
      <c r="U674" s="889"/>
      <c r="V674" s="889"/>
      <c r="W674" s="889"/>
      <c r="X674" s="889"/>
      <c r="Y674" s="889"/>
      <c r="Z674" s="889"/>
      <c r="AA674" s="889"/>
      <c r="AB674" s="889"/>
      <c r="AC674" s="889"/>
      <c r="AD674" s="889"/>
      <c r="AE674" s="889"/>
      <c r="AF674" s="889"/>
      <c r="AG674" s="889"/>
      <c r="AH674" s="889"/>
      <c r="AI674" s="889"/>
      <c r="AJ674" s="889"/>
      <c r="AK674" s="889"/>
      <c r="AL674" s="889"/>
      <c r="AM674" s="889"/>
      <c r="AN674" s="889"/>
      <c r="AO674" s="889"/>
      <c r="AP674" s="889"/>
      <c r="AQ674" s="889"/>
      <c r="AR674" s="889"/>
      <c r="AS674" s="889"/>
      <c r="AT674" s="889"/>
      <c r="AU674" s="889"/>
      <c r="AV674" s="889"/>
      <c r="AW674" s="889"/>
      <c r="AX674" s="889"/>
      <c r="AY674" s="889"/>
      <c r="AZ674" s="889"/>
    </row>
    <row r="675">
      <c r="A675" s="889"/>
      <c r="B675" s="889"/>
      <c r="C675" s="889"/>
      <c r="D675" s="889"/>
      <c r="E675" s="889"/>
      <c r="F675" s="889"/>
      <c r="G675" s="889"/>
      <c r="H675" s="889"/>
      <c r="I675" s="889"/>
      <c r="J675" s="889"/>
      <c r="K675" s="889"/>
      <c r="L675" s="889"/>
      <c r="M675" s="889"/>
      <c r="N675" s="944"/>
      <c r="O675" s="944"/>
      <c r="P675" s="944"/>
      <c r="Q675" s="944"/>
      <c r="R675" s="944"/>
      <c r="S675" s="889"/>
      <c r="T675" s="889"/>
      <c r="U675" s="889"/>
      <c r="V675" s="889"/>
      <c r="W675" s="889"/>
      <c r="X675" s="889"/>
      <c r="Y675" s="889"/>
      <c r="Z675" s="889"/>
      <c r="AA675" s="889"/>
      <c r="AB675" s="889"/>
      <c r="AC675" s="889"/>
      <c r="AD675" s="889"/>
      <c r="AE675" s="889"/>
      <c r="AF675" s="889"/>
      <c r="AG675" s="889"/>
      <c r="AH675" s="889"/>
      <c r="AI675" s="889"/>
      <c r="AJ675" s="889"/>
      <c r="AK675" s="889"/>
      <c r="AL675" s="889"/>
      <c r="AM675" s="889"/>
      <c r="AN675" s="889"/>
      <c r="AO675" s="889"/>
      <c r="AP675" s="889"/>
      <c r="AQ675" s="889"/>
      <c r="AR675" s="889"/>
      <c r="AS675" s="889"/>
      <c r="AT675" s="889"/>
      <c r="AU675" s="889"/>
      <c r="AV675" s="889"/>
      <c r="AW675" s="889"/>
      <c r="AX675" s="889"/>
      <c r="AY675" s="889"/>
      <c r="AZ675" s="889"/>
    </row>
    <row r="676">
      <c r="A676" s="889"/>
      <c r="B676" s="889"/>
      <c r="C676" s="889"/>
      <c r="D676" s="889"/>
      <c r="E676" s="889"/>
      <c r="F676" s="889"/>
      <c r="G676" s="889"/>
      <c r="H676" s="889"/>
      <c r="I676" s="889"/>
      <c r="J676" s="889"/>
      <c r="K676" s="889"/>
      <c r="L676" s="889"/>
      <c r="M676" s="889"/>
      <c r="N676" s="944"/>
      <c r="O676" s="944"/>
      <c r="P676" s="944"/>
      <c r="Q676" s="944"/>
      <c r="R676" s="944"/>
      <c r="S676" s="889"/>
      <c r="T676" s="889"/>
      <c r="U676" s="889"/>
      <c r="V676" s="889"/>
      <c r="W676" s="889"/>
      <c r="X676" s="889"/>
      <c r="Y676" s="889"/>
      <c r="Z676" s="889"/>
      <c r="AA676" s="889"/>
      <c r="AB676" s="889"/>
      <c r="AC676" s="889"/>
      <c r="AD676" s="889"/>
      <c r="AE676" s="889"/>
      <c r="AF676" s="889"/>
      <c r="AG676" s="889"/>
      <c r="AH676" s="889"/>
      <c r="AI676" s="889"/>
      <c r="AJ676" s="889"/>
      <c r="AK676" s="889"/>
      <c r="AL676" s="889"/>
      <c r="AM676" s="889"/>
      <c r="AN676" s="889"/>
      <c r="AO676" s="889"/>
      <c r="AP676" s="889"/>
      <c r="AQ676" s="889"/>
      <c r="AR676" s="889"/>
      <c r="AS676" s="889"/>
      <c r="AT676" s="889"/>
      <c r="AU676" s="889"/>
      <c r="AV676" s="889"/>
      <c r="AW676" s="889"/>
      <c r="AX676" s="889"/>
      <c r="AY676" s="889"/>
      <c r="AZ676" s="889"/>
    </row>
    <row r="677">
      <c r="A677" s="889"/>
      <c r="B677" s="889"/>
      <c r="C677" s="889"/>
      <c r="D677" s="889"/>
      <c r="E677" s="889"/>
      <c r="F677" s="889"/>
      <c r="G677" s="889"/>
      <c r="H677" s="889"/>
      <c r="I677" s="889"/>
      <c r="J677" s="889"/>
      <c r="K677" s="889"/>
      <c r="L677" s="889"/>
      <c r="M677" s="889"/>
      <c r="N677" s="944"/>
      <c r="O677" s="944"/>
      <c r="P677" s="944"/>
      <c r="Q677" s="944"/>
      <c r="R677" s="944"/>
      <c r="S677" s="889"/>
      <c r="T677" s="889"/>
      <c r="U677" s="889"/>
      <c r="V677" s="889"/>
      <c r="W677" s="889"/>
      <c r="X677" s="889"/>
      <c r="Y677" s="889"/>
      <c r="Z677" s="889"/>
      <c r="AA677" s="889"/>
      <c r="AB677" s="889"/>
      <c r="AC677" s="889"/>
      <c r="AD677" s="889"/>
      <c r="AE677" s="889"/>
      <c r="AF677" s="889"/>
      <c r="AG677" s="889"/>
      <c r="AH677" s="889"/>
      <c r="AI677" s="889"/>
      <c r="AJ677" s="889"/>
      <c r="AK677" s="889"/>
      <c r="AL677" s="889"/>
      <c r="AM677" s="889"/>
      <c r="AN677" s="889"/>
      <c r="AO677" s="889"/>
      <c r="AP677" s="889"/>
      <c r="AQ677" s="889"/>
      <c r="AR677" s="889"/>
      <c r="AS677" s="889"/>
      <c r="AT677" s="889"/>
      <c r="AU677" s="889"/>
      <c r="AV677" s="889"/>
      <c r="AW677" s="889"/>
      <c r="AX677" s="889"/>
      <c r="AY677" s="889"/>
      <c r="AZ677" s="889"/>
    </row>
    <row r="678">
      <c r="A678" s="889"/>
      <c r="B678" s="889"/>
      <c r="C678" s="889"/>
      <c r="D678" s="889"/>
      <c r="E678" s="889"/>
      <c r="F678" s="889"/>
      <c r="G678" s="889"/>
      <c r="H678" s="889"/>
      <c r="I678" s="889"/>
      <c r="J678" s="889"/>
      <c r="K678" s="889"/>
      <c r="L678" s="889"/>
      <c r="M678" s="889"/>
      <c r="N678" s="944"/>
      <c r="O678" s="944"/>
      <c r="P678" s="944"/>
      <c r="Q678" s="944"/>
      <c r="R678" s="944"/>
      <c r="S678" s="889"/>
      <c r="T678" s="889"/>
      <c r="U678" s="889"/>
      <c r="V678" s="889"/>
      <c r="W678" s="889"/>
      <c r="X678" s="889"/>
      <c r="Y678" s="889"/>
      <c r="Z678" s="889"/>
      <c r="AA678" s="889"/>
      <c r="AB678" s="889"/>
      <c r="AC678" s="889"/>
      <c r="AD678" s="889"/>
      <c r="AE678" s="889"/>
      <c r="AF678" s="889"/>
      <c r="AG678" s="889"/>
      <c r="AH678" s="889"/>
      <c r="AI678" s="889"/>
      <c r="AJ678" s="889"/>
      <c r="AK678" s="889"/>
      <c r="AL678" s="889"/>
      <c r="AM678" s="889"/>
      <c r="AN678" s="889"/>
      <c r="AO678" s="889"/>
      <c r="AP678" s="889"/>
      <c r="AQ678" s="889"/>
      <c r="AR678" s="889"/>
      <c r="AS678" s="889"/>
      <c r="AT678" s="889"/>
      <c r="AU678" s="889"/>
      <c r="AV678" s="889"/>
      <c r="AW678" s="889"/>
      <c r="AX678" s="889"/>
      <c r="AY678" s="889"/>
      <c r="AZ678" s="889"/>
    </row>
    <row r="679">
      <c r="A679" s="889"/>
      <c r="B679" s="889"/>
      <c r="C679" s="889"/>
      <c r="D679" s="889"/>
      <c r="E679" s="889"/>
      <c r="F679" s="889"/>
      <c r="G679" s="889"/>
      <c r="H679" s="889"/>
      <c r="I679" s="889"/>
      <c r="J679" s="889"/>
      <c r="K679" s="889"/>
      <c r="L679" s="889"/>
      <c r="M679" s="889"/>
      <c r="N679" s="944"/>
      <c r="O679" s="944"/>
      <c r="P679" s="944"/>
      <c r="Q679" s="944"/>
      <c r="R679" s="944"/>
      <c r="S679" s="889"/>
      <c r="T679" s="889"/>
      <c r="U679" s="889"/>
      <c r="V679" s="889"/>
      <c r="W679" s="889"/>
      <c r="X679" s="889"/>
      <c r="Y679" s="889"/>
      <c r="Z679" s="889"/>
      <c r="AA679" s="889"/>
      <c r="AB679" s="889"/>
      <c r="AC679" s="889"/>
      <c r="AD679" s="889"/>
      <c r="AE679" s="889"/>
      <c r="AF679" s="889"/>
      <c r="AG679" s="889"/>
      <c r="AH679" s="889"/>
      <c r="AI679" s="889"/>
      <c r="AJ679" s="889"/>
      <c r="AK679" s="889"/>
      <c r="AL679" s="889"/>
      <c r="AM679" s="889"/>
      <c r="AN679" s="889"/>
      <c r="AO679" s="889"/>
      <c r="AP679" s="889"/>
      <c r="AQ679" s="889"/>
      <c r="AR679" s="889"/>
      <c r="AS679" s="889"/>
      <c r="AT679" s="889"/>
      <c r="AU679" s="889"/>
      <c r="AV679" s="889"/>
      <c r="AW679" s="889"/>
      <c r="AX679" s="889"/>
      <c r="AY679" s="889"/>
      <c r="AZ679" s="889"/>
    </row>
    <row r="680">
      <c r="A680" s="889"/>
      <c r="B680" s="889"/>
      <c r="C680" s="889"/>
      <c r="D680" s="889"/>
      <c r="E680" s="889"/>
      <c r="F680" s="889"/>
      <c r="G680" s="889"/>
      <c r="H680" s="889"/>
      <c r="I680" s="889"/>
      <c r="J680" s="889"/>
      <c r="K680" s="889"/>
      <c r="L680" s="889"/>
      <c r="M680" s="889"/>
      <c r="N680" s="944"/>
      <c r="O680" s="944"/>
      <c r="P680" s="944"/>
      <c r="Q680" s="944"/>
      <c r="R680" s="944"/>
      <c r="S680" s="889"/>
      <c r="T680" s="889"/>
      <c r="U680" s="889"/>
      <c r="V680" s="889"/>
      <c r="W680" s="889"/>
      <c r="X680" s="889"/>
      <c r="Y680" s="889"/>
      <c r="Z680" s="889"/>
      <c r="AA680" s="889"/>
      <c r="AB680" s="889"/>
      <c r="AC680" s="889"/>
      <c r="AD680" s="889"/>
      <c r="AE680" s="889"/>
      <c r="AF680" s="889"/>
      <c r="AG680" s="889"/>
      <c r="AH680" s="889"/>
      <c r="AI680" s="889"/>
      <c r="AJ680" s="889"/>
      <c r="AK680" s="889"/>
      <c r="AL680" s="889"/>
      <c r="AM680" s="889"/>
      <c r="AN680" s="889"/>
      <c r="AO680" s="889"/>
      <c r="AP680" s="889"/>
      <c r="AQ680" s="889"/>
      <c r="AR680" s="889"/>
      <c r="AS680" s="889"/>
      <c r="AT680" s="889"/>
      <c r="AU680" s="889"/>
      <c r="AV680" s="889"/>
      <c r="AW680" s="889"/>
      <c r="AX680" s="889"/>
      <c r="AY680" s="889"/>
      <c r="AZ680" s="889"/>
    </row>
    <row r="681">
      <c r="A681" s="889"/>
      <c r="B681" s="889"/>
      <c r="C681" s="889"/>
      <c r="D681" s="889"/>
      <c r="E681" s="889"/>
      <c r="F681" s="889"/>
      <c r="G681" s="889"/>
      <c r="H681" s="889"/>
      <c r="I681" s="889"/>
      <c r="J681" s="889"/>
      <c r="K681" s="889"/>
      <c r="L681" s="889"/>
      <c r="M681" s="889"/>
      <c r="N681" s="944"/>
      <c r="O681" s="944"/>
      <c r="P681" s="944"/>
      <c r="Q681" s="944"/>
      <c r="R681" s="944"/>
      <c r="S681" s="889"/>
      <c r="T681" s="889"/>
      <c r="U681" s="889"/>
      <c r="V681" s="889"/>
      <c r="W681" s="889"/>
      <c r="X681" s="889"/>
      <c r="Y681" s="889"/>
      <c r="Z681" s="889"/>
      <c r="AA681" s="889"/>
      <c r="AB681" s="889"/>
      <c r="AC681" s="889"/>
      <c r="AD681" s="889"/>
      <c r="AE681" s="889"/>
      <c r="AF681" s="889"/>
      <c r="AG681" s="889"/>
      <c r="AH681" s="889"/>
      <c r="AI681" s="889"/>
      <c r="AJ681" s="889"/>
      <c r="AK681" s="889"/>
      <c r="AL681" s="889"/>
      <c r="AM681" s="889"/>
      <c r="AN681" s="889"/>
      <c r="AO681" s="889"/>
      <c r="AP681" s="889"/>
      <c r="AQ681" s="889"/>
      <c r="AR681" s="889"/>
      <c r="AS681" s="889"/>
      <c r="AT681" s="889"/>
      <c r="AU681" s="889"/>
      <c r="AV681" s="889"/>
      <c r="AW681" s="889"/>
      <c r="AX681" s="889"/>
      <c r="AY681" s="889"/>
      <c r="AZ681" s="889"/>
    </row>
    <row r="682">
      <c r="A682" s="889"/>
      <c r="B682" s="889"/>
      <c r="C682" s="889"/>
      <c r="D682" s="889"/>
      <c r="E682" s="889"/>
      <c r="F682" s="889"/>
      <c r="G682" s="889"/>
      <c r="H682" s="889"/>
      <c r="I682" s="889"/>
      <c r="J682" s="889"/>
      <c r="K682" s="889"/>
      <c r="L682" s="889"/>
      <c r="M682" s="889"/>
      <c r="N682" s="944"/>
      <c r="O682" s="944"/>
      <c r="P682" s="944"/>
      <c r="Q682" s="944"/>
      <c r="R682" s="944"/>
      <c r="S682" s="889"/>
      <c r="T682" s="889"/>
      <c r="U682" s="889"/>
      <c r="V682" s="889"/>
      <c r="W682" s="889"/>
      <c r="X682" s="889"/>
      <c r="Y682" s="889"/>
      <c r="Z682" s="889"/>
      <c r="AA682" s="889"/>
      <c r="AB682" s="889"/>
      <c r="AC682" s="889"/>
      <c r="AD682" s="889"/>
      <c r="AE682" s="889"/>
      <c r="AF682" s="889"/>
      <c r="AG682" s="889"/>
      <c r="AH682" s="889"/>
      <c r="AI682" s="889"/>
      <c r="AJ682" s="889"/>
      <c r="AK682" s="889"/>
      <c r="AL682" s="889"/>
      <c r="AM682" s="889"/>
      <c r="AN682" s="889"/>
      <c r="AO682" s="889"/>
      <c r="AP682" s="889"/>
      <c r="AQ682" s="889"/>
      <c r="AR682" s="889"/>
      <c r="AS682" s="889"/>
      <c r="AT682" s="889"/>
      <c r="AU682" s="889"/>
      <c r="AV682" s="889"/>
      <c r="AW682" s="889"/>
      <c r="AX682" s="889"/>
      <c r="AY682" s="889"/>
      <c r="AZ682" s="889"/>
    </row>
    <row r="683">
      <c r="A683" s="889"/>
      <c r="B683" s="889"/>
      <c r="C683" s="889"/>
      <c r="D683" s="889"/>
      <c r="E683" s="889"/>
      <c r="F683" s="889"/>
      <c r="G683" s="889"/>
      <c r="H683" s="889"/>
      <c r="I683" s="889"/>
      <c r="J683" s="889"/>
      <c r="K683" s="889"/>
      <c r="L683" s="889"/>
      <c r="M683" s="889"/>
      <c r="N683" s="944"/>
      <c r="O683" s="944"/>
      <c r="P683" s="944"/>
      <c r="Q683" s="944"/>
      <c r="R683" s="944"/>
      <c r="S683" s="889"/>
      <c r="T683" s="889"/>
      <c r="U683" s="889"/>
      <c r="V683" s="889"/>
      <c r="W683" s="889"/>
      <c r="X683" s="889"/>
      <c r="Y683" s="889"/>
      <c r="Z683" s="889"/>
      <c r="AA683" s="889"/>
      <c r="AB683" s="889"/>
      <c r="AC683" s="889"/>
      <c r="AD683" s="889"/>
      <c r="AE683" s="889"/>
      <c r="AF683" s="889"/>
      <c r="AG683" s="889"/>
      <c r="AH683" s="889"/>
      <c r="AI683" s="889"/>
      <c r="AJ683" s="889"/>
      <c r="AK683" s="889"/>
      <c r="AL683" s="889"/>
      <c r="AM683" s="889"/>
      <c r="AN683" s="889"/>
      <c r="AO683" s="889"/>
      <c r="AP683" s="889"/>
      <c r="AQ683" s="889"/>
      <c r="AR683" s="889"/>
      <c r="AS683" s="889"/>
      <c r="AT683" s="889"/>
      <c r="AU683" s="889"/>
      <c r="AV683" s="889"/>
      <c r="AW683" s="889"/>
      <c r="AX683" s="889"/>
      <c r="AY683" s="889"/>
      <c r="AZ683" s="889"/>
    </row>
    <row r="684">
      <c r="A684" s="889"/>
      <c r="B684" s="889"/>
      <c r="C684" s="889"/>
      <c r="D684" s="889"/>
      <c r="E684" s="889"/>
      <c r="F684" s="889"/>
      <c r="G684" s="889"/>
      <c r="H684" s="889"/>
      <c r="I684" s="889"/>
      <c r="J684" s="889"/>
      <c r="K684" s="889"/>
      <c r="L684" s="889"/>
      <c r="M684" s="889"/>
      <c r="N684" s="944"/>
      <c r="O684" s="944"/>
      <c r="P684" s="944"/>
      <c r="Q684" s="944"/>
      <c r="R684" s="944"/>
      <c r="S684" s="889"/>
      <c r="T684" s="889"/>
      <c r="U684" s="889"/>
      <c r="V684" s="889"/>
      <c r="W684" s="889"/>
      <c r="X684" s="889"/>
      <c r="Y684" s="889"/>
      <c r="Z684" s="889"/>
      <c r="AA684" s="889"/>
      <c r="AB684" s="889"/>
      <c r="AC684" s="889"/>
      <c r="AD684" s="889"/>
      <c r="AE684" s="889"/>
      <c r="AF684" s="889"/>
      <c r="AG684" s="889"/>
      <c r="AH684" s="889"/>
      <c r="AI684" s="889"/>
      <c r="AJ684" s="889"/>
      <c r="AK684" s="889"/>
      <c r="AL684" s="889"/>
      <c r="AM684" s="889"/>
      <c r="AN684" s="889"/>
      <c r="AO684" s="889"/>
      <c r="AP684" s="889"/>
      <c r="AQ684" s="889"/>
      <c r="AR684" s="889"/>
      <c r="AS684" s="889"/>
      <c r="AT684" s="889"/>
      <c r="AU684" s="889"/>
      <c r="AV684" s="889"/>
      <c r="AW684" s="889"/>
      <c r="AX684" s="889"/>
      <c r="AY684" s="889"/>
      <c r="AZ684" s="889"/>
    </row>
    <row r="685">
      <c r="A685" s="889"/>
      <c r="B685" s="889"/>
      <c r="C685" s="889"/>
      <c r="D685" s="889"/>
      <c r="E685" s="889"/>
      <c r="F685" s="889"/>
      <c r="G685" s="889"/>
      <c r="H685" s="889"/>
      <c r="I685" s="889"/>
      <c r="J685" s="889"/>
      <c r="K685" s="889"/>
      <c r="L685" s="889"/>
      <c r="M685" s="889"/>
      <c r="N685" s="944"/>
      <c r="O685" s="944"/>
      <c r="P685" s="944"/>
      <c r="Q685" s="944"/>
      <c r="R685" s="944"/>
      <c r="S685" s="889"/>
      <c r="T685" s="889"/>
      <c r="U685" s="889"/>
      <c r="V685" s="889"/>
      <c r="W685" s="889"/>
      <c r="X685" s="889"/>
      <c r="Y685" s="889"/>
      <c r="Z685" s="889"/>
      <c r="AA685" s="889"/>
      <c r="AB685" s="889"/>
      <c r="AC685" s="889"/>
      <c r="AD685" s="889"/>
      <c r="AE685" s="889"/>
      <c r="AF685" s="889"/>
      <c r="AG685" s="889"/>
      <c r="AH685" s="889"/>
      <c r="AI685" s="889"/>
      <c r="AJ685" s="889"/>
      <c r="AK685" s="889"/>
      <c r="AL685" s="889"/>
      <c r="AM685" s="889"/>
      <c r="AN685" s="889"/>
      <c r="AO685" s="889"/>
      <c r="AP685" s="889"/>
      <c r="AQ685" s="889"/>
      <c r="AR685" s="889"/>
      <c r="AS685" s="889"/>
      <c r="AT685" s="889"/>
      <c r="AU685" s="889"/>
      <c r="AV685" s="889"/>
      <c r="AW685" s="889"/>
      <c r="AX685" s="889"/>
      <c r="AY685" s="889"/>
      <c r="AZ685" s="889"/>
    </row>
    <row r="686">
      <c r="A686" s="889"/>
      <c r="B686" s="889"/>
      <c r="C686" s="889"/>
      <c r="D686" s="889"/>
      <c r="E686" s="889"/>
      <c r="F686" s="889"/>
      <c r="G686" s="889"/>
      <c r="H686" s="889"/>
      <c r="I686" s="889"/>
      <c r="J686" s="889"/>
      <c r="K686" s="889"/>
      <c r="L686" s="889"/>
      <c r="M686" s="889"/>
      <c r="N686" s="944"/>
      <c r="O686" s="944"/>
      <c r="P686" s="944"/>
      <c r="Q686" s="944"/>
      <c r="R686" s="944"/>
      <c r="S686" s="889"/>
      <c r="T686" s="889"/>
      <c r="U686" s="889"/>
      <c r="V686" s="889"/>
      <c r="W686" s="889"/>
      <c r="X686" s="889"/>
      <c r="Y686" s="889"/>
      <c r="Z686" s="889"/>
      <c r="AA686" s="889"/>
      <c r="AB686" s="889"/>
      <c r="AC686" s="889"/>
      <c r="AD686" s="889"/>
      <c r="AE686" s="889"/>
      <c r="AF686" s="889"/>
      <c r="AG686" s="889"/>
      <c r="AH686" s="889"/>
      <c r="AI686" s="889"/>
      <c r="AJ686" s="889"/>
      <c r="AK686" s="889"/>
      <c r="AL686" s="889"/>
      <c r="AM686" s="889"/>
      <c r="AN686" s="889"/>
      <c r="AO686" s="889"/>
      <c r="AP686" s="889"/>
      <c r="AQ686" s="889"/>
      <c r="AR686" s="889"/>
      <c r="AS686" s="889"/>
      <c r="AT686" s="889"/>
      <c r="AU686" s="889"/>
      <c r="AV686" s="889"/>
      <c r="AW686" s="889"/>
      <c r="AX686" s="889"/>
      <c r="AY686" s="889"/>
      <c r="AZ686" s="889"/>
    </row>
    <row r="687">
      <c r="A687" s="889"/>
      <c r="B687" s="889"/>
      <c r="C687" s="889"/>
      <c r="D687" s="889"/>
      <c r="E687" s="889"/>
      <c r="F687" s="889"/>
      <c r="G687" s="889"/>
      <c r="H687" s="889"/>
      <c r="I687" s="889"/>
      <c r="J687" s="889"/>
      <c r="K687" s="889"/>
      <c r="L687" s="889"/>
      <c r="M687" s="889"/>
      <c r="N687" s="944"/>
      <c r="O687" s="944"/>
      <c r="P687" s="944"/>
      <c r="Q687" s="944"/>
      <c r="R687" s="944"/>
      <c r="S687" s="889"/>
      <c r="T687" s="889"/>
      <c r="U687" s="889"/>
      <c r="V687" s="889"/>
      <c r="W687" s="889"/>
      <c r="X687" s="889"/>
      <c r="Y687" s="889"/>
      <c r="Z687" s="889"/>
      <c r="AA687" s="889"/>
      <c r="AB687" s="889"/>
      <c r="AC687" s="889"/>
      <c r="AD687" s="889"/>
      <c r="AE687" s="889"/>
      <c r="AF687" s="889"/>
      <c r="AG687" s="889"/>
      <c r="AH687" s="889"/>
      <c r="AI687" s="889"/>
      <c r="AJ687" s="889"/>
      <c r="AK687" s="889"/>
      <c r="AL687" s="889"/>
      <c r="AM687" s="889"/>
      <c r="AN687" s="889"/>
      <c r="AO687" s="889"/>
      <c r="AP687" s="889"/>
      <c r="AQ687" s="889"/>
      <c r="AR687" s="889"/>
      <c r="AS687" s="889"/>
      <c r="AT687" s="889"/>
      <c r="AU687" s="889"/>
      <c r="AV687" s="889"/>
      <c r="AW687" s="889"/>
      <c r="AX687" s="889"/>
      <c r="AY687" s="889"/>
      <c r="AZ687" s="889"/>
    </row>
    <row r="688">
      <c r="A688" s="889"/>
      <c r="B688" s="889"/>
      <c r="C688" s="889"/>
      <c r="D688" s="889"/>
      <c r="E688" s="889"/>
      <c r="F688" s="889"/>
      <c r="G688" s="889"/>
      <c r="H688" s="889"/>
      <c r="I688" s="889"/>
      <c r="J688" s="889"/>
      <c r="K688" s="889"/>
      <c r="L688" s="889"/>
      <c r="M688" s="889"/>
      <c r="N688" s="944"/>
      <c r="O688" s="944"/>
      <c r="P688" s="944"/>
      <c r="Q688" s="944"/>
      <c r="R688" s="944"/>
      <c r="S688" s="889"/>
      <c r="T688" s="889"/>
      <c r="U688" s="889"/>
      <c r="V688" s="889"/>
      <c r="W688" s="889"/>
      <c r="X688" s="889"/>
      <c r="Y688" s="889"/>
      <c r="Z688" s="889"/>
      <c r="AA688" s="889"/>
      <c r="AB688" s="889"/>
      <c r="AC688" s="889"/>
      <c r="AD688" s="889"/>
      <c r="AE688" s="889"/>
      <c r="AF688" s="889"/>
      <c r="AG688" s="889"/>
      <c r="AH688" s="889"/>
      <c r="AI688" s="889"/>
      <c r="AJ688" s="889"/>
      <c r="AK688" s="889"/>
      <c r="AL688" s="889"/>
      <c r="AM688" s="889"/>
      <c r="AN688" s="889"/>
      <c r="AO688" s="889"/>
      <c r="AP688" s="889"/>
      <c r="AQ688" s="889"/>
      <c r="AR688" s="889"/>
      <c r="AS688" s="889"/>
      <c r="AT688" s="889"/>
      <c r="AU688" s="889"/>
      <c r="AV688" s="889"/>
      <c r="AW688" s="889"/>
      <c r="AX688" s="889"/>
      <c r="AY688" s="889"/>
      <c r="AZ688" s="889"/>
    </row>
    <row r="689">
      <c r="A689" s="889"/>
      <c r="B689" s="889"/>
      <c r="C689" s="889"/>
      <c r="D689" s="889"/>
      <c r="E689" s="889"/>
      <c r="F689" s="889"/>
      <c r="G689" s="889"/>
      <c r="H689" s="889"/>
      <c r="I689" s="889"/>
      <c r="J689" s="889"/>
      <c r="K689" s="889"/>
      <c r="L689" s="889"/>
      <c r="M689" s="889"/>
      <c r="N689" s="944"/>
      <c r="O689" s="944"/>
      <c r="P689" s="944"/>
      <c r="Q689" s="944"/>
      <c r="R689" s="944"/>
      <c r="S689" s="889"/>
      <c r="T689" s="889"/>
      <c r="U689" s="889"/>
      <c r="V689" s="889"/>
      <c r="W689" s="889"/>
      <c r="X689" s="889"/>
      <c r="Y689" s="889"/>
      <c r="Z689" s="889"/>
      <c r="AA689" s="889"/>
      <c r="AB689" s="889"/>
      <c r="AC689" s="889"/>
      <c r="AD689" s="889"/>
      <c r="AE689" s="889"/>
      <c r="AF689" s="889"/>
      <c r="AG689" s="889"/>
      <c r="AH689" s="889"/>
      <c r="AI689" s="889"/>
      <c r="AJ689" s="889"/>
      <c r="AK689" s="889"/>
      <c r="AL689" s="889"/>
      <c r="AM689" s="889"/>
      <c r="AN689" s="889"/>
      <c r="AO689" s="889"/>
      <c r="AP689" s="889"/>
      <c r="AQ689" s="889"/>
      <c r="AR689" s="889"/>
      <c r="AS689" s="889"/>
      <c r="AT689" s="889"/>
      <c r="AU689" s="889"/>
      <c r="AV689" s="889"/>
      <c r="AW689" s="889"/>
      <c r="AX689" s="889"/>
      <c r="AY689" s="889"/>
      <c r="AZ689" s="889"/>
    </row>
    <row r="690">
      <c r="A690" s="889"/>
      <c r="B690" s="889"/>
      <c r="C690" s="889"/>
      <c r="D690" s="889"/>
      <c r="E690" s="889"/>
      <c r="F690" s="889"/>
      <c r="G690" s="889"/>
      <c r="H690" s="889"/>
      <c r="I690" s="889"/>
      <c r="J690" s="889"/>
      <c r="K690" s="889"/>
      <c r="L690" s="889"/>
      <c r="M690" s="889"/>
      <c r="N690" s="944"/>
      <c r="O690" s="944"/>
      <c r="P690" s="944"/>
      <c r="Q690" s="944"/>
      <c r="R690" s="944"/>
      <c r="S690" s="889"/>
      <c r="T690" s="889"/>
      <c r="U690" s="889"/>
      <c r="V690" s="889"/>
      <c r="W690" s="889"/>
      <c r="X690" s="889"/>
      <c r="Y690" s="889"/>
      <c r="Z690" s="889"/>
      <c r="AA690" s="889"/>
      <c r="AB690" s="889"/>
      <c r="AC690" s="889"/>
      <c r="AD690" s="889"/>
      <c r="AE690" s="889"/>
      <c r="AF690" s="889"/>
      <c r="AG690" s="889"/>
      <c r="AH690" s="889"/>
      <c r="AI690" s="889"/>
      <c r="AJ690" s="889"/>
      <c r="AK690" s="889"/>
      <c r="AL690" s="889"/>
      <c r="AM690" s="889"/>
      <c r="AN690" s="889"/>
      <c r="AO690" s="889"/>
      <c r="AP690" s="889"/>
      <c r="AQ690" s="889"/>
      <c r="AR690" s="889"/>
      <c r="AS690" s="889"/>
      <c r="AT690" s="889"/>
      <c r="AU690" s="889"/>
      <c r="AV690" s="889"/>
      <c r="AW690" s="889"/>
      <c r="AX690" s="889"/>
      <c r="AY690" s="889"/>
      <c r="AZ690" s="889"/>
    </row>
    <row r="691">
      <c r="A691" s="889"/>
      <c r="B691" s="889"/>
      <c r="C691" s="889"/>
      <c r="D691" s="889"/>
      <c r="E691" s="889"/>
      <c r="F691" s="889"/>
      <c r="G691" s="889"/>
      <c r="H691" s="889"/>
      <c r="I691" s="889"/>
      <c r="J691" s="889"/>
      <c r="K691" s="889"/>
      <c r="L691" s="889"/>
      <c r="M691" s="889"/>
      <c r="N691" s="944"/>
      <c r="O691" s="944"/>
      <c r="P691" s="944"/>
      <c r="Q691" s="944"/>
      <c r="R691" s="944"/>
      <c r="S691" s="889"/>
      <c r="T691" s="889"/>
      <c r="U691" s="889"/>
      <c r="V691" s="889"/>
      <c r="W691" s="889"/>
      <c r="X691" s="889"/>
      <c r="Y691" s="889"/>
      <c r="Z691" s="889"/>
      <c r="AA691" s="889"/>
      <c r="AB691" s="889"/>
      <c r="AC691" s="889"/>
      <c r="AD691" s="889"/>
      <c r="AE691" s="889"/>
      <c r="AF691" s="889"/>
      <c r="AG691" s="889"/>
      <c r="AH691" s="889"/>
      <c r="AI691" s="889"/>
      <c r="AJ691" s="889"/>
      <c r="AK691" s="889"/>
      <c r="AL691" s="889"/>
      <c r="AM691" s="889"/>
      <c r="AN691" s="889"/>
      <c r="AO691" s="889"/>
      <c r="AP691" s="889"/>
      <c r="AQ691" s="889"/>
      <c r="AR691" s="889"/>
      <c r="AS691" s="889"/>
      <c r="AT691" s="889"/>
      <c r="AU691" s="889"/>
      <c r="AV691" s="889"/>
      <c r="AW691" s="889"/>
      <c r="AX691" s="889"/>
      <c r="AY691" s="889"/>
      <c r="AZ691" s="889"/>
    </row>
    <row r="692">
      <c r="A692" s="889"/>
      <c r="B692" s="889"/>
      <c r="C692" s="889"/>
      <c r="D692" s="889"/>
      <c r="E692" s="889"/>
      <c r="F692" s="889"/>
      <c r="G692" s="889"/>
      <c r="H692" s="889"/>
      <c r="I692" s="889"/>
      <c r="J692" s="889"/>
      <c r="K692" s="889"/>
      <c r="L692" s="889"/>
      <c r="M692" s="889"/>
      <c r="N692" s="944"/>
      <c r="O692" s="944"/>
      <c r="P692" s="944"/>
      <c r="Q692" s="944"/>
      <c r="R692" s="944"/>
      <c r="S692" s="889"/>
      <c r="T692" s="889"/>
      <c r="U692" s="889"/>
      <c r="V692" s="889"/>
      <c r="W692" s="889"/>
      <c r="X692" s="889"/>
      <c r="Y692" s="889"/>
      <c r="Z692" s="889"/>
      <c r="AA692" s="889"/>
      <c r="AB692" s="889"/>
      <c r="AC692" s="889"/>
      <c r="AD692" s="889"/>
      <c r="AE692" s="889"/>
      <c r="AF692" s="889"/>
      <c r="AG692" s="889"/>
      <c r="AH692" s="889"/>
      <c r="AI692" s="889"/>
      <c r="AJ692" s="889"/>
      <c r="AK692" s="889"/>
      <c r="AL692" s="889"/>
      <c r="AM692" s="889"/>
      <c r="AN692" s="889"/>
      <c r="AO692" s="889"/>
      <c r="AP692" s="889"/>
      <c r="AQ692" s="889"/>
      <c r="AR692" s="889"/>
      <c r="AS692" s="889"/>
      <c r="AT692" s="889"/>
      <c r="AU692" s="889"/>
      <c r="AV692" s="889"/>
      <c r="AW692" s="889"/>
      <c r="AX692" s="889"/>
      <c r="AY692" s="889"/>
      <c r="AZ692" s="889"/>
    </row>
    <row r="693">
      <c r="A693" s="889"/>
      <c r="B693" s="889"/>
      <c r="C693" s="889"/>
      <c r="D693" s="889"/>
      <c r="E693" s="889"/>
      <c r="F693" s="889"/>
      <c r="G693" s="889"/>
      <c r="H693" s="889"/>
      <c r="I693" s="889"/>
      <c r="J693" s="889"/>
      <c r="K693" s="889"/>
      <c r="L693" s="889"/>
      <c r="M693" s="889"/>
      <c r="N693" s="944"/>
      <c r="O693" s="944"/>
      <c r="P693" s="944"/>
      <c r="Q693" s="944"/>
      <c r="R693" s="944"/>
      <c r="S693" s="889"/>
      <c r="T693" s="889"/>
      <c r="U693" s="889"/>
      <c r="V693" s="889"/>
      <c r="W693" s="889"/>
      <c r="X693" s="889"/>
      <c r="Y693" s="889"/>
      <c r="Z693" s="889"/>
      <c r="AA693" s="889"/>
      <c r="AB693" s="889"/>
      <c r="AC693" s="889"/>
      <c r="AD693" s="889"/>
      <c r="AE693" s="889"/>
      <c r="AF693" s="889"/>
      <c r="AG693" s="889"/>
      <c r="AH693" s="889"/>
      <c r="AI693" s="889"/>
      <c r="AJ693" s="889"/>
      <c r="AK693" s="889"/>
      <c r="AL693" s="889"/>
      <c r="AM693" s="889"/>
      <c r="AN693" s="889"/>
      <c r="AO693" s="889"/>
      <c r="AP693" s="889"/>
      <c r="AQ693" s="889"/>
      <c r="AR693" s="889"/>
      <c r="AS693" s="889"/>
      <c r="AT693" s="889"/>
      <c r="AU693" s="889"/>
      <c r="AV693" s="889"/>
      <c r="AW693" s="889"/>
      <c r="AX693" s="889"/>
      <c r="AY693" s="889"/>
      <c r="AZ693" s="889"/>
    </row>
    <row r="694">
      <c r="A694" s="889"/>
      <c r="B694" s="889"/>
      <c r="C694" s="889"/>
      <c r="D694" s="889"/>
      <c r="E694" s="889"/>
      <c r="F694" s="889"/>
      <c r="G694" s="889"/>
      <c r="H694" s="889"/>
      <c r="I694" s="889"/>
      <c r="J694" s="889"/>
      <c r="K694" s="889"/>
      <c r="L694" s="889"/>
      <c r="M694" s="889"/>
      <c r="N694" s="944"/>
      <c r="O694" s="944"/>
      <c r="P694" s="944"/>
      <c r="Q694" s="944"/>
      <c r="R694" s="944"/>
      <c r="S694" s="889"/>
      <c r="T694" s="889"/>
      <c r="U694" s="889"/>
      <c r="V694" s="889"/>
      <c r="W694" s="889"/>
      <c r="X694" s="889"/>
      <c r="Y694" s="889"/>
      <c r="Z694" s="889"/>
      <c r="AA694" s="889"/>
      <c r="AB694" s="889"/>
      <c r="AC694" s="889"/>
      <c r="AD694" s="889"/>
      <c r="AE694" s="889"/>
      <c r="AF694" s="889"/>
      <c r="AG694" s="889"/>
      <c r="AH694" s="889"/>
      <c r="AI694" s="889"/>
      <c r="AJ694" s="889"/>
      <c r="AK694" s="889"/>
      <c r="AL694" s="889"/>
      <c r="AM694" s="889"/>
      <c r="AN694" s="889"/>
      <c r="AO694" s="889"/>
      <c r="AP694" s="889"/>
      <c r="AQ694" s="889"/>
      <c r="AR694" s="889"/>
      <c r="AS694" s="889"/>
      <c r="AT694" s="889"/>
      <c r="AU694" s="889"/>
      <c r="AV694" s="889"/>
      <c r="AW694" s="889"/>
      <c r="AX694" s="889"/>
      <c r="AY694" s="889"/>
      <c r="AZ694" s="889"/>
    </row>
    <row r="695">
      <c r="A695" s="889"/>
      <c r="B695" s="889"/>
      <c r="C695" s="889"/>
      <c r="D695" s="889"/>
      <c r="E695" s="889"/>
      <c r="F695" s="889"/>
      <c r="G695" s="889"/>
      <c r="H695" s="889"/>
      <c r="I695" s="889"/>
      <c r="J695" s="889"/>
      <c r="K695" s="889"/>
      <c r="L695" s="889"/>
      <c r="M695" s="889"/>
      <c r="N695" s="944"/>
      <c r="O695" s="944"/>
      <c r="P695" s="944"/>
      <c r="Q695" s="944"/>
      <c r="R695" s="944"/>
      <c r="S695" s="889"/>
      <c r="T695" s="889"/>
      <c r="U695" s="889"/>
      <c r="V695" s="889"/>
      <c r="W695" s="889"/>
      <c r="X695" s="889"/>
      <c r="Y695" s="889"/>
      <c r="Z695" s="889"/>
      <c r="AA695" s="889"/>
      <c r="AB695" s="889"/>
      <c r="AC695" s="889"/>
      <c r="AD695" s="889"/>
      <c r="AE695" s="889"/>
      <c r="AF695" s="889"/>
      <c r="AG695" s="889"/>
      <c r="AH695" s="889"/>
      <c r="AI695" s="889"/>
      <c r="AJ695" s="889"/>
      <c r="AK695" s="889"/>
      <c r="AL695" s="889"/>
      <c r="AM695" s="889"/>
      <c r="AN695" s="889"/>
      <c r="AO695" s="889"/>
      <c r="AP695" s="889"/>
      <c r="AQ695" s="889"/>
      <c r="AR695" s="889"/>
      <c r="AS695" s="889"/>
      <c r="AT695" s="889"/>
      <c r="AU695" s="889"/>
      <c r="AV695" s="889"/>
      <c r="AW695" s="889"/>
      <c r="AX695" s="889"/>
      <c r="AY695" s="889"/>
      <c r="AZ695" s="889"/>
    </row>
    <row r="696">
      <c r="A696" s="889"/>
      <c r="B696" s="889"/>
      <c r="C696" s="889"/>
      <c r="D696" s="889"/>
      <c r="E696" s="889"/>
      <c r="F696" s="889"/>
      <c r="G696" s="889"/>
      <c r="H696" s="889"/>
      <c r="I696" s="889"/>
      <c r="J696" s="889"/>
      <c r="K696" s="889"/>
      <c r="L696" s="889"/>
      <c r="M696" s="889"/>
      <c r="N696" s="944"/>
      <c r="O696" s="944"/>
      <c r="P696" s="944"/>
      <c r="Q696" s="944"/>
      <c r="R696" s="944"/>
      <c r="S696" s="889"/>
      <c r="T696" s="889"/>
      <c r="U696" s="889"/>
      <c r="V696" s="889"/>
      <c r="W696" s="889"/>
      <c r="X696" s="889"/>
      <c r="Y696" s="889"/>
      <c r="Z696" s="889"/>
      <c r="AA696" s="889"/>
      <c r="AB696" s="889"/>
      <c r="AC696" s="889"/>
      <c r="AD696" s="889"/>
      <c r="AE696" s="889"/>
      <c r="AF696" s="889"/>
      <c r="AG696" s="889"/>
      <c r="AH696" s="889"/>
      <c r="AI696" s="889"/>
      <c r="AJ696" s="889"/>
      <c r="AK696" s="889"/>
      <c r="AL696" s="889"/>
      <c r="AM696" s="889"/>
      <c r="AN696" s="889"/>
      <c r="AO696" s="889"/>
      <c r="AP696" s="889"/>
      <c r="AQ696" s="889"/>
      <c r="AR696" s="889"/>
      <c r="AS696" s="889"/>
      <c r="AT696" s="889"/>
      <c r="AU696" s="889"/>
      <c r="AV696" s="889"/>
      <c r="AW696" s="889"/>
      <c r="AX696" s="889"/>
      <c r="AY696" s="889"/>
      <c r="AZ696" s="889"/>
    </row>
    <row r="697">
      <c r="A697" s="889"/>
      <c r="B697" s="889"/>
      <c r="C697" s="889"/>
      <c r="D697" s="889"/>
      <c r="E697" s="889"/>
      <c r="F697" s="889"/>
      <c r="G697" s="889"/>
      <c r="H697" s="889"/>
      <c r="I697" s="889"/>
      <c r="J697" s="889"/>
      <c r="K697" s="889"/>
      <c r="L697" s="889"/>
      <c r="M697" s="889"/>
      <c r="N697" s="944"/>
      <c r="O697" s="944"/>
      <c r="P697" s="944"/>
      <c r="Q697" s="944"/>
      <c r="R697" s="944"/>
      <c r="S697" s="889"/>
      <c r="T697" s="889"/>
      <c r="U697" s="889"/>
      <c r="V697" s="889"/>
      <c r="W697" s="889"/>
      <c r="X697" s="889"/>
      <c r="Y697" s="889"/>
      <c r="Z697" s="889"/>
      <c r="AA697" s="889"/>
      <c r="AB697" s="889"/>
      <c r="AC697" s="889"/>
      <c r="AD697" s="889"/>
      <c r="AE697" s="889"/>
      <c r="AF697" s="889"/>
      <c r="AG697" s="889"/>
      <c r="AH697" s="889"/>
      <c r="AI697" s="889"/>
      <c r="AJ697" s="889"/>
      <c r="AK697" s="889"/>
      <c r="AL697" s="889"/>
      <c r="AM697" s="889"/>
      <c r="AN697" s="889"/>
      <c r="AO697" s="889"/>
      <c r="AP697" s="889"/>
      <c r="AQ697" s="889"/>
      <c r="AR697" s="889"/>
      <c r="AS697" s="889"/>
      <c r="AT697" s="889"/>
      <c r="AU697" s="889"/>
      <c r="AV697" s="889"/>
      <c r="AW697" s="889"/>
      <c r="AX697" s="889"/>
      <c r="AY697" s="889"/>
      <c r="AZ697" s="889"/>
    </row>
    <row r="698">
      <c r="A698" s="889"/>
      <c r="B698" s="889"/>
      <c r="C698" s="889"/>
      <c r="D698" s="889"/>
      <c r="E698" s="889"/>
      <c r="F698" s="889"/>
      <c r="G698" s="889"/>
      <c r="H698" s="889"/>
      <c r="I698" s="889"/>
      <c r="J698" s="889"/>
      <c r="K698" s="889"/>
      <c r="L698" s="889"/>
      <c r="M698" s="889"/>
      <c r="N698" s="944"/>
      <c r="O698" s="944"/>
      <c r="P698" s="944"/>
      <c r="Q698" s="944"/>
      <c r="R698" s="944"/>
      <c r="S698" s="889"/>
      <c r="T698" s="889"/>
      <c r="U698" s="889"/>
      <c r="V698" s="889"/>
      <c r="W698" s="889"/>
      <c r="X698" s="889"/>
      <c r="Y698" s="889"/>
      <c r="Z698" s="889"/>
      <c r="AA698" s="889"/>
      <c r="AB698" s="889"/>
      <c r="AC698" s="889"/>
      <c r="AD698" s="889"/>
      <c r="AE698" s="889"/>
      <c r="AF698" s="889"/>
      <c r="AG698" s="889"/>
      <c r="AH698" s="889"/>
      <c r="AI698" s="889"/>
      <c r="AJ698" s="889"/>
      <c r="AK698" s="889"/>
      <c r="AL698" s="889"/>
      <c r="AM698" s="889"/>
      <c r="AN698" s="889"/>
      <c r="AO698" s="889"/>
      <c r="AP698" s="889"/>
      <c r="AQ698" s="889"/>
      <c r="AR698" s="889"/>
      <c r="AS698" s="889"/>
      <c r="AT698" s="889"/>
      <c r="AU698" s="889"/>
      <c r="AV698" s="889"/>
      <c r="AW698" s="889"/>
      <c r="AX698" s="889"/>
      <c r="AY698" s="889"/>
      <c r="AZ698" s="889"/>
    </row>
    <row r="699">
      <c r="A699" s="889"/>
      <c r="B699" s="889"/>
      <c r="C699" s="889"/>
      <c r="D699" s="889"/>
      <c r="E699" s="889"/>
      <c r="F699" s="889"/>
      <c r="G699" s="889"/>
      <c r="H699" s="889"/>
      <c r="I699" s="889"/>
      <c r="J699" s="889"/>
      <c r="K699" s="889"/>
      <c r="L699" s="889"/>
      <c r="M699" s="889"/>
      <c r="N699" s="944"/>
      <c r="O699" s="944"/>
      <c r="P699" s="944"/>
      <c r="Q699" s="944"/>
      <c r="R699" s="944"/>
      <c r="S699" s="889"/>
      <c r="T699" s="889"/>
      <c r="U699" s="889"/>
      <c r="V699" s="889"/>
      <c r="W699" s="889"/>
      <c r="X699" s="889"/>
      <c r="Y699" s="889"/>
      <c r="Z699" s="889"/>
      <c r="AA699" s="889"/>
      <c r="AB699" s="889"/>
      <c r="AC699" s="889"/>
      <c r="AD699" s="889"/>
      <c r="AE699" s="889"/>
      <c r="AF699" s="889"/>
      <c r="AG699" s="889"/>
      <c r="AH699" s="889"/>
      <c r="AI699" s="889"/>
      <c r="AJ699" s="889"/>
      <c r="AK699" s="889"/>
      <c r="AL699" s="889"/>
      <c r="AM699" s="889"/>
      <c r="AN699" s="889"/>
      <c r="AO699" s="889"/>
      <c r="AP699" s="889"/>
      <c r="AQ699" s="889"/>
      <c r="AR699" s="889"/>
      <c r="AS699" s="889"/>
      <c r="AT699" s="889"/>
      <c r="AU699" s="889"/>
      <c r="AV699" s="889"/>
      <c r="AW699" s="889"/>
      <c r="AX699" s="889"/>
      <c r="AY699" s="889"/>
      <c r="AZ699" s="889"/>
    </row>
    <row r="700">
      <c r="A700" s="889"/>
      <c r="B700" s="889"/>
      <c r="C700" s="889"/>
      <c r="D700" s="889"/>
      <c r="E700" s="889"/>
      <c r="F700" s="889"/>
      <c r="G700" s="889"/>
      <c r="H700" s="889"/>
      <c r="I700" s="889"/>
      <c r="J700" s="889"/>
      <c r="K700" s="889"/>
      <c r="L700" s="889"/>
      <c r="M700" s="889"/>
      <c r="N700" s="944"/>
      <c r="O700" s="944"/>
      <c r="P700" s="944"/>
      <c r="Q700" s="944"/>
      <c r="R700" s="944"/>
      <c r="S700" s="889"/>
      <c r="T700" s="889"/>
      <c r="U700" s="889"/>
      <c r="V700" s="889"/>
      <c r="W700" s="889"/>
      <c r="X700" s="889"/>
      <c r="Y700" s="889"/>
      <c r="Z700" s="889"/>
      <c r="AA700" s="889"/>
      <c r="AB700" s="889"/>
      <c r="AC700" s="889"/>
      <c r="AD700" s="889"/>
      <c r="AE700" s="889"/>
      <c r="AF700" s="889"/>
      <c r="AG700" s="889"/>
      <c r="AH700" s="889"/>
      <c r="AI700" s="889"/>
      <c r="AJ700" s="889"/>
      <c r="AK700" s="889"/>
      <c r="AL700" s="889"/>
      <c r="AM700" s="889"/>
      <c r="AN700" s="889"/>
      <c r="AO700" s="889"/>
      <c r="AP700" s="889"/>
      <c r="AQ700" s="889"/>
      <c r="AR700" s="889"/>
      <c r="AS700" s="889"/>
      <c r="AT700" s="889"/>
      <c r="AU700" s="889"/>
      <c r="AV700" s="889"/>
      <c r="AW700" s="889"/>
      <c r="AX700" s="889"/>
      <c r="AY700" s="889"/>
      <c r="AZ700" s="889"/>
    </row>
    <row r="701">
      <c r="A701" s="889"/>
      <c r="B701" s="889"/>
      <c r="C701" s="889"/>
      <c r="D701" s="889"/>
      <c r="E701" s="889"/>
      <c r="F701" s="889"/>
      <c r="G701" s="889"/>
      <c r="H701" s="889"/>
      <c r="I701" s="889"/>
      <c r="J701" s="889"/>
      <c r="K701" s="889"/>
      <c r="L701" s="889"/>
      <c r="M701" s="889"/>
      <c r="N701" s="944"/>
      <c r="O701" s="944"/>
      <c r="P701" s="944"/>
      <c r="Q701" s="944"/>
      <c r="R701" s="944"/>
      <c r="S701" s="889"/>
      <c r="T701" s="889"/>
      <c r="U701" s="889"/>
      <c r="V701" s="889"/>
      <c r="W701" s="889"/>
      <c r="X701" s="889"/>
      <c r="Y701" s="889"/>
      <c r="Z701" s="889"/>
      <c r="AA701" s="889"/>
      <c r="AB701" s="889"/>
      <c r="AC701" s="889"/>
      <c r="AD701" s="889"/>
      <c r="AE701" s="889"/>
      <c r="AF701" s="889"/>
      <c r="AG701" s="889"/>
      <c r="AH701" s="889"/>
      <c r="AI701" s="889"/>
      <c r="AJ701" s="889"/>
      <c r="AK701" s="889"/>
      <c r="AL701" s="889"/>
      <c r="AM701" s="889"/>
      <c r="AN701" s="889"/>
      <c r="AO701" s="889"/>
      <c r="AP701" s="889"/>
      <c r="AQ701" s="889"/>
      <c r="AR701" s="889"/>
      <c r="AS701" s="889"/>
      <c r="AT701" s="889"/>
      <c r="AU701" s="889"/>
      <c r="AV701" s="889"/>
      <c r="AW701" s="889"/>
      <c r="AX701" s="889"/>
      <c r="AY701" s="889"/>
      <c r="AZ701" s="889"/>
    </row>
    <row r="702">
      <c r="A702" s="889"/>
      <c r="B702" s="889"/>
      <c r="C702" s="889"/>
      <c r="D702" s="889"/>
      <c r="E702" s="889"/>
      <c r="F702" s="889"/>
      <c r="G702" s="889"/>
      <c r="H702" s="889"/>
      <c r="I702" s="889"/>
      <c r="J702" s="889"/>
      <c r="K702" s="889"/>
      <c r="L702" s="889"/>
      <c r="M702" s="889"/>
      <c r="N702" s="944"/>
      <c r="O702" s="944"/>
      <c r="P702" s="944"/>
      <c r="Q702" s="944"/>
      <c r="R702" s="944"/>
      <c r="S702" s="889"/>
      <c r="T702" s="889"/>
      <c r="U702" s="889"/>
      <c r="V702" s="889"/>
      <c r="W702" s="889"/>
      <c r="X702" s="889"/>
      <c r="Y702" s="889"/>
      <c r="Z702" s="889"/>
      <c r="AA702" s="889"/>
      <c r="AB702" s="889"/>
      <c r="AC702" s="889"/>
      <c r="AD702" s="889"/>
      <c r="AE702" s="889"/>
      <c r="AF702" s="889"/>
      <c r="AG702" s="889"/>
      <c r="AH702" s="889"/>
      <c r="AI702" s="889"/>
      <c r="AJ702" s="889"/>
      <c r="AK702" s="889"/>
      <c r="AL702" s="889"/>
      <c r="AM702" s="889"/>
      <c r="AN702" s="889"/>
      <c r="AO702" s="889"/>
      <c r="AP702" s="889"/>
      <c r="AQ702" s="889"/>
      <c r="AR702" s="889"/>
      <c r="AS702" s="889"/>
      <c r="AT702" s="889"/>
      <c r="AU702" s="889"/>
      <c r="AV702" s="889"/>
      <c r="AW702" s="889"/>
      <c r="AX702" s="889"/>
      <c r="AY702" s="889"/>
      <c r="AZ702" s="889"/>
    </row>
    <row r="703">
      <c r="A703" s="889"/>
      <c r="B703" s="889"/>
      <c r="C703" s="889"/>
      <c r="D703" s="889"/>
      <c r="E703" s="889"/>
      <c r="F703" s="889"/>
      <c r="G703" s="889"/>
      <c r="H703" s="889"/>
      <c r="I703" s="889"/>
      <c r="J703" s="889"/>
      <c r="K703" s="889"/>
      <c r="L703" s="889"/>
      <c r="M703" s="889"/>
      <c r="N703" s="944"/>
      <c r="O703" s="944"/>
      <c r="P703" s="944"/>
      <c r="Q703" s="944"/>
      <c r="R703" s="944"/>
      <c r="S703" s="889"/>
      <c r="T703" s="889"/>
      <c r="U703" s="889"/>
      <c r="V703" s="889"/>
      <c r="W703" s="889"/>
      <c r="X703" s="889"/>
      <c r="Y703" s="889"/>
      <c r="Z703" s="889"/>
      <c r="AA703" s="889"/>
      <c r="AB703" s="889"/>
      <c r="AC703" s="889"/>
      <c r="AD703" s="889"/>
      <c r="AE703" s="889"/>
      <c r="AF703" s="889"/>
      <c r="AG703" s="889"/>
      <c r="AH703" s="889"/>
      <c r="AI703" s="889"/>
      <c r="AJ703" s="889"/>
      <c r="AK703" s="889"/>
      <c r="AL703" s="889"/>
      <c r="AM703" s="889"/>
      <c r="AN703" s="889"/>
      <c r="AO703" s="889"/>
      <c r="AP703" s="889"/>
      <c r="AQ703" s="889"/>
      <c r="AR703" s="889"/>
      <c r="AS703" s="889"/>
      <c r="AT703" s="889"/>
      <c r="AU703" s="889"/>
      <c r="AV703" s="889"/>
      <c r="AW703" s="889"/>
      <c r="AX703" s="889"/>
      <c r="AY703" s="889"/>
      <c r="AZ703" s="889"/>
    </row>
    <row r="704">
      <c r="A704" s="889"/>
      <c r="B704" s="889"/>
      <c r="C704" s="889"/>
      <c r="D704" s="889"/>
      <c r="E704" s="889"/>
      <c r="F704" s="889"/>
      <c r="G704" s="889"/>
      <c r="H704" s="889"/>
      <c r="I704" s="889"/>
      <c r="J704" s="889"/>
      <c r="K704" s="889"/>
      <c r="L704" s="889"/>
      <c r="M704" s="889"/>
      <c r="N704" s="944"/>
      <c r="O704" s="944"/>
      <c r="P704" s="944"/>
      <c r="Q704" s="944"/>
      <c r="R704" s="944"/>
      <c r="S704" s="889"/>
      <c r="T704" s="889"/>
      <c r="U704" s="889"/>
      <c r="V704" s="889"/>
      <c r="W704" s="889"/>
      <c r="X704" s="889"/>
      <c r="Y704" s="889"/>
      <c r="Z704" s="889"/>
      <c r="AA704" s="889"/>
      <c r="AB704" s="889"/>
      <c r="AC704" s="889"/>
      <c r="AD704" s="889"/>
      <c r="AE704" s="889"/>
      <c r="AF704" s="889"/>
      <c r="AG704" s="889"/>
      <c r="AH704" s="889"/>
      <c r="AI704" s="889"/>
      <c r="AJ704" s="889"/>
      <c r="AK704" s="889"/>
      <c r="AL704" s="889"/>
      <c r="AM704" s="889"/>
      <c r="AN704" s="889"/>
      <c r="AO704" s="889"/>
      <c r="AP704" s="889"/>
      <c r="AQ704" s="889"/>
      <c r="AR704" s="889"/>
      <c r="AS704" s="889"/>
      <c r="AT704" s="889"/>
      <c r="AU704" s="889"/>
      <c r="AV704" s="889"/>
      <c r="AW704" s="889"/>
      <c r="AX704" s="889"/>
      <c r="AY704" s="889"/>
      <c r="AZ704" s="889"/>
    </row>
    <row r="705">
      <c r="A705" s="889"/>
      <c r="B705" s="889"/>
      <c r="C705" s="889"/>
      <c r="D705" s="889"/>
      <c r="E705" s="889"/>
      <c r="F705" s="889"/>
      <c r="G705" s="889"/>
      <c r="H705" s="889"/>
      <c r="I705" s="889"/>
      <c r="J705" s="889"/>
      <c r="K705" s="889"/>
      <c r="L705" s="889"/>
      <c r="M705" s="889"/>
      <c r="N705" s="944"/>
      <c r="O705" s="944"/>
      <c r="P705" s="944"/>
      <c r="Q705" s="944"/>
      <c r="R705" s="944"/>
      <c r="S705" s="889"/>
      <c r="T705" s="889"/>
      <c r="U705" s="889"/>
      <c r="V705" s="889"/>
      <c r="W705" s="889"/>
      <c r="X705" s="889"/>
      <c r="Y705" s="889"/>
      <c r="Z705" s="889"/>
      <c r="AA705" s="889"/>
      <c r="AB705" s="889"/>
      <c r="AC705" s="889"/>
      <c r="AD705" s="889"/>
      <c r="AE705" s="889"/>
      <c r="AF705" s="889"/>
      <c r="AG705" s="889"/>
      <c r="AH705" s="889"/>
      <c r="AI705" s="889"/>
      <c r="AJ705" s="889"/>
      <c r="AK705" s="889"/>
      <c r="AL705" s="889"/>
      <c r="AM705" s="889"/>
      <c r="AN705" s="889"/>
      <c r="AO705" s="889"/>
      <c r="AP705" s="889"/>
      <c r="AQ705" s="889"/>
      <c r="AR705" s="889"/>
      <c r="AS705" s="889"/>
      <c r="AT705" s="889"/>
      <c r="AU705" s="889"/>
      <c r="AV705" s="889"/>
      <c r="AW705" s="889"/>
      <c r="AX705" s="889"/>
      <c r="AY705" s="889"/>
      <c r="AZ705" s="889"/>
    </row>
    <row r="706">
      <c r="A706" s="889"/>
      <c r="B706" s="889"/>
      <c r="C706" s="889"/>
      <c r="D706" s="889"/>
      <c r="E706" s="889"/>
      <c r="F706" s="889"/>
      <c r="G706" s="889"/>
      <c r="H706" s="889"/>
      <c r="I706" s="889"/>
      <c r="J706" s="889"/>
      <c r="K706" s="889"/>
      <c r="L706" s="889"/>
      <c r="M706" s="889"/>
      <c r="N706" s="944"/>
      <c r="O706" s="944"/>
      <c r="P706" s="944"/>
      <c r="Q706" s="944"/>
      <c r="R706" s="944"/>
      <c r="S706" s="889"/>
      <c r="T706" s="889"/>
      <c r="U706" s="889"/>
      <c r="V706" s="889"/>
      <c r="W706" s="889"/>
      <c r="X706" s="889"/>
      <c r="Y706" s="889"/>
      <c r="Z706" s="889"/>
      <c r="AA706" s="889"/>
      <c r="AB706" s="889"/>
      <c r="AC706" s="889"/>
      <c r="AD706" s="889"/>
      <c r="AE706" s="889"/>
      <c r="AF706" s="889"/>
      <c r="AG706" s="889"/>
      <c r="AH706" s="889"/>
      <c r="AI706" s="889"/>
      <c r="AJ706" s="889"/>
      <c r="AK706" s="889"/>
      <c r="AL706" s="889"/>
      <c r="AM706" s="889"/>
      <c r="AN706" s="889"/>
      <c r="AO706" s="889"/>
      <c r="AP706" s="889"/>
      <c r="AQ706" s="889"/>
      <c r="AR706" s="889"/>
      <c r="AS706" s="889"/>
      <c r="AT706" s="889"/>
      <c r="AU706" s="889"/>
      <c r="AV706" s="889"/>
      <c r="AW706" s="889"/>
      <c r="AX706" s="889"/>
      <c r="AY706" s="889"/>
      <c r="AZ706" s="889"/>
    </row>
    <row r="707">
      <c r="A707" s="889"/>
      <c r="B707" s="889"/>
      <c r="C707" s="889"/>
      <c r="D707" s="889"/>
      <c r="E707" s="889"/>
      <c r="F707" s="889"/>
      <c r="G707" s="889"/>
      <c r="H707" s="889"/>
      <c r="I707" s="889"/>
      <c r="J707" s="889"/>
      <c r="K707" s="889"/>
      <c r="L707" s="889"/>
      <c r="M707" s="889"/>
      <c r="N707" s="944"/>
      <c r="O707" s="944"/>
      <c r="P707" s="944"/>
      <c r="Q707" s="944"/>
      <c r="R707" s="944"/>
      <c r="S707" s="889"/>
      <c r="T707" s="889"/>
      <c r="U707" s="889"/>
      <c r="V707" s="889"/>
      <c r="W707" s="889"/>
      <c r="X707" s="889"/>
      <c r="Y707" s="889"/>
      <c r="Z707" s="889"/>
      <c r="AA707" s="889"/>
      <c r="AB707" s="889"/>
      <c r="AC707" s="889"/>
      <c r="AD707" s="889"/>
      <c r="AE707" s="889"/>
      <c r="AF707" s="889"/>
      <c r="AG707" s="889"/>
      <c r="AH707" s="889"/>
      <c r="AI707" s="889"/>
      <c r="AJ707" s="889"/>
      <c r="AK707" s="889"/>
      <c r="AL707" s="889"/>
      <c r="AM707" s="889"/>
      <c r="AN707" s="889"/>
      <c r="AO707" s="889"/>
      <c r="AP707" s="889"/>
      <c r="AQ707" s="889"/>
      <c r="AR707" s="889"/>
      <c r="AS707" s="889"/>
      <c r="AT707" s="889"/>
      <c r="AU707" s="889"/>
      <c r="AV707" s="889"/>
      <c r="AW707" s="889"/>
      <c r="AX707" s="889"/>
      <c r="AY707" s="889"/>
      <c r="AZ707" s="889"/>
    </row>
    <row r="708">
      <c r="A708" s="889"/>
      <c r="B708" s="889"/>
      <c r="C708" s="889"/>
      <c r="D708" s="889"/>
      <c r="E708" s="889"/>
      <c r="F708" s="889"/>
      <c r="G708" s="889"/>
      <c r="H708" s="889"/>
      <c r="I708" s="889"/>
      <c r="J708" s="889"/>
      <c r="K708" s="889"/>
      <c r="L708" s="889"/>
      <c r="M708" s="889"/>
      <c r="N708" s="944"/>
      <c r="O708" s="944"/>
      <c r="P708" s="944"/>
      <c r="Q708" s="944"/>
      <c r="R708" s="944"/>
      <c r="S708" s="889"/>
      <c r="T708" s="889"/>
      <c r="U708" s="889"/>
      <c r="V708" s="889"/>
      <c r="W708" s="889"/>
      <c r="X708" s="889"/>
      <c r="Y708" s="889"/>
      <c r="Z708" s="889"/>
      <c r="AA708" s="889"/>
      <c r="AB708" s="889"/>
      <c r="AC708" s="889"/>
      <c r="AD708" s="889"/>
      <c r="AE708" s="889"/>
      <c r="AF708" s="889"/>
      <c r="AG708" s="889"/>
      <c r="AH708" s="889"/>
      <c r="AI708" s="889"/>
      <c r="AJ708" s="889"/>
      <c r="AK708" s="889"/>
      <c r="AL708" s="889"/>
      <c r="AM708" s="889"/>
      <c r="AN708" s="889"/>
      <c r="AO708" s="889"/>
      <c r="AP708" s="889"/>
      <c r="AQ708" s="889"/>
      <c r="AR708" s="889"/>
      <c r="AS708" s="889"/>
      <c r="AT708" s="889"/>
      <c r="AU708" s="889"/>
      <c r="AV708" s="889"/>
      <c r="AW708" s="889"/>
      <c r="AX708" s="889"/>
      <c r="AY708" s="889"/>
      <c r="AZ708" s="889"/>
    </row>
    <row r="709">
      <c r="A709" s="889"/>
      <c r="B709" s="889"/>
      <c r="C709" s="889"/>
      <c r="D709" s="889"/>
      <c r="E709" s="889"/>
      <c r="F709" s="889"/>
      <c r="G709" s="889"/>
      <c r="H709" s="889"/>
      <c r="I709" s="889"/>
      <c r="J709" s="889"/>
      <c r="K709" s="889"/>
      <c r="L709" s="889"/>
      <c r="M709" s="889"/>
      <c r="N709" s="944"/>
      <c r="O709" s="944"/>
      <c r="P709" s="944"/>
      <c r="Q709" s="944"/>
      <c r="R709" s="944"/>
      <c r="S709" s="889"/>
      <c r="T709" s="889"/>
      <c r="U709" s="889"/>
      <c r="V709" s="889"/>
      <c r="W709" s="889"/>
      <c r="X709" s="889"/>
      <c r="Y709" s="889"/>
      <c r="Z709" s="889"/>
      <c r="AA709" s="889"/>
      <c r="AB709" s="889"/>
      <c r="AC709" s="889"/>
      <c r="AD709" s="889"/>
      <c r="AE709" s="889"/>
      <c r="AF709" s="889"/>
      <c r="AG709" s="889"/>
      <c r="AH709" s="889"/>
      <c r="AI709" s="889"/>
      <c r="AJ709" s="889"/>
      <c r="AK709" s="889"/>
      <c r="AL709" s="889"/>
      <c r="AM709" s="889"/>
      <c r="AN709" s="889"/>
      <c r="AO709" s="889"/>
      <c r="AP709" s="889"/>
      <c r="AQ709" s="889"/>
      <c r="AR709" s="889"/>
      <c r="AS709" s="889"/>
      <c r="AT709" s="889"/>
      <c r="AU709" s="889"/>
      <c r="AV709" s="889"/>
      <c r="AW709" s="889"/>
      <c r="AX709" s="889"/>
      <c r="AY709" s="889"/>
      <c r="AZ709" s="889"/>
    </row>
    <row r="710">
      <c r="A710" s="889"/>
      <c r="B710" s="889"/>
      <c r="C710" s="889"/>
      <c r="D710" s="889"/>
      <c r="E710" s="889"/>
      <c r="F710" s="889"/>
      <c r="G710" s="889"/>
      <c r="H710" s="889"/>
      <c r="I710" s="889"/>
      <c r="J710" s="889"/>
      <c r="K710" s="889"/>
      <c r="L710" s="889"/>
      <c r="M710" s="889"/>
      <c r="N710" s="944"/>
      <c r="O710" s="944"/>
      <c r="P710" s="944"/>
      <c r="Q710" s="944"/>
      <c r="R710" s="944"/>
      <c r="S710" s="889"/>
      <c r="T710" s="889"/>
      <c r="U710" s="889"/>
      <c r="V710" s="889"/>
      <c r="W710" s="889"/>
      <c r="X710" s="889"/>
      <c r="Y710" s="889"/>
      <c r="Z710" s="889"/>
      <c r="AA710" s="889"/>
      <c r="AB710" s="889"/>
      <c r="AC710" s="889"/>
      <c r="AD710" s="889"/>
      <c r="AE710" s="889"/>
      <c r="AF710" s="889"/>
      <c r="AG710" s="889"/>
      <c r="AH710" s="889"/>
      <c r="AI710" s="889"/>
      <c r="AJ710" s="889"/>
      <c r="AK710" s="889"/>
      <c r="AL710" s="889"/>
      <c r="AM710" s="889"/>
      <c r="AN710" s="889"/>
      <c r="AO710" s="889"/>
      <c r="AP710" s="889"/>
      <c r="AQ710" s="889"/>
      <c r="AR710" s="889"/>
      <c r="AS710" s="889"/>
      <c r="AT710" s="889"/>
      <c r="AU710" s="889"/>
      <c r="AV710" s="889"/>
      <c r="AW710" s="889"/>
      <c r="AX710" s="889"/>
      <c r="AY710" s="889"/>
      <c r="AZ710" s="889"/>
    </row>
    <row r="711">
      <c r="A711" s="889"/>
      <c r="B711" s="889"/>
      <c r="C711" s="889"/>
      <c r="D711" s="889"/>
      <c r="E711" s="889"/>
      <c r="F711" s="889"/>
      <c r="G711" s="889"/>
      <c r="H711" s="889"/>
      <c r="I711" s="889"/>
      <c r="J711" s="889"/>
      <c r="K711" s="889"/>
      <c r="L711" s="889"/>
      <c r="M711" s="889"/>
      <c r="N711" s="944"/>
      <c r="O711" s="944"/>
      <c r="P711" s="944"/>
      <c r="Q711" s="944"/>
      <c r="R711" s="944"/>
      <c r="S711" s="889"/>
      <c r="T711" s="889"/>
      <c r="U711" s="889"/>
      <c r="V711" s="889"/>
      <c r="W711" s="889"/>
      <c r="X711" s="889"/>
      <c r="Y711" s="889"/>
      <c r="Z711" s="889"/>
      <c r="AA711" s="889"/>
      <c r="AB711" s="889"/>
      <c r="AC711" s="889"/>
      <c r="AD711" s="889"/>
      <c r="AE711" s="889"/>
      <c r="AF711" s="889"/>
      <c r="AG711" s="889"/>
      <c r="AH711" s="889"/>
      <c r="AI711" s="889"/>
      <c r="AJ711" s="889"/>
      <c r="AK711" s="889"/>
      <c r="AL711" s="889"/>
      <c r="AM711" s="889"/>
      <c r="AN711" s="889"/>
      <c r="AO711" s="889"/>
      <c r="AP711" s="889"/>
      <c r="AQ711" s="889"/>
      <c r="AR711" s="889"/>
      <c r="AS711" s="889"/>
      <c r="AT711" s="889"/>
      <c r="AU711" s="889"/>
      <c r="AV711" s="889"/>
      <c r="AW711" s="889"/>
      <c r="AX711" s="889"/>
      <c r="AY711" s="889"/>
      <c r="AZ711" s="889"/>
    </row>
    <row r="712">
      <c r="A712" s="889"/>
      <c r="B712" s="889"/>
      <c r="C712" s="889"/>
      <c r="D712" s="889"/>
      <c r="E712" s="889"/>
      <c r="F712" s="889"/>
      <c r="G712" s="889"/>
      <c r="H712" s="889"/>
      <c r="I712" s="889"/>
      <c r="J712" s="889"/>
      <c r="K712" s="889"/>
      <c r="L712" s="889"/>
      <c r="M712" s="889"/>
      <c r="N712" s="944"/>
      <c r="O712" s="944"/>
      <c r="P712" s="944"/>
      <c r="Q712" s="944"/>
      <c r="R712" s="944"/>
      <c r="S712" s="889"/>
      <c r="T712" s="889"/>
      <c r="U712" s="889"/>
      <c r="V712" s="889"/>
      <c r="W712" s="889"/>
      <c r="X712" s="889"/>
      <c r="Y712" s="889"/>
      <c r="Z712" s="889"/>
      <c r="AA712" s="889"/>
      <c r="AB712" s="889"/>
      <c r="AC712" s="889"/>
      <c r="AD712" s="889"/>
      <c r="AE712" s="889"/>
      <c r="AF712" s="889"/>
      <c r="AG712" s="889"/>
      <c r="AH712" s="889"/>
      <c r="AI712" s="889"/>
      <c r="AJ712" s="889"/>
      <c r="AK712" s="889"/>
      <c r="AL712" s="889"/>
      <c r="AM712" s="889"/>
      <c r="AN712" s="889"/>
      <c r="AO712" s="889"/>
      <c r="AP712" s="889"/>
      <c r="AQ712" s="889"/>
      <c r="AR712" s="889"/>
      <c r="AS712" s="889"/>
      <c r="AT712" s="889"/>
      <c r="AU712" s="889"/>
      <c r="AV712" s="889"/>
      <c r="AW712" s="889"/>
      <c r="AX712" s="889"/>
      <c r="AY712" s="889"/>
      <c r="AZ712" s="889"/>
    </row>
    <row r="713">
      <c r="A713" s="889"/>
      <c r="B713" s="889"/>
      <c r="C713" s="889"/>
      <c r="D713" s="889"/>
      <c r="E713" s="889"/>
      <c r="F713" s="889"/>
      <c r="G713" s="889"/>
      <c r="H713" s="889"/>
      <c r="I713" s="889"/>
      <c r="J713" s="889"/>
      <c r="K713" s="889"/>
      <c r="L713" s="889"/>
      <c r="M713" s="889"/>
      <c r="N713" s="944"/>
      <c r="O713" s="944"/>
      <c r="P713" s="944"/>
      <c r="Q713" s="944"/>
      <c r="R713" s="944"/>
      <c r="S713" s="889"/>
      <c r="T713" s="889"/>
      <c r="U713" s="889"/>
      <c r="V713" s="889"/>
      <c r="W713" s="889"/>
      <c r="X713" s="889"/>
      <c r="Y713" s="889"/>
      <c r="Z713" s="889"/>
      <c r="AA713" s="889"/>
      <c r="AB713" s="889"/>
      <c r="AC713" s="889"/>
      <c r="AD713" s="889"/>
      <c r="AE713" s="889"/>
      <c r="AF713" s="889"/>
      <c r="AG713" s="889"/>
      <c r="AH713" s="889"/>
      <c r="AI713" s="889"/>
      <c r="AJ713" s="889"/>
      <c r="AK713" s="889"/>
      <c r="AL713" s="889"/>
      <c r="AM713" s="889"/>
      <c r="AN713" s="889"/>
      <c r="AO713" s="889"/>
      <c r="AP713" s="889"/>
      <c r="AQ713" s="889"/>
      <c r="AR713" s="889"/>
      <c r="AS713" s="889"/>
      <c r="AT713" s="889"/>
      <c r="AU713" s="889"/>
      <c r="AV713" s="889"/>
      <c r="AW713" s="889"/>
      <c r="AX713" s="889"/>
      <c r="AY713" s="889"/>
      <c r="AZ713" s="889"/>
    </row>
    <row r="714">
      <c r="A714" s="889"/>
      <c r="B714" s="889"/>
      <c r="C714" s="889"/>
      <c r="D714" s="889"/>
      <c r="E714" s="889"/>
      <c r="F714" s="889"/>
      <c r="G714" s="889"/>
      <c r="H714" s="889"/>
      <c r="I714" s="889"/>
      <c r="J714" s="889"/>
      <c r="K714" s="889"/>
      <c r="L714" s="889"/>
      <c r="M714" s="889"/>
      <c r="N714" s="944"/>
      <c r="O714" s="944"/>
      <c r="P714" s="944"/>
      <c r="Q714" s="944"/>
      <c r="R714" s="944"/>
      <c r="S714" s="889"/>
      <c r="T714" s="889"/>
      <c r="U714" s="889"/>
      <c r="V714" s="889"/>
      <c r="W714" s="889"/>
      <c r="X714" s="889"/>
      <c r="Y714" s="889"/>
      <c r="Z714" s="889"/>
      <c r="AA714" s="889"/>
      <c r="AB714" s="889"/>
      <c r="AC714" s="889"/>
      <c r="AD714" s="889"/>
      <c r="AE714" s="889"/>
      <c r="AF714" s="889"/>
      <c r="AG714" s="889"/>
      <c r="AH714" s="889"/>
      <c r="AI714" s="889"/>
      <c r="AJ714" s="889"/>
      <c r="AK714" s="889"/>
      <c r="AL714" s="889"/>
      <c r="AM714" s="889"/>
      <c r="AN714" s="889"/>
      <c r="AO714" s="889"/>
      <c r="AP714" s="889"/>
      <c r="AQ714" s="889"/>
      <c r="AR714" s="889"/>
      <c r="AS714" s="889"/>
      <c r="AT714" s="889"/>
      <c r="AU714" s="889"/>
      <c r="AV714" s="889"/>
      <c r="AW714" s="889"/>
      <c r="AX714" s="889"/>
      <c r="AY714" s="889"/>
      <c r="AZ714" s="889"/>
    </row>
    <row r="715">
      <c r="A715" s="889"/>
      <c r="B715" s="889"/>
      <c r="C715" s="889"/>
      <c r="D715" s="889"/>
      <c r="E715" s="889"/>
      <c r="F715" s="889"/>
      <c r="G715" s="889"/>
      <c r="H715" s="889"/>
      <c r="I715" s="889"/>
      <c r="J715" s="889"/>
      <c r="K715" s="889"/>
      <c r="L715" s="889"/>
      <c r="M715" s="889"/>
      <c r="N715" s="944"/>
      <c r="O715" s="944"/>
      <c r="P715" s="944"/>
      <c r="Q715" s="944"/>
      <c r="R715" s="944"/>
      <c r="S715" s="889"/>
      <c r="T715" s="889"/>
      <c r="U715" s="889"/>
      <c r="V715" s="889"/>
      <c r="W715" s="889"/>
      <c r="X715" s="889"/>
      <c r="Y715" s="889"/>
      <c r="Z715" s="889"/>
      <c r="AA715" s="889"/>
      <c r="AB715" s="889"/>
      <c r="AC715" s="889"/>
      <c r="AD715" s="889"/>
      <c r="AE715" s="889"/>
      <c r="AF715" s="889"/>
      <c r="AG715" s="889"/>
      <c r="AH715" s="889"/>
      <c r="AI715" s="889"/>
      <c r="AJ715" s="889"/>
      <c r="AK715" s="889"/>
      <c r="AL715" s="889"/>
      <c r="AM715" s="889"/>
      <c r="AN715" s="889"/>
      <c r="AO715" s="889"/>
      <c r="AP715" s="889"/>
      <c r="AQ715" s="889"/>
      <c r="AR715" s="889"/>
      <c r="AS715" s="889"/>
      <c r="AT715" s="889"/>
      <c r="AU715" s="889"/>
      <c r="AV715" s="889"/>
      <c r="AW715" s="889"/>
      <c r="AX715" s="889"/>
      <c r="AY715" s="889"/>
      <c r="AZ715" s="889"/>
    </row>
    <row r="716">
      <c r="A716" s="889"/>
      <c r="B716" s="889"/>
      <c r="C716" s="889"/>
      <c r="D716" s="889"/>
      <c r="E716" s="889"/>
      <c r="F716" s="889"/>
      <c r="G716" s="889"/>
      <c r="H716" s="889"/>
      <c r="I716" s="889"/>
      <c r="J716" s="889"/>
      <c r="K716" s="889"/>
      <c r="L716" s="889"/>
      <c r="M716" s="889"/>
      <c r="N716" s="944"/>
      <c r="O716" s="944"/>
      <c r="P716" s="944"/>
      <c r="Q716" s="944"/>
      <c r="R716" s="944"/>
      <c r="S716" s="889"/>
      <c r="T716" s="889"/>
      <c r="U716" s="889"/>
      <c r="V716" s="889"/>
      <c r="W716" s="889"/>
      <c r="X716" s="889"/>
      <c r="Y716" s="889"/>
      <c r="Z716" s="889"/>
      <c r="AA716" s="889"/>
      <c r="AB716" s="889"/>
      <c r="AC716" s="889"/>
      <c r="AD716" s="889"/>
      <c r="AE716" s="889"/>
      <c r="AF716" s="889"/>
      <c r="AG716" s="889"/>
      <c r="AH716" s="889"/>
      <c r="AI716" s="889"/>
      <c r="AJ716" s="889"/>
      <c r="AK716" s="889"/>
      <c r="AL716" s="889"/>
      <c r="AM716" s="889"/>
      <c r="AN716" s="889"/>
      <c r="AO716" s="889"/>
      <c r="AP716" s="889"/>
      <c r="AQ716" s="889"/>
      <c r="AR716" s="889"/>
      <c r="AS716" s="889"/>
      <c r="AT716" s="889"/>
      <c r="AU716" s="889"/>
      <c r="AV716" s="889"/>
      <c r="AW716" s="889"/>
      <c r="AX716" s="889"/>
      <c r="AY716" s="889"/>
      <c r="AZ716" s="889"/>
    </row>
    <row r="717">
      <c r="A717" s="889"/>
      <c r="B717" s="889"/>
      <c r="C717" s="889"/>
      <c r="D717" s="889"/>
      <c r="E717" s="889"/>
      <c r="F717" s="889"/>
      <c r="G717" s="889"/>
      <c r="H717" s="889"/>
      <c r="I717" s="889"/>
      <c r="J717" s="889"/>
      <c r="K717" s="889"/>
      <c r="L717" s="889"/>
      <c r="M717" s="889"/>
      <c r="N717" s="944"/>
      <c r="O717" s="944"/>
      <c r="P717" s="944"/>
      <c r="Q717" s="944"/>
      <c r="R717" s="944"/>
      <c r="S717" s="889"/>
      <c r="T717" s="889"/>
      <c r="U717" s="889"/>
      <c r="V717" s="889"/>
      <c r="W717" s="889"/>
      <c r="X717" s="889"/>
      <c r="Y717" s="889"/>
      <c r="Z717" s="889"/>
      <c r="AA717" s="889"/>
      <c r="AB717" s="889"/>
      <c r="AC717" s="889"/>
      <c r="AD717" s="889"/>
      <c r="AE717" s="889"/>
      <c r="AF717" s="889"/>
      <c r="AG717" s="889"/>
      <c r="AH717" s="889"/>
      <c r="AI717" s="889"/>
      <c r="AJ717" s="889"/>
      <c r="AK717" s="889"/>
      <c r="AL717" s="889"/>
      <c r="AM717" s="889"/>
      <c r="AN717" s="889"/>
      <c r="AO717" s="889"/>
      <c r="AP717" s="889"/>
      <c r="AQ717" s="889"/>
      <c r="AR717" s="889"/>
      <c r="AS717" s="889"/>
      <c r="AT717" s="889"/>
      <c r="AU717" s="889"/>
      <c r="AV717" s="889"/>
      <c r="AW717" s="889"/>
      <c r="AX717" s="889"/>
      <c r="AY717" s="889"/>
      <c r="AZ717" s="889"/>
    </row>
    <row r="718">
      <c r="A718" s="889"/>
      <c r="B718" s="889"/>
      <c r="C718" s="889"/>
      <c r="D718" s="889"/>
      <c r="E718" s="889"/>
      <c r="F718" s="889"/>
      <c r="G718" s="889"/>
      <c r="H718" s="889"/>
      <c r="I718" s="889"/>
      <c r="J718" s="889"/>
      <c r="K718" s="889"/>
      <c r="L718" s="889"/>
      <c r="M718" s="889"/>
      <c r="N718" s="944"/>
      <c r="O718" s="944"/>
      <c r="P718" s="944"/>
      <c r="Q718" s="944"/>
      <c r="R718" s="944"/>
      <c r="S718" s="889"/>
      <c r="T718" s="889"/>
      <c r="U718" s="889"/>
      <c r="V718" s="889"/>
      <c r="W718" s="889"/>
      <c r="X718" s="889"/>
      <c r="Y718" s="889"/>
      <c r="Z718" s="889"/>
      <c r="AA718" s="889"/>
      <c r="AB718" s="889"/>
      <c r="AC718" s="889"/>
      <c r="AD718" s="889"/>
      <c r="AE718" s="889"/>
      <c r="AF718" s="889"/>
      <c r="AG718" s="889"/>
      <c r="AH718" s="889"/>
      <c r="AI718" s="889"/>
      <c r="AJ718" s="889"/>
      <c r="AK718" s="889"/>
      <c r="AL718" s="889"/>
      <c r="AM718" s="889"/>
      <c r="AN718" s="889"/>
      <c r="AO718" s="889"/>
      <c r="AP718" s="889"/>
      <c r="AQ718" s="889"/>
      <c r="AR718" s="889"/>
      <c r="AS718" s="889"/>
      <c r="AT718" s="889"/>
      <c r="AU718" s="889"/>
      <c r="AV718" s="889"/>
      <c r="AW718" s="889"/>
      <c r="AX718" s="889"/>
      <c r="AY718" s="889"/>
      <c r="AZ718" s="889"/>
    </row>
    <row r="719">
      <c r="A719" s="889"/>
      <c r="B719" s="889"/>
      <c r="C719" s="889"/>
      <c r="D719" s="889"/>
      <c r="E719" s="889"/>
      <c r="F719" s="889"/>
      <c r="G719" s="889"/>
      <c r="H719" s="889"/>
      <c r="I719" s="889"/>
      <c r="J719" s="889"/>
      <c r="K719" s="889"/>
      <c r="L719" s="889"/>
      <c r="M719" s="889"/>
      <c r="N719" s="944"/>
      <c r="O719" s="944"/>
      <c r="P719" s="944"/>
      <c r="Q719" s="944"/>
      <c r="R719" s="944"/>
      <c r="S719" s="889"/>
      <c r="T719" s="889"/>
      <c r="U719" s="889"/>
      <c r="V719" s="889"/>
      <c r="W719" s="889"/>
      <c r="X719" s="889"/>
      <c r="Y719" s="889"/>
      <c r="Z719" s="889"/>
      <c r="AA719" s="889"/>
      <c r="AB719" s="889"/>
      <c r="AC719" s="889"/>
      <c r="AD719" s="889"/>
      <c r="AE719" s="889"/>
      <c r="AF719" s="889"/>
      <c r="AG719" s="889"/>
      <c r="AH719" s="889"/>
      <c r="AI719" s="889"/>
      <c r="AJ719" s="889"/>
      <c r="AK719" s="889"/>
      <c r="AL719" s="889"/>
      <c r="AM719" s="889"/>
      <c r="AN719" s="889"/>
      <c r="AO719" s="889"/>
      <c r="AP719" s="889"/>
      <c r="AQ719" s="889"/>
      <c r="AR719" s="889"/>
      <c r="AS719" s="889"/>
      <c r="AT719" s="889"/>
      <c r="AU719" s="889"/>
      <c r="AV719" s="889"/>
      <c r="AW719" s="889"/>
      <c r="AX719" s="889"/>
      <c r="AY719" s="889"/>
      <c r="AZ719" s="889"/>
    </row>
    <row r="720">
      <c r="A720" s="889"/>
      <c r="B720" s="889"/>
      <c r="C720" s="889"/>
      <c r="D720" s="889"/>
      <c r="E720" s="889"/>
      <c r="F720" s="889"/>
      <c r="G720" s="889"/>
      <c r="H720" s="889"/>
      <c r="I720" s="889"/>
      <c r="J720" s="889"/>
      <c r="K720" s="889"/>
      <c r="L720" s="889"/>
      <c r="M720" s="889"/>
      <c r="N720" s="944"/>
      <c r="O720" s="944"/>
      <c r="P720" s="944"/>
      <c r="Q720" s="944"/>
      <c r="R720" s="944"/>
      <c r="S720" s="889"/>
      <c r="T720" s="889"/>
      <c r="U720" s="889"/>
      <c r="V720" s="889"/>
      <c r="W720" s="889"/>
      <c r="X720" s="889"/>
      <c r="Y720" s="889"/>
      <c r="Z720" s="889"/>
      <c r="AA720" s="889"/>
      <c r="AB720" s="889"/>
      <c r="AC720" s="889"/>
      <c r="AD720" s="889"/>
      <c r="AE720" s="889"/>
      <c r="AF720" s="889"/>
      <c r="AG720" s="889"/>
      <c r="AH720" s="889"/>
      <c r="AI720" s="889"/>
      <c r="AJ720" s="889"/>
      <c r="AK720" s="889"/>
      <c r="AL720" s="889"/>
      <c r="AM720" s="889"/>
      <c r="AN720" s="889"/>
      <c r="AO720" s="889"/>
      <c r="AP720" s="889"/>
      <c r="AQ720" s="889"/>
      <c r="AR720" s="889"/>
      <c r="AS720" s="889"/>
      <c r="AT720" s="889"/>
      <c r="AU720" s="889"/>
      <c r="AV720" s="889"/>
      <c r="AW720" s="889"/>
      <c r="AX720" s="889"/>
      <c r="AY720" s="889"/>
      <c r="AZ720" s="889"/>
    </row>
    <row r="721">
      <c r="A721" s="889"/>
      <c r="B721" s="889"/>
      <c r="C721" s="889"/>
      <c r="D721" s="889"/>
      <c r="E721" s="889"/>
      <c r="F721" s="889"/>
      <c r="G721" s="889"/>
      <c r="H721" s="889"/>
      <c r="I721" s="889"/>
      <c r="J721" s="889"/>
      <c r="K721" s="889"/>
      <c r="L721" s="889"/>
      <c r="M721" s="889"/>
      <c r="N721" s="944"/>
      <c r="O721" s="944"/>
      <c r="P721" s="944"/>
      <c r="Q721" s="944"/>
      <c r="R721" s="944"/>
      <c r="S721" s="889"/>
      <c r="T721" s="889"/>
      <c r="U721" s="889"/>
      <c r="V721" s="889"/>
      <c r="W721" s="889"/>
      <c r="X721" s="889"/>
      <c r="Y721" s="889"/>
      <c r="Z721" s="889"/>
      <c r="AA721" s="889"/>
      <c r="AB721" s="889"/>
      <c r="AC721" s="889"/>
      <c r="AD721" s="889"/>
      <c r="AE721" s="889"/>
      <c r="AF721" s="889"/>
      <c r="AG721" s="889"/>
      <c r="AH721" s="889"/>
      <c r="AI721" s="889"/>
      <c r="AJ721" s="889"/>
      <c r="AK721" s="889"/>
      <c r="AL721" s="889"/>
      <c r="AM721" s="889"/>
      <c r="AN721" s="889"/>
      <c r="AO721" s="889"/>
      <c r="AP721" s="889"/>
      <c r="AQ721" s="889"/>
      <c r="AR721" s="889"/>
      <c r="AS721" s="889"/>
      <c r="AT721" s="889"/>
      <c r="AU721" s="889"/>
      <c r="AV721" s="889"/>
      <c r="AW721" s="889"/>
      <c r="AX721" s="889"/>
      <c r="AY721" s="889"/>
      <c r="AZ721" s="889"/>
    </row>
    <row r="722">
      <c r="A722" s="889"/>
      <c r="B722" s="889"/>
      <c r="C722" s="889"/>
      <c r="D722" s="889"/>
      <c r="E722" s="889"/>
      <c r="F722" s="889"/>
      <c r="G722" s="889"/>
      <c r="H722" s="889"/>
      <c r="I722" s="889"/>
      <c r="J722" s="889"/>
      <c r="K722" s="889"/>
      <c r="L722" s="889"/>
      <c r="M722" s="889"/>
      <c r="N722" s="944"/>
      <c r="O722" s="944"/>
      <c r="P722" s="944"/>
      <c r="Q722" s="944"/>
      <c r="R722" s="944"/>
      <c r="S722" s="889"/>
      <c r="T722" s="889"/>
      <c r="U722" s="889"/>
      <c r="V722" s="889"/>
      <c r="W722" s="889"/>
      <c r="X722" s="889"/>
      <c r="Y722" s="889"/>
      <c r="Z722" s="889"/>
      <c r="AA722" s="889"/>
      <c r="AB722" s="889"/>
      <c r="AC722" s="889"/>
      <c r="AD722" s="889"/>
      <c r="AE722" s="889"/>
      <c r="AF722" s="889"/>
      <c r="AG722" s="889"/>
      <c r="AH722" s="889"/>
      <c r="AI722" s="889"/>
      <c r="AJ722" s="889"/>
      <c r="AK722" s="889"/>
      <c r="AL722" s="889"/>
      <c r="AM722" s="889"/>
      <c r="AN722" s="889"/>
      <c r="AO722" s="889"/>
      <c r="AP722" s="889"/>
      <c r="AQ722" s="889"/>
      <c r="AR722" s="889"/>
      <c r="AS722" s="889"/>
      <c r="AT722" s="889"/>
      <c r="AU722" s="889"/>
      <c r="AV722" s="889"/>
      <c r="AW722" s="889"/>
      <c r="AX722" s="889"/>
      <c r="AY722" s="889"/>
      <c r="AZ722" s="889"/>
    </row>
    <row r="723">
      <c r="A723" s="889"/>
      <c r="B723" s="889"/>
      <c r="C723" s="889"/>
      <c r="D723" s="889"/>
      <c r="E723" s="889"/>
      <c r="F723" s="889"/>
      <c r="G723" s="889"/>
      <c r="H723" s="889"/>
      <c r="I723" s="889"/>
      <c r="J723" s="889"/>
      <c r="K723" s="889"/>
      <c r="L723" s="889"/>
      <c r="M723" s="889"/>
      <c r="N723" s="944"/>
      <c r="O723" s="944"/>
      <c r="P723" s="944"/>
      <c r="Q723" s="944"/>
      <c r="R723" s="944"/>
      <c r="S723" s="889"/>
      <c r="T723" s="889"/>
      <c r="U723" s="889"/>
      <c r="V723" s="889"/>
      <c r="W723" s="889"/>
      <c r="X723" s="889"/>
      <c r="Y723" s="889"/>
      <c r="Z723" s="889"/>
      <c r="AA723" s="889"/>
      <c r="AB723" s="889"/>
      <c r="AC723" s="889"/>
      <c r="AD723" s="889"/>
      <c r="AE723" s="889"/>
      <c r="AF723" s="889"/>
      <c r="AG723" s="889"/>
      <c r="AH723" s="889"/>
      <c r="AI723" s="889"/>
      <c r="AJ723" s="889"/>
      <c r="AK723" s="889"/>
      <c r="AL723" s="889"/>
      <c r="AM723" s="889"/>
      <c r="AN723" s="889"/>
      <c r="AO723" s="889"/>
      <c r="AP723" s="889"/>
      <c r="AQ723" s="889"/>
      <c r="AR723" s="889"/>
      <c r="AS723" s="889"/>
      <c r="AT723" s="889"/>
      <c r="AU723" s="889"/>
      <c r="AV723" s="889"/>
      <c r="AW723" s="889"/>
      <c r="AX723" s="889"/>
      <c r="AY723" s="889"/>
      <c r="AZ723" s="889"/>
    </row>
    <row r="724">
      <c r="A724" s="889"/>
      <c r="B724" s="889"/>
      <c r="C724" s="889"/>
      <c r="D724" s="889"/>
      <c r="E724" s="889"/>
      <c r="F724" s="889"/>
      <c r="G724" s="889"/>
      <c r="H724" s="889"/>
      <c r="I724" s="889"/>
      <c r="J724" s="889"/>
      <c r="K724" s="889"/>
      <c r="L724" s="889"/>
      <c r="M724" s="889"/>
      <c r="N724" s="944"/>
      <c r="O724" s="944"/>
      <c r="P724" s="944"/>
      <c r="Q724" s="944"/>
      <c r="R724" s="944"/>
      <c r="S724" s="889"/>
      <c r="T724" s="889"/>
      <c r="U724" s="889"/>
      <c r="V724" s="889"/>
      <c r="W724" s="889"/>
      <c r="X724" s="889"/>
      <c r="Y724" s="889"/>
      <c r="Z724" s="889"/>
      <c r="AA724" s="889"/>
      <c r="AB724" s="889"/>
      <c r="AC724" s="889"/>
      <c r="AD724" s="889"/>
      <c r="AE724" s="889"/>
      <c r="AF724" s="889"/>
      <c r="AG724" s="889"/>
      <c r="AH724" s="889"/>
      <c r="AI724" s="889"/>
      <c r="AJ724" s="889"/>
      <c r="AK724" s="889"/>
      <c r="AL724" s="889"/>
      <c r="AM724" s="889"/>
      <c r="AN724" s="889"/>
      <c r="AO724" s="889"/>
      <c r="AP724" s="889"/>
      <c r="AQ724" s="889"/>
      <c r="AR724" s="889"/>
      <c r="AS724" s="889"/>
      <c r="AT724" s="889"/>
      <c r="AU724" s="889"/>
      <c r="AV724" s="889"/>
      <c r="AW724" s="889"/>
      <c r="AX724" s="889"/>
      <c r="AY724" s="889"/>
      <c r="AZ724" s="889"/>
    </row>
    <row r="725">
      <c r="A725" s="889"/>
      <c r="B725" s="889"/>
      <c r="C725" s="889"/>
      <c r="D725" s="889"/>
      <c r="E725" s="889"/>
      <c r="F725" s="889"/>
      <c r="G725" s="889"/>
      <c r="H725" s="889"/>
      <c r="I725" s="889"/>
      <c r="J725" s="889"/>
      <c r="K725" s="889"/>
      <c r="L725" s="889"/>
      <c r="M725" s="889"/>
      <c r="N725" s="944"/>
      <c r="O725" s="944"/>
      <c r="P725" s="944"/>
      <c r="Q725" s="944"/>
      <c r="R725" s="944"/>
      <c r="S725" s="889"/>
      <c r="T725" s="889"/>
      <c r="U725" s="889"/>
      <c r="V725" s="889"/>
      <c r="W725" s="889"/>
      <c r="X725" s="889"/>
      <c r="Y725" s="889"/>
      <c r="Z725" s="889"/>
      <c r="AA725" s="889"/>
      <c r="AB725" s="889"/>
      <c r="AC725" s="889"/>
      <c r="AD725" s="889"/>
      <c r="AE725" s="889"/>
      <c r="AF725" s="889"/>
      <c r="AG725" s="889"/>
      <c r="AH725" s="889"/>
      <c r="AI725" s="889"/>
      <c r="AJ725" s="889"/>
      <c r="AK725" s="889"/>
      <c r="AL725" s="889"/>
      <c r="AM725" s="889"/>
      <c r="AN725" s="889"/>
      <c r="AO725" s="889"/>
      <c r="AP725" s="889"/>
      <c r="AQ725" s="889"/>
      <c r="AR725" s="889"/>
      <c r="AS725" s="889"/>
      <c r="AT725" s="889"/>
      <c r="AU725" s="889"/>
      <c r="AV725" s="889"/>
      <c r="AW725" s="889"/>
      <c r="AX725" s="889"/>
      <c r="AY725" s="889"/>
      <c r="AZ725" s="889"/>
    </row>
    <row r="726">
      <c r="A726" s="889"/>
      <c r="B726" s="889"/>
      <c r="C726" s="889"/>
      <c r="D726" s="889"/>
      <c r="E726" s="889"/>
      <c r="F726" s="889"/>
      <c r="G726" s="889"/>
      <c r="H726" s="889"/>
      <c r="I726" s="889"/>
      <c r="J726" s="889"/>
      <c r="K726" s="889"/>
      <c r="L726" s="889"/>
      <c r="M726" s="889"/>
      <c r="N726" s="944"/>
      <c r="O726" s="944"/>
      <c r="P726" s="944"/>
      <c r="Q726" s="944"/>
      <c r="R726" s="944"/>
      <c r="S726" s="889"/>
      <c r="T726" s="889"/>
      <c r="U726" s="889"/>
      <c r="V726" s="889"/>
      <c r="W726" s="889"/>
      <c r="X726" s="889"/>
      <c r="Y726" s="889"/>
      <c r="Z726" s="889"/>
      <c r="AA726" s="889"/>
      <c r="AB726" s="889"/>
      <c r="AC726" s="889"/>
      <c r="AD726" s="889"/>
      <c r="AE726" s="889"/>
      <c r="AF726" s="889"/>
      <c r="AG726" s="889"/>
      <c r="AH726" s="889"/>
      <c r="AI726" s="889"/>
      <c r="AJ726" s="889"/>
      <c r="AK726" s="889"/>
      <c r="AL726" s="889"/>
      <c r="AM726" s="889"/>
      <c r="AN726" s="889"/>
      <c r="AO726" s="889"/>
      <c r="AP726" s="889"/>
      <c r="AQ726" s="889"/>
      <c r="AR726" s="889"/>
      <c r="AS726" s="889"/>
      <c r="AT726" s="889"/>
      <c r="AU726" s="889"/>
      <c r="AV726" s="889"/>
      <c r="AW726" s="889"/>
      <c r="AX726" s="889"/>
      <c r="AY726" s="889"/>
      <c r="AZ726" s="889"/>
    </row>
    <row r="727">
      <c r="A727" s="889"/>
      <c r="B727" s="889"/>
      <c r="C727" s="889"/>
      <c r="D727" s="889"/>
      <c r="E727" s="889"/>
      <c r="F727" s="889"/>
      <c r="G727" s="889"/>
      <c r="H727" s="889"/>
      <c r="I727" s="889"/>
      <c r="J727" s="889"/>
      <c r="K727" s="889"/>
      <c r="L727" s="889"/>
      <c r="M727" s="889"/>
      <c r="N727" s="944"/>
      <c r="O727" s="944"/>
      <c r="P727" s="944"/>
      <c r="Q727" s="944"/>
      <c r="R727" s="944"/>
      <c r="S727" s="889"/>
      <c r="T727" s="889"/>
      <c r="U727" s="889"/>
      <c r="V727" s="889"/>
      <c r="W727" s="889"/>
      <c r="X727" s="889"/>
      <c r="Y727" s="889"/>
      <c r="Z727" s="889"/>
      <c r="AA727" s="889"/>
      <c r="AB727" s="889"/>
      <c r="AC727" s="889"/>
      <c r="AD727" s="889"/>
      <c r="AE727" s="889"/>
      <c r="AF727" s="889"/>
      <c r="AG727" s="889"/>
      <c r="AH727" s="889"/>
      <c r="AI727" s="889"/>
      <c r="AJ727" s="889"/>
      <c r="AK727" s="889"/>
      <c r="AL727" s="889"/>
      <c r="AM727" s="889"/>
      <c r="AN727" s="889"/>
      <c r="AO727" s="889"/>
      <c r="AP727" s="889"/>
      <c r="AQ727" s="889"/>
      <c r="AR727" s="889"/>
      <c r="AS727" s="889"/>
      <c r="AT727" s="889"/>
      <c r="AU727" s="889"/>
      <c r="AV727" s="889"/>
      <c r="AW727" s="889"/>
      <c r="AX727" s="889"/>
      <c r="AY727" s="889"/>
      <c r="AZ727" s="889"/>
    </row>
    <row r="728">
      <c r="A728" s="889"/>
      <c r="B728" s="889"/>
      <c r="C728" s="889"/>
      <c r="D728" s="889"/>
      <c r="E728" s="889"/>
      <c r="F728" s="889"/>
      <c r="G728" s="889"/>
      <c r="H728" s="889"/>
      <c r="I728" s="889"/>
      <c r="J728" s="889"/>
      <c r="K728" s="889"/>
      <c r="L728" s="889"/>
      <c r="M728" s="889"/>
      <c r="N728" s="944"/>
      <c r="O728" s="944"/>
      <c r="P728" s="944"/>
      <c r="Q728" s="944"/>
      <c r="R728" s="944"/>
      <c r="S728" s="889"/>
      <c r="T728" s="889"/>
      <c r="U728" s="889"/>
      <c r="V728" s="889"/>
      <c r="W728" s="889"/>
      <c r="X728" s="889"/>
      <c r="Y728" s="889"/>
      <c r="Z728" s="889"/>
      <c r="AA728" s="889"/>
      <c r="AB728" s="889"/>
      <c r="AC728" s="889"/>
      <c r="AD728" s="889"/>
      <c r="AE728" s="889"/>
      <c r="AF728" s="889"/>
      <c r="AG728" s="889"/>
      <c r="AH728" s="889"/>
      <c r="AI728" s="889"/>
      <c r="AJ728" s="889"/>
      <c r="AK728" s="889"/>
      <c r="AL728" s="889"/>
      <c r="AM728" s="889"/>
      <c r="AN728" s="889"/>
      <c r="AO728" s="889"/>
      <c r="AP728" s="889"/>
      <c r="AQ728" s="889"/>
      <c r="AR728" s="889"/>
      <c r="AS728" s="889"/>
      <c r="AT728" s="889"/>
      <c r="AU728" s="889"/>
      <c r="AV728" s="889"/>
      <c r="AW728" s="889"/>
      <c r="AX728" s="889"/>
      <c r="AY728" s="889"/>
      <c r="AZ728" s="889"/>
    </row>
    <row r="729">
      <c r="A729" s="889"/>
      <c r="B729" s="889"/>
      <c r="C729" s="889"/>
      <c r="D729" s="889"/>
      <c r="E729" s="889"/>
      <c r="F729" s="889"/>
      <c r="G729" s="889"/>
      <c r="H729" s="889"/>
      <c r="I729" s="889"/>
      <c r="J729" s="889"/>
      <c r="K729" s="889"/>
      <c r="L729" s="889"/>
      <c r="M729" s="889"/>
      <c r="N729" s="944"/>
      <c r="O729" s="944"/>
      <c r="P729" s="944"/>
      <c r="Q729" s="944"/>
      <c r="R729" s="944"/>
      <c r="S729" s="889"/>
      <c r="T729" s="889"/>
      <c r="U729" s="889"/>
      <c r="V729" s="889"/>
      <c r="W729" s="889"/>
      <c r="X729" s="889"/>
      <c r="Y729" s="889"/>
      <c r="Z729" s="889"/>
      <c r="AA729" s="889"/>
      <c r="AB729" s="889"/>
      <c r="AC729" s="889"/>
      <c r="AD729" s="889"/>
      <c r="AE729" s="889"/>
      <c r="AF729" s="889"/>
      <c r="AG729" s="889"/>
      <c r="AH729" s="889"/>
      <c r="AI729" s="889"/>
      <c r="AJ729" s="889"/>
      <c r="AK729" s="889"/>
      <c r="AL729" s="889"/>
      <c r="AM729" s="889"/>
      <c r="AN729" s="889"/>
      <c r="AO729" s="889"/>
      <c r="AP729" s="889"/>
      <c r="AQ729" s="889"/>
      <c r="AR729" s="889"/>
      <c r="AS729" s="889"/>
      <c r="AT729" s="889"/>
      <c r="AU729" s="889"/>
      <c r="AV729" s="889"/>
      <c r="AW729" s="889"/>
      <c r="AX729" s="889"/>
      <c r="AY729" s="889"/>
      <c r="AZ729" s="889"/>
    </row>
    <row r="730">
      <c r="A730" s="889"/>
      <c r="B730" s="889"/>
      <c r="C730" s="889"/>
      <c r="D730" s="889"/>
      <c r="E730" s="889"/>
      <c r="F730" s="889"/>
      <c r="G730" s="889"/>
      <c r="H730" s="889"/>
      <c r="I730" s="889"/>
      <c r="J730" s="889"/>
      <c r="K730" s="889"/>
      <c r="L730" s="889"/>
      <c r="M730" s="889"/>
      <c r="N730" s="944"/>
      <c r="O730" s="944"/>
      <c r="P730" s="944"/>
      <c r="Q730" s="944"/>
      <c r="R730" s="944"/>
      <c r="S730" s="889"/>
      <c r="T730" s="889"/>
      <c r="U730" s="889"/>
      <c r="V730" s="889"/>
      <c r="W730" s="889"/>
      <c r="X730" s="889"/>
      <c r="Y730" s="889"/>
      <c r="Z730" s="889"/>
      <c r="AA730" s="889"/>
      <c r="AB730" s="889"/>
      <c r="AC730" s="889"/>
      <c r="AD730" s="889"/>
      <c r="AE730" s="889"/>
      <c r="AF730" s="889"/>
      <c r="AG730" s="889"/>
      <c r="AH730" s="889"/>
      <c r="AI730" s="889"/>
      <c r="AJ730" s="889"/>
      <c r="AK730" s="889"/>
      <c r="AL730" s="889"/>
      <c r="AM730" s="889"/>
      <c r="AN730" s="889"/>
      <c r="AO730" s="889"/>
      <c r="AP730" s="889"/>
      <c r="AQ730" s="889"/>
      <c r="AR730" s="889"/>
      <c r="AS730" s="889"/>
      <c r="AT730" s="889"/>
      <c r="AU730" s="889"/>
      <c r="AV730" s="889"/>
      <c r="AW730" s="889"/>
      <c r="AX730" s="889"/>
      <c r="AY730" s="889"/>
      <c r="AZ730" s="889"/>
    </row>
    <row r="731">
      <c r="A731" s="889"/>
      <c r="B731" s="889"/>
      <c r="C731" s="889"/>
      <c r="D731" s="889"/>
      <c r="E731" s="889"/>
      <c r="F731" s="889"/>
      <c r="G731" s="889"/>
      <c r="H731" s="889"/>
      <c r="I731" s="889"/>
      <c r="J731" s="889"/>
      <c r="K731" s="889"/>
      <c r="L731" s="889"/>
      <c r="M731" s="889"/>
      <c r="N731" s="944"/>
      <c r="O731" s="944"/>
      <c r="P731" s="944"/>
      <c r="Q731" s="944"/>
      <c r="R731" s="944"/>
      <c r="S731" s="889"/>
      <c r="T731" s="889"/>
      <c r="U731" s="889"/>
      <c r="V731" s="889"/>
      <c r="W731" s="889"/>
      <c r="X731" s="889"/>
      <c r="Y731" s="889"/>
      <c r="Z731" s="889"/>
      <c r="AA731" s="889"/>
      <c r="AB731" s="889"/>
      <c r="AC731" s="889"/>
      <c r="AD731" s="889"/>
      <c r="AE731" s="889"/>
      <c r="AF731" s="889"/>
      <c r="AG731" s="889"/>
      <c r="AH731" s="889"/>
      <c r="AI731" s="889"/>
      <c r="AJ731" s="889"/>
      <c r="AK731" s="889"/>
      <c r="AL731" s="889"/>
      <c r="AM731" s="889"/>
      <c r="AN731" s="889"/>
      <c r="AO731" s="889"/>
      <c r="AP731" s="889"/>
      <c r="AQ731" s="889"/>
      <c r="AR731" s="889"/>
      <c r="AS731" s="889"/>
      <c r="AT731" s="889"/>
      <c r="AU731" s="889"/>
      <c r="AV731" s="889"/>
      <c r="AW731" s="889"/>
      <c r="AX731" s="889"/>
      <c r="AY731" s="889"/>
      <c r="AZ731" s="889"/>
    </row>
    <row r="732">
      <c r="A732" s="889"/>
      <c r="B732" s="889"/>
      <c r="C732" s="889"/>
      <c r="D732" s="889"/>
      <c r="E732" s="889"/>
      <c r="F732" s="889"/>
      <c r="G732" s="889"/>
      <c r="H732" s="889"/>
      <c r="I732" s="889"/>
      <c r="J732" s="889"/>
      <c r="K732" s="889"/>
      <c r="L732" s="889"/>
      <c r="M732" s="889"/>
      <c r="N732" s="944"/>
      <c r="O732" s="944"/>
      <c r="P732" s="944"/>
      <c r="Q732" s="944"/>
      <c r="R732" s="944"/>
      <c r="S732" s="889"/>
      <c r="T732" s="889"/>
      <c r="U732" s="889"/>
      <c r="V732" s="889"/>
      <c r="W732" s="889"/>
      <c r="X732" s="889"/>
      <c r="Y732" s="889"/>
      <c r="Z732" s="889"/>
      <c r="AA732" s="889"/>
      <c r="AB732" s="889"/>
      <c r="AC732" s="889"/>
      <c r="AD732" s="889"/>
      <c r="AE732" s="889"/>
      <c r="AF732" s="889"/>
      <c r="AG732" s="889"/>
      <c r="AH732" s="889"/>
      <c r="AI732" s="889"/>
      <c r="AJ732" s="889"/>
      <c r="AK732" s="889"/>
      <c r="AL732" s="889"/>
      <c r="AM732" s="889"/>
      <c r="AN732" s="889"/>
      <c r="AO732" s="889"/>
      <c r="AP732" s="889"/>
      <c r="AQ732" s="889"/>
      <c r="AR732" s="889"/>
      <c r="AS732" s="889"/>
      <c r="AT732" s="889"/>
      <c r="AU732" s="889"/>
      <c r="AV732" s="889"/>
      <c r="AW732" s="889"/>
      <c r="AX732" s="889"/>
      <c r="AY732" s="889"/>
      <c r="AZ732" s="889"/>
    </row>
    <row r="733">
      <c r="A733" s="889"/>
      <c r="B733" s="889"/>
      <c r="C733" s="889"/>
      <c r="D733" s="889"/>
      <c r="E733" s="889"/>
      <c r="F733" s="889"/>
      <c r="G733" s="889"/>
      <c r="H733" s="889"/>
      <c r="I733" s="889"/>
      <c r="J733" s="889"/>
      <c r="K733" s="889"/>
      <c r="L733" s="889"/>
      <c r="M733" s="889"/>
      <c r="N733" s="944"/>
      <c r="O733" s="944"/>
      <c r="P733" s="944"/>
      <c r="Q733" s="944"/>
      <c r="R733" s="944"/>
      <c r="S733" s="889"/>
      <c r="T733" s="889"/>
      <c r="U733" s="889"/>
      <c r="V733" s="889"/>
      <c r="W733" s="889"/>
      <c r="X733" s="889"/>
      <c r="Y733" s="889"/>
      <c r="Z733" s="889"/>
      <c r="AA733" s="889"/>
      <c r="AB733" s="889"/>
      <c r="AC733" s="889"/>
      <c r="AD733" s="889"/>
      <c r="AE733" s="889"/>
      <c r="AF733" s="889"/>
      <c r="AG733" s="889"/>
      <c r="AH733" s="889"/>
      <c r="AI733" s="889"/>
      <c r="AJ733" s="889"/>
      <c r="AK733" s="889"/>
      <c r="AL733" s="889"/>
      <c r="AM733" s="889"/>
      <c r="AN733" s="889"/>
      <c r="AO733" s="889"/>
      <c r="AP733" s="889"/>
      <c r="AQ733" s="889"/>
      <c r="AR733" s="889"/>
      <c r="AS733" s="889"/>
      <c r="AT733" s="889"/>
      <c r="AU733" s="889"/>
      <c r="AV733" s="889"/>
      <c r="AW733" s="889"/>
      <c r="AX733" s="889"/>
      <c r="AY733" s="889"/>
      <c r="AZ733" s="889"/>
    </row>
    <row r="734">
      <c r="A734" s="889"/>
      <c r="B734" s="889"/>
      <c r="C734" s="889"/>
      <c r="D734" s="889"/>
      <c r="E734" s="889"/>
      <c r="F734" s="889"/>
      <c r="G734" s="889"/>
      <c r="H734" s="889"/>
      <c r="I734" s="889"/>
      <c r="J734" s="889"/>
      <c r="K734" s="889"/>
      <c r="L734" s="889"/>
      <c r="M734" s="889"/>
      <c r="N734" s="944"/>
      <c r="O734" s="944"/>
      <c r="P734" s="944"/>
      <c r="Q734" s="944"/>
      <c r="R734" s="944"/>
      <c r="S734" s="889"/>
      <c r="T734" s="889"/>
      <c r="U734" s="889"/>
      <c r="V734" s="889"/>
      <c r="W734" s="889"/>
      <c r="X734" s="889"/>
      <c r="Y734" s="889"/>
      <c r="Z734" s="889"/>
      <c r="AA734" s="889"/>
      <c r="AB734" s="889"/>
      <c r="AC734" s="889"/>
      <c r="AD734" s="889"/>
      <c r="AE734" s="889"/>
      <c r="AF734" s="889"/>
      <c r="AG734" s="889"/>
      <c r="AH734" s="889"/>
      <c r="AI734" s="889"/>
      <c r="AJ734" s="889"/>
      <c r="AK734" s="889"/>
      <c r="AL734" s="889"/>
      <c r="AM734" s="889"/>
      <c r="AN734" s="889"/>
      <c r="AO734" s="889"/>
      <c r="AP734" s="889"/>
      <c r="AQ734" s="889"/>
      <c r="AR734" s="889"/>
      <c r="AS734" s="889"/>
      <c r="AT734" s="889"/>
      <c r="AU734" s="889"/>
      <c r="AV734" s="889"/>
      <c r="AW734" s="889"/>
      <c r="AX734" s="889"/>
      <c r="AY734" s="889"/>
      <c r="AZ734" s="889"/>
    </row>
    <row r="735">
      <c r="A735" s="889"/>
      <c r="B735" s="889"/>
      <c r="C735" s="889"/>
      <c r="D735" s="889"/>
      <c r="E735" s="889"/>
      <c r="F735" s="889"/>
      <c r="G735" s="889"/>
      <c r="H735" s="889"/>
      <c r="I735" s="889"/>
      <c r="J735" s="889"/>
      <c r="K735" s="889"/>
      <c r="L735" s="889"/>
      <c r="M735" s="889"/>
      <c r="N735" s="944"/>
      <c r="O735" s="944"/>
      <c r="P735" s="944"/>
      <c r="Q735" s="944"/>
      <c r="R735" s="944"/>
      <c r="S735" s="889"/>
      <c r="T735" s="889"/>
      <c r="U735" s="889"/>
      <c r="V735" s="889"/>
      <c r="W735" s="889"/>
      <c r="X735" s="889"/>
      <c r="Y735" s="889"/>
      <c r="Z735" s="889"/>
      <c r="AA735" s="889"/>
      <c r="AB735" s="889"/>
      <c r="AC735" s="889"/>
      <c r="AD735" s="889"/>
      <c r="AE735" s="889"/>
      <c r="AF735" s="889"/>
      <c r="AG735" s="889"/>
      <c r="AH735" s="889"/>
      <c r="AI735" s="889"/>
      <c r="AJ735" s="889"/>
      <c r="AK735" s="889"/>
      <c r="AL735" s="889"/>
      <c r="AM735" s="889"/>
      <c r="AN735" s="889"/>
      <c r="AO735" s="889"/>
      <c r="AP735" s="889"/>
      <c r="AQ735" s="889"/>
      <c r="AR735" s="889"/>
      <c r="AS735" s="889"/>
      <c r="AT735" s="889"/>
      <c r="AU735" s="889"/>
      <c r="AV735" s="889"/>
      <c r="AW735" s="889"/>
      <c r="AX735" s="889"/>
      <c r="AY735" s="889"/>
      <c r="AZ735" s="889"/>
    </row>
    <row r="736">
      <c r="A736" s="889"/>
      <c r="B736" s="889"/>
      <c r="C736" s="889"/>
      <c r="D736" s="889"/>
      <c r="E736" s="889"/>
      <c r="F736" s="889"/>
      <c r="G736" s="889"/>
      <c r="H736" s="889"/>
      <c r="I736" s="889"/>
      <c r="J736" s="889"/>
      <c r="K736" s="889"/>
      <c r="L736" s="889"/>
      <c r="M736" s="889"/>
      <c r="N736" s="944"/>
      <c r="O736" s="944"/>
      <c r="P736" s="944"/>
      <c r="Q736" s="944"/>
      <c r="R736" s="944"/>
      <c r="S736" s="889"/>
      <c r="T736" s="889"/>
      <c r="U736" s="889"/>
      <c r="V736" s="889"/>
      <c r="W736" s="889"/>
      <c r="X736" s="889"/>
      <c r="Y736" s="889"/>
      <c r="Z736" s="889"/>
      <c r="AA736" s="889"/>
      <c r="AB736" s="889"/>
      <c r="AC736" s="889"/>
      <c r="AD736" s="889"/>
      <c r="AE736" s="889"/>
      <c r="AF736" s="889"/>
      <c r="AG736" s="889"/>
      <c r="AH736" s="889"/>
      <c r="AI736" s="889"/>
      <c r="AJ736" s="889"/>
      <c r="AK736" s="889"/>
      <c r="AL736" s="889"/>
      <c r="AM736" s="889"/>
      <c r="AN736" s="889"/>
      <c r="AO736" s="889"/>
      <c r="AP736" s="889"/>
      <c r="AQ736" s="889"/>
      <c r="AR736" s="889"/>
      <c r="AS736" s="889"/>
      <c r="AT736" s="889"/>
      <c r="AU736" s="889"/>
      <c r="AV736" s="889"/>
      <c r="AW736" s="889"/>
      <c r="AX736" s="889"/>
      <c r="AY736" s="889"/>
      <c r="AZ736" s="889"/>
    </row>
    <row r="737">
      <c r="A737" s="889"/>
      <c r="B737" s="889"/>
      <c r="C737" s="889"/>
      <c r="D737" s="889"/>
      <c r="E737" s="889"/>
      <c r="F737" s="889"/>
      <c r="G737" s="889"/>
      <c r="H737" s="889"/>
      <c r="I737" s="889"/>
      <c r="J737" s="889"/>
      <c r="K737" s="889"/>
      <c r="L737" s="889"/>
      <c r="M737" s="889"/>
      <c r="N737" s="944"/>
      <c r="O737" s="944"/>
      <c r="P737" s="944"/>
      <c r="Q737" s="944"/>
      <c r="R737" s="944"/>
      <c r="S737" s="889"/>
      <c r="T737" s="889"/>
      <c r="U737" s="889"/>
      <c r="V737" s="889"/>
      <c r="W737" s="889"/>
      <c r="X737" s="889"/>
      <c r="Y737" s="889"/>
      <c r="Z737" s="889"/>
      <c r="AA737" s="889"/>
      <c r="AB737" s="889"/>
      <c r="AC737" s="889"/>
      <c r="AD737" s="889"/>
      <c r="AE737" s="889"/>
      <c r="AF737" s="889"/>
      <c r="AG737" s="889"/>
      <c r="AH737" s="889"/>
      <c r="AI737" s="889"/>
      <c r="AJ737" s="889"/>
      <c r="AK737" s="889"/>
      <c r="AL737" s="889"/>
      <c r="AM737" s="889"/>
      <c r="AN737" s="889"/>
      <c r="AO737" s="889"/>
      <c r="AP737" s="889"/>
      <c r="AQ737" s="889"/>
      <c r="AR737" s="889"/>
      <c r="AS737" s="889"/>
      <c r="AT737" s="889"/>
      <c r="AU737" s="889"/>
      <c r="AV737" s="889"/>
      <c r="AW737" s="889"/>
      <c r="AX737" s="889"/>
      <c r="AY737" s="889"/>
      <c r="AZ737" s="889"/>
    </row>
    <row r="738">
      <c r="A738" s="889"/>
      <c r="B738" s="889"/>
      <c r="C738" s="889"/>
      <c r="D738" s="889"/>
      <c r="E738" s="889"/>
      <c r="F738" s="889"/>
      <c r="G738" s="889"/>
      <c r="H738" s="889"/>
      <c r="I738" s="889"/>
      <c r="J738" s="889"/>
      <c r="K738" s="889"/>
      <c r="L738" s="889"/>
      <c r="M738" s="889"/>
      <c r="N738" s="944"/>
      <c r="O738" s="944"/>
      <c r="P738" s="944"/>
      <c r="Q738" s="944"/>
      <c r="R738" s="944"/>
      <c r="S738" s="889"/>
      <c r="T738" s="889"/>
      <c r="U738" s="889"/>
      <c r="V738" s="889"/>
      <c r="W738" s="889"/>
      <c r="X738" s="889"/>
      <c r="Y738" s="889"/>
      <c r="Z738" s="889"/>
      <c r="AA738" s="889"/>
      <c r="AB738" s="889"/>
      <c r="AC738" s="889"/>
      <c r="AD738" s="889"/>
      <c r="AE738" s="889"/>
      <c r="AF738" s="889"/>
      <c r="AG738" s="889"/>
      <c r="AH738" s="889"/>
      <c r="AI738" s="889"/>
      <c r="AJ738" s="889"/>
      <c r="AK738" s="889"/>
      <c r="AL738" s="889"/>
      <c r="AM738" s="889"/>
      <c r="AN738" s="889"/>
      <c r="AO738" s="889"/>
      <c r="AP738" s="889"/>
      <c r="AQ738" s="889"/>
      <c r="AR738" s="889"/>
      <c r="AS738" s="889"/>
      <c r="AT738" s="889"/>
      <c r="AU738" s="889"/>
      <c r="AV738" s="889"/>
      <c r="AW738" s="889"/>
      <c r="AX738" s="889"/>
      <c r="AY738" s="889"/>
      <c r="AZ738" s="889"/>
    </row>
    <row r="739">
      <c r="A739" s="889"/>
      <c r="B739" s="889"/>
      <c r="C739" s="889"/>
      <c r="D739" s="889"/>
      <c r="E739" s="889"/>
      <c r="F739" s="889"/>
      <c r="G739" s="889"/>
      <c r="H739" s="889"/>
      <c r="I739" s="889"/>
      <c r="J739" s="889"/>
      <c r="K739" s="889"/>
      <c r="L739" s="889"/>
      <c r="M739" s="889"/>
      <c r="N739" s="944"/>
      <c r="O739" s="944"/>
      <c r="P739" s="944"/>
      <c r="Q739" s="944"/>
      <c r="R739" s="944"/>
      <c r="S739" s="889"/>
      <c r="T739" s="889"/>
      <c r="U739" s="889"/>
      <c r="V739" s="889"/>
      <c r="W739" s="889"/>
      <c r="X739" s="889"/>
      <c r="Y739" s="889"/>
      <c r="Z739" s="889"/>
      <c r="AA739" s="889"/>
      <c r="AB739" s="889"/>
      <c r="AC739" s="889"/>
      <c r="AD739" s="889"/>
      <c r="AE739" s="889"/>
      <c r="AF739" s="889"/>
      <c r="AG739" s="889"/>
      <c r="AH739" s="889"/>
      <c r="AI739" s="889"/>
      <c r="AJ739" s="889"/>
      <c r="AK739" s="889"/>
      <c r="AL739" s="889"/>
      <c r="AM739" s="889"/>
      <c r="AN739" s="889"/>
      <c r="AO739" s="889"/>
      <c r="AP739" s="889"/>
      <c r="AQ739" s="889"/>
      <c r="AR739" s="889"/>
      <c r="AS739" s="889"/>
      <c r="AT739" s="889"/>
      <c r="AU739" s="889"/>
      <c r="AV739" s="889"/>
      <c r="AW739" s="889"/>
      <c r="AX739" s="889"/>
      <c r="AY739" s="889"/>
      <c r="AZ739" s="889"/>
    </row>
    <row r="740">
      <c r="A740" s="889"/>
      <c r="B740" s="889"/>
      <c r="C740" s="889"/>
      <c r="D740" s="889"/>
      <c r="E740" s="889"/>
      <c r="F740" s="889"/>
      <c r="G740" s="889"/>
      <c r="H740" s="889"/>
      <c r="I740" s="889"/>
      <c r="J740" s="889"/>
      <c r="K740" s="889"/>
      <c r="L740" s="889"/>
      <c r="M740" s="889"/>
      <c r="N740" s="944"/>
      <c r="O740" s="944"/>
      <c r="P740" s="944"/>
      <c r="Q740" s="944"/>
      <c r="R740" s="944"/>
      <c r="S740" s="889"/>
      <c r="T740" s="889"/>
      <c r="U740" s="889"/>
      <c r="V740" s="889"/>
      <c r="W740" s="889"/>
      <c r="X740" s="889"/>
      <c r="Y740" s="889"/>
      <c r="Z740" s="889"/>
      <c r="AA740" s="889"/>
      <c r="AB740" s="889"/>
      <c r="AC740" s="889"/>
      <c r="AD740" s="889"/>
      <c r="AE740" s="889"/>
      <c r="AF740" s="889"/>
      <c r="AG740" s="889"/>
      <c r="AH740" s="889"/>
      <c r="AI740" s="889"/>
      <c r="AJ740" s="889"/>
      <c r="AK740" s="889"/>
      <c r="AL740" s="889"/>
      <c r="AM740" s="889"/>
      <c r="AN740" s="889"/>
      <c r="AO740" s="889"/>
      <c r="AP740" s="889"/>
      <c r="AQ740" s="889"/>
      <c r="AR740" s="889"/>
      <c r="AS740" s="889"/>
      <c r="AT740" s="889"/>
      <c r="AU740" s="889"/>
      <c r="AV740" s="889"/>
      <c r="AW740" s="889"/>
      <c r="AX740" s="889"/>
      <c r="AY740" s="889"/>
      <c r="AZ740" s="889"/>
    </row>
    <row r="741">
      <c r="A741" s="889"/>
      <c r="B741" s="889"/>
      <c r="C741" s="889"/>
      <c r="D741" s="889"/>
      <c r="E741" s="889"/>
      <c r="F741" s="889"/>
      <c r="G741" s="889"/>
      <c r="H741" s="889"/>
      <c r="I741" s="889"/>
      <c r="J741" s="889"/>
      <c r="K741" s="889"/>
      <c r="L741" s="889"/>
      <c r="M741" s="889"/>
      <c r="N741" s="944"/>
      <c r="O741" s="944"/>
      <c r="P741" s="944"/>
      <c r="Q741" s="944"/>
      <c r="R741" s="944"/>
      <c r="S741" s="889"/>
      <c r="T741" s="889"/>
      <c r="U741" s="889"/>
      <c r="V741" s="889"/>
      <c r="W741" s="889"/>
      <c r="X741" s="889"/>
      <c r="Y741" s="889"/>
      <c r="Z741" s="889"/>
      <c r="AA741" s="889"/>
      <c r="AB741" s="889"/>
      <c r="AC741" s="889"/>
      <c r="AD741" s="889"/>
      <c r="AE741" s="889"/>
      <c r="AF741" s="889"/>
      <c r="AG741" s="889"/>
      <c r="AH741" s="889"/>
      <c r="AI741" s="889"/>
      <c r="AJ741" s="889"/>
      <c r="AK741" s="889"/>
      <c r="AL741" s="889"/>
      <c r="AM741" s="889"/>
      <c r="AN741" s="889"/>
      <c r="AO741" s="889"/>
      <c r="AP741" s="889"/>
      <c r="AQ741" s="889"/>
      <c r="AR741" s="889"/>
      <c r="AS741" s="889"/>
      <c r="AT741" s="889"/>
      <c r="AU741" s="889"/>
      <c r="AV741" s="889"/>
      <c r="AW741" s="889"/>
      <c r="AX741" s="889"/>
      <c r="AY741" s="889"/>
      <c r="AZ741" s="889"/>
    </row>
    <row r="742">
      <c r="A742" s="889"/>
      <c r="B742" s="889"/>
      <c r="C742" s="889"/>
      <c r="D742" s="889"/>
      <c r="E742" s="889"/>
      <c r="F742" s="889"/>
      <c r="G742" s="889"/>
      <c r="H742" s="889"/>
      <c r="I742" s="889"/>
      <c r="J742" s="889"/>
      <c r="K742" s="889"/>
      <c r="L742" s="889"/>
      <c r="M742" s="889"/>
      <c r="N742" s="944"/>
      <c r="O742" s="944"/>
      <c r="P742" s="944"/>
      <c r="Q742" s="944"/>
      <c r="R742" s="944"/>
      <c r="S742" s="889"/>
      <c r="T742" s="889"/>
      <c r="U742" s="889"/>
      <c r="V742" s="889"/>
      <c r="W742" s="889"/>
      <c r="X742" s="889"/>
      <c r="Y742" s="889"/>
      <c r="Z742" s="889"/>
      <c r="AA742" s="889"/>
      <c r="AB742" s="889"/>
      <c r="AC742" s="889"/>
      <c r="AD742" s="889"/>
      <c r="AE742" s="889"/>
      <c r="AF742" s="889"/>
      <c r="AG742" s="889"/>
      <c r="AH742" s="889"/>
      <c r="AI742" s="889"/>
      <c r="AJ742" s="889"/>
      <c r="AK742" s="889"/>
      <c r="AL742" s="889"/>
      <c r="AM742" s="889"/>
      <c r="AN742" s="889"/>
      <c r="AO742" s="889"/>
      <c r="AP742" s="889"/>
      <c r="AQ742" s="889"/>
      <c r="AR742" s="889"/>
      <c r="AS742" s="889"/>
      <c r="AT742" s="889"/>
      <c r="AU742" s="889"/>
      <c r="AV742" s="889"/>
      <c r="AW742" s="889"/>
      <c r="AX742" s="889"/>
      <c r="AY742" s="889"/>
      <c r="AZ742" s="889"/>
    </row>
    <row r="743">
      <c r="A743" s="889"/>
      <c r="B743" s="889"/>
      <c r="C743" s="889"/>
      <c r="D743" s="889"/>
      <c r="E743" s="889"/>
      <c r="F743" s="889"/>
      <c r="G743" s="889"/>
      <c r="H743" s="889"/>
      <c r="I743" s="889"/>
      <c r="J743" s="889"/>
      <c r="K743" s="889"/>
      <c r="L743" s="889"/>
      <c r="M743" s="889"/>
      <c r="N743" s="944"/>
      <c r="O743" s="944"/>
      <c r="P743" s="944"/>
      <c r="Q743" s="944"/>
      <c r="R743" s="944"/>
      <c r="S743" s="889"/>
      <c r="T743" s="889"/>
      <c r="U743" s="889"/>
      <c r="V743" s="889"/>
      <c r="W743" s="889"/>
      <c r="X743" s="889"/>
      <c r="Y743" s="889"/>
      <c r="Z743" s="889"/>
      <c r="AA743" s="889"/>
      <c r="AB743" s="889"/>
      <c r="AC743" s="889"/>
      <c r="AD743" s="889"/>
      <c r="AE743" s="889"/>
      <c r="AF743" s="889"/>
      <c r="AG743" s="889"/>
      <c r="AH743" s="889"/>
      <c r="AI743" s="889"/>
      <c r="AJ743" s="889"/>
      <c r="AK743" s="889"/>
      <c r="AL743" s="889"/>
      <c r="AM743" s="889"/>
      <c r="AN743" s="889"/>
      <c r="AO743" s="889"/>
      <c r="AP743" s="889"/>
      <c r="AQ743" s="889"/>
      <c r="AR743" s="889"/>
      <c r="AS743" s="889"/>
      <c r="AT743" s="889"/>
      <c r="AU743" s="889"/>
      <c r="AV743" s="889"/>
      <c r="AW743" s="889"/>
      <c r="AX743" s="889"/>
      <c r="AY743" s="889"/>
      <c r="AZ743" s="889"/>
    </row>
    <row r="744">
      <c r="A744" s="889"/>
      <c r="B744" s="889"/>
      <c r="C744" s="889"/>
      <c r="D744" s="889"/>
      <c r="E744" s="889"/>
      <c r="F744" s="889"/>
      <c r="G744" s="889"/>
      <c r="H744" s="889"/>
      <c r="I744" s="889"/>
      <c r="J744" s="889"/>
      <c r="K744" s="889"/>
      <c r="L744" s="889"/>
      <c r="M744" s="889"/>
      <c r="N744" s="944"/>
      <c r="O744" s="944"/>
      <c r="P744" s="944"/>
      <c r="Q744" s="944"/>
      <c r="R744" s="944"/>
      <c r="S744" s="889"/>
      <c r="T744" s="889"/>
      <c r="U744" s="889"/>
      <c r="V744" s="889"/>
      <c r="W744" s="889"/>
      <c r="X744" s="889"/>
      <c r="Y744" s="889"/>
      <c r="Z744" s="889"/>
      <c r="AA744" s="889"/>
      <c r="AB744" s="889"/>
      <c r="AC744" s="889"/>
      <c r="AD744" s="889"/>
      <c r="AE744" s="889"/>
      <c r="AF744" s="889"/>
      <c r="AG744" s="889"/>
      <c r="AH744" s="889"/>
      <c r="AI744" s="889"/>
      <c r="AJ744" s="889"/>
      <c r="AK744" s="889"/>
      <c r="AL744" s="889"/>
      <c r="AM744" s="889"/>
      <c r="AN744" s="889"/>
      <c r="AO744" s="889"/>
      <c r="AP744" s="889"/>
      <c r="AQ744" s="889"/>
      <c r="AR744" s="889"/>
      <c r="AS744" s="889"/>
      <c r="AT744" s="889"/>
      <c r="AU744" s="889"/>
      <c r="AV744" s="889"/>
      <c r="AW744" s="889"/>
      <c r="AX744" s="889"/>
      <c r="AY744" s="889"/>
      <c r="AZ744" s="889"/>
    </row>
    <row r="745">
      <c r="A745" s="889"/>
      <c r="B745" s="889"/>
      <c r="C745" s="889"/>
      <c r="D745" s="889"/>
      <c r="E745" s="889"/>
      <c r="F745" s="889"/>
      <c r="G745" s="889"/>
      <c r="H745" s="889"/>
      <c r="I745" s="889"/>
      <c r="J745" s="889"/>
      <c r="K745" s="889"/>
      <c r="L745" s="889"/>
      <c r="M745" s="889"/>
      <c r="N745" s="944"/>
      <c r="O745" s="944"/>
      <c r="P745" s="944"/>
      <c r="Q745" s="944"/>
      <c r="R745" s="944"/>
      <c r="S745" s="889"/>
      <c r="T745" s="889"/>
      <c r="U745" s="889"/>
      <c r="V745" s="889"/>
      <c r="W745" s="889"/>
      <c r="X745" s="889"/>
      <c r="Y745" s="889"/>
      <c r="Z745" s="889"/>
      <c r="AA745" s="889"/>
      <c r="AB745" s="889"/>
      <c r="AC745" s="889"/>
      <c r="AD745" s="889"/>
      <c r="AE745" s="889"/>
      <c r="AF745" s="889"/>
      <c r="AG745" s="889"/>
      <c r="AH745" s="889"/>
      <c r="AI745" s="889"/>
      <c r="AJ745" s="889"/>
      <c r="AK745" s="889"/>
      <c r="AL745" s="889"/>
      <c r="AM745" s="889"/>
      <c r="AN745" s="889"/>
      <c r="AO745" s="889"/>
      <c r="AP745" s="889"/>
      <c r="AQ745" s="889"/>
      <c r="AR745" s="889"/>
      <c r="AS745" s="889"/>
      <c r="AT745" s="889"/>
      <c r="AU745" s="889"/>
      <c r="AV745" s="889"/>
      <c r="AW745" s="889"/>
      <c r="AX745" s="889"/>
      <c r="AY745" s="889"/>
      <c r="AZ745" s="889"/>
    </row>
    <row r="746">
      <c r="A746" s="889"/>
      <c r="B746" s="889"/>
      <c r="C746" s="889"/>
      <c r="D746" s="889"/>
      <c r="E746" s="889"/>
      <c r="F746" s="889"/>
      <c r="G746" s="889"/>
      <c r="H746" s="889"/>
      <c r="I746" s="889"/>
      <c r="J746" s="889"/>
      <c r="K746" s="889"/>
      <c r="L746" s="889"/>
      <c r="M746" s="889"/>
      <c r="N746" s="944"/>
      <c r="O746" s="944"/>
      <c r="P746" s="944"/>
      <c r="Q746" s="944"/>
      <c r="R746" s="944"/>
      <c r="S746" s="889"/>
      <c r="T746" s="889"/>
      <c r="U746" s="889"/>
      <c r="V746" s="889"/>
      <c r="W746" s="889"/>
      <c r="X746" s="889"/>
      <c r="Y746" s="889"/>
      <c r="Z746" s="889"/>
      <c r="AA746" s="889"/>
      <c r="AB746" s="889"/>
      <c r="AC746" s="889"/>
      <c r="AD746" s="889"/>
      <c r="AE746" s="889"/>
      <c r="AF746" s="889"/>
      <c r="AG746" s="889"/>
      <c r="AH746" s="889"/>
      <c r="AI746" s="889"/>
      <c r="AJ746" s="889"/>
      <c r="AK746" s="889"/>
      <c r="AL746" s="889"/>
      <c r="AM746" s="889"/>
      <c r="AN746" s="889"/>
      <c r="AO746" s="889"/>
      <c r="AP746" s="889"/>
      <c r="AQ746" s="889"/>
      <c r="AR746" s="889"/>
      <c r="AS746" s="889"/>
      <c r="AT746" s="889"/>
      <c r="AU746" s="889"/>
      <c r="AV746" s="889"/>
      <c r="AW746" s="889"/>
      <c r="AX746" s="889"/>
      <c r="AY746" s="889"/>
      <c r="AZ746" s="889"/>
    </row>
    <row r="747">
      <c r="A747" s="889"/>
      <c r="B747" s="889"/>
      <c r="C747" s="889"/>
      <c r="D747" s="889"/>
      <c r="E747" s="889"/>
      <c r="F747" s="889"/>
      <c r="G747" s="889"/>
      <c r="H747" s="889"/>
      <c r="I747" s="889"/>
      <c r="J747" s="889"/>
      <c r="K747" s="889"/>
      <c r="L747" s="889"/>
      <c r="M747" s="889"/>
      <c r="N747" s="944"/>
      <c r="O747" s="944"/>
      <c r="P747" s="944"/>
      <c r="Q747" s="944"/>
      <c r="R747" s="944"/>
      <c r="S747" s="889"/>
      <c r="T747" s="889"/>
      <c r="U747" s="889"/>
      <c r="V747" s="889"/>
      <c r="W747" s="889"/>
      <c r="X747" s="889"/>
      <c r="Y747" s="889"/>
      <c r="Z747" s="889"/>
      <c r="AA747" s="889"/>
      <c r="AB747" s="889"/>
      <c r="AC747" s="889"/>
      <c r="AD747" s="889"/>
      <c r="AE747" s="889"/>
      <c r="AF747" s="889"/>
      <c r="AG747" s="889"/>
      <c r="AH747" s="889"/>
      <c r="AI747" s="889"/>
      <c r="AJ747" s="889"/>
      <c r="AK747" s="889"/>
      <c r="AL747" s="889"/>
      <c r="AM747" s="889"/>
      <c r="AN747" s="889"/>
      <c r="AO747" s="889"/>
      <c r="AP747" s="889"/>
      <c r="AQ747" s="889"/>
      <c r="AR747" s="889"/>
      <c r="AS747" s="889"/>
      <c r="AT747" s="889"/>
      <c r="AU747" s="889"/>
      <c r="AV747" s="889"/>
      <c r="AW747" s="889"/>
      <c r="AX747" s="889"/>
      <c r="AY747" s="889"/>
      <c r="AZ747" s="889"/>
    </row>
    <row r="748">
      <c r="A748" s="889"/>
      <c r="B748" s="889"/>
      <c r="C748" s="889"/>
      <c r="D748" s="889"/>
      <c r="E748" s="889"/>
      <c r="F748" s="889"/>
      <c r="G748" s="889"/>
      <c r="H748" s="889"/>
      <c r="I748" s="889"/>
      <c r="J748" s="889"/>
      <c r="K748" s="889"/>
      <c r="L748" s="889"/>
      <c r="M748" s="889"/>
      <c r="N748" s="944"/>
      <c r="O748" s="944"/>
      <c r="P748" s="944"/>
      <c r="Q748" s="944"/>
      <c r="R748" s="944"/>
      <c r="S748" s="889"/>
      <c r="T748" s="889"/>
      <c r="U748" s="889"/>
      <c r="V748" s="889"/>
      <c r="W748" s="889"/>
      <c r="X748" s="889"/>
      <c r="Y748" s="889"/>
      <c r="Z748" s="889"/>
      <c r="AA748" s="889"/>
      <c r="AB748" s="889"/>
      <c r="AC748" s="889"/>
      <c r="AD748" s="889"/>
      <c r="AE748" s="889"/>
      <c r="AF748" s="889"/>
      <c r="AG748" s="889"/>
      <c r="AH748" s="889"/>
      <c r="AI748" s="889"/>
      <c r="AJ748" s="889"/>
      <c r="AK748" s="889"/>
      <c r="AL748" s="889"/>
      <c r="AM748" s="889"/>
      <c r="AN748" s="889"/>
      <c r="AO748" s="889"/>
      <c r="AP748" s="889"/>
      <c r="AQ748" s="889"/>
      <c r="AR748" s="889"/>
      <c r="AS748" s="889"/>
      <c r="AT748" s="889"/>
      <c r="AU748" s="889"/>
      <c r="AV748" s="889"/>
      <c r="AW748" s="889"/>
      <c r="AX748" s="889"/>
      <c r="AY748" s="889"/>
      <c r="AZ748" s="889"/>
    </row>
    <row r="749">
      <c r="A749" s="889"/>
      <c r="B749" s="889"/>
      <c r="C749" s="889"/>
      <c r="D749" s="889"/>
      <c r="E749" s="889"/>
      <c r="F749" s="889"/>
      <c r="G749" s="889"/>
      <c r="H749" s="889"/>
      <c r="I749" s="889"/>
      <c r="J749" s="889"/>
      <c r="K749" s="889"/>
      <c r="L749" s="889"/>
      <c r="M749" s="889"/>
      <c r="N749" s="944"/>
      <c r="O749" s="944"/>
      <c r="P749" s="944"/>
      <c r="Q749" s="944"/>
      <c r="R749" s="944"/>
      <c r="S749" s="889"/>
      <c r="T749" s="889"/>
      <c r="U749" s="889"/>
      <c r="V749" s="889"/>
      <c r="W749" s="889"/>
      <c r="X749" s="889"/>
      <c r="Y749" s="889"/>
      <c r="Z749" s="889"/>
      <c r="AA749" s="889"/>
      <c r="AB749" s="889"/>
      <c r="AC749" s="889"/>
      <c r="AD749" s="889"/>
      <c r="AE749" s="889"/>
      <c r="AF749" s="889"/>
      <c r="AG749" s="889"/>
      <c r="AH749" s="889"/>
      <c r="AI749" s="889"/>
      <c r="AJ749" s="889"/>
      <c r="AK749" s="889"/>
      <c r="AL749" s="889"/>
      <c r="AM749" s="889"/>
      <c r="AN749" s="889"/>
      <c r="AO749" s="889"/>
      <c r="AP749" s="889"/>
      <c r="AQ749" s="889"/>
      <c r="AR749" s="889"/>
      <c r="AS749" s="889"/>
      <c r="AT749" s="889"/>
      <c r="AU749" s="889"/>
      <c r="AV749" s="889"/>
      <c r="AW749" s="889"/>
      <c r="AX749" s="889"/>
      <c r="AY749" s="889"/>
      <c r="AZ749" s="889"/>
    </row>
    <row r="750">
      <c r="A750" s="889"/>
      <c r="B750" s="889"/>
      <c r="C750" s="889"/>
      <c r="D750" s="889"/>
      <c r="E750" s="889"/>
      <c r="F750" s="889"/>
      <c r="G750" s="889"/>
      <c r="H750" s="889"/>
      <c r="I750" s="889"/>
      <c r="J750" s="889"/>
      <c r="K750" s="889"/>
      <c r="L750" s="889"/>
      <c r="M750" s="889"/>
      <c r="N750" s="944"/>
      <c r="O750" s="944"/>
      <c r="P750" s="944"/>
      <c r="Q750" s="944"/>
      <c r="R750" s="944"/>
      <c r="S750" s="889"/>
      <c r="T750" s="889"/>
      <c r="U750" s="889"/>
      <c r="V750" s="889"/>
      <c r="W750" s="889"/>
      <c r="X750" s="889"/>
      <c r="Y750" s="889"/>
      <c r="Z750" s="889"/>
      <c r="AA750" s="889"/>
      <c r="AB750" s="889"/>
      <c r="AC750" s="889"/>
      <c r="AD750" s="889"/>
      <c r="AE750" s="889"/>
      <c r="AF750" s="889"/>
      <c r="AG750" s="889"/>
      <c r="AH750" s="889"/>
      <c r="AI750" s="889"/>
      <c r="AJ750" s="889"/>
      <c r="AK750" s="889"/>
      <c r="AL750" s="889"/>
      <c r="AM750" s="889"/>
      <c r="AN750" s="889"/>
      <c r="AO750" s="889"/>
      <c r="AP750" s="889"/>
      <c r="AQ750" s="889"/>
      <c r="AR750" s="889"/>
      <c r="AS750" s="889"/>
      <c r="AT750" s="889"/>
      <c r="AU750" s="889"/>
      <c r="AV750" s="889"/>
      <c r="AW750" s="889"/>
      <c r="AX750" s="889"/>
      <c r="AY750" s="889"/>
      <c r="AZ750" s="889"/>
    </row>
    <row r="751">
      <c r="A751" s="889"/>
      <c r="B751" s="889"/>
      <c r="C751" s="889"/>
      <c r="D751" s="889"/>
      <c r="E751" s="889"/>
      <c r="F751" s="889"/>
      <c r="G751" s="889"/>
      <c r="H751" s="889"/>
      <c r="I751" s="889"/>
      <c r="J751" s="889"/>
      <c r="K751" s="889"/>
      <c r="L751" s="889"/>
      <c r="M751" s="889"/>
      <c r="N751" s="944"/>
      <c r="O751" s="944"/>
      <c r="P751" s="944"/>
      <c r="Q751" s="944"/>
      <c r="R751" s="944"/>
      <c r="S751" s="889"/>
      <c r="T751" s="889"/>
      <c r="U751" s="889"/>
      <c r="V751" s="889"/>
      <c r="W751" s="889"/>
      <c r="X751" s="889"/>
      <c r="Y751" s="889"/>
      <c r="Z751" s="889"/>
      <c r="AA751" s="889"/>
      <c r="AB751" s="889"/>
      <c r="AC751" s="889"/>
      <c r="AD751" s="889"/>
      <c r="AE751" s="889"/>
      <c r="AF751" s="889"/>
      <c r="AG751" s="889"/>
      <c r="AH751" s="889"/>
      <c r="AI751" s="889"/>
      <c r="AJ751" s="889"/>
      <c r="AK751" s="889"/>
      <c r="AL751" s="889"/>
      <c r="AM751" s="889"/>
      <c r="AN751" s="889"/>
      <c r="AO751" s="889"/>
      <c r="AP751" s="889"/>
      <c r="AQ751" s="889"/>
      <c r="AR751" s="889"/>
      <c r="AS751" s="889"/>
      <c r="AT751" s="889"/>
      <c r="AU751" s="889"/>
      <c r="AV751" s="889"/>
      <c r="AW751" s="889"/>
      <c r="AX751" s="889"/>
      <c r="AY751" s="889"/>
      <c r="AZ751" s="889"/>
    </row>
    <row r="752">
      <c r="A752" s="889"/>
      <c r="B752" s="889"/>
      <c r="C752" s="889"/>
      <c r="D752" s="889"/>
      <c r="E752" s="889"/>
      <c r="F752" s="889"/>
      <c r="G752" s="889"/>
      <c r="H752" s="889"/>
      <c r="I752" s="889"/>
      <c r="J752" s="889"/>
      <c r="K752" s="889"/>
      <c r="L752" s="889"/>
      <c r="M752" s="889"/>
      <c r="N752" s="944"/>
      <c r="O752" s="944"/>
      <c r="P752" s="944"/>
      <c r="Q752" s="944"/>
      <c r="R752" s="944"/>
      <c r="S752" s="889"/>
      <c r="T752" s="889"/>
      <c r="U752" s="889"/>
      <c r="V752" s="889"/>
      <c r="W752" s="889"/>
      <c r="X752" s="889"/>
      <c r="Y752" s="889"/>
      <c r="Z752" s="889"/>
      <c r="AA752" s="889"/>
      <c r="AB752" s="889"/>
      <c r="AC752" s="889"/>
      <c r="AD752" s="889"/>
      <c r="AE752" s="889"/>
      <c r="AF752" s="889"/>
      <c r="AG752" s="889"/>
      <c r="AH752" s="889"/>
      <c r="AI752" s="889"/>
      <c r="AJ752" s="889"/>
      <c r="AK752" s="889"/>
      <c r="AL752" s="889"/>
      <c r="AM752" s="889"/>
      <c r="AN752" s="889"/>
      <c r="AO752" s="889"/>
      <c r="AP752" s="889"/>
      <c r="AQ752" s="889"/>
      <c r="AR752" s="889"/>
      <c r="AS752" s="889"/>
      <c r="AT752" s="889"/>
      <c r="AU752" s="889"/>
      <c r="AV752" s="889"/>
      <c r="AW752" s="889"/>
      <c r="AX752" s="889"/>
      <c r="AY752" s="889"/>
      <c r="AZ752" s="889"/>
    </row>
    <row r="753">
      <c r="A753" s="889"/>
      <c r="B753" s="889"/>
      <c r="C753" s="889"/>
      <c r="D753" s="889"/>
      <c r="E753" s="889"/>
      <c r="F753" s="889"/>
      <c r="G753" s="889"/>
      <c r="H753" s="889"/>
      <c r="I753" s="889"/>
      <c r="J753" s="889"/>
      <c r="K753" s="889"/>
      <c r="L753" s="889"/>
      <c r="M753" s="889"/>
      <c r="N753" s="944"/>
      <c r="O753" s="944"/>
      <c r="P753" s="944"/>
      <c r="Q753" s="944"/>
      <c r="R753" s="944"/>
      <c r="S753" s="889"/>
      <c r="T753" s="889"/>
      <c r="U753" s="889"/>
      <c r="V753" s="889"/>
      <c r="W753" s="889"/>
      <c r="X753" s="889"/>
      <c r="Y753" s="889"/>
      <c r="Z753" s="889"/>
      <c r="AA753" s="889"/>
      <c r="AB753" s="889"/>
      <c r="AC753" s="889"/>
      <c r="AD753" s="889"/>
      <c r="AE753" s="889"/>
      <c r="AF753" s="889"/>
      <c r="AG753" s="889"/>
      <c r="AH753" s="889"/>
      <c r="AI753" s="889"/>
      <c r="AJ753" s="889"/>
      <c r="AK753" s="889"/>
      <c r="AL753" s="889"/>
      <c r="AM753" s="889"/>
      <c r="AN753" s="889"/>
      <c r="AO753" s="889"/>
      <c r="AP753" s="889"/>
      <c r="AQ753" s="889"/>
      <c r="AR753" s="889"/>
      <c r="AS753" s="889"/>
      <c r="AT753" s="889"/>
      <c r="AU753" s="889"/>
      <c r="AV753" s="889"/>
      <c r="AW753" s="889"/>
      <c r="AX753" s="889"/>
      <c r="AY753" s="889"/>
      <c r="AZ753" s="889"/>
    </row>
    <row r="754">
      <c r="A754" s="889"/>
      <c r="B754" s="889"/>
      <c r="C754" s="889"/>
      <c r="D754" s="889"/>
      <c r="E754" s="889"/>
      <c r="F754" s="889"/>
      <c r="G754" s="889"/>
      <c r="H754" s="889"/>
      <c r="I754" s="889"/>
      <c r="J754" s="889"/>
      <c r="K754" s="889"/>
      <c r="L754" s="889"/>
      <c r="M754" s="889"/>
      <c r="N754" s="944"/>
      <c r="O754" s="944"/>
      <c r="P754" s="944"/>
      <c r="Q754" s="944"/>
      <c r="R754" s="944"/>
      <c r="S754" s="889"/>
      <c r="T754" s="889"/>
      <c r="U754" s="889"/>
      <c r="V754" s="889"/>
      <c r="W754" s="889"/>
      <c r="X754" s="889"/>
      <c r="Y754" s="889"/>
      <c r="Z754" s="889"/>
      <c r="AA754" s="889"/>
      <c r="AB754" s="889"/>
      <c r="AC754" s="889"/>
      <c r="AD754" s="889"/>
      <c r="AE754" s="889"/>
      <c r="AF754" s="889"/>
      <c r="AG754" s="889"/>
      <c r="AH754" s="889"/>
      <c r="AI754" s="889"/>
      <c r="AJ754" s="889"/>
      <c r="AK754" s="889"/>
      <c r="AL754" s="889"/>
      <c r="AM754" s="889"/>
      <c r="AN754" s="889"/>
      <c r="AO754" s="889"/>
      <c r="AP754" s="889"/>
      <c r="AQ754" s="889"/>
      <c r="AR754" s="889"/>
      <c r="AS754" s="889"/>
      <c r="AT754" s="889"/>
      <c r="AU754" s="889"/>
      <c r="AV754" s="889"/>
      <c r="AW754" s="889"/>
      <c r="AX754" s="889"/>
      <c r="AY754" s="889"/>
      <c r="AZ754" s="889"/>
    </row>
    <row r="755">
      <c r="A755" s="889"/>
      <c r="B755" s="889"/>
      <c r="C755" s="889"/>
      <c r="D755" s="889"/>
      <c r="E755" s="889"/>
      <c r="F755" s="889"/>
      <c r="G755" s="889"/>
      <c r="H755" s="889"/>
      <c r="I755" s="889"/>
      <c r="J755" s="889"/>
      <c r="K755" s="889"/>
      <c r="L755" s="889"/>
      <c r="M755" s="889"/>
      <c r="N755" s="944"/>
      <c r="O755" s="944"/>
      <c r="P755" s="944"/>
      <c r="Q755" s="944"/>
      <c r="R755" s="944"/>
      <c r="S755" s="889"/>
      <c r="T755" s="889"/>
      <c r="U755" s="889"/>
      <c r="V755" s="889"/>
      <c r="W755" s="889"/>
      <c r="X755" s="889"/>
      <c r="Y755" s="889"/>
      <c r="Z755" s="889"/>
      <c r="AA755" s="889"/>
      <c r="AB755" s="889"/>
      <c r="AC755" s="889"/>
      <c r="AD755" s="889"/>
      <c r="AE755" s="889"/>
      <c r="AF755" s="889"/>
      <c r="AG755" s="889"/>
      <c r="AH755" s="889"/>
      <c r="AI755" s="889"/>
      <c r="AJ755" s="889"/>
      <c r="AK755" s="889"/>
      <c r="AL755" s="889"/>
      <c r="AM755" s="889"/>
      <c r="AN755" s="889"/>
      <c r="AO755" s="889"/>
      <c r="AP755" s="889"/>
      <c r="AQ755" s="889"/>
      <c r="AR755" s="889"/>
      <c r="AS755" s="889"/>
      <c r="AT755" s="889"/>
      <c r="AU755" s="889"/>
      <c r="AV755" s="889"/>
      <c r="AW755" s="889"/>
      <c r="AX755" s="889"/>
      <c r="AY755" s="889"/>
      <c r="AZ755" s="889"/>
    </row>
    <row r="756">
      <c r="A756" s="889"/>
      <c r="B756" s="889"/>
      <c r="C756" s="889"/>
      <c r="D756" s="889"/>
      <c r="E756" s="889"/>
      <c r="F756" s="889"/>
      <c r="G756" s="889"/>
      <c r="H756" s="889"/>
      <c r="I756" s="889"/>
      <c r="J756" s="889"/>
      <c r="K756" s="889"/>
      <c r="L756" s="889"/>
      <c r="M756" s="889"/>
      <c r="N756" s="944"/>
      <c r="O756" s="944"/>
      <c r="P756" s="944"/>
      <c r="Q756" s="944"/>
      <c r="R756" s="944"/>
      <c r="S756" s="889"/>
      <c r="T756" s="889"/>
      <c r="U756" s="889"/>
      <c r="V756" s="889"/>
      <c r="W756" s="889"/>
      <c r="X756" s="889"/>
      <c r="Y756" s="889"/>
      <c r="Z756" s="889"/>
      <c r="AA756" s="889"/>
      <c r="AB756" s="889"/>
      <c r="AC756" s="889"/>
      <c r="AD756" s="889"/>
      <c r="AE756" s="889"/>
      <c r="AF756" s="889"/>
      <c r="AG756" s="889"/>
      <c r="AH756" s="889"/>
      <c r="AI756" s="889"/>
      <c r="AJ756" s="889"/>
      <c r="AK756" s="889"/>
      <c r="AL756" s="889"/>
      <c r="AM756" s="889"/>
      <c r="AN756" s="889"/>
      <c r="AO756" s="889"/>
      <c r="AP756" s="889"/>
      <c r="AQ756" s="889"/>
      <c r="AR756" s="889"/>
      <c r="AS756" s="889"/>
      <c r="AT756" s="889"/>
      <c r="AU756" s="889"/>
      <c r="AV756" s="889"/>
      <c r="AW756" s="889"/>
      <c r="AX756" s="889"/>
      <c r="AY756" s="889"/>
      <c r="AZ756" s="889"/>
    </row>
    <row r="757">
      <c r="A757" s="889"/>
      <c r="B757" s="889"/>
      <c r="C757" s="889"/>
      <c r="D757" s="889"/>
      <c r="E757" s="889"/>
      <c r="F757" s="889"/>
      <c r="G757" s="889"/>
      <c r="H757" s="889"/>
      <c r="I757" s="889"/>
      <c r="J757" s="889"/>
      <c r="K757" s="889"/>
      <c r="L757" s="889"/>
      <c r="M757" s="889"/>
      <c r="N757" s="944"/>
      <c r="O757" s="944"/>
      <c r="P757" s="944"/>
      <c r="Q757" s="944"/>
      <c r="R757" s="944"/>
      <c r="S757" s="889"/>
      <c r="T757" s="889"/>
      <c r="U757" s="889"/>
      <c r="V757" s="889"/>
      <c r="W757" s="889"/>
      <c r="X757" s="889"/>
      <c r="Y757" s="889"/>
      <c r="Z757" s="889"/>
      <c r="AA757" s="889"/>
      <c r="AB757" s="889"/>
      <c r="AC757" s="889"/>
      <c r="AD757" s="889"/>
      <c r="AE757" s="889"/>
      <c r="AF757" s="889"/>
      <c r="AG757" s="889"/>
      <c r="AH757" s="889"/>
      <c r="AI757" s="889"/>
      <c r="AJ757" s="889"/>
      <c r="AK757" s="889"/>
      <c r="AL757" s="889"/>
      <c r="AM757" s="889"/>
      <c r="AN757" s="889"/>
      <c r="AO757" s="889"/>
      <c r="AP757" s="889"/>
      <c r="AQ757" s="889"/>
      <c r="AR757" s="889"/>
      <c r="AS757" s="889"/>
      <c r="AT757" s="889"/>
      <c r="AU757" s="889"/>
      <c r="AV757" s="889"/>
      <c r="AW757" s="889"/>
      <c r="AX757" s="889"/>
      <c r="AY757" s="889"/>
      <c r="AZ757" s="889"/>
    </row>
    <row r="758">
      <c r="A758" s="889"/>
      <c r="B758" s="889"/>
      <c r="C758" s="889"/>
      <c r="D758" s="889"/>
      <c r="E758" s="889"/>
      <c r="F758" s="889"/>
      <c r="G758" s="889"/>
      <c r="H758" s="889"/>
      <c r="I758" s="889"/>
      <c r="J758" s="889"/>
      <c r="K758" s="889"/>
      <c r="L758" s="889"/>
      <c r="M758" s="889"/>
      <c r="N758" s="944"/>
      <c r="O758" s="944"/>
      <c r="P758" s="944"/>
      <c r="Q758" s="944"/>
      <c r="R758" s="944"/>
      <c r="S758" s="889"/>
      <c r="T758" s="889"/>
      <c r="U758" s="889"/>
      <c r="V758" s="889"/>
      <c r="W758" s="889"/>
      <c r="X758" s="889"/>
      <c r="Y758" s="889"/>
      <c r="Z758" s="889"/>
      <c r="AA758" s="889"/>
      <c r="AB758" s="889"/>
      <c r="AC758" s="889"/>
      <c r="AD758" s="889"/>
      <c r="AE758" s="889"/>
      <c r="AF758" s="889"/>
      <c r="AG758" s="889"/>
      <c r="AH758" s="889"/>
      <c r="AI758" s="889"/>
      <c r="AJ758" s="889"/>
      <c r="AK758" s="889"/>
      <c r="AL758" s="889"/>
      <c r="AM758" s="889"/>
      <c r="AN758" s="889"/>
      <c r="AO758" s="889"/>
      <c r="AP758" s="889"/>
      <c r="AQ758" s="889"/>
      <c r="AR758" s="889"/>
      <c r="AS758" s="889"/>
      <c r="AT758" s="889"/>
      <c r="AU758" s="889"/>
      <c r="AV758" s="889"/>
      <c r="AW758" s="889"/>
      <c r="AX758" s="889"/>
      <c r="AY758" s="889"/>
      <c r="AZ758" s="889"/>
    </row>
    <row r="759">
      <c r="A759" s="889"/>
      <c r="B759" s="889"/>
      <c r="C759" s="889"/>
      <c r="D759" s="889"/>
      <c r="E759" s="889"/>
      <c r="F759" s="889"/>
      <c r="G759" s="889"/>
      <c r="H759" s="889"/>
      <c r="I759" s="889"/>
      <c r="J759" s="889"/>
      <c r="K759" s="889"/>
      <c r="L759" s="889"/>
      <c r="M759" s="889"/>
      <c r="N759" s="944"/>
      <c r="O759" s="944"/>
      <c r="P759" s="944"/>
      <c r="Q759" s="944"/>
      <c r="R759" s="944"/>
      <c r="S759" s="889"/>
      <c r="T759" s="889"/>
      <c r="U759" s="889"/>
      <c r="V759" s="889"/>
      <c r="W759" s="889"/>
      <c r="X759" s="889"/>
      <c r="Y759" s="889"/>
      <c r="Z759" s="889"/>
      <c r="AA759" s="889"/>
      <c r="AB759" s="889"/>
      <c r="AC759" s="889"/>
      <c r="AD759" s="889"/>
      <c r="AE759" s="889"/>
      <c r="AF759" s="889"/>
      <c r="AG759" s="889"/>
      <c r="AH759" s="889"/>
      <c r="AI759" s="889"/>
      <c r="AJ759" s="889"/>
      <c r="AK759" s="889"/>
      <c r="AL759" s="889"/>
      <c r="AM759" s="889"/>
      <c r="AN759" s="889"/>
      <c r="AO759" s="889"/>
      <c r="AP759" s="889"/>
      <c r="AQ759" s="889"/>
      <c r="AR759" s="889"/>
      <c r="AS759" s="889"/>
      <c r="AT759" s="889"/>
      <c r="AU759" s="889"/>
      <c r="AV759" s="889"/>
      <c r="AW759" s="889"/>
      <c r="AX759" s="889"/>
      <c r="AY759" s="889"/>
      <c r="AZ759" s="889"/>
    </row>
    <row r="760">
      <c r="A760" s="889"/>
      <c r="B760" s="889"/>
      <c r="C760" s="889"/>
      <c r="D760" s="889"/>
      <c r="E760" s="889"/>
      <c r="F760" s="889"/>
      <c r="G760" s="889"/>
      <c r="H760" s="889"/>
      <c r="I760" s="889"/>
      <c r="J760" s="889"/>
      <c r="K760" s="889"/>
      <c r="L760" s="889"/>
      <c r="M760" s="889"/>
      <c r="N760" s="944"/>
      <c r="O760" s="944"/>
      <c r="P760" s="944"/>
      <c r="Q760" s="944"/>
      <c r="R760" s="944"/>
      <c r="S760" s="889"/>
      <c r="T760" s="889"/>
      <c r="U760" s="889"/>
      <c r="V760" s="889"/>
      <c r="W760" s="889"/>
      <c r="X760" s="889"/>
      <c r="Y760" s="889"/>
      <c r="Z760" s="889"/>
      <c r="AA760" s="889"/>
      <c r="AB760" s="889"/>
      <c r="AC760" s="889"/>
      <c r="AD760" s="889"/>
      <c r="AE760" s="889"/>
      <c r="AF760" s="889"/>
      <c r="AG760" s="889"/>
      <c r="AH760" s="889"/>
      <c r="AI760" s="889"/>
      <c r="AJ760" s="889"/>
      <c r="AK760" s="889"/>
      <c r="AL760" s="889"/>
      <c r="AM760" s="889"/>
      <c r="AN760" s="889"/>
      <c r="AO760" s="889"/>
      <c r="AP760" s="889"/>
      <c r="AQ760" s="889"/>
      <c r="AR760" s="889"/>
      <c r="AS760" s="889"/>
      <c r="AT760" s="889"/>
      <c r="AU760" s="889"/>
      <c r="AV760" s="889"/>
      <c r="AW760" s="889"/>
      <c r="AX760" s="889"/>
      <c r="AY760" s="889"/>
      <c r="AZ760" s="889"/>
    </row>
    <row r="761">
      <c r="A761" s="889"/>
      <c r="B761" s="889"/>
      <c r="C761" s="889"/>
      <c r="D761" s="889"/>
      <c r="E761" s="889"/>
      <c r="F761" s="889"/>
      <c r="G761" s="889"/>
      <c r="H761" s="889"/>
      <c r="I761" s="889"/>
      <c r="J761" s="889"/>
      <c r="K761" s="889"/>
      <c r="L761" s="889"/>
      <c r="M761" s="889"/>
      <c r="N761" s="944"/>
      <c r="O761" s="944"/>
      <c r="P761" s="944"/>
      <c r="Q761" s="944"/>
      <c r="R761" s="944"/>
      <c r="S761" s="889"/>
      <c r="T761" s="889"/>
      <c r="U761" s="889"/>
      <c r="V761" s="889"/>
      <c r="W761" s="889"/>
      <c r="X761" s="889"/>
      <c r="Y761" s="889"/>
      <c r="Z761" s="889"/>
      <c r="AA761" s="889"/>
      <c r="AB761" s="889"/>
      <c r="AC761" s="889"/>
      <c r="AD761" s="889"/>
      <c r="AE761" s="889"/>
      <c r="AF761" s="889"/>
      <c r="AG761" s="889"/>
      <c r="AH761" s="889"/>
      <c r="AI761" s="889"/>
      <c r="AJ761" s="889"/>
      <c r="AK761" s="889"/>
      <c r="AL761" s="889"/>
      <c r="AM761" s="889"/>
      <c r="AN761" s="889"/>
      <c r="AO761" s="889"/>
      <c r="AP761" s="889"/>
      <c r="AQ761" s="889"/>
      <c r="AR761" s="889"/>
      <c r="AS761" s="889"/>
      <c r="AT761" s="889"/>
      <c r="AU761" s="889"/>
      <c r="AV761" s="889"/>
      <c r="AW761" s="889"/>
      <c r="AX761" s="889"/>
      <c r="AY761" s="889"/>
      <c r="AZ761" s="889"/>
    </row>
    <row r="762">
      <c r="A762" s="889"/>
      <c r="B762" s="889"/>
      <c r="C762" s="889"/>
      <c r="D762" s="889"/>
      <c r="E762" s="889"/>
      <c r="F762" s="889"/>
      <c r="G762" s="889"/>
      <c r="H762" s="889"/>
      <c r="I762" s="889"/>
      <c r="J762" s="889"/>
      <c r="K762" s="889"/>
      <c r="L762" s="889"/>
      <c r="M762" s="889"/>
      <c r="N762" s="944"/>
      <c r="O762" s="944"/>
      <c r="P762" s="944"/>
      <c r="Q762" s="944"/>
      <c r="R762" s="944"/>
      <c r="S762" s="889"/>
      <c r="T762" s="889"/>
      <c r="U762" s="889"/>
      <c r="V762" s="889"/>
      <c r="W762" s="889"/>
      <c r="X762" s="889"/>
      <c r="Y762" s="889"/>
      <c r="Z762" s="889"/>
      <c r="AA762" s="889"/>
      <c r="AB762" s="889"/>
      <c r="AC762" s="889"/>
      <c r="AD762" s="889"/>
      <c r="AE762" s="889"/>
      <c r="AF762" s="889"/>
      <c r="AG762" s="889"/>
      <c r="AH762" s="889"/>
      <c r="AI762" s="889"/>
      <c r="AJ762" s="889"/>
      <c r="AK762" s="889"/>
      <c r="AL762" s="889"/>
      <c r="AM762" s="889"/>
      <c r="AN762" s="889"/>
      <c r="AO762" s="889"/>
      <c r="AP762" s="889"/>
      <c r="AQ762" s="889"/>
      <c r="AR762" s="889"/>
      <c r="AS762" s="889"/>
      <c r="AT762" s="889"/>
      <c r="AU762" s="889"/>
      <c r="AV762" s="889"/>
      <c r="AW762" s="889"/>
      <c r="AX762" s="889"/>
      <c r="AY762" s="889"/>
      <c r="AZ762" s="889"/>
    </row>
    <row r="763">
      <c r="A763" s="889"/>
      <c r="B763" s="889"/>
      <c r="C763" s="889"/>
      <c r="D763" s="889"/>
      <c r="E763" s="889"/>
      <c r="F763" s="889"/>
      <c r="G763" s="889"/>
      <c r="H763" s="889"/>
      <c r="I763" s="889"/>
      <c r="J763" s="889"/>
      <c r="K763" s="889"/>
      <c r="L763" s="889"/>
      <c r="M763" s="889"/>
      <c r="N763" s="944"/>
      <c r="O763" s="944"/>
      <c r="P763" s="944"/>
      <c r="Q763" s="944"/>
      <c r="R763" s="944"/>
      <c r="S763" s="889"/>
      <c r="T763" s="889"/>
      <c r="U763" s="889"/>
      <c r="V763" s="889"/>
      <c r="W763" s="889"/>
      <c r="X763" s="889"/>
      <c r="Y763" s="889"/>
      <c r="Z763" s="889"/>
      <c r="AA763" s="889"/>
      <c r="AB763" s="889"/>
      <c r="AC763" s="889"/>
      <c r="AD763" s="889"/>
      <c r="AE763" s="889"/>
      <c r="AF763" s="889"/>
      <c r="AG763" s="889"/>
      <c r="AH763" s="889"/>
      <c r="AI763" s="889"/>
      <c r="AJ763" s="889"/>
      <c r="AK763" s="889"/>
      <c r="AL763" s="889"/>
      <c r="AM763" s="889"/>
      <c r="AN763" s="889"/>
      <c r="AO763" s="889"/>
      <c r="AP763" s="889"/>
      <c r="AQ763" s="889"/>
      <c r="AR763" s="889"/>
      <c r="AS763" s="889"/>
      <c r="AT763" s="889"/>
      <c r="AU763" s="889"/>
      <c r="AV763" s="889"/>
      <c r="AW763" s="889"/>
      <c r="AX763" s="889"/>
      <c r="AY763" s="889"/>
      <c r="AZ763" s="889"/>
    </row>
    <row r="764">
      <c r="A764" s="889"/>
      <c r="B764" s="889"/>
      <c r="C764" s="889"/>
      <c r="D764" s="889"/>
      <c r="E764" s="889"/>
      <c r="F764" s="889"/>
      <c r="G764" s="889"/>
      <c r="H764" s="889"/>
      <c r="I764" s="889"/>
      <c r="J764" s="889"/>
      <c r="K764" s="889"/>
      <c r="L764" s="889"/>
      <c r="M764" s="889"/>
      <c r="N764" s="944"/>
      <c r="O764" s="944"/>
      <c r="P764" s="944"/>
      <c r="Q764" s="944"/>
      <c r="R764" s="944"/>
      <c r="S764" s="889"/>
      <c r="T764" s="889"/>
      <c r="U764" s="889"/>
      <c r="V764" s="889"/>
      <c r="W764" s="889"/>
      <c r="X764" s="889"/>
      <c r="Y764" s="889"/>
      <c r="Z764" s="889"/>
      <c r="AA764" s="889"/>
      <c r="AB764" s="889"/>
      <c r="AC764" s="889"/>
      <c r="AD764" s="889"/>
      <c r="AE764" s="889"/>
      <c r="AF764" s="889"/>
      <c r="AG764" s="889"/>
      <c r="AH764" s="889"/>
      <c r="AI764" s="889"/>
      <c r="AJ764" s="889"/>
      <c r="AK764" s="889"/>
      <c r="AL764" s="889"/>
      <c r="AM764" s="889"/>
      <c r="AN764" s="889"/>
      <c r="AO764" s="889"/>
      <c r="AP764" s="889"/>
      <c r="AQ764" s="889"/>
      <c r="AR764" s="889"/>
      <c r="AS764" s="889"/>
      <c r="AT764" s="889"/>
      <c r="AU764" s="889"/>
      <c r="AV764" s="889"/>
      <c r="AW764" s="889"/>
      <c r="AX764" s="889"/>
      <c r="AY764" s="889"/>
      <c r="AZ764" s="889"/>
    </row>
    <row r="765">
      <c r="A765" s="889"/>
      <c r="B765" s="889"/>
      <c r="C765" s="889"/>
      <c r="D765" s="889"/>
      <c r="E765" s="889"/>
      <c r="F765" s="889"/>
      <c r="G765" s="889"/>
      <c r="H765" s="889"/>
      <c r="I765" s="889"/>
      <c r="J765" s="889"/>
      <c r="K765" s="889"/>
      <c r="L765" s="889"/>
      <c r="M765" s="889"/>
      <c r="N765" s="944"/>
      <c r="O765" s="944"/>
      <c r="P765" s="944"/>
      <c r="Q765" s="944"/>
      <c r="R765" s="944"/>
      <c r="S765" s="889"/>
      <c r="T765" s="889"/>
      <c r="U765" s="889"/>
      <c r="V765" s="889"/>
      <c r="W765" s="889"/>
      <c r="X765" s="889"/>
      <c r="Y765" s="889"/>
      <c r="Z765" s="889"/>
      <c r="AA765" s="889"/>
      <c r="AB765" s="889"/>
      <c r="AC765" s="889"/>
      <c r="AD765" s="889"/>
      <c r="AE765" s="889"/>
      <c r="AF765" s="889"/>
      <c r="AG765" s="889"/>
      <c r="AH765" s="889"/>
      <c r="AI765" s="889"/>
      <c r="AJ765" s="889"/>
      <c r="AK765" s="889"/>
      <c r="AL765" s="889"/>
      <c r="AM765" s="889"/>
      <c r="AN765" s="889"/>
      <c r="AO765" s="889"/>
      <c r="AP765" s="889"/>
      <c r="AQ765" s="889"/>
      <c r="AR765" s="889"/>
      <c r="AS765" s="889"/>
      <c r="AT765" s="889"/>
      <c r="AU765" s="889"/>
      <c r="AV765" s="889"/>
      <c r="AW765" s="889"/>
      <c r="AX765" s="889"/>
      <c r="AY765" s="889"/>
      <c r="AZ765" s="889"/>
    </row>
    <row r="766">
      <c r="A766" s="889"/>
      <c r="B766" s="889"/>
      <c r="C766" s="889"/>
      <c r="D766" s="889"/>
      <c r="E766" s="889"/>
      <c r="F766" s="889"/>
      <c r="G766" s="889"/>
      <c r="H766" s="889"/>
      <c r="I766" s="889"/>
      <c r="J766" s="889"/>
      <c r="K766" s="889"/>
      <c r="L766" s="889"/>
      <c r="M766" s="889"/>
      <c r="N766" s="944"/>
      <c r="O766" s="944"/>
      <c r="P766" s="944"/>
      <c r="Q766" s="944"/>
      <c r="R766" s="944"/>
      <c r="S766" s="889"/>
      <c r="T766" s="889"/>
      <c r="U766" s="889"/>
      <c r="V766" s="889"/>
      <c r="W766" s="889"/>
      <c r="X766" s="889"/>
      <c r="Y766" s="889"/>
      <c r="Z766" s="889"/>
      <c r="AA766" s="889"/>
      <c r="AB766" s="889"/>
      <c r="AC766" s="889"/>
      <c r="AD766" s="889"/>
      <c r="AE766" s="889"/>
      <c r="AF766" s="889"/>
      <c r="AG766" s="889"/>
      <c r="AH766" s="889"/>
      <c r="AI766" s="889"/>
      <c r="AJ766" s="889"/>
      <c r="AK766" s="889"/>
      <c r="AL766" s="889"/>
      <c r="AM766" s="889"/>
      <c r="AN766" s="889"/>
      <c r="AO766" s="889"/>
      <c r="AP766" s="889"/>
      <c r="AQ766" s="889"/>
      <c r="AR766" s="889"/>
      <c r="AS766" s="889"/>
      <c r="AT766" s="889"/>
      <c r="AU766" s="889"/>
      <c r="AV766" s="889"/>
      <c r="AW766" s="889"/>
      <c r="AX766" s="889"/>
      <c r="AY766" s="889"/>
      <c r="AZ766" s="889"/>
    </row>
    <row r="767">
      <c r="A767" s="889"/>
      <c r="B767" s="889"/>
      <c r="C767" s="889"/>
      <c r="D767" s="889"/>
      <c r="E767" s="889"/>
      <c r="F767" s="889"/>
      <c r="G767" s="889"/>
      <c r="H767" s="889"/>
      <c r="I767" s="889"/>
      <c r="J767" s="889"/>
      <c r="K767" s="889"/>
      <c r="L767" s="889"/>
      <c r="M767" s="889"/>
      <c r="N767" s="944"/>
      <c r="O767" s="944"/>
      <c r="P767" s="944"/>
      <c r="Q767" s="944"/>
      <c r="R767" s="944"/>
      <c r="S767" s="889"/>
      <c r="T767" s="889"/>
      <c r="U767" s="889"/>
      <c r="V767" s="889"/>
      <c r="W767" s="889"/>
      <c r="X767" s="889"/>
      <c r="Y767" s="889"/>
      <c r="Z767" s="889"/>
      <c r="AA767" s="889"/>
      <c r="AB767" s="889"/>
      <c r="AC767" s="889"/>
      <c r="AD767" s="889"/>
      <c r="AE767" s="889"/>
      <c r="AF767" s="889"/>
      <c r="AG767" s="889"/>
      <c r="AH767" s="889"/>
      <c r="AI767" s="889"/>
      <c r="AJ767" s="889"/>
      <c r="AK767" s="889"/>
      <c r="AL767" s="889"/>
      <c r="AM767" s="889"/>
      <c r="AN767" s="889"/>
      <c r="AO767" s="889"/>
      <c r="AP767" s="889"/>
      <c r="AQ767" s="889"/>
      <c r="AR767" s="889"/>
      <c r="AS767" s="889"/>
      <c r="AT767" s="889"/>
      <c r="AU767" s="889"/>
      <c r="AV767" s="889"/>
      <c r="AW767" s="889"/>
      <c r="AX767" s="889"/>
      <c r="AY767" s="889"/>
      <c r="AZ767" s="889"/>
    </row>
    <row r="768">
      <c r="A768" s="889"/>
      <c r="B768" s="889"/>
      <c r="C768" s="889"/>
      <c r="D768" s="889"/>
      <c r="E768" s="889"/>
      <c r="F768" s="889"/>
      <c r="G768" s="889"/>
      <c r="H768" s="889"/>
      <c r="I768" s="889"/>
      <c r="J768" s="889"/>
      <c r="K768" s="889"/>
      <c r="L768" s="889"/>
      <c r="M768" s="889"/>
      <c r="N768" s="944"/>
      <c r="O768" s="944"/>
      <c r="P768" s="944"/>
      <c r="Q768" s="944"/>
      <c r="R768" s="944"/>
      <c r="S768" s="889"/>
      <c r="T768" s="889"/>
      <c r="U768" s="889"/>
      <c r="V768" s="889"/>
      <c r="W768" s="889"/>
      <c r="X768" s="889"/>
      <c r="Y768" s="889"/>
      <c r="Z768" s="889"/>
      <c r="AA768" s="889"/>
      <c r="AB768" s="889"/>
      <c r="AC768" s="889"/>
      <c r="AD768" s="889"/>
      <c r="AE768" s="889"/>
      <c r="AF768" s="889"/>
      <c r="AG768" s="889"/>
      <c r="AH768" s="889"/>
      <c r="AI768" s="889"/>
      <c r="AJ768" s="889"/>
      <c r="AK768" s="889"/>
      <c r="AL768" s="889"/>
      <c r="AM768" s="889"/>
      <c r="AN768" s="889"/>
      <c r="AO768" s="889"/>
      <c r="AP768" s="889"/>
      <c r="AQ768" s="889"/>
      <c r="AR768" s="889"/>
      <c r="AS768" s="889"/>
      <c r="AT768" s="889"/>
      <c r="AU768" s="889"/>
      <c r="AV768" s="889"/>
      <c r="AW768" s="889"/>
      <c r="AX768" s="889"/>
      <c r="AY768" s="889"/>
      <c r="AZ768" s="889"/>
    </row>
    <row r="769">
      <c r="A769" s="889"/>
      <c r="B769" s="889"/>
      <c r="C769" s="889"/>
      <c r="D769" s="889"/>
      <c r="E769" s="889"/>
      <c r="F769" s="889"/>
      <c r="G769" s="889"/>
      <c r="H769" s="889"/>
      <c r="I769" s="889"/>
      <c r="J769" s="889"/>
      <c r="K769" s="889"/>
      <c r="L769" s="889"/>
      <c r="M769" s="889"/>
      <c r="N769" s="944"/>
      <c r="O769" s="944"/>
      <c r="P769" s="944"/>
      <c r="Q769" s="944"/>
      <c r="R769" s="944"/>
      <c r="S769" s="889"/>
      <c r="T769" s="889"/>
      <c r="U769" s="889"/>
      <c r="V769" s="889"/>
      <c r="W769" s="889"/>
      <c r="X769" s="889"/>
      <c r="Y769" s="889"/>
      <c r="Z769" s="889"/>
      <c r="AA769" s="889"/>
      <c r="AB769" s="889"/>
      <c r="AC769" s="889"/>
      <c r="AD769" s="889"/>
      <c r="AE769" s="889"/>
      <c r="AF769" s="889"/>
      <c r="AG769" s="889"/>
      <c r="AH769" s="889"/>
      <c r="AI769" s="889"/>
      <c r="AJ769" s="889"/>
      <c r="AK769" s="889"/>
      <c r="AL769" s="889"/>
      <c r="AM769" s="889"/>
      <c r="AN769" s="889"/>
      <c r="AO769" s="889"/>
      <c r="AP769" s="889"/>
      <c r="AQ769" s="889"/>
      <c r="AR769" s="889"/>
      <c r="AS769" s="889"/>
      <c r="AT769" s="889"/>
      <c r="AU769" s="889"/>
      <c r="AV769" s="889"/>
      <c r="AW769" s="889"/>
      <c r="AX769" s="889"/>
      <c r="AY769" s="889"/>
      <c r="AZ769" s="889"/>
    </row>
    <row r="770">
      <c r="A770" s="889"/>
      <c r="B770" s="889"/>
      <c r="C770" s="889"/>
      <c r="D770" s="889"/>
      <c r="E770" s="889"/>
      <c r="F770" s="889"/>
      <c r="G770" s="889"/>
      <c r="H770" s="889"/>
      <c r="I770" s="889"/>
      <c r="J770" s="889"/>
      <c r="K770" s="889"/>
      <c r="L770" s="889"/>
      <c r="M770" s="889"/>
      <c r="N770" s="944"/>
      <c r="O770" s="944"/>
      <c r="P770" s="944"/>
      <c r="Q770" s="944"/>
      <c r="R770" s="944"/>
      <c r="S770" s="889"/>
      <c r="T770" s="889"/>
      <c r="U770" s="889"/>
      <c r="V770" s="889"/>
      <c r="W770" s="889"/>
      <c r="X770" s="889"/>
      <c r="Y770" s="889"/>
      <c r="Z770" s="889"/>
      <c r="AA770" s="889"/>
      <c r="AB770" s="889"/>
      <c r="AC770" s="889"/>
      <c r="AD770" s="889"/>
      <c r="AE770" s="889"/>
      <c r="AF770" s="889"/>
      <c r="AG770" s="889"/>
      <c r="AH770" s="889"/>
      <c r="AI770" s="889"/>
      <c r="AJ770" s="889"/>
      <c r="AK770" s="889"/>
      <c r="AL770" s="889"/>
      <c r="AM770" s="889"/>
      <c r="AN770" s="889"/>
      <c r="AO770" s="889"/>
      <c r="AP770" s="889"/>
      <c r="AQ770" s="889"/>
      <c r="AR770" s="889"/>
      <c r="AS770" s="889"/>
      <c r="AT770" s="889"/>
      <c r="AU770" s="889"/>
      <c r="AV770" s="889"/>
      <c r="AW770" s="889"/>
      <c r="AX770" s="889"/>
      <c r="AY770" s="889"/>
      <c r="AZ770" s="889"/>
    </row>
    <row r="771">
      <c r="A771" s="889"/>
      <c r="B771" s="889"/>
      <c r="C771" s="889"/>
      <c r="D771" s="889"/>
      <c r="E771" s="889"/>
      <c r="F771" s="889"/>
      <c r="G771" s="889"/>
      <c r="H771" s="889"/>
      <c r="I771" s="889"/>
      <c r="J771" s="889"/>
      <c r="K771" s="889"/>
      <c r="L771" s="889"/>
      <c r="M771" s="889"/>
      <c r="N771" s="944"/>
      <c r="O771" s="944"/>
      <c r="P771" s="944"/>
      <c r="Q771" s="944"/>
      <c r="R771" s="944"/>
      <c r="S771" s="889"/>
      <c r="T771" s="889"/>
      <c r="U771" s="889"/>
      <c r="V771" s="889"/>
      <c r="W771" s="889"/>
      <c r="X771" s="889"/>
      <c r="Y771" s="889"/>
      <c r="Z771" s="889"/>
      <c r="AA771" s="889"/>
      <c r="AB771" s="889"/>
      <c r="AC771" s="889"/>
      <c r="AD771" s="889"/>
      <c r="AE771" s="889"/>
      <c r="AF771" s="889"/>
      <c r="AG771" s="889"/>
      <c r="AH771" s="889"/>
      <c r="AI771" s="889"/>
      <c r="AJ771" s="889"/>
      <c r="AK771" s="889"/>
      <c r="AL771" s="889"/>
      <c r="AM771" s="889"/>
      <c r="AN771" s="889"/>
      <c r="AO771" s="889"/>
      <c r="AP771" s="889"/>
      <c r="AQ771" s="889"/>
      <c r="AR771" s="889"/>
      <c r="AS771" s="889"/>
      <c r="AT771" s="889"/>
      <c r="AU771" s="889"/>
      <c r="AV771" s="889"/>
      <c r="AW771" s="889"/>
      <c r="AX771" s="889"/>
      <c r="AY771" s="889"/>
      <c r="AZ771" s="889"/>
    </row>
    <row r="772">
      <c r="A772" s="889"/>
      <c r="B772" s="889"/>
      <c r="C772" s="889"/>
      <c r="D772" s="889"/>
      <c r="E772" s="889"/>
      <c r="F772" s="889"/>
      <c r="G772" s="889"/>
      <c r="H772" s="889"/>
      <c r="I772" s="889"/>
      <c r="J772" s="889"/>
      <c r="K772" s="889"/>
      <c r="L772" s="889"/>
      <c r="M772" s="889"/>
      <c r="N772" s="944"/>
      <c r="O772" s="944"/>
      <c r="P772" s="944"/>
      <c r="Q772" s="944"/>
      <c r="R772" s="944"/>
      <c r="S772" s="889"/>
      <c r="T772" s="889"/>
      <c r="U772" s="889"/>
      <c r="V772" s="889"/>
      <c r="W772" s="889"/>
      <c r="X772" s="889"/>
      <c r="Y772" s="889"/>
      <c r="Z772" s="889"/>
      <c r="AA772" s="889"/>
      <c r="AB772" s="889"/>
      <c r="AC772" s="889"/>
      <c r="AD772" s="889"/>
      <c r="AE772" s="889"/>
      <c r="AF772" s="889"/>
      <c r="AG772" s="889"/>
      <c r="AH772" s="889"/>
      <c r="AI772" s="889"/>
      <c r="AJ772" s="889"/>
      <c r="AK772" s="889"/>
      <c r="AL772" s="889"/>
      <c r="AM772" s="889"/>
      <c r="AN772" s="889"/>
      <c r="AO772" s="889"/>
      <c r="AP772" s="889"/>
      <c r="AQ772" s="889"/>
      <c r="AR772" s="889"/>
      <c r="AS772" s="889"/>
      <c r="AT772" s="889"/>
      <c r="AU772" s="889"/>
      <c r="AV772" s="889"/>
      <c r="AW772" s="889"/>
      <c r="AX772" s="889"/>
      <c r="AY772" s="889"/>
      <c r="AZ772" s="889"/>
    </row>
    <row r="773">
      <c r="A773" s="889"/>
      <c r="B773" s="889"/>
      <c r="C773" s="889"/>
      <c r="D773" s="889"/>
      <c r="E773" s="889"/>
      <c r="F773" s="889"/>
      <c r="G773" s="889"/>
      <c r="H773" s="889"/>
      <c r="I773" s="889"/>
      <c r="J773" s="889"/>
      <c r="K773" s="889"/>
      <c r="L773" s="889"/>
      <c r="M773" s="889"/>
      <c r="N773" s="944"/>
      <c r="O773" s="944"/>
      <c r="P773" s="944"/>
      <c r="Q773" s="944"/>
      <c r="R773" s="944"/>
      <c r="S773" s="889"/>
      <c r="T773" s="889"/>
      <c r="U773" s="889"/>
      <c r="V773" s="889"/>
      <c r="W773" s="889"/>
      <c r="X773" s="889"/>
      <c r="Y773" s="889"/>
      <c r="Z773" s="889"/>
      <c r="AA773" s="889"/>
      <c r="AB773" s="889"/>
      <c r="AC773" s="889"/>
      <c r="AD773" s="889"/>
      <c r="AE773" s="889"/>
      <c r="AF773" s="889"/>
      <c r="AG773" s="889"/>
      <c r="AH773" s="889"/>
      <c r="AI773" s="889"/>
      <c r="AJ773" s="889"/>
      <c r="AK773" s="889"/>
      <c r="AL773" s="889"/>
      <c r="AM773" s="889"/>
      <c r="AN773" s="889"/>
      <c r="AO773" s="889"/>
      <c r="AP773" s="889"/>
      <c r="AQ773" s="889"/>
      <c r="AR773" s="889"/>
      <c r="AS773" s="889"/>
      <c r="AT773" s="889"/>
      <c r="AU773" s="889"/>
      <c r="AV773" s="889"/>
      <c r="AW773" s="889"/>
      <c r="AX773" s="889"/>
      <c r="AY773" s="889"/>
      <c r="AZ773" s="889"/>
    </row>
    <row r="774">
      <c r="A774" s="889"/>
      <c r="B774" s="889"/>
      <c r="C774" s="889"/>
      <c r="D774" s="889"/>
      <c r="E774" s="889"/>
      <c r="F774" s="889"/>
      <c r="G774" s="889"/>
      <c r="H774" s="889"/>
      <c r="I774" s="889"/>
      <c r="J774" s="889"/>
      <c r="K774" s="889"/>
      <c r="L774" s="889"/>
      <c r="M774" s="889"/>
      <c r="N774" s="944"/>
      <c r="O774" s="944"/>
      <c r="P774" s="944"/>
      <c r="Q774" s="944"/>
      <c r="R774" s="944"/>
      <c r="S774" s="889"/>
      <c r="T774" s="889"/>
      <c r="U774" s="889"/>
      <c r="V774" s="889"/>
      <c r="W774" s="889"/>
      <c r="X774" s="889"/>
      <c r="Y774" s="889"/>
      <c r="Z774" s="889"/>
      <c r="AA774" s="889"/>
      <c r="AB774" s="889"/>
      <c r="AC774" s="889"/>
      <c r="AD774" s="889"/>
      <c r="AE774" s="889"/>
      <c r="AF774" s="889"/>
      <c r="AG774" s="889"/>
      <c r="AH774" s="889"/>
      <c r="AI774" s="889"/>
      <c r="AJ774" s="889"/>
      <c r="AK774" s="889"/>
      <c r="AL774" s="889"/>
      <c r="AM774" s="889"/>
      <c r="AN774" s="889"/>
      <c r="AO774" s="889"/>
      <c r="AP774" s="889"/>
      <c r="AQ774" s="889"/>
      <c r="AR774" s="889"/>
      <c r="AS774" s="889"/>
      <c r="AT774" s="889"/>
      <c r="AU774" s="889"/>
      <c r="AV774" s="889"/>
      <c r="AW774" s="889"/>
      <c r="AX774" s="889"/>
      <c r="AY774" s="889"/>
      <c r="AZ774" s="889"/>
    </row>
    <row r="775">
      <c r="A775" s="889"/>
      <c r="B775" s="889"/>
      <c r="C775" s="889"/>
      <c r="D775" s="889"/>
      <c r="E775" s="889"/>
      <c r="F775" s="889"/>
      <c r="G775" s="889"/>
      <c r="H775" s="889"/>
      <c r="I775" s="889"/>
      <c r="J775" s="889"/>
      <c r="K775" s="889"/>
      <c r="L775" s="889"/>
      <c r="M775" s="889"/>
      <c r="N775" s="944"/>
      <c r="O775" s="944"/>
      <c r="P775" s="944"/>
      <c r="Q775" s="944"/>
      <c r="R775" s="944"/>
      <c r="S775" s="889"/>
      <c r="T775" s="889"/>
      <c r="U775" s="889"/>
      <c r="V775" s="889"/>
      <c r="W775" s="889"/>
      <c r="X775" s="889"/>
      <c r="Y775" s="889"/>
      <c r="Z775" s="889"/>
      <c r="AA775" s="889"/>
      <c r="AB775" s="889"/>
      <c r="AC775" s="889"/>
      <c r="AD775" s="889"/>
      <c r="AE775" s="889"/>
      <c r="AF775" s="889"/>
      <c r="AG775" s="889"/>
      <c r="AH775" s="889"/>
      <c r="AI775" s="889"/>
      <c r="AJ775" s="889"/>
      <c r="AK775" s="889"/>
      <c r="AL775" s="889"/>
      <c r="AM775" s="889"/>
      <c r="AN775" s="889"/>
      <c r="AO775" s="889"/>
      <c r="AP775" s="889"/>
      <c r="AQ775" s="889"/>
      <c r="AR775" s="889"/>
      <c r="AS775" s="889"/>
      <c r="AT775" s="889"/>
      <c r="AU775" s="889"/>
      <c r="AV775" s="889"/>
      <c r="AW775" s="889"/>
      <c r="AX775" s="889"/>
      <c r="AY775" s="889"/>
      <c r="AZ775" s="889"/>
    </row>
    <row r="776">
      <c r="A776" s="889"/>
      <c r="B776" s="889"/>
      <c r="C776" s="889"/>
      <c r="D776" s="889"/>
      <c r="E776" s="889"/>
      <c r="F776" s="889"/>
      <c r="G776" s="889"/>
      <c r="H776" s="889"/>
      <c r="I776" s="889"/>
      <c r="J776" s="889"/>
      <c r="K776" s="889"/>
      <c r="L776" s="889"/>
      <c r="M776" s="889"/>
      <c r="N776" s="944"/>
      <c r="O776" s="944"/>
      <c r="P776" s="944"/>
      <c r="Q776" s="944"/>
      <c r="R776" s="944"/>
      <c r="S776" s="889"/>
      <c r="T776" s="889"/>
      <c r="U776" s="889"/>
      <c r="V776" s="889"/>
      <c r="W776" s="889"/>
      <c r="X776" s="889"/>
      <c r="Y776" s="889"/>
      <c r="Z776" s="889"/>
      <c r="AA776" s="889"/>
      <c r="AB776" s="889"/>
      <c r="AC776" s="889"/>
      <c r="AD776" s="889"/>
      <c r="AE776" s="889"/>
      <c r="AF776" s="889"/>
      <c r="AG776" s="889"/>
      <c r="AH776" s="889"/>
      <c r="AI776" s="889"/>
      <c r="AJ776" s="889"/>
      <c r="AK776" s="889"/>
      <c r="AL776" s="889"/>
      <c r="AM776" s="889"/>
      <c r="AN776" s="889"/>
      <c r="AO776" s="889"/>
      <c r="AP776" s="889"/>
      <c r="AQ776" s="889"/>
      <c r="AR776" s="889"/>
      <c r="AS776" s="889"/>
      <c r="AT776" s="889"/>
      <c r="AU776" s="889"/>
      <c r="AV776" s="889"/>
      <c r="AW776" s="889"/>
      <c r="AX776" s="889"/>
      <c r="AY776" s="889"/>
      <c r="AZ776" s="889"/>
    </row>
    <row r="777">
      <c r="A777" s="889"/>
      <c r="B777" s="889"/>
      <c r="C777" s="889"/>
      <c r="D777" s="889"/>
      <c r="E777" s="889"/>
      <c r="F777" s="889"/>
      <c r="G777" s="889"/>
      <c r="H777" s="889"/>
      <c r="I777" s="889"/>
      <c r="J777" s="889"/>
      <c r="K777" s="889"/>
      <c r="L777" s="889"/>
      <c r="M777" s="889"/>
      <c r="N777" s="944"/>
      <c r="O777" s="944"/>
      <c r="P777" s="944"/>
      <c r="Q777" s="944"/>
      <c r="R777" s="944"/>
      <c r="S777" s="889"/>
      <c r="T777" s="889"/>
      <c r="U777" s="889"/>
      <c r="V777" s="889"/>
      <c r="W777" s="889"/>
      <c r="X777" s="889"/>
      <c r="Y777" s="889"/>
      <c r="Z777" s="889"/>
      <c r="AA777" s="889"/>
      <c r="AB777" s="889"/>
      <c r="AC777" s="889"/>
      <c r="AD777" s="889"/>
      <c r="AE777" s="889"/>
      <c r="AF777" s="889"/>
      <c r="AG777" s="889"/>
      <c r="AH777" s="889"/>
      <c r="AI777" s="889"/>
      <c r="AJ777" s="889"/>
      <c r="AK777" s="889"/>
      <c r="AL777" s="889"/>
      <c r="AM777" s="889"/>
      <c r="AN777" s="889"/>
      <c r="AO777" s="889"/>
      <c r="AP777" s="889"/>
      <c r="AQ777" s="889"/>
      <c r="AR777" s="889"/>
      <c r="AS777" s="889"/>
      <c r="AT777" s="889"/>
      <c r="AU777" s="889"/>
      <c r="AV777" s="889"/>
      <c r="AW777" s="889"/>
      <c r="AX777" s="889"/>
      <c r="AY777" s="889"/>
      <c r="AZ777" s="889"/>
    </row>
    <row r="778">
      <c r="A778" s="889"/>
      <c r="B778" s="889"/>
      <c r="C778" s="889"/>
      <c r="D778" s="889"/>
      <c r="E778" s="889"/>
      <c r="F778" s="889"/>
      <c r="G778" s="889"/>
      <c r="H778" s="889"/>
      <c r="I778" s="889"/>
      <c r="J778" s="889"/>
      <c r="K778" s="889"/>
      <c r="L778" s="889"/>
      <c r="M778" s="889"/>
      <c r="N778" s="944"/>
      <c r="O778" s="944"/>
      <c r="P778" s="944"/>
      <c r="Q778" s="944"/>
      <c r="R778" s="944"/>
      <c r="S778" s="889"/>
      <c r="T778" s="889"/>
      <c r="U778" s="889"/>
      <c r="V778" s="889"/>
      <c r="W778" s="889"/>
      <c r="X778" s="889"/>
      <c r="Y778" s="889"/>
      <c r="Z778" s="889"/>
      <c r="AA778" s="889"/>
      <c r="AB778" s="889"/>
      <c r="AC778" s="889"/>
      <c r="AD778" s="889"/>
      <c r="AE778" s="889"/>
      <c r="AF778" s="889"/>
      <c r="AG778" s="889"/>
      <c r="AH778" s="889"/>
      <c r="AI778" s="889"/>
      <c r="AJ778" s="889"/>
      <c r="AK778" s="889"/>
      <c r="AL778" s="889"/>
      <c r="AM778" s="889"/>
      <c r="AN778" s="889"/>
      <c r="AO778" s="889"/>
      <c r="AP778" s="889"/>
      <c r="AQ778" s="889"/>
      <c r="AR778" s="889"/>
      <c r="AS778" s="889"/>
      <c r="AT778" s="889"/>
      <c r="AU778" s="889"/>
      <c r="AV778" s="889"/>
      <c r="AW778" s="889"/>
      <c r="AX778" s="889"/>
      <c r="AY778" s="889"/>
      <c r="AZ778" s="889"/>
    </row>
    <row r="779">
      <c r="A779" s="889"/>
      <c r="B779" s="889"/>
      <c r="C779" s="889"/>
      <c r="D779" s="889"/>
      <c r="E779" s="889"/>
      <c r="F779" s="889"/>
      <c r="G779" s="889"/>
      <c r="H779" s="889"/>
      <c r="I779" s="889"/>
      <c r="J779" s="889"/>
      <c r="K779" s="889"/>
      <c r="L779" s="889"/>
      <c r="M779" s="889"/>
      <c r="N779" s="944"/>
      <c r="O779" s="944"/>
      <c r="P779" s="944"/>
      <c r="Q779" s="944"/>
      <c r="R779" s="944"/>
      <c r="S779" s="889"/>
      <c r="T779" s="889"/>
      <c r="U779" s="889"/>
      <c r="V779" s="889"/>
      <c r="W779" s="889"/>
      <c r="X779" s="889"/>
      <c r="Y779" s="889"/>
      <c r="Z779" s="889"/>
      <c r="AA779" s="889"/>
      <c r="AB779" s="889"/>
      <c r="AC779" s="889"/>
      <c r="AD779" s="889"/>
      <c r="AE779" s="889"/>
      <c r="AF779" s="889"/>
      <c r="AG779" s="889"/>
      <c r="AH779" s="889"/>
      <c r="AI779" s="889"/>
      <c r="AJ779" s="889"/>
      <c r="AK779" s="889"/>
      <c r="AL779" s="889"/>
      <c r="AM779" s="889"/>
      <c r="AN779" s="889"/>
      <c r="AO779" s="889"/>
      <c r="AP779" s="889"/>
      <c r="AQ779" s="889"/>
      <c r="AR779" s="889"/>
      <c r="AS779" s="889"/>
      <c r="AT779" s="889"/>
      <c r="AU779" s="889"/>
      <c r="AV779" s="889"/>
      <c r="AW779" s="889"/>
      <c r="AX779" s="889"/>
      <c r="AY779" s="889"/>
      <c r="AZ779" s="889"/>
    </row>
    <row r="780">
      <c r="A780" s="889"/>
      <c r="B780" s="889"/>
      <c r="C780" s="889"/>
      <c r="D780" s="889"/>
      <c r="E780" s="889"/>
      <c r="F780" s="889"/>
      <c r="G780" s="889"/>
      <c r="H780" s="889"/>
      <c r="I780" s="889"/>
      <c r="J780" s="889"/>
      <c r="K780" s="889"/>
      <c r="L780" s="889"/>
      <c r="M780" s="889"/>
      <c r="N780" s="944"/>
      <c r="O780" s="944"/>
      <c r="P780" s="944"/>
      <c r="Q780" s="944"/>
      <c r="R780" s="944"/>
      <c r="S780" s="889"/>
      <c r="T780" s="889"/>
      <c r="U780" s="889"/>
      <c r="V780" s="889"/>
      <c r="W780" s="889"/>
      <c r="X780" s="889"/>
      <c r="Y780" s="889"/>
      <c r="Z780" s="889"/>
      <c r="AA780" s="889"/>
      <c r="AB780" s="889"/>
      <c r="AC780" s="889"/>
      <c r="AD780" s="889"/>
      <c r="AE780" s="889"/>
      <c r="AF780" s="889"/>
      <c r="AG780" s="889"/>
      <c r="AH780" s="889"/>
      <c r="AI780" s="889"/>
      <c r="AJ780" s="889"/>
      <c r="AK780" s="889"/>
      <c r="AL780" s="889"/>
      <c r="AM780" s="889"/>
      <c r="AN780" s="889"/>
      <c r="AO780" s="889"/>
      <c r="AP780" s="889"/>
      <c r="AQ780" s="889"/>
      <c r="AR780" s="889"/>
      <c r="AS780" s="889"/>
      <c r="AT780" s="889"/>
      <c r="AU780" s="889"/>
      <c r="AV780" s="889"/>
      <c r="AW780" s="889"/>
      <c r="AX780" s="889"/>
      <c r="AY780" s="889"/>
      <c r="AZ780" s="889"/>
    </row>
    <row r="781">
      <c r="A781" s="889"/>
      <c r="B781" s="889"/>
      <c r="C781" s="889"/>
      <c r="D781" s="889"/>
      <c r="E781" s="889"/>
      <c r="F781" s="889"/>
      <c r="G781" s="889"/>
      <c r="H781" s="889"/>
      <c r="I781" s="889"/>
      <c r="J781" s="889"/>
      <c r="K781" s="889"/>
      <c r="L781" s="889"/>
      <c r="M781" s="889"/>
      <c r="N781" s="944"/>
      <c r="O781" s="944"/>
      <c r="P781" s="944"/>
      <c r="Q781" s="944"/>
      <c r="R781" s="944"/>
      <c r="S781" s="889"/>
      <c r="T781" s="889"/>
      <c r="U781" s="889"/>
      <c r="V781" s="889"/>
      <c r="W781" s="889"/>
      <c r="X781" s="889"/>
      <c r="Y781" s="889"/>
      <c r="Z781" s="889"/>
      <c r="AA781" s="889"/>
      <c r="AB781" s="889"/>
      <c r="AC781" s="889"/>
      <c r="AD781" s="889"/>
      <c r="AE781" s="889"/>
      <c r="AF781" s="889"/>
      <c r="AG781" s="889"/>
      <c r="AH781" s="889"/>
      <c r="AI781" s="889"/>
      <c r="AJ781" s="889"/>
      <c r="AK781" s="889"/>
      <c r="AL781" s="889"/>
      <c r="AM781" s="889"/>
      <c r="AN781" s="889"/>
      <c r="AO781" s="889"/>
      <c r="AP781" s="889"/>
      <c r="AQ781" s="889"/>
      <c r="AR781" s="889"/>
      <c r="AS781" s="889"/>
      <c r="AT781" s="889"/>
      <c r="AU781" s="889"/>
      <c r="AV781" s="889"/>
      <c r="AW781" s="889"/>
      <c r="AX781" s="889"/>
      <c r="AY781" s="889"/>
      <c r="AZ781" s="889"/>
    </row>
    <row r="782">
      <c r="A782" s="889"/>
      <c r="B782" s="889"/>
      <c r="C782" s="889"/>
      <c r="D782" s="889"/>
      <c r="E782" s="889"/>
      <c r="F782" s="889"/>
      <c r="G782" s="889"/>
      <c r="H782" s="889"/>
      <c r="I782" s="889"/>
      <c r="J782" s="889"/>
      <c r="K782" s="889"/>
      <c r="L782" s="889"/>
      <c r="M782" s="889"/>
      <c r="N782" s="944"/>
      <c r="O782" s="944"/>
      <c r="P782" s="944"/>
      <c r="Q782" s="944"/>
      <c r="R782" s="944"/>
      <c r="S782" s="889"/>
      <c r="T782" s="889"/>
      <c r="U782" s="889"/>
      <c r="V782" s="889"/>
      <c r="W782" s="889"/>
      <c r="X782" s="889"/>
      <c r="Y782" s="889"/>
      <c r="Z782" s="889"/>
      <c r="AA782" s="889"/>
      <c r="AB782" s="889"/>
      <c r="AC782" s="889"/>
      <c r="AD782" s="889"/>
      <c r="AE782" s="889"/>
      <c r="AF782" s="889"/>
      <c r="AG782" s="889"/>
      <c r="AH782" s="889"/>
      <c r="AI782" s="889"/>
      <c r="AJ782" s="889"/>
      <c r="AK782" s="889"/>
      <c r="AL782" s="889"/>
      <c r="AM782" s="889"/>
      <c r="AN782" s="889"/>
      <c r="AO782" s="889"/>
      <c r="AP782" s="889"/>
      <c r="AQ782" s="889"/>
      <c r="AR782" s="889"/>
      <c r="AS782" s="889"/>
      <c r="AT782" s="889"/>
      <c r="AU782" s="889"/>
      <c r="AV782" s="889"/>
      <c r="AW782" s="889"/>
      <c r="AX782" s="889"/>
      <c r="AY782" s="889"/>
      <c r="AZ782" s="889"/>
    </row>
    <row r="783">
      <c r="A783" s="889"/>
      <c r="B783" s="889"/>
      <c r="C783" s="889"/>
      <c r="D783" s="889"/>
      <c r="E783" s="889"/>
      <c r="F783" s="889"/>
      <c r="G783" s="889"/>
      <c r="H783" s="889"/>
      <c r="I783" s="889"/>
      <c r="J783" s="889"/>
      <c r="K783" s="889"/>
      <c r="L783" s="889"/>
      <c r="M783" s="889"/>
      <c r="N783" s="944"/>
      <c r="O783" s="944"/>
      <c r="P783" s="944"/>
      <c r="Q783" s="944"/>
      <c r="R783" s="944"/>
      <c r="S783" s="889"/>
      <c r="T783" s="889"/>
      <c r="U783" s="889"/>
      <c r="V783" s="889"/>
      <c r="W783" s="889"/>
      <c r="X783" s="889"/>
      <c r="Y783" s="889"/>
      <c r="Z783" s="889"/>
      <c r="AA783" s="889"/>
      <c r="AB783" s="889"/>
      <c r="AC783" s="889"/>
      <c r="AD783" s="889"/>
      <c r="AE783" s="889"/>
      <c r="AF783" s="889"/>
      <c r="AG783" s="889"/>
      <c r="AH783" s="889"/>
      <c r="AI783" s="889"/>
      <c r="AJ783" s="889"/>
      <c r="AK783" s="889"/>
      <c r="AL783" s="889"/>
      <c r="AM783" s="889"/>
      <c r="AN783" s="889"/>
      <c r="AO783" s="889"/>
      <c r="AP783" s="889"/>
      <c r="AQ783" s="889"/>
      <c r="AR783" s="889"/>
      <c r="AS783" s="889"/>
      <c r="AT783" s="889"/>
      <c r="AU783" s="889"/>
      <c r="AV783" s="889"/>
      <c r="AW783" s="889"/>
      <c r="AX783" s="889"/>
      <c r="AY783" s="889"/>
      <c r="AZ783" s="889"/>
    </row>
    <row r="784">
      <c r="A784" s="889"/>
      <c r="B784" s="889"/>
      <c r="C784" s="889"/>
      <c r="D784" s="889"/>
      <c r="E784" s="889"/>
      <c r="F784" s="889"/>
      <c r="G784" s="889"/>
      <c r="H784" s="889"/>
      <c r="I784" s="889"/>
      <c r="J784" s="889"/>
      <c r="K784" s="889"/>
      <c r="L784" s="889"/>
      <c r="M784" s="889"/>
      <c r="N784" s="944"/>
      <c r="O784" s="944"/>
      <c r="P784" s="944"/>
      <c r="Q784" s="944"/>
      <c r="R784" s="944"/>
      <c r="S784" s="889"/>
      <c r="T784" s="889"/>
      <c r="U784" s="889"/>
      <c r="V784" s="889"/>
      <c r="W784" s="889"/>
      <c r="X784" s="889"/>
      <c r="Y784" s="889"/>
      <c r="Z784" s="889"/>
      <c r="AA784" s="889"/>
      <c r="AB784" s="889"/>
      <c r="AC784" s="889"/>
      <c r="AD784" s="889"/>
      <c r="AE784" s="889"/>
      <c r="AF784" s="889"/>
      <c r="AG784" s="889"/>
      <c r="AH784" s="889"/>
      <c r="AI784" s="889"/>
      <c r="AJ784" s="889"/>
      <c r="AK784" s="889"/>
      <c r="AL784" s="889"/>
      <c r="AM784" s="889"/>
      <c r="AN784" s="889"/>
      <c r="AO784" s="889"/>
      <c r="AP784" s="889"/>
      <c r="AQ784" s="889"/>
      <c r="AR784" s="889"/>
      <c r="AS784" s="889"/>
      <c r="AT784" s="889"/>
      <c r="AU784" s="889"/>
      <c r="AV784" s="889"/>
      <c r="AW784" s="889"/>
      <c r="AX784" s="889"/>
      <c r="AY784" s="889"/>
      <c r="AZ784" s="889"/>
    </row>
    <row r="785">
      <c r="A785" s="889"/>
      <c r="B785" s="889"/>
      <c r="C785" s="889"/>
      <c r="D785" s="889"/>
      <c r="E785" s="889"/>
      <c r="F785" s="889"/>
      <c r="G785" s="889"/>
      <c r="H785" s="889"/>
      <c r="I785" s="889"/>
      <c r="J785" s="889"/>
      <c r="K785" s="889"/>
      <c r="L785" s="889"/>
      <c r="M785" s="889"/>
      <c r="N785" s="944"/>
      <c r="O785" s="944"/>
      <c r="P785" s="944"/>
      <c r="Q785" s="944"/>
      <c r="R785" s="944"/>
      <c r="S785" s="889"/>
      <c r="T785" s="889"/>
      <c r="U785" s="889"/>
      <c r="V785" s="889"/>
      <c r="W785" s="889"/>
      <c r="X785" s="889"/>
      <c r="Y785" s="889"/>
      <c r="Z785" s="889"/>
      <c r="AA785" s="889"/>
      <c r="AB785" s="889"/>
      <c r="AC785" s="889"/>
      <c r="AD785" s="889"/>
      <c r="AE785" s="889"/>
      <c r="AF785" s="889"/>
      <c r="AG785" s="889"/>
      <c r="AH785" s="889"/>
      <c r="AI785" s="889"/>
      <c r="AJ785" s="889"/>
      <c r="AK785" s="889"/>
      <c r="AL785" s="889"/>
      <c r="AM785" s="889"/>
      <c r="AN785" s="889"/>
      <c r="AO785" s="889"/>
      <c r="AP785" s="889"/>
      <c r="AQ785" s="889"/>
      <c r="AR785" s="889"/>
      <c r="AS785" s="889"/>
      <c r="AT785" s="889"/>
      <c r="AU785" s="889"/>
      <c r="AV785" s="889"/>
      <c r="AW785" s="889"/>
      <c r="AX785" s="889"/>
      <c r="AY785" s="889"/>
      <c r="AZ785" s="889"/>
    </row>
    <row r="786">
      <c r="A786" s="889"/>
      <c r="B786" s="889"/>
      <c r="C786" s="889"/>
      <c r="D786" s="889"/>
      <c r="E786" s="889"/>
      <c r="F786" s="889"/>
      <c r="G786" s="889"/>
      <c r="H786" s="889"/>
      <c r="I786" s="889"/>
      <c r="J786" s="889"/>
      <c r="K786" s="889"/>
      <c r="L786" s="889"/>
      <c r="M786" s="889"/>
      <c r="N786" s="944"/>
      <c r="O786" s="944"/>
      <c r="P786" s="944"/>
      <c r="Q786" s="944"/>
      <c r="R786" s="944"/>
      <c r="S786" s="889"/>
      <c r="T786" s="889"/>
      <c r="U786" s="889"/>
      <c r="V786" s="889"/>
      <c r="W786" s="889"/>
      <c r="X786" s="889"/>
      <c r="Y786" s="889"/>
      <c r="Z786" s="889"/>
      <c r="AA786" s="889"/>
      <c r="AB786" s="889"/>
      <c r="AC786" s="889"/>
      <c r="AD786" s="889"/>
      <c r="AE786" s="889"/>
      <c r="AF786" s="889"/>
      <c r="AG786" s="889"/>
      <c r="AH786" s="889"/>
      <c r="AI786" s="889"/>
      <c r="AJ786" s="889"/>
      <c r="AK786" s="889"/>
      <c r="AL786" s="889"/>
      <c r="AM786" s="889"/>
      <c r="AN786" s="889"/>
      <c r="AO786" s="889"/>
      <c r="AP786" s="889"/>
      <c r="AQ786" s="889"/>
      <c r="AR786" s="889"/>
      <c r="AS786" s="889"/>
      <c r="AT786" s="889"/>
      <c r="AU786" s="889"/>
      <c r="AV786" s="889"/>
      <c r="AW786" s="889"/>
      <c r="AX786" s="889"/>
      <c r="AY786" s="889"/>
      <c r="AZ786" s="889"/>
    </row>
    <row r="787">
      <c r="A787" s="889"/>
      <c r="B787" s="889"/>
      <c r="C787" s="889"/>
      <c r="D787" s="889"/>
      <c r="E787" s="889"/>
      <c r="F787" s="889"/>
      <c r="G787" s="889"/>
      <c r="H787" s="889"/>
      <c r="I787" s="889"/>
      <c r="J787" s="889"/>
      <c r="K787" s="889"/>
      <c r="L787" s="889"/>
      <c r="M787" s="889"/>
      <c r="N787" s="944"/>
      <c r="O787" s="944"/>
      <c r="P787" s="944"/>
      <c r="Q787" s="944"/>
      <c r="R787" s="944"/>
      <c r="S787" s="889"/>
      <c r="T787" s="889"/>
      <c r="U787" s="889"/>
      <c r="V787" s="889"/>
      <c r="W787" s="889"/>
      <c r="X787" s="889"/>
      <c r="Y787" s="889"/>
      <c r="Z787" s="889"/>
      <c r="AA787" s="889"/>
      <c r="AB787" s="889"/>
      <c r="AC787" s="889"/>
      <c r="AD787" s="889"/>
      <c r="AE787" s="889"/>
      <c r="AF787" s="889"/>
      <c r="AG787" s="889"/>
      <c r="AH787" s="889"/>
      <c r="AI787" s="889"/>
      <c r="AJ787" s="889"/>
      <c r="AK787" s="889"/>
      <c r="AL787" s="889"/>
      <c r="AM787" s="889"/>
      <c r="AN787" s="889"/>
      <c r="AO787" s="889"/>
      <c r="AP787" s="889"/>
      <c r="AQ787" s="889"/>
      <c r="AR787" s="889"/>
      <c r="AS787" s="889"/>
      <c r="AT787" s="889"/>
      <c r="AU787" s="889"/>
      <c r="AV787" s="889"/>
      <c r="AW787" s="889"/>
      <c r="AX787" s="889"/>
      <c r="AY787" s="889"/>
      <c r="AZ787" s="889"/>
    </row>
    <row r="788">
      <c r="A788" s="889"/>
      <c r="B788" s="889"/>
      <c r="C788" s="889"/>
      <c r="D788" s="889"/>
      <c r="E788" s="889"/>
      <c r="F788" s="889"/>
      <c r="G788" s="889"/>
      <c r="H788" s="889"/>
      <c r="I788" s="889"/>
      <c r="J788" s="889"/>
      <c r="K788" s="889"/>
      <c r="L788" s="889"/>
      <c r="M788" s="889"/>
      <c r="N788" s="944"/>
      <c r="O788" s="944"/>
      <c r="P788" s="944"/>
      <c r="Q788" s="944"/>
      <c r="R788" s="944"/>
      <c r="S788" s="889"/>
      <c r="T788" s="889"/>
      <c r="U788" s="889"/>
      <c r="V788" s="889"/>
      <c r="W788" s="889"/>
      <c r="X788" s="889"/>
      <c r="Y788" s="889"/>
      <c r="Z788" s="889"/>
      <c r="AA788" s="889"/>
      <c r="AB788" s="889"/>
      <c r="AC788" s="889"/>
      <c r="AD788" s="889"/>
      <c r="AE788" s="889"/>
      <c r="AF788" s="889"/>
      <c r="AG788" s="889"/>
      <c r="AH788" s="889"/>
      <c r="AI788" s="889"/>
      <c r="AJ788" s="889"/>
      <c r="AK788" s="889"/>
      <c r="AL788" s="889"/>
      <c r="AM788" s="889"/>
      <c r="AN788" s="889"/>
      <c r="AO788" s="889"/>
      <c r="AP788" s="889"/>
      <c r="AQ788" s="889"/>
      <c r="AR788" s="889"/>
      <c r="AS788" s="889"/>
      <c r="AT788" s="889"/>
      <c r="AU788" s="889"/>
      <c r="AV788" s="889"/>
      <c r="AW788" s="889"/>
      <c r="AX788" s="889"/>
      <c r="AY788" s="889"/>
      <c r="AZ788" s="889"/>
    </row>
    <row r="789">
      <c r="A789" s="889"/>
      <c r="B789" s="889"/>
      <c r="C789" s="889"/>
      <c r="D789" s="889"/>
      <c r="E789" s="889"/>
      <c r="F789" s="889"/>
      <c r="G789" s="889"/>
      <c r="H789" s="889"/>
      <c r="I789" s="889"/>
      <c r="J789" s="889"/>
      <c r="K789" s="889"/>
      <c r="L789" s="889"/>
      <c r="M789" s="889"/>
      <c r="N789" s="944"/>
      <c r="O789" s="944"/>
      <c r="P789" s="944"/>
      <c r="Q789" s="944"/>
      <c r="R789" s="944"/>
      <c r="S789" s="889"/>
      <c r="T789" s="889"/>
      <c r="U789" s="889"/>
      <c r="V789" s="889"/>
      <c r="W789" s="889"/>
      <c r="X789" s="889"/>
      <c r="Y789" s="889"/>
      <c r="Z789" s="889"/>
      <c r="AA789" s="889"/>
      <c r="AB789" s="889"/>
      <c r="AC789" s="889"/>
      <c r="AD789" s="889"/>
      <c r="AE789" s="889"/>
      <c r="AF789" s="889"/>
      <c r="AG789" s="889"/>
      <c r="AH789" s="889"/>
      <c r="AI789" s="889"/>
      <c r="AJ789" s="889"/>
      <c r="AK789" s="889"/>
      <c r="AL789" s="889"/>
      <c r="AM789" s="889"/>
      <c r="AN789" s="889"/>
      <c r="AO789" s="889"/>
      <c r="AP789" s="889"/>
      <c r="AQ789" s="889"/>
      <c r="AR789" s="889"/>
      <c r="AS789" s="889"/>
      <c r="AT789" s="889"/>
      <c r="AU789" s="889"/>
      <c r="AV789" s="889"/>
      <c r="AW789" s="889"/>
      <c r="AX789" s="889"/>
      <c r="AY789" s="889"/>
      <c r="AZ789" s="889"/>
    </row>
    <row r="790">
      <c r="A790" s="889"/>
      <c r="B790" s="889"/>
      <c r="C790" s="889"/>
      <c r="D790" s="889"/>
      <c r="E790" s="889"/>
      <c r="F790" s="889"/>
      <c r="G790" s="889"/>
      <c r="H790" s="889"/>
      <c r="I790" s="889"/>
      <c r="J790" s="889"/>
      <c r="K790" s="889"/>
      <c r="L790" s="889"/>
      <c r="M790" s="889"/>
      <c r="N790" s="944"/>
      <c r="O790" s="944"/>
      <c r="P790" s="944"/>
      <c r="Q790" s="944"/>
      <c r="R790" s="944"/>
      <c r="S790" s="889"/>
      <c r="T790" s="889"/>
      <c r="U790" s="889"/>
      <c r="V790" s="889"/>
      <c r="W790" s="889"/>
      <c r="X790" s="889"/>
      <c r="Y790" s="889"/>
      <c r="Z790" s="889"/>
      <c r="AA790" s="889"/>
      <c r="AB790" s="889"/>
      <c r="AC790" s="889"/>
      <c r="AD790" s="889"/>
      <c r="AE790" s="889"/>
      <c r="AF790" s="889"/>
      <c r="AG790" s="889"/>
      <c r="AH790" s="889"/>
      <c r="AI790" s="889"/>
      <c r="AJ790" s="889"/>
      <c r="AK790" s="889"/>
      <c r="AL790" s="889"/>
      <c r="AM790" s="889"/>
      <c r="AN790" s="889"/>
      <c r="AO790" s="889"/>
      <c r="AP790" s="889"/>
      <c r="AQ790" s="889"/>
      <c r="AR790" s="889"/>
      <c r="AS790" s="889"/>
      <c r="AT790" s="889"/>
      <c r="AU790" s="889"/>
      <c r="AV790" s="889"/>
      <c r="AW790" s="889"/>
      <c r="AX790" s="889"/>
      <c r="AY790" s="889"/>
      <c r="AZ790" s="889"/>
    </row>
    <row r="791">
      <c r="A791" s="889"/>
      <c r="B791" s="889"/>
      <c r="C791" s="889"/>
      <c r="D791" s="889"/>
      <c r="E791" s="889"/>
      <c r="F791" s="889"/>
      <c r="G791" s="889"/>
      <c r="H791" s="889"/>
      <c r="I791" s="889"/>
      <c r="J791" s="889"/>
      <c r="K791" s="889"/>
      <c r="L791" s="889"/>
      <c r="M791" s="889"/>
      <c r="N791" s="944"/>
      <c r="O791" s="944"/>
      <c r="P791" s="944"/>
      <c r="Q791" s="944"/>
      <c r="R791" s="944"/>
      <c r="S791" s="889"/>
      <c r="T791" s="889"/>
      <c r="U791" s="889"/>
      <c r="V791" s="889"/>
      <c r="W791" s="889"/>
      <c r="X791" s="889"/>
      <c r="Y791" s="889"/>
      <c r="Z791" s="889"/>
      <c r="AA791" s="889"/>
      <c r="AB791" s="889"/>
      <c r="AC791" s="889"/>
      <c r="AD791" s="889"/>
      <c r="AE791" s="889"/>
      <c r="AF791" s="889"/>
      <c r="AG791" s="889"/>
      <c r="AH791" s="889"/>
      <c r="AI791" s="889"/>
      <c r="AJ791" s="889"/>
      <c r="AK791" s="889"/>
      <c r="AL791" s="889"/>
      <c r="AM791" s="889"/>
      <c r="AN791" s="889"/>
      <c r="AO791" s="889"/>
      <c r="AP791" s="889"/>
      <c r="AQ791" s="889"/>
      <c r="AR791" s="889"/>
      <c r="AS791" s="889"/>
      <c r="AT791" s="889"/>
      <c r="AU791" s="889"/>
      <c r="AV791" s="889"/>
      <c r="AW791" s="889"/>
      <c r="AX791" s="889"/>
      <c r="AY791" s="889"/>
      <c r="AZ791" s="889"/>
    </row>
    <row r="792">
      <c r="A792" s="889"/>
      <c r="B792" s="889"/>
      <c r="C792" s="889"/>
      <c r="D792" s="889"/>
      <c r="E792" s="889"/>
      <c r="F792" s="889"/>
      <c r="G792" s="889"/>
      <c r="H792" s="889"/>
      <c r="I792" s="889"/>
      <c r="J792" s="889"/>
      <c r="K792" s="889"/>
      <c r="L792" s="889"/>
      <c r="M792" s="889"/>
      <c r="N792" s="944"/>
      <c r="O792" s="944"/>
      <c r="P792" s="944"/>
      <c r="Q792" s="944"/>
      <c r="R792" s="944"/>
      <c r="S792" s="889"/>
      <c r="T792" s="889"/>
      <c r="U792" s="889"/>
      <c r="V792" s="889"/>
      <c r="W792" s="889"/>
      <c r="X792" s="889"/>
      <c r="Y792" s="889"/>
      <c r="Z792" s="889"/>
      <c r="AA792" s="889"/>
      <c r="AB792" s="889"/>
      <c r="AC792" s="889"/>
      <c r="AD792" s="889"/>
      <c r="AE792" s="889"/>
      <c r="AF792" s="889"/>
      <c r="AG792" s="889"/>
      <c r="AH792" s="889"/>
      <c r="AI792" s="889"/>
      <c r="AJ792" s="889"/>
      <c r="AK792" s="889"/>
      <c r="AL792" s="889"/>
      <c r="AM792" s="889"/>
      <c r="AN792" s="889"/>
      <c r="AO792" s="889"/>
      <c r="AP792" s="889"/>
      <c r="AQ792" s="889"/>
      <c r="AR792" s="889"/>
      <c r="AS792" s="889"/>
      <c r="AT792" s="889"/>
      <c r="AU792" s="889"/>
      <c r="AV792" s="889"/>
      <c r="AW792" s="889"/>
      <c r="AX792" s="889"/>
      <c r="AY792" s="889"/>
      <c r="AZ792" s="889"/>
    </row>
    <row r="793">
      <c r="A793" s="889"/>
      <c r="B793" s="889"/>
      <c r="C793" s="889"/>
      <c r="D793" s="889"/>
      <c r="E793" s="889"/>
      <c r="F793" s="889"/>
      <c r="G793" s="889"/>
      <c r="H793" s="889"/>
      <c r="I793" s="889"/>
      <c r="J793" s="889"/>
      <c r="K793" s="889"/>
      <c r="L793" s="889"/>
      <c r="M793" s="889"/>
      <c r="N793" s="944"/>
      <c r="O793" s="944"/>
      <c r="P793" s="944"/>
      <c r="Q793" s="944"/>
      <c r="R793" s="944"/>
      <c r="S793" s="889"/>
      <c r="T793" s="889"/>
      <c r="U793" s="889"/>
      <c r="V793" s="889"/>
      <c r="W793" s="889"/>
      <c r="X793" s="889"/>
      <c r="Y793" s="889"/>
      <c r="Z793" s="889"/>
      <c r="AA793" s="889"/>
      <c r="AB793" s="889"/>
      <c r="AC793" s="889"/>
      <c r="AD793" s="889"/>
      <c r="AE793" s="889"/>
      <c r="AF793" s="889"/>
      <c r="AG793" s="889"/>
      <c r="AH793" s="889"/>
      <c r="AI793" s="889"/>
      <c r="AJ793" s="889"/>
      <c r="AK793" s="889"/>
      <c r="AL793" s="889"/>
      <c r="AM793" s="889"/>
      <c r="AN793" s="889"/>
      <c r="AO793" s="889"/>
      <c r="AP793" s="889"/>
      <c r="AQ793" s="889"/>
      <c r="AR793" s="889"/>
      <c r="AS793" s="889"/>
      <c r="AT793" s="889"/>
      <c r="AU793" s="889"/>
      <c r="AV793" s="889"/>
      <c r="AW793" s="889"/>
      <c r="AX793" s="889"/>
      <c r="AY793" s="889"/>
      <c r="AZ793" s="889"/>
    </row>
    <row r="794">
      <c r="A794" s="889"/>
      <c r="B794" s="889"/>
      <c r="C794" s="889"/>
      <c r="D794" s="889"/>
      <c r="E794" s="889"/>
      <c r="F794" s="889"/>
      <c r="G794" s="889"/>
      <c r="H794" s="889"/>
      <c r="I794" s="889"/>
      <c r="J794" s="889"/>
      <c r="K794" s="889"/>
      <c r="L794" s="889"/>
      <c r="M794" s="889"/>
      <c r="N794" s="944"/>
      <c r="O794" s="944"/>
      <c r="P794" s="944"/>
      <c r="Q794" s="944"/>
      <c r="R794" s="944"/>
      <c r="S794" s="889"/>
      <c r="T794" s="889"/>
      <c r="U794" s="889"/>
      <c r="V794" s="889"/>
      <c r="W794" s="889"/>
      <c r="X794" s="889"/>
      <c r="Y794" s="889"/>
      <c r="Z794" s="889"/>
      <c r="AA794" s="889"/>
      <c r="AB794" s="889"/>
      <c r="AC794" s="889"/>
      <c r="AD794" s="889"/>
      <c r="AE794" s="889"/>
      <c r="AF794" s="889"/>
      <c r="AG794" s="889"/>
      <c r="AH794" s="889"/>
      <c r="AI794" s="889"/>
      <c r="AJ794" s="889"/>
      <c r="AK794" s="889"/>
      <c r="AL794" s="889"/>
      <c r="AM794" s="889"/>
      <c r="AN794" s="889"/>
      <c r="AO794" s="889"/>
      <c r="AP794" s="889"/>
      <c r="AQ794" s="889"/>
      <c r="AR794" s="889"/>
      <c r="AS794" s="889"/>
      <c r="AT794" s="889"/>
      <c r="AU794" s="889"/>
      <c r="AV794" s="889"/>
      <c r="AW794" s="889"/>
      <c r="AX794" s="889"/>
      <c r="AY794" s="889"/>
      <c r="AZ794" s="889"/>
    </row>
    <row r="795">
      <c r="A795" s="889"/>
      <c r="B795" s="889"/>
      <c r="C795" s="889"/>
      <c r="D795" s="889"/>
      <c r="E795" s="889"/>
      <c r="F795" s="889"/>
      <c r="G795" s="889"/>
      <c r="H795" s="889"/>
      <c r="I795" s="889"/>
      <c r="J795" s="889"/>
      <c r="K795" s="889"/>
      <c r="L795" s="889"/>
      <c r="M795" s="889"/>
      <c r="N795" s="944"/>
      <c r="O795" s="944"/>
      <c r="P795" s="944"/>
      <c r="Q795" s="944"/>
      <c r="R795" s="944"/>
      <c r="S795" s="889"/>
      <c r="T795" s="889"/>
      <c r="U795" s="889"/>
      <c r="V795" s="889"/>
      <c r="W795" s="889"/>
      <c r="X795" s="889"/>
      <c r="Y795" s="889"/>
      <c r="Z795" s="889"/>
      <c r="AA795" s="889"/>
      <c r="AB795" s="889"/>
      <c r="AC795" s="889"/>
      <c r="AD795" s="889"/>
      <c r="AE795" s="889"/>
      <c r="AF795" s="889"/>
      <c r="AG795" s="889"/>
      <c r="AH795" s="889"/>
      <c r="AI795" s="889"/>
      <c r="AJ795" s="889"/>
      <c r="AK795" s="889"/>
      <c r="AL795" s="889"/>
      <c r="AM795" s="889"/>
      <c r="AN795" s="889"/>
      <c r="AO795" s="889"/>
      <c r="AP795" s="889"/>
      <c r="AQ795" s="889"/>
      <c r="AR795" s="889"/>
      <c r="AS795" s="889"/>
      <c r="AT795" s="889"/>
      <c r="AU795" s="889"/>
      <c r="AV795" s="889"/>
      <c r="AW795" s="889"/>
      <c r="AX795" s="889"/>
      <c r="AY795" s="889"/>
      <c r="AZ795" s="889"/>
    </row>
    <row r="796">
      <c r="A796" s="889"/>
      <c r="B796" s="889"/>
      <c r="C796" s="889"/>
      <c r="D796" s="889"/>
      <c r="E796" s="889"/>
      <c r="F796" s="889"/>
      <c r="G796" s="889"/>
      <c r="H796" s="889"/>
      <c r="I796" s="889"/>
      <c r="J796" s="889"/>
      <c r="K796" s="889"/>
      <c r="L796" s="889"/>
      <c r="M796" s="889"/>
      <c r="N796" s="944"/>
      <c r="O796" s="944"/>
      <c r="P796" s="944"/>
      <c r="Q796" s="944"/>
      <c r="R796" s="944"/>
      <c r="S796" s="889"/>
      <c r="T796" s="889"/>
      <c r="U796" s="889"/>
      <c r="V796" s="889"/>
      <c r="W796" s="889"/>
      <c r="X796" s="889"/>
      <c r="Y796" s="889"/>
      <c r="Z796" s="889"/>
      <c r="AA796" s="889"/>
      <c r="AB796" s="889"/>
      <c r="AC796" s="889"/>
      <c r="AD796" s="889"/>
      <c r="AE796" s="889"/>
      <c r="AF796" s="889"/>
      <c r="AG796" s="889"/>
      <c r="AH796" s="889"/>
      <c r="AI796" s="889"/>
      <c r="AJ796" s="889"/>
      <c r="AK796" s="889"/>
      <c r="AL796" s="889"/>
      <c r="AM796" s="889"/>
      <c r="AN796" s="889"/>
      <c r="AO796" s="889"/>
      <c r="AP796" s="889"/>
      <c r="AQ796" s="889"/>
      <c r="AR796" s="889"/>
      <c r="AS796" s="889"/>
      <c r="AT796" s="889"/>
      <c r="AU796" s="889"/>
      <c r="AV796" s="889"/>
      <c r="AW796" s="889"/>
      <c r="AX796" s="889"/>
      <c r="AY796" s="889"/>
      <c r="AZ796" s="889"/>
    </row>
    <row r="797">
      <c r="A797" s="889"/>
      <c r="B797" s="889"/>
      <c r="C797" s="889"/>
      <c r="D797" s="889"/>
      <c r="E797" s="889"/>
      <c r="F797" s="889"/>
      <c r="G797" s="889"/>
      <c r="H797" s="889"/>
      <c r="I797" s="889"/>
      <c r="J797" s="889"/>
      <c r="K797" s="889"/>
      <c r="L797" s="889"/>
      <c r="M797" s="889"/>
      <c r="N797" s="944"/>
      <c r="O797" s="944"/>
      <c r="P797" s="944"/>
      <c r="Q797" s="944"/>
      <c r="R797" s="944"/>
      <c r="S797" s="889"/>
      <c r="T797" s="889"/>
      <c r="U797" s="889"/>
      <c r="V797" s="889"/>
      <c r="W797" s="889"/>
      <c r="X797" s="889"/>
      <c r="Y797" s="889"/>
      <c r="Z797" s="889"/>
      <c r="AA797" s="889"/>
      <c r="AB797" s="889"/>
      <c r="AC797" s="889"/>
      <c r="AD797" s="889"/>
      <c r="AE797" s="889"/>
      <c r="AF797" s="889"/>
      <c r="AG797" s="889"/>
      <c r="AH797" s="889"/>
      <c r="AI797" s="889"/>
      <c r="AJ797" s="889"/>
      <c r="AK797" s="889"/>
      <c r="AL797" s="889"/>
      <c r="AM797" s="889"/>
      <c r="AN797" s="889"/>
      <c r="AO797" s="889"/>
      <c r="AP797" s="889"/>
      <c r="AQ797" s="889"/>
      <c r="AR797" s="889"/>
      <c r="AS797" s="889"/>
      <c r="AT797" s="889"/>
      <c r="AU797" s="889"/>
      <c r="AV797" s="889"/>
      <c r="AW797" s="889"/>
      <c r="AX797" s="889"/>
      <c r="AY797" s="889"/>
      <c r="AZ797" s="889"/>
    </row>
    <row r="798">
      <c r="A798" s="889"/>
      <c r="B798" s="889"/>
      <c r="C798" s="889"/>
      <c r="D798" s="889"/>
      <c r="E798" s="889"/>
      <c r="F798" s="889"/>
      <c r="G798" s="889"/>
      <c r="H798" s="889"/>
      <c r="I798" s="889"/>
      <c r="J798" s="889"/>
      <c r="K798" s="889"/>
      <c r="L798" s="889"/>
      <c r="M798" s="889"/>
      <c r="N798" s="944"/>
      <c r="O798" s="944"/>
      <c r="P798" s="944"/>
      <c r="Q798" s="944"/>
      <c r="R798" s="944"/>
      <c r="S798" s="889"/>
      <c r="T798" s="889"/>
      <c r="U798" s="889"/>
      <c r="V798" s="889"/>
      <c r="W798" s="889"/>
      <c r="X798" s="889"/>
      <c r="Y798" s="889"/>
      <c r="Z798" s="889"/>
      <c r="AA798" s="889"/>
      <c r="AB798" s="889"/>
      <c r="AC798" s="889"/>
      <c r="AD798" s="889"/>
      <c r="AE798" s="889"/>
      <c r="AF798" s="889"/>
      <c r="AG798" s="889"/>
      <c r="AH798" s="889"/>
      <c r="AI798" s="889"/>
      <c r="AJ798" s="889"/>
      <c r="AK798" s="889"/>
      <c r="AL798" s="889"/>
      <c r="AM798" s="889"/>
      <c r="AN798" s="889"/>
      <c r="AO798" s="889"/>
      <c r="AP798" s="889"/>
      <c r="AQ798" s="889"/>
      <c r="AR798" s="889"/>
      <c r="AS798" s="889"/>
      <c r="AT798" s="889"/>
      <c r="AU798" s="889"/>
      <c r="AV798" s="889"/>
      <c r="AW798" s="889"/>
      <c r="AX798" s="889"/>
      <c r="AY798" s="889"/>
      <c r="AZ798" s="889"/>
    </row>
    <row r="799">
      <c r="A799" s="889"/>
      <c r="B799" s="889"/>
      <c r="C799" s="889"/>
      <c r="D799" s="889"/>
      <c r="E799" s="889"/>
      <c r="F799" s="889"/>
      <c r="G799" s="889"/>
      <c r="H799" s="889"/>
      <c r="I799" s="889"/>
      <c r="J799" s="889"/>
      <c r="K799" s="889"/>
      <c r="L799" s="889"/>
      <c r="M799" s="889"/>
      <c r="N799" s="944"/>
      <c r="O799" s="944"/>
      <c r="P799" s="944"/>
      <c r="Q799" s="944"/>
      <c r="R799" s="944"/>
      <c r="S799" s="889"/>
      <c r="T799" s="889"/>
      <c r="U799" s="889"/>
      <c r="V799" s="889"/>
      <c r="W799" s="889"/>
      <c r="X799" s="889"/>
      <c r="Y799" s="889"/>
      <c r="Z799" s="889"/>
      <c r="AA799" s="889"/>
      <c r="AB799" s="889"/>
      <c r="AC799" s="889"/>
      <c r="AD799" s="889"/>
      <c r="AE799" s="889"/>
      <c r="AF799" s="889"/>
      <c r="AG799" s="889"/>
      <c r="AH799" s="889"/>
      <c r="AI799" s="889"/>
      <c r="AJ799" s="889"/>
      <c r="AK799" s="889"/>
      <c r="AL799" s="889"/>
      <c r="AM799" s="889"/>
      <c r="AN799" s="889"/>
      <c r="AO799" s="889"/>
      <c r="AP799" s="889"/>
      <c r="AQ799" s="889"/>
      <c r="AR799" s="889"/>
      <c r="AS799" s="889"/>
      <c r="AT799" s="889"/>
      <c r="AU799" s="889"/>
      <c r="AV799" s="889"/>
      <c r="AW799" s="889"/>
      <c r="AX799" s="889"/>
      <c r="AY799" s="889"/>
      <c r="AZ799" s="889"/>
    </row>
    <row r="800">
      <c r="A800" s="889"/>
      <c r="B800" s="889"/>
      <c r="C800" s="889"/>
      <c r="D800" s="889"/>
      <c r="E800" s="889"/>
      <c r="F800" s="889"/>
      <c r="G800" s="889"/>
      <c r="H800" s="889"/>
      <c r="I800" s="889"/>
      <c r="J800" s="889"/>
      <c r="K800" s="889"/>
      <c r="L800" s="889"/>
      <c r="M800" s="889"/>
      <c r="N800" s="944"/>
      <c r="O800" s="944"/>
      <c r="P800" s="944"/>
      <c r="Q800" s="944"/>
      <c r="R800" s="944"/>
      <c r="S800" s="889"/>
      <c r="T800" s="889"/>
      <c r="U800" s="889"/>
      <c r="V800" s="889"/>
      <c r="W800" s="889"/>
      <c r="X800" s="889"/>
      <c r="Y800" s="889"/>
      <c r="Z800" s="889"/>
      <c r="AA800" s="889"/>
      <c r="AB800" s="889"/>
      <c r="AC800" s="889"/>
      <c r="AD800" s="889"/>
      <c r="AE800" s="889"/>
      <c r="AF800" s="889"/>
      <c r="AG800" s="889"/>
      <c r="AH800" s="889"/>
      <c r="AI800" s="889"/>
      <c r="AJ800" s="889"/>
      <c r="AK800" s="889"/>
      <c r="AL800" s="889"/>
      <c r="AM800" s="889"/>
      <c r="AN800" s="889"/>
      <c r="AO800" s="889"/>
      <c r="AP800" s="889"/>
      <c r="AQ800" s="889"/>
      <c r="AR800" s="889"/>
      <c r="AS800" s="889"/>
      <c r="AT800" s="889"/>
      <c r="AU800" s="889"/>
      <c r="AV800" s="889"/>
      <c r="AW800" s="889"/>
      <c r="AX800" s="889"/>
      <c r="AY800" s="889"/>
      <c r="AZ800" s="889"/>
    </row>
    <row r="801">
      <c r="A801" s="889"/>
      <c r="B801" s="889"/>
      <c r="C801" s="889"/>
      <c r="D801" s="889"/>
      <c r="E801" s="889"/>
      <c r="F801" s="889"/>
      <c r="G801" s="889"/>
      <c r="H801" s="889"/>
      <c r="I801" s="889"/>
      <c r="J801" s="889"/>
      <c r="K801" s="889"/>
      <c r="L801" s="889"/>
      <c r="M801" s="889"/>
      <c r="N801" s="944"/>
      <c r="O801" s="944"/>
      <c r="P801" s="944"/>
      <c r="Q801" s="944"/>
      <c r="R801" s="944"/>
      <c r="S801" s="889"/>
      <c r="T801" s="889"/>
      <c r="U801" s="889"/>
      <c r="V801" s="889"/>
      <c r="W801" s="889"/>
      <c r="X801" s="889"/>
      <c r="Y801" s="889"/>
      <c r="Z801" s="889"/>
      <c r="AA801" s="889"/>
      <c r="AB801" s="889"/>
      <c r="AC801" s="889"/>
      <c r="AD801" s="889"/>
      <c r="AE801" s="889"/>
      <c r="AF801" s="889"/>
      <c r="AG801" s="889"/>
      <c r="AH801" s="889"/>
      <c r="AI801" s="889"/>
      <c r="AJ801" s="889"/>
      <c r="AK801" s="889"/>
      <c r="AL801" s="889"/>
      <c r="AM801" s="889"/>
      <c r="AN801" s="889"/>
      <c r="AO801" s="889"/>
      <c r="AP801" s="889"/>
      <c r="AQ801" s="889"/>
      <c r="AR801" s="889"/>
      <c r="AS801" s="889"/>
      <c r="AT801" s="889"/>
      <c r="AU801" s="889"/>
      <c r="AV801" s="889"/>
      <c r="AW801" s="889"/>
      <c r="AX801" s="889"/>
      <c r="AY801" s="889"/>
      <c r="AZ801" s="889"/>
    </row>
    <row r="802">
      <c r="A802" s="889"/>
      <c r="B802" s="889"/>
      <c r="C802" s="889"/>
      <c r="D802" s="889"/>
      <c r="E802" s="889"/>
      <c r="F802" s="889"/>
      <c r="G802" s="889"/>
      <c r="H802" s="889"/>
      <c r="I802" s="889"/>
      <c r="J802" s="889"/>
      <c r="K802" s="889"/>
      <c r="L802" s="889"/>
      <c r="M802" s="889"/>
      <c r="N802" s="944"/>
      <c r="O802" s="944"/>
      <c r="P802" s="944"/>
      <c r="Q802" s="944"/>
      <c r="R802" s="944"/>
      <c r="S802" s="889"/>
      <c r="T802" s="889"/>
      <c r="U802" s="889"/>
      <c r="V802" s="889"/>
      <c r="W802" s="889"/>
      <c r="X802" s="889"/>
      <c r="Y802" s="889"/>
      <c r="Z802" s="889"/>
      <c r="AA802" s="889"/>
      <c r="AB802" s="889"/>
      <c r="AC802" s="889"/>
      <c r="AD802" s="889"/>
      <c r="AE802" s="889"/>
      <c r="AF802" s="889"/>
      <c r="AG802" s="889"/>
      <c r="AH802" s="889"/>
      <c r="AI802" s="889"/>
      <c r="AJ802" s="889"/>
      <c r="AK802" s="889"/>
      <c r="AL802" s="889"/>
      <c r="AM802" s="889"/>
      <c r="AN802" s="889"/>
      <c r="AO802" s="889"/>
      <c r="AP802" s="889"/>
      <c r="AQ802" s="889"/>
      <c r="AR802" s="889"/>
      <c r="AS802" s="889"/>
      <c r="AT802" s="889"/>
      <c r="AU802" s="889"/>
      <c r="AV802" s="889"/>
      <c r="AW802" s="889"/>
      <c r="AX802" s="889"/>
      <c r="AY802" s="889"/>
      <c r="AZ802" s="889"/>
    </row>
    <row r="803">
      <c r="A803" s="889"/>
      <c r="B803" s="889"/>
      <c r="C803" s="889"/>
      <c r="D803" s="889"/>
      <c r="E803" s="889"/>
      <c r="F803" s="889"/>
      <c r="G803" s="889"/>
      <c r="H803" s="889"/>
      <c r="I803" s="889"/>
      <c r="J803" s="889"/>
      <c r="K803" s="889"/>
      <c r="L803" s="889"/>
      <c r="M803" s="889"/>
      <c r="N803" s="944"/>
      <c r="O803" s="944"/>
      <c r="P803" s="944"/>
      <c r="Q803" s="944"/>
      <c r="R803" s="944"/>
      <c r="S803" s="889"/>
      <c r="T803" s="889"/>
      <c r="U803" s="889"/>
      <c r="V803" s="889"/>
      <c r="W803" s="889"/>
      <c r="X803" s="889"/>
      <c r="Y803" s="889"/>
      <c r="Z803" s="889"/>
      <c r="AA803" s="889"/>
      <c r="AB803" s="889"/>
      <c r="AC803" s="889"/>
      <c r="AD803" s="889"/>
      <c r="AE803" s="889"/>
      <c r="AF803" s="889"/>
      <c r="AG803" s="889"/>
      <c r="AH803" s="889"/>
      <c r="AI803" s="889"/>
      <c r="AJ803" s="889"/>
      <c r="AK803" s="889"/>
      <c r="AL803" s="889"/>
      <c r="AM803" s="889"/>
      <c r="AN803" s="889"/>
      <c r="AO803" s="889"/>
      <c r="AP803" s="889"/>
      <c r="AQ803" s="889"/>
      <c r="AR803" s="889"/>
      <c r="AS803" s="889"/>
      <c r="AT803" s="889"/>
      <c r="AU803" s="889"/>
      <c r="AV803" s="889"/>
      <c r="AW803" s="889"/>
      <c r="AX803" s="889"/>
      <c r="AY803" s="889"/>
      <c r="AZ803" s="889"/>
    </row>
    <row r="804">
      <c r="A804" s="889"/>
      <c r="B804" s="889"/>
      <c r="C804" s="889"/>
      <c r="D804" s="889"/>
      <c r="E804" s="889"/>
      <c r="F804" s="889"/>
      <c r="G804" s="889"/>
      <c r="H804" s="889"/>
      <c r="I804" s="889"/>
      <c r="J804" s="889"/>
      <c r="K804" s="889"/>
      <c r="L804" s="889"/>
      <c r="M804" s="889"/>
      <c r="N804" s="944"/>
      <c r="O804" s="944"/>
      <c r="P804" s="944"/>
      <c r="Q804" s="944"/>
      <c r="R804" s="944"/>
      <c r="S804" s="889"/>
      <c r="T804" s="889"/>
      <c r="U804" s="889"/>
      <c r="V804" s="889"/>
      <c r="W804" s="889"/>
      <c r="X804" s="889"/>
      <c r="Y804" s="889"/>
      <c r="Z804" s="889"/>
      <c r="AA804" s="889"/>
      <c r="AB804" s="889"/>
      <c r="AC804" s="889"/>
      <c r="AD804" s="889"/>
      <c r="AE804" s="889"/>
      <c r="AF804" s="889"/>
      <c r="AG804" s="889"/>
      <c r="AH804" s="889"/>
      <c r="AI804" s="889"/>
      <c r="AJ804" s="889"/>
      <c r="AK804" s="889"/>
      <c r="AL804" s="889"/>
      <c r="AM804" s="889"/>
      <c r="AN804" s="889"/>
      <c r="AO804" s="889"/>
      <c r="AP804" s="889"/>
      <c r="AQ804" s="889"/>
      <c r="AR804" s="889"/>
      <c r="AS804" s="889"/>
      <c r="AT804" s="889"/>
      <c r="AU804" s="889"/>
      <c r="AV804" s="889"/>
      <c r="AW804" s="889"/>
      <c r="AX804" s="889"/>
      <c r="AY804" s="889"/>
      <c r="AZ804" s="889"/>
    </row>
    <row r="805">
      <c r="A805" s="889"/>
      <c r="B805" s="889"/>
      <c r="C805" s="889"/>
      <c r="D805" s="889"/>
      <c r="E805" s="889"/>
      <c r="F805" s="889"/>
      <c r="G805" s="889"/>
      <c r="H805" s="889"/>
      <c r="I805" s="889"/>
      <c r="J805" s="889"/>
      <c r="K805" s="889"/>
      <c r="L805" s="889"/>
      <c r="M805" s="889"/>
      <c r="N805" s="944"/>
      <c r="O805" s="944"/>
      <c r="P805" s="944"/>
      <c r="Q805" s="944"/>
      <c r="R805" s="944"/>
      <c r="S805" s="889"/>
      <c r="T805" s="889"/>
      <c r="U805" s="889"/>
      <c r="V805" s="889"/>
      <c r="W805" s="889"/>
      <c r="X805" s="889"/>
      <c r="Y805" s="889"/>
      <c r="Z805" s="889"/>
      <c r="AA805" s="889"/>
      <c r="AB805" s="889"/>
      <c r="AC805" s="889"/>
      <c r="AD805" s="889"/>
      <c r="AE805" s="889"/>
      <c r="AF805" s="889"/>
      <c r="AG805" s="889"/>
      <c r="AH805" s="889"/>
      <c r="AI805" s="889"/>
      <c r="AJ805" s="889"/>
      <c r="AK805" s="889"/>
      <c r="AL805" s="889"/>
      <c r="AM805" s="889"/>
      <c r="AN805" s="889"/>
      <c r="AO805" s="889"/>
      <c r="AP805" s="889"/>
      <c r="AQ805" s="889"/>
      <c r="AR805" s="889"/>
      <c r="AS805" s="889"/>
      <c r="AT805" s="889"/>
      <c r="AU805" s="889"/>
      <c r="AV805" s="889"/>
      <c r="AW805" s="889"/>
      <c r="AX805" s="889"/>
      <c r="AY805" s="889"/>
      <c r="AZ805" s="889"/>
    </row>
    <row r="806">
      <c r="A806" s="889"/>
      <c r="B806" s="889"/>
      <c r="C806" s="889"/>
      <c r="D806" s="889"/>
      <c r="E806" s="889"/>
      <c r="F806" s="889"/>
      <c r="G806" s="889"/>
      <c r="H806" s="889"/>
      <c r="I806" s="889"/>
      <c r="J806" s="889"/>
      <c r="K806" s="889"/>
      <c r="L806" s="889"/>
      <c r="M806" s="889"/>
      <c r="N806" s="944"/>
      <c r="O806" s="944"/>
      <c r="P806" s="944"/>
      <c r="Q806" s="944"/>
      <c r="R806" s="944"/>
      <c r="S806" s="889"/>
      <c r="T806" s="889"/>
      <c r="U806" s="889"/>
      <c r="V806" s="889"/>
      <c r="W806" s="889"/>
      <c r="X806" s="889"/>
      <c r="Y806" s="889"/>
      <c r="Z806" s="889"/>
      <c r="AA806" s="889"/>
      <c r="AB806" s="889"/>
      <c r="AC806" s="889"/>
      <c r="AD806" s="889"/>
      <c r="AE806" s="889"/>
      <c r="AF806" s="889"/>
      <c r="AG806" s="889"/>
      <c r="AH806" s="889"/>
      <c r="AI806" s="889"/>
      <c r="AJ806" s="889"/>
      <c r="AK806" s="889"/>
      <c r="AL806" s="889"/>
      <c r="AM806" s="889"/>
      <c r="AN806" s="889"/>
      <c r="AO806" s="889"/>
      <c r="AP806" s="889"/>
      <c r="AQ806" s="889"/>
      <c r="AR806" s="889"/>
      <c r="AS806" s="889"/>
      <c r="AT806" s="889"/>
      <c r="AU806" s="889"/>
      <c r="AV806" s="889"/>
      <c r="AW806" s="889"/>
      <c r="AX806" s="889"/>
      <c r="AY806" s="889"/>
      <c r="AZ806" s="889"/>
    </row>
    <row r="807">
      <c r="A807" s="889"/>
      <c r="B807" s="889"/>
      <c r="C807" s="889"/>
      <c r="D807" s="889"/>
      <c r="E807" s="889"/>
      <c r="F807" s="889"/>
      <c r="G807" s="889"/>
      <c r="H807" s="889"/>
      <c r="I807" s="889"/>
      <c r="J807" s="889"/>
      <c r="K807" s="889"/>
      <c r="L807" s="889"/>
      <c r="M807" s="889"/>
      <c r="N807" s="944"/>
      <c r="O807" s="944"/>
      <c r="P807" s="944"/>
      <c r="Q807" s="944"/>
      <c r="R807" s="944"/>
      <c r="S807" s="889"/>
      <c r="T807" s="889"/>
      <c r="U807" s="889"/>
      <c r="V807" s="889"/>
      <c r="W807" s="889"/>
      <c r="X807" s="889"/>
      <c r="Y807" s="889"/>
      <c r="Z807" s="889"/>
      <c r="AA807" s="889"/>
      <c r="AB807" s="889"/>
      <c r="AC807" s="889"/>
      <c r="AD807" s="889"/>
      <c r="AE807" s="889"/>
      <c r="AF807" s="889"/>
      <c r="AG807" s="889"/>
      <c r="AH807" s="889"/>
      <c r="AI807" s="889"/>
      <c r="AJ807" s="889"/>
      <c r="AK807" s="889"/>
      <c r="AL807" s="889"/>
      <c r="AM807" s="889"/>
      <c r="AN807" s="889"/>
      <c r="AO807" s="889"/>
      <c r="AP807" s="889"/>
      <c r="AQ807" s="889"/>
      <c r="AR807" s="889"/>
      <c r="AS807" s="889"/>
      <c r="AT807" s="889"/>
      <c r="AU807" s="889"/>
      <c r="AV807" s="889"/>
      <c r="AW807" s="889"/>
      <c r="AX807" s="889"/>
      <c r="AY807" s="889"/>
      <c r="AZ807" s="889"/>
    </row>
    <row r="808">
      <c r="A808" s="889"/>
      <c r="B808" s="889"/>
      <c r="C808" s="889"/>
      <c r="D808" s="889"/>
      <c r="E808" s="889"/>
      <c r="F808" s="889"/>
      <c r="G808" s="889"/>
      <c r="H808" s="889"/>
      <c r="I808" s="889"/>
      <c r="J808" s="889"/>
      <c r="K808" s="889"/>
      <c r="L808" s="889"/>
      <c r="M808" s="889"/>
      <c r="N808" s="944"/>
      <c r="O808" s="944"/>
      <c r="P808" s="944"/>
      <c r="Q808" s="944"/>
      <c r="R808" s="944"/>
      <c r="S808" s="889"/>
      <c r="T808" s="889"/>
      <c r="U808" s="889"/>
      <c r="V808" s="889"/>
      <c r="W808" s="889"/>
      <c r="X808" s="889"/>
      <c r="Y808" s="889"/>
      <c r="Z808" s="889"/>
      <c r="AA808" s="889"/>
      <c r="AB808" s="889"/>
      <c r="AC808" s="889"/>
      <c r="AD808" s="889"/>
      <c r="AE808" s="889"/>
      <c r="AF808" s="889"/>
      <c r="AG808" s="889"/>
      <c r="AH808" s="889"/>
      <c r="AI808" s="889"/>
      <c r="AJ808" s="889"/>
      <c r="AK808" s="889"/>
      <c r="AL808" s="889"/>
      <c r="AM808" s="889"/>
      <c r="AN808" s="889"/>
      <c r="AO808" s="889"/>
      <c r="AP808" s="889"/>
      <c r="AQ808" s="889"/>
      <c r="AR808" s="889"/>
      <c r="AS808" s="889"/>
      <c r="AT808" s="889"/>
      <c r="AU808" s="889"/>
      <c r="AV808" s="889"/>
      <c r="AW808" s="889"/>
      <c r="AX808" s="889"/>
      <c r="AY808" s="889"/>
      <c r="AZ808" s="889"/>
    </row>
    <row r="809">
      <c r="A809" s="889"/>
      <c r="B809" s="889"/>
      <c r="C809" s="889"/>
      <c r="D809" s="889"/>
      <c r="E809" s="889"/>
      <c r="F809" s="889"/>
      <c r="G809" s="889"/>
      <c r="H809" s="889"/>
      <c r="I809" s="889"/>
      <c r="J809" s="889"/>
      <c r="K809" s="889"/>
      <c r="L809" s="889"/>
      <c r="M809" s="889"/>
      <c r="N809" s="944"/>
      <c r="O809" s="944"/>
      <c r="P809" s="944"/>
      <c r="Q809" s="944"/>
      <c r="R809" s="944"/>
      <c r="S809" s="889"/>
      <c r="T809" s="889"/>
      <c r="U809" s="889"/>
      <c r="V809" s="889"/>
      <c r="W809" s="889"/>
      <c r="X809" s="889"/>
      <c r="Y809" s="889"/>
      <c r="Z809" s="889"/>
      <c r="AA809" s="889"/>
      <c r="AB809" s="889"/>
      <c r="AC809" s="889"/>
      <c r="AD809" s="889"/>
      <c r="AE809" s="889"/>
      <c r="AF809" s="889"/>
      <c r="AG809" s="889"/>
      <c r="AH809" s="889"/>
      <c r="AI809" s="889"/>
      <c r="AJ809" s="889"/>
      <c r="AK809" s="889"/>
      <c r="AL809" s="889"/>
      <c r="AM809" s="889"/>
      <c r="AN809" s="889"/>
      <c r="AO809" s="889"/>
      <c r="AP809" s="889"/>
      <c r="AQ809" s="889"/>
      <c r="AR809" s="889"/>
      <c r="AS809" s="889"/>
      <c r="AT809" s="889"/>
      <c r="AU809" s="889"/>
      <c r="AV809" s="889"/>
      <c r="AW809" s="889"/>
      <c r="AX809" s="889"/>
      <c r="AY809" s="889"/>
      <c r="AZ809" s="889"/>
    </row>
    <row r="810">
      <c r="A810" s="889"/>
      <c r="B810" s="889"/>
      <c r="C810" s="889"/>
      <c r="D810" s="889"/>
      <c r="E810" s="889"/>
      <c r="F810" s="889"/>
      <c r="G810" s="889"/>
      <c r="H810" s="889"/>
      <c r="I810" s="889"/>
      <c r="J810" s="889"/>
      <c r="K810" s="889"/>
      <c r="L810" s="889"/>
      <c r="M810" s="889"/>
      <c r="N810" s="944"/>
      <c r="O810" s="944"/>
      <c r="P810" s="944"/>
      <c r="Q810" s="944"/>
      <c r="R810" s="944"/>
      <c r="S810" s="889"/>
      <c r="T810" s="889"/>
      <c r="U810" s="889"/>
      <c r="V810" s="889"/>
      <c r="W810" s="889"/>
      <c r="X810" s="889"/>
      <c r="Y810" s="889"/>
      <c r="Z810" s="889"/>
      <c r="AA810" s="889"/>
      <c r="AB810" s="889"/>
      <c r="AC810" s="889"/>
      <c r="AD810" s="889"/>
      <c r="AE810" s="889"/>
      <c r="AF810" s="889"/>
      <c r="AG810" s="889"/>
      <c r="AH810" s="889"/>
      <c r="AI810" s="889"/>
      <c r="AJ810" s="889"/>
      <c r="AK810" s="889"/>
      <c r="AL810" s="889"/>
      <c r="AM810" s="889"/>
      <c r="AN810" s="889"/>
      <c r="AO810" s="889"/>
      <c r="AP810" s="889"/>
      <c r="AQ810" s="889"/>
      <c r="AR810" s="889"/>
      <c r="AS810" s="889"/>
      <c r="AT810" s="889"/>
      <c r="AU810" s="889"/>
      <c r="AV810" s="889"/>
      <c r="AW810" s="889"/>
      <c r="AX810" s="889"/>
      <c r="AY810" s="889"/>
      <c r="AZ810" s="889"/>
    </row>
    <row r="811">
      <c r="A811" s="889"/>
      <c r="B811" s="889"/>
      <c r="C811" s="889"/>
      <c r="D811" s="889"/>
      <c r="E811" s="889"/>
      <c r="F811" s="889"/>
      <c r="G811" s="889"/>
      <c r="H811" s="889"/>
      <c r="I811" s="889"/>
      <c r="J811" s="889"/>
      <c r="K811" s="889"/>
      <c r="L811" s="889"/>
      <c r="M811" s="889"/>
      <c r="N811" s="944"/>
      <c r="O811" s="944"/>
      <c r="P811" s="944"/>
      <c r="Q811" s="944"/>
      <c r="R811" s="944"/>
      <c r="S811" s="889"/>
      <c r="T811" s="889"/>
      <c r="U811" s="889"/>
      <c r="V811" s="889"/>
      <c r="W811" s="889"/>
      <c r="X811" s="889"/>
      <c r="Y811" s="889"/>
      <c r="Z811" s="889"/>
      <c r="AA811" s="889"/>
      <c r="AB811" s="889"/>
      <c r="AC811" s="889"/>
      <c r="AD811" s="889"/>
      <c r="AE811" s="889"/>
      <c r="AF811" s="889"/>
      <c r="AG811" s="889"/>
      <c r="AH811" s="889"/>
      <c r="AI811" s="889"/>
      <c r="AJ811" s="889"/>
      <c r="AK811" s="889"/>
      <c r="AL811" s="889"/>
      <c r="AM811" s="889"/>
      <c r="AN811" s="889"/>
      <c r="AO811" s="889"/>
      <c r="AP811" s="889"/>
      <c r="AQ811" s="889"/>
      <c r="AR811" s="889"/>
      <c r="AS811" s="889"/>
      <c r="AT811" s="889"/>
      <c r="AU811" s="889"/>
      <c r="AV811" s="889"/>
      <c r="AW811" s="889"/>
      <c r="AX811" s="889"/>
      <c r="AY811" s="889"/>
      <c r="AZ811" s="889"/>
    </row>
    <row r="812">
      <c r="A812" s="889"/>
      <c r="B812" s="889"/>
      <c r="C812" s="889"/>
      <c r="D812" s="889"/>
      <c r="E812" s="889"/>
      <c r="F812" s="889"/>
      <c r="G812" s="889"/>
      <c r="H812" s="889"/>
      <c r="I812" s="889"/>
      <c r="J812" s="889"/>
      <c r="K812" s="889"/>
      <c r="L812" s="889"/>
      <c r="M812" s="889"/>
      <c r="N812" s="944"/>
      <c r="O812" s="944"/>
      <c r="P812" s="944"/>
      <c r="Q812" s="944"/>
      <c r="R812" s="944"/>
      <c r="S812" s="889"/>
      <c r="T812" s="889"/>
      <c r="U812" s="889"/>
      <c r="V812" s="889"/>
      <c r="W812" s="889"/>
      <c r="X812" s="889"/>
      <c r="Y812" s="889"/>
      <c r="Z812" s="889"/>
      <c r="AA812" s="889"/>
      <c r="AB812" s="889"/>
      <c r="AC812" s="889"/>
      <c r="AD812" s="889"/>
      <c r="AE812" s="889"/>
      <c r="AF812" s="889"/>
      <c r="AG812" s="889"/>
      <c r="AH812" s="889"/>
      <c r="AI812" s="889"/>
      <c r="AJ812" s="889"/>
      <c r="AK812" s="889"/>
      <c r="AL812" s="889"/>
      <c r="AM812" s="889"/>
      <c r="AN812" s="889"/>
      <c r="AO812" s="889"/>
      <c r="AP812" s="889"/>
      <c r="AQ812" s="889"/>
      <c r="AR812" s="889"/>
      <c r="AS812" s="889"/>
      <c r="AT812" s="889"/>
      <c r="AU812" s="889"/>
      <c r="AV812" s="889"/>
      <c r="AW812" s="889"/>
      <c r="AX812" s="889"/>
      <c r="AY812" s="889"/>
      <c r="AZ812" s="889"/>
    </row>
    <row r="813">
      <c r="A813" s="889"/>
      <c r="B813" s="889"/>
      <c r="C813" s="889"/>
      <c r="D813" s="889"/>
      <c r="E813" s="889"/>
      <c r="F813" s="889"/>
      <c r="G813" s="889"/>
      <c r="H813" s="889"/>
      <c r="I813" s="889"/>
      <c r="J813" s="889"/>
      <c r="K813" s="889"/>
      <c r="L813" s="889"/>
      <c r="M813" s="889"/>
      <c r="N813" s="944"/>
      <c r="O813" s="944"/>
      <c r="P813" s="944"/>
      <c r="Q813" s="944"/>
      <c r="R813" s="944"/>
      <c r="S813" s="889"/>
      <c r="T813" s="889"/>
      <c r="U813" s="889"/>
      <c r="V813" s="889"/>
      <c r="W813" s="889"/>
      <c r="X813" s="889"/>
      <c r="Y813" s="889"/>
      <c r="Z813" s="889"/>
      <c r="AA813" s="889"/>
      <c r="AB813" s="889"/>
      <c r="AC813" s="889"/>
      <c r="AD813" s="889"/>
      <c r="AE813" s="889"/>
      <c r="AF813" s="889"/>
      <c r="AG813" s="889"/>
      <c r="AH813" s="889"/>
      <c r="AI813" s="889"/>
      <c r="AJ813" s="889"/>
      <c r="AK813" s="889"/>
      <c r="AL813" s="889"/>
      <c r="AM813" s="889"/>
      <c r="AN813" s="889"/>
      <c r="AO813" s="889"/>
      <c r="AP813" s="889"/>
      <c r="AQ813" s="889"/>
      <c r="AR813" s="889"/>
      <c r="AS813" s="889"/>
      <c r="AT813" s="889"/>
      <c r="AU813" s="889"/>
      <c r="AV813" s="889"/>
      <c r="AW813" s="889"/>
      <c r="AX813" s="889"/>
      <c r="AY813" s="889"/>
      <c r="AZ813" s="889"/>
    </row>
    <row r="814">
      <c r="A814" s="889"/>
      <c r="B814" s="889"/>
      <c r="C814" s="889"/>
      <c r="D814" s="889"/>
      <c r="E814" s="889"/>
      <c r="F814" s="889"/>
      <c r="G814" s="889"/>
      <c r="H814" s="889"/>
      <c r="I814" s="889"/>
      <c r="J814" s="889"/>
      <c r="K814" s="889"/>
      <c r="L814" s="889"/>
      <c r="M814" s="889"/>
      <c r="N814" s="944"/>
      <c r="O814" s="944"/>
      <c r="P814" s="944"/>
      <c r="Q814" s="944"/>
      <c r="R814" s="944"/>
      <c r="S814" s="889"/>
      <c r="T814" s="889"/>
      <c r="U814" s="889"/>
      <c r="V814" s="889"/>
      <c r="W814" s="889"/>
      <c r="X814" s="889"/>
      <c r="Y814" s="889"/>
      <c r="Z814" s="889"/>
      <c r="AA814" s="889"/>
      <c r="AB814" s="889"/>
      <c r="AC814" s="889"/>
      <c r="AD814" s="889"/>
      <c r="AE814" s="889"/>
      <c r="AF814" s="889"/>
      <c r="AG814" s="889"/>
      <c r="AH814" s="889"/>
      <c r="AI814" s="889"/>
      <c r="AJ814" s="889"/>
      <c r="AK814" s="889"/>
      <c r="AL814" s="889"/>
      <c r="AM814" s="889"/>
      <c r="AN814" s="889"/>
      <c r="AO814" s="889"/>
      <c r="AP814" s="889"/>
      <c r="AQ814" s="889"/>
      <c r="AR814" s="889"/>
      <c r="AS814" s="889"/>
      <c r="AT814" s="889"/>
      <c r="AU814" s="889"/>
      <c r="AV814" s="889"/>
      <c r="AW814" s="889"/>
      <c r="AX814" s="889"/>
      <c r="AY814" s="889"/>
      <c r="AZ814" s="889"/>
    </row>
    <row r="815">
      <c r="A815" s="889"/>
      <c r="B815" s="889"/>
      <c r="C815" s="889"/>
      <c r="D815" s="889"/>
      <c r="E815" s="889"/>
      <c r="F815" s="889"/>
      <c r="G815" s="889"/>
      <c r="H815" s="889"/>
      <c r="I815" s="889"/>
      <c r="J815" s="889"/>
      <c r="K815" s="889"/>
      <c r="L815" s="889"/>
      <c r="M815" s="889"/>
      <c r="N815" s="944"/>
      <c r="O815" s="944"/>
      <c r="P815" s="944"/>
      <c r="Q815" s="944"/>
      <c r="R815" s="944"/>
      <c r="S815" s="889"/>
      <c r="T815" s="889"/>
      <c r="U815" s="889"/>
      <c r="V815" s="889"/>
      <c r="W815" s="889"/>
      <c r="X815" s="889"/>
      <c r="Y815" s="889"/>
      <c r="Z815" s="889"/>
      <c r="AA815" s="889"/>
      <c r="AB815" s="889"/>
      <c r="AC815" s="889"/>
      <c r="AD815" s="889"/>
      <c r="AE815" s="889"/>
      <c r="AF815" s="889"/>
      <c r="AG815" s="889"/>
      <c r="AH815" s="889"/>
      <c r="AI815" s="889"/>
      <c r="AJ815" s="889"/>
      <c r="AK815" s="889"/>
      <c r="AL815" s="889"/>
      <c r="AM815" s="889"/>
      <c r="AN815" s="889"/>
      <c r="AO815" s="889"/>
      <c r="AP815" s="889"/>
      <c r="AQ815" s="889"/>
      <c r="AR815" s="889"/>
      <c r="AS815" s="889"/>
      <c r="AT815" s="889"/>
      <c r="AU815" s="889"/>
      <c r="AV815" s="889"/>
      <c r="AW815" s="889"/>
      <c r="AX815" s="889"/>
      <c r="AY815" s="889"/>
      <c r="AZ815" s="889"/>
    </row>
    <row r="816">
      <c r="A816" s="889"/>
      <c r="B816" s="889"/>
      <c r="C816" s="889"/>
      <c r="D816" s="889"/>
      <c r="E816" s="889"/>
      <c r="F816" s="889"/>
      <c r="G816" s="889"/>
      <c r="H816" s="889"/>
      <c r="I816" s="889"/>
      <c r="J816" s="889"/>
      <c r="K816" s="889"/>
      <c r="L816" s="889"/>
      <c r="M816" s="889"/>
      <c r="N816" s="944"/>
      <c r="O816" s="944"/>
      <c r="P816" s="944"/>
      <c r="Q816" s="944"/>
      <c r="R816" s="944"/>
      <c r="S816" s="889"/>
      <c r="T816" s="889"/>
      <c r="U816" s="889"/>
      <c r="V816" s="889"/>
      <c r="W816" s="889"/>
      <c r="X816" s="889"/>
      <c r="Y816" s="889"/>
      <c r="Z816" s="889"/>
      <c r="AA816" s="889"/>
      <c r="AB816" s="889"/>
      <c r="AC816" s="889"/>
      <c r="AD816" s="889"/>
      <c r="AE816" s="889"/>
      <c r="AF816" s="889"/>
      <c r="AG816" s="889"/>
      <c r="AH816" s="889"/>
      <c r="AI816" s="889"/>
      <c r="AJ816" s="889"/>
      <c r="AK816" s="889"/>
      <c r="AL816" s="889"/>
      <c r="AM816" s="889"/>
      <c r="AN816" s="889"/>
      <c r="AO816" s="889"/>
      <c r="AP816" s="889"/>
      <c r="AQ816" s="889"/>
      <c r="AR816" s="889"/>
      <c r="AS816" s="889"/>
      <c r="AT816" s="889"/>
      <c r="AU816" s="889"/>
      <c r="AV816" s="889"/>
      <c r="AW816" s="889"/>
      <c r="AX816" s="889"/>
      <c r="AY816" s="889"/>
      <c r="AZ816" s="889"/>
    </row>
    <row r="817">
      <c r="A817" s="889"/>
      <c r="B817" s="889"/>
      <c r="C817" s="889"/>
      <c r="D817" s="889"/>
      <c r="E817" s="889"/>
      <c r="F817" s="889"/>
      <c r="G817" s="889"/>
      <c r="H817" s="889"/>
      <c r="I817" s="889"/>
      <c r="J817" s="889"/>
      <c r="K817" s="889"/>
      <c r="L817" s="889"/>
      <c r="M817" s="889"/>
      <c r="N817" s="944"/>
      <c r="O817" s="944"/>
      <c r="P817" s="944"/>
      <c r="Q817" s="944"/>
      <c r="R817" s="944"/>
      <c r="S817" s="889"/>
      <c r="T817" s="889"/>
      <c r="U817" s="889"/>
      <c r="V817" s="889"/>
      <c r="W817" s="889"/>
      <c r="X817" s="889"/>
      <c r="Y817" s="889"/>
      <c r="Z817" s="889"/>
      <c r="AA817" s="889"/>
      <c r="AB817" s="889"/>
      <c r="AC817" s="889"/>
      <c r="AD817" s="889"/>
      <c r="AE817" s="889"/>
      <c r="AF817" s="889"/>
      <c r="AG817" s="889"/>
      <c r="AH817" s="889"/>
      <c r="AI817" s="889"/>
      <c r="AJ817" s="889"/>
      <c r="AK817" s="889"/>
      <c r="AL817" s="889"/>
      <c r="AM817" s="889"/>
      <c r="AN817" s="889"/>
      <c r="AO817" s="889"/>
      <c r="AP817" s="889"/>
      <c r="AQ817" s="889"/>
      <c r="AR817" s="889"/>
      <c r="AS817" s="889"/>
      <c r="AT817" s="889"/>
      <c r="AU817" s="889"/>
      <c r="AV817" s="889"/>
      <c r="AW817" s="889"/>
      <c r="AX817" s="889"/>
      <c r="AY817" s="889"/>
      <c r="AZ817" s="889"/>
    </row>
    <row r="818">
      <c r="A818" s="889"/>
      <c r="B818" s="889"/>
      <c r="C818" s="889"/>
      <c r="D818" s="889"/>
      <c r="E818" s="889"/>
      <c r="F818" s="889"/>
      <c r="G818" s="889"/>
      <c r="H818" s="889"/>
      <c r="I818" s="889"/>
      <c r="J818" s="889"/>
      <c r="K818" s="889"/>
      <c r="L818" s="889"/>
      <c r="M818" s="889"/>
      <c r="N818" s="944"/>
      <c r="O818" s="944"/>
      <c r="P818" s="944"/>
      <c r="Q818" s="944"/>
      <c r="R818" s="944"/>
      <c r="S818" s="889"/>
      <c r="T818" s="889"/>
      <c r="U818" s="889"/>
      <c r="V818" s="889"/>
      <c r="W818" s="889"/>
      <c r="X818" s="889"/>
      <c r="Y818" s="889"/>
      <c r="Z818" s="889"/>
      <c r="AA818" s="889"/>
      <c r="AB818" s="889"/>
      <c r="AC818" s="889"/>
      <c r="AD818" s="889"/>
      <c r="AE818" s="889"/>
      <c r="AF818" s="889"/>
      <c r="AG818" s="889"/>
      <c r="AH818" s="889"/>
      <c r="AI818" s="889"/>
      <c r="AJ818" s="889"/>
      <c r="AK818" s="889"/>
      <c r="AL818" s="889"/>
      <c r="AM818" s="889"/>
      <c r="AN818" s="889"/>
      <c r="AO818" s="889"/>
      <c r="AP818" s="889"/>
      <c r="AQ818" s="889"/>
      <c r="AR818" s="889"/>
      <c r="AS818" s="889"/>
      <c r="AT818" s="889"/>
      <c r="AU818" s="889"/>
      <c r="AV818" s="889"/>
      <c r="AW818" s="889"/>
      <c r="AX818" s="889"/>
      <c r="AY818" s="889"/>
      <c r="AZ818" s="889"/>
    </row>
    <row r="819">
      <c r="A819" s="889"/>
      <c r="B819" s="889"/>
      <c r="C819" s="889"/>
      <c r="D819" s="889"/>
      <c r="E819" s="889"/>
      <c r="F819" s="889"/>
      <c r="G819" s="889"/>
      <c r="H819" s="889"/>
      <c r="I819" s="889"/>
      <c r="J819" s="889"/>
      <c r="K819" s="889"/>
      <c r="L819" s="889"/>
      <c r="M819" s="889"/>
      <c r="N819" s="944"/>
      <c r="O819" s="944"/>
      <c r="P819" s="944"/>
      <c r="Q819" s="944"/>
      <c r="R819" s="944"/>
      <c r="S819" s="889"/>
      <c r="T819" s="889"/>
      <c r="U819" s="889"/>
      <c r="V819" s="889"/>
      <c r="W819" s="889"/>
      <c r="X819" s="889"/>
      <c r="Y819" s="889"/>
      <c r="Z819" s="889"/>
      <c r="AA819" s="889"/>
      <c r="AB819" s="889"/>
      <c r="AC819" s="889"/>
      <c r="AD819" s="889"/>
      <c r="AE819" s="889"/>
      <c r="AF819" s="889"/>
      <c r="AG819" s="889"/>
      <c r="AH819" s="889"/>
      <c r="AI819" s="889"/>
      <c r="AJ819" s="889"/>
      <c r="AK819" s="889"/>
      <c r="AL819" s="889"/>
      <c r="AM819" s="889"/>
      <c r="AN819" s="889"/>
      <c r="AO819" s="889"/>
      <c r="AP819" s="889"/>
      <c r="AQ819" s="889"/>
      <c r="AR819" s="889"/>
      <c r="AS819" s="889"/>
      <c r="AT819" s="889"/>
      <c r="AU819" s="889"/>
      <c r="AV819" s="889"/>
      <c r="AW819" s="889"/>
      <c r="AX819" s="889"/>
      <c r="AY819" s="889"/>
      <c r="AZ819" s="889"/>
    </row>
    <row r="820">
      <c r="A820" s="889"/>
      <c r="B820" s="889"/>
      <c r="C820" s="889"/>
      <c r="D820" s="889"/>
      <c r="E820" s="889"/>
      <c r="F820" s="889"/>
      <c r="G820" s="889"/>
      <c r="H820" s="889"/>
      <c r="I820" s="889"/>
      <c r="J820" s="889"/>
      <c r="K820" s="889"/>
      <c r="L820" s="889"/>
      <c r="M820" s="889"/>
      <c r="N820" s="944"/>
      <c r="O820" s="944"/>
      <c r="P820" s="944"/>
      <c r="Q820" s="944"/>
      <c r="R820" s="944"/>
      <c r="S820" s="889"/>
      <c r="T820" s="889"/>
      <c r="U820" s="889"/>
      <c r="V820" s="889"/>
      <c r="W820" s="889"/>
      <c r="X820" s="889"/>
      <c r="Y820" s="889"/>
      <c r="Z820" s="889"/>
      <c r="AA820" s="889"/>
      <c r="AB820" s="889"/>
      <c r="AC820" s="889"/>
      <c r="AD820" s="889"/>
      <c r="AE820" s="889"/>
      <c r="AF820" s="889"/>
      <c r="AG820" s="889"/>
      <c r="AH820" s="889"/>
      <c r="AI820" s="889"/>
      <c r="AJ820" s="889"/>
      <c r="AK820" s="889"/>
      <c r="AL820" s="889"/>
      <c r="AM820" s="889"/>
      <c r="AN820" s="889"/>
      <c r="AO820" s="889"/>
      <c r="AP820" s="889"/>
      <c r="AQ820" s="889"/>
      <c r="AR820" s="889"/>
      <c r="AS820" s="889"/>
      <c r="AT820" s="889"/>
      <c r="AU820" s="889"/>
      <c r="AV820" s="889"/>
      <c r="AW820" s="889"/>
      <c r="AX820" s="889"/>
      <c r="AY820" s="889"/>
      <c r="AZ820" s="889"/>
    </row>
    <row r="821">
      <c r="A821" s="889"/>
      <c r="B821" s="889"/>
      <c r="C821" s="889"/>
      <c r="D821" s="889"/>
      <c r="E821" s="889"/>
      <c r="F821" s="889"/>
      <c r="G821" s="889"/>
      <c r="H821" s="889"/>
      <c r="I821" s="889"/>
      <c r="J821" s="889"/>
      <c r="K821" s="889"/>
      <c r="L821" s="889"/>
      <c r="M821" s="889"/>
      <c r="N821" s="944"/>
      <c r="O821" s="944"/>
      <c r="P821" s="944"/>
      <c r="Q821" s="944"/>
      <c r="R821" s="944"/>
      <c r="S821" s="889"/>
      <c r="T821" s="889"/>
      <c r="U821" s="889"/>
      <c r="V821" s="889"/>
      <c r="W821" s="889"/>
      <c r="X821" s="889"/>
      <c r="Y821" s="889"/>
      <c r="Z821" s="889"/>
      <c r="AA821" s="889"/>
      <c r="AB821" s="889"/>
      <c r="AC821" s="889"/>
      <c r="AD821" s="889"/>
      <c r="AE821" s="889"/>
      <c r="AF821" s="889"/>
      <c r="AG821" s="889"/>
      <c r="AH821" s="889"/>
      <c r="AI821" s="889"/>
      <c r="AJ821" s="889"/>
      <c r="AK821" s="889"/>
      <c r="AL821" s="889"/>
      <c r="AM821" s="889"/>
      <c r="AN821" s="889"/>
      <c r="AO821" s="889"/>
      <c r="AP821" s="889"/>
      <c r="AQ821" s="889"/>
      <c r="AR821" s="889"/>
      <c r="AS821" s="889"/>
      <c r="AT821" s="889"/>
      <c r="AU821" s="889"/>
      <c r="AV821" s="889"/>
      <c r="AW821" s="889"/>
      <c r="AX821" s="889"/>
      <c r="AY821" s="889"/>
      <c r="AZ821" s="889"/>
    </row>
    <row r="822">
      <c r="A822" s="889"/>
      <c r="B822" s="889"/>
      <c r="C822" s="889"/>
      <c r="D822" s="889"/>
      <c r="E822" s="889"/>
      <c r="F822" s="889"/>
      <c r="G822" s="889"/>
      <c r="H822" s="889"/>
      <c r="I822" s="889"/>
      <c r="J822" s="889"/>
      <c r="K822" s="889"/>
      <c r="L822" s="889"/>
      <c r="M822" s="889"/>
      <c r="N822" s="944"/>
      <c r="O822" s="944"/>
      <c r="P822" s="944"/>
      <c r="Q822" s="944"/>
      <c r="R822" s="944"/>
      <c r="S822" s="889"/>
      <c r="T822" s="889"/>
      <c r="U822" s="889"/>
      <c r="V822" s="889"/>
      <c r="W822" s="889"/>
      <c r="X822" s="889"/>
      <c r="Y822" s="889"/>
      <c r="Z822" s="889"/>
      <c r="AA822" s="889"/>
      <c r="AB822" s="889"/>
      <c r="AC822" s="889"/>
      <c r="AD822" s="889"/>
      <c r="AE822" s="889"/>
      <c r="AF822" s="889"/>
      <c r="AG822" s="889"/>
      <c r="AH822" s="889"/>
      <c r="AI822" s="889"/>
      <c r="AJ822" s="889"/>
      <c r="AK822" s="889"/>
      <c r="AL822" s="889"/>
      <c r="AM822" s="889"/>
      <c r="AN822" s="889"/>
      <c r="AO822" s="889"/>
      <c r="AP822" s="889"/>
      <c r="AQ822" s="889"/>
      <c r="AR822" s="889"/>
      <c r="AS822" s="889"/>
      <c r="AT822" s="889"/>
      <c r="AU822" s="889"/>
      <c r="AV822" s="889"/>
      <c r="AW822" s="889"/>
      <c r="AX822" s="889"/>
      <c r="AY822" s="889"/>
      <c r="AZ822" s="889"/>
    </row>
    <row r="823">
      <c r="A823" s="889"/>
      <c r="B823" s="889"/>
      <c r="C823" s="889"/>
      <c r="D823" s="889"/>
      <c r="E823" s="889"/>
      <c r="F823" s="889"/>
      <c r="G823" s="889"/>
      <c r="H823" s="889"/>
      <c r="I823" s="889"/>
      <c r="J823" s="889"/>
      <c r="K823" s="889"/>
      <c r="L823" s="889"/>
      <c r="M823" s="889"/>
      <c r="N823" s="944"/>
      <c r="O823" s="944"/>
      <c r="P823" s="944"/>
      <c r="Q823" s="944"/>
      <c r="R823" s="944"/>
      <c r="S823" s="889"/>
      <c r="T823" s="889"/>
      <c r="U823" s="889"/>
      <c r="V823" s="889"/>
      <c r="W823" s="889"/>
      <c r="X823" s="889"/>
      <c r="Y823" s="889"/>
      <c r="Z823" s="889"/>
      <c r="AA823" s="889"/>
      <c r="AB823" s="889"/>
      <c r="AC823" s="889"/>
      <c r="AD823" s="889"/>
      <c r="AE823" s="889"/>
      <c r="AF823" s="889"/>
      <c r="AG823" s="889"/>
      <c r="AH823" s="889"/>
      <c r="AI823" s="889"/>
      <c r="AJ823" s="889"/>
      <c r="AK823" s="889"/>
      <c r="AL823" s="889"/>
      <c r="AM823" s="889"/>
      <c r="AN823" s="889"/>
      <c r="AO823" s="889"/>
      <c r="AP823" s="889"/>
      <c r="AQ823" s="889"/>
      <c r="AR823" s="889"/>
      <c r="AS823" s="889"/>
      <c r="AT823" s="889"/>
      <c r="AU823" s="889"/>
      <c r="AV823" s="889"/>
      <c r="AW823" s="889"/>
      <c r="AX823" s="889"/>
      <c r="AY823" s="889"/>
      <c r="AZ823" s="889"/>
    </row>
    <row r="824">
      <c r="A824" s="889"/>
      <c r="B824" s="889"/>
      <c r="C824" s="889"/>
      <c r="D824" s="889"/>
      <c r="E824" s="889"/>
      <c r="F824" s="889"/>
      <c r="G824" s="889"/>
      <c r="H824" s="889"/>
      <c r="I824" s="889"/>
      <c r="J824" s="889"/>
      <c r="K824" s="889"/>
      <c r="L824" s="889"/>
      <c r="M824" s="889"/>
      <c r="N824" s="944"/>
      <c r="O824" s="944"/>
      <c r="P824" s="944"/>
      <c r="Q824" s="944"/>
      <c r="R824" s="944"/>
      <c r="S824" s="889"/>
      <c r="T824" s="889"/>
      <c r="U824" s="889"/>
      <c r="V824" s="889"/>
      <c r="W824" s="889"/>
      <c r="X824" s="889"/>
      <c r="Y824" s="889"/>
      <c r="Z824" s="889"/>
      <c r="AA824" s="889"/>
      <c r="AB824" s="889"/>
      <c r="AC824" s="889"/>
      <c r="AD824" s="889"/>
      <c r="AE824" s="889"/>
      <c r="AF824" s="889"/>
      <c r="AG824" s="889"/>
      <c r="AH824" s="889"/>
      <c r="AI824" s="889"/>
      <c r="AJ824" s="889"/>
      <c r="AK824" s="889"/>
      <c r="AL824" s="889"/>
      <c r="AM824" s="889"/>
      <c r="AN824" s="889"/>
      <c r="AO824" s="889"/>
      <c r="AP824" s="889"/>
      <c r="AQ824" s="889"/>
      <c r="AR824" s="889"/>
      <c r="AS824" s="889"/>
      <c r="AT824" s="889"/>
      <c r="AU824" s="889"/>
      <c r="AV824" s="889"/>
      <c r="AW824" s="889"/>
      <c r="AX824" s="889"/>
      <c r="AY824" s="889"/>
      <c r="AZ824" s="889"/>
    </row>
    <row r="825">
      <c r="A825" s="889"/>
      <c r="B825" s="889"/>
      <c r="C825" s="889"/>
      <c r="D825" s="889"/>
      <c r="E825" s="889"/>
      <c r="F825" s="889"/>
      <c r="G825" s="889"/>
      <c r="H825" s="889"/>
      <c r="I825" s="889"/>
      <c r="J825" s="889"/>
      <c r="K825" s="889"/>
      <c r="L825" s="889"/>
      <c r="M825" s="889"/>
      <c r="N825" s="944"/>
      <c r="O825" s="944"/>
      <c r="P825" s="944"/>
      <c r="Q825" s="944"/>
      <c r="R825" s="944"/>
      <c r="S825" s="889"/>
      <c r="T825" s="889"/>
      <c r="U825" s="889"/>
      <c r="V825" s="889"/>
      <c r="W825" s="889"/>
      <c r="X825" s="889"/>
      <c r="Y825" s="889"/>
      <c r="Z825" s="889"/>
      <c r="AA825" s="889"/>
      <c r="AB825" s="889"/>
      <c r="AC825" s="889"/>
      <c r="AD825" s="889"/>
      <c r="AE825" s="889"/>
      <c r="AF825" s="889"/>
      <c r="AG825" s="889"/>
      <c r="AH825" s="889"/>
      <c r="AI825" s="889"/>
      <c r="AJ825" s="889"/>
      <c r="AK825" s="889"/>
      <c r="AL825" s="889"/>
      <c r="AM825" s="889"/>
      <c r="AN825" s="889"/>
      <c r="AO825" s="889"/>
      <c r="AP825" s="889"/>
      <c r="AQ825" s="889"/>
      <c r="AR825" s="889"/>
      <c r="AS825" s="889"/>
      <c r="AT825" s="889"/>
      <c r="AU825" s="889"/>
      <c r="AV825" s="889"/>
      <c r="AW825" s="889"/>
      <c r="AX825" s="889"/>
      <c r="AY825" s="889"/>
      <c r="AZ825" s="889"/>
    </row>
    <row r="826">
      <c r="A826" s="889"/>
      <c r="B826" s="889"/>
      <c r="C826" s="889"/>
      <c r="D826" s="889"/>
      <c r="E826" s="889"/>
      <c r="F826" s="889"/>
      <c r="G826" s="889"/>
      <c r="H826" s="889"/>
      <c r="I826" s="889"/>
      <c r="J826" s="889"/>
      <c r="K826" s="889"/>
      <c r="L826" s="889"/>
      <c r="M826" s="889"/>
      <c r="N826" s="944"/>
      <c r="O826" s="944"/>
      <c r="P826" s="944"/>
      <c r="Q826" s="944"/>
      <c r="R826" s="944"/>
      <c r="S826" s="889"/>
      <c r="T826" s="889"/>
      <c r="U826" s="889"/>
      <c r="V826" s="889"/>
      <c r="W826" s="889"/>
      <c r="X826" s="889"/>
      <c r="Y826" s="889"/>
      <c r="Z826" s="889"/>
      <c r="AA826" s="889"/>
      <c r="AB826" s="889"/>
      <c r="AC826" s="889"/>
      <c r="AD826" s="889"/>
      <c r="AE826" s="889"/>
      <c r="AF826" s="889"/>
      <c r="AG826" s="889"/>
      <c r="AH826" s="889"/>
      <c r="AI826" s="889"/>
      <c r="AJ826" s="889"/>
      <c r="AK826" s="889"/>
      <c r="AL826" s="889"/>
      <c r="AM826" s="889"/>
      <c r="AN826" s="889"/>
      <c r="AO826" s="889"/>
      <c r="AP826" s="889"/>
      <c r="AQ826" s="889"/>
      <c r="AR826" s="889"/>
      <c r="AS826" s="889"/>
      <c r="AT826" s="889"/>
      <c r="AU826" s="889"/>
      <c r="AV826" s="889"/>
      <c r="AW826" s="889"/>
      <c r="AX826" s="889"/>
      <c r="AY826" s="889"/>
      <c r="AZ826" s="889"/>
    </row>
    <row r="827">
      <c r="A827" s="889"/>
      <c r="B827" s="889"/>
      <c r="C827" s="889"/>
      <c r="D827" s="889"/>
      <c r="E827" s="889"/>
      <c r="F827" s="889"/>
      <c r="G827" s="889"/>
      <c r="H827" s="889"/>
      <c r="I827" s="889"/>
      <c r="J827" s="889"/>
      <c r="K827" s="889"/>
      <c r="L827" s="889"/>
      <c r="M827" s="889"/>
      <c r="N827" s="944"/>
      <c r="O827" s="944"/>
      <c r="P827" s="944"/>
      <c r="Q827" s="944"/>
      <c r="R827" s="944"/>
      <c r="S827" s="889"/>
      <c r="T827" s="889"/>
      <c r="U827" s="889"/>
      <c r="V827" s="889"/>
      <c r="W827" s="889"/>
      <c r="X827" s="889"/>
      <c r="Y827" s="889"/>
      <c r="Z827" s="889"/>
      <c r="AA827" s="889"/>
      <c r="AB827" s="889"/>
      <c r="AC827" s="889"/>
      <c r="AD827" s="889"/>
      <c r="AE827" s="889"/>
      <c r="AF827" s="889"/>
      <c r="AG827" s="889"/>
      <c r="AH827" s="889"/>
      <c r="AI827" s="889"/>
      <c r="AJ827" s="889"/>
      <c r="AK827" s="889"/>
      <c r="AL827" s="889"/>
      <c r="AM827" s="889"/>
      <c r="AN827" s="889"/>
      <c r="AO827" s="889"/>
      <c r="AP827" s="889"/>
      <c r="AQ827" s="889"/>
      <c r="AR827" s="889"/>
      <c r="AS827" s="889"/>
      <c r="AT827" s="889"/>
      <c r="AU827" s="889"/>
      <c r="AV827" s="889"/>
      <c r="AW827" s="889"/>
      <c r="AX827" s="889"/>
      <c r="AY827" s="889"/>
      <c r="AZ827" s="889"/>
    </row>
    <row r="828">
      <c r="A828" s="889"/>
      <c r="B828" s="889"/>
      <c r="C828" s="889"/>
      <c r="D828" s="889"/>
      <c r="E828" s="889"/>
      <c r="F828" s="889"/>
      <c r="G828" s="889"/>
      <c r="H828" s="889"/>
      <c r="I828" s="889"/>
      <c r="J828" s="889"/>
      <c r="K828" s="889"/>
      <c r="L828" s="889"/>
      <c r="M828" s="889"/>
      <c r="N828" s="944"/>
      <c r="O828" s="944"/>
      <c r="P828" s="944"/>
      <c r="Q828" s="944"/>
      <c r="R828" s="944"/>
      <c r="S828" s="889"/>
      <c r="T828" s="889"/>
      <c r="U828" s="889"/>
      <c r="V828" s="889"/>
      <c r="W828" s="889"/>
      <c r="X828" s="889"/>
      <c r="Y828" s="889"/>
      <c r="Z828" s="889"/>
      <c r="AA828" s="889"/>
      <c r="AB828" s="889"/>
      <c r="AC828" s="889"/>
      <c r="AD828" s="889"/>
      <c r="AE828" s="889"/>
      <c r="AF828" s="889"/>
      <c r="AG828" s="889"/>
      <c r="AH828" s="889"/>
      <c r="AI828" s="889"/>
      <c r="AJ828" s="889"/>
      <c r="AK828" s="889"/>
      <c r="AL828" s="889"/>
      <c r="AM828" s="889"/>
      <c r="AN828" s="889"/>
      <c r="AO828" s="889"/>
      <c r="AP828" s="889"/>
      <c r="AQ828" s="889"/>
      <c r="AR828" s="889"/>
      <c r="AS828" s="889"/>
      <c r="AT828" s="889"/>
      <c r="AU828" s="889"/>
      <c r="AV828" s="889"/>
      <c r="AW828" s="889"/>
      <c r="AX828" s="889"/>
      <c r="AY828" s="889"/>
      <c r="AZ828" s="889"/>
    </row>
    <row r="829">
      <c r="A829" s="889"/>
      <c r="B829" s="889"/>
      <c r="C829" s="889"/>
      <c r="D829" s="889"/>
      <c r="E829" s="889"/>
      <c r="F829" s="889"/>
      <c r="G829" s="889"/>
      <c r="H829" s="889"/>
      <c r="I829" s="889"/>
      <c r="J829" s="889"/>
      <c r="K829" s="889"/>
      <c r="L829" s="889"/>
      <c r="M829" s="889"/>
      <c r="N829" s="944"/>
      <c r="O829" s="944"/>
      <c r="P829" s="944"/>
      <c r="Q829" s="944"/>
      <c r="R829" s="944"/>
      <c r="S829" s="889"/>
      <c r="T829" s="889"/>
      <c r="U829" s="889"/>
      <c r="V829" s="889"/>
      <c r="W829" s="889"/>
      <c r="X829" s="889"/>
      <c r="Y829" s="889"/>
      <c r="Z829" s="889"/>
      <c r="AA829" s="889"/>
      <c r="AB829" s="889"/>
      <c r="AC829" s="889"/>
      <c r="AD829" s="889"/>
      <c r="AE829" s="889"/>
      <c r="AF829" s="889"/>
      <c r="AG829" s="889"/>
      <c r="AH829" s="889"/>
      <c r="AI829" s="889"/>
      <c r="AJ829" s="889"/>
      <c r="AK829" s="889"/>
      <c r="AL829" s="889"/>
      <c r="AM829" s="889"/>
      <c r="AN829" s="889"/>
      <c r="AO829" s="889"/>
      <c r="AP829" s="889"/>
      <c r="AQ829" s="889"/>
      <c r="AR829" s="889"/>
      <c r="AS829" s="889"/>
      <c r="AT829" s="889"/>
      <c r="AU829" s="889"/>
      <c r="AV829" s="889"/>
      <c r="AW829" s="889"/>
      <c r="AX829" s="889"/>
      <c r="AY829" s="889"/>
      <c r="AZ829" s="889"/>
    </row>
    <row r="830">
      <c r="A830" s="889"/>
      <c r="B830" s="889"/>
      <c r="C830" s="889"/>
      <c r="D830" s="889"/>
      <c r="E830" s="889"/>
      <c r="F830" s="889"/>
      <c r="G830" s="889"/>
      <c r="H830" s="889"/>
      <c r="I830" s="889"/>
      <c r="J830" s="889"/>
      <c r="K830" s="889"/>
      <c r="L830" s="889"/>
      <c r="M830" s="889"/>
      <c r="N830" s="944"/>
      <c r="O830" s="944"/>
      <c r="P830" s="944"/>
      <c r="Q830" s="944"/>
      <c r="R830" s="944"/>
      <c r="S830" s="889"/>
      <c r="T830" s="889"/>
      <c r="U830" s="889"/>
      <c r="V830" s="889"/>
      <c r="W830" s="889"/>
      <c r="X830" s="889"/>
      <c r="Y830" s="889"/>
      <c r="Z830" s="889"/>
      <c r="AA830" s="889"/>
      <c r="AB830" s="889"/>
      <c r="AC830" s="889"/>
      <c r="AD830" s="889"/>
      <c r="AE830" s="889"/>
      <c r="AF830" s="889"/>
      <c r="AG830" s="889"/>
      <c r="AH830" s="889"/>
      <c r="AI830" s="889"/>
      <c r="AJ830" s="889"/>
      <c r="AK830" s="889"/>
      <c r="AL830" s="889"/>
      <c r="AM830" s="889"/>
      <c r="AN830" s="889"/>
      <c r="AO830" s="889"/>
      <c r="AP830" s="889"/>
      <c r="AQ830" s="889"/>
      <c r="AR830" s="889"/>
      <c r="AS830" s="889"/>
      <c r="AT830" s="889"/>
      <c r="AU830" s="889"/>
      <c r="AV830" s="889"/>
      <c r="AW830" s="889"/>
      <c r="AX830" s="889"/>
      <c r="AY830" s="889"/>
      <c r="AZ830" s="889"/>
    </row>
    <row r="831">
      <c r="A831" s="889"/>
      <c r="B831" s="889"/>
      <c r="C831" s="889"/>
      <c r="D831" s="889"/>
      <c r="E831" s="889"/>
      <c r="F831" s="889"/>
      <c r="G831" s="889"/>
      <c r="H831" s="889"/>
      <c r="I831" s="889"/>
      <c r="J831" s="889"/>
      <c r="K831" s="889"/>
      <c r="L831" s="889"/>
      <c r="M831" s="889"/>
      <c r="N831" s="944"/>
      <c r="O831" s="944"/>
      <c r="P831" s="944"/>
      <c r="Q831" s="944"/>
      <c r="R831" s="944"/>
      <c r="S831" s="889"/>
      <c r="T831" s="889"/>
      <c r="U831" s="889"/>
      <c r="V831" s="889"/>
      <c r="W831" s="889"/>
      <c r="X831" s="889"/>
      <c r="Y831" s="889"/>
      <c r="Z831" s="889"/>
      <c r="AA831" s="889"/>
      <c r="AB831" s="889"/>
      <c r="AC831" s="889"/>
      <c r="AD831" s="889"/>
      <c r="AE831" s="889"/>
      <c r="AF831" s="889"/>
      <c r="AG831" s="889"/>
      <c r="AH831" s="889"/>
      <c r="AI831" s="889"/>
      <c r="AJ831" s="889"/>
      <c r="AK831" s="889"/>
      <c r="AL831" s="889"/>
      <c r="AM831" s="889"/>
      <c r="AN831" s="889"/>
      <c r="AO831" s="889"/>
      <c r="AP831" s="889"/>
      <c r="AQ831" s="889"/>
      <c r="AR831" s="889"/>
      <c r="AS831" s="889"/>
      <c r="AT831" s="889"/>
      <c r="AU831" s="889"/>
      <c r="AV831" s="889"/>
      <c r="AW831" s="889"/>
      <c r="AX831" s="889"/>
      <c r="AY831" s="889"/>
      <c r="AZ831" s="889"/>
    </row>
    <row r="832">
      <c r="A832" s="889"/>
      <c r="B832" s="889"/>
      <c r="C832" s="889"/>
      <c r="D832" s="889"/>
      <c r="E832" s="889"/>
      <c r="F832" s="889"/>
      <c r="G832" s="889"/>
      <c r="H832" s="889"/>
      <c r="I832" s="889"/>
      <c r="J832" s="889"/>
      <c r="K832" s="889"/>
      <c r="L832" s="889"/>
      <c r="M832" s="889"/>
      <c r="N832" s="944"/>
      <c r="O832" s="944"/>
      <c r="P832" s="944"/>
      <c r="Q832" s="944"/>
      <c r="R832" s="944"/>
      <c r="S832" s="889"/>
      <c r="T832" s="889"/>
      <c r="U832" s="889"/>
      <c r="V832" s="889"/>
      <c r="W832" s="889"/>
      <c r="X832" s="889"/>
      <c r="Y832" s="889"/>
      <c r="Z832" s="889"/>
      <c r="AA832" s="889"/>
      <c r="AB832" s="889"/>
      <c r="AC832" s="889"/>
      <c r="AD832" s="889"/>
      <c r="AE832" s="889"/>
      <c r="AF832" s="889"/>
      <c r="AG832" s="889"/>
      <c r="AH832" s="889"/>
      <c r="AI832" s="889"/>
      <c r="AJ832" s="889"/>
      <c r="AK832" s="889"/>
      <c r="AL832" s="889"/>
      <c r="AM832" s="889"/>
      <c r="AN832" s="889"/>
      <c r="AO832" s="889"/>
      <c r="AP832" s="889"/>
      <c r="AQ832" s="889"/>
      <c r="AR832" s="889"/>
      <c r="AS832" s="889"/>
      <c r="AT832" s="889"/>
      <c r="AU832" s="889"/>
      <c r="AV832" s="889"/>
      <c r="AW832" s="889"/>
      <c r="AX832" s="889"/>
      <c r="AY832" s="889"/>
      <c r="AZ832" s="889"/>
    </row>
    <row r="833">
      <c r="A833" s="889"/>
      <c r="B833" s="889"/>
      <c r="C833" s="889"/>
      <c r="D833" s="889"/>
      <c r="E833" s="889"/>
      <c r="F833" s="889"/>
      <c r="G833" s="889"/>
      <c r="H833" s="889"/>
      <c r="I833" s="889"/>
      <c r="J833" s="889"/>
      <c r="K833" s="889"/>
      <c r="L833" s="889"/>
      <c r="M833" s="889"/>
      <c r="N833" s="944"/>
      <c r="O833" s="944"/>
      <c r="P833" s="944"/>
      <c r="Q833" s="944"/>
      <c r="R833" s="944"/>
      <c r="S833" s="889"/>
      <c r="T833" s="889"/>
      <c r="U833" s="889"/>
      <c r="V833" s="889"/>
      <c r="W833" s="889"/>
      <c r="X833" s="889"/>
      <c r="Y833" s="889"/>
      <c r="Z833" s="889"/>
      <c r="AA833" s="889"/>
      <c r="AB833" s="889"/>
      <c r="AC833" s="889"/>
      <c r="AD833" s="889"/>
      <c r="AE833" s="889"/>
      <c r="AF833" s="889"/>
      <c r="AG833" s="889"/>
      <c r="AH833" s="889"/>
      <c r="AI833" s="889"/>
      <c r="AJ833" s="889"/>
      <c r="AK833" s="889"/>
      <c r="AL833" s="889"/>
      <c r="AM833" s="889"/>
      <c r="AN833" s="889"/>
      <c r="AO833" s="889"/>
      <c r="AP833" s="889"/>
      <c r="AQ833" s="889"/>
      <c r="AR833" s="889"/>
      <c r="AS833" s="889"/>
      <c r="AT833" s="889"/>
      <c r="AU833" s="889"/>
      <c r="AV833" s="889"/>
      <c r="AW833" s="889"/>
      <c r="AX833" s="889"/>
      <c r="AY833" s="889"/>
      <c r="AZ833" s="889"/>
    </row>
    <row r="834">
      <c r="A834" s="889"/>
      <c r="B834" s="889"/>
      <c r="C834" s="889"/>
      <c r="D834" s="889"/>
      <c r="E834" s="889"/>
      <c r="F834" s="889"/>
      <c r="G834" s="889"/>
      <c r="H834" s="889"/>
      <c r="I834" s="889"/>
      <c r="J834" s="889"/>
      <c r="K834" s="889"/>
      <c r="L834" s="889"/>
      <c r="M834" s="889"/>
      <c r="N834" s="944"/>
      <c r="O834" s="944"/>
      <c r="P834" s="944"/>
      <c r="Q834" s="944"/>
      <c r="R834" s="944"/>
      <c r="S834" s="889"/>
      <c r="T834" s="889"/>
      <c r="U834" s="889"/>
      <c r="V834" s="889"/>
      <c r="W834" s="889"/>
      <c r="X834" s="889"/>
      <c r="Y834" s="889"/>
      <c r="Z834" s="889"/>
      <c r="AA834" s="889"/>
      <c r="AB834" s="889"/>
      <c r="AC834" s="889"/>
      <c r="AD834" s="889"/>
      <c r="AE834" s="889"/>
      <c r="AF834" s="889"/>
      <c r="AG834" s="889"/>
      <c r="AH834" s="889"/>
      <c r="AI834" s="889"/>
      <c r="AJ834" s="889"/>
      <c r="AK834" s="889"/>
      <c r="AL834" s="889"/>
      <c r="AM834" s="889"/>
      <c r="AN834" s="889"/>
      <c r="AO834" s="889"/>
      <c r="AP834" s="889"/>
      <c r="AQ834" s="889"/>
      <c r="AR834" s="889"/>
      <c r="AS834" s="889"/>
      <c r="AT834" s="889"/>
      <c r="AU834" s="889"/>
      <c r="AV834" s="889"/>
      <c r="AW834" s="889"/>
      <c r="AX834" s="889"/>
      <c r="AY834" s="889"/>
      <c r="AZ834" s="889"/>
    </row>
    <row r="835">
      <c r="A835" s="889"/>
      <c r="B835" s="889"/>
      <c r="C835" s="889"/>
      <c r="D835" s="889"/>
      <c r="E835" s="889"/>
      <c r="F835" s="889"/>
      <c r="G835" s="889"/>
      <c r="H835" s="889"/>
      <c r="I835" s="889"/>
      <c r="J835" s="889"/>
      <c r="K835" s="889"/>
      <c r="L835" s="889"/>
      <c r="M835" s="889"/>
      <c r="N835" s="944"/>
      <c r="O835" s="944"/>
      <c r="P835" s="944"/>
      <c r="Q835" s="944"/>
      <c r="R835" s="944"/>
      <c r="S835" s="889"/>
      <c r="T835" s="889"/>
      <c r="U835" s="889"/>
      <c r="V835" s="889"/>
      <c r="W835" s="889"/>
      <c r="X835" s="889"/>
      <c r="Y835" s="889"/>
      <c r="Z835" s="889"/>
      <c r="AA835" s="889"/>
      <c r="AB835" s="889"/>
      <c r="AC835" s="889"/>
      <c r="AD835" s="889"/>
      <c r="AE835" s="889"/>
      <c r="AF835" s="889"/>
      <c r="AG835" s="889"/>
      <c r="AH835" s="889"/>
      <c r="AI835" s="889"/>
      <c r="AJ835" s="889"/>
      <c r="AK835" s="889"/>
      <c r="AL835" s="889"/>
      <c r="AM835" s="889"/>
      <c r="AN835" s="889"/>
      <c r="AO835" s="889"/>
      <c r="AP835" s="889"/>
      <c r="AQ835" s="889"/>
      <c r="AR835" s="889"/>
      <c r="AS835" s="889"/>
      <c r="AT835" s="889"/>
      <c r="AU835" s="889"/>
      <c r="AV835" s="889"/>
      <c r="AW835" s="889"/>
      <c r="AX835" s="889"/>
      <c r="AY835" s="889"/>
      <c r="AZ835" s="889"/>
    </row>
    <row r="836">
      <c r="A836" s="889"/>
      <c r="B836" s="889"/>
      <c r="C836" s="889"/>
      <c r="D836" s="889"/>
      <c r="E836" s="889"/>
      <c r="F836" s="889"/>
      <c r="G836" s="889"/>
      <c r="H836" s="889"/>
      <c r="I836" s="889"/>
      <c r="J836" s="889"/>
      <c r="K836" s="889"/>
      <c r="L836" s="889"/>
      <c r="M836" s="889"/>
      <c r="N836" s="944"/>
      <c r="O836" s="944"/>
      <c r="P836" s="944"/>
      <c r="Q836" s="944"/>
      <c r="R836" s="944"/>
      <c r="S836" s="889"/>
      <c r="T836" s="889"/>
      <c r="U836" s="889"/>
      <c r="V836" s="889"/>
      <c r="W836" s="889"/>
      <c r="X836" s="889"/>
      <c r="Y836" s="889"/>
      <c r="Z836" s="889"/>
      <c r="AA836" s="889"/>
      <c r="AB836" s="889"/>
      <c r="AC836" s="889"/>
      <c r="AD836" s="889"/>
      <c r="AE836" s="889"/>
      <c r="AF836" s="889"/>
      <c r="AG836" s="889"/>
      <c r="AH836" s="889"/>
      <c r="AI836" s="889"/>
      <c r="AJ836" s="889"/>
      <c r="AK836" s="889"/>
      <c r="AL836" s="889"/>
      <c r="AM836" s="889"/>
      <c r="AN836" s="889"/>
      <c r="AO836" s="889"/>
      <c r="AP836" s="889"/>
      <c r="AQ836" s="889"/>
      <c r="AR836" s="889"/>
      <c r="AS836" s="889"/>
      <c r="AT836" s="889"/>
      <c r="AU836" s="889"/>
      <c r="AV836" s="889"/>
      <c r="AW836" s="889"/>
      <c r="AX836" s="889"/>
      <c r="AY836" s="889"/>
      <c r="AZ836" s="889"/>
    </row>
    <row r="837">
      <c r="A837" s="889"/>
      <c r="B837" s="889"/>
      <c r="C837" s="889"/>
      <c r="D837" s="889"/>
      <c r="E837" s="889"/>
      <c r="F837" s="889"/>
      <c r="G837" s="889"/>
      <c r="H837" s="889"/>
      <c r="I837" s="889"/>
      <c r="J837" s="889"/>
      <c r="K837" s="889"/>
      <c r="L837" s="889"/>
      <c r="M837" s="889"/>
      <c r="N837" s="944"/>
      <c r="O837" s="944"/>
      <c r="P837" s="944"/>
      <c r="Q837" s="944"/>
      <c r="R837" s="944"/>
      <c r="S837" s="889"/>
      <c r="T837" s="889"/>
      <c r="U837" s="889"/>
      <c r="V837" s="889"/>
      <c r="W837" s="889"/>
      <c r="X837" s="889"/>
      <c r="Y837" s="889"/>
      <c r="Z837" s="889"/>
      <c r="AA837" s="889"/>
      <c r="AB837" s="889"/>
      <c r="AC837" s="889"/>
      <c r="AD837" s="889"/>
      <c r="AE837" s="889"/>
      <c r="AF837" s="889"/>
      <c r="AG837" s="889"/>
      <c r="AH837" s="889"/>
      <c r="AI837" s="889"/>
      <c r="AJ837" s="889"/>
      <c r="AK837" s="889"/>
      <c r="AL837" s="889"/>
      <c r="AM837" s="889"/>
      <c r="AN837" s="889"/>
      <c r="AO837" s="889"/>
      <c r="AP837" s="889"/>
      <c r="AQ837" s="889"/>
      <c r="AR837" s="889"/>
      <c r="AS837" s="889"/>
      <c r="AT837" s="889"/>
      <c r="AU837" s="889"/>
      <c r="AV837" s="889"/>
      <c r="AW837" s="889"/>
      <c r="AX837" s="889"/>
      <c r="AY837" s="889"/>
      <c r="AZ837" s="889"/>
    </row>
    <row r="838">
      <c r="A838" s="889"/>
      <c r="B838" s="889"/>
      <c r="C838" s="889"/>
      <c r="D838" s="889"/>
      <c r="E838" s="889"/>
      <c r="F838" s="889"/>
      <c r="G838" s="889"/>
      <c r="H838" s="889"/>
      <c r="I838" s="889"/>
      <c r="J838" s="889"/>
      <c r="K838" s="889"/>
      <c r="L838" s="889"/>
      <c r="M838" s="889"/>
      <c r="N838" s="944"/>
      <c r="O838" s="944"/>
      <c r="P838" s="944"/>
      <c r="Q838" s="944"/>
      <c r="R838" s="944"/>
      <c r="S838" s="889"/>
      <c r="T838" s="889"/>
      <c r="U838" s="889"/>
      <c r="V838" s="889"/>
      <c r="W838" s="889"/>
      <c r="X838" s="889"/>
      <c r="Y838" s="889"/>
      <c r="Z838" s="889"/>
      <c r="AA838" s="889"/>
      <c r="AB838" s="889"/>
      <c r="AC838" s="889"/>
      <c r="AD838" s="889"/>
      <c r="AE838" s="889"/>
      <c r="AF838" s="889"/>
      <c r="AG838" s="889"/>
      <c r="AH838" s="889"/>
      <c r="AI838" s="889"/>
      <c r="AJ838" s="889"/>
      <c r="AK838" s="889"/>
      <c r="AL838" s="889"/>
      <c r="AM838" s="889"/>
      <c r="AN838" s="889"/>
      <c r="AO838" s="889"/>
      <c r="AP838" s="889"/>
      <c r="AQ838" s="889"/>
      <c r="AR838" s="889"/>
      <c r="AS838" s="889"/>
      <c r="AT838" s="889"/>
      <c r="AU838" s="889"/>
      <c r="AV838" s="889"/>
      <c r="AW838" s="889"/>
      <c r="AX838" s="889"/>
      <c r="AY838" s="889"/>
      <c r="AZ838" s="889"/>
    </row>
    <row r="839">
      <c r="A839" s="889"/>
      <c r="B839" s="889"/>
      <c r="C839" s="889"/>
      <c r="D839" s="889"/>
      <c r="E839" s="889"/>
      <c r="F839" s="889"/>
      <c r="G839" s="889"/>
      <c r="H839" s="889"/>
      <c r="I839" s="889"/>
      <c r="J839" s="889"/>
      <c r="K839" s="889"/>
      <c r="L839" s="889"/>
      <c r="M839" s="889"/>
      <c r="N839" s="944"/>
      <c r="O839" s="944"/>
      <c r="P839" s="944"/>
      <c r="Q839" s="944"/>
      <c r="R839" s="944"/>
      <c r="S839" s="889"/>
      <c r="T839" s="889"/>
      <c r="U839" s="889"/>
      <c r="V839" s="889"/>
      <c r="W839" s="889"/>
      <c r="X839" s="889"/>
      <c r="Y839" s="889"/>
      <c r="Z839" s="889"/>
      <c r="AA839" s="889"/>
      <c r="AB839" s="889"/>
      <c r="AC839" s="889"/>
      <c r="AD839" s="889"/>
      <c r="AE839" s="889"/>
      <c r="AF839" s="889"/>
      <c r="AG839" s="889"/>
      <c r="AH839" s="889"/>
      <c r="AI839" s="889"/>
      <c r="AJ839" s="889"/>
      <c r="AK839" s="889"/>
      <c r="AL839" s="889"/>
      <c r="AM839" s="889"/>
      <c r="AN839" s="889"/>
      <c r="AO839" s="889"/>
      <c r="AP839" s="889"/>
      <c r="AQ839" s="889"/>
      <c r="AR839" s="889"/>
      <c r="AS839" s="889"/>
      <c r="AT839" s="889"/>
      <c r="AU839" s="889"/>
      <c r="AV839" s="889"/>
      <c r="AW839" s="889"/>
      <c r="AX839" s="889"/>
      <c r="AY839" s="889"/>
      <c r="AZ839" s="889"/>
    </row>
    <row r="840">
      <c r="A840" s="889"/>
      <c r="B840" s="889"/>
      <c r="C840" s="889"/>
      <c r="D840" s="889"/>
      <c r="E840" s="889"/>
      <c r="F840" s="889"/>
      <c r="G840" s="889"/>
      <c r="H840" s="889"/>
      <c r="I840" s="889"/>
      <c r="J840" s="889"/>
      <c r="K840" s="889"/>
      <c r="L840" s="889"/>
      <c r="M840" s="889"/>
      <c r="N840" s="944"/>
      <c r="O840" s="944"/>
      <c r="P840" s="944"/>
      <c r="Q840" s="944"/>
      <c r="R840" s="944"/>
      <c r="S840" s="889"/>
      <c r="T840" s="889"/>
      <c r="U840" s="889"/>
      <c r="V840" s="889"/>
      <c r="W840" s="889"/>
      <c r="X840" s="889"/>
      <c r="Y840" s="889"/>
      <c r="Z840" s="889"/>
      <c r="AA840" s="889"/>
      <c r="AB840" s="889"/>
      <c r="AC840" s="889"/>
      <c r="AD840" s="889"/>
      <c r="AE840" s="889"/>
      <c r="AF840" s="889"/>
      <c r="AG840" s="889"/>
      <c r="AH840" s="889"/>
      <c r="AI840" s="889"/>
      <c r="AJ840" s="889"/>
      <c r="AK840" s="889"/>
      <c r="AL840" s="889"/>
      <c r="AM840" s="889"/>
      <c r="AN840" s="889"/>
      <c r="AO840" s="889"/>
      <c r="AP840" s="889"/>
      <c r="AQ840" s="889"/>
      <c r="AR840" s="889"/>
      <c r="AS840" s="889"/>
      <c r="AT840" s="889"/>
      <c r="AU840" s="889"/>
      <c r="AV840" s="889"/>
      <c r="AW840" s="889"/>
      <c r="AX840" s="889"/>
      <c r="AY840" s="889"/>
      <c r="AZ840" s="889"/>
    </row>
    <row r="841">
      <c r="A841" s="889"/>
      <c r="B841" s="889"/>
      <c r="C841" s="889"/>
      <c r="D841" s="889"/>
      <c r="E841" s="889"/>
      <c r="F841" s="889"/>
      <c r="G841" s="889"/>
      <c r="H841" s="889"/>
      <c r="I841" s="889"/>
      <c r="J841" s="889"/>
      <c r="K841" s="889"/>
      <c r="L841" s="889"/>
      <c r="M841" s="889"/>
      <c r="N841" s="944"/>
      <c r="O841" s="944"/>
      <c r="P841" s="944"/>
      <c r="Q841" s="944"/>
      <c r="R841" s="944"/>
      <c r="S841" s="889"/>
      <c r="T841" s="889"/>
      <c r="U841" s="889"/>
      <c r="V841" s="889"/>
      <c r="W841" s="889"/>
      <c r="X841" s="889"/>
      <c r="Y841" s="889"/>
      <c r="Z841" s="889"/>
      <c r="AA841" s="889"/>
      <c r="AB841" s="889"/>
      <c r="AC841" s="889"/>
      <c r="AD841" s="889"/>
      <c r="AE841" s="889"/>
      <c r="AF841" s="889"/>
      <c r="AG841" s="889"/>
      <c r="AH841" s="889"/>
      <c r="AI841" s="889"/>
      <c r="AJ841" s="889"/>
      <c r="AK841" s="889"/>
      <c r="AL841" s="889"/>
      <c r="AM841" s="889"/>
      <c r="AN841" s="889"/>
      <c r="AO841" s="889"/>
      <c r="AP841" s="889"/>
      <c r="AQ841" s="889"/>
      <c r="AR841" s="889"/>
      <c r="AS841" s="889"/>
      <c r="AT841" s="889"/>
      <c r="AU841" s="889"/>
      <c r="AV841" s="889"/>
      <c r="AW841" s="889"/>
      <c r="AX841" s="889"/>
      <c r="AY841" s="889"/>
      <c r="AZ841" s="889"/>
    </row>
    <row r="842">
      <c r="A842" s="889"/>
      <c r="B842" s="889"/>
      <c r="C842" s="889"/>
      <c r="D842" s="889"/>
      <c r="E842" s="889"/>
      <c r="F842" s="889"/>
      <c r="G842" s="889"/>
      <c r="H842" s="889"/>
      <c r="I842" s="889"/>
      <c r="J842" s="889"/>
      <c r="K842" s="889"/>
      <c r="L842" s="889"/>
      <c r="M842" s="889"/>
      <c r="N842" s="944"/>
      <c r="O842" s="944"/>
      <c r="P842" s="944"/>
      <c r="Q842" s="944"/>
      <c r="R842" s="944"/>
      <c r="S842" s="889"/>
      <c r="T842" s="889"/>
      <c r="U842" s="889"/>
      <c r="V842" s="889"/>
      <c r="W842" s="889"/>
      <c r="X842" s="889"/>
      <c r="Y842" s="889"/>
      <c r="Z842" s="889"/>
      <c r="AA842" s="889"/>
      <c r="AB842" s="889"/>
      <c r="AC842" s="889"/>
      <c r="AD842" s="889"/>
      <c r="AE842" s="889"/>
      <c r="AF842" s="889"/>
      <c r="AG842" s="889"/>
      <c r="AH842" s="889"/>
      <c r="AI842" s="889"/>
      <c r="AJ842" s="889"/>
      <c r="AK842" s="889"/>
      <c r="AL842" s="889"/>
      <c r="AM842" s="889"/>
      <c r="AN842" s="889"/>
      <c r="AO842" s="889"/>
      <c r="AP842" s="889"/>
      <c r="AQ842" s="889"/>
      <c r="AR842" s="889"/>
      <c r="AS842" s="889"/>
      <c r="AT842" s="889"/>
      <c r="AU842" s="889"/>
      <c r="AV842" s="889"/>
      <c r="AW842" s="889"/>
      <c r="AX842" s="889"/>
      <c r="AY842" s="889"/>
      <c r="AZ842" s="889"/>
    </row>
    <row r="843">
      <c r="A843" s="889"/>
      <c r="B843" s="889"/>
      <c r="C843" s="889"/>
      <c r="D843" s="889"/>
      <c r="E843" s="889"/>
      <c r="F843" s="889"/>
      <c r="G843" s="889"/>
      <c r="H843" s="889"/>
      <c r="I843" s="889"/>
      <c r="J843" s="889"/>
      <c r="K843" s="889"/>
      <c r="L843" s="889"/>
      <c r="M843" s="889"/>
      <c r="N843" s="944"/>
      <c r="O843" s="944"/>
      <c r="P843" s="944"/>
      <c r="Q843" s="944"/>
      <c r="R843" s="944"/>
      <c r="S843" s="889"/>
      <c r="T843" s="889"/>
      <c r="U843" s="889"/>
      <c r="V843" s="889"/>
      <c r="W843" s="889"/>
      <c r="X843" s="889"/>
      <c r="Y843" s="889"/>
      <c r="Z843" s="889"/>
      <c r="AA843" s="889"/>
      <c r="AB843" s="889"/>
      <c r="AC843" s="889"/>
      <c r="AD843" s="889"/>
      <c r="AE843" s="889"/>
      <c r="AF843" s="889"/>
      <c r="AG843" s="889"/>
      <c r="AH843" s="889"/>
      <c r="AI843" s="889"/>
      <c r="AJ843" s="889"/>
      <c r="AK843" s="889"/>
      <c r="AL843" s="889"/>
      <c r="AM843" s="889"/>
      <c r="AN843" s="889"/>
      <c r="AO843" s="889"/>
      <c r="AP843" s="889"/>
      <c r="AQ843" s="889"/>
      <c r="AR843" s="889"/>
      <c r="AS843" s="889"/>
      <c r="AT843" s="889"/>
      <c r="AU843" s="889"/>
      <c r="AV843" s="889"/>
      <c r="AW843" s="889"/>
      <c r="AX843" s="889"/>
      <c r="AY843" s="889"/>
      <c r="AZ843" s="889"/>
    </row>
    <row r="844">
      <c r="A844" s="889"/>
      <c r="B844" s="889"/>
      <c r="C844" s="889"/>
      <c r="D844" s="889"/>
      <c r="E844" s="889"/>
      <c r="F844" s="889"/>
      <c r="G844" s="889"/>
      <c r="H844" s="889"/>
      <c r="I844" s="889"/>
      <c r="J844" s="889"/>
      <c r="K844" s="889"/>
      <c r="L844" s="889"/>
      <c r="M844" s="889"/>
      <c r="N844" s="944"/>
      <c r="O844" s="944"/>
      <c r="P844" s="944"/>
      <c r="Q844" s="944"/>
      <c r="R844" s="944"/>
      <c r="S844" s="889"/>
      <c r="T844" s="889"/>
      <c r="U844" s="889"/>
      <c r="V844" s="889"/>
      <c r="W844" s="889"/>
      <c r="X844" s="889"/>
      <c r="Y844" s="889"/>
      <c r="Z844" s="889"/>
      <c r="AA844" s="889"/>
      <c r="AB844" s="889"/>
      <c r="AC844" s="889"/>
      <c r="AD844" s="889"/>
      <c r="AE844" s="889"/>
      <c r="AF844" s="889"/>
      <c r="AG844" s="889"/>
      <c r="AH844" s="889"/>
      <c r="AI844" s="889"/>
      <c r="AJ844" s="889"/>
      <c r="AK844" s="889"/>
      <c r="AL844" s="889"/>
      <c r="AM844" s="889"/>
      <c r="AN844" s="889"/>
      <c r="AO844" s="889"/>
      <c r="AP844" s="889"/>
      <c r="AQ844" s="889"/>
      <c r="AR844" s="889"/>
      <c r="AS844" s="889"/>
      <c r="AT844" s="889"/>
      <c r="AU844" s="889"/>
      <c r="AV844" s="889"/>
      <c r="AW844" s="889"/>
      <c r="AX844" s="889"/>
      <c r="AY844" s="889"/>
      <c r="AZ844" s="889"/>
    </row>
    <row r="845">
      <c r="A845" s="889"/>
      <c r="B845" s="889"/>
      <c r="C845" s="889"/>
      <c r="D845" s="889"/>
      <c r="E845" s="889"/>
      <c r="F845" s="889"/>
      <c r="G845" s="889"/>
      <c r="H845" s="889"/>
      <c r="I845" s="889"/>
      <c r="J845" s="889"/>
      <c r="K845" s="889"/>
      <c r="L845" s="889"/>
      <c r="M845" s="889"/>
      <c r="N845" s="944"/>
      <c r="O845" s="944"/>
      <c r="P845" s="944"/>
      <c r="Q845" s="944"/>
      <c r="R845" s="944"/>
      <c r="S845" s="889"/>
      <c r="T845" s="889"/>
      <c r="U845" s="889"/>
      <c r="V845" s="889"/>
      <c r="W845" s="889"/>
      <c r="X845" s="889"/>
      <c r="Y845" s="889"/>
      <c r="Z845" s="889"/>
      <c r="AA845" s="889"/>
      <c r="AB845" s="889"/>
      <c r="AC845" s="889"/>
      <c r="AD845" s="889"/>
      <c r="AE845" s="889"/>
      <c r="AF845" s="889"/>
      <c r="AG845" s="889"/>
      <c r="AH845" s="889"/>
      <c r="AI845" s="889"/>
      <c r="AJ845" s="889"/>
      <c r="AK845" s="889"/>
      <c r="AL845" s="889"/>
      <c r="AM845" s="889"/>
      <c r="AN845" s="889"/>
      <c r="AO845" s="889"/>
      <c r="AP845" s="889"/>
      <c r="AQ845" s="889"/>
      <c r="AR845" s="889"/>
      <c r="AS845" s="889"/>
      <c r="AT845" s="889"/>
      <c r="AU845" s="889"/>
      <c r="AV845" s="889"/>
      <c r="AW845" s="889"/>
      <c r="AX845" s="889"/>
      <c r="AY845" s="889"/>
      <c r="AZ845" s="889"/>
    </row>
    <row r="846">
      <c r="A846" s="889"/>
      <c r="B846" s="889"/>
      <c r="C846" s="889"/>
      <c r="D846" s="889"/>
      <c r="E846" s="889"/>
      <c r="F846" s="889"/>
      <c r="G846" s="889"/>
      <c r="H846" s="889"/>
      <c r="I846" s="889"/>
      <c r="J846" s="889"/>
      <c r="K846" s="889"/>
      <c r="L846" s="889"/>
      <c r="M846" s="889"/>
      <c r="N846" s="944"/>
      <c r="O846" s="944"/>
      <c r="P846" s="944"/>
      <c r="Q846" s="944"/>
      <c r="R846" s="944"/>
      <c r="S846" s="889"/>
      <c r="T846" s="889"/>
      <c r="U846" s="889"/>
      <c r="V846" s="889"/>
      <c r="W846" s="889"/>
      <c r="X846" s="889"/>
      <c r="Y846" s="889"/>
      <c r="Z846" s="889"/>
      <c r="AA846" s="889"/>
      <c r="AB846" s="889"/>
      <c r="AC846" s="889"/>
      <c r="AD846" s="889"/>
      <c r="AE846" s="889"/>
      <c r="AF846" s="889"/>
      <c r="AG846" s="889"/>
      <c r="AH846" s="889"/>
      <c r="AI846" s="889"/>
      <c r="AJ846" s="889"/>
      <c r="AK846" s="889"/>
      <c r="AL846" s="889"/>
      <c r="AM846" s="889"/>
      <c r="AN846" s="889"/>
      <c r="AO846" s="889"/>
      <c r="AP846" s="889"/>
      <c r="AQ846" s="889"/>
      <c r="AR846" s="889"/>
      <c r="AS846" s="889"/>
      <c r="AT846" s="889"/>
      <c r="AU846" s="889"/>
      <c r="AV846" s="889"/>
      <c r="AW846" s="889"/>
      <c r="AX846" s="889"/>
      <c r="AY846" s="889"/>
      <c r="AZ846" s="889"/>
    </row>
    <row r="847">
      <c r="A847" s="889"/>
      <c r="B847" s="889"/>
      <c r="C847" s="889"/>
      <c r="D847" s="889"/>
      <c r="E847" s="889"/>
      <c r="F847" s="889"/>
      <c r="G847" s="889"/>
      <c r="H847" s="889"/>
      <c r="I847" s="889"/>
      <c r="J847" s="889"/>
      <c r="K847" s="889"/>
      <c r="L847" s="889"/>
      <c r="M847" s="889"/>
      <c r="N847" s="944"/>
      <c r="O847" s="944"/>
      <c r="P847" s="944"/>
      <c r="Q847" s="944"/>
      <c r="R847" s="944"/>
      <c r="S847" s="889"/>
      <c r="T847" s="889"/>
      <c r="U847" s="889"/>
      <c r="V847" s="889"/>
      <c r="W847" s="889"/>
      <c r="X847" s="889"/>
      <c r="Y847" s="889"/>
      <c r="Z847" s="889"/>
      <c r="AA847" s="889"/>
      <c r="AB847" s="889"/>
      <c r="AC847" s="889"/>
      <c r="AD847" s="889"/>
      <c r="AE847" s="889"/>
      <c r="AF847" s="889"/>
      <c r="AG847" s="889"/>
      <c r="AH847" s="889"/>
      <c r="AI847" s="889"/>
      <c r="AJ847" s="889"/>
      <c r="AK847" s="889"/>
      <c r="AL847" s="889"/>
      <c r="AM847" s="889"/>
      <c r="AN847" s="889"/>
      <c r="AO847" s="889"/>
      <c r="AP847" s="889"/>
      <c r="AQ847" s="889"/>
      <c r="AR847" s="889"/>
      <c r="AS847" s="889"/>
      <c r="AT847" s="889"/>
      <c r="AU847" s="889"/>
      <c r="AV847" s="889"/>
      <c r="AW847" s="889"/>
      <c r="AX847" s="889"/>
      <c r="AY847" s="889"/>
      <c r="AZ847" s="889"/>
    </row>
    <row r="848">
      <c r="A848" s="889"/>
      <c r="B848" s="889"/>
      <c r="C848" s="889"/>
      <c r="D848" s="889"/>
      <c r="E848" s="889"/>
      <c r="F848" s="889"/>
      <c r="G848" s="889"/>
      <c r="H848" s="889"/>
      <c r="I848" s="889"/>
      <c r="J848" s="889"/>
      <c r="K848" s="889"/>
      <c r="L848" s="889"/>
      <c r="M848" s="889"/>
      <c r="N848" s="944"/>
      <c r="O848" s="944"/>
      <c r="P848" s="944"/>
      <c r="Q848" s="944"/>
      <c r="R848" s="944"/>
      <c r="S848" s="889"/>
      <c r="T848" s="889"/>
      <c r="U848" s="889"/>
      <c r="V848" s="889"/>
      <c r="W848" s="889"/>
      <c r="X848" s="889"/>
      <c r="Y848" s="889"/>
      <c r="Z848" s="889"/>
      <c r="AA848" s="889"/>
      <c r="AB848" s="889"/>
      <c r="AC848" s="889"/>
      <c r="AD848" s="889"/>
      <c r="AE848" s="889"/>
      <c r="AF848" s="889"/>
      <c r="AG848" s="889"/>
      <c r="AH848" s="889"/>
      <c r="AI848" s="889"/>
      <c r="AJ848" s="889"/>
      <c r="AK848" s="889"/>
      <c r="AL848" s="889"/>
      <c r="AM848" s="889"/>
      <c r="AN848" s="889"/>
      <c r="AO848" s="889"/>
      <c r="AP848" s="889"/>
      <c r="AQ848" s="889"/>
      <c r="AR848" s="889"/>
      <c r="AS848" s="889"/>
      <c r="AT848" s="889"/>
      <c r="AU848" s="889"/>
      <c r="AV848" s="889"/>
      <c r="AW848" s="889"/>
      <c r="AX848" s="889"/>
      <c r="AY848" s="889"/>
      <c r="AZ848" s="889"/>
    </row>
    <row r="849">
      <c r="A849" s="889"/>
      <c r="B849" s="889"/>
      <c r="C849" s="889"/>
      <c r="D849" s="889"/>
      <c r="E849" s="889"/>
      <c r="F849" s="889"/>
      <c r="G849" s="889"/>
      <c r="H849" s="889"/>
      <c r="I849" s="889"/>
      <c r="J849" s="889"/>
      <c r="K849" s="889"/>
      <c r="L849" s="889"/>
      <c r="M849" s="889"/>
      <c r="N849" s="944"/>
      <c r="O849" s="944"/>
      <c r="P849" s="944"/>
      <c r="Q849" s="944"/>
      <c r="R849" s="944"/>
      <c r="S849" s="889"/>
      <c r="T849" s="889"/>
      <c r="U849" s="889"/>
      <c r="V849" s="889"/>
      <c r="W849" s="889"/>
      <c r="X849" s="889"/>
      <c r="Y849" s="889"/>
      <c r="Z849" s="889"/>
      <c r="AA849" s="889"/>
      <c r="AB849" s="889"/>
      <c r="AC849" s="889"/>
      <c r="AD849" s="889"/>
      <c r="AE849" s="889"/>
      <c r="AF849" s="889"/>
      <c r="AG849" s="889"/>
      <c r="AH849" s="889"/>
      <c r="AI849" s="889"/>
      <c r="AJ849" s="889"/>
      <c r="AK849" s="889"/>
      <c r="AL849" s="889"/>
      <c r="AM849" s="889"/>
      <c r="AN849" s="889"/>
      <c r="AO849" s="889"/>
      <c r="AP849" s="889"/>
      <c r="AQ849" s="889"/>
      <c r="AR849" s="889"/>
      <c r="AS849" s="889"/>
      <c r="AT849" s="889"/>
      <c r="AU849" s="889"/>
      <c r="AV849" s="889"/>
      <c r="AW849" s="889"/>
      <c r="AX849" s="889"/>
      <c r="AY849" s="889"/>
      <c r="AZ849" s="889"/>
    </row>
    <row r="850">
      <c r="A850" s="889"/>
      <c r="B850" s="889"/>
      <c r="C850" s="889"/>
      <c r="D850" s="889"/>
      <c r="E850" s="889"/>
      <c r="F850" s="889"/>
      <c r="G850" s="889"/>
      <c r="H850" s="889"/>
      <c r="I850" s="889"/>
      <c r="J850" s="889"/>
      <c r="K850" s="889"/>
      <c r="L850" s="889"/>
      <c r="M850" s="889"/>
      <c r="N850" s="944"/>
      <c r="O850" s="944"/>
      <c r="P850" s="944"/>
      <c r="Q850" s="944"/>
      <c r="R850" s="944"/>
      <c r="S850" s="889"/>
      <c r="T850" s="889"/>
      <c r="U850" s="889"/>
      <c r="V850" s="889"/>
      <c r="W850" s="889"/>
      <c r="X850" s="889"/>
      <c r="Y850" s="889"/>
      <c r="Z850" s="889"/>
      <c r="AA850" s="889"/>
      <c r="AB850" s="889"/>
      <c r="AC850" s="889"/>
      <c r="AD850" s="889"/>
      <c r="AE850" s="889"/>
      <c r="AF850" s="889"/>
      <c r="AG850" s="889"/>
      <c r="AH850" s="889"/>
      <c r="AI850" s="889"/>
      <c r="AJ850" s="889"/>
      <c r="AK850" s="889"/>
      <c r="AL850" s="889"/>
      <c r="AM850" s="889"/>
      <c r="AN850" s="889"/>
      <c r="AO850" s="889"/>
      <c r="AP850" s="889"/>
      <c r="AQ850" s="889"/>
      <c r="AR850" s="889"/>
      <c r="AS850" s="889"/>
      <c r="AT850" s="889"/>
      <c r="AU850" s="889"/>
      <c r="AV850" s="889"/>
      <c r="AW850" s="889"/>
      <c r="AX850" s="889"/>
      <c r="AY850" s="889"/>
      <c r="AZ850" s="889"/>
    </row>
    <row r="851">
      <c r="A851" s="889"/>
      <c r="B851" s="889"/>
      <c r="C851" s="889"/>
      <c r="D851" s="889"/>
      <c r="E851" s="889"/>
      <c r="F851" s="889"/>
      <c r="G851" s="889"/>
      <c r="H851" s="889"/>
      <c r="I851" s="889"/>
      <c r="J851" s="889"/>
      <c r="K851" s="889"/>
      <c r="L851" s="889"/>
      <c r="M851" s="889"/>
      <c r="N851" s="944"/>
      <c r="O851" s="944"/>
      <c r="P851" s="944"/>
      <c r="Q851" s="944"/>
      <c r="R851" s="944"/>
      <c r="S851" s="889"/>
      <c r="T851" s="889"/>
      <c r="U851" s="889"/>
      <c r="V851" s="889"/>
      <c r="W851" s="889"/>
      <c r="X851" s="889"/>
      <c r="Y851" s="889"/>
      <c r="Z851" s="889"/>
      <c r="AA851" s="889"/>
      <c r="AB851" s="889"/>
      <c r="AC851" s="889"/>
      <c r="AD851" s="889"/>
      <c r="AE851" s="889"/>
      <c r="AF851" s="889"/>
      <c r="AG851" s="889"/>
      <c r="AH851" s="889"/>
      <c r="AI851" s="889"/>
      <c r="AJ851" s="889"/>
      <c r="AK851" s="889"/>
      <c r="AL851" s="889"/>
      <c r="AM851" s="889"/>
      <c r="AN851" s="889"/>
      <c r="AO851" s="889"/>
      <c r="AP851" s="889"/>
      <c r="AQ851" s="889"/>
      <c r="AR851" s="889"/>
      <c r="AS851" s="889"/>
      <c r="AT851" s="889"/>
      <c r="AU851" s="889"/>
      <c r="AV851" s="889"/>
      <c r="AW851" s="889"/>
      <c r="AX851" s="889"/>
      <c r="AY851" s="889"/>
      <c r="AZ851" s="889"/>
    </row>
    <row r="852">
      <c r="A852" s="889"/>
      <c r="B852" s="889"/>
      <c r="C852" s="889"/>
      <c r="D852" s="889"/>
      <c r="E852" s="889"/>
      <c r="F852" s="889"/>
      <c r="G852" s="889"/>
      <c r="H852" s="889"/>
      <c r="I852" s="889"/>
      <c r="J852" s="889"/>
      <c r="K852" s="889"/>
      <c r="L852" s="889"/>
      <c r="M852" s="889"/>
      <c r="N852" s="944"/>
      <c r="O852" s="944"/>
      <c r="P852" s="944"/>
      <c r="Q852" s="944"/>
      <c r="R852" s="944"/>
      <c r="S852" s="889"/>
      <c r="T852" s="889"/>
      <c r="U852" s="889"/>
      <c r="V852" s="889"/>
      <c r="W852" s="889"/>
      <c r="X852" s="889"/>
      <c r="Y852" s="889"/>
      <c r="Z852" s="889"/>
      <c r="AA852" s="889"/>
      <c r="AB852" s="889"/>
      <c r="AC852" s="889"/>
      <c r="AD852" s="889"/>
      <c r="AE852" s="889"/>
      <c r="AF852" s="889"/>
      <c r="AG852" s="889"/>
      <c r="AH852" s="889"/>
      <c r="AI852" s="889"/>
      <c r="AJ852" s="889"/>
      <c r="AK852" s="889"/>
      <c r="AL852" s="889"/>
      <c r="AM852" s="889"/>
      <c r="AN852" s="889"/>
      <c r="AO852" s="889"/>
      <c r="AP852" s="889"/>
      <c r="AQ852" s="889"/>
      <c r="AR852" s="889"/>
      <c r="AS852" s="889"/>
      <c r="AT852" s="889"/>
      <c r="AU852" s="889"/>
      <c r="AV852" s="889"/>
      <c r="AW852" s="889"/>
      <c r="AX852" s="889"/>
      <c r="AY852" s="889"/>
      <c r="AZ852" s="889"/>
    </row>
    <row r="853">
      <c r="A853" s="889"/>
      <c r="B853" s="889"/>
      <c r="C853" s="889"/>
      <c r="D853" s="889"/>
      <c r="E853" s="889"/>
      <c r="F853" s="889"/>
      <c r="G853" s="889"/>
      <c r="H853" s="889"/>
      <c r="I853" s="889"/>
      <c r="J853" s="889"/>
      <c r="K853" s="889"/>
      <c r="L853" s="889"/>
      <c r="M853" s="889"/>
      <c r="N853" s="944"/>
      <c r="O853" s="944"/>
      <c r="P853" s="944"/>
      <c r="Q853" s="944"/>
      <c r="R853" s="944"/>
      <c r="S853" s="889"/>
      <c r="T853" s="889"/>
      <c r="U853" s="889"/>
      <c r="V853" s="889"/>
      <c r="W853" s="889"/>
      <c r="X853" s="889"/>
      <c r="Y853" s="889"/>
      <c r="Z853" s="889"/>
      <c r="AA853" s="889"/>
      <c r="AB853" s="889"/>
      <c r="AC853" s="889"/>
      <c r="AD853" s="889"/>
      <c r="AE853" s="889"/>
      <c r="AF853" s="889"/>
      <c r="AG853" s="889"/>
      <c r="AH853" s="889"/>
      <c r="AI853" s="889"/>
      <c r="AJ853" s="889"/>
      <c r="AK853" s="889"/>
      <c r="AL853" s="889"/>
      <c r="AM853" s="889"/>
      <c r="AN853" s="889"/>
      <c r="AO853" s="889"/>
      <c r="AP853" s="889"/>
      <c r="AQ853" s="889"/>
      <c r="AR853" s="889"/>
      <c r="AS853" s="889"/>
      <c r="AT853" s="889"/>
      <c r="AU853" s="889"/>
      <c r="AV853" s="889"/>
      <c r="AW853" s="889"/>
      <c r="AX853" s="889"/>
      <c r="AY853" s="889"/>
      <c r="AZ853" s="889"/>
    </row>
    <row r="854">
      <c r="A854" s="889"/>
      <c r="B854" s="889"/>
      <c r="C854" s="889"/>
      <c r="D854" s="889"/>
      <c r="E854" s="889"/>
      <c r="F854" s="889"/>
      <c r="G854" s="889"/>
      <c r="H854" s="889"/>
      <c r="I854" s="889"/>
      <c r="J854" s="889"/>
      <c r="K854" s="889"/>
      <c r="L854" s="889"/>
      <c r="M854" s="889"/>
      <c r="N854" s="944"/>
      <c r="O854" s="944"/>
      <c r="P854" s="944"/>
      <c r="Q854" s="944"/>
      <c r="R854" s="944"/>
      <c r="S854" s="889"/>
      <c r="T854" s="889"/>
      <c r="U854" s="889"/>
      <c r="V854" s="889"/>
      <c r="W854" s="889"/>
      <c r="X854" s="889"/>
      <c r="Y854" s="889"/>
      <c r="Z854" s="889"/>
      <c r="AA854" s="889"/>
      <c r="AB854" s="889"/>
      <c r="AC854" s="889"/>
      <c r="AD854" s="889"/>
      <c r="AE854" s="889"/>
      <c r="AF854" s="889"/>
      <c r="AG854" s="889"/>
      <c r="AH854" s="889"/>
      <c r="AI854" s="889"/>
      <c r="AJ854" s="889"/>
      <c r="AK854" s="889"/>
      <c r="AL854" s="889"/>
      <c r="AM854" s="889"/>
      <c r="AN854" s="889"/>
      <c r="AO854" s="889"/>
      <c r="AP854" s="889"/>
      <c r="AQ854" s="889"/>
      <c r="AR854" s="889"/>
      <c r="AS854" s="889"/>
      <c r="AT854" s="889"/>
      <c r="AU854" s="889"/>
      <c r="AV854" s="889"/>
      <c r="AW854" s="889"/>
      <c r="AX854" s="889"/>
      <c r="AY854" s="889"/>
      <c r="AZ854" s="889"/>
    </row>
    <row r="855">
      <c r="A855" s="889"/>
      <c r="B855" s="889"/>
      <c r="C855" s="889"/>
      <c r="D855" s="889"/>
      <c r="E855" s="889"/>
      <c r="F855" s="889"/>
      <c r="G855" s="889"/>
      <c r="H855" s="889"/>
      <c r="I855" s="889"/>
      <c r="J855" s="889"/>
      <c r="K855" s="889"/>
      <c r="L855" s="889"/>
      <c r="M855" s="889"/>
      <c r="N855" s="944"/>
      <c r="O855" s="944"/>
      <c r="P855" s="944"/>
      <c r="Q855" s="944"/>
      <c r="R855" s="944"/>
      <c r="S855" s="889"/>
      <c r="T855" s="889"/>
      <c r="U855" s="889"/>
      <c r="V855" s="889"/>
      <c r="W855" s="889"/>
      <c r="X855" s="889"/>
      <c r="Y855" s="889"/>
      <c r="Z855" s="889"/>
      <c r="AA855" s="889"/>
      <c r="AB855" s="889"/>
      <c r="AC855" s="889"/>
      <c r="AD855" s="889"/>
      <c r="AE855" s="889"/>
      <c r="AF855" s="889"/>
      <c r="AG855" s="889"/>
      <c r="AH855" s="889"/>
      <c r="AI855" s="889"/>
      <c r="AJ855" s="889"/>
      <c r="AK855" s="889"/>
      <c r="AL855" s="889"/>
      <c r="AM855" s="889"/>
      <c r="AN855" s="889"/>
      <c r="AO855" s="889"/>
      <c r="AP855" s="889"/>
      <c r="AQ855" s="889"/>
      <c r="AR855" s="889"/>
      <c r="AS855" s="889"/>
      <c r="AT855" s="889"/>
      <c r="AU855" s="889"/>
      <c r="AV855" s="889"/>
      <c r="AW855" s="889"/>
      <c r="AX855" s="889"/>
      <c r="AY855" s="889"/>
      <c r="AZ855" s="889"/>
    </row>
    <row r="856">
      <c r="A856" s="889"/>
      <c r="B856" s="889"/>
      <c r="C856" s="889"/>
      <c r="D856" s="889"/>
      <c r="E856" s="889"/>
      <c r="F856" s="889"/>
      <c r="G856" s="889"/>
      <c r="H856" s="889"/>
      <c r="I856" s="889"/>
      <c r="J856" s="889"/>
      <c r="K856" s="889"/>
      <c r="L856" s="889"/>
      <c r="M856" s="889"/>
      <c r="N856" s="944"/>
      <c r="O856" s="944"/>
      <c r="P856" s="944"/>
      <c r="Q856" s="944"/>
      <c r="R856" s="944"/>
      <c r="S856" s="889"/>
      <c r="T856" s="889"/>
      <c r="U856" s="889"/>
      <c r="V856" s="889"/>
      <c r="W856" s="889"/>
      <c r="X856" s="889"/>
      <c r="Y856" s="889"/>
      <c r="Z856" s="889"/>
      <c r="AA856" s="889"/>
      <c r="AB856" s="889"/>
      <c r="AC856" s="889"/>
      <c r="AD856" s="889"/>
      <c r="AE856" s="889"/>
      <c r="AF856" s="889"/>
      <c r="AG856" s="889"/>
      <c r="AH856" s="889"/>
      <c r="AI856" s="889"/>
      <c r="AJ856" s="889"/>
      <c r="AK856" s="889"/>
      <c r="AL856" s="889"/>
      <c r="AM856" s="889"/>
      <c r="AN856" s="889"/>
      <c r="AO856" s="889"/>
      <c r="AP856" s="889"/>
      <c r="AQ856" s="889"/>
      <c r="AR856" s="889"/>
      <c r="AS856" s="889"/>
      <c r="AT856" s="889"/>
      <c r="AU856" s="889"/>
      <c r="AV856" s="889"/>
      <c r="AW856" s="889"/>
      <c r="AX856" s="889"/>
      <c r="AY856" s="889"/>
      <c r="AZ856" s="889"/>
    </row>
  </sheetData>
  <conditionalFormatting sqref="I3:I856 H6 H12 H16 H65 H74 H82">
    <cfRule type="expression" dxfId="3" priority="1">
      <formula>AND(I3&lt;&gt;"", I3-TODAY()&lt;=45, I3-TODAY()&gt;=0)</formula>
    </cfRule>
  </conditionalFormatting>
  <drawing r:id="rId2"/>
  <legacyDrawing r:id="rId3"/>
  <tableParts count="14">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
    <col customWidth="1" min="4" max="9" width="11.13"/>
  </cols>
  <sheetData>
    <row r="1">
      <c r="A1" s="508"/>
      <c r="B1" s="508"/>
      <c r="C1" s="508"/>
      <c r="D1" s="508"/>
      <c r="E1" s="967"/>
      <c r="F1" s="508"/>
      <c r="G1" s="508"/>
      <c r="H1" s="967"/>
      <c r="I1" s="508"/>
      <c r="J1" s="508"/>
      <c r="K1" s="508"/>
      <c r="L1" s="508"/>
      <c r="M1" s="508"/>
      <c r="N1" s="508"/>
      <c r="O1" s="508"/>
      <c r="P1" s="508"/>
      <c r="Q1" s="508"/>
      <c r="R1" s="508"/>
      <c r="S1" s="508"/>
      <c r="T1" s="508"/>
      <c r="U1" s="508"/>
      <c r="V1" s="508"/>
      <c r="W1" s="508"/>
      <c r="X1" s="508"/>
      <c r="Y1" s="508"/>
      <c r="Z1" s="508"/>
      <c r="AA1" s="508"/>
    </row>
    <row r="2">
      <c r="A2" s="508"/>
      <c r="B2" s="968" t="s">
        <v>0</v>
      </c>
      <c r="C2" s="968" t="s">
        <v>1285</v>
      </c>
      <c r="D2" s="968" t="s">
        <v>3165</v>
      </c>
      <c r="E2" s="969" t="s">
        <v>3166</v>
      </c>
      <c r="F2" s="968" t="s">
        <v>3167</v>
      </c>
      <c r="G2" s="968" t="s">
        <v>3084</v>
      </c>
      <c r="H2" s="969" t="s">
        <v>3082</v>
      </c>
      <c r="I2" s="508"/>
      <c r="J2" s="508"/>
      <c r="K2" s="508"/>
      <c r="L2" s="508"/>
      <c r="M2" s="508"/>
      <c r="N2" s="508"/>
      <c r="O2" s="508"/>
      <c r="P2" s="508"/>
      <c r="Q2" s="508"/>
      <c r="R2" s="508"/>
      <c r="S2" s="508"/>
      <c r="T2" s="508"/>
      <c r="U2" s="508"/>
      <c r="V2" s="508"/>
      <c r="W2" s="508"/>
      <c r="X2" s="508"/>
      <c r="Y2" s="508"/>
      <c r="Z2" s="508"/>
      <c r="AA2" s="508"/>
    </row>
    <row r="3">
      <c r="A3" s="508"/>
      <c r="B3" s="692" t="s">
        <v>27</v>
      </c>
      <c r="C3" s="692" t="s">
        <v>27</v>
      </c>
      <c r="D3" s="692"/>
      <c r="E3" s="970" t="s">
        <v>3168</v>
      </c>
      <c r="F3" s="692"/>
      <c r="G3" s="970" t="s">
        <v>3168</v>
      </c>
      <c r="H3" s="970" t="s">
        <v>3168</v>
      </c>
      <c r="I3" s="508"/>
      <c r="J3" s="508"/>
      <c r="K3" s="508"/>
      <c r="L3" s="508"/>
      <c r="M3" s="508"/>
      <c r="N3" s="508"/>
      <c r="O3" s="508"/>
      <c r="P3" s="508"/>
      <c r="Q3" s="508"/>
      <c r="R3" s="508"/>
      <c r="S3" s="508"/>
      <c r="T3" s="508"/>
      <c r="U3" s="508"/>
      <c r="V3" s="508"/>
      <c r="W3" s="508"/>
      <c r="X3" s="508"/>
      <c r="Y3" s="508"/>
      <c r="Z3" s="508"/>
      <c r="AA3" s="508"/>
    </row>
    <row r="4">
      <c r="A4" s="508"/>
      <c r="B4" s="692" t="s">
        <v>58</v>
      </c>
      <c r="C4" s="692" t="s">
        <v>3169</v>
      </c>
      <c r="D4" s="692"/>
      <c r="E4" s="970" t="s">
        <v>3168</v>
      </c>
      <c r="F4" s="692"/>
      <c r="G4" s="970" t="s">
        <v>3168</v>
      </c>
      <c r="H4" s="970" t="s">
        <v>3168</v>
      </c>
      <c r="I4" s="508"/>
      <c r="J4" s="508"/>
      <c r="K4" s="508"/>
      <c r="L4" s="508"/>
      <c r="M4" s="508"/>
      <c r="N4" s="508"/>
      <c r="O4" s="508"/>
      <c r="P4" s="508"/>
      <c r="Q4" s="508"/>
      <c r="R4" s="508"/>
      <c r="S4" s="508"/>
      <c r="T4" s="508"/>
      <c r="U4" s="508"/>
      <c r="V4" s="508"/>
      <c r="W4" s="508"/>
      <c r="X4" s="508"/>
      <c r="Y4" s="508"/>
      <c r="Z4" s="508"/>
      <c r="AA4" s="508"/>
    </row>
    <row r="5">
      <c r="A5" s="508"/>
      <c r="B5" s="692" t="s">
        <v>97</v>
      </c>
      <c r="C5" s="692" t="s">
        <v>97</v>
      </c>
      <c r="D5" s="692"/>
      <c r="E5" s="970" t="s">
        <v>3168</v>
      </c>
      <c r="F5" s="692"/>
      <c r="G5" s="970" t="s">
        <v>3168</v>
      </c>
      <c r="H5" s="970" t="s">
        <v>3168</v>
      </c>
      <c r="I5" s="508"/>
      <c r="J5" s="508"/>
      <c r="K5" s="508"/>
      <c r="L5" s="508"/>
      <c r="M5" s="508"/>
      <c r="N5" s="508"/>
      <c r="O5" s="508"/>
      <c r="P5" s="508"/>
      <c r="Q5" s="508"/>
      <c r="R5" s="508"/>
      <c r="S5" s="508"/>
      <c r="T5" s="508"/>
      <c r="U5" s="508"/>
      <c r="V5" s="508"/>
      <c r="W5" s="508"/>
      <c r="X5" s="508"/>
      <c r="Y5" s="508"/>
      <c r="Z5" s="508"/>
      <c r="AA5" s="508"/>
    </row>
    <row r="6">
      <c r="A6" s="508"/>
      <c r="B6" s="692" t="s">
        <v>154</v>
      </c>
      <c r="C6" s="692" t="s">
        <v>3170</v>
      </c>
      <c r="D6" s="692"/>
      <c r="E6" s="970" t="s">
        <v>3168</v>
      </c>
      <c r="F6" s="692"/>
      <c r="G6" s="970" t="s">
        <v>3168</v>
      </c>
      <c r="H6" s="970" t="s">
        <v>3168</v>
      </c>
      <c r="I6" s="508"/>
      <c r="J6" s="508"/>
      <c r="K6" s="508"/>
      <c r="L6" s="508"/>
      <c r="M6" s="508"/>
      <c r="N6" s="508"/>
      <c r="O6" s="508"/>
      <c r="P6" s="508"/>
      <c r="Q6" s="508"/>
      <c r="R6" s="508"/>
      <c r="S6" s="508"/>
      <c r="T6" s="508"/>
      <c r="U6" s="508"/>
      <c r="V6" s="508"/>
      <c r="W6" s="508"/>
      <c r="X6" s="508"/>
      <c r="Y6" s="508"/>
      <c r="Z6" s="508"/>
      <c r="AA6" s="508"/>
    </row>
    <row r="7">
      <c r="A7" s="508"/>
      <c r="B7" s="692" t="s">
        <v>210</v>
      </c>
      <c r="C7" s="692" t="s">
        <v>3171</v>
      </c>
      <c r="D7" s="692"/>
      <c r="E7" s="970" t="s">
        <v>3168</v>
      </c>
      <c r="F7" s="692"/>
      <c r="G7" s="970" t="s">
        <v>3168</v>
      </c>
      <c r="H7" s="970" t="s">
        <v>3168</v>
      </c>
      <c r="I7" s="508"/>
      <c r="J7" s="508"/>
      <c r="K7" s="508"/>
      <c r="L7" s="508"/>
      <c r="M7" s="508"/>
      <c r="N7" s="508"/>
      <c r="O7" s="508"/>
      <c r="P7" s="508"/>
      <c r="Q7" s="508"/>
      <c r="R7" s="508"/>
      <c r="S7" s="508"/>
      <c r="T7" s="508"/>
      <c r="U7" s="508"/>
      <c r="V7" s="508"/>
      <c r="W7" s="508"/>
      <c r="X7" s="508"/>
      <c r="Y7" s="508"/>
      <c r="Z7" s="508"/>
      <c r="AA7" s="508"/>
    </row>
    <row r="8">
      <c r="A8" s="508"/>
      <c r="B8" s="692" t="s">
        <v>266</v>
      </c>
      <c r="C8" s="692"/>
      <c r="D8" s="692"/>
      <c r="E8" s="970" t="s">
        <v>3168</v>
      </c>
      <c r="F8" s="970"/>
      <c r="G8" s="970" t="s">
        <v>3168</v>
      </c>
      <c r="H8" s="970" t="s">
        <v>3168</v>
      </c>
      <c r="I8" s="508"/>
      <c r="J8" s="508"/>
      <c r="K8" s="508"/>
      <c r="L8" s="508"/>
      <c r="M8" s="508"/>
      <c r="N8" s="508"/>
      <c r="O8" s="508"/>
      <c r="P8" s="508"/>
      <c r="Q8" s="508"/>
      <c r="R8" s="508"/>
      <c r="S8" s="508"/>
      <c r="T8" s="508"/>
      <c r="U8" s="508"/>
      <c r="V8" s="508"/>
      <c r="W8" s="508"/>
      <c r="X8" s="508"/>
      <c r="Y8" s="508"/>
      <c r="Z8" s="508"/>
      <c r="AA8" s="508"/>
    </row>
    <row r="9">
      <c r="A9" s="508"/>
      <c r="B9" s="692" t="s">
        <v>275</v>
      </c>
      <c r="C9" s="692" t="s">
        <v>3172</v>
      </c>
      <c r="D9" s="970" t="s">
        <v>3168</v>
      </c>
      <c r="E9" s="970" t="s">
        <v>3168</v>
      </c>
      <c r="F9" s="692"/>
      <c r="G9" s="970" t="s">
        <v>3168</v>
      </c>
      <c r="H9" s="970" t="s">
        <v>3168</v>
      </c>
      <c r="I9" s="508"/>
      <c r="J9" s="508"/>
      <c r="K9" s="508"/>
      <c r="L9" s="508"/>
      <c r="M9" s="508"/>
      <c r="N9" s="508"/>
      <c r="O9" s="508"/>
      <c r="P9" s="508"/>
      <c r="Q9" s="508"/>
      <c r="R9" s="508"/>
      <c r="S9" s="508"/>
      <c r="T9" s="508"/>
      <c r="U9" s="508"/>
      <c r="V9" s="508"/>
      <c r="W9" s="508"/>
      <c r="X9" s="508"/>
      <c r="Y9" s="508"/>
      <c r="Z9" s="508"/>
      <c r="AA9" s="508"/>
    </row>
    <row r="10">
      <c r="A10" s="508"/>
      <c r="B10" s="692" t="s">
        <v>305</v>
      </c>
      <c r="C10" s="692"/>
      <c r="D10" s="970" t="s">
        <v>3168</v>
      </c>
      <c r="E10" s="970" t="s">
        <v>3168</v>
      </c>
      <c r="F10" s="692"/>
      <c r="G10" s="970" t="s">
        <v>3168</v>
      </c>
      <c r="H10" s="970" t="s">
        <v>3168</v>
      </c>
      <c r="I10" s="508"/>
      <c r="J10" s="508"/>
      <c r="K10" s="508"/>
      <c r="L10" s="508"/>
      <c r="M10" s="508"/>
      <c r="N10" s="508"/>
      <c r="O10" s="508"/>
      <c r="P10" s="508"/>
      <c r="Q10" s="508"/>
      <c r="R10" s="508"/>
      <c r="S10" s="508"/>
      <c r="T10" s="508"/>
      <c r="U10" s="508"/>
      <c r="V10" s="508"/>
      <c r="W10" s="508"/>
      <c r="X10" s="508"/>
      <c r="Y10" s="508"/>
      <c r="Z10" s="508"/>
      <c r="AA10" s="508"/>
    </row>
    <row r="11">
      <c r="A11" s="508"/>
      <c r="B11" s="692" t="s">
        <v>328</v>
      </c>
      <c r="C11" s="692"/>
      <c r="D11" s="970" t="s">
        <v>3168</v>
      </c>
      <c r="E11" s="970" t="s">
        <v>3168</v>
      </c>
      <c r="F11" s="970"/>
      <c r="G11" s="970" t="s">
        <v>3168</v>
      </c>
      <c r="H11" s="970" t="s">
        <v>3168</v>
      </c>
      <c r="I11" s="508"/>
      <c r="J11" s="508"/>
      <c r="K11" s="508"/>
      <c r="L11" s="508"/>
      <c r="M11" s="508"/>
      <c r="N11" s="508"/>
      <c r="O11" s="508"/>
      <c r="P11" s="508"/>
      <c r="Q11" s="508"/>
      <c r="R11" s="508"/>
      <c r="S11" s="508"/>
      <c r="T11" s="508"/>
      <c r="U11" s="508"/>
      <c r="V11" s="508"/>
      <c r="W11" s="508"/>
      <c r="X11" s="508"/>
      <c r="Y11" s="508"/>
      <c r="Z11" s="508"/>
      <c r="AA11" s="508"/>
    </row>
    <row r="12">
      <c r="A12" s="508"/>
      <c r="B12" s="692" t="s">
        <v>353</v>
      </c>
      <c r="C12" s="692" t="s">
        <v>3173</v>
      </c>
      <c r="D12" s="970" t="s">
        <v>3174</v>
      </c>
      <c r="E12" s="970" t="s">
        <v>3168</v>
      </c>
      <c r="F12" s="692"/>
      <c r="G12" s="970" t="s">
        <v>3168</v>
      </c>
      <c r="H12" s="970" t="s">
        <v>3175</v>
      </c>
      <c r="I12" s="508"/>
      <c r="J12" s="508"/>
      <c r="K12" s="508"/>
      <c r="L12" s="508"/>
      <c r="M12" s="508"/>
      <c r="N12" s="508"/>
      <c r="O12" s="508"/>
      <c r="P12" s="508"/>
      <c r="Q12" s="508"/>
      <c r="R12" s="508"/>
      <c r="S12" s="508"/>
      <c r="T12" s="508"/>
      <c r="U12" s="508"/>
      <c r="V12" s="508"/>
      <c r="W12" s="508"/>
      <c r="X12" s="508"/>
      <c r="Y12" s="508"/>
      <c r="Z12" s="508"/>
      <c r="AA12" s="508"/>
    </row>
    <row r="13">
      <c r="A13" s="508"/>
      <c r="B13" s="692" t="s">
        <v>374</v>
      </c>
      <c r="C13" s="692" t="s">
        <v>3176</v>
      </c>
      <c r="D13" s="692" t="s">
        <v>677</v>
      </c>
      <c r="E13" s="970" t="s">
        <v>3168</v>
      </c>
      <c r="F13" s="692"/>
      <c r="G13" s="508"/>
      <c r="H13" s="970" t="s">
        <v>3168</v>
      </c>
      <c r="I13" s="508"/>
      <c r="J13" s="508"/>
      <c r="K13" s="508"/>
      <c r="L13" s="508"/>
      <c r="M13" s="508"/>
      <c r="N13" s="508"/>
      <c r="O13" s="508"/>
      <c r="P13" s="508"/>
      <c r="Q13" s="508"/>
      <c r="R13" s="508"/>
      <c r="S13" s="508"/>
      <c r="T13" s="508"/>
      <c r="U13" s="508"/>
      <c r="V13" s="508"/>
      <c r="W13" s="508"/>
      <c r="X13" s="508"/>
      <c r="Y13" s="508"/>
      <c r="Z13" s="508"/>
      <c r="AA13" s="508"/>
    </row>
    <row r="14">
      <c r="A14" s="508"/>
      <c r="B14" s="692" t="s">
        <v>415</v>
      </c>
      <c r="C14" s="692" t="s">
        <v>3177</v>
      </c>
      <c r="D14" s="692"/>
      <c r="E14" s="970" t="s">
        <v>3168</v>
      </c>
      <c r="F14" s="692"/>
      <c r="G14" s="508"/>
      <c r="H14" s="970" t="s">
        <v>3168</v>
      </c>
      <c r="I14" s="508"/>
      <c r="J14" s="508"/>
      <c r="K14" s="508"/>
      <c r="L14" s="508"/>
      <c r="M14" s="508"/>
      <c r="N14" s="508"/>
      <c r="O14" s="508"/>
      <c r="P14" s="508"/>
      <c r="Q14" s="508"/>
      <c r="R14" s="508"/>
      <c r="S14" s="508"/>
      <c r="T14" s="508"/>
      <c r="U14" s="508"/>
      <c r="V14" s="508"/>
      <c r="W14" s="508"/>
      <c r="X14" s="508"/>
      <c r="Y14" s="508"/>
      <c r="Z14" s="508"/>
      <c r="AA14" s="508"/>
    </row>
    <row r="15">
      <c r="A15" s="508"/>
      <c r="B15" s="692" t="s">
        <v>448</v>
      </c>
      <c r="C15" s="692" t="s">
        <v>3178</v>
      </c>
      <c r="D15" s="970" t="s">
        <v>3168</v>
      </c>
      <c r="E15" s="970" t="s">
        <v>3168</v>
      </c>
      <c r="F15" s="692"/>
      <c r="G15" s="508"/>
      <c r="H15" s="970" t="s">
        <v>3168</v>
      </c>
      <c r="I15" s="508"/>
      <c r="J15" s="508"/>
      <c r="K15" s="508"/>
      <c r="L15" s="508"/>
      <c r="M15" s="508"/>
      <c r="N15" s="508"/>
      <c r="O15" s="508"/>
      <c r="P15" s="508"/>
      <c r="Q15" s="508"/>
      <c r="R15" s="508"/>
      <c r="S15" s="508"/>
      <c r="T15" s="508"/>
      <c r="U15" s="508"/>
      <c r="V15" s="508"/>
      <c r="W15" s="508"/>
      <c r="X15" s="508"/>
      <c r="Y15" s="508"/>
      <c r="Z15" s="508"/>
      <c r="AA15" s="508"/>
    </row>
    <row r="16">
      <c r="B16" s="846" t="s">
        <v>474</v>
      </c>
      <c r="C16" s="846" t="s">
        <v>3179</v>
      </c>
      <c r="D16" s="970" t="s">
        <v>3168</v>
      </c>
      <c r="E16" s="970" t="s">
        <v>3168</v>
      </c>
      <c r="F16" s="970"/>
      <c r="H16" s="970" t="s">
        <v>3168</v>
      </c>
    </row>
    <row r="17">
      <c r="A17" s="508"/>
      <c r="B17" s="692" t="s">
        <v>505</v>
      </c>
      <c r="C17" s="846" t="s">
        <v>505</v>
      </c>
      <c r="D17" s="970" t="s">
        <v>3168</v>
      </c>
      <c r="E17" s="970" t="s">
        <v>3168</v>
      </c>
      <c r="F17" s="692"/>
      <c r="G17" s="508"/>
      <c r="H17" s="970" t="s">
        <v>3168</v>
      </c>
      <c r="I17" s="508"/>
      <c r="J17" s="508"/>
      <c r="K17" s="508"/>
      <c r="L17" s="508"/>
      <c r="M17" s="508"/>
      <c r="N17" s="508"/>
      <c r="O17" s="508"/>
      <c r="P17" s="508"/>
      <c r="Q17" s="508"/>
      <c r="R17" s="508"/>
      <c r="S17" s="508"/>
      <c r="T17" s="508"/>
      <c r="U17" s="508"/>
      <c r="V17" s="508"/>
      <c r="W17" s="508"/>
      <c r="X17" s="508"/>
      <c r="Y17" s="508"/>
      <c r="Z17" s="508"/>
      <c r="AA17" s="508"/>
    </row>
    <row r="18">
      <c r="A18" s="508"/>
      <c r="B18" s="846" t="s">
        <v>553</v>
      </c>
      <c r="D18" s="970" t="s">
        <v>3168</v>
      </c>
      <c r="E18" s="970" t="s">
        <v>3168</v>
      </c>
      <c r="G18" s="508"/>
      <c r="H18" s="970" t="s">
        <v>3168</v>
      </c>
      <c r="I18" s="508"/>
      <c r="J18" s="508"/>
      <c r="K18" s="508"/>
      <c r="L18" s="508"/>
      <c r="M18" s="508"/>
      <c r="N18" s="508"/>
      <c r="O18" s="508"/>
      <c r="P18" s="508"/>
      <c r="Q18" s="508"/>
      <c r="R18" s="508"/>
      <c r="S18" s="508"/>
      <c r="T18" s="508"/>
      <c r="U18" s="508"/>
      <c r="V18" s="508"/>
      <c r="W18" s="508"/>
      <c r="X18" s="508"/>
      <c r="Y18" s="508"/>
      <c r="Z18" s="508"/>
      <c r="AA18" s="508"/>
    </row>
    <row r="19">
      <c r="A19" s="508"/>
      <c r="B19" s="692" t="s">
        <v>577</v>
      </c>
      <c r="C19" s="692" t="s">
        <v>3180</v>
      </c>
      <c r="D19" s="970" t="s">
        <v>3168</v>
      </c>
      <c r="E19" s="970" t="s">
        <v>3168</v>
      </c>
      <c r="F19" s="508"/>
      <c r="G19" s="508"/>
      <c r="H19" s="970" t="s">
        <v>3168</v>
      </c>
      <c r="I19" s="508"/>
      <c r="J19" s="508"/>
      <c r="K19" s="508"/>
      <c r="L19" s="508"/>
      <c r="M19" s="508"/>
      <c r="N19" s="508"/>
      <c r="O19" s="508"/>
      <c r="P19" s="508"/>
      <c r="Q19" s="508"/>
      <c r="R19" s="508"/>
      <c r="S19" s="508"/>
      <c r="T19" s="508"/>
      <c r="U19" s="508"/>
      <c r="V19" s="508"/>
      <c r="W19" s="508"/>
      <c r="X19" s="508"/>
      <c r="Y19" s="508"/>
      <c r="Z19" s="508"/>
      <c r="AA19" s="508"/>
    </row>
    <row r="20">
      <c r="A20" s="508"/>
      <c r="B20" s="692" t="s">
        <v>598</v>
      </c>
      <c r="C20" s="508"/>
      <c r="D20" s="970" t="s">
        <v>3168</v>
      </c>
      <c r="E20" s="970" t="s">
        <v>3168</v>
      </c>
      <c r="F20" s="508"/>
      <c r="G20" s="508"/>
      <c r="H20" s="970" t="s">
        <v>3168</v>
      </c>
      <c r="I20" s="508"/>
      <c r="J20" s="508"/>
      <c r="K20" s="508"/>
      <c r="L20" s="508"/>
      <c r="M20" s="508"/>
      <c r="N20" s="508"/>
      <c r="O20" s="508"/>
      <c r="P20" s="508"/>
      <c r="Q20" s="508"/>
      <c r="R20" s="508"/>
      <c r="S20" s="508"/>
      <c r="T20" s="508"/>
      <c r="U20" s="508"/>
      <c r="V20" s="508"/>
      <c r="W20" s="508"/>
      <c r="X20" s="508"/>
      <c r="Y20" s="508"/>
      <c r="Z20" s="508"/>
      <c r="AA20" s="508"/>
    </row>
    <row r="21">
      <c r="A21" s="508"/>
      <c r="B21" s="692" t="s">
        <v>610</v>
      </c>
      <c r="C21" s="508"/>
      <c r="D21" s="508"/>
      <c r="E21" s="970" t="s">
        <v>3168</v>
      </c>
      <c r="F21" s="508"/>
      <c r="G21" s="508"/>
      <c r="H21" s="970" t="s">
        <v>3168</v>
      </c>
      <c r="I21" s="508"/>
      <c r="J21" s="508"/>
      <c r="K21" s="508"/>
      <c r="L21" s="508"/>
      <c r="M21" s="508"/>
      <c r="N21" s="508"/>
      <c r="O21" s="508"/>
      <c r="P21" s="508"/>
      <c r="Q21" s="508"/>
      <c r="R21" s="508"/>
      <c r="S21" s="508"/>
      <c r="T21" s="508"/>
      <c r="U21" s="508"/>
      <c r="V21" s="508"/>
      <c r="W21" s="508"/>
      <c r="X21" s="508"/>
      <c r="Y21" s="508"/>
      <c r="Z21" s="508"/>
      <c r="AA21" s="508"/>
    </row>
    <row r="22">
      <c r="A22" s="508"/>
      <c r="B22" s="846" t="s">
        <v>629</v>
      </c>
      <c r="E22" s="970" t="s">
        <v>3168</v>
      </c>
      <c r="H22" s="970" t="s">
        <v>3168</v>
      </c>
      <c r="I22" s="508"/>
      <c r="J22" s="508"/>
      <c r="K22" s="508"/>
      <c r="L22" s="508"/>
      <c r="M22" s="508"/>
      <c r="N22" s="508"/>
      <c r="O22" s="508"/>
      <c r="P22" s="508"/>
      <c r="Q22" s="508"/>
      <c r="R22" s="508"/>
      <c r="S22" s="508"/>
      <c r="T22" s="508"/>
      <c r="U22" s="508"/>
      <c r="V22" s="508"/>
      <c r="W22" s="508"/>
      <c r="X22" s="508"/>
      <c r="Y22" s="508"/>
      <c r="Z22" s="508"/>
      <c r="AA22" s="508"/>
    </row>
    <row r="23">
      <c r="A23" s="508"/>
      <c r="B23" s="692" t="s">
        <v>643</v>
      </c>
      <c r="C23" s="508"/>
      <c r="D23" s="508"/>
      <c r="E23" s="970" t="s">
        <v>3168</v>
      </c>
      <c r="F23" s="508"/>
      <c r="G23" s="508"/>
      <c r="H23" s="970" t="s">
        <v>3168</v>
      </c>
      <c r="I23" s="508"/>
      <c r="J23" s="508"/>
      <c r="K23" s="508"/>
      <c r="L23" s="508"/>
      <c r="M23" s="508"/>
      <c r="N23" s="508"/>
      <c r="O23" s="508"/>
      <c r="P23" s="508"/>
      <c r="Q23" s="508"/>
      <c r="R23" s="508"/>
      <c r="S23" s="508"/>
      <c r="T23" s="508"/>
      <c r="U23" s="508"/>
      <c r="V23" s="508"/>
      <c r="W23" s="508"/>
      <c r="X23" s="508"/>
      <c r="Y23" s="508"/>
      <c r="Z23" s="508"/>
      <c r="AA23" s="508"/>
    </row>
    <row r="24">
      <c r="A24" s="508"/>
      <c r="B24" s="692" t="s">
        <v>682</v>
      </c>
      <c r="C24" s="692" t="s">
        <v>677</v>
      </c>
      <c r="D24" s="970" t="s">
        <v>3168</v>
      </c>
      <c r="E24" s="970" t="s">
        <v>3168</v>
      </c>
      <c r="F24" s="692"/>
      <c r="G24" s="508"/>
      <c r="H24" s="970" t="s">
        <v>3181</v>
      </c>
      <c r="I24" s="508"/>
      <c r="J24" s="508"/>
      <c r="K24" s="508"/>
      <c r="L24" s="508"/>
      <c r="M24" s="508"/>
      <c r="N24" s="508"/>
      <c r="O24" s="508"/>
      <c r="P24" s="508"/>
      <c r="Q24" s="508"/>
      <c r="R24" s="508"/>
      <c r="S24" s="508"/>
      <c r="T24" s="508"/>
      <c r="U24" s="508"/>
      <c r="V24" s="508"/>
      <c r="W24" s="508"/>
      <c r="X24" s="508"/>
      <c r="Y24" s="508"/>
      <c r="Z24" s="508"/>
      <c r="AA24" s="508"/>
    </row>
    <row r="25">
      <c r="A25" s="508"/>
      <c r="B25" s="692" t="s">
        <v>699</v>
      </c>
      <c r="C25" s="692" t="s">
        <v>3182</v>
      </c>
      <c r="D25" s="970" t="s">
        <v>3168</v>
      </c>
      <c r="E25" s="970" t="s">
        <v>3168</v>
      </c>
      <c r="F25" s="508"/>
      <c r="G25" s="508"/>
      <c r="H25" s="970" t="s">
        <v>3175</v>
      </c>
      <c r="I25" s="508"/>
      <c r="J25" s="508"/>
      <c r="K25" s="508"/>
      <c r="L25" s="508"/>
      <c r="M25" s="508"/>
      <c r="N25" s="508"/>
      <c r="O25" s="508"/>
      <c r="P25" s="508"/>
      <c r="Q25" s="508"/>
      <c r="R25" s="508"/>
      <c r="S25" s="508"/>
      <c r="T25" s="508"/>
      <c r="U25" s="508"/>
      <c r="V25" s="508"/>
      <c r="W25" s="508"/>
      <c r="X25" s="508"/>
      <c r="Y25" s="508"/>
      <c r="Z25" s="508"/>
      <c r="AA25" s="508"/>
    </row>
    <row r="26">
      <c r="A26" s="508"/>
      <c r="B26" s="692" t="s">
        <v>730</v>
      </c>
      <c r="C26" s="692" t="s">
        <v>3183</v>
      </c>
      <c r="D26" s="970" t="s">
        <v>3168</v>
      </c>
      <c r="E26" s="970" t="s">
        <v>3168</v>
      </c>
      <c r="F26" s="970"/>
      <c r="G26" s="508"/>
      <c r="H26" s="970" t="s">
        <v>3168</v>
      </c>
      <c r="I26" s="508"/>
      <c r="J26" s="508"/>
      <c r="K26" s="508"/>
      <c r="L26" s="508"/>
      <c r="M26" s="508"/>
      <c r="N26" s="508"/>
      <c r="O26" s="508"/>
      <c r="P26" s="508"/>
      <c r="Q26" s="508"/>
      <c r="R26" s="508"/>
      <c r="S26" s="508"/>
      <c r="T26" s="508"/>
      <c r="U26" s="508"/>
      <c r="V26" s="508"/>
      <c r="W26" s="508"/>
      <c r="X26" s="508"/>
      <c r="Y26" s="508"/>
      <c r="Z26" s="508"/>
      <c r="AA26" s="508"/>
    </row>
    <row r="27">
      <c r="A27" s="508"/>
      <c r="B27" s="692" t="s">
        <v>760</v>
      </c>
      <c r="C27" s="508"/>
      <c r="D27" s="970" t="s">
        <v>3168</v>
      </c>
      <c r="E27" s="970" t="s">
        <v>3168</v>
      </c>
      <c r="F27" s="508"/>
      <c r="G27" s="508"/>
      <c r="H27" s="970" t="s">
        <v>3168</v>
      </c>
      <c r="I27" s="508"/>
      <c r="J27" s="508"/>
      <c r="K27" s="508"/>
      <c r="L27" s="508"/>
      <c r="M27" s="508"/>
      <c r="N27" s="508"/>
      <c r="O27" s="508"/>
      <c r="P27" s="508"/>
      <c r="Q27" s="508"/>
      <c r="R27" s="508"/>
      <c r="S27" s="508"/>
      <c r="T27" s="508"/>
      <c r="U27" s="508"/>
      <c r="V27" s="508"/>
      <c r="W27" s="508"/>
      <c r="X27" s="508"/>
      <c r="Y27" s="508"/>
      <c r="Z27" s="508"/>
      <c r="AA27" s="508"/>
    </row>
    <row r="28">
      <c r="A28" s="508"/>
      <c r="B28" s="692" t="s">
        <v>778</v>
      </c>
      <c r="C28" s="692" t="s">
        <v>3184</v>
      </c>
      <c r="D28" s="970" t="s">
        <v>3168</v>
      </c>
      <c r="E28" s="970" t="s">
        <v>3168</v>
      </c>
      <c r="F28" s="508"/>
      <c r="G28" s="508"/>
      <c r="H28" s="970" t="s">
        <v>3168</v>
      </c>
      <c r="I28" s="508"/>
      <c r="J28" s="508"/>
      <c r="K28" s="508"/>
      <c r="L28" s="508"/>
      <c r="M28" s="508"/>
      <c r="N28" s="508"/>
      <c r="O28" s="508"/>
      <c r="P28" s="508"/>
      <c r="Q28" s="508"/>
      <c r="R28" s="508"/>
      <c r="S28" s="508"/>
      <c r="T28" s="508"/>
      <c r="U28" s="508"/>
      <c r="V28" s="508"/>
      <c r="W28" s="508"/>
      <c r="X28" s="508"/>
      <c r="Y28" s="508"/>
      <c r="Z28" s="508"/>
      <c r="AA28" s="508"/>
    </row>
    <row r="29">
      <c r="B29" s="846" t="s">
        <v>804</v>
      </c>
      <c r="D29" s="970" t="s">
        <v>3168</v>
      </c>
      <c r="E29" s="970" t="s">
        <v>3168</v>
      </c>
      <c r="F29" s="970"/>
      <c r="H29" s="970" t="s">
        <v>3168</v>
      </c>
    </row>
    <row r="30">
      <c r="A30" s="508"/>
      <c r="B30" s="692" t="s">
        <v>822</v>
      </c>
      <c r="C30" s="692" t="s">
        <v>3185</v>
      </c>
      <c r="D30" s="970" t="s">
        <v>3168</v>
      </c>
      <c r="E30" s="970" t="s">
        <v>3168</v>
      </c>
      <c r="F30" s="508"/>
      <c r="G30" s="508"/>
      <c r="H30" s="970" t="s">
        <v>3168</v>
      </c>
      <c r="I30" s="508"/>
      <c r="J30" s="508"/>
      <c r="K30" s="508"/>
      <c r="L30" s="508"/>
      <c r="M30" s="508"/>
      <c r="N30" s="508"/>
      <c r="O30" s="508"/>
      <c r="P30" s="508"/>
      <c r="Q30" s="508"/>
      <c r="R30" s="508"/>
      <c r="S30" s="508"/>
      <c r="T30" s="508"/>
      <c r="U30" s="508"/>
      <c r="V30" s="508"/>
      <c r="W30" s="508"/>
      <c r="X30" s="508"/>
      <c r="Y30" s="508"/>
      <c r="Z30" s="508"/>
      <c r="AA30" s="508"/>
    </row>
    <row r="31">
      <c r="A31" s="508"/>
      <c r="B31" s="692" t="s">
        <v>848</v>
      </c>
      <c r="C31" s="692" t="s">
        <v>3186</v>
      </c>
      <c r="D31" s="970" t="s">
        <v>3168</v>
      </c>
      <c r="E31" s="970" t="s">
        <v>3168</v>
      </c>
      <c r="F31" s="508"/>
      <c r="G31" s="508"/>
      <c r="H31" s="970" t="s">
        <v>3168</v>
      </c>
      <c r="I31" s="508"/>
      <c r="J31" s="508"/>
      <c r="K31" s="508"/>
      <c r="L31" s="508"/>
      <c r="M31" s="508"/>
      <c r="N31" s="508"/>
      <c r="O31" s="508"/>
      <c r="P31" s="508"/>
      <c r="Q31" s="508"/>
      <c r="R31" s="508"/>
      <c r="S31" s="508"/>
      <c r="T31" s="508"/>
      <c r="U31" s="508"/>
      <c r="V31" s="508"/>
      <c r="W31" s="508"/>
      <c r="X31" s="508"/>
      <c r="Y31" s="508"/>
      <c r="Z31" s="508"/>
      <c r="AA31" s="508"/>
    </row>
    <row r="32">
      <c r="A32" s="508"/>
      <c r="B32" s="692" t="s">
        <v>888</v>
      </c>
      <c r="C32" s="692" t="s">
        <v>3187</v>
      </c>
      <c r="D32" s="508"/>
      <c r="E32" s="970" t="s">
        <v>3168</v>
      </c>
      <c r="F32" s="508"/>
      <c r="G32" s="508"/>
      <c r="H32" s="970" t="s">
        <v>3168</v>
      </c>
      <c r="I32" s="508"/>
      <c r="J32" s="508"/>
      <c r="K32" s="508"/>
      <c r="L32" s="508"/>
      <c r="M32" s="508"/>
      <c r="N32" s="508"/>
      <c r="O32" s="508"/>
      <c r="P32" s="508"/>
      <c r="Q32" s="508"/>
      <c r="R32" s="508"/>
      <c r="S32" s="508"/>
      <c r="T32" s="508"/>
      <c r="U32" s="508"/>
      <c r="V32" s="508"/>
      <c r="W32" s="508"/>
      <c r="X32" s="508"/>
      <c r="Y32" s="508"/>
      <c r="Z32" s="508"/>
      <c r="AA32" s="508"/>
    </row>
    <row r="33">
      <c r="A33" s="508"/>
      <c r="B33" s="692" t="s">
        <v>897</v>
      </c>
      <c r="C33" s="508"/>
      <c r="D33" s="508"/>
      <c r="E33" s="970" t="s">
        <v>3168</v>
      </c>
      <c r="F33" s="508"/>
      <c r="G33" s="508"/>
      <c r="H33" s="970" t="s">
        <v>3168</v>
      </c>
      <c r="I33" s="508"/>
      <c r="J33" s="508"/>
      <c r="K33" s="508"/>
      <c r="L33" s="508"/>
      <c r="M33" s="508"/>
      <c r="N33" s="508"/>
      <c r="O33" s="508"/>
      <c r="P33" s="508"/>
      <c r="Q33" s="508"/>
      <c r="R33" s="508"/>
      <c r="S33" s="508"/>
      <c r="T33" s="508"/>
      <c r="U33" s="508"/>
      <c r="V33" s="508"/>
      <c r="W33" s="508"/>
      <c r="X33" s="508"/>
      <c r="Y33" s="508"/>
      <c r="Z33" s="508"/>
      <c r="AA33" s="508"/>
    </row>
    <row r="34">
      <c r="A34" s="508"/>
      <c r="B34" s="692" t="s">
        <v>918</v>
      </c>
      <c r="C34" s="508"/>
      <c r="D34" s="508"/>
      <c r="E34" s="970" t="s">
        <v>3168</v>
      </c>
      <c r="F34" s="508"/>
      <c r="G34" s="508"/>
      <c r="H34" s="970" t="s">
        <v>3168</v>
      </c>
      <c r="I34" s="508"/>
      <c r="J34" s="508"/>
      <c r="K34" s="508"/>
      <c r="L34" s="508"/>
      <c r="M34" s="508"/>
      <c r="N34" s="508"/>
      <c r="O34" s="508"/>
      <c r="P34" s="508"/>
      <c r="Q34" s="508"/>
      <c r="R34" s="508"/>
      <c r="S34" s="508"/>
      <c r="T34" s="508"/>
      <c r="U34" s="508"/>
      <c r="V34" s="508"/>
      <c r="W34" s="508"/>
      <c r="X34" s="508"/>
      <c r="Y34" s="508"/>
      <c r="Z34" s="508"/>
      <c r="AA34" s="508"/>
    </row>
    <row r="35">
      <c r="A35" s="508"/>
      <c r="B35" s="692" t="s">
        <v>945</v>
      </c>
      <c r="C35" s="508"/>
      <c r="D35" s="970" t="s">
        <v>3168</v>
      </c>
      <c r="E35" s="970" t="s">
        <v>3168</v>
      </c>
      <c r="F35" s="508"/>
      <c r="G35" s="508"/>
      <c r="H35" s="970" t="s">
        <v>3168</v>
      </c>
      <c r="I35" s="508"/>
      <c r="J35" s="508"/>
      <c r="K35" s="508"/>
      <c r="L35" s="508"/>
      <c r="M35" s="508"/>
      <c r="N35" s="508"/>
      <c r="O35" s="508"/>
      <c r="P35" s="508"/>
      <c r="Q35" s="508"/>
      <c r="R35" s="508"/>
      <c r="S35" s="508"/>
      <c r="T35" s="508"/>
      <c r="U35" s="508"/>
      <c r="V35" s="508"/>
      <c r="W35" s="508"/>
      <c r="X35" s="508"/>
      <c r="Y35" s="508"/>
      <c r="Z35" s="508"/>
      <c r="AA35" s="508"/>
    </row>
    <row r="36">
      <c r="A36" s="508"/>
      <c r="B36" s="692" t="s">
        <v>967</v>
      </c>
      <c r="C36" s="508"/>
      <c r="D36" s="970" t="s">
        <v>3168</v>
      </c>
      <c r="E36" s="970" t="s">
        <v>3168</v>
      </c>
      <c r="F36" s="508"/>
      <c r="G36" s="508"/>
      <c r="H36" s="970" t="s">
        <v>3168</v>
      </c>
      <c r="I36" s="508"/>
      <c r="J36" s="508"/>
      <c r="K36" s="508"/>
      <c r="L36" s="508"/>
      <c r="M36" s="508"/>
      <c r="N36" s="508"/>
      <c r="O36" s="508"/>
      <c r="P36" s="508"/>
      <c r="Q36" s="508"/>
      <c r="R36" s="508"/>
      <c r="S36" s="508"/>
      <c r="T36" s="508"/>
      <c r="U36" s="508"/>
      <c r="V36" s="508"/>
      <c r="W36" s="508"/>
      <c r="X36" s="508"/>
      <c r="Y36" s="508"/>
      <c r="Z36" s="508"/>
      <c r="AA36" s="508"/>
    </row>
    <row r="37">
      <c r="A37" s="508"/>
      <c r="B37" s="692" t="s">
        <v>986</v>
      </c>
      <c r="C37" s="508"/>
      <c r="D37" s="508"/>
      <c r="E37" s="970" t="s">
        <v>3168</v>
      </c>
      <c r="F37" s="508"/>
      <c r="G37" s="508"/>
      <c r="H37" s="970" t="s">
        <v>3168</v>
      </c>
      <c r="I37" s="508"/>
      <c r="J37" s="508"/>
      <c r="K37" s="508"/>
      <c r="L37" s="508"/>
      <c r="M37" s="508"/>
      <c r="N37" s="508"/>
      <c r="O37" s="508"/>
      <c r="P37" s="508"/>
      <c r="Q37" s="508"/>
      <c r="R37" s="508"/>
      <c r="S37" s="508"/>
      <c r="T37" s="508"/>
      <c r="U37" s="508"/>
      <c r="V37" s="508"/>
      <c r="W37" s="508"/>
      <c r="X37" s="508"/>
      <c r="Y37" s="508"/>
      <c r="Z37" s="508"/>
      <c r="AA37" s="508"/>
    </row>
    <row r="38">
      <c r="A38" s="508"/>
      <c r="B38" s="692" t="s">
        <v>1006</v>
      </c>
      <c r="C38" s="508"/>
      <c r="D38" s="508"/>
      <c r="E38" s="970" t="s">
        <v>3168</v>
      </c>
      <c r="F38" s="508"/>
      <c r="G38" s="508"/>
      <c r="H38" s="970" t="s">
        <v>3168</v>
      </c>
      <c r="I38" s="508"/>
      <c r="J38" s="508"/>
      <c r="K38" s="508"/>
      <c r="L38" s="508"/>
      <c r="M38" s="508"/>
      <c r="N38" s="508"/>
      <c r="O38" s="508"/>
      <c r="P38" s="508"/>
      <c r="Q38" s="508"/>
      <c r="R38" s="508"/>
      <c r="S38" s="508"/>
      <c r="T38" s="508"/>
      <c r="U38" s="508"/>
      <c r="V38" s="508"/>
      <c r="W38" s="508"/>
      <c r="X38" s="508"/>
      <c r="Y38" s="508"/>
      <c r="Z38" s="508"/>
      <c r="AA38" s="508"/>
    </row>
    <row r="39">
      <c r="A39" s="508"/>
      <c r="B39" s="692" t="s">
        <v>1021</v>
      </c>
      <c r="C39" s="692" t="s">
        <v>3188</v>
      </c>
      <c r="D39" s="970" t="s">
        <v>3168</v>
      </c>
      <c r="E39" s="970" t="s">
        <v>3168</v>
      </c>
      <c r="F39" s="970" t="s">
        <v>3168</v>
      </c>
      <c r="G39" s="508"/>
      <c r="H39" s="970" t="s">
        <v>3168</v>
      </c>
      <c r="I39" s="508"/>
      <c r="J39" s="508"/>
      <c r="K39" s="508"/>
      <c r="L39" s="508"/>
      <c r="M39" s="508"/>
      <c r="N39" s="508"/>
      <c r="O39" s="508"/>
      <c r="P39" s="508"/>
      <c r="Q39" s="508"/>
      <c r="R39" s="508"/>
      <c r="S39" s="508"/>
      <c r="T39" s="508"/>
      <c r="U39" s="508"/>
      <c r="V39" s="508"/>
      <c r="W39" s="508"/>
      <c r="X39" s="508"/>
      <c r="Y39" s="508"/>
      <c r="Z39" s="508"/>
      <c r="AA39" s="508"/>
    </row>
    <row r="40">
      <c r="A40" s="508"/>
      <c r="B40" s="692" t="s">
        <v>1041</v>
      </c>
      <c r="C40" s="508"/>
      <c r="D40" s="508"/>
      <c r="E40" s="970" t="s">
        <v>3168</v>
      </c>
      <c r="F40" s="508"/>
      <c r="G40" s="508"/>
      <c r="H40" s="970" t="s">
        <v>3168</v>
      </c>
      <c r="I40" s="508"/>
      <c r="J40" s="508"/>
      <c r="K40" s="508"/>
      <c r="L40" s="508"/>
      <c r="M40" s="508"/>
      <c r="N40" s="508"/>
      <c r="O40" s="508"/>
      <c r="P40" s="508"/>
      <c r="Q40" s="508"/>
      <c r="R40" s="508"/>
      <c r="S40" s="508"/>
      <c r="T40" s="508"/>
      <c r="U40" s="508"/>
      <c r="V40" s="508"/>
      <c r="W40" s="508"/>
      <c r="X40" s="508"/>
      <c r="Y40" s="508"/>
      <c r="Z40" s="508"/>
      <c r="AA40" s="508"/>
    </row>
    <row r="41">
      <c r="A41" s="508"/>
      <c r="B41" s="692" t="s">
        <v>1055</v>
      </c>
      <c r="C41" s="508"/>
      <c r="D41" s="970" t="s">
        <v>3168</v>
      </c>
      <c r="E41" s="970" t="s">
        <v>3168</v>
      </c>
      <c r="F41" s="970" t="s">
        <v>3168</v>
      </c>
      <c r="G41" s="970" t="s">
        <v>3168</v>
      </c>
      <c r="H41" s="970" t="s">
        <v>3168</v>
      </c>
      <c r="I41" s="508"/>
      <c r="J41" s="508"/>
      <c r="K41" s="508"/>
      <c r="L41" s="508"/>
      <c r="M41" s="508"/>
      <c r="N41" s="508"/>
      <c r="O41" s="508"/>
      <c r="P41" s="508"/>
      <c r="Q41" s="508"/>
      <c r="R41" s="508"/>
      <c r="S41" s="508"/>
      <c r="T41" s="508"/>
      <c r="U41" s="508"/>
      <c r="V41" s="508"/>
      <c r="W41" s="508"/>
      <c r="X41" s="508"/>
      <c r="Y41" s="508"/>
      <c r="Z41" s="508"/>
      <c r="AA41" s="508"/>
    </row>
    <row r="42">
      <c r="A42" s="508"/>
      <c r="B42" s="692" t="s">
        <v>1955</v>
      </c>
      <c r="C42" s="508"/>
      <c r="D42" s="508"/>
      <c r="E42" s="970" t="s">
        <v>3168</v>
      </c>
      <c r="F42" s="508"/>
      <c r="G42" s="508"/>
      <c r="H42" s="970" t="s">
        <v>3168</v>
      </c>
      <c r="I42" s="508"/>
      <c r="J42" s="508"/>
      <c r="K42" s="508"/>
      <c r="L42" s="508"/>
      <c r="M42" s="508"/>
      <c r="N42" s="508"/>
      <c r="O42" s="508"/>
      <c r="P42" s="508"/>
      <c r="Q42" s="508"/>
      <c r="R42" s="508"/>
      <c r="S42" s="508"/>
      <c r="T42" s="508"/>
      <c r="U42" s="508"/>
      <c r="V42" s="508"/>
      <c r="W42" s="508"/>
      <c r="X42" s="508"/>
      <c r="Y42" s="508"/>
      <c r="Z42" s="508"/>
      <c r="AA42" s="508"/>
    </row>
    <row r="43">
      <c r="A43" s="508"/>
      <c r="B43" s="692" t="s">
        <v>1093</v>
      </c>
      <c r="C43" s="692" t="s">
        <v>3189</v>
      </c>
      <c r="D43" s="508"/>
      <c r="E43" s="970" t="s">
        <v>3168</v>
      </c>
      <c r="F43" s="508"/>
      <c r="G43" s="508"/>
      <c r="H43" s="970" t="s">
        <v>3168</v>
      </c>
      <c r="I43" s="508"/>
      <c r="J43" s="508"/>
      <c r="K43" s="508"/>
      <c r="L43" s="508"/>
      <c r="M43" s="508"/>
      <c r="N43" s="508"/>
      <c r="O43" s="508"/>
      <c r="P43" s="508"/>
      <c r="Q43" s="508"/>
      <c r="R43" s="508"/>
      <c r="S43" s="508"/>
      <c r="T43" s="508"/>
      <c r="U43" s="508"/>
      <c r="V43" s="508"/>
      <c r="W43" s="508"/>
      <c r="X43" s="508"/>
      <c r="Y43" s="508"/>
      <c r="Z43" s="508"/>
      <c r="AA43" s="508"/>
    </row>
    <row r="44">
      <c r="A44" s="508"/>
      <c r="B44" s="692" t="s">
        <v>1122</v>
      </c>
      <c r="C44" s="508"/>
      <c r="D44" s="508"/>
      <c r="E44" s="970" t="s">
        <v>3168</v>
      </c>
      <c r="F44" s="508"/>
      <c r="G44" s="508"/>
      <c r="H44" s="970" t="s">
        <v>3168</v>
      </c>
      <c r="I44" s="508"/>
      <c r="J44" s="508"/>
      <c r="K44" s="508"/>
      <c r="L44" s="508"/>
      <c r="M44" s="508"/>
      <c r="N44" s="508"/>
      <c r="O44" s="508"/>
      <c r="P44" s="508"/>
      <c r="Q44" s="508"/>
      <c r="R44" s="508"/>
      <c r="S44" s="508"/>
      <c r="T44" s="508"/>
      <c r="U44" s="508"/>
      <c r="V44" s="508"/>
      <c r="W44" s="508"/>
      <c r="X44" s="508"/>
      <c r="Y44" s="508"/>
      <c r="Z44" s="508"/>
      <c r="AA44" s="508"/>
    </row>
    <row r="45">
      <c r="A45" s="508"/>
      <c r="B45" s="692" t="s">
        <v>1138</v>
      </c>
      <c r="C45" s="692" t="s">
        <v>3190</v>
      </c>
      <c r="D45" s="508"/>
      <c r="E45" s="970" t="s">
        <v>3168</v>
      </c>
      <c r="F45" s="508"/>
      <c r="G45" s="508"/>
      <c r="H45" s="970" t="s">
        <v>3168</v>
      </c>
      <c r="I45" s="508"/>
      <c r="J45" s="508"/>
      <c r="K45" s="508"/>
      <c r="L45" s="508"/>
      <c r="M45" s="508"/>
      <c r="N45" s="508"/>
      <c r="O45" s="508"/>
      <c r="P45" s="508"/>
      <c r="Q45" s="508"/>
      <c r="R45" s="508"/>
      <c r="S45" s="508"/>
      <c r="T45" s="508"/>
      <c r="U45" s="508"/>
      <c r="V45" s="508"/>
      <c r="W45" s="508"/>
      <c r="X45" s="508"/>
      <c r="Y45" s="508"/>
      <c r="Z45" s="508"/>
      <c r="AA45" s="508"/>
    </row>
    <row r="46">
      <c r="A46" s="508"/>
      <c r="B46" s="692" t="s">
        <v>1165</v>
      </c>
      <c r="C46" s="508"/>
      <c r="D46" s="508"/>
      <c r="E46" s="970" t="s">
        <v>3168</v>
      </c>
      <c r="F46" s="508"/>
      <c r="G46" s="508"/>
      <c r="H46" s="970" t="s">
        <v>3168</v>
      </c>
      <c r="I46" s="508"/>
      <c r="J46" s="508"/>
      <c r="K46" s="508"/>
      <c r="L46" s="508"/>
      <c r="M46" s="508"/>
      <c r="N46" s="508"/>
      <c r="O46" s="508"/>
      <c r="P46" s="508"/>
      <c r="Q46" s="508"/>
      <c r="R46" s="508"/>
      <c r="S46" s="508"/>
      <c r="T46" s="508"/>
      <c r="U46" s="508"/>
      <c r="V46" s="508"/>
      <c r="W46" s="508"/>
      <c r="X46" s="508"/>
      <c r="Y46" s="508"/>
      <c r="Z46" s="508"/>
      <c r="AA46" s="508"/>
    </row>
    <row r="47">
      <c r="A47" s="508"/>
      <c r="B47" s="692" t="s">
        <v>1180</v>
      </c>
      <c r="C47" s="692" t="s">
        <v>3191</v>
      </c>
      <c r="D47" s="508"/>
      <c r="E47" s="970" t="s">
        <v>3168</v>
      </c>
      <c r="F47" s="970" t="s">
        <v>3168</v>
      </c>
      <c r="G47" s="508"/>
      <c r="H47" s="970" t="s">
        <v>3168</v>
      </c>
      <c r="I47" s="508"/>
      <c r="J47" s="508"/>
      <c r="K47" s="508"/>
      <c r="L47" s="508"/>
      <c r="M47" s="508"/>
      <c r="N47" s="508"/>
      <c r="O47" s="508"/>
      <c r="P47" s="508"/>
      <c r="Q47" s="508"/>
      <c r="R47" s="508"/>
      <c r="S47" s="508"/>
      <c r="T47" s="508"/>
      <c r="U47" s="508"/>
      <c r="V47" s="508"/>
      <c r="W47" s="508"/>
      <c r="X47" s="508"/>
      <c r="Y47" s="508"/>
      <c r="Z47" s="508"/>
      <c r="AA47" s="508"/>
    </row>
    <row r="48">
      <c r="A48" s="508"/>
      <c r="B48" s="692" t="s">
        <v>1813</v>
      </c>
      <c r="C48" s="692" t="s">
        <v>1813</v>
      </c>
      <c r="D48" s="508"/>
      <c r="E48" s="970" t="s">
        <v>3168</v>
      </c>
      <c r="F48" s="508"/>
      <c r="G48" s="508"/>
      <c r="H48" s="970" t="s">
        <v>3168</v>
      </c>
      <c r="I48" s="508"/>
      <c r="J48" s="508"/>
      <c r="K48" s="508"/>
      <c r="L48" s="508"/>
      <c r="M48" s="508"/>
      <c r="N48" s="508"/>
      <c r="O48" s="508"/>
      <c r="P48" s="508"/>
      <c r="Q48" s="508"/>
      <c r="R48" s="508"/>
      <c r="S48" s="508"/>
      <c r="T48" s="508"/>
      <c r="U48" s="508"/>
      <c r="V48" s="508"/>
      <c r="W48" s="508"/>
      <c r="X48" s="508"/>
      <c r="Y48" s="508"/>
      <c r="Z48" s="508"/>
      <c r="AA48" s="508"/>
    </row>
    <row r="49">
      <c r="A49" s="508"/>
      <c r="B49" s="692" t="s">
        <v>1650</v>
      </c>
      <c r="C49" s="508"/>
      <c r="D49" s="508"/>
      <c r="E49" s="970" t="s">
        <v>3168</v>
      </c>
      <c r="F49" s="508"/>
      <c r="G49" s="508"/>
      <c r="H49" s="970" t="s">
        <v>3168</v>
      </c>
      <c r="I49" s="508"/>
      <c r="J49" s="508"/>
      <c r="K49" s="508"/>
      <c r="L49" s="508"/>
      <c r="M49" s="508"/>
      <c r="N49" s="508"/>
      <c r="O49" s="508"/>
      <c r="P49" s="508"/>
      <c r="Q49" s="508"/>
      <c r="R49" s="508"/>
      <c r="S49" s="508"/>
      <c r="T49" s="508"/>
      <c r="U49" s="508"/>
      <c r="V49" s="508"/>
      <c r="W49" s="508"/>
      <c r="X49" s="508"/>
      <c r="Y49" s="508"/>
      <c r="Z49" s="508"/>
      <c r="AA49" s="508"/>
    </row>
    <row r="50">
      <c r="A50" s="508"/>
      <c r="B50" s="508"/>
      <c r="C50" s="508"/>
      <c r="D50" s="508"/>
      <c r="E50" s="967"/>
      <c r="F50" s="508"/>
      <c r="G50" s="508"/>
      <c r="H50" s="967"/>
      <c r="I50" s="508"/>
      <c r="J50" s="508"/>
      <c r="K50" s="508"/>
      <c r="L50" s="508"/>
      <c r="M50" s="508"/>
      <c r="N50" s="508"/>
      <c r="O50" s="508"/>
      <c r="P50" s="508"/>
      <c r="Q50" s="508"/>
      <c r="R50" s="508"/>
      <c r="S50" s="508"/>
      <c r="T50" s="508"/>
      <c r="U50" s="508"/>
      <c r="V50" s="508"/>
      <c r="W50" s="508"/>
      <c r="X50" s="508"/>
      <c r="Y50" s="508"/>
      <c r="Z50" s="508"/>
      <c r="AA50" s="508"/>
    </row>
    <row r="51">
      <c r="A51" s="508"/>
      <c r="B51" s="508"/>
      <c r="C51" s="508"/>
      <c r="D51" s="508"/>
      <c r="E51" s="967"/>
      <c r="F51" s="508"/>
      <c r="G51" s="508"/>
      <c r="H51" s="967"/>
      <c r="I51" s="508"/>
      <c r="J51" s="508"/>
      <c r="K51" s="508"/>
      <c r="L51" s="508"/>
      <c r="M51" s="508"/>
      <c r="N51" s="508"/>
      <c r="O51" s="508"/>
      <c r="P51" s="508"/>
      <c r="Q51" s="508"/>
      <c r="R51" s="508"/>
      <c r="S51" s="508"/>
      <c r="T51" s="508"/>
      <c r="U51" s="508"/>
      <c r="V51" s="508"/>
      <c r="W51" s="508"/>
      <c r="X51" s="508"/>
      <c r="Y51" s="508"/>
      <c r="Z51" s="508"/>
      <c r="AA51" s="508"/>
    </row>
    <row r="52">
      <c r="A52" s="508"/>
      <c r="B52" s="508"/>
      <c r="C52" s="508"/>
      <c r="D52" s="508"/>
      <c r="E52" s="967"/>
      <c r="F52" s="508"/>
      <c r="G52" s="508"/>
      <c r="H52" s="967"/>
      <c r="I52" s="508"/>
      <c r="J52" s="508"/>
      <c r="K52" s="508"/>
      <c r="L52" s="508"/>
      <c r="M52" s="508"/>
      <c r="N52" s="508"/>
      <c r="O52" s="508"/>
      <c r="P52" s="508"/>
      <c r="Q52" s="508"/>
      <c r="R52" s="508"/>
      <c r="S52" s="508"/>
      <c r="T52" s="508"/>
      <c r="U52" s="508"/>
      <c r="V52" s="508"/>
      <c r="W52" s="508"/>
      <c r="X52" s="508"/>
      <c r="Y52" s="508"/>
      <c r="Z52" s="508"/>
      <c r="AA52" s="508"/>
    </row>
    <row r="53">
      <c r="A53" s="508"/>
      <c r="B53" s="508"/>
      <c r="C53" s="508"/>
      <c r="D53" s="508"/>
      <c r="E53" s="967"/>
      <c r="F53" s="508"/>
      <c r="G53" s="508"/>
      <c r="H53" s="967"/>
      <c r="I53" s="508"/>
      <c r="J53" s="508"/>
      <c r="K53" s="508"/>
      <c r="L53" s="508"/>
      <c r="M53" s="508"/>
      <c r="N53" s="508"/>
      <c r="O53" s="508"/>
      <c r="P53" s="508"/>
      <c r="Q53" s="508"/>
      <c r="R53" s="508"/>
      <c r="S53" s="508"/>
      <c r="T53" s="508"/>
      <c r="U53" s="508"/>
      <c r="V53" s="508"/>
      <c r="W53" s="508"/>
      <c r="X53" s="508"/>
      <c r="Y53" s="508"/>
      <c r="Z53" s="508"/>
      <c r="AA53" s="508"/>
    </row>
    <row r="54">
      <c r="A54" s="508"/>
      <c r="B54" s="508"/>
      <c r="C54" s="508"/>
      <c r="D54" s="508"/>
      <c r="E54" s="967"/>
      <c r="F54" s="508"/>
      <c r="G54" s="508"/>
      <c r="H54" s="967"/>
      <c r="I54" s="508"/>
      <c r="J54" s="508"/>
      <c r="K54" s="508"/>
      <c r="L54" s="508"/>
      <c r="M54" s="508"/>
      <c r="N54" s="508"/>
      <c r="O54" s="508"/>
      <c r="P54" s="508"/>
      <c r="Q54" s="508"/>
      <c r="R54" s="508"/>
      <c r="S54" s="508"/>
      <c r="T54" s="508"/>
      <c r="U54" s="508"/>
      <c r="V54" s="508"/>
      <c r="W54" s="508"/>
      <c r="X54" s="508"/>
      <c r="Y54" s="508"/>
      <c r="Z54" s="508"/>
      <c r="AA54" s="508"/>
    </row>
    <row r="55">
      <c r="A55" s="508"/>
      <c r="B55" s="508"/>
      <c r="C55" s="508"/>
      <c r="D55" s="508"/>
      <c r="E55" s="967"/>
      <c r="F55" s="508"/>
      <c r="G55" s="508"/>
      <c r="H55" s="967"/>
      <c r="I55" s="508"/>
      <c r="J55" s="508"/>
      <c r="K55" s="508"/>
      <c r="L55" s="508"/>
      <c r="M55" s="508"/>
      <c r="N55" s="508"/>
      <c r="O55" s="508"/>
      <c r="P55" s="508"/>
      <c r="Q55" s="508"/>
      <c r="R55" s="508"/>
      <c r="S55" s="508"/>
      <c r="T55" s="508"/>
      <c r="U55" s="508"/>
      <c r="V55" s="508"/>
      <c r="W55" s="508"/>
      <c r="X55" s="508"/>
      <c r="Y55" s="508"/>
      <c r="Z55" s="508"/>
      <c r="AA55" s="508"/>
    </row>
    <row r="56">
      <c r="A56" s="508"/>
      <c r="B56" s="508"/>
      <c r="C56" s="508"/>
      <c r="D56" s="508"/>
      <c r="E56" s="967"/>
      <c r="F56" s="508"/>
      <c r="G56" s="508"/>
      <c r="H56" s="967"/>
      <c r="I56" s="508"/>
      <c r="J56" s="508"/>
      <c r="K56" s="508"/>
      <c r="L56" s="508"/>
      <c r="M56" s="508"/>
      <c r="N56" s="508"/>
      <c r="O56" s="508"/>
      <c r="P56" s="508"/>
      <c r="Q56" s="508"/>
      <c r="R56" s="508"/>
      <c r="S56" s="508"/>
      <c r="T56" s="508"/>
      <c r="U56" s="508"/>
      <c r="V56" s="508"/>
      <c r="W56" s="508"/>
      <c r="X56" s="508"/>
      <c r="Y56" s="508"/>
      <c r="Z56" s="508"/>
      <c r="AA56" s="508"/>
    </row>
    <row r="57">
      <c r="A57" s="508"/>
      <c r="B57" s="508"/>
      <c r="C57" s="508"/>
      <c r="D57" s="508"/>
      <c r="E57" s="967"/>
      <c r="F57" s="508"/>
      <c r="G57" s="508"/>
      <c r="H57" s="967"/>
      <c r="I57" s="508"/>
      <c r="J57" s="508"/>
      <c r="K57" s="508"/>
      <c r="L57" s="508"/>
      <c r="M57" s="508"/>
      <c r="N57" s="508"/>
      <c r="O57" s="508"/>
      <c r="P57" s="508"/>
      <c r="Q57" s="508"/>
      <c r="R57" s="508"/>
      <c r="S57" s="508"/>
      <c r="T57" s="508"/>
      <c r="U57" s="508"/>
      <c r="V57" s="508"/>
      <c r="W57" s="508"/>
      <c r="X57" s="508"/>
      <c r="Y57" s="508"/>
      <c r="Z57" s="508"/>
      <c r="AA57" s="508"/>
    </row>
    <row r="58">
      <c r="A58" s="508"/>
      <c r="B58" s="508"/>
      <c r="C58" s="508"/>
      <c r="D58" s="508"/>
      <c r="E58" s="967"/>
      <c r="F58" s="508"/>
      <c r="G58" s="508"/>
      <c r="H58" s="967"/>
      <c r="I58" s="508"/>
      <c r="J58" s="508"/>
      <c r="K58" s="508"/>
      <c r="L58" s="508"/>
      <c r="M58" s="508"/>
      <c r="N58" s="508"/>
      <c r="O58" s="508"/>
      <c r="P58" s="508"/>
      <c r="Q58" s="508"/>
      <c r="R58" s="508"/>
      <c r="S58" s="508"/>
      <c r="T58" s="508"/>
      <c r="U58" s="508"/>
      <c r="V58" s="508"/>
      <c r="W58" s="508"/>
      <c r="X58" s="508"/>
      <c r="Y58" s="508"/>
      <c r="Z58" s="508"/>
      <c r="AA58" s="508"/>
    </row>
    <row r="59">
      <c r="A59" s="508"/>
      <c r="B59" s="508"/>
      <c r="C59" s="508"/>
      <c r="D59" s="508"/>
      <c r="E59" s="967"/>
      <c r="F59" s="508"/>
      <c r="G59" s="508"/>
      <c r="H59" s="967"/>
      <c r="I59" s="508"/>
      <c r="J59" s="508"/>
      <c r="K59" s="508"/>
      <c r="L59" s="508"/>
      <c r="M59" s="508"/>
      <c r="N59" s="508"/>
      <c r="O59" s="508"/>
      <c r="P59" s="508"/>
      <c r="Q59" s="508"/>
      <c r="R59" s="508"/>
      <c r="S59" s="508"/>
      <c r="T59" s="508"/>
      <c r="U59" s="508"/>
      <c r="V59" s="508"/>
      <c r="W59" s="508"/>
      <c r="X59" s="508"/>
      <c r="Y59" s="508"/>
      <c r="Z59" s="508"/>
      <c r="AA59" s="508"/>
    </row>
    <row r="60">
      <c r="A60" s="508"/>
      <c r="B60" s="508"/>
      <c r="C60" s="508"/>
      <c r="D60" s="508"/>
      <c r="E60" s="967"/>
      <c r="F60" s="508"/>
      <c r="G60" s="508"/>
      <c r="H60" s="967"/>
      <c r="I60" s="508"/>
      <c r="J60" s="508"/>
      <c r="K60" s="508"/>
      <c r="L60" s="508"/>
      <c r="M60" s="508"/>
      <c r="N60" s="508"/>
      <c r="O60" s="508"/>
      <c r="P60" s="508"/>
      <c r="Q60" s="508"/>
      <c r="R60" s="508"/>
      <c r="S60" s="508"/>
      <c r="T60" s="508"/>
      <c r="U60" s="508"/>
      <c r="V60" s="508"/>
      <c r="W60" s="508"/>
      <c r="X60" s="508"/>
      <c r="Y60" s="508"/>
      <c r="Z60" s="508"/>
      <c r="AA60" s="508"/>
    </row>
    <row r="61">
      <c r="A61" s="508"/>
      <c r="B61" s="508"/>
      <c r="C61" s="508"/>
      <c r="D61" s="508"/>
      <c r="E61" s="967"/>
      <c r="F61" s="508"/>
      <c r="G61" s="508"/>
      <c r="H61" s="967"/>
      <c r="I61" s="508"/>
      <c r="J61" s="508"/>
      <c r="K61" s="508"/>
      <c r="L61" s="508"/>
      <c r="M61" s="508"/>
      <c r="N61" s="508"/>
      <c r="O61" s="508"/>
      <c r="P61" s="508"/>
      <c r="Q61" s="508"/>
      <c r="R61" s="508"/>
      <c r="S61" s="508"/>
      <c r="T61" s="508"/>
      <c r="U61" s="508"/>
      <c r="V61" s="508"/>
      <c r="W61" s="508"/>
      <c r="X61" s="508"/>
      <c r="Y61" s="508"/>
      <c r="Z61" s="508"/>
      <c r="AA61" s="508"/>
    </row>
    <row r="62">
      <c r="A62" s="508"/>
      <c r="B62" s="508"/>
      <c r="C62" s="508"/>
      <c r="D62" s="508"/>
      <c r="E62" s="967"/>
      <c r="F62" s="508"/>
      <c r="G62" s="508"/>
      <c r="H62" s="967"/>
      <c r="I62" s="508"/>
      <c r="J62" s="508"/>
      <c r="K62" s="508"/>
      <c r="L62" s="508"/>
      <c r="M62" s="508"/>
      <c r="N62" s="508"/>
      <c r="O62" s="508"/>
      <c r="P62" s="508"/>
      <c r="Q62" s="508"/>
      <c r="R62" s="508"/>
      <c r="S62" s="508"/>
      <c r="T62" s="508"/>
      <c r="U62" s="508"/>
      <c r="V62" s="508"/>
      <c r="W62" s="508"/>
      <c r="X62" s="508"/>
      <c r="Y62" s="508"/>
      <c r="Z62" s="508"/>
      <c r="AA62" s="508"/>
    </row>
    <row r="63">
      <c r="A63" s="508"/>
      <c r="B63" s="508"/>
      <c r="C63" s="508"/>
      <c r="D63" s="508"/>
      <c r="E63" s="967"/>
      <c r="F63" s="508"/>
      <c r="G63" s="508"/>
      <c r="H63" s="967"/>
      <c r="I63" s="508"/>
      <c r="J63" s="508"/>
      <c r="K63" s="508"/>
      <c r="L63" s="508"/>
      <c r="M63" s="508"/>
      <c r="N63" s="508"/>
      <c r="O63" s="508"/>
      <c r="P63" s="508"/>
      <c r="Q63" s="508"/>
      <c r="R63" s="508"/>
      <c r="S63" s="508"/>
      <c r="T63" s="508"/>
      <c r="U63" s="508"/>
      <c r="V63" s="508"/>
      <c r="W63" s="508"/>
      <c r="X63" s="508"/>
      <c r="Y63" s="508"/>
      <c r="Z63" s="508"/>
      <c r="AA63" s="508"/>
    </row>
    <row r="64">
      <c r="A64" s="508"/>
      <c r="B64" s="508"/>
      <c r="C64" s="508"/>
      <c r="D64" s="508"/>
      <c r="E64" s="967"/>
      <c r="F64" s="508"/>
      <c r="G64" s="508"/>
      <c r="H64" s="967"/>
      <c r="I64" s="508"/>
      <c r="J64" s="508"/>
      <c r="K64" s="508"/>
      <c r="L64" s="508"/>
      <c r="M64" s="508"/>
      <c r="N64" s="508"/>
      <c r="O64" s="508"/>
      <c r="P64" s="508"/>
      <c r="Q64" s="508"/>
      <c r="R64" s="508"/>
      <c r="S64" s="508"/>
      <c r="T64" s="508"/>
      <c r="U64" s="508"/>
      <c r="V64" s="508"/>
      <c r="W64" s="508"/>
      <c r="X64" s="508"/>
      <c r="Y64" s="508"/>
      <c r="Z64" s="508"/>
      <c r="AA64" s="508"/>
    </row>
    <row r="65">
      <c r="A65" s="508"/>
      <c r="B65" s="508"/>
      <c r="C65" s="508"/>
      <c r="D65" s="508"/>
      <c r="E65" s="967"/>
      <c r="F65" s="508"/>
      <c r="G65" s="508"/>
      <c r="H65" s="967"/>
      <c r="I65" s="508"/>
      <c r="J65" s="508"/>
      <c r="K65" s="508"/>
      <c r="L65" s="508"/>
      <c r="M65" s="508"/>
      <c r="N65" s="508"/>
      <c r="O65" s="508"/>
      <c r="P65" s="508"/>
      <c r="Q65" s="508"/>
      <c r="R65" s="508"/>
      <c r="S65" s="508"/>
      <c r="T65" s="508"/>
      <c r="U65" s="508"/>
      <c r="V65" s="508"/>
      <c r="W65" s="508"/>
      <c r="X65" s="508"/>
      <c r="Y65" s="508"/>
      <c r="Z65" s="508"/>
      <c r="AA65" s="508"/>
    </row>
    <row r="66">
      <c r="A66" s="508"/>
      <c r="B66" s="508"/>
      <c r="C66" s="508"/>
      <c r="D66" s="508"/>
      <c r="E66" s="967"/>
      <c r="F66" s="508"/>
      <c r="G66" s="508"/>
      <c r="H66" s="967"/>
      <c r="I66" s="508"/>
      <c r="J66" s="508"/>
      <c r="K66" s="508"/>
      <c r="L66" s="508"/>
      <c r="M66" s="508"/>
      <c r="N66" s="508"/>
      <c r="O66" s="508"/>
      <c r="P66" s="508"/>
      <c r="Q66" s="508"/>
      <c r="R66" s="508"/>
      <c r="S66" s="508"/>
      <c r="T66" s="508"/>
      <c r="U66" s="508"/>
      <c r="V66" s="508"/>
      <c r="W66" s="508"/>
      <c r="X66" s="508"/>
      <c r="Y66" s="508"/>
      <c r="Z66" s="508"/>
      <c r="AA66" s="508"/>
    </row>
    <row r="67">
      <c r="A67" s="508"/>
      <c r="B67" s="508"/>
      <c r="C67" s="508"/>
      <c r="D67" s="508"/>
      <c r="E67" s="967"/>
      <c r="F67" s="508"/>
      <c r="G67" s="508"/>
      <c r="H67" s="967"/>
      <c r="I67" s="508"/>
      <c r="J67" s="508"/>
      <c r="K67" s="508"/>
      <c r="L67" s="508"/>
      <c r="M67" s="508"/>
      <c r="N67" s="508"/>
      <c r="O67" s="508"/>
      <c r="P67" s="508"/>
      <c r="Q67" s="508"/>
      <c r="R67" s="508"/>
      <c r="S67" s="508"/>
      <c r="T67" s="508"/>
      <c r="U67" s="508"/>
      <c r="V67" s="508"/>
      <c r="W67" s="508"/>
      <c r="X67" s="508"/>
      <c r="Y67" s="508"/>
      <c r="Z67" s="508"/>
      <c r="AA67" s="508"/>
    </row>
    <row r="68">
      <c r="A68" s="508"/>
      <c r="B68" s="508"/>
      <c r="C68" s="508"/>
      <c r="D68" s="508"/>
      <c r="E68" s="967"/>
      <c r="F68" s="508"/>
      <c r="G68" s="508"/>
      <c r="H68" s="967"/>
      <c r="I68" s="508"/>
      <c r="J68" s="508"/>
      <c r="K68" s="508"/>
      <c r="L68" s="508"/>
      <c r="M68" s="508"/>
      <c r="N68" s="508"/>
      <c r="O68" s="508"/>
      <c r="P68" s="508"/>
      <c r="Q68" s="508"/>
      <c r="R68" s="508"/>
      <c r="S68" s="508"/>
      <c r="T68" s="508"/>
      <c r="U68" s="508"/>
      <c r="V68" s="508"/>
      <c r="W68" s="508"/>
      <c r="X68" s="508"/>
      <c r="Y68" s="508"/>
      <c r="Z68" s="508"/>
      <c r="AA68" s="508"/>
    </row>
    <row r="69">
      <c r="A69" s="508"/>
      <c r="B69" s="508"/>
      <c r="C69" s="508"/>
      <c r="D69" s="508"/>
      <c r="E69" s="967"/>
      <c r="F69" s="508"/>
      <c r="G69" s="508"/>
      <c r="H69" s="967"/>
      <c r="I69" s="508"/>
      <c r="J69" s="508"/>
      <c r="K69" s="508"/>
      <c r="L69" s="508"/>
      <c r="M69" s="508"/>
      <c r="N69" s="508"/>
      <c r="O69" s="508"/>
      <c r="P69" s="508"/>
      <c r="Q69" s="508"/>
      <c r="R69" s="508"/>
      <c r="S69" s="508"/>
      <c r="T69" s="508"/>
      <c r="U69" s="508"/>
      <c r="V69" s="508"/>
      <c r="W69" s="508"/>
      <c r="X69" s="508"/>
      <c r="Y69" s="508"/>
      <c r="Z69" s="508"/>
      <c r="AA69" s="508"/>
    </row>
    <row r="70">
      <c r="A70" s="508"/>
      <c r="B70" s="508"/>
      <c r="C70" s="508"/>
      <c r="D70" s="508"/>
      <c r="E70" s="967"/>
      <c r="F70" s="508"/>
      <c r="G70" s="508"/>
      <c r="H70" s="967"/>
      <c r="I70" s="508"/>
      <c r="J70" s="508"/>
      <c r="K70" s="508"/>
      <c r="L70" s="508"/>
      <c r="M70" s="508"/>
      <c r="N70" s="508"/>
      <c r="O70" s="508"/>
      <c r="P70" s="508"/>
      <c r="Q70" s="508"/>
      <c r="R70" s="508"/>
      <c r="S70" s="508"/>
      <c r="T70" s="508"/>
      <c r="U70" s="508"/>
      <c r="V70" s="508"/>
      <c r="W70" s="508"/>
      <c r="X70" s="508"/>
      <c r="Y70" s="508"/>
      <c r="Z70" s="508"/>
      <c r="AA70" s="508"/>
    </row>
    <row r="71">
      <c r="A71" s="508"/>
      <c r="B71" s="508"/>
      <c r="C71" s="508"/>
      <c r="D71" s="508"/>
      <c r="E71" s="967"/>
      <c r="F71" s="508"/>
      <c r="G71" s="508"/>
      <c r="H71" s="967"/>
      <c r="I71" s="508"/>
      <c r="J71" s="508"/>
      <c r="K71" s="508"/>
      <c r="L71" s="508"/>
      <c r="M71" s="508"/>
      <c r="N71" s="508"/>
      <c r="O71" s="508"/>
      <c r="P71" s="508"/>
      <c r="Q71" s="508"/>
      <c r="R71" s="508"/>
      <c r="S71" s="508"/>
      <c r="T71" s="508"/>
      <c r="U71" s="508"/>
      <c r="V71" s="508"/>
      <c r="W71" s="508"/>
      <c r="X71" s="508"/>
      <c r="Y71" s="508"/>
      <c r="Z71" s="508"/>
      <c r="AA71" s="508"/>
    </row>
    <row r="72">
      <c r="A72" s="508"/>
      <c r="B72" s="508"/>
      <c r="C72" s="508"/>
      <c r="D72" s="508"/>
      <c r="E72" s="967"/>
      <c r="F72" s="508"/>
      <c r="G72" s="508"/>
      <c r="H72" s="967"/>
      <c r="I72" s="508"/>
      <c r="J72" s="508"/>
      <c r="K72" s="508"/>
      <c r="L72" s="508"/>
      <c r="M72" s="508"/>
      <c r="N72" s="508"/>
      <c r="O72" s="508"/>
      <c r="P72" s="508"/>
      <c r="Q72" s="508"/>
      <c r="R72" s="508"/>
      <c r="S72" s="508"/>
      <c r="T72" s="508"/>
      <c r="U72" s="508"/>
      <c r="V72" s="508"/>
      <c r="W72" s="508"/>
      <c r="X72" s="508"/>
      <c r="Y72" s="508"/>
      <c r="Z72" s="508"/>
      <c r="AA72" s="508"/>
    </row>
    <row r="73">
      <c r="A73" s="508"/>
      <c r="B73" s="508"/>
      <c r="C73" s="508"/>
      <c r="D73" s="508"/>
      <c r="E73" s="967"/>
      <c r="F73" s="508"/>
      <c r="G73" s="508"/>
      <c r="H73" s="967"/>
      <c r="I73" s="508"/>
      <c r="J73" s="508"/>
      <c r="K73" s="508"/>
      <c r="L73" s="508"/>
      <c r="M73" s="508"/>
      <c r="N73" s="508"/>
      <c r="O73" s="508"/>
      <c r="P73" s="508"/>
      <c r="Q73" s="508"/>
      <c r="R73" s="508"/>
      <c r="S73" s="508"/>
      <c r="T73" s="508"/>
      <c r="U73" s="508"/>
      <c r="V73" s="508"/>
      <c r="W73" s="508"/>
      <c r="X73" s="508"/>
      <c r="Y73" s="508"/>
      <c r="Z73" s="508"/>
      <c r="AA73" s="508"/>
    </row>
    <row r="74">
      <c r="A74" s="508"/>
      <c r="B74" s="508"/>
      <c r="C74" s="508"/>
      <c r="D74" s="508"/>
      <c r="E74" s="967"/>
      <c r="F74" s="508"/>
      <c r="G74" s="508"/>
      <c r="H74" s="967"/>
      <c r="I74" s="508"/>
      <c r="J74" s="508"/>
      <c r="K74" s="508"/>
      <c r="L74" s="508"/>
      <c r="M74" s="508"/>
      <c r="N74" s="508"/>
      <c r="O74" s="508"/>
      <c r="P74" s="508"/>
      <c r="Q74" s="508"/>
      <c r="R74" s="508"/>
      <c r="S74" s="508"/>
      <c r="T74" s="508"/>
      <c r="U74" s="508"/>
      <c r="V74" s="508"/>
      <c r="W74" s="508"/>
      <c r="X74" s="508"/>
      <c r="Y74" s="508"/>
      <c r="Z74" s="508"/>
      <c r="AA74" s="508"/>
    </row>
    <row r="75">
      <c r="A75" s="508"/>
      <c r="B75" s="508"/>
      <c r="C75" s="508"/>
      <c r="D75" s="508"/>
      <c r="E75" s="967"/>
      <c r="F75" s="508"/>
      <c r="G75" s="508"/>
      <c r="H75" s="967"/>
      <c r="I75" s="508"/>
      <c r="J75" s="508"/>
      <c r="K75" s="508"/>
      <c r="L75" s="508"/>
      <c r="M75" s="508"/>
      <c r="N75" s="508"/>
      <c r="O75" s="508"/>
      <c r="P75" s="508"/>
      <c r="Q75" s="508"/>
      <c r="R75" s="508"/>
      <c r="S75" s="508"/>
      <c r="T75" s="508"/>
      <c r="U75" s="508"/>
      <c r="V75" s="508"/>
      <c r="W75" s="508"/>
      <c r="X75" s="508"/>
      <c r="Y75" s="508"/>
      <c r="Z75" s="508"/>
      <c r="AA75" s="508"/>
    </row>
    <row r="76">
      <c r="A76" s="508"/>
      <c r="B76" s="508"/>
      <c r="C76" s="508"/>
      <c r="D76" s="508"/>
      <c r="E76" s="967"/>
      <c r="F76" s="508"/>
      <c r="G76" s="508"/>
      <c r="H76" s="967"/>
      <c r="I76" s="508"/>
      <c r="J76" s="508"/>
      <c r="K76" s="508"/>
      <c r="L76" s="508"/>
      <c r="M76" s="508"/>
      <c r="N76" s="508"/>
      <c r="O76" s="508"/>
      <c r="P76" s="508"/>
      <c r="Q76" s="508"/>
      <c r="R76" s="508"/>
      <c r="S76" s="508"/>
      <c r="T76" s="508"/>
      <c r="U76" s="508"/>
      <c r="V76" s="508"/>
      <c r="W76" s="508"/>
      <c r="X76" s="508"/>
      <c r="Y76" s="508"/>
      <c r="Z76" s="508"/>
      <c r="AA76" s="508"/>
    </row>
    <row r="77">
      <c r="A77" s="508"/>
      <c r="B77" s="508"/>
      <c r="C77" s="508"/>
      <c r="D77" s="508"/>
      <c r="E77" s="967"/>
      <c r="F77" s="508"/>
      <c r="G77" s="508"/>
      <c r="H77" s="967"/>
      <c r="I77" s="508"/>
      <c r="J77" s="508"/>
      <c r="K77" s="508"/>
      <c r="L77" s="508"/>
      <c r="M77" s="508"/>
      <c r="N77" s="508"/>
      <c r="O77" s="508"/>
      <c r="P77" s="508"/>
      <c r="Q77" s="508"/>
      <c r="R77" s="508"/>
      <c r="S77" s="508"/>
      <c r="T77" s="508"/>
      <c r="U77" s="508"/>
      <c r="V77" s="508"/>
      <c r="W77" s="508"/>
      <c r="X77" s="508"/>
      <c r="Y77" s="508"/>
      <c r="Z77" s="508"/>
      <c r="AA77" s="508"/>
    </row>
    <row r="78">
      <c r="A78" s="508"/>
      <c r="B78" s="508"/>
      <c r="C78" s="508"/>
      <c r="D78" s="508"/>
      <c r="E78" s="967"/>
      <c r="F78" s="508"/>
      <c r="G78" s="508"/>
      <c r="H78" s="967"/>
      <c r="I78" s="508"/>
      <c r="J78" s="508"/>
      <c r="K78" s="508"/>
      <c r="L78" s="508"/>
      <c r="M78" s="508"/>
      <c r="N78" s="508"/>
      <c r="O78" s="508"/>
      <c r="P78" s="508"/>
      <c r="Q78" s="508"/>
      <c r="R78" s="508"/>
      <c r="S78" s="508"/>
      <c r="T78" s="508"/>
      <c r="U78" s="508"/>
      <c r="V78" s="508"/>
      <c r="W78" s="508"/>
      <c r="X78" s="508"/>
      <c r="Y78" s="508"/>
      <c r="Z78" s="508"/>
      <c r="AA78" s="508"/>
    </row>
    <row r="79">
      <c r="A79" s="508"/>
      <c r="B79" s="508"/>
      <c r="C79" s="508"/>
      <c r="D79" s="508"/>
      <c r="E79" s="967"/>
      <c r="F79" s="508"/>
      <c r="G79" s="508"/>
      <c r="H79" s="967"/>
      <c r="I79" s="508"/>
      <c r="J79" s="508"/>
      <c r="K79" s="508"/>
      <c r="L79" s="508"/>
      <c r="M79" s="508"/>
      <c r="N79" s="508"/>
      <c r="O79" s="508"/>
      <c r="P79" s="508"/>
      <c r="Q79" s="508"/>
      <c r="R79" s="508"/>
      <c r="S79" s="508"/>
      <c r="T79" s="508"/>
      <c r="U79" s="508"/>
      <c r="V79" s="508"/>
      <c r="W79" s="508"/>
      <c r="X79" s="508"/>
      <c r="Y79" s="508"/>
      <c r="Z79" s="508"/>
      <c r="AA79" s="508"/>
    </row>
    <row r="80">
      <c r="A80" s="508"/>
      <c r="B80" s="508"/>
      <c r="C80" s="508"/>
      <c r="D80" s="508"/>
      <c r="E80" s="967"/>
      <c r="F80" s="508"/>
      <c r="G80" s="508"/>
      <c r="H80" s="967"/>
      <c r="I80" s="508"/>
      <c r="J80" s="508"/>
      <c r="K80" s="508"/>
      <c r="L80" s="508"/>
      <c r="M80" s="508"/>
      <c r="N80" s="508"/>
      <c r="O80" s="508"/>
      <c r="P80" s="508"/>
      <c r="Q80" s="508"/>
      <c r="R80" s="508"/>
      <c r="S80" s="508"/>
      <c r="T80" s="508"/>
      <c r="U80" s="508"/>
      <c r="V80" s="508"/>
      <c r="W80" s="508"/>
      <c r="X80" s="508"/>
      <c r="Y80" s="508"/>
      <c r="Z80" s="508"/>
      <c r="AA80" s="508"/>
    </row>
    <row r="81">
      <c r="A81" s="508"/>
      <c r="B81" s="508"/>
      <c r="C81" s="508"/>
      <c r="D81" s="508"/>
      <c r="E81" s="967"/>
      <c r="F81" s="508"/>
      <c r="G81" s="508"/>
      <c r="H81" s="967"/>
      <c r="I81" s="508"/>
      <c r="J81" s="508"/>
      <c r="K81" s="508"/>
      <c r="L81" s="508"/>
      <c r="M81" s="508"/>
      <c r="N81" s="508"/>
      <c r="O81" s="508"/>
      <c r="P81" s="508"/>
      <c r="Q81" s="508"/>
      <c r="R81" s="508"/>
      <c r="S81" s="508"/>
      <c r="T81" s="508"/>
      <c r="U81" s="508"/>
      <c r="V81" s="508"/>
      <c r="W81" s="508"/>
      <c r="X81" s="508"/>
      <c r="Y81" s="508"/>
      <c r="Z81" s="508"/>
      <c r="AA81" s="508"/>
    </row>
    <row r="82">
      <c r="A82" s="508"/>
      <c r="B82" s="508"/>
      <c r="C82" s="508"/>
      <c r="D82" s="508"/>
      <c r="E82" s="967"/>
      <c r="F82" s="508"/>
      <c r="G82" s="508"/>
      <c r="H82" s="967"/>
      <c r="I82" s="508"/>
      <c r="J82" s="508"/>
      <c r="K82" s="508"/>
      <c r="L82" s="508"/>
      <c r="M82" s="508"/>
      <c r="N82" s="508"/>
      <c r="O82" s="508"/>
      <c r="P82" s="508"/>
      <c r="Q82" s="508"/>
      <c r="R82" s="508"/>
      <c r="S82" s="508"/>
      <c r="T82" s="508"/>
      <c r="U82" s="508"/>
      <c r="V82" s="508"/>
      <c r="W82" s="508"/>
      <c r="X82" s="508"/>
      <c r="Y82" s="508"/>
      <c r="Z82" s="508"/>
      <c r="AA82" s="508"/>
    </row>
    <row r="83">
      <c r="A83" s="508"/>
      <c r="B83" s="508"/>
      <c r="C83" s="508"/>
      <c r="D83" s="508"/>
      <c r="E83" s="967"/>
      <c r="F83" s="508"/>
      <c r="G83" s="508"/>
      <c r="H83" s="967"/>
      <c r="I83" s="508"/>
      <c r="J83" s="508"/>
      <c r="K83" s="508"/>
      <c r="L83" s="508"/>
      <c r="M83" s="508"/>
      <c r="N83" s="508"/>
      <c r="O83" s="508"/>
      <c r="P83" s="508"/>
      <c r="Q83" s="508"/>
      <c r="R83" s="508"/>
      <c r="S83" s="508"/>
      <c r="T83" s="508"/>
      <c r="U83" s="508"/>
      <c r="V83" s="508"/>
      <c r="W83" s="508"/>
      <c r="X83" s="508"/>
      <c r="Y83" s="508"/>
      <c r="Z83" s="508"/>
      <c r="AA83" s="508"/>
    </row>
    <row r="84">
      <c r="A84" s="508"/>
      <c r="B84" s="508"/>
      <c r="C84" s="508"/>
      <c r="D84" s="508"/>
      <c r="E84" s="967"/>
      <c r="F84" s="508"/>
      <c r="G84" s="508"/>
      <c r="H84" s="967"/>
      <c r="I84" s="508"/>
      <c r="J84" s="508"/>
      <c r="K84" s="508"/>
      <c r="L84" s="508"/>
      <c r="M84" s="508"/>
      <c r="N84" s="508"/>
      <c r="O84" s="508"/>
      <c r="P84" s="508"/>
      <c r="Q84" s="508"/>
      <c r="R84" s="508"/>
      <c r="S84" s="508"/>
      <c r="T84" s="508"/>
      <c r="U84" s="508"/>
      <c r="V84" s="508"/>
      <c r="W84" s="508"/>
      <c r="X84" s="508"/>
      <c r="Y84" s="508"/>
      <c r="Z84" s="508"/>
      <c r="AA84" s="508"/>
    </row>
    <row r="85">
      <c r="A85" s="508"/>
      <c r="B85" s="508"/>
      <c r="C85" s="508"/>
      <c r="D85" s="508"/>
      <c r="E85" s="967"/>
      <c r="F85" s="508"/>
      <c r="G85" s="508"/>
      <c r="H85" s="967"/>
      <c r="I85" s="508"/>
      <c r="J85" s="508"/>
      <c r="K85" s="508"/>
      <c r="L85" s="508"/>
      <c r="M85" s="508"/>
      <c r="N85" s="508"/>
      <c r="O85" s="508"/>
      <c r="P85" s="508"/>
      <c r="Q85" s="508"/>
      <c r="R85" s="508"/>
      <c r="S85" s="508"/>
      <c r="T85" s="508"/>
      <c r="U85" s="508"/>
      <c r="V85" s="508"/>
      <c r="W85" s="508"/>
      <c r="X85" s="508"/>
      <c r="Y85" s="508"/>
      <c r="Z85" s="508"/>
      <c r="AA85" s="508"/>
    </row>
    <row r="86">
      <c r="A86" s="508"/>
      <c r="B86" s="508"/>
      <c r="C86" s="508"/>
      <c r="D86" s="508"/>
      <c r="E86" s="967"/>
      <c r="F86" s="508"/>
      <c r="G86" s="508"/>
      <c r="H86" s="967"/>
      <c r="I86" s="508"/>
      <c r="J86" s="508"/>
      <c r="K86" s="508"/>
      <c r="L86" s="508"/>
      <c r="M86" s="508"/>
      <c r="N86" s="508"/>
      <c r="O86" s="508"/>
      <c r="P86" s="508"/>
      <c r="Q86" s="508"/>
      <c r="R86" s="508"/>
      <c r="S86" s="508"/>
      <c r="T86" s="508"/>
      <c r="U86" s="508"/>
      <c r="V86" s="508"/>
      <c r="W86" s="508"/>
      <c r="X86" s="508"/>
      <c r="Y86" s="508"/>
      <c r="Z86" s="508"/>
      <c r="AA86" s="508"/>
    </row>
    <row r="87">
      <c r="A87" s="508"/>
      <c r="B87" s="508"/>
      <c r="C87" s="508"/>
      <c r="D87" s="508"/>
      <c r="E87" s="967"/>
      <c r="F87" s="508"/>
      <c r="G87" s="508"/>
      <c r="H87" s="967"/>
      <c r="I87" s="508"/>
      <c r="J87" s="508"/>
      <c r="K87" s="508"/>
      <c r="L87" s="508"/>
      <c r="M87" s="508"/>
      <c r="N87" s="508"/>
      <c r="O87" s="508"/>
      <c r="P87" s="508"/>
      <c r="Q87" s="508"/>
      <c r="R87" s="508"/>
      <c r="S87" s="508"/>
      <c r="T87" s="508"/>
      <c r="U87" s="508"/>
      <c r="V87" s="508"/>
      <c r="W87" s="508"/>
      <c r="X87" s="508"/>
      <c r="Y87" s="508"/>
      <c r="Z87" s="508"/>
      <c r="AA87" s="508"/>
    </row>
    <row r="88">
      <c r="A88" s="508"/>
      <c r="B88" s="508"/>
      <c r="C88" s="508"/>
      <c r="D88" s="508"/>
      <c r="E88" s="967"/>
      <c r="F88" s="508"/>
      <c r="G88" s="508"/>
      <c r="H88" s="967"/>
      <c r="I88" s="508"/>
      <c r="J88" s="508"/>
      <c r="K88" s="508"/>
      <c r="L88" s="508"/>
      <c r="M88" s="508"/>
      <c r="N88" s="508"/>
      <c r="O88" s="508"/>
      <c r="P88" s="508"/>
      <c r="Q88" s="508"/>
      <c r="R88" s="508"/>
      <c r="S88" s="508"/>
      <c r="T88" s="508"/>
      <c r="U88" s="508"/>
      <c r="V88" s="508"/>
      <c r="W88" s="508"/>
      <c r="X88" s="508"/>
      <c r="Y88" s="508"/>
      <c r="Z88" s="508"/>
      <c r="AA88" s="508"/>
    </row>
    <row r="89">
      <c r="A89" s="508"/>
      <c r="B89" s="508"/>
      <c r="C89" s="508"/>
      <c r="D89" s="508"/>
      <c r="E89" s="967"/>
      <c r="F89" s="508"/>
      <c r="G89" s="508"/>
      <c r="H89" s="967"/>
      <c r="I89" s="508"/>
      <c r="J89" s="508"/>
      <c r="K89" s="508"/>
      <c r="L89" s="508"/>
      <c r="M89" s="508"/>
      <c r="N89" s="508"/>
      <c r="O89" s="508"/>
      <c r="P89" s="508"/>
      <c r="Q89" s="508"/>
      <c r="R89" s="508"/>
      <c r="S89" s="508"/>
      <c r="T89" s="508"/>
      <c r="U89" s="508"/>
      <c r="V89" s="508"/>
      <c r="W89" s="508"/>
      <c r="X89" s="508"/>
      <c r="Y89" s="508"/>
      <c r="Z89" s="508"/>
      <c r="AA89" s="508"/>
    </row>
    <row r="90">
      <c r="A90" s="508"/>
      <c r="B90" s="508"/>
      <c r="C90" s="508"/>
      <c r="D90" s="508"/>
      <c r="E90" s="967"/>
      <c r="F90" s="508"/>
      <c r="G90" s="508"/>
      <c r="H90" s="967"/>
      <c r="I90" s="508"/>
      <c r="J90" s="508"/>
      <c r="K90" s="508"/>
      <c r="L90" s="508"/>
      <c r="M90" s="508"/>
      <c r="N90" s="508"/>
      <c r="O90" s="508"/>
      <c r="P90" s="508"/>
      <c r="Q90" s="508"/>
      <c r="R90" s="508"/>
      <c r="S90" s="508"/>
      <c r="T90" s="508"/>
      <c r="U90" s="508"/>
      <c r="V90" s="508"/>
      <c r="W90" s="508"/>
      <c r="X90" s="508"/>
      <c r="Y90" s="508"/>
      <c r="Z90" s="508"/>
      <c r="AA90" s="508"/>
    </row>
    <row r="91">
      <c r="A91" s="508"/>
      <c r="B91" s="508"/>
      <c r="C91" s="508"/>
      <c r="D91" s="508"/>
      <c r="E91" s="967"/>
      <c r="F91" s="508"/>
      <c r="G91" s="508"/>
      <c r="H91" s="967"/>
      <c r="I91" s="508"/>
      <c r="J91" s="508"/>
      <c r="K91" s="508"/>
      <c r="L91" s="508"/>
      <c r="M91" s="508"/>
      <c r="N91" s="508"/>
      <c r="O91" s="508"/>
      <c r="P91" s="508"/>
      <c r="Q91" s="508"/>
      <c r="R91" s="508"/>
      <c r="S91" s="508"/>
      <c r="T91" s="508"/>
      <c r="U91" s="508"/>
      <c r="V91" s="508"/>
      <c r="W91" s="508"/>
      <c r="X91" s="508"/>
      <c r="Y91" s="508"/>
      <c r="Z91" s="508"/>
      <c r="AA91" s="508"/>
    </row>
    <row r="92">
      <c r="A92" s="508"/>
      <c r="B92" s="508"/>
      <c r="C92" s="508"/>
      <c r="D92" s="508"/>
      <c r="E92" s="967"/>
      <c r="F92" s="508"/>
      <c r="G92" s="508"/>
      <c r="H92" s="967"/>
      <c r="I92" s="508"/>
      <c r="J92" s="508"/>
      <c r="K92" s="508"/>
      <c r="L92" s="508"/>
      <c r="M92" s="508"/>
      <c r="N92" s="508"/>
      <c r="O92" s="508"/>
      <c r="P92" s="508"/>
      <c r="Q92" s="508"/>
      <c r="R92" s="508"/>
      <c r="S92" s="508"/>
      <c r="T92" s="508"/>
      <c r="U92" s="508"/>
      <c r="V92" s="508"/>
      <c r="W92" s="508"/>
      <c r="X92" s="508"/>
      <c r="Y92" s="508"/>
      <c r="Z92" s="508"/>
      <c r="AA92" s="508"/>
    </row>
    <row r="93">
      <c r="A93" s="508"/>
      <c r="B93" s="508"/>
      <c r="C93" s="508"/>
      <c r="D93" s="508"/>
      <c r="E93" s="967"/>
      <c r="F93" s="508"/>
      <c r="G93" s="508"/>
      <c r="H93" s="967"/>
      <c r="I93" s="508"/>
      <c r="J93" s="508"/>
      <c r="K93" s="508"/>
      <c r="L93" s="508"/>
      <c r="M93" s="508"/>
      <c r="N93" s="508"/>
      <c r="O93" s="508"/>
      <c r="P93" s="508"/>
      <c r="Q93" s="508"/>
      <c r="R93" s="508"/>
      <c r="S93" s="508"/>
      <c r="T93" s="508"/>
      <c r="U93" s="508"/>
      <c r="V93" s="508"/>
      <c r="W93" s="508"/>
      <c r="X93" s="508"/>
      <c r="Y93" s="508"/>
      <c r="Z93" s="508"/>
      <c r="AA93" s="508"/>
    </row>
    <row r="94">
      <c r="A94" s="508"/>
      <c r="B94" s="508"/>
      <c r="C94" s="508"/>
      <c r="D94" s="508"/>
      <c r="E94" s="967"/>
      <c r="F94" s="508"/>
      <c r="G94" s="508"/>
      <c r="H94" s="967"/>
      <c r="I94" s="508"/>
      <c r="J94" s="508"/>
      <c r="K94" s="508"/>
      <c r="L94" s="508"/>
      <c r="M94" s="508"/>
      <c r="N94" s="508"/>
      <c r="O94" s="508"/>
      <c r="P94" s="508"/>
      <c r="Q94" s="508"/>
      <c r="R94" s="508"/>
      <c r="S94" s="508"/>
      <c r="T94" s="508"/>
      <c r="U94" s="508"/>
      <c r="V94" s="508"/>
      <c r="W94" s="508"/>
      <c r="X94" s="508"/>
      <c r="Y94" s="508"/>
      <c r="Z94" s="508"/>
      <c r="AA94" s="508"/>
    </row>
    <row r="95">
      <c r="A95" s="508"/>
      <c r="B95" s="508"/>
      <c r="C95" s="508"/>
      <c r="D95" s="508"/>
      <c r="E95" s="967"/>
      <c r="F95" s="508"/>
      <c r="G95" s="508"/>
      <c r="H95" s="967"/>
      <c r="I95" s="508"/>
      <c r="J95" s="508"/>
      <c r="K95" s="508"/>
      <c r="L95" s="508"/>
      <c r="M95" s="508"/>
      <c r="N95" s="508"/>
      <c r="O95" s="508"/>
      <c r="P95" s="508"/>
      <c r="Q95" s="508"/>
      <c r="R95" s="508"/>
      <c r="S95" s="508"/>
      <c r="T95" s="508"/>
      <c r="U95" s="508"/>
      <c r="V95" s="508"/>
      <c r="W95" s="508"/>
      <c r="X95" s="508"/>
      <c r="Y95" s="508"/>
      <c r="Z95" s="508"/>
      <c r="AA95" s="508"/>
    </row>
    <row r="96">
      <c r="A96" s="508"/>
      <c r="B96" s="508"/>
      <c r="C96" s="508"/>
      <c r="D96" s="508"/>
      <c r="E96" s="967"/>
      <c r="F96" s="508"/>
      <c r="G96" s="508"/>
      <c r="H96" s="967"/>
      <c r="I96" s="508"/>
      <c r="J96" s="508"/>
      <c r="K96" s="508"/>
      <c r="L96" s="508"/>
      <c r="M96" s="508"/>
      <c r="N96" s="508"/>
      <c r="O96" s="508"/>
      <c r="P96" s="508"/>
      <c r="Q96" s="508"/>
      <c r="R96" s="508"/>
      <c r="S96" s="508"/>
      <c r="T96" s="508"/>
      <c r="U96" s="508"/>
      <c r="V96" s="508"/>
      <c r="W96" s="508"/>
      <c r="X96" s="508"/>
      <c r="Y96" s="508"/>
      <c r="Z96" s="508"/>
      <c r="AA96" s="508"/>
    </row>
    <row r="97">
      <c r="A97" s="508"/>
      <c r="B97" s="508"/>
      <c r="C97" s="508"/>
      <c r="D97" s="508"/>
      <c r="E97" s="967"/>
      <c r="F97" s="508"/>
      <c r="G97" s="508"/>
      <c r="H97" s="967"/>
      <c r="I97" s="508"/>
      <c r="J97" s="508"/>
      <c r="K97" s="508"/>
      <c r="L97" s="508"/>
      <c r="M97" s="508"/>
      <c r="N97" s="508"/>
      <c r="O97" s="508"/>
      <c r="P97" s="508"/>
      <c r="Q97" s="508"/>
      <c r="R97" s="508"/>
      <c r="S97" s="508"/>
      <c r="T97" s="508"/>
      <c r="U97" s="508"/>
      <c r="V97" s="508"/>
      <c r="W97" s="508"/>
      <c r="X97" s="508"/>
      <c r="Y97" s="508"/>
      <c r="Z97" s="508"/>
      <c r="AA97" s="508"/>
    </row>
    <row r="98">
      <c r="A98" s="508"/>
      <c r="B98" s="508"/>
      <c r="C98" s="508"/>
      <c r="D98" s="508"/>
      <c r="E98" s="967"/>
      <c r="F98" s="508"/>
      <c r="G98" s="508"/>
      <c r="H98" s="967"/>
      <c r="I98" s="508"/>
      <c r="J98" s="508"/>
      <c r="K98" s="508"/>
      <c r="L98" s="508"/>
      <c r="M98" s="508"/>
      <c r="N98" s="508"/>
      <c r="O98" s="508"/>
      <c r="P98" s="508"/>
      <c r="Q98" s="508"/>
      <c r="R98" s="508"/>
      <c r="S98" s="508"/>
      <c r="T98" s="508"/>
      <c r="U98" s="508"/>
      <c r="V98" s="508"/>
      <c r="W98" s="508"/>
      <c r="X98" s="508"/>
      <c r="Y98" s="508"/>
      <c r="Z98" s="508"/>
      <c r="AA98" s="508"/>
    </row>
    <row r="99">
      <c r="A99" s="508"/>
      <c r="B99" s="508"/>
      <c r="C99" s="508"/>
      <c r="D99" s="508"/>
      <c r="E99" s="967"/>
      <c r="F99" s="508"/>
      <c r="G99" s="508"/>
      <c r="H99" s="967"/>
      <c r="I99" s="508"/>
      <c r="J99" s="508"/>
      <c r="K99" s="508"/>
      <c r="L99" s="508"/>
      <c r="M99" s="508"/>
      <c r="N99" s="508"/>
      <c r="O99" s="508"/>
      <c r="P99" s="508"/>
      <c r="Q99" s="508"/>
      <c r="R99" s="508"/>
      <c r="S99" s="508"/>
      <c r="T99" s="508"/>
      <c r="U99" s="508"/>
      <c r="V99" s="508"/>
      <c r="W99" s="508"/>
      <c r="X99" s="508"/>
      <c r="Y99" s="508"/>
      <c r="Z99" s="508"/>
      <c r="AA99" s="508"/>
    </row>
    <row r="100">
      <c r="A100" s="508"/>
      <c r="B100" s="508"/>
      <c r="C100" s="508"/>
      <c r="D100" s="508"/>
      <c r="E100" s="967"/>
      <c r="F100" s="508"/>
      <c r="G100" s="508"/>
      <c r="H100" s="967"/>
      <c r="I100" s="508"/>
      <c r="J100" s="508"/>
      <c r="K100" s="508"/>
      <c r="L100" s="508"/>
      <c r="M100" s="508"/>
      <c r="N100" s="508"/>
      <c r="O100" s="508"/>
      <c r="P100" s="508"/>
      <c r="Q100" s="508"/>
      <c r="R100" s="508"/>
      <c r="S100" s="508"/>
      <c r="T100" s="508"/>
      <c r="U100" s="508"/>
      <c r="V100" s="508"/>
      <c r="W100" s="508"/>
      <c r="X100" s="508"/>
      <c r="Y100" s="508"/>
      <c r="Z100" s="508"/>
      <c r="AA100" s="508"/>
    </row>
    <row r="101">
      <c r="A101" s="508"/>
      <c r="B101" s="508"/>
      <c r="C101" s="508"/>
      <c r="D101" s="508"/>
      <c r="E101" s="967"/>
      <c r="F101" s="508"/>
      <c r="G101" s="508"/>
      <c r="H101" s="967"/>
      <c r="I101" s="508"/>
      <c r="J101" s="508"/>
      <c r="K101" s="508"/>
      <c r="L101" s="508"/>
      <c r="M101" s="508"/>
      <c r="N101" s="508"/>
      <c r="O101" s="508"/>
      <c r="P101" s="508"/>
      <c r="Q101" s="508"/>
      <c r="R101" s="508"/>
      <c r="S101" s="508"/>
      <c r="T101" s="508"/>
      <c r="U101" s="508"/>
      <c r="V101" s="508"/>
      <c r="W101" s="508"/>
      <c r="X101" s="508"/>
      <c r="Y101" s="508"/>
      <c r="Z101" s="508"/>
      <c r="AA101" s="508"/>
    </row>
    <row r="102">
      <c r="A102" s="508"/>
      <c r="B102" s="508"/>
      <c r="C102" s="508"/>
      <c r="D102" s="508"/>
      <c r="E102" s="967"/>
      <c r="F102" s="508"/>
      <c r="G102" s="508"/>
      <c r="H102" s="967"/>
      <c r="I102" s="508"/>
      <c r="J102" s="508"/>
      <c r="K102" s="508"/>
      <c r="L102" s="508"/>
      <c r="M102" s="508"/>
      <c r="N102" s="508"/>
      <c r="O102" s="508"/>
      <c r="P102" s="508"/>
      <c r="Q102" s="508"/>
      <c r="R102" s="508"/>
      <c r="S102" s="508"/>
      <c r="T102" s="508"/>
      <c r="U102" s="508"/>
      <c r="V102" s="508"/>
      <c r="W102" s="508"/>
      <c r="X102" s="508"/>
      <c r="Y102" s="508"/>
      <c r="Z102" s="508"/>
      <c r="AA102" s="508"/>
    </row>
    <row r="103">
      <c r="A103" s="508"/>
      <c r="B103" s="508"/>
      <c r="C103" s="508"/>
      <c r="D103" s="508"/>
      <c r="E103" s="967"/>
      <c r="F103" s="508"/>
      <c r="G103" s="508"/>
      <c r="H103" s="967"/>
      <c r="I103" s="508"/>
      <c r="J103" s="508"/>
      <c r="K103" s="508"/>
      <c r="L103" s="508"/>
      <c r="M103" s="508"/>
      <c r="N103" s="508"/>
      <c r="O103" s="508"/>
      <c r="P103" s="508"/>
      <c r="Q103" s="508"/>
      <c r="R103" s="508"/>
      <c r="S103" s="508"/>
      <c r="T103" s="508"/>
      <c r="U103" s="508"/>
      <c r="V103" s="508"/>
      <c r="W103" s="508"/>
      <c r="X103" s="508"/>
      <c r="Y103" s="508"/>
      <c r="Z103" s="508"/>
      <c r="AA103" s="508"/>
    </row>
    <row r="104">
      <c r="A104" s="508"/>
      <c r="B104" s="508"/>
      <c r="C104" s="508"/>
      <c r="D104" s="508"/>
      <c r="E104" s="967"/>
      <c r="F104" s="508"/>
      <c r="G104" s="508"/>
      <c r="H104" s="967"/>
      <c r="I104" s="508"/>
      <c r="J104" s="508"/>
      <c r="K104" s="508"/>
      <c r="L104" s="508"/>
      <c r="M104" s="508"/>
      <c r="N104" s="508"/>
      <c r="O104" s="508"/>
      <c r="P104" s="508"/>
      <c r="Q104" s="508"/>
      <c r="R104" s="508"/>
      <c r="S104" s="508"/>
      <c r="T104" s="508"/>
      <c r="U104" s="508"/>
      <c r="V104" s="508"/>
      <c r="W104" s="508"/>
      <c r="X104" s="508"/>
      <c r="Y104" s="508"/>
      <c r="Z104" s="508"/>
      <c r="AA104" s="508"/>
    </row>
    <row r="105">
      <c r="A105" s="508"/>
      <c r="B105" s="508"/>
      <c r="C105" s="508"/>
      <c r="D105" s="508"/>
      <c r="E105" s="967"/>
      <c r="F105" s="508"/>
      <c r="G105" s="508"/>
      <c r="H105" s="967"/>
      <c r="I105" s="508"/>
      <c r="J105" s="508"/>
      <c r="K105" s="508"/>
      <c r="L105" s="508"/>
      <c r="M105" s="508"/>
      <c r="N105" s="508"/>
      <c r="O105" s="508"/>
      <c r="P105" s="508"/>
      <c r="Q105" s="508"/>
      <c r="R105" s="508"/>
      <c r="S105" s="508"/>
      <c r="T105" s="508"/>
      <c r="U105" s="508"/>
      <c r="V105" s="508"/>
      <c r="W105" s="508"/>
      <c r="X105" s="508"/>
      <c r="Y105" s="508"/>
      <c r="Z105" s="508"/>
      <c r="AA105" s="508"/>
    </row>
    <row r="106">
      <c r="A106" s="508"/>
      <c r="B106" s="508"/>
      <c r="C106" s="508"/>
      <c r="D106" s="508"/>
      <c r="E106" s="967"/>
      <c r="F106" s="508"/>
      <c r="G106" s="508"/>
      <c r="H106" s="967"/>
      <c r="I106" s="508"/>
      <c r="J106" s="508"/>
      <c r="K106" s="508"/>
      <c r="L106" s="508"/>
      <c r="M106" s="508"/>
      <c r="N106" s="508"/>
      <c r="O106" s="508"/>
      <c r="P106" s="508"/>
      <c r="Q106" s="508"/>
      <c r="R106" s="508"/>
      <c r="S106" s="508"/>
      <c r="T106" s="508"/>
      <c r="U106" s="508"/>
      <c r="V106" s="508"/>
      <c r="W106" s="508"/>
      <c r="X106" s="508"/>
      <c r="Y106" s="508"/>
      <c r="Z106" s="508"/>
      <c r="AA106" s="508"/>
    </row>
    <row r="107">
      <c r="A107" s="508"/>
      <c r="B107" s="508"/>
      <c r="C107" s="508"/>
      <c r="D107" s="508"/>
      <c r="E107" s="967"/>
      <c r="F107" s="508"/>
      <c r="G107" s="508"/>
      <c r="H107" s="967"/>
      <c r="I107" s="508"/>
      <c r="J107" s="508"/>
      <c r="K107" s="508"/>
      <c r="L107" s="508"/>
      <c r="M107" s="508"/>
      <c r="N107" s="508"/>
      <c r="O107" s="508"/>
      <c r="P107" s="508"/>
      <c r="Q107" s="508"/>
      <c r="R107" s="508"/>
      <c r="S107" s="508"/>
      <c r="T107" s="508"/>
      <c r="U107" s="508"/>
      <c r="V107" s="508"/>
      <c r="W107" s="508"/>
      <c r="X107" s="508"/>
      <c r="Y107" s="508"/>
      <c r="Z107" s="508"/>
      <c r="AA107" s="508"/>
    </row>
    <row r="108">
      <c r="A108" s="508"/>
      <c r="B108" s="508"/>
      <c r="C108" s="508"/>
      <c r="D108" s="508"/>
      <c r="E108" s="967"/>
      <c r="F108" s="508"/>
      <c r="G108" s="508"/>
      <c r="H108" s="967"/>
      <c r="I108" s="508"/>
      <c r="J108" s="508"/>
      <c r="K108" s="508"/>
      <c r="L108" s="508"/>
      <c r="M108" s="508"/>
      <c r="N108" s="508"/>
      <c r="O108" s="508"/>
      <c r="P108" s="508"/>
      <c r="Q108" s="508"/>
      <c r="R108" s="508"/>
      <c r="S108" s="508"/>
      <c r="T108" s="508"/>
      <c r="U108" s="508"/>
      <c r="V108" s="508"/>
      <c r="W108" s="508"/>
      <c r="X108" s="508"/>
      <c r="Y108" s="508"/>
      <c r="Z108" s="508"/>
      <c r="AA108" s="508"/>
    </row>
    <row r="109">
      <c r="A109" s="508"/>
      <c r="B109" s="508"/>
      <c r="C109" s="508"/>
      <c r="D109" s="508"/>
      <c r="E109" s="967"/>
      <c r="F109" s="508"/>
      <c r="G109" s="508"/>
      <c r="H109" s="967"/>
      <c r="I109" s="508"/>
      <c r="J109" s="508"/>
      <c r="K109" s="508"/>
      <c r="L109" s="508"/>
      <c r="M109" s="508"/>
      <c r="N109" s="508"/>
      <c r="O109" s="508"/>
      <c r="P109" s="508"/>
      <c r="Q109" s="508"/>
      <c r="R109" s="508"/>
      <c r="S109" s="508"/>
      <c r="T109" s="508"/>
      <c r="U109" s="508"/>
      <c r="V109" s="508"/>
      <c r="W109" s="508"/>
      <c r="X109" s="508"/>
      <c r="Y109" s="508"/>
      <c r="Z109" s="508"/>
      <c r="AA109" s="508"/>
    </row>
    <row r="110">
      <c r="A110" s="508"/>
      <c r="B110" s="508"/>
      <c r="C110" s="508"/>
      <c r="D110" s="508"/>
      <c r="E110" s="967"/>
      <c r="F110" s="508"/>
      <c r="G110" s="508"/>
      <c r="H110" s="967"/>
      <c r="I110" s="508"/>
      <c r="J110" s="508"/>
      <c r="K110" s="508"/>
      <c r="L110" s="508"/>
      <c r="M110" s="508"/>
      <c r="N110" s="508"/>
      <c r="O110" s="508"/>
      <c r="P110" s="508"/>
      <c r="Q110" s="508"/>
      <c r="R110" s="508"/>
      <c r="S110" s="508"/>
      <c r="T110" s="508"/>
      <c r="U110" s="508"/>
      <c r="V110" s="508"/>
      <c r="W110" s="508"/>
      <c r="X110" s="508"/>
      <c r="Y110" s="508"/>
      <c r="Z110" s="508"/>
      <c r="AA110" s="508"/>
    </row>
    <row r="111">
      <c r="A111" s="508"/>
      <c r="B111" s="508"/>
      <c r="C111" s="508"/>
      <c r="D111" s="508"/>
      <c r="E111" s="967"/>
      <c r="F111" s="508"/>
      <c r="G111" s="508"/>
      <c r="H111" s="967"/>
      <c r="I111" s="508"/>
      <c r="J111" s="508"/>
      <c r="K111" s="508"/>
      <c r="L111" s="508"/>
      <c r="M111" s="508"/>
      <c r="N111" s="508"/>
      <c r="O111" s="508"/>
      <c r="P111" s="508"/>
      <c r="Q111" s="508"/>
      <c r="R111" s="508"/>
      <c r="S111" s="508"/>
      <c r="T111" s="508"/>
      <c r="U111" s="508"/>
      <c r="V111" s="508"/>
      <c r="W111" s="508"/>
      <c r="X111" s="508"/>
      <c r="Y111" s="508"/>
      <c r="Z111" s="508"/>
      <c r="AA111" s="508"/>
    </row>
    <row r="112">
      <c r="A112" s="508"/>
      <c r="B112" s="508"/>
      <c r="C112" s="508"/>
      <c r="D112" s="508"/>
      <c r="E112" s="967"/>
      <c r="F112" s="508"/>
      <c r="G112" s="508"/>
      <c r="H112" s="967"/>
      <c r="I112" s="508"/>
      <c r="J112" s="508"/>
      <c r="K112" s="508"/>
      <c r="L112" s="508"/>
      <c r="M112" s="508"/>
      <c r="N112" s="508"/>
      <c r="O112" s="508"/>
      <c r="P112" s="508"/>
      <c r="Q112" s="508"/>
      <c r="R112" s="508"/>
      <c r="S112" s="508"/>
      <c r="T112" s="508"/>
      <c r="U112" s="508"/>
      <c r="V112" s="508"/>
      <c r="W112" s="508"/>
      <c r="X112" s="508"/>
      <c r="Y112" s="508"/>
      <c r="Z112" s="508"/>
      <c r="AA112" s="508"/>
    </row>
    <row r="113">
      <c r="A113" s="508"/>
      <c r="B113" s="508"/>
      <c r="C113" s="508"/>
      <c r="D113" s="508"/>
      <c r="E113" s="967"/>
      <c r="F113" s="508"/>
      <c r="G113" s="508"/>
      <c r="H113" s="967"/>
      <c r="I113" s="508"/>
      <c r="J113" s="508"/>
      <c r="K113" s="508"/>
      <c r="L113" s="508"/>
      <c r="M113" s="508"/>
      <c r="N113" s="508"/>
      <c r="O113" s="508"/>
      <c r="P113" s="508"/>
      <c r="Q113" s="508"/>
      <c r="R113" s="508"/>
      <c r="S113" s="508"/>
      <c r="T113" s="508"/>
      <c r="U113" s="508"/>
      <c r="V113" s="508"/>
      <c r="W113" s="508"/>
      <c r="X113" s="508"/>
      <c r="Y113" s="508"/>
      <c r="Z113" s="508"/>
      <c r="AA113" s="508"/>
    </row>
    <row r="114">
      <c r="A114" s="508"/>
      <c r="B114" s="508"/>
      <c r="C114" s="508"/>
      <c r="D114" s="508"/>
      <c r="E114" s="967"/>
      <c r="F114" s="508"/>
      <c r="G114" s="508"/>
      <c r="H114" s="967"/>
      <c r="I114" s="508"/>
      <c r="J114" s="508"/>
      <c r="K114" s="508"/>
      <c r="L114" s="508"/>
      <c r="M114" s="508"/>
      <c r="N114" s="508"/>
      <c r="O114" s="508"/>
      <c r="P114" s="508"/>
      <c r="Q114" s="508"/>
      <c r="R114" s="508"/>
      <c r="S114" s="508"/>
      <c r="T114" s="508"/>
      <c r="U114" s="508"/>
      <c r="V114" s="508"/>
      <c r="W114" s="508"/>
      <c r="X114" s="508"/>
      <c r="Y114" s="508"/>
      <c r="Z114" s="508"/>
      <c r="AA114" s="508"/>
    </row>
    <row r="115">
      <c r="A115" s="508"/>
      <c r="B115" s="508"/>
      <c r="C115" s="508"/>
      <c r="D115" s="508"/>
      <c r="E115" s="967"/>
      <c r="F115" s="508"/>
      <c r="G115" s="508"/>
      <c r="H115" s="967"/>
      <c r="I115" s="508"/>
      <c r="J115" s="508"/>
      <c r="K115" s="508"/>
      <c r="L115" s="508"/>
      <c r="M115" s="508"/>
      <c r="N115" s="508"/>
      <c r="O115" s="508"/>
      <c r="P115" s="508"/>
      <c r="Q115" s="508"/>
      <c r="R115" s="508"/>
      <c r="S115" s="508"/>
      <c r="T115" s="508"/>
      <c r="U115" s="508"/>
      <c r="V115" s="508"/>
      <c r="W115" s="508"/>
      <c r="X115" s="508"/>
      <c r="Y115" s="508"/>
      <c r="Z115" s="508"/>
      <c r="AA115" s="508"/>
    </row>
    <row r="116">
      <c r="A116" s="508"/>
      <c r="B116" s="508"/>
      <c r="C116" s="508"/>
      <c r="D116" s="508"/>
      <c r="E116" s="967"/>
      <c r="F116" s="508"/>
      <c r="G116" s="508"/>
      <c r="H116" s="967"/>
      <c r="I116" s="508"/>
      <c r="J116" s="508"/>
      <c r="K116" s="508"/>
      <c r="L116" s="508"/>
      <c r="M116" s="508"/>
      <c r="N116" s="508"/>
      <c r="O116" s="508"/>
      <c r="P116" s="508"/>
      <c r="Q116" s="508"/>
      <c r="R116" s="508"/>
      <c r="S116" s="508"/>
      <c r="T116" s="508"/>
      <c r="U116" s="508"/>
      <c r="V116" s="508"/>
      <c r="W116" s="508"/>
      <c r="X116" s="508"/>
      <c r="Y116" s="508"/>
      <c r="Z116" s="508"/>
      <c r="AA116" s="508"/>
    </row>
    <row r="117">
      <c r="A117" s="508"/>
      <c r="B117" s="508"/>
      <c r="C117" s="508"/>
      <c r="D117" s="508"/>
      <c r="E117" s="967"/>
      <c r="F117" s="508"/>
      <c r="G117" s="508"/>
      <c r="H117" s="967"/>
      <c r="I117" s="508"/>
      <c r="J117" s="508"/>
      <c r="K117" s="508"/>
      <c r="L117" s="508"/>
      <c r="M117" s="508"/>
      <c r="N117" s="508"/>
      <c r="O117" s="508"/>
      <c r="P117" s="508"/>
      <c r="Q117" s="508"/>
      <c r="R117" s="508"/>
      <c r="S117" s="508"/>
      <c r="T117" s="508"/>
      <c r="U117" s="508"/>
      <c r="V117" s="508"/>
      <c r="W117" s="508"/>
      <c r="X117" s="508"/>
      <c r="Y117" s="508"/>
      <c r="Z117" s="508"/>
      <c r="AA117" s="508"/>
    </row>
    <row r="118">
      <c r="A118" s="508"/>
      <c r="B118" s="508"/>
      <c r="C118" s="508"/>
      <c r="D118" s="508"/>
      <c r="E118" s="967"/>
      <c r="F118" s="508"/>
      <c r="G118" s="508"/>
      <c r="H118" s="967"/>
      <c r="I118" s="508"/>
      <c r="J118" s="508"/>
      <c r="K118" s="508"/>
      <c r="L118" s="508"/>
      <c r="M118" s="508"/>
      <c r="N118" s="508"/>
      <c r="O118" s="508"/>
      <c r="P118" s="508"/>
      <c r="Q118" s="508"/>
      <c r="R118" s="508"/>
      <c r="S118" s="508"/>
      <c r="T118" s="508"/>
      <c r="U118" s="508"/>
      <c r="V118" s="508"/>
      <c r="W118" s="508"/>
      <c r="X118" s="508"/>
      <c r="Y118" s="508"/>
      <c r="Z118" s="508"/>
      <c r="AA118" s="508"/>
    </row>
    <row r="119">
      <c r="A119" s="508"/>
      <c r="B119" s="508"/>
      <c r="C119" s="508"/>
      <c r="D119" s="508"/>
      <c r="E119" s="967"/>
      <c r="F119" s="508"/>
      <c r="G119" s="508"/>
      <c r="H119" s="967"/>
      <c r="I119" s="508"/>
      <c r="J119" s="508"/>
      <c r="K119" s="508"/>
      <c r="L119" s="508"/>
      <c r="M119" s="508"/>
      <c r="N119" s="508"/>
      <c r="O119" s="508"/>
      <c r="P119" s="508"/>
      <c r="Q119" s="508"/>
      <c r="R119" s="508"/>
      <c r="S119" s="508"/>
      <c r="T119" s="508"/>
      <c r="U119" s="508"/>
      <c r="V119" s="508"/>
      <c r="W119" s="508"/>
      <c r="X119" s="508"/>
      <c r="Y119" s="508"/>
      <c r="Z119" s="508"/>
      <c r="AA119" s="508"/>
    </row>
    <row r="120">
      <c r="A120" s="508"/>
      <c r="B120" s="508"/>
      <c r="C120" s="508"/>
      <c r="D120" s="508"/>
      <c r="E120" s="967"/>
      <c r="F120" s="508"/>
      <c r="G120" s="508"/>
      <c r="H120" s="967"/>
      <c r="I120" s="508"/>
      <c r="J120" s="508"/>
      <c r="K120" s="508"/>
      <c r="L120" s="508"/>
      <c r="M120" s="508"/>
      <c r="N120" s="508"/>
      <c r="O120" s="508"/>
      <c r="P120" s="508"/>
      <c r="Q120" s="508"/>
      <c r="R120" s="508"/>
      <c r="S120" s="508"/>
      <c r="T120" s="508"/>
      <c r="U120" s="508"/>
      <c r="V120" s="508"/>
      <c r="W120" s="508"/>
      <c r="X120" s="508"/>
      <c r="Y120" s="508"/>
      <c r="Z120" s="508"/>
      <c r="AA120" s="508"/>
    </row>
    <row r="121">
      <c r="A121" s="508"/>
      <c r="B121" s="508"/>
      <c r="C121" s="508"/>
      <c r="D121" s="508"/>
      <c r="E121" s="967"/>
      <c r="F121" s="508"/>
      <c r="G121" s="508"/>
      <c r="H121" s="967"/>
      <c r="I121" s="508"/>
      <c r="J121" s="508"/>
      <c r="K121" s="508"/>
      <c r="L121" s="508"/>
      <c r="M121" s="508"/>
      <c r="N121" s="508"/>
      <c r="O121" s="508"/>
      <c r="P121" s="508"/>
      <c r="Q121" s="508"/>
      <c r="R121" s="508"/>
      <c r="S121" s="508"/>
      <c r="T121" s="508"/>
      <c r="U121" s="508"/>
      <c r="V121" s="508"/>
      <c r="W121" s="508"/>
      <c r="X121" s="508"/>
      <c r="Y121" s="508"/>
      <c r="Z121" s="508"/>
      <c r="AA121" s="508"/>
    </row>
    <row r="122">
      <c r="A122" s="508"/>
      <c r="B122" s="508"/>
      <c r="C122" s="508"/>
      <c r="D122" s="508"/>
      <c r="E122" s="967"/>
      <c r="F122" s="508"/>
      <c r="G122" s="508"/>
      <c r="H122" s="967"/>
      <c r="I122" s="508"/>
      <c r="J122" s="508"/>
      <c r="K122" s="508"/>
      <c r="L122" s="508"/>
      <c r="M122" s="508"/>
      <c r="N122" s="508"/>
      <c r="O122" s="508"/>
      <c r="P122" s="508"/>
      <c r="Q122" s="508"/>
      <c r="R122" s="508"/>
      <c r="S122" s="508"/>
      <c r="T122" s="508"/>
      <c r="U122" s="508"/>
      <c r="V122" s="508"/>
      <c r="W122" s="508"/>
      <c r="X122" s="508"/>
      <c r="Y122" s="508"/>
      <c r="Z122" s="508"/>
      <c r="AA122" s="508"/>
    </row>
    <row r="123">
      <c r="A123" s="508"/>
      <c r="B123" s="508"/>
      <c r="C123" s="508"/>
      <c r="D123" s="508"/>
      <c r="E123" s="967"/>
      <c r="F123" s="508"/>
      <c r="G123" s="508"/>
      <c r="H123" s="967"/>
      <c r="I123" s="508"/>
      <c r="J123" s="508"/>
      <c r="K123" s="508"/>
      <c r="L123" s="508"/>
      <c r="M123" s="508"/>
      <c r="N123" s="508"/>
      <c r="O123" s="508"/>
      <c r="P123" s="508"/>
      <c r="Q123" s="508"/>
      <c r="R123" s="508"/>
      <c r="S123" s="508"/>
      <c r="T123" s="508"/>
      <c r="U123" s="508"/>
      <c r="V123" s="508"/>
      <c r="W123" s="508"/>
      <c r="X123" s="508"/>
      <c r="Y123" s="508"/>
      <c r="Z123" s="508"/>
      <c r="AA123" s="508"/>
    </row>
    <row r="124">
      <c r="A124" s="508"/>
      <c r="B124" s="508"/>
      <c r="C124" s="508"/>
      <c r="D124" s="508"/>
      <c r="E124" s="967"/>
      <c r="F124" s="508"/>
      <c r="G124" s="508"/>
      <c r="H124" s="967"/>
      <c r="I124" s="508"/>
      <c r="J124" s="508"/>
      <c r="K124" s="508"/>
      <c r="L124" s="508"/>
      <c r="M124" s="508"/>
      <c r="N124" s="508"/>
      <c r="O124" s="508"/>
      <c r="P124" s="508"/>
      <c r="Q124" s="508"/>
      <c r="R124" s="508"/>
      <c r="S124" s="508"/>
      <c r="T124" s="508"/>
      <c r="U124" s="508"/>
      <c r="V124" s="508"/>
      <c r="W124" s="508"/>
      <c r="X124" s="508"/>
      <c r="Y124" s="508"/>
      <c r="Z124" s="508"/>
      <c r="AA124" s="508"/>
    </row>
    <row r="125">
      <c r="A125" s="508"/>
      <c r="B125" s="508"/>
      <c r="C125" s="508"/>
      <c r="D125" s="508"/>
      <c r="E125" s="967"/>
      <c r="F125" s="508"/>
      <c r="G125" s="508"/>
      <c r="H125" s="967"/>
      <c r="I125" s="508"/>
      <c r="J125" s="508"/>
      <c r="K125" s="508"/>
      <c r="L125" s="508"/>
      <c r="M125" s="508"/>
      <c r="N125" s="508"/>
      <c r="O125" s="508"/>
      <c r="P125" s="508"/>
      <c r="Q125" s="508"/>
      <c r="R125" s="508"/>
      <c r="S125" s="508"/>
      <c r="T125" s="508"/>
      <c r="U125" s="508"/>
      <c r="V125" s="508"/>
      <c r="W125" s="508"/>
      <c r="X125" s="508"/>
      <c r="Y125" s="508"/>
      <c r="Z125" s="508"/>
      <c r="AA125" s="508"/>
    </row>
    <row r="126">
      <c r="A126" s="508"/>
      <c r="B126" s="508"/>
      <c r="C126" s="508"/>
      <c r="D126" s="508"/>
      <c r="E126" s="967"/>
      <c r="F126" s="508"/>
      <c r="G126" s="508"/>
      <c r="H126" s="967"/>
      <c r="I126" s="508"/>
      <c r="J126" s="508"/>
      <c r="K126" s="508"/>
      <c r="L126" s="508"/>
      <c r="M126" s="508"/>
      <c r="N126" s="508"/>
      <c r="O126" s="508"/>
      <c r="P126" s="508"/>
      <c r="Q126" s="508"/>
      <c r="R126" s="508"/>
      <c r="S126" s="508"/>
      <c r="T126" s="508"/>
      <c r="U126" s="508"/>
      <c r="V126" s="508"/>
      <c r="W126" s="508"/>
      <c r="X126" s="508"/>
      <c r="Y126" s="508"/>
      <c r="Z126" s="508"/>
      <c r="AA126" s="508"/>
    </row>
    <row r="127">
      <c r="A127" s="508"/>
      <c r="B127" s="508"/>
      <c r="C127" s="508"/>
      <c r="D127" s="508"/>
      <c r="E127" s="967"/>
      <c r="F127" s="508"/>
      <c r="G127" s="508"/>
      <c r="H127" s="967"/>
      <c r="I127" s="508"/>
      <c r="J127" s="508"/>
      <c r="K127" s="508"/>
      <c r="L127" s="508"/>
      <c r="M127" s="508"/>
      <c r="N127" s="508"/>
      <c r="O127" s="508"/>
      <c r="P127" s="508"/>
      <c r="Q127" s="508"/>
      <c r="R127" s="508"/>
      <c r="S127" s="508"/>
      <c r="T127" s="508"/>
      <c r="U127" s="508"/>
      <c r="V127" s="508"/>
      <c r="W127" s="508"/>
      <c r="X127" s="508"/>
      <c r="Y127" s="508"/>
      <c r="Z127" s="508"/>
      <c r="AA127" s="508"/>
    </row>
    <row r="128">
      <c r="A128" s="508"/>
      <c r="B128" s="508"/>
      <c r="C128" s="508"/>
      <c r="D128" s="508"/>
      <c r="E128" s="967"/>
      <c r="F128" s="508"/>
      <c r="G128" s="508"/>
      <c r="H128" s="967"/>
      <c r="I128" s="508"/>
      <c r="J128" s="508"/>
      <c r="K128" s="508"/>
      <c r="L128" s="508"/>
      <c r="M128" s="508"/>
      <c r="N128" s="508"/>
      <c r="O128" s="508"/>
      <c r="P128" s="508"/>
      <c r="Q128" s="508"/>
      <c r="R128" s="508"/>
      <c r="S128" s="508"/>
      <c r="T128" s="508"/>
      <c r="U128" s="508"/>
      <c r="V128" s="508"/>
      <c r="W128" s="508"/>
      <c r="X128" s="508"/>
      <c r="Y128" s="508"/>
      <c r="Z128" s="508"/>
      <c r="AA128" s="508"/>
    </row>
    <row r="129">
      <c r="A129" s="508"/>
      <c r="B129" s="508"/>
      <c r="C129" s="508"/>
      <c r="D129" s="508"/>
      <c r="E129" s="967"/>
      <c r="F129" s="508"/>
      <c r="G129" s="508"/>
      <c r="H129" s="967"/>
      <c r="I129" s="508"/>
      <c r="J129" s="508"/>
      <c r="K129" s="508"/>
      <c r="L129" s="508"/>
      <c r="M129" s="508"/>
      <c r="N129" s="508"/>
      <c r="O129" s="508"/>
      <c r="P129" s="508"/>
      <c r="Q129" s="508"/>
      <c r="R129" s="508"/>
      <c r="S129" s="508"/>
      <c r="T129" s="508"/>
      <c r="U129" s="508"/>
      <c r="V129" s="508"/>
      <c r="W129" s="508"/>
      <c r="X129" s="508"/>
      <c r="Y129" s="508"/>
      <c r="Z129" s="508"/>
      <c r="AA129" s="508"/>
    </row>
    <row r="130">
      <c r="A130" s="508"/>
      <c r="B130" s="508"/>
      <c r="C130" s="508"/>
      <c r="D130" s="508"/>
      <c r="E130" s="967"/>
      <c r="F130" s="508"/>
      <c r="G130" s="508"/>
      <c r="H130" s="967"/>
      <c r="I130" s="508"/>
      <c r="J130" s="508"/>
      <c r="K130" s="508"/>
      <c r="L130" s="508"/>
      <c r="M130" s="508"/>
      <c r="N130" s="508"/>
      <c r="O130" s="508"/>
      <c r="P130" s="508"/>
      <c r="Q130" s="508"/>
      <c r="R130" s="508"/>
      <c r="S130" s="508"/>
      <c r="T130" s="508"/>
      <c r="U130" s="508"/>
      <c r="V130" s="508"/>
      <c r="W130" s="508"/>
      <c r="X130" s="508"/>
      <c r="Y130" s="508"/>
      <c r="Z130" s="508"/>
      <c r="AA130" s="508"/>
    </row>
    <row r="131">
      <c r="A131" s="508"/>
      <c r="B131" s="508"/>
      <c r="C131" s="508"/>
      <c r="D131" s="508"/>
      <c r="E131" s="967"/>
      <c r="F131" s="508"/>
      <c r="G131" s="508"/>
      <c r="H131" s="967"/>
      <c r="I131" s="508"/>
      <c r="J131" s="508"/>
      <c r="K131" s="508"/>
      <c r="L131" s="508"/>
      <c r="M131" s="508"/>
      <c r="N131" s="508"/>
      <c r="O131" s="508"/>
      <c r="P131" s="508"/>
      <c r="Q131" s="508"/>
      <c r="R131" s="508"/>
      <c r="S131" s="508"/>
      <c r="T131" s="508"/>
      <c r="U131" s="508"/>
      <c r="V131" s="508"/>
      <c r="W131" s="508"/>
      <c r="X131" s="508"/>
      <c r="Y131" s="508"/>
      <c r="Z131" s="508"/>
      <c r="AA131" s="508"/>
    </row>
    <row r="132">
      <c r="A132" s="508"/>
      <c r="B132" s="508"/>
      <c r="C132" s="508"/>
      <c r="D132" s="508"/>
      <c r="E132" s="967"/>
      <c r="F132" s="508"/>
      <c r="G132" s="508"/>
      <c r="H132" s="967"/>
      <c r="I132" s="508"/>
      <c r="J132" s="508"/>
      <c r="K132" s="508"/>
      <c r="L132" s="508"/>
      <c r="M132" s="508"/>
      <c r="N132" s="508"/>
      <c r="O132" s="508"/>
      <c r="P132" s="508"/>
      <c r="Q132" s="508"/>
      <c r="R132" s="508"/>
      <c r="S132" s="508"/>
      <c r="T132" s="508"/>
      <c r="U132" s="508"/>
      <c r="V132" s="508"/>
      <c r="W132" s="508"/>
      <c r="X132" s="508"/>
      <c r="Y132" s="508"/>
      <c r="Z132" s="508"/>
      <c r="AA132" s="508"/>
    </row>
    <row r="133">
      <c r="A133" s="508"/>
      <c r="B133" s="508"/>
      <c r="C133" s="508"/>
      <c r="D133" s="508"/>
      <c r="E133" s="967"/>
      <c r="F133" s="508"/>
      <c r="G133" s="508"/>
      <c r="H133" s="967"/>
      <c r="I133" s="508"/>
      <c r="J133" s="508"/>
      <c r="K133" s="508"/>
      <c r="L133" s="508"/>
      <c r="M133" s="508"/>
      <c r="N133" s="508"/>
      <c r="O133" s="508"/>
      <c r="P133" s="508"/>
      <c r="Q133" s="508"/>
      <c r="R133" s="508"/>
      <c r="S133" s="508"/>
      <c r="T133" s="508"/>
      <c r="U133" s="508"/>
      <c r="V133" s="508"/>
      <c r="W133" s="508"/>
      <c r="X133" s="508"/>
      <c r="Y133" s="508"/>
      <c r="Z133" s="508"/>
      <c r="AA133" s="508"/>
    </row>
    <row r="134">
      <c r="A134" s="508"/>
      <c r="B134" s="508"/>
      <c r="C134" s="508"/>
      <c r="D134" s="508"/>
      <c r="E134" s="967"/>
      <c r="F134" s="508"/>
      <c r="G134" s="508"/>
      <c r="H134" s="967"/>
      <c r="I134" s="508"/>
      <c r="J134" s="508"/>
      <c r="K134" s="508"/>
      <c r="L134" s="508"/>
      <c r="M134" s="508"/>
      <c r="N134" s="508"/>
      <c r="O134" s="508"/>
      <c r="P134" s="508"/>
      <c r="Q134" s="508"/>
      <c r="R134" s="508"/>
      <c r="S134" s="508"/>
      <c r="T134" s="508"/>
      <c r="U134" s="508"/>
      <c r="V134" s="508"/>
      <c r="W134" s="508"/>
      <c r="X134" s="508"/>
      <c r="Y134" s="508"/>
      <c r="Z134" s="508"/>
      <c r="AA134" s="508"/>
    </row>
    <row r="135">
      <c r="A135" s="508"/>
      <c r="B135" s="508"/>
      <c r="C135" s="508"/>
      <c r="D135" s="508"/>
      <c r="E135" s="967"/>
      <c r="F135" s="508"/>
      <c r="G135" s="508"/>
      <c r="H135" s="967"/>
      <c r="I135" s="508"/>
      <c r="J135" s="508"/>
      <c r="K135" s="508"/>
      <c r="L135" s="508"/>
      <c r="M135" s="508"/>
      <c r="N135" s="508"/>
      <c r="O135" s="508"/>
      <c r="P135" s="508"/>
      <c r="Q135" s="508"/>
      <c r="R135" s="508"/>
      <c r="S135" s="508"/>
      <c r="T135" s="508"/>
      <c r="U135" s="508"/>
      <c r="V135" s="508"/>
      <c r="W135" s="508"/>
      <c r="X135" s="508"/>
      <c r="Y135" s="508"/>
      <c r="Z135" s="508"/>
      <c r="AA135" s="508"/>
    </row>
    <row r="136">
      <c r="A136" s="508"/>
      <c r="B136" s="508"/>
      <c r="C136" s="508"/>
      <c r="D136" s="508"/>
      <c r="E136" s="967"/>
      <c r="F136" s="508"/>
      <c r="G136" s="508"/>
      <c r="H136" s="967"/>
      <c r="I136" s="508"/>
      <c r="J136" s="508"/>
      <c r="K136" s="508"/>
      <c r="L136" s="508"/>
      <c r="M136" s="508"/>
      <c r="N136" s="508"/>
      <c r="O136" s="508"/>
      <c r="P136" s="508"/>
      <c r="Q136" s="508"/>
      <c r="R136" s="508"/>
      <c r="S136" s="508"/>
      <c r="T136" s="508"/>
      <c r="U136" s="508"/>
      <c r="V136" s="508"/>
      <c r="W136" s="508"/>
      <c r="X136" s="508"/>
      <c r="Y136" s="508"/>
      <c r="Z136" s="508"/>
      <c r="AA136" s="508"/>
    </row>
    <row r="137">
      <c r="A137" s="508"/>
      <c r="B137" s="508"/>
      <c r="C137" s="508"/>
      <c r="D137" s="508"/>
      <c r="E137" s="967"/>
      <c r="F137" s="508"/>
      <c r="G137" s="508"/>
      <c r="H137" s="967"/>
      <c r="I137" s="508"/>
      <c r="J137" s="508"/>
      <c r="K137" s="508"/>
      <c r="L137" s="508"/>
      <c r="M137" s="508"/>
      <c r="N137" s="508"/>
      <c r="O137" s="508"/>
      <c r="P137" s="508"/>
      <c r="Q137" s="508"/>
      <c r="R137" s="508"/>
      <c r="S137" s="508"/>
      <c r="T137" s="508"/>
      <c r="U137" s="508"/>
      <c r="V137" s="508"/>
      <c r="W137" s="508"/>
      <c r="X137" s="508"/>
      <c r="Y137" s="508"/>
      <c r="Z137" s="508"/>
      <c r="AA137" s="508"/>
    </row>
    <row r="138">
      <c r="A138" s="508"/>
      <c r="B138" s="508"/>
      <c r="C138" s="508"/>
      <c r="D138" s="508"/>
      <c r="E138" s="967"/>
      <c r="F138" s="508"/>
      <c r="G138" s="508"/>
      <c r="H138" s="967"/>
      <c r="I138" s="508"/>
      <c r="J138" s="508"/>
      <c r="K138" s="508"/>
      <c r="L138" s="508"/>
      <c r="M138" s="508"/>
      <c r="N138" s="508"/>
      <c r="O138" s="508"/>
      <c r="P138" s="508"/>
      <c r="Q138" s="508"/>
      <c r="R138" s="508"/>
      <c r="S138" s="508"/>
      <c r="T138" s="508"/>
      <c r="U138" s="508"/>
      <c r="V138" s="508"/>
      <c r="W138" s="508"/>
      <c r="X138" s="508"/>
      <c r="Y138" s="508"/>
      <c r="Z138" s="508"/>
      <c r="AA138" s="508"/>
    </row>
    <row r="139">
      <c r="A139" s="508"/>
      <c r="B139" s="508"/>
      <c r="C139" s="508"/>
      <c r="D139" s="508"/>
      <c r="E139" s="967"/>
      <c r="F139" s="508"/>
      <c r="G139" s="508"/>
      <c r="H139" s="967"/>
      <c r="I139" s="508"/>
      <c r="J139" s="508"/>
      <c r="K139" s="508"/>
      <c r="L139" s="508"/>
      <c r="M139" s="508"/>
      <c r="N139" s="508"/>
      <c r="O139" s="508"/>
      <c r="P139" s="508"/>
      <c r="Q139" s="508"/>
      <c r="R139" s="508"/>
      <c r="S139" s="508"/>
      <c r="T139" s="508"/>
      <c r="U139" s="508"/>
      <c r="V139" s="508"/>
      <c r="W139" s="508"/>
      <c r="X139" s="508"/>
      <c r="Y139" s="508"/>
      <c r="Z139" s="508"/>
      <c r="AA139" s="508"/>
    </row>
    <row r="140">
      <c r="A140" s="508"/>
      <c r="B140" s="508"/>
      <c r="C140" s="508"/>
      <c r="D140" s="508"/>
      <c r="E140" s="967"/>
      <c r="F140" s="508"/>
      <c r="G140" s="508"/>
      <c r="H140" s="967"/>
      <c r="I140" s="508"/>
      <c r="J140" s="508"/>
      <c r="K140" s="508"/>
      <c r="L140" s="508"/>
      <c r="M140" s="508"/>
      <c r="N140" s="508"/>
      <c r="O140" s="508"/>
      <c r="P140" s="508"/>
      <c r="Q140" s="508"/>
      <c r="R140" s="508"/>
      <c r="S140" s="508"/>
      <c r="T140" s="508"/>
      <c r="U140" s="508"/>
      <c r="V140" s="508"/>
      <c r="W140" s="508"/>
      <c r="X140" s="508"/>
      <c r="Y140" s="508"/>
      <c r="Z140" s="508"/>
      <c r="AA140" s="508"/>
    </row>
    <row r="141">
      <c r="A141" s="508"/>
      <c r="B141" s="508"/>
      <c r="C141" s="508"/>
      <c r="D141" s="508"/>
      <c r="E141" s="967"/>
      <c r="F141" s="508"/>
      <c r="G141" s="508"/>
      <c r="H141" s="967"/>
      <c r="I141" s="508"/>
      <c r="J141" s="508"/>
      <c r="K141" s="508"/>
      <c r="L141" s="508"/>
      <c r="M141" s="508"/>
      <c r="N141" s="508"/>
      <c r="O141" s="508"/>
      <c r="P141" s="508"/>
      <c r="Q141" s="508"/>
      <c r="R141" s="508"/>
      <c r="S141" s="508"/>
      <c r="T141" s="508"/>
      <c r="U141" s="508"/>
      <c r="V141" s="508"/>
      <c r="W141" s="508"/>
      <c r="X141" s="508"/>
      <c r="Y141" s="508"/>
      <c r="Z141" s="508"/>
      <c r="AA141" s="508"/>
    </row>
    <row r="142">
      <c r="A142" s="508"/>
      <c r="B142" s="508"/>
      <c r="C142" s="508"/>
      <c r="D142" s="508"/>
      <c r="E142" s="967"/>
      <c r="F142" s="508"/>
      <c r="G142" s="508"/>
      <c r="H142" s="967"/>
      <c r="I142" s="508"/>
      <c r="J142" s="508"/>
      <c r="K142" s="508"/>
      <c r="L142" s="508"/>
      <c r="M142" s="508"/>
      <c r="N142" s="508"/>
      <c r="O142" s="508"/>
      <c r="P142" s="508"/>
      <c r="Q142" s="508"/>
      <c r="R142" s="508"/>
      <c r="S142" s="508"/>
      <c r="T142" s="508"/>
      <c r="U142" s="508"/>
      <c r="V142" s="508"/>
      <c r="W142" s="508"/>
      <c r="X142" s="508"/>
      <c r="Y142" s="508"/>
      <c r="Z142" s="508"/>
      <c r="AA142" s="508"/>
    </row>
    <row r="143">
      <c r="A143" s="508"/>
      <c r="B143" s="508"/>
      <c r="C143" s="508"/>
      <c r="D143" s="508"/>
      <c r="E143" s="967"/>
      <c r="F143" s="508"/>
      <c r="G143" s="508"/>
      <c r="H143" s="967"/>
      <c r="I143" s="508"/>
      <c r="J143" s="508"/>
      <c r="K143" s="508"/>
      <c r="L143" s="508"/>
      <c r="M143" s="508"/>
      <c r="N143" s="508"/>
      <c r="O143" s="508"/>
      <c r="P143" s="508"/>
      <c r="Q143" s="508"/>
      <c r="R143" s="508"/>
      <c r="S143" s="508"/>
      <c r="T143" s="508"/>
      <c r="U143" s="508"/>
      <c r="V143" s="508"/>
      <c r="W143" s="508"/>
      <c r="X143" s="508"/>
      <c r="Y143" s="508"/>
      <c r="Z143" s="508"/>
      <c r="AA143" s="508"/>
    </row>
    <row r="144">
      <c r="A144" s="508"/>
      <c r="B144" s="508"/>
      <c r="C144" s="508"/>
      <c r="D144" s="508"/>
      <c r="E144" s="967"/>
      <c r="F144" s="508"/>
      <c r="G144" s="508"/>
      <c r="H144" s="967"/>
      <c r="I144" s="508"/>
      <c r="J144" s="508"/>
      <c r="K144" s="508"/>
      <c r="L144" s="508"/>
      <c r="M144" s="508"/>
      <c r="N144" s="508"/>
      <c r="O144" s="508"/>
      <c r="P144" s="508"/>
      <c r="Q144" s="508"/>
      <c r="R144" s="508"/>
      <c r="S144" s="508"/>
      <c r="T144" s="508"/>
      <c r="U144" s="508"/>
      <c r="V144" s="508"/>
      <c r="W144" s="508"/>
      <c r="X144" s="508"/>
      <c r="Y144" s="508"/>
      <c r="Z144" s="508"/>
      <c r="AA144" s="508"/>
    </row>
    <row r="145">
      <c r="A145" s="508"/>
      <c r="B145" s="508"/>
      <c r="C145" s="508"/>
      <c r="D145" s="508"/>
      <c r="E145" s="967"/>
      <c r="F145" s="508"/>
      <c r="G145" s="508"/>
      <c r="H145" s="967"/>
      <c r="I145" s="508"/>
      <c r="J145" s="508"/>
      <c r="K145" s="508"/>
      <c r="L145" s="508"/>
      <c r="M145" s="508"/>
      <c r="N145" s="508"/>
      <c r="O145" s="508"/>
      <c r="P145" s="508"/>
      <c r="Q145" s="508"/>
      <c r="R145" s="508"/>
      <c r="S145" s="508"/>
      <c r="T145" s="508"/>
      <c r="U145" s="508"/>
      <c r="V145" s="508"/>
      <c r="W145" s="508"/>
      <c r="X145" s="508"/>
      <c r="Y145" s="508"/>
      <c r="Z145" s="508"/>
      <c r="AA145" s="508"/>
    </row>
    <row r="146">
      <c r="A146" s="508"/>
      <c r="B146" s="508"/>
      <c r="C146" s="508"/>
      <c r="D146" s="508"/>
      <c r="E146" s="967"/>
      <c r="F146" s="508"/>
      <c r="G146" s="508"/>
      <c r="H146" s="967"/>
      <c r="I146" s="508"/>
      <c r="J146" s="508"/>
      <c r="K146" s="508"/>
      <c r="L146" s="508"/>
      <c r="M146" s="508"/>
      <c r="N146" s="508"/>
      <c r="O146" s="508"/>
      <c r="P146" s="508"/>
      <c r="Q146" s="508"/>
      <c r="R146" s="508"/>
      <c r="S146" s="508"/>
      <c r="T146" s="508"/>
      <c r="U146" s="508"/>
      <c r="V146" s="508"/>
      <c r="W146" s="508"/>
      <c r="X146" s="508"/>
      <c r="Y146" s="508"/>
      <c r="Z146" s="508"/>
      <c r="AA146" s="508"/>
    </row>
    <row r="147">
      <c r="A147" s="508"/>
      <c r="B147" s="508"/>
      <c r="C147" s="508"/>
      <c r="D147" s="508"/>
      <c r="E147" s="967"/>
      <c r="F147" s="508"/>
      <c r="G147" s="508"/>
      <c r="H147" s="967"/>
      <c r="I147" s="508"/>
      <c r="J147" s="508"/>
      <c r="K147" s="508"/>
      <c r="L147" s="508"/>
      <c r="M147" s="508"/>
      <c r="N147" s="508"/>
      <c r="O147" s="508"/>
      <c r="P147" s="508"/>
      <c r="Q147" s="508"/>
      <c r="R147" s="508"/>
      <c r="S147" s="508"/>
      <c r="T147" s="508"/>
      <c r="U147" s="508"/>
      <c r="V147" s="508"/>
      <c r="W147" s="508"/>
      <c r="X147" s="508"/>
      <c r="Y147" s="508"/>
      <c r="Z147" s="508"/>
      <c r="AA147" s="508"/>
    </row>
    <row r="148">
      <c r="A148" s="508"/>
      <c r="B148" s="508"/>
      <c r="C148" s="508"/>
      <c r="D148" s="508"/>
      <c r="E148" s="967"/>
      <c r="F148" s="508"/>
      <c r="G148" s="508"/>
      <c r="H148" s="967"/>
      <c r="I148" s="508"/>
      <c r="J148" s="508"/>
      <c r="K148" s="508"/>
      <c r="L148" s="508"/>
      <c r="M148" s="508"/>
      <c r="N148" s="508"/>
      <c r="O148" s="508"/>
      <c r="P148" s="508"/>
      <c r="Q148" s="508"/>
      <c r="R148" s="508"/>
      <c r="S148" s="508"/>
      <c r="T148" s="508"/>
      <c r="U148" s="508"/>
      <c r="V148" s="508"/>
      <c r="W148" s="508"/>
      <c r="X148" s="508"/>
      <c r="Y148" s="508"/>
      <c r="Z148" s="508"/>
      <c r="AA148" s="508"/>
    </row>
    <row r="149">
      <c r="A149" s="508"/>
      <c r="B149" s="508"/>
      <c r="C149" s="508"/>
      <c r="D149" s="508"/>
      <c r="E149" s="967"/>
      <c r="F149" s="508"/>
      <c r="G149" s="508"/>
      <c r="H149" s="967"/>
      <c r="I149" s="508"/>
      <c r="J149" s="508"/>
      <c r="K149" s="508"/>
      <c r="L149" s="508"/>
      <c r="M149" s="508"/>
      <c r="N149" s="508"/>
      <c r="O149" s="508"/>
      <c r="P149" s="508"/>
      <c r="Q149" s="508"/>
      <c r="R149" s="508"/>
      <c r="S149" s="508"/>
      <c r="T149" s="508"/>
      <c r="U149" s="508"/>
      <c r="V149" s="508"/>
      <c r="W149" s="508"/>
      <c r="X149" s="508"/>
      <c r="Y149" s="508"/>
      <c r="Z149" s="508"/>
      <c r="AA149" s="508"/>
    </row>
    <row r="150">
      <c r="A150" s="508"/>
      <c r="B150" s="508"/>
      <c r="C150" s="508"/>
      <c r="D150" s="508"/>
      <c r="E150" s="967"/>
      <c r="F150" s="508"/>
      <c r="G150" s="508"/>
      <c r="H150" s="967"/>
      <c r="I150" s="508"/>
      <c r="J150" s="508"/>
      <c r="K150" s="508"/>
      <c r="L150" s="508"/>
      <c r="M150" s="508"/>
      <c r="N150" s="508"/>
      <c r="O150" s="508"/>
      <c r="P150" s="508"/>
      <c r="Q150" s="508"/>
      <c r="R150" s="508"/>
      <c r="S150" s="508"/>
      <c r="T150" s="508"/>
      <c r="U150" s="508"/>
      <c r="V150" s="508"/>
      <c r="W150" s="508"/>
      <c r="X150" s="508"/>
      <c r="Y150" s="508"/>
      <c r="Z150" s="508"/>
      <c r="AA150" s="508"/>
    </row>
    <row r="151">
      <c r="A151" s="508"/>
      <c r="B151" s="508"/>
      <c r="C151" s="508"/>
      <c r="D151" s="508"/>
      <c r="E151" s="967"/>
      <c r="F151" s="508"/>
      <c r="G151" s="508"/>
      <c r="H151" s="967"/>
      <c r="I151" s="508"/>
      <c r="J151" s="508"/>
      <c r="K151" s="508"/>
      <c r="L151" s="508"/>
      <c r="M151" s="508"/>
      <c r="N151" s="508"/>
      <c r="O151" s="508"/>
      <c r="P151" s="508"/>
      <c r="Q151" s="508"/>
      <c r="R151" s="508"/>
      <c r="S151" s="508"/>
      <c r="T151" s="508"/>
      <c r="U151" s="508"/>
      <c r="V151" s="508"/>
      <c r="W151" s="508"/>
      <c r="X151" s="508"/>
      <c r="Y151" s="508"/>
      <c r="Z151" s="508"/>
      <c r="AA151" s="508"/>
    </row>
    <row r="152">
      <c r="A152" s="508"/>
      <c r="B152" s="508"/>
      <c r="C152" s="508"/>
      <c r="D152" s="508"/>
      <c r="E152" s="967"/>
      <c r="F152" s="508"/>
      <c r="G152" s="508"/>
      <c r="H152" s="967"/>
      <c r="I152" s="508"/>
      <c r="J152" s="508"/>
      <c r="K152" s="508"/>
      <c r="L152" s="508"/>
      <c r="M152" s="508"/>
      <c r="N152" s="508"/>
      <c r="O152" s="508"/>
      <c r="P152" s="508"/>
      <c r="Q152" s="508"/>
      <c r="R152" s="508"/>
      <c r="S152" s="508"/>
      <c r="T152" s="508"/>
      <c r="U152" s="508"/>
      <c r="V152" s="508"/>
      <c r="W152" s="508"/>
      <c r="X152" s="508"/>
      <c r="Y152" s="508"/>
      <c r="Z152" s="508"/>
      <c r="AA152" s="508"/>
    </row>
    <row r="153">
      <c r="A153" s="508"/>
      <c r="B153" s="508"/>
      <c r="C153" s="508"/>
      <c r="D153" s="508"/>
      <c r="E153" s="967"/>
      <c r="F153" s="508"/>
      <c r="G153" s="508"/>
      <c r="H153" s="967"/>
      <c r="I153" s="508"/>
      <c r="J153" s="508"/>
      <c r="K153" s="508"/>
      <c r="L153" s="508"/>
      <c r="M153" s="508"/>
      <c r="N153" s="508"/>
      <c r="O153" s="508"/>
      <c r="P153" s="508"/>
      <c r="Q153" s="508"/>
      <c r="R153" s="508"/>
      <c r="S153" s="508"/>
      <c r="T153" s="508"/>
      <c r="U153" s="508"/>
      <c r="V153" s="508"/>
      <c r="W153" s="508"/>
      <c r="X153" s="508"/>
      <c r="Y153" s="508"/>
      <c r="Z153" s="508"/>
      <c r="AA153" s="508"/>
    </row>
    <row r="154">
      <c r="A154" s="508"/>
      <c r="B154" s="508"/>
      <c r="C154" s="508"/>
      <c r="D154" s="508"/>
      <c r="E154" s="967"/>
      <c r="F154" s="508"/>
      <c r="G154" s="508"/>
      <c r="H154" s="967"/>
      <c r="I154" s="508"/>
      <c r="J154" s="508"/>
      <c r="K154" s="508"/>
      <c r="L154" s="508"/>
      <c r="M154" s="508"/>
      <c r="N154" s="508"/>
      <c r="O154" s="508"/>
      <c r="P154" s="508"/>
      <c r="Q154" s="508"/>
      <c r="R154" s="508"/>
      <c r="S154" s="508"/>
      <c r="T154" s="508"/>
      <c r="U154" s="508"/>
      <c r="V154" s="508"/>
      <c r="W154" s="508"/>
      <c r="X154" s="508"/>
      <c r="Y154" s="508"/>
      <c r="Z154" s="508"/>
      <c r="AA154" s="508"/>
    </row>
    <row r="155">
      <c r="A155" s="508"/>
      <c r="B155" s="508"/>
      <c r="C155" s="508"/>
      <c r="D155" s="508"/>
      <c r="E155" s="967"/>
      <c r="F155" s="508"/>
      <c r="G155" s="508"/>
      <c r="H155" s="967"/>
      <c r="I155" s="508"/>
      <c r="J155" s="508"/>
      <c r="K155" s="508"/>
      <c r="L155" s="508"/>
      <c r="M155" s="508"/>
      <c r="N155" s="508"/>
      <c r="O155" s="508"/>
      <c r="P155" s="508"/>
      <c r="Q155" s="508"/>
      <c r="R155" s="508"/>
      <c r="S155" s="508"/>
      <c r="T155" s="508"/>
      <c r="U155" s="508"/>
      <c r="V155" s="508"/>
      <c r="W155" s="508"/>
      <c r="X155" s="508"/>
      <c r="Y155" s="508"/>
      <c r="Z155" s="508"/>
      <c r="AA155" s="508"/>
    </row>
    <row r="156">
      <c r="A156" s="508"/>
      <c r="B156" s="508"/>
      <c r="C156" s="508"/>
      <c r="D156" s="508"/>
      <c r="E156" s="967"/>
      <c r="F156" s="508"/>
      <c r="G156" s="508"/>
      <c r="H156" s="967"/>
      <c r="I156" s="508"/>
      <c r="J156" s="508"/>
      <c r="K156" s="508"/>
      <c r="L156" s="508"/>
      <c r="M156" s="508"/>
      <c r="N156" s="508"/>
      <c r="O156" s="508"/>
      <c r="P156" s="508"/>
      <c r="Q156" s="508"/>
      <c r="R156" s="508"/>
      <c r="S156" s="508"/>
      <c r="T156" s="508"/>
      <c r="U156" s="508"/>
      <c r="V156" s="508"/>
      <c r="W156" s="508"/>
      <c r="X156" s="508"/>
      <c r="Y156" s="508"/>
      <c r="Z156" s="508"/>
      <c r="AA156" s="508"/>
    </row>
    <row r="157">
      <c r="A157" s="508"/>
      <c r="B157" s="508"/>
      <c r="C157" s="508"/>
      <c r="D157" s="508"/>
      <c r="E157" s="967"/>
      <c r="F157" s="508"/>
      <c r="G157" s="508"/>
      <c r="H157" s="967"/>
      <c r="I157" s="508"/>
      <c r="J157" s="508"/>
      <c r="K157" s="508"/>
      <c r="L157" s="508"/>
      <c r="M157" s="508"/>
      <c r="N157" s="508"/>
      <c r="O157" s="508"/>
      <c r="P157" s="508"/>
      <c r="Q157" s="508"/>
      <c r="R157" s="508"/>
      <c r="S157" s="508"/>
      <c r="T157" s="508"/>
      <c r="U157" s="508"/>
      <c r="V157" s="508"/>
      <c r="W157" s="508"/>
      <c r="X157" s="508"/>
      <c r="Y157" s="508"/>
      <c r="Z157" s="508"/>
      <c r="AA157" s="508"/>
    </row>
    <row r="158">
      <c r="A158" s="508"/>
      <c r="B158" s="508"/>
      <c r="C158" s="508"/>
      <c r="D158" s="508"/>
      <c r="E158" s="967"/>
      <c r="F158" s="508"/>
      <c r="G158" s="508"/>
      <c r="H158" s="967"/>
      <c r="I158" s="508"/>
      <c r="J158" s="508"/>
      <c r="K158" s="508"/>
      <c r="L158" s="508"/>
      <c r="M158" s="508"/>
      <c r="N158" s="508"/>
      <c r="O158" s="508"/>
      <c r="P158" s="508"/>
      <c r="Q158" s="508"/>
      <c r="R158" s="508"/>
      <c r="S158" s="508"/>
      <c r="T158" s="508"/>
      <c r="U158" s="508"/>
      <c r="V158" s="508"/>
      <c r="W158" s="508"/>
      <c r="X158" s="508"/>
      <c r="Y158" s="508"/>
      <c r="Z158" s="508"/>
      <c r="AA158" s="508"/>
    </row>
    <row r="159">
      <c r="A159" s="508"/>
      <c r="B159" s="508"/>
      <c r="C159" s="508"/>
      <c r="D159" s="508"/>
      <c r="E159" s="967"/>
      <c r="F159" s="508"/>
      <c r="G159" s="508"/>
      <c r="H159" s="967"/>
      <c r="I159" s="508"/>
      <c r="J159" s="508"/>
      <c r="K159" s="508"/>
      <c r="L159" s="508"/>
      <c r="M159" s="508"/>
      <c r="N159" s="508"/>
      <c r="O159" s="508"/>
      <c r="P159" s="508"/>
      <c r="Q159" s="508"/>
      <c r="R159" s="508"/>
      <c r="S159" s="508"/>
      <c r="T159" s="508"/>
      <c r="U159" s="508"/>
      <c r="V159" s="508"/>
      <c r="W159" s="508"/>
      <c r="X159" s="508"/>
      <c r="Y159" s="508"/>
      <c r="Z159" s="508"/>
      <c r="AA159" s="508"/>
    </row>
    <row r="160">
      <c r="A160" s="508"/>
      <c r="B160" s="508"/>
      <c r="C160" s="508"/>
      <c r="D160" s="508"/>
      <c r="E160" s="967"/>
      <c r="F160" s="508"/>
      <c r="G160" s="508"/>
      <c r="H160" s="967"/>
      <c r="I160" s="508"/>
      <c r="J160" s="508"/>
      <c r="K160" s="508"/>
      <c r="L160" s="508"/>
      <c r="M160" s="508"/>
      <c r="N160" s="508"/>
      <c r="O160" s="508"/>
      <c r="P160" s="508"/>
      <c r="Q160" s="508"/>
      <c r="R160" s="508"/>
      <c r="S160" s="508"/>
      <c r="T160" s="508"/>
      <c r="U160" s="508"/>
      <c r="V160" s="508"/>
      <c r="W160" s="508"/>
      <c r="X160" s="508"/>
      <c r="Y160" s="508"/>
      <c r="Z160" s="508"/>
      <c r="AA160" s="508"/>
    </row>
    <row r="161">
      <c r="A161" s="508"/>
      <c r="B161" s="508"/>
      <c r="C161" s="508"/>
      <c r="D161" s="508"/>
      <c r="E161" s="967"/>
      <c r="F161" s="508"/>
      <c r="G161" s="508"/>
      <c r="H161" s="967"/>
      <c r="I161" s="508"/>
      <c r="J161" s="508"/>
      <c r="K161" s="508"/>
      <c r="L161" s="508"/>
      <c r="M161" s="508"/>
      <c r="N161" s="508"/>
      <c r="O161" s="508"/>
      <c r="P161" s="508"/>
      <c r="Q161" s="508"/>
      <c r="R161" s="508"/>
      <c r="S161" s="508"/>
      <c r="T161" s="508"/>
      <c r="U161" s="508"/>
      <c r="V161" s="508"/>
      <c r="W161" s="508"/>
      <c r="X161" s="508"/>
      <c r="Y161" s="508"/>
      <c r="Z161" s="508"/>
      <c r="AA161" s="508"/>
    </row>
    <row r="162">
      <c r="A162" s="508"/>
      <c r="B162" s="508"/>
      <c r="C162" s="508"/>
      <c r="D162" s="508"/>
      <c r="E162" s="967"/>
      <c r="F162" s="508"/>
      <c r="G162" s="508"/>
      <c r="H162" s="967"/>
      <c r="I162" s="508"/>
      <c r="J162" s="508"/>
      <c r="K162" s="508"/>
      <c r="L162" s="508"/>
      <c r="M162" s="508"/>
      <c r="N162" s="508"/>
      <c r="O162" s="508"/>
      <c r="P162" s="508"/>
      <c r="Q162" s="508"/>
      <c r="R162" s="508"/>
      <c r="S162" s="508"/>
      <c r="T162" s="508"/>
      <c r="U162" s="508"/>
      <c r="V162" s="508"/>
      <c r="W162" s="508"/>
      <c r="X162" s="508"/>
      <c r="Y162" s="508"/>
      <c r="Z162" s="508"/>
      <c r="AA162" s="508"/>
    </row>
    <row r="163">
      <c r="A163" s="508"/>
      <c r="B163" s="508"/>
      <c r="C163" s="508"/>
      <c r="D163" s="508"/>
      <c r="E163" s="967"/>
      <c r="F163" s="508"/>
      <c r="G163" s="508"/>
      <c r="H163" s="967"/>
      <c r="I163" s="508"/>
      <c r="J163" s="508"/>
      <c r="K163" s="508"/>
      <c r="L163" s="508"/>
      <c r="M163" s="508"/>
      <c r="N163" s="508"/>
      <c r="O163" s="508"/>
      <c r="P163" s="508"/>
      <c r="Q163" s="508"/>
      <c r="R163" s="508"/>
      <c r="S163" s="508"/>
      <c r="T163" s="508"/>
      <c r="U163" s="508"/>
      <c r="V163" s="508"/>
      <c r="W163" s="508"/>
      <c r="X163" s="508"/>
      <c r="Y163" s="508"/>
      <c r="Z163" s="508"/>
      <c r="AA163" s="508"/>
    </row>
    <row r="164">
      <c r="A164" s="508"/>
      <c r="B164" s="508"/>
      <c r="C164" s="508"/>
      <c r="D164" s="508"/>
      <c r="E164" s="967"/>
      <c r="F164" s="508"/>
      <c r="G164" s="508"/>
      <c r="H164" s="967"/>
      <c r="I164" s="508"/>
      <c r="J164" s="508"/>
      <c r="K164" s="508"/>
      <c r="L164" s="508"/>
      <c r="M164" s="508"/>
      <c r="N164" s="508"/>
      <c r="O164" s="508"/>
      <c r="P164" s="508"/>
      <c r="Q164" s="508"/>
      <c r="R164" s="508"/>
      <c r="S164" s="508"/>
      <c r="T164" s="508"/>
      <c r="U164" s="508"/>
      <c r="V164" s="508"/>
      <c r="W164" s="508"/>
      <c r="X164" s="508"/>
      <c r="Y164" s="508"/>
      <c r="Z164" s="508"/>
      <c r="AA164" s="508"/>
    </row>
    <row r="165">
      <c r="A165" s="508"/>
      <c r="B165" s="508"/>
      <c r="C165" s="508"/>
      <c r="D165" s="508"/>
      <c r="E165" s="967"/>
      <c r="F165" s="508"/>
      <c r="G165" s="508"/>
      <c r="H165" s="967"/>
      <c r="I165" s="508"/>
      <c r="J165" s="508"/>
      <c r="K165" s="508"/>
      <c r="L165" s="508"/>
      <c r="M165" s="508"/>
      <c r="N165" s="508"/>
      <c r="O165" s="508"/>
      <c r="P165" s="508"/>
      <c r="Q165" s="508"/>
      <c r="R165" s="508"/>
      <c r="S165" s="508"/>
      <c r="T165" s="508"/>
      <c r="U165" s="508"/>
      <c r="V165" s="508"/>
      <c r="W165" s="508"/>
      <c r="X165" s="508"/>
      <c r="Y165" s="508"/>
      <c r="Z165" s="508"/>
      <c r="AA165" s="508"/>
    </row>
    <row r="166">
      <c r="A166" s="508"/>
      <c r="B166" s="508"/>
      <c r="C166" s="508"/>
      <c r="D166" s="508"/>
      <c r="E166" s="967"/>
      <c r="F166" s="508"/>
      <c r="G166" s="508"/>
      <c r="H166" s="967"/>
      <c r="I166" s="508"/>
      <c r="J166" s="508"/>
      <c r="K166" s="508"/>
      <c r="L166" s="508"/>
      <c r="M166" s="508"/>
      <c r="N166" s="508"/>
      <c r="O166" s="508"/>
      <c r="P166" s="508"/>
      <c r="Q166" s="508"/>
      <c r="R166" s="508"/>
      <c r="S166" s="508"/>
      <c r="T166" s="508"/>
      <c r="U166" s="508"/>
      <c r="V166" s="508"/>
      <c r="W166" s="508"/>
      <c r="X166" s="508"/>
      <c r="Y166" s="508"/>
      <c r="Z166" s="508"/>
      <c r="AA166" s="508"/>
    </row>
    <row r="167">
      <c r="A167" s="508"/>
      <c r="B167" s="508"/>
      <c r="C167" s="508"/>
      <c r="D167" s="508"/>
      <c r="E167" s="967"/>
      <c r="F167" s="508"/>
      <c r="G167" s="508"/>
      <c r="H167" s="967"/>
      <c r="I167" s="508"/>
      <c r="J167" s="508"/>
      <c r="K167" s="508"/>
      <c r="L167" s="508"/>
      <c r="M167" s="508"/>
      <c r="N167" s="508"/>
      <c r="O167" s="508"/>
      <c r="P167" s="508"/>
      <c r="Q167" s="508"/>
      <c r="R167" s="508"/>
      <c r="S167" s="508"/>
      <c r="T167" s="508"/>
      <c r="U167" s="508"/>
      <c r="V167" s="508"/>
      <c r="W167" s="508"/>
      <c r="X167" s="508"/>
      <c r="Y167" s="508"/>
      <c r="Z167" s="508"/>
      <c r="AA167" s="508"/>
    </row>
    <row r="168">
      <c r="A168" s="508"/>
      <c r="B168" s="508"/>
      <c r="C168" s="508"/>
      <c r="D168" s="508"/>
      <c r="E168" s="967"/>
      <c r="F168" s="508"/>
      <c r="G168" s="508"/>
      <c r="H168" s="967"/>
      <c r="I168" s="508"/>
      <c r="J168" s="508"/>
      <c r="K168" s="508"/>
      <c r="L168" s="508"/>
      <c r="M168" s="508"/>
      <c r="N168" s="508"/>
      <c r="O168" s="508"/>
      <c r="P168" s="508"/>
      <c r="Q168" s="508"/>
      <c r="R168" s="508"/>
      <c r="S168" s="508"/>
      <c r="T168" s="508"/>
      <c r="U168" s="508"/>
      <c r="V168" s="508"/>
      <c r="W168" s="508"/>
      <c r="X168" s="508"/>
      <c r="Y168" s="508"/>
      <c r="Z168" s="508"/>
      <c r="AA168" s="508"/>
    </row>
    <row r="169">
      <c r="A169" s="508"/>
      <c r="B169" s="508"/>
      <c r="C169" s="508"/>
      <c r="D169" s="508"/>
      <c r="E169" s="967"/>
      <c r="F169" s="508"/>
      <c r="G169" s="508"/>
      <c r="H169" s="967"/>
      <c r="I169" s="508"/>
      <c r="J169" s="508"/>
      <c r="K169" s="508"/>
      <c r="L169" s="508"/>
      <c r="M169" s="508"/>
      <c r="N169" s="508"/>
      <c r="O169" s="508"/>
      <c r="P169" s="508"/>
      <c r="Q169" s="508"/>
      <c r="R169" s="508"/>
      <c r="S169" s="508"/>
      <c r="T169" s="508"/>
      <c r="U169" s="508"/>
      <c r="V169" s="508"/>
      <c r="W169" s="508"/>
      <c r="X169" s="508"/>
      <c r="Y169" s="508"/>
      <c r="Z169" s="508"/>
      <c r="AA169" s="508"/>
    </row>
    <row r="170">
      <c r="A170" s="508"/>
      <c r="B170" s="508"/>
      <c r="C170" s="508"/>
      <c r="D170" s="508"/>
      <c r="E170" s="967"/>
      <c r="F170" s="508"/>
      <c r="G170" s="508"/>
      <c r="H170" s="967"/>
      <c r="I170" s="508"/>
      <c r="J170" s="508"/>
      <c r="K170" s="508"/>
      <c r="L170" s="508"/>
      <c r="M170" s="508"/>
      <c r="N170" s="508"/>
      <c r="O170" s="508"/>
      <c r="P170" s="508"/>
      <c r="Q170" s="508"/>
      <c r="R170" s="508"/>
      <c r="S170" s="508"/>
      <c r="T170" s="508"/>
      <c r="U170" s="508"/>
      <c r="V170" s="508"/>
      <c r="W170" s="508"/>
      <c r="X170" s="508"/>
      <c r="Y170" s="508"/>
      <c r="Z170" s="508"/>
      <c r="AA170" s="508"/>
    </row>
    <row r="171">
      <c r="A171" s="508"/>
      <c r="B171" s="508"/>
      <c r="C171" s="508"/>
      <c r="D171" s="508"/>
      <c r="E171" s="967"/>
      <c r="F171" s="508"/>
      <c r="G171" s="508"/>
      <c r="H171" s="967"/>
      <c r="I171" s="508"/>
      <c r="J171" s="508"/>
      <c r="K171" s="508"/>
      <c r="L171" s="508"/>
      <c r="M171" s="508"/>
      <c r="N171" s="508"/>
      <c r="O171" s="508"/>
      <c r="P171" s="508"/>
      <c r="Q171" s="508"/>
      <c r="R171" s="508"/>
      <c r="S171" s="508"/>
      <c r="T171" s="508"/>
      <c r="U171" s="508"/>
      <c r="V171" s="508"/>
      <c r="W171" s="508"/>
      <c r="X171" s="508"/>
      <c r="Y171" s="508"/>
      <c r="Z171" s="508"/>
      <c r="AA171" s="508"/>
    </row>
    <row r="172">
      <c r="A172" s="508"/>
      <c r="B172" s="508"/>
      <c r="C172" s="508"/>
      <c r="D172" s="508"/>
      <c r="E172" s="967"/>
      <c r="F172" s="508"/>
      <c r="G172" s="508"/>
      <c r="H172" s="967"/>
      <c r="I172" s="508"/>
      <c r="J172" s="508"/>
      <c r="K172" s="508"/>
      <c r="L172" s="508"/>
      <c r="M172" s="508"/>
      <c r="N172" s="508"/>
      <c r="O172" s="508"/>
      <c r="P172" s="508"/>
      <c r="Q172" s="508"/>
      <c r="R172" s="508"/>
      <c r="S172" s="508"/>
      <c r="T172" s="508"/>
      <c r="U172" s="508"/>
      <c r="V172" s="508"/>
      <c r="W172" s="508"/>
      <c r="X172" s="508"/>
      <c r="Y172" s="508"/>
      <c r="Z172" s="508"/>
      <c r="AA172" s="508"/>
    </row>
    <row r="173">
      <c r="A173" s="508"/>
      <c r="B173" s="508"/>
      <c r="C173" s="508"/>
      <c r="D173" s="508"/>
      <c r="E173" s="967"/>
      <c r="F173" s="508"/>
      <c r="G173" s="508"/>
      <c r="H173" s="967"/>
      <c r="I173" s="508"/>
      <c r="J173" s="508"/>
      <c r="K173" s="508"/>
      <c r="L173" s="508"/>
      <c r="M173" s="508"/>
      <c r="N173" s="508"/>
      <c r="O173" s="508"/>
      <c r="P173" s="508"/>
      <c r="Q173" s="508"/>
      <c r="R173" s="508"/>
      <c r="S173" s="508"/>
      <c r="T173" s="508"/>
      <c r="U173" s="508"/>
      <c r="V173" s="508"/>
      <c r="W173" s="508"/>
      <c r="X173" s="508"/>
      <c r="Y173" s="508"/>
      <c r="Z173" s="508"/>
      <c r="AA173" s="508"/>
    </row>
    <row r="174">
      <c r="A174" s="508"/>
      <c r="B174" s="508"/>
      <c r="C174" s="508"/>
      <c r="D174" s="508"/>
      <c r="E174" s="967"/>
      <c r="F174" s="508"/>
      <c r="G174" s="508"/>
      <c r="H174" s="967"/>
      <c r="I174" s="508"/>
      <c r="J174" s="508"/>
      <c r="K174" s="508"/>
      <c r="L174" s="508"/>
      <c r="M174" s="508"/>
      <c r="N174" s="508"/>
      <c r="O174" s="508"/>
      <c r="P174" s="508"/>
      <c r="Q174" s="508"/>
      <c r="R174" s="508"/>
      <c r="S174" s="508"/>
      <c r="T174" s="508"/>
      <c r="U174" s="508"/>
      <c r="V174" s="508"/>
      <c r="W174" s="508"/>
      <c r="X174" s="508"/>
      <c r="Y174" s="508"/>
      <c r="Z174" s="508"/>
      <c r="AA174" s="508"/>
    </row>
    <row r="175">
      <c r="A175" s="508"/>
      <c r="B175" s="508"/>
      <c r="C175" s="508"/>
      <c r="D175" s="508"/>
      <c r="E175" s="967"/>
      <c r="F175" s="508"/>
      <c r="G175" s="508"/>
      <c r="H175" s="967"/>
      <c r="I175" s="508"/>
      <c r="J175" s="508"/>
      <c r="K175" s="508"/>
      <c r="L175" s="508"/>
      <c r="M175" s="508"/>
      <c r="N175" s="508"/>
      <c r="O175" s="508"/>
      <c r="P175" s="508"/>
      <c r="Q175" s="508"/>
      <c r="R175" s="508"/>
      <c r="S175" s="508"/>
      <c r="T175" s="508"/>
      <c r="U175" s="508"/>
      <c r="V175" s="508"/>
      <c r="W175" s="508"/>
      <c r="X175" s="508"/>
      <c r="Y175" s="508"/>
      <c r="Z175" s="508"/>
      <c r="AA175" s="508"/>
    </row>
    <row r="176">
      <c r="A176" s="508"/>
      <c r="B176" s="508"/>
      <c r="C176" s="508"/>
      <c r="D176" s="508"/>
      <c r="E176" s="967"/>
      <c r="F176" s="508"/>
      <c r="G176" s="508"/>
      <c r="H176" s="967"/>
      <c r="I176" s="508"/>
      <c r="J176" s="508"/>
      <c r="K176" s="508"/>
      <c r="L176" s="508"/>
      <c r="M176" s="508"/>
      <c r="N176" s="508"/>
      <c r="O176" s="508"/>
      <c r="P176" s="508"/>
      <c r="Q176" s="508"/>
      <c r="R176" s="508"/>
      <c r="S176" s="508"/>
      <c r="T176" s="508"/>
      <c r="U176" s="508"/>
      <c r="V176" s="508"/>
      <c r="W176" s="508"/>
      <c r="X176" s="508"/>
      <c r="Y176" s="508"/>
      <c r="Z176" s="508"/>
      <c r="AA176" s="508"/>
    </row>
    <row r="177">
      <c r="A177" s="508"/>
      <c r="B177" s="508"/>
      <c r="C177" s="508"/>
      <c r="D177" s="508"/>
      <c r="E177" s="967"/>
      <c r="F177" s="508"/>
      <c r="G177" s="508"/>
      <c r="H177" s="967"/>
      <c r="I177" s="508"/>
      <c r="J177" s="508"/>
      <c r="K177" s="508"/>
      <c r="L177" s="508"/>
      <c r="M177" s="508"/>
      <c r="N177" s="508"/>
      <c r="O177" s="508"/>
      <c r="P177" s="508"/>
      <c r="Q177" s="508"/>
      <c r="R177" s="508"/>
      <c r="S177" s="508"/>
      <c r="T177" s="508"/>
      <c r="U177" s="508"/>
      <c r="V177" s="508"/>
      <c r="W177" s="508"/>
      <c r="X177" s="508"/>
      <c r="Y177" s="508"/>
      <c r="Z177" s="508"/>
      <c r="AA177" s="508"/>
    </row>
    <row r="178">
      <c r="A178" s="508"/>
      <c r="B178" s="508"/>
      <c r="C178" s="508"/>
      <c r="D178" s="508"/>
      <c r="E178" s="967"/>
      <c r="F178" s="508"/>
      <c r="G178" s="508"/>
      <c r="H178" s="967"/>
      <c r="I178" s="508"/>
      <c r="J178" s="508"/>
      <c r="K178" s="508"/>
      <c r="L178" s="508"/>
      <c r="M178" s="508"/>
      <c r="N178" s="508"/>
      <c r="O178" s="508"/>
      <c r="P178" s="508"/>
      <c r="Q178" s="508"/>
      <c r="R178" s="508"/>
      <c r="S178" s="508"/>
      <c r="T178" s="508"/>
      <c r="U178" s="508"/>
      <c r="V178" s="508"/>
      <c r="W178" s="508"/>
      <c r="X178" s="508"/>
      <c r="Y178" s="508"/>
      <c r="Z178" s="508"/>
      <c r="AA178" s="508"/>
    </row>
    <row r="179">
      <c r="A179" s="508"/>
      <c r="B179" s="508"/>
      <c r="C179" s="508"/>
      <c r="D179" s="508"/>
      <c r="E179" s="967"/>
      <c r="F179" s="508"/>
      <c r="G179" s="508"/>
      <c r="H179" s="967"/>
      <c r="I179" s="508"/>
      <c r="J179" s="508"/>
      <c r="K179" s="508"/>
      <c r="L179" s="508"/>
      <c r="M179" s="508"/>
      <c r="N179" s="508"/>
      <c r="O179" s="508"/>
      <c r="P179" s="508"/>
      <c r="Q179" s="508"/>
      <c r="R179" s="508"/>
      <c r="S179" s="508"/>
      <c r="T179" s="508"/>
      <c r="U179" s="508"/>
      <c r="V179" s="508"/>
      <c r="W179" s="508"/>
      <c r="X179" s="508"/>
      <c r="Y179" s="508"/>
      <c r="Z179" s="508"/>
      <c r="AA179" s="508"/>
    </row>
    <row r="180">
      <c r="A180" s="508"/>
      <c r="B180" s="508"/>
      <c r="C180" s="508"/>
      <c r="D180" s="508"/>
      <c r="E180" s="967"/>
      <c r="F180" s="508"/>
      <c r="G180" s="508"/>
      <c r="H180" s="967"/>
      <c r="I180" s="508"/>
      <c r="J180" s="508"/>
      <c r="K180" s="508"/>
      <c r="L180" s="508"/>
      <c r="M180" s="508"/>
      <c r="N180" s="508"/>
      <c r="O180" s="508"/>
      <c r="P180" s="508"/>
      <c r="Q180" s="508"/>
      <c r="R180" s="508"/>
      <c r="S180" s="508"/>
      <c r="T180" s="508"/>
      <c r="U180" s="508"/>
      <c r="V180" s="508"/>
      <c r="W180" s="508"/>
      <c r="X180" s="508"/>
      <c r="Y180" s="508"/>
      <c r="Z180" s="508"/>
      <c r="AA180" s="508"/>
    </row>
    <row r="181">
      <c r="A181" s="508"/>
      <c r="B181" s="508"/>
      <c r="C181" s="508"/>
      <c r="D181" s="508"/>
      <c r="E181" s="967"/>
      <c r="F181" s="508"/>
      <c r="G181" s="508"/>
      <c r="H181" s="967"/>
      <c r="I181" s="508"/>
      <c r="J181" s="508"/>
      <c r="K181" s="508"/>
      <c r="L181" s="508"/>
      <c r="M181" s="508"/>
      <c r="N181" s="508"/>
      <c r="O181" s="508"/>
      <c r="P181" s="508"/>
      <c r="Q181" s="508"/>
      <c r="R181" s="508"/>
      <c r="S181" s="508"/>
      <c r="T181" s="508"/>
      <c r="U181" s="508"/>
      <c r="V181" s="508"/>
      <c r="W181" s="508"/>
      <c r="X181" s="508"/>
      <c r="Y181" s="508"/>
      <c r="Z181" s="508"/>
      <c r="AA181" s="508"/>
    </row>
    <row r="182">
      <c r="A182" s="508"/>
      <c r="B182" s="508"/>
      <c r="C182" s="508"/>
      <c r="D182" s="508"/>
      <c r="E182" s="967"/>
      <c r="F182" s="508"/>
      <c r="G182" s="508"/>
      <c r="H182" s="967"/>
      <c r="I182" s="508"/>
      <c r="J182" s="508"/>
      <c r="K182" s="508"/>
      <c r="L182" s="508"/>
      <c r="M182" s="508"/>
      <c r="N182" s="508"/>
      <c r="O182" s="508"/>
      <c r="P182" s="508"/>
      <c r="Q182" s="508"/>
      <c r="R182" s="508"/>
      <c r="S182" s="508"/>
      <c r="T182" s="508"/>
      <c r="U182" s="508"/>
      <c r="V182" s="508"/>
      <c r="W182" s="508"/>
      <c r="X182" s="508"/>
      <c r="Y182" s="508"/>
      <c r="Z182" s="508"/>
      <c r="AA182" s="508"/>
    </row>
    <row r="183">
      <c r="A183" s="508"/>
      <c r="B183" s="508"/>
      <c r="C183" s="508"/>
      <c r="D183" s="508"/>
      <c r="E183" s="967"/>
      <c r="F183" s="508"/>
      <c r="G183" s="508"/>
      <c r="H183" s="967"/>
      <c r="I183" s="508"/>
      <c r="J183" s="508"/>
      <c r="K183" s="508"/>
      <c r="L183" s="508"/>
      <c r="M183" s="508"/>
      <c r="N183" s="508"/>
      <c r="O183" s="508"/>
      <c r="P183" s="508"/>
      <c r="Q183" s="508"/>
      <c r="R183" s="508"/>
      <c r="S183" s="508"/>
      <c r="T183" s="508"/>
      <c r="U183" s="508"/>
      <c r="V183" s="508"/>
      <c r="W183" s="508"/>
      <c r="X183" s="508"/>
      <c r="Y183" s="508"/>
      <c r="Z183" s="508"/>
      <c r="AA183" s="508"/>
    </row>
    <row r="184">
      <c r="A184" s="508"/>
      <c r="B184" s="508"/>
      <c r="C184" s="508"/>
      <c r="D184" s="508"/>
      <c r="E184" s="967"/>
      <c r="F184" s="508"/>
      <c r="G184" s="508"/>
      <c r="H184" s="967"/>
      <c r="I184" s="508"/>
      <c r="J184" s="508"/>
      <c r="K184" s="508"/>
      <c r="L184" s="508"/>
      <c r="M184" s="508"/>
      <c r="N184" s="508"/>
      <c r="O184" s="508"/>
      <c r="P184" s="508"/>
      <c r="Q184" s="508"/>
      <c r="R184" s="508"/>
      <c r="S184" s="508"/>
      <c r="T184" s="508"/>
      <c r="U184" s="508"/>
      <c r="V184" s="508"/>
      <c r="W184" s="508"/>
      <c r="X184" s="508"/>
      <c r="Y184" s="508"/>
      <c r="Z184" s="508"/>
      <c r="AA184" s="508"/>
    </row>
    <row r="185">
      <c r="A185" s="508"/>
      <c r="B185" s="508"/>
      <c r="C185" s="508"/>
      <c r="D185" s="508"/>
      <c r="E185" s="967"/>
      <c r="F185" s="508"/>
      <c r="G185" s="508"/>
      <c r="H185" s="967"/>
      <c r="I185" s="508"/>
      <c r="J185" s="508"/>
      <c r="K185" s="508"/>
      <c r="L185" s="508"/>
      <c r="M185" s="508"/>
      <c r="N185" s="508"/>
      <c r="O185" s="508"/>
      <c r="P185" s="508"/>
      <c r="Q185" s="508"/>
      <c r="R185" s="508"/>
      <c r="S185" s="508"/>
      <c r="T185" s="508"/>
      <c r="U185" s="508"/>
      <c r="V185" s="508"/>
      <c r="W185" s="508"/>
      <c r="X185" s="508"/>
      <c r="Y185" s="508"/>
      <c r="Z185" s="508"/>
      <c r="AA185" s="508"/>
    </row>
    <row r="186">
      <c r="A186" s="508"/>
      <c r="B186" s="508"/>
      <c r="C186" s="508"/>
      <c r="D186" s="508"/>
      <c r="E186" s="967"/>
      <c r="F186" s="508"/>
      <c r="G186" s="508"/>
      <c r="H186" s="967"/>
      <c r="I186" s="508"/>
      <c r="J186" s="508"/>
      <c r="K186" s="508"/>
      <c r="L186" s="508"/>
      <c r="M186" s="508"/>
      <c r="N186" s="508"/>
      <c r="O186" s="508"/>
      <c r="P186" s="508"/>
      <c r="Q186" s="508"/>
      <c r="R186" s="508"/>
      <c r="S186" s="508"/>
      <c r="T186" s="508"/>
      <c r="U186" s="508"/>
      <c r="V186" s="508"/>
      <c r="W186" s="508"/>
      <c r="X186" s="508"/>
      <c r="Y186" s="508"/>
      <c r="Z186" s="508"/>
      <c r="AA186" s="508"/>
    </row>
    <row r="187">
      <c r="A187" s="508"/>
      <c r="B187" s="508"/>
      <c r="C187" s="508"/>
      <c r="D187" s="508"/>
      <c r="E187" s="967"/>
      <c r="F187" s="508"/>
      <c r="G187" s="508"/>
      <c r="H187" s="967"/>
      <c r="I187" s="508"/>
      <c r="J187" s="508"/>
      <c r="K187" s="508"/>
      <c r="L187" s="508"/>
      <c r="M187" s="508"/>
      <c r="N187" s="508"/>
      <c r="O187" s="508"/>
      <c r="P187" s="508"/>
      <c r="Q187" s="508"/>
      <c r="R187" s="508"/>
      <c r="S187" s="508"/>
      <c r="T187" s="508"/>
      <c r="U187" s="508"/>
      <c r="V187" s="508"/>
      <c r="W187" s="508"/>
      <c r="X187" s="508"/>
      <c r="Y187" s="508"/>
      <c r="Z187" s="508"/>
      <c r="AA187" s="508"/>
    </row>
    <row r="188">
      <c r="A188" s="508"/>
      <c r="B188" s="508"/>
      <c r="C188" s="508"/>
      <c r="D188" s="508"/>
      <c r="E188" s="967"/>
      <c r="F188" s="508"/>
      <c r="G188" s="508"/>
      <c r="H188" s="967"/>
      <c r="I188" s="508"/>
      <c r="J188" s="508"/>
      <c r="K188" s="508"/>
      <c r="L188" s="508"/>
      <c r="M188" s="508"/>
      <c r="N188" s="508"/>
      <c r="O188" s="508"/>
      <c r="P188" s="508"/>
      <c r="Q188" s="508"/>
      <c r="R188" s="508"/>
      <c r="S188" s="508"/>
      <c r="T188" s="508"/>
      <c r="U188" s="508"/>
      <c r="V188" s="508"/>
      <c r="W188" s="508"/>
      <c r="X188" s="508"/>
      <c r="Y188" s="508"/>
      <c r="Z188" s="508"/>
      <c r="AA188" s="508"/>
    </row>
    <row r="189">
      <c r="A189" s="508"/>
      <c r="B189" s="508"/>
      <c r="C189" s="508"/>
      <c r="D189" s="508"/>
      <c r="E189" s="967"/>
      <c r="F189" s="508"/>
      <c r="G189" s="508"/>
      <c r="H189" s="967"/>
      <c r="I189" s="508"/>
      <c r="J189" s="508"/>
      <c r="K189" s="508"/>
      <c r="L189" s="508"/>
      <c r="M189" s="508"/>
      <c r="N189" s="508"/>
      <c r="O189" s="508"/>
      <c r="P189" s="508"/>
      <c r="Q189" s="508"/>
      <c r="R189" s="508"/>
      <c r="S189" s="508"/>
      <c r="T189" s="508"/>
      <c r="U189" s="508"/>
      <c r="V189" s="508"/>
      <c r="W189" s="508"/>
      <c r="X189" s="508"/>
      <c r="Y189" s="508"/>
      <c r="Z189" s="508"/>
      <c r="AA189" s="508"/>
    </row>
    <row r="190">
      <c r="A190" s="508"/>
      <c r="B190" s="508"/>
      <c r="C190" s="508"/>
      <c r="D190" s="508"/>
      <c r="E190" s="967"/>
      <c r="F190" s="508"/>
      <c r="G190" s="508"/>
      <c r="H190" s="967"/>
      <c r="I190" s="508"/>
      <c r="J190" s="508"/>
      <c r="K190" s="508"/>
      <c r="L190" s="508"/>
      <c r="M190" s="508"/>
      <c r="N190" s="508"/>
      <c r="O190" s="508"/>
      <c r="P190" s="508"/>
      <c r="Q190" s="508"/>
      <c r="R190" s="508"/>
      <c r="S190" s="508"/>
      <c r="T190" s="508"/>
      <c r="U190" s="508"/>
      <c r="V190" s="508"/>
      <c r="W190" s="508"/>
      <c r="X190" s="508"/>
      <c r="Y190" s="508"/>
      <c r="Z190" s="508"/>
      <c r="AA190" s="508"/>
    </row>
    <row r="191">
      <c r="A191" s="508"/>
      <c r="B191" s="508"/>
      <c r="C191" s="508"/>
      <c r="D191" s="508"/>
      <c r="E191" s="967"/>
      <c r="F191" s="508"/>
      <c r="G191" s="508"/>
      <c r="H191" s="967"/>
      <c r="I191" s="508"/>
      <c r="J191" s="508"/>
      <c r="K191" s="508"/>
      <c r="L191" s="508"/>
      <c r="M191" s="508"/>
      <c r="N191" s="508"/>
      <c r="O191" s="508"/>
      <c r="P191" s="508"/>
      <c r="Q191" s="508"/>
      <c r="R191" s="508"/>
      <c r="S191" s="508"/>
      <c r="T191" s="508"/>
      <c r="U191" s="508"/>
      <c r="V191" s="508"/>
      <c r="W191" s="508"/>
      <c r="X191" s="508"/>
      <c r="Y191" s="508"/>
      <c r="Z191" s="508"/>
      <c r="AA191" s="508"/>
    </row>
    <row r="192">
      <c r="A192" s="508"/>
      <c r="B192" s="508"/>
      <c r="C192" s="508"/>
      <c r="D192" s="508"/>
      <c r="E192" s="967"/>
      <c r="F192" s="508"/>
      <c r="G192" s="508"/>
      <c r="H192" s="967"/>
      <c r="I192" s="508"/>
      <c r="J192" s="508"/>
      <c r="K192" s="508"/>
      <c r="L192" s="508"/>
      <c r="M192" s="508"/>
      <c r="N192" s="508"/>
      <c r="O192" s="508"/>
      <c r="P192" s="508"/>
      <c r="Q192" s="508"/>
      <c r="R192" s="508"/>
      <c r="S192" s="508"/>
      <c r="T192" s="508"/>
      <c r="U192" s="508"/>
      <c r="V192" s="508"/>
      <c r="W192" s="508"/>
      <c r="X192" s="508"/>
      <c r="Y192" s="508"/>
      <c r="Z192" s="508"/>
      <c r="AA192" s="508"/>
    </row>
    <row r="193">
      <c r="A193" s="508"/>
      <c r="B193" s="508"/>
      <c r="C193" s="508"/>
      <c r="D193" s="508"/>
      <c r="E193" s="967"/>
      <c r="F193" s="508"/>
      <c r="G193" s="508"/>
      <c r="H193" s="967"/>
      <c r="I193" s="508"/>
      <c r="J193" s="508"/>
      <c r="K193" s="508"/>
      <c r="L193" s="508"/>
      <c r="M193" s="508"/>
      <c r="N193" s="508"/>
      <c r="O193" s="508"/>
      <c r="P193" s="508"/>
      <c r="Q193" s="508"/>
      <c r="R193" s="508"/>
      <c r="S193" s="508"/>
      <c r="T193" s="508"/>
      <c r="U193" s="508"/>
      <c r="V193" s="508"/>
      <c r="W193" s="508"/>
      <c r="X193" s="508"/>
      <c r="Y193" s="508"/>
      <c r="Z193" s="508"/>
      <c r="AA193" s="508"/>
    </row>
    <row r="194">
      <c r="A194" s="508"/>
      <c r="B194" s="508"/>
      <c r="C194" s="508"/>
      <c r="D194" s="508"/>
      <c r="E194" s="967"/>
      <c r="F194" s="508"/>
      <c r="G194" s="508"/>
      <c r="H194" s="967"/>
      <c r="I194" s="508"/>
      <c r="J194" s="508"/>
      <c r="K194" s="508"/>
      <c r="L194" s="508"/>
      <c r="M194" s="508"/>
      <c r="N194" s="508"/>
      <c r="O194" s="508"/>
      <c r="P194" s="508"/>
      <c r="Q194" s="508"/>
      <c r="R194" s="508"/>
      <c r="S194" s="508"/>
      <c r="T194" s="508"/>
      <c r="U194" s="508"/>
      <c r="V194" s="508"/>
      <c r="W194" s="508"/>
      <c r="X194" s="508"/>
      <c r="Y194" s="508"/>
      <c r="Z194" s="508"/>
      <c r="AA194" s="508"/>
    </row>
    <row r="195">
      <c r="A195" s="508"/>
      <c r="B195" s="508"/>
      <c r="C195" s="508"/>
      <c r="D195" s="508"/>
      <c r="E195" s="967"/>
      <c r="F195" s="508"/>
      <c r="G195" s="508"/>
      <c r="H195" s="967"/>
      <c r="I195" s="508"/>
      <c r="J195" s="508"/>
      <c r="K195" s="508"/>
      <c r="L195" s="508"/>
      <c r="M195" s="508"/>
      <c r="N195" s="508"/>
      <c r="O195" s="508"/>
      <c r="P195" s="508"/>
      <c r="Q195" s="508"/>
      <c r="R195" s="508"/>
      <c r="S195" s="508"/>
      <c r="T195" s="508"/>
      <c r="U195" s="508"/>
      <c r="V195" s="508"/>
      <c r="W195" s="508"/>
      <c r="X195" s="508"/>
      <c r="Y195" s="508"/>
      <c r="Z195" s="508"/>
      <c r="AA195" s="508"/>
    </row>
    <row r="196">
      <c r="A196" s="508"/>
      <c r="B196" s="508"/>
      <c r="C196" s="508"/>
      <c r="D196" s="508"/>
      <c r="E196" s="967"/>
      <c r="F196" s="508"/>
      <c r="G196" s="508"/>
      <c r="H196" s="967"/>
      <c r="I196" s="508"/>
      <c r="J196" s="508"/>
      <c r="K196" s="508"/>
      <c r="L196" s="508"/>
      <c r="M196" s="508"/>
      <c r="N196" s="508"/>
      <c r="O196" s="508"/>
      <c r="P196" s="508"/>
      <c r="Q196" s="508"/>
      <c r="R196" s="508"/>
      <c r="S196" s="508"/>
      <c r="T196" s="508"/>
      <c r="U196" s="508"/>
      <c r="V196" s="508"/>
      <c r="W196" s="508"/>
      <c r="X196" s="508"/>
      <c r="Y196" s="508"/>
      <c r="Z196" s="508"/>
      <c r="AA196" s="508"/>
    </row>
    <row r="197">
      <c r="A197" s="508"/>
      <c r="B197" s="508"/>
      <c r="C197" s="508"/>
      <c r="D197" s="508"/>
      <c r="E197" s="967"/>
      <c r="F197" s="508"/>
      <c r="G197" s="508"/>
      <c r="H197" s="967"/>
      <c r="I197" s="508"/>
      <c r="J197" s="508"/>
      <c r="K197" s="508"/>
      <c r="L197" s="508"/>
      <c r="M197" s="508"/>
      <c r="N197" s="508"/>
      <c r="O197" s="508"/>
      <c r="P197" s="508"/>
      <c r="Q197" s="508"/>
      <c r="R197" s="508"/>
      <c r="S197" s="508"/>
      <c r="T197" s="508"/>
      <c r="U197" s="508"/>
      <c r="V197" s="508"/>
      <c r="W197" s="508"/>
      <c r="X197" s="508"/>
      <c r="Y197" s="508"/>
      <c r="Z197" s="508"/>
      <c r="AA197" s="508"/>
    </row>
    <row r="198">
      <c r="A198" s="508"/>
      <c r="B198" s="508"/>
      <c r="C198" s="508"/>
      <c r="D198" s="508"/>
      <c r="E198" s="967"/>
      <c r="F198" s="508"/>
      <c r="G198" s="508"/>
      <c r="H198" s="967"/>
      <c r="I198" s="508"/>
      <c r="J198" s="508"/>
      <c r="K198" s="508"/>
      <c r="L198" s="508"/>
      <c r="M198" s="508"/>
      <c r="N198" s="508"/>
      <c r="O198" s="508"/>
      <c r="P198" s="508"/>
      <c r="Q198" s="508"/>
      <c r="R198" s="508"/>
      <c r="S198" s="508"/>
      <c r="T198" s="508"/>
      <c r="U198" s="508"/>
      <c r="V198" s="508"/>
      <c r="W198" s="508"/>
      <c r="X198" s="508"/>
      <c r="Y198" s="508"/>
      <c r="Z198" s="508"/>
      <c r="AA198" s="508"/>
    </row>
    <row r="199">
      <c r="A199" s="508"/>
      <c r="B199" s="508"/>
      <c r="C199" s="508"/>
      <c r="D199" s="508"/>
      <c r="E199" s="967"/>
      <c r="F199" s="508"/>
      <c r="G199" s="508"/>
      <c r="H199" s="967"/>
      <c r="I199" s="508"/>
      <c r="J199" s="508"/>
      <c r="K199" s="508"/>
      <c r="L199" s="508"/>
      <c r="M199" s="508"/>
      <c r="N199" s="508"/>
      <c r="O199" s="508"/>
      <c r="P199" s="508"/>
      <c r="Q199" s="508"/>
      <c r="R199" s="508"/>
      <c r="S199" s="508"/>
      <c r="T199" s="508"/>
      <c r="U199" s="508"/>
      <c r="V199" s="508"/>
      <c r="W199" s="508"/>
      <c r="X199" s="508"/>
      <c r="Y199" s="508"/>
      <c r="Z199" s="508"/>
      <c r="AA199" s="508"/>
    </row>
    <row r="200">
      <c r="A200" s="508"/>
      <c r="B200" s="508"/>
      <c r="C200" s="508"/>
      <c r="D200" s="508"/>
      <c r="E200" s="967"/>
      <c r="F200" s="508"/>
      <c r="G200" s="508"/>
      <c r="H200" s="967"/>
      <c r="I200" s="508"/>
      <c r="J200" s="508"/>
      <c r="K200" s="508"/>
      <c r="L200" s="508"/>
      <c r="M200" s="508"/>
      <c r="N200" s="508"/>
      <c r="O200" s="508"/>
      <c r="P200" s="508"/>
      <c r="Q200" s="508"/>
      <c r="R200" s="508"/>
      <c r="S200" s="508"/>
      <c r="T200" s="508"/>
      <c r="U200" s="508"/>
      <c r="V200" s="508"/>
      <c r="W200" s="508"/>
      <c r="X200" s="508"/>
      <c r="Y200" s="508"/>
      <c r="Z200" s="508"/>
      <c r="AA200" s="508"/>
    </row>
    <row r="201">
      <c r="A201" s="508"/>
      <c r="B201" s="508"/>
      <c r="C201" s="508"/>
      <c r="D201" s="508"/>
      <c r="E201" s="967"/>
      <c r="F201" s="508"/>
      <c r="G201" s="508"/>
      <c r="H201" s="967"/>
      <c r="I201" s="508"/>
      <c r="J201" s="508"/>
      <c r="K201" s="508"/>
      <c r="L201" s="508"/>
      <c r="M201" s="508"/>
      <c r="N201" s="508"/>
      <c r="O201" s="508"/>
      <c r="P201" s="508"/>
      <c r="Q201" s="508"/>
      <c r="R201" s="508"/>
      <c r="S201" s="508"/>
      <c r="T201" s="508"/>
      <c r="U201" s="508"/>
      <c r="V201" s="508"/>
      <c r="W201" s="508"/>
      <c r="X201" s="508"/>
      <c r="Y201" s="508"/>
      <c r="Z201" s="508"/>
      <c r="AA201" s="508"/>
    </row>
    <row r="202">
      <c r="A202" s="508"/>
      <c r="B202" s="508"/>
      <c r="C202" s="508"/>
      <c r="D202" s="508"/>
      <c r="E202" s="967"/>
      <c r="F202" s="508"/>
      <c r="G202" s="508"/>
      <c r="H202" s="967"/>
      <c r="I202" s="508"/>
      <c r="J202" s="508"/>
      <c r="K202" s="508"/>
      <c r="L202" s="508"/>
      <c r="M202" s="508"/>
      <c r="N202" s="508"/>
      <c r="O202" s="508"/>
      <c r="P202" s="508"/>
      <c r="Q202" s="508"/>
      <c r="R202" s="508"/>
      <c r="S202" s="508"/>
      <c r="T202" s="508"/>
      <c r="U202" s="508"/>
      <c r="V202" s="508"/>
      <c r="W202" s="508"/>
      <c r="X202" s="508"/>
      <c r="Y202" s="508"/>
      <c r="Z202" s="508"/>
      <c r="AA202" s="508"/>
    </row>
    <row r="203">
      <c r="A203" s="508"/>
      <c r="B203" s="508"/>
      <c r="C203" s="508"/>
      <c r="D203" s="508"/>
      <c r="E203" s="967"/>
      <c r="F203" s="508"/>
      <c r="G203" s="508"/>
      <c r="H203" s="967"/>
      <c r="I203" s="508"/>
      <c r="J203" s="508"/>
      <c r="K203" s="508"/>
      <c r="L203" s="508"/>
      <c r="M203" s="508"/>
      <c r="N203" s="508"/>
      <c r="O203" s="508"/>
      <c r="P203" s="508"/>
      <c r="Q203" s="508"/>
      <c r="R203" s="508"/>
      <c r="S203" s="508"/>
      <c r="T203" s="508"/>
      <c r="U203" s="508"/>
      <c r="V203" s="508"/>
      <c r="W203" s="508"/>
      <c r="X203" s="508"/>
      <c r="Y203" s="508"/>
      <c r="Z203" s="508"/>
      <c r="AA203" s="508"/>
    </row>
    <row r="204">
      <c r="A204" s="508"/>
      <c r="B204" s="508"/>
      <c r="C204" s="508"/>
      <c r="D204" s="508"/>
      <c r="E204" s="967"/>
      <c r="F204" s="508"/>
      <c r="G204" s="508"/>
      <c r="H204" s="967"/>
      <c r="I204" s="508"/>
      <c r="J204" s="508"/>
      <c r="K204" s="508"/>
      <c r="L204" s="508"/>
      <c r="M204" s="508"/>
      <c r="N204" s="508"/>
      <c r="O204" s="508"/>
      <c r="P204" s="508"/>
      <c r="Q204" s="508"/>
      <c r="R204" s="508"/>
      <c r="S204" s="508"/>
      <c r="T204" s="508"/>
      <c r="U204" s="508"/>
      <c r="V204" s="508"/>
      <c r="W204" s="508"/>
      <c r="X204" s="508"/>
      <c r="Y204" s="508"/>
      <c r="Z204" s="508"/>
      <c r="AA204" s="508"/>
    </row>
    <row r="205">
      <c r="A205" s="508"/>
      <c r="B205" s="508"/>
      <c r="C205" s="508"/>
      <c r="D205" s="508"/>
      <c r="E205" s="967"/>
      <c r="F205" s="508"/>
      <c r="G205" s="508"/>
      <c r="H205" s="967"/>
      <c r="I205" s="508"/>
      <c r="J205" s="508"/>
      <c r="K205" s="508"/>
      <c r="L205" s="508"/>
      <c r="M205" s="508"/>
      <c r="N205" s="508"/>
      <c r="O205" s="508"/>
      <c r="P205" s="508"/>
      <c r="Q205" s="508"/>
      <c r="R205" s="508"/>
      <c r="S205" s="508"/>
      <c r="T205" s="508"/>
      <c r="U205" s="508"/>
      <c r="V205" s="508"/>
      <c r="W205" s="508"/>
      <c r="X205" s="508"/>
      <c r="Y205" s="508"/>
      <c r="Z205" s="508"/>
      <c r="AA205" s="508"/>
    </row>
    <row r="206">
      <c r="A206" s="508"/>
      <c r="B206" s="508"/>
      <c r="C206" s="508"/>
      <c r="D206" s="508"/>
      <c r="E206" s="967"/>
      <c r="F206" s="508"/>
      <c r="G206" s="508"/>
      <c r="H206" s="967"/>
      <c r="I206" s="508"/>
      <c r="J206" s="508"/>
      <c r="K206" s="508"/>
      <c r="L206" s="508"/>
      <c r="M206" s="508"/>
      <c r="N206" s="508"/>
      <c r="O206" s="508"/>
      <c r="P206" s="508"/>
      <c r="Q206" s="508"/>
      <c r="R206" s="508"/>
      <c r="S206" s="508"/>
      <c r="T206" s="508"/>
      <c r="U206" s="508"/>
      <c r="V206" s="508"/>
      <c r="W206" s="508"/>
      <c r="X206" s="508"/>
      <c r="Y206" s="508"/>
      <c r="Z206" s="508"/>
      <c r="AA206" s="508"/>
    </row>
    <row r="207">
      <c r="A207" s="508"/>
      <c r="B207" s="508"/>
      <c r="C207" s="508"/>
      <c r="D207" s="508"/>
      <c r="E207" s="967"/>
      <c r="F207" s="508"/>
      <c r="G207" s="508"/>
      <c r="H207" s="967"/>
      <c r="I207" s="508"/>
      <c r="J207" s="508"/>
      <c r="K207" s="508"/>
      <c r="L207" s="508"/>
      <c r="M207" s="508"/>
      <c r="N207" s="508"/>
      <c r="O207" s="508"/>
      <c r="P207" s="508"/>
      <c r="Q207" s="508"/>
      <c r="R207" s="508"/>
      <c r="S207" s="508"/>
      <c r="T207" s="508"/>
      <c r="U207" s="508"/>
      <c r="V207" s="508"/>
      <c r="W207" s="508"/>
      <c r="X207" s="508"/>
      <c r="Y207" s="508"/>
      <c r="Z207" s="508"/>
      <c r="AA207" s="508"/>
    </row>
    <row r="208">
      <c r="A208" s="508"/>
      <c r="B208" s="508"/>
      <c r="C208" s="508"/>
      <c r="D208" s="508"/>
      <c r="E208" s="967"/>
      <c r="F208" s="508"/>
      <c r="G208" s="508"/>
      <c r="H208" s="967"/>
      <c r="I208" s="508"/>
      <c r="J208" s="508"/>
      <c r="K208" s="508"/>
      <c r="L208" s="508"/>
      <c r="M208" s="508"/>
      <c r="N208" s="508"/>
      <c r="O208" s="508"/>
      <c r="P208" s="508"/>
      <c r="Q208" s="508"/>
      <c r="R208" s="508"/>
      <c r="S208" s="508"/>
      <c r="T208" s="508"/>
      <c r="U208" s="508"/>
      <c r="V208" s="508"/>
      <c r="W208" s="508"/>
      <c r="X208" s="508"/>
      <c r="Y208" s="508"/>
      <c r="Z208" s="508"/>
      <c r="AA208" s="508"/>
    </row>
    <row r="209">
      <c r="A209" s="508"/>
      <c r="B209" s="508"/>
      <c r="C209" s="508"/>
      <c r="D209" s="508"/>
      <c r="E209" s="967"/>
      <c r="F209" s="508"/>
      <c r="G209" s="508"/>
      <c r="H209" s="967"/>
      <c r="I209" s="508"/>
      <c r="J209" s="508"/>
      <c r="K209" s="508"/>
      <c r="L209" s="508"/>
      <c r="M209" s="508"/>
      <c r="N209" s="508"/>
      <c r="O209" s="508"/>
      <c r="P209" s="508"/>
      <c r="Q209" s="508"/>
      <c r="R209" s="508"/>
      <c r="S209" s="508"/>
      <c r="T209" s="508"/>
      <c r="U209" s="508"/>
      <c r="V209" s="508"/>
      <c r="W209" s="508"/>
      <c r="X209" s="508"/>
      <c r="Y209" s="508"/>
      <c r="Z209" s="508"/>
      <c r="AA209" s="508"/>
    </row>
    <row r="210">
      <c r="A210" s="508"/>
      <c r="B210" s="508"/>
      <c r="C210" s="508"/>
      <c r="D210" s="508"/>
      <c r="E210" s="967"/>
      <c r="F210" s="508"/>
      <c r="G210" s="508"/>
      <c r="H210" s="967"/>
      <c r="I210" s="508"/>
      <c r="J210" s="508"/>
      <c r="K210" s="508"/>
      <c r="L210" s="508"/>
      <c r="M210" s="508"/>
      <c r="N210" s="508"/>
      <c r="O210" s="508"/>
      <c r="P210" s="508"/>
      <c r="Q210" s="508"/>
      <c r="R210" s="508"/>
      <c r="S210" s="508"/>
      <c r="T210" s="508"/>
      <c r="U210" s="508"/>
      <c r="V210" s="508"/>
      <c r="W210" s="508"/>
      <c r="X210" s="508"/>
      <c r="Y210" s="508"/>
      <c r="Z210" s="508"/>
      <c r="AA210" s="508"/>
    </row>
    <row r="211">
      <c r="A211" s="508"/>
      <c r="B211" s="508"/>
      <c r="C211" s="508"/>
      <c r="D211" s="508"/>
      <c r="E211" s="967"/>
      <c r="F211" s="508"/>
      <c r="G211" s="508"/>
      <c r="H211" s="967"/>
      <c r="I211" s="508"/>
      <c r="J211" s="508"/>
      <c r="K211" s="508"/>
      <c r="L211" s="508"/>
      <c r="M211" s="508"/>
      <c r="N211" s="508"/>
      <c r="O211" s="508"/>
      <c r="P211" s="508"/>
      <c r="Q211" s="508"/>
      <c r="R211" s="508"/>
      <c r="S211" s="508"/>
      <c r="T211" s="508"/>
      <c r="U211" s="508"/>
      <c r="V211" s="508"/>
      <c r="W211" s="508"/>
      <c r="X211" s="508"/>
      <c r="Y211" s="508"/>
      <c r="Z211" s="508"/>
      <c r="AA211" s="508"/>
    </row>
    <row r="212">
      <c r="A212" s="508"/>
      <c r="B212" s="508"/>
      <c r="C212" s="508"/>
      <c r="D212" s="508"/>
      <c r="E212" s="967"/>
      <c r="F212" s="508"/>
      <c r="G212" s="508"/>
      <c r="H212" s="967"/>
      <c r="I212" s="508"/>
      <c r="J212" s="508"/>
      <c r="K212" s="508"/>
      <c r="L212" s="508"/>
      <c r="M212" s="508"/>
      <c r="N212" s="508"/>
      <c r="O212" s="508"/>
      <c r="P212" s="508"/>
      <c r="Q212" s="508"/>
      <c r="R212" s="508"/>
      <c r="S212" s="508"/>
      <c r="T212" s="508"/>
      <c r="U212" s="508"/>
      <c r="V212" s="508"/>
      <c r="W212" s="508"/>
      <c r="X212" s="508"/>
      <c r="Y212" s="508"/>
      <c r="Z212" s="508"/>
      <c r="AA212" s="508"/>
    </row>
    <row r="213">
      <c r="A213" s="508"/>
      <c r="B213" s="508"/>
      <c r="C213" s="508"/>
      <c r="D213" s="508"/>
      <c r="E213" s="967"/>
      <c r="F213" s="508"/>
      <c r="G213" s="508"/>
      <c r="H213" s="967"/>
      <c r="I213" s="508"/>
      <c r="J213" s="508"/>
      <c r="K213" s="508"/>
      <c r="L213" s="508"/>
      <c r="M213" s="508"/>
      <c r="N213" s="508"/>
      <c r="O213" s="508"/>
      <c r="P213" s="508"/>
      <c r="Q213" s="508"/>
      <c r="R213" s="508"/>
      <c r="S213" s="508"/>
      <c r="T213" s="508"/>
      <c r="U213" s="508"/>
      <c r="V213" s="508"/>
      <c r="W213" s="508"/>
      <c r="X213" s="508"/>
      <c r="Y213" s="508"/>
      <c r="Z213" s="508"/>
      <c r="AA213" s="508"/>
    </row>
    <row r="214">
      <c r="A214" s="508"/>
      <c r="B214" s="508"/>
      <c r="C214" s="508"/>
      <c r="D214" s="508"/>
      <c r="E214" s="967"/>
      <c r="F214" s="508"/>
      <c r="G214" s="508"/>
      <c r="H214" s="967"/>
      <c r="I214" s="508"/>
      <c r="J214" s="508"/>
      <c r="K214" s="508"/>
      <c r="L214" s="508"/>
      <c r="M214" s="508"/>
      <c r="N214" s="508"/>
      <c r="O214" s="508"/>
      <c r="P214" s="508"/>
      <c r="Q214" s="508"/>
      <c r="R214" s="508"/>
      <c r="S214" s="508"/>
      <c r="T214" s="508"/>
      <c r="U214" s="508"/>
      <c r="V214" s="508"/>
      <c r="W214" s="508"/>
      <c r="X214" s="508"/>
      <c r="Y214" s="508"/>
      <c r="Z214" s="508"/>
      <c r="AA214" s="508"/>
    </row>
    <row r="215">
      <c r="A215" s="508"/>
      <c r="B215" s="508"/>
      <c r="C215" s="508"/>
      <c r="D215" s="508"/>
      <c r="E215" s="967"/>
      <c r="F215" s="508"/>
      <c r="G215" s="508"/>
      <c r="H215" s="967"/>
      <c r="I215" s="508"/>
      <c r="J215" s="508"/>
      <c r="K215" s="508"/>
      <c r="L215" s="508"/>
      <c r="M215" s="508"/>
      <c r="N215" s="508"/>
      <c r="O215" s="508"/>
      <c r="P215" s="508"/>
      <c r="Q215" s="508"/>
      <c r="R215" s="508"/>
      <c r="S215" s="508"/>
      <c r="T215" s="508"/>
      <c r="U215" s="508"/>
      <c r="V215" s="508"/>
      <c r="W215" s="508"/>
      <c r="X215" s="508"/>
      <c r="Y215" s="508"/>
      <c r="Z215" s="508"/>
      <c r="AA215" s="508"/>
    </row>
    <row r="216">
      <c r="A216" s="508"/>
      <c r="B216" s="508"/>
      <c r="C216" s="508"/>
      <c r="D216" s="508"/>
      <c r="E216" s="967"/>
      <c r="F216" s="508"/>
      <c r="G216" s="508"/>
      <c r="H216" s="967"/>
      <c r="I216" s="508"/>
      <c r="J216" s="508"/>
      <c r="K216" s="508"/>
      <c r="L216" s="508"/>
      <c r="M216" s="508"/>
      <c r="N216" s="508"/>
      <c r="O216" s="508"/>
      <c r="P216" s="508"/>
      <c r="Q216" s="508"/>
      <c r="R216" s="508"/>
      <c r="S216" s="508"/>
      <c r="T216" s="508"/>
      <c r="U216" s="508"/>
      <c r="V216" s="508"/>
      <c r="W216" s="508"/>
      <c r="X216" s="508"/>
      <c r="Y216" s="508"/>
      <c r="Z216" s="508"/>
      <c r="AA216" s="508"/>
    </row>
    <row r="217">
      <c r="A217" s="508"/>
      <c r="B217" s="508"/>
      <c r="C217" s="508"/>
      <c r="D217" s="508"/>
      <c r="E217" s="967"/>
      <c r="F217" s="508"/>
      <c r="G217" s="508"/>
      <c r="H217" s="967"/>
      <c r="I217" s="508"/>
      <c r="J217" s="508"/>
      <c r="K217" s="508"/>
      <c r="L217" s="508"/>
      <c r="M217" s="508"/>
      <c r="N217" s="508"/>
      <c r="O217" s="508"/>
      <c r="P217" s="508"/>
      <c r="Q217" s="508"/>
      <c r="R217" s="508"/>
      <c r="S217" s="508"/>
      <c r="T217" s="508"/>
      <c r="U217" s="508"/>
      <c r="V217" s="508"/>
      <c r="W217" s="508"/>
      <c r="X217" s="508"/>
      <c r="Y217" s="508"/>
      <c r="Z217" s="508"/>
      <c r="AA217" s="508"/>
    </row>
    <row r="218">
      <c r="A218" s="508"/>
      <c r="B218" s="508"/>
      <c r="C218" s="508"/>
      <c r="D218" s="508"/>
      <c r="E218" s="967"/>
      <c r="F218" s="508"/>
      <c r="G218" s="508"/>
      <c r="H218" s="967"/>
      <c r="I218" s="508"/>
      <c r="J218" s="508"/>
      <c r="K218" s="508"/>
      <c r="L218" s="508"/>
      <c r="M218" s="508"/>
      <c r="N218" s="508"/>
      <c r="O218" s="508"/>
      <c r="P218" s="508"/>
      <c r="Q218" s="508"/>
      <c r="R218" s="508"/>
      <c r="S218" s="508"/>
      <c r="T218" s="508"/>
      <c r="U218" s="508"/>
      <c r="V218" s="508"/>
      <c r="W218" s="508"/>
      <c r="X218" s="508"/>
      <c r="Y218" s="508"/>
      <c r="Z218" s="508"/>
      <c r="AA218" s="508"/>
    </row>
    <row r="219">
      <c r="A219" s="508"/>
      <c r="B219" s="508"/>
      <c r="C219" s="508"/>
      <c r="D219" s="508"/>
      <c r="E219" s="967"/>
      <c r="F219" s="508"/>
      <c r="G219" s="508"/>
      <c r="H219" s="967"/>
      <c r="I219" s="508"/>
      <c r="J219" s="508"/>
      <c r="K219" s="508"/>
      <c r="L219" s="508"/>
      <c r="M219" s="508"/>
      <c r="N219" s="508"/>
      <c r="O219" s="508"/>
      <c r="P219" s="508"/>
      <c r="Q219" s="508"/>
      <c r="R219" s="508"/>
      <c r="S219" s="508"/>
      <c r="T219" s="508"/>
      <c r="U219" s="508"/>
      <c r="V219" s="508"/>
      <c r="W219" s="508"/>
      <c r="X219" s="508"/>
      <c r="Y219" s="508"/>
      <c r="Z219" s="508"/>
      <c r="AA219" s="508"/>
    </row>
    <row r="220">
      <c r="A220" s="508"/>
      <c r="B220" s="508"/>
      <c r="C220" s="508"/>
      <c r="D220" s="508"/>
      <c r="E220" s="967"/>
      <c r="F220" s="508"/>
      <c r="G220" s="508"/>
      <c r="H220" s="967"/>
      <c r="I220" s="508"/>
      <c r="J220" s="508"/>
      <c r="K220" s="508"/>
      <c r="L220" s="508"/>
      <c r="M220" s="508"/>
      <c r="N220" s="508"/>
      <c r="O220" s="508"/>
      <c r="P220" s="508"/>
      <c r="Q220" s="508"/>
      <c r="R220" s="508"/>
      <c r="S220" s="508"/>
      <c r="T220" s="508"/>
      <c r="U220" s="508"/>
      <c r="V220" s="508"/>
      <c r="W220" s="508"/>
      <c r="X220" s="508"/>
      <c r="Y220" s="508"/>
      <c r="Z220" s="508"/>
      <c r="AA220" s="508"/>
    </row>
    <row r="221">
      <c r="A221" s="508"/>
      <c r="B221" s="508"/>
      <c r="C221" s="508"/>
      <c r="D221" s="508"/>
      <c r="E221" s="967"/>
      <c r="F221" s="508"/>
      <c r="G221" s="508"/>
      <c r="H221" s="967"/>
      <c r="I221" s="508"/>
      <c r="J221" s="508"/>
      <c r="K221" s="508"/>
      <c r="L221" s="508"/>
      <c r="M221" s="508"/>
      <c r="N221" s="508"/>
      <c r="O221" s="508"/>
      <c r="P221" s="508"/>
      <c r="Q221" s="508"/>
      <c r="R221" s="508"/>
      <c r="S221" s="508"/>
      <c r="T221" s="508"/>
      <c r="U221" s="508"/>
      <c r="V221" s="508"/>
      <c r="W221" s="508"/>
      <c r="X221" s="508"/>
      <c r="Y221" s="508"/>
      <c r="Z221" s="508"/>
      <c r="AA221" s="508"/>
    </row>
    <row r="222">
      <c r="A222" s="508"/>
      <c r="B222" s="508"/>
      <c r="C222" s="508"/>
      <c r="D222" s="508"/>
      <c r="E222" s="967"/>
      <c r="F222" s="508"/>
      <c r="G222" s="508"/>
      <c r="H222" s="967"/>
      <c r="I222" s="508"/>
      <c r="J222" s="508"/>
      <c r="K222" s="508"/>
      <c r="L222" s="508"/>
      <c r="M222" s="508"/>
      <c r="N222" s="508"/>
      <c r="O222" s="508"/>
      <c r="P222" s="508"/>
      <c r="Q222" s="508"/>
      <c r="R222" s="508"/>
      <c r="S222" s="508"/>
      <c r="T222" s="508"/>
      <c r="U222" s="508"/>
      <c r="V222" s="508"/>
      <c r="W222" s="508"/>
      <c r="X222" s="508"/>
      <c r="Y222" s="508"/>
      <c r="Z222" s="508"/>
      <c r="AA222" s="508"/>
    </row>
    <row r="223">
      <c r="A223" s="508"/>
      <c r="B223" s="508"/>
      <c r="C223" s="508"/>
      <c r="D223" s="508"/>
      <c r="E223" s="967"/>
      <c r="F223" s="508"/>
      <c r="G223" s="508"/>
      <c r="H223" s="967"/>
      <c r="I223" s="508"/>
      <c r="J223" s="508"/>
      <c r="K223" s="508"/>
      <c r="L223" s="508"/>
      <c r="M223" s="508"/>
      <c r="N223" s="508"/>
      <c r="O223" s="508"/>
      <c r="P223" s="508"/>
      <c r="Q223" s="508"/>
      <c r="R223" s="508"/>
      <c r="S223" s="508"/>
      <c r="T223" s="508"/>
      <c r="U223" s="508"/>
      <c r="V223" s="508"/>
      <c r="W223" s="508"/>
      <c r="X223" s="508"/>
      <c r="Y223" s="508"/>
      <c r="Z223" s="508"/>
      <c r="AA223" s="508"/>
    </row>
    <row r="224">
      <c r="A224" s="508"/>
      <c r="B224" s="508"/>
      <c r="C224" s="508"/>
      <c r="D224" s="508"/>
      <c r="E224" s="967"/>
      <c r="F224" s="508"/>
      <c r="G224" s="508"/>
      <c r="H224" s="967"/>
      <c r="I224" s="508"/>
      <c r="J224" s="508"/>
      <c r="K224" s="508"/>
      <c r="L224" s="508"/>
      <c r="M224" s="508"/>
      <c r="N224" s="508"/>
      <c r="O224" s="508"/>
      <c r="P224" s="508"/>
      <c r="Q224" s="508"/>
      <c r="R224" s="508"/>
      <c r="S224" s="508"/>
      <c r="T224" s="508"/>
      <c r="U224" s="508"/>
      <c r="V224" s="508"/>
      <c r="W224" s="508"/>
      <c r="X224" s="508"/>
      <c r="Y224" s="508"/>
      <c r="Z224" s="508"/>
      <c r="AA224" s="508"/>
    </row>
    <row r="225">
      <c r="A225" s="508"/>
      <c r="B225" s="508"/>
      <c r="C225" s="508"/>
      <c r="D225" s="508"/>
      <c r="E225" s="967"/>
      <c r="F225" s="508"/>
      <c r="G225" s="508"/>
      <c r="H225" s="967"/>
      <c r="I225" s="508"/>
      <c r="J225" s="508"/>
      <c r="K225" s="508"/>
      <c r="L225" s="508"/>
      <c r="M225" s="508"/>
      <c r="N225" s="508"/>
      <c r="O225" s="508"/>
      <c r="P225" s="508"/>
      <c r="Q225" s="508"/>
      <c r="R225" s="508"/>
      <c r="S225" s="508"/>
      <c r="T225" s="508"/>
      <c r="U225" s="508"/>
      <c r="V225" s="508"/>
      <c r="W225" s="508"/>
      <c r="X225" s="508"/>
      <c r="Y225" s="508"/>
      <c r="Z225" s="508"/>
      <c r="AA225" s="508"/>
    </row>
    <row r="226">
      <c r="A226" s="508"/>
      <c r="B226" s="508"/>
      <c r="C226" s="508"/>
      <c r="D226" s="508"/>
      <c r="E226" s="967"/>
      <c r="F226" s="508"/>
      <c r="G226" s="508"/>
      <c r="H226" s="967"/>
      <c r="I226" s="508"/>
      <c r="J226" s="508"/>
      <c r="K226" s="508"/>
      <c r="L226" s="508"/>
      <c r="M226" s="508"/>
      <c r="N226" s="508"/>
      <c r="O226" s="508"/>
      <c r="P226" s="508"/>
      <c r="Q226" s="508"/>
      <c r="R226" s="508"/>
      <c r="S226" s="508"/>
      <c r="T226" s="508"/>
      <c r="U226" s="508"/>
      <c r="V226" s="508"/>
      <c r="W226" s="508"/>
      <c r="X226" s="508"/>
      <c r="Y226" s="508"/>
      <c r="Z226" s="508"/>
      <c r="AA226" s="508"/>
    </row>
    <row r="227">
      <c r="A227" s="508"/>
      <c r="B227" s="508"/>
      <c r="C227" s="508"/>
      <c r="D227" s="508"/>
      <c r="E227" s="967"/>
      <c r="F227" s="508"/>
      <c r="G227" s="508"/>
      <c r="H227" s="967"/>
      <c r="I227" s="508"/>
      <c r="J227" s="508"/>
      <c r="K227" s="508"/>
      <c r="L227" s="508"/>
      <c r="M227" s="508"/>
      <c r="N227" s="508"/>
      <c r="O227" s="508"/>
      <c r="P227" s="508"/>
      <c r="Q227" s="508"/>
      <c r="R227" s="508"/>
      <c r="S227" s="508"/>
      <c r="T227" s="508"/>
      <c r="U227" s="508"/>
      <c r="V227" s="508"/>
      <c r="W227" s="508"/>
      <c r="X227" s="508"/>
      <c r="Y227" s="508"/>
      <c r="Z227" s="508"/>
      <c r="AA227" s="508"/>
    </row>
    <row r="228">
      <c r="A228" s="508"/>
      <c r="B228" s="508"/>
      <c r="C228" s="508"/>
      <c r="D228" s="508"/>
      <c r="E228" s="967"/>
      <c r="F228" s="508"/>
      <c r="G228" s="508"/>
      <c r="H228" s="967"/>
      <c r="I228" s="508"/>
      <c r="J228" s="508"/>
      <c r="K228" s="508"/>
      <c r="L228" s="508"/>
      <c r="M228" s="508"/>
      <c r="N228" s="508"/>
      <c r="O228" s="508"/>
      <c r="P228" s="508"/>
      <c r="Q228" s="508"/>
      <c r="R228" s="508"/>
      <c r="S228" s="508"/>
      <c r="T228" s="508"/>
      <c r="U228" s="508"/>
      <c r="V228" s="508"/>
      <c r="W228" s="508"/>
      <c r="X228" s="508"/>
      <c r="Y228" s="508"/>
      <c r="Z228" s="508"/>
      <c r="AA228" s="508"/>
    </row>
    <row r="229">
      <c r="A229" s="508"/>
      <c r="B229" s="508"/>
      <c r="C229" s="508"/>
      <c r="D229" s="508"/>
      <c r="E229" s="967"/>
      <c r="F229" s="508"/>
      <c r="G229" s="508"/>
      <c r="H229" s="967"/>
      <c r="I229" s="508"/>
      <c r="J229" s="508"/>
      <c r="K229" s="508"/>
      <c r="L229" s="508"/>
      <c r="M229" s="508"/>
      <c r="N229" s="508"/>
      <c r="O229" s="508"/>
      <c r="P229" s="508"/>
      <c r="Q229" s="508"/>
      <c r="R229" s="508"/>
      <c r="S229" s="508"/>
      <c r="T229" s="508"/>
      <c r="U229" s="508"/>
      <c r="V229" s="508"/>
      <c r="W229" s="508"/>
      <c r="X229" s="508"/>
      <c r="Y229" s="508"/>
      <c r="Z229" s="508"/>
      <c r="AA229" s="508"/>
    </row>
    <row r="230">
      <c r="A230" s="508"/>
      <c r="B230" s="508"/>
      <c r="C230" s="508"/>
      <c r="D230" s="508"/>
      <c r="E230" s="967"/>
      <c r="F230" s="508"/>
      <c r="G230" s="508"/>
      <c r="H230" s="967"/>
      <c r="I230" s="508"/>
      <c r="J230" s="508"/>
      <c r="K230" s="508"/>
      <c r="L230" s="508"/>
      <c r="M230" s="508"/>
      <c r="N230" s="508"/>
      <c r="O230" s="508"/>
      <c r="P230" s="508"/>
      <c r="Q230" s="508"/>
      <c r="R230" s="508"/>
      <c r="S230" s="508"/>
      <c r="T230" s="508"/>
      <c r="U230" s="508"/>
      <c r="V230" s="508"/>
      <c r="W230" s="508"/>
      <c r="X230" s="508"/>
      <c r="Y230" s="508"/>
      <c r="Z230" s="508"/>
      <c r="AA230" s="508"/>
    </row>
    <row r="231">
      <c r="A231" s="508"/>
      <c r="B231" s="508"/>
      <c r="C231" s="508"/>
      <c r="D231" s="508"/>
      <c r="E231" s="967"/>
      <c r="F231" s="508"/>
      <c r="G231" s="508"/>
      <c r="H231" s="967"/>
      <c r="I231" s="508"/>
      <c r="J231" s="508"/>
      <c r="K231" s="508"/>
      <c r="L231" s="508"/>
      <c r="M231" s="508"/>
      <c r="N231" s="508"/>
      <c r="O231" s="508"/>
      <c r="P231" s="508"/>
      <c r="Q231" s="508"/>
      <c r="R231" s="508"/>
      <c r="S231" s="508"/>
      <c r="T231" s="508"/>
      <c r="U231" s="508"/>
      <c r="V231" s="508"/>
      <c r="W231" s="508"/>
      <c r="X231" s="508"/>
      <c r="Y231" s="508"/>
      <c r="Z231" s="508"/>
      <c r="AA231" s="508"/>
    </row>
    <row r="232">
      <c r="A232" s="508"/>
      <c r="B232" s="508"/>
      <c r="C232" s="508"/>
      <c r="D232" s="508"/>
      <c r="E232" s="967"/>
      <c r="F232" s="508"/>
      <c r="G232" s="508"/>
      <c r="H232" s="967"/>
      <c r="I232" s="508"/>
      <c r="J232" s="508"/>
      <c r="K232" s="508"/>
      <c r="L232" s="508"/>
      <c r="M232" s="508"/>
      <c r="N232" s="508"/>
      <c r="O232" s="508"/>
      <c r="P232" s="508"/>
      <c r="Q232" s="508"/>
      <c r="R232" s="508"/>
      <c r="S232" s="508"/>
      <c r="T232" s="508"/>
      <c r="U232" s="508"/>
      <c r="V232" s="508"/>
      <c r="W232" s="508"/>
      <c r="X232" s="508"/>
      <c r="Y232" s="508"/>
      <c r="Z232" s="508"/>
      <c r="AA232" s="508"/>
    </row>
    <row r="233">
      <c r="A233" s="508"/>
      <c r="B233" s="508"/>
      <c r="C233" s="508"/>
      <c r="D233" s="508"/>
      <c r="E233" s="967"/>
      <c r="F233" s="508"/>
      <c r="G233" s="508"/>
      <c r="H233" s="967"/>
      <c r="I233" s="508"/>
      <c r="J233" s="508"/>
      <c r="K233" s="508"/>
      <c r="L233" s="508"/>
      <c r="M233" s="508"/>
      <c r="N233" s="508"/>
      <c r="O233" s="508"/>
      <c r="P233" s="508"/>
      <c r="Q233" s="508"/>
      <c r="R233" s="508"/>
      <c r="S233" s="508"/>
      <c r="T233" s="508"/>
      <c r="U233" s="508"/>
      <c r="V233" s="508"/>
      <c r="W233" s="508"/>
      <c r="X233" s="508"/>
      <c r="Y233" s="508"/>
      <c r="Z233" s="508"/>
      <c r="AA233" s="508"/>
    </row>
    <row r="234">
      <c r="A234" s="508"/>
      <c r="B234" s="508"/>
      <c r="C234" s="508"/>
      <c r="D234" s="508"/>
      <c r="E234" s="967"/>
      <c r="F234" s="508"/>
      <c r="G234" s="508"/>
      <c r="H234" s="967"/>
      <c r="I234" s="508"/>
      <c r="J234" s="508"/>
      <c r="K234" s="508"/>
      <c r="L234" s="508"/>
      <c r="M234" s="508"/>
      <c r="N234" s="508"/>
      <c r="O234" s="508"/>
      <c r="P234" s="508"/>
      <c r="Q234" s="508"/>
      <c r="R234" s="508"/>
      <c r="S234" s="508"/>
      <c r="T234" s="508"/>
      <c r="U234" s="508"/>
      <c r="V234" s="508"/>
      <c r="W234" s="508"/>
      <c r="X234" s="508"/>
      <c r="Y234" s="508"/>
      <c r="Z234" s="508"/>
      <c r="AA234" s="508"/>
    </row>
    <row r="235">
      <c r="A235" s="508"/>
      <c r="B235" s="508"/>
      <c r="C235" s="508"/>
      <c r="D235" s="508"/>
      <c r="E235" s="967"/>
      <c r="F235" s="508"/>
      <c r="G235" s="508"/>
      <c r="H235" s="967"/>
      <c r="I235" s="508"/>
      <c r="J235" s="508"/>
      <c r="K235" s="508"/>
      <c r="L235" s="508"/>
      <c r="M235" s="508"/>
      <c r="N235" s="508"/>
      <c r="O235" s="508"/>
      <c r="P235" s="508"/>
      <c r="Q235" s="508"/>
      <c r="R235" s="508"/>
      <c r="S235" s="508"/>
      <c r="T235" s="508"/>
      <c r="U235" s="508"/>
      <c r="V235" s="508"/>
      <c r="W235" s="508"/>
      <c r="X235" s="508"/>
      <c r="Y235" s="508"/>
      <c r="Z235" s="508"/>
      <c r="AA235" s="508"/>
    </row>
    <row r="236">
      <c r="A236" s="508"/>
      <c r="B236" s="508"/>
      <c r="C236" s="508"/>
      <c r="D236" s="508"/>
      <c r="E236" s="967"/>
      <c r="F236" s="508"/>
      <c r="G236" s="508"/>
      <c r="H236" s="967"/>
      <c r="I236" s="508"/>
      <c r="J236" s="508"/>
      <c r="K236" s="508"/>
      <c r="L236" s="508"/>
      <c r="M236" s="508"/>
      <c r="N236" s="508"/>
      <c r="O236" s="508"/>
      <c r="P236" s="508"/>
      <c r="Q236" s="508"/>
      <c r="R236" s="508"/>
      <c r="S236" s="508"/>
      <c r="T236" s="508"/>
      <c r="U236" s="508"/>
      <c r="V236" s="508"/>
      <c r="W236" s="508"/>
      <c r="X236" s="508"/>
      <c r="Y236" s="508"/>
      <c r="Z236" s="508"/>
      <c r="AA236" s="508"/>
    </row>
    <row r="237">
      <c r="A237" s="508"/>
      <c r="B237" s="508"/>
      <c r="C237" s="508"/>
      <c r="D237" s="508"/>
      <c r="E237" s="967"/>
      <c r="F237" s="508"/>
      <c r="G237" s="508"/>
      <c r="H237" s="967"/>
      <c r="I237" s="508"/>
      <c r="J237" s="508"/>
      <c r="K237" s="508"/>
      <c r="L237" s="508"/>
      <c r="M237" s="508"/>
      <c r="N237" s="508"/>
      <c r="O237" s="508"/>
      <c r="P237" s="508"/>
      <c r="Q237" s="508"/>
      <c r="R237" s="508"/>
      <c r="S237" s="508"/>
      <c r="T237" s="508"/>
      <c r="U237" s="508"/>
      <c r="V237" s="508"/>
      <c r="W237" s="508"/>
      <c r="X237" s="508"/>
      <c r="Y237" s="508"/>
      <c r="Z237" s="508"/>
      <c r="AA237" s="508"/>
    </row>
    <row r="238">
      <c r="A238" s="508"/>
      <c r="B238" s="508"/>
      <c r="C238" s="508"/>
      <c r="D238" s="508"/>
      <c r="E238" s="967"/>
      <c r="F238" s="508"/>
      <c r="G238" s="508"/>
      <c r="H238" s="967"/>
      <c r="I238" s="508"/>
      <c r="J238" s="508"/>
      <c r="K238" s="508"/>
      <c r="L238" s="508"/>
      <c r="M238" s="508"/>
      <c r="N238" s="508"/>
      <c r="O238" s="508"/>
      <c r="P238" s="508"/>
      <c r="Q238" s="508"/>
      <c r="R238" s="508"/>
      <c r="S238" s="508"/>
      <c r="T238" s="508"/>
      <c r="U238" s="508"/>
      <c r="V238" s="508"/>
      <c r="W238" s="508"/>
      <c r="X238" s="508"/>
      <c r="Y238" s="508"/>
      <c r="Z238" s="508"/>
      <c r="AA238" s="508"/>
    </row>
    <row r="239">
      <c r="A239" s="508"/>
      <c r="B239" s="508"/>
      <c r="C239" s="508"/>
      <c r="D239" s="508"/>
      <c r="E239" s="967"/>
      <c r="F239" s="508"/>
      <c r="G239" s="508"/>
      <c r="H239" s="967"/>
      <c r="I239" s="508"/>
      <c r="J239" s="508"/>
      <c r="K239" s="508"/>
      <c r="L239" s="508"/>
      <c r="M239" s="508"/>
      <c r="N239" s="508"/>
      <c r="O239" s="508"/>
      <c r="P239" s="508"/>
      <c r="Q239" s="508"/>
      <c r="R239" s="508"/>
      <c r="S239" s="508"/>
      <c r="T239" s="508"/>
      <c r="U239" s="508"/>
      <c r="V239" s="508"/>
      <c r="W239" s="508"/>
      <c r="X239" s="508"/>
      <c r="Y239" s="508"/>
      <c r="Z239" s="508"/>
      <c r="AA239" s="508"/>
    </row>
    <row r="240">
      <c r="A240" s="508"/>
      <c r="B240" s="508"/>
      <c r="C240" s="508"/>
      <c r="D240" s="508"/>
      <c r="E240" s="967"/>
      <c r="F240" s="508"/>
      <c r="G240" s="508"/>
      <c r="H240" s="967"/>
      <c r="I240" s="508"/>
      <c r="J240" s="508"/>
      <c r="K240" s="508"/>
      <c r="L240" s="508"/>
      <c r="M240" s="508"/>
      <c r="N240" s="508"/>
      <c r="O240" s="508"/>
      <c r="P240" s="508"/>
      <c r="Q240" s="508"/>
      <c r="R240" s="508"/>
      <c r="S240" s="508"/>
      <c r="T240" s="508"/>
      <c r="U240" s="508"/>
      <c r="V240" s="508"/>
      <c r="W240" s="508"/>
      <c r="X240" s="508"/>
      <c r="Y240" s="508"/>
      <c r="Z240" s="508"/>
      <c r="AA240" s="508"/>
    </row>
    <row r="241">
      <c r="A241" s="508"/>
      <c r="B241" s="508"/>
      <c r="C241" s="508"/>
      <c r="D241" s="508"/>
      <c r="E241" s="967"/>
      <c r="F241" s="508"/>
      <c r="G241" s="508"/>
      <c r="H241" s="967"/>
      <c r="I241" s="508"/>
      <c r="J241" s="508"/>
      <c r="K241" s="508"/>
      <c r="L241" s="508"/>
      <c r="M241" s="508"/>
      <c r="N241" s="508"/>
      <c r="O241" s="508"/>
      <c r="P241" s="508"/>
      <c r="Q241" s="508"/>
      <c r="R241" s="508"/>
      <c r="S241" s="508"/>
      <c r="T241" s="508"/>
      <c r="U241" s="508"/>
      <c r="V241" s="508"/>
      <c r="W241" s="508"/>
      <c r="X241" s="508"/>
      <c r="Y241" s="508"/>
      <c r="Z241" s="508"/>
      <c r="AA241" s="508"/>
    </row>
    <row r="242">
      <c r="A242" s="508"/>
      <c r="B242" s="508"/>
      <c r="C242" s="508"/>
      <c r="D242" s="508"/>
      <c r="E242" s="967"/>
      <c r="F242" s="508"/>
      <c r="G242" s="508"/>
      <c r="H242" s="967"/>
      <c r="I242" s="508"/>
      <c r="J242" s="508"/>
      <c r="K242" s="508"/>
      <c r="L242" s="508"/>
      <c r="M242" s="508"/>
      <c r="N242" s="508"/>
      <c r="O242" s="508"/>
      <c r="P242" s="508"/>
      <c r="Q242" s="508"/>
      <c r="R242" s="508"/>
      <c r="S242" s="508"/>
      <c r="T242" s="508"/>
      <c r="U242" s="508"/>
      <c r="V242" s="508"/>
      <c r="W242" s="508"/>
      <c r="X242" s="508"/>
      <c r="Y242" s="508"/>
      <c r="Z242" s="508"/>
      <c r="AA242" s="508"/>
    </row>
    <row r="243">
      <c r="A243" s="508"/>
      <c r="B243" s="508"/>
      <c r="C243" s="508"/>
      <c r="D243" s="508"/>
      <c r="E243" s="967"/>
      <c r="F243" s="508"/>
      <c r="G243" s="508"/>
      <c r="H243" s="967"/>
      <c r="I243" s="508"/>
      <c r="J243" s="508"/>
      <c r="K243" s="508"/>
      <c r="L243" s="508"/>
      <c r="M243" s="508"/>
      <c r="N243" s="508"/>
      <c r="O243" s="508"/>
      <c r="P243" s="508"/>
      <c r="Q243" s="508"/>
      <c r="R243" s="508"/>
      <c r="S243" s="508"/>
      <c r="T243" s="508"/>
      <c r="U243" s="508"/>
      <c r="V243" s="508"/>
      <c r="W243" s="508"/>
      <c r="X243" s="508"/>
      <c r="Y243" s="508"/>
      <c r="Z243" s="508"/>
      <c r="AA243" s="508"/>
    </row>
    <row r="244">
      <c r="A244" s="508"/>
      <c r="B244" s="508"/>
      <c r="C244" s="508"/>
      <c r="D244" s="508"/>
      <c r="E244" s="967"/>
      <c r="F244" s="508"/>
      <c r="G244" s="508"/>
      <c r="H244" s="967"/>
      <c r="I244" s="508"/>
      <c r="J244" s="508"/>
      <c r="K244" s="508"/>
      <c r="L244" s="508"/>
      <c r="M244" s="508"/>
      <c r="N244" s="508"/>
      <c r="O244" s="508"/>
      <c r="P244" s="508"/>
      <c r="Q244" s="508"/>
      <c r="R244" s="508"/>
      <c r="S244" s="508"/>
      <c r="T244" s="508"/>
      <c r="U244" s="508"/>
      <c r="V244" s="508"/>
      <c r="W244" s="508"/>
      <c r="X244" s="508"/>
      <c r="Y244" s="508"/>
      <c r="Z244" s="508"/>
      <c r="AA244" s="508"/>
    </row>
    <row r="245">
      <c r="A245" s="508"/>
      <c r="B245" s="508"/>
      <c r="C245" s="508"/>
      <c r="D245" s="508"/>
      <c r="E245" s="967"/>
      <c r="F245" s="508"/>
      <c r="G245" s="508"/>
      <c r="H245" s="967"/>
      <c r="I245" s="508"/>
      <c r="J245" s="508"/>
      <c r="K245" s="508"/>
      <c r="L245" s="508"/>
      <c r="M245" s="508"/>
      <c r="N245" s="508"/>
      <c r="O245" s="508"/>
      <c r="P245" s="508"/>
      <c r="Q245" s="508"/>
      <c r="R245" s="508"/>
      <c r="S245" s="508"/>
      <c r="T245" s="508"/>
      <c r="U245" s="508"/>
      <c r="V245" s="508"/>
      <c r="W245" s="508"/>
      <c r="X245" s="508"/>
      <c r="Y245" s="508"/>
      <c r="Z245" s="508"/>
      <c r="AA245" s="508"/>
    </row>
    <row r="246">
      <c r="A246" s="508"/>
      <c r="B246" s="508"/>
      <c r="C246" s="508"/>
      <c r="D246" s="508"/>
      <c r="E246" s="967"/>
      <c r="F246" s="508"/>
      <c r="G246" s="508"/>
      <c r="H246" s="967"/>
      <c r="I246" s="508"/>
      <c r="J246" s="508"/>
      <c r="K246" s="508"/>
      <c r="L246" s="508"/>
      <c r="M246" s="508"/>
      <c r="N246" s="508"/>
      <c r="O246" s="508"/>
      <c r="P246" s="508"/>
      <c r="Q246" s="508"/>
      <c r="R246" s="508"/>
      <c r="S246" s="508"/>
      <c r="T246" s="508"/>
      <c r="U246" s="508"/>
      <c r="V246" s="508"/>
      <c r="W246" s="508"/>
      <c r="X246" s="508"/>
      <c r="Y246" s="508"/>
      <c r="Z246" s="508"/>
      <c r="AA246" s="508"/>
    </row>
    <row r="247">
      <c r="A247" s="508"/>
      <c r="B247" s="508"/>
      <c r="C247" s="508"/>
      <c r="D247" s="508"/>
      <c r="E247" s="967"/>
      <c r="F247" s="508"/>
      <c r="G247" s="508"/>
      <c r="H247" s="967"/>
      <c r="I247" s="508"/>
      <c r="J247" s="508"/>
      <c r="K247" s="508"/>
      <c r="L247" s="508"/>
      <c r="M247" s="508"/>
      <c r="N247" s="508"/>
      <c r="O247" s="508"/>
      <c r="P247" s="508"/>
      <c r="Q247" s="508"/>
      <c r="R247" s="508"/>
      <c r="S247" s="508"/>
      <c r="T247" s="508"/>
      <c r="U247" s="508"/>
      <c r="V247" s="508"/>
      <c r="W247" s="508"/>
      <c r="X247" s="508"/>
      <c r="Y247" s="508"/>
      <c r="Z247" s="508"/>
      <c r="AA247" s="508"/>
    </row>
    <row r="248">
      <c r="A248" s="508"/>
      <c r="B248" s="508"/>
      <c r="C248" s="508"/>
      <c r="D248" s="508"/>
      <c r="E248" s="967"/>
      <c r="F248" s="508"/>
      <c r="G248" s="508"/>
      <c r="H248" s="967"/>
      <c r="I248" s="508"/>
      <c r="J248" s="508"/>
      <c r="K248" s="508"/>
      <c r="L248" s="508"/>
      <c r="M248" s="508"/>
      <c r="N248" s="508"/>
      <c r="O248" s="508"/>
      <c r="P248" s="508"/>
      <c r="Q248" s="508"/>
      <c r="R248" s="508"/>
      <c r="S248" s="508"/>
      <c r="T248" s="508"/>
      <c r="U248" s="508"/>
      <c r="V248" s="508"/>
      <c r="W248" s="508"/>
      <c r="X248" s="508"/>
      <c r="Y248" s="508"/>
      <c r="Z248" s="508"/>
      <c r="AA248" s="508"/>
    </row>
    <row r="249">
      <c r="A249" s="508"/>
      <c r="B249" s="508"/>
      <c r="C249" s="508"/>
      <c r="D249" s="508"/>
      <c r="E249" s="967"/>
      <c r="F249" s="508"/>
      <c r="G249" s="508"/>
      <c r="H249" s="967"/>
      <c r="I249" s="508"/>
      <c r="J249" s="508"/>
      <c r="K249" s="508"/>
      <c r="L249" s="508"/>
      <c r="M249" s="508"/>
      <c r="N249" s="508"/>
      <c r="O249" s="508"/>
      <c r="P249" s="508"/>
      <c r="Q249" s="508"/>
      <c r="R249" s="508"/>
      <c r="S249" s="508"/>
      <c r="T249" s="508"/>
      <c r="U249" s="508"/>
      <c r="V249" s="508"/>
      <c r="W249" s="508"/>
      <c r="X249" s="508"/>
      <c r="Y249" s="508"/>
      <c r="Z249" s="508"/>
      <c r="AA249" s="508"/>
    </row>
    <row r="250">
      <c r="A250" s="508"/>
      <c r="B250" s="508"/>
      <c r="C250" s="508"/>
      <c r="D250" s="508"/>
      <c r="E250" s="967"/>
      <c r="F250" s="508"/>
      <c r="G250" s="508"/>
      <c r="H250" s="967"/>
      <c r="I250" s="508"/>
      <c r="J250" s="508"/>
      <c r="K250" s="508"/>
      <c r="L250" s="508"/>
      <c r="M250" s="508"/>
      <c r="N250" s="508"/>
      <c r="O250" s="508"/>
      <c r="P250" s="508"/>
      <c r="Q250" s="508"/>
      <c r="R250" s="508"/>
      <c r="S250" s="508"/>
      <c r="T250" s="508"/>
      <c r="U250" s="508"/>
      <c r="V250" s="508"/>
      <c r="W250" s="508"/>
      <c r="X250" s="508"/>
      <c r="Y250" s="508"/>
      <c r="Z250" s="508"/>
      <c r="AA250" s="508"/>
    </row>
    <row r="251">
      <c r="A251" s="508"/>
      <c r="B251" s="508"/>
      <c r="C251" s="508"/>
      <c r="D251" s="508"/>
      <c r="E251" s="967"/>
      <c r="F251" s="508"/>
      <c r="G251" s="508"/>
      <c r="H251" s="967"/>
      <c r="I251" s="508"/>
      <c r="J251" s="508"/>
      <c r="K251" s="508"/>
      <c r="L251" s="508"/>
      <c r="M251" s="508"/>
      <c r="N251" s="508"/>
      <c r="O251" s="508"/>
      <c r="P251" s="508"/>
      <c r="Q251" s="508"/>
      <c r="R251" s="508"/>
      <c r="S251" s="508"/>
      <c r="T251" s="508"/>
      <c r="U251" s="508"/>
      <c r="V251" s="508"/>
      <c r="W251" s="508"/>
      <c r="X251" s="508"/>
      <c r="Y251" s="508"/>
      <c r="Z251" s="508"/>
      <c r="AA251" s="508"/>
    </row>
    <row r="252">
      <c r="A252" s="508"/>
      <c r="B252" s="508"/>
      <c r="C252" s="508"/>
      <c r="D252" s="508"/>
      <c r="E252" s="967"/>
      <c r="F252" s="508"/>
      <c r="G252" s="508"/>
      <c r="H252" s="967"/>
      <c r="I252" s="508"/>
      <c r="J252" s="508"/>
      <c r="K252" s="508"/>
      <c r="L252" s="508"/>
      <c r="M252" s="508"/>
      <c r="N252" s="508"/>
      <c r="O252" s="508"/>
      <c r="P252" s="508"/>
      <c r="Q252" s="508"/>
      <c r="R252" s="508"/>
      <c r="S252" s="508"/>
      <c r="T252" s="508"/>
      <c r="U252" s="508"/>
      <c r="V252" s="508"/>
      <c r="W252" s="508"/>
      <c r="X252" s="508"/>
      <c r="Y252" s="508"/>
      <c r="Z252" s="508"/>
      <c r="AA252" s="508"/>
    </row>
    <row r="253">
      <c r="A253" s="508"/>
      <c r="B253" s="508"/>
      <c r="C253" s="508"/>
      <c r="D253" s="508"/>
      <c r="E253" s="967"/>
      <c r="F253" s="508"/>
      <c r="G253" s="508"/>
      <c r="H253" s="967"/>
      <c r="I253" s="508"/>
      <c r="J253" s="508"/>
      <c r="K253" s="508"/>
      <c r="L253" s="508"/>
      <c r="M253" s="508"/>
      <c r="N253" s="508"/>
      <c r="O253" s="508"/>
      <c r="P253" s="508"/>
      <c r="Q253" s="508"/>
      <c r="R253" s="508"/>
      <c r="S253" s="508"/>
      <c r="T253" s="508"/>
      <c r="U253" s="508"/>
      <c r="V253" s="508"/>
      <c r="W253" s="508"/>
      <c r="X253" s="508"/>
      <c r="Y253" s="508"/>
      <c r="Z253" s="508"/>
      <c r="AA253" s="508"/>
    </row>
    <row r="254">
      <c r="A254" s="508"/>
      <c r="B254" s="508"/>
      <c r="C254" s="508"/>
      <c r="D254" s="508"/>
      <c r="E254" s="967"/>
      <c r="F254" s="508"/>
      <c r="G254" s="508"/>
      <c r="H254" s="967"/>
      <c r="I254" s="508"/>
      <c r="J254" s="508"/>
      <c r="K254" s="508"/>
      <c r="L254" s="508"/>
      <c r="M254" s="508"/>
      <c r="N254" s="508"/>
      <c r="O254" s="508"/>
      <c r="P254" s="508"/>
      <c r="Q254" s="508"/>
      <c r="R254" s="508"/>
      <c r="S254" s="508"/>
      <c r="T254" s="508"/>
      <c r="U254" s="508"/>
      <c r="V254" s="508"/>
      <c r="W254" s="508"/>
      <c r="X254" s="508"/>
      <c r="Y254" s="508"/>
      <c r="Z254" s="508"/>
      <c r="AA254" s="508"/>
    </row>
    <row r="255">
      <c r="A255" s="508"/>
      <c r="B255" s="508"/>
      <c r="C255" s="508"/>
      <c r="D255" s="508"/>
      <c r="E255" s="967"/>
      <c r="F255" s="508"/>
      <c r="G255" s="508"/>
      <c r="H255" s="967"/>
      <c r="I255" s="508"/>
      <c r="J255" s="508"/>
      <c r="K255" s="508"/>
      <c r="L255" s="508"/>
      <c r="M255" s="508"/>
      <c r="N255" s="508"/>
      <c r="O255" s="508"/>
      <c r="P255" s="508"/>
      <c r="Q255" s="508"/>
      <c r="R255" s="508"/>
      <c r="S255" s="508"/>
      <c r="T255" s="508"/>
      <c r="U255" s="508"/>
      <c r="V255" s="508"/>
      <c r="W255" s="508"/>
      <c r="X255" s="508"/>
      <c r="Y255" s="508"/>
      <c r="Z255" s="508"/>
      <c r="AA255" s="508"/>
    </row>
    <row r="256">
      <c r="A256" s="508"/>
      <c r="B256" s="508"/>
      <c r="C256" s="508"/>
      <c r="D256" s="508"/>
      <c r="E256" s="967"/>
      <c r="F256" s="508"/>
      <c r="G256" s="508"/>
      <c r="H256" s="967"/>
      <c r="I256" s="508"/>
      <c r="J256" s="508"/>
      <c r="K256" s="508"/>
      <c r="L256" s="508"/>
      <c r="M256" s="508"/>
      <c r="N256" s="508"/>
      <c r="O256" s="508"/>
      <c r="P256" s="508"/>
      <c r="Q256" s="508"/>
      <c r="R256" s="508"/>
      <c r="S256" s="508"/>
      <c r="T256" s="508"/>
      <c r="U256" s="508"/>
      <c r="V256" s="508"/>
      <c r="W256" s="508"/>
      <c r="X256" s="508"/>
      <c r="Y256" s="508"/>
      <c r="Z256" s="508"/>
      <c r="AA256" s="508"/>
    </row>
    <row r="257">
      <c r="A257" s="508"/>
      <c r="B257" s="508"/>
      <c r="C257" s="508"/>
      <c r="D257" s="508"/>
      <c r="E257" s="967"/>
      <c r="F257" s="508"/>
      <c r="G257" s="508"/>
      <c r="H257" s="967"/>
      <c r="I257" s="508"/>
      <c r="J257" s="508"/>
      <c r="K257" s="508"/>
      <c r="L257" s="508"/>
      <c r="M257" s="508"/>
      <c r="N257" s="508"/>
      <c r="O257" s="508"/>
      <c r="P257" s="508"/>
      <c r="Q257" s="508"/>
      <c r="R257" s="508"/>
      <c r="S257" s="508"/>
      <c r="T257" s="508"/>
      <c r="U257" s="508"/>
      <c r="V257" s="508"/>
      <c r="W257" s="508"/>
      <c r="X257" s="508"/>
      <c r="Y257" s="508"/>
      <c r="Z257" s="508"/>
      <c r="AA257" s="508"/>
    </row>
    <row r="258">
      <c r="A258" s="508"/>
      <c r="B258" s="508"/>
      <c r="C258" s="508"/>
      <c r="D258" s="508"/>
      <c r="E258" s="967"/>
      <c r="F258" s="508"/>
      <c r="G258" s="508"/>
      <c r="H258" s="967"/>
      <c r="I258" s="508"/>
      <c r="J258" s="508"/>
      <c r="K258" s="508"/>
      <c r="L258" s="508"/>
      <c r="M258" s="508"/>
      <c r="N258" s="508"/>
      <c r="O258" s="508"/>
      <c r="P258" s="508"/>
      <c r="Q258" s="508"/>
      <c r="R258" s="508"/>
      <c r="S258" s="508"/>
      <c r="T258" s="508"/>
      <c r="U258" s="508"/>
      <c r="V258" s="508"/>
      <c r="W258" s="508"/>
      <c r="X258" s="508"/>
      <c r="Y258" s="508"/>
      <c r="Z258" s="508"/>
      <c r="AA258" s="508"/>
    </row>
    <row r="259">
      <c r="A259" s="508"/>
      <c r="B259" s="508"/>
      <c r="C259" s="508"/>
      <c r="D259" s="508"/>
      <c r="E259" s="967"/>
      <c r="F259" s="508"/>
      <c r="G259" s="508"/>
      <c r="H259" s="967"/>
      <c r="I259" s="508"/>
      <c r="J259" s="508"/>
      <c r="K259" s="508"/>
      <c r="L259" s="508"/>
      <c r="M259" s="508"/>
      <c r="N259" s="508"/>
      <c r="O259" s="508"/>
      <c r="P259" s="508"/>
      <c r="Q259" s="508"/>
      <c r="R259" s="508"/>
      <c r="S259" s="508"/>
      <c r="T259" s="508"/>
      <c r="U259" s="508"/>
      <c r="V259" s="508"/>
      <c r="W259" s="508"/>
      <c r="X259" s="508"/>
      <c r="Y259" s="508"/>
      <c r="Z259" s="508"/>
      <c r="AA259" s="508"/>
    </row>
    <row r="260">
      <c r="A260" s="508"/>
      <c r="B260" s="508"/>
      <c r="C260" s="508"/>
      <c r="D260" s="508"/>
      <c r="E260" s="967"/>
      <c r="F260" s="508"/>
      <c r="G260" s="508"/>
      <c r="H260" s="967"/>
      <c r="I260" s="508"/>
      <c r="J260" s="508"/>
      <c r="K260" s="508"/>
      <c r="L260" s="508"/>
      <c r="M260" s="508"/>
      <c r="N260" s="508"/>
      <c r="O260" s="508"/>
      <c r="P260" s="508"/>
      <c r="Q260" s="508"/>
      <c r="R260" s="508"/>
      <c r="S260" s="508"/>
      <c r="T260" s="508"/>
      <c r="U260" s="508"/>
      <c r="V260" s="508"/>
      <c r="W260" s="508"/>
      <c r="X260" s="508"/>
      <c r="Y260" s="508"/>
      <c r="Z260" s="508"/>
      <c r="AA260" s="508"/>
    </row>
    <row r="261">
      <c r="A261" s="508"/>
      <c r="B261" s="508"/>
      <c r="C261" s="508"/>
      <c r="D261" s="508"/>
      <c r="E261" s="967"/>
      <c r="F261" s="508"/>
      <c r="G261" s="508"/>
      <c r="H261" s="967"/>
      <c r="I261" s="508"/>
      <c r="J261" s="508"/>
      <c r="K261" s="508"/>
      <c r="L261" s="508"/>
      <c r="M261" s="508"/>
      <c r="N261" s="508"/>
      <c r="O261" s="508"/>
      <c r="P261" s="508"/>
      <c r="Q261" s="508"/>
      <c r="R261" s="508"/>
      <c r="S261" s="508"/>
      <c r="T261" s="508"/>
      <c r="U261" s="508"/>
      <c r="V261" s="508"/>
      <c r="W261" s="508"/>
      <c r="X261" s="508"/>
      <c r="Y261" s="508"/>
      <c r="Z261" s="508"/>
      <c r="AA261" s="508"/>
    </row>
    <row r="262">
      <c r="A262" s="508"/>
      <c r="B262" s="508"/>
      <c r="C262" s="508"/>
      <c r="D262" s="508"/>
      <c r="E262" s="967"/>
      <c r="F262" s="508"/>
      <c r="G262" s="508"/>
      <c r="H262" s="967"/>
      <c r="I262" s="508"/>
      <c r="J262" s="508"/>
      <c r="K262" s="508"/>
      <c r="L262" s="508"/>
      <c r="M262" s="508"/>
      <c r="N262" s="508"/>
      <c r="O262" s="508"/>
      <c r="P262" s="508"/>
      <c r="Q262" s="508"/>
      <c r="R262" s="508"/>
      <c r="S262" s="508"/>
      <c r="T262" s="508"/>
      <c r="U262" s="508"/>
      <c r="V262" s="508"/>
      <c r="W262" s="508"/>
      <c r="X262" s="508"/>
      <c r="Y262" s="508"/>
      <c r="Z262" s="508"/>
      <c r="AA262" s="508"/>
    </row>
    <row r="263">
      <c r="A263" s="508"/>
      <c r="B263" s="508"/>
      <c r="C263" s="508"/>
      <c r="D263" s="508"/>
      <c r="E263" s="967"/>
      <c r="F263" s="508"/>
      <c r="G263" s="508"/>
      <c r="H263" s="967"/>
      <c r="I263" s="508"/>
      <c r="J263" s="508"/>
      <c r="K263" s="508"/>
      <c r="L263" s="508"/>
      <c r="M263" s="508"/>
      <c r="N263" s="508"/>
      <c r="O263" s="508"/>
      <c r="P263" s="508"/>
      <c r="Q263" s="508"/>
      <c r="R263" s="508"/>
      <c r="S263" s="508"/>
      <c r="T263" s="508"/>
      <c r="U263" s="508"/>
      <c r="V263" s="508"/>
      <c r="W263" s="508"/>
      <c r="X263" s="508"/>
      <c r="Y263" s="508"/>
      <c r="Z263" s="508"/>
      <c r="AA263" s="508"/>
    </row>
    <row r="264">
      <c r="A264" s="508"/>
      <c r="B264" s="508"/>
      <c r="C264" s="508"/>
      <c r="D264" s="508"/>
      <c r="E264" s="967"/>
      <c r="F264" s="508"/>
      <c r="G264" s="508"/>
      <c r="H264" s="967"/>
      <c r="I264" s="508"/>
      <c r="J264" s="508"/>
      <c r="K264" s="508"/>
      <c r="L264" s="508"/>
      <c r="M264" s="508"/>
      <c r="N264" s="508"/>
      <c r="O264" s="508"/>
      <c r="P264" s="508"/>
      <c r="Q264" s="508"/>
      <c r="R264" s="508"/>
      <c r="S264" s="508"/>
      <c r="T264" s="508"/>
      <c r="U264" s="508"/>
      <c r="V264" s="508"/>
      <c r="W264" s="508"/>
      <c r="X264" s="508"/>
      <c r="Y264" s="508"/>
      <c r="Z264" s="508"/>
      <c r="AA264" s="508"/>
    </row>
    <row r="265">
      <c r="A265" s="508"/>
      <c r="B265" s="508"/>
      <c r="C265" s="508"/>
      <c r="D265" s="508"/>
      <c r="E265" s="967"/>
      <c r="F265" s="508"/>
      <c r="G265" s="508"/>
      <c r="H265" s="967"/>
      <c r="I265" s="508"/>
      <c r="J265" s="508"/>
      <c r="K265" s="508"/>
      <c r="L265" s="508"/>
      <c r="M265" s="508"/>
      <c r="N265" s="508"/>
      <c r="O265" s="508"/>
      <c r="P265" s="508"/>
      <c r="Q265" s="508"/>
      <c r="R265" s="508"/>
      <c r="S265" s="508"/>
      <c r="T265" s="508"/>
      <c r="U265" s="508"/>
      <c r="V265" s="508"/>
      <c r="W265" s="508"/>
      <c r="X265" s="508"/>
      <c r="Y265" s="508"/>
      <c r="Z265" s="508"/>
      <c r="AA265" s="508"/>
    </row>
    <row r="266">
      <c r="A266" s="508"/>
      <c r="B266" s="508"/>
      <c r="C266" s="508"/>
      <c r="D266" s="508"/>
      <c r="E266" s="967"/>
      <c r="F266" s="508"/>
      <c r="G266" s="508"/>
      <c r="H266" s="967"/>
      <c r="I266" s="508"/>
      <c r="J266" s="508"/>
      <c r="K266" s="508"/>
      <c r="L266" s="508"/>
      <c r="M266" s="508"/>
      <c r="N266" s="508"/>
      <c r="O266" s="508"/>
      <c r="P266" s="508"/>
      <c r="Q266" s="508"/>
      <c r="R266" s="508"/>
      <c r="S266" s="508"/>
      <c r="T266" s="508"/>
      <c r="U266" s="508"/>
      <c r="V266" s="508"/>
      <c r="W266" s="508"/>
      <c r="X266" s="508"/>
      <c r="Y266" s="508"/>
      <c r="Z266" s="508"/>
      <c r="AA266" s="508"/>
    </row>
    <row r="267">
      <c r="A267" s="508"/>
      <c r="B267" s="508"/>
      <c r="C267" s="508"/>
      <c r="D267" s="508"/>
      <c r="E267" s="967"/>
      <c r="F267" s="508"/>
      <c r="G267" s="508"/>
      <c r="H267" s="967"/>
      <c r="I267" s="508"/>
      <c r="J267" s="508"/>
      <c r="K267" s="508"/>
      <c r="L267" s="508"/>
      <c r="M267" s="508"/>
      <c r="N267" s="508"/>
      <c r="O267" s="508"/>
      <c r="P267" s="508"/>
      <c r="Q267" s="508"/>
      <c r="R267" s="508"/>
      <c r="S267" s="508"/>
      <c r="T267" s="508"/>
      <c r="U267" s="508"/>
      <c r="V267" s="508"/>
      <c r="W267" s="508"/>
      <c r="X267" s="508"/>
      <c r="Y267" s="508"/>
      <c r="Z267" s="508"/>
      <c r="AA267" s="508"/>
    </row>
    <row r="268">
      <c r="A268" s="508"/>
      <c r="B268" s="508"/>
      <c r="C268" s="508"/>
      <c r="D268" s="508"/>
      <c r="E268" s="967"/>
      <c r="F268" s="508"/>
      <c r="G268" s="508"/>
      <c r="H268" s="967"/>
      <c r="I268" s="508"/>
      <c r="J268" s="508"/>
      <c r="K268" s="508"/>
      <c r="L268" s="508"/>
      <c r="M268" s="508"/>
      <c r="N268" s="508"/>
      <c r="O268" s="508"/>
      <c r="P268" s="508"/>
      <c r="Q268" s="508"/>
      <c r="R268" s="508"/>
      <c r="S268" s="508"/>
      <c r="T268" s="508"/>
      <c r="U268" s="508"/>
      <c r="V268" s="508"/>
      <c r="W268" s="508"/>
      <c r="X268" s="508"/>
      <c r="Y268" s="508"/>
      <c r="Z268" s="508"/>
      <c r="AA268" s="508"/>
    </row>
    <row r="269">
      <c r="A269" s="508"/>
      <c r="B269" s="508"/>
      <c r="C269" s="508"/>
      <c r="D269" s="508"/>
      <c r="E269" s="967"/>
      <c r="F269" s="508"/>
      <c r="G269" s="508"/>
      <c r="H269" s="967"/>
      <c r="I269" s="508"/>
      <c r="J269" s="508"/>
      <c r="K269" s="508"/>
      <c r="L269" s="508"/>
      <c r="M269" s="508"/>
      <c r="N269" s="508"/>
      <c r="O269" s="508"/>
      <c r="P269" s="508"/>
      <c r="Q269" s="508"/>
      <c r="R269" s="508"/>
      <c r="S269" s="508"/>
      <c r="T269" s="508"/>
      <c r="U269" s="508"/>
      <c r="V269" s="508"/>
      <c r="W269" s="508"/>
      <c r="X269" s="508"/>
      <c r="Y269" s="508"/>
      <c r="Z269" s="508"/>
      <c r="AA269" s="508"/>
    </row>
    <row r="270">
      <c r="A270" s="508"/>
      <c r="B270" s="508"/>
      <c r="C270" s="508"/>
      <c r="D270" s="508"/>
      <c r="E270" s="967"/>
      <c r="F270" s="508"/>
      <c r="G270" s="508"/>
      <c r="H270" s="967"/>
      <c r="I270" s="508"/>
      <c r="J270" s="508"/>
      <c r="K270" s="508"/>
      <c r="L270" s="508"/>
      <c r="M270" s="508"/>
      <c r="N270" s="508"/>
      <c r="O270" s="508"/>
      <c r="P270" s="508"/>
      <c r="Q270" s="508"/>
      <c r="R270" s="508"/>
      <c r="S270" s="508"/>
      <c r="T270" s="508"/>
      <c r="U270" s="508"/>
      <c r="V270" s="508"/>
      <c r="W270" s="508"/>
      <c r="X270" s="508"/>
      <c r="Y270" s="508"/>
      <c r="Z270" s="508"/>
      <c r="AA270" s="508"/>
    </row>
    <row r="271">
      <c r="A271" s="508"/>
      <c r="B271" s="508"/>
      <c r="C271" s="508"/>
      <c r="D271" s="508"/>
      <c r="E271" s="967"/>
      <c r="F271" s="508"/>
      <c r="G271" s="508"/>
      <c r="H271" s="967"/>
      <c r="I271" s="508"/>
      <c r="J271" s="508"/>
      <c r="K271" s="508"/>
      <c r="L271" s="508"/>
      <c r="M271" s="508"/>
      <c r="N271" s="508"/>
      <c r="O271" s="508"/>
      <c r="P271" s="508"/>
      <c r="Q271" s="508"/>
      <c r="R271" s="508"/>
      <c r="S271" s="508"/>
      <c r="T271" s="508"/>
      <c r="U271" s="508"/>
      <c r="V271" s="508"/>
      <c r="W271" s="508"/>
      <c r="X271" s="508"/>
      <c r="Y271" s="508"/>
      <c r="Z271" s="508"/>
      <c r="AA271" s="508"/>
    </row>
    <row r="272">
      <c r="A272" s="508"/>
      <c r="B272" s="508"/>
      <c r="C272" s="508"/>
      <c r="D272" s="508"/>
      <c r="E272" s="967"/>
      <c r="F272" s="508"/>
      <c r="G272" s="508"/>
      <c r="H272" s="967"/>
      <c r="I272" s="508"/>
      <c r="J272" s="508"/>
      <c r="K272" s="508"/>
      <c r="L272" s="508"/>
      <c r="M272" s="508"/>
      <c r="N272" s="508"/>
      <c r="O272" s="508"/>
      <c r="P272" s="508"/>
      <c r="Q272" s="508"/>
      <c r="R272" s="508"/>
      <c r="S272" s="508"/>
      <c r="T272" s="508"/>
      <c r="U272" s="508"/>
      <c r="V272" s="508"/>
      <c r="W272" s="508"/>
      <c r="X272" s="508"/>
      <c r="Y272" s="508"/>
      <c r="Z272" s="508"/>
      <c r="AA272" s="508"/>
    </row>
    <row r="273">
      <c r="A273" s="508"/>
      <c r="B273" s="508"/>
      <c r="C273" s="508"/>
      <c r="D273" s="508"/>
      <c r="E273" s="967"/>
      <c r="F273" s="508"/>
      <c r="G273" s="508"/>
      <c r="H273" s="967"/>
      <c r="I273" s="508"/>
      <c r="J273" s="508"/>
      <c r="K273" s="508"/>
      <c r="L273" s="508"/>
      <c r="M273" s="508"/>
      <c r="N273" s="508"/>
      <c r="O273" s="508"/>
      <c r="P273" s="508"/>
      <c r="Q273" s="508"/>
      <c r="R273" s="508"/>
      <c r="S273" s="508"/>
      <c r="T273" s="508"/>
      <c r="U273" s="508"/>
      <c r="V273" s="508"/>
      <c r="W273" s="508"/>
      <c r="X273" s="508"/>
      <c r="Y273" s="508"/>
      <c r="Z273" s="508"/>
      <c r="AA273" s="508"/>
    </row>
    <row r="274">
      <c r="A274" s="508"/>
      <c r="B274" s="508"/>
      <c r="C274" s="508"/>
      <c r="D274" s="508"/>
      <c r="E274" s="967"/>
      <c r="F274" s="508"/>
      <c r="G274" s="508"/>
      <c r="H274" s="967"/>
      <c r="I274" s="508"/>
      <c r="J274" s="508"/>
      <c r="K274" s="508"/>
      <c r="L274" s="508"/>
      <c r="M274" s="508"/>
      <c r="N274" s="508"/>
      <c r="O274" s="508"/>
      <c r="P274" s="508"/>
      <c r="Q274" s="508"/>
      <c r="R274" s="508"/>
      <c r="S274" s="508"/>
      <c r="T274" s="508"/>
      <c r="U274" s="508"/>
      <c r="V274" s="508"/>
      <c r="W274" s="508"/>
      <c r="X274" s="508"/>
      <c r="Y274" s="508"/>
      <c r="Z274" s="508"/>
      <c r="AA274" s="508"/>
    </row>
    <row r="275">
      <c r="A275" s="508"/>
      <c r="B275" s="508"/>
      <c r="C275" s="508"/>
      <c r="D275" s="508"/>
      <c r="E275" s="967"/>
      <c r="F275" s="508"/>
      <c r="G275" s="508"/>
      <c r="H275" s="967"/>
      <c r="I275" s="508"/>
      <c r="J275" s="508"/>
      <c r="K275" s="508"/>
      <c r="L275" s="508"/>
      <c r="M275" s="508"/>
      <c r="N275" s="508"/>
      <c r="O275" s="508"/>
      <c r="P275" s="508"/>
      <c r="Q275" s="508"/>
      <c r="R275" s="508"/>
      <c r="S275" s="508"/>
      <c r="T275" s="508"/>
      <c r="U275" s="508"/>
      <c r="V275" s="508"/>
      <c r="W275" s="508"/>
      <c r="X275" s="508"/>
      <c r="Y275" s="508"/>
      <c r="Z275" s="508"/>
      <c r="AA275" s="508"/>
    </row>
    <row r="276">
      <c r="A276" s="508"/>
      <c r="B276" s="508"/>
      <c r="C276" s="508"/>
      <c r="D276" s="508"/>
      <c r="E276" s="967"/>
      <c r="F276" s="508"/>
      <c r="G276" s="508"/>
      <c r="H276" s="967"/>
      <c r="I276" s="508"/>
      <c r="J276" s="508"/>
      <c r="K276" s="508"/>
      <c r="L276" s="508"/>
      <c r="M276" s="508"/>
      <c r="N276" s="508"/>
      <c r="O276" s="508"/>
      <c r="P276" s="508"/>
      <c r="Q276" s="508"/>
      <c r="R276" s="508"/>
      <c r="S276" s="508"/>
      <c r="T276" s="508"/>
      <c r="U276" s="508"/>
      <c r="V276" s="508"/>
      <c r="W276" s="508"/>
      <c r="X276" s="508"/>
      <c r="Y276" s="508"/>
      <c r="Z276" s="508"/>
      <c r="AA276" s="508"/>
    </row>
    <row r="277">
      <c r="A277" s="508"/>
      <c r="B277" s="508"/>
      <c r="C277" s="508"/>
      <c r="D277" s="508"/>
      <c r="E277" s="967"/>
      <c r="F277" s="508"/>
      <c r="G277" s="508"/>
      <c r="H277" s="967"/>
      <c r="I277" s="508"/>
      <c r="J277" s="508"/>
      <c r="K277" s="508"/>
      <c r="L277" s="508"/>
      <c r="M277" s="508"/>
      <c r="N277" s="508"/>
      <c r="O277" s="508"/>
      <c r="P277" s="508"/>
      <c r="Q277" s="508"/>
      <c r="R277" s="508"/>
      <c r="S277" s="508"/>
      <c r="T277" s="508"/>
      <c r="U277" s="508"/>
      <c r="V277" s="508"/>
      <c r="W277" s="508"/>
      <c r="X277" s="508"/>
      <c r="Y277" s="508"/>
      <c r="Z277" s="508"/>
      <c r="AA277" s="508"/>
    </row>
    <row r="278">
      <c r="A278" s="508"/>
      <c r="B278" s="508"/>
      <c r="C278" s="508"/>
      <c r="D278" s="508"/>
      <c r="E278" s="967"/>
      <c r="F278" s="508"/>
      <c r="G278" s="508"/>
      <c r="H278" s="967"/>
      <c r="I278" s="508"/>
      <c r="J278" s="508"/>
      <c r="K278" s="508"/>
      <c r="L278" s="508"/>
      <c r="M278" s="508"/>
      <c r="N278" s="508"/>
      <c r="O278" s="508"/>
      <c r="P278" s="508"/>
      <c r="Q278" s="508"/>
      <c r="R278" s="508"/>
      <c r="S278" s="508"/>
      <c r="T278" s="508"/>
      <c r="U278" s="508"/>
      <c r="V278" s="508"/>
      <c r="W278" s="508"/>
      <c r="X278" s="508"/>
      <c r="Y278" s="508"/>
      <c r="Z278" s="508"/>
      <c r="AA278" s="508"/>
    </row>
    <row r="279">
      <c r="A279" s="508"/>
      <c r="B279" s="508"/>
      <c r="C279" s="508"/>
      <c r="D279" s="508"/>
      <c r="E279" s="967"/>
      <c r="F279" s="508"/>
      <c r="G279" s="508"/>
      <c r="H279" s="967"/>
      <c r="I279" s="508"/>
      <c r="J279" s="508"/>
      <c r="K279" s="508"/>
      <c r="L279" s="508"/>
      <c r="M279" s="508"/>
      <c r="N279" s="508"/>
      <c r="O279" s="508"/>
      <c r="P279" s="508"/>
      <c r="Q279" s="508"/>
      <c r="R279" s="508"/>
      <c r="S279" s="508"/>
      <c r="T279" s="508"/>
      <c r="U279" s="508"/>
      <c r="V279" s="508"/>
      <c r="W279" s="508"/>
      <c r="X279" s="508"/>
      <c r="Y279" s="508"/>
      <c r="Z279" s="508"/>
      <c r="AA279" s="508"/>
    </row>
    <row r="280">
      <c r="A280" s="508"/>
      <c r="B280" s="508"/>
      <c r="C280" s="508"/>
      <c r="D280" s="508"/>
      <c r="E280" s="967"/>
      <c r="F280" s="508"/>
      <c r="G280" s="508"/>
      <c r="H280" s="967"/>
      <c r="I280" s="508"/>
      <c r="J280" s="508"/>
      <c r="K280" s="508"/>
      <c r="L280" s="508"/>
      <c r="M280" s="508"/>
      <c r="N280" s="508"/>
      <c r="O280" s="508"/>
      <c r="P280" s="508"/>
      <c r="Q280" s="508"/>
      <c r="R280" s="508"/>
      <c r="S280" s="508"/>
      <c r="T280" s="508"/>
      <c r="U280" s="508"/>
      <c r="V280" s="508"/>
      <c r="W280" s="508"/>
      <c r="X280" s="508"/>
      <c r="Y280" s="508"/>
      <c r="Z280" s="508"/>
      <c r="AA280" s="508"/>
    </row>
    <row r="281">
      <c r="A281" s="508"/>
      <c r="B281" s="508"/>
      <c r="C281" s="508"/>
      <c r="D281" s="508"/>
      <c r="E281" s="967"/>
      <c r="F281" s="508"/>
      <c r="G281" s="508"/>
      <c r="H281" s="967"/>
      <c r="I281" s="508"/>
      <c r="J281" s="508"/>
      <c r="K281" s="508"/>
      <c r="L281" s="508"/>
      <c r="M281" s="508"/>
      <c r="N281" s="508"/>
      <c r="O281" s="508"/>
      <c r="P281" s="508"/>
      <c r="Q281" s="508"/>
      <c r="R281" s="508"/>
      <c r="S281" s="508"/>
      <c r="T281" s="508"/>
      <c r="U281" s="508"/>
      <c r="V281" s="508"/>
      <c r="W281" s="508"/>
      <c r="X281" s="508"/>
      <c r="Y281" s="508"/>
      <c r="Z281" s="508"/>
      <c r="AA281" s="508"/>
    </row>
    <row r="282">
      <c r="A282" s="508"/>
      <c r="B282" s="508"/>
      <c r="C282" s="508"/>
      <c r="D282" s="508"/>
      <c r="E282" s="967"/>
      <c r="F282" s="508"/>
      <c r="G282" s="508"/>
      <c r="H282" s="967"/>
      <c r="I282" s="508"/>
      <c r="J282" s="508"/>
      <c r="K282" s="508"/>
      <c r="L282" s="508"/>
      <c r="M282" s="508"/>
      <c r="N282" s="508"/>
      <c r="O282" s="508"/>
      <c r="P282" s="508"/>
      <c r="Q282" s="508"/>
      <c r="R282" s="508"/>
      <c r="S282" s="508"/>
      <c r="T282" s="508"/>
      <c r="U282" s="508"/>
      <c r="V282" s="508"/>
      <c r="W282" s="508"/>
      <c r="X282" s="508"/>
      <c r="Y282" s="508"/>
      <c r="Z282" s="508"/>
      <c r="AA282" s="508"/>
    </row>
    <row r="283">
      <c r="A283" s="508"/>
      <c r="B283" s="508"/>
      <c r="C283" s="508"/>
      <c r="D283" s="508"/>
      <c r="E283" s="967"/>
      <c r="F283" s="508"/>
      <c r="G283" s="508"/>
      <c r="H283" s="967"/>
      <c r="I283" s="508"/>
      <c r="J283" s="508"/>
      <c r="K283" s="508"/>
      <c r="L283" s="508"/>
      <c r="M283" s="508"/>
      <c r="N283" s="508"/>
      <c r="O283" s="508"/>
      <c r="P283" s="508"/>
      <c r="Q283" s="508"/>
      <c r="R283" s="508"/>
      <c r="S283" s="508"/>
      <c r="T283" s="508"/>
      <c r="U283" s="508"/>
      <c r="V283" s="508"/>
      <c r="W283" s="508"/>
      <c r="X283" s="508"/>
      <c r="Y283" s="508"/>
      <c r="Z283" s="508"/>
      <c r="AA283" s="508"/>
    </row>
    <row r="284">
      <c r="A284" s="508"/>
      <c r="B284" s="508"/>
      <c r="C284" s="508"/>
      <c r="D284" s="508"/>
      <c r="E284" s="967"/>
      <c r="F284" s="508"/>
      <c r="G284" s="508"/>
      <c r="H284" s="967"/>
      <c r="I284" s="508"/>
      <c r="J284" s="508"/>
      <c r="K284" s="508"/>
      <c r="L284" s="508"/>
      <c r="M284" s="508"/>
      <c r="N284" s="508"/>
      <c r="O284" s="508"/>
      <c r="P284" s="508"/>
      <c r="Q284" s="508"/>
      <c r="R284" s="508"/>
      <c r="S284" s="508"/>
      <c r="T284" s="508"/>
      <c r="U284" s="508"/>
      <c r="V284" s="508"/>
      <c r="W284" s="508"/>
      <c r="X284" s="508"/>
      <c r="Y284" s="508"/>
      <c r="Z284" s="508"/>
      <c r="AA284" s="508"/>
    </row>
    <row r="285">
      <c r="A285" s="508"/>
      <c r="B285" s="508"/>
      <c r="C285" s="508"/>
      <c r="D285" s="508"/>
      <c r="E285" s="967"/>
      <c r="F285" s="508"/>
      <c r="G285" s="508"/>
      <c r="H285" s="967"/>
      <c r="I285" s="508"/>
      <c r="J285" s="508"/>
      <c r="K285" s="508"/>
      <c r="L285" s="508"/>
      <c r="M285" s="508"/>
      <c r="N285" s="508"/>
      <c r="O285" s="508"/>
      <c r="P285" s="508"/>
      <c r="Q285" s="508"/>
      <c r="R285" s="508"/>
      <c r="S285" s="508"/>
      <c r="T285" s="508"/>
      <c r="U285" s="508"/>
      <c r="V285" s="508"/>
      <c r="W285" s="508"/>
      <c r="X285" s="508"/>
      <c r="Y285" s="508"/>
      <c r="Z285" s="508"/>
      <c r="AA285" s="508"/>
    </row>
    <row r="286">
      <c r="A286" s="508"/>
      <c r="B286" s="508"/>
      <c r="C286" s="508"/>
      <c r="D286" s="508"/>
      <c r="E286" s="967"/>
      <c r="F286" s="508"/>
      <c r="G286" s="508"/>
      <c r="H286" s="967"/>
      <c r="I286" s="508"/>
      <c r="J286" s="508"/>
      <c r="K286" s="508"/>
      <c r="L286" s="508"/>
      <c r="M286" s="508"/>
      <c r="N286" s="508"/>
      <c r="O286" s="508"/>
      <c r="P286" s="508"/>
      <c r="Q286" s="508"/>
      <c r="R286" s="508"/>
      <c r="S286" s="508"/>
      <c r="T286" s="508"/>
      <c r="U286" s="508"/>
      <c r="V286" s="508"/>
      <c r="W286" s="508"/>
      <c r="X286" s="508"/>
      <c r="Y286" s="508"/>
      <c r="Z286" s="508"/>
      <c r="AA286" s="508"/>
    </row>
    <row r="287">
      <c r="A287" s="508"/>
      <c r="B287" s="508"/>
      <c r="C287" s="508"/>
      <c r="D287" s="508"/>
      <c r="E287" s="967"/>
      <c r="F287" s="508"/>
      <c r="G287" s="508"/>
      <c r="H287" s="967"/>
      <c r="I287" s="508"/>
      <c r="J287" s="508"/>
      <c r="K287" s="508"/>
      <c r="L287" s="508"/>
      <c r="M287" s="508"/>
      <c r="N287" s="508"/>
      <c r="O287" s="508"/>
      <c r="P287" s="508"/>
      <c r="Q287" s="508"/>
      <c r="R287" s="508"/>
      <c r="S287" s="508"/>
      <c r="T287" s="508"/>
      <c r="U287" s="508"/>
      <c r="V287" s="508"/>
      <c r="W287" s="508"/>
      <c r="X287" s="508"/>
      <c r="Y287" s="508"/>
      <c r="Z287" s="508"/>
      <c r="AA287" s="508"/>
    </row>
    <row r="288">
      <c r="A288" s="508"/>
      <c r="B288" s="508"/>
      <c r="C288" s="508"/>
      <c r="D288" s="508"/>
      <c r="E288" s="967"/>
      <c r="F288" s="508"/>
      <c r="G288" s="508"/>
      <c r="H288" s="967"/>
      <c r="I288" s="508"/>
      <c r="J288" s="508"/>
      <c r="K288" s="508"/>
      <c r="L288" s="508"/>
      <c r="M288" s="508"/>
      <c r="N288" s="508"/>
      <c r="O288" s="508"/>
      <c r="P288" s="508"/>
      <c r="Q288" s="508"/>
      <c r="R288" s="508"/>
      <c r="S288" s="508"/>
      <c r="T288" s="508"/>
      <c r="U288" s="508"/>
      <c r="V288" s="508"/>
      <c r="W288" s="508"/>
      <c r="X288" s="508"/>
      <c r="Y288" s="508"/>
      <c r="Z288" s="508"/>
      <c r="AA288" s="508"/>
    </row>
    <row r="289">
      <c r="A289" s="508"/>
      <c r="B289" s="508"/>
      <c r="C289" s="508"/>
      <c r="D289" s="508"/>
      <c r="E289" s="967"/>
      <c r="F289" s="508"/>
      <c r="G289" s="508"/>
      <c r="H289" s="967"/>
      <c r="I289" s="508"/>
      <c r="J289" s="508"/>
      <c r="K289" s="508"/>
      <c r="L289" s="508"/>
      <c r="M289" s="508"/>
      <c r="N289" s="508"/>
      <c r="O289" s="508"/>
      <c r="P289" s="508"/>
      <c r="Q289" s="508"/>
      <c r="R289" s="508"/>
      <c r="S289" s="508"/>
      <c r="T289" s="508"/>
      <c r="U289" s="508"/>
      <c r="V289" s="508"/>
      <c r="W289" s="508"/>
      <c r="X289" s="508"/>
      <c r="Y289" s="508"/>
      <c r="Z289" s="508"/>
      <c r="AA289" s="508"/>
    </row>
    <row r="290">
      <c r="A290" s="508"/>
      <c r="B290" s="508"/>
      <c r="C290" s="508"/>
      <c r="D290" s="508"/>
      <c r="E290" s="967"/>
      <c r="F290" s="508"/>
      <c r="G290" s="508"/>
      <c r="H290" s="967"/>
      <c r="I290" s="508"/>
      <c r="J290" s="508"/>
      <c r="K290" s="508"/>
      <c r="L290" s="508"/>
      <c r="M290" s="508"/>
      <c r="N290" s="508"/>
      <c r="O290" s="508"/>
      <c r="P290" s="508"/>
      <c r="Q290" s="508"/>
      <c r="R290" s="508"/>
      <c r="S290" s="508"/>
      <c r="T290" s="508"/>
      <c r="U290" s="508"/>
      <c r="V290" s="508"/>
      <c r="W290" s="508"/>
      <c r="X290" s="508"/>
      <c r="Y290" s="508"/>
      <c r="Z290" s="508"/>
      <c r="AA290" s="508"/>
    </row>
    <row r="291">
      <c r="A291" s="508"/>
      <c r="B291" s="508"/>
      <c r="C291" s="508"/>
      <c r="D291" s="508"/>
      <c r="E291" s="967"/>
      <c r="F291" s="508"/>
      <c r="G291" s="508"/>
      <c r="H291" s="967"/>
      <c r="I291" s="508"/>
      <c r="J291" s="508"/>
      <c r="K291" s="508"/>
      <c r="L291" s="508"/>
      <c r="M291" s="508"/>
      <c r="N291" s="508"/>
      <c r="O291" s="508"/>
      <c r="P291" s="508"/>
      <c r="Q291" s="508"/>
      <c r="R291" s="508"/>
      <c r="S291" s="508"/>
      <c r="T291" s="508"/>
      <c r="U291" s="508"/>
      <c r="V291" s="508"/>
      <c r="W291" s="508"/>
      <c r="X291" s="508"/>
      <c r="Y291" s="508"/>
      <c r="Z291" s="508"/>
      <c r="AA291" s="508"/>
    </row>
    <row r="292">
      <c r="A292" s="508"/>
      <c r="B292" s="508"/>
      <c r="C292" s="508"/>
      <c r="D292" s="508"/>
      <c r="E292" s="967"/>
      <c r="F292" s="508"/>
      <c r="G292" s="508"/>
      <c r="H292" s="967"/>
      <c r="I292" s="508"/>
      <c r="J292" s="508"/>
      <c r="K292" s="508"/>
      <c r="L292" s="508"/>
      <c r="M292" s="508"/>
      <c r="N292" s="508"/>
      <c r="O292" s="508"/>
      <c r="P292" s="508"/>
      <c r="Q292" s="508"/>
      <c r="R292" s="508"/>
      <c r="S292" s="508"/>
      <c r="T292" s="508"/>
      <c r="U292" s="508"/>
      <c r="V292" s="508"/>
      <c r="W292" s="508"/>
      <c r="X292" s="508"/>
      <c r="Y292" s="508"/>
      <c r="Z292" s="508"/>
      <c r="AA292" s="508"/>
    </row>
    <row r="293">
      <c r="A293" s="508"/>
      <c r="B293" s="508"/>
      <c r="C293" s="508"/>
      <c r="D293" s="508"/>
      <c r="E293" s="967"/>
      <c r="F293" s="508"/>
      <c r="G293" s="508"/>
      <c r="H293" s="967"/>
      <c r="I293" s="508"/>
      <c r="J293" s="508"/>
      <c r="K293" s="508"/>
      <c r="L293" s="508"/>
      <c r="M293" s="508"/>
      <c r="N293" s="508"/>
      <c r="O293" s="508"/>
      <c r="P293" s="508"/>
      <c r="Q293" s="508"/>
      <c r="R293" s="508"/>
      <c r="S293" s="508"/>
      <c r="T293" s="508"/>
      <c r="U293" s="508"/>
      <c r="V293" s="508"/>
      <c r="W293" s="508"/>
      <c r="X293" s="508"/>
      <c r="Y293" s="508"/>
      <c r="Z293" s="508"/>
      <c r="AA293" s="508"/>
    </row>
    <row r="294">
      <c r="A294" s="508"/>
      <c r="B294" s="508"/>
      <c r="C294" s="508"/>
      <c r="D294" s="508"/>
      <c r="E294" s="967"/>
      <c r="F294" s="508"/>
      <c r="G294" s="508"/>
      <c r="H294" s="967"/>
      <c r="I294" s="508"/>
      <c r="J294" s="508"/>
      <c r="K294" s="508"/>
      <c r="L294" s="508"/>
      <c r="M294" s="508"/>
      <c r="N294" s="508"/>
      <c r="O294" s="508"/>
      <c r="P294" s="508"/>
      <c r="Q294" s="508"/>
      <c r="R294" s="508"/>
      <c r="S294" s="508"/>
      <c r="T294" s="508"/>
      <c r="U294" s="508"/>
      <c r="V294" s="508"/>
      <c r="W294" s="508"/>
      <c r="X294" s="508"/>
      <c r="Y294" s="508"/>
      <c r="Z294" s="508"/>
      <c r="AA294" s="508"/>
    </row>
    <row r="295">
      <c r="A295" s="508"/>
      <c r="B295" s="508"/>
      <c r="C295" s="508"/>
      <c r="D295" s="508"/>
      <c r="E295" s="967"/>
      <c r="F295" s="508"/>
      <c r="G295" s="508"/>
      <c r="H295" s="967"/>
      <c r="I295" s="508"/>
      <c r="J295" s="508"/>
      <c r="K295" s="508"/>
      <c r="L295" s="508"/>
      <c r="M295" s="508"/>
      <c r="N295" s="508"/>
      <c r="O295" s="508"/>
      <c r="P295" s="508"/>
      <c r="Q295" s="508"/>
      <c r="R295" s="508"/>
      <c r="S295" s="508"/>
      <c r="T295" s="508"/>
      <c r="U295" s="508"/>
      <c r="V295" s="508"/>
      <c r="W295" s="508"/>
      <c r="X295" s="508"/>
      <c r="Y295" s="508"/>
      <c r="Z295" s="508"/>
      <c r="AA295" s="508"/>
    </row>
    <row r="296">
      <c r="A296" s="508"/>
      <c r="B296" s="508"/>
      <c r="C296" s="508"/>
      <c r="D296" s="508"/>
      <c r="E296" s="967"/>
      <c r="F296" s="508"/>
      <c r="G296" s="508"/>
      <c r="H296" s="967"/>
      <c r="I296" s="508"/>
      <c r="J296" s="508"/>
      <c r="K296" s="508"/>
      <c r="L296" s="508"/>
      <c r="M296" s="508"/>
      <c r="N296" s="508"/>
      <c r="O296" s="508"/>
      <c r="P296" s="508"/>
      <c r="Q296" s="508"/>
      <c r="R296" s="508"/>
      <c r="S296" s="508"/>
      <c r="T296" s="508"/>
      <c r="U296" s="508"/>
      <c r="V296" s="508"/>
      <c r="W296" s="508"/>
      <c r="X296" s="508"/>
      <c r="Y296" s="508"/>
      <c r="Z296" s="508"/>
      <c r="AA296" s="508"/>
    </row>
    <row r="297">
      <c r="A297" s="508"/>
      <c r="B297" s="508"/>
      <c r="C297" s="508"/>
      <c r="D297" s="508"/>
      <c r="E297" s="967"/>
      <c r="F297" s="508"/>
      <c r="G297" s="508"/>
      <c r="H297" s="967"/>
      <c r="I297" s="508"/>
      <c r="J297" s="508"/>
      <c r="K297" s="508"/>
      <c r="L297" s="508"/>
      <c r="M297" s="508"/>
      <c r="N297" s="508"/>
      <c r="O297" s="508"/>
      <c r="P297" s="508"/>
      <c r="Q297" s="508"/>
      <c r="R297" s="508"/>
      <c r="S297" s="508"/>
      <c r="T297" s="508"/>
      <c r="U297" s="508"/>
      <c r="V297" s="508"/>
      <c r="W297" s="508"/>
      <c r="X297" s="508"/>
      <c r="Y297" s="508"/>
      <c r="Z297" s="508"/>
      <c r="AA297" s="508"/>
    </row>
    <row r="298">
      <c r="A298" s="508"/>
      <c r="B298" s="508"/>
      <c r="C298" s="508"/>
      <c r="D298" s="508"/>
      <c r="E298" s="967"/>
      <c r="F298" s="508"/>
      <c r="G298" s="508"/>
      <c r="H298" s="967"/>
      <c r="I298" s="508"/>
      <c r="J298" s="508"/>
      <c r="K298" s="508"/>
      <c r="L298" s="508"/>
      <c r="M298" s="508"/>
      <c r="N298" s="508"/>
      <c r="O298" s="508"/>
      <c r="P298" s="508"/>
      <c r="Q298" s="508"/>
      <c r="R298" s="508"/>
      <c r="S298" s="508"/>
      <c r="T298" s="508"/>
      <c r="U298" s="508"/>
      <c r="V298" s="508"/>
      <c r="W298" s="508"/>
      <c r="X298" s="508"/>
      <c r="Y298" s="508"/>
      <c r="Z298" s="508"/>
      <c r="AA298" s="508"/>
    </row>
    <row r="299">
      <c r="A299" s="508"/>
      <c r="B299" s="508"/>
      <c r="C299" s="508"/>
      <c r="D299" s="508"/>
      <c r="E299" s="967"/>
      <c r="F299" s="508"/>
      <c r="G299" s="508"/>
      <c r="H299" s="967"/>
      <c r="I299" s="508"/>
      <c r="J299" s="508"/>
      <c r="K299" s="508"/>
      <c r="L299" s="508"/>
      <c r="M299" s="508"/>
      <c r="N299" s="508"/>
      <c r="O299" s="508"/>
      <c r="P299" s="508"/>
      <c r="Q299" s="508"/>
      <c r="R299" s="508"/>
      <c r="S299" s="508"/>
      <c r="T299" s="508"/>
      <c r="U299" s="508"/>
      <c r="V299" s="508"/>
      <c r="W299" s="508"/>
      <c r="X299" s="508"/>
      <c r="Y299" s="508"/>
      <c r="Z299" s="508"/>
      <c r="AA299" s="508"/>
    </row>
    <row r="300">
      <c r="A300" s="508"/>
      <c r="B300" s="508"/>
      <c r="C300" s="508"/>
      <c r="D300" s="508"/>
      <c r="E300" s="967"/>
      <c r="F300" s="508"/>
      <c r="G300" s="508"/>
      <c r="H300" s="967"/>
      <c r="I300" s="508"/>
      <c r="J300" s="508"/>
      <c r="K300" s="508"/>
      <c r="L300" s="508"/>
      <c r="M300" s="508"/>
      <c r="N300" s="508"/>
      <c r="O300" s="508"/>
      <c r="P300" s="508"/>
      <c r="Q300" s="508"/>
      <c r="R300" s="508"/>
      <c r="S300" s="508"/>
      <c r="T300" s="508"/>
      <c r="U300" s="508"/>
      <c r="V300" s="508"/>
      <c r="W300" s="508"/>
      <c r="X300" s="508"/>
      <c r="Y300" s="508"/>
      <c r="Z300" s="508"/>
      <c r="AA300" s="508"/>
    </row>
    <row r="301">
      <c r="A301" s="508"/>
      <c r="B301" s="508"/>
      <c r="C301" s="508"/>
      <c r="D301" s="508"/>
      <c r="E301" s="967"/>
      <c r="F301" s="508"/>
      <c r="G301" s="508"/>
      <c r="H301" s="967"/>
      <c r="I301" s="508"/>
      <c r="J301" s="508"/>
      <c r="K301" s="508"/>
      <c r="L301" s="508"/>
      <c r="M301" s="508"/>
      <c r="N301" s="508"/>
      <c r="O301" s="508"/>
      <c r="P301" s="508"/>
      <c r="Q301" s="508"/>
      <c r="R301" s="508"/>
      <c r="S301" s="508"/>
      <c r="T301" s="508"/>
      <c r="U301" s="508"/>
      <c r="V301" s="508"/>
      <c r="W301" s="508"/>
      <c r="X301" s="508"/>
      <c r="Y301" s="508"/>
      <c r="Z301" s="508"/>
      <c r="AA301" s="508"/>
    </row>
    <row r="302">
      <c r="A302" s="508"/>
      <c r="B302" s="508"/>
      <c r="C302" s="508"/>
      <c r="D302" s="508"/>
      <c r="E302" s="967"/>
      <c r="F302" s="508"/>
      <c r="G302" s="508"/>
      <c r="H302" s="967"/>
      <c r="I302" s="508"/>
      <c r="J302" s="508"/>
      <c r="K302" s="508"/>
      <c r="L302" s="508"/>
      <c r="M302" s="508"/>
      <c r="N302" s="508"/>
      <c r="O302" s="508"/>
      <c r="P302" s="508"/>
      <c r="Q302" s="508"/>
      <c r="R302" s="508"/>
      <c r="S302" s="508"/>
      <c r="T302" s="508"/>
      <c r="U302" s="508"/>
      <c r="V302" s="508"/>
      <c r="W302" s="508"/>
      <c r="X302" s="508"/>
      <c r="Y302" s="508"/>
      <c r="Z302" s="508"/>
      <c r="AA302" s="508"/>
    </row>
    <row r="303">
      <c r="A303" s="508"/>
      <c r="B303" s="508"/>
      <c r="C303" s="508"/>
      <c r="D303" s="508"/>
      <c r="E303" s="967"/>
      <c r="F303" s="508"/>
      <c r="G303" s="508"/>
      <c r="H303" s="967"/>
      <c r="I303" s="508"/>
      <c r="J303" s="508"/>
      <c r="K303" s="508"/>
      <c r="L303" s="508"/>
      <c r="M303" s="508"/>
      <c r="N303" s="508"/>
      <c r="O303" s="508"/>
      <c r="P303" s="508"/>
      <c r="Q303" s="508"/>
      <c r="R303" s="508"/>
      <c r="S303" s="508"/>
      <c r="T303" s="508"/>
      <c r="U303" s="508"/>
      <c r="V303" s="508"/>
      <c r="W303" s="508"/>
      <c r="X303" s="508"/>
      <c r="Y303" s="508"/>
      <c r="Z303" s="508"/>
      <c r="AA303" s="508"/>
    </row>
    <row r="304">
      <c r="A304" s="508"/>
      <c r="B304" s="508"/>
      <c r="C304" s="508"/>
      <c r="D304" s="508"/>
      <c r="E304" s="967"/>
      <c r="F304" s="508"/>
      <c r="G304" s="508"/>
      <c r="H304" s="967"/>
      <c r="I304" s="508"/>
      <c r="J304" s="508"/>
      <c r="K304" s="508"/>
      <c r="L304" s="508"/>
      <c r="M304" s="508"/>
      <c r="N304" s="508"/>
      <c r="O304" s="508"/>
      <c r="P304" s="508"/>
      <c r="Q304" s="508"/>
      <c r="R304" s="508"/>
      <c r="S304" s="508"/>
      <c r="T304" s="508"/>
      <c r="U304" s="508"/>
      <c r="V304" s="508"/>
      <c r="W304" s="508"/>
      <c r="X304" s="508"/>
      <c r="Y304" s="508"/>
      <c r="Z304" s="508"/>
      <c r="AA304" s="508"/>
    </row>
    <row r="305">
      <c r="A305" s="508"/>
      <c r="B305" s="508"/>
      <c r="C305" s="508"/>
      <c r="D305" s="508"/>
      <c r="E305" s="967"/>
      <c r="F305" s="508"/>
      <c r="G305" s="508"/>
      <c r="H305" s="967"/>
      <c r="I305" s="508"/>
      <c r="J305" s="508"/>
      <c r="K305" s="508"/>
      <c r="L305" s="508"/>
      <c r="M305" s="508"/>
      <c r="N305" s="508"/>
      <c r="O305" s="508"/>
      <c r="P305" s="508"/>
      <c r="Q305" s="508"/>
      <c r="R305" s="508"/>
      <c r="S305" s="508"/>
      <c r="T305" s="508"/>
      <c r="U305" s="508"/>
      <c r="V305" s="508"/>
      <c r="W305" s="508"/>
      <c r="X305" s="508"/>
      <c r="Y305" s="508"/>
      <c r="Z305" s="508"/>
      <c r="AA305" s="508"/>
    </row>
    <row r="306">
      <c r="A306" s="508"/>
      <c r="B306" s="508"/>
      <c r="C306" s="508"/>
      <c r="D306" s="508"/>
      <c r="E306" s="967"/>
      <c r="F306" s="508"/>
      <c r="G306" s="508"/>
      <c r="H306" s="967"/>
      <c r="I306" s="508"/>
      <c r="J306" s="508"/>
      <c r="K306" s="508"/>
      <c r="L306" s="508"/>
      <c r="M306" s="508"/>
      <c r="N306" s="508"/>
      <c r="O306" s="508"/>
      <c r="P306" s="508"/>
      <c r="Q306" s="508"/>
      <c r="R306" s="508"/>
      <c r="S306" s="508"/>
      <c r="T306" s="508"/>
      <c r="U306" s="508"/>
      <c r="V306" s="508"/>
      <c r="W306" s="508"/>
      <c r="X306" s="508"/>
      <c r="Y306" s="508"/>
      <c r="Z306" s="508"/>
      <c r="AA306" s="508"/>
    </row>
    <row r="307">
      <c r="A307" s="508"/>
      <c r="B307" s="508"/>
      <c r="C307" s="508"/>
      <c r="D307" s="508"/>
      <c r="E307" s="967"/>
      <c r="F307" s="508"/>
      <c r="G307" s="508"/>
      <c r="H307" s="967"/>
      <c r="I307" s="508"/>
      <c r="J307" s="508"/>
      <c r="K307" s="508"/>
      <c r="L307" s="508"/>
      <c r="M307" s="508"/>
      <c r="N307" s="508"/>
      <c r="O307" s="508"/>
      <c r="P307" s="508"/>
      <c r="Q307" s="508"/>
      <c r="R307" s="508"/>
      <c r="S307" s="508"/>
      <c r="T307" s="508"/>
      <c r="U307" s="508"/>
      <c r="V307" s="508"/>
      <c r="W307" s="508"/>
      <c r="X307" s="508"/>
      <c r="Y307" s="508"/>
      <c r="Z307" s="508"/>
      <c r="AA307" s="508"/>
    </row>
    <row r="308">
      <c r="A308" s="508"/>
      <c r="B308" s="508"/>
      <c r="C308" s="508"/>
      <c r="D308" s="508"/>
      <c r="E308" s="967"/>
      <c r="F308" s="508"/>
      <c r="G308" s="508"/>
      <c r="H308" s="967"/>
      <c r="I308" s="508"/>
      <c r="J308" s="508"/>
      <c r="K308" s="508"/>
      <c r="L308" s="508"/>
      <c r="M308" s="508"/>
      <c r="N308" s="508"/>
      <c r="O308" s="508"/>
      <c r="P308" s="508"/>
      <c r="Q308" s="508"/>
      <c r="R308" s="508"/>
      <c r="S308" s="508"/>
      <c r="T308" s="508"/>
      <c r="U308" s="508"/>
      <c r="V308" s="508"/>
      <c r="W308" s="508"/>
      <c r="X308" s="508"/>
      <c r="Y308" s="508"/>
      <c r="Z308" s="508"/>
      <c r="AA308" s="508"/>
    </row>
    <row r="309">
      <c r="A309" s="508"/>
      <c r="B309" s="508"/>
      <c r="C309" s="508"/>
      <c r="D309" s="508"/>
      <c r="E309" s="967"/>
      <c r="F309" s="508"/>
      <c r="G309" s="508"/>
      <c r="H309" s="967"/>
      <c r="I309" s="508"/>
      <c r="J309" s="508"/>
      <c r="K309" s="508"/>
      <c r="L309" s="508"/>
      <c r="M309" s="508"/>
      <c r="N309" s="508"/>
      <c r="O309" s="508"/>
      <c r="P309" s="508"/>
      <c r="Q309" s="508"/>
      <c r="R309" s="508"/>
      <c r="S309" s="508"/>
      <c r="T309" s="508"/>
      <c r="U309" s="508"/>
      <c r="V309" s="508"/>
      <c r="W309" s="508"/>
      <c r="X309" s="508"/>
      <c r="Y309" s="508"/>
      <c r="Z309" s="508"/>
      <c r="AA309" s="508"/>
    </row>
    <row r="310">
      <c r="A310" s="508"/>
      <c r="B310" s="508"/>
      <c r="C310" s="508"/>
      <c r="D310" s="508"/>
      <c r="E310" s="967"/>
      <c r="F310" s="508"/>
      <c r="G310" s="508"/>
      <c r="H310" s="967"/>
      <c r="I310" s="508"/>
      <c r="J310" s="508"/>
      <c r="K310" s="508"/>
      <c r="L310" s="508"/>
      <c r="M310" s="508"/>
      <c r="N310" s="508"/>
      <c r="O310" s="508"/>
      <c r="P310" s="508"/>
      <c r="Q310" s="508"/>
      <c r="R310" s="508"/>
      <c r="S310" s="508"/>
      <c r="T310" s="508"/>
      <c r="U310" s="508"/>
      <c r="V310" s="508"/>
      <c r="W310" s="508"/>
      <c r="X310" s="508"/>
      <c r="Y310" s="508"/>
      <c r="Z310" s="508"/>
      <c r="AA310" s="508"/>
    </row>
    <row r="311">
      <c r="A311" s="508"/>
      <c r="B311" s="508"/>
      <c r="C311" s="508"/>
      <c r="D311" s="508"/>
      <c r="E311" s="967"/>
      <c r="F311" s="508"/>
      <c r="G311" s="508"/>
      <c r="H311" s="967"/>
      <c r="I311" s="508"/>
      <c r="J311" s="508"/>
      <c r="K311" s="508"/>
      <c r="L311" s="508"/>
      <c r="M311" s="508"/>
      <c r="N311" s="508"/>
      <c r="O311" s="508"/>
      <c r="P311" s="508"/>
      <c r="Q311" s="508"/>
      <c r="R311" s="508"/>
      <c r="S311" s="508"/>
      <c r="T311" s="508"/>
      <c r="U311" s="508"/>
      <c r="V311" s="508"/>
      <c r="W311" s="508"/>
      <c r="X311" s="508"/>
      <c r="Y311" s="508"/>
      <c r="Z311" s="508"/>
      <c r="AA311" s="508"/>
    </row>
    <row r="312">
      <c r="A312" s="508"/>
      <c r="B312" s="508"/>
      <c r="C312" s="508"/>
      <c r="D312" s="508"/>
      <c r="E312" s="967"/>
      <c r="F312" s="508"/>
      <c r="G312" s="508"/>
      <c r="H312" s="967"/>
      <c r="I312" s="508"/>
      <c r="J312" s="508"/>
      <c r="K312" s="508"/>
      <c r="L312" s="508"/>
      <c r="M312" s="508"/>
      <c r="N312" s="508"/>
      <c r="O312" s="508"/>
      <c r="P312" s="508"/>
      <c r="Q312" s="508"/>
      <c r="R312" s="508"/>
      <c r="S312" s="508"/>
      <c r="T312" s="508"/>
      <c r="U312" s="508"/>
      <c r="V312" s="508"/>
      <c r="W312" s="508"/>
      <c r="X312" s="508"/>
      <c r="Y312" s="508"/>
      <c r="Z312" s="508"/>
      <c r="AA312" s="508"/>
    </row>
    <row r="313">
      <c r="A313" s="508"/>
      <c r="B313" s="508"/>
      <c r="C313" s="508"/>
      <c r="D313" s="508"/>
      <c r="E313" s="967"/>
      <c r="F313" s="508"/>
      <c r="G313" s="508"/>
      <c r="H313" s="967"/>
      <c r="I313" s="508"/>
      <c r="J313" s="508"/>
      <c r="K313" s="508"/>
      <c r="L313" s="508"/>
      <c r="M313" s="508"/>
      <c r="N313" s="508"/>
      <c r="O313" s="508"/>
      <c r="P313" s="508"/>
      <c r="Q313" s="508"/>
      <c r="R313" s="508"/>
      <c r="S313" s="508"/>
      <c r="T313" s="508"/>
      <c r="U313" s="508"/>
      <c r="V313" s="508"/>
      <c r="W313" s="508"/>
      <c r="X313" s="508"/>
      <c r="Y313" s="508"/>
      <c r="Z313" s="508"/>
      <c r="AA313" s="508"/>
    </row>
    <row r="314">
      <c r="A314" s="508"/>
      <c r="B314" s="508"/>
      <c r="C314" s="508"/>
      <c r="D314" s="508"/>
      <c r="E314" s="967"/>
      <c r="F314" s="508"/>
      <c r="G314" s="508"/>
      <c r="H314" s="967"/>
      <c r="I314" s="508"/>
      <c r="J314" s="508"/>
      <c r="K314" s="508"/>
      <c r="L314" s="508"/>
      <c r="M314" s="508"/>
      <c r="N314" s="508"/>
      <c r="O314" s="508"/>
      <c r="P314" s="508"/>
      <c r="Q314" s="508"/>
      <c r="R314" s="508"/>
      <c r="S314" s="508"/>
      <c r="T314" s="508"/>
      <c r="U314" s="508"/>
      <c r="V314" s="508"/>
      <c r="W314" s="508"/>
      <c r="X314" s="508"/>
      <c r="Y314" s="508"/>
      <c r="Z314" s="508"/>
      <c r="AA314" s="508"/>
    </row>
    <row r="315">
      <c r="A315" s="508"/>
      <c r="B315" s="508"/>
      <c r="C315" s="508"/>
      <c r="D315" s="508"/>
      <c r="E315" s="967"/>
      <c r="F315" s="508"/>
      <c r="G315" s="508"/>
      <c r="H315" s="967"/>
      <c r="I315" s="508"/>
      <c r="J315" s="508"/>
      <c r="K315" s="508"/>
      <c r="L315" s="508"/>
      <c r="M315" s="508"/>
      <c r="N315" s="508"/>
      <c r="O315" s="508"/>
      <c r="P315" s="508"/>
      <c r="Q315" s="508"/>
      <c r="R315" s="508"/>
      <c r="S315" s="508"/>
      <c r="T315" s="508"/>
      <c r="U315" s="508"/>
      <c r="V315" s="508"/>
      <c r="W315" s="508"/>
      <c r="X315" s="508"/>
      <c r="Y315" s="508"/>
      <c r="Z315" s="508"/>
      <c r="AA315" s="508"/>
    </row>
    <row r="316">
      <c r="A316" s="508"/>
      <c r="B316" s="508"/>
      <c r="C316" s="508"/>
      <c r="D316" s="508"/>
      <c r="E316" s="967"/>
      <c r="F316" s="508"/>
      <c r="G316" s="508"/>
      <c r="H316" s="967"/>
      <c r="I316" s="508"/>
      <c r="J316" s="508"/>
      <c r="K316" s="508"/>
      <c r="L316" s="508"/>
      <c r="M316" s="508"/>
      <c r="N316" s="508"/>
      <c r="O316" s="508"/>
      <c r="P316" s="508"/>
      <c r="Q316" s="508"/>
      <c r="R316" s="508"/>
      <c r="S316" s="508"/>
      <c r="T316" s="508"/>
      <c r="U316" s="508"/>
      <c r="V316" s="508"/>
      <c r="W316" s="508"/>
      <c r="X316" s="508"/>
      <c r="Y316" s="508"/>
      <c r="Z316" s="508"/>
      <c r="AA316" s="508"/>
    </row>
    <row r="317">
      <c r="A317" s="508"/>
      <c r="B317" s="508"/>
      <c r="C317" s="508"/>
      <c r="D317" s="508"/>
      <c r="E317" s="967"/>
      <c r="F317" s="508"/>
      <c r="G317" s="508"/>
      <c r="H317" s="967"/>
      <c r="I317" s="508"/>
      <c r="J317" s="508"/>
      <c r="K317" s="508"/>
      <c r="L317" s="508"/>
      <c r="M317" s="508"/>
      <c r="N317" s="508"/>
      <c r="O317" s="508"/>
      <c r="P317" s="508"/>
      <c r="Q317" s="508"/>
      <c r="R317" s="508"/>
      <c r="S317" s="508"/>
      <c r="T317" s="508"/>
      <c r="U317" s="508"/>
      <c r="V317" s="508"/>
      <c r="W317" s="508"/>
      <c r="X317" s="508"/>
      <c r="Y317" s="508"/>
      <c r="Z317" s="508"/>
      <c r="AA317" s="508"/>
    </row>
    <row r="318">
      <c r="A318" s="508"/>
      <c r="B318" s="508"/>
      <c r="C318" s="508"/>
      <c r="D318" s="508"/>
      <c r="E318" s="967"/>
      <c r="F318" s="508"/>
      <c r="G318" s="508"/>
      <c r="H318" s="967"/>
      <c r="I318" s="508"/>
      <c r="J318" s="508"/>
      <c r="K318" s="508"/>
      <c r="L318" s="508"/>
      <c r="M318" s="508"/>
      <c r="N318" s="508"/>
      <c r="O318" s="508"/>
      <c r="P318" s="508"/>
      <c r="Q318" s="508"/>
      <c r="R318" s="508"/>
      <c r="S318" s="508"/>
      <c r="T318" s="508"/>
      <c r="U318" s="508"/>
      <c r="V318" s="508"/>
      <c r="W318" s="508"/>
      <c r="X318" s="508"/>
      <c r="Y318" s="508"/>
      <c r="Z318" s="508"/>
      <c r="AA318" s="508"/>
    </row>
    <row r="319">
      <c r="A319" s="508"/>
      <c r="B319" s="508"/>
      <c r="C319" s="508"/>
      <c r="D319" s="508"/>
      <c r="E319" s="967"/>
      <c r="F319" s="508"/>
      <c r="G319" s="508"/>
      <c r="H319" s="967"/>
      <c r="I319" s="508"/>
      <c r="J319" s="508"/>
      <c r="K319" s="508"/>
      <c r="L319" s="508"/>
      <c r="M319" s="508"/>
      <c r="N319" s="508"/>
      <c r="O319" s="508"/>
      <c r="P319" s="508"/>
      <c r="Q319" s="508"/>
      <c r="R319" s="508"/>
      <c r="S319" s="508"/>
      <c r="T319" s="508"/>
      <c r="U319" s="508"/>
      <c r="V319" s="508"/>
      <c r="W319" s="508"/>
      <c r="X319" s="508"/>
      <c r="Y319" s="508"/>
      <c r="Z319" s="508"/>
      <c r="AA319" s="508"/>
    </row>
    <row r="320">
      <c r="A320" s="508"/>
      <c r="B320" s="508"/>
      <c r="C320" s="508"/>
      <c r="D320" s="508"/>
      <c r="E320" s="967"/>
      <c r="F320" s="508"/>
      <c r="G320" s="508"/>
      <c r="H320" s="967"/>
      <c r="I320" s="508"/>
      <c r="J320" s="508"/>
      <c r="K320" s="508"/>
      <c r="L320" s="508"/>
      <c r="M320" s="508"/>
      <c r="N320" s="508"/>
      <c r="O320" s="508"/>
      <c r="P320" s="508"/>
      <c r="Q320" s="508"/>
      <c r="R320" s="508"/>
      <c r="S320" s="508"/>
      <c r="T320" s="508"/>
      <c r="U320" s="508"/>
      <c r="V320" s="508"/>
      <c r="W320" s="508"/>
      <c r="X320" s="508"/>
      <c r="Y320" s="508"/>
      <c r="Z320" s="508"/>
      <c r="AA320" s="508"/>
    </row>
    <row r="321">
      <c r="A321" s="508"/>
      <c r="B321" s="508"/>
      <c r="C321" s="508"/>
      <c r="D321" s="508"/>
      <c r="E321" s="967"/>
      <c r="F321" s="508"/>
      <c r="G321" s="508"/>
      <c r="H321" s="967"/>
      <c r="I321" s="508"/>
      <c r="J321" s="508"/>
      <c r="K321" s="508"/>
      <c r="L321" s="508"/>
      <c r="M321" s="508"/>
      <c r="N321" s="508"/>
      <c r="O321" s="508"/>
      <c r="P321" s="508"/>
      <c r="Q321" s="508"/>
      <c r="R321" s="508"/>
      <c r="S321" s="508"/>
      <c r="T321" s="508"/>
      <c r="U321" s="508"/>
      <c r="V321" s="508"/>
      <c r="W321" s="508"/>
      <c r="X321" s="508"/>
      <c r="Y321" s="508"/>
      <c r="Z321" s="508"/>
      <c r="AA321" s="508"/>
    </row>
    <row r="322">
      <c r="A322" s="508"/>
      <c r="B322" s="508"/>
      <c r="C322" s="508"/>
      <c r="D322" s="508"/>
      <c r="E322" s="967"/>
      <c r="F322" s="508"/>
      <c r="G322" s="508"/>
      <c r="H322" s="967"/>
      <c r="I322" s="508"/>
      <c r="J322" s="508"/>
      <c r="K322" s="508"/>
      <c r="L322" s="508"/>
      <c r="M322" s="508"/>
      <c r="N322" s="508"/>
      <c r="O322" s="508"/>
      <c r="P322" s="508"/>
      <c r="Q322" s="508"/>
      <c r="R322" s="508"/>
      <c r="S322" s="508"/>
      <c r="T322" s="508"/>
      <c r="U322" s="508"/>
      <c r="V322" s="508"/>
      <c r="W322" s="508"/>
      <c r="X322" s="508"/>
      <c r="Y322" s="508"/>
      <c r="Z322" s="508"/>
      <c r="AA322" s="508"/>
    </row>
    <row r="323">
      <c r="A323" s="508"/>
      <c r="B323" s="508"/>
      <c r="C323" s="508"/>
      <c r="D323" s="508"/>
      <c r="E323" s="967"/>
      <c r="F323" s="508"/>
      <c r="G323" s="508"/>
      <c r="H323" s="967"/>
      <c r="I323" s="508"/>
      <c r="J323" s="508"/>
      <c r="K323" s="508"/>
      <c r="L323" s="508"/>
      <c r="M323" s="508"/>
      <c r="N323" s="508"/>
      <c r="O323" s="508"/>
      <c r="P323" s="508"/>
      <c r="Q323" s="508"/>
      <c r="R323" s="508"/>
      <c r="S323" s="508"/>
      <c r="T323" s="508"/>
      <c r="U323" s="508"/>
      <c r="V323" s="508"/>
      <c r="W323" s="508"/>
      <c r="X323" s="508"/>
      <c r="Y323" s="508"/>
      <c r="Z323" s="508"/>
      <c r="AA323" s="508"/>
    </row>
    <row r="324">
      <c r="A324" s="508"/>
      <c r="B324" s="508"/>
      <c r="C324" s="508"/>
      <c r="D324" s="508"/>
      <c r="E324" s="967"/>
      <c r="F324" s="508"/>
      <c r="G324" s="508"/>
      <c r="H324" s="967"/>
      <c r="I324" s="508"/>
      <c r="J324" s="508"/>
      <c r="K324" s="508"/>
      <c r="L324" s="508"/>
      <c r="M324" s="508"/>
      <c r="N324" s="508"/>
      <c r="O324" s="508"/>
      <c r="P324" s="508"/>
      <c r="Q324" s="508"/>
      <c r="R324" s="508"/>
      <c r="S324" s="508"/>
      <c r="T324" s="508"/>
      <c r="U324" s="508"/>
      <c r="V324" s="508"/>
      <c r="W324" s="508"/>
      <c r="X324" s="508"/>
      <c r="Y324" s="508"/>
      <c r="Z324" s="508"/>
      <c r="AA324" s="508"/>
    </row>
    <row r="325">
      <c r="A325" s="508"/>
      <c r="B325" s="508"/>
      <c r="C325" s="508"/>
      <c r="D325" s="508"/>
      <c r="E325" s="967"/>
      <c r="F325" s="508"/>
      <c r="G325" s="508"/>
      <c r="H325" s="967"/>
      <c r="I325" s="508"/>
      <c r="J325" s="508"/>
      <c r="K325" s="508"/>
      <c r="L325" s="508"/>
      <c r="M325" s="508"/>
      <c r="N325" s="508"/>
      <c r="O325" s="508"/>
      <c r="P325" s="508"/>
      <c r="Q325" s="508"/>
      <c r="R325" s="508"/>
      <c r="S325" s="508"/>
      <c r="T325" s="508"/>
      <c r="U325" s="508"/>
      <c r="V325" s="508"/>
      <c r="W325" s="508"/>
      <c r="X325" s="508"/>
      <c r="Y325" s="508"/>
      <c r="Z325" s="508"/>
      <c r="AA325" s="508"/>
    </row>
    <row r="326">
      <c r="A326" s="508"/>
      <c r="B326" s="508"/>
      <c r="C326" s="508"/>
      <c r="D326" s="508"/>
      <c r="E326" s="967"/>
      <c r="F326" s="508"/>
      <c r="G326" s="508"/>
      <c r="H326" s="967"/>
      <c r="I326" s="508"/>
      <c r="J326" s="508"/>
      <c r="K326" s="508"/>
      <c r="L326" s="508"/>
      <c r="M326" s="508"/>
      <c r="N326" s="508"/>
      <c r="O326" s="508"/>
      <c r="P326" s="508"/>
      <c r="Q326" s="508"/>
      <c r="R326" s="508"/>
      <c r="S326" s="508"/>
      <c r="T326" s="508"/>
      <c r="U326" s="508"/>
      <c r="V326" s="508"/>
      <c r="W326" s="508"/>
      <c r="X326" s="508"/>
      <c r="Y326" s="508"/>
      <c r="Z326" s="508"/>
      <c r="AA326" s="508"/>
    </row>
    <row r="327">
      <c r="A327" s="508"/>
      <c r="B327" s="508"/>
      <c r="C327" s="508"/>
      <c r="D327" s="508"/>
      <c r="E327" s="967"/>
      <c r="F327" s="508"/>
      <c r="G327" s="508"/>
      <c r="H327" s="967"/>
      <c r="I327" s="508"/>
      <c r="J327" s="508"/>
      <c r="K327" s="508"/>
      <c r="L327" s="508"/>
      <c r="M327" s="508"/>
      <c r="N327" s="508"/>
      <c r="O327" s="508"/>
      <c r="P327" s="508"/>
      <c r="Q327" s="508"/>
      <c r="R327" s="508"/>
      <c r="S327" s="508"/>
      <c r="T327" s="508"/>
      <c r="U327" s="508"/>
      <c r="V327" s="508"/>
      <c r="W327" s="508"/>
      <c r="X327" s="508"/>
      <c r="Y327" s="508"/>
      <c r="Z327" s="508"/>
      <c r="AA327" s="508"/>
    </row>
    <row r="328">
      <c r="A328" s="508"/>
      <c r="B328" s="508"/>
      <c r="C328" s="508"/>
      <c r="D328" s="508"/>
      <c r="E328" s="967"/>
      <c r="F328" s="508"/>
      <c r="G328" s="508"/>
      <c r="H328" s="967"/>
      <c r="I328" s="508"/>
      <c r="J328" s="508"/>
      <c r="K328" s="508"/>
      <c r="L328" s="508"/>
      <c r="M328" s="508"/>
      <c r="N328" s="508"/>
      <c r="O328" s="508"/>
      <c r="P328" s="508"/>
      <c r="Q328" s="508"/>
      <c r="R328" s="508"/>
      <c r="S328" s="508"/>
      <c r="T328" s="508"/>
      <c r="U328" s="508"/>
      <c r="V328" s="508"/>
      <c r="W328" s="508"/>
      <c r="X328" s="508"/>
      <c r="Y328" s="508"/>
      <c r="Z328" s="508"/>
      <c r="AA328" s="508"/>
    </row>
    <row r="329">
      <c r="A329" s="508"/>
      <c r="B329" s="508"/>
      <c r="C329" s="508"/>
      <c r="D329" s="508"/>
      <c r="E329" s="967"/>
      <c r="F329" s="508"/>
      <c r="G329" s="508"/>
      <c r="H329" s="967"/>
      <c r="I329" s="508"/>
      <c r="J329" s="508"/>
      <c r="K329" s="508"/>
      <c r="L329" s="508"/>
      <c r="M329" s="508"/>
      <c r="N329" s="508"/>
      <c r="O329" s="508"/>
      <c r="P329" s="508"/>
      <c r="Q329" s="508"/>
      <c r="R329" s="508"/>
      <c r="S329" s="508"/>
      <c r="T329" s="508"/>
      <c r="U329" s="508"/>
      <c r="V329" s="508"/>
      <c r="W329" s="508"/>
      <c r="X329" s="508"/>
      <c r="Y329" s="508"/>
      <c r="Z329" s="508"/>
      <c r="AA329" s="508"/>
    </row>
    <row r="330">
      <c r="A330" s="508"/>
      <c r="B330" s="508"/>
      <c r="C330" s="508"/>
      <c r="D330" s="508"/>
      <c r="E330" s="967"/>
      <c r="F330" s="508"/>
      <c r="G330" s="508"/>
      <c r="H330" s="967"/>
      <c r="I330" s="508"/>
      <c r="J330" s="508"/>
      <c r="K330" s="508"/>
      <c r="L330" s="508"/>
      <c r="M330" s="508"/>
      <c r="N330" s="508"/>
      <c r="O330" s="508"/>
      <c r="P330" s="508"/>
      <c r="Q330" s="508"/>
      <c r="R330" s="508"/>
      <c r="S330" s="508"/>
      <c r="T330" s="508"/>
      <c r="U330" s="508"/>
      <c r="V330" s="508"/>
      <c r="W330" s="508"/>
      <c r="X330" s="508"/>
      <c r="Y330" s="508"/>
      <c r="Z330" s="508"/>
      <c r="AA330" s="508"/>
    </row>
    <row r="331">
      <c r="A331" s="508"/>
      <c r="B331" s="508"/>
      <c r="C331" s="508"/>
      <c r="D331" s="508"/>
      <c r="E331" s="967"/>
      <c r="F331" s="508"/>
      <c r="G331" s="508"/>
      <c r="H331" s="967"/>
      <c r="I331" s="508"/>
      <c r="J331" s="508"/>
      <c r="K331" s="508"/>
      <c r="L331" s="508"/>
      <c r="M331" s="508"/>
      <c r="N331" s="508"/>
      <c r="O331" s="508"/>
      <c r="P331" s="508"/>
      <c r="Q331" s="508"/>
      <c r="R331" s="508"/>
      <c r="S331" s="508"/>
      <c r="T331" s="508"/>
      <c r="U331" s="508"/>
      <c r="V331" s="508"/>
      <c r="W331" s="508"/>
      <c r="X331" s="508"/>
      <c r="Y331" s="508"/>
      <c r="Z331" s="508"/>
      <c r="AA331" s="508"/>
    </row>
    <row r="332">
      <c r="A332" s="508"/>
      <c r="B332" s="508"/>
      <c r="C332" s="508"/>
      <c r="D332" s="508"/>
      <c r="E332" s="967"/>
      <c r="F332" s="508"/>
      <c r="G332" s="508"/>
      <c r="H332" s="967"/>
      <c r="I332" s="508"/>
      <c r="J332" s="508"/>
      <c r="K332" s="508"/>
      <c r="L332" s="508"/>
      <c r="M332" s="508"/>
      <c r="N332" s="508"/>
      <c r="O332" s="508"/>
      <c r="P332" s="508"/>
      <c r="Q332" s="508"/>
      <c r="R332" s="508"/>
      <c r="S332" s="508"/>
      <c r="T332" s="508"/>
      <c r="U332" s="508"/>
      <c r="V332" s="508"/>
      <c r="W332" s="508"/>
      <c r="X332" s="508"/>
      <c r="Y332" s="508"/>
      <c r="Z332" s="508"/>
      <c r="AA332" s="508"/>
    </row>
    <row r="333">
      <c r="A333" s="508"/>
      <c r="B333" s="508"/>
      <c r="C333" s="508"/>
      <c r="D333" s="508"/>
      <c r="E333" s="967"/>
      <c r="F333" s="508"/>
      <c r="G333" s="508"/>
      <c r="H333" s="967"/>
      <c r="I333" s="508"/>
      <c r="J333" s="508"/>
      <c r="K333" s="508"/>
      <c r="L333" s="508"/>
      <c r="M333" s="508"/>
      <c r="N333" s="508"/>
      <c r="O333" s="508"/>
      <c r="P333" s="508"/>
      <c r="Q333" s="508"/>
      <c r="R333" s="508"/>
      <c r="S333" s="508"/>
      <c r="T333" s="508"/>
      <c r="U333" s="508"/>
      <c r="V333" s="508"/>
      <c r="W333" s="508"/>
      <c r="X333" s="508"/>
      <c r="Y333" s="508"/>
      <c r="Z333" s="508"/>
      <c r="AA333" s="508"/>
    </row>
    <row r="334">
      <c r="A334" s="508"/>
      <c r="B334" s="508"/>
      <c r="C334" s="508"/>
      <c r="D334" s="508"/>
      <c r="E334" s="967"/>
      <c r="F334" s="508"/>
      <c r="G334" s="508"/>
      <c r="H334" s="967"/>
      <c r="I334" s="508"/>
      <c r="J334" s="508"/>
      <c r="K334" s="508"/>
      <c r="L334" s="508"/>
      <c r="M334" s="508"/>
      <c r="N334" s="508"/>
      <c r="O334" s="508"/>
      <c r="P334" s="508"/>
      <c r="Q334" s="508"/>
      <c r="R334" s="508"/>
      <c r="S334" s="508"/>
      <c r="T334" s="508"/>
      <c r="U334" s="508"/>
      <c r="V334" s="508"/>
      <c r="W334" s="508"/>
      <c r="X334" s="508"/>
      <c r="Y334" s="508"/>
      <c r="Z334" s="508"/>
      <c r="AA334" s="508"/>
    </row>
    <row r="335">
      <c r="A335" s="508"/>
      <c r="B335" s="508"/>
      <c r="C335" s="508"/>
      <c r="D335" s="508"/>
      <c r="E335" s="967"/>
      <c r="F335" s="508"/>
      <c r="G335" s="508"/>
      <c r="H335" s="967"/>
      <c r="I335" s="508"/>
      <c r="J335" s="508"/>
      <c r="K335" s="508"/>
      <c r="L335" s="508"/>
      <c r="M335" s="508"/>
      <c r="N335" s="508"/>
      <c r="O335" s="508"/>
      <c r="P335" s="508"/>
      <c r="Q335" s="508"/>
      <c r="R335" s="508"/>
      <c r="S335" s="508"/>
      <c r="T335" s="508"/>
      <c r="U335" s="508"/>
      <c r="V335" s="508"/>
      <c r="W335" s="508"/>
      <c r="X335" s="508"/>
      <c r="Y335" s="508"/>
      <c r="Z335" s="508"/>
      <c r="AA335" s="508"/>
    </row>
    <row r="336">
      <c r="A336" s="508"/>
      <c r="B336" s="508"/>
      <c r="C336" s="508"/>
      <c r="D336" s="508"/>
      <c r="E336" s="967"/>
      <c r="F336" s="508"/>
      <c r="G336" s="508"/>
      <c r="H336" s="967"/>
      <c r="I336" s="508"/>
      <c r="J336" s="508"/>
      <c r="K336" s="508"/>
      <c r="L336" s="508"/>
      <c r="M336" s="508"/>
      <c r="N336" s="508"/>
      <c r="O336" s="508"/>
      <c r="P336" s="508"/>
      <c r="Q336" s="508"/>
      <c r="R336" s="508"/>
      <c r="S336" s="508"/>
      <c r="T336" s="508"/>
      <c r="U336" s="508"/>
      <c r="V336" s="508"/>
      <c r="W336" s="508"/>
      <c r="X336" s="508"/>
      <c r="Y336" s="508"/>
      <c r="Z336" s="508"/>
      <c r="AA336" s="508"/>
    </row>
    <row r="337">
      <c r="A337" s="508"/>
      <c r="B337" s="508"/>
      <c r="C337" s="508"/>
      <c r="D337" s="508"/>
      <c r="E337" s="967"/>
      <c r="F337" s="508"/>
      <c r="G337" s="508"/>
      <c r="H337" s="967"/>
      <c r="I337" s="508"/>
      <c r="J337" s="508"/>
      <c r="K337" s="508"/>
      <c r="L337" s="508"/>
      <c r="M337" s="508"/>
      <c r="N337" s="508"/>
      <c r="O337" s="508"/>
      <c r="P337" s="508"/>
      <c r="Q337" s="508"/>
      <c r="R337" s="508"/>
      <c r="S337" s="508"/>
      <c r="T337" s="508"/>
      <c r="U337" s="508"/>
      <c r="V337" s="508"/>
      <c r="W337" s="508"/>
      <c r="X337" s="508"/>
      <c r="Y337" s="508"/>
      <c r="Z337" s="508"/>
      <c r="AA337" s="508"/>
    </row>
    <row r="338">
      <c r="A338" s="508"/>
      <c r="B338" s="508"/>
      <c r="C338" s="508"/>
      <c r="D338" s="508"/>
      <c r="E338" s="967"/>
      <c r="F338" s="508"/>
      <c r="G338" s="508"/>
      <c r="H338" s="967"/>
      <c r="I338" s="508"/>
      <c r="J338" s="508"/>
      <c r="K338" s="508"/>
      <c r="L338" s="508"/>
      <c r="M338" s="508"/>
      <c r="N338" s="508"/>
      <c r="O338" s="508"/>
      <c r="P338" s="508"/>
      <c r="Q338" s="508"/>
      <c r="R338" s="508"/>
      <c r="S338" s="508"/>
      <c r="T338" s="508"/>
      <c r="U338" s="508"/>
      <c r="V338" s="508"/>
      <c r="W338" s="508"/>
      <c r="X338" s="508"/>
      <c r="Y338" s="508"/>
      <c r="Z338" s="508"/>
      <c r="AA338" s="508"/>
    </row>
    <row r="339">
      <c r="A339" s="508"/>
      <c r="B339" s="508"/>
      <c r="C339" s="508"/>
      <c r="D339" s="508"/>
      <c r="E339" s="967"/>
      <c r="F339" s="508"/>
      <c r="G339" s="508"/>
      <c r="H339" s="967"/>
      <c r="I339" s="508"/>
      <c r="J339" s="508"/>
      <c r="K339" s="508"/>
      <c r="L339" s="508"/>
      <c r="M339" s="508"/>
      <c r="N339" s="508"/>
      <c r="O339" s="508"/>
      <c r="P339" s="508"/>
      <c r="Q339" s="508"/>
      <c r="R339" s="508"/>
      <c r="S339" s="508"/>
      <c r="T339" s="508"/>
      <c r="U339" s="508"/>
      <c r="V339" s="508"/>
      <c r="W339" s="508"/>
      <c r="X339" s="508"/>
      <c r="Y339" s="508"/>
      <c r="Z339" s="508"/>
      <c r="AA339" s="508"/>
    </row>
    <row r="340">
      <c r="A340" s="508"/>
      <c r="B340" s="508"/>
      <c r="C340" s="508"/>
      <c r="D340" s="508"/>
      <c r="E340" s="967"/>
      <c r="F340" s="508"/>
      <c r="G340" s="508"/>
      <c r="H340" s="967"/>
      <c r="I340" s="508"/>
      <c r="J340" s="508"/>
      <c r="K340" s="508"/>
      <c r="L340" s="508"/>
      <c r="M340" s="508"/>
      <c r="N340" s="508"/>
      <c r="O340" s="508"/>
      <c r="P340" s="508"/>
      <c r="Q340" s="508"/>
      <c r="R340" s="508"/>
      <c r="S340" s="508"/>
      <c r="T340" s="508"/>
      <c r="U340" s="508"/>
      <c r="V340" s="508"/>
      <c r="W340" s="508"/>
      <c r="X340" s="508"/>
      <c r="Y340" s="508"/>
      <c r="Z340" s="508"/>
      <c r="AA340" s="508"/>
    </row>
    <row r="341">
      <c r="A341" s="508"/>
      <c r="B341" s="508"/>
      <c r="C341" s="508"/>
      <c r="D341" s="508"/>
      <c r="E341" s="967"/>
      <c r="F341" s="508"/>
      <c r="G341" s="508"/>
      <c r="H341" s="967"/>
      <c r="I341" s="508"/>
      <c r="J341" s="508"/>
      <c r="K341" s="508"/>
      <c r="L341" s="508"/>
      <c r="M341" s="508"/>
      <c r="N341" s="508"/>
      <c r="O341" s="508"/>
      <c r="P341" s="508"/>
      <c r="Q341" s="508"/>
      <c r="R341" s="508"/>
      <c r="S341" s="508"/>
      <c r="T341" s="508"/>
      <c r="U341" s="508"/>
      <c r="V341" s="508"/>
      <c r="W341" s="508"/>
      <c r="X341" s="508"/>
      <c r="Y341" s="508"/>
      <c r="Z341" s="508"/>
      <c r="AA341" s="508"/>
    </row>
    <row r="342">
      <c r="A342" s="508"/>
      <c r="B342" s="508"/>
      <c r="C342" s="508"/>
      <c r="D342" s="508"/>
      <c r="E342" s="967"/>
      <c r="F342" s="508"/>
      <c r="G342" s="508"/>
      <c r="H342" s="967"/>
      <c r="I342" s="508"/>
      <c r="J342" s="508"/>
      <c r="K342" s="508"/>
      <c r="L342" s="508"/>
      <c r="M342" s="508"/>
      <c r="N342" s="508"/>
      <c r="O342" s="508"/>
      <c r="P342" s="508"/>
      <c r="Q342" s="508"/>
      <c r="R342" s="508"/>
      <c r="S342" s="508"/>
      <c r="T342" s="508"/>
      <c r="U342" s="508"/>
      <c r="V342" s="508"/>
      <c r="W342" s="508"/>
      <c r="X342" s="508"/>
      <c r="Y342" s="508"/>
      <c r="Z342" s="508"/>
      <c r="AA342" s="508"/>
    </row>
    <row r="343">
      <c r="A343" s="508"/>
      <c r="B343" s="508"/>
      <c r="C343" s="508"/>
      <c r="D343" s="508"/>
      <c r="E343" s="967"/>
      <c r="F343" s="508"/>
      <c r="G343" s="508"/>
      <c r="H343" s="967"/>
      <c r="I343" s="508"/>
      <c r="J343" s="508"/>
      <c r="K343" s="508"/>
      <c r="L343" s="508"/>
      <c r="M343" s="508"/>
      <c r="N343" s="508"/>
      <c r="O343" s="508"/>
      <c r="P343" s="508"/>
      <c r="Q343" s="508"/>
      <c r="R343" s="508"/>
      <c r="S343" s="508"/>
      <c r="T343" s="508"/>
      <c r="U343" s="508"/>
      <c r="V343" s="508"/>
      <c r="W343" s="508"/>
      <c r="X343" s="508"/>
      <c r="Y343" s="508"/>
      <c r="Z343" s="508"/>
      <c r="AA343" s="508"/>
    </row>
    <row r="344">
      <c r="A344" s="508"/>
      <c r="B344" s="508"/>
      <c r="C344" s="508"/>
      <c r="D344" s="508"/>
      <c r="E344" s="967"/>
      <c r="F344" s="508"/>
      <c r="G344" s="508"/>
      <c r="H344" s="967"/>
      <c r="I344" s="508"/>
      <c r="J344" s="508"/>
      <c r="K344" s="508"/>
      <c r="L344" s="508"/>
      <c r="M344" s="508"/>
      <c r="N344" s="508"/>
      <c r="O344" s="508"/>
      <c r="P344" s="508"/>
      <c r="Q344" s="508"/>
      <c r="R344" s="508"/>
      <c r="S344" s="508"/>
      <c r="T344" s="508"/>
      <c r="U344" s="508"/>
      <c r="V344" s="508"/>
      <c r="W344" s="508"/>
      <c r="X344" s="508"/>
      <c r="Y344" s="508"/>
      <c r="Z344" s="508"/>
      <c r="AA344" s="508"/>
    </row>
    <row r="345">
      <c r="A345" s="508"/>
      <c r="B345" s="508"/>
      <c r="C345" s="508"/>
      <c r="D345" s="508"/>
      <c r="E345" s="967"/>
      <c r="F345" s="508"/>
      <c r="G345" s="508"/>
      <c r="H345" s="967"/>
      <c r="I345" s="508"/>
      <c r="J345" s="508"/>
      <c r="K345" s="508"/>
      <c r="L345" s="508"/>
      <c r="M345" s="508"/>
      <c r="N345" s="508"/>
      <c r="O345" s="508"/>
      <c r="P345" s="508"/>
      <c r="Q345" s="508"/>
      <c r="R345" s="508"/>
      <c r="S345" s="508"/>
      <c r="T345" s="508"/>
      <c r="U345" s="508"/>
      <c r="V345" s="508"/>
      <c r="W345" s="508"/>
      <c r="X345" s="508"/>
      <c r="Y345" s="508"/>
      <c r="Z345" s="508"/>
      <c r="AA345" s="508"/>
    </row>
    <row r="346">
      <c r="A346" s="508"/>
      <c r="B346" s="508"/>
      <c r="C346" s="508"/>
      <c r="D346" s="508"/>
      <c r="E346" s="967"/>
      <c r="F346" s="508"/>
      <c r="G346" s="508"/>
      <c r="H346" s="967"/>
      <c r="I346" s="508"/>
      <c r="J346" s="508"/>
      <c r="K346" s="508"/>
      <c r="L346" s="508"/>
      <c r="M346" s="508"/>
      <c r="N346" s="508"/>
      <c r="O346" s="508"/>
      <c r="P346" s="508"/>
      <c r="Q346" s="508"/>
      <c r="R346" s="508"/>
      <c r="S346" s="508"/>
      <c r="T346" s="508"/>
      <c r="U346" s="508"/>
      <c r="V346" s="508"/>
      <c r="W346" s="508"/>
      <c r="X346" s="508"/>
      <c r="Y346" s="508"/>
      <c r="Z346" s="508"/>
      <c r="AA346" s="508"/>
    </row>
    <row r="347">
      <c r="A347" s="508"/>
      <c r="B347" s="508"/>
      <c r="C347" s="508"/>
      <c r="D347" s="508"/>
      <c r="E347" s="967"/>
      <c r="F347" s="508"/>
      <c r="G347" s="508"/>
      <c r="H347" s="967"/>
      <c r="I347" s="508"/>
      <c r="J347" s="508"/>
      <c r="K347" s="508"/>
      <c r="L347" s="508"/>
      <c r="M347" s="508"/>
      <c r="N347" s="508"/>
      <c r="O347" s="508"/>
      <c r="P347" s="508"/>
      <c r="Q347" s="508"/>
      <c r="R347" s="508"/>
      <c r="S347" s="508"/>
      <c r="T347" s="508"/>
      <c r="U347" s="508"/>
      <c r="V347" s="508"/>
      <c r="W347" s="508"/>
      <c r="X347" s="508"/>
      <c r="Y347" s="508"/>
      <c r="Z347" s="508"/>
      <c r="AA347" s="508"/>
    </row>
    <row r="348">
      <c r="A348" s="508"/>
      <c r="B348" s="508"/>
      <c r="C348" s="508"/>
      <c r="D348" s="508"/>
      <c r="E348" s="967"/>
      <c r="F348" s="508"/>
      <c r="G348" s="508"/>
      <c r="H348" s="967"/>
      <c r="I348" s="508"/>
      <c r="J348" s="508"/>
      <c r="K348" s="508"/>
      <c r="L348" s="508"/>
      <c r="M348" s="508"/>
      <c r="N348" s="508"/>
      <c r="O348" s="508"/>
      <c r="P348" s="508"/>
      <c r="Q348" s="508"/>
      <c r="R348" s="508"/>
      <c r="S348" s="508"/>
      <c r="T348" s="508"/>
      <c r="U348" s="508"/>
      <c r="V348" s="508"/>
      <c r="W348" s="508"/>
      <c r="X348" s="508"/>
      <c r="Y348" s="508"/>
      <c r="Z348" s="508"/>
      <c r="AA348" s="508"/>
    </row>
    <row r="349">
      <c r="A349" s="508"/>
      <c r="B349" s="508"/>
      <c r="C349" s="508"/>
      <c r="D349" s="508"/>
      <c r="E349" s="967"/>
      <c r="F349" s="508"/>
      <c r="G349" s="508"/>
      <c r="H349" s="967"/>
      <c r="I349" s="508"/>
      <c r="J349" s="508"/>
      <c r="K349" s="508"/>
      <c r="L349" s="508"/>
      <c r="M349" s="508"/>
      <c r="N349" s="508"/>
      <c r="O349" s="508"/>
      <c r="P349" s="508"/>
      <c r="Q349" s="508"/>
      <c r="R349" s="508"/>
      <c r="S349" s="508"/>
      <c r="T349" s="508"/>
      <c r="U349" s="508"/>
      <c r="V349" s="508"/>
      <c r="W349" s="508"/>
      <c r="X349" s="508"/>
      <c r="Y349" s="508"/>
      <c r="Z349" s="508"/>
      <c r="AA349" s="508"/>
    </row>
    <row r="350">
      <c r="A350" s="508"/>
      <c r="B350" s="508"/>
      <c r="C350" s="508"/>
      <c r="D350" s="508"/>
      <c r="E350" s="967"/>
      <c r="F350" s="508"/>
      <c r="G350" s="508"/>
      <c r="H350" s="967"/>
      <c r="I350" s="508"/>
      <c r="J350" s="508"/>
      <c r="K350" s="508"/>
      <c r="L350" s="508"/>
      <c r="M350" s="508"/>
      <c r="N350" s="508"/>
      <c r="O350" s="508"/>
      <c r="P350" s="508"/>
      <c r="Q350" s="508"/>
      <c r="R350" s="508"/>
      <c r="S350" s="508"/>
      <c r="T350" s="508"/>
      <c r="U350" s="508"/>
      <c r="V350" s="508"/>
      <c r="W350" s="508"/>
      <c r="X350" s="508"/>
      <c r="Y350" s="508"/>
      <c r="Z350" s="508"/>
      <c r="AA350" s="508"/>
    </row>
    <row r="351">
      <c r="A351" s="508"/>
      <c r="B351" s="508"/>
      <c r="C351" s="508"/>
      <c r="D351" s="508"/>
      <c r="E351" s="967"/>
      <c r="F351" s="508"/>
      <c r="G351" s="508"/>
      <c r="H351" s="967"/>
      <c r="I351" s="508"/>
      <c r="J351" s="508"/>
      <c r="K351" s="508"/>
      <c r="L351" s="508"/>
      <c r="M351" s="508"/>
      <c r="N351" s="508"/>
      <c r="O351" s="508"/>
      <c r="P351" s="508"/>
      <c r="Q351" s="508"/>
      <c r="R351" s="508"/>
      <c r="S351" s="508"/>
      <c r="T351" s="508"/>
      <c r="U351" s="508"/>
      <c r="V351" s="508"/>
      <c r="W351" s="508"/>
      <c r="X351" s="508"/>
      <c r="Y351" s="508"/>
      <c r="Z351" s="508"/>
      <c r="AA351" s="508"/>
    </row>
    <row r="352">
      <c r="A352" s="508"/>
      <c r="B352" s="508"/>
      <c r="C352" s="508"/>
      <c r="D352" s="508"/>
      <c r="E352" s="967"/>
      <c r="F352" s="508"/>
      <c r="G352" s="508"/>
      <c r="H352" s="967"/>
      <c r="I352" s="508"/>
      <c r="J352" s="508"/>
      <c r="K352" s="508"/>
      <c r="L352" s="508"/>
      <c r="M352" s="508"/>
      <c r="N352" s="508"/>
      <c r="O352" s="508"/>
      <c r="P352" s="508"/>
      <c r="Q352" s="508"/>
      <c r="R352" s="508"/>
      <c r="S352" s="508"/>
      <c r="T352" s="508"/>
      <c r="U352" s="508"/>
      <c r="V352" s="508"/>
      <c r="W352" s="508"/>
      <c r="X352" s="508"/>
      <c r="Y352" s="508"/>
      <c r="Z352" s="508"/>
      <c r="AA352" s="508"/>
    </row>
    <row r="353">
      <c r="A353" s="508"/>
      <c r="B353" s="508"/>
      <c r="C353" s="508"/>
      <c r="D353" s="508"/>
      <c r="E353" s="967"/>
      <c r="F353" s="508"/>
      <c r="G353" s="508"/>
      <c r="H353" s="967"/>
      <c r="I353" s="508"/>
      <c r="J353" s="508"/>
      <c r="K353" s="508"/>
      <c r="L353" s="508"/>
      <c r="M353" s="508"/>
      <c r="N353" s="508"/>
      <c r="O353" s="508"/>
      <c r="P353" s="508"/>
      <c r="Q353" s="508"/>
      <c r="R353" s="508"/>
      <c r="S353" s="508"/>
      <c r="T353" s="508"/>
      <c r="U353" s="508"/>
      <c r="V353" s="508"/>
      <c r="W353" s="508"/>
      <c r="X353" s="508"/>
      <c r="Y353" s="508"/>
      <c r="Z353" s="508"/>
      <c r="AA353" s="508"/>
    </row>
    <row r="354">
      <c r="A354" s="508"/>
      <c r="B354" s="508"/>
      <c r="C354" s="508"/>
      <c r="D354" s="508"/>
      <c r="E354" s="967"/>
      <c r="F354" s="508"/>
      <c r="G354" s="508"/>
      <c r="H354" s="967"/>
      <c r="I354" s="508"/>
      <c r="J354" s="508"/>
      <c r="K354" s="508"/>
      <c r="L354" s="508"/>
      <c r="M354" s="508"/>
      <c r="N354" s="508"/>
      <c r="O354" s="508"/>
      <c r="P354" s="508"/>
      <c r="Q354" s="508"/>
      <c r="R354" s="508"/>
      <c r="S354" s="508"/>
      <c r="T354" s="508"/>
      <c r="U354" s="508"/>
      <c r="V354" s="508"/>
      <c r="W354" s="508"/>
      <c r="X354" s="508"/>
      <c r="Y354" s="508"/>
      <c r="Z354" s="508"/>
      <c r="AA354" s="508"/>
    </row>
    <row r="355">
      <c r="A355" s="508"/>
      <c r="B355" s="508"/>
      <c r="C355" s="508"/>
      <c r="D355" s="508"/>
      <c r="E355" s="967"/>
      <c r="F355" s="508"/>
      <c r="G355" s="508"/>
      <c r="H355" s="967"/>
      <c r="I355" s="508"/>
      <c r="J355" s="508"/>
      <c r="K355" s="508"/>
      <c r="L355" s="508"/>
      <c r="M355" s="508"/>
      <c r="N355" s="508"/>
      <c r="O355" s="508"/>
      <c r="P355" s="508"/>
      <c r="Q355" s="508"/>
      <c r="R355" s="508"/>
      <c r="S355" s="508"/>
      <c r="T355" s="508"/>
      <c r="U355" s="508"/>
      <c r="V355" s="508"/>
      <c r="W355" s="508"/>
      <c r="X355" s="508"/>
      <c r="Y355" s="508"/>
      <c r="Z355" s="508"/>
      <c r="AA355" s="508"/>
    </row>
    <row r="356">
      <c r="A356" s="508"/>
      <c r="B356" s="508"/>
      <c r="C356" s="508"/>
      <c r="D356" s="508"/>
      <c r="E356" s="967"/>
      <c r="F356" s="508"/>
      <c r="G356" s="508"/>
      <c r="H356" s="967"/>
      <c r="I356" s="508"/>
      <c r="J356" s="508"/>
      <c r="K356" s="508"/>
      <c r="L356" s="508"/>
      <c r="M356" s="508"/>
      <c r="N356" s="508"/>
      <c r="O356" s="508"/>
      <c r="P356" s="508"/>
      <c r="Q356" s="508"/>
      <c r="R356" s="508"/>
      <c r="S356" s="508"/>
      <c r="T356" s="508"/>
      <c r="U356" s="508"/>
      <c r="V356" s="508"/>
      <c r="W356" s="508"/>
      <c r="X356" s="508"/>
      <c r="Y356" s="508"/>
      <c r="Z356" s="508"/>
      <c r="AA356" s="508"/>
    </row>
    <row r="357">
      <c r="A357" s="508"/>
      <c r="B357" s="508"/>
      <c r="C357" s="508"/>
      <c r="D357" s="508"/>
      <c r="E357" s="967"/>
      <c r="F357" s="508"/>
      <c r="G357" s="508"/>
      <c r="H357" s="967"/>
      <c r="I357" s="508"/>
      <c r="J357" s="508"/>
      <c r="K357" s="508"/>
      <c r="L357" s="508"/>
      <c r="M357" s="508"/>
      <c r="N357" s="508"/>
      <c r="O357" s="508"/>
      <c r="P357" s="508"/>
      <c r="Q357" s="508"/>
      <c r="R357" s="508"/>
      <c r="S357" s="508"/>
      <c r="T357" s="508"/>
      <c r="U357" s="508"/>
      <c r="V357" s="508"/>
      <c r="W357" s="508"/>
      <c r="X357" s="508"/>
      <c r="Y357" s="508"/>
      <c r="Z357" s="508"/>
      <c r="AA357" s="508"/>
    </row>
    <row r="358">
      <c r="A358" s="508"/>
      <c r="B358" s="508"/>
      <c r="C358" s="508"/>
      <c r="D358" s="508"/>
      <c r="E358" s="967"/>
      <c r="F358" s="508"/>
      <c r="G358" s="508"/>
      <c r="H358" s="967"/>
      <c r="I358" s="508"/>
      <c r="J358" s="508"/>
      <c r="K358" s="508"/>
      <c r="L358" s="508"/>
      <c r="M358" s="508"/>
      <c r="N358" s="508"/>
      <c r="O358" s="508"/>
      <c r="P358" s="508"/>
      <c r="Q358" s="508"/>
      <c r="R358" s="508"/>
      <c r="S358" s="508"/>
      <c r="T358" s="508"/>
      <c r="U358" s="508"/>
      <c r="V358" s="508"/>
      <c r="W358" s="508"/>
      <c r="X358" s="508"/>
      <c r="Y358" s="508"/>
      <c r="Z358" s="508"/>
      <c r="AA358" s="508"/>
    </row>
    <row r="359">
      <c r="A359" s="508"/>
      <c r="B359" s="508"/>
      <c r="C359" s="508"/>
      <c r="D359" s="508"/>
      <c r="E359" s="967"/>
      <c r="F359" s="508"/>
      <c r="G359" s="508"/>
      <c r="H359" s="967"/>
      <c r="I359" s="508"/>
      <c r="J359" s="508"/>
      <c r="K359" s="508"/>
      <c r="L359" s="508"/>
      <c r="M359" s="508"/>
      <c r="N359" s="508"/>
      <c r="O359" s="508"/>
      <c r="P359" s="508"/>
      <c r="Q359" s="508"/>
      <c r="R359" s="508"/>
      <c r="S359" s="508"/>
      <c r="T359" s="508"/>
      <c r="U359" s="508"/>
      <c r="V359" s="508"/>
      <c r="W359" s="508"/>
      <c r="X359" s="508"/>
      <c r="Y359" s="508"/>
      <c r="Z359" s="508"/>
      <c r="AA359" s="508"/>
    </row>
    <row r="360">
      <c r="A360" s="508"/>
      <c r="B360" s="508"/>
      <c r="C360" s="508"/>
      <c r="D360" s="508"/>
      <c r="E360" s="967"/>
      <c r="F360" s="508"/>
      <c r="G360" s="508"/>
      <c r="H360" s="967"/>
      <c r="I360" s="508"/>
      <c r="J360" s="508"/>
      <c r="K360" s="508"/>
      <c r="L360" s="508"/>
      <c r="M360" s="508"/>
      <c r="N360" s="508"/>
      <c r="O360" s="508"/>
      <c r="P360" s="508"/>
      <c r="Q360" s="508"/>
      <c r="R360" s="508"/>
      <c r="S360" s="508"/>
      <c r="T360" s="508"/>
      <c r="U360" s="508"/>
      <c r="V360" s="508"/>
      <c r="W360" s="508"/>
      <c r="X360" s="508"/>
      <c r="Y360" s="508"/>
      <c r="Z360" s="508"/>
      <c r="AA360" s="508"/>
    </row>
    <row r="361">
      <c r="A361" s="508"/>
      <c r="B361" s="508"/>
      <c r="C361" s="508"/>
      <c r="D361" s="508"/>
      <c r="E361" s="967"/>
      <c r="F361" s="508"/>
      <c r="G361" s="508"/>
      <c r="H361" s="967"/>
      <c r="I361" s="508"/>
      <c r="J361" s="508"/>
      <c r="K361" s="508"/>
      <c r="L361" s="508"/>
      <c r="M361" s="508"/>
      <c r="N361" s="508"/>
      <c r="O361" s="508"/>
      <c r="P361" s="508"/>
      <c r="Q361" s="508"/>
      <c r="R361" s="508"/>
      <c r="S361" s="508"/>
      <c r="T361" s="508"/>
      <c r="U361" s="508"/>
      <c r="V361" s="508"/>
      <c r="W361" s="508"/>
      <c r="X361" s="508"/>
      <c r="Y361" s="508"/>
      <c r="Z361" s="508"/>
      <c r="AA361" s="508"/>
    </row>
    <row r="362">
      <c r="A362" s="508"/>
      <c r="B362" s="508"/>
      <c r="C362" s="508"/>
      <c r="D362" s="508"/>
      <c r="E362" s="967"/>
      <c r="F362" s="508"/>
      <c r="G362" s="508"/>
      <c r="H362" s="967"/>
      <c r="I362" s="508"/>
      <c r="J362" s="508"/>
      <c r="K362" s="508"/>
      <c r="L362" s="508"/>
      <c r="M362" s="508"/>
      <c r="N362" s="508"/>
      <c r="O362" s="508"/>
      <c r="P362" s="508"/>
      <c r="Q362" s="508"/>
      <c r="R362" s="508"/>
      <c r="S362" s="508"/>
      <c r="T362" s="508"/>
      <c r="U362" s="508"/>
      <c r="V362" s="508"/>
      <c r="W362" s="508"/>
      <c r="X362" s="508"/>
      <c r="Y362" s="508"/>
      <c r="Z362" s="508"/>
      <c r="AA362" s="508"/>
    </row>
    <row r="363">
      <c r="A363" s="508"/>
      <c r="B363" s="508"/>
      <c r="C363" s="508"/>
      <c r="D363" s="508"/>
      <c r="E363" s="967"/>
      <c r="F363" s="508"/>
      <c r="G363" s="508"/>
      <c r="H363" s="967"/>
      <c r="I363" s="508"/>
      <c r="J363" s="508"/>
      <c r="K363" s="508"/>
      <c r="L363" s="508"/>
      <c r="M363" s="508"/>
      <c r="N363" s="508"/>
      <c r="O363" s="508"/>
      <c r="P363" s="508"/>
      <c r="Q363" s="508"/>
      <c r="R363" s="508"/>
      <c r="S363" s="508"/>
      <c r="T363" s="508"/>
      <c r="U363" s="508"/>
      <c r="V363" s="508"/>
      <c r="W363" s="508"/>
      <c r="X363" s="508"/>
      <c r="Y363" s="508"/>
      <c r="Z363" s="508"/>
      <c r="AA363" s="508"/>
    </row>
    <row r="364">
      <c r="A364" s="508"/>
      <c r="B364" s="508"/>
      <c r="C364" s="508"/>
      <c r="D364" s="508"/>
      <c r="E364" s="967"/>
      <c r="F364" s="508"/>
      <c r="G364" s="508"/>
      <c r="H364" s="967"/>
      <c r="I364" s="508"/>
      <c r="J364" s="508"/>
      <c r="K364" s="508"/>
      <c r="L364" s="508"/>
      <c r="M364" s="508"/>
      <c r="N364" s="508"/>
      <c r="O364" s="508"/>
      <c r="P364" s="508"/>
      <c r="Q364" s="508"/>
      <c r="R364" s="508"/>
      <c r="S364" s="508"/>
      <c r="T364" s="508"/>
      <c r="U364" s="508"/>
      <c r="V364" s="508"/>
      <c r="W364" s="508"/>
      <c r="X364" s="508"/>
      <c r="Y364" s="508"/>
      <c r="Z364" s="508"/>
      <c r="AA364" s="508"/>
    </row>
    <row r="365">
      <c r="A365" s="508"/>
      <c r="B365" s="508"/>
      <c r="C365" s="508"/>
      <c r="D365" s="508"/>
      <c r="E365" s="967"/>
      <c r="F365" s="508"/>
      <c r="G365" s="508"/>
      <c r="H365" s="967"/>
      <c r="I365" s="508"/>
      <c r="J365" s="508"/>
      <c r="K365" s="508"/>
      <c r="L365" s="508"/>
      <c r="M365" s="508"/>
      <c r="N365" s="508"/>
      <c r="O365" s="508"/>
      <c r="P365" s="508"/>
      <c r="Q365" s="508"/>
      <c r="R365" s="508"/>
      <c r="S365" s="508"/>
      <c r="T365" s="508"/>
      <c r="U365" s="508"/>
      <c r="V365" s="508"/>
      <c r="W365" s="508"/>
      <c r="X365" s="508"/>
      <c r="Y365" s="508"/>
      <c r="Z365" s="508"/>
      <c r="AA365" s="508"/>
    </row>
    <row r="366">
      <c r="A366" s="508"/>
      <c r="B366" s="508"/>
      <c r="C366" s="508"/>
      <c r="D366" s="508"/>
      <c r="E366" s="967"/>
      <c r="F366" s="508"/>
      <c r="G366" s="508"/>
      <c r="H366" s="967"/>
      <c r="I366" s="508"/>
      <c r="J366" s="508"/>
      <c r="K366" s="508"/>
      <c r="L366" s="508"/>
      <c r="M366" s="508"/>
      <c r="N366" s="508"/>
      <c r="O366" s="508"/>
      <c r="P366" s="508"/>
      <c r="Q366" s="508"/>
      <c r="R366" s="508"/>
      <c r="S366" s="508"/>
      <c r="T366" s="508"/>
      <c r="U366" s="508"/>
      <c r="V366" s="508"/>
      <c r="W366" s="508"/>
      <c r="X366" s="508"/>
      <c r="Y366" s="508"/>
      <c r="Z366" s="508"/>
      <c r="AA366" s="508"/>
    </row>
    <row r="367">
      <c r="A367" s="508"/>
      <c r="B367" s="508"/>
      <c r="C367" s="508"/>
      <c r="D367" s="508"/>
      <c r="E367" s="967"/>
      <c r="F367" s="508"/>
      <c r="G367" s="508"/>
      <c r="H367" s="967"/>
      <c r="I367" s="508"/>
      <c r="J367" s="508"/>
      <c r="K367" s="508"/>
      <c r="L367" s="508"/>
      <c r="M367" s="508"/>
      <c r="N367" s="508"/>
      <c r="O367" s="508"/>
      <c r="P367" s="508"/>
      <c r="Q367" s="508"/>
      <c r="R367" s="508"/>
      <c r="S367" s="508"/>
      <c r="T367" s="508"/>
      <c r="U367" s="508"/>
      <c r="V367" s="508"/>
      <c r="W367" s="508"/>
      <c r="X367" s="508"/>
      <c r="Y367" s="508"/>
      <c r="Z367" s="508"/>
      <c r="AA367" s="508"/>
    </row>
    <row r="368">
      <c r="A368" s="508"/>
      <c r="B368" s="508"/>
      <c r="C368" s="508"/>
      <c r="D368" s="508"/>
      <c r="E368" s="967"/>
      <c r="F368" s="508"/>
      <c r="G368" s="508"/>
      <c r="H368" s="967"/>
      <c r="I368" s="508"/>
      <c r="J368" s="508"/>
      <c r="K368" s="508"/>
      <c r="L368" s="508"/>
      <c r="M368" s="508"/>
      <c r="N368" s="508"/>
      <c r="O368" s="508"/>
      <c r="P368" s="508"/>
      <c r="Q368" s="508"/>
      <c r="R368" s="508"/>
      <c r="S368" s="508"/>
      <c r="T368" s="508"/>
      <c r="U368" s="508"/>
      <c r="V368" s="508"/>
      <c r="W368" s="508"/>
      <c r="X368" s="508"/>
      <c r="Y368" s="508"/>
      <c r="Z368" s="508"/>
      <c r="AA368" s="508"/>
    </row>
    <row r="369">
      <c r="A369" s="508"/>
      <c r="B369" s="508"/>
      <c r="C369" s="508"/>
      <c r="D369" s="508"/>
      <c r="E369" s="967"/>
      <c r="F369" s="508"/>
      <c r="G369" s="508"/>
      <c r="H369" s="967"/>
      <c r="I369" s="508"/>
      <c r="J369" s="508"/>
      <c r="K369" s="508"/>
      <c r="L369" s="508"/>
      <c r="M369" s="508"/>
      <c r="N369" s="508"/>
      <c r="O369" s="508"/>
      <c r="P369" s="508"/>
      <c r="Q369" s="508"/>
      <c r="R369" s="508"/>
      <c r="S369" s="508"/>
      <c r="T369" s="508"/>
      <c r="U369" s="508"/>
      <c r="V369" s="508"/>
      <c r="W369" s="508"/>
      <c r="X369" s="508"/>
      <c r="Y369" s="508"/>
      <c r="Z369" s="508"/>
      <c r="AA369" s="508"/>
    </row>
    <row r="370">
      <c r="A370" s="508"/>
      <c r="B370" s="508"/>
      <c r="C370" s="508"/>
      <c r="D370" s="508"/>
      <c r="E370" s="967"/>
      <c r="F370" s="508"/>
      <c r="G370" s="508"/>
      <c r="H370" s="967"/>
      <c r="I370" s="508"/>
      <c r="J370" s="508"/>
      <c r="K370" s="508"/>
      <c r="L370" s="508"/>
      <c r="M370" s="508"/>
      <c r="N370" s="508"/>
      <c r="O370" s="508"/>
      <c r="P370" s="508"/>
      <c r="Q370" s="508"/>
      <c r="R370" s="508"/>
      <c r="S370" s="508"/>
      <c r="T370" s="508"/>
      <c r="U370" s="508"/>
      <c r="V370" s="508"/>
      <c r="W370" s="508"/>
      <c r="X370" s="508"/>
      <c r="Y370" s="508"/>
      <c r="Z370" s="508"/>
      <c r="AA370" s="508"/>
    </row>
    <row r="371">
      <c r="A371" s="508"/>
      <c r="B371" s="508"/>
      <c r="C371" s="508"/>
      <c r="D371" s="508"/>
      <c r="E371" s="967"/>
      <c r="F371" s="508"/>
      <c r="G371" s="508"/>
      <c r="H371" s="967"/>
      <c r="I371" s="508"/>
      <c r="J371" s="508"/>
      <c r="K371" s="508"/>
      <c r="L371" s="508"/>
      <c r="M371" s="508"/>
      <c r="N371" s="508"/>
      <c r="O371" s="508"/>
      <c r="P371" s="508"/>
      <c r="Q371" s="508"/>
      <c r="R371" s="508"/>
      <c r="S371" s="508"/>
      <c r="T371" s="508"/>
      <c r="U371" s="508"/>
      <c r="V371" s="508"/>
      <c r="W371" s="508"/>
      <c r="X371" s="508"/>
      <c r="Y371" s="508"/>
      <c r="Z371" s="508"/>
      <c r="AA371" s="508"/>
    </row>
    <row r="372">
      <c r="A372" s="508"/>
      <c r="B372" s="508"/>
      <c r="C372" s="508"/>
      <c r="D372" s="508"/>
      <c r="E372" s="967"/>
      <c r="F372" s="508"/>
      <c r="G372" s="508"/>
      <c r="H372" s="967"/>
      <c r="I372" s="508"/>
      <c r="J372" s="508"/>
      <c r="K372" s="508"/>
      <c r="L372" s="508"/>
      <c r="M372" s="508"/>
      <c r="N372" s="508"/>
      <c r="O372" s="508"/>
      <c r="P372" s="508"/>
      <c r="Q372" s="508"/>
      <c r="R372" s="508"/>
      <c r="S372" s="508"/>
      <c r="T372" s="508"/>
      <c r="U372" s="508"/>
      <c r="V372" s="508"/>
      <c r="W372" s="508"/>
      <c r="X372" s="508"/>
      <c r="Y372" s="508"/>
      <c r="Z372" s="508"/>
      <c r="AA372" s="508"/>
    </row>
    <row r="373">
      <c r="A373" s="508"/>
      <c r="B373" s="508"/>
      <c r="C373" s="508"/>
      <c r="D373" s="508"/>
      <c r="E373" s="967"/>
      <c r="F373" s="508"/>
      <c r="G373" s="508"/>
      <c r="H373" s="967"/>
      <c r="I373" s="508"/>
      <c r="J373" s="508"/>
      <c r="K373" s="508"/>
      <c r="L373" s="508"/>
      <c r="M373" s="508"/>
      <c r="N373" s="508"/>
      <c r="O373" s="508"/>
      <c r="P373" s="508"/>
      <c r="Q373" s="508"/>
      <c r="R373" s="508"/>
      <c r="S373" s="508"/>
      <c r="T373" s="508"/>
      <c r="U373" s="508"/>
      <c r="V373" s="508"/>
      <c r="W373" s="508"/>
      <c r="X373" s="508"/>
      <c r="Y373" s="508"/>
      <c r="Z373" s="508"/>
      <c r="AA373" s="508"/>
    </row>
    <row r="374">
      <c r="A374" s="508"/>
      <c r="B374" s="508"/>
      <c r="C374" s="508"/>
      <c r="D374" s="508"/>
      <c r="E374" s="967"/>
      <c r="F374" s="508"/>
      <c r="G374" s="508"/>
      <c r="H374" s="967"/>
      <c r="I374" s="508"/>
      <c r="J374" s="508"/>
      <c r="K374" s="508"/>
      <c r="L374" s="508"/>
      <c r="M374" s="508"/>
      <c r="N374" s="508"/>
      <c r="O374" s="508"/>
      <c r="P374" s="508"/>
      <c r="Q374" s="508"/>
      <c r="R374" s="508"/>
      <c r="S374" s="508"/>
      <c r="T374" s="508"/>
      <c r="U374" s="508"/>
      <c r="V374" s="508"/>
      <c r="W374" s="508"/>
      <c r="X374" s="508"/>
      <c r="Y374" s="508"/>
      <c r="Z374" s="508"/>
      <c r="AA374" s="508"/>
    </row>
    <row r="375">
      <c r="A375" s="508"/>
      <c r="B375" s="508"/>
      <c r="C375" s="508"/>
      <c r="D375" s="508"/>
      <c r="E375" s="967"/>
      <c r="F375" s="508"/>
      <c r="G375" s="508"/>
      <c r="H375" s="967"/>
      <c r="I375" s="508"/>
      <c r="J375" s="508"/>
      <c r="K375" s="508"/>
      <c r="L375" s="508"/>
      <c r="M375" s="508"/>
      <c r="N375" s="508"/>
      <c r="O375" s="508"/>
      <c r="P375" s="508"/>
      <c r="Q375" s="508"/>
      <c r="R375" s="508"/>
      <c r="S375" s="508"/>
      <c r="T375" s="508"/>
      <c r="U375" s="508"/>
      <c r="V375" s="508"/>
      <c r="W375" s="508"/>
      <c r="X375" s="508"/>
      <c r="Y375" s="508"/>
      <c r="Z375" s="508"/>
      <c r="AA375" s="508"/>
    </row>
    <row r="376">
      <c r="A376" s="508"/>
      <c r="B376" s="508"/>
      <c r="C376" s="508"/>
      <c r="D376" s="508"/>
      <c r="E376" s="967"/>
      <c r="F376" s="508"/>
      <c r="G376" s="508"/>
      <c r="H376" s="967"/>
      <c r="I376" s="508"/>
      <c r="J376" s="508"/>
      <c r="K376" s="508"/>
      <c r="L376" s="508"/>
      <c r="M376" s="508"/>
      <c r="N376" s="508"/>
      <c r="O376" s="508"/>
      <c r="P376" s="508"/>
      <c r="Q376" s="508"/>
      <c r="R376" s="508"/>
      <c r="S376" s="508"/>
      <c r="T376" s="508"/>
      <c r="U376" s="508"/>
      <c r="V376" s="508"/>
      <c r="W376" s="508"/>
      <c r="X376" s="508"/>
      <c r="Y376" s="508"/>
      <c r="Z376" s="508"/>
      <c r="AA376" s="508"/>
    </row>
    <row r="377">
      <c r="A377" s="508"/>
      <c r="B377" s="508"/>
      <c r="C377" s="508"/>
      <c r="D377" s="508"/>
      <c r="E377" s="967"/>
      <c r="F377" s="508"/>
      <c r="G377" s="508"/>
      <c r="H377" s="967"/>
      <c r="I377" s="508"/>
      <c r="J377" s="508"/>
      <c r="K377" s="508"/>
      <c r="L377" s="508"/>
      <c r="M377" s="508"/>
      <c r="N377" s="508"/>
      <c r="O377" s="508"/>
      <c r="P377" s="508"/>
      <c r="Q377" s="508"/>
      <c r="R377" s="508"/>
      <c r="S377" s="508"/>
      <c r="T377" s="508"/>
      <c r="U377" s="508"/>
      <c r="V377" s="508"/>
      <c r="W377" s="508"/>
      <c r="X377" s="508"/>
      <c r="Y377" s="508"/>
      <c r="Z377" s="508"/>
      <c r="AA377" s="508"/>
    </row>
    <row r="378">
      <c r="A378" s="508"/>
      <c r="B378" s="508"/>
      <c r="C378" s="508"/>
      <c r="D378" s="508"/>
      <c r="E378" s="967"/>
      <c r="F378" s="508"/>
      <c r="G378" s="508"/>
      <c r="H378" s="967"/>
      <c r="I378" s="508"/>
      <c r="J378" s="508"/>
      <c r="K378" s="508"/>
      <c r="L378" s="508"/>
      <c r="M378" s="508"/>
      <c r="N378" s="508"/>
      <c r="O378" s="508"/>
      <c r="P378" s="508"/>
      <c r="Q378" s="508"/>
      <c r="R378" s="508"/>
      <c r="S378" s="508"/>
      <c r="T378" s="508"/>
      <c r="U378" s="508"/>
      <c r="V378" s="508"/>
      <c r="W378" s="508"/>
      <c r="X378" s="508"/>
      <c r="Y378" s="508"/>
      <c r="Z378" s="508"/>
      <c r="AA378" s="508"/>
    </row>
    <row r="379">
      <c r="A379" s="508"/>
      <c r="B379" s="508"/>
      <c r="C379" s="508"/>
      <c r="D379" s="508"/>
      <c r="E379" s="967"/>
      <c r="F379" s="508"/>
      <c r="G379" s="508"/>
      <c r="H379" s="967"/>
      <c r="I379" s="508"/>
      <c r="J379" s="508"/>
      <c r="K379" s="508"/>
      <c r="L379" s="508"/>
      <c r="M379" s="508"/>
      <c r="N379" s="508"/>
      <c r="O379" s="508"/>
      <c r="P379" s="508"/>
      <c r="Q379" s="508"/>
      <c r="R379" s="508"/>
      <c r="S379" s="508"/>
      <c r="T379" s="508"/>
      <c r="U379" s="508"/>
      <c r="V379" s="508"/>
      <c r="W379" s="508"/>
      <c r="X379" s="508"/>
      <c r="Y379" s="508"/>
      <c r="Z379" s="508"/>
      <c r="AA379" s="508"/>
    </row>
    <row r="380">
      <c r="A380" s="508"/>
      <c r="B380" s="508"/>
      <c r="C380" s="508"/>
      <c r="D380" s="508"/>
      <c r="E380" s="967"/>
      <c r="F380" s="508"/>
      <c r="G380" s="508"/>
      <c r="H380" s="967"/>
      <c r="I380" s="508"/>
      <c r="J380" s="508"/>
      <c r="K380" s="508"/>
      <c r="L380" s="508"/>
      <c r="M380" s="508"/>
      <c r="N380" s="508"/>
      <c r="O380" s="508"/>
      <c r="P380" s="508"/>
      <c r="Q380" s="508"/>
      <c r="R380" s="508"/>
      <c r="S380" s="508"/>
      <c r="T380" s="508"/>
      <c r="U380" s="508"/>
      <c r="V380" s="508"/>
      <c r="W380" s="508"/>
      <c r="X380" s="508"/>
      <c r="Y380" s="508"/>
      <c r="Z380" s="508"/>
      <c r="AA380" s="508"/>
    </row>
    <row r="381">
      <c r="A381" s="508"/>
      <c r="B381" s="508"/>
      <c r="C381" s="508"/>
      <c r="D381" s="508"/>
      <c r="E381" s="967"/>
      <c r="F381" s="508"/>
      <c r="G381" s="508"/>
      <c r="H381" s="967"/>
      <c r="I381" s="508"/>
      <c r="J381" s="508"/>
      <c r="K381" s="508"/>
      <c r="L381" s="508"/>
      <c r="M381" s="508"/>
      <c r="N381" s="508"/>
      <c r="O381" s="508"/>
      <c r="P381" s="508"/>
      <c r="Q381" s="508"/>
      <c r="R381" s="508"/>
      <c r="S381" s="508"/>
      <c r="T381" s="508"/>
      <c r="U381" s="508"/>
      <c r="V381" s="508"/>
      <c r="W381" s="508"/>
      <c r="X381" s="508"/>
      <c r="Y381" s="508"/>
      <c r="Z381" s="508"/>
      <c r="AA381" s="508"/>
    </row>
    <row r="382">
      <c r="A382" s="508"/>
      <c r="B382" s="508"/>
      <c r="C382" s="508"/>
      <c r="D382" s="508"/>
      <c r="E382" s="967"/>
      <c r="F382" s="508"/>
      <c r="G382" s="508"/>
      <c r="H382" s="967"/>
      <c r="I382" s="508"/>
      <c r="J382" s="508"/>
      <c r="K382" s="508"/>
      <c r="L382" s="508"/>
      <c r="M382" s="508"/>
      <c r="N382" s="508"/>
      <c r="O382" s="508"/>
      <c r="P382" s="508"/>
      <c r="Q382" s="508"/>
      <c r="R382" s="508"/>
      <c r="S382" s="508"/>
      <c r="T382" s="508"/>
      <c r="U382" s="508"/>
      <c r="V382" s="508"/>
      <c r="W382" s="508"/>
      <c r="X382" s="508"/>
      <c r="Y382" s="508"/>
      <c r="Z382" s="508"/>
      <c r="AA382" s="508"/>
    </row>
    <row r="383">
      <c r="A383" s="508"/>
      <c r="B383" s="508"/>
      <c r="C383" s="508"/>
      <c r="D383" s="508"/>
      <c r="E383" s="967"/>
      <c r="F383" s="508"/>
      <c r="G383" s="508"/>
      <c r="H383" s="967"/>
      <c r="I383" s="508"/>
      <c r="J383" s="508"/>
      <c r="K383" s="508"/>
      <c r="L383" s="508"/>
      <c r="M383" s="508"/>
      <c r="N383" s="508"/>
      <c r="O383" s="508"/>
      <c r="P383" s="508"/>
      <c r="Q383" s="508"/>
      <c r="R383" s="508"/>
      <c r="S383" s="508"/>
      <c r="T383" s="508"/>
      <c r="U383" s="508"/>
      <c r="V383" s="508"/>
      <c r="W383" s="508"/>
      <c r="X383" s="508"/>
      <c r="Y383" s="508"/>
      <c r="Z383" s="508"/>
      <c r="AA383" s="508"/>
    </row>
    <row r="384">
      <c r="A384" s="508"/>
      <c r="B384" s="508"/>
      <c r="C384" s="508"/>
      <c r="D384" s="508"/>
      <c r="E384" s="967"/>
      <c r="F384" s="508"/>
      <c r="G384" s="508"/>
      <c r="H384" s="967"/>
      <c r="I384" s="508"/>
      <c r="J384" s="508"/>
      <c r="K384" s="508"/>
      <c r="L384" s="508"/>
      <c r="M384" s="508"/>
      <c r="N384" s="508"/>
      <c r="O384" s="508"/>
      <c r="P384" s="508"/>
      <c r="Q384" s="508"/>
      <c r="R384" s="508"/>
      <c r="S384" s="508"/>
      <c r="T384" s="508"/>
      <c r="U384" s="508"/>
      <c r="V384" s="508"/>
      <c r="W384" s="508"/>
      <c r="X384" s="508"/>
      <c r="Y384" s="508"/>
      <c r="Z384" s="508"/>
      <c r="AA384" s="508"/>
    </row>
    <row r="385">
      <c r="A385" s="508"/>
      <c r="B385" s="508"/>
      <c r="C385" s="508"/>
      <c r="D385" s="508"/>
      <c r="E385" s="967"/>
      <c r="F385" s="508"/>
      <c r="G385" s="508"/>
      <c r="H385" s="967"/>
      <c r="I385" s="508"/>
      <c r="J385" s="508"/>
      <c r="K385" s="508"/>
      <c r="L385" s="508"/>
      <c r="M385" s="508"/>
      <c r="N385" s="508"/>
      <c r="O385" s="508"/>
      <c r="P385" s="508"/>
      <c r="Q385" s="508"/>
      <c r="R385" s="508"/>
      <c r="S385" s="508"/>
      <c r="T385" s="508"/>
      <c r="U385" s="508"/>
      <c r="V385" s="508"/>
      <c r="W385" s="508"/>
      <c r="X385" s="508"/>
      <c r="Y385" s="508"/>
      <c r="Z385" s="508"/>
      <c r="AA385" s="508"/>
    </row>
    <row r="386">
      <c r="A386" s="508"/>
      <c r="B386" s="508"/>
      <c r="C386" s="508"/>
      <c r="D386" s="508"/>
      <c r="E386" s="967"/>
      <c r="F386" s="508"/>
      <c r="G386" s="508"/>
      <c r="H386" s="967"/>
      <c r="I386" s="508"/>
      <c r="J386" s="508"/>
      <c r="K386" s="508"/>
      <c r="L386" s="508"/>
      <c r="M386" s="508"/>
      <c r="N386" s="508"/>
      <c r="O386" s="508"/>
      <c r="P386" s="508"/>
      <c r="Q386" s="508"/>
      <c r="R386" s="508"/>
      <c r="S386" s="508"/>
      <c r="T386" s="508"/>
      <c r="U386" s="508"/>
      <c r="V386" s="508"/>
      <c r="W386" s="508"/>
      <c r="X386" s="508"/>
      <c r="Y386" s="508"/>
      <c r="Z386" s="508"/>
      <c r="AA386" s="508"/>
    </row>
    <row r="387">
      <c r="A387" s="508"/>
      <c r="B387" s="508"/>
      <c r="C387" s="508"/>
      <c r="D387" s="508"/>
      <c r="E387" s="967"/>
      <c r="F387" s="508"/>
      <c r="G387" s="508"/>
      <c r="H387" s="967"/>
      <c r="I387" s="508"/>
      <c r="J387" s="508"/>
      <c r="K387" s="508"/>
      <c r="L387" s="508"/>
      <c r="M387" s="508"/>
      <c r="N387" s="508"/>
      <c r="O387" s="508"/>
      <c r="P387" s="508"/>
      <c r="Q387" s="508"/>
      <c r="R387" s="508"/>
      <c r="S387" s="508"/>
      <c r="T387" s="508"/>
      <c r="U387" s="508"/>
      <c r="V387" s="508"/>
      <c r="W387" s="508"/>
      <c r="X387" s="508"/>
      <c r="Y387" s="508"/>
      <c r="Z387" s="508"/>
      <c r="AA387" s="508"/>
    </row>
    <row r="388">
      <c r="A388" s="508"/>
      <c r="B388" s="508"/>
      <c r="C388" s="508"/>
      <c r="D388" s="508"/>
      <c r="E388" s="967"/>
      <c r="F388" s="508"/>
      <c r="G388" s="508"/>
      <c r="H388" s="967"/>
      <c r="I388" s="508"/>
      <c r="J388" s="508"/>
      <c r="K388" s="508"/>
      <c r="L388" s="508"/>
      <c r="M388" s="508"/>
      <c r="N388" s="508"/>
      <c r="O388" s="508"/>
      <c r="P388" s="508"/>
      <c r="Q388" s="508"/>
      <c r="R388" s="508"/>
      <c r="S388" s="508"/>
      <c r="T388" s="508"/>
      <c r="U388" s="508"/>
      <c r="V388" s="508"/>
      <c r="W388" s="508"/>
      <c r="X388" s="508"/>
      <c r="Y388" s="508"/>
      <c r="Z388" s="508"/>
      <c r="AA388" s="508"/>
    </row>
    <row r="389">
      <c r="A389" s="508"/>
      <c r="B389" s="508"/>
      <c r="C389" s="508"/>
      <c r="D389" s="508"/>
      <c r="E389" s="967"/>
      <c r="F389" s="508"/>
      <c r="G389" s="508"/>
      <c r="H389" s="967"/>
      <c r="I389" s="508"/>
      <c r="J389" s="508"/>
      <c r="K389" s="508"/>
      <c r="L389" s="508"/>
      <c r="M389" s="508"/>
      <c r="N389" s="508"/>
      <c r="O389" s="508"/>
      <c r="P389" s="508"/>
      <c r="Q389" s="508"/>
      <c r="R389" s="508"/>
      <c r="S389" s="508"/>
      <c r="T389" s="508"/>
      <c r="U389" s="508"/>
      <c r="V389" s="508"/>
      <c r="W389" s="508"/>
      <c r="X389" s="508"/>
      <c r="Y389" s="508"/>
      <c r="Z389" s="508"/>
      <c r="AA389" s="508"/>
    </row>
    <row r="390">
      <c r="A390" s="508"/>
      <c r="B390" s="508"/>
      <c r="C390" s="508"/>
      <c r="D390" s="508"/>
      <c r="E390" s="967"/>
      <c r="F390" s="508"/>
      <c r="G390" s="508"/>
      <c r="H390" s="967"/>
      <c r="I390" s="508"/>
      <c r="J390" s="508"/>
      <c r="K390" s="508"/>
      <c r="L390" s="508"/>
      <c r="M390" s="508"/>
      <c r="N390" s="508"/>
      <c r="O390" s="508"/>
      <c r="P390" s="508"/>
      <c r="Q390" s="508"/>
      <c r="R390" s="508"/>
      <c r="S390" s="508"/>
      <c r="T390" s="508"/>
      <c r="U390" s="508"/>
      <c r="V390" s="508"/>
      <c r="W390" s="508"/>
      <c r="X390" s="508"/>
      <c r="Y390" s="508"/>
      <c r="Z390" s="508"/>
      <c r="AA390" s="508"/>
    </row>
    <row r="391">
      <c r="A391" s="508"/>
      <c r="B391" s="508"/>
      <c r="C391" s="508"/>
      <c r="D391" s="508"/>
      <c r="E391" s="967"/>
      <c r="F391" s="508"/>
      <c r="G391" s="508"/>
      <c r="H391" s="967"/>
      <c r="I391" s="508"/>
      <c r="J391" s="508"/>
      <c r="K391" s="508"/>
      <c r="L391" s="508"/>
      <c r="M391" s="508"/>
      <c r="N391" s="508"/>
      <c r="O391" s="508"/>
      <c r="P391" s="508"/>
      <c r="Q391" s="508"/>
      <c r="R391" s="508"/>
      <c r="S391" s="508"/>
      <c r="T391" s="508"/>
      <c r="U391" s="508"/>
      <c r="V391" s="508"/>
      <c r="W391" s="508"/>
      <c r="X391" s="508"/>
      <c r="Y391" s="508"/>
      <c r="Z391" s="508"/>
      <c r="AA391" s="508"/>
    </row>
    <row r="392">
      <c r="A392" s="508"/>
      <c r="B392" s="508"/>
      <c r="C392" s="508"/>
      <c r="D392" s="508"/>
      <c r="E392" s="967"/>
      <c r="F392" s="508"/>
      <c r="G392" s="508"/>
      <c r="H392" s="967"/>
      <c r="I392" s="508"/>
      <c r="J392" s="508"/>
      <c r="K392" s="508"/>
      <c r="L392" s="508"/>
      <c r="M392" s="508"/>
      <c r="N392" s="508"/>
      <c r="O392" s="508"/>
      <c r="P392" s="508"/>
      <c r="Q392" s="508"/>
      <c r="R392" s="508"/>
      <c r="S392" s="508"/>
      <c r="T392" s="508"/>
      <c r="U392" s="508"/>
      <c r="V392" s="508"/>
      <c r="W392" s="508"/>
      <c r="X392" s="508"/>
      <c r="Y392" s="508"/>
      <c r="Z392" s="508"/>
      <c r="AA392" s="508"/>
    </row>
    <row r="393">
      <c r="A393" s="508"/>
      <c r="B393" s="508"/>
      <c r="C393" s="508"/>
      <c r="D393" s="508"/>
      <c r="E393" s="967"/>
      <c r="F393" s="508"/>
      <c r="G393" s="508"/>
      <c r="H393" s="967"/>
      <c r="I393" s="508"/>
      <c r="J393" s="508"/>
      <c r="K393" s="508"/>
      <c r="L393" s="508"/>
      <c r="M393" s="508"/>
      <c r="N393" s="508"/>
      <c r="O393" s="508"/>
      <c r="P393" s="508"/>
      <c r="Q393" s="508"/>
      <c r="R393" s="508"/>
      <c r="S393" s="508"/>
      <c r="T393" s="508"/>
      <c r="U393" s="508"/>
      <c r="V393" s="508"/>
      <c r="W393" s="508"/>
      <c r="X393" s="508"/>
      <c r="Y393" s="508"/>
      <c r="Z393" s="508"/>
      <c r="AA393" s="508"/>
    </row>
    <row r="394">
      <c r="A394" s="508"/>
      <c r="B394" s="508"/>
      <c r="C394" s="508"/>
      <c r="D394" s="508"/>
      <c r="E394" s="967"/>
      <c r="F394" s="508"/>
      <c r="G394" s="508"/>
      <c r="H394" s="967"/>
      <c r="I394" s="508"/>
      <c r="J394" s="508"/>
      <c r="K394" s="508"/>
      <c r="L394" s="508"/>
      <c r="M394" s="508"/>
      <c r="N394" s="508"/>
      <c r="O394" s="508"/>
      <c r="P394" s="508"/>
      <c r="Q394" s="508"/>
      <c r="R394" s="508"/>
      <c r="S394" s="508"/>
      <c r="T394" s="508"/>
      <c r="U394" s="508"/>
      <c r="V394" s="508"/>
      <c r="W394" s="508"/>
      <c r="X394" s="508"/>
      <c r="Y394" s="508"/>
      <c r="Z394" s="508"/>
      <c r="AA394" s="508"/>
    </row>
    <row r="395">
      <c r="A395" s="508"/>
      <c r="B395" s="508"/>
      <c r="C395" s="508"/>
      <c r="D395" s="508"/>
      <c r="E395" s="967"/>
      <c r="F395" s="508"/>
      <c r="G395" s="508"/>
      <c r="H395" s="967"/>
      <c r="I395" s="508"/>
      <c r="J395" s="508"/>
      <c r="K395" s="508"/>
      <c r="L395" s="508"/>
      <c r="M395" s="508"/>
      <c r="N395" s="508"/>
      <c r="O395" s="508"/>
      <c r="P395" s="508"/>
      <c r="Q395" s="508"/>
      <c r="R395" s="508"/>
      <c r="S395" s="508"/>
      <c r="T395" s="508"/>
      <c r="U395" s="508"/>
      <c r="V395" s="508"/>
      <c r="W395" s="508"/>
      <c r="X395" s="508"/>
      <c r="Y395" s="508"/>
      <c r="Z395" s="508"/>
      <c r="AA395" s="508"/>
    </row>
    <row r="396">
      <c r="A396" s="508"/>
      <c r="B396" s="508"/>
      <c r="C396" s="508"/>
      <c r="D396" s="508"/>
      <c r="E396" s="967"/>
      <c r="F396" s="508"/>
      <c r="G396" s="508"/>
      <c r="H396" s="967"/>
      <c r="I396" s="508"/>
      <c r="J396" s="508"/>
      <c r="K396" s="508"/>
      <c r="L396" s="508"/>
      <c r="M396" s="508"/>
      <c r="N396" s="508"/>
      <c r="O396" s="508"/>
      <c r="P396" s="508"/>
      <c r="Q396" s="508"/>
      <c r="R396" s="508"/>
      <c r="S396" s="508"/>
      <c r="T396" s="508"/>
      <c r="U396" s="508"/>
      <c r="V396" s="508"/>
      <c r="W396" s="508"/>
      <c r="X396" s="508"/>
      <c r="Y396" s="508"/>
      <c r="Z396" s="508"/>
      <c r="AA396" s="508"/>
    </row>
    <row r="397">
      <c r="A397" s="508"/>
      <c r="B397" s="508"/>
      <c r="C397" s="508"/>
      <c r="D397" s="508"/>
      <c r="E397" s="967"/>
      <c r="F397" s="508"/>
      <c r="G397" s="508"/>
      <c r="H397" s="967"/>
      <c r="I397" s="508"/>
      <c r="J397" s="508"/>
      <c r="K397" s="508"/>
      <c r="L397" s="508"/>
      <c r="M397" s="508"/>
      <c r="N397" s="508"/>
      <c r="O397" s="508"/>
      <c r="P397" s="508"/>
      <c r="Q397" s="508"/>
      <c r="R397" s="508"/>
      <c r="S397" s="508"/>
      <c r="T397" s="508"/>
      <c r="U397" s="508"/>
      <c r="V397" s="508"/>
      <c r="W397" s="508"/>
      <c r="X397" s="508"/>
      <c r="Y397" s="508"/>
      <c r="Z397" s="508"/>
      <c r="AA397" s="508"/>
    </row>
    <row r="398">
      <c r="A398" s="508"/>
      <c r="B398" s="508"/>
      <c r="C398" s="508"/>
      <c r="D398" s="508"/>
      <c r="E398" s="967"/>
      <c r="F398" s="508"/>
      <c r="G398" s="508"/>
      <c r="H398" s="967"/>
      <c r="I398" s="508"/>
      <c r="J398" s="508"/>
      <c r="K398" s="508"/>
      <c r="L398" s="508"/>
      <c r="M398" s="508"/>
      <c r="N398" s="508"/>
      <c r="O398" s="508"/>
      <c r="P398" s="508"/>
      <c r="Q398" s="508"/>
      <c r="R398" s="508"/>
      <c r="S398" s="508"/>
      <c r="T398" s="508"/>
      <c r="U398" s="508"/>
      <c r="V398" s="508"/>
      <c r="W398" s="508"/>
      <c r="X398" s="508"/>
      <c r="Y398" s="508"/>
      <c r="Z398" s="508"/>
      <c r="AA398" s="508"/>
    </row>
    <row r="399">
      <c r="A399" s="508"/>
      <c r="B399" s="508"/>
      <c r="C399" s="508"/>
      <c r="D399" s="508"/>
      <c r="E399" s="967"/>
      <c r="F399" s="508"/>
      <c r="G399" s="508"/>
      <c r="H399" s="967"/>
      <c r="I399" s="508"/>
      <c r="J399" s="508"/>
      <c r="K399" s="508"/>
      <c r="L399" s="508"/>
      <c r="M399" s="508"/>
      <c r="N399" s="508"/>
      <c r="O399" s="508"/>
      <c r="P399" s="508"/>
      <c r="Q399" s="508"/>
      <c r="R399" s="508"/>
      <c r="S399" s="508"/>
      <c r="T399" s="508"/>
      <c r="U399" s="508"/>
      <c r="V399" s="508"/>
      <c r="W399" s="508"/>
      <c r="X399" s="508"/>
      <c r="Y399" s="508"/>
      <c r="Z399" s="508"/>
      <c r="AA399" s="508"/>
    </row>
    <row r="400">
      <c r="A400" s="508"/>
      <c r="B400" s="508"/>
      <c r="C400" s="508"/>
      <c r="D400" s="508"/>
      <c r="E400" s="967"/>
      <c r="F400" s="508"/>
      <c r="G400" s="508"/>
      <c r="H400" s="967"/>
      <c r="I400" s="508"/>
      <c r="J400" s="508"/>
      <c r="K400" s="508"/>
      <c r="L400" s="508"/>
      <c r="M400" s="508"/>
      <c r="N400" s="508"/>
      <c r="O400" s="508"/>
      <c r="P400" s="508"/>
      <c r="Q400" s="508"/>
      <c r="R400" s="508"/>
      <c r="S400" s="508"/>
      <c r="T400" s="508"/>
      <c r="U400" s="508"/>
      <c r="V400" s="508"/>
      <c r="W400" s="508"/>
      <c r="X400" s="508"/>
      <c r="Y400" s="508"/>
      <c r="Z400" s="508"/>
      <c r="AA400" s="508"/>
    </row>
    <row r="401">
      <c r="A401" s="508"/>
      <c r="B401" s="508"/>
      <c r="C401" s="508"/>
      <c r="D401" s="508"/>
      <c r="E401" s="967"/>
      <c r="F401" s="508"/>
      <c r="G401" s="508"/>
      <c r="H401" s="967"/>
      <c r="I401" s="508"/>
      <c r="J401" s="508"/>
      <c r="K401" s="508"/>
      <c r="L401" s="508"/>
      <c r="M401" s="508"/>
      <c r="N401" s="508"/>
      <c r="O401" s="508"/>
      <c r="P401" s="508"/>
      <c r="Q401" s="508"/>
      <c r="R401" s="508"/>
      <c r="S401" s="508"/>
      <c r="T401" s="508"/>
      <c r="U401" s="508"/>
      <c r="V401" s="508"/>
      <c r="W401" s="508"/>
      <c r="X401" s="508"/>
      <c r="Y401" s="508"/>
      <c r="Z401" s="508"/>
      <c r="AA401" s="508"/>
    </row>
    <row r="402">
      <c r="A402" s="508"/>
      <c r="B402" s="508"/>
      <c r="C402" s="508"/>
      <c r="D402" s="508"/>
      <c r="E402" s="967"/>
      <c r="F402" s="508"/>
      <c r="G402" s="508"/>
      <c r="H402" s="967"/>
      <c r="I402" s="508"/>
      <c r="J402" s="508"/>
      <c r="K402" s="508"/>
      <c r="L402" s="508"/>
      <c r="M402" s="508"/>
      <c r="N402" s="508"/>
      <c r="O402" s="508"/>
      <c r="P402" s="508"/>
      <c r="Q402" s="508"/>
      <c r="R402" s="508"/>
      <c r="S402" s="508"/>
      <c r="T402" s="508"/>
      <c r="U402" s="508"/>
      <c r="V402" s="508"/>
      <c r="W402" s="508"/>
      <c r="X402" s="508"/>
      <c r="Y402" s="508"/>
      <c r="Z402" s="508"/>
      <c r="AA402" s="508"/>
    </row>
    <row r="403">
      <c r="A403" s="508"/>
      <c r="B403" s="508"/>
      <c r="C403" s="508"/>
      <c r="D403" s="508"/>
      <c r="E403" s="967"/>
      <c r="F403" s="508"/>
      <c r="G403" s="508"/>
      <c r="H403" s="967"/>
      <c r="I403" s="508"/>
      <c r="J403" s="508"/>
      <c r="K403" s="508"/>
      <c r="L403" s="508"/>
      <c r="M403" s="508"/>
      <c r="N403" s="508"/>
      <c r="O403" s="508"/>
      <c r="P403" s="508"/>
      <c r="Q403" s="508"/>
      <c r="R403" s="508"/>
      <c r="S403" s="508"/>
      <c r="T403" s="508"/>
      <c r="U403" s="508"/>
      <c r="V403" s="508"/>
      <c r="W403" s="508"/>
      <c r="X403" s="508"/>
      <c r="Y403" s="508"/>
      <c r="Z403" s="508"/>
      <c r="AA403" s="508"/>
    </row>
    <row r="404">
      <c r="A404" s="508"/>
      <c r="B404" s="508"/>
      <c r="C404" s="508"/>
      <c r="D404" s="508"/>
      <c r="E404" s="967"/>
      <c r="F404" s="508"/>
      <c r="G404" s="508"/>
      <c r="H404" s="967"/>
      <c r="I404" s="508"/>
      <c r="J404" s="508"/>
      <c r="K404" s="508"/>
      <c r="L404" s="508"/>
      <c r="M404" s="508"/>
      <c r="N404" s="508"/>
      <c r="O404" s="508"/>
      <c r="P404" s="508"/>
      <c r="Q404" s="508"/>
      <c r="R404" s="508"/>
      <c r="S404" s="508"/>
      <c r="T404" s="508"/>
      <c r="U404" s="508"/>
      <c r="V404" s="508"/>
      <c r="W404" s="508"/>
      <c r="X404" s="508"/>
      <c r="Y404" s="508"/>
      <c r="Z404" s="508"/>
      <c r="AA404" s="508"/>
    </row>
    <row r="405">
      <c r="A405" s="508"/>
      <c r="B405" s="508"/>
      <c r="C405" s="508"/>
      <c r="D405" s="508"/>
      <c r="E405" s="967"/>
      <c r="F405" s="508"/>
      <c r="G405" s="508"/>
      <c r="H405" s="967"/>
      <c r="I405" s="508"/>
      <c r="J405" s="508"/>
      <c r="K405" s="508"/>
      <c r="L405" s="508"/>
      <c r="M405" s="508"/>
      <c r="N405" s="508"/>
      <c r="O405" s="508"/>
      <c r="P405" s="508"/>
      <c r="Q405" s="508"/>
      <c r="R405" s="508"/>
      <c r="S405" s="508"/>
      <c r="T405" s="508"/>
      <c r="U405" s="508"/>
      <c r="V405" s="508"/>
      <c r="W405" s="508"/>
      <c r="X405" s="508"/>
      <c r="Y405" s="508"/>
      <c r="Z405" s="508"/>
      <c r="AA405" s="508"/>
    </row>
    <row r="406">
      <c r="A406" s="508"/>
      <c r="B406" s="508"/>
      <c r="C406" s="508"/>
      <c r="D406" s="508"/>
      <c r="E406" s="967"/>
      <c r="F406" s="508"/>
      <c r="G406" s="508"/>
      <c r="H406" s="967"/>
      <c r="I406" s="508"/>
      <c r="J406" s="508"/>
      <c r="K406" s="508"/>
      <c r="L406" s="508"/>
      <c r="M406" s="508"/>
      <c r="N406" s="508"/>
      <c r="O406" s="508"/>
      <c r="P406" s="508"/>
      <c r="Q406" s="508"/>
      <c r="R406" s="508"/>
      <c r="S406" s="508"/>
      <c r="T406" s="508"/>
      <c r="U406" s="508"/>
      <c r="V406" s="508"/>
      <c r="W406" s="508"/>
      <c r="X406" s="508"/>
      <c r="Y406" s="508"/>
      <c r="Z406" s="508"/>
      <c r="AA406" s="508"/>
    </row>
    <row r="407">
      <c r="A407" s="508"/>
      <c r="B407" s="508"/>
      <c r="C407" s="508"/>
      <c r="D407" s="508"/>
      <c r="E407" s="967"/>
      <c r="F407" s="508"/>
      <c r="G407" s="508"/>
      <c r="H407" s="967"/>
      <c r="I407" s="508"/>
      <c r="J407" s="508"/>
      <c r="K407" s="508"/>
      <c r="L407" s="508"/>
      <c r="M407" s="508"/>
      <c r="N407" s="508"/>
      <c r="O407" s="508"/>
      <c r="P407" s="508"/>
      <c r="Q407" s="508"/>
      <c r="R407" s="508"/>
      <c r="S407" s="508"/>
      <c r="T407" s="508"/>
      <c r="U407" s="508"/>
      <c r="V407" s="508"/>
      <c r="W407" s="508"/>
      <c r="X407" s="508"/>
      <c r="Y407" s="508"/>
      <c r="Z407" s="508"/>
      <c r="AA407" s="508"/>
    </row>
    <row r="408">
      <c r="A408" s="508"/>
      <c r="B408" s="508"/>
      <c r="C408" s="508"/>
      <c r="D408" s="508"/>
      <c r="E408" s="967"/>
      <c r="F408" s="508"/>
      <c r="G408" s="508"/>
      <c r="H408" s="967"/>
      <c r="I408" s="508"/>
      <c r="J408" s="508"/>
      <c r="K408" s="508"/>
      <c r="L408" s="508"/>
      <c r="M408" s="508"/>
      <c r="N408" s="508"/>
      <c r="O408" s="508"/>
      <c r="P408" s="508"/>
      <c r="Q408" s="508"/>
      <c r="R408" s="508"/>
      <c r="S408" s="508"/>
      <c r="T408" s="508"/>
      <c r="U408" s="508"/>
      <c r="V408" s="508"/>
      <c r="W408" s="508"/>
      <c r="X408" s="508"/>
      <c r="Y408" s="508"/>
      <c r="Z408" s="508"/>
      <c r="AA408" s="508"/>
    </row>
    <row r="409">
      <c r="A409" s="508"/>
      <c r="B409" s="508"/>
      <c r="C409" s="508"/>
      <c r="D409" s="508"/>
      <c r="E409" s="967"/>
      <c r="F409" s="508"/>
      <c r="G409" s="508"/>
      <c r="H409" s="967"/>
      <c r="I409" s="508"/>
      <c r="J409" s="508"/>
      <c r="K409" s="508"/>
      <c r="L409" s="508"/>
      <c r="M409" s="508"/>
      <c r="N409" s="508"/>
      <c r="O409" s="508"/>
      <c r="P409" s="508"/>
      <c r="Q409" s="508"/>
      <c r="R409" s="508"/>
      <c r="S409" s="508"/>
      <c r="T409" s="508"/>
      <c r="U409" s="508"/>
      <c r="V409" s="508"/>
      <c r="W409" s="508"/>
      <c r="X409" s="508"/>
      <c r="Y409" s="508"/>
      <c r="Z409" s="508"/>
      <c r="AA409" s="508"/>
    </row>
    <row r="410">
      <c r="A410" s="508"/>
      <c r="B410" s="508"/>
      <c r="C410" s="508"/>
      <c r="D410" s="508"/>
      <c r="E410" s="967"/>
      <c r="F410" s="508"/>
      <c r="G410" s="508"/>
      <c r="H410" s="967"/>
      <c r="I410" s="508"/>
      <c r="J410" s="508"/>
      <c r="K410" s="508"/>
      <c r="L410" s="508"/>
      <c r="M410" s="508"/>
      <c r="N410" s="508"/>
      <c r="O410" s="508"/>
      <c r="P410" s="508"/>
      <c r="Q410" s="508"/>
      <c r="R410" s="508"/>
      <c r="S410" s="508"/>
      <c r="T410" s="508"/>
      <c r="U410" s="508"/>
      <c r="V410" s="508"/>
      <c r="W410" s="508"/>
      <c r="X410" s="508"/>
      <c r="Y410" s="508"/>
      <c r="Z410" s="508"/>
      <c r="AA410" s="508"/>
    </row>
    <row r="411">
      <c r="A411" s="508"/>
      <c r="B411" s="508"/>
      <c r="C411" s="508"/>
      <c r="D411" s="508"/>
      <c r="E411" s="967"/>
      <c r="F411" s="508"/>
      <c r="G411" s="508"/>
      <c r="H411" s="967"/>
      <c r="I411" s="508"/>
      <c r="J411" s="508"/>
      <c r="K411" s="508"/>
      <c r="L411" s="508"/>
      <c r="M411" s="508"/>
      <c r="N411" s="508"/>
      <c r="O411" s="508"/>
      <c r="P411" s="508"/>
      <c r="Q411" s="508"/>
      <c r="R411" s="508"/>
      <c r="S411" s="508"/>
      <c r="T411" s="508"/>
      <c r="U411" s="508"/>
      <c r="V411" s="508"/>
      <c r="W411" s="508"/>
      <c r="X411" s="508"/>
      <c r="Y411" s="508"/>
      <c r="Z411" s="508"/>
      <c r="AA411" s="508"/>
    </row>
    <row r="412">
      <c r="A412" s="508"/>
      <c r="B412" s="508"/>
      <c r="C412" s="508"/>
      <c r="D412" s="508"/>
      <c r="E412" s="967"/>
      <c r="F412" s="508"/>
      <c r="G412" s="508"/>
      <c r="H412" s="967"/>
      <c r="I412" s="508"/>
      <c r="J412" s="508"/>
      <c r="K412" s="508"/>
      <c r="L412" s="508"/>
      <c r="M412" s="508"/>
      <c r="N412" s="508"/>
      <c r="O412" s="508"/>
      <c r="P412" s="508"/>
      <c r="Q412" s="508"/>
      <c r="R412" s="508"/>
      <c r="S412" s="508"/>
      <c r="T412" s="508"/>
      <c r="U412" s="508"/>
      <c r="V412" s="508"/>
      <c r="W412" s="508"/>
      <c r="X412" s="508"/>
      <c r="Y412" s="508"/>
      <c r="Z412" s="508"/>
      <c r="AA412" s="508"/>
    </row>
    <row r="413">
      <c r="A413" s="508"/>
      <c r="B413" s="508"/>
      <c r="C413" s="508"/>
      <c r="D413" s="508"/>
      <c r="E413" s="967"/>
      <c r="F413" s="508"/>
      <c r="G413" s="508"/>
      <c r="H413" s="967"/>
      <c r="I413" s="508"/>
      <c r="J413" s="508"/>
      <c r="K413" s="508"/>
      <c r="L413" s="508"/>
      <c r="M413" s="508"/>
      <c r="N413" s="508"/>
      <c r="O413" s="508"/>
      <c r="P413" s="508"/>
      <c r="Q413" s="508"/>
      <c r="R413" s="508"/>
      <c r="S413" s="508"/>
      <c r="T413" s="508"/>
      <c r="U413" s="508"/>
      <c r="V413" s="508"/>
      <c r="W413" s="508"/>
      <c r="X413" s="508"/>
      <c r="Y413" s="508"/>
      <c r="Z413" s="508"/>
      <c r="AA413" s="508"/>
    </row>
    <row r="414">
      <c r="A414" s="508"/>
      <c r="B414" s="508"/>
      <c r="C414" s="508"/>
      <c r="D414" s="508"/>
      <c r="E414" s="967"/>
      <c r="F414" s="508"/>
      <c r="G414" s="508"/>
      <c r="H414" s="967"/>
      <c r="I414" s="508"/>
      <c r="J414" s="508"/>
      <c r="K414" s="508"/>
      <c r="L414" s="508"/>
      <c r="M414" s="508"/>
      <c r="N414" s="508"/>
      <c r="O414" s="508"/>
      <c r="P414" s="508"/>
      <c r="Q414" s="508"/>
      <c r="R414" s="508"/>
      <c r="S414" s="508"/>
      <c r="T414" s="508"/>
      <c r="U414" s="508"/>
      <c r="V414" s="508"/>
      <c r="W414" s="508"/>
      <c r="X414" s="508"/>
      <c r="Y414" s="508"/>
      <c r="Z414" s="508"/>
      <c r="AA414" s="508"/>
    </row>
    <row r="415">
      <c r="A415" s="508"/>
      <c r="B415" s="508"/>
      <c r="C415" s="508"/>
      <c r="D415" s="508"/>
      <c r="E415" s="967"/>
      <c r="F415" s="508"/>
      <c r="G415" s="508"/>
      <c r="H415" s="967"/>
      <c r="I415" s="508"/>
      <c r="J415" s="508"/>
      <c r="K415" s="508"/>
      <c r="L415" s="508"/>
      <c r="M415" s="508"/>
      <c r="N415" s="508"/>
      <c r="O415" s="508"/>
      <c r="P415" s="508"/>
      <c r="Q415" s="508"/>
      <c r="R415" s="508"/>
      <c r="S415" s="508"/>
      <c r="T415" s="508"/>
      <c r="U415" s="508"/>
      <c r="V415" s="508"/>
      <c r="W415" s="508"/>
      <c r="X415" s="508"/>
      <c r="Y415" s="508"/>
      <c r="Z415" s="508"/>
      <c r="AA415" s="508"/>
    </row>
    <row r="416">
      <c r="A416" s="508"/>
      <c r="B416" s="508"/>
      <c r="C416" s="508"/>
      <c r="D416" s="508"/>
      <c r="E416" s="967"/>
      <c r="F416" s="508"/>
      <c r="G416" s="508"/>
      <c r="H416" s="967"/>
      <c r="I416" s="508"/>
      <c r="J416" s="508"/>
      <c r="K416" s="508"/>
      <c r="L416" s="508"/>
      <c r="M416" s="508"/>
      <c r="N416" s="508"/>
      <c r="O416" s="508"/>
      <c r="P416" s="508"/>
      <c r="Q416" s="508"/>
      <c r="R416" s="508"/>
      <c r="S416" s="508"/>
      <c r="T416" s="508"/>
      <c r="U416" s="508"/>
      <c r="V416" s="508"/>
      <c r="W416" s="508"/>
      <c r="X416" s="508"/>
      <c r="Y416" s="508"/>
      <c r="Z416" s="508"/>
      <c r="AA416" s="508"/>
    </row>
    <row r="417">
      <c r="A417" s="508"/>
      <c r="B417" s="508"/>
      <c r="C417" s="508"/>
      <c r="D417" s="508"/>
      <c r="E417" s="967"/>
      <c r="F417" s="508"/>
      <c r="G417" s="508"/>
      <c r="H417" s="967"/>
      <c r="I417" s="508"/>
      <c r="J417" s="508"/>
      <c r="K417" s="508"/>
      <c r="L417" s="508"/>
      <c r="M417" s="508"/>
      <c r="N417" s="508"/>
      <c r="O417" s="508"/>
      <c r="P417" s="508"/>
      <c r="Q417" s="508"/>
      <c r="R417" s="508"/>
      <c r="S417" s="508"/>
      <c r="T417" s="508"/>
      <c r="U417" s="508"/>
      <c r="V417" s="508"/>
      <c r="W417" s="508"/>
      <c r="X417" s="508"/>
      <c r="Y417" s="508"/>
      <c r="Z417" s="508"/>
      <c r="AA417" s="508"/>
    </row>
    <row r="418">
      <c r="A418" s="508"/>
      <c r="B418" s="508"/>
      <c r="C418" s="508"/>
      <c r="D418" s="508"/>
      <c r="E418" s="967"/>
      <c r="F418" s="508"/>
      <c r="G418" s="508"/>
      <c r="H418" s="967"/>
      <c r="I418" s="508"/>
      <c r="J418" s="508"/>
      <c r="K418" s="508"/>
      <c r="L418" s="508"/>
      <c r="M418" s="508"/>
      <c r="N418" s="508"/>
      <c r="O418" s="508"/>
      <c r="P418" s="508"/>
      <c r="Q418" s="508"/>
      <c r="R418" s="508"/>
      <c r="S418" s="508"/>
      <c r="T418" s="508"/>
      <c r="U418" s="508"/>
      <c r="V418" s="508"/>
      <c r="W418" s="508"/>
      <c r="X418" s="508"/>
      <c r="Y418" s="508"/>
      <c r="Z418" s="508"/>
      <c r="AA418" s="508"/>
    </row>
    <row r="419">
      <c r="A419" s="508"/>
      <c r="B419" s="508"/>
      <c r="C419" s="508"/>
      <c r="D419" s="508"/>
      <c r="E419" s="967"/>
      <c r="F419" s="508"/>
      <c r="G419" s="508"/>
      <c r="H419" s="967"/>
      <c r="I419" s="508"/>
      <c r="J419" s="508"/>
      <c r="K419" s="508"/>
      <c r="L419" s="508"/>
      <c r="M419" s="508"/>
      <c r="N419" s="508"/>
      <c r="O419" s="508"/>
      <c r="P419" s="508"/>
      <c r="Q419" s="508"/>
      <c r="R419" s="508"/>
      <c r="S419" s="508"/>
      <c r="T419" s="508"/>
      <c r="U419" s="508"/>
      <c r="V419" s="508"/>
      <c r="W419" s="508"/>
      <c r="X419" s="508"/>
      <c r="Y419" s="508"/>
      <c r="Z419" s="508"/>
      <c r="AA419" s="508"/>
    </row>
    <row r="420">
      <c r="A420" s="508"/>
      <c r="B420" s="508"/>
      <c r="C420" s="508"/>
      <c r="D420" s="508"/>
      <c r="E420" s="967"/>
      <c r="F420" s="508"/>
      <c r="G420" s="508"/>
      <c r="H420" s="967"/>
      <c r="I420" s="508"/>
      <c r="J420" s="508"/>
      <c r="K420" s="508"/>
      <c r="L420" s="508"/>
      <c r="M420" s="508"/>
      <c r="N420" s="508"/>
      <c r="O420" s="508"/>
      <c r="P420" s="508"/>
      <c r="Q420" s="508"/>
      <c r="R420" s="508"/>
      <c r="S420" s="508"/>
      <c r="T420" s="508"/>
      <c r="U420" s="508"/>
      <c r="V420" s="508"/>
      <c r="W420" s="508"/>
      <c r="X420" s="508"/>
      <c r="Y420" s="508"/>
      <c r="Z420" s="508"/>
      <c r="AA420" s="508"/>
    </row>
    <row r="421">
      <c r="A421" s="508"/>
      <c r="B421" s="508"/>
      <c r="C421" s="508"/>
      <c r="D421" s="508"/>
      <c r="E421" s="967"/>
      <c r="F421" s="508"/>
      <c r="G421" s="508"/>
      <c r="H421" s="967"/>
      <c r="I421" s="508"/>
      <c r="J421" s="508"/>
      <c r="K421" s="508"/>
      <c r="L421" s="508"/>
      <c r="M421" s="508"/>
      <c r="N421" s="508"/>
      <c r="O421" s="508"/>
      <c r="P421" s="508"/>
      <c r="Q421" s="508"/>
      <c r="R421" s="508"/>
      <c r="S421" s="508"/>
      <c r="T421" s="508"/>
      <c r="U421" s="508"/>
      <c r="V421" s="508"/>
      <c r="W421" s="508"/>
      <c r="X421" s="508"/>
      <c r="Y421" s="508"/>
      <c r="Z421" s="508"/>
      <c r="AA421" s="508"/>
    </row>
    <row r="422">
      <c r="A422" s="508"/>
      <c r="B422" s="508"/>
      <c r="C422" s="508"/>
      <c r="D422" s="508"/>
      <c r="E422" s="967"/>
      <c r="F422" s="508"/>
      <c r="G422" s="508"/>
      <c r="H422" s="967"/>
      <c r="I422" s="508"/>
      <c r="J422" s="508"/>
      <c r="K422" s="508"/>
      <c r="L422" s="508"/>
      <c r="M422" s="508"/>
      <c r="N422" s="508"/>
      <c r="O422" s="508"/>
      <c r="P422" s="508"/>
      <c r="Q422" s="508"/>
      <c r="R422" s="508"/>
      <c r="S422" s="508"/>
      <c r="T422" s="508"/>
      <c r="U422" s="508"/>
      <c r="V422" s="508"/>
      <c r="W422" s="508"/>
      <c r="X422" s="508"/>
      <c r="Y422" s="508"/>
      <c r="Z422" s="508"/>
      <c r="AA422" s="508"/>
    </row>
    <row r="423">
      <c r="A423" s="508"/>
      <c r="B423" s="508"/>
      <c r="C423" s="508"/>
      <c r="D423" s="508"/>
      <c r="E423" s="967"/>
      <c r="F423" s="508"/>
      <c r="G423" s="508"/>
      <c r="H423" s="967"/>
      <c r="I423" s="508"/>
      <c r="J423" s="508"/>
      <c r="K423" s="508"/>
      <c r="L423" s="508"/>
      <c r="M423" s="508"/>
      <c r="N423" s="508"/>
      <c r="O423" s="508"/>
      <c r="P423" s="508"/>
      <c r="Q423" s="508"/>
      <c r="R423" s="508"/>
      <c r="S423" s="508"/>
      <c r="T423" s="508"/>
      <c r="U423" s="508"/>
      <c r="V423" s="508"/>
      <c r="W423" s="508"/>
      <c r="X423" s="508"/>
      <c r="Y423" s="508"/>
      <c r="Z423" s="508"/>
      <c r="AA423" s="508"/>
    </row>
    <row r="424">
      <c r="A424" s="508"/>
      <c r="B424" s="508"/>
      <c r="C424" s="508"/>
      <c r="D424" s="508"/>
      <c r="E424" s="967"/>
      <c r="F424" s="508"/>
      <c r="G424" s="508"/>
      <c r="H424" s="967"/>
      <c r="I424" s="508"/>
      <c r="J424" s="508"/>
      <c r="K424" s="508"/>
      <c r="L424" s="508"/>
      <c r="M424" s="508"/>
      <c r="N424" s="508"/>
      <c r="O424" s="508"/>
      <c r="P424" s="508"/>
      <c r="Q424" s="508"/>
      <c r="R424" s="508"/>
      <c r="S424" s="508"/>
      <c r="T424" s="508"/>
      <c r="U424" s="508"/>
      <c r="V424" s="508"/>
      <c r="W424" s="508"/>
      <c r="X424" s="508"/>
      <c r="Y424" s="508"/>
      <c r="Z424" s="508"/>
      <c r="AA424" s="508"/>
    </row>
    <row r="425">
      <c r="A425" s="508"/>
      <c r="B425" s="508"/>
      <c r="C425" s="508"/>
      <c r="D425" s="508"/>
      <c r="E425" s="967"/>
      <c r="F425" s="508"/>
      <c r="G425" s="508"/>
      <c r="H425" s="967"/>
      <c r="I425" s="508"/>
      <c r="J425" s="508"/>
      <c r="K425" s="508"/>
      <c r="L425" s="508"/>
      <c r="M425" s="508"/>
      <c r="N425" s="508"/>
      <c r="O425" s="508"/>
      <c r="P425" s="508"/>
      <c r="Q425" s="508"/>
      <c r="R425" s="508"/>
      <c r="S425" s="508"/>
      <c r="T425" s="508"/>
      <c r="U425" s="508"/>
      <c r="V425" s="508"/>
      <c r="W425" s="508"/>
      <c r="X425" s="508"/>
      <c r="Y425" s="508"/>
      <c r="Z425" s="508"/>
      <c r="AA425" s="508"/>
    </row>
    <row r="426">
      <c r="A426" s="508"/>
      <c r="B426" s="508"/>
      <c r="C426" s="508"/>
      <c r="D426" s="508"/>
      <c r="E426" s="967"/>
      <c r="F426" s="508"/>
      <c r="G426" s="508"/>
      <c r="H426" s="967"/>
      <c r="I426" s="508"/>
      <c r="J426" s="508"/>
      <c r="K426" s="508"/>
      <c r="L426" s="508"/>
      <c r="M426" s="508"/>
      <c r="N426" s="508"/>
      <c r="O426" s="508"/>
      <c r="P426" s="508"/>
      <c r="Q426" s="508"/>
      <c r="R426" s="508"/>
      <c r="S426" s="508"/>
      <c r="T426" s="508"/>
      <c r="U426" s="508"/>
      <c r="V426" s="508"/>
      <c r="W426" s="508"/>
      <c r="X426" s="508"/>
      <c r="Y426" s="508"/>
      <c r="Z426" s="508"/>
      <c r="AA426" s="508"/>
    </row>
    <row r="427">
      <c r="A427" s="508"/>
      <c r="B427" s="508"/>
      <c r="C427" s="508"/>
      <c r="D427" s="508"/>
      <c r="E427" s="967"/>
      <c r="F427" s="508"/>
      <c r="G427" s="508"/>
      <c r="H427" s="967"/>
      <c r="I427" s="508"/>
      <c r="J427" s="508"/>
      <c r="K427" s="508"/>
      <c r="L427" s="508"/>
      <c r="M427" s="508"/>
      <c r="N427" s="508"/>
      <c r="O427" s="508"/>
      <c r="P427" s="508"/>
      <c r="Q427" s="508"/>
      <c r="R427" s="508"/>
      <c r="S427" s="508"/>
      <c r="T427" s="508"/>
      <c r="U427" s="508"/>
      <c r="V427" s="508"/>
      <c r="W427" s="508"/>
      <c r="X427" s="508"/>
      <c r="Y427" s="508"/>
      <c r="Z427" s="508"/>
      <c r="AA427" s="508"/>
    </row>
    <row r="428">
      <c r="A428" s="508"/>
      <c r="B428" s="508"/>
      <c r="C428" s="508"/>
      <c r="D428" s="508"/>
      <c r="E428" s="967"/>
      <c r="F428" s="508"/>
      <c r="G428" s="508"/>
      <c r="H428" s="967"/>
      <c r="I428" s="508"/>
      <c r="J428" s="508"/>
      <c r="K428" s="508"/>
      <c r="L428" s="508"/>
      <c r="M428" s="508"/>
      <c r="N428" s="508"/>
      <c r="O428" s="508"/>
      <c r="P428" s="508"/>
      <c r="Q428" s="508"/>
      <c r="R428" s="508"/>
      <c r="S428" s="508"/>
      <c r="T428" s="508"/>
      <c r="U428" s="508"/>
      <c r="V428" s="508"/>
      <c r="W428" s="508"/>
      <c r="X428" s="508"/>
      <c r="Y428" s="508"/>
      <c r="Z428" s="508"/>
      <c r="AA428" s="508"/>
    </row>
    <row r="429">
      <c r="A429" s="508"/>
      <c r="B429" s="508"/>
      <c r="C429" s="508"/>
      <c r="D429" s="508"/>
      <c r="E429" s="967"/>
      <c r="F429" s="508"/>
      <c r="G429" s="508"/>
      <c r="H429" s="967"/>
      <c r="I429" s="508"/>
      <c r="J429" s="508"/>
      <c r="K429" s="508"/>
      <c r="L429" s="508"/>
      <c r="M429" s="508"/>
      <c r="N429" s="508"/>
      <c r="O429" s="508"/>
      <c r="P429" s="508"/>
      <c r="Q429" s="508"/>
      <c r="R429" s="508"/>
      <c r="S429" s="508"/>
      <c r="T429" s="508"/>
      <c r="U429" s="508"/>
      <c r="V429" s="508"/>
      <c r="W429" s="508"/>
      <c r="X429" s="508"/>
      <c r="Y429" s="508"/>
      <c r="Z429" s="508"/>
      <c r="AA429" s="508"/>
    </row>
    <row r="430">
      <c r="A430" s="508"/>
      <c r="B430" s="508"/>
      <c r="C430" s="508"/>
      <c r="D430" s="508"/>
      <c r="E430" s="967"/>
      <c r="F430" s="508"/>
      <c r="G430" s="508"/>
      <c r="H430" s="967"/>
      <c r="I430" s="508"/>
      <c r="J430" s="508"/>
      <c r="K430" s="508"/>
      <c r="L430" s="508"/>
      <c r="M430" s="508"/>
      <c r="N430" s="508"/>
      <c r="O430" s="508"/>
      <c r="P430" s="508"/>
      <c r="Q430" s="508"/>
      <c r="R430" s="508"/>
      <c r="S430" s="508"/>
      <c r="T430" s="508"/>
      <c r="U430" s="508"/>
      <c r="V430" s="508"/>
      <c r="W430" s="508"/>
      <c r="X430" s="508"/>
      <c r="Y430" s="508"/>
      <c r="Z430" s="508"/>
      <c r="AA430" s="508"/>
    </row>
    <row r="431">
      <c r="A431" s="508"/>
      <c r="B431" s="508"/>
      <c r="C431" s="508"/>
      <c r="D431" s="508"/>
      <c r="E431" s="967"/>
      <c r="F431" s="508"/>
      <c r="G431" s="508"/>
      <c r="H431" s="967"/>
      <c r="I431" s="508"/>
      <c r="J431" s="508"/>
      <c r="K431" s="508"/>
      <c r="L431" s="508"/>
      <c r="M431" s="508"/>
      <c r="N431" s="508"/>
      <c r="O431" s="508"/>
      <c r="P431" s="508"/>
      <c r="Q431" s="508"/>
      <c r="R431" s="508"/>
      <c r="S431" s="508"/>
      <c r="T431" s="508"/>
      <c r="U431" s="508"/>
      <c r="V431" s="508"/>
      <c r="W431" s="508"/>
      <c r="X431" s="508"/>
      <c r="Y431" s="508"/>
      <c r="Z431" s="508"/>
      <c r="AA431" s="508"/>
    </row>
    <row r="432">
      <c r="A432" s="508"/>
      <c r="B432" s="508"/>
      <c r="C432" s="508"/>
      <c r="D432" s="508"/>
      <c r="E432" s="967"/>
      <c r="F432" s="508"/>
      <c r="G432" s="508"/>
      <c r="H432" s="967"/>
      <c r="I432" s="508"/>
      <c r="J432" s="508"/>
      <c r="K432" s="508"/>
      <c r="L432" s="508"/>
      <c r="M432" s="508"/>
      <c r="N432" s="508"/>
      <c r="O432" s="508"/>
      <c r="P432" s="508"/>
      <c r="Q432" s="508"/>
      <c r="R432" s="508"/>
      <c r="S432" s="508"/>
      <c r="T432" s="508"/>
      <c r="U432" s="508"/>
      <c r="V432" s="508"/>
      <c r="W432" s="508"/>
      <c r="X432" s="508"/>
      <c r="Y432" s="508"/>
      <c r="Z432" s="508"/>
      <c r="AA432" s="508"/>
    </row>
    <row r="433">
      <c r="A433" s="508"/>
      <c r="B433" s="508"/>
      <c r="C433" s="508"/>
      <c r="D433" s="508"/>
      <c r="E433" s="967"/>
      <c r="F433" s="508"/>
      <c r="G433" s="508"/>
      <c r="H433" s="967"/>
      <c r="I433" s="508"/>
      <c r="J433" s="508"/>
      <c r="K433" s="508"/>
      <c r="L433" s="508"/>
      <c r="M433" s="508"/>
      <c r="N433" s="508"/>
      <c r="O433" s="508"/>
      <c r="P433" s="508"/>
      <c r="Q433" s="508"/>
      <c r="R433" s="508"/>
      <c r="S433" s="508"/>
      <c r="T433" s="508"/>
      <c r="U433" s="508"/>
      <c r="V433" s="508"/>
      <c r="W433" s="508"/>
      <c r="X433" s="508"/>
      <c r="Y433" s="508"/>
      <c r="Z433" s="508"/>
      <c r="AA433" s="508"/>
    </row>
    <row r="434">
      <c r="A434" s="508"/>
      <c r="B434" s="508"/>
      <c r="C434" s="508"/>
      <c r="D434" s="508"/>
      <c r="E434" s="967"/>
      <c r="F434" s="508"/>
      <c r="G434" s="508"/>
      <c r="H434" s="967"/>
      <c r="I434" s="508"/>
      <c r="J434" s="508"/>
      <c r="K434" s="508"/>
      <c r="L434" s="508"/>
      <c r="M434" s="508"/>
      <c r="N434" s="508"/>
      <c r="O434" s="508"/>
      <c r="P434" s="508"/>
      <c r="Q434" s="508"/>
      <c r="R434" s="508"/>
      <c r="S434" s="508"/>
      <c r="T434" s="508"/>
      <c r="U434" s="508"/>
      <c r="V434" s="508"/>
      <c r="W434" s="508"/>
      <c r="X434" s="508"/>
      <c r="Y434" s="508"/>
      <c r="Z434" s="508"/>
      <c r="AA434" s="508"/>
    </row>
    <row r="435">
      <c r="A435" s="508"/>
      <c r="B435" s="508"/>
      <c r="C435" s="508"/>
      <c r="D435" s="508"/>
      <c r="E435" s="967"/>
      <c r="F435" s="508"/>
      <c r="G435" s="508"/>
      <c r="H435" s="967"/>
      <c r="I435" s="508"/>
      <c r="J435" s="508"/>
      <c r="K435" s="508"/>
      <c r="L435" s="508"/>
      <c r="M435" s="508"/>
      <c r="N435" s="508"/>
      <c r="O435" s="508"/>
      <c r="P435" s="508"/>
      <c r="Q435" s="508"/>
      <c r="R435" s="508"/>
      <c r="S435" s="508"/>
      <c r="T435" s="508"/>
      <c r="U435" s="508"/>
      <c r="V435" s="508"/>
      <c r="W435" s="508"/>
      <c r="X435" s="508"/>
      <c r="Y435" s="508"/>
      <c r="Z435" s="508"/>
      <c r="AA435" s="508"/>
    </row>
    <row r="436">
      <c r="A436" s="508"/>
      <c r="B436" s="508"/>
      <c r="C436" s="508"/>
      <c r="D436" s="508"/>
      <c r="E436" s="967"/>
      <c r="F436" s="508"/>
      <c r="G436" s="508"/>
      <c r="H436" s="967"/>
      <c r="I436" s="508"/>
      <c r="J436" s="508"/>
      <c r="K436" s="508"/>
      <c r="L436" s="508"/>
      <c r="M436" s="508"/>
      <c r="N436" s="508"/>
      <c r="O436" s="508"/>
      <c r="P436" s="508"/>
      <c r="Q436" s="508"/>
      <c r="R436" s="508"/>
      <c r="S436" s="508"/>
      <c r="T436" s="508"/>
      <c r="U436" s="508"/>
      <c r="V436" s="508"/>
      <c r="W436" s="508"/>
      <c r="X436" s="508"/>
      <c r="Y436" s="508"/>
      <c r="Z436" s="508"/>
      <c r="AA436" s="508"/>
    </row>
    <row r="437">
      <c r="A437" s="508"/>
      <c r="B437" s="508"/>
      <c r="C437" s="508"/>
      <c r="D437" s="508"/>
      <c r="E437" s="967"/>
      <c r="F437" s="508"/>
      <c r="G437" s="508"/>
      <c r="H437" s="967"/>
      <c r="I437" s="508"/>
      <c r="J437" s="508"/>
      <c r="K437" s="508"/>
      <c r="L437" s="508"/>
      <c r="M437" s="508"/>
      <c r="N437" s="508"/>
      <c r="O437" s="508"/>
      <c r="P437" s="508"/>
      <c r="Q437" s="508"/>
      <c r="R437" s="508"/>
      <c r="S437" s="508"/>
      <c r="T437" s="508"/>
      <c r="U437" s="508"/>
      <c r="V437" s="508"/>
      <c r="W437" s="508"/>
      <c r="X437" s="508"/>
      <c r="Y437" s="508"/>
      <c r="Z437" s="508"/>
      <c r="AA437" s="508"/>
    </row>
    <row r="438">
      <c r="A438" s="508"/>
      <c r="B438" s="508"/>
      <c r="C438" s="508"/>
      <c r="D438" s="508"/>
      <c r="E438" s="967"/>
      <c r="F438" s="508"/>
      <c r="G438" s="508"/>
      <c r="H438" s="967"/>
      <c r="I438" s="508"/>
      <c r="J438" s="508"/>
      <c r="K438" s="508"/>
      <c r="L438" s="508"/>
      <c r="M438" s="508"/>
      <c r="N438" s="508"/>
      <c r="O438" s="508"/>
      <c r="P438" s="508"/>
      <c r="Q438" s="508"/>
      <c r="R438" s="508"/>
      <c r="S438" s="508"/>
      <c r="T438" s="508"/>
      <c r="U438" s="508"/>
      <c r="V438" s="508"/>
      <c r="W438" s="508"/>
      <c r="X438" s="508"/>
      <c r="Y438" s="508"/>
      <c r="Z438" s="508"/>
      <c r="AA438" s="508"/>
    </row>
    <row r="439">
      <c r="A439" s="508"/>
      <c r="B439" s="508"/>
      <c r="C439" s="508"/>
      <c r="D439" s="508"/>
      <c r="E439" s="967"/>
      <c r="F439" s="508"/>
      <c r="G439" s="508"/>
      <c r="H439" s="967"/>
      <c r="I439" s="508"/>
      <c r="J439" s="508"/>
      <c r="K439" s="508"/>
      <c r="L439" s="508"/>
      <c r="M439" s="508"/>
      <c r="N439" s="508"/>
      <c r="O439" s="508"/>
      <c r="P439" s="508"/>
      <c r="Q439" s="508"/>
      <c r="R439" s="508"/>
      <c r="S439" s="508"/>
      <c r="T439" s="508"/>
      <c r="U439" s="508"/>
      <c r="V439" s="508"/>
      <c r="W439" s="508"/>
      <c r="X439" s="508"/>
      <c r="Y439" s="508"/>
      <c r="Z439" s="508"/>
      <c r="AA439" s="508"/>
    </row>
    <row r="440">
      <c r="A440" s="508"/>
      <c r="B440" s="508"/>
      <c r="C440" s="508"/>
      <c r="D440" s="508"/>
      <c r="E440" s="967"/>
      <c r="F440" s="508"/>
      <c r="G440" s="508"/>
      <c r="H440" s="967"/>
      <c r="I440" s="508"/>
      <c r="J440" s="508"/>
      <c r="K440" s="508"/>
      <c r="L440" s="508"/>
      <c r="M440" s="508"/>
      <c r="N440" s="508"/>
      <c r="O440" s="508"/>
      <c r="P440" s="508"/>
      <c r="Q440" s="508"/>
      <c r="R440" s="508"/>
      <c r="S440" s="508"/>
      <c r="T440" s="508"/>
      <c r="U440" s="508"/>
      <c r="V440" s="508"/>
      <c r="W440" s="508"/>
      <c r="X440" s="508"/>
      <c r="Y440" s="508"/>
      <c r="Z440" s="508"/>
      <c r="AA440" s="508"/>
    </row>
    <row r="441">
      <c r="A441" s="508"/>
      <c r="B441" s="508"/>
      <c r="C441" s="508"/>
      <c r="D441" s="508"/>
      <c r="E441" s="967"/>
      <c r="F441" s="508"/>
      <c r="G441" s="508"/>
      <c r="H441" s="967"/>
      <c r="I441" s="508"/>
      <c r="J441" s="508"/>
      <c r="K441" s="508"/>
      <c r="L441" s="508"/>
      <c r="M441" s="508"/>
      <c r="N441" s="508"/>
      <c r="O441" s="508"/>
      <c r="P441" s="508"/>
      <c r="Q441" s="508"/>
      <c r="R441" s="508"/>
      <c r="S441" s="508"/>
      <c r="T441" s="508"/>
      <c r="U441" s="508"/>
      <c r="V441" s="508"/>
      <c r="W441" s="508"/>
      <c r="X441" s="508"/>
      <c r="Y441" s="508"/>
      <c r="Z441" s="508"/>
      <c r="AA441" s="508"/>
    </row>
    <row r="442">
      <c r="A442" s="508"/>
      <c r="B442" s="508"/>
      <c r="C442" s="508"/>
      <c r="D442" s="508"/>
      <c r="E442" s="967"/>
      <c r="F442" s="508"/>
      <c r="G442" s="508"/>
      <c r="H442" s="967"/>
      <c r="I442" s="508"/>
      <c r="J442" s="508"/>
      <c r="K442" s="508"/>
      <c r="L442" s="508"/>
      <c r="M442" s="508"/>
      <c r="N442" s="508"/>
      <c r="O442" s="508"/>
      <c r="P442" s="508"/>
      <c r="Q442" s="508"/>
      <c r="R442" s="508"/>
      <c r="S442" s="508"/>
      <c r="T442" s="508"/>
      <c r="U442" s="508"/>
      <c r="V442" s="508"/>
      <c r="W442" s="508"/>
      <c r="X442" s="508"/>
      <c r="Y442" s="508"/>
      <c r="Z442" s="508"/>
      <c r="AA442" s="508"/>
    </row>
    <row r="443">
      <c r="A443" s="508"/>
      <c r="B443" s="508"/>
      <c r="C443" s="508"/>
      <c r="D443" s="508"/>
      <c r="E443" s="967"/>
      <c r="F443" s="508"/>
      <c r="G443" s="508"/>
      <c r="H443" s="967"/>
      <c r="I443" s="508"/>
      <c r="J443" s="508"/>
      <c r="K443" s="508"/>
      <c r="L443" s="508"/>
      <c r="M443" s="508"/>
      <c r="N443" s="508"/>
      <c r="O443" s="508"/>
      <c r="P443" s="508"/>
      <c r="Q443" s="508"/>
      <c r="R443" s="508"/>
      <c r="S443" s="508"/>
      <c r="T443" s="508"/>
      <c r="U443" s="508"/>
      <c r="V443" s="508"/>
      <c r="W443" s="508"/>
      <c r="X443" s="508"/>
      <c r="Y443" s="508"/>
      <c r="Z443" s="508"/>
      <c r="AA443" s="508"/>
    </row>
    <row r="444">
      <c r="A444" s="508"/>
      <c r="B444" s="508"/>
      <c r="C444" s="508"/>
      <c r="D444" s="508"/>
      <c r="E444" s="967"/>
      <c r="F444" s="508"/>
      <c r="G444" s="508"/>
      <c r="H444" s="967"/>
      <c r="I444" s="508"/>
      <c r="J444" s="508"/>
      <c r="K444" s="508"/>
      <c r="L444" s="508"/>
      <c r="M444" s="508"/>
      <c r="N444" s="508"/>
      <c r="O444" s="508"/>
      <c r="P444" s="508"/>
      <c r="Q444" s="508"/>
      <c r="R444" s="508"/>
      <c r="S444" s="508"/>
      <c r="T444" s="508"/>
      <c r="U444" s="508"/>
      <c r="V444" s="508"/>
      <c r="W444" s="508"/>
      <c r="X444" s="508"/>
      <c r="Y444" s="508"/>
      <c r="Z444" s="508"/>
      <c r="AA444" s="508"/>
    </row>
    <row r="445">
      <c r="A445" s="508"/>
      <c r="B445" s="508"/>
      <c r="C445" s="508"/>
      <c r="D445" s="508"/>
      <c r="E445" s="967"/>
      <c r="F445" s="508"/>
      <c r="G445" s="508"/>
      <c r="H445" s="967"/>
      <c r="I445" s="508"/>
      <c r="J445" s="508"/>
      <c r="K445" s="508"/>
      <c r="L445" s="508"/>
      <c r="M445" s="508"/>
      <c r="N445" s="508"/>
      <c r="O445" s="508"/>
      <c r="P445" s="508"/>
      <c r="Q445" s="508"/>
      <c r="R445" s="508"/>
      <c r="S445" s="508"/>
      <c r="T445" s="508"/>
      <c r="U445" s="508"/>
      <c r="V445" s="508"/>
      <c r="W445" s="508"/>
      <c r="X445" s="508"/>
      <c r="Y445" s="508"/>
      <c r="Z445" s="508"/>
      <c r="AA445" s="508"/>
    </row>
    <row r="446">
      <c r="A446" s="508"/>
      <c r="B446" s="508"/>
      <c r="C446" s="508"/>
      <c r="D446" s="508"/>
      <c r="E446" s="967"/>
      <c r="F446" s="508"/>
      <c r="G446" s="508"/>
      <c r="H446" s="967"/>
      <c r="I446" s="508"/>
      <c r="J446" s="508"/>
      <c r="K446" s="508"/>
      <c r="L446" s="508"/>
      <c r="M446" s="508"/>
      <c r="N446" s="508"/>
      <c r="O446" s="508"/>
      <c r="P446" s="508"/>
      <c r="Q446" s="508"/>
      <c r="R446" s="508"/>
      <c r="S446" s="508"/>
      <c r="T446" s="508"/>
      <c r="U446" s="508"/>
      <c r="V446" s="508"/>
      <c r="W446" s="508"/>
      <c r="X446" s="508"/>
      <c r="Y446" s="508"/>
      <c r="Z446" s="508"/>
      <c r="AA446" s="508"/>
    </row>
    <row r="447">
      <c r="A447" s="508"/>
      <c r="B447" s="508"/>
      <c r="C447" s="508"/>
      <c r="D447" s="508"/>
      <c r="E447" s="967"/>
      <c r="F447" s="508"/>
      <c r="G447" s="508"/>
      <c r="H447" s="967"/>
      <c r="I447" s="508"/>
      <c r="J447" s="508"/>
      <c r="K447" s="508"/>
      <c r="L447" s="508"/>
      <c r="M447" s="508"/>
      <c r="N447" s="508"/>
      <c r="O447" s="508"/>
      <c r="P447" s="508"/>
      <c r="Q447" s="508"/>
      <c r="R447" s="508"/>
      <c r="S447" s="508"/>
      <c r="T447" s="508"/>
      <c r="U447" s="508"/>
      <c r="V447" s="508"/>
      <c r="W447" s="508"/>
      <c r="X447" s="508"/>
      <c r="Y447" s="508"/>
      <c r="Z447" s="508"/>
      <c r="AA447" s="508"/>
    </row>
    <row r="448">
      <c r="A448" s="508"/>
      <c r="B448" s="508"/>
      <c r="C448" s="508"/>
      <c r="D448" s="508"/>
      <c r="E448" s="967"/>
      <c r="F448" s="508"/>
      <c r="G448" s="508"/>
      <c r="H448" s="967"/>
      <c r="I448" s="508"/>
      <c r="J448" s="508"/>
      <c r="K448" s="508"/>
      <c r="L448" s="508"/>
      <c r="M448" s="508"/>
      <c r="N448" s="508"/>
      <c r="O448" s="508"/>
      <c r="P448" s="508"/>
      <c r="Q448" s="508"/>
      <c r="R448" s="508"/>
      <c r="S448" s="508"/>
      <c r="T448" s="508"/>
      <c r="U448" s="508"/>
      <c r="V448" s="508"/>
      <c r="W448" s="508"/>
      <c r="X448" s="508"/>
      <c r="Y448" s="508"/>
      <c r="Z448" s="508"/>
      <c r="AA448" s="508"/>
    </row>
    <row r="449">
      <c r="A449" s="508"/>
      <c r="B449" s="508"/>
      <c r="C449" s="508"/>
      <c r="D449" s="508"/>
      <c r="E449" s="967"/>
      <c r="F449" s="508"/>
      <c r="G449" s="508"/>
      <c r="H449" s="967"/>
      <c r="I449" s="508"/>
      <c r="J449" s="508"/>
      <c r="K449" s="508"/>
      <c r="L449" s="508"/>
      <c r="M449" s="508"/>
      <c r="N449" s="508"/>
      <c r="O449" s="508"/>
      <c r="P449" s="508"/>
      <c r="Q449" s="508"/>
      <c r="R449" s="508"/>
      <c r="S449" s="508"/>
      <c r="T449" s="508"/>
      <c r="U449" s="508"/>
      <c r="V449" s="508"/>
      <c r="W449" s="508"/>
      <c r="X449" s="508"/>
      <c r="Y449" s="508"/>
      <c r="Z449" s="508"/>
      <c r="AA449" s="508"/>
    </row>
    <row r="450">
      <c r="A450" s="508"/>
      <c r="B450" s="508"/>
      <c r="C450" s="508"/>
      <c r="D450" s="508"/>
      <c r="E450" s="967"/>
      <c r="F450" s="508"/>
      <c r="G450" s="508"/>
      <c r="H450" s="967"/>
      <c r="I450" s="508"/>
      <c r="J450" s="508"/>
      <c r="K450" s="508"/>
      <c r="L450" s="508"/>
      <c r="M450" s="508"/>
      <c r="N450" s="508"/>
      <c r="O450" s="508"/>
      <c r="P450" s="508"/>
      <c r="Q450" s="508"/>
      <c r="R450" s="508"/>
      <c r="S450" s="508"/>
      <c r="T450" s="508"/>
      <c r="U450" s="508"/>
      <c r="V450" s="508"/>
      <c r="W450" s="508"/>
      <c r="X450" s="508"/>
      <c r="Y450" s="508"/>
      <c r="Z450" s="508"/>
      <c r="AA450" s="508"/>
    </row>
    <row r="451">
      <c r="A451" s="508"/>
      <c r="B451" s="508"/>
      <c r="C451" s="508"/>
      <c r="D451" s="508"/>
      <c r="E451" s="967"/>
      <c r="F451" s="508"/>
      <c r="G451" s="508"/>
      <c r="H451" s="967"/>
      <c r="I451" s="508"/>
      <c r="J451" s="508"/>
      <c r="K451" s="508"/>
      <c r="L451" s="508"/>
      <c r="M451" s="508"/>
      <c r="N451" s="508"/>
      <c r="O451" s="508"/>
      <c r="P451" s="508"/>
      <c r="Q451" s="508"/>
      <c r="R451" s="508"/>
      <c r="S451" s="508"/>
      <c r="T451" s="508"/>
      <c r="U451" s="508"/>
      <c r="V451" s="508"/>
      <c r="W451" s="508"/>
      <c r="X451" s="508"/>
      <c r="Y451" s="508"/>
      <c r="Z451" s="508"/>
      <c r="AA451" s="508"/>
    </row>
    <row r="452">
      <c r="A452" s="508"/>
      <c r="B452" s="508"/>
      <c r="C452" s="508"/>
      <c r="D452" s="508"/>
      <c r="E452" s="967"/>
      <c r="F452" s="508"/>
      <c r="G452" s="508"/>
      <c r="H452" s="967"/>
      <c r="I452" s="508"/>
      <c r="J452" s="508"/>
      <c r="K452" s="508"/>
      <c r="L452" s="508"/>
      <c r="M452" s="508"/>
      <c r="N452" s="508"/>
      <c r="O452" s="508"/>
      <c r="P452" s="508"/>
      <c r="Q452" s="508"/>
      <c r="R452" s="508"/>
      <c r="S452" s="508"/>
      <c r="T452" s="508"/>
      <c r="U452" s="508"/>
      <c r="V452" s="508"/>
      <c r="W452" s="508"/>
      <c r="X452" s="508"/>
      <c r="Y452" s="508"/>
      <c r="Z452" s="508"/>
      <c r="AA452" s="508"/>
    </row>
    <row r="453">
      <c r="A453" s="508"/>
      <c r="B453" s="508"/>
      <c r="C453" s="508"/>
      <c r="D453" s="508"/>
      <c r="E453" s="967"/>
      <c r="F453" s="508"/>
      <c r="G453" s="508"/>
      <c r="H453" s="967"/>
      <c r="I453" s="508"/>
      <c r="J453" s="508"/>
      <c r="K453" s="508"/>
      <c r="L453" s="508"/>
      <c r="M453" s="508"/>
      <c r="N453" s="508"/>
      <c r="O453" s="508"/>
      <c r="P453" s="508"/>
      <c r="Q453" s="508"/>
      <c r="R453" s="508"/>
      <c r="S453" s="508"/>
      <c r="T453" s="508"/>
      <c r="U453" s="508"/>
      <c r="V453" s="508"/>
      <c r="W453" s="508"/>
      <c r="X453" s="508"/>
      <c r="Y453" s="508"/>
      <c r="Z453" s="508"/>
      <c r="AA453" s="508"/>
    </row>
    <row r="454">
      <c r="A454" s="508"/>
      <c r="B454" s="508"/>
      <c r="C454" s="508"/>
      <c r="D454" s="508"/>
      <c r="E454" s="967"/>
      <c r="F454" s="508"/>
      <c r="G454" s="508"/>
      <c r="H454" s="967"/>
      <c r="I454" s="508"/>
      <c r="J454" s="508"/>
      <c r="K454" s="508"/>
      <c r="L454" s="508"/>
      <c r="M454" s="508"/>
      <c r="N454" s="508"/>
      <c r="O454" s="508"/>
      <c r="P454" s="508"/>
      <c r="Q454" s="508"/>
      <c r="R454" s="508"/>
      <c r="S454" s="508"/>
      <c r="T454" s="508"/>
      <c r="U454" s="508"/>
      <c r="V454" s="508"/>
      <c r="W454" s="508"/>
      <c r="X454" s="508"/>
      <c r="Y454" s="508"/>
      <c r="Z454" s="508"/>
      <c r="AA454" s="508"/>
    </row>
    <row r="455">
      <c r="A455" s="508"/>
      <c r="B455" s="508"/>
      <c r="C455" s="508"/>
      <c r="D455" s="508"/>
      <c r="E455" s="967"/>
      <c r="F455" s="508"/>
      <c r="G455" s="508"/>
      <c r="H455" s="967"/>
      <c r="I455" s="508"/>
      <c r="J455" s="508"/>
      <c r="K455" s="508"/>
      <c r="L455" s="508"/>
      <c r="M455" s="508"/>
      <c r="N455" s="508"/>
      <c r="O455" s="508"/>
      <c r="P455" s="508"/>
      <c r="Q455" s="508"/>
      <c r="R455" s="508"/>
      <c r="S455" s="508"/>
      <c r="T455" s="508"/>
      <c r="U455" s="508"/>
      <c r="V455" s="508"/>
      <c r="W455" s="508"/>
      <c r="X455" s="508"/>
      <c r="Y455" s="508"/>
      <c r="Z455" s="508"/>
      <c r="AA455" s="508"/>
    </row>
    <row r="456">
      <c r="A456" s="508"/>
      <c r="B456" s="508"/>
      <c r="C456" s="508"/>
      <c r="D456" s="508"/>
      <c r="E456" s="967"/>
      <c r="F456" s="508"/>
      <c r="G456" s="508"/>
      <c r="H456" s="967"/>
      <c r="I456" s="508"/>
      <c r="J456" s="508"/>
      <c r="K456" s="508"/>
      <c r="L456" s="508"/>
      <c r="M456" s="508"/>
      <c r="N456" s="508"/>
      <c r="O456" s="508"/>
      <c r="P456" s="508"/>
      <c r="Q456" s="508"/>
      <c r="R456" s="508"/>
      <c r="S456" s="508"/>
      <c r="T456" s="508"/>
      <c r="U456" s="508"/>
      <c r="V456" s="508"/>
      <c r="W456" s="508"/>
      <c r="X456" s="508"/>
      <c r="Y456" s="508"/>
      <c r="Z456" s="508"/>
      <c r="AA456" s="508"/>
    </row>
    <row r="457">
      <c r="A457" s="508"/>
      <c r="B457" s="508"/>
      <c r="C457" s="508"/>
      <c r="D457" s="508"/>
      <c r="E457" s="967"/>
      <c r="F457" s="508"/>
      <c r="G457" s="508"/>
      <c r="H457" s="967"/>
      <c r="I457" s="508"/>
      <c r="J457" s="508"/>
      <c r="K457" s="508"/>
      <c r="L457" s="508"/>
      <c r="M457" s="508"/>
      <c r="N457" s="508"/>
      <c r="O457" s="508"/>
      <c r="P457" s="508"/>
      <c r="Q457" s="508"/>
      <c r="R457" s="508"/>
      <c r="S457" s="508"/>
      <c r="T457" s="508"/>
      <c r="U457" s="508"/>
      <c r="V457" s="508"/>
      <c r="W457" s="508"/>
      <c r="X457" s="508"/>
      <c r="Y457" s="508"/>
      <c r="Z457" s="508"/>
      <c r="AA457" s="508"/>
    </row>
    <row r="458">
      <c r="A458" s="508"/>
      <c r="B458" s="508"/>
      <c r="C458" s="508"/>
      <c r="D458" s="508"/>
      <c r="E458" s="967"/>
      <c r="F458" s="508"/>
      <c r="G458" s="508"/>
      <c r="H458" s="967"/>
      <c r="I458" s="508"/>
      <c r="J458" s="508"/>
      <c r="K458" s="508"/>
      <c r="L458" s="508"/>
      <c r="M458" s="508"/>
      <c r="N458" s="508"/>
      <c r="O458" s="508"/>
      <c r="P458" s="508"/>
      <c r="Q458" s="508"/>
      <c r="R458" s="508"/>
      <c r="S458" s="508"/>
      <c r="T458" s="508"/>
      <c r="U458" s="508"/>
      <c r="V458" s="508"/>
      <c r="W458" s="508"/>
      <c r="X458" s="508"/>
      <c r="Y458" s="508"/>
      <c r="Z458" s="508"/>
      <c r="AA458" s="508"/>
    </row>
    <row r="459">
      <c r="A459" s="508"/>
      <c r="B459" s="508"/>
      <c r="C459" s="508"/>
      <c r="D459" s="508"/>
      <c r="E459" s="967"/>
      <c r="F459" s="508"/>
      <c r="G459" s="508"/>
      <c r="H459" s="967"/>
      <c r="I459" s="508"/>
      <c r="J459" s="508"/>
      <c r="K459" s="508"/>
      <c r="L459" s="508"/>
      <c r="M459" s="508"/>
      <c r="N459" s="508"/>
      <c r="O459" s="508"/>
      <c r="P459" s="508"/>
      <c r="Q459" s="508"/>
      <c r="R459" s="508"/>
      <c r="S459" s="508"/>
      <c r="T459" s="508"/>
      <c r="U459" s="508"/>
      <c r="V459" s="508"/>
      <c r="W459" s="508"/>
      <c r="X459" s="508"/>
      <c r="Y459" s="508"/>
      <c r="Z459" s="508"/>
      <c r="AA459" s="508"/>
    </row>
    <row r="460">
      <c r="A460" s="508"/>
      <c r="B460" s="508"/>
      <c r="C460" s="508"/>
      <c r="D460" s="508"/>
      <c r="E460" s="967"/>
      <c r="F460" s="508"/>
      <c r="G460" s="508"/>
      <c r="H460" s="967"/>
      <c r="I460" s="508"/>
      <c r="J460" s="508"/>
      <c r="K460" s="508"/>
      <c r="L460" s="508"/>
      <c r="M460" s="508"/>
      <c r="N460" s="508"/>
      <c r="O460" s="508"/>
      <c r="P460" s="508"/>
      <c r="Q460" s="508"/>
      <c r="R460" s="508"/>
      <c r="S460" s="508"/>
      <c r="T460" s="508"/>
      <c r="U460" s="508"/>
      <c r="V460" s="508"/>
      <c r="W460" s="508"/>
      <c r="X460" s="508"/>
      <c r="Y460" s="508"/>
      <c r="Z460" s="508"/>
      <c r="AA460" s="508"/>
    </row>
    <row r="461">
      <c r="A461" s="508"/>
      <c r="B461" s="508"/>
      <c r="C461" s="508"/>
      <c r="D461" s="508"/>
      <c r="E461" s="967"/>
      <c r="F461" s="508"/>
      <c r="G461" s="508"/>
      <c r="H461" s="967"/>
      <c r="I461" s="508"/>
      <c r="J461" s="508"/>
      <c r="K461" s="508"/>
      <c r="L461" s="508"/>
      <c r="M461" s="508"/>
      <c r="N461" s="508"/>
      <c r="O461" s="508"/>
      <c r="P461" s="508"/>
      <c r="Q461" s="508"/>
      <c r="R461" s="508"/>
      <c r="S461" s="508"/>
      <c r="T461" s="508"/>
      <c r="U461" s="508"/>
      <c r="V461" s="508"/>
      <c r="W461" s="508"/>
      <c r="X461" s="508"/>
      <c r="Y461" s="508"/>
      <c r="Z461" s="508"/>
      <c r="AA461" s="508"/>
    </row>
    <row r="462">
      <c r="A462" s="508"/>
      <c r="B462" s="508"/>
      <c r="C462" s="508"/>
      <c r="D462" s="508"/>
      <c r="E462" s="967"/>
      <c r="F462" s="508"/>
      <c r="G462" s="508"/>
      <c r="H462" s="967"/>
      <c r="I462" s="508"/>
      <c r="J462" s="508"/>
      <c r="K462" s="508"/>
      <c r="L462" s="508"/>
      <c r="M462" s="508"/>
      <c r="N462" s="508"/>
      <c r="O462" s="508"/>
      <c r="P462" s="508"/>
      <c r="Q462" s="508"/>
      <c r="R462" s="508"/>
      <c r="S462" s="508"/>
      <c r="T462" s="508"/>
      <c r="U462" s="508"/>
      <c r="V462" s="508"/>
      <c r="W462" s="508"/>
      <c r="X462" s="508"/>
      <c r="Y462" s="508"/>
      <c r="Z462" s="508"/>
      <c r="AA462" s="508"/>
    </row>
    <row r="463">
      <c r="A463" s="508"/>
      <c r="B463" s="508"/>
      <c r="C463" s="508"/>
      <c r="D463" s="508"/>
      <c r="E463" s="967"/>
      <c r="F463" s="508"/>
      <c r="G463" s="508"/>
      <c r="H463" s="967"/>
      <c r="I463" s="508"/>
      <c r="J463" s="508"/>
      <c r="K463" s="508"/>
      <c r="L463" s="508"/>
      <c r="M463" s="508"/>
      <c r="N463" s="508"/>
      <c r="O463" s="508"/>
      <c r="P463" s="508"/>
      <c r="Q463" s="508"/>
      <c r="R463" s="508"/>
      <c r="S463" s="508"/>
      <c r="T463" s="508"/>
      <c r="U463" s="508"/>
      <c r="V463" s="508"/>
      <c r="W463" s="508"/>
      <c r="X463" s="508"/>
      <c r="Y463" s="508"/>
      <c r="Z463" s="508"/>
      <c r="AA463" s="508"/>
    </row>
    <row r="464">
      <c r="A464" s="508"/>
      <c r="B464" s="508"/>
      <c r="C464" s="508"/>
      <c r="D464" s="508"/>
      <c r="E464" s="967"/>
      <c r="F464" s="508"/>
      <c r="G464" s="508"/>
      <c r="H464" s="967"/>
      <c r="I464" s="508"/>
      <c r="J464" s="508"/>
      <c r="K464" s="508"/>
      <c r="L464" s="508"/>
      <c r="M464" s="508"/>
      <c r="N464" s="508"/>
      <c r="O464" s="508"/>
      <c r="P464" s="508"/>
      <c r="Q464" s="508"/>
      <c r="R464" s="508"/>
      <c r="S464" s="508"/>
      <c r="T464" s="508"/>
      <c r="U464" s="508"/>
      <c r="V464" s="508"/>
      <c r="W464" s="508"/>
      <c r="X464" s="508"/>
      <c r="Y464" s="508"/>
      <c r="Z464" s="508"/>
      <c r="AA464" s="508"/>
    </row>
    <row r="465">
      <c r="A465" s="508"/>
      <c r="B465" s="508"/>
      <c r="C465" s="508"/>
      <c r="D465" s="508"/>
      <c r="E465" s="967"/>
      <c r="F465" s="508"/>
      <c r="G465" s="508"/>
      <c r="H465" s="967"/>
      <c r="I465" s="508"/>
      <c r="J465" s="508"/>
      <c r="K465" s="508"/>
      <c r="L465" s="508"/>
      <c r="M465" s="508"/>
      <c r="N465" s="508"/>
      <c r="O465" s="508"/>
      <c r="P465" s="508"/>
      <c r="Q465" s="508"/>
      <c r="R465" s="508"/>
      <c r="S465" s="508"/>
      <c r="T465" s="508"/>
      <c r="U465" s="508"/>
      <c r="V465" s="508"/>
      <c r="W465" s="508"/>
      <c r="X465" s="508"/>
      <c r="Y465" s="508"/>
      <c r="Z465" s="508"/>
      <c r="AA465" s="508"/>
    </row>
    <row r="466">
      <c r="A466" s="508"/>
      <c r="B466" s="508"/>
      <c r="C466" s="508"/>
      <c r="D466" s="508"/>
      <c r="E466" s="967"/>
      <c r="F466" s="508"/>
      <c r="G466" s="508"/>
      <c r="H466" s="967"/>
      <c r="I466" s="508"/>
      <c r="J466" s="508"/>
      <c r="K466" s="508"/>
      <c r="L466" s="508"/>
      <c r="M466" s="508"/>
      <c r="N466" s="508"/>
      <c r="O466" s="508"/>
      <c r="P466" s="508"/>
      <c r="Q466" s="508"/>
      <c r="R466" s="508"/>
      <c r="S466" s="508"/>
      <c r="T466" s="508"/>
      <c r="U466" s="508"/>
      <c r="V466" s="508"/>
      <c r="W466" s="508"/>
      <c r="X466" s="508"/>
      <c r="Y466" s="508"/>
      <c r="Z466" s="508"/>
      <c r="AA466" s="508"/>
    </row>
    <row r="467">
      <c r="A467" s="508"/>
      <c r="B467" s="508"/>
      <c r="C467" s="508"/>
      <c r="D467" s="508"/>
      <c r="E467" s="967"/>
      <c r="F467" s="508"/>
      <c r="G467" s="508"/>
      <c r="H467" s="967"/>
      <c r="I467" s="508"/>
      <c r="J467" s="508"/>
      <c r="K467" s="508"/>
      <c r="L467" s="508"/>
      <c r="M467" s="508"/>
      <c r="N467" s="508"/>
      <c r="O467" s="508"/>
      <c r="P467" s="508"/>
      <c r="Q467" s="508"/>
      <c r="R467" s="508"/>
      <c r="S467" s="508"/>
      <c r="T467" s="508"/>
      <c r="U467" s="508"/>
      <c r="V467" s="508"/>
      <c r="W467" s="508"/>
      <c r="X467" s="508"/>
      <c r="Y467" s="508"/>
      <c r="Z467" s="508"/>
      <c r="AA467" s="508"/>
    </row>
    <row r="468">
      <c r="A468" s="508"/>
      <c r="B468" s="508"/>
      <c r="C468" s="508"/>
      <c r="D468" s="508"/>
      <c r="E468" s="967"/>
      <c r="F468" s="508"/>
      <c r="G468" s="508"/>
      <c r="H468" s="967"/>
      <c r="I468" s="508"/>
      <c r="J468" s="508"/>
      <c r="K468" s="508"/>
      <c r="L468" s="508"/>
      <c r="M468" s="508"/>
      <c r="N468" s="508"/>
      <c r="O468" s="508"/>
      <c r="P468" s="508"/>
      <c r="Q468" s="508"/>
      <c r="R468" s="508"/>
      <c r="S468" s="508"/>
      <c r="T468" s="508"/>
      <c r="U468" s="508"/>
      <c r="V468" s="508"/>
      <c r="W468" s="508"/>
      <c r="X468" s="508"/>
      <c r="Y468" s="508"/>
      <c r="Z468" s="508"/>
      <c r="AA468" s="508"/>
    </row>
    <row r="469">
      <c r="A469" s="508"/>
      <c r="B469" s="508"/>
      <c r="C469" s="508"/>
      <c r="D469" s="508"/>
      <c r="E469" s="967"/>
      <c r="F469" s="508"/>
      <c r="G469" s="508"/>
      <c r="H469" s="967"/>
      <c r="I469" s="508"/>
      <c r="J469" s="508"/>
      <c r="K469" s="508"/>
      <c r="L469" s="508"/>
      <c r="M469" s="508"/>
      <c r="N469" s="508"/>
      <c r="O469" s="508"/>
      <c r="P469" s="508"/>
      <c r="Q469" s="508"/>
      <c r="R469" s="508"/>
      <c r="S469" s="508"/>
      <c r="T469" s="508"/>
      <c r="U469" s="508"/>
      <c r="V469" s="508"/>
      <c r="W469" s="508"/>
      <c r="X469" s="508"/>
      <c r="Y469" s="508"/>
      <c r="Z469" s="508"/>
      <c r="AA469" s="508"/>
    </row>
    <row r="470">
      <c r="A470" s="508"/>
      <c r="B470" s="508"/>
      <c r="C470" s="508"/>
      <c r="D470" s="508"/>
      <c r="E470" s="967"/>
      <c r="F470" s="508"/>
      <c r="G470" s="508"/>
      <c r="H470" s="967"/>
      <c r="I470" s="508"/>
      <c r="J470" s="508"/>
      <c r="K470" s="508"/>
      <c r="L470" s="508"/>
      <c r="M470" s="508"/>
      <c r="N470" s="508"/>
      <c r="O470" s="508"/>
      <c r="P470" s="508"/>
      <c r="Q470" s="508"/>
      <c r="R470" s="508"/>
      <c r="S470" s="508"/>
      <c r="T470" s="508"/>
      <c r="U470" s="508"/>
      <c r="V470" s="508"/>
      <c r="W470" s="508"/>
      <c r="X470" s="508"/>
      <c r="Y470" s="508"/>
      <c r="Z470" s="508"/>
      <c r="AA470" s="508"/>
    </row>
    <row r="471">
      <c r="A471" s="508"/>
      <c r="B471" s="508"/>
      <c r="C471" s="508"/>
      <c r="D471" s="508"/>
      <c r="E471" s="967"/>
      <c r="F471" s="508"/>
      <c r="G471" s="508"/>
      <c r="H471" s="967"/>
      <c r="I471" s="508"/>
      <c r="J471" s="508"/>
      <c r="K471" s="508"/>
      <c r="L471" s="508"/>
      <c r="M471" s="508"/>
      <c r="N471" s="508"/>
      <c r="O471" s="508"/>
      <c r="P471" s="508"/>
      <c r="Q471" s="508"/>
      <c r="R471" s="508"/>
      <c r="S471" s="508"/>
      <c r="T471" s="508"/>
      <c r="U471" s="508"/>
      <c r="V471" s="508"/>
      <c r="W471" s="508"/>
      <c r="X471" s="508"/>
      <c r="Y471" s="508"/>
      <c r="Z471" s="508"/>
      <c r="AA471" s="508"/>
    </row>
    <row r="472">
      <c r="A472" s="508"/>
      <c r="B472" s="508"/>
      <c r="C472" s="508"/>
      <c r="D472" s="508"/>
      <c r="E472" s="967"/>
      <c r="F472" s="508"/>
      <c r="G472" s="508"/>
      <c r="H472" s="967"/>
      <c r="I472" s="508"/>
      <c r="J472" s="508"/>
      <c r="K472" s="508"/>
      <c r="L472" s="508"/>
      <c r="M472" s="508"/>
      <c r="N472" s="508"/>
      <c r="O472" s="508"/>
      <c r="P472" s="508"/>
      <c r="Q472" s="508"/>
      <c r="R472" s="508"/>
      <c r="S472" s="508"/>
      <c r="T472" s="508"/>
      <c r="U472" s="508"/>
      <c r="V472" s="508"/>
      <c r="W472" s="508"/>
      <c r="X472" s="508"/>
      <c r="Y472" s="508"/>
      <c r="Z472" s="508"/>
      <c r="AA472" s="508"/>
    </row>
    <row r="473">
      <c r="A473" s="508"/>
      <c r="B473" s="508"/>
      <c r="C473" s="508"/>
      <c r="D473" s="508"/>
      <c r="E473" s="967"/>
      <c r="F473" s="508"/>
      <c r="G473" s="508"/>
      <c r="H473" s="967"/>
      <c r="I473" s="508"/>
      <c r="J473" s="508"/>
      <c r="K473" s="508"/>
      <c r="L473" s="508"/>
      <c r="M473" s="508"/>
      <c r="N473" s="508"/>
      <c r="O473" s="508"/>
      <c r="P473" s="508"/>
      <c r="Q473" s="508"/>
      <c r="R473" s="508"/>
      <c r="S473" s="508"/>
      <c r="T473" s="508"/>
      <c r="U473" s="508"/>
      <c r="V473" s="508"/>
      <c r="W473" s="508"/>
      <c r="X473" s="508"/>
      <c r="Y473" s="508"/>
      <c r="Z473" s="508"/>
      <c r="AA473" s="508"/>
    </row>
    <row r="474">
      <c r="A474" s="508"/>
      <c r="B474" s="508"/>
      <c r="C474" s="508"/>
      <c r="D474" s="508"/>
      <c r="E474" s="967"/>
      <c r="F474" s="508"/>
      <c r="G474" s="508"/>
      <c r="H474" s="967"/>
      <c r="I474" s="508"/>
      <c r="J474" s="508"/>
      <c r="K474" s="508"/>
      <c r="L474" s="508"/>
      <c r="M474" s="508"/>
      <c r="N474" s="508"/>
      <c r="O474" s="508"/>
      <c r="P474" s="508"/>
      <c r="Q474" s="508"/>
      <c r="R474" s="508"/>
      <c r="S474" s="508"/>
      <c r="T474" s="508"/>
      <c r="U474" s="508"/>
      <c r="V474" s="508"/>
      <c r="W474" s="508"/>
      <c r="X474" s="508"/>
      <c r="Y474" s="508"/>
      <c r="Z474" s="508"/>
      <c r="AA474" s="508"/>
    </row>
    <row r="475">
      <c r="A475" s="508"/>
      <c r="B475" s="508"/>
      <c r="C475" s="508"/>
      <c r="D475" s="508"/>
      <c r="E475" s="967"/>
      <c r="F475" s="508"/>
      <c r="G475" s="508"/>
      <c r="H475" s="967"/>
      <c r="I475" s="508"/>
      <c r="J475" s="508"/>
      <c r="K475" s="508"/>
      <c r="L475" s="508"/>
      <c r="M475" s="508"/>
      <c r="N475" s="508"/>
      <c r="O475" s="508"/>
      <c r="P475" s="508"/>
      <c r="Q475" s="508"/>
      <c r="R475" s="508"/>
      <c r="S475" s="508"/>
      <c r="T475" s="508"/>
      <c r="U475" s="508"/>
      <c r="V475" s="508"/>
      <c r="W475" s="508"/>
      <c r="X475" s="508"/>
      <c r="Y475" s="508"/>
      <c r="Z475" s="508"/>
      <c r="AA475" s="508"/>
    </row>
    <row r="476">
      <c r="A476" s="508"/>
      <c r="B476" s="508"/>
      <c r="C476" s="508"/>
      <c r="D476" s="508"/>
      <c r="E476" s="967"/>
      <c r="F476" s="508"/>
      <c r="G476" s="508"/>
      <c r="H476" s="967"/>
      <c r="I476" s="508"/>
      <c r="J476" s="508"/>
      <c r="K476" s="508"/>
      <c r="L476" s="508"/>
      <c r="M476" s="508"/>
      <c r="N476" s="508"/>
      <c r="O476" s="508"/>
      <c r="P476" s="508"/>
      <c r="Q476" s="508"/>
      <c r="R476" s="508"/>
      <c r="S476" s="508"/>
      <c r="T476" s="508"/>
      <c r="U476" s="508"/>
      <c r="V476" s="508"/>
      <c r="W476" s="508"/>
      <c r="X476" s="508"/>
      <c r="Y476" s="508"/>
      <c r="Z476" s="508"/>
      <c r="AA476" s="508"/>
    </row>
    <row r="477">
      <c r="A477" s="508"/>
      <c r="B477" s="508"/>
      <c r="C477" s="508"/>
      <c r="D477" s="508"/>
      <c r="E477" s="967"/>
      <c r="F477" s="508"/>
      <c r="G477" s="508"/>
      <c r="H477" s="967"/>
      <c r="I477" s="508"/>
      <c r="J477" s="508"/>
      <c r="K477" s="508"/>
      <c r="L477" s="508"/>
      <c r="M477" s="508"/>
      <c r="N477" s="508"/>
      <c r="O477" s="508"/>
      <c r="P477" s="508"/>
      <c r="Q477" s="508"/>
      <c r="R477" s="508"/>
      <c r="S477" s="508"/>
      <c r="T477" s="508"/>
      <c r="U477" s="508"/>
      <c r="V477" s="508"/>
      <c r="W477" s="508"/>
      <c r="X477" s="508"/>
      <c r="Y477" s="508"/>
      <c r="Z477" s="508"/>
      <c r="AA477" s="508"/>
    </row>
    <row r="478">
      <c r="A478" s="508"/>
      <c r="B478" s="508"/>
      <c r="C478" s="508"/>
      <c r="D478" s="508"/>
      <c r="E478" s="967"/>
      <c r="F478" s="508"/>
      <c r="G478" s="508"/>
      <c r="H478" s="967"/>
      <c r="I478" s="508"/>
      <c r="J478" s="508"/>
      <c r="K478" s="508"/>
      <c r="L478" s="508"/>
      <c r="M478" s="508"/>
      <c r="N478" s="508"/>
      <c r="O478" s="508"/>
      <c r="P478" s="508"/>
      <c r="Q478" s="508"/>
      <c r="R478" s="508"/>
      <c r="S478" s="508"/>
      <c r="T478" s="508"/>
      <c r="U478" s="508"/>
      <c r="V478" s="508"/>
      <c r="W478" s="508"/>
      <c r="X478" s="508"/>
      <c r="Y478" s="508"/>
      <c r="Z478" s="508"/>
      <c r="AA478" s="508"/>
    </row>
    <row r="479">
      <c r="A479" s="508"/>
      <c r="B479" s="508"/>
      <c r="C479" s="508"/>
      <c r="D479" s="508"/>
      <c r="E479" s="967"/>
      <c r="F479" s="508"/>
      <c r="G479" s="508"/>
      <c r="H479" s="967"/>
      <c r="I479" s="508"/>
      <c r="J479" s="508"/>
      <c r="K479" s="508"/>
      <c r="L479" s="508"/>
      <c r="M479" s="508"/>
      <c r="N479" s="508"/>
      <c r="O479" s="508"/>
      <c r="P479" s="508"/>
      <c r="Q479" s="508"/>
      <c r="R479" s="508"/>
      <c r="S479" s="508"/>
      <c r="T479" s="508"/>
      <c r="U479" s="508"/>
      <c r="V479" s="508"/>
      <c r="W479" s="508"/>
      <c r="X479" s="508"/>
      <c r="Y479" s="508"/>
      <c r="Z479" s="508"/>
      <c r="AA479" s="508"/>
    </row>
    <row r="480">
      <c r="A480" s="508"/>
      <c r="B480" s="508"/>
      <c r="C480" s="508"/>
      <c r="D480" s="508"/>
      <c r="E480" s="967"/>
      <c r="F480" s="508"/>
      <c r="G480" s="508"/>
      <c r="H480" s="967"/>
      <c r="I480" s="508"/>
      <c r="J480" s="508"/>
      <c r="K480" s="508"/>
      <c r="L480" s="508"/>
      <c r="M480" s="508"/>
      <c r="N480" s="508"/>
      <c r="O480" s="508"/>
      <c r="P480" s="508"/>
      <c r="Q480" s="508"/>
      <c r="R480" s="508"/>
      <c r="S480" s="508"/>
      <c r="T480" s="508"/>
      <c r="U480" s="508"/>
      <c r="V480" s="508"/>
      <c r="W480" s="508"/>
      <c r="X480" s="508"/>
      <c r="Y480" s="508"/>
      <c r="Z480" s="508"/>
      <c r="AA480" s="508"/>
    </row>
    <row r="481">
      <c r="A481" s="508"/>
      <c r="B481" s="508"/>
      <c r="C481" s="508"/>
      <c r="D481" s="508"/>
      <c r="E481" s="967"/>
      <c r="F481" s="508"/>
      <c r="G481" s="508"/>
      <c r="H481" s="967"/>
      <c r="I481" s="508"/>
      <c r="J481" s="508"/>
      <c r="K481" s="508"/>
      <c r="L481" s="508"/>
      <c r="M481" s="508"/>
      <c r="N481" s="508"/>
      <c r="O481" s="508"/>
      <c r="P481" s="508"/>
      <c r="Q481" s="508"/>
      <c r="R481" s="508"/>
      <c r="S481" s="508"/>
      <c r="T481" s="508"/>
      <c r="U481" s="508"/>
      <c r="V481" s="508"/>
      <c r="W481" s="508"/>
      <c r="X481" s="508"/>
      <c r="Y481" s="508"/>
      <c r="Z481" s="508"/>
      <c r="AA481" s="508"/>
    </row>
    <row r="482">
      <c r="A482" s="508"/>
      <c r="B482" s="508"/>
      <c r="C482" s="508"/>
      <c r="D482" s="508"/>
      <c r="E482" s="967"/>
      <c r="F482" s="508"/>
      <c r="G482" s="508"/>
      <c r="H482" s="967"/>
      <c r="I482" s="508"/>
      <c r="J482" s="508"/>
      <c r="K482" s="508"/>
      <c r="L482" s="508"/>
      <c r="M482" s="508"/>
      <c r="N482" s="508"/>
      <c r="O482" s="508"/>
      <c r="P482" s="508"/>
      <c r="Q482" s="508"/>
      <c r="R482" s="508"/>
      <c r="S482" s="508"/>
      <c r="T482" s="508"/>
      <c r="U482" s="508"/>
      <c r="V482" s="508"/>
      <c r="W482" s="508"/>
      <c r="X482" s="508"/>
      <c r="Y482" s="508"/>
      <c r="Z482" s="508"/>
      <c r="AA482" s="508"/>
    </row>
    <row r="483">
      <c r="A483" s="508"/>
      <c r="B483" s="508"/>
      <c r="C483" s="508"/>
      <c r="D483" s="508"/>
      <c r="E483" s="967"/>
      <c r="F483" s="508"/>
      <c r="G483" s="508"/>
      <c r="H483" s="967"/>
      <c r="I483" s="508"/>
      <c r="J483" s="508"/>
      <c r="K483" s="508"/>
      <c r="L483" s="508"/>
      <c r="M483" s="508"/>
      <c r="N483" s="508"/>
      <c r="O483" s="508"/>
      <c r="P483" s="508"/>
      <c r="Q483" s="508"/>
      <c r="R483" s="508"/>
      <c r="S483" s="508"/>
      <c r="T483" s="508"/>
      <c r="U483" s="508"/>
      <c r="V483" s="508"/>
      <c r="W483" s="508"/>
      <c r="X483" s="508"/>
      <c r="Y483" s="508"/>
      <c r="Z483" s="508"/>
      <c r="AA483" s="508"/>
    </row>
    <row r="484">
      <c r="A484" s="508"/>
      <c r="B484" s="508"/>
      <c r="C484" s="508"/>
      <c r="D484" s="508"/>
      <c r="E484" s="967"/>
      <c r="F484" s="508"/>
      <c r="G484" s="508"/>
      <c r="H484" s="967"/>
      <c r="I484" s="508"/>
      <c r="J484" s="508"/>
      <c r="K484" s="508"/>
      <c r="L484" s="508"/>
      <c r="M484" s="508"/>
      <c r="N484" s="508"/>
      <c r="O484" s="508"/>
      <c r="P484" s="508"/>
      <c r="Q484" s="508"/>
      <c r="R484" s="508"/>
      <c r="S484" s="508"/>
      <c r="T484" s="508"/>
      <c r="U484" s="508"/>
      <c r="V484" s="508"/>
      <c r="W484" s="508"/>
      <c r="X484" s="508"/>
      <c r="Y484" s="508"/>
      <c r="Z484" s="508"/>
      <c r="AA484" s="508"/>
    </row>
    <row r="485">
      <c r="A485" s="508"/>
      <c r="B485" s="508"/>
      <c r="C485" s="508"/>
      <c r="D485" s="508"/>
      <c r="E485" s="967"/>
      <c r="F485" s="508"/>
      <c r="G485" s="508"/>
      <c r="H485" s="967"/>
      <c r="I485" s="508"/>
      <c r="J485" s="508"/>
      <c r="K485" s="508"/>
      <c r="L485" s="508"/>
      <c r="M485" s="508"/>
      <c r="N485" s="508"/>
      <c r="O485" s="508"/>
      <c r="P485" s="508"/>
      <c r="Q485" s="508"/>
      <c r="R485" s="508"/>
      <c r="S485" s="508"/>
      <c r="T485" s="508"/>
      <c r="U485" s="508"/>
      <c r="V485" s="508"/>
      <c r="W485" s="508"/>
      <c r="X485" s="508"/>
      <c r="Y485" s="508"/>
      <c r="Z485" s="508"/>
      <c r="AA485" s="508"/>
    </row>
    <row r="486">
      <c r="A486" s="508"/>
      <c r="B486" s="508"/>
      <c r="C486" s="508"/>
      <c r="D486" s="508"/>
      <c r="E486" s="967"/>
      <c r="F486" s="508"/>
      <c r="G486" s="508"/>
      <c r="H486" s="967"/>
      <c r="I486" s="508"/>
      <c r="J486" s="508"/>
      <c r="K486" s="508"/>
      <c r="L486" s="508"/>
      <c r="M486" s="508"/>
      <c r="N486" s="508"/>
      <c r="O486" s="508"/>
      <c r="P486" s="508"/>
      <c r="Q486" s="508"/>
      <c r="R486" s="508"/>
      <c r="S486" s="508"/>
      <c r="T486" s="508"/>
      <c r="U486" s="508"/>
      <c r="V486" s="508"/>
      <c r="W486" s="508"/>
      <c r="X486" s="508"/>
      <c r="Y486" s="508"/>
      <c r="Z486" s="508"/>
      <c r="AA486" s="508"/>
    </row>
    <row r="487">
      <c r="A487" s="508"/>
      <c r="B487" s="508"/>
      <c r="C487" s="508"/>
      <c r="D487" s="508"/>
      <c r="E487" s="967"/>
      <c r="F487" s="508"/>
      <c r="G487" s="508"/>
      <c r="H487" s="967"/>
      <c r="I487" s="508"/>
      <c r="J487" s="508"/>
      <c r="K487" s="508"/>
      <c r="L487" s="508"/>
      <c r="M487" s="508"/>
      <c r="N487" s="508"/>
      <c r="O487" s="508"/>
      <c r="P487" s="508"/>
      <c r="Q487" s="508"/>
      <c r="R487" s="508"/>
      <c r="S487" s="508"/>
      <c r="T487" s="508"/>
      <c r="U487" s="508"/>
      <c r="V487" s="508"/>
      <c r="W487" s="508"/>
      <c r="X487" s="508"/>
      <c r="Y487" s="508"/>
      <c r="Z487" s="508"/>
      <c r="AA487" s="508"/>
    </row>
    <row r="488">
      <c r="A488" s="508"/>
      <c r="B488" s="508"/>
      <c r="C488" s="508"/>
      <c r="D488" s="508"/>
      <c r="E488" s="967"/>
      <c r="F488" s="508"/>
      <c r="G488" s="508"/>
      <c r="H488" s="967"/>
      <c r="I488" s="508"/>
      <c r="J488" s="508"/>
      <c r="K488" s="508"/>
      <c r="L488" s="508"/>
      <c r="M488" s="508"/>
      <c r="N488" s="508"/>
      <c r="O488" s="508"/>
      <c r="P488" s="508"/>
      <c r="Q488" s="508"/>
      <c r="R488" s="508"/>
      <c r="S488" s="508"/>
      <c r="T488" s="508"/>
      <c r="U488" s="508"/>
      <c r="V488" s="508"/>
      <c r="W488" s="508"/>
      <c r="X488" s="508"/>
      <c r="Y488" s="508"/>
      <c r="Z488" s="508"/>
      <c r="AA488" s="508"/>
    </row>
    <row r="489">
      <c r="A489" s="508"/>
      <c r="B489" s="508"/>
      <c r="C489" s="508"/>
      <c r="D489" s="508"/>
      <c r="E489" s="967"/>
      <c r="F489" s="508"/>
      <c r="G489" s="508"/>
      <c r="H489" s="967"/>
      <c r="I489" s="508"/>
      <c r="J489" s="508"/>
      <c r="K489" s="508"/>
      <c r="L489" s="508"/>
      <c r="M489" s="508"/>
      <c r="N489" s="508"/>
      <c r="O489" s="508"/>
      <c r="P489" s="508"/>
      <c r="Q489" s="508"/>
      <c r="R489" s="508"/>
      <c r="S489" s="508"/>
      <c r="T489" s="508"/>
      <c r="U489" s="508"/>
      <c r="V489" s="508"/>
      <c r="W489" s="508"/>
      <c r="X489" s="508"/>
      <c r="Y489" s="508"/>
      <c r="Z489" s="508"/>
      <c r="AA489" s="508"/>
    </row>
    <row r="490">
      <c r="A490" s="508"/>
      <c r="B490" s="508"/>
      <c r="C490" s="508"/>
      <c r="D490" s="508"/>
      <c r="E490" s="967"/>
      <c r="F490" s="508"/>
      <c r="G490" s="508"/>
      <c r="H490" s="967"/>
      <c r="I490" s="508"/>
      <c r="J490" s="508"/>
      <c r="K490" s="508"/>
      <c r="L490" s="508"/>
      <c r="M490" s="508"/>
      <c r="N490" s="508"/>
      <c r="O490" s="508"/>
      <c r="P490" s="508"/>
      <c r="Q490" s="508"/>
      <c r="R490" s="508"/>
      <c r="S490" s="508"/>
      <c r="T490" s="508"/>
      <c r="U490" s="508"/>
      <c r="V490" s="508"/>
      <c r="W490" s="508"/>
      <c r="X490" s="508"/>
      <c r="Y490" s="508"/>
      <c r="Z490" s="508"/>
      <c r="AA490" s="508"/>
    </row>
    <row r="491">
      <c r="A491" s="508"/>
      <c r="B491" s="508"/>
      <c r="C491" s="508"/>
      <c r="D491" s="508"/>
      <c r="E491" s="967"/>
      <c r="F491" s="508"/>
      <c r="G491" s="508"/>
      <c r="H491" s="967"/>
      <c r="I491" s="508"/>
      <c r="J491" s="508"/>
      <c r="K491" s="508"/>
      <c r="L491" s="508"/>
      <c r="M491" s="508"/>
      <c r="N491" s="508"/>
      <c r="O491" s="508"/>
      <c r="P491" s="508"/>
      <c r="Q491" s="508"/>
      <c r="R491" s="508"/>
      <c r="S491" s="508"/>
      <c r="T491" s="508"/>
      <c r="U491" s="508"/>
      <c r="V491" s="508"/>
      <c r="W491" s="508"/>
      <c r="X491" s="508"/>
      <c r="Y491" s="508"/>
      <c r="Z491" s="508"/>
      <c r="AA491" s="508"/>
    </row>
    <row r="492">
      <c r="A492" s="508"/>
      <c r="B492" s="508"/>
      <c r="C492" s="508"/>
      <c r="D492" s="508"/>
      <c r="E492" s="967"/>
      <c r="F492" s="508"/>
      <c r="G492" s="508"/>
      <c r="H492" s="967"/>
      <c r="I492" s="508"/>
      <c r="J492" s="508"/>
      <c r="K492" s="508"/>
      <c r="L492" s="508"/>
      <c r="M492" s="508"/>
      <c r="N492" s="508"/>
      <c r="O492" s="508"/>
      <c r="P492" s="508"/>
      <c r="Q492" s="508"/>
      <c r="R492" s="508"/>
      <c r="S492" s="508"/>
      <c r="T492" s="508"/>
      <c r="U492" s="508"/>
      <c r="V492" s="508"/>
      <c r="W492" s="508"/>
      <c r="X492" s="508"/>
      <c r="Y492" s="508"/>
      <c r="Z492" s="508"/>
      <c r="AA492" s="508"/>
    </row>
    <row r="493">
      <c r="A493" s="508"/>
      <c r="B493" s="508"/>
      <c r="C493" s="508"/>
      <c r="D493" s="508"/>
      <c r="E493" s="967"/>
      <c r="F493" s="508"/>
      <c r="G493" s="508"/>
      <c r="H493" s="967"/>
      <c r="I493" s="508"/>
      <c r="J493" s="508"/>
      <c r="K493" s="508"/>
      <c r="L493" s="508"/>
      <c r="M493" s="508"/>
      <c r="N493" s="508"/>
      <c r="O493" s="508"/>
      <c r="P493" s="508"/>
      <c r="Q493" s="508"/>
      <c r="R493" s="508"/>
      <c r="S493" s="508"/>
      <c r="T493" s="508"/>
      <c r="U493" s="508"/>
      <c r="V493" s="508"/>
      <c r="W493" s="508"/>
      <c r="X493" s="508"/>
      <c r="Y493" s="508"/>
      <c r="Z493" s="508"/>
      <c r="AA493" s="508"/>
    </row>
    <row r="494">
      <c r="A494" s="508"/>
      <c r="B494" s="508"/>
      <c r="C494" s="508"/>
      <c r="D494" s="508"/>
      <c r="E494" s="967"/>
      <c r="F494" s="508"/>
      <c r="G494" s="508"/>
      <c r="H494" s="967"/>
      <c r="I494" s="508"/>
      <c r="J494" s="508"/>
      <c r="K494" s="508"/>
      <c r="L494" s="508"/>
      <c r="M494" s="508"/>
      <c r="N494" s="508"/>
      <c r="O494" s="508"/>
      <c r="P494" s="508"/>
      <c r="Q494" s="508"/>
      <c r="R494" s="508"/>
      <c r="S494" s="508"/>
      <c r="T494" s="508"/>
      <c r="U494" s="508"/>
      <c r="V494" s="508"/>
      <c r="W494" s="508"/>
      <c r="X494" s="508"/>
      <c r="Y494" s="508"/>
      <c r="Z494" s="508"/>
      <c r="AA494" s="508"/>
    </row>
    <row r="495">
      <c r="A495" s="508"/>
      <c r="B495" s="508"/>
      <c r="C495" s="508"/>
      <c r="D495" s="508"/>
      <c r="E495" s="967"/>
      <c r="F495" s="508"/>
      <c r="G495" s="508"/>
      <c r="H495" s="967"/>
      <c r="I495" s="508"/>
      <c r="J495" s="508"/>
      <c r="K495" s="508"/>
      <c r="L495" s="508"/>
      <c r="M495" s="508"/>
      <c r="N495" s="508"/>
      <c r="O495" s="508"/>
      <c r="P495" s="508"/>
      <c r="Q495" s="508"/>
      <c r="R495" s="508"/>
      <c r="S495" s="508"/>
      <c r="T495" s="508"/>
      <c r="U495" s="508"/>
      <c r="V495" s="508"/>
      <c r="W495" s="508"/>
      <c r="X495" s="508"/>
      <c r="Y495" s="508"/>
      <c r="Z495" s="508"/>
      <c r="AA495" s="508"/>
    </row>
    <row r="496">
      <c r="A496" s="508"/>
      <c r="B496" s="508"/>
      <c r="C496" s="508"/>
      <c r="D496" s="508"/>
      <c r="E496" s="967"/>
      <c r="F496" s="508"/>
      <c r="G496" s="508"/>
      <c r="H496" s="967"/>
      <c r="I496" s="508"/>
      <c r="J496" s="508"/>
      <c r="K496" s="508"/>
      <c r="L496" s="508"/>
      <c r="M496" s="508"/>
      <c r="N496" s="508"/>
      <c r="O496" s="508"/>
      <c r="P496" s="508"/>
      <c r="Q496" s="508"/>
      <c r="R496" s="508"/>
      <c r="S496" s="508"/>
      <c r="T496" s="508"/>
      <c r="U496" s="508"/>
      <c r="V496" s="508"/>
      <c r="W496" s="508"/>
      <c r="X496" s="508"/>
      <c r="Y496" s="508"/>
      <c r="Z496" s="508"/>
      <c r="AA496" s="508"/>
    </row>
    <row r="497">
      <c r="A497" s="508"/>
      <c r="B497" s="508"/>
      <c r="C497" s="508"/>
      <c r="D497" s="508"/>
      <c r="E497" s="967"/>
      <c r="F497" s="508"/>
      <c r="G497" s="508"/>
      <c r="H497" s="967"/>
      <c r="I497" s="508"/>
      <c r="J497" s="508"/>
      <c r="K497" s="508"/>
      <c r="L497" s="508"/>
      <c r="M497" s="508"/>
      <c r="N497" s="508"/>
      <c r="O497" s="508"/>
      <c r="P497" s="508"/>
      <c r="Q497" s="508"/>
      <c r="R497" s="508"/>
      <c r="S497" s="508"/>
      <c r="T497" s="508"/>
      <c r="U497" s="508"/>
      <c r="V497" s="508"/>
      <c r="W497" s="508"/>
      <c r="X497" s="508"/>
      <c r="Y497" s="508"/>
      <c r="Z497" s="508"/>
      <c r="AA497" s="508"/>
    </row>
    <row r="498">
      <c r="A498" s="508"/>
      <c r="B498" s="508"/>
      <c r="C498" s="508"/>
      <c r="D498" s="508"/>
      <c r="E498" s="967"/>
      <c r="F498" s="508"/>
      <c r="G498" s="508"/>
      <c r="H498" s="967"/>
      <c r="I498" s="508"/>
      <c r="J498" s="508"/>
      <c r="K498" s="508"/>
      <c r="L498" s="508"/>
      <c r="M498" s="508"/>
      <c r="N498" s="508"/>
      <c r="O498" s="508"/>
      <c r="P498" s="508"/>
      <c r="Q498" s="508"/>
      <c r="R498" s="508"/>
      <c r="S498" s="508"/>
      <c r="T498" s="508"/>
      <c r="U498" s="508"/>
      <c r="V498" s="508"/>
      <c r="W498" s="508"/>
      <c r="X498" s="508"/>
      <c r="Y498" s="508"/>
      <c r="Z498" s="508"/>
      <c r="AA498" s="508"/>
    </row>
    <row r="499">
      <c r="A499" s="508"/>
      <c r="B499" s="508"/>
      <c r="C499" s="508"/>
      <c r="D499" s="508"/>
      <c r="E499" s="967"/>
      <c r="F499" s="508"/>
      <c r="G499" s="508"/>
      <c r="H499" s="967"/>
      <c r="I499" s="508"/>
      <c r="J499" s="508"/>
      <c r="K499" s="508"/>
      <c r="L499" s="508"/>
      <c r="M499" s="508"/>
      <c r="N499" s="508"/>
      <c r="O499" s="508"/>
      <c r="P499" s="508"/>
      <c r="Q499" s="508"/>
      <c r="R499" s="508"/>
      <c r="S499" s="508"/>
      <c r="T499" s="508"/>
      <c r="U499" s="508"/>
      <c r="V499" s="508"/>
      <c r="W499" s="508"/>
      <c r="X499" s="508"/>
      <c r="Y499" s="508"/>
      <c r="Z499" s="508"/>
      <c r="AA499" s="508"/>
    </row>
    <row r="500">
      <c r="A500" s="508"/>
      <c r="B500" s="508"/>
      <c r="C500" s="508"/>
      <c r="D500" s="508"/>
      <c r="E500" s="967"/>
      <c r="F500" s="508"/>
      <c r="G500" s="508"/>
      <c r="H500" s="967"/>
      <c r="I500" s="508"/>
      <c r="J500" s="508"/>
      <c r="K500" s="508"/>
      <c r="L500" s="508"/>
      <c r="M500" s="508"/>
      <c r="N500" s="508"/>
      <c r="O500" s="508"/>
      <c r="P500" s="508"/>
      <c r="Q500" s="508"/>
      <c r="R500" s="508"/>
      <c r="S500" s="508"/>
      <c r="T500" s="508"/>
      <c r="U500" s="508"/>
      <c r="V500" s="508"/>
      <c r="W500" s="508"/>
      <c r="X500" s="508"/>
      <c r="Y500" s="508"/>
      <c r="Z500" s="508"/>
      <c r="AA500" s="508"/>
    </row>
    <row r="501">
      <c r="A501" s="508"/>
      <c r="B501" s="508"/>
      <c r="C501" s="508"/>
      <c r="D501" s="508"/>
      <c r="E501" s="967"/>
      <c r="F501" s="508"/>
      <c r="G501" s="508"/>
      <c r="H501" s="967"/>
      <c r="I501" s="508"/>
      <c r="J501" s="508"/>
      <c r="K501" s="508"/>
      <c r="L501" s="508"/>
      <c r="M501" s="508"/>
      <c r="N501" s="508"/>
      <c r="O501" s="508"/>
      <c r="P501" s="508"/>
      <c r="Q501" s="508"/>
      <c r="R501" s="508"/>
      <c r="S501" s="508"/>
      <c r="T501" s="508"/>
      <c r="U501" s="508"/>
      <c r="V501" s="508"/>
      <c r="W501" s="508"/>
      <c r="X501" s="508"/>
      <c r="Y501" s="508"/>
      <c r="Z501" s="508"/>
      <c r="AA501" s="508"/>
    </row>
    <row r="502">
      <c r="A502" s="508"/>
      <c r="B502" s="508"/>
      <c r="C502" s="508"/>
      <c r="D502" s="508"/>
      <c r="E502" s="967"/>
      <c r="F502" s="508"/>
      <c r="G502" s="508"/>
      <c r="H502" s="967"/>
      <c r="I502" s="508"/>
      <c r="J502" s="508"/>
      <c r="K502" s="508"/>
      <c r="L502" s="508"/>
      <c r="M502" s="508"/>
      <c r="N502" s="508"/>
      <c r="O502" s="508"/>
      <c r="P502" s="508"/>
      <c r="Q502" s="508"/>
      <c r="R502" s="508"/>
      <c r="S502" s="508"/>
      <c r="T502" s="508"/>
      <c r="U502" s="508"/>
      <c r="V502" s="508"/>
      <c r="W502" s="508"/>
      <c r="X502" s="508"/>
      <c r="Y502" s="508"/>
      <c r="Z502" s="508"/>
      <c r="AA502" s="508"/>
    </row>
    <row r="503">
      <c r="A503" s="508"/>
      <c r="B503" s="508"/>
      <c r="C503" s="508"/>
      <c r="D503" s="508"/>
      <c r="E503" s="967"/>
      <c r="F503" s="508"/>
      <c r="G503" s="508"/>
      <c r="H503" s="967"/>
      <c r="I503" s="508"/>
      <c r="J503" s="508"/>
      <c r="K503" s="508"/>
      <c r="L503" s="508"/>
      <c r="M503" s="508"/>
      <c r="N503" s="508"/>
      <c r="O503" s="508"/>
      <c r="P503" s="508"/>
      <c r="Q503" s="508"/>
      <c r="R503" s="508"/>
      <c r="S503" s="508"/>
      <c r="T503" s="508"/>
      <c r="U503" s="508"/>
      <c r="V503" s="508"/>
      <c r="W503" s="508"/>
      <c r="X503" s="508"/>
      <c r="Y503" s="508"/>
      <c r="Z503" s="508"/>
      <c r="AA503" s="508"/>
    </row>
    <row r="504">
      <c r="A504" s="508"/>
      <c r="B504" s="508"/>
      <c r="C504" s="508"/>
      <c r="D504" s="508"/>
      <c r="E504" s="967"/>
      <c r="F504" s="508"/>
      <c r="G504" s="508"/>
      <c r="H504" s="967"/>
      <c r="I504" s="508"/>
      <c r="J504" s="508"/>
      <c r="K504" s="508"/>
      <c r="L504" s="508"/>
      <c r="M504" s="508"/>
      <c r="N504" s="508"/>
      <c r="O504" s="508"/>
      <c r="P504" s="508"/>
      <c r="Q504" s="508"/>
      <c r="R504" s="508"/>
      <c r="S504" s="508"/>
      <c r="T504" s="508"/>
      <c r="U504" s="508"/>
      <c r="V504" s="508"/>
      <c r="W504" s="508"/>
      <c r="X504" s="508"/>
      <c r="Y504" s="508"/>
      <c r="Z504" s="508"/>
      <c r="AA504" s="508"/>
    </row>
    <row r="505">
      <c r="A505" s="508"/>
      <c r="B505" s="508"/>
      <c r="C505" s="508"/>
      <c r="D505" s="508"/>
      <c r="E505" s="967"/>
      <c r="F505" s="508"/>
      <c r="G505" s="508"/>
      <c r="H505" s="967"/>
      <c r="I505" s="508"/>
      <c r="J505" s="508"/>
      <c r="K505" s="508"/>
      <c r="L505" s="508"/>
      <c r="M505" s="508"/>
      <c r="N505" s="508"/>
      <c r="O505" s="508"/>
      <c r="P505" s="508"/>
      <c r="Q505" s="508"/>
      <c r="R505" s="508"/>
      <c r="S505" s="508"/>
      <c r="T505" s="508"/>
      <c r="U505" s="508"/>
      <c r="V505" s="508"/>
      <c r="W505" s="508"/>
      <c r="X505" s="508"/>
      <c r="Y505" s="508"/>
      <c r="Z505" s="508"/>
      <c r="AA505" s="508"/>
    </row>
    <row r="506">
      <c r="A506" s="508"/>
      <c r="B506" s="508"/>
      <c r="C506" s="508"/>
      <c r="D506" s="508"/>
      <c r="E506" s="967"/>
      <c r="F506" s="508"/>
      <c r="G506" s="508"/>
      <c r="H506" s="967"/>
      <c r="I506" s="508"/>
      <c r="J506" s="508"/>
      <c r="K506" s="508"/>
      <c r="L506" s="508"/>
      <c r="M506" s="508"/>
      <c r="N506" s="508"/>
      <c r="O506" s="508"/>
      <c r="P506" s="508"/>
      <c r="Q506" s="508"/>
      <c r="R506" s="508"/>
      <c r="S506" s="508"/>
      <c r="T506" s="508"/>
      <c r="U506" s="508"/>
      <c r="V506" s="508"/>
      <c r="W506" s="508"/>
      <c r="X506" s="508"/>
      <c r="Y506" s="508"/>
      <c r="Z506" s="508"/>
      <c r="AA506" s="508"/>
    </row>
    <row r="507">
      <c r="A507" s="508"/>
      <c r="B507" s="508"/>
      <c r="C507" s="508"/>
      <c r="D507" s="508"/>
      <c r="E507" s="967"/>
      <c r="F507" s="508"/>
      <c r="G507" s="508"/>
      <c r="H507" s="967"/>
      <c r="I507" s="508"/>
      <c r="J507" s="508"/>
      <c r="K507" s="508"/>
      <c r="L507" s="508"/>
      <c r="M507" s="508"/>
      <c r="N507" s="508"/>
      <c r="O507" s="508"/>
      <c r="P507" s="508"/>
      <c r="Q507" s="508"/>
      <c r="R507" s="508"/>
      <c r="S507" s="508"/>
      <c r="T507" s="508"/>
      <c r="U507" s="508"/>
      <c r="V507" s="508"/>
      <c r="W507" s="508"/>
      <c r="X507" s="508"/>
      <c r="Y507" s="508"/>
      <c r="Z507" s="508"/>
      <c r="AA507" s="508"/>
    </row>
    <row r="508">
      <c r="A508" s="508"/>
      <c r="B508" s="508"/>
      <c r="C508" s="508"/>
      <c r="D508" s="508"/>
      <c r="E508" s="967"/>
      <c r="F508" s="508"/>
      <c r="G508" s="508"/>
      <c r="H508" s="967"/>
      <c r="I508" s="508"/>
      <c r="J508" s="508"/>
      <c r="K508" s="508"/>
      <c r="L508" s="508"/>
      <c r="M508" s="508"/>
      <c r="N508" s="508"/>
      <c r="O508" s="508"/>
      <c r="P508" s="508"/>
      <c r="Q508" s="508"/>
      <c r="R508" s="508"/>
      <c r="S508" s="508"/>
      <c r="T508" s="508"/>
      <c r="U508" s="508"/>
      <c r="V508" s="508"/>
      <c r="W508" s="508"/>
      <c r="X508" s="508"/>
      <c r="Y508" s="508"/>
      <c r="Z508" s="508"/>
      <c r="AA508" s="508"/>
    </row>
    <row r="509">
      <c r="A509" s="508"/>
      <c r="B509" s="508"/>
      <c r="C509" s="508"/>
      <c r="D509" s="508"/>
      <c r="E509" s="967"/>
      <c r="F509" s="508"/>
      <c r="G509" s="508"/>
      <c r="H509" s="967"/>
      <c r="I509" s="508"/>
      <c r="J509" s="508"/>
      <c r="K509" s="508"/>
      <c r="L509" s="508"/>
      <c r="M509" s="508"/>
      <c r="N509" s="508"/>
      <c r="O509" s="508"/>
      <c r="P509" s="508"/>
      <c r="Q509" s="508"/>
      <c r="R509" s="508"/>
      <c r="S509" s="508"/>
      <c r="T509" s="508"/>
      <c r="U509" s="508"/>
      <c r="V509" s="508"/>
      <c r="W509" s="508"/>
      <c r="X509" s="508"/>
      <c r="Y509" s="508"/>
      <c r="Z509" s="508"/>
      <c r="AA509" s="508"/>
    </row>
    <row r="510">
      <c r="A510" s="508"/>
      <c r="B510" s="508"/>
      <c r="C510" s="508"/>
      <c r="D510" s="508"/>
      <c r="E510" s="967"/>
      <c r="F510" s="508"/>
      <c r="G510" s="508"/>
      <c r="H510" s="967"/>
      <c r="I510" s="508"/>
      <c r="J510" s="508"/>
      <c r="K510" s="508"/>
      <c r="L510" s="508"/>
      <c r="M510" s="508"/>
      <c r="N510" s="508"/>
      <c r="O510" s="508"/>
      <c r="P510" s="508"/>
      <c r="Q510" s="508"/>
      <c r="R510" s="508"/>
      <c r="S510" s="508"/>
      <c r="T510" s="508"/>
      <c r="U510" s="508"/>
      <c r="V510" s="508"/>
      <c r="W510" s="508"/>
      <c r="X510" s="508"/>
      <c r="Y510" s="508"/>
      <c r="Z510" s="508"/>
      <c r="AA510" s="508"/>
    </row>
    <row r="511">
      <c r="A511" s="508"/>
      <c r="B511" s="508"/>
      <c r="C511" s="508"/>
      <c r="D511" s="508"/>
      <c r="E511" s="967"/>
      <c r="F511" s="508"/>
      <c r="G511" s="508"/>
      <c r="H511" s="967"/>
      <c r="I511" s="508"/>
      <c r="J511" s="508"/>
      <c r="K511" s="508"/>
      <c r="L511" s="508"/>
      <c r="M511" s="508"/>
      <c r="N511" s="508"/>
      <c r="O511" s="508"/>
      <c r="P511" s="508"/>
      <c r="Q511" s="508"/>
      <c r="R511" s="508"/>
      <c r="S511" s="508"/>
      <c r="T511" s="508"/>
      <c r="U511" s="508"/>
      <c r="V511" s="508"/>
      <c r="W511" s="508"/>
      <c r="X511" s="508"/>
      <c r="Y511" s="508"/>
      <c r="Z511" s="508"/>
      <c r="AA511" s="508"/>
    </row>
    <row r="512">
      <c r="A512" s="508"/>
      <c r="B512" s="508"/>
      <c r="C512" s="508"/>
      <c r="D512" s="508"/>
      <c r="E512" s="967"/>
      <c r="F512" s="508"/>
      <c r="G512" s="508"/>
      <c r="H512" s="967"/>
      <c r="I512" s="508"/>
      <c r="J512" s="508"/>
      <c r="K512" s="508"/>
      <c r="L512" s="508"/>
      <c r="M512" s="508"/>
      <c r="N512" s="508"/>
      <c r="O512" s="508"/>
      <c r="P512" s="508"/>
      <c r="Q512" s="508"/>
      <c r="R512" s="508"/>
      <c r="S512" s="508"/>
      <c r="T512" s="508"/>
      <c r="U512" s="508"/>
      <c r="V512" s="508"/>
      <c r="W512" s="508"/>
      <c r="X512" s="508"/>
      <c r="Y512" s="508"/>
      <c r="Z512" s="508"/>
      <c r="AA512" s="508"/>
    </row>
    <row r="513">
      <c r="A513" s="508"/>
      <c r="B513" s="508"/>
      <c r="C513" s="508"/>
      <c r="D513" s="508"/>
      <c r="E513" s="967"/>
      <c r="F513" s="508"/>
      <c r="G513" s="508"/>
      <c r="H513" s="967"/>
      <c r="I513" s="508"/>
      <c r="J513" s="508"/>
      <c r="K513" s="508"/>
      <c r="L513" s="508"/>
      <c r="M513" s="508"/>
      <c r="N513" s="508"/>
      <c r="O513" s="508"/>
      <c r="P513" s="508"/>
      <c r="Q513" s="508"/>
      <c r="R513" s="508"/>
      <c r="S513" s="508"/>
      <c r="T513" s="508"/>
      <c r="U513" s="508"/>
      <c r="V513" s="508"/>
      <c r="W513" s="508"/>
      <c r="X513" s="508"/>
      <c r="Y513" s="508"/>
      <c r="Z513" s="508"/>
      <c r="AA513" s="508"/>
    </row>
    <row r="514">
      <c r="A514" s="508"/>
      <c r="B514" s="508"/>
      <c r="C514" s="508"/>
      <c r="D514" s="508"/>
      <c r="E514" s="967"/>
      <c r="F514" s="508"/>
      <c r="G514" s="508"/>
      <c r="H514" s="967"/>
      <c r="I514" s="508"/>
      <c r="J514" s="508"/>
      <c r="K514" s="508"/>
      <c r="L514" s="508"/>
      <c r="M514" s="508"/>
      <c r="N514" s="508"/>
      <c r="O514" s="508"/>
      <c r="P514" s="508"/>
      <c r="Q514" s="508"/>
      <c r="R514" s="508"/>
      <c r="S514" s="508"/>
      <c r="T514" s="508"/>
      <c r="U514" s="508"/>
      <c r="V514" s="508"/>
      <c r="W514" s="508"/>
      <c r="X514" s="508"/>
      <c r="Y514" s="508"/>
      <c r="Z514" s="508"/>
      <c r="AA514" s="508"/>
    </row>
    <row r="515">
      <c r="A515" s="508"/>
      <c r="B515" s="508"/>
      <c r="C515" s="508"/>
      <c r="D515" s="508"/>
      <c r="E515" s="967"/>
      <c r="F515" s="508"/>
      <c r="G515" s="508"/>
      <c r="H515" s="967"/>
      <c r="I515" s="508"/>
      <c r="J515" s="508"/>
      <c r="K515" s="508"/>
      <c r="L515" s="508"/>
      <c r="M515" s="508"/>
      <c r="N515" s="508"/>
      <c r="O515" s="508"/>
      <c r="P515" s="508"/>
      <c r="Q515" s="508"/>
      <c r="R515" s="508"/>
      <c r="S515" s="508"/>
      <c r="T515" s="508"/>
      <c r="U515" s="508"/>
      <c r="V515" s="508"/>
      <c r="W515" s="508"/>
      <c r="X515" s="508"/>
      <c r="Y515" s="508"/>
      <c r="Z515" s="508"/>
      <c r="AA515" s="508"/>
    </row>
    <row r="516">
      <c r="A516" s="508"/>
      <c r="B516" s="508"/>
      <c r="C516" s="508"/>
      <c r="D516" s="508"/>
      <c r="E516" s="967"/>
      <c r="F516" s="508"/>
      <c r="G516" s="508"/>
      <c r="H516" s="967"/>
      <c r="I516" s="508"/>
      <c r="J516" s="508"/>
      <c r="K516" s="508"/>
      <c r="L516" s="508"/>
      <c r="M516" s="508"/>
      <c r="N516" s="508"/>
      <c r="O516" s="508"/>
      <c r="P516" s="508"/>
      <c r="Q516" s="508"/>
      <c r="R516" s="508"/>
      <c r="S516" s="508"/>
      <c r="T516" s="508"/>
      <c r="U516" s="508"/>
      <c r="V516" s="508"/>
      <c r="W516" s="508"/>
      <c r="X516" s="508"/>
      <c r="Y516" s="508"/>
      <c r="Z516" s="508"/>
      <c r="AA516" s="508"/>
    </row>
    <row r="517">
      <c r="A517" s="508"/>
      <c r="B517" s="508"/>
      <c r="C517" s="508"/>
      <c r="D517" s="508"/>
      <c r="E517" s="967"/>
      <c r="F517" s="508"/>
      <c r="G517" s="508"/>
      <c r="H517" s="967"/>
      <c r="I517" s="508"/>
      <c r="J517" s="508"/>
      <c r="K517" s="508"/>
      <c r="L517" s="508"/>
      <c r="M517" s="508"/>
      <c r="N517" s="508"/>
      <c r="O517" s="508"/>
      <c r="P517" s="508"/>
      <c r="Q517" s="508"/>
      <c r="R517" s="508"/>
      <c r="S517" s="508"/>
      <c r="T517" s="508"/>
      <c r="U517" s="508"/>
      <c r="V517" s="508"/>
      <c r="W517" s="508"/>
      <c r="X517" s="508"/>
      <c r="Y517" s="508"/>
      <c r="Z517" s="508"/>
      <c r="AA517" s="508"/>
    </row>
    <row r="518">
      <c r="A518" s="508"/>
      <c r="B518" s="508"/>
      <c r="C518" s="508"/>
      <c r="D518" s="508"/>
      <c r="E518" s="967"/>
      <c r="F518" s="508"/>
      <c r="G518" s="508"/>
      <c r="H518" s="967"/>
      <c r="I518" s="508"/>
      <c r="J518" s="508"/>
      <c r="K518" s="508"/>
      <c r="L518" s="508"/>
      <c r="M518" s="508"/>
      <c r="N518" s="508"/>
      <c r="O518" s="508"/>
      <c r="P518" s="508"/>
      <c r="Q518" s="508"/>
      <c r="R518" s="508"/>
      <c r="S518" s="508"/>
      <c r="T518" s="508"/>
      <c r="U518" s="508"/>
      <c r="V518" s="508"/>
      <c r="W518" s="508"/>
      <c r="X518" s="508"/>
      <c r="Y518" s="508"/>
      <c r="Z518" s="508"/>
      <c r="AA518" s="508"/>
    </row>
    <row r="519">
      <c r="A519" s="508"/>
      <c r="B519" s="508"/>
      <c r="C519" s="508"/>
      <c r="D519" s="508"/>
      <c r="E519" s="967"/>
      <c r="F519" s="508"/>
      <c r="G519" s="508"/>
      <c r="H519" s="967"/>
      <c r="I519" s="508"/>
      <c r="J519" s="508"/>
      <c r="K519" s="508"/>
      <c r="L519" s="508"/>
      <c r="M519" s="508"/>
      <c r="N519" s="508"/>
      <c r="O519" s="508"/>
      <c r="P519" s="508"/>
      <c r="Q519" s="508"/>
      <c r="R519" s="508"/>
      <c r="S519" s="508"/>
      <c r="T519" s="508"/>
      <c r="U519" s="508"/>
      <c r="V519" s="508"/>
      <c r="W519" s="508"/>
      <c r="X519" s="508"/>
      <c r="Y519" s="508"/>
      <c r="Z519" s="508"/>
      <c r="AA519" s="508"/>
    </row>
    <row r="520">
      <c r="A520" s="508"/>
      <c r="B520" s="508"/>
      <c r="C520" s="508"/>
      <c r="D520" s="508"/>
      <c r="E520" s="967"/>
      <c r="F520" s="508"/>
      <c r="G520" s="508"/>
      <c r="H520" s="967"/>
      <c r="I520" s="508"/>
      <c r="J520" s="508"/>
      <c r="K520" s="508"/>
      <c r="L520" s="508"/>
      <c r="M520" s="508"/>
      <c r="N520" s="508"/>
      <c r="O520" s="508"/>
      <c r="P520" s="508"/>
      <c r="Q520" s="508"/>
      <c r="R520" s="508"/>
      <c r="S520" s="508"/>
      <c r="T520" s="508"/>
      <c r="U520" s="508"/>
      <c r="V520" s="508"/>
      <c r="W520" s="508"/>
      <c r="X520" s="508"/>
      <c r="Y520" s="508"/>
      <c r="Z520" s="508"/>
      <c r="AA520" s="508"/>
    </row>
    <row r="521">
      <c r="A521" s="508"/>
      <c r="B521" s="508"/>
      <c r="C521" s="508"/>
      <c r="D521" s="508"/>
      <c r="E521" s="967"/>
      <c r="F521" s="508"/>
      <c r="G521" s="508"/>
      <c r="H521" s="967"/>
      <c r="I521" s="508"/>
      <c r="J521" s="508"/>
      <c r="K521" s="508"/>
      <c r="L521" s="508"/>
      <c r="M521" s="508"/>
      <c r="N521" s="508"/>
      <c r="O521" s="508"/>
      <c r="P521" s="508"/>
      <c r="Q521" s="508"/>
      <c r="R521" s="508"/>
      <c r="S521" s="508"/>
      <c r="T521" s="508"/>
      <c r="U521" s="508"/>
      <c r="V521" s="508"/>
      <c r="W521" s="508"/>
      <c r="X521" s="508"/>
      <c r="Y521" s="508"/>
      <c r="Z521" s="508"/>
      <c r="AA521" s="508"/>
    </row>
    <row r="522">
      <c r="A522" s="508"/>
      <c r="B522" s="508"/>
      <c r="C522" s="508"/>
      <c r="D522" s="508"/>
      <c r="E522" s="967"/>
      <c r="F522" s="508"/>
      <c r="G522" s="508"/>
      <c r="H522" s="967"/>
      <c r="I522" s="508"/>
      <c r="J522" s="508"/>
      <c r="K522" s="508"/>
      <c r="L522" s="508"/>
      <c r="M522" s="508"/>
      <c r="N522" s="508"/>
      <c r="O522" s="508"/>
      <c r="P522" s="508"/>
      <c r="Q522" s="508"/>
      <c r="R522" s="508"/>
      <c r="S522" s="508"/>
      <c r="T522" s="508"/>
      <c r="U522" s="508"/>
      <c r="V522" s="508"/>
      <c r="W522" s="508"/>
      <c r="X522" s="508"/>
      <c r="Y522" s="508"/>
      <c r="Z522" s="508"/>
      <c r="AA522" s="508"/>
    </row>
    <row r="523">
      <c r="A523" s="508"/>
      <c r="B523" s="508"/>
      <c r="C523" s="508"/>
      <c r="D523" s="508"/>
      <c r="E523" s="967"/>
      <c r="F523" s="508"/>
      <c r="G523" s="508"/>
      <c r="H523" s="967"/>
      <c r="I523" s="508"/>
      <c r="J523" s="508"/>
      <c r="K523" s="508"/>
      <c r="L523" s="508"/>
      <c r="M523" s="508"/>
      <c r="N523" s="508"/>
      <c r="O523" s="508"/>
      <c r="P523" s="508"/>
      <c r="Q523" s="508"/>
      <c r="R523" s="508"/>
      <c r="S523" s="508"/>
      <c r="T523" s="508"/>
      <c r="U523" s="508"/>
      <c r="V523" s="508"/>
      <c r="W523" s="508"/>
      <c r="X523" s="508"/>
      <c r="Y523" s="508"/>
      <c r="Z523" s="508"/>
      <c r="AA523" s="508"/>
    </row>
    <row r="524">
      <c r="A524" s="508"/>
      <c r="B524" s="508"/>
      <c r="C524" s="508"/>
      <c r="D524" s="508"/>
      <c r="E524" s="967"/>
      <c r="F524" s="508"/>
      <c r="G524" s="508"/>
      <c r="H524" s="967"/>
      <c r="I524" s="508"/>
      <c r="J524" s="508"/>
      <c r="K524" s="508"/>
      <c r="L524" s="508"/>
      <c r="M524" s="508"/>
      <c r="N524" s="508"/>
      <c r="O524" s="508"/>
      <c r="P524" s="508"/>
      <c r="Q524" s="508"/>
      <c r="R524" s="508"/>
      <c r="S524" s="508"/>
      <c r="T524" s="508"/>
      <c r="U524" s="508"/>
      <c r="V524" s="508"/>
      <c r="W524" s="508"/>
      <c r="X524" s="508"/>
      <c r="Y524" s="508"/>
      <c r="Z524" s="508"/>
      <c r="AA524" s="508"/>
    </row>
    <row r="525">
      <c r="A525" s="508"/>
      <c r="B525" s="508"/>
      <c r="C525" s="508"/>
      <c r="D525" s="508"/>
      <c r="E525" s="967"/>
      <c r="F525" s="508"/>
      <c r="G525" s="508"/>
      <c r="H525" s="967"/>
      <c r="I525" s="508"/>
      <c r="J525" s="508"/>
      <c r="K525" s="508"/>
      <c r="L525" s="508"/>
      <c r="M525" s="508"/>
      <c r="N525" s="508"/>
      <c r="O525" s="508"/>
      <c r="P525" s="508"/>
      <c r="Q525" s="508"/>
      <c r="R525" s="508"/>
      <c r="S525" s="508"/>
      <c r="T525" s="508"/>
      <c r="U525" s="508"/>
      <c r="V525" s="508"/>
      <c r="W525" s="508"/>
      <c r="X525" s="508"/>
      <c r="Y525" s="508"/>
      <c r="Z525" s="508"/>
      <c r="AA525" s="508"/>
    </row>
    <row r="526">
      <c r="A526" s="508"/>
      <c r="B526" s="508"/>
      <c r="C526" s="508"/>
      <c r="D526" s="508"/>
      <c r="E526" s="967"/>
      <c r="F526" s="508"/>
      <c r="G526" s="508"/>
      <c r="H526" s="967"/>
      <c r="I526" s="508"/>
      <c r="J526" s="508"/>
      <c r="K526" s="508"/>
      <c r="L526" s="508"/>
      <c r="M526" s="508"/>
      <c r="N526" s="508"/>
      <c r="O526" s="508"/>
      <c r="P526" s="508"/>
      <c r="Q526" s="508"/>
      <c r="R526" s="508"/>
      <c r="S526" s="508"/>
      <c r="T526" s="508"/>
      <c r="U526" s="508"/>
      <c r="V526" s="508"/>
      <c r="W526" s="508"/>
      <c r="X526" s="508"/>
      <c r="Y526" s="508"/>
      <c r="Z526" s="508"/>
      <c r="AA526" s="508"/>
    </row>
    <row r="527">
      <c r="A527" s="508"/>
      <c r="B527" s="508"/>
      <c r="C527" s="508"/>
      <c r="D527" s="508"/>
      <c r="E527" s="967"/>
      <c r="F527" s="508"/>
      <c r="G527" s="508"/>
      <c r="H527" s="967"/>
      <c r="I527" s="508"/>
      <c r="J527" s="508"/>
      <c r="K527" s="508"/>
      <c r="L527" s="508"/>
      <c r="M527" s="508"/>
      <c r="N527" s="508"/>
      <c r="O527" s="508"/>
      <c r="P527" s="508"/>
      <c r="Q527" s="508"/>
      <c r="R527" s="508"/>
      <c r="S527" s="508"/>
      <c r="T527" s="508"/>
      <c r="U527" s="508"/>
      <c r="V527" s="508"/>
      <c r="W527" s="508"/>
      <c r="X527" s="508"/>
      <c r="Y527" s="508"/>
      <c r="Z527" s="508"/>
      <c r="AA527" s="508"/>
    </row>
    <row r="528">
      <c r="A528" s="508"/>
      <c r="B528" s="508"/>
      <c r="C528" s="508"/>
      <c r="D528" s="508"/>
      <c r="E528" s="967"/>
      <c r="F528" s="508"/>
      <c r="G528" s="508"/>
      <c r="H528" s="967"/>
      <c r="I528" s="508"/>
      <c r="J528" s="508"/>
      <c r="K528" s="508"/>
      <c r="L528" s="508"/>
      <c r="M528" s="508"/>
      <c r="N528" s="508"/>
      <c r="O528" s="508"/>
      <c r="P528" s="508"/>
      <c r="Q528" s="508"/>
      <c r="R528" s="508"/>
      <c r="S528" s="508"/>
      <c r="T528" s="508"/>
      <c r="U528" s="508"/>
      <c r="V528" s="508"/>
      <c r="W528" s="508"/>
      <c r="X528" s="508"/>
      <c r="Y528" s="508"/>
      <c r="Z528" s="508"/>
      <c r="AA528" s="508"/>
    </row>
    <row r="529">
      <c r="A529" s="508"/>
      <c r="B529" s="508"/>
      <c r="C529" s="508"/>
      <c r="D529" s="508"/>
      <c r="E529" s="967"/>
      <c r="F529" s="508"/>
      <c r="G529" s="508"/>
      <c r="H529" s="967"/>
      <c r="I529" s="508"/>
      <c r="J529" s="508"/>
      <c r="K529" s="508"/>
      <c r="L529" s="508"/>
      <c r="M529" s="508"/>
      <c r="N529" s="508"/>
      <c r="O529" s="508"/>
      <c r="P529" s="508"/>
      <c r="Q529" s="508"/>
      <c r="R529" s="508"/>
      <c r="S529" s="508"/>
      <c r="T529" s="508"/>
      <c r="U529" s="508"/>
      <c r="V529" s="508"/>
      <c r="W529" s="508"/>
      <c r="X529" s="508"/>
      <c r="Y529" s="508"/>
      <c r="Z529" s="508"/>
      <c r="AA529" s="508"/>
    </row>
    <row r="530">
      <c r="A530" s="508"/>
      <c r="B530" s="508"/>
      <c r="C530" s="508"/>
      <c r="D530" s="508"/>
      <c r="E530" s="967"/>
      <c r="F530" s="508"/>
      <c r="G530" s="508"/>
      <c r="H530" s="967"/>
      <c r="I530" s="508"/>
      <c r="J530" s="508"/>
      <c r="K530" s="508"/>
      <c r="L530" s="508"/>
      <c r="M530" s="508"/>
      <c r="N530" s="508"/>
      <c r="O530" s="508"/>
      <c r="P530" s="508"/>
      <c r="Q530" s="508"/>
      <c r="R530" s="508"/>
      <c r="S530" s="508"/>
      <c r="T530" s="508"/>
      <c r="U530" s="508"/>
      <c r="V530" s="508"/>
      <c r="W530" s="508"/>
      <c r="X530" s="508"/>
      <c r="Y530" s="508"/>
      <c r="Z530" s="508"/>
      <c r="AA530" s="508"/>
    </row>
    <row r="531">
      <c r="A531" s="508"/>
      <c r="B531" s="508"/>
      <c r="C531" s="508"/>
      <c r="D531" s="508"/>
      <c r="E531" s="967"/>
      <c r="F531" s="508"/>
      <c r="G531" s="508"/>
      <c r="H531" s="967"/>
      <c r="I531" s="508"/>
      <c r="J531" s="508"/>
      <c r="K531" s="508"/>
      <c r="L531" s="508"/>
      <c r="M531" s="508"/>
      <c r="N531" s="508"/>
      <c r="O531" s="508"/>
      <c r="P531" s="508"/>
      <c r="Q531" s="508"/>
      <c r="R531" s="508"/>
      <c r="S531" s="508"/>
      <c r="T531" s="508"/>
      <c r="U531" s="508"/>
      <c r="V531" s="508"/>
      <c r="W531" s="508"/>
      <c r="X531" s="508"/>
      <c r="Y531" s="508"/>
      <c r="Z531" s="508"/>
      <c r="AA531" s="508"/>
    </row>
    <row r="532">
      <c r="A532" s="508"/>
      <c r="B532" s="508"/>
      <c r="C532" s="508"/>
      <c r="D532" s="508"/>
      <c r="E532" s="967"/>
      <c r="F532" s="508"/>
      <c r="G532" s="508"/>
      <c r="H532" s="967"/>
      <c r="I532" s="508"/>
      <c r="J532" s="508"/>
      <c r="K532" s="508"/>
      <c r="L532" s="508"/>
      <c r="M532" s="508"/>
      <c r="N532" s="508"/>
      <c r="O532" s="508"/>
      <c r="P532" s="508"/>
      <c r="Q532" s="508"/>
      <c r="R532" s="508"/>
      <c r="S532" s="508"/>
      <c r="T532" s="508"/>
      <c r="U532" s="508"/>
      <c r="V532" s="508"/>
      <c r="W532" s="508"/>
      <c r="X532" s="508"/>
      <c r="Y532" s="508"/>
      <c r="Z532" s="508"/>
      <c r="AA532" s="508"/>
    </row>
    <row r="533">
      <c r="A533" s="508"/>
      <c r="B533" s="508"/>
      <c r="C533" s="508"/>
      <c r="D533" s="508"/>
      <c r="E533" s="967"/>
      <c r="F533" s="508"/>
      <c r="G533" s="508"/>
      <c r="H533" s="967"/>
      <c r="I533" s="508"/>
      <c r="J533" s="508"/>
      <c r="K533" s="508"/>
      <c r="L533" s="508"/>
      <c r="M533" s="508"/>
      <c r="N533" s="508"/>
      <c r="O533" s="508"/>
      <c r="P533" s="508"/>
      <c r="Q533" s="508"/>
      <c r="R533" s="508"/>
      <c r="S533" s="508"/>
      <c r="T533" s="508"/>
      <c r="U533" s="508"/>
      <c r="V533" s="508"/>
      <c r="W533" s="508"/>
      <c r="X533" s="508"/>
      <c r="Y533" s="508"/>
      <c r="Z533" s="508"/>
      <c r="AA533" s="508"/>
    </row>
    <row r="534">
      <c r="A534" s="508"/>
      <c r="B534" s="508"/>
      <c r="C534" s="508"/>
      <c r="D534" s="508"/>
      <c r="E534" s="967"/>
      <c r="F534" s="508"/>
      <c r="G534" s="508"/>
      <c r="H534" s="967"/>
      <c r="I534" s="508"/>
      <c r="J534" s="508"/>
      <c r="K534" s="508"/>
      <c r="L534" s="508"/>
      <c r="M534" s="508"/>
      <c r="N534" s="508"/>
      <c r="O534" s="508"/>
      <c r="P534" s="508"/>
      <c r="Q534" s="508"/>
      <c r="R534" s="508"/>
      <c r="S534" s="508"/>
      <c r="T534" s="508"/>
      <c r="U534" s="508"/>
      <c r="V534" s="508"/>
      <c r="W534" s="508"/>
      <c r="X534" s="508"/>
      <c r="Y534" s="508"/>
      <c r="Z534" s="508"/>
      <c r="AA534" s="508"/>
    </row>
    <row r="535">
      <c r="A535" s="508"/>
      <c r="B535" s="508"/>
      <c r="C535" s="508"/>
      <c r="D535" s="508"/>
      <c r="E535" s="967"/>
      <c r="F535" s="508"/>
      <c r="G535" s="508"/>
      <c r="H535" s="967"/>
      <c r="I535" s="508"/>
      <c r="J535" s="508"/>
      <c r="K535" s="508"/>
      <c r="L535" s="508"/>
      <c r="M535" s="508"/>
      <c r="N535" s="508"/>
      <c r="O535" s="508"/>
      <c r="P535" s="508"/>
      <c r="Q535" s="508"/>
      <c r="R535" s="508"/>
      <c r="S535" s="508"/>
      <c r="T535" s="508"/>
      <c r="U535" s="508"/>
      <c r="V535" s="508"/>
      <c r="W535" s="508"/>
      <c r="X535" s="508"/>
      <c r="Y535" s="508"/>
      <c r="Z535" s="508"/>
      <c r="AA535" s="508"/>
    </row>
    <row r="536">
      <c r="A536" s="508"/>
      <c r="B536" s="508"/>
      <c r="C536" s="508"/>
      <c r="D536" s="508"/>
      <c r="E536" s="967"/>
      <c r="F536" s="508"/>
      <c r="G536" s="508"/>
      <c r="H536" s="967"/>
      <c r="I536" s="508"/>
      <c r="J536" s="508"/>
      <c r="K536" s="508"/>
      <c r="L536" s="508"/>
      <c r="M536" s="508"/>
      <c r="N536" s="508"/>
      <c r="O536" s="508"/>
      <c r="P536" s="508"/>
      <c r="Q536" s="508"/>
      <c r="R536" s="508"/>
      <c r="S536" s="508"/>
      <c r="T536" s="508"/>
      <c r="U536" s="508"/>
      <c r="V536" s="508"/>
      <c r="W536" s="508"/>
      <c r="X536" s="508"/>
      <c r="Y536" s="508"/>
      <c r="Z536" s="508"/>
      <c r="AA536" s="508"/>
    </row>
    <row r="537">
      <c r="A537" s="508"/>
      <c r="B537" s="508"/>
      <c r="C537" s="508"/>
      <c r="D537" s="508"/>
      <c r="E537" s="967"/>
      <c r="F537" s="508"/>
      <c r="G537" s="508"/>
      <c r="H537" s="967"/>
      <c r="I537" s="508"/>
      <c r="J537" s="508"/>
      <c r="K537" s="508"/>
      <c r="L537" s="508"/>
      <c r="M537" s="508"/>
      <c r="N537" s="508"/>
      <c r="O537" s="508"/>
      <c r="P537" s="508"/>
      <c r="Q537" s="508"/>
      <c r="R537" s="508"/>
      <c r="S537" s="508"/>
      <c r="T537" s="508"/>
      <c r="U537" s="508"/>
      <c r="V537" s="508"/>
      <c r="W537" s="508"/>
      <c r="X537" s="508"/>
      <c r="Y537" s="508"/>
      <c r="Z537" s="508"/>
      <c r="AA537" s="508"/>
    </row>
    <row r="538">
      <c r="A538" s="508"/>
      <c r="B538" s="508"/>
      <c r="C538" s="508"/>
      <c r="D538" s="508"/>
      <c r="E538" s="967"/>
      <c r="F538" s="508"/>
      <c r="G538" s="508"/>
      <c r="H538" s="967"/>
      <c r="I538" s="508"/>
      <c r="J538" s="508"/>
      <c r="K538" s="508"/>
      <c r="L538" s="508"/>
      <c r="M538" s="508"/>
      <c r="N538" s="508"/>
      <c r="O538" s="508"/>
      <c r="P538" s="508"/>
      <c r="Q538" s="508"/>
      <c r="R538" s="508"/>
      <c r="S538" s="508"/>
      <c r="T538" s="508"/>
      <c r="U538" s="508"/>
      <c r="V538" s="508"/>
      <c r="W538" s="508"/>
      <c r="X538" s="508"/>
      <c r="Y538" s="508"/>
      <c r="Z538" s="508"/>
      <c r="AA538" s="508"/>
    </row>
    <row r="539">
      <c r="A539" s="508"/>
      <c r="B539" s="508"/>
      <c r="C539" s="508"/>
      <c r="D539" s="508"/>
      <c r="E539" s="967"/>
      <c r="F539" s="508"/>
      <c r="G539" s="508"/>
      <c r="H539" s="967"/>
      <c r="I539" s="508"/>
      <c r="J539" s="508"/>
      <c r="K539" s="508"/>
      <c r="L539" s="508"/>
      <c r="M539" s="508"/>
      <c r="N539" s="508"/>
      <c r="O539" s="508"/>
      <c r="P539" s="508"/>
      <c r="Q539" s="508"/>
      <c r="R539" s="508"/>
      <c r="S539" s="508"/>
      <c r="T539" s="508"/>
      <c r="U539" s="508"/>
      <c r="V539" s="508"/>
      <c r="W539" s="508"/>
      <c r="X539" s="508"/>
      <c r="Y539" s="508"/>
      <c r="Z539" s="508"/>
      <c r="AA539" s="508"/>
    </row>
    <row r="540">
      <c r="A540" s="508"/>
      <c r="B540" s="508"/>
      <c r="C540" s="508"/>
      <c r="D540" s="508"/>
      <c r="E540" s="967"/>
      <c r="F540" s="508"/>
      <c r="G540" s="508"/>
      <c r="H540" s="967"/>
      <c r="I540" s="508"/>
      <c r="J540" s="508"/>
      <c r="K540" s="508"/>
      <c r="L540" s="508"/>
      <c r="M540" s="508"/>
      <c r="N540" s="508"/>
      <c r="O540" s="508"/>
      <c r="P540" s="508"/>
      <c r="Q540" s="508"/>
      <c r="R540" s="508"/>
      <c r="S540" s="508"/>
      <c r="T540" s="508"/>
      <c r="U540" s="508"/>
      <c r="V540" s="508"/>
      <c r="W540" s="508"/>
      <c r="X540" s="508"/>
      <c r="Y540" s="508"/>
      <c r="Z540" s="508"/>
      <c r="AA540" s="508"/>
    </row>
    <row r="541">
      <c r="A541" s="508"/>
      <c r="B541" s="508"/>
      <c r="C541" s="508"/>
      <c r="D541" s="508"/>
      <c r="E541" s="967"/>
      <c r="F541" s="508"/>
      <c r="G541" s="508"/>
      <c r="H541" s="967"/>
      <c r="I541" s="508"/>
      <c r="J541" s="508"/>
      <c r="K541" s="508"/>
      <c r="L541" s="508"/>
      <c r="M541" s="508"/>
      <c r="N541" s="508"/>
      <c r="O541" s="508"/>
      <c r="P541" s="508"/>
      <c r="Q541" s="508"/>
      <c r="R541" s="508"/>
      <c r="S541" s="508"/>
      <c r="T541" s="508"/>
      <c r="U541" s="508"/>
      <c r="V541" s="508"/>
      <c r="W541" s="508"/>
      <c r="X541" s="508"/>
      <c r="Y541" s="508"/>
      <c r="Z541" s="508"/>
      <c r="AA541" s="508"/>
    </row>
    <row r="542">
      <c r="A542" s="508"/>
      <c r="B542" s="508"/>
      <c r="C542" s="508"/>
      <c r="D542" s="508"/>
      <c r="E542" s="967"/>
      <c r="F542" s="508"/>
      <c r="G542" s="508"/>
      <c r="H542" s="967"/>
      <c r="I542" s="508"/>
      <c r="J542" s="508"/>
      <c r="K542" s="508"/>
      <c r="L542" s="508"/>
      <c r="M542" s="508"/>
      <c r="N542" s="508"/>
      <c r="O542" s="508"/>
      <c r="P542" s="508"/>
      <c r="Q542" s="508"/>
      <c r="R542" s="508"/>
      <c r="S542" s="508"/>
      <c r="T542" s="508"/>
      <c r="U542" s="508"/>
      <c r="V542" s="508"/>
      <c r="W542" s="508"/>
      <c r="X542" s="508"/>
      <c r="Y542" s="508"/>
      <c r="Z542" s="508"/>
      <c r="AA542" s="508"/>
    </row>
    <row r="543">
      <c r="A543" s="508"/>
      <c r="B543" s="508"/>
      <c r="C543" s="508"/>
      <c r="D543" s="508"/>
      <c r="E543" s="967"/>
      <c r="F543" s="508"/>
      <c r="G543" s="508"/>
      <c r="H543" s="967"/>
      <c r="I543" s="508"/>
      <c r="J543" s="508"/>
      <c r="K543" s="508"/>
      <c r="L543" s="508"/>
      <c r="M543" s="508"/>
      <c r="N543" s="508"/>
      <c r="O543" s="508"/>
      <c r="P543" s="508"/>
      <c r="Q543" s="508"/>
      <c r="R543" s="508"/>
      <c r="S543" s="508"/>
      <c r="T543" s="508"/>
      <c r="U543" s="508"/>
      <c r="V543" s="508"/>
      <c r="W543" s="508"/>
      <c r="X543" s="508"/>
      <c r="Y543" s="508"/>
      <c r="Z543" s="508"/>
      <c r="AA543" s="508"/>
    </row>
    <row r="544">
      <c r="A544" s="508"/>
      <c r="B544" s="508"/>
      <c r="C544" s="508"/>
      <c r="D544" s="508"/>
      <c r="E544" s="967"/>
      <c r="F544" s="508"/>
      <c r="G544" s="508"/>
      <c r="H544" s="967"/>
      <c r="I544" s="508"/>
      <c r="J544" s="508"/>
      <c r="K544" s="508"/>
      <c r="L544" s="508"/>
      <c r="M544" s="508"/>
      <c r="N544" s="508"/>
      <c r="O544" s="508"/>
      <c r="P544" s="508"/>
      <c r="Q544" s="508"/>
      <c r="R544" s="508"/>
      <c r="S544" s="508"/>
      <c r="T544" s="508"/>
      <c r="U544" s="508"/>
      <c r="V544" s="508"/>
      <c r="W544" s="508"/>
      <c r="X544" s="508"/>
      <c r="Y544" s="508"/>
      <c r="Z544" s="508"/>
      <c r="AA544" s="508"/>
    </row>
    <row r="545">
      <c r="A545" s="508"/>
      <c r="B545" s="508"/>
      <c r="C545" s="508"/>
      <c r="D545" s="508"/>
      <c r="E545" s="967"/>
      <c r="F545" s="508"/>
      <c r="G545" s="508"/>
      <c r="H545" s="967"/>
      <c r="I545" s="508"/>
      <c r="J545" s="508"/>
      <c r="K545" s="508"/>
      <c r="L545" s="508"/>
      <c r="M545" s="508"/>
      <c r="N545" s="508"/>
      <c r="O545" s="508"/>
      <c r="P545" s="508"/>
      <c r="Q545" s="508"/>
      <c r="R545" s="508"/>
      <c r="S545" s="508"/>
      <c r="T545" s="508"/>
      <c r="U545" s="508"/>
      <c r="V545" s="508"/>
      <c r="W545" s="508"/>
      <c r="X545" s="508"/>
      <c r="Y545" s="508"/>
      <c r="Z545" s="508"/>
      <c r="AA545" s="508"/>
    </row>
    <row r="546">
      <c r="A546" s="508"/>
      <c r="B546" s="508"/>
      <c r="C546" s="508"/>
      <c r="D546" s="508"/>
      <c r="E546" s="967"/>
      <c r="F546" s="508"/>
      <c r="G546" s="508"/>
      <c r="H546" s="967"/>
      <c r="I546" s="508"/>
      <c r="J546" s="508"/>
      <c r="K546" s="508"/>
      <c r="L546" s="508"/>
      <c r="M546" s="508"/>
      <c r="N546" s="508"/>
      <c r="O546" s="508"/>
      <c r="P546" s="508"/>
      <c r="Q546" s="508"/>
      <c r="R546" s="508"/>
      <c r="S546" s="508"/>
      <c r="T546" s="508"/>
      <c r="U546" s="508"/>
      <c r="V546" s="508"/>
      <c r="W546" s="508"/>
      <c r="X546" s="508"/>
      <c r="Y546" s="508"/>
      <c r="Z546" s="508"/>
      <c r="AA546" s="508"/>
    </row>
    <row r="547">
      <c r="A547" s="508"/>
      <c r="B547" s="508"/>
      <c r="C547" s="508"/>
      <c r="D547" s="508"/>
      <c r="E547" s="967"/>
      <c r="F547" s="508"/>
      <c r="G547" s="508"/>
      <c r="H547" s="967"/>
      <c r="I547" s="508"/>
      <c r="J547" s="508"/>
      <c r="K547" s="508"/>
      <c r="L547" s="508"/>
      <c r="M547" s="508"/>
      <c r="N547" s="508"/>
      <c r="O547" s="508"/>
      <c r="P547" s="508"/>
      <c r="Q547" s="508"/>
      <c r="R547" s="508"/>
      <c r="S547" s="508"/>
      <c r="T547" s="508"/>
      <c r="U547" s="508"/>
      <c r="V547" s="508"/>
      <c r="W547" s="508"/>
      <c r="X547" s="508"/>
      <c r="Y547" s="508"/>
      <c r="Z547" s="508"/>
      <c r="AA547" s="508"/>
    </row>
    <row r="548">
      <c r="A548" s="508"/>
      <c r="B548" s="508"/>
      <c r="C548" s="508"/>
      <c r="D548" s="508"/>
      <c r="E548" s="967"/>
      <c r="F548" s="508"/>
      <c r="G548" s="508"/>
      <c r="H548" s="967"/>
      <c r="I548" s="508"/>
      <c r="J548" s="508"/>
      <c r="K548" s="508"/>
      <c r="L548" s="508"/>
      <c r="M548" s="508"/>
      <c r="N548" s="508"/>
      <c r="O548" s="508"/>
      <c r="P548" s="508"/>
      <c r="Q548" s="508"/>
      <c r="R548" s="508"/>
      <c r="S548" s="508"/>
      <c r="T548" s="508"/>
      <c r="U548" s="508"/>
      <c r="V548" s="508"/>
      <c r="W548" s="508"/>
      <c r="X548" s="508"/>
      <c r="Y548" s="508"/>
      <c r="Z548" s="508"/>
      <c r="AA548" s="508"/>
    </row>
    <row r="549">
      <c r="A549" s="508"/>
      <c r="B549" s="508"/>
      <c r="C549" s="508"/>
      <c r="D549" s="508"/>
      <c r="E549" s="967"/>
      <c r="F549" s="508"/>
      <c r="G549" s="508"/>
      <c r="H549" s="967"/>
      <c r="I549" s="508"/>
      <c r="J549" s="508"/>
      <c r="K549" s="508"/>
      <c r="L549" s="508"/>
      <c r="M549" s="508"/>
      <c r="N549" s="508"/>
      <c r="O549" s="508"/>
      <c r="P549" s="508"/>
      <c r="Q549" s="508"/>
      <c r="R549" s="508"/>
      <c r="S549" s="508"/>
      <c r="T549" s="508"/>
      <c r="U549" s="508"/>
      <c r="V549" s="508"/>
      <c r="W549" s="508"/>
      <c r="X549" s="508"/>
      <c r="Y549" s="508"/>
      <c r="Z549" s="508"/>
      <c r="AA549" s="508"/>
    </row>
    <row r="550">
      <c r="A550" s="508"/>
      <c r="B550" s="508"/>
      <c r="C550" s="508"/>
      <c r="D550" s="508"/>
      <c r="E550" s="967"/>
      <c r="F550" s="508"/>
      <c r="G550" s="508"/>
      <c r="H550" s="967"/>
      <c r="I550" s="508"/>
      <c r="J550" s="508"/>
      <c r="K550" s="508"/>
      <c r="L550" s="508"/>
      <c r="M550" s="508"/>
      <c r="N550" s="508"/>
      <c r="O550" s="508"/>
      <c r="P550" s="508"/>
      <c r="Q550" s="508"/>
      <c r="R550" s="508"/>
      <c r="S550" s="508"/>
      <c r="T550" s="508"/>
      <c r="U550" s="508"/>
      <c r="V550" s="508"/>
      <c r="W550" s="508"/>
      <c r="X550" s="508"/>
      <c r="Y550" s="508"/>
      <c r="Z550" s="508"/>
      <c r="AA550" s="508"/>
    </row>
    <row r="551">
      <c r="A551" s="508"/>
      <c r="B551" s="508"/>
      <c r="C551" s="508"/>
      <c r="D551" s="508"/>
      <c r="E551" s="967"/>
      <c r="F551" s="508"/>
      <c r="G551" s="508"/>
      <c r="H551" s="967"/>
      <c r="I551" s="508"/>
      <c r="J551" s="508"/>
      <c r="K551" s="508"/>
      <c r="L551" s="508"/>
      <c r="M551" s="508"/>
      <c r="N551" s="508"/>
      <c r="O551" s="508"/>
      <c r="P551" s="508"/>
      <c r="Q551" s="508"/>
      <c r="R551" s="508"/>
      <c r="S551" s="508"/>
      <c r="T551" s="508"/>
      <c r="U551" s="508"/>
      <c r="V551" s="508"/>
      <c r="W551" s="508"/>
      <c r="X551" s="508"/>
      <c r="Y551" s="508"/>
      <c r="Z551" s="508"/>
      <c r="AA551" s="508"/>
    </row>
    <row r="552">
      <c r="A552" s="508"/>
      <c r="B552" s="508"/>
      <c r="C552" s="508"/>
      <c r="D552" s="508"/>
      <c r="E552" s="967"/>
      <c r="F552" s="508"/>
      <c r="G552" s="508"/>
      <c r="H552" s="967"/>
      <c r="I552" s="508"/>
      <c r="J552" s="508"/>
      <c r="K552" s="508"/>
      <c r="L552" s="508"/>
      <c r="M552" s="508"/>
      <c r="N552" s="508"/>
      <c r="O552" s="508"/>
      <c r="P552" s="508"/>
      <c r="Q552" s="508"/>
      <c r="R552" s="508"/>
      <c r="S552" s="508"/>
      <c r="T552" s="508"/>
      <c r="U552" s="508"/>
      <c r="V552" s="508"/>
      <c r="W552" s="508"/>
      <c r="X552" s="508"/>
      <c r="Y552" s="508"/>
      <c r="Z552" s="508"/>
      <c r="AA552" s="508"/>
    </row>
    <row r="553">
      <c r="A553" s="508"/>
      <c r="B553" s="508"/>
      <c r="C553" s="508"/>
      <c r="D553" s="508"/>
      <c r="E553" s="967"/>
      <c r="F553" s="508"/>
      <c r="G553" s="508"/>
      <c r="H553" s="967"/>
      <c r="I553" s="508"/>
      <c r="J553" s="508"/>
      <c r="K553" s="508"/>
      <c r="L553" s="508"/>
      <c r="M553" s="508"/>
      <c r="N553" s="508"/>
      <c r="O553" s="508"/>
      <c r="P553" s="508"/>
      <c r="Q553" s="508"/>
      <c r="R553" s="508"/>
      <c r="S553" s="508"/>
      <c r="T553" s="508"/>
      <c r="U553" s="508"/>
      <c r="V553" s="508"/>
      <c r="W553" s="508"/>
      <c r="X553" s="508"/>
      <c r="Y553" s="508"/>
      <c r="Z553" s="508"/>
      <c r="AA553" s="508"/>
    </row>
    <row r="554">
      <c r="A554" s="508"/>
      <c r="B554" s="508"/>
      <c r="C554" s="508"/>
      <c r="D554" s="508"/>
      <c r="E554" s="967"/>
      <c r="F554" s="508"/>
      <c r="G554" s="508"/>
      <c r="H554" s="967"/>
      <c r="I554" s="508"/>
      <c r="J554" s="508"/>
      <c r="K554" s="508"/>
      <c r="L554" s="508"/>
      <c r="M554" s="508"/>
      <c r="N554" s="508"/>
      <c r="O554" s="508"/>
      <c r="P554" s="508"/>
      <c r="Q554" s="508"/>
      <c r="R554" s="508"/>
      <c r="S554" s="508"/>
      <c r="T554" s="508"/>
      <c r="U554" s="508"/>
      <c r="V554" s="508"/>
      <c r="W554" s="508"/>
      <c r="X554" s="508"/>
      <c r="Y554" s="508"/>
      <c r="Z554" s="508"/>
      <c r="AA554" s="508"/>
    </row>
    <row r="555">
      <c r="A555" s="508"/>
      <c r="B555" s="508"/>
      <c r="C555" s="508"/>
      <c r="D555" s="508"/>
      <c r="E555" s="967"/>
      <c r="F555" s="508"/>
      <c r="G555" s="508"/>
      <c r="H555" s="967"/>
      <c r="I555" s="508"/>
      <c r="J555" s="508"/>
      <c r="K555" s="508"/>
      <c r="L555" s="508"/>
      <c r="M555" s="508"/>
      <c r="N555" s="508"/>
      <c r="O555" s="508"/>
      <c r="P555" s="508"/>
      <c r="Q555" s="508"/>
      <c r="R555" s="508"/>
      <c r="S555" s="508"/>
      <c r="T555" s="508"/>
      <c r="U555" s="508"/>
      <c r="V555" s="508"/>
      <c r="W555" s="508"/>
      <c r="X555" s="508"/>
      <c r="Y555" s="508"/>
      <c r="Z555" s="508"/>
      <c r="AA555" s="508"/>
    </row>
    <row r="556">
      <c r="A556" s="508"/>
      <c r="B556" s="508"/>
      <c r="C556" s="508"/>
      <c r="D556" s="508"/>
      <c r="E556" s="967"/>
      <c r="F556" s="508"/>
      <c r="G556" s="508"/>
      <c r="H556" s="967"/>
      <c r="I556" s="508"/>
      <c r="J556" s="508"/>
      <c r="K556" s="508"/>
      <c r="L556" s="508"/>
      <c r="M556" s="508"/>
      <c r="N556" s="508"/>
      <c r="O556" s="508"/>
      <c r="P556" s="508"/>
      <c r="Q556" s="508"/>
      <c r="R556" s="508"/>
      <c r="S556" s="508"/>
      <c r="T556" s="508"/>
      <c r="U556" s="508"/>
      <c r="V556" s="508"/>
      <c r="W556" s="508"/>
      <c r="X556" s="508"/>
      <c r="Y556" s="508"/>
      <c r="Z556" s="508"/>
      <c r="AA556" s="508"/>
    </row>
    <row r="557">
      <c r="A557" s="508"/>
      <c r="B557" s="508"/>
      <c r="C557" s="508"/>
      <c r="D557" s="508"/>
      <c r="E557" s="967"/>
      <c r="F557" s="508"/>
      <c r="G557" s="508"/>
      <c r="H557" s="967"/>
      <c r="I557" s="508"/>
      <c r="J557" s="508"/>
      <c r="K557" s="508"/>
      <c r="L557" s="508"/>
      <c r="M557" s="508"/>
      <c r="N557" s="508"/>
      <c r="O557" s="508"/>
      <c r="P557" s="508"/>
      <c r="Q557" s="508"/>
      <c r="R557" s="508"/>
      <c r="S557" s="508"/>
      <c r="T557" s="508"/>
      <c r="U557" s="508"/>
      <c r="V557" s="508"/>
      <c r="W557" s="508"/>
      <c r="X557" s="508"/>
      <c r="Y557" s="508"/>
      <c r="Z557" s="508"/>
      <c r="AA557" s="508"/>
    </row>
    <row r="558">
      <c r="A558" s="508"/>
      <c r="B558" s="508"/>
      <c r="C558" s="508"/>
      <c r="D558" s="508"/>
      <c r="E558" s="967"/>
      <c r="F558" s="508"/>
      <c r="G558" s="508"/>
      <c r="H558" s="967"/>
      <c r="I558" s="508"/>
      <c r="J558" s="508"/>
      <c r="K558" s="508"/>
      <c r="L558" s="508"/>
      <c r="M558" s="508"/>
      <c r="N558" s="508"/>
      <c r="O558" s="508"/>
      <c r="P558" s="508"/>
      <c r="Q558" s="508"/>
      <c r="R558" s="508"/>
      <c r="S558" s="508"/>
      <c r="T558" s="508"/>
      <c r="U558" s="508"/>
      <c r="V558" s="508"/>
      <c r="W558" s="508"/>
      <c r="X558" s="508"/>
      <c r="Y558" s="508"/>
      <c r="Z558" s="508"/>
      <c r="AA558" s="508"/>
    </row>
    <row r="559">
      <c r="A559" s="508"/>
      <c r="B559" s="508"/>
      <c r="C559" s="508"/>
      <c r="D559" s="508"/>
      <c r="E559" s="967"/>
      <c r="F559" s="508"/>
      <c r="G559" s="508"/>
      <c r="H559" s="967"/>
      <c r="I559" s="508"/>
      <c r="J559" s="508"/>
      <c r="K559" s="508"/>
      <c r="L559" s="508"/>
      <c r="M559" s="508"/>
      <c r="N559" s="508"/>
      <c r="O559" s="508"/>
      <c r="P559" s="508"/>
      <c r="Q559" s="508"/>
      <c r="R559" s="508"/>
      <c r="S559" s="508"/>
      <c r="T559" s="508"/>
      <c r="U559" s="508"/>
      <c r="V559" s="508"/>
      <c r="W559" s="508"/>
      <c r="X559" s="508"/>
      <c r="Y559" s="508"/>
      <c r="Z559" s="508"/>
      <c r="AA559" s="508"/>
    </row>
    <row r="560">
      <c r="A560" s="508"/>
      <c r="B560" s="508"/>
      <c r="C560" s="508"/>
      <c r="D560" s="508"/>
      <c r="E560" s="967"/>
      <c r="F560" s="508"/>
      <c r="G560" s="508"/>
      <c r="H560" s="967"/>
      <c r="I560" s="508"/>
      <c r="J560" s="508"/>
      <c r="K560" s="508"/>
      <c r="L560" s="508"/>
      <c r="M560" s="508"/>
      <c r="N560" s="508"/>
      <c r="O560" s="508"/>
      <c r="P560" s="508"/>
      <c r="Q560" s="508"/>
      <c r="R560" s="508"/>
      <c r="S560" s="508"/>
      <c r="T560" s="508"/>
      <c r="U560" s="508"/>
      <c r="V560" s="508"/>
      <c r="W560" s="508"/>
      <c r="X560" s="508"/>
      <c r="Y560" s="508"/>
      <c r="Z560" s="508"/>
      <c r="AA560" s="508"/>
    </row>
    <row r="561">
      <c r="A561" s="508"/>
      <c r="B561" s="508"/>
      <c r="C561" s="508"/>
      <c r="D561" s="508"/>
      <c r="E561" s="967"/>
      <c r="F561" s="508"/>
      <c r="G561" s="508"/>
      <c r="H561" s="967"/>
      <c r="I561" s="508"/>
      <c r="J561" s="508"/>
      <c r="K561" s="508"/>
      <c r="L561" s="508"/>
      <c r="M561" s="508"/>
      <c r="N561" s="508"/>
      <c r="O561" s="508"/>
      <c r="P561" s="508"/>
      <c r="Q561" s="508"/>
      <c r="R561" s="508"/>
      <c r="S561" s="508"/>
      <c r="T561" s="508"/>
      <c r="U561" s="508"/>
      <c r="V561" s="508"/>
      <c r="W561" s="508"/>
      <c r="X561" s="508"/>
      <c r="Y561" s="508"/>
      <c r="Z561" s="508"/>
      <c r="AA561" s="508"/>
    </row>
    <row r="562">
      <c r="A562" s="508"/>
      <c r="B562" s="508"/>
      <c r="C562" s="508"/>
      <c r="D562" s="508"/>
      <c r="E562" s="967"/>
      <c r="F562" s="508"/>
      <c r="G562" s="508"/>
      <c r="H562" s="967"/>
      <c r="I562" s="508"/>
      <c r="J562" s="508"/>
      <c r="K562" s="508"/>
      <c r="L562" s="508"/>
      <c r="M562" s="508"/>
      <c r="N562" s="508"/>
      <c r="O562" s="508"/>
      <c r="P562" s="508"/>
      <c r="Q562" s="508"/>
      <c r="R562" s="508"/>
      <c r="S562" s="508"/>
      <c r="T562" s="508"/>
      <c r="U562" s="508"/>
      <c r="V562" s="508"/>
      <c r="W562" s="508"/>
      <c r="X562" s="508"/>
      <c r="Y562" s="508"/>
      <c r="Z562" s="508"/>
      <c r="AA562" s="508"/>
    </row>
    <row r="563">
      <c r="A563" s="508"/>
      <c r="B563" s="508"/>
      <c r="C563" s="508"/>
      <c r="D563" s="508"/>
      <c r="E563" s="967"/>
      <c r="F563" s="508"/>
      <c r="G563" s="508"/>
      <c r="H563" s="967"/>
      <c r="I563" s="508"/>
      <c r="J563" s="508"/>
      <c r="K563" s="508"/>
      <c r="L563" s="508"/>
      <c r="M563" s="508"/>
      <c r="N563" s="508"/>
      <c r="O563" s="508"/>
      <c r="P563" s="508"/>
      <c r="Q563" s="508"/>
      <c r="R563" s="508"/>
      <c r="S563" s="508"/>
      <c r="T563" s="508"/>
      <c r="U563" s="508"/>
      <c r="V563" s="508"/>
      <c r="W563" s="508"/>
      <c r="X563" s="508"/>
      <c r="Y563" s="508"/>
      <c r="Z563" s="508"/>
      <c r="AA563" s="508"/>
    </row>
    <row r="564">
      <c r="A564" s="508"/>
      <c r="B564" s="508"/>
      <c r="C564" s="508"/>
      <c r="D564" s="508"/>
      <c r="E564" s="967"/>
      <c r="F564" s="508"/>
      <c r="G564" s="508"/>
      <c r="H564" s="967"/>
      <c r="I564" s="508"/>
      <c r="J564" s="508"/>
      <c r="K564" s="508"/>
      <c r="L564" s="508"/>
      <c r="M564" s="508"/>
      <c r="N564" s="508"/>
      <c r="O564" s="508"/>
      <c r="P564" s="508"/>
      <c r="Q564" s="508"/>
      <c r="R564" s="508"/>
      <c r="S564" s="508"/>
      <c r="T564" s="508"/>
      <c r="U564" s="508"/>
      <c r="V564" s="508"/>
      <c r="W564" s="508"/>
      <c r="X564" s="508"/>
      <c r="Y564" s="508"/>
      <c r="Z564" s="508"/>
      <c r="AA564" s="508"/>
    </row>
    <row r="565">
      <c r="A565" s="508"/>
      <c r="B565" s="508"/>
      <c r="C565" s="508"/>
      <c r="D565" s="508"/>
      <c r="E565" s="967"/>
      <c r="F565" s="508"/>
      <c r="G565" s="508"/>
      <c r="H565" s="967"/>
      <c r="I565" s="508"/>
      <c r="J565" s="508"/>
      <c r="K565" s="508"/>
      <c r="L565" s="508"/>
      <c r="M565" s="508"/>
      <c r="N565" s="508"/>
      <c r="O565" s="508"/>
      <c r="P565" s="508"/>
      <c r="Q565" s="508"/>
      <c r="R565" s="508"/>
      <c r="S565" s="508"/>
      <c r="T565" s="508"/>
      <c r="U565" s="508"/>
      <c r="V565" s="508"/>
      <c r="W565" s="508"/>
      <c r="X565" s="508"/>
      <c r="Y565" s="508"/>
      <c r="Z565" s="508"/>
      <c r="AA565" s="508"/>
    </row>
    <row r="566">
      <c r="A566" s="508"/>
      <c r="B566" s="508"/>
      <c r="C566" s="508"/>
      <c r="D566" s="508"/>
      <c r="E566" s="967"/>
      <c r="F566" s="508"/>
      <c r="G566" s="508"/>
      <c r="H566" s="967"/>
      <c r="I566" s="508"/>
      <c r="J566" s="508"/>
      <c r="K566" s="508"/>
      <c r="L566" s="508"/>
      <c r="M566" s="508"/>
      <c r="N566" s="508"/>
      <c r="O566" s="508"/>
      <c r="P566" s="508"/>
      <c r="Q566" s="508"/>
      <c r="R566" s="508"/>
      <c r="S566" s="508"/>
      <c r="T566" s="508"/>
      <c r="U566" s="508"/>
      <c r="V566" s="508"/>
      <c r="W566" s="508"/>
      <c r="X566" s="508"/>
      <c r="Y566" s="508"/>
      <c r="Z566" s="508"/>
      <c r="AA566" s="508"/>
    </row>
    <row r="567">
      <c r="A567" s="508"/>
      <c r="B567" s="508"/>
      <c r="C567" s="508"/>
      <c r="D567" s="508"/>
      <c r="E567" s="967"/>
      <c r="F567" s="508"/>
      <c r="G567" s="508"/>
      <c r="H567" s="967"/>
      <c r="I567" s="508"/>
      <c r="J567" s="508"/>
      <c r="K567" s="508"/>
      <c r="L567" s="508"/>
      <c r="M567" s="508"/>
      <c r="N567" s="508"/>
      <c r="O567" s="508"/>
      <c r="P567" s="508"/>
      <c r="Q567" s="508"/>
      <c r="R567" s="508"/>
      <c r="S567" s="508"/>
      <c r="T567" s="508"/>
      <c r="U567" s="508"/>
      <c r="V567" s="508"/>
      <c r="W567" s="508"/>
      <c r="X567" s="508"/>
      <c r="Y567" s="508"/>
      <c r="Z567" s="508"/>
      <c r="AA567" s="508"/>
    </row>
    <row r="568">
      <c r="A568" s="508"/>
      <c r="B568" s="508"/>
      <c r="C568" s="508"/>
      <c r="D568" s="508"/>
      <c r="E568" s="967"/>
      <c r="F568" s="508"/>
      <c r="G568" s="508"/>
      <c r="H568" s="967"/>
      <c r="I568" s="508"/>
      <c r="J568" s="508"/>
      <c r="K568" s="508"/>
      <c r="L568" s="508"/>
      <c r="M568" s="508"/>
      <c r="N568" s="508"/>
      <c r="O568" s="508"/>
      <c r="P568" s="508"/>
      <c r="Q568" s="508"/>
      <c r="R568" s="508"/>
      <c r="S568" s="508"/>
      <c r="T568" s="508"/>
      <c r="U568" s="508"/>
      <c r="V568" s="508"/>
      <c r="W568" s="508"/>
      <c r="X568" s="508"/>
      <c r="Y568" s="508"/>
      <c r="Z568" s="508"/>
      <c r="AA568" s="508"/>
    </row>
    <row r="569">
      <c r="A569" s="508"/>
      <c r="B569" s="508"/>
      <c r="C569" s="508"/>
      <c r="D569" s="508"/>
      <c r="E569" s="967"/>
      <c r="F569" s="508"/>
      <c r="G569" s="508"/>
      <c r="H569" s="967"/>
      <c r="I569" s="508"/>
      <c r="J569" s="508"/>
      <c r="K569" s="508"/>
      <c r="L569" s="508"/>
      <c r="M569" s="508"/>
      <c r="N569" s="508"/>
      <c r="O569" s="508"/>
      <c r="P569" s="508"/>
      <c r="Q569" s="508"/>
      <c r="R569" s="508"/>
      <c r="S569" s="508"/>
      <c r="T569" s="508"/>
      <c r="U569" s="508"/>
      <c r="V569" s="508"/>
      <c r="W569" s="508"/>
      <c r="X569" s="508"/>
      <c r="Y569" s="508"/>
      <c r="Z569" s="508"/>
      <c r="AA569" s="508"/>
    </row>
    <row r="570">
      <c r="A570" s="508"/>
      <c r="B570" s="508"/>
      <c r="C570" s="508"/>
      <c r="D570" s="508"/>
      <c r="E570" s="967"/>
      <c r="F570" s="508"/>
      <c r="G570" s="508"/>
      <c r="H570" s="967"/>
      <c r="I570" s="508"/>
      <c r="J570" s="508"/>
      <c r="K570" s="508"/>
      <c r="L570" s="508"/>
      <c r="M570" s="508"/>
      <c r="N570" s="508"/>
      <c r="O570" s="508"/>
      <c r="P570" s="508"/>
      <c r="Q570" s="508"/>
      <c r="R570" s="508"/>
      <c r="S570" s="508"/>
      <c r="T570" s="508"/>
      <c r="U570" s="508"/>
      <c r="V570" s="508"/>
      <c r="W570" s="508"/>
      <c r="X570" s="508"/>
      <c r="Y570" s="508"/>
      <c r="Z570" s="508"/>
      <c r="AA570" s="508"/>
    </row>
    <row r="571">
      <c r="A571" s="508"/>
      <c r="B571" s="508"/>
      <c r="C571" s="508"/>
      <c r="D571" s="508"/>
      <c r="E571" s="967"/>
      <c r="F571" s="508"/>
      <c r="G571" s="508"/>
      <c r="H571" s="967"/>
      <c r="I571" s="508"/>
      <c r="J571" s="508"/>
      <c r="K571" s="508"/>
      <c r="L571" s="508"/>
      <c r="M571" s="508"/>
      <c r="N571" s="508"/>
      <c r="O571" s="508"/>
      <c r="P571" s="508"/>
      <c r="Q571" s="508"/>
      <c r="R571" s="508"/>
      <c r="S571" s="508"/>
      <c r="T571" s="508"/>
      <c r="U571" s="508"/>
      <c r="V571" s="508"/>
      <c r="W571" s="508"/>
      <c r="X571" s="508"/>
      <c r="Y571" s="508"/>
      <c r="Z571" s="508"/>
      <c r="AA571" s="508"/>
    </row>
    <row r="572">
      <c r="A572" s="508"/>
      <c r="B572" s="508"/>
      <c r="C572" s="508"/>
      <c r="D572" s="508"/>
      <c r="E572" s="967"/>
      <c r="F572" s="508"/>
      <c r="G572" s="508"/>
      <c r="H572" s="967"/>
      <c r="I572" s="508"/>
      <c r="J572" s="508"/>
      <c r="K572" s="508"/>
      <c r="L572" s="508"/>
      <c r="M572" s="508"/>
      <c r="N572" s="508"/>
      <c r="O572" s="508"/>
      <c r="P572" s="508"/>
      <c r="Q572" s="508"/>
      <c r="R572" s="508"/>
      <c r="S572" s="508"/>
      <c r="T572" s="508"/>
      <c r="U572" s="508"/>
      <c r="V572" s="508"/>
      <c r="W572" s="508"/>
      <c r="X572" s="508"/>
      <c r="Y572" s="508"/>
      <c r="Z572" s="508"/>
      <c r="AA572" s="508"/>
    </row>
    <row r="573">
      <c r="A573" s="508"/>
      <c r="B573" s="508"/>
      <c r="C573" s="508"/>
      <c r="D573" s="508"/>
      <c r="E573" s="967"/>
      <c r="F573" s="508"/>
      <c r="G573" s="508"/>
      <c r="H573" s="967"/>
      <c r="I573" s="508"/>
      <c r="J573" s="508"/>
      <c r="K573" s="508"/>
      <c r="L573" s="508"/>
      <c r="M573" s="508"/>
      <c r="N573" s="508"/>
      <c r="O573" s="508"/>
      <c r="P573" s="508"/>
      <c r="Q573" s="508"/>
      <c r="R573" s="508"/>
      <c r="S573" s="508"/>
      <c r="T573" s="508"/>
      <c r="U573" s="508"/>
      <c r="V573" s="508"/>
      <c r="W573" s="508"/>
      <c r="X573" s="508"/>
      <c r="Y573" s="508"/>
      <c r="Z573" s="508"/>
      <c r="AA573" s="508"/>
    </row>
    <row r="574">
      <c r="A574" s="508"/>
      <c r="B574" s="508"/>
      <c r="C574" s="508"/>
      <c r="D574" s="508"/>
      <c r="E574" s="967"/>
      <c r="F574" s="508"/>
      <c r="G574" s="508"/>
      <c r="H574" s="967"/>
      <c r="I574" s="508"/>
      <c r="J574" s="508"/>
      <c r="K574" s="508"/>
      <c r="L574" s="508"/>
      <c r="M574" s="508"/>
      <c r="N574" s="508"/>
      <c r="O574" s="508"/>
      <c r="P574" s="508"/>
      <c r="Q574" s="508"/>
      <c r="R574" s="508"/>
      <c r="S574" s="508"/>
      <c r="T574" s="508"/>
      <c r="U574" s="508"/>
      <c r="V574" s="508"/>
      <c r="W574" s="508"/>
      <c r="X574" s="508"/>
      <c r="Y574" s="508"/>
      <c r="Z574" s="508"/>
      <c r="AA574" s="508"/>
    </row>
    <row r="575">
      <c r="A575" s="508"/>
      <c r="B575" s="508"/>
      <c r="C575" s="508"/>
      <c r="D575" s="508"/>
      <c r="E575" s="967"/>
      <c r="F575" s="508"/>
      <c r="G575" s="508"/>
      <c r="H575" s="967"/>
      <c r="I575" s="508"/>
      <c r="J575" s="508"/>
      <c r="K575" s="508"/>
      <c r="L575" s="508"/>
      <c r="M575" s="508"/>
      <c r="N575" s="508"/>
      <c r="O575" s="508"/>
      <c r="P575" s="508"/>
      <c r="Q575" s="508"/>
      <c r="R575" s="508"/>
      <c r="S575" s="508"/>
      <c r="T575" s="508"/>
      <c r="U575" s="508"/>
      <c r="V575" s="508"/>
      <c r="W575" s="508"/>
      <c r="X575" s="508"/>
      <c r="Y575" s="508"/>
      <c r="Z575" s="508"/>
      <c r="AA575" s="508"/>
    </row>
    <row r="576">
      <c r="A576" s="508"/>
      <c r="B576" s="508"/>
      <c r="C576" s="508"/>
      <c r="D576" s="508"/>
      <c r="E576" s="967"/>
      <c r="F576" s="508"/>
      <c r="G576" s="508"/>
      <c r="H576" s="967"/>
      <c r="I576" s="508"/>
      <c r="J576" s="508"/>
      <c r="K576" s="508"/>
      <c r="L576" s="508"/>
      <c r="M576" s="508"/>
      <c r="N576" s="508"/>
      <c r="O576" s="508"/>
      <c r="P576" s="508"/>
      <c r="Q576" s="508"/>
      <c r="R576" s="508"/>
      <c r="S576" s="508"/>
      <c r="T576" s="508"/>
      <c r="U576" s="508"/>
      <c r="V576" s="508"/>
      <c r="W576" s="508"/>
      <c r="X576" s="508"/>
      <c r="Y576" s="508"/>
      <c r="Z576" s="508"/>
      <c r="AA576" s="508"/>
    </row>
    <row r="577">
      <c r="A577" s="508"/>
      <c r="B577" s="508"/>
      <c r="C577" s="508"/>
      <c r="D577" s="508"/>
      <c r="E577" s="967"/>
      <c r="F577" s="508"/>
      <c r="G577" s="508"/>
      <c r="H577" s="967"/>
      <c r="I577" s="508"/>
      <c r="J577" s="508"/>
      <c r="K577" s="508"/>
      <c r="L577" s="508"/>
      <c r="M577" s="508"/>
      <c r="N577" s="508"/>
      <c r="O577" s="508"/>
      <c r="P577" s="508"/>
      <c r="Q577" s="508"/>
      <c r="R577" s="508"/>
      <c r="S577" s="508"/>
      <c r="T577" s="508"/>
      <c r="U577" s="508"/>
      <c r="V577" s="508"/>
      <c r="W577" s="508"/>
      <c r="X577" s="508"/>
      <c r="Y577" s="508"/>
      <c r="Z577" s="508"/>
      <c r="AA577" s="508"/>
    </row>
    <row r="578">
      <c r="A578" s="508"/>
      <c r="B578" s="508"/>
      <c r="C578" s="508"/>
      <c r="D578" s="508"/>
      <c r="E578" s="967"/>
      <c r="F578" s="508"/>
      <c r="G578" s="508"/>
      <c r="H578" s="967"/>
      <c r="I578" s="508"/>
      <c r="J578" s="508"/>
      <c r="K578" s="508"/>
      <c r="L578" s="508"/>
      <c r="M578" s="508"/>
      <c r="N578" s="508"/>
      <c r="O578" s="508"/>
      <c r="P578" s="508"/>
      <c r="Q578" s="508"/>
      <c r="R578" s="508"/>
      <c r="S578" s="508"/>
      <c r="T578" s="508"/>
      <c r="U578" s="508"/>
      <c r="V578" s="508"/>
      <c r="W578" s="508"/>
      <c r="X578" s="508"/>
      <c r="Y578" s="508"/>
      <c r="Z578" s="508"/>
      <c r="AA578" s="508"/>
    </row>
    <row r="579">
      <c r="A579" s="508"/>
      <c r="B579" s="508"/>
      <c r="C579" s="508"/>
      <c r="D579" s="508"/>
      <c r="E579" s="967"/>
      <c r="F579" s="508"/>
      <c r="G579" s="508"/>
      <c r="H579" s="967"/>
      <c r="I579" s="508"/>
      <c r="J579" s="508"/>
      <c r="K579" s="508"/>
      <c r="L579" s="508"/>
      <c r="M579" s="508"/>
      <c r="N579" s="508"/>
      <c r="O579" s="508"/>
      <c r="P579" s="508"/>
      <c r="Q579" s="508"/>
      <c r="R579" s="508"/>
      <c r="S579" s="508"/>
      <c r="T579" s="508"/>
      <c r="U579" s="508"/>
      <c r="V579" s="508"/>
      <c r="W579" s="508"/>
      <c r="X579" s="508"/>
      <c r="Y579" s="508"/>
      <c r="Z579" s="508"/>
      <c r="AA579" s="508"/>
    </row>
    <row r="580">
      <c r="A580" s="508"/>
      <c r="B580" s="508"/>
      <c r="C580" s="508"/>
      <c r="D580" s="508"/>
      <c r="E580" s="967"/>
      <c r="F580" s="508"/>
      <c r="G580" s="508"/>
      <c r="H580" s="967"/>
      <c r="I580" s="508"/>
      <c r="J580" s="508"/>
      <c r="K580" s="508"/>
      <c r="L580" s="508"/>
      <c r="M580" s="508"/>
      <c r="N580" s="508"/>
      <c r="O580" s="508"/>
      <c r="P580" s="508"/>
      <c r="Q580" s="508"/>
      <c r="R580" s="508"/>
      <c r="S580" s="508"/>
      <c r="T580" s="508"/>
      <c r="U580" s="508"/>
      <c r="V580" s="508"/>
      <c r="W580" s="508"/>
      <c r="X580" s="508"/>
      <c r="Y580" s="508"/>
      <c r="Z580" s="508"/>
      <c r="AA580" s="508"/>
    </row>
    <row r="581">
      <c r="A581" s="508"/>
      <c r="B581" s="508"/>
      <c r="C581" s="508"/>
      <c r="D581" s="508"/>
      <c r="E581" s="967"/>
      <c r="F581" s="508"/>
      <c r="G581" s="508"/>
      <c r="H581" s="967"/>
      <c r="I581" s="508"/>
      <c r="J581" s="508"/>
      <c r="K581" s="508"/>
      <c r="L581" s="508"/>
      <c r="M581" s="508"/>
      <c r="N581" s="508"/>
      <c r="O581" s="508"/>
      <c r="P581" s="508"/>
      <c r="Q581" s="508"/>
      <c r="R581" s="508"/>
      <c r="S581" s="508"/>
      <c r="T581" s="508"/>
      <c r="U581" s="508"/>
      <c r="V581" s="508"/>
      <c r="W581" s="508"/>
      <c r="X581" s="508"/>
      <c r="Y581" s="508"/>
      <c r="Z581" s="508"/>
      <c r="AA581" s="508"/>
    </row>
    <row r="582">
      <c r="A582" s="508"/>
      <c r="B582" s="508"/>
      <c r="C582" s="508"/>
      <c r="D582" s="508"/>
      <c r="E582" s="967"/>
      <c r="F582" s="508"/>
      <c r="G582" s="508"/>
      <c r="H582" s="967"/>
      <c r="I582" s="508"/>
      <c r="J582" s="508"/>
      <c r="K582" s="508"/>
      <c r="L582" s="508"/>
      <c r="M582" s="508"/>
      <c r="N582" s="508"/>
      <c r="O582" s="508"/>
      <c r="P582" s="508"/>
      <c r="Q582" s="508"/>
      <c r="R582" s="508"/>
      <c r="S582" s="508"/>
      <c r="T582" s="508"/>
      <c r="U582" s="508"/>
      <c r="V582" s="508"/>
      <c r="W582" s="508"/>
      <c r="X582" s="508"/>
      <c r="Y582" s="508"/>
      <c r="Z582" s="508"/>
      <c r="AA582" s="508"/>
    </row>
    <row r="583">
      <c r="A583" s="508"/>
      <c r="B583" s="508"/>
      <c r="C583" s="508"/>
      <c r="D583" s="508"/>
      <c r="E583" s="967"/>
      <c r="F583" s="508"/>
      <c r="G583" s="508"/>
      <c r="H583" s="967"/>
      <c r="I583" s="508"/>
      <c r="J583" s="508"/>
      <c r="K583" s="508"/>
      <c r="L583" s="508"/>
      <c r="M583" s="508"/>
      <c r="N583" s="508"/>
      <c r="O583" s="508"/>
      <c r="P583" s="508"/>
      <c r="Q583" s="508"/>
      <c r="R583" s="508"/>
      <c r="S583" s="508"/>
      <c r="T583" s="508"/>
      <c r="U583" s="508"/>
      <c r="V583" s="508"/>
      <c r="W583" s="508"/>
      <c r="X583" s="508"/>
      <c r="Y583" s="508"/>
      <c r="Z583" s="508"/>
      <c r="AA583" s="508"/>
    </row>
    <row r="584">
      <c r="A584" s="508"/>
      <c r="B584" s="508"/>
      <c r="C584" s="508"/>
      <c r="D584" s="508"/>
      <c r="E584" s="967"/>
      <c r="F584" s="508"/>
      <c r="G584" s="508"/>
      <c r="H584" s="967"/>
      <c r="I584" s="508"/>
      <c r="J584" s="508"/>
      <c r="K584" s="508"/>
      <c r="L584" s="508"/>
      <c r="M584" s="508"/>
      <c r="N584" s="508"/>
      <c r="O584" s="508"/>
      <c r="P584" s="508"/>
      <c r="Q584" s="508"/>
      <c r="R584" s="508"/>
      <c r="S584" s="508"/>
      <c r="T584" s="508"/>
      <c r="U584" s="508"/>
      <c r="V584" s="508"/>
      <c r="W584" s="508"/>
      <c r="X584" s="508"/>
      <c r="Y584" s="508"/>
      <c r="Z584" s="508"/>
      <c r="AA584" s="508"/>
    </row>
    <row r="585">
      <c r="A585" s="508"/>
      <c r="B585" s="508"/>
      <c r="C585" s="508"/>
      <c r="D585" s="508"/>
      <c r="E585" s="967"/>
      <c r="F585" s="508"/>
      <c r="G585" s="508"/>
      <c r="H585" s="967"/>
      <c r="I585" s="508"/>
      <c r="J585" s="508"/>
      <c r="K585" s="508"/>
      <c r="L585" s="508"/>
      <c r="M585" s="508"/>
      <c r="N585" s="508"/>
      <c r="O585" s="508"/>
      <c r="P585" s="508"/>
      <c r="Q585" s="508"/>
      <c r="R585" s="508"/>
      <c r="S585" s="508"/>
      <c r="T585" s="508"/>
      <c r="U585" s="508"/>
      <c r="V585" s="508"/>
      <c r="W585" s="508"/>
      <c r="X585" s="508"/>
      <c r="Y585" s="508"/>
      <c r="Z585" s="508"/>
      <c r="AA585" s="508"/>
    </row>
    <row r="586">
      <c r="A586" s="508"/>
      <c r="B586" s="508"/>
      <c r="C586" s="508"/>
      <c r="D586" s="508"/>
      <c r="E586" s="967"/>
      <c r="F586" s="508"/>
      <c r="G586" s="508"/>
      <c r="H586" s="967"/>
      <c r="I586" s="508"/>
      <c r="J586" s="508"/>
      <c r="K586" s="508"/>
      <c r="L586" s="508"/>
      <c r="M586" s="508"/>
      <c r="N586" s="508"/>
      <c r="O586" s="508"/>
      <c r="P586" s="508"/>
      <c r="Q586" s="508"/>
      <c r="R586" s="508"/>
      <c r="S586" s="508"/>
      <c r="T586" s="508"/>
      <c r="U586" s="508"/>
      <c r="V586" s="508"/>
      <c r="W586" s="508"/>
      <c r="X586" s="508"/>
      <c r="Y586" s="508"/>
      <c r="Z586" s="508"/>
      <c r="AA586" s="508"/>
    </row>
    <row r="587">
      <c r="A587" s="508"/>
      <c r="B587" s="508"/>
      <c r="C587" s="508"/>
      <c r="D587" s="508"/>
      <c r="E587" s="967"/>
      <c r="F587" s="508"/>
      <c r="G587" s="508"/>
      <c r="H587" s="967"/>
      <c r="I587" s="508"/>
      <c r="J587" s="508"/>
      <c r="K587" s="508"/>
      <c r="L587" s="508"/>
      <c r="M587" s="508"/>
      <c r="N587" s="508"/>
      <c r="O587" s="508"/>
      <c r="P587" s="508"/>
      <c r="Q587" s="508"/>
      <c r="R587" s="508"/>
      <c r="S587" s="508"/>
      <c r="T587" s="508"/>
      <c r="U587" s="508"/>
      <c r="V587" s="508"/>
      <c r="W587" s="508"/>
      <c r="X587" s="508"/>
      <c r="Y587" s="508"/>
      <c r="Z587" s="508"/>
      <c r="AA587" s="508"/>
    </row>
    <row r="588">
      <c r="A588" s="508"/>
      <c r="B588" s="508"/>
      <c r="C588" s="508"/>
      <c r="D588" s="508"/>
      <c r="E588" s="967"/>
      <c r="F588" s="508"/>
      <c r="G588" s="508"/>
      <c r="H588" s="967"/>
      <c r="I588" s="508"/>
      <c r="J588" s="508"/>
      <c r="K588" s="508"/>
      <c r="L588" s="508"/>
      <c r="M588" s="508"/>
      <c r="N588" s="508"/>
      <c r="O588" s="508"/>
      <c r="P588" s="508"/>
      <c r="Q588" s="508"/>
      <c r="R588" s="508"/>
      <c r="S588" s="508"/>
      <c r="T588" s="508"/>
      <c r="U588" s="508"/>
      <c r="V588" s="508"/>
      <c r="W588" s="508"/>
      <c r="X588" s="508"/>
      <c r="Y588" s="508"/>
      <c r="Z588" s="508"/>
      <c r="AA588" s="508"/>
    </row>
    <row r="589">
      <c r="A589" s="508"/>
      <c r="B589" s="508"/>
      <c r="C589" s="508"/>
      <c r="D589" s="508"/>
      <c r="E589" s="967"/>
      <c r="F589" s="508"/>
      <c r="G589" s="508"/>
      <c r="H589" s="967"/>
      <c r="I589" s="508"/>
      <c r="J589" s="508"/>
      <c r="K589" s="508"/>
      <c r="L589" s="508"/>
      <c r="M589" s="508"/>
      <c r="N589" s="508"/>
      <c r="O589" s="508"/>
      <c r="P589" s="508"/>
      <c r="Q589" s="508"/>
      <c r="R589" s="508"/>
      <c r="S589" s="508"/>
      <c r="T589" s="508"/>
      <c r="U589" s="508"/>
      <c r="V589" s="508"/>
      <c r="W589" s="508"/>
      <c r="X589" s="508"/>
      <c r="Y589" s="508"/>
      <c r="Z589" s="508"/>
      <c r="AA589" s="508"/>
    </row>
    <row r="590">
      <c r="A590" s="508"/>
      <c r="B590" s="508"/>
      <c r="C590" s="508"/>
      <c r="D590" s="508"/>
      <c r="E590" s="967"/>
      <c r="F590" s="508"/>
      <c r="G590" s="508"/>
      <c r="H590" s="967"/>
      <c r="I590" s="508"/>
      <c r="J590" s="508"/>
      <c r="K590" s="508"/>
      <c r="L590" s="508"/>
      <c r="M590" s="508"/>
      <c r="N590" s="508"/>
      <c r="O590" s="508"/>
      <c r="P590" s="508"/>
      <c r="Q590" s="508"/>
      <c r="R590" s="508"/>
      <c r="S590" s="508"/>
      <c r="T590" s="508"/>
      <c r="U590" s="508"/>
      <c r="V590" s="508"/>
      <c r="W590" s="508"/>
      <c r="X590" s="508"/>
      <c r="Y590" s="508"/>
      <c r="Z590" s="508"/>
      <c r="AA590" s="508"/>
    </row>
    <row r="591">
      <c r="A591" s="508"/>
      <c r="B591" s="508"/>
      <c r="C591" s="508"/>
      <c r="D591" s="508"/>
      <c r="E591" s="967"/>
      <c r="F591" s="508"/>
      <c r="G591" s="508"/>
      <c r="H591" s="967"/>
      <c r="I591" s="508"/>
      <c r="J591" s="508"/>
      <c r="K591" s="508"/>
      <c r="L591" s="508"/>
      <c r="M591" s="508"/>
      <c r="N591" s="508"/>
      <c r="O591" s="508"/>
      <c r="P591" s="508"/>
      <c r="Q591" s="508"/>
      <c r="R591" s="508"/>
      <c r="S591" s="508"/>
      <c r="T591" s="508"/>
      <c r="U591" s="508"/>
      <c r="V591" s="508"/>
      <c r="W591" s="508"/>
      <c r="X591" s="508"/>
      <c r="Y591" s="508"/>
      <c r="Z591" s="508"/>
      <c r="AA591" s="508"/>
    </row>
    <row r="592">
      <c r="A592" s="508"/>
      <c r="B592" s="508"/>
      <c r="C592" s="508"/>
      <c r="D592" s="508"/>
      <c r="E592" s="967"/>
      <c r="F592" s="508"/>
      <c r="G592" s="508"/>
      <c r="H592" s="967"/>
      <c r="I592" s="508"/>
      <c r="J592" s="508"/>
      <c r="K592" s="508"/>
      <c r="L592" s="508"/>
      <c r="M592" s="508"/>
      <c r="N592" s="508"/>
      <c r="O592" s="508"/>
      <c r="P592" s="508"/>
      <c r="Q592" s="508"/>
      <c r="R592" s="508"/>
      <c r="S592" s="508"/>
      <c r="T592" s="508"/>
      <c r="U592" s="508"/>
      <c r="V592" s="508"/>
      <c r="W592" s="508"/>
      <c r="X592" s="508"/>
      <c r="Y592" s="508"/>
      <c r="Z592" s="508"/>
      <c r="AA592" s="508"/>
    </row>
    <row r="593">
      <c r="A593" s="508"/>
      <c r="B593" s="508"/>
      <c r="C593" s="508"/>
      <c r="D593" s="508"/>
      <c r="E593" s="967"/>
      <c r="F593" s="508"/>
      <c r="G593" s="508"/>
      <c r="H593" s="967"/>
      <c r="I593" s="508"/>
      <c r="J593" s="508"/>
      <c r="K593" s="508"/>
      <c r="L593" s="508"/>
      <c r="M593" s="508"/>
      <c r="N593" s="508"/>
      <c r="O593" s="508"/>
      <c r="P593" s="508"/>
      <c r="Q593" s="508"/>
      <c r="R593" s="508"/>
      <c r="S593" s="508"/>
      <c r="T593" s="508"/>
      <c r="U593" s="508"/>
      <c r="V593" s="508"/>
      <c r="W593" s="508"/>
      <c r="X593" s="508"/>
      <c r="Y593" s="508"/>
      <c r="Z593" s="508"/>
      <c r="AA593" s="508"/>
    </row>
    <row r="594">
      <c r="A594" s="508"/>
      <c r="B594" s="508"/>
      <c r="C594" s="508"/>
      <c r="D594" s="508"/>
      <c r="E594" s="967"/>
      <c r="F594" s="508"/>
      <c r="G594" s="508"/>
      <c r="H594" s="967"/>
      <c r="I594" s="508"/>
      <c r="J594" s="508"/>
      <c r="K594" s="508"/>
      <c r="L594" s="508"/>
      <c r="M594" s="508"/>
      <c r="N594" s="508"/>
      <c r="O594" s="508"/>
      <c r="P594" s="508"/>
      <c r="Q594" s="508"/>
      <c r="R594" s="508"/>
      <c r="S594" s="508"/>
      <c r="T594" s="508"/>
      <c r="U594" s="508"/>
      <c r="V594" s="508"/>
      <c r="W594" s="508"/>
      <c r="X594" s="508"/>
      <c r="Y594" s="508"/>
      <c r="Z594" s="508"/>
      <c r="AA594" s="508"/>
    </row>
    <row r="595">
      <c r="A595" s="508"/>
      <c r="B595" s="508"/>
      <c r="C595" s="508"/>
      <c r="D595" s="508"/>
      <c r="E595" s="967"/>
      <c r="F595" s="508"/>
      <c r="G595" s="508"/>
      <c r="H595" s="967"/>
      <c r="I595" s="508"/>
      <c r="J595" s="508"/>
      <c r="K595" s="508"/>
      <c r="L595" s="508"/>
      <c r="M595" s="508"/>
      <c r="N595" s="508"/>
      <c r="O595" s="508"/>
      <c r="P595" s="508"/>
      <c r="Q595" s="508"/>
      <c r="R595" s="508"/>
      <c r="S595" s="508"/>
      <c r="T595" s="508"/>
      <c r="U595" s="508"/>
      <c r="V595" s="508"/>
      <c r="W595" s="508"/>
      <c r="X595" s="508"/>
      <c r="Y595" s="508"/>
      <c r="Z595" s="508"/>
      <c r="AA595" s="508"/>
    </row>
    <row r="596">
      <c r="A596" s="508"/>
      <c r="B596" s="508"/>
      <c r="C596" s="508"/>
      <c r="D596" s="508"/>
      <c r="E596" s="967"/>
      <c r="F596" s="508"/>
      <c r="G596" s="508"/>
      <c r="H596" s="967"/>
      <c r="I596" s="508"/>
      <c r="J596" s="508"/>
      <c r="K596" s="508"/>
      <c r="L596" s="508"/>
      <c r="M596" s="508"/>
      <c r="N596" s="508"/>
      <c r="O596" s="508"/>
      <c r="P596" s="508"/>
      <c r="Q596" s="508"/>
      <c r="R596" s="508"/>
      <c r="S596" s="508"/>
      <c r="T596" s="508"/>
      <c r="U596" s="508"/>
      <c r="V596" s="508"/>
      <c r="W596" s="508"/>
      <c r="X596" s="508"/>
      <c r="Y596" s="508"/>
      <c r="Z596" s="508"/>
      <c r="AA596" s="508"/>
    </row>
    <row r="597">
      <c r="A597" s="508"/>
      <c r="B597" s="508"/>
      <c r="C597" s="508"/>
      <c r="D597" s="508"/>
      <c r="E597" s="967"/>
      <c r="F597" s="508"/>
      <c r="G597" s="508"/>
      <c r="H597" s="967"/>
      <c r="I597" s="508"/>
      <c r="J597" s="508"/>
      <c r="K597" s="508"/>
      <c r="L597" s="508"/>
      <c r="M597" s="508"/>
      <c r="N597" s="508"/>
      <c r="O597" s="508"/>
      <c r="P597" s="508"/>
      <c r="Q597" s="508"/>
      <c r="R597" s="508"/>
      <c r="S597" s="508"/>
      <c r="T597" s="508"/>
      <c r="U597" s="508"/>
      <c r="V597" s="508"/>
      <c r="W597" s="508"/>
      <c r="X597" s="508"/>
      <c r="Y597" s="508"/>
      <c r="Z597" s="508"/>
      <c r="AA597" s="508"/>
    </row>
    <row r="598">
      <c r="A598" s="508"/>
      <c r="B598" s="508"/>
      <c r="C598" s="508"/>
      <c r="D598" s="508"/>
      <c r="E598" s="967"/>
      <c r="F598" s="508"/>
      <c r="G598" s="508"/>
      <c r="H598" s="967"/>
      <c r="I598" s="508"/>
      <c r="J598" s="508"/>
      <c r="K598" s="508"/>
      <c r="L598" s="508"/>
      <c r="M598" s="508"/>
      <c r="N598" s="508"/>
      <c r="O598" s="508"/>
      <c r="P598" s="508"/>
      <c r="Q598" s="508"/>
      <c r="R598" s="508"/>
      <c r="S598" s="508"/>
      <c r="T598" s="508"/>
      <c r="U598" s="508"/>
      <c r="V598" s="508"/>
      <c r="W598" s="508"/>
      <c r="X598" s="508"/>
      <c r="Y598" s="508"/>
      <c r="Z598" s="508"/>
      <c r="AA598" s="508"/>
    </row>
    <row r="599">
      <c r="A599" s="508"/>
      <c r="B599" s="508"/>
      <c r="C599" s="508"/>
      <c r="D599" s="508"/>
      <c r="E599" s="967"/>
      <c r="F599" s="508"/>
      <c r="G599" s="508"/>
      <c r="H599" s="967"/>
      <c r="I599" s="508"/>
      <c r="J599" s="508"/>
      <c r="K599" s="508"/>
      <c r="L599" s="508"/>
      <c r="M599" s="508"/>
      <c r="N599" s="508"/>
      <c r="O599" s="508"/>
      <c r="P599" s="508"/>
      <c r="Q599" s="508"/>
      <c r="R599" s="508"/>
      <c r="S599" s="508"/>
      <c r="T599" s="508"/>
      <c r="U599" s="508"/>
      <c r="V599" s="508"/>
      <c r="W599" s="508"/>
      <c r="X599" s="508"/>
      <c r="Y599" s="508"/>
      <c r="Z599" s="508"/>
      <c r="AA599" s="508"/>
    </row>
    <row r="600">
      <c r="A600" s="508"/>
      <c r="B600" s="508"/>
      <c r="C600" s="508"/>
      <c r="D600" s="508"/>
      <c r="E600" s="967"/>
      <c r="F600" s="508"/>
      <c r="G600" s="508"/>
      <c r="H600" s="967"/>
      <c r="I600" s="508"/>
      <c r="J600" s="508"/>
      <c r="K600" s="508"/>
      <c r="L600" s="508"/>
      <c r="M600" s="508"/>
      <c r="N600" s="508"/>
      <c r="O600" s="508"/>
      <c r="P600" s="508"/>
      <c r="Q600" s="508"/>
      <c r="R600" s="508"/>
      <c r="S600" s="508"/>
      <c r="T600" s="508"/>
      <c r="U600" s="508"/>
      <c r="V600" s="508"/>
      <c r="W600" s="508"/>
      <c r="X600" s="508"/>
      <c r="Y600" s="508"/>
      <c r="Z600" s="508"/>
      <c r="AA600" s="508"/>
    </row>
    <row r="601">
      <c r="A601" s="508"/>
      <c r="B601" s="508"/>
      <c r="C601" s="508"/>
      <c r="D601" s="508"/>
      <c r="E601" s="967"/>
      <c r="F601" s="508"/>
      <c r="G601" s="508"/>
      <c r="H601" s="967"/>
      <c r="I601" s="508"/>
      <c r="J601" s="508"/>
      <c r="K601" s="508"/>
      <c r="L601" s="508"/>
      <c r="M601" s="508"/>
      <c r="N601" s="508"/>
      <c r="O601" s="508"/>
      <c r="P601" s="508"/>
      <c r="Q601" s="508"/>
      <c r="R601" s="508"/>
      <c r="S601" s="508"/>
      <c r="T601" s="508"/>
      <c r="U601" s="508"/>
      <c r="V601" s="508"/>
      <c r="W601" s="508"/>
      <c r="X601" s="508"/>
      <c r="Y601" s="508"/>
      <c r="Z601" s="508"/>
      <c r="AA601" s="508"/>
    </row>
    <row r="602">
      <c r="A602" s="508"/>
      <c r="B602" s="508"/>
      <c r="C602" s="508"/>
      <c r="D602" s="508"/>
      <c r="E602" s="967"/>
      <c r="F602" s="508"/>
      <c r="G602" s="508"/>
      <c r="H602" s="967"/>
      <c r="I602" s="508"/>
      <c r="J602" s="508"/>
      <c r="K602" s="508"/>
      <c r="L602" s="508"/>
      <c r="M602" s="508"/>
      <c r="N602" s="508"/>
      <c r="O602" s="508"/>
      <c r="P602" s="508"/>
      <c r="Q602" s="508"/>
      <c r="R602" s="508"/>
      <c r="S602" s="508"/>
      <c r="T602" s="508"/>
      <c r="U602" s="508"/>
      <c r="V602" s="508"/>
      <c r="W602" s="508"/>
      <c r="X602" s="508"/>
      <c r="Y602" s="508"/>
      <c r="Z602" s="508"/>
      <c r="AA602" s="508"/>
    </row>
    <row r="603">
      <c r="A603" s="508"/>
      <c r="B603" s="508"/>
      <c r="C603" s="508"/>
      <c r="D603" s="508"/>
      <c r="E603" s="967"/>
      <c r="F603" s="508"/>
      <c r="G603" s="508"/>
      <c r="H603" s="967"/>
      <c r="I603" s="508"/>
      <c r="J603" s="508"/>
      <c r="K603" s="508"/>
      <c r="L603" s="508"/>
      <c r="M603" s="508"/>
      <c r="N603" s="508"/>
      <c r="O603" s="508"/>
      <c r="P603" s="508"/>
      <c r="Q603" s="508"/>
      <c r="R603" s="508"/>
      <c r="S603" s="508"/>
      <c r="T603" s="508"/>
      <c r="U603" s="508"/>
      <c r="V603" s="508"/>
      <c r="W603" s="508"/>
      <c r="X603" s="508"/>
      <c r="Y603" s="508"/>
      <c r="Z603" s="508"/>
      <c r="AA603" s="508"/>
    </row>
    <row r="604">
      <c r="A604" s="508"/>
      <c r="B604" s="508"/>
      <c r="C604" s="508"/>
      <c r="D604" s="508"/>
      <c r="E604" s="967"/>
      <c r="F604" s="508"/>
      <c r="G604" s="508"/>
      <c r="H604" s="967"/>
      <c r="I604" s="508"/>
      <c r="J604" s="508"/>
      <c r="K604" s="508"/>
      <c r="L604" s="508"/>
      <c r="M604" s="508"/>
      <c r="N604" s="508"/>
      <c r="O604" s="508"/>
      <c r="P604" s="508"/>
      <c r="Q604" s="508"/>
      <c r="R604" s="508"/>
      <c r="S604" s="508"/>
      <c r="T604" s="508"/>
      <c r="U604" s="508"/>
      <c r="V604" s="508"/>
      <c r="W604" s="508"/>
      <c r="X604" s="508"/>
      <c r="Y604" s="508"/>
      <c r="Z604" s="508"/>
      <c r="AA604" s="508"/>
    </row>
    <row r="605">
      <c r="A605" s="508"/>
      <c r="B605" s="508"/>
      <c r="C605" s="508"/>
      <c r="D605" s="508"/>
      <c r="E605" s="967"/>
      <c r="F605" s="508"/>
      <c r="G605" s="508"/>
      <c r="H605" s="967"/>
      <c r="I605" s="508"/>
      <c r="J605" s="508"/>
      <c r="K605" s="508"/>
      <c r="L605" s="508"/>
      <c r="M605" s="508"/>
      <c r="N605" s="508"/>
      <c r="O605" s="508"/>
      <c r="P605" s="508"/>
      <c r="Q605" s="508"/>
      <c r="R605" s="508"/>
      <c r="S605" s="508"/>
      <c r="T605" s="508"/>
      <c r="U605" s="508"/>
      <c r="V605" s="508"/>
      <c r="W605" s="508"/>
      <c r="X605" s="508"/>
      <c r="Y605" s="508"/>
      <c r="Z605" s="508"/>
      <c r="AA605" s="508"/>
    </row>
    <row r="606">
      <c r="A606" s="508"/>
      <c r="B606" s="508"/>
      <c r="C606" s="508"/>
      <c r="D606" s="508"/>
      <c r="E606" s="967"/>
      <c r="F606" s="508"/>
      <c r="G606" s="508"/>
      <c r="H606" s="967"/>
      <c r="I606" s="508"/>
      <c r="J606" s="508"/>
      <c r="K606" s="508"/>
      <c r="L606" s="508"/>
      <c r="M606" s="508"/>
      <c r="N606" s="508"/>
      <c r="O606" s="508"/>
      <c r="P606" s="508"/>
      <c r="Q606" s="508"/>
      <c r="R606" s="508"/>
      <c r="S606" s="508"/>
      <c r="T606" s="508"/>
      <c r="U606" s="508"/>
      <c r="V606" s="508"/>
      <c r="W606" s="508"/>
      <c r="X606" s="508"/>
      <c r="Y606" s="508"/>
      <c r="Z606" s="508"/>
      <c r="AA606" s="508"/>
    </row>
    <row r="607">
      <c r="A607" s="508"/>
      <c r="B607" s="508"/>
      <c r="C607" s="508"/>
      <c r="D607" s="508"/>
      <c r="E607" s="967"/>
      <c r="F607" s="508"/>
      <c r="G607" s="508"/>
      <c r="H607" s="967"/>
      <c r="I607" s="508"/>
      <c r="J607" s="508"/>
      <c r="K607" s="508"/>
      <c r="L607" s="508"/>
      <c r="M607" s="508"/>
      <c r="N607" s="508"/>
      <c r="O607" s="508"/>
      <c r="P607" s="508"/>
      <c r="Q607" s="508"/>
      <c r="R607" s="508"/>
      <c r="S607" s="508"/>
      <c r="T607" s="508"/>
      <c r="U607" s="508"/>
      <c r="V607" s="508"/>
      <c r="W607" s="508"/>
      <c r="X607" s="508"/>
      <c r="Y607" s="508"/>
      <c r="Z607" s="508"/>
      <c r="AA607" s="508"/>
    </row>
    <row r="608">
      <c r="A608" s="508"/>
      <c r="B608" s="508"/>
      <c r="C608" s="508"/>
      <c r="D608" s="508"/>
      <c r="E608" s="967"/>
      <c r="F608" s="508"/>
      <c r="G608" s="508"/>
      <c r="H608" s="967"/>
      <c r="I608" s="508"/>
      <c r="J608" s="508"/>
      <c r="K608" s="508"/>
      <c r="L608" s="508"/>
      <c r="M608" s="508"/>
      <c r="N608" s="508"/>
      <c r="O608" s="508"/>
      <c r="P608" s="508"/>
      <c r="Q608" s="508"/>
      <c r="R608" s="508"/>
      <c r="S608" s="508"/>
      <c r="T608" s="508"/>
      <c r="U608" s="508"/>
      <c r="V608" s="508"/>
      <c r="W608" s="508"/>
      <c r="X608" s="508"/>
      <c r="Y608" s="508"/>
      <c r="Z608" s="508"/>
      <c r="AA608" s="508"/>
    </row>
    <row r="609">
      <c r="A609" s="508"/>
      <c r="B609" s="508"/>
      <c r="C609" s="508"/>
      <c r="D609" s="508"/>
      <c r="E609" s="967"/>
      <c r="F609" s="508"/>
      <c r="G609" s="508"/>
      <c r="H609" s="967"/>
      <c r="I609" s="508"/>
      <c r="J609" s="508"/>
      <c r="K609" s="508"/>
      <c r="L609" s="508"/>
      <c r="M609" s="508"/>
      <c r="N609" s="508"/>
      <c r="O609" s="508"/>
      <c r="P609" s="508"/>
      <c r="Q609" s="508"/>
      <c r="R609" s="508"/>
      <c r="S609" s="508"/>
      <c r="T609" s="508"/>
      <c r="U609" s="508"/>
      <c r="V609" s="508"/>
      <c r="W609" s="508"/>
      <c r="X609" s="508"/>
      <c r="Y609" s="508"/>
      <c r="Z609" s="508"/>
      <c r="AA609" s="508"/>
    </row>
    <row r="610">
      <c r="A610" s="508"/>
      <c r="B610" s="508"/>
      <c r="C610" s="508"/>
      <c r="D610" s="508"/>
      <c r="E610" s="967"/>
      <c r="F610" s="508"/>
      <c r="G610" s="508"/>
      <c r="H610" s="967"/>
      <c r="I610" s="508"/>
      <c r="J610" s="508"/>
      <c r="K610" s="508"/>
      <c r="L610" s="508"/>
      <c r="M610" s="508"/>
      <c r="N610" s="508"/>
      <c r="O610" s="508"/>
      <c r="P610" s="508"/>
      <c r="Q610" s="508"/>
      <c r="R610" s="508"/>
      <c r="S610" s="508"/>
      <c r="T610" s="508"/>
      <c r="U610" s="508"/>
      <c r="V610" s="508"/>
      <c r="W610" s="508"/>
      <c r="X610" s="508"/>
      <c r="Y610" s="508"/>
      <c r="Z610" s="508"/>
      <c r="AA610" s="508"/>
    </row>
    <row r="611">
      <c r="A611" s="508"/>
      <c r="B611" s="508"/>
      <c r="C611" s="508"/>
      <c r="D611" s="508"/>
      <c r="E611" s="967"/>
      <c r="F611" s="508"/>
      <c r="G611" s="508"/>
      <c r="H611" s="967"/>
      <c r="I611" s="508"/>
      <c r="J611" s="508"/>
      <c r="K611" s="508"/>
      <c r="L611" s="508"/>
      <c r="M611" s="508"/>
      <c r="N611" s="508"/>
      <c r="O611" s="508"/>
      <c r="P611" s="508"/>
      <c r="Q611" s="508"/>
      <c r="R611" s="508"/>
      <c r="S611" s="508"/>
      <c r="T611" s="508"/>
      <c r="U611" s="508"/>
      <c r="V611" s="508"/>
      <c r="W611" s="508"/>
      <c r="X611" s="508"/>
      <c r="Y611" s="508"/>
      <c r="Z611" s="508"/>
      <c r="AA611" s="508"/>
    </row>
    <row r="612">
      <c r="A612" s="508"/>
      <c r="B612" s="508"/>
      <c r="C612" s="508"/>
      <c r="D612" s="508"/>
      <c r="E612" s="967"/>
      <c r="F612" s="508"/>
      <c r="G612" s="508"/>
      <c r="H612" s="967"/>
      <c r="I612" s="508"/>
      <c r="J612" s="508"/>
      <c r="K612" s="508"/>
      <c r="L612" s="508"/>
      <c r="M612" s="508"/>
      <c r="N612" s="508"/>
      <c r="O612" s="508"/>
      <c r="P612" s="508"/>
      <c r="Q612" s="508"/>
      <c r="R612" s="508"/>
      <c r="S612" s="508"/>
      <c r="T612" s="508"/>
      <c r="U612" s="508"/>
      <c r="V612" s="508"/>
      <c r="W612" s="508"/>
      <c r="X612" s="508"/>
      <c r="Y612" s="508"/>
      <c r="Z612" s="508"/>
      <c r="AA612" s="508"/>
    </row>
    <row r="613">
      <c r="A613" s="508"/>
      <c r="B613" s="508"/>
      <c r="C613" s="508"/>
      <c r="D613" s="508"/>
      <c r="E613" s="967"/>
      <c r="F613" s="508"/>
      <c r="G613" s="508"/>
      <c r="H613" s="967"/>
      <c r="I613" s="508"/>
      <c r="J613" s="508"/>
      <c r="K613" s="508"/>
      <c r="L613" s="508"/>
      <c r="M613" s="508"/>
      <c r="N613" s="508"/>
      <c r="O613" s="508"/>
      <c r="P613" s="508"/>
      <c r="Q613" s="508"/>
      <c r="R613" s="508"/>
      <c r="S613" s="508"/>
      <c r="T613" s="508"/>
      <c r="U613" s="508"/>
      <c r="V613" s="508"/>
      <c r="W613" s="508"/>
      <c r="X613" s="508"/>
      <c r="Y613" s="508"/>
      <c r="Z613" s="508"/>
      <c r="AA613" s="508"/>
    </row>
    <row r="614">
      <c r="A614" s="508"/>
      <c r="B614" s="508"/>
      <c r="C614" s="508"/>
      <c r="D614" s="508"/>
      <c r="E614" s="967"/>
      <c r="F614" s="508"/>
      <c r="G614" s="508"/>
      <c r="H614" s="967"/>
      <c r="I614" s="508"/>
      <c r="J614" s="508"/>
      <c r="K614" s="508"/>
      <c r="L614" s="508"/>
      <c r="M614" s="508"/>
      <c r="N614" s="508"/>
      <c r="O614" s="508"/>
      <c r="P614" s="508"/>
      <c r="Q614" s="508"/>
      <c r="R614" s="508"/>
      <c r="S614" s="508"/>
      <c r="T614" s="508"/>
      <c r="U614" s="508"/>
      <c r="V614" s="508"/>
      <c r="W614" s="508"/>
      <c r="X614" s="508"/>
      <c r="Y614" s="508"/>
      <c r="Z614" s="508"/>
      <c r="AA614" s="508"/>
    </row>
    <row r="615">
      <c r="A615" s="508"/>
      <c r="B615" s="508"/>
      <c r="C615" s="508"/>
      <c r="D615" s="508"/>
      <c r="E615" s="967"/>
      <c r="F615" s="508"/>
      <c r="G615" s="508"/>
      <c r="H615" s="967"/>
      <c r="I615" s="508"/>
      <c r="J615" s="508"/>
      <c r="K615" s="508"/>
      <c r="L615" s="508"/>
      <c r="M615" s="508"/>
      <c r="N615" s="508"/>
      <c r="O615" s="508"/>
      <c r="P615" s="508"/>
      <c r="Q615" s="508"/>
      <c r="R615" s="508"/>
      <c r="S615" s="508"/>
      <c r="T615" s="508"/>
      <c r="U615" s="508"/>
      <c r="V615" s="508"/>
      <c r="W615" s="508"/>
      <c r="X615" s="508"/>
      <c r="Y615" s="508"/>
      <c r="Z615" s="508"/>
      <c r="AA615" s="508"/>
    </row>
    <row r="616">
      <c r="A616" s="508"/>
      <c r="B616" s="508"/>
      <c r="C616" s="508"/>
      <c r="D616" s="508"/>
      <c r="E616" s="967"/>
      <c r="F616" s="508"/>
      <c r="G616" s="508"/>
      <c r="H616" s="967"/>
      <c r="I616" s="508"/>
      <c r="J616" s="508"/>
      <c r="K616" s="508"/>
      <c r="L616" s="508"/>
      <c r="M616" s="508"/>
      <c r="N616" s="508"/>
      <c r="O616" s="508"/>
      <c r="P616" s="508"/>
      <c r="Q616" s="508"/>
      <c r="R616" s="508"/>
      <c r="S616" s="508"/>
      <c r="T616" s="508"/>
      <c r="U616" s="508"/>
      <c r="V616" s="508"/>
      <c r="W616" s="508"/>
      <c r="X616" s="508"/>
      <c r="Y616" s="508"/>
      <c r="Z616" s="508"/>
      <c r="AA616" s="508"/>
    </row>
    <row r="617">
      <c r="A617" s="508"/>
      <c r="B617" s="508"/>
      <c r="C617" s="508"/>
      <c r="D617" s="508"/>
      <c r="E617" s="967"/>
      <c r="F617" s="508"/>
      <c r="G617" s="508"/>
      <c r="H617" s="967"/>
      <c r="I617" s="508"/>
      <c r="J617" s="508"/>
      <c r="K617" s="508"/>
      <c r="L617" s="508"/>
      <c r="M617" s="508"/>
      <c r="N617" s="508"/>
      <c r="O617" s="508"/>
      <c r="P617" s="508"/>
      <c r="Q617" s="508"/>
      <c r="R617" s="508"/>
      <c r="S617" s="508"/>
      <c r="T617" s="508"/>
      <c r="U617" s="508"/>
      <c r="V617" s="508"/>
      <c r="W617" s="508"/>
      <c r="X617" s="508"/>
      <c r="Y617" s="508"/>
      <c r="Z617" s="508"/>
      <c r="AA617" s="508"/>
    </row>
    <row r="618">
      <c r="A618" s="508"/>
      <c r="B618" s="508"/>
      <c r="C618" s="508"/>
      <c r="D618" s="508"/>
      <c r="E618" s="967"/>
      <c r="F618" s="508"/>
      <c r="G618" s="508"/>
      <c r="H618" s="967"/>
      <c r="I618" s="508"/>
      <c r="J618" s="508"/>
      <c r="K618" s="508"/>
      <c r="L618" s="508"/>
      <c r="M618" s="508"/>
      <c r="N618" s="508"/>
      <c r="O618" s="508"/>
      <c r="P618" s="508"/>
      <c r="Q618" s="508"/>
      <c r="R618" s="508"/>
      <c r="S618" s="508"/>
      <c r="T618" s="508"/>
      <c r="U618" s="508"/>
      <c r="V618" s="508"/>
      <c r="W618" s="508"/>
      <c r="X618" s="508"/>
      <c r="Y618" s="508"/>
      <c r="Z618" s="508"/>
      <c r="AA618" s="508"/>
    </row>
    <row r="619">
      <c r="A619" s="508"/>
      <c r="B619" s="508"/>
      <c r="C619" s="508"/>
      <c r="D619" s="508"/>
      <c r="E619" s="967"/>
      <c r="F619" s="508"/>
      <c r="G619" s="508"/>
      <c r="H619" s="967"/>
      <c r="I619" s="508"/>
      <c r="J619" s="508"/>
      <c r="K619" s="508"/>
      <c r="L619" s="508"/>
      <c r="M619" s="508"/>
      <c r="N619" s="508"/>
      <c r="O619" s="508"/>
      <c r="P619" s="508"/>
      <c r="Q619" s="508"/>
      <c r="R619" s="508"/>
      <c r="S619" s="508"/>
      <c r="T619" s="508"/>
      <c r="U619" s="508"/>
      <c r="V619" s="508"/>
      <c r="W619" s="508"/>
      <c r="X619" s="508"/>
      <c r="Y619" s="508"/>
      <c r="Z619" s="508"/>
      <c r="AA619" s="508"/>
    </row>
    <row r="620">
      <c r="A620" s="508"/>
      <c r="B620" s="508"/>
      <c r="C620" s="508"/>
      <c r="D620" s="508"/>
      <c r="E620" s="967"/>
      <c r="F620" s="508"/>
      <c r="G620" s="508"/>
      <c r="H620" s="967"/>
      <c r="I620" s="508"/>
      <c r="J620" s="508"/>
      <c r="K620" s="508"/>
      <c r="L620" s="508"/>
      <c r="M620" s="508"/>
      <c r="N620" s="508"/>
      <c r="O620" s="508"/>
      <c r="P620" s="508"/>
      <c r="Q620" s="508"/>
      <c r="R620" s="508"/>
      <c r="S620" s="508"/>
      <c r="T620" s="508"/>
      <c r="U620" s="508"/>
      <c r="V620" s="508"/>
      <c r="W620" s="508"/>
      <c r="X620" s="508"/>
      <c r="Y620" s="508"/>
      <c r="Z620" s="508"/>
      <c r="AA620" s="508"/>
    </row>
    <row r="621">
      <c r="A621" s="508"/>
      <c r="B621" s="508"/>
      <c r="C621" s="508"/>
      <c r="D621" s="508"/>
      <c r="E621" s="967"/>
      <c r="F621" s="508"/>
      <c r="G621" s="508"/>
      <c r="H621" s="967"/>
      <c r="I621" s="508"/>
      <c r="J621" s="508"/>
      <c r="K621" s="508"/>
      <c r="L621" s="508"/>
      <c r="M621" s="508"/>
      <c r="N621" s="508"/>
      <c r="O621" s="508"/>
      <c r="P621" s="508"/>
      <c r="Q621" s="508"/>
      <c r="R621" s="508"/>
      <c r="S621" s="508"/>
      <c r="T621" s="508"/>
      <c r="U621" s="508"/>
      <c r="V621" s="508"/>
      <c r="W621" s="508"/>
      <c r="X621" s="508"/>
      <c r="Y621" s="508"/>
      <c r="Z621" s="508"/>
      <c r="AA621" s="508"/>
    </row>
    <row r="622">
      <c r="A622" s="508"/>
      <c r="B622" s="508"/>
      <c r="C622" s="508"/>
      <c r="D622" s="508"/>
      <c r="E622" s="967"/>
      <c r="F622" s="508"/>
      <c r="G622" s="508"/>
      <c r="H622" s="967"/>
      <c r="I622" s="508"/>
      <c r="J622" s="508"/>
      <c r="K622" s="508"/>
      <c r="L622" s="508"/>
      <c r="M622" s="508"/>
      <c r="N622" s="508"/>
      <c r="O622" s="508"/>
      <c r="P622" s="508"/>
      <c r="Q622" s="508"/>
      <c r="R622" s="508"/>
      <c r="S622" s="508"/>
      <c r="T622" s="508"/>
      <c r="U622" s="508"/>
      <c r="V622" s="508"/>
      <c r="W622" s="508"/>
      <c r="X622" s="508"/>
      <c r="Y622" s="508"/>
      <c r="Z622" s="508"/>
      <c r="AA622" s="508"/>
    </row>
    <row r="623">
      <c r="A623" s="508"/>
      <c r="B623" s="508"/>
      <c r="C623" s="508"/>
      <c r="D623" s="508"/>
      <c r="E623" s="967"/>
      <c r="F623" s="508"/>
      <c r="G623" s="508"/>
      <c r="H623" s="967"/>
      <c r="I623" s="508"/>
      <c r="J623" s="508"/>
      <c r="K623" s="508"/>
      <c r="L623" s="508"/>
      <c r="M623" s="508"/>
      <c r="N623" s="508"/>
      <c r="O623" s="508"/>
      <c r="P623" s="508"/>
      <c r="Q623" s="508"/>
      <c r="R623" s="508"/>
      <c r="S623" s="508"/>
      <c r="T623" s="508"/>
      <c r="U623" s="508"/>
      <c r="V623" s="508"/>
      <c r="W623" s="508"/>
      <c r="X623" s="508"/>
      <c r="Y623" s="508"/>
      <c r="Z623" s="508"/>
      <c r="AA623" s="508"/>
    </row>
    <row r="624">
      <c r="A624" s="508"/>
      <c r="B624" s="508"/>
      <c r="C624" s="508"/>
      <c r="D624" s="508"/>
      <c r="E624" s="967"/>
      <c r="F624" s="508"/>
      <c r="G624" s="508"/>
      <c r="H624" s="967"/>
      <c r="I624" s="508"/>
      <c r="J624" s="508"/>
      <c r="K624" s="508"/>
      <c r="L624" s="508"/>
      <c r="M624" s="508"/>
      <c r="N624" s="508"/>
      <c r="O624" s="508"/>
      <c r="P624" s="508"/>
      <c r="Q624" s="508"/>
      <c r="R624" s="508"/>
      <c r="S624" s="508"/>
      <c r="T624" s="508"/>
      <c r="U624" s="508"/>
      <c r="V624" s="508"/>
      <c r="W624" s="508"/>
      <c r="X624" s="508"/>
      <c r="Y624" s="508"/>
      <c r="Z624" s="508"/>
      <c r="AA624" s="508"/>
    </row>
    <row r="625">
      <c r="A625" s="508"/>
      <c r="B625" s="508"/>
      <c r="C625" s="508"/>
      <c r="D625" s="508"/>
      <c r="E625" s="967"/>
      <c r="F625" s="508"/>
      <c r="G625" s="508"/>
      <c r="H625" s="967"/>
      <c r="I625" s="508"/>
      <c r="J625" s="508"/>
      <c r="K625" s="508"/>
      <c r="L625" s="508"/>
      <c r="M625" s="508"/>
      <c r="N625" s="508"/>
      <c r="O625" s="508"/>
      <c r="P625" s="508"/>
      <c r="Q625" s="508"/>
      <c r="R625" s="508"/>
      <c r="S625" s="508"/>
      <c r="T625" s="508"/>
      <c r="U625" s="508"/>
      <c r="V625" s="508"/>
      <c r="W625" s="508"/>
      <c r="X625" s="508"/>
      <c r="Y625" s="508"/>
      <c r="Z625" s="508"/>
      <c r="AA625" s="508"/>
    </row>
    <row r="626">
      <c r="A626" s="508"/>
      <c r="B626" s="508"/>
      <c r="C626" s="508"/>
      <c r="D626" s="508"/>
      <c r="E626" s="967"/>
      <c r="F626" s="508"/>
      <c r="G626" s="508"/>
      <c r="H626" s="967"/>
      <c r="I626" s="508"/>
      <c r="J626" s="508"/>
      <c r="K626" s="508"/>
      <c r="L626" s="508"/>
      <c r="M626" s="508"/>
      <c r="N626" s="508"/>
      <c r="O626" s="508"/>
      <c r="P626" s="508"/>
      <c r="Q626" s="508"/>
      <c r="R626" s="508"/>
      <c r="S626" s="508"/>
      <c r="T626" s="508"/>
      <c r="U626" s="508"/>
      <c r="V626" s="508"/>
      <c r="W626" s="508"/>
      <c r="X626" s="508"/>
      <c r="Y626" s="508"/>
      <c r="Z626" s="508"/>
      <c r="AA626" s="508"/>
    </row>
    <row r="627">
      <c r="A627" s="508"/>
      <c r="B627" s="508"/>
      <c r="C627" s="508"/>
      <c r="D627" s="508"/>
      <c r="E627" s="967"/>
      <c r="F627" s="508"/>
      <c r="G627" s="508"/>
      <c r="H627" s="967"/>
      <c r="I627" s="508"/>
      <c r="J627" s="508"/>
      <c r="K627" s="508"/>
      <c r="L627" s="508"/>
      <c r="M627" s="508"/>
      <c r="N627" s="508"/>
      <c r="O627" s="508"/>
      <c r="P627" s="508"/>
      <c r="Q627" s="508"/>
      <c r="R627" s="508"/>
      <c r="S627" s="508"/>
      <c r="T627" s="508"/>
      <c r="U627" s="508"/>
      <c r="V627" s="508"/>
      <c r="W627" s="508"/>
      <c r="X627" s="508"/>
      <c r="Y627" s="508"/>
      <c r="Z627" s="508"/>
      <c r="AA627" s="508"/>
    </row>
    <row r="628">
      <c r="A628" s="508"/>
      <c r="B628" s="508"/>
      <c r="C628" s="508"/>
      <c r="D628" s="508"/>
      <c r="E628" s="967"/>
      <c r="F628" s="508"/>
      <c r="G628" s="508"/>
      <c r="H628" s="967"/>
      <c r="I628" s="508"/>
      <c r="J628" s="508"/>
      <c r="K628" s="508"/>
      <c r="L628" s="508"/>
      <c r="M628" s="508"/>
      <c r="N628" s="508"/>
      <c r="O628" s="508"/>
      <c r="P628" s="508"/>
      <c r="Q628" s="508"/>
      <c r="R628" s="508"/>
      <c r="S628" s="508"/>
      <c r="T628" s="508"/>
      <c r="U628" s="508"/>
      <c r="V628" s="508"/>
      <c r="W628" s="508"/>
      <c r="X628" s="508"/>
      <c r="Y628" s="508"/>
      <c r="Z628" s="508"/>
      <c r="AA628" s="508"/>
    </row>
    <row r="629">
      <c r="A629" s="508"/>
      <c r="B629" s="508"/>
      <c r="C629" s="508"/>
      <c r="D629" s="508"/>
      <c r="E629" s="967"/>
      <c r="F629" s="508"/>
      <c r="G629" s="508"/>
      <c r="H629" s="967"/>
      <c r="I629" s="508"/>
      <c r="J629" s="508"/>
      <c r="K629" s="508"/>
      <c r="L629" s="508"/>
      <c r="M629" s="508"/>
      <c r="N629" s="508"/>
      <c r="O629" s="508"/>
      <c r="P629" s="508"/>
      <c r="Q629" s="508"/>
      <c r="R629" s="508"/>
      <c r="S629" s="508"/>
      <c r="T629" s="508"/>
      <c r="U629" s="508"/>
      <c r="V629" s="508"/>
      <c r="W629" s="508"/>
      <c r="X629" s="508"/>
      <c r="Y629" s="508"/>
      <c r="Z629" s="508"/>
      <c r="AA629" s="508"/>
    </row>
    <row r="630">
      <c r="A630" s="508"/>
      <c r="B630" s="508"/>
      <c r="C630" s="508"/>
      <c r="D630" s="508"/>
      <c r="E630" s="967"/>
      <c r="F630" s="508"/>
      <c r="G630" s="508"/>
      <c r="H630" s="967"/>
      <c r="I630" s="508"/>
      <c r="J630" s="508"/>
      <c r="K630" s="508"/>
      <c r="L630" s="508"/>
      <c r="M630" s="508"/>
      <c r="N630" s="508"/>
      <c r="O630" s="508"/>
      <c r="P630" s="508"/>
      <c r="Q630" s="508"/>
      <c r="R630" s="508"/>
      <c r="S630" s="508"/>
      <c r="T630" s="508"/>
      <c r="U630" s="508"/>
      <c r="V630" s="508"/>
      <c r="W630" s="508"/>
      <c r="X630" s="508"/>
      <c r="Y630" s="508"/>
      <c r="Z630" s="508"/>
      <c r="AA630" s="508"/>
    </row>
    <row r="631">
      <c r="A631" s="508"/>
      <c r="B631" s="508"/>
      <c r="C631" s="508"/>
      <c r="D631" s="508"/>
      <c r="E631" s="967"/>
      <c r="F631" s="508"/>
      <c r="G631" s="508"/>
      <c r="H631" s="967"/>
      <c r="I631" s="508"/>
      <c r="J631" s="508"/>
      <c r="K631" s="508"/>
      <c r="L631" s="508"/>
      <c r="M631" s="508"/>
      <c r="N631" s="508"/>
      <c r="O631" s="508"/>
      <c r="P631" s="508"/>
      <c r="Q631" s="508"/>
      <c r="R631" s="508"/>
      <c r="S631" s="508"/>
      <c r="T631" s="508"/>
      <c r="U631" s="508"/>
      <c r="V631" s="508"/>
      <c r="W631" s="508"/>
      <c r="X631" s="508"/>
      <c r="Y631" s="508"/>
      <c r="Z631" s="508"/>
      <c r="AA631" s="508"/>
    </row>
    <row r="632">
      <c r="A632" s="508"/>
      <c r="B632" s="508"/>
      <c r="C632" s="508"/>
      <c r="D632" s="508"/>
      <c r="E632" s="967"/>
      <c r="F632" s="508"/>
      <c r="G632" s="508"/>
      <c r="H632" s="967"/>
      <c r="I632" s="508"/>
      <c r="J632" s="508"/>
      <c r="K632" s="508"/>
      <c r="L632" s="508"/>
      <c r="M632" s="508"/>
      <c r="N632" s="508"/>
      <c r="O632" s="508"/>
      <c r="P632" s="508"/>
      <c r="Q632" s="508"/>
      <c r="R632" s="508"/>
      <c r="S632" s="508"/>
      <c r="T632" s="508"/>
      <c r="U632" s="508"/>
      <c r="V632" s="508"/>
      <c r="W632" s="508"/>
      <c r="X632" s="508"/>
      <c r="Y632" s="508"/>
      <c r="Z632" s="508"/>
      <c r="AA632" s="508"/>
    </row>
    <row r="633">
      <c r="A633" s="508"/>
      <c r="B633" s="508"/>
      <c r="C633" s="508"/>
      <c r="D633" s="508"/>
      <c r="E633" s="967"/>
      <c r="F633" s="508"/>
      <c r="G633" s="508"/>
      <c r="H633" s="967"/>
      <c r="I633" s="508"/>
      <c r="J633" s="508"/>
      <c r="K633" s="508"/>
      <c r="L633" s="508"/>
      <c r="M633" s="508"/>
      <c r="N633" s="508"/>
      <c r="O633" s="508"/>
      <c r="P633" s="508"/>
      <c r="Q633" s="508"/>
      <c r="R633" s="508"/>
      <c r="S633" s="508"/>
      <c r="T633" s="508"/>
      <c r="U633" s="508"/>
      <c r="V633" s="508"/>
      <c r="W633" s="508"/>
      <c r="X633" s="508"/>
      <c r="Y633" s="508"/>
      <c r="Z633" s="508"/>
      <c r="AA633" s="508"/>
    </row>
    <row r="634">
      <c r="A634" s="508"/>
      <c r="B634" s="508"/>
      <c r="C634" s="508"/>
      <c r="D634" s="508"/>
      <c r="E634" s="967"/>
      <c r="F634" s="508"/>
      <c r="G634" s="508"/>
      <c r="H634" s="967"/>
      <c r="I634" s="508"/>
      <c r="J634" s="508"/>
      <c r="K634" s="508"/>
      <c r="L634" s="508"/>
      <c r="M634" s="508"/>
      <c r="N634" s="508"/>
      <c r="O634" s="508"/>
      <c r="P634" s="508"/>
      <c r="Q634" s="508"/>
      <c r="R634" s="508"/>
      <c r="S634" s="508"/>
      <c r="T634" s="508"/>
      <c r="U634" s="508"/>
      <c r="V634" s="508"/>
      <c r="W634" s="508"/>
      <c r="X634" s="508"/>
      <c r="Y634" s="508"/>
      <c r="Z634" s="508"/>
      <c r="AA634" s="508"/>
    </row>
    <row r="635">
      <c r="A635" s="508"/>
      <c r="B635" s="508"/>
      <c r="C635" s="508"/>
      <c r="D635" s="508"/>
      <c r="E635" s="967"/>
      <c r="F635" s="508"/>
      <c r="G635" s="508"/>
      <c r="H635" s="967"/>
      <c r="I635" s="508"/>
      <c r="J635" s="508"/>
      <c r="K635" s="508"/>
      <c r="L635" s="508"/>
      <c r="M635" s="508"/>
      <c r="N635" s="508"/>
      <c r="O635" s="508"/>
      <c r="P635" s="508"/>
      <c r="Q635" s="508"/>
      <c r="R635" s="508"/>
      <c r="S635" s="508"/>
      <c r="T635" s="508"/>
      <c r="U635" s="508"/>
      <c r="V635" s="508"/>
      <c r="W635" s="508"/>
      <c r="X635" s="508"/>
      <c r="Y635" s="508"/>
      <c r="Z635" s="508"/>
      <c r="AA635" s="508"/>
    </row>
    <row r="636">
      <c r="A636" s="508"/>
      <c r="B636" s="508"/>
      <c r="C636" s="508"/>
      <c r="D636" s="508"/>
      <c r="E636" s="967"/>
      <c r="F636" s="508"/>
      <c r="G636" s="508"/>
      <c r="H636" s="967"/>
      <c r="I636" s="508"/>
      <c r="J636" s="508"/>
      <c r="K636" s="508"/>
      <c r="L636" s="508"/>
      <c r="M636" s="508"/>
      <c r="N636" s="508"/>
      <c r="O636" s="508"/>
      <c r="P636" s="508"/>
      <c r="Q636" s="508"/>
      <c r="R636" s="508"/>
      <c r="S636" s="508"/>
      <c r="T636" s="508"/>
      <c r="U636" s="508"/>
      <c r="V636" s="508"/>
      <c r="W636" s="508"/>
      <c r="X636" s="508"/>
      <c r="Y636" s="508"/>
      <c r="Z636" s="508"/>
      <c r="AA636" s="508"/>
    </row>
    <row r="637">
      <c r="A637" s="508"/>
      <c r="B637" s="508"/>
      <c r="C637" s="508"/>
      <c r="D637" s="508"/>
      <c r="E637" s="967"/>
      <c r="F637" s="508"/>
      <c r="G637" s="508"/>
      <c r="H637" s="967"/>
      <c r="I637" s="508"/>
      <c r="J637" s="508"/>
      <c r="K637" s="508"/>
      <c r="L637" s="508"/>
      <c r="M637" s="508"/>
      <c r="N637" s="508"/>
      <c r="O637" s="508"/>
      <c r="P637" s="508"/>
      <c r="Q637" s="508"/>
      <c r="R637" s="508"/>
      <c r="S637" s="508"/>
      <c r="T637" s="508"/>
      <c r="U637" s="508"/>
      <c r="V637" s="508"/>
      <c r="W637" s="508"/>
      <c r="X637" s="508"/>
      <c r="Y637" s="508"/>
      <c r="Z637" s="508"/>
      <c r="AA637" s="508"/>
    </row>
    <row r="638">
      <c r="A638" s="508"/>
      <c r="B638" s="508"/>
      <c r="C638" s="508"/>
      <c r="D638" s="508"/>
      <c r="E638" s="967"/>
      <c r="F638" s="508"/>
      <c r="G638" s="508"/>
      <c r="H638" s="967"/>
      <c r="I638" s="508"/>
      <c r="J638" s="508"/>
      <c r="K638" s="508"/>
      <c r="L638" s="508"/>
      <c r="M638" s="508"/>
      <c r="N638" s="508"/>
      <c r="O638" s="508"/>
      <c r="P638" s="508"/>
      <c r="Q638" s="508"/>
      <c r="R638" s="508"/>
      <c r="S638" s="508"/>
      <c r="T638" s="508"/>
      <c r="U638" s="508"/>
      <c r="V638" s="508"/>
      <c r="W638" s="508"/>
      <c r="X638" s="508"/>
      <c r="Y638" s="508"/>
      <c r="Z638" s="508"/>
      <c r="AA638" s="508"/>
    </row>
    <row r="639">
      <c r="A639" s="508"/>
      <c r="B639" s="508"/>
      <c r="C639" s="508"/>
      <c r="D639" s="508"/>
      <c r="E639" s="967"/>
      <c r="F639" s="508"/>
      <c r="G639" s="508"/>
      <c r="H639" s="967"/>
      <c r="I639" s="508"/>
      <c r="J639" s="508"/>
      <c r="K639" s="508"/>
      <c r="L639" s="508"/>
      <c r="M639" s="508"/>
      <c r="N639" s="508"/>
      <c r="O639" s="508"/>
      <c r="P639" s="508"/>
      <c r="Q639" s="508"/>
      <c r="R639" s="508"/>
      <c r="S639" s="508"/>
      <c r="T639" s="508"/>
      <c r="U639" s="508"/>
      <c r="V639" s="508"/>
      <c r="W639" s="508"/>
      <c r="X639" s="508"/>
      <c r="Y639" s="508"/>
      <c r="Z639" s="508"/>
      <c r="AA639" s="508"/>
    </row>
    <row r="640">
      <c r="A640" s="508"/>
      <c r="B640" s="508"/>
      <c r="C640" s="508"/>
      <c r="D640" s="508"/>
      <c r="E640" s="967"/>
      <c r="F640" s="508"/>
      <c r="G640" s="508"/>
      <c r="H640" s="967"/>
      <c r="I640" s="508"/>
      <c r="J640" s="508"/>
      <c r="K640" s="508"/>
      <c r="L640" s="508"/>
      <c r="M640" s="508"/>
      <c r="N640" s="508"/>
      <c r="O640" s="508"/>
      <c r="P640" s="508"/>
      <c r="Q640" s="508"/>
      <c r="R640" s="508"/>
      <c r="S640" s="508"/>
      <c r="T640" s="508"/>
      <c r="U640" s="508"/>
      <c r="V640" s="508"/>
      <c r="W640" s="508"/>
      <c r="X640" s="508"/>
      <c r="Y640" s="508"/>
      <c r="Z640" s="508"/>
      <c r="AA640" s="508"/>
    </row>
    <row r="641">
      <c r="A641" s="508"/>
      <c r="B641" s="508"/>
      <c r="C641" s="508"/>
      <c r="D641" s="508"/>
      <c r="E641" s="967"/>
      <c r="F641" s="508"/>
      <c r="G641" s="508"/>
      <c r="H641" s="967"/>
      <c r="I641" s="508"/>
      <c r="J641" s="508"/>
      <c r="K641" s="508"/>
      <c r="L641" s="508"/>
      <c r="M641" s="508"/>
      <c r="N641" s="508"/>
      <c r="O641" s="508"/>
      <c r="P641" s="508"/>
      <c r="Q641" s="508"/>
      <c r="R641" s="508"/>
      <c r="S641" s="508"/>
      <c r="T641" s="508"/>
      <c r="U641" s="508"/>
      <c r="V641" s="508"/>
      <c r="W641" s="508"/>
      <c r="X641" s="508"/>
      <c r="Y641" s="508"/>
      <c r="Z641" s="508"/>
      <c r="AA641" s="508"/>
    </row>
    <row r="642">
      <c r="A642" s="508"/>
      <c r="B642" s="508"/>
      <c r="C642" s="508"/>
      <c r="D642" s="508"/>
      <c r="E642" s="967"/>
      <c r="F642" s="508"/>
      <c r="G642" s="508"/>
      <c r="H642" s="967"/>
      <c r="I642" s="508"/>
      <c r="J642" s="508"/>
      <c r="K642" s="508"/>
      <c r="L642" s="508"/>
      <c r="M642" s="508"/>
      <c r="N642" s="508"/>
      <c r="O642" s="508"/>
      <c r="P642" s="508"/>
      <c r="Q642" s="508"/>
      <c r="R642" s="508"/>
      <c r="S642" s="508"/>
      <c r="T642" s="508"/>
      <c r="U642" s="508"/>
      <c r="V642" s="508"/>
      <c r="W642" s="508"/>
      <c r="X642" s="508"/>
      <c r="Y642" s="508"/>
      <c r="Z642" s="508"/>
      <c r="AA642" s="508"/>
    </row>
    <row r="643">
      <c r="A643" s="508"/>
      <c r="B643" s="508"/>
      <c r="C643" s="508"/>
      <c r="D643" s="508"/>
      <c r="E643" s="967"/>
      <c r="F643" s="508"/>
      <c r="G643" s="508"/>
      <c r="H643" s="967"/>
      <c r="I643" s="508"/>
      <c r="J643" s="508"/>
      <c r="K643" s="508"/>
      <c r="L643" s="508"/>
      <c r="M643" s="508"/>
      <c r="N643" s="508"/>
      <c r="O643" s="508"/>
      <c r="P643" s="508"/>
      <c r="Q643" s="508"/>
      <c r="R643" s="508"/>
      <c r="S643" s="508"/>
      <c r="T643" s="508"/>
      <c r="U643" s="508"/>
      <c r="V643" s="508"/>
      <c r="W643" s="508"/>
      <c r="X643" s="508"/>
      <c r="Y643" s="508"/>
      <c r="Z643" s="508"/>
      <c r="AA643" s="508"/>
    </row>
    <row r="644">
      <c r="A644" s="508"/>
      <c r="B644" s="508"/>
      <c r="C644" s="508"/>
      <c r="D644" s="508"/>
      <c r="E644" s="967"/>
      <c r="F644" s="508"/>
      <c r="G644" s="508"/>
      <c r="H644" s="967"/>
      <c r="I644" s="508"/>
      <c r="J644" s="508"/>
      <c r="K644" s="508"/>
      <c r="L644" s="508"/>
      <c r="M644" s="508"/>
      <c r="N644" s="508"/>
      <c r="O644" s="508"/>
      <c r="P644" s="508"/>
      <c r="Q644" s="508"/>
      <c r="R644" s="508"/>
      <c r="S644" s="508"/>
      <c r="T644" s="508"/>
      <c r="U644" s="508"/>
      <c r="V644" s="508"/>
      <c r="W644" s="508"/>
      <c r="X644" s="508"/>
      <c r="Y644" s="508"/>
      <c r="Z644" s="508"/>
      <c r="AA644" s="508"/>
    </row>
    <row r="645">
      <c r="A645" s="508"/>
      <c r="B645" s="508"/>
      <c r="C645" s="508"/>
      <c r="D645" s="508"/>
      <c r="E645" s="967"/>
      <c r="F645" s="508"/>
      <c r="G645" s="508"/>
      <c r="H645" s="967"/>
      <c r="I645" s="508"/>
      <c r="J645" s="508"/>
      <c r="K645" s="508"/>
      <c r="L645" s="508"/>
      <c r="M645" s="508"/>
      <c r="N645" s="508"/>
      <c r="O645" s="508"/>
      <c r="P645" s="508"/>
      <c r="Q645" s="508"/>
      <c r="R645" s="508"/>
      <c r="S645" s="508"/>
      <c r="T645" s="508"/>
      <c r="U645" s="508"/>
      <c r="V645" s="508"/>
      <c r="W645" s="508"/>
      <c r="X645" s="508"/>
      <c r="Y645" s="508"/>
      <c r="Z645" s="508"/>
      <c r="AA645" s="508"/>
    </row>
    <row r="646">
      <c r="A646" s="508"/>
      <c r="B646" s="508"/>
      <c r="C646" s="508"/>
      <c r="D646" s="508"/>
      <c r="E646" s="967"/>
      <c r="F646" s="508"/>
      <c r="G646" s="508"/>
      <c r="H646" s="967"/>
      <c r="I646" s="508"/>
      <c r="J646" s="508"/>
      <c r="K646" s="508"/>
      <c r="L646" s="508"/>
      <c r="M646" s="508"/>
      <c r="N646" s="508"/>
      <c r="O646" s="508"/>
      <c r="P646" s="508"/>
      <c r="Q646" s="508"/>
      <c r="R646" s="508"/>
      <c r="S646" s="508"/>
      <c r="T646" s="508"/>
      <c r="U646" s="508"/>
      <c r="V646" s="508"/>
      <c r="W646" s="508"/>
      <c r="X646" s="508"/>
      <c r="Y646" s="508"/>
      <c r="Z646" s="508"/>
      <c r="AA646" s="508"/>
    </row>
    <row r="647">
      <c r="A647" s="508"/>
      <c r="B647" s="508"/>
      <c r="C647" s="508"/>
      <c r="D647" s="508"/>
      <c r="E647" s="967"/>
      <c r="F647" s="508"/>
      <c r="G647" s="508"/>
      <c r="H647" s="967"/>
      <c r="I647" s="508"/>
      <c r="J647" s="508"/>
      <c r="K647" s="508"/>
      <c r="L647" s="508"/>
      <c r="M647" s="508"/>
      <c r="N647" s="508"/>
      <c r="O647" s="508"/>
      <c r="P647" s="508"/>
      <c r="Q647" s="508"/>
      <c r="R647" s="508"/>
      <c r="S647" s="508"/>
      <c r="T647" s="508"/>
      <c r="U647" s="508"/>
      <c r="V647" s="508"/>
      <c r="W647" s="508"/>
      <c r="X647" s="508"/>
      <c r="Y647" s="508"/>
      <c r="Z647" s="508"/>
      <c r="AA647" s="508"/>
    </row>
    <row r="648">
      <c r="A648" s="508"/>
      <c r="B648" s="508"/>
      <c r="C648" s="508"/>
      <c r="D648" s="508"/>
      <c r="E648" s="967"/>
      <c r="F648" s="508"/>
      <c r="G648" s="508"/>
      <c r="H648" s="967"/>
      <c r="I648" s="508"/>
      <c r="J648" s="508"/>
      <c r="K648" s="508"/>
      <c r="L648" s="508"/>
      <c r="M648" s="508"/>
      <c r="N648" s="508"/>
      <c r="O648" s="508"/>
      <c r="P648" s="508"/>
      <c r="Q648" s="508"/>
      <c r="R648" s="508"/>
      <c r="S648" s="508"/>
      <c r="T648" s="508"/>
      <c r="U648" s="508"/>
      <c r="V648" s="508"/>
      <c r="W648" s="508"/>
      <c r="X648" s="508"/>
      <c r="Y648" s="508"/>
      <c r="Z648" s="508"/>
      <c r="AA648" s="508"/>
    </row>
    <row r="649">
      <c r="A649" s="508"/>
      <c r="B649" s="508"/>
      <c r="C649" s="508"/>
      <c r="D649" s="508"/>
      <c r="E649" s="967"/>
      <c r="F649" s="508"/>
      <c r="G649" s="508"/>
      <c r="H649" s="967"/>
      <c r="I649" s="508"/>
      <c r="J649" s="508"/>
      <c r="K649" s="508"/>
      <c r="L649" s="508"/>
      <c r="M649" s="508"/>
      <c r="N649" s="508"/>
      <c r="O649" s="508"/>
      <c r="P649" s="508"/>
      <c r="Q649" s="508"/>
      <c r="R649" s="508"/>
      <c r="S649" s="508"/>
      <c r="T649" s="508"/>
      <c r="U649" s="508"/>
      <c r="V649" s="508"/>
      <c r="W649" s="508"/>
      <c r="X649" s="508"/>
      <c r="Y649" s="508"/>
      <c r="Z649" s="508"/>
      <c r="AA649" s="508"/>
    </row>
    <row r="650">
      <c r="A650" s="508"/>
      <c r="B650" s="508"/>
      <c r="C650" s="508"/>
      <c r="D650" s="508"/>
      <c r="E650" s="967"/>
      <c r="F650" s="508"/>
      <c r="G650" s="508"/>
      <c r="H650" s="967"/>
      <c r="I650" s="508"/>
      <c r="J650" s="508"/>
      <c r="K650" s="508"/>
      <c r="L650" s="508"/>
      <c r="M650" s="508"/>
      <c r="N650" s="508"/>
      <c r="O650" s="508"/>
      <c r="P650" s="508"/>
      <c r="Q650" s="508"/>
      <c r="R650" s="508"/>
      <c r="S650" s="508"/>
      <c r="T650" s="508"/>
      <c r="U650" s="508"/>
      <c r="V650" s="508"/>
      <c r="W650" s="508"/>
      <c r="X650" s="508"/>
      <c r="Y650" s="508"/>
      <c r="Z650" s="508"/>
      <c r="AA650" s="508"/>
    </row>
    <row r="651">
      <c r="A651" s="508"/>
      <c r="B651" s="508"/>
      <c r="C651" s="508"/>
      <c r="D651" s="508"/>
      <c r="E651" s="967"/>
      <c r="F651" s="508"/>
      <c r="G651" s="508"/>
      <c r="H651" s="967"/>
      <c r="I651" s="508"/>
      <c r="J651" s="508"/>
      <c r="K651" s="508"/>
      <c r="L651" s="508"/>
      <c r="M651" s="508"/>
      <c r="N651" s="508"/>
      <c r="O651" s="508"/>
      <c r="P651" s="508"/>
      <c r="Q651" s="508"/>
      <c r="R651" s="508"/>
      <c r="S651" s="508"/>
      <c r="T651" s="508"/>
      <c r="U651" s="508"/>
      <c r="V651" s="508"/>
      <c r="W651" s="508"/>
      <c r="X651" s="508"/>
      <c r="Y651" s="508"/>
      <c r="Z651" s="508"/>
      <c r="AA651" s="508"/>
    </row>
    <row r="652">
      <c r="A652" s="508"/>
      <c r="B652" s="508"/>
      <c r="C652" s="508"/>
      <c r="D652" s="508"/>
      <c r="E652" s="967"/>
      <c r="F652" s="508"/>
      <c r="G652" s="508"/>
      <c r="H652" s="967"/>
      <c r="I652" s="508"/>
      <c r="J652" s="508"/>
      <c r="K652" s="508"/>
      <c r="L652" s="508"/>
      <c r="M652" s="508"/>
      <c r="N652" s="508"/>
      <c r="O652" s="508"/>
      <c r="P652" s="508"/>
      <c r="Q652" s="508"/>
      <c r="R652" s="508"/>
      <c r="S652" s="508"/>
      <c r="T652" s="508"/>
      <c r="U652" s="508"/>
      <c r="V652" s="508"/>
      <c r="W652" s="508"/>
      <c r="X652" s="508"/>
      <c r="Y652" s="508"/>
      <c r="Z652" s="508"/>
      <c r="AA652" s="508"/>
    </row>
    <row r="653">
      <c r="A653" s="508"/>
      <c r="B653" s="508"/>
      <c r="C653" s="508"/>
      <c r="D653" s="508"/>
      <c r="E653" s="967"/>
      <c r="F653" s="508"/>
      <c r="G653" s="508"/>
      <c r="H653" s="967"/>
      <c r="I653" s="508"/>
      <c r="J653" s="508"/>
      <c r="K653" s="508"/>
      <c r="L653" s="508"/>
      <c r="M653" s="508"/>
      <c r="N653" s="508"/>
      <c r="O653" s="508"/>
      <c r="P653" s="508"/>
      <c r="Q653" s="508"/>
      <c r="R653" s="508"/>
      <c r="S653" s="508"/>
      <c r="T653" s="508"/>
      <c r="U653" s="508"/>
      <c r="V653" s="508"/>
      <c r="W653" s="508"/>
      <c r="X653" s="508"/>
      <c r="Y653" s="508"/>
      <c r="Z653" s="508"/>
      <c r="AA653" s="508"/>
    </row>
    <row r="654">
      <c r="A654" s="508"/>
      <c r="B654" s="508"/>
      <c r="C654" s="508"/>
      <c r="D654" s="508"/>
      <c r="E654" s="967"/>
      <c r="F654" s="508"/>
      <c r="G654" s="508"/>
      <c r="H654" s="967"/>
      <c r="I654" s="508"/>
      <c r="J654" s="508"/>
      <c r="K654" s="508"/>
      <c r="L654" s="508"/>
      <c r="M654" s="508"/>
      <c r="N654" s="508"/>
      <c r="O654" s="508"/>
      <c r="P654" s="508"/>
      <c r="Q654" s="508"/>
      <c r="R654" s="508"/>
      <c r="S654" s="508"/>
      <c r="T654" s="508"/>
      <c r="U654" s="508"/>
      <c r="V654" s="508"/>
      <c r="W654" s="508"/>
      <c r="X654" s="508"/>
      <c r="Y654" s="508"/>
      <c r="Z654" s="508"/>
      <c r="AA654" s="508"/>
    </row>
    <row r="655">
      <c r="A655" s="508"/>
      <c r="B655" s="508"/>
      <c r="C655" s="508"/>
      <c r="D655" s="508"/>
      <c r="E655" s="967"/>
      <c r="F655" s="508"/>
      <c r="G655" s="508"/>
      <c r="H655" s="967"/>
      <c r="I655" s="508"/>
      <c r="J655" s="508"/>
      <c r="K655" s="508"/>
      <c r="L655" s="508"/>
      <c r="M655" s="508"/>
      <c r="N655" s="508"/>
      <c r="O655" s="508"/>
      <c r="P655" s="508"/>
      <c r="Q655" s="508"/>
      <c r="R655" s="508"/>
      <c r="S655" s="508"/>
      <c r="T655" s="508"/>
      <c r="U655" s="508"/>
      <c r="V655" s="508"/>
      <c r="W655" s="508"/>
      <c r="X655" s="508"/>
      <c r="Y655" s="508"/>
      <c r="Z655" s="508"/>
      <c r="AA655" s="508"/>
    </row>
    <row r="656">
      <c r="A656" s="508"/>
      <c r="B656" s="508"/>
      <c r="C656" s="508"/>
      <c r="D656" s="508"/>
      <c r="E656" s="967"/>
      <c r="F656" s="508"/>
      <c r="G656" s="508"/>
      <c r="H656" s="967"/>
      <c r="I656" s="508"/>
      <c r="J656" s="508"/>
      <c r="K656" s="508"/>
      <c r="L656" s="508"/>
      <c r="M656" s="508"/>
      <c r="N656" s="508"/>
      <c r="O656" s="508"/>
      <c r="P656" s="508"/>
      <c r="Q656" s="508"/>
      <c r="R656" s="508"/>
      <c r="S656" s="508"/>
      <c r="T656" s="508"/>
      <c r="U656" s="508"/>
      <c r="V656" s="508"/>
      <c r="W656" s="508"/>
      <c r="X656" s="508"/>
      <c r="Y656" s="508"/>
      <c r="Z656" s="508"/>
      <c r="AA656" s="508"/>
    </row>
    <row r="657">
      <c r="A657" s="508"/>
      <c r="B657" s="508"/>
      <c r="C657" s="508"/>
      <c r="D657" s="508"/>
      <c r="E657" s="967"/>
      <c r="F657" s="508"/>
      <c r="G657" s="508"/>
      <c r="H657" s="967"/>
      <c r="I657" s="508"/>
      <c r="J657" s="508"/>
      <c r="K657" s="508"/>
      <c r="L657" s="508"/>
      <c r="M657" s="508"/>
      <c r="N657" s="508"/>
      <c r="O657" s="508"/>
      <c r="P657" s="508"/>
      <c r="Q657" s="508"/>
      <c r="R657" s="508"/>
      <c r="S657" s="508"/>
      <c r="T657" s="508"/>
      <c r="U657" s="508"/>
      <c r="V657" s="508"/>
      <c r="W657" s="508"/>
      <c r="X657" s="508"/>
      <c r="Y657" s="508"/>
      <c r="Z657" s="508"/>
      <c r="AA657" s="508"/>
    </row>
    <row r="658">
      <c r="A658" s="508"/>
      <c r="B658" s="508"/>
      <c r="C658" s="508"/>
      <c r="D658" s="508"/>
      <c r="E658" s="967"/>
      <c r="F658" s="508"/>
      <c r="G658" s="508"/>
      <c r="H658" s="967"/>
      <c r="I658" s="508"/>
      <c r="J658" s="508"/>
      <c r="K658" s="508"/>
      <c r="L658" s="508"/>
      <c r="M658" s="508"/>
      <c r="N658" s="508"/>
      <c r="O658" s="508"/>
      <c r="P658" s="508"/>
      <c r="Q658" s="508"/>
      <c r="R658" s="508"/>
      <c r="S658" s="508"/>
      <c r="T658" s="508"/>
      <c r="U658" s="508"/>
      <c r="V658" s="508"/>
      <c r="W658" s="508"/>
      <c r="X658" s="508"/>
      <c r="Y658" s="508"/>
      <c r="Z658" s="508"/>
      <c r="AA658" s="508"/>
    </row>
    <row r="659">
      <c r="A659" s="508"/>
      <c r="B659" s="508"/>
      <c r="C659" s="508"/>
      <c r="D659" s="508"/>
      <c r="E659" s="967"/>
      <c r="F659" s="508"/>
      <c r="G659" s="508"/>
      <c r="H659" s="967"/>
      <c r="I659" s="508"/>
      <c r="J659" s="508"/>
      <c r="K659" s="508"/>
      <c r="L659" s="508"/>
      <c r="M659" s="508"/>
      <c r="N659" s="508"/>
      <c r="O659" s="508"/>
      <c r="P659" s="508"/>
      <c r="Q659" s="508"/>
      <c r="R659" s="508"/>
      <c r="S659" s="508"/>
      <c r="T659" s="508"/>
      <c r="U659" s="508"/>
      <c r="V659" s="508"/>
      <c r="W659" s="508"/>
      <c r="X659" s="508"/>
      <c r="Y659" s="508"/>
      <c r="Z659" s="508"/>
      <c r="AA659" s="508"/>
    </row>
    <row r="660">
      <c r="A660" s="508"/>
      <c r="B660" s="508"/>
      <c r="C660" s="508"/>
      <c r="D660" s="508"/>
      <c r="E660" s="967"/>
      <c r="F660" s="508"/>
      <c r="G660" s="508"/>
      <c r="H660" s="967"/>
      <c r="I660" s="508"/>
      <c r="J660" s="508"/>
      <c r="K660" s="508"/>
      <c r="L660" s="508"/>
      <c r="M660" s="508"/>
      <c r="N660" s="508"/>
      <c r="O660" s="508"/>
      <c r="P660" s="508"/>
      <c r="Q660" s="508"/>
      <c r="R660" s="508"/>
      <c r="S660" s="508"/>
      <c r="T660" s="508"/>
      <c r="U660" s="508"/>
      <c r="V660" s="508"/>
      <c r="W660" s="508"/>
      <c r="X660" s="508"/>
      <c r="Y660" s="508"/>
      <c r="Z660" s="508"/>
      <c r="AA660" s="508"/>
    </row>
    <row r="661">
      <c r="A661" s="508"/>
      <c r="B661" s="508"/>
      <c r="C661" s="508"/>
      <c r="D661" s="508"/>
      <c r="E661" s="967"/>
      <c r="F661" s="508"/>
      <c r="G661" s="508"/>
      <c r="H661" s="967"/>
      <c r="I661" s="508"/>
      <c r="J661" s="508"/>
      <c r="K661" s="508"/>
      <c r="L661" s="508"/>
      <c r="M661" s="508"/>
      <c r="N661" s="508"/>
      <c r="O661" s="508"/>
      <c r="P661" s="508"/>
      <c r="Q661" s="508"/>
      <c r="R661" s="508"/>
      <c r="S661" s="508"/>
      <c r="T661" s="508"/>
      <c r="U661" s="508"/>
      <c r="V661" s="508"/>
      <c r="W661" s="508"/>
      <c r="X661" s="508"/>
      <c r="Y661" s="508"/>
      <c r="Z661" s="508"/>
      <c r="AA661" s="508"/>
    </row>
    <row r="662">
      <c r="A662" s="508"/>
      <c r="B662" s="508"/>
      <c r="C662" s="508"/>
      <c r="D662" s="508"/>
      <c r="E662" s="967"/>
      <c r="F662" s="508"/>
      <c r="G662" s="508"/>
      <c r="H662" s="967"/>
      <c r="I662" s="508"/>
      <c r="J662" s="508"/>
      <c r="K662" s="508"/>
      <c r="L662" s="508"/>
      <c r="M662" s="508"/>
      <c r="N662" s="508"/>
      <c r="O662" s="508"/>
      <c r="P662" s="508"/>
      <c r="Q662" s="508"/>
      <c r="R662" s="508"/>
      <c r="S662" s="508"/>
      <c r="T662" s="508"/>
      <c r="U662" s="508"/>
      <c r="V662" s="508"/>
      <c r="W662" s="508"/>
      <c r="X662" s="508"/>
      <c r="Y662" s="508"/>
      <c r="Z662" s="508"/>
      <c r="AA662" s="508"/>
    </row>
    <row r="663">
      <c r="A663" s="508"/>
      <c r="B663" s="508"/>
      <c r="C663" s="508"/>
      <c r="D663" s="508"/>
      <c r="E663" s="967"/>
      <c r="F663" s="508"/>
      <c r="G663" s="508"/>
      <c r="H663" s="967"/>
      <c r="I663" s="508"/>
      <c r="J663" s="508"/>
      <c r="K663" s="508"/>
      <c r="L663" s="508"/>
      <c r="M663" s="508"/>
      <c r="N663" s="508"/>
      <c r="O663" s="508"/>
      <c r="P663" s="508"/>
      <c r="Q663" s="508"/>
      <c r="R663" s="508"/>
      <c r="S663" s="508"/>
      <c r="T663" s="508"/>
      <c r="U663" s="508"/>
      <c r="V663" s="508"/>
      <c r="W663" s="508"/>
      <c r="X663" s="508"/>
      <c r="Y663" s="508"/>
      <c r="Z663" s="508"/>
      <c r="AA663" s="508"/>
    </row>
    <row r="664">
      <c r="A664" s="508"/>
      <c r="B664" s="508"/>
      <c r="C664" s="508"/>
      <c r="D664" s="508"/>
      <c r="E664" s="967"/>
      <c r="F664" s="508"/>
      <c r="G664" s="508"/>
      <c r="H664" s="967"/>
      <c r="I664" s="508"/>
      <c r="J664" s="508"/>
      <c r="K664" s="508"/>
      <c r="L664" s="508"/>
      <c r="M664" s="508"/>
      <c r="N664" s="508"/>
      <c r="O664" s="508"/>
      <c r="P664" s="508"/>
      <c r="Q664" s="508"/>
      <c r="R664" s="508"/>
      <c r="S664" s="508"/>
      <c r="T664" s="508"/>
      <c r="U664" s="508"/>
      <c r="V664" s="508"/>
      <c r="W664" s="508"/>
      <c r="X664" s="508"/>
      <c r="Y664" s="508"/>
      <c r="Z664" s="508"/>
      <c r="AA664" s="508"/>
    </row>
    <row r="665">
      <c r="A665" s="508"/>
      <c r="B665" s="508"/>
      <c r="C665" s="508"/>
      <c r="D665" s="508"/>
      <c r="E665" s="967"/>
      <c r="F665" s="508"/>
      <c r="G665" s="508"/>
      <c r="H665" s="967"/>
      <c r="I665" s="508"/>
      <c r="J665" s="508"/>
      <c r="K665" s="508"/>
      <c r="L665" s="508"/>
      <c r="M665" s="508"/>
      <c r="N665" s="508"/>
      <c r="O665" s="508"/>
      <c r="P665" s="508"/>
      <c r="Q665" s="508"/>
      <c r="R665" s="508"/>
      <c r="S665" s="508"/>
      <c r="T665" s="508"/>
      <c r="U665" s="508"/>
      <c r="V665" s="508"/>
      <c r="W665" s="508"/>
      <c r="X665" s="508"/>
      <c r="Y665" s="508"/>
      <c r="Z665" s="508"/>
      <c r="AA665" s="508"/>
    </row>
    <row r="666">
      <c r="A666" s="508"/>
      <c r="B666" s="508"/>
      <c r="C666" s="508"/>
      <c r="D666" s="508"/>
      <c r="E666" s="967"/>
      <c r="F666" s="508"/>
      <c r="G666" s="508"/>
      <c r="H666" s="967"/>
      <c r="I666" s="508"/>
      <c r="J666" s="508"/>
      <c r="K666" s="508"/>
      <c r="L666" s="508"/>
      <c r="M666" s="508"/>
      <c r="N666" s="508"/>
      <c r="O666" s="508"/>
      <c r="P666" s="508"/>
      <c r="Q666" s="508"/>
      <c r="R666" s="508"/>
      <c r="S666" s="508"/>
      <c r="T666" s="508"/>
      <c r="U666" s="508"/>
      <c r="V666" s="508"/>
      <c r="W666" s="508"/>
      <c r="X666" s="508"/>
      <c r="Y666" s="508"/>
      <c r="Z666" s="508"/>
      <c r="AA666" s="508"/>
    </row>
    <row r="667">
      <c r="A667" s="508"/>
      <c r="B667" s="508"/>
      <c r="C667" s="508"/>
      <c r="D667" s="508"/>
      <c r="E667" s="967"/>
      <c r="F667" s="508"/>
      <c r="G667" s="508"/>
      <c r="H667" s="967"/>
      <c r="I667" s="508"/>
      <c r="J667" s="508"/>
      <c r="K667" s="508"/>
      <c r="L667" s="508"/>
      <c r="M667" s="508"/>
      <c r="N667" s="508"/>
      <c r="O667" s="508"/>
      <c r="P667" s="508"/>
      <c r="Q667" s="508"/>
      <c r="R667" s="508"/>
      <c r="S667" s="508"/>
      <c r="T667" s="508"/>
      <c r="U667" s="508"/>
      <c r="V667" s="508"/>
      <c r="W667" s="508"/>
      <c r="X667" s="508"/>
      <c r="Y667" s="508"/>
      <c r="Z667" s="508"/>
      <c r="AA667" s="508"/>
    </row>
    <row r="668">
      <c r="A668" s="508"/>
      <c r="B668" s="508"/>
      <c r="C668" s="508"/>
      <c r="D668" s="508"/>
      <c r="E668" s="967"/>
      <c r="F668" s="508"/>
      <c r="G668" s="508"/>
      <c r="H668" s="967"/>
      <c r="I668" s="508"/>
      <c r="J668" s="508"/>
      <c r="K668" s="508"/>
      <c r="L668" s="508"/>
      <c r="M668" s="508"/>
      <c r="N668" s="508"/>
      <c r="O668" s="508"/>
      <c r="P668" s="508"/>
      <c r="Q668" s="508"/>
      <c r="R668" s="508"/>
      <c r="S668" s="508"/>
      <c r="T668" s="508"/>
      <c r="U668" s="508"/>
      <c r="V668" s="508"/>
      <c r="W668" s="508"/>
      <c r="X668" s="508"/>
      <c r="Y668" s="508"/>
      <c r="Z668" s="508"/>
      <c r="AA668" s="508"/>
    </row>
    <row r="669">
      <c r="A669" s="508"/>
      <c r="B669" s="508"/>
      <c r="C669" s="508"/>
      <c r="D669" s="508"/>
      <c r="E669" s="967"/>
      <c r="F669" s="508"/>
      <c r="G669" s="508"/>
      <c r="H669" s="967"/>
      <c r="I669" s="508"/>
      <c r="J669" s="508"/>
      <c r="K669" s="508"/>
      <c r="L669" s="508"/>
      <c r="M669" s="508"/>
      <c r="N669" s="508"/>
      <c r="O669" s="508"/>
      <c r="P669" s="508"/>
      <c r="Q669" s="508"/>
      <c r="R669" s="508"/>
      <c r="S669" s="508"/>
      <c r="T669" s="508"/>
      <c r="U669" s="508"/>
      <c r="V669" s="508"/>
      <c r="W669" s="508"/>
      <c r="X669" s="508"/>
      <c r="Y669" s="508"/>
      <c r="Z669" s="508"/>
      <c r="AA669" s="508"/>
    </row>
    <row r="670">
      <c r="A670" s="508"/>
      <c r="B670" s="508"/>
      <c r="C670" s="508"/>
      <c r="D670" s="508"/>
      <c r="E670" s="967"/>
      <c r="F670" s="508"/>
      <c r="G670" s="508"/>
      <c r="H670" s="967"/>
      <c r="I670" s="508"/>
      <c r="J670" s="508"/>
      <c r="K670" s="508"/>
      <c r="L670" s="508"/>
      <c r="M670" s="508"/>
      <c r="N670" s="508"/>
      <c r="O670" s="508"/>
      <c r="P670" s="508"/>
      <c r="Q670" s="508"/>
      <c r="R670" s="508"/>
      <c r="S670" s="508"/>
      <c r="T670" s="508"/>
      <c r="U670" s="508"/>
      <c r="V670" s="508"/>
      <c r="W670" s="508"/>
      <c r="X670" s="508"/>
      <c r="Y670" s="508"/>
      <c r="Z670" s="508"/>
      <c r="AA670" s="508"/>
    </row>
    <row r="671">
      <c r="A671" s="508"/>
      <c r="B671" s="508"/>
      <c r="C671" s="508"/>
      <c r="D671" s="508"/>
      <c r="E671" s="967"/>
      <c r="F671" s="508"/>
      <c r="G671" s="508"/>
      <c r="H671" s="967"/>
      <c r="I671" s="508"/>
      <c r="J671" s="508"/>
      <c r="K671" s="508"/>
      <c r="L671" s="508"/>
      <c r="M671" s="508"/>
      <c r="N671" s="508"/>
      <c r="O671" s="508"/>
      <c r="P671" s="508"/>
      <c r="Q671" s="508"/>
      <c r="R671" s="508"/>
      <c r="S671" s="508"/>
      <c r="T671" s="508"/>
      <c r="U671" s="508"/>
      <c r="V671" s="508"/>
      <c r="W671" s="508"/>
      <c r="X671" s="508"/>
      <c r="Y671" s="508"/>
      <c r="Z671" s="508"/>
      <c r="AA671" s="508"/>
    </row>
    <row r="672">
      <c r="A672" s="508"/>
      <c r="B672" s="508"/>
      <c r="C672" s="508"/>
      <c r="D672" s="508"/>
      <c r="E672" s="967"/>
      <c r="F672" s="508"/>
      <c r="G672" s="508"/>
      <c r="H672" s="967"/>
      <c r="I672" s="508"/>
      <c r="J672" s="508"/>
      <c r="K672" s="508"/>
      <c r="L672" s="508"/>
      <c r="M672" s="508"/>
      <c r="N672" s="508"/>
      <c r="O672" s="508"/>
      <c r="P672" s="508"/>
      <c r="Q672" s="508"/>
      <c r="R672" s="508"/>
      <c r="S672" s="508"/>
      <c r="T672" s="508"/>
      <c r="U672" s="508"/>
      <c r="V672" s="508"/>
      <c r="W672" s="508"/>
      <c r="X672" s="508"/>
      <c r="Y672" s="508"/>
      <c r="Z672" s="508"/>
      <c r="AA672" s="508"/>
    </row>
    <row r="673">
      <c r="A673" s="508"/>
      <c r="B673" s="508"/>
      <c r="C673" s="508"/>
      <c r="D673" s="508"/>
      <c r="E673" s="967"/>
      <c r="F673" s="508"/>
      <c r="G673" s="508"/>
      <c r="H673" s="967"/>
      <c r="I673" s="508"/>
      <c r="J673" s="508"/>
      <c r="K673" s="508"/>
      <c r="L673" s="508"/>
      <c r="M673" s="508"/>
      <c r="N673" s="508"/>
      <c r="O673" s="508"/>
      <c r="P673" s="508"/>
      <c r="Q673" s="508"/>
      <c r="R673" s="508"/>
      <c r="S673" s="508"/>
      <c r="T673" s="508"/>
      <c r="U673" s="508"/>
      <c r="V673" s="508"/>
      <c r="W673" s="508"/>
      <c r="X673" s="508"/>
      <c r="Y673" s="508"/>
      <c r="Z673" s="508"/>
      <c r="AA673" s="508"/>
    </row>
    <row r="674">
      <c r="A674" s="508"/>
      <c r="B674" s="508"/>
      <c r="C674" s="508"/>
      <c r="D674" s="508"/>
      <c r="E674" s="967"/>
      <c r="F674" s="508"/>
      <c r="G674" s="508"/>
      <c r="H674" s="967"/>
      <c r="I674" s="508"/>
      <c r="J674" s="508"/>
      <c r="K674" s="508"/>
      <c r="L674" s="508"/>
      <c r="M674" s="508"/>
      <c r="N674" s="508"/>
      <c r="O674" s="508"/>
      <c r="P674" s="508"/>
      <c r="Q674" s="508"/>
      <c r="R674" s="508"/>
      <c r="S674" s="508"/>
      <c r="T674" s="508"/>
      <c r="U674" s="508"/>
      <c r="V674" s="508"/>
      <c r="W674" s="508"/>
      <c r="X674" s="508"/>
      <c r="Y674" s="508"/>
      <c r="Z674" s="508"/>
      <c r="AA674" s="508"/>
    </row>
    <row r="675">
      <c r="A675" s="508"/>
      <c r="B675" s="508"/>
      <c r="C675" s="508"/>
      <c r="D675" s="508"/>
      <c r="E675" s="967"/>
      <c r="F675" s="508"/>
      <c r="G675" s="508"/>
      <c r="H675" s="967"/>
      <c r="I675" s="508"/>
      <c r="J675" s="508"/>
      <c r="K675" s="508"/>
      <c r="L675" s="508"/>
      <c r="M675" s="508"/>
      <c r="N675" s="508"/>
      <c r="O675" s="508"/>
      <c r="P675" s="508"/>
      <c r="Q675" s="508"/>
      <c r="R675" s="508"/>
      <c r="S675" s="508"/>
      <c r="T675" s="508"/>
      <c r="U675" s="508"/>
      <c r="V675" s="508"/>
      <c r="W675" s="508"/>
      <c r="X675" s="508"/>
      <c r="Y675" s="508"/>
      <c r="Z675" s="508"/>
      <c r="AA675" s="508"/>
    </row>
    <row r="676">
      <c r="A676" s="508"/>
      <c r="B676" s="508"/>
      <c r="C676" s="508"/>
      <c r="D676" s="508"/>
      <c r="E676" s="967"/>
      <c r="F676" s="508"/>
      <c r="G676" s="508"/>
      <c r="H676" s="967"/>
      <c r="I676" s="508"/>
      <c r="J676" s="508"/>
      <c r="K676" s="508"/>
      <c r="L676" s="508"/>
      <c r="M676" s="508"/>
      <c r="N676" s="508"/>
      <c r="O676" s="508"/>
      <c r="P676" s="508"/>
      <c r="Q676" s="508"/>
      <c r="R676" s="508"/>
      <c r="S676" s="508"/>
      <c r="T676" s="508"/>
      <c r="U676" s="508"/>
      <c r="V676" s="508"/>
      <c r="W676" s="508"/>
      <c r="X676" s="508"/>
      <c r="Y676" s="508"/>
      <c r="Z676" s="508"/>
      <c r="AA676" s="508"/>
    </row>
    <row r="677">
      <c r="A677" s="508"/>
      <c r="B677" s="508"/>
      <c r="C677" s="508"/>
      <c r="D677" s="508"/>
      <c r="E677" s="967"/>
      <c r="F677" s="508"/>
      <c r="G677" s="508"/>
      <c r="H677" s="967"/>
      <c r="I677" s="508"/>
      <c r="J677" s="508"/>
      <c r="K677" s="508"/>
      <c r="L677" s="508"/>
      <c r="M677" s="508"/>
      <c r="N677" s="508"/>
      <c r="O677" s="508"/>
      <c r="P677" s="508"/>
      <c r="Q677" s="508"/>
      <c r="R677" s="508"/>
      <c r="S677" s="508"/>
      <c r="T677" s="508"/>
      <c r="U677" s="508"/>
      <c r="V677" s="508"/>
      <c r="W677" s="508"/>
      <c r="X677" s="508"/>
      <c r="Y677" s="508"/>
      <c r="Z677" s="508"/>
      <c r="AA677" s="508"/>
    </row>
    <row r="678">
      <c r="A678" s="508"/>
      <c r="B678" s="508"/>
      <c r="C678" s="508"/>
      <c r="D678" s="508"/>
      <c r="E678" s="967"/>
      <c r="F678" s="508"/>
      <c r="G678" s="508"/>
      <c r="H678" s="967"/>
      <c r="I678" s="508"/>
      <c r="J678" s="508"/>
      <c r="K678" s="508"/>
      <c r="L678" s="508"/>
      <c r="M678" s="508"/>
      <c r="N678" s="508"/>
      <c r="O678" s="508"/>
      <c r="P678" s="508"/>
      <c r="Q678" s="508"/>
      <c r="R678" s="508"/>
      <c r="S678" s="508"/>
      <c r="T678" s="508"/>
      <c r="U678" s="508"/>
      <c r="V678" s="508"/>
      <c r="W678" s="508"/>
      <c r="X678" s="508"/>
      <c r="Y678" s="508"/>
      <c r="Z678" s="508"/>
      <c r="AA678" s="508"/>
    </row>
    <row r="679">
      <c r="A679" s="508"/>
      <c r="B679" s="508"/>
      <c r="C679" s="508"/>
      <c r="D679" s="508"/>
      <c r="E679" s="967"/>
      <c r="F679" s="508"/>
      <c r="G679" s="508"/>
      <c r="H679" s="967"/>
      <c r="I679" s="508"/>
      <c r="J679" s="508"/>
      <c r="K679" s="508"/>
      <c r="L679" s="508"/>
      <c r="M679" s="508"/>
      <c r="N679" s="508"/>
      <c r="O679" s="508"/>
      <c r="P679" s="508"/>
      <c r="Q679" s="508"/>
      <c r="R679" s="508"/>
      <c r="S679" s="508"/>
      <c r="T679" s="508"/>
      <c r="U679" s="508"/>
      <c r="V679" s="508"/>
      <c r="W679" s="508"/>
      <c r="X679" s="508"/>
      <c r="Y679" s="508"/>
      <c r="Z679" s="508"/>
      <c r="AA679" s="508"/>
    </row>
    <row r="680">
      <c r="A680" s="508"/>
      <c r="B680" s="508"/>
      <c r="C680" s="508"/>
      <c r="D680" s="508"/>
      <c r="E680" s="967"/>
      <c r="F680" s="508"/>
      <c r="G680" s="508"/>
      <c r="H680" s="967"/>
      <c r="I680" s="508"/>
      <c r="J680" s="508"/>
      <c r="K680" s="508"/>
      <c r="L680" s="508"/>
      <c r="M680" s="508"/>
      <c r="N680" s="508"/>
      <c r="O680" s="508"/>
      <c r="P680" s="508"/>
      <c r="Q680" s="508"/>
      <c r="R680" s="508"/>
      <c r="S680" s="508"/>
      <c r="T680" s="508"/>
      <c r="U680" s="508"/>
      <c r="V680" s="508"/>
      <c r="W680" s="508"/>
      <c r="X680" s="508"/>
      <c r="Y680" s="508"/>
      <c r="Z680" s="508"/>
      <c r="AA680" s="508"/>
    </row>
    <row r="681">
      <c r="A681" s="508"/>
      <c r="B681" s="508"/>
      <c r="C681" s="508"/>
      <c r="D681" s="508"/>
      <c r="E681" s="967"/>
      <c r="F681" s="508"/>
      <c r="G681" s="508"/>
      <c r="H681" s="967"/>
      <c r="I681" s="508"/>
      <c r="J681" s="508"/>
      <c r="K681" s="508"/>
      <c r="L681" s="508"/>
      <c r="M681" s="508"/>
      <c r="N681" s="508"/>
      <c r="O681" s="508"/>
      <c r="P681" s="508"/>
      <c r="Q681" s="508"/>
      <c r="R681" s="508"/>
      <c r="S681" s="508"/>
      <c r="T681" s="508"/>
      <c r="U681" s="508"/>
      <c r="V681" s="508"/>
      <c r="W681" s="508"/>
      <c r="X681" s="508"/>
      <c r="Y681" s="508"/>
      <c r="Z681" s="508"/>
      <c r="AA681" s="508"/>
    </row>
    <row r="682">
      <c r="A682" s="508"/>
      <c r="B682" s="508"/>
      <c r="C682" s="508"/>
      <c r="D682" s="508"/>
      <c r="E682" s="967"/>
      <c r="F682" s="508"/>
      <c r="G682" s="508"/>
      <c r="H682" s="967"/>
      <c r="I682" s="508"/>
      <c r="J682" s="508"/>
      <c r="K682" s="508"/>
      <c r="L682" s="508"/>
      <c r="M682" s="508"/>
      <c r="N682" s="508"/>
      <c r="O682" s="508"/>
      <c r="P682" s="508"/>
      <c r="Q682" s="508"/>
      <c r="R682" s="508"/>
      <c r="S682" s="508"/>
      <c r="T682" s="508"/>
      <c r="U682" s="508"/>
      <c r="V682" s="508"/>
      <c r="W682" s="508"/>
      <c r="X682" s="508"/>
      <c r="Y682" s="508"/>
      <c r="Z682" s="508"/>
      <c r="AA682" s="508"/>
    </row>
    <row r="683">
      <c r="A683" s="508"/>
      <c r="B683" s="508"/>
      <c r="C683" s="508"/>
      <c r="D683" s="508"/>
      <c r="E683" s="967"/>
      <c r="F683" s="508"/>
      <c r="G683" s="508"/>
      <c r="H683" s="967"/>
      <c r="I683" s="508"/>
      <c r="J683" s="508"/>
      <c r="K683" s="508"/>
      <c r="L683" s="508"/>
      <c r="M683" s="508"/>
      <c r="N683" s="508"/>
      <c r="O683" s="508"/>
      <c r="P683" s="508"/>
      <c r="Q683" s="508"/>
      <c r="R683" s="508"/>
      <c r="S683" s="508"/>
      <c r="T683" s="508"/>
      <c r="U683" s="508"/>
      <c r="V683" s="508"/>
      <c r="W683" s="508"/>
      <c r="X683" s="508"/>
      <c r="Y683" s="508"/>
      <c r="Z683" s="508"/>
      <c r="AA683" s="508"/>
    </row>
    <row r="684">
      <c r="A684" s="508"/>
      <c r="B684" s="508"/>
      <c r="C684" s="508"/>
      <c r="D684" s="508"/>
      <c r="E684" s="967"/>
      <c r="F684" s="508"/>
      <c r="G684" s="508"/>
      <c r="H684" s="967"/>
      <c r="I684" s="508"/>
      <c r="J684" s="508"/>
      <c r="K684" s="508"/>
      <c r="L684" s="508"/>
      <c r="M684" s="508"/>
      <c r="N684" s="508"/>
      <c r="O684" s="508"/>
      <c r="P684" s="508"/>
      <c r="Q684" s="508"/>
      <c r="R684" s="508"/>
      <c r="S684" s="508"/>
      <c r="T684" s="508"/>
      <c r="U684" s="508"/>
      <c r="V684" s="508"/>
      <c r="W684" s="508"/>
      <c r="X684" s="508"/>
      <c r="Y684" s="508"/>
      <c r="Z684" s="508"/>
      <c r="AA684" s="508"/>
    </row>
    <row r="685">
      <c r="A685" s="508"/>
      <c r="B685" s="508"/>
      <c r="C685" s="508"/>
      <c r="D685" s="508"/>
      <c r="E685" s="967"/>
      <c r="F685" s="508"/>
      <c r="G685" s="508"/>
      <c r="H685" s="967"/>
      <c r="I685" s="508"/>
      <c r="J685" s="508"/>
      <c r="K685" s="508"/>
      <c r="L685" s="508"/>
      <c r="M685" s="508"/>
      <c r="N685" s="508"/>
      <c r="O685" s="508"/>
      <c r="P685" s="508"/>
      <c r="Q685" s="508"/>
      <c r="R685" s="508"/>
      <c r="S685" s="508"/>
      <c r="T685" s="508"/>
      <c r="U685" s="508"/>
      <c r="V685" s="508"/>
      <c r="W685" s="508"/>
      <c r="X685" s="508"/>
      <c r="Y685" s="508"/>
      <c r="Z685" s="508"/>
      <c r="AA685" s="508"/>
    </row>
    <row r="686">
      <c r="A686" s="508"/>
      <c r="B686" s="508"/>
      <c r="C686" s="508"/>
      <c r="D686" s="508"/>
      <c r="E686" s="967"/>
      <c r="F686" s="508"/>
      <c r="G686" s="508"/>
      <c r="H686" s="967"/>
      <c r="I686" s="508"/>
      <c r="J686" s="508"/>
      <c r="K686" s="508"/>
      <c r="L686" s="508"/>
      <c r="M686" s="508"/>
      <c r="N686" s="508"/>
      <c r="O686" s="508"/>
      <c r="P686" s="508"/>
      <c r="Q686" s="508"/>
      <c r="R686" s="508"/>
      <c r="S686" s="508"/>
      <c r="T686" s="508"/>
      <c r="U686" s="508"/>
      <c r="V686" s="508"/>
      <c r="W686" s="508"/>
      <c r="X686" s="508"/>
      <c r="Y686" s="508"/>
      <c r="Z686" s="508"/>
      <c r="AA686" s="508"/>
    </row>
    <row r="687">
      <c r="A687" s="508"/>
      <c r="B687" s="508"/>
      <c r="C687" s="508"/>
      <c r="D687" s="508"/>
      <c r="E687" s="967"/>
      <c r="F687" s="508"/>
      <c r="G687" s="508"/>
      <c r="H687" s="967"/>
      <c r="I687" s="508"/>
      <c r="J687" s="508"/>
      <c r="K687" s="508"/>
      <c r="L687" s="508"/>
      <c r="M687" s="508"/>
      <c r="N687" s="508"/>
      <c r="O687" s="508"/>
      <c r="P687" s="508"/>
      <c r="Q687" s="508"/>
      <c r="R687" s="508"/>
      <c r="S687" s="508"/>
      <c r="T687" s="508"/>
      <c r="U687" s="508"/>
      <c r="V687" s="508"/>
      <c r="W687" s="508"/>
      <c r="X687" s="508"/>
      <c r="Y687" s="508"/>
      <c r="Z687" s="508"/>
      <c r="AA687" s="508"/>
    </row>
    <row r="688">
      <c r="A688" s="508"/>
      <c r="B688" s="508"/>
      <c r="C688" s="508"/>
      <c r="D688" s="508"/>
      <c r="E688" s="967"/>
      <c r="F688" s="508"/>
      <c r="G688" s="508"/>
      <c r="H688" s="967"/>
      <c r="I688" s="508"/>
      <c r="J688" s="508"/>
      <c r="K688" s="508"/>
      <c r="L688" s="508"/>
      <c r="M688" s="508"/>
      <c r="N688" s="508"/>
      <c r="O688" s="508"/>
      <c r="P688" s="508"/>
      <c r="Q688" s="508"/>
      <c r="R688" s="508"/>
      <c r="S688" s="508"/>
      <c r="T688" s="508"/>
      <c r="U688" s="508"/>
      <c r="V688" s="508"/>
      <c r="W688" s="508"/>
      <c r="X688" s="508"/>
      <c r="Y688" s="508"/>
      <c r="Z688" s="508"/>
      <c r="AA688" s="508"/>
    </row>
    <row r="689">
      <c r="A689" s="508"/>
      <c r="B689" s="508"/>
      <c r="C689" s="508"/>
      <c r="D689" s="508"/>
      <c r="E689" s="967"/>
      <c r="F689" s="508"/>
      <c r="G689" s="508"/>
      <c r="H689" s="967"/>
      <c r="I689" s="508"/>
      <c r="J689" s="508"/>
      <c r="K689" s="508"/>
      <c r="L689" s="508"/>
      <c r="M689" s="508"/>
      <c r="N689" s="508"/>
      <c r="O689" s="508"/>
      <c r="P689" s="508"/>
      <c r="Q689" s="508"/>
      <c r="R689" s="508"/>
      <c r="S689" s="508"/>
      <c r="T689" s="508"/>
      <c r="U689" s="508"/>
      <c r="V689" s="508"/>
      <c r="W689" s="508"/>
      <c r="X689" s="508"/>
      <c r="Y689" s="508"/>
      <c r="Z689" s="508"/>
      <c r="AA689" s="508"/>
    </row>
    <row r="690">
      <c r="A690" s="508"/>
      <c r="B690" s="508"/>
      <c r="C690" s="508"/>
      <c r="D690" s="508"/>
      <c r="E690" s="967"/>
      <c r="F690" s="508"/>
      <c r="G690" s="508"/>
      <c r="H690" s="967"/>
      <c r="I690" s="508"/>
      <c r="J690" s="508"/>
      <c r="K690" s="508"/>
      <c r="L690" s="508"/>
      <c r="M690" s="508"/>
      <c r="N690" s="508"/>
      <c r="O690" s="508"/>
      <c r="P690" s="508"/>
      <c r="Q690" s="508"/>
      <c r="R690" s="508"/>
      <c r="S690" s="508"/>
      <c r="T690" s="508"/>
      <c r="U690" s="508"/>
      <c r="V690" s="508"/>
      <c r="W690" s="508"/>
      <c r="X690" s="508"/>
      <c r="Y690" s="508"/>
      <c r="Z690" s="508"/>
      <c r="AA690" s="508"/>
    </row>
    <row r="691">
      <c r="A691" s="508"/>
      <c r="B691" s="508"/>
      <c r="C691" s="508"/>
      <c r="D691" s="508"/>
      <c r="E691" s="967"/>
      <c r="F691" s="508"/>
      <c r="G691" s="508"/>
      <c r="H691" s="967"/>
      <c r="I691" s="508"/>
      <c r="J691" s="508"/>
      <c r="K691" s="508"/>
      <c r="L691" s="508"/>
      <c r="M691" s="508"/>
      <c r="N691" s="508"/>
      <c r="O691" s="508"/>
      <c r="P691" s="508"/>
      <c r="Q691" s="508"/>
      <c r="R691" s="508"/>
      <c r="S691" s="508"/>
      <c r="T691" s="508"/>
      <c r="U691" s="508"/>
      <c r="V691" s="508"/>
      <c r="W691" s="508"/>
      <c r="X691" s="508"/>
      <c r="Y691" s="508"/>
      <c r="Z691" s="508"/>
      <c r="AA691" s="508"/>
    </row>
    <row r="692">
      <c r="A692" s="508"/>
      <c r="B692" s="508"/>
      <c r="C692" s="508"/>
      <c r="D692" s="508"/>
      <c r="E692" s="967"/>
      <c r="F692" s="508"/>
      <c r="G692" s="508"/>
      <c r="H692" s="967"/>
      <c r="I692" s="508"/>
      <c r="J692" s="508"/>
      <c r="K692" s="508"/>
      <c r="L692" s="508"/>
      <c r="M692" s="508"/>
      <c r="N692" s="508"/>
      <c r="O692" s="508"/>
      <c r="P692" s="508"/>
      <c r="Q692" s="508"/>
      <c r="R692" s="508"/>
      <c r="S692" s="508"/>
      <c r="T692" s="508"/>
      <c r="U692" s="508"/>
      <c r="V692" s="508"/>
      <c r="W692" s="508"/>
      <c r="X692" s="508"/>
      <c r="Y692" s="508"/>
      <c r="Z692" s="508"/>
      <c r="AA692" s="508"/>
    </row>
    <row r="693">
      <c r="A693" s="508"/>
      <c r="B693" s="508"/>
      <c r="C693" s="508"/>
      <c r="D693" s="508"/>
      <c r="E693" s="967"/>
      <c r="F693" s="508"/>
      <c r="G693" s="508"/>
      <c r="H693" s="967"/>
      <c r="I693" s="508"/>
      <c r="J693" s="508"/>
      <c r="K693" s="508"/>
      <c r="L693" s="508"/>
      <c r="M693" s="508"/>
      <c r="N693" s="508"/>
      <c r="O693" s="508"/>
      <c r="P693" s="508"/>
      <c r="Q693" s="508"/>
      <c r="R693" s="508"/>
      <c r="S693" s="508"/>
      <c r="T693" s="508"/>
      <c r="U693" s="508"/>
      <c r="V693" s="508"/>
      <c r="W693" s="508"/>
      <c r="X693" s="508"/>
      <c r="Y693" s="508"/>
      <c r="Z693" s="508"/>
      <c r="AA693" s="508"/>
    </row>
    <row r="694">
      <c r="A694" s="508"/>
      <c r="B694" s="508"/>
      <c r="C694" s="508"/>
      <c r="D694" s="508"/>
      <c r="E694" s="967"/>
      <c r="F694" s="508"/>
      <c r="G694" s="508"/>
      <c r="H694" s="967"/>
      <c r="I694" s="508"/>
      <c r="J694" s="508"/>
      <c r="K694" s="508"/>
      <c r="L694" s="508"/>
      <c r="M694" s="508"/>
      <c r="N694" s="508"/>
      <c r="O694" s="508"/>
      <c r="P694" s="508"/>
      <c r="Q694" s="508"/>
      <c r="R694" s="508"/>
      <c r="S694" s="508"/>
      <c r="T694" s="508"/>
      <c r="U694" s="508"/>
      <c r="V694" s="508"/>
      <c r="W694" s="508"/>
      <c r="X694" s="508"/>
      <c r="Y694" s="508"/>
      <c r="Z694" s="508"/>
      <c r="AA694" s="508"/>
    </row>
    <row r="695">
      <c r="A695" s="508"/>
      <c r="B695" s="508"/>
      <c r="C695" s="508"/>
      <c r="D695" s="508"/>
      <c r="E695" s="967"/>
      <c r="F695" s="508"/>
      <c r="G695" s="508"/>
      <c r="H695" s="967"/>
      <c r="I695" s="508"/>
      <c r="J695" s="508"/>
      <c r="K695" s="508"/>
      <c r="L695" s="508"/>
      <c r="M695" s="508"/>
      <c r="N695" s="508"/>
      <c r="O695" s="508"/>
      <c r="P695" s="508"/>
      <c r="Q695" s="508"/>
      <c r="R695" s="508"/>
      <c r="S695" s="508"/>
      <c r="T695" s="508"/>
      <c r="U695" s="508"/>
      <c r="V695" s="508"/>
      <c r="W695" s="508"/>
      <c r="X695" s="508"/>
      <c r="Y695" s="508"/>
      <c r="Z695" s="508"/>
      <c r="AA695" s="508"/>
    </row>
    <row r="696">
      <c r="A696" s="508"/>
      <c r="B696" s="508"/>
      <c r="C696" s="508"/>
      <c r="D696" s="508"/>
      <c r="E696" s="967"/>
      <c r="F696" s="508"/>
      <c r="G696" s="508"/>
      <c r="H696" s="967"/>
      <c r="I696" s="508"/>
      <c r="J696" s="508"/>
      <c r="K696" s="508"/>
      <c r="L696" s="508"/>
      <c r="M696" s="508"/>
      <c r="N696" s="508"/>
      <c r="O696" s="508"/>
      <c r="P696" s="508"/>
      <c r="Q696" s="508"/>
      <c r="R696" s="508"/>
      <c r="S696" s="508"/>
      <c r="T696" s="508"/>
      <c r="U696" s="508"/>
      <c r="V696" s="508"/>
      <c r="W696" s="508"/>
      <c r="X696" s="508"/>
      <c r="Y696" s="508"/>
      <c r="Z696" s="508"/>
      <c r="AA696" s="508"/>
    </row>
    <row r="697">
      <c r="A697" s="508"/>
      <c r="B697" s="508"/>
      <c r="C697" s="508"/>
      <c r="D697" s="508"/>
      <c r="E697" s="967"/>
      <c r="F697" s="508"/>
      <c r="G697" s="508"/>
      <c r="H697" s="967"/>
      <c r="I697" s="508"/>
      <c r="J697" s="508"/>
      <c r="K697" s="508"/>
      <c r="L697" s="508"/>
      <c r="M697" s="508"/>
      <c r="N697" s="508"/>
      <c r="O697" s="508"/>
      <c r="P697" s="508"/>
      <c r="Q697" s="508"/>
      <c r="R697" s="508"/>
      <c r="S697" s="508"/>
      <c r="T697" s="508"/>
      <c r="U697" s="508"/>
      <c r="V697" s="508"/>
      <c r="W697" s="508"/>
      <c r="X697" s="508"/>
      <c r="Y697" s="508"/>
      <c r="Z697" s="508"/>
      <c r="AA697" s="508"/>
    </row>
    <row r="698">
      <c r="A698" s="508"/>
      <c r="B698" s="508"/>
      <c r="C698" s="508"/>
      <c r="D698" s="508"/>
      <c r="E698" s="967"/>
      <c r="F698" s="508"/>
      <c r="G698" s="508"/>
      <c r="H698" s="967"/>
      <c r="I698" s="508"/>
      <c r="J698" s="508"/>
      <c r="K698" s="508"/>
      <c r="L698" s="508"/>
      <c r="M698" s="508"/>
      <c r="N698" s="508"/>
      <c r="O698" s="508"/>
      <c r="P698" s="508"/>
      <c r="Q698" s="508"/>
      <c r="R698" s="508"/>
      <c r="S698" s="508"/>
      <c r="T698" s="508"/>
      <c r="U698" s="508"/>
      <c r="V698" s="508"/>
      <c r="W698" s="508"/>
      <c r="X698" s="508"/>
      <c r="Y698" s="508"/>
      <c r="Z698" s="508"/>
      <c r="AA698" s="508"/>
    </row>
    <row r="699">
      <c r="A699" s="508"/>
      <c r="B699" s="508"/>
      <c r="C699" s="508"/>
      <c r="D699" s="508"/>
      <c r="E699" s="967"/>
      <c r="F699" s="508"/>
      <c r="G699" s="508"/>
      <c r="H699" s="967"/>
      <c r="I699" s="508"/>
      <c r="J699" s="508"/>
      <c r="K699" s="508"/>
      <c r="L699" s="508"/>
      <c r="M699" s="508"/>
      <c r="N699" s="508"/>
      <c r="O699" s="508"/>
      <c r="P699" s="508"/>
      <c r="Q699" s="508"/>
      <c r="R699" s="508"/>
      <c r="S699" s="508"/>
      <c r="T699" s="508"/>
      <c r="U699" s="508"/>
      <c r="V699" s="508"/>
      <c r="W699" s="508"/>
      <c r="X699" s="508"/>
      <c r="Y699" s="508"/>
      <c r="Z699" s="508"/>
      <c r="AA699" s="508"/>
    </row>
    <row r="700">
      <c r="A700" s="508"/>
      <c r="B700" s="508"/>
      <c r="C700" s="508"/>
      <c r="D700" s="508"/>
      <c r="E700" s="967"/>
      <c r="F700" s="508"/>
      <c r="G700" s="508"/>
      <c r="H700" s="967"/>
      <c r="I700" s="508"/>
      <c r="J700" s="508"/>
      <c r="K700" s="508"/>
      <c r="L700" s="508"/>
      <c r="M700" s="508"/>
      <c r="N700" s="508"/>
      <c r="O700" s="508"/>
      <c r="P700" s="508"/>
      <c r="Q700" s="508"/>
      <c r="R700" s="508"/>
      <c r="S700" s="508"/>
      <c r="T700" s="508"/>
      <c r="U700" s="508"/>
      <c r="V700" s="508"/>
      <c r="W700" s="508"/>
      <c r="X700" s="508"/>
      <c r="Y700" s="508"/>
      <c r="Z700" s="508"/>
      <c r="AA700" s="508"/>
    </row>
    <row r="701">
      <c r="A701" s="508"/>
      <c r="B701" s="508"/>
      <c r="C701" s="508"/>
      <c r="D701" s="508"/>
      <c r="E701" s="967"/>
      <c r="F701" s="508"/>
      <c r="G701" s="508"/>
      <c r="H701" s="967"/>
      <c r="I701" s="508"/>
      <c r="J701" s="508"/>
      <c r="K701" s="508"/>
      <c r="L701" s="508"/>
      <c r="M701" s="508"/>
      <c r="N701" s="508"/>
      <c r="O701" s="508"/>
      <c r="P701" s="508"/>
      <c r="Q701" s="508"/>
      <c r="R701" s="508"/>
      <c r="S701" s="508"/>
      <c r="T701" s="508"/>
      <c r="U701" s="508"/>
      <c r="V701" s="508"/>
      <c r="W701" s="508"/>
      <c r="X701" s="508"/>
      <c r="Y701" s="508"/>
      <c r="Z701" s="508"/>
      <c r="AA701" s="508"/>
    </row>
    <row r="702">
      <c r="A702" s="508"/>
      <c r="B702" s="508"/>
      <c r="C702" s="508"/>
      <c r="D702" s="508"/>
      <c r="E702" s="967"/>
      <c r="F702" s="508"/>
      <c r="G702" s="508"/>
      <c r="H702" s="967"/>
      <c r="I702" s="508"/>
      <c r="J702" s="508"/>
      <c r="K702" s="508"/>
      <c r="L702" s="508"/>
      <c r="M702" s="508"/>
      <c r="N702" s="508"/>
      <c r="O702" s="508"/>
      <c r="P702" s="508"/>
      <c r="Q702" s="508"/>
      <c r="R702" s="508"/>
      <c r="S702" s="508"/>
      <c r="T702" s="508"/>
      <c r="U702" s="508"/>
      <c r="V702" s="508"/>
      <c r="W702" s="508"/>
      <c r="X702" s="508"/>
      <c r="Y702" s="508"/>
      <c r="Z702" s="508"/>
      <c r="AA702" s="508"/>
    </row>
    <row r="703">
      <c r="A703" s="508"/>
      <c r="B703" s="508"/>
      <c r="C703" s="508"/>
      <c r="D703" s="508"/>
      <c r="E703" s="967"/>
      <c r="F703" s="508"/>
      <c r="G703" s="508"/>
      <c r="H703" s="967"/>
      <c r="I703" s="508"/>
      <c r="J703" s="508"/>
      <c r="K703" s="508"/>
      <c r="L703" s="508"/>
      <c r="M703" s="508"/>
      <c r="N703" s="508"/>
      <c r="O703" s="508"/>
      <c r="P703" s="508"/>
      <c r="Q703" s="508"/>
      <c r="R703" s="508"/>
      <c r="S703" s="508"/>
      <c r="T703" s="508"/>
      <c r="U703" s="508"/>
      <c r="V703" s="508"/>
      <c r="W703" s="508"/>
      <c r="X703" s="508"/>
      <c r="Y703" s="508"/>
      <c r="Z703" s="508"/>
      <c r="AA703" s="508"/>
    </row>
    <row r="704">
      <c r="A704" s="508"/>
      <c r="B704" s="508"/>
      <c r="C704" s="508"/>
      <c r="D704" s="508"/>
      <c r="E704" s="967"/>
      <c r="F704" s="508"/>
      <c r="G704" s="508"/>
      <c r="H704" s="967"/>
      <c r="I704" s="508"/>
      <c r="J704" s="508"/>
      <c r="K704" s="508"/>
      <c r="L704" s="508"/>
      <c r="M704" s="508"/>
      <c r="N704" s="508"/>
      <c r="O704" s="508"/>
      <c r="P704" s="508"/>
      <c r="Q704" s="508"/>
      <c r="R704" s="508"/>
      <c r="S704" s="508"/>
      <c r="T704" s="508"/>
      <c r="U704" s="508"/>
      <c r="V704" s="508"/>
      <c r="W704" s="508"/>
      <c r="X704" s="508"/>
      <c r="Y704" s="508"/>
      <c r="Z704" s="508"/>
      <c r="AA704" s="508"/>
    </row>
    <row r="705">
      <c r="A705" s="508"/>
      <c r="B705" s="508"/>
      <c r="C705" s="508"/>
      <c r="D705" s="508"/>
      <c r="E705" s="967"/>
      <c r="F705" s="508"/>
      <c r="G705" s="508"/>
      <c r="H705" s="967"/>
      <c r="I705" s="508"/>
      <c r="J705" s="508"/>
      <c r="K705" s="508"/>
      <c r="L705" s="508"/>
      <c r="M705" s="508"/>
      <c r="N705" s="508"/>
      <c r="O705" s="508"/>
      <c r="P705" s="508"/>
      <c r="Q705" s="508"/>
      <c r="R705" s="508"/>
      <c r="S705" s="508"/>
      <c r="T705" s="508"/>
      <c r="U705" s="508"/>
      <c r="V705" s="508"/>
      <c r="W705" s="508"/>
      <c r="X705" s="508"/>
      <c r="Y705" s="508"/>
      <c r="Z705" s="508"/>
      <c r="AA705" s="508"/>
    </row>
    <row r="706">
      <c r="A706" s="508"/>
      <c r="B706" s="508"/>
      <c r="C706" s="508"/>
      <c r="D706" s="508"/>
      <c r="E706" s="967"/>
      <c r="F706" s="508"/>
      <c r="G706" s="508"/>
      <c r="H706" s="967"/>
      <c r="I706" s="508"/>
      <c r="J706" s="508"/>
      <c r="K706" s="508"/>
      <c r="L706" s="508"/>
      <c r="M706" s="508"/>
      <c r="N706" s="508"/>
      <c r="O706" s="508"/>
      <c r="P706" s="508"/>
      <c r="Q706" s="508"/>
      <c r="R706" s="508"/>
      <c r="S706" s="508"/>
      <c r="T706" s="508"/>
      <c r="U706" s="508"/>
      <c r="V706" s="508"/>
      <c r="W706" s="508"/>
      <c r="X706" s="508"/>
      <c r="Y706" s="508"/>
      <c r="Z706" s="508"/>
      <c r="AA706" s="508"/>
    </row>
    <row r="707">
      <c r="A707" s="508"/>
      <c r="B707" s="508"/>
      <c r="C707" s="508"/>
      <c r="D707" s="508"/>
      <c r="E707" s="967"/>
      <c r="F707" s="508"/>
      <c r="G707" s="508"/>
      <c r="H707" s="967"/>
      <c r="I707" s="508"/>
      <c r="J707" s="508"/>
      <c r="K707" s="508"/>
      <c r="L707" s="508"/>
      <c r="M707" s="508"/>
      <c r="N707" s="508"/>
      <c r="O707" s="508"/>
      <c r="P707" s="508"/>
      <c r="Q707" s="508"/>
      <c r="R707" s="508"/>
      <c r="S707" s="508"/>
      <c r="T707" s="508"/>
      <c r="U707" s="508"/>
      <c r="V707" s="508"/>
      <c r="W707" s="508"/>
      <c r="X707" s="508"/>
      <c r="Y707" s="508"/>
      <c r="Z707" s="508"/>
      <c r="AA707" s="508"/>
    </row>
    <row r="708">
      <c r="A708" s="508"/>
      <c r="B708" s="508"/>
      <c r="C708" s="508"/>
      <c r="D708" s="508"/>
      <c r="E708" s="967"/>
      <c r="F708" s="508"/>
      <c r="G708" s="508"/>
      <c r="H708" s="967"/>
      <c r="I708" s="508"/>
      <c r="J708" s="508"/>
      <c r="K708" s="508"/>
      <c r="L708" s="508"/>
      <c r="M708" s="508"/>
      <c r="N708" s="508"/>
      <c r="O708" s="508"/>
      <c r="P708" s="508"/>
      <c r="Q708" s="508"/>
      <c r="R708" s="508"/>
      <c r="S708" s="508"/>
      <c r="T708" s="508"/>
      <c r="U708" s="508"/>
      <c r="V708" s="508"/>
      <c r="W708" s="508"/>
      <c r="X708" s="508"/>
      <c r="Y708" s="508"/>
      <c r="Z708" s="508"/>
      <c r="AA708" s="508"/>
    </row>
    <row r="709">
      <c r="A709" s="508"/>
      <c r="B709" s="508"/>
      <c r="C709" s="508"/>
      <c r="D709" s="508"/>
      <c r="E709" s="967"/>
      <c r="F709" s="508"/>
      <c r="G709" s="508"/>
      <c r="H709" s="967"/>
      <c r="I709" s="508"/>
      <c r="J709" s="508"/>
      <c r="K709" s="508"/>
      <c r="L709" s="508"/>
      <c r="M709" s="508"/>
      <c r="N709" s="508"/>
      <c r="O709" s="508"/>
      <c r="P709" s="508"/>
      <c r="Q709" s="508"/>
      <c r="R709" s="508"/>
      <c r="S709" s="508"/>
      <c r="T709" s="508"/>
      <c r="U709" s="508"/>
      <c r="V709" s="508"/>
      <c r="W709" s="508"/>
      <c r="X709" s="508"/>
      <c r="Y709" s="508"/>
      <c r="Z709" s="508"/>
      <c r="AA709" s="508"/>
    </row>
    <row r="710">
      <c r="A710" s="508"/>
      <c r="B710" s="508"/>
      <c r="C710" s="508"/>
      <c r="D710" s="508"/>
      <c r="E710" s="967"/>
      <c r="F710" s="508"/>
      <c r="G710" s="508"/>
      <c r="H710" s="967"/>
      <c r="I710" s="508"/>
      <c r="J710" s="508"/>
      <c r="K710" s="508"/>
      <c r="L710" s="508"/>
      <c r="M710" s="508"/>
      <c r="N710" s="508"/>
      <c r="O710" s="508"/>
      <c r="P710" s="508"/>
      <c r="Q710" s="508"/>
      <c r="R710" s="508"/>
      <c r="S710" s="508"/>
      <c r="T710" s="508"/>
      <c r="U710" s="508"/>
      <c r="V710" s="508"/>
      <c r="W710" s="508"/>
      <c r="X710" s="508"/>
      <c r="Y710" s="508"/>
      <c r="Z710" s="508"/>
      <c r="AA710" s="508"/>
    </row>
    <row r="711">
      <c r="A711" s="508"/>
      <c r="B711" s="508"/>
      <c r="C711" s="508"/>
      <c r="D711" s="508"/>
      <c r="E711" s="967"/>
      <c r="F711" s="508"/>
      <c r="G711" s="508"/>
      <c r="H711" s="967"/>
      <c r="I711" s="508"/>
      <c r="J711" s="508"/>
      <c r="K711" s="508"/>
      <c r="L711" s="508"/>
      <c r="M711" s="508"/>
      <c r="N711" s="508"/>
      <c r="O711" s="508"/>
      <c r="P711" s="508"/>
      <c r="Q711" s="508"/>
      <c r="R711" s="508"/>
      <c r="S711" s="508"/>
      <c r="T711" s="508"/>
      <c r="U711" s="508"/>
      <c r="V711" s="508"/>
      <c r="W711" s="508"/>
      <c r="X711" s="508"/>
      <c r="Y711" s="508"/>
      <c r="Z711" s="508"/>
      <c r="AA711" s="508"/>
    </row>
    <row r="712">
      <c r="A712" s="508"/>
      <c r="B712" s="508"/>
      <c r="C712" s="508"/>
      <c r="D712" s="508"/>
      <c r="E712" s="967"/>
      <c r="F712" s="508"/>
      <c r="G712" s="508"/>
      <c r="H712" s="967"/>
      <c r="I712" s="508"/>
      <c r="J712" s="508"/>
      <c r="K712" s="508"/>
      <c r="L712" s="508"/>
      <c r="M712" s="508"/>
      <c r="N712" s="508"/>
      <c r="O712" s="508"/>
      <c r="P712" s="508"/>
      <c r="Q712" s="508"/>
      <c r="R712" s="508"/>
      <c r="S712" s="508"/>
      <c r="T712" s="508"/>
      <c r="U712" s="508"/>
      <c r="V712" s="508"/>
      <c r="W712" s="508"/>
      <c r="X712" s="508"/>
      <c r="Y712" s="508"/>
      <c r="Z712" s="508"/>
      <c r="AA712" s="508"/>
    </row>
    <row r="713">
      <c r="A713" s="508"/>
      <c r="B713" s="508"/>
      <c r="C713" s="508"/>
      <c r="D713" s="508"/>
      <c r="E713" s="967"/>
      <c r="F713" s="508"/>
      <c r="G713" s="508"/>
      <c r="H713" s="967"/>
      <c r="I713" s="508"/>
      <c r="J713" s="508"/>
      <c r="K713" s="508"/>
      <c r="L713" s="508"/>
      <c r="M713" s="508"/>
      <c r="N713" s="508"/>
      <c r="O713" s="508"/>
      <c r="P713" s="508"/>
      <c r="Q713" s="508"/>
      <c r="R713" s="508"/>
      <c r="S713" s="508"/>
      <c r="T713" s="508"/>
      <c r="U713" s="508"/>
      <c r="V713" s="508"/>
      <c r="W713" s="508"/>
      <c r="X713" s="508"/>
      <c r="Y713" s="508"/>
      <c r="Z713" s="508"/>
      <c r="AA713" s="508"/>
    </row>
    <row r="714">
      <c r="A714" s="508"/>
      <c r="B714" s="508"/>
      <c r="C714" s="508"/>
      <c r="D714" s="508"/>
      <c r="E714" s="967"/>
      <c r="F714" s="508"/>
      <c r="G714" s="508"/>
      <c r="H714" s="967"/>
      <c r="I714" s="508"/>
      <c r="J714" s="508"/>
      <c r="K714" s="508"/>
      <c r="L714" s="508"/>
      <c r="M714" s="508"/>
      <c r="N714" s="508"/>
      <c r="O714" s="508"/>
      <c r="P714" s="508"/>
      <c r="Q714" s="508"/>
      <c r="R714" s="508"/>
      <c r="S714" s="508"/>
      <c r="T714" s="508"/>
      <c r="U714" s="508"/>
      <c r="V714" s="508"/>
      <c r="W714" s="508"/>
      <c r="X714" s="508"/>
      <c r="Y714" s="508"/>
      <c r="Z714" s="508"/>
      <c r="AA714" s="508"/>
    </row>
    <row r="715">
      <c r="A715" s="508"/>
      <c r="B715" s="508"/>
      <c r="C715" s="508"/>
      <c r="D715" s="508"/>
      <c r="E715" s="967"/>
      <c r="F715" s="508"/>
      <c r="G715" s="508"/>
      <c r="H715" s="967"/>
      <c r="I715" s="508"/>
      <c r="J715" s="508"/>
      <c r="K715" s="508"/>
      <c r="L715" s="508"/>
      <c r="M715" s="508"/>
      <c r="N715" s="508"/>
      <c r="O715" s="508"/>
      <c r="P715" s="508"/>
      <c r="Q715" s="508"/>
      <c r="R715" s="508"/>
      <c r="S715" s="508"/>
      <c r="T715" s="508"/>
      <c r="U715" s="508"/>
      <c r="V715" s="508"/>
      <c r="W715" s="508"/>
      <c r="X715" s="508"/>
      <c r="Y715" s="508"/>
      <c r="Z715" s="508"/>
      <c r="AA715" s="508"/>
    </row>
    <row r="716">
      <c r="A716" s="508"/>
      <c r="B716" s="508"/>
      <c r="C716" s="508"/>
      <c r="D716" s="508"/>
      <c r="E716" s="967"/>
      <c r="F716" s="508"/>
      <c r="G716" s="508"/>
      <c r="H716" s="967"/>
      <c r="I716" s="508"/>
      <c r="J716" s="508"/>
      <c r="K716" s="508"/>
      <c r="L716" s="508"/>
      <c r="M716" s="508"/>
      <c r="N716" s="508"/>
      <c r="O716" s="508"/>
      <c r="P716" s="508"/>
      <c r="Q716" s="508"/>
      <c r="R716" s="508"/>
      <c r="S716" s="508"/>
      <c r="T716" s="508"/>
      <c r="U716" s="508"/>
      <c r="V716" s="508"/>
      <c r="W716" s="508"/>
      <c r="X716" s="508"/>
      <c r="Y716" s="508"/>
      <c r="Z716" s="508"/>
      <c r="AA716" s="508"/>
    </row>
    <row r="717">
      <c r="A717" s="508"/>
      <c r="B717" s="508"/>
      <c r="C717" s="508"/>
      <c r="D717" s="508"/>
      <c r="E717" s="967"/>
      <c r="F717" s="508"/>
      <c r="G717" s="508"/>
      <c r="H717" s="967"/>
      <c r="I717" s="508"/>
      <c r="J717" s="508"/>
      <c r="K717" s="508"/>
      <c r="L717" s="508"/>
      <c r="M717" s="508"/>
      <c r="N717" s="508"/>
      <c r="O717" s="508"/>
      <c r="P717" s="508"/>
      <c r="Q717" s="508"/>
      <c r="R717" s="508"/>
      <c r="S717" s="508"/>
      <c r="T717" s="508"/>
      <c r="U717" s="508"/>
      <c r="V717" s="508"/>
      <c r="W717" s="508"/>
      <c r="X717" s="508"/>
      <c r="Y717" s="508"/>
      <c r="Z717" s="508"/>
      <c r="AA717" s="508"/>
    </row>
    <row r="718">
      <c r="A718" s="508"/>
      <c r="B718" s="508"/>
      <c r="C718" s="508"/>
      <c r="D718" s="508"/>
      <c r="E718" s="967"/>
      <c r="F718" s="508"/>
      <c r="G718" s="508"/>
      <c r="H718" s="967"/>
      <c r="I718" s="508"/>
      <c r="J718" s="508"/>
      <c r="K718" s="508"/>
      <c r="L718" s="508"/>
      <c r="M718" s="508"/>
      <c r="N718" s="508"/>
      <c r="O718" s="508"/>
      <c r="P718" s="508"/>
      <c r="Q718" s="508"/>
      <c r="R718" s="508"/>
      <c r="S718" s="508"/>
      <c r="T718" s="508"/>
      <c r="U718" s="508"/>
      <c r="V718" s="508"/>
      <c r="W718" s="508"/>
      <c r="X718" s="508"/>
      <c r="Y718" s="508"/>
      <c r="Z718" s="508"/>
      <c r="AA718" s="508"/>
    </row>
    <row r="719">
      <c r="A719" s="508"/>
      <c r="B719" s="508"/>
      <c r="C719" s="508"/>
      <c r="D719" s="508"/>
      <c r="E719" s="967"/>
      <c r="F719" s="508"/>
      <c r="G719" s="508"/>
      <c r="H719" s="967"/>
      <c r="I719" s="508"/>
      <c r="J719" s="508"/>
      <c r="K719" s="508"/>
      <c r="L719" s="508"/>
      <c r="M719" s="508"/>
      <c r="N719" s="508"/>
      <c r="O719" s="508"/>
      <c r="P719" s="508"/>
      <c r="Q719" s="508"/>
      <c r="R719" s="508"/>
      <c r="S719" s="508"/>
      <c r="T719" s="508"/>
      <c r="U719" s="508"/>
      <c r="V719" s="508"/>
      <c r="W719" s="508"/>
      <c r="X719" s="508"/>
      <c r="Y719" s="508"/>
      <c r="Z719" s="508"/>
      <c r="AA719" s="508"/>
    </row>
    <row r="720">
      <c r="A720" s="508"/>
      <c r="B720" s="508"/>
      <c r="C720" s="508"/>
      <c r="D720" s="508"/>
      <c r="E720" s="967"/>
      <c r="F720" s="508"/>
      <c r="G720" s="508"/>
      <c r="H720" s="967"/>
      <c r="I720" s="508"/>
      <c r="J720" s="508"/>
      <c r="K720" s="508"/>
      <c r="L720" s="508"/>
      <c r="M720" s="508"/>
      <c r="N720" s="508"/>
      <c r="O720" s="508"/>
      <c r="P720" s="508"/>
      <c r="Q720" s="508"/>
      <c r="R720" s="508"/>
      <c r="S720" s="508"/>
      <c r="T720" s="508"/>
      <c r="U720" s="508"/>
      <c r="V720" s="508"/>
      <c r="W720" s="508"/>
      <c r="X720" s="508"/>
      <c r="Y720" s="508"/>
      <c r="Z720" s="508"/>
      <c r="AA720" s="508"/>
    </row>
    <row r="721">
      <c r="A721" s="508"/>
      <c r="B721" s="508"/>
      <c r="C721" s="508"/>
      <c r="D721" s="508"/>
      <c r="E721" s="967"/>
      <c r="F721" s="508"/>
      <c r="G721" s="508"/>
      <c r="H721" s="967"/>
      <c r="I721" s="508"/>
      <c r="J721" s="508"/>
      <c r="K721" s="508"/>
      <c r="L721" s="508"/>
      <c r="M721" s="508"/>
      <c r="N721" s="508"/>
      <c r="O721" s="508"/>
      <c r="P721" s="508"/>
      <c r="Q721" s="508"/>
      <c r="R721" s="508"/>
      <c r="S721" s="508"/>
      <c r="T721" s="508"/>
      <c r="U721" s="508"/>
      <c r="V721" s="508"/>
      <c r="W721" s="508"/>
      <c r="X721" s="508"/>
      <c r="Y721" s="508"/>
      <c r="Z721" s="508"/>
      <c r="AA721" s="508"/>
    </row>
    <row r="722">
      <c r="A722" s="508"/>
      <c r="B722" s="508"/>
      <c r="C722" s="508"/>
      <c r="D722" s="508"/>
      <c r="E722" s="967"/>
      <c r="F722" s="508"/>
      <c r="G722" s="508"/>
      <c r="H722" s="967"/>
      <c r="I722" s="508"/>
      <c r="J722" s="508"/>
      <c r="K722" s="508"/>
      <c r="L722" s="508"/>
      <c r="M722" s="508"/>
      <c r="N722" s="508"/>
      <c r="O722" s="508"/>
      <c r="P722" s="508"/>
      <c r="Q722" s="508"/>
      <c r="R722" s="508"/>
      <c r="S722" s="508"/>
      <c r="T722" s="508"/>
      <c r="U722" s="508"/>
      <c r="V722" s="508"/>
      <c r="W722" s="508"/>
      <c r="X722" s="508"/>
      <c r="Y722" s="508"/>
      <c r="Z722" s="508"/>
      <c r="AA722" s="508"/>
    </row>
    <row r="723">
      <c r="A723" s="508"/>
      <c r="B723" s="508"/>
      <c r="C723" s="508"/>
      <c r="D723" s="508"/>
      <c r="E723" s="967"/>
      <c r="F723" s="508"/>
      <c r="G723" s="508"/>
      <c r="H723" s="967"/>
      <c r="I723" s="508"/>
      <c r="J723" s="508"/>
      <c r="K723" s="508"/>
      <c r="L723" s="508"/>
      <c r="M723" s="508"/>
      <c r="N723" s="508"/>
      <c r="O723" s="508"/>
      <c r="P723" s="508"/>
      <c r="Q723" s="508"/>
      <c r="R723" s="508"/>
      <c r="S723" s="508"/>
      <c r="T723" s="508"/>
      <c r="U723" s="508"/>
      <c r="V723" s="508"/>
      <c r="W723" s="508"/>
      <c r="X723" s="508"/>
      <c r="Y723" s="508"/>
      <c r="Z723" s="508"/>
      <c r="AA723" s="508"/>
    </row>
    <row r="724">
      <c r="A724" s="508"/>
      <c r="B724" s="508"/>
      <c r="C724" s="508"/>
      <c r="D724" s="508"/>
      <c r="E724" s="967"/>
      <c r="F724" s="508"/>
      <c r="G724" s="508"/>
      <c r="H724" s="967"/>
      <c r="I724" s="508"/>
      <c r="J724" s="508"/>
      <c r="K724" s="508"/>
      <c r="L724" s="508"/>
      <c r="M724" s="508"/>
      <c r="N724" s="508"/>
      <c r="O724" s="508"/>
      <c r="P724" s="508"/>
      <c r="Q724" s="508"/>
      <c r="R724" s="508"/>
      <c r="S724" s="508"/>
      <c r="T724" s="508"/>
      <c r="U724" s="508"/>
      <c r="V724" s="508"/>
      <c r="W724" s="508"/>
      <c r="X724" s="508"/>
      <c r="Y724" s="508"/>
      <c r="Z724" s="508"/>
      <c r="AA724" s="508"/>
    </row>
    <row r="725">
      <c r="A725" s="508"/>
      <c r="B725" s="508"/>
      <c r="C725" s="508"/>
      <c r="D725" s="508"/>
      <c r="E725" s="967"/>
      <c r="F725" s="508"/>
      <c r="G725" s="508"/>
      <c r="H725" s="967"/>
      <c r="I725" s="508"/>
      <c r="J725" s="508"/>
      <c r="K725" s="508"/>
      <c r="L725" s="508"/>
      <c r="M725" s="508"/>
      <c r="N725" s="508"/>
      <c r="O725" s="508"/>
      <c r="P725" s="508"/>
      <c r="Q725" s="508"/>
      <c r="R725" s="508"/>
      <c r="S725" s="508"/>
      <c r="T725" s="508"/>
      <c r="U725" s="508"/>
      <c r="V725" s="508"/>
      <c r="W725" s="508"/>
      <c r="X725" s="508"/>
      <c r="Y725" s="508"/>
      <c r="Z725" s="508"/>
      <c r="AA725" s="508"/>
    </row>
    <row r="726">
      <c r="A726" s="508"/>
      <c r="B726" s="508"/>
      <c r="C726" s="508"/>
      <c r="D726" s="508"/>
      <c r="E726" s="967"/>
      <c r="F726" s="508"/>
      <c r="G726" s="508"/>
      <c r="H726" s="967"/>
      <c r="I726" s="508"/>
      <c r="J726" s="508"/>
      <c r="K726" s="508"/>
      <c r="L726" s="508"/>
      <c r="M726" s="508"/>
      <c r="N726" s="508"/>
      <c r="O726" s="508"/>
      <c r="P726" s="508"/>
      <c r="Q726" s="508"/>
      <c r="R726" s="508"/>
      <c r="S726" s="508"/>
      <c r="T726" s="508"/>
      <c r="U726" s="508"/>
      <c r="V726" s="508"/>
      <c r="W726" s="508"/>
      <c r="X726" s="508"/>
      <c r="Y726" s="508"/>
      <c r="Z726" s="508"/>
      <c r="AA726" s="508"/>
    </row>
    <row r="727">
      <c r="A727" s="508"/>
      <c r="B727" s="508"/>
      <c r="C727" s="508"/>
      <c r="D727" s="508"/>
      <c r="E727" s="967"/>
      <c r="F727" s="508"/>
      <c r="G727" s="508"/>
      <c r="H727" s="967"/>
      <c r="I727" s="508"/>
      <c r="J727" s="508"/>
      <c r="K727" s="508"/>
      <c r="L727" s="508"/>
      <c r="M727" s="508"/>
      <c r="N727" s="508"/>
      <c r="O727" s="508"/>
      <c r="P727" s="508"/>
      <c r="Q727" s="508"/>
      <c r="R727" s="508"/>
      <c r="S727" s="508"/>
      <c r="T727" s="508"/>
      <c r="U727" s="508"/>
      <c r="V727" s="508"/>
      <c r="W727" s="508"/>
      <c r="X727" s="508"/>
      <c r="Y727" s="508"/>
      <c r="Z727" s="508"/>
      <c r="AA727" s="508"/>
    </row>
    <row r="728">
      <c r="A728" s="508"/>
      <c r="B728" s="508"/>
      <c r="C728" s="508"/>
      <c r="D728" s="508"/>
      <c r="E728" s="967"/>
      <c r="F728" s="508"/>
      <c r="G728" s="508"/>
      <c r="H728" s="967"/>
      <c r="I728" s="508"/>
      <c r="J728" s="508"/>
      <c r="K728" s="508"/>
      <c r="L728" s="508"/>
      <c r="M728" s="508"/>
      <c r="N728" s="508"/>
      <c r="O728" s="508"/>
      <c r="P728" s="508"/>
      <c r="Q728" s="508"/>
      <c r="R728" s="508"/>
      <c r="S728" s="508"/>
      <c r="T728" s="508"/>
      <c r="U728" s="508"/>
      <c r="V728" s="508"/>
      <c r="W728" s="508"/>
      <c r="X728" s="508"/>
      <c r="Y728" s="508"/>
      <c r="Z728" s="508"/>
      <c r="AA728" s="508"/>
    </row>
    <row r="729">
      <c r="A729" s="508"/>
      <c r="B729" s="508"/>
      <c r="C729" s="508"/>
      <c r="D729" s="508"/>
      <c r="E729" s="967"/>
      <c r="F729" s="508"/>
      <c r="G729" s="508"/>
      <c r="H729" s="967"/>
      <c r="I729" s="508"/>
      <c r="J729" s="508"/>
      <c r="K729" s="508"/>
      <c r="L729" s="508"/>
      <c r="M729" s="508"/>
      <c r="N729" s="508"/>
      <c r="O729" s="508"/>
      <c r="P729" s="508"/>
      <c r="Q729" s="508"/>
      <c r="R729" s="508"/>
      <c r="S729" s="508"/>
      <c r="T729" s="508"/>
      <c r="U729" s="508"/>
      <c r="V729" s="508"/>
      <c r="W729" s="508"/>
      <c r="X729" s="508"/>
      <c r="Y729" s="508"/>
      <c r="Z729" s="508"/>
      <c r="AA729" s="508"/>
    </row>
    <row r="730">
      <c r="A730" s="508"/>
      <c r="B730" s="508"/>
      <c r="C730" s="508"/>
      <c r="D730" s="508"/>
      <c r="E730" s="967"/>
      <c r="F730" s="508"/>
      <c r="G730" s="508"/>
      <c r="H730" s="967"/>
      <c r="I730" s="508"/>
      <c r="J730" s="508"/>
      <c r="K730" s="508"/>
      <c r="L730" s="508"/>
      <c r="M730" s="508"/>
      <c r="N730" s="508"/>
      <c r="O730" s="508"/>
      <c r="P730" s="508"/>
      <c r="Q730" s="508"/>
      <c r="R730" s="508"/>
      <c r="S730" s="508"/>
      <c r="T730" s="508"/>
      <c r="U730" s="508"/>
      <c r="V730" s="508"/>
      <c r="W730" s="508"/>
      <c r="X730" s="508"/>
      <c r="Y730" s="508"/>
      <c r="Z730" s="508"/>
      <c r="AA730" s="508"/>
    </row>
    <row r="731">
      <c r="A731" s="508"/>
      <c r="B731" s="508"/>
      <c r="C731" s="508"/>
      <c r="D731" s="508"/>
      <c r="E731" s="967"/>
      <c r="F731" s="508"/>
      <c r="G731" s="508"/>
      <c r="H731" s="967"/>
      <c r="I731" s="508"/>
      <c r="J731" s="508"/>
      <c r="K731" s="508"/>
      <c r="L731" s="508"/>
      <c r="M731" s="508"/>
      <c r="N731" s="508"/>
      <c r="O731" s="508"/>
      <c r="P731" s="508"/>
      <c r="Q731" s="508"/>
      <c r="R731" s="508"/>
      <c r="S731" s="508"/>
      <c r="T731" s="508"/>
      <c r="U731" s="508"/>
      <c r="V731" s="508"/>
      <c r="W731" s="508"/>
      <c r="X731" s="508"/>
      <c r="Y731" s="508"/>
      <c r="Z731" s="508"/>
      <c r="AA731" s="508"/>
    </row>
    <row r="732">
      <c r="A732" s="508"/>
      <c r="B732" s="508"/>
      <c r="C732" s="508"/>
      <c r="D732" s="508"/>
      <c r="E732" s="967"/>
      <c r="F732" s="508"/>
      <c r="G732" s="508"/>
      <c r="H732" s="967"/>
      <c r="I732" s="508"/>
      <c r="J732" s="508"/>
      <c r="K732" s="508"/>
      <c r="L732" s="508"/>
      <c r="M732" s="508"/>
      <c r="N732" s="508"/>
      <c r="O732" s="508"/>
      <c r="P732" s="508"/>
      <c r="Q732" s="508"/>
      <c r="R732" s="508"/>
      <c r="S732" s="508"/>
      <c r="T732" s="508"/>
      <c r="U732" s="508"/>
      <c r="V732" s="508"/>
      <c r="W732" s="508"/>
      <c r="X732" s="508"/>
      <c r="Y732" s="508"/>
      <c r="Z732" s="508"/>
      <c r="AA732" s="508"/>
    </row>
    <row r="733">
      <c r="A733" s="508"/>
      <c r="B733" s="508"/>
      <c r="C733" s="508"/>
      <c r="D733" s="508"/>
      <c r="E733" s="967"/>
      <c r="F733" s="508"/>
      <c r="G733" s="508"/>
      <c r="H733" s="967"/>
      <c r="I733" s="508"/>
      <c r="J733" s="508"/>
      <c r="K733" s="508"/>
      <c r="L733" s="508"/>
      <c r="M733" s="508"/>
      <c r="N733" s="508"/>
      <c r="O733" s="508"/>
      <c r="P733" s="508"/>
      <c r="Q733" s="508"/>
      <c r="R733" s="508"/>
      <c r="S733" s="508"/>
      <c r="T733" s="508"/>
      <c r="U733" s="508"/>
      <c r="V733" s="508"/>
      <c r="W733" s="508"/>
      <c r="X733" s="508"/>
      <c r="Y733" s="508"/>
      <c r="Z733" s="508"/>
      <c r="AA733" s="508"/>
    </row>
    <row r="734">
      <c r="A734" s="508"/>
      <c r="B734" s="508"/>
      <c r="C734" s="508"/>
      <c r="D734" s="508"/>
      <c r="E734" s="967"/>
      <c r="F734" s="508"/>
      <c r="G734" s="508"/>
      <c r="H734" s="967"/>
      <c r="I734" s="508"/>
      <c r="J734" s="508"/>
      <c r="K734" s="508"/>
      <c r="L734" s="508"/>
      <c r="M734" s="508"/>
      <c r="N734" s="508"/>
      <c r="O734" s="508"/>
      <c r="P734" s="508"/>
      <c r="Q734" s="508"/>
      <c r="R734" s="508"/>
      <c r="S734" s="508"/>
      <c r="T734" s="508"/>
      <c r="U734" s="508"/>
      <c r="V734" s="508"/>
      <c r="W734" s="508"/>
      <c r="X734" s="508"/>
      <c r="Y734" s="508"/>
      <c r="Z734" s="508"/>
      <c r="AA734" s="508"/>
    </row>
    <row r="735">
      <c r="A735" s="508"/>
      <c r="B735" s="508"/>
      <c r="C735" s="508"/>
      <c r="D735" s="508"/>
      <c r="E735" s="967"/>
      <c r="F735" s="508"/>
      <c r="G735" s="508"/>
      <c r="H735" s="967"/>
      <c r="I735" s="508"/>
      <c r="J735" s="508"/>
      <c r="K735" s="508"/>
      <c r="L735" s="508"/>
      <c r="M735" s="508"/>
      <c r="N735" s="508"/>
      <c r="O735" s="508"/>
      <c r="P735" s="508"/>
      <c r="Q735" s="508"/>
      <c r="R735" s="508"/>
      <c r="S735" s="508"/>
      <c r="T735" s="508"/>
      <c r="U735" s="508"/>
      <c r="V735" s="508"/>
      <c r="W735" s="508"/>
      <c r="X735" s="508"/>
      <c r="Y735" s="508"/>
      <c r="Z735" s="508"/>
      <c r="AA735" s="508"/>
    </row>
    <row r="736">
      <c r="A736" s="508"/>
      <c r="B736" s="508"/>
      <c r="C736" s="508"/>
      <c r="D736" s="508"/>
      <c r="E736" s="967"/>
      <c r="F736" s="508"/>
      <c r="G736" s="508"/>
      <c r="H736" s="967"/>
      <c r="I736" s="508"/>
      <c r="J736" s="508"/>
      <c r="K736" s="508"/>
      <c r="L736" s="508"/>
      <c r="M736" s="508"/>
      <c r="N736" s="508"/>
      <c r="O736" s="508"/>
      <c r="P736" s="508"/>
      <c r="Q736" s="508"/>
      <c r="R736" s="508"/>
      <c r="S736" s="508"/>
      <c r="T736" s="508"/>
      <c r="U736" s="508"/>
      <c r="V736" s="508"/>
      <c r="W736" s="508"/>
      <c r="X736" s="508"/>
      <c r="Y736" s="508"/>
      <c r="Z736" s="508"/>
      <c r="AA736" s="508"/>
    </row>
    <row r="737">
      <c r="A737" s="508"/>
      <c r="B737" s="508"/>
      <c r="C737" s="508"/>
      <c r="D737" s="508"/>
      <c r="E737" s="967"/>
      <c r="F737" s="508"/>
      <c r="G737" s="508"/>
      <c r="H737" s="967"/>
      <c r="I737" s="508"/>
      <c r="J737" s="508"/>
      <c r="K737" s="508"/>
      <c r="L737" s="508"/>
      <c r="M737" s="508"/>
      <c r="N737" s="508"/>
      <c r="O737" s="508"/>
      <c r="P737" s="508"/>
      <c r="Q737" s="508"/>
      <c r="R737" s="508"/>
      <c r="S737" s="508"/>
      <c r="T737" s="508"/>
      <c r="U737" s="508"/>
      <c r="V737" s="508"/>
      <c r="W737" s="508"/>
      <c r="X737" s="508"/>
      <c r="Y737" s="508"/>
      <c r="Z737" s="508"/>
      <c r="AA737" s="508"/>
    </row>
    <row r="738">
      <c r="A738" s="508"/>
      <c r="B738" s="508"/>
      <c r="C738" s="508"/>
      <c r="D738" s="508"/>
      <c r="E738" s="967"/>
      <c r="F738" s="508"/>
      <c r="G738" s="508"/>
      <c r="H738" s="967"/>
      <c r="I738" s="508"/>
      <c r="J738" s="508"/>
      <c r="K738" s="508"/>
      <c r="L738" s="508"/>
      <c r="M738" s="508"/>
      <c r="N738" s="508"/>
      <c r="O738" s="508"/>
      <c r="P738" s="508"/>
      <c r="Q738" s="508"/>
      <c r="R738" s="508"/>
      <c r="S738" s="508"/>
      <c r="T738" s="508"/>
      <c r="U738" s="508"/>
      <c r="V738" s="508"/>
      <c r="W738" s="508"/>
      <c r="X738" s="508"/>
      <c r="Y738" s="508"/>
      <c r="Z738" s="508"/>
      <c r="AA738" s="508"/>
    </row>
    <row r="739">
      <c r="A739" s="508"/>
      <c r="B739" s="508"/>
      <c r="C739" s="508"/>
      <c r="D739" s="508"/>
      <c r="E739" s="967"/>
      <c r="F739" s="508"/>
      <c r="G739" s="508"/>
      <c r="H739" s="967"/>
      <c r="I739" s="508"/>
      <c r="J739" s="508"/>
      <c r="K739" s="508"/>
      <c r="L739" s="508"/>
      <c r="M739" s="508"/>
      <c r="N739" s="508"/>
      <c r="O739" s="508"/>
      <c r="P739" s="508"/>
      <c r="Q739" s="508"/>
      <c r="R739" s="508"/>
      <c r="S739" s="508"/>
      <c r="T739" s="508"/>
      <c r="U739" s="508"/>
      <c r="V739" s="508"/>
      <c r="W739" s="508"/>
      <c r="X739" s="508"/>
      <c r="Y739" s="508"/>
      <c r="Z739" s="508"/>
      <c r="AA739" s="508"/>
    </row>
    <row r="740">
      <c r="A740" s="508"/>
      <c r="B740" s="508"/>
      <c r="C740" s="508"/>
      <c r="D740" s="508"/>
      <c r="E740" s="967"/>
      <c r="F740" s="508"/>
      <c r="G740" s="508"/>
      <c r="H740" s="967"/>
      <c r="I740" s="508"/>
      <c r="J740" s="508"/>
      <c r="K740" s="508"/>
      <c r="L740" s="508"/>
      <c r="M740" s="508"/>
      <c r="N740" s="508"/>
      <c r="O740" s="508"/>
      <c r="P740" s="508"/>
      <c r="Q740" s="508"/>
      <c r="R740" s="508"/>
      <c r="S740" s="508"/>
      <c r="T740" s="508"/>
      <c r="U740" s="508"/>
      <c r="V740" s="508"/>
      <c r="W740" s="508"/>
      <c r="X740" s="508"/>
      <c r="Y740" s="508"/>
      <c r="Z740" s="508"/>
      <c r="AA740" s="508"/>
    </row>
    <row r="741">
      <c r="A741" s="508"/>
      <c r="B741" s="508"/>
      <c r="C741" s="508"/>
      <c r="D741" s="508"/>
      <c r="E741" s="967"/>
      <c r="F741" s="508"/>
      <c r="G741" s="508"/>
      <c r="H741" s="967"/>
      <c r="I741" s="508"/>
      <c r="J741" s="508"/>
      <c r="K741" s="508"/>
      <c r="L741" s="508"/>
      <c r="M741" s="508"/>
      <c r="N741" s="508"/>
      <c r="O741" s="508"/>
      <c r="P741" s="508"/>
      <c r="Q741" s="508"/>
      <c r="R741" s="508"/>
      <c r="S741" s="508"/>
      <c r="T741" s="508"/>
      <c r="U741" s="508"/>
      <c r="V741" s="508"/>
      <c r="W741" s="508"/>
      <c r="X741" s="508"/>
      <c r="Y741" s="508"/>
      <c r="Z741" s="508"/>
      <c r="AA741" s="508"/>
    </row>
    <row r="742">
      <c r="A742" s="508"/>
      <c r="B742" s="508"/>
      <c r="C742" s="508"/>
      <c r="D742" s="508"/>
      <c r="E742" s="967"/>
      <c r="F742" s="508"/>
      <c r="G742" s="508"/>
      <c r="H742" s="967"/>
      <c r="I742" s="508"/>
      <c r="J742" s="508"/>
      <c r="K742" s="508"/>
      <c r="L742" s="508"/>
      <c r="M742" s="508"/>
      <c r="N742" s="508"/>
      <c r="O742" s="508"/>
      <c r="P742" s="508"/>
      <c r="Q742" s="508"/>
      <c r="R742" s="508"/>
      <c r="S742" s="508"/>
      <c r="T742" s="508"/>
      <c r="U742" s="508"/>
      <c r="V742" s="508"/>
      <c r="W742" s="508"/>
      <c r="X742" s="508"/>
      <c r="Y742" s="508"/>
      <c r="Z742" s="508"/>
      <c r="AA742" s="508"/>
    </row>
    <row r="743">
      <c r="A743" s="508"/>
      <c r="B743" s="508"/>
      <c r="C743" s="508"/>
      <c r="D743" s="508"/>
      <c r="E743" s="967"/>
      <c r="F743" s="508"/>
      <c r="G743" s="508"/>
      <c r="H743" s="967"/>
      <c r="I743" s="508"/>
      <c r="J743" s="508"/>
      <c r="K743" s="508"/>
      <c r="L743" s="508"/>
      <c r="M743" s="508"/>
      <c r="N743" s="508"/>
      <c r="O743" s="508"/>
      <c r="P743" s="508"/>
      <c r="Q743" s="508"/>
      <c r="R743" s="508"/>
      <c r="S743" s="508"/>
      <c r="T743" s="508"/>
      <c r="U743" s="508"/>
      <c r="V743" s="508"/>
      <c r="W743" s="508"/>
      <c r="X743" s="508"/>
      <c r="Y743" s="508"/>
      <c r="Z743" s="508"/>
      <c r="AA743" s="508"/>
    </row>
    <row r="744">
      <c r="A744" s="508"/>
      <c r="B744" s="508"/>
      <c r="C744" s="508"/>
      <c r="D744" s="508"/>
      <c r="E744" s="967"/>
      <c r="F744" s="508"/>
      <c r="G744" s="508"/>
      <c r="H744" s="967"/>
      <c r="I744" s="508"/>
      <c r="J744" s="508"/>
      <c r="K744" s="508"/>
      <c r="L744" s="508"/>
      <c r="M744" s="508"/>
      <c r="N744" s="508"/>
      <c r="O744" s="508"/>
      <c r="P744" s="508"/>
      <c r="Q744" s="508"/>
      <c r="R744" s="508"/>
      <c r="S744" s="508"/>
      <c r="T744" s="508"/>
      <c r="U744" s="508"/>
      <c r="V744" s="508"/>
      <c r="W744" s="508"/>
      <c r="X744" s="508"/>
      <c r="Y744" s="508"/>
      <c r="Z744" s="508"/>
      <c r="AA744" s="508"/>
    </row>
    <row r="745">
      <c r="A745" s="508"/>
      <c r="B745" s="508"/>
      <c r="C745" s="508"/>
      <c r="D745" s="508"/>
      <c r="E745" s="967"/>
      <c r="F745" s="508"/>
      <c r="G745" s="508"/>
      <c r="H745" s="967"/>
      <c r="I745" s="508"/>
      <c r="J745" s="508"/>
      <c r="K745" s="508"/>
      <c r="L745" s="508"/>
      <c r="M745" s="508"/>
      <c r="N745" s="508"/>
      <c r="O745" s="508"/>
      <c r="P745" s="508"/>
      <c r="Q745" s="508"/>
      <c r="R745" s="508"/>
      <c r="S745" s="508"/>
      <c r="T745" s="508"/>
      <c r="U745" s="508"/>
      <c r="V745" s="508"/>
      <c r="W745" s="508"/>
      <c r="X745" s="508"/>
      <c r="Y745" s="508"/>
      <c r="Z745" s="508"/>
      <c r="AA745" s="508"/>
    </row>
    <row r="746">
      <c r="A746" s="508"/>
      <c r="B746" s="508"/>
      <c r="C746" s="508"/>
      <c r="D746" s="508"/>
      <c r="E746" s="967"/>
      <c r="F746" s="508"/>
      <c r="G746" s="508"/>
      <c r="H746" s="967"/>
      <c r="I746" s="508"/>
      <c r="J746" s="508"/>
      <c r="K746" s="508"/>
      <c r="L746" s="508"/>
      <c r="M746" s="508"/>
      <c r="N746" s="508"/>
      <c r="O746" s="508"/>
      <c r="P746" s="508"/>
      <c r="Q746" s="508"/>
      <c r="R746" s="508"/>
      <c r="S746" s="508"/>
      <c r="T746" s="508"/>
      <c r="U746" s="508"/>
      <c r="V746" s="508"/>
      <c r="W746" s="508"/>
      <c r="X746" s="508"/>
      <c r="Y746" s="508"/>
      <c r="Z746" s="508"/>
      <c r="AA746" s="508"/>
    </row>
    <row r="747">
      <c r="A747" s="508"/>
      <c r="B747" s="508"/>
      <c r="C747" s="508"/>
      <c r="D747" s="508"/>
      <c r="E747" s="967"/>
      <c r="F747" s="508"/>
      <c r="G747" s="508"/>
      <c r="H747" s="967"/>
      <c r="I747" s="508"/>
      <c r="J747" s="508"/>
      <c r="K747" s="508"/>
      <c r="L747" s="508"/>
      <c r="M747" s="508"/>
      <c r="N747" s="508"/>
      <c r="O747" s="508"/>
      <c r="P747" s="508"/>
      <c r="Q747" s="508"/>
      <c r="R747" s="508"/>
      <c r="S747" s="508"/>
      <c r="T747" s="508"/>
      <c r="U747" s="508"/>
      <c r="V747" s="508"/>
      <c r="W747" s="508"/>
      <c r="X747" s="508"/>
      <c r="Y747" s="508"/>
      <c r="Z747" s="508"/>
      <c r="AA747" s="508"/>
    </row>
    <row r="748">
      <c r="A748" s="508"/>
      <c r="B748" s="508"/>
      <c r="C748" s="508"/>
      <c r="D748" s="508"/>
      <c r="E748" s="967"/>
      <c r="F748" s="508"/>
      <c r="G748" s="508"/>
      <c r="H748" s="967"/>
      <c r="I748" s="508"/>
      <c r="J748" s="508"/>
      <c r="K748" s="508"/>
      <c r="L748" s="508"/>
      <c r="M748" s="508"/>
      <c r="N748" s="508"/>
      <c r="O748" s="508"/>
      <c r="P748" s="508"/>
      <c r="Q748" s="508"/>
      <c r="R748" s="508"/>
      <c r="S748" s="508"/>
      <c r="T748" s="508"/>
      <c r="U748" s="508"/>
      <c r="V748" s="508"/>
      <c r="W748" s="508"/>
      <c r="X748" s="508"/>
      <c r="Y748" s="508"/>
      <c r="Z748" s="508"/>
      <c r="AA748" s="508"/>
    </row>
    <row r="749">
      <c r="A749" s="508"/>
      <c r="B749" s="508"/>
      <c r="C749" s="508"/>
      <c r="D749" s="508"/>
      <c r="E749" s="967"/>
      <c r="F749" s="508"/>
      <c r="G749" s="508"/>
      <c r="H749" s="967"/>
      <c r="I749" s="508"/>
      <c r="J749" s="508"/>
      <c r="K749" s="508"/>
      <c r="L749" s="508"/>
      <c r="M749" s="508"/>
      <c r="N749" s="508"/>
      <c r="O749" s="508"/>
      <c r="P749" s="508"/>
      <c r="Q749" s="508"/>
      <c r="R749" s="508"/>
      <c r="S749" s="508"/>
      <c r="T749" s="508"/>
      <c r="U749" s="508"/>
      <c r="V749" s="508"/>
      <c r="W749" s="508"/>
      <c r="X749" s="508"/>
      <c r="Y749" s="508"/>
      <c r="Z749" s="508"/>
      <c r="AA749" s="508"/>
    </row>
    <row r="750">
      <c r="A750" s="508"/>
      <c r="B750" s="508"/>
      <c r="C750" s="508"/>
      <c r="D750" s="508"/>
      <c r="E750" s="967"/>
      <c r="F750" s="508"/>
      <c r="G750" s="508"/>
      <c r="H750" s="967"/>
      <c r="I750" s="508"/>
      <c r="J750" s="508"/>
      <c r="K750" s="508"/>
      <c r="L750" s="508"/>
      <c r="M750" s="508"/>
      <c r="N750" s="508"/>
      <c r="O750" s="508"/>
      <c r="P750" s="508"/>
      <c r="Q750" s="508"/>
      <c r="R750" s="508"/>
      <c r="S750" s="508"/>
      <c r="T750" s="508"/>
      <c r="U750" s="508"/>
      <c r="V750" s="508"/>
      <c r="W750" s="508"/>
      <c r="X750" s="508"/>
      <c r="Y750" s="508"/>
      <c r="Z750" s="508"/>
      <c r="AA750" s="508"/>
    </row>
    <row r="751">
      <c r="A751" s="508"/>
      <c r="B751" s="508"/>
      <c r="C751" s="508"/>
      <c r="D751" s="508"/>
      <c r="E751" s="967"/>
      <c r="F751" s="508"/>
      <c r="G751" s="508"/>
      <c r="H751" s="967"/>
      <c r="I751" s="508"/>
      <c r="J751" s="508"/>
      <c r="K751" s="508"/>
      <c r="L751" s="508"/>
      <c r="M751" s="508"/>
      <c r="N751" s="508"/>
      <c r="O751" s="508"/>
      <c r="P751" s="508"/>
      <c r="Q751" s="508"/>
      <c r="R751" s="508"/>
      <c r="S751" s="508"/>
      <c r="T751" s="508"/>
      <c r="U751" s="508"/>
      <c r="V751" s="508"/>
      <c r="W751" s="508"/>
      <c r="X751" s="508"/>
      <c r="Y751" s="508"/>
      <c r="Z751" s="508"/>
      <c r="AA751" s="508"/>
    </row>
    <row r="752">
      <c r="A752" s="508"/>
      <c r="B752" s="508"/>
      <c r="C752" s="508"/>
      <c r="D752" s="508"/>
      <c r="E752" s="967"/>
      <c r="F752" s="508"/>
      <c r="G752" s="508"/>
      <c r="H752" s="967"/>
      <c r="I752" s="508"/>
      <c r="J752" s="508"/>
      <c r="K752" s="508"/>
      <c r="L752" s="508"/>
      <c r="M752" s="508"/>
      <c r="N752" s="508"/>
      <c r="O752" s="508"/>
      <c r="P752" s="508"/>
      <c r="Q752" s="508"/>
      <c r="R752" s="508"/>
      <c r="S752" s="508"/>
      <c r="T752" s="508"/>
      <c r="U752" s="508"/>
      <c r="V752" s="508"/>
      <c r="W752" s="508"/>
      <c r="X752" s="508"/>
      <c r="Y752" s="508"/>
      <c r="Z752" s="508"/>
      <c r="AA752" s="508"/>
    </row>
    <row r="753">
      <c r="A753" s="508"/>
      <c r="B753" s="508"/>
      <c r="C753" s="508"/>
      <c r="D753" s="508"/>
      <c r="E753" s="967"/>
      <c r="F753" s="508"/>
      <c r="G753" s="508"/>
      <c r="H753" s="967"/>
      <c r="I753" s="508"/>
      <c r="J753" s="508"/>
      <c r="K753" s="508"/>
      <c r="L753" s="508"/>
      <c r="M753" s="508"/>
      <c r="N753" s="508"/>
      <c r="O753" s="508"/>
      <c r="P753" s="508"/>
      <c r="Q753" s="508"/>
      <c r="R753" s="508"/>
      <c r="S753" s="508"/>
      <c r="T753" s="508"/>
      <c r="U753" s="508"/>
      <c r="V753" s="508"/>
      <c r="W753" s="508"/>
      <c r="X753" s="508"/>
      <c r="Y753" s="508"/>
      <c r="Z753" s="508"/>
      <c r="AA753" s="508"/>
    </row>
    <row r="754">
      <c r="A754" s="508"/>
      <c r="B754" s="508"/>
      <c r="C754" s="508"/>
      <c r="D754" s="508"/>
      <c r="E754" s="967"/>
      <c r="F754" s="508"/>
      <c r="G754" s="508"/>
      <c r="H754" s="967"/>
      <c r="I754" s="508"/>
      <c r="J754" s="508"/>
      <c r="K754" s="508"/>
      <c r="L754" s="508"/>
      <c r="M754" s="508"/>
      <c r="N754" s="508"/>
      <c r="O754" s="508"/>
      <c r="P754" s="508"/>
      <c r="Q754" s="508"/>
      <c r="R754" s="508"/>
      <c r="S754" s="508"/>
      <c r="T754" s="508"/>
      <c r="U754" s="508"/>
      <c r="V754" s="508"/>
      <c r="W754" s="508"/>
      <c r="X754" s="508"/>
      <c r="Y754" s="508"/>
      <c r="Z754" s="508"/>
      <c r="AA754" s="508"/>
    </row>
    <row r="755">
      <c r="A755" s="508"/>
      <c r="B755" s="508"/>
      <c r="C755" s="508"/>
      <c r="D755" s="508"/>
      <c r="E755" s="967"/>
      <c r="F755" s="508"/>
      <c r="G755" s="508"/>
      <c r="H755" s="967"/>
      <c r="I755" s="508"/>
      <c r="J755" s="508"/>
      <c r="K755" s="508"/>
      <c r="L755" s="508"/>
      <c r="M755" s="508"/>
      <c r="N755" s="508"/>
      <c r="O755" s="508"/>
      <c r="P755" s="508"/>
      <c r="Q755" s="508"/>
      <c r="R755" s="508"/>
      <c r="S755" s="508"/>
      <c r="T755" s="508"/>
      <c r="U755" s="508"/>
      <c r="V755" s="508"/>
      <c r="W755" s="508"/>
      <c r="X755" s="508"/>
      <c r="Y755" s="508"/>
      <c r="Z755" s="508"/>
      <c r="AA755" s="508"/>
    </row>
    <row r="756">
      <c r="A756" s="508"/>
      <c r="B756" s="508"/>
      <c r="C756" s="508"/>
      <c r="D756" s="508"/>
      <c r="E756" s="967"/>
      <c r="F756" s="508"/>
      <c r="G756" s="508"/>
      <c r="H756" s="967"/>
      <c r="I756" s="508"/>
      <c r="J756" s="508"/>
      <c r="K756" s="508"/>
      <c r="L756" s="508"/>
      <c r="M756" s="508"/>
      <c r="N756" s="508"/>
      <c r="O756" s="508"/>
      <c r="P756" s="508"/>
      <c r="Q756" s="508"/>
      <c r="R756" s="508"/>
      <c r="S756" s="508"/>
      <c r="T756" s="508"/>
      <c r="U756" s="508"/>
      <c r="V756" s="508"/>
      <c r="W756" s="508"/>
      <c r="X756" s="508"/>
      <c r="Y756" s="508"/>
      <c r="Z756" s="508"/>
      <c r="AA756" s="508"/>
    </row>
    <row r="757">
      <c r="A757" s="508"/>
      <c r="B757" s="508"/>
      <c r="C757" s="508"/>
      <c r="D757" s="508"/>
      <c r="E757" s="967"/>
      <c r="F757" s="508"/>
      <c r="G757" s="508"/>
      <c r="H757" s="967"/>
      <c r="I757" s="508"/>
      <c r="J757" s="508"/>
      <c r="K757" s="508"/>
      <c r="L757" s="508"/>
      <c r="M757" s="508"/>
      <c r="N757" s="508"/>
      <c r="O757" s="508"/>
      <c r="P757" s="508"/>
      <c r="Q757" s="508"/>
      <c r="R757" s="508"/>
      <c r="S757" s="508"/>
      <c r="T757" s="508"/>
      <c r="U757" s="508"/>
      <c r="V757" s="508"/>
      <c r="W757" s="508"/>
      <c r="X757" s="508"/>
      <c r="Y757" s="508"/>
      <c r="Z757" s="508"/>
      <c r="AA757" s="508"/>
    </row>
    <row r="758">
      <c r="A758" s="508"/>
      <c r="B758" s="508"/>
      <c r="C758" s="508"/>
      <c r="D758" s="508"/>
      <c r="E758" s="967"/>
      <c r="F758" s="508"/>
      <c r="G758" s="508"/>
      <c r="H758" s="967"/>
      <c r="I758" s="508"/>
      <c r="J758" s="508"/>
      <c r="K758" s="508"/>
      <c r="L758" s="508"/>
      <c r="M758" s="508"/>
      <c r="N758" s="508"/>
      <c r="O758" s="508"/>
      <c r="P758" s="508"/>
      <c r="Q758" s="508"/>
      <c r="R758" s="508"/>
      <c r="S758" s="508"/>
      <c r="T758" s="508"/>
      <c r="U758" s="508"/>
      <c r="V758" s="508"/>
      <c r="W758" s="508"/>
      <c r="X758" s="508"/>
      <c r="Y758" s="508"/>
      <c r="Z758" s="508"/>
      <c r="AA758" s="508"/>
    </row>
    <row r="759">
      <c r="A759" s="508"/>
      <c r="B759" s="508"/>
      <c r="C759" s="508"/>
      <c r="D759" s="508"/>
      <c r="E759" s="967"/>
      <c r="F759" s="508"/>
      <c r="G759" s="508"/>
      <c r="H759" s="967"/>
      <c r="I759" s="508"/>
      <c r="J759" s="508"/>
      <c r="K759" s="508"/>
      <c r="L759" s="508"/>
      <c r="M759" s="508"/>
      <c r="N759" s="508"/>
      <c r="O759" s="508"/>
      <c r="P759" s="508"/>
      <c r="Q759" s="508"/>
      <c r="R759" s="508"/>
      <c r="S759" s="508"/>
      <c r="T759" s="508"/>
      <c r="U759" s="508"/>
      <c r="V759" s="508"/>
      <c r="W759" s="508"/>
      <c r="X759" s="508"/>
      <c r="Y759" s="508"/>
      <c r="Z759" s="508"/>
      <c r="AA759" s="508"/>
    </row>
    <row r="760">
      <c r="A760" s="508"/>
      <c r="B760" s="508"/>
      <c r="C760" s="508"/>
      <c r="D760" s="508"/>
      <c r="E760" s="967"/>
      <c r="F760" s="508"/>
      <c r="G760" s="508"/>
      <c r="H760" s="967"/>
      <c r="I760" s="508"/>
      <c r="J760" s="508"/>
      <c r="K760" s="508"/>
      <c r="L760" s="508"/>
      <c r="M760" s="508"/>
      <c r="N760" s="508"/>
      <c r="O760" s="508"/>
      <c r="P760" s="508"/>
      <c r="Q760" s="508"/>
      <c r="R760" s="508"/>
      <c r="S760" s="508"/>
      <c r="T760" s="508"/>
      <c r="U760" s="508"/>
      <c r="V760" s="508"/>
      <c r="W760" s="508"/>
      <c r="X760" s="508"/>
      <c r="Y760" s="508"/>
      <c r="Z760" s="508"/>
      <c r="AA760" s="508"/>
    </row>
    <row r="761">
      <c r="A761" s="508"/>
      <c r="B761" s="508"/>
      <c r="C761" s="508"/>
      <c r="D761" s="508"/>
      <c r="E761" s="967"/>
      <c r="F761" s="508"/>
      <c r="G761" s="508"/>
      <c r="H761" s="967"/>
      <c r="I761" s="508"/>
      <c r="J761" s="508"/>
      <c r="K761" s="508"/>
      <c r="L761" s="508"/>
      <c r="M761" s="508"/>
      <c r="N761" s="508"/>
      <c r="O761" s="508"/>
      <c r="P761" s="508"/>
      <c r="Q761" s="508"/>
      <c r="R761" s="508"/>
      <c r="S761" s="508"/>
      <c r="T761" s="508"/>
      <c r="U761" s="508"/>
      <c r="V761" s="508"/>
      <c r="W761" s="508"/>
      <c r="X761" s="508"/>
      <c r="Y761" s="508"/>
      <c r="Z761" s="508"/>
      <c r="AA761" s="508"/>
    </row>
    <row r="762">
      <c r="A762" s="508"/>
      <c r="B762" s="508"/>
      <c r="C762" s="508"/>
      <c r="D762" s="508"/>
      <c r="E762" s="967"/>
      <c r="F762" s="508"/>
      <c r="G762" s="508"/>
      <c r="H762" s="967"/>
      <c r="I762" s="508"/>
      <c r="J762" s="508"/>
      <c r="K762" s="508"/>
      <c r="L762" s="508"/>
      <c r="M762" s="508"/>
      <c r="N762" s="508"/>
      <c r="O762" s="508"/>
      <c r="P762" s="508"/>
      <c r="Q762" s="508"/>
      <c r="R762" s="508"/>
      <c r="S762" s="508"/>
      <c r="T762" s="508"/>
      <c r="U762" s="508"/>
      <c r="V762" s="508"/>
      <c r="W762" s="508"/>
      <c r="X762" s="508"/>
      <c r="Y762" s="508"/>
      <c r="Z762" s="508"/>
      <c r="AA762" s="508"/>
    </row>
    <row r="763">
      <c r="A763" s="508"/>
      <c r="B763" s="508"/>
      <c r="C763" s="508"/>
      <c r="D763" s="508"/>
      <c r="E763" s="967"/>
      <c r="F763" s="508"/>
      <c r="G763" s="508"/>
      <c r="H763" s="967"/>
      <c r="I763" s="508"/>
      <c r="J763" s="508"/>
      <c r="K763" s="508"/>
      <c r="L763" s="508"/>
      <c r="M763" s="508"/>
      <c r="N763" s="508"/>
      <c r="O763" s="508"/>
      <c r="P763" s="508"/>
      <c r="Q763" s="508"/>
      <c r="R763" s="508"/>
      <c r="S763" s="508"/>
      <c r="T763" s="508"/>
      <c r="U763" s="508"/>
      <c r="V763" s="508"/>
      <c r="W763" s="508"/>
      <c r="X763" s="508"/>
      <c r="Y763" s="508"/>
      <c r="Z763" s="508"/>
      <c r="AA763" s="508"/>
    </row>
    <row r="764">
      <c r="A764" s="508"/>
      <c r="B764" s="508"/>
      <c r="C764" s="508"/>
      <c r="D764" s="508"/>
      <c r="E764" s="967"/>
      <c r="F764" s="508"/>
      <c r="G764" s="508"/>
      <c r="H764" s="967"/>
      <c r="I764" s="508"/>
      <c r="J764" s="508"/>
      <c r="K764" s="508"/>
      <c r="L764" s="508"/>
      <c r="M764" s="508"/>
      <c r="N764" s="508"/>
      <c r="O764" s="508"/>
      <c r="P764" s="508"/>
      <c r="Q764" s="508"/>
      <c r="R764" s="508"/>
      <c r="S764" s="508"/>
      <c r="T764" s="508"/>
      <c r="U764" s="508"/>
      <c r="V764" s="508"/>
      <c r="W764" s="508"/>
      <c r="X764" s="508"/>
      <c r="Y764" s="508"/>
      <c r="Z764" s="508"/>
      <c r="AA764" s="508"/>
    </row>
    <row r="765">
      <c r="A765" s="508"/>
      <c r="B765" s="508"/>
      <c r="C765" s="508"/>
      <c r="D765" s="508"/>
      <c r="E765" s="967"/>
      <c r="F765" s="508"/>
      <c r="G765" s="508"/>
      <c r="H765" s="967"/>
      <c r="I765" s="508"/>
      <c r="J765" s="508"/>
      <c r="K765" s="508"/>
      <c r="L765" s="508"/>
      <c r="M765" s="508"/>
      <c r="N765" s="508"/>
      <c r="O765" s="508"/>
      <c r="P765" s="508"/>
      <c r="Q765" s="508"/>
      <c r="R765" s="508"/>
      <c r="S765" s="508"/>
      <c r="T765" s="508"/>
      <c r="U765" s="508"/>
      <c r="V765" s="508"/>
      <c r="W765" s="508"/>
      <c r="X765" s="508"/>
      <c r="Y765" s="508"/>
      <c r="Z765" s="508"/>
      <c r="AA765" s="508"/>
    </row>
    <row r="766">
      <c r="A766" s="508"/>
      <c r="B766" s="508"/>
      <c r="C766" s="508"/>
      <c r="D766" s="508"/>
      <c r="E766" s="967"/>
      <c r="F766" s="508"/>
      <c r="G766" s="508"/>
      <c r="H766" s="967"/>
      <c r="I766" s="508"/>
      <c r="J766" s="508"/>
      <c r="K766" s="508"/>
      <c r="L766" s="508"/>
      <c r="M766" s="508"/>
      <c r="N766" s="508"/>
      <c r="O766" s="508"/>
      <c r="P766" s="508"/>
      <c r="Q766" s="508"/>
      <c r="R766" s="508"/>
      <c r="S766" s="508"/>
      <c r="T766" s="508"/>
      <c r="U766" s="508"/>
      <c r="V766" s="508"/>
      <c r="W766" s="508"/>
      <c r="X766" s="508"/>
      <c r="Y766" s="508"/>
      <c r="Z766" s="508"/>
      <c r="AA766" s="508"/>
    </row>
    <row r="767">
      <c r="A767" s="508"/>
      <c r="B767" s="508"/>
      <c r="C767" s="508"/>
      <c r="D767" s="508"/>
      <c r="E767" s="967"/>
      <c r="F767" s="508"/>
      <c r="G767" s="508"/>
      <c r="H767" s="967"/>
      <c r="I767" s="508"/>
      <c r="J767" s="508"/>
      <c r="K767" s="508"/>
      <c r="L767" s="508"/>
      <c r="M767" s="508"/>
      <c r="N767" s="508"/>
      <c r="O767" s="508"/>
      <c r="P767" s="508"/>
      <c r="Q767" s="508"/>
      <c r="R767" s="508"/>
      <c r="S767" s="508"/>
      <c r="T767" s="508"/>
      <c r="U767" s="508"/>
      <c r="V767" s="508"/>
      <c r="W767" s="508"/>
      <c r="X767" s="508"/>
      <c r="Y767" s="508"/>
      <c r="Z767" s="508"/>
      <c r="AA767" s="508"/>
    </row>
    <row r="768">
      <c r="A768" s="508"/>
      <c r="B768" s="508"/>
      <c r="C768" s="508"/>
      <c r="D768" s="508"/>
      <c r="E768" s="967"/>
      <c r="F768" s="508"/>
      <c r="G768" s="508"/>
      <c r="H768" s="967"/>
      <c r="I768" s="508"/>
      <c r="J768" s="508"/>
      <c r="K768" s="508"/>
      <c r="L768" s="508"/>
      <c r="M768" s="508"/>
      <c r="N768" s="508"/>
      <c r="O768" s="508"/>
      <c r="P768" s="508"/>
      <c r="Q768" s="508"/>
      <c r="R768" s="508"/>
      <c r="S768" s="508"/>
      <c r="T768" s="508"/>
      <c r="U768" s="508"/>
      <c r="V768" s="508"/>
      <c r="W768" s="508"/>
      <c r="X768" s="508"/>
      <c r="Y768" s="508"/>
      <c r="Z768" s="508"/>
      <c r="AA768" s="508"/>
    </row>
    <row r="769">
      <c r="A769" s="508"/>
      <c r="B769" s="508"/>
      <c r="C769" s="508"/>
      <c r="D769" s="508"/>
      <c r="E769" s="967"/>
      <c r="F769" s="508"/>
      <c r="G769" s="508"/>
      <c r="H769" s="967"/>
      <c r="I769" s="508"/>
      <c r="J769" s="508"/>
      <c r="K769" s="508"/>
      <c r="L769" s="508"/>
      <c r="M769" s="508"/>
      <c r="N769" s="508"/>
      <c r="O769" s="508"/>
      <c r="P769" s="508"/>
      <c r="Q769" s="508"/>
      <c r="R769" s="508"/>
      <c r="S769" s="508"/>
      <c r="T769" s="508"/>
      <c r="U769" s="508"/>
      <c r="V769" s="508"/>
      <c r="W769" s="508"/>
      <c r="X769" s="508"/>
      <c r="Y769" s="508"/>
      <c r="Z769" s="508"/>
      <c r="AA769" s="508"/>
    </row>
    <row r="770">
      <c r="A770" s="508"/>
      <c r="B770" s="508"/>
      <c r="C770" s="508"/>
      <c r="D770" s="508"/>
      <c r="E770" s="967"/>
      <c r="F770" s="508"/>
      <c r="G770" s="508"/>
      <c r="H770" s="967"/>
      <c r="I770" s="508"/>
      <c r="J770" s="508"/>
      <c r="K770" s="508"/>
      <c r="L770" s="508"/>
      <c r="M770" s="508"/>
      <c r="N770" s="508"/>
      <c r="O770" s="508"/>
      <c r="P770" s="508"/>
      <c r="Q770" s="508"/>
      <c r="R770" s="508"/>
      <c r="S770" s="508"/>
      <c r="T770" s="508"/>
      <c r="U770" s="508"/>
      <c r="V770" s="508"/>
      <c r="W770" s="508"/>
      <c r="X770" s="508"/>
      <c r="Y770" s="508"/>
      <c r="Z770" s="508"/>
      <c r="AA770" s="508"/>
    </row>
    <row r="771">
      <c r="A771" s="508"/>
      <c r="B771" s="508"/>
      <c r="C771" s="508"/>
      <c r="D771" s="508"/>
      <c r="E771" s="967"/>
      <c r="F771" s="508"/>
      <c r="G771" s="508"/>
      <c r="H771" s="967"/>
      <c r="I771" s="508"/>
      <c r="J771" s="508"/>
      <c r="K771" s="508"/>
      <c r="L771" s="508"/>
      <c r="M771" s="508"/>
      <c r="N771" s="508"/>
      <c r="O771" s="508"/>
      <c r="P771" s="508"/>
      <c r="Q771" s="508"/>
      <c r="R771" s="508"/>
      <c r="S771" s="508"/>
      <c r="T771" s="508"/>
      <c r="U771" s="508"/>
      <c r="V771" s="508"/>
      <c r="W771" s="508"/>
      <c r="X771" s="508"/>
      <c r="Y771" s="508"/>
      <c r="Z771" s="508"/>
      <c r="AA771" s="508"/>
    </row>
    <row r="772">
      <c r="A772" s="508"/>
      <c r="B772" s="508"/>
      <c r="C772" s="508"/>
      <c r="D772" s="508"/>
      <c r="E772" s="967"/>
      <c r="F772" s="508"/>
      <c r="G772" s="508"/>
      <c r="H772" s="967"/>
      <c r="I772" s="508"/>
      <c r="J772" s="508"/>
      <c r="K772" s="508"/>
      <c r="L772" s="508"/>
      <c r="M772" s="508"/>
      <c r="N772" s="508"/>
      <c r="O772" s="508"/>
      <c r="P772" s="508"/>
      <c r="Q772" s="508"/>
      <c r="R772" s="508"/>
      <c r="S772" s="508"/>
      <c r="T772" s="508"/>
      <c r="U772" s="508"/>
      <c r="V772" s="508"/>
      <c r="W772" s="508"/>
      <c r="X772" s="508"/>
      <c r="Y772" s="508"/>
      <c r="Z772" s="508"/>
      <c r="AA772" s="508"/>
    </row>
    <row r="773">
      <c r="A773" s="508"/>
      <c r="B773" s="508"/>
      <c r="C773" s="508"/>
      <c r="D773" s="508"/>
      <c r="E773" s="967"/>
      <c r="F773" s="508"/>
      <c r="G773" s="508"/>
      <c r="H773" s="967"/>
      <c r="I773" s="508"/>
      <c r="J773" s="508"/>
      <c r="K773" s="508"/>
      <c r="L773" s="508"/>
      <c r="M773" s="508"/>
      <c r="N773" s="508"/>
      <c r="O773" s="508"/>
      <c r="P773" s="508"/>
      <c r="Q773" s="508"/>
      <c r="R773" s="508"/>
      <c r="S773" s="508"/>
      <c r="T773" s="508"/>
      <c r="U773" s="508"/>
      <c r="V773" s="508"/>
      <c r="W773" s="508"/>
      <c r="X773" s="508"/>
      <c r="Y773" s="508"/>
      <c r="Z773" s="508"/>
      <c r="AA773" s="508"/>
    </row>
    <row r="774">
      <c r="A774" s="508"/>
      <c r="B774" s="508"/>
      <c r="C774" s="508"/>
      <c r="D774" s="508"/>
      <c r="E774" s="967"/>
      <c r="F774" s="508"/>
      <c r="G774" s="508"/>
      <c r="H774" s="967"/>
      <c r="I774" s="508"/>
      <c r="J774" s="508"/>
      <c r="K774" s="508"/>
      <c r="L774" s="508"/>
      <c r="M774" s="508"/>
      <c r="N774" s="508"/>
      <c r="O774" s="508"/>
      <c r="P774" s="508"/>
      <c r="Q774" s="508"/>
      <c r="R774" s="508"/>
      <c r="S774" s="508"/>
      <c r="T774" s="508"/>
      <c r="U774" s="508"/>
      <c r="V774" s="508"/>
      <c r="W774" s="508"/>
      <c r="X774" s="508"/>
      <c r="Y774" s="508"/>
      <c r="Z774" s="508"/>
      <c r="AA774" s="508"/>
    </row>
    <row r="775">
      <c r="A775" s="508"/>
      <c r="B775" s="508"/>
      <c r="C775" s="508"/>
      <c r="D775" s="508"/>
      <c r="E775" s="967"/>
      <c r="F775" s="508"/>
      <c r="G775" s="508"/>
      <c r="H775" s="967"/>
      <c r="I775" s="508"/>
      <c r="J775" s="508"/>
      <c r="K775" s="508"/>
      <c r="L775" s="508"/>
      <c r="M775" s="508"/>
      <c r="N775" s="508"/>
      <c r="O775" s="508"/>
      <c r="P775" s="508"/>
      <c r="Q775" s="508"/>
      <c r="R775" s="508"/>
      <c r="S775" s="508"/>
      <c r="T775" s="508"/>
      <c r="U775" s="508"/>
      <c r="V775" s="508"/>
      <c r="W775" s="508"/>
      <c r="X775" s="508"/>
      <c r="Y775" s="508"/>
      <c r="Z775" s="508"/>
      <c r="AA775" s="508"/>
    </row>
    <row r="776">
      <c r="A776" s="508"/>
      <c r="B776" s="508"/>
      <c r="C776" s="508"/>
      <c r="D776" s="508"/>
      <c r="E776" s="967"/>
      <c r="F776" s="508"/>
      <c r="G776" s="508"/>
      <c r="H776" s="967"/>
      <c r="I776" s="508"/>
      <c r="J776" s="508"/>
      <c r="K776" s="508"/>
      <c r="L776" s="508"/>
      <c r="M776" s="508"/>
      <c r="N776" s="508"/>
      <c r="O776" s="508"/>
      <c r="P776" s="508"/>
      <c r="Q776" s="508"/>
      <c r="R776" s="508"/>
      <c r="S776" s="508"/>
      <c r="T776" s="508"/>
      <c r="U776" s="508"/>
      <c r="V776" s="508"/>
      <c r="W776" s="508"/>
      <c r="X776" s="508"/>
      <c r="Y776" s="508"/>
      <c r="Z776" s="508"/>
      <c r="AA776" s="508"/>
    </row>
    <row r="777">
      <c r="A777" s="508"/>
      <c r="B777" s="508"/>
      <c r="C777" s="508"/>
      <c r="D777" s="508"/>
      <c r="E777" s="967"/>
      <c r="F777" s="508"/>
      <c r="G777" s="508"/>
      <c r="H777" s="967"/>
      <c r="I777" s="508"/>
      <c r="J777" s="508"/>
      <c r="K777" s="508"/>
      <c r="L777" s="508"/>
      <c r="M777" s="508"/>
      <c r="N777" s="508"/>
      <c r="O777" s="508"/>
      <c r="P777" s="508"/>
      <c r="Q777" s="508"/>
      <c r="R777" s="508"/>
      <c r="S777" s="508"/>
      <c r="T777" s="508"/>
      <c r="U777" s="508"/>
      <c r="V777" s="508"/>
      <c r="W777" s="508"/>
      <c r="X777" s="508"/>
      <c r="Y777" s="508"/>
      <c r="Z777" s="508"/>
      <c r="AA777" s="508"/>
    </row>
    <row r="778">
      <c r="A778" s="508"/>
      <c r="B778" s="508"/>
      <c r="C778" s="508"/>
      <c r="D778" s="508"/>
      <c r="E778" s="967"/>
      <c r="F778" s="508"/>
      <c r="G778" s="508"/>
      <c r="H778" s="967"/>
      <c r="I778" s="508"/>
      <c r="J778" s="508"/>
      <c r="K778" s="508"/>
      <c r="L778" s="508"/>
      <c r="M778" s="508"/>
      <c r="N778" s="508"/>
      <c r="O778" s="508"/>
      <c r="P778" s="508"/>
      <c r="Q778" s="508"/>
      <c r="R778" s="508"/>
      <c r="S778" s="508"/>
      <c r="T778" s="508"/>
      <c r="U778" s="508"/>
      <c r="V778" s="508"/>
      <c r="W778" s="508"/>
      <c r="X778" s="508"/>
      <c r="Y778" s="508"/>
      <c r="Z778" s="508"/>
      <c r="AA778" s="508"/>
    </row>
    <row r="779">
      <c r="A779" s="508"/>
      <c r="B779" s="508"/>
      <c r="C779" s="508"/>
      <c r="D779" s="508"/>
      <c r="E779" s="967"/>
      <c r="F779" s="508"/>
      <c r="G779" s="508"/>
      <c r="H779" s="967"/>
      <c r="I779" s="508"/>
      <c r="J779" s="508"/>
      <c r="K779" s="508"/>
      <c r="L779" s="508"/>
      <c r="M779" s="508"/>
      <c r="N779" s="508"/>
      <c r="O779" s="508"/>
      <c r="P779" s="508"/>
      <c r="Q779" s="508"/>
      <c r="R779" s="508"/>
      <c r="S779" s="508"/>
      <c r="T779" s="508"/>
      <c r="U779" s="508"/>
      <c r="V779" s="508"/>
      <c r="W779" s="508"/>
      <c r="X779" s="508"/>
      <c r="Y779" s="508"/>
      <c r="Z779" s="508"/>
      <c r="AA779" s="508"/>
    </row>
    <row r="780">
      <c r="A780" s="508"/>
      <c r="B780" s="508"/>
      <c r="C780" s="508"/>
      <c r="D780" s="508"/>
      <c r="E780" s="967"/>
      <c r="F780" s="508"/>
      <c r="G780" s="508"/>
      <c r="H780" s="967"/>
      <c r="I780" s="508"/>
      <c r="J780" s="508"/>
      <c r="K780" s="508"/>
      <c r="L780" s="508"/>
      <c r="M780" s="508"/>
      <c r="N780" s="508"/>
      <c r="O780" s="508"/>
      <c r="P780" s="508"/>
      <c r="Q780" s="508"/>
      <c r="R780" s="508"/>
      <c r="S780" s="508"/>
      <c r="T780" s="508"/>
      <c r="U780" s="508"/>
      <c r="V780" s="508"/>
      <c r="W780" s="508"/>
      <c r="X780" s="508"/>
      <c r="Y780" s="508"/>
      <c r="Z780" s="508"/>
      <c r="AA780" s="508"/>
    </row>
    <row r="781">
      <c r="A781" s="508"/>
      <c r="B781" s="508"/>
      <c r="C781" s="508"/>
      <c r="D781" s="508"/>
      <c r="E781" s="967"/>
      <c r="F781" s="508"/>
      <c r="G781" s="508"/>
      <c r="H781" s="967"/>
      <c r="I781" s="508"/>
      <c r="J781" s="508"/>
      <c r="K781" s="508"/>
      <c r="L781" s="508"/>
      <c r="M781" s="508"/>
      <c r="N781" s="508"/>
      <c r="O781" s="508"/>
      <c r="P781" s="508"/>
      <c r="Q781" s="508"/>
      <c r="R781" s="508"/>
      <c r="S781" s="508"/>
      <c r="T781" s="508"/>
      <c r="U781" s="508"/>
      <c r="V781" s="508"/>
      <c r="W781" s="508"/>
      <c r="X781" s="508"/>
      <c r="Y781" s="508"/>
      <c r="Z781" s="508"/>
      <c r="AA781" s="508"/>
    </row>
    <row r="782">
      <c r="A782" s="508"/>
      <c r="B782" s="508"/>
      <c r="C782" s="508"/>
      <c r="D782" s="508"/>
      <c r="E782" s="967"/>
      <c r="F782" s="508"/>
      <c r="G782" s="508"/>
      <c r="H782" s="967"/>
      <c r="I782" s="508"/>
      <c r="J782" s="508"/>
      <c r="K782" s="508"/>
      <c r="L782" s="508"/>
      <c r="M782" s="508"/>
      <c r="N782" s="508"/>
      <c r="O782" s="508"/>
      <c r="P782" s="508"/>
      <c r="Q782" s="508"/>
      <c r="R782" s="508"/>
      <c r="S782" s="508"/>
      <c r="T782" s="508"/>
      <c r="U782" s="508"/>
      <c r="V782" s="508"/>
      <c r="W782" s="508"/>
      <c r="X782" s="508"/>
      <c r="Y782" s="508"/>
      <c r="Z782" s="508"/>
      <c r="AA782" s="508"/>
    </row>
    <row r="783">
      <c r="A783" s="508"/>
      <c r="B783" s="508"/>
      <c r="C783" s="508"/>
      <c r="D783" s="508"/>
      <c r="E783" s="967"/>
      <c r="F783" s="508"/>
      <c r="G783" s="508"/>
      <c r="H783" s="967"/>
      <c r="I783" s="508"/>
      <c r="J783" s="508"/>
      <c r="K783" s="508"/>
      <c r="L783" s="508"/>
      <c r="M783" s="508"/>
      <c r="N783" s="508"/>
      <c r="O783" s="508"/>
      <c r="P783" s="508"/>
      <c r="Q783" s="508"/>
      <c r="R783" s="508"/>
      <c r="S783" s="508"/>
      <c r="T783" s="508"/>
      <c r="U783" s="508"/>
      <c r="V783" s="508"/>
      <c r="W783" s="508"/>
      <c r="X783" s="508"/>
      <c r="Y783" s="508"/>
      <c r="Z783" s="508"/>
      <c r="AA783" s="508"/>
    </row>
    <row r="784">
      <c r="A784" s="508"/>
      <c r="B784" s="508"/>
      <c r="C784" s="508"/>
      <c r="D784" s="508"/>
      <c r="E784" s="967"/>
      <c r="F784" s="508"/>
      <c r="G784" s="508"/>
      <c r="H784" s="967"/>
      <c r="I784" s="508"/>
      <c r="J784" s="508"/>
      <c r="K784" s="508"/>
      <c r="L784" s="508"/>
      <c r="M784" s="508"/>
      <c r="N784" s="508"/>
      <c r="O784" s="508"/>
      <c r="P784" s="508"/>
      <c r="Q784" s="508"/>
      <c r="R784" s="508"/>
      <c r="S784" s="508"/>
      <c r="T784" s="508"/>
      <c r="U784" s="508"/>
      <c r="V784" s="508"/>
      <c r="W784" s="508"/>
      <c r="X784" s="508"/>
      <c r="Y784" s="508"/>
      <c r="Z784" s="508"/>
      <c r="AA784" s="508"/>
    </row>
    <row r="785">
      <c r="A785" s="508"/>
      <c r="B785" s="508"/>
      <c r="C785" s="508"/>
      <c r="D785" s="508"/>
      <c r="E785" s="967"/>
      <c r="F785" s="508"/>
      <c r="G785" s="508"/>
      <c r="H785" s="967"/>
      <c r="I785" s="508"/>
      <c r="J785" s="508"/>
      <c r="K785" s="508"/>
      <c r="L785" s="508"/>
      <c r="M785" s="508"/>
      <c r="N785" s="508"/>
      <c r="O785" s="508"/>
      <c r="P785" s="508"/>
      <c r="Q785" s="508"/>
      <c r="R785" s="508"/>
      <c r="S785" s="508"/>
      <c r="T785" s="508"/>
      <c r="U785" s="508"/>
      <c r="V785" s="508"/>
      <c r="W785" s="508"/>
      <c r="X785" s="508"/>
      <c r="Y785" s="508"/>
      <c r="Z785" s="508"/>
      <c r="AA785" s="508"/>
    </row>
    <row r="786">
      <c r="A786" s="508"/>
      <c r="B786" s="508"/>
      <c r="C786" s="508"/>
      <c r="D786" s="508"/>
      <c r="E786" s="967"/>
      <c r="F786" s="508"/>
      <c r="G786" s="508"/>
      <c r="H786" s="967"/>
      <c r="I786" s="508"/>
      <c r="J786" s="508"/>
      <c r="K786" s="508"/>
      <c r="L786" s="508"/>
      <c r="M786" s="508"/>
      <c r="N786" s="508"/>
      <c r="O786" s="508"/>
      <c r="P786" s="508"/>
      <c r="Q786" s="508"/>
      <c r="R786" s="508"/>
      <c r="S786" s="508"/>
      <c r="T786" s="508"/>
      <c r="U786" s="508"/>
      <c r="V786" s="508"/>
      <c r="W786" s="508"/>
      <c r="X786" s="508"/>
      <c r="Y786" s="508"/>
      <c r="Z786" s="508"/>
      <c r="AA786" s="508"/>
    </row>
    <row r="787">
      <c r="A787" s="508"/>
      <c r="B787" s="508"/>
      <c r="C787" s="508"/>
      <c r="D787" s="508"/>
      <c r="E787" s="967"/>
      <c r="F787" s="508"/>
      <c r="G787" s="508"/>
      <c r="H787" s="967"/>
      <c r="I787" s="508"/>
      <c r="J787" s="508"/>
      <c r="K787" s="508"/>
      <c r="L787" s="508"/>
      <c r="M787" s="508"/>
      <c r="N787" s="508"/>
      <c r="O787" s="508"/>
      <c r="P787" s="508"/>
      <c r="Q787" s="508"/>
      <c r="R787" s="508"/>
      <c r="S787" s="508"/>
      <c r="T787" s="508"/>
      <c r="U787" s="508"/>
      <c r="V787" s="508"/>
      <c r="W787" s="508"/>
      <c r="X787" s="508"/>
      <c r="Y787" s="508"/>
      <c r="Z787" s="508"/>
      <c r="AA787" s="508"/>
    </row>
    <row r="788">
      <c r="A788" s="508"/>
      <c r="B788" s="508"/>
      <c r="C788" s="508"/>
      <c r="D788" s="508"/>
      <c r="E788" s="967"/>
      <c r="F788" s="508"/>
      <c r="G788" s="508"/>
      <c r="H788" s="967"/>
      <c r="I788" s="508"/>
      <c r="J788" s="508"/>
      <c r="K788" s="508"/>
      <c r="L788" s="508"/>
      <c r="M788" s="508"/>
      <c r="N788" s="508"/>
      <c r="O788" s="508"/>
      <c r="P788" s="508"/>
      <c r="Q788" s="508"/>
      <c r="R788" s="508"/>
      <c r="S788" s="508"/>
      <c r="T788" s="508"/>
      <c r="U788" s="508"/>
      <c r="V788" s="508"/>
      <c r="W788" s="508"/>
      <c r="X788" s="508"/>
      <c r="Y788" s="508"/>
      <c r="Z788" s="508"/>
      <c r="AA788" s="508"/>
    </row>
    <row r="789">
      <c r="A789" s="508"/>
      <c r="B789" s="508"/>
      <c r="C789" s="508"/>
      <c r="D789" s="508"/>
      <c r="E789" s="967"/>
      <c r="F789" s="508"/>
      <c r="G789" s="508"/>
      <c r="H789" s="967"/>
      <c r="I789" s="508"/>
      <c r="J789" s="508"/>
      <c r="K789" s="508"/>
      <c r="L789" s="508"/>
      <c r="M789" s="508"/>
      <c r="N789" s="508"/>
      <c r="O789" s="508"/>
      <c r="P789" s="508"/>
      <c r="Q789" s="508"/>
      <c r="R789" s="508"/>
      <c r="S789" s="508"/>
      <c r="T789" s="508"/>
      <c r="U789" s="508"/>
      <c r="V789" s="508"/>
      <c r="W789" s="508"/>
      <c r="X789" s="508"/>
      <c r="Y789" s="508"/>
      <c r="Z789" s="508"/>
      <c r="AA789" s="508"/>
    </row>
    <row r="790">
      <c r="A790" s="508"/>
      <c r="B790" s="508"/>
      <c r="C790" s="508"/>
      <c r="D790" s="508"/>
      <c r="E790" s="967"/>
      <c r="F790" s="508"/>
      <c r="G790" s="508"/>
      <c r="H790" s="967"/>
      <c r="I790" s="508"/>
      <c r="J790" s="508"/>
      <c r="K790" s="508"/>
      <c r="L790" s="508"/>
      <c r="M790" s="508"/>
      <c r="N790" s="508"/>
      <c r="O790" s="508"/>
      <c r="P790" s="508"/>
      <c r="Q790" s="508"/>
      <c r="R790" s="508"/>
      <c r="S790" s="508"/>
      <c r="T790" s="508"/>
      <c r="U790" s="508"/>
      <c r="V790" s="508"/>
      <c r="W790" s="508"/>
      <c r="X790" s="508"/>
      <c r="Y790" s="508"/>
      <c r="Z790" s="508"/>
      <c r="AA790" s="508"/>
    </row>
    <row r="791">
      <c r="A791" s="508"/>
      <c r="B791" s="508"/>
      <c r="C791" s="508"/>
      <c r="D791" s="508"/>
      <c r="E791" s="967"/>
      <c r="F791" s="508"/>
      <c r="G791" s="508"/>
      <c r="H791" s="967"/>
      <c r="I791" s="508"/>
      <c r="J791" s="508"/>
      <c r="K791" s="508"/>
      <c r="L791" s="508"/>
      <c r="M791" s="508"/>
      <c r="N791" s="508"/>
      <c r="O791" s="508"/>
      <c r="P791" s="508"/>
      <c r="Q791" s="508"/>
      <c r="R791" s="508"/>
      <c r="S791" s="508"/>
      <c r="T791" s="508"/>
      <c r="U791" s="508"/>
      <c r="V791" s="508"/>
      <c r="W791" s="508"/>
      <c r="X791" s="508"/>
      <c r="Y791" s="508"/>
      <c r="Z791" s="508"/>
      <c r="AA791" s="508"/>
    </row>
    <row r="792">
      <c r="A792" s="508"/>
      <c r="B792" s="508"/>
      <c r="C792" s="508"/>
      <c r="D792" s="508"/>
      <c r="E792" s="967"/>
      <c r="F792" s="508"/>
      <c r="G792" s="508"/>
      <c r="H792" s="967"/>
      <c r="I792" s="508"/>
      <c r="J792" s="508"/>
      <c r="K792" s="508"/>
      <c r="L792" s="508"/>
      <c r="M792" s="508"/>
      <c r="N792" s="508"/>
      <c r="O792" s="508"/>
      <c r="P792" s="508"/>
      <c r="Q792" s="508"/>
      <c r="R792" s="508"/>
      <c r="S792" s="508"/>
      <c r="T792" s="508"/>
      <c r="U792" s="508"/>
      <c r="V792" s="508"/>
      <c r="W792" s="508"/>
      <c r="X792" s="508"/>
      <c r="Y792" s="508"/>
      <c r="Z792" s="508"/>
      <c r="AA792" s="508"/>
    </row>
    <row r="793">
      <c r="A793" s="508"/>
      <c r="B793" s="508"/>
      <c r="C793" s="508"/>
      <c r="D793" s="508"/>
      <c r="E793" s="967"/>
      <c r="F793" s="508"/>
      <c r="G793" s="508"/>
      <c r="H793" s="967"/>
      <c r="I793" s="508"/>
      <c r="J793" s="508"/>
      <c r="K793" s="508"/>
      <c r="L793" s="508"/>
      <c r="M793" s="508"/>
      <c r="N793" s="508"/>
      <c r="O793" s="508"/>
      <c r="P793" s="508"/>
      <c r="Q793" s="508"/>
      <c r="R793" s="508"/>
      <c r="S793" s="508"/>
      <c r="T793" s="508"/>
      <c r="U793" s="508"/>
      <c r="V793" s="508"/>
      <c r="W793" s="508"/>
      <c r="X793" s="508"/>
      <c r="Y793" s="508"/>
      <c r="Z793" s="508"/>
      <c r="AA793" s="508"/>
    </row>
    <row r="794">
      <c r="A794" s="508"/>
      <c r="B794" s="508"/>
      <c r="C794" s="508"/>
      <c r="D794" s="508"/>
      <c r="E794" s="967"/>
      <c r="F794" s="508"/>
      <c r="G794" s="508"/>
      <c r="H794" s="967"/>
      <c r="I794" s="508"/>
      <c r="J794" s="508"/>
      <c r="K794" s="508"/>
      <c r="L794" s="508"/>
      <c r="M794" s="508"/>
      <c r="N794" s="508"/>
      <c r="O794" s="508"/>
      <c r="P794" s="508"/>
      <c r="Q794" s="508"/>
      <c r="R794" s="508"/>
      <c r="S794" s="508"/>
      <c r="T794" s="508"/>
      <c r="U794" s="508"/>
      <c r="V794" s="508"/>
      <c r="W794" s="508"/>
      <c r="X794" s="508"/>
      <c r="Y794" s="508"/>
      <c r="Z794" s="508"/>
      <c r="AA794" s="508"/>
    </row>
    <row r="795">
      <c r="A795" s="508"/>
      <c r="B795" s="508"/>
      <c r="C795" s="508"/>
      <c r="D795" s="508"/>
      <c r="E795" s="967"/>
      <c r="F795" s="508"/>
      <c r="G795" s="508"/>
      <c r="H795" s="967"/>
      <c r="I795" s="508"/>
      <c r="J795" s="508"/>
      <c r="K795" s="508"/>
      <c r="L795" s="508"/>
      <c r="M795" s="508"/>
      <c r="N795" s="508"/>
      <c r="O795" s="508"/>
      <c r="P795" s="508"/>
      <c r="Q795" s="508"/>
      <c r="R795" s="508"/>
      <c r="S795" s="508"/>
      <c r="T795" s="508"/>
      <c r="U795" s="508"/>
      <c r="V795" s="508"/>
      <c r="W795" s="508"/>
      <c r="X795" s="508"/>
      <c r="Y795" s="508"/>
      <c r="Z795" s="508"/>
      <c r="AA795" s="508"/>
    </row>
    <row r="796">
      <c r="A796" s="508"/>
      <c r="B796" s="508"/>
      <c r="C796" s="508"/>
      <c r="D796" s="508"/>
      <c r="E796" s="967"/>
      <c r="F796" s="508"/>
      <c r="G796" s="508"/>
      <c r="H796" s="967"/>
      <c r="I796" s="508"/>
      <c r="J796" s="508"/>
      <c r="K796" s="508"/>
      <c r="L796" s="508"/>
      <c r="M796" s="508"/>
      <c r="N796" s="508"/>
      <c r="O796" s="508"/>
      <c r="P796" s="508"/>
      <c r="Q796" s="508"/>
      <c r="R796" s="508"/>
      <c r="S796" s="508"/>
      <c r="T796" s="508"/>
      <c r="U796" s="508"/>
      <c r="V796" s="508"/>
      <c r="W796" s="508"/>
      <c r="X796" s="508"/>
      <c r="Y796" s="508"/>
      <c r="Z796" s="508"/>
      <c r="AA796" s="508"/>
    </row>
    <row r="797">
      <c r="A797" s="508"/>
      <c r="B797" s="508"/>
      <c r="C797" s="508"/>
      <c r="D797" s="508"/>
      <c r="E797" s="967"/>
      <c r="F797" s="508"/>
      <c r="G797" s="508"/>
      <c r="H797" s="967"/>
      <c r="I797" s="508"/>
      <c r="J797" s="508"/>
      <c r="K797" s="508"/>
      <c r="L797" s="508"/>
      <c r="M797" s="508"/>
      <c r="N797" s="508"/>
      <c r="O797" s="508"/>
      <c r="P797" s="508"/>
      <c r="Q797" s="508"/>
      <c r="R797" s="508"/>
      <c r="S797" s="508"/>
      <c r="T797" s="508"/>
      <c r="U797" s="508"/>
      <c r="V797" s="508"/>
      <c r="W797" s="508"/>
      <c r="X797" s="508"/>
      <c r="Y797" s="508"/>
      <c r="Z797" s="508"/>
      <c r="AA797" s="508"/>
    </row>
    <row r="798">
      <c r="A798" s="508"/>
      <c r="B798" s="508"/>
      <c r="C798" s="508"/>
      <c r="D798" s="508"/>
      <c r="E798" s="967"/>
      <c r="F798" s="508"/>
      <c r="G798" s="508"/>
      <c r="H798" s="967"/>
      <c r="I798" s="508"/>
      <c r="J798" s="508"/>
      <c r="K798" s="508"/>
      <c r="L798" s="508"/>
      <c r="M798" s="508"/>
      <c r="N798" s="508"/>
      <c r="O798" s="508"/>
      <c r="P798" s="508"/>
      <c r="Q798" s="508"/>
      <c r="R798" s="508"/>
      <c r="S798" s="508"/>
      <c r="T798" s="508"/>
      <c r="U798" s="508"/>
      <c r="V798" s="508"/>
      <c r="W798" s="508"/>
      <c r="X798" s="508"/>
      <c r="Y798" s="508"/>
      <c r="Z798" s="508"/>
      <c r="AA798" s="508"/>
    </row>
    <row r="799">
      <c r="A799" s="508"/>
      <c r="B799" s="508"/>
      <c r="C799" s="508"/>
      <c r="D799" s="508"/>
      <c r="E799" s="967"/>
      <c r="F799" s="508"/>
      <c r="G799" s="508"/>
      <c r="H799" s="967"/>
      <c r="I799" s="508"/>
      <c r="J799" s="508"/>
      <c r="K799" s="508"/>
      <c r="L799" s="508"/>
      <c r="M799" s="508"/>
      <c r="N799" s="508"/>
      <c r="O799" s="508"/>
      <c r="P799" s="508"/>
      <c r="Q799" s="508"/>
      <c r="R799" s="508"/>
      <c r="S799" s="508"/>
      <c r="T799" s="508"/>
      <c r="U799" s="508"/>
      <c r="V799" s="508"/>
      <c r="W799" s="508"/>
      <c r="X799" s="508"/>
      <c r="Y799" s="508"/>
      <c r="Z799" s="508"/>
      <c r="AA799" s="508"/>
    </row>
    <row r="800">
      <c r="A800" s="508"/>
      <c r="B800" s="508"/>
      <c r="C800" s="508"/>
      <c r="D800" s="508"/>
      <c r="E800" s="967"/>
      <c r="F800" s="508"/>
      <c r="G800" s="508"/>
      <c r="H800" s="967"/>
      <c r="I800" s="508"/>
      <c r="J800" s="508"/>
      <c r="K800" s="508"/>
      <c r="L800" s="508"/>
      <c r="M800" s="508"/>
      <c r="N800" s="508"/>
      <c r="O800" s="508"/>
      <c r="P800" s="508"/>
      <c r="Q800" s="508"/>
      <c r="R800" s="508"/>
      <c r="S800" s="508"/>
      <c r="T800" s="508"/>
      <c r="U800" s="508"/>
      <c r="V800" s="508"/>
      <c r="W800" s="508"/>
      <c r="X800" s="508"/>
      <c r="Y800" s="508"/>
      <c r="Z800" s="508"/>
      <c r="AA800" s="508"/>
    </row>
    <row r="801">
      <c r="A801" s="508"/>
      <c r="B801" s="508"/>
      <c r="C801" s="508"/>
      <c r="D801" s="508"/>
      <c r="E801" s="967"/>
      <c r="F801" s="508"/>
      <c r="G801" s="508"/>
      <c r="H801" s="967"/>
      <c r="I801" s="508"/>
      <c r="J801" s="508"/>
      <c r="K801" s="508"/>
      <c r="L801" s="508"/>
      <c r="M801" s="508"/>
      <c r="N801" s="508"/>
      <c r="O801" s="508"/>
      <c r="P801" s="508"/>
      <c r="Q801" s="508"/>
      <c r="R801" s="508"/>
      <c r="S801" s="508"/>
      <c r="T801" s="508"/>
      <c r="U801" s="508"/>
      <c r="V801" s="508"/>
      <c r="W801" s="508"/>
      <c r="X801" s="508"/>
      <c r="Y801" s="508"/>
      <c r="Z801" s="508"/>
      <c r="AA801" s="508"/>
    </row>
    <row r="802">
      <c r="A802" s="508"/>
      <c r="B802" s="508"/>
      <c r="C802" s="508"/>
      <c r="D802" s="508"/>
      <c r="E802" s="967"/>
      <c r="F802" s="508"/>
      <c r="G802" s="508"/>
      <c r="H802" s="967"/>
      <c r="I802" s="508"/>
      <c r="J802" s="508"/>
      <c r="K802" s="508"/>
      <c r="L802" s="508"/>
      <c r="M802" s="508"/>
      <c r="N802" s="508"/>
      <c r="O802" s="508"/>
      <c r="P802" s="508"/>
      <c r="Q802" s="508"/>
      <c r="R802" s="508"/>
      <c r="S802" s="508"/>
      <c r="T802" s="508"/>
      <c r="U802" s="508"/>
      <c r="V802" s="508"/>
      <c r="W802" s="508"/>
      <c r="X802" s="508"/>
      <c r="Y802" s="508"/>
      <c r="Z802" s="508"/>
      <c r="AA802" s="508"/>
    </row>
    <row r="803">
      <c r="A803" s="508"/>
      <c r="B803" s="508"/>
      <c r="C803" s="508"/>
      <c r="D803" s="508"/>
      <c r="E803" s="967"/>
      <c r="F803" s="508"/>
      <c r="G803" s="508"/>
      <c r="H803" s="967"/>
      <c r="I803" s="508"/>
      <c r="J803" s="508"/>
      <c r="K803" s="508"/>
      <c r="L803" s="508"/>
      <c r="M803" s="508"/>
      <c r="N803" s="508"/>
      <c r="O803" s="508"/>
      <c r="P803" s="508"/>
      <c r="Q803" s="508"/>
      <c r="R803" s="508"/>
      <c r="S803" s="508"/>
      <c r="T803" s="508"/>
      <c r="U803" s="508"/>
      <c r="V803" s="508"/>
      <c r="W803" s="508"/>
      <c r="X803" s="508"/>
      <c r="Y803" s="508"/>
      <c r="Z803" s="508"/>
      <c r="AA803" s="508"/>
    </row>
    <row r="804">
      <c r="A804" s="508"/>
      <c r="B804" s="508"/>
      <c r="C804" s="508"/>
      <c r="D804" s="508"/>
      <c r="E804" s="967"/>
      <c r="F804" s="508"/>
      <c r="G804" s="508"/>
      <c r="H804" s="967"/>
      <c r="I804" s="508"/>
      <c r="J804" s="508"/>
      <c r="K804" s="508"/>
      <c r="L804" s="508"/>
      <c r="M804" s="508"/>
      <c r="N804" s="508"/>
      <c r="O804" s="508"/>
      <c r="P804" s="508"/>
      <c r="Q804" s="508"/>
      <c r="R804" s="508"/>
      <c r="S804" s="508"/>
      <c r="T804" s="508"/>
      <c r="U804" s="508"/>
      <c r="V804" s="508"/>
      <c r="W804" s="508"/>
      <c r="X804" s="508"/>
      <c r="Y804" s="508"/>
      <c r="Z804" s="508"/>
      <c r="AA804" s="508"/>
    </row>
    <row r="805">
      <c r="A805" s="508"/>
      <c r="B805" s="508"/>
      <c r="C805" s="508"/>
      <c r="D805" s="508"/>
      <c r="E805" s="967"/>
      <c r="F805" s="508"/>
      <c r="G805" s="508"/>
      <c r="H805" s="967"/>
      <c r="I805" s="508"/>
      <c r="J805" s="508"/>
      <c r="K805" s="508"/>
      <c r="L805" s="508"/>
      <c r="M805" s="508"/>
      <c r="N805" s="508"/>
      <c r="O805" s="508"/>
      <c r="P805" s="508"/>
      <c r="Q805" s="508"/>
      <c r="R805" s="508"/>
      <c r="S805" s="508"/>
      <c r="T805" s="508"/>
      <c r="U805" s="508"/>
      <c r="V805" s="508"/>
      <c r="W805" s="508"/>
      <c r="X805" s="508"/>
      <c r="Y805" s="508"/>
      <c r="Z805" s="508"/>
      <c r="AA805" s="508"/>
    </row>
    <row r="806">
      <c r="A806" s="508"/>
      <c r="B806" s="508"/>
      <c r="C806" s="508"/>
      <c r="D806" s="508"/>
      <c r="E806" s="967"/>
      <c r="F806" s="508"/>
      <c r="G806" s="508"/>
      <c r="H806" s="967"/>
      <c r="I806" s="508"/>
      <c r="J806" s="508"/>
      <c r="K806" s="508"/>
      <c r="L806" s="508"/>
      <c r="M806" s="508"/>
      <c r="N806" s="508"/>
      <c r="O806" s="508"/>
      <c r="P806" s="508"/>
      <c r="Q806" s="508"/>
      <c r="R806" s="508"/>
      <c r="S806" s="508"/>
      <c r="T806" s="508"/>
      <c r="U806" s="508"/>
      <c r="V806" s="508"/>
      <c r="W806" s="508"/>
      <c r="X806" s="508"/>
      <c r="Y806" s="508"/>
      <c r="Z806" s="508"/>
      <c r="AA806" s="508"/>
    </row>
    <row r="807">
      <c r="A807" s="508"/>
      <c r="B807" s="508"/>
      <c r="C807" s="508"/>
      <c r="D807" s="508"/>
      <c r="E807" s="967"/>
      <c r="F807" s="508"/>
      <c r="G807" s="508"/>
      <c r="H807" s="967"/>
      <c r="I807" s="508"/>
      <c r="J807" s="508"/>
      <c r="K807" s="508"/>
      <c r="L807" s="508"/>
      <c r="M807" s="508"/>
      <c r="N807" s="508"/>
      <c r="O807" s="508"/>
      <c r="P807" s="508"/>
      <c r="Q807" s="508"/>
      <c r="R807" s="508"/>
      <c r="S807" s="508"/>
      <c r="T807" s="508"/>
      <c r="U807" s="508"/>
      <c r="V807" s="508"/>
      <c r="W807" s="508"/>
      <c r="X807" s="508"/>
      <c r="Y807" s="508"/>
      <c r="Z807" s="508"/>
      <c r="AA807" s="508"/>
    </row>
    <row r="808">
      <c r="A808" s="508"/>
      <c r="B808" s="508"/>
      <c r="C808" s="508"/>
      <c r="D808" s="508"/>
      <c r="E808" s="967"/>
      <c r="F808" s="508"/>
      <c r="G808" s="508"/>
      <c r="H808" s="967"/>
      <c r="I808" s="508"/>
      <c r="J808" s="508"/>
      <c r="K808" s="508"/>
      <c r="L808" s="508"/>
      <c r="M808" s="508"/>
      <c r="N808" s="508"/>
      <c r="O808" s="508"/>
      <c r="P808" s="508"/>
      <c r="Q808" s="508"/>
      <c r="R808" s="508"/>
      <c r="S808" s="508"/>
      <c r="T808" s="508"/>
      <c r="U808" s="508"/>
      <c r="V808" s="508"/>
      <c r="W808" s="508"/>
      <c r="X808" s="508"/>
      <c r="Y808" s="508"/>
      <c r="Z808" s="508"/>
      <c r="AA808" s="508"/>
    </row>
    <row r="809">
      <c r="A809" s="508"/>
      <c r="B809" s="508"/>
      <c r="C809" s="508"/>
      <c r="D809" s="508"/>
      <c r="E809" s="967"/>
      <c r="F809" s="508"/>
      <c r="G809" s="508"/>
      <c r="H809" s="967"/>
      <c r="I809" s="508"/>
      <c r="J809" s="508"/>
      <c r="K809" s="508"/>
      <c r="L809" s="508"/>
      <c r="M809" s="508"/>
      <c r="N809" s="508"/>
      <c r="O809" s="508"/>
      <c r="P809" s="508"/>
      <c r="Q809" s="508"/>
      <c r="R809" s="508"/>
      <c r="S809" s="508"/>
      <c r="T809" s="508"/>
      <c r="U809" s="508"/>
      <c r="V809" s="508"/>
      <c r="W809" s="508"/>
      <c r="X809" s="508"/>
      <c r="Y809" s="508"/>
      <c r="Z809" s="508"/>
      <c r="AA809" s="508"/>
    </row>
    <row r="810">
      <c r="A810" s="508"/>
      <c r="B810" s="508"/>
      <c r="C810" s="508"/>
      <c r="D810" s="508"/>
      <c r="E810" s="967"/>
      <c r="F810" s="508"/>
      <c r="G810" s="508"/>
      <c r="H810" s="967"/>
      <c r="I810" s="508"/>
      <c r="J810" s="508"/>
      <c r="K810" s="508"/>
      <c r="L810" s="508"/>
      <c r="M810" s="508"/>
      <c r="N810" s="508"/>
      <c r="O810" s="508"/>
      <c r="P810" s="508"/>
      <c r="Q810" s="508"/>
      <c r="R810" s="508"/>
      <c r="S810" s="508"/>
      <c r="T810" s="508"/>
      <c r="U810" s="508"/>
      <c r="V810" s="508"/>
      <c r="W810" s="508"/>
      <c r="X810" s="508"/>
      <c r="Y810" s="508"/>
      <c r="Z810" s="508"/>
      <c r="AA810" s="508"/>
    </row>
    <row r="811">
      <c r="A811" s="508"/>
      <c r="B811" s="508"/>
      <c r="C811" s="508"/>
      <c r="D811" s="508"/>
      <c r="E811" s="967"/>
      <c r="F811" s="508"/>
      <c r="G811" s="508"/>
      <c r="H811" s="967"/>
      <c r="I811" s="508"/>
      <c r="J811" s="508"/>
      <c r="K811" s="508"/>
      <c r="L811" s="508"/>
      <c r="M811" s="508"/>
      <c r="N811" s="508"/>
      <c r="O811" s="508"/>
      <c r="P811" s="508"/>
      <c r="Q811" s="508"/>
      <c r="R811" s="508"/>
      <c r="S811" s="508"/>
      <c r="T811" s="508"/>
      <c r="U811" s="508"/>
      <c r="V811" s="508"/>
      <c r="W811" s="508"/>
      <c r="X811" s="508"/>
      <c r="Y811" s="508"/>
      <c r="Z811" s="508"/>
      <c r="AA811" s="508"/>
    </row>
    <row r="812">
      <c r="A812" s="508"/>
      <c r="B812" s="508"/>
      <c r="C812" s="508"/>
      <c r="D812" s="508"/>
      <c r="E812" s="967"/>
      <c r="F812" s="508"/>
      <c r="G812" s="508"/>
      <c r="H812" s="967"/>
      <c r="I812" s="508"/>
      <c r="J812" s="508"/>
      <c r="K812" s="508"/>
      <c r="L812" s="508"/>
      <c r="M812" s="508"/>
      <c r="N812" s="508"/>
      <c r="O812" s="508"/>
      <c r="P812" s="508"/>
      <c r="Q812" s="508"/>
      <c r="R812" s="508"/>
      <c r="S812" s="508"/>
      <c r="T812" s="508"/>
      <c r="U812" s="508"/>
      <c r="V812" s="508"/>
      <c r="W812" s="508"/>
      <c r="X812" s="508"/>
      <c r="Y812" s="508"/>
      <c r="Z812" s="508"/>
      <c r="AA812" s="508"/>
    </row>
    <row r="813">
      <c r="A813" s="508"/>
      <c r="B813" s="508"/>
      <c r="C813" s="508"/>
      <c r="D813" s="508"/>
      <c r="E813" s="967"/>
      <c r="F813" s="508"/>
      <c r="G813" s="508"/>
      <c r="H813" s="967"/>
      <c r="I813" s="508"/>
      <c r="J813" s="508"/>
      <c r="K813" s="508"/>
      <c r="L813" s="508"/>
      <c r="M813" s="508"/>
      <c r="N813" s="508"/>
      <c r="O813" s="508"/>
      <c r="P813" s="508"/>
      <c r="Q813" s="508"/>
      <c r="R813" s="508"/>
      <c r="S813" s="508"/>
      <c r="T813" s="508"/>
      <c r="U813" s="508"/>
      <c r="V813" s="508"/>
      <c r="W813" s="508"/>
      <c r="X813" s="508"/>
      <c r="Y813" s="508"/>
      <c r="Z813" s="508"/>
      <c r="AA813" s="508"/>
    </row>
    <row r="814">
      <c r="A814" s="508"/>
      <c r="B814" s="508"/>
      <c r="C814" s="508"/>
      <c r="D814" s="508"/>
      <c r="E814" s="967"/>
      <c r="F814" s="508"/>
      <c r="G814" s="508"/>
      <c r="H814" s="967"/>
      <c r="I814" s="508"/>
      <c r="J814" s="508"/>
      <c r="K814" s="508"/>
      <c r="L814" s="508"/>
      <c r="M814" s="508"/>
      <c r="N814" s="508"/>
      <c r="O814" s="508"/>
      <c r="P814" s="508"/>
      <c r="Q814" s="508"/>
      <c r="R814" s="508"/>
      <c r="S814" s="508"/>
      <c r="T814" s="508"/>
      <c r="U814" s="508"/>
      <c r="V814" s="508"/>
      <c r="W814" s="508"/>
      <c r="X814" s="508"/>
      <c r="Y814" s="508"/>
      <c r="Z814" s="508"/>
      <c r="AA814" s="508"/>
    </row>
    <row r="815">
      <c r="A815" s="508"/>
      <c r="B815" s="508"/>
      <c r="C815" s="508"/>
      <c r="D815" s="508"/>
      <c r="E815" s="967"/>
      <c r="F815" s="508"/>
      <c r="G815" s="508"/>
      <c r="H815" s="967"/>
      <c r="I815" s="508"/>
      <c r="J815" s="508"/>
      <c r="K815" s="508"/>
      <c r="L815" s="508"/>
      <c r="M815" s="508"/>
      <c r="N815" s="508"/>
      <c r="O815" s="508"/>
      <c r="P815" s="508"/>
      <c r="Q815" s="508"/>
      <c r="R815" s="508"/>
      <c r="S815" s="508"/>
      <c r="T815" s="508"/>
      <c r="U815" s="508"/>
      <c r="V815" s="508"/>
      <c r="W815" s="508"/>
      <c r="X815" s="508"/>
      <c r="Y815" s="508"/>
      <c r="Z815" s="508"/>
      <c r="AA815" s="508"/>
    </row>
    <row r="816">
      <c r="A816" s="508"/>
      <c r="B816" s="508"/>
      <c r="C816" s="508"/>
      <c r="D816" s="508"/>
      <c r="E816" s="967"/>
      <c r="F816" s="508"/>
      <c r="G816" s="508"/>
      <c r="H816" s="967"/>
      <c r="I816" s="508"/>
      <c r="J816" s="508"/>
      <c r="K816" s="508"/>
      <c r="L816" s="508"/>
      <c r="M816" s="508"/>
      <c r="N816" s="508"/>
      <c r="O816" s="508"/>
      <c r="P816" s="508"/>
      <c r="Q816" s="508"/>
      <c r="R816" s="508"/>
      <c r="S816" s="508"/>
      <c r="T816" s="508"/>
      <c r="U816" s="508"/>
      <c r="V816" s="508"/>
      <c r="W816" s="508"/>
      <c r="X816" s="508"/>
      <c r="Y816" s="508"/>
      <c r="Z816" s="508"/>
      <c r="AA816" s="508"/>
    </row>
    <row r="817">
      <c r="A817" s="508"/>
      <c r="B817" s="508"/>
      <c r="C817" s="508"/>
      <c r="D817" s="508"/>
      <c r="E817" s="967"/>
      <c r="F817" s="508"/>
      <c r="G817" s="508"/>
      <c r="H817" s="967"/>
      <c r="I817" s="508"/>
      <c r="J817" s="508"/>
      <c r="K817" s="508"/>
      <c r="L817" s="508"/>
      <c r="M817" s="508"/>
      <c r="N817" s="508"/>
      <c r="O817" s="508"/>
      <c r="P817" s="508"/>
      <c r="Q817" s="508"/>
      <c r="R817" s="508"/>
      <c r="S817" s="508"/>
      <c r="T817" s="508"/>
      <c r="U817" s="508"/>
      <c r="V817" s="508"/>
      <c r="W817" s="508"/>
      <c r="X817" s="508"/>
      <c r="Y817" s="508"/>
      <c r="Z817" s="508"/>
      <c r="AA817" s="508"/>
    </row>
    <row r="818">
      <c r="A818" s="508"/>
      <c r="B818" s="508"/>
      <c r="C818" s="508"/>
      <c r="D818" s="508"/>
      <c r="E818" s="967"/>
      <c r="F818" s="508"/>
      <c r="G818" s="508"/>
      <c r="H818" s="967"/>
      <c r="I818" s="508"/>
      <c r="J818" s="508"/>
      <c r="K818" s="508"/>
      <c r="L818" s="508"/>
      <c r="M818" s="508"/>
      <c r="N818" s="508"/>
      <c r="O818" s="508"/>
      <c r="P818" s="508"/>
      <c r="Q818" s="508"/>
      <c r="R818" s="508"/>
      <c r="S818" s="508"/>
      <c r="T818" s="508"/>
      <c r="U818" s="508"/>
      <c r="V818" s="508"/>
      <c r="W818" s="508"/>
      <c r="X818" s="508"/>
      <c r="Y818" s="508"/>
      <c r="Z818" s="508"/>
      <c r="AA818" s="508"/>
    </row>
    <row r="819">
      <c r="A819" s="508"/>
      <c r="B819" s="508"/>
      <c r="C819" s="508"/>
      <c r="D819" s="508"/>
      <c r="E819" s="967"/>
      <c r="F819" s="508"/>
      <c r="G819" s="508"/>
      <c r="H819" s="967"/>
      <c r="I819" s="508"/>
      <c r="J819" s="508"/>
      <c r="K819" s="508"/>
      <c r="L819" s="508"/>
      <c r="M819" s="508"/>
      <c r="N819" s="508"/>
      <c r="O819" s="508"/>
      <c r="P819" s="508"/>
      <c r="Q819" s="508"/>
      <c r="R819" s="508"/>
      <c r="S819" s="508"/>
      <c r="T819" s="508"/>
      <c r="U819" s="508"/>
      <c r="V819" s="508"/>
      <c r="W819" s="508"/>
      <c r="X819" s="508"/>
      <c r="Y819" s="508"/>
      <c r="Z819" s="508"/>
      <c r="AA819" s="508"/>
    </row>
    <row r="820">
      <c r="A820" s="508"/>
      <c r="B820" s="508"/>
      <c r="C820" s="508"/>
      <c r="D820" s="508"/>
      <c r="E820" s="967"/>
      <c r="F820" s="508"/>
      <c r="G820" s="508"/>
      <c r="H820" s="967"/>
      <c r="I820" s="508"/>
      <c r="J820" s="508"/>
      <c r="K820" s="508"/>
      <c r="L820" s="508"/>
      <c r="M820" s="508"/>
      <c r="N820" s="508"/>
      <c r="O820" s="508"/>
      <c r="P820" s="508"/>
      <c r="Q820" s="508"/>
      <c r="R820" s="508"/>
      <c r="S820" s="508"/>
      <c r="T820" s="508"/>
      <c r="U820" s="508"/>
      <c r="V820" s="508"/>
      <c r="W820" s="508"/>
      <c r="X820" s="508"/>
      <c r="Y820" s="508"/>
      <c r="Z820" s="508"/>
      <c r="AA820" s="508"/>
    </row>
    <row r="821">
      <c r="A821" s="508"/>
      <c r="B821" s="508"/>
      <c r="C821" s="508"/>
      <c r="D821" s="508"/>
      <c r="E821" s="967"/>
      <c r="F821" s="508"/>
      <c r="G821" s="508"/>
      <c r="H821" s="967"/>
      <c r="I821" s="508"/>
      <c r="J821" s="508"/>
      <c r="K821" s="508"/>
      <c r="L821" s="508"/>
      <c r="M821" s="508"/>
      <c r="N821" s="508"/>
      <c r="O821" s="508"/>
      <c r="P821" s="508"/>
      <c r="Q821" s="508"/>
      <c r="R821" s="508"/>
      <c r="S821" s="508"/>
      <c r="T821" s="508"/>
      <c r="U821" s="508"/>
      <c r="V821" s="508"/>
      <c r="W821" s="508"/>
      <c r="X821" s="508"/>
      <c r="Y821" s="508"/>
      <c r="Z821" s="508"/>
      <c r="AA821" s="508"/>
    </row>
    <row r="822">
      <c r="A822" s="508"/>
      <c r="B822" s="508"/>
      <c r="C822" s="508"/>
      <c r="D822" s="508"/>
      <c r="E822" s="967"/>
      <c r="F822" s="508"/>
      <c r="G822" s="508"/>
      <c r="H822" s="967"/>
      <c r="I822" s="508"/>
      <c r="J822" s="508"/>
      <c r="K822" s="508"/>
      <c r="L822" s="508"/>
      <c r="M822" s="508"/>
      <c r="N822" s="508"/>
      <c r="O822" s="508"/>
      <c r="P822" s="508"/>
      <c r="Q822" s="508"/>
      <c r="R822" s="508"/>
      <c r="S822" s="508"/>
      <c r="T822" s="508"/>
      <c r="U822" s="508"/>
      <c r="V822" s="508"/>
      <c r="W822" s="508"/>
      <c r="X822" s="508"/>
      <c r="Y822" s="508"/>
      <c r="Z822" s="508"/>
      <c r="AA822" s="508"/>
    </row>
    <row r="823">
      <c r="A823" s="508"/>
      <c r="B823" s="508"/>
      <c r="C823" s="508"/>
      <c r="D823" s="508"/>
      <c r="E823" s="967"/>
      <c r="F823" s="508"/>
      <c r="G823" s="508"/>
      <c r="H823" s="967"/>
      <c r="I823" s="508"/>
      <c r="J823" s="508"/>
      <c r="K823" s="508"/>
      <c r="L823" s="508"/>
      <c r="M823" s="508"/>
      <c r="N823" s="508"/>
      <c r="O823" s="508"/>
      <c r="P823" s="508"/>
      <c r="Q823" s="508"/>
      <c r="R823" s="508"/>
      <c r="S823" s="508"/>
      <c r="T823" s="508"/>
      <c r="U823" s="508"/>
      <c r="V823" s="508"/>
      <c r="W823" s="508"/>
      <c r="X823" s="508"/>
      <c r="Y823" s="508"/>
      <c r="Z823" s="508"/>
      <c r="AA823" s="508"/>
    </row>
    <row r="824">
      <c r="A824" s="508"/>
      <c r="B824" s="508"/>
      <c r="C824" s="508"/>
      <c r="D824" s="508"/>
      <c r="E824" s="967"/>
      <c r="F824" s="508"/>
      <c r="G824" s="508"/>
      <c r="H824" s="967"/>
      <c r="I824" s="508"/>
      <c r="J824" s="508"/>
      <c r="K824" s="508"/>
      <c r="L824" s="508"/>
      <c r="M824" s="508"/>
      <c r="N824" s="508"/>
      <c r="O824" s="508"/>
      <c r="P824" s="508"/>
      <c r="Q824" s="508"/>
      <c r="R824" s="508"/>
      <c r="S824" s="508"/>
      <c r="T824" s="508"/>
      <c r="U824" s="508"/>
      <c r="V824" s="508"/>
      <c r="W824" s="508"/>
      <c r="X824" s="508"/>
      <c r="Y824" s="508"/>
      <c r="Z824" s="508"/>
      <c r="AA824" s="508"/>
    </row>
    <row r="825">
      <c r="A825" s="508"/>
      <c r="B825" s="508"/>
      <c r="C825" s="508"/>
      <c r="D825" s="508"/>
      <c r="E825" s="967"/>
      <c r="F825" s="508"/>
      <c r="G825" s="508"/>
      <c r="H825" s="967"/>
      <c r="I825" s="508"/>
      <c r="J825" s="508"/>
      <c r="K825" s="508"/>
      <c r="L825" s="508"/>
      <c r="M825" s="508"/>
      <c r="N825" s="508"/>
      <c r="O825" s="508"/>
      <c r="P825" s="508"/>
      <c r="Q825" s="508"/>
      <c r="R825" s="508"/>
      <c r="S825" s="508"/>
      <c r="T825" s="508"/>
      <c r="U825" s="508"/>
      <c r="V825" s="508"/>
      <c r="W825" s="508"/>
      <c r="X825" s="508"/>
      <c r="Y825" s="508"/>
      <c r="Z825" s="508"/>
      <c r="AA825" s="508"/>
    </row>
    <row r="826">
      <c r="A826" s="508"/>
      <c r="B826" s="508"/>
      <c r="C826" s="508"/>
      <c r="D826" s="508"/>
      <c r="E826" s="967"/>
      <c r="F826" s="508"/>
      <c r="G826" s="508"/>
      <c r="H826" s="967"/>
      <c r="I826" s="508"/>
      <c r="J826" s="508"/>
      <c r="K826" s="508"/>
      <c r="L826" s="508"/>
      <c r="M826" s="508"/>
      <c r="N826" s="508"/>
      <c r="O826" s="508"/>
      <c r="P826" s="508"/>
      <c r="Q826" s="508"/>
      <c r="R826" s="508"/>
      <c r="S826" s="508"/>
      <c r="T826" s="508"/>
      <c r="U826" s="508"/>
      <c r="V826" s="508"/>
      <c r="W826" s="508"/>
      <c r="X826" s="508"/>
      <c r="Y826" s="508"/>
      <c r="Z826" s="508"/>
      <c r="AA826" s="508"/>
    </row>
    <row r="827">
      <c r="A827" s="508"/>
      <c r="B827" s="508"/>
      <c r="C827" s="508"/>
      <c r="D827" s="508"/>
      <c r="E827" s="967"/>
      <c r="F827" s="508"/>
      <c r="G827" s="508"/>
      <c r="H827" s="967"/>
      <c r="I827" s="508"/>
      <c r="J827" s="508"/>
      <c r="K827" s="508"/>
      <c r="L827" s="508"/>
      <c r="M827" s="508"/>
      <c r="N827" s="508"/>
      <c r="O827" s="508"/>
      <c r="P827" s="508"/>
      <c r="Q827" s="508"/>
      <c r="R827" s="508"/>
      <c r="S827" s="508"/>
      <c r="T827" s="508"/>
      <c r="U827" s="508"/>
      <c r="V827" s="508"/>
      <c r="W827" s="508"/>
      <c r="X827" s="508"/>
      <c r="Y827" s="508"/>
      <c r="Z827" s="508"/>
      <c r="AA827" s="508"/>
    </row>
    <row r="828">
      <c r="A828" s="508"/>
      <c r="B828" s="508"/>
      <c r="C828" s="508"/>
      <c r="D828" s="508"/>
      <c r="E828" s="967"/>
      <c r="F828" s="508"/>
      <c r="G828" s="508"/>
      <c r="H828" s="967"/>
      <c r="I828" s="508"/>
      <c r="J828" s="508"/>
      <c r="K828" s="508"/>
      <c r="L828" s="508"/>
      <c r="M828" s="508"/>
      <c r="N828" s="508"/>
      <c r="O828" s="508"/>
      <c r="P828" s="508"/>
      <c r="Q828" s="508"/>
      <c r="R828" s="508"/>
      <c r="S828" s="508"/>
      <c r="T828" s="508"/>
      <c r="U828" s="508"/>
      <c r="V828" s="508"/>
      <c r="W828" s="508"/>
      <c r="X828" s="508"/>
      <c r="Y828" s="508"/>
      <c r="Z828" s="508"/>
      <c r="AA828" s="508"/>
    </row>
    <row r="829">
      <c r="A829" s="508"/>
      <c r="B829" s="508"/>
      <c r="C829" s="508"/>
      <c r="D829" s="508"/>
      <c r="E829" s="967"/>
      <c r="F829" s="508"/>
      <c r="G829" s="508"/>
      <c r="H829" s="967"/>
      <c r="I829" s="508"/>
      <c r="J829" s="508"/>
      <c r="K829" s="508"/>
      <c r="L829" s="508"/>
      <c r="M829" s="508"/>
      <c r="N829" s="508"/>
      <c r="O829" s="508"/>
      <c r="P829" s="508"/>
      <c r="Q829" s="508"/>
      <c r="R829" s="508"/>
      <c r="S829" s="508"/>
      <c r="T829" s="508"/>
      <c r="U829" s="508"/>
      <c r="V829" s="508"/>
      <c r="W829" s="508"/>
      <c r="X829" s="508"/>
      <c r="Y829" s="508"/>
      <c r="Z829" s="508"/>
      <c r="AA829" s="508"/>
    </row>
    <row r="830">
      <c r="A830" s="508"/>
      <c r="B830" s="508"/>
      <c r="C830" s="508"/>
      <c r="D830" s="508"/>
      <c r="E830" s="967"/>
      <c r="F830" s="508"/>
      <c r="G830" s="508"/>
      <c r="H830" s="967"/>
      <c r="I830" s="508"/>
      <c r="J830" s="508"/>
      <c r="K830" s="508"/>
      <c r="L830" s="508"/>
      <c r="M830" s="508"/>
      <c r="N830" s="508"/>
      <c r="O830" s="508"/>
      <c r="P830" s="508"/>
      <c r="Q830" s="508"/>
      <c r="R830" s="508"/>
      <c r="S830" s="508"/>
      <c r="T830" s="508"/>
      <c r="U830" s="508"/>
      <c r="V830" s="508"/>
      <c r="W830" s="508"/>
      <c r="X830" s="508"/>
      <c r="Y830" s="508"/>
      <c r="Z830" s="508"/>
      <c r="AA830" s="508"/>
    </row>
    <row r="831">
      <c r="A831" s="508"/>
      <c r="B831" s="508"/>
      <c r="C831" s="508"/>
      <c r="D831" s="508"/>
      <c r="E831" s="967"/>
      <c r="F831" s="508"/>
      <c r="G831" s="508"/>
      <c r="H831" s="967"/>
      <c r="I831" s="508"/>
      <c r="J831" s="508"/>
      <c r="K831" s="508"/>
      <c r="L831" s="508"/>
      <c r="M831" s="508"/>
      <c r="N831" s="508"/>
      <c r="O831" s="508"/>
      <c r="P831" s="508"/>
      <c r="Q831" s="508"/>
      <c r="R831" s="508"/>
      <c r="S831" s="508"/>
      <c r="T831" s="508"/>
      <c r="U831" s="508"/>
      <c r="V831" s="508"/>
      <c r="W831" s="508"/>
      <c r="X831" s="508"/>
      <c r="Y831" s="508"/>
      <c r="Z831" s="508"/>
      <c r="AA831" s="508"/>
    </row>
    <row r="832">
      <c r="A832" s="508"/>
      <c r="B832" s="508"/>
      <c r="C832" s="508"/>
      <c r="D832" s="508"/>
      <c r="E832" s="967"/>
      <c r="F832" s="508"/>
      <c r="G832" s="508"/>
      <c r="H832" s="967"/>
      <c r="I832" s="508"/>
      <c r="J832" s="508"/>
      <c r="K832" s="508"/>
      <c r="L832" s="508"/>
      <c r="M832" s="508"/>
      <c r="N832" s="508"/>
      <c r="O832" s="508"/>
      <c r="P832" s="508"/>
      <c r="Q832" s="508"/>
      <c r="R832" s="508"/>
      <c r="S832" s="508"/>
      <c r="T832" s="508"/>
      <c r="U832" s="508"/>
      <c r="V832" s="508"/>
      <c r="W832" s="508"/>
      <c r="X832" s="508"/>
      <c r="Y832" s="508"/>
      <c r="Z832" s="508"/>
      <c r="AA832" s="508"/>
    </row>
    <row r="833">
      <c r="A833" s="508"/>
      <c r="B833" s="508"/>
      <c r="C833" s="508"/>
      <c r="D833" s="508"/>
      <c r="E833" s="967"/>
      <c r="F833" s="508"/>
      <c r="G833" s="508"/>
      <c r="H833" s="967"/>
      <c r="I833" s="508"/>
      <c r="J833" s="508"/>
      <c r="K833" s="508"/>
      <c r="L833" s="508"/>
      <c r="M833" s="508"/>
      <c r="N833" s="508"/>
      <c r="O833" s="508"/>
      <c r="P833" s="508"/>
      <c r="Q833" s="508"/>
      <c r="R833" s="508"/>
      <c r="S833" s="508"/>
      <c r="T833" s="508"/>
      <c r="U833" s="508"/>
      <c r="V833" s="508"/>
      <c r="W833" s="508"/>
      <c r="X833" s="508"/>
      <c r="Y833" s="508"/>
      <c r="Z833" s="508"/>
      <c r="AA833" s="508"/>
    </row>
    <row r="834">
      <c r="A834" s="508"/>
      <c r="B834" s="508"/>
      <c r="C834" s="508"/>
      <c r="D834" s="508"/>
      <c r="E834" s="967"/>
      <c r="F834" s="508"/>
      <c r="G834" s="508"/>
      <c r="H834" s="967"/>
      <c r="I834" s="508"/>
      <c r="J834" s="508"/>
      <c r="K834" s="508"/>
      <c r="L834" s="508"/>
      <c r="M834" s="508"/>
      <c r="N834" s="508"/>
      <c r="O834" s="508"/>
      <c r="P834" s="508"/>
      <c r="Q834" s="508"/>
      <c r="R834" s="508"/>
      <c r="S834" s="508"/>
      <c r="T834" s="508"/>
      <c r="U834" s="508"/>
      <c r="V834" s="508"/>
      <c r="W834" s="508"/>
      <c r="X834" s="508"/>
      <c r="Y834" s="508"/>
      <c r="Z834" s="508"/>
      <c r="AA834" s="508"/>
    </row>
    <row r="835">
      <c r="A835" s="508"/>
      <c r="B835" s="508"/>
      <c r="C835" s="508"/>
      <c r="D835" s="508"/>
      <c r="E835" s="967"/>
      <c r="F835" s="508"/>
      <c r="G835" s="508"/>
      <c r="H835" s="967"/>
      <c r="I835" s="508"/>
      <c r="J835" s="508"/>
      <c r="K835" s="508"/>
      <c r="L835" s="508"/>
      <c r="M835" s="508"/>
      <c r="N835" s="508"/>
      <c r="O835" s="508"/>
      <c r="P835" s="508"/>
      <c r="Q835" s="508"/>
      <c r="R835" s="508"/>
      <c r="S835" s="508"/>
      <c r="T835" s="508"/>
      <c r="U835" s="508"/>
      <c r="V835" s="508"/>
      <c r="W835" s="508"/>
      <c r="X835" s="508"/>
      <c r="Y835" s="508"/>
      <c r="Z835" s="508"/>
      <c r="AA835" s="508"/>
    </row>
    <row r="836">
      <c r="A836" s="508"/>
      <c r="B836" s="508"/>
      <c r="C836" s="508"/>
      <c r="D836" s="508"/>
      <c r="E836" s="967"/>
      <c r="F836" s="508"/>
      <c r="G836" s="508"/>
      <c r="H836" s="967"/>
      <c r="I836" s="508"/>
      <c r="J836" s="508"/>
      <c r="K836" s="508"/>
      <c r="L836" s="508"/>
      <c r="M836" s="508"/>
      <c r="N836" s="508"/>
      <c r="O836" s="508"/>
      <c r="P836" s="508"/>
      <c r="Q836" s="508"/>
      <c r="R836" s="508"/>
      <c r="S836" s="508"/>
      <c r="T836" s="508"/>
      <c r="U836" s="508"/>
      <c r="V836" s="508"/>
      <c r="W836" s="508"/>
      <c r="X836" s="508"/>
      <c r="Y836" s="508"/>
      <c r="Z836" s="508"/>
      <c r="AA836" s="508"/>
    </row>
    <row r="837">
      <c r="A837" s="508"/>
      <c r="B837" s="508"/>
      <c r="C837" s="508"/>
      <c r="D837" s="508"/>
      <c r="E837" s="967"/>
      <c r="F837" s="508"/>
      <c r="G837" s="508"/>
      <c r="H837" s="967"/>
      <c r="I837" s="508"/>
      <c r="J837" s="508"/>
      <c r="K837" s="508"/>
      <c r="L837" s="508"/>
      <c r="M837" s="508"/>
      <c r="N837" s="508"/>
      <c r="O837" s="508"/>
      <c r="P837" s="508"/>
      <c r="Q837" s="508"/>
      <c r="R837" s="508"/>
      <c r="S837" s="508"/>
      <c r="T837" s="508"/>
      <c r="U837" s="508"/>
      <c r="V837" s="508"/>
      <c r="W837" s="508"/>
      <c r="X837" s="508"/>
      <c r="Y837" s="508"/>
      <c r="Z837" s="508"/>
      <c r="AA837" s="508"/>
    </row>
    <row r="838">
      <c r="A838" s="508"/>
      <c r="B838" s="508"/>
      <c r="C838" s="508"/>
      <c r="D838" s="508"/>
      <c r="E838" s="967"/>
      <c r="F838" s="508"/>
      <c r="G838" s="508"/>
      <c r="H838" s="967"/>
      <c r="I838" s="508"/>
      <c r="J838" s="508"/>
      <c r="K838" s="508"/>
      <c r="L838" s="508"/>
      <c r="M838" s="508"/>
      <c r="N838" s="508"/>
      <c r="O838" s="508"/>
      <c r="P838" s="508"/>
      <c r="Q838" s="508"/>
      <c r="R838" s="508"/>
      <c r="S838" s="508"/>
      <c r="T838" s="508"/>
      <c r="U838" s="508"/>
      <c r="V838" s="508"/>
      <c r="W838" s="508"/>
      <c r="X838" s="508"/>
      <c r="Y838" s="508"/>
      <c r="Z838" s="508"/>
      <c r="AA838" s="508"/>
    </row>
    <row r="839">
      <c r="A839" s="508"/>
      <c r="B839" s="508"/>
      <c r="C839" s="508"/>
      <c r="D839" s="508"/>
      <c r="E839" s="967"/>
      <c r="F839" s="508"/>
      <c r="G839" s="508"/>
      <c r="H839" s="967"/>
      <c r="I839" s="508"/>
      <c r="J839" s="508"/>
      <c r="K839" s="508"/>
      <c r="L839" s="508"/>
      <c r="M839" s="508"/>
      <c r="N839" s="508"/>
      <c r="O839" s="508"/>
      <c r="P839" s="508"/>
      <c r="Q839" s="508"/>
      <c r="R839" s="508"/>
      <c r="S839" s="508"/>
      <c r="T839" s="508"/>
      <c r="U839" s="508"/>
      <c r="V839" s="508"/>
      <c r="W839" s="508"/>
      <c r="X839" s="508"/>
      <c r="Y839" s="508"/>
      <c r="Z839" s="508"/>
      <c r="AA839" s="508"/>
    </row>
    <row r="840">
      <c r="A840" s="508"/>
      <c r="B840" s="508"/>
      <c r="C840" s="508"/>
      <c r="D840" s="508"/>
      <c r="E840" s="967"/>
      <c r="F840" s="508"/>
      <c r="G840" s="508"/>
      <c r="H840" s="967"/>
      <c r="I840" s="508"/>
      <c r="J840" s="508"/>
      <c r="K840" s="508"/>
      <c r="L840" s="508"/>
      <c r="M840" s="508"/>
      <c r="N840" s="508"/>
      <c r="O840" s="508"/>
      <c r="P840" s="508"/>
      <c r="Q840" s="508"/>
      <c r="R840" s="508"/>
      <c r="S840" s="508"/>
      <c r="T840" s="508"/>
      <c r="U840" s="508"/>
      <c r="V840" s="508"/>
      <c r="W840" s="508"/>
      <c r="X840" s="508"/>
      <c r="Y840" s="508"/>
      <c r="Z840" s="508"/>
      <c r="AA840" s="508"/>
    </row>
    <row r="841">
      <c r="A841" s="508"/>
      <c r="B841" s="508"/>
      <c r="C841" s="508"/>
      <c r="D841" s="508"/>
      <c r="E841" s="967"/>
      <c r="F841" s="508"/>
      <c r="G841" s="508"/>
      <c r="H841" s="967"/>
      <c r="I841" s="508"/>
      <c r="J841" s="508"/>
      <c r="K841" s="508"/>
      <c r="L841" s="508"/>
      <c r="M841" s="508"/>
      <c r="N841" s="508"/>
      <c r="O841" s="508"/>
      <c r="P841" s="508"/>
      <c r="Q841" s="508"/>
      <c r="R841" s="508"/>
      <c r="S841" s="508"/>
      <c r="T841" s="508"/>
      <c r="U841" s="508"/>
      <c r="V841" s="508"/>
      <c r="W841" s="508"/>
      <c r="X841" s="508"/>
      <c r="Y841" s="508"/>
      <c r="Z841" s="508"/>
      <c r="AA841" s="508"/>
    </row>
    <row r="842">
      <c r="A842" s="508"/>
      <c r="B842" s="508"/>
      <c r="C842" s="508"/>
      <c r="D842" s="508"/>
      <c r="E842" s="967"/>
      <c r="F842" s="508"/>
      <c r="G842" s="508"/>
      <c r="H842" s="967"/>
      <c r="I842" s="508"/>
      <c r="J842" s="508"/>
      <c r="K842" s="508"/>
      <c r="L842" s="508"/>
      <c r="M842" s="508"/>
      <c r="N842" s="508"/>
      <c r="O842" s="508"/>
      <c r="P842" s="508"/>
      <c r="Q842" s="508"/>
      <c r="R842" s="508"/>
      <c r="S842" s="508"/>
      <c r="T842" s="508"/>
      <c r="U842" s="508"/>
      <c r="V842" s="508"/>
      <c r="W842" s="508"/>
      <c r="X842" s="508"/>
      <c r="Y842" s="508"/>
      <c r="Z842" s="508"/>
      <c r="AA842" s="508"/>
    </row>
    <row r="843">
      <c r="A843" s="508"/>
      <c r="B843" s="508"/>
      <c r="C843" s="508"/>
      <c r="D843" s="508"/>
      <c r="E843" s="967"/>
      <c r="F843" s="508"/>
      <c r="G843" s="508"/>
      <c r="H843" s="967"/>
      <c r="I843" s="508"/>
      <c r="J843" s="508"/>
      <c r="K843" s="508"/>
      <c r="L843" s="508"/>
      <c r="M843" s="508"/>
      <c r="N843" s="508"/>
      <c r="O843" s="508"/>
      <c r="P843" s="508"/>
      <c r="Q843" s="508"/>
      <c r="R843" s="508"/>
      <c r="S843" s="508"/>
      <c r="T843" s="508"/>
      <c r="U843" s="508"/>
      <c r="V843" s="508"/>
      <c r="W843" s="508"/>
      <c r="X843" s="508"/>
      <c r="Y843" s="508"/>
      <c r="Z843" s="508"/>
      <c r="AA843" s="508"/>
    </row>
    <row r="844">
      <c r="A844" s="508"/>
      <c r="B844" s="508"/>
      <c r="C844" s="508"/>
      <c r="D844" s="508"/>
      <c r="E844" s="967"/>
      <c r="F844" s="508"/>
      <c r="G844" s="508"/>
      <c r="H844" s="967"/>
      <c r="I844" s="508"/>
      <c r="J844" s="508"/>
      <c r="K844" s="508"/>
      <c r="L844" s="508"/>
      <c r="M844" s="508"/>
      <c r="N844" s="508"/>
      <c r="O844" s="508"/>
      <c r="P844" s="508"/>
      <c r="Q844" s="508"/>
      <c r="R844" s="508"/>
      <c r="S844" s="508"/>
      <c r="T844" s="508"/>
      <c r="U844" s="508"/>
      <c r="V844" s="508"/>
      <c r="W844" s="508"/>
      <c r="X844" s="508"/>
      <c r="Y844" s="508"/>
      <c r="Z844" s="508"/>
      <c r="AA844" s="508"/>
    </row>
    <row r="845">
      <c r="A845" s="508"/>
      <c r="B845" s="508"/>
      <c r="C845" s="508"/>
      <c r="D845" s="508"/>
      <c r="E845" s="967"/>
      <c r="F845" s="508"/>
      <c r="G845" s="508"/>
      <c r="H845" s="967"/>
      <c r="I845" s="508"/>
      <c r="J845" s="508"/>
      <c r="K845" s="508"/>
      <c r="L845" s="508"/>
      <c r="M845" s="508"/>
      <c r="N845" s="508"/>
      <c r="O845" s="508"/>
      <c r="P845" s="508"/>
      <c r="Q845" s="508"/>
      <c r="R845" s="508"/>
      <c r="S845" s="508"/>
      <c r="T845" s="508"/>
      <c r="U845" s="508"/>
      <c r="V845" s="508"/>
      <c r="W845" s="508"/>
      <c r="X845" s="508"/>
      <c r="Y845" s="508"/>
      <c r="Z845" s="508"/>
      <c r="AA845" s="508"/>
    </row>
    <row r="846">
      <c r="A846" s="508"/>
      <c r="B846" s="508"/>
      <c r="C846" s="508"/>
      <c r="D846" s="508"/>
      <c r="E846" s="967"/>
      <c r="F846" s="508"/>
      <c r="G846" s="508"/>
      <c r="H846" s="967"/>
      <c r="I846" s="508"/>
      <c r="J846" s="508"/>
      <c r="K846" s="508"/>
      <c r="L846" s="508"/>
      <c r="M846" s="508"/>
      <c r="N846" s="508"/>
      <c r="O846" s="508"/>
      <c r="P846" s="508"/>
      <c r="Q846" s="508"/>
      <c r="R846" s="508"/>
      <c r="S846" s="508"/>
      <c r="T846" s="508"/>
      <c r="U846" s="508"/>
      <c r="V846" s="508"/>
      <c r="W846" s="508"/>
      <c r="X846" s="508"/>
      <c r="Y846" s="508"/>
      <c r="Z846" s="508"/>
      <c r="AA846" s="508"/>
    </row>
    <row r="847">
      <c r="A847" s="508"/>
      <c r="B847" s="508"/>
      <c r="C847" s="508"/>
      <c r="D847" s="508"/>
      <c r="E847" s="967"/>
      <c r="F847" s="508"/>
      <c r="G847" s="508"/>
      <c r="H847" s="967"/>
      <c r="I847" s="508"/>
      <c r="J847" s="508"/>
      <c r="K847" s="508"/>
      <c r="L847" s="508"/>
      <c r="M847" s="508"/>
      <c r="N847" s="508"/>
      <c r="O847" s="508"/>
      <c r="P847" s="508"/>
      <c r="Q847" s="508"/>
      <c r="R847" s="508"/>
      <c r="S847" s="508"/>
      <c r="T847" s="508"/>
      <c r="U847" s="508"/>
      <c r="V847" s="508"/>
      <c r="W847" s="508"/>
      <c r="X847" s="508"/>
      <c r="Y847" s="508"/>
      <c r="Z847" s="508"/>
      <c r="AA847" s="508"/>
    </row>
    <row r="848">
      <c r="A848" s="508"/>
      <c r="B848" s="508"/>
      <c r="C848" s="508"/>
      <c r="D848" s="508"/>
      <c r="E848" s="967"/>
      <c r="F848" s="508"/>
      <c r="G848" s="508"/>
      <c r="H848" s="967"/>
      <c r="I848" s="508"/>
      <c r="J848" s="508"/>
      <c r="K848" s="508"/>
      <c r="L848" s="508"/>
      <c r="M848" s="508"/>
      <c r="N848" s="508"/>
      <c r="O848" s="508"/>
      <c r="P848" s="508"/>
      <c r="Q848" s="508"/>
      <c r="R848" s="508"/>
      <c r="S848" s="508"/>
      <c r="T848" s="508"/>
      <c r="U848" s="508"/>
      <c r="V848" s="508"/>
      <c r="W848" s="508"/>
      <c r="X848" s="508"/>
      <c r="Y848" s="508"/>
      <c r="Z848" s="508"/>
      <c r="AA848" s="508"/>
    </row>
    <row r="849">
      <c r="A849" s="508"/>
      <c r="B849" s="508"/>
      <c r="C849" s="508"/>
      <c r="D849" s="508"/>
      <c r="E849" s="967"/>
      <c r="F849" s="508"/>
      <c r="G849" s="508"/>
      <c r="H849" s="967"/>
      <c r="I849" s="508"/>
      <c r="J849" s="508"/>
      <c r="K849" s="508"/>
      <c r="L849" s="508"/>
      <c r="M849" s="508"/>
      <c r="N849" s="508"/>
      <c r="O849" s="508"/>
      <c r="P849" s="508"/>
      <c r="Q849" s="508"/>
      <c r="R849" s="508"/>
      <c r="S849" s="508"/>
      <c r="T849" s="508"/>
      <c r="U849" s="508"/>
      <c r="V849" s="508"/>
      <c r="W849" s="508"/>
      <c r="X849" s="508"/>
      <c r="Y849" s="508"/>
      <c r="Z849" s="508"/>
      <c r="AA849" s="508"/>
    </row>
    <row r="850">
      <c r="A850" s="508"/>
      <c r="B850" s="508"/>
      <c r="C850" s="508"/>
      <c r="D850" s="508"/>
      <c r="E850" s="967"/>
      <c r="F850" s="508"/>
      <c r="G850" s="508"/>
      <c r="H850" s="967"/>
      <c r="I850" s="508"/>
      <c r="J850" s="508"/>
      <c r="K850" s="508"/>
      <c r="L850" s="508"/>
      <c r="M850" s="508"/>
      <c r="N850" s="508"/>
      <c r="O850" s="508"/>
      <c r="P850" s="508"/>
      <c r="Q850" s="508"/>
      <c r="R850" s="508"/>
      <c r="S850" s="508"/>
      <c r="T850" s="508"/>
      <c r="U850" s="508"/>
      <c r="V850" s="508"/>
      <c r="W850" s="508"/>
      <c r="X850" s="508"/>
      <c r="Y850" s="508"/>
      <c r="Z850" s="508"/>
      <c r="AA850" s="508"/>
    </row>
    <row r="851">
      <c r="A851" s="508"/>
      <c r="B851" s="508"/>
      <c r="C851" s="508"/>
      <c r="D851" s="508"/>
      <c r="E851" s="967"/>
      <c r="F851" s="508"/>
      <c r="G851" s="508"/>
      <c r="H851" s="967"/>
      <c r="I851" s="508"/>
      <c r="J851" s="508"/>
      <c r="K851" s="508"/>
      <c r="L851" s="508"/>
      <c r="M851" s="508"/>
      <c r="N851" s="508"/>
      <c r="O851" s="508"/>
      <c r="P851" s="508"/>
      <c r="Q851" s="508"/>
      <c r="R851" s="508"/>
      <c r="S851" s="508"/>
      <c r="T851" s="508"/>
      <c r="U851" s="508"/>
      <c r="V851" s="508"/>
      <c r="W851" s="508"/>
      <c r="X851" s="508"/>
      <c r="Y851" s="508"/>
      <c r="Z851" s="508"/>
      <c r="AA851" s="508"/>
    </row>
    <row r="852">
      <c r="A852" s="508"/>
      <c r="B852" s="508"/>
      <c r="C852" s="508"/>
      <c r="D852" s="508"/>
      <c r="E852" s="967"/>
      <c r="F852" s="508"/>
      <c r="G852" s="508"/>
      <c r="H852" s="967"/>
      <c r="I852" s="508"/>
      <c r="J852" s="508"/>
      <c r="K852" s="508"/>
      <c r="L852" s="508"/>
      <c r="M852" s="508"/>
      <c r="N852" s="508"/>
      <c r="O852" s="508"/>
      <c r="P852" s="508"/>
      <c r="Q852" s="508"/>
      <c r="R852" s="508"/>
      <c r="S852" s="508"/>
      <c r="T852" s="508"/>
      <c r="U852" s="508"/>
      <c r="V852" s="508"/>
      <c r="W852" s="508"/>
      <c r="X852" s="508"/>
      <c r="Y852" s="508"/>
      <c r="Z852" s="508"/>
      <c r="AA852" s="508"/>
    </row>
    <row r="853">
      <c r="A853" s="508"/>
      <c r="B853" s="508"/>
      <c r="C853" s="508"/>
      <c r="D853" s="508"/>
      <c r="E853" s="967"/>
      <c r="F853" s="508"/>
      <c r="G853" s="508"/>
      <c r="H853" s="967"/>
      <c r="I853" s="508"/>
      <c r="J853" s="508"/>
      <c r="K853" s="508"/>
      <c r="L853" s="508"/>
      <c r="M853" s="508"/>
      <c r="N853" s="508"/>
      <c r="O853" s="508"/>
      <c r="P853" s="508"/>
      <c r="Q853" s="508"/>
      <c r="R853" s="508"/>
      <c r="S853" s="508"/>
      <c r="T853" s="508"/>
      <c r="U853" s="508"/>
      <c r="V853" s="508"/>
      <c r="W853" s="508"/>
      <c r="X853" s="508"/>
      <c r="Y853" s="508"/>
      <c r="Z853" s="508"/>
      <c r="AA853" s="508"/>
    </row>
    <row r="854">
      <c r="A854" s="508"/>
      <c r="B854" s="508"/>
      <c r="C854" s="508"/>
      <c r="D854" s="508"/>
      <c r="E854" s="967"/>
      <c r="F854" s="508"/>
      <c r="G854" s="508"/>
      <c r="H854" s="967"/>
      <c r="I854" s="508"/>
      <c r="J854" s="508"/>
      <c r="K854" s="508"/>
      <c r="L854" s="508"/>
      <c r="M854" s="508"/>
      <c r="N854" s="508"/>
      <c r="O854" s="508"/>
      <c r="P854" s="508"/>
      <c r="Q854" s="508"/>
      <c r="R854" s="508"/>
      <c r="S854" s="508"/>
      <c r="T854" s="508"/>
      <c r="U854" s="508"/>
      <c r="V854" s="508"/>
      <c r="W854" s="508"/>
      <c r="X854" s="508"/>
      <c r="Y854" s="508"/>
      <c r="Z854" s="508"/>
      <c r="AA854" s="508"/>
    </row>
    <row r="855">
      <c r="A855" s="508"/>
      <c r="B855" s="508"/>
      <c r="C855" s="508"/>
      <c r="D855" s="508"/>
      <c r="E855" s="967"/>
      <c r="F855" s="508"/>
      <c r="G855" s="508"/>
      <c r="H855" s="967"/>
      <c r="I855" s="508"/>
      <c r="J855" s="508"/>
      <c r="K855" s="508"/>
      <c r="L855" s="508"/>
      <c r="M855" s="508"/>
      <c r="N855" s="508"/>
      <c r="O855" s="508"/>
      <c r="P855" s="508"/>
      <c r="Q855" s="508"/>
      <c r="R855" s="508"/>
      <c r="S855" s="508"/>
      <c r="T855" s="508"/>
      <c r="U855" s="508"/>
      <c r="V855" s="508"/>
      <c r="W855" s="508"/>
      <c r="X855" s="508"/>
      <c r="Y855" s="508"/>
      <c r="Z855" s="508"/>
      <c r="AA855" s="508"/>
    </row>
    <row r="856">
      <c r="A856" s="508"/>
      <c r="B856" s="508"/>
      <c r="C856" s="508"/>
      <c r="D856" s="508"/>
      <c r="E856" s="967"/>
      <c r="F856" s="508"/>
      <c r="G856" s="508"/>
      <c r="H856" s="967"/>
      <c r="I856" s="508"/>
      <c r="J856" s="508"/>
      <c r="K856" s="508"/>
      <c r="L856" s="508"/>
      <c r="M856" s="508"/>
      <c r="N856" s="508"/>
      <c r="O856" s="508"/>
      <c r="P856" s="508"/>
      <c r="Q856" s="508"/>
      <c r="R856" s="508"/>
      <c r="S856" s="508"/>
      <c r="T856" s="508"/>
      <c r="U856" s="508"/>
      <c r="V856" s="508"/>
      <c r="W856" s="508"/>
      <c r="X856" s="508"/>
      <c r="Y856" s="508"/>
      <c r="Z856" s="508"/>
      <c r="AA856" s="508"/>
    </row>
    <row r="857">
      <c r="A857" s="508"/>
      <c r="B857" s="508"/>
      <c r="C857" s="508"/>
      <c r="D857" s="508"/>
      <c r="E857" s="967"/>
      <c r="F857" s="508"/>
      <c r="G857" s="508"/>
      <c r="H857" s="967"/>
      <c r="I857" s="508"/>
      <c r="J857" s="508"/>
      <c r="K857" s="508"/>
      <c r="L857" s="508"/>
      <c r="M857" s="508"/>
      <c r="N857" s="508"/>
      <c r="O857" s="508"/>
      <c r="P857" s="508"/>
      <c r="Q857" s="508"/>
      <c r="R857" s="508"/>
      <c r="S857" s="508"/>
      <c r="T857" s="508"/>
      <c r="U857" s="508"/>
      <c r="V857" s="508"/>
      <c r="W857" s="508"/>
      <c r="X857" s="508"/>
      <c r="Y857" s="508"/>
      <c r="Z857" s="508"/>
      <c r="AA857" s="508"/>
    </row>
    <row r="858">
      <c r="A858" s="508"/>
      <c r="B858" s="508"/>
      <c r="C858" s="508"/>
      <c r="D858" s="508"/>
      <c r="E858" s="967"/>
      <c r="F858" s="508"/>
      <c r="G858" s="508"/>
      <c r="H858" s="967"/>
      <c r="I858" s="508"/>
      <c r="J858" s="508"/>
      <c r="K858" s="508"/>
      <c r="L858" s="508"/>
      <c r="M858" s="508"/>
      <c r="N858" s="508"/>
      <c r="O858" s="508"/>
      <c r="P858" s="508"/>
      <c r="Q858" s="508"/>
      <c r="R858" s="508"/>
      <c r="S858" s="508"/>
      <c r="T858" s="508"/>
      <c r="U858" s="508"/>
      <c r="V858" s="508"/>
      <c r="W858" s="508"/>
      <c r="X858" s="508"/>
      <c r="Y858" s="508"/>
      <c r="Z858" s="508"/>
      <c r="AA858" s="508"/>
    </row>
    <row r="859">
      <c r="A859" s="508"/>
      <c r="B859" s="508"/>
      <c r="C859" s="508"/>
      <c r="D859" s="508"/>
      <c r="E859" s="967"/>
      <c r="F859" s="508"/>
      <c r="G859" s="508"/>
      <c r="H859" s="967"/>
      <c r="I859" s="508"/>
      <c r="J859" s="508"/>
      <c r="K859" s="508"/>
      <c r="L859" s="508"/>
      <c r="M859" s="508"/>
      <c r="N859" s="508"/>
      <c r="O859" s="508"/>
      <c r="P859" s="508"/>
      <c r="Q859" s="508"/>
      <c r="R859" s="508"/>
      <c r="S859" s="508"/>
      <c r="T859" s="508"/>
      <c r="U859" s="508"/>
      <c r="V859" s="508"/>
      <c r="W859" s="508"/>
      <c r="X859" s="508"/>
      <c r="Y859" s="508"/>
      <c r="Z859" s="508"/>
      <c r="AA859" s="508"/>
    </row>
    <row r="860">
      <c r="A860" s="508"/>
      <c r="B860" s="508"/>
      <c r="C860" s="508"/>
      <c r="D860" s="508"/>
      <c r="E860" s="967"/>
      <c r="F860" s="508"/>
      <c r="G860" s="508"/>
      <c r="H860" s="967"/>
      <c r="I860" s="508"/>
      <c r="J860" s="508"/>
      <c r="K860" s="508"/>
      <c r="L860" s="508"/>
      <c r="M860" s="508"/>
      <c r="N860" s="508"/>
      <c r="O860" s="508"/>
      <c r="P860" s="508"/>
      <c r="Q860" s="508"/>
      <c r="R860" s="508"/>
      <c r="S860" s="508"/>
      <c r="T860" s="508"/>
      <c r="U860" s="508"/>
      <c r="V860" s="508"/>
      <c r="W860" s="508"/>
      <c r="X860" s="508"/>
      <c r="Y860" s="508"/>
      <c r="Z860" s="508"/>
      <c r="AA860" s="508"/>
    </row>
    <row r="861">
      <c r="A861" s="508"/>
      <c r="B861" s="508"/>
      <c r="C861" s="508"/>
      <c r="D861" s="508"/>
      <c r="E861" s="967"/>
      <c r="F861" s="508"/>
      <c r="G861" s="508"/>
      <c r="H861" s="967"/>
      <c r="I861" s="508"/>
      <c r="J861" s="508"/>
      <c r="K861" s="508"/>
      <c r="L861" s="508"/>
      <c r="M861" s="508"/>
      <c r="N861" s="508"/>
      <c r="O861" s="508"/>
      <c r="P861" s="508"/>
      <c r="Q861" s="508"/>
      <c r="R861" s="508"/>
      <c r="S861" s="508"/>
      <c r="T861" s="508"/>
      <c r="U861" s="508"/>
      <c r="V861" s="508"/>
      <c r="W861" s="508"/>
      <c r="X861" s="508"/>
      <c r="Y861" s="508"/>
      <c r="Z861" s="508"/>
      <c r="AA861" s="508"/>
    </row>
    <row r="862">
      <c r="A862" s="508"/>
      <c r="B862" s="508"/>
      <c r="C862" s="508"/>
      <c r="D862" s="508"/>
      <c r="E862" s="967"/>
      <c r="F862" s="508"/>
      <c r="G862" s="508"/>
      <c r="H862" s="967"/>
      <c r="I862" s="508"/>
      <c r="J862" s="508"/>
      <c r="K862" s="508"/>
      <c r="L862" s="508"/>
      <c r="M862" s="508"/>
      <c r="N862" s="508"/>
      <c r="O862" s="508"/>
      <c r="P862" s="508"/>
      <c r="Q862" s="508"/>
      <c r="R862" s="508"/>
      <c r="S862" s="508"/>
      <c r="T862" s="508"/>
      <c r="U862" s="508"/>
      <c r="V862" s="508"/>
      <c r="W862" s="508"/>
      <c r="X862" s="508"/>
      <c r="Y862" s="508"/>
      <c r="Z862" s="508"/>
      <c r="AA862" s="508"/>
    </row>
    <row r="863">
      <c r="A863" s="508"/>
      <c r="B863" s="508"/>
      <c r="C863" s="508"/>
      <c r="D863" s="508"/>
      <c r="E863" s="967"/>
      <c r="F863" s="508"/>
      <c r="G863" s="508"/>
      <c r="H863" s="967"/>
      <c r="I863" s="508"/>
      <c r="J863" s="508"/>
      <c r="K863" s="508"/>
      <c r="L863" s="508"/>
      <c r="M863" s="508"/>
      <c r="N863" s="508"/>
      <c r="O863" s="508"/>
      <c r="P863" s="508"/>
      <c r="Q863" s="508"/>
      <c r="R863" s="508"/>
      <c r="S863" s="508"/>
      <c r="T863" s="508"/>
      <c r="U863" s="508"/>
      <c r="V863" s="508"/>
      <c r="W863" s="508"/>
      <c r="X863" s="508"/>
      <c r="Y863" s="508"/>
      <c r="Z863" s="508"/>
      <c r="AA863" s="508"/>
    </row>
    <row r="864">
      <c r="A864" s="508"/>
      <c r="B864" s="508"/>
      <c r="C864" s="508"/>
      <c r="D864" s="508"/>
      <c r="E864" s="967"/>
      <c r="F864" s="508"/>
      <c r="G864" s="508"/>
      <c r="H864" s="967"/>
      <c r="I864" s="508"/>
      <c r="J864" s="508"/>
      <c r="K864" s="508"/>
      <c r="L864" s="508"/>
      <c r="M864" s="508"/>
      <c r="N864" s="508"/>
      <c r="O864" s="508"/>
      <c r="P864" s="508"/>
      <c r="Q864" s="508"/>
      <c r="R864" s="508"/>
      <c r="S864" s="508"/>
      <c r="T864" s="508"/>
      <c r="U864" s="508"/>
      <c r="V864" s="508"/>
      <c r="W864" s="508"/>
      <c r="X864" s="508"/>
      <c r="Y864" s="508"/>
      <c r="Z864" s="508"/>
      <c r="AA864" s="508"/>
    </row>
    <row r="865">
      <c r="A865" s="508"/>
      <c r="B865" s="508"/>
      <c r="C865" s="508"/>
      <c r="D865" s="508"/>
      <c r="E865" s="967"/>
      <c r="F865" s="508"/>
      <c r="G865" s="508"/>
      <c r="H865" s="967"/>
      <c r="I865" s="508"/>
      <c r="J865" s="508"/>
      <c r="K865" s="508"/>
      <c r="L865" s="508"/>
      <c r="M865" s="508"/>
      <c r="N865" s="508"/>
      <c r="O865" s="508"/>
      <c r="P865" s="508"/>
      <c r="Q865" s="508"/>
      <c r="R865" s="508"/>
      <c r="S865" s="508"/>
      <c r="T865" s="508"/>
      <c r="U865" s="508"/>
      <c r="V865" s="508"/>
      <c r="W865" s="508"/>
      <c r="X865" s="508"/>
      <c r="Y865" s="508"/>
      <c r="Z865" s="508"/>
      <c r="AA865" s="508"/>
    </row>
    <row r="866">
      <c r="A866" s="508"/>
      <c r="B866" s="508"/>
      <c r="C866" s="508"/>
      <c r="D866" s="508"/>
      <c r="E866" s="967"/>
      <c r="F866" s="508"/>
      <c r="G866" s="508"/>
      <c r="H866" s="967"/>
      <c r="I866" s="508"/>
      <c r="J866" s="508"/>
      <c r="K866" s="508"/>
      <c r="L866" s="508"/>
      <c r="M866" s="508"/>
      <c r="N866" s="508"/>
      <c r="O866" s="508"/>
      <c r="P866" s="508"/>
      <c r="Q866" s="508"/>
      <c r="R866" s="508"/>
      <c r="S866" s="508"/>
      <c r="T866" s="508"/>
      <c r="U866" s="508"/>
      <c r="V866" s="508"/>
      <c r="W866" s="508"/>
      <c r="X866" s="508"/>
      <c r="Y866" s="508"/>
      <c r="Z866" s="508"/>
      <c r="AA866" s="508"/>
    </row>
    <row r="867">
      <c r="A867" s="508"/>
      <c r="B867" s="508"/>
      <c r="C867" s="508"/>
      <c r="D867" s="508"/>
      <c r="E867" s="967"/>
      <c r="F867" s="508"/>
      <c r="G867" s="508"/>
      <c r="H867" s="967"/>
      <c r="I867" s="508"/>
      <c r="J867" s="508"/>
      <c r="K867" s="508"/>
      <c r="L867" s="508"/>
      <c r="M867" s="508"/>
      <c r="N867" s="508"/>
      <c r="O867" s="508"/>
      <c r="P867" s="508"/>
      <c r="Q867" s="508"/>
      <c r="R867" s="508"/>
      <c r="S867" s="508"/>
      <c r="T867" s="508"/>
      <c r="U867" s="508"/>
      <c r="V867" s="508"/>
      <c r="W867" s="508"/>
      <c r="X867" s="508"/>
      <c r="Y867" s="508"/>
      <c r="Z867" s="508"/>
      <c r="AA867" s="508"/>
    </row>
    <row r="868">
      <c r="A868" s="508"/>
      <c r="B868" s="508"/>
      <c r="C868" s="508"/>
      <c r="D868" s="508"/>
      <c r="E868" s="967"/>
      <c r="F868" s="508"/>
      <c r="G868" s="508"/>
      <c r="H868" s="967"/>
      <c r="I868" s="508"/>
      <c r="J868" s="508"/>
      <c r="K868" s="508"/>
      <c r="L868" s="508"/>
      <c r="M868" s="508"/>
      <c r="N868" s="508"/>
      <c r="O868" s="508"/>
      <c r="P868" s="508"/>
      <c r="Q868" s="508"/>
      <c r="R868" s="508"/>
      <c r="S868" s="508"/>
      <c r="T868" s="508"/>
      <c r="U868" s="508"/>
      <c r="V868" s="508"/>
      <c r="W868" s="508"/>
      <c r="X868" s="508"/>
      <c r="Y868" s="508"/>
      <c r="Z868" s="508"/>
      <c r="AA868" s="508"/>
    </row>
    <row r="869">
      <c r="A869" s="508"/>
      <c r="B869" s="508"/>
      <c r="C869" s="508"/>
      <c r="D869" s="508"/>
      <c r="E869" s="967"/>
      <c r="F869" s="508"/>
      <c r="G869" s="508"/>
      <c r="H869" s="967"/>
      <c r="I869" s="508"/>
      <c r="J869" s="508"/>
      <c r="K869" s="508"/>
      <c r="L869" s="508"/>
      <c r="M869" s="508"/>
      <c r="N869" s="508"/>
      <c r="O869" s="508"/>
      <c r="P869" s="508"/>
      <c r="Q869" s="508"/>
      <c r="R869" s="508"/>
      <c r="S869" s="508"/>
      <c r="T869" s="508"/>
      <c r="U869" s="508"/>
      <c r="V869" s="508"/>
      <c r="W869" s="508"/>
      <c r="X869" s="508"/>
      <c r="Y869" s="508"/>
      <c r="Z869" s="508"/>
      <c r="AA869" s="508"/>
    </row>
    <row r="870">
      <c r="A870" s="508"/>
      <c r="B870" s="508"/>
      <c r="C870" s="508"/>
      <c r="D870" s="508"/>
      <c r="E870" s="967"/>
      <c r="F870" s="508"/>
      <c r="G870" s="508"/>
      <c r="H870" s="967"/>
      <c r="I870" s="508"/>
      <c r="J870" s="508"/>
      <c r="K870" s="508"/>
      <c r="L870" s="508"/>
      <c r="M870" s="508"/>
      <c r="N870" s="508"/>
      <c r="O870" s="508"/>
      <c r="P870" s="508"/>
      <c r="Q870" s="508"/>
      <c r="R870" s="508"/>
      <c r="S870" s="508"/>
      <c r="T870" s="508"/>
      <c r="U870" s="508"/>
      <c r="V870" s="508"/>
      <c r="W870" s="508"/>
      <c r="X870" s="508"/>
      <c r="Y870" s="508"/>
      <c r="Z870" s="508"/>
      <c r="AA870" s="508"/>
    </row>
    <row r="871">
      <c r="A871" s="508"/>
      <c r="B871" s="508"/>
      <c r="C871" s="508"/>
      <c r="D871" s="508"/>
      <c r="E871" s="967"/>
      <c r="F871" s="508"/>
      <c r="G871" s="508"/>
      <c r="H871" s="967"/>
      <c r="I871" s="508"/>
      <c r="J871" s="508"/>
      <c r="K871" s="508"/>
      <c r="L871" s="508"/>
      <c r="M871" s="508"/>
      <c r="N871" s="508"/>
      <c r="O871" s="508"/>
      <c r="P871" s="508"/>
      <c r="Q871" s="508"/>
      <c r="R871" s="508"/>
      <c r="S871" s="508"/>
      <c r="T871" s="508"/>
      <c r="U871" s="508"/>
      <c r="V871" s="508"/>
      <c r="W871" s="508"/>
      <c r="X871" s="508"/>
      <c r="Y871" s="508"/>
      <c r="Z871" s="508"/>
      <c r="AA871" s="508"/>
    </row>
    <row r="872">
      <c r="A872" s="508"/>
      <c r="B872" s="508"/>
      <c r="C872" s="508"/>
      <c r="D872" s="508"/>
      <c r="E872" s="967"/>
      <c r="F872" s="508"/>
      <c r="G872" s="508"/>
      <c r="H872" s="967"/>
      <c r="I872" s="508"/>
      <c r="J872" s="508"/>
      <c r="K872" s="508"/>
      <c r="L872" s="508"/>
      <c r="M872" s="508"/>
      <c r="N872" s="508"/>
      <c r="O872" s="508"/>
      <c r="P872" s="508"/>
      <c r="Q872" s="508"/>
      <c r="R872" s="508"/>
      <c r="S872" s="508"/>
      <c r="T872" s="508"/>
      <c r="U872" s="508"/>
      <c r="V872" s="508"/>
      <c r="W872" s="508"/>
      <c r="X872" s="508"/>
      <c r="Y872" s="508"/>
      <c r="Z872" s="508"/>
      <c r="AA872" s="508"/>
    </row>
    <row r="873">
      <c r="A873" s="508"/>
      <c r="B873" s="508"/>
      <c r="C873" s="508"/>
      <c r="D873" s="508"/>
      <c r="E873" s="967"/>
      <c r="F873" s="508"/>
      <c r="G873" s="508"/>
      <c r="H873" s="967"/>
      <c r="I873" s="508"/>
      <c r="J873" s="508"/>
      <c r="K873" s="508"/>
      <c r="L873" s="508"/>
      <c r="M873" s="508"/>
      <c r="N873" s="508"/>
      <c r="O873" s="508"/>
      <c r="P873" s="508"/>
      <c r="Q873" s="508"/>
      <c r="R873" s="508"/>
      <c r="S873" s="508"/>
      <c r="T873" s="508"/>
      <c r="U873" s="508"/>
      <c r="V873" s="508"/>
      <c r="W873" s="508"/>
      <c r="X873" s="508"/>
      <c r="Y873" s="508"/>
      <c r="Z873" s="508"/>
      <c r="AA873" s="508"/>
    </row>
    <row r="874">
      <c r="A874" s="508"/>
      <c r="B874" s="508"/>
      <c r="C874" s="508"/>
      <c r="D874" s="508"/>
      <c r="E874" s="967"/>
      <c r="F874" s="508"/>
      <c r="G874" s="508"/>
      <c r="H874" s="967"/>
      <c r="I874" s="508"/>
      <c r="J874" s="508"/>
      <c r="K874" s="508"/>
      <c r="L874" s="508"/>
      <c r="M874" s="508"/>
      <c r="N874" s="508"/>
      <c r="O874" s="508"/>
      <c r="P874" s="508"/>
      <c r="Q874" s="508"/>
      <c r="R874" s="508"/>
      <c r="S874" s="508"/>
      <c r="T874" s="508"/>
      <c r="U874" s="508"/>
      <c r="V874" s="508"/>
      <c r="W874" s="508"/>
      <c r="X874" s="508"/>
      <c r="Y874" s="508"/>
      <c r="Z874" s="508"/>
      <c r="AA874" s="508"/>
    </row>
    <row r="875">
      <c r="A875" s="508"/>
      <c r="B875" s="508"/>
      <c r="C875" s="508"/>
      <c r="D875" s="508"/>
      <c r="E875" s="967"/>
      <c r="F875" s="508"/>
      <c r="G875" s="508"/>
      <c r="H875" s="967"/>
      <c r="I875" s="508"/>
      <c r="J875" s="508"/>
      <c r="K875" s="508"/>
      <c r="L875" s="508"/>
      <c r="M875" s="508"/>
      <c r="N875" s="508"/>
      <c r="O875" s="508"/>
      <c r="P875" s="508"/>
      <c r="Q875" s="508"/>
      <c r="R875" s="508"/>
      <c r="S875" s="508"/>
      <c r="T875" s="508"/>
      <c r="U875" s="508"/>
      <c r="V875" s="508"/>
      <c r="W875" s="508"/>
      <c r="X875" s="508"/>
      <c r="Y875" s="508"/>
      <c r="Z875" s="508"/>
      <c r="AA875" s="508"/>
    </row>
    <row r="876">
      <c r="A876" s="508"/>
      <c r="B876" s="508"/>
      <c r="C876" s="508"/>
      <c r="D876" s="508"/>
      <c r="E876" s="967"/>
      <c r="F876" s="508"/>
      <c r="G876" s="508"/>
      <c r="H876" s="967"/>
      <c r="I876" s="508"/>
      <c r="J876" s="508"/>
      <c r="K876" s="508"/>
      <c r="L876" s="508"/>
      <c r="M876" s="508"/>
      <c r="N876" s="508"/>
      <c r="O876" s="508"/>
      <c r="P876" s="508"/>
      <c r="Q876" s="508"/>
      <c r="R876" s="508"/>
      <c r="S876" s="508"/>
      <c r="T876" s="508"/>
      <c r="U876" s="508"/>
      <c r="V876" s="508"/>
      <c r="W876" s="508"/>
      <c r="X876" s="508"/>
      <c r="Y876" s="508"/>
      <c r="Z876" s="508"/>
      <c r="AA876" s="508"/>
    </row>
    <row r="877">
      <c r="A877" s="508"/>
      <c r="B877" s="508"/>
      <c r="C877" s="508"/>
      <c r="D877" s="508"/>
      <c r="E877" s="967"/>
      <c r="F877" s="508"/>
      <c r="G877" s="508"/>
      <c r="H877" s="967"/>
      <c r="I877" s="508"/>
      <c r="J877" s="508"/>
      <c r="K877" s="508"/>
      <c r="L877" s="508"/>
      <c r="M877" s="508"/>
      <c r="N877" s="508"/>
      <c r="O877" s="508"/>
      <c r="P877" s="508"/>
      <c r="Q877" s="508"/>
      <c r="R877" s="508"/>
      <c r="S877" s="508"/>
      <c r="T877" s="508"/>
      <c r="U877" s="508"/>
      <c r="V877" s="508"/>
      <c r="W877" s="508"/>
      <c r="X877" s="508"/>
      <c r="Y877" s="508"/>
      <c r="Z877" s="508"/>
      <c r="AA877" s="508"/>
    </row>
    <row r="878">
      <c r="A878" s="508"/>
      <c r="B878" s="508"/>
      <c r="C878" s="508"/>
      <c r="D878" s="508"/>
      <c r="E878" s="967"/>
      <c r="F878" s="508"/>
      <c r="G878" s="508"/>
      <c r="H878" s="967"/>
      <c r="I878" s="508"/>
      <c r="J878" s="508"/>
      <c r="K878" s="508"/>
      <c r="L878" s="508"/>
      <c r="M878" s="508"/>
      <c r="N878" s="508"/>
      <c r="O878" s="508"/>
      <c r="P878" s="508"/>
      <c r="Q878" s="508"/>
      <c r="R878" s="508"/>
      <c r="S878" s="508"/>
      <c r="T878" s="508"/>
      <c r="U878" s="508"/>
      <c r="V878" s="508"/>
      <c r="W878" s="508"/>
      <c r="X878" s="508"/>
      <c r="Y878" s="508"/>
      <c r="Z878" s="508"/>
      <c r="AA878" s="508"/>
    </row>
    <row r="879">
      <c r="A879" s="508"/>
      <c r="B879" s="508"/>
      <c r="C879" s="508"/>
      <c r="D879" s="508"/>
      <c r="E879" s="967"/>
      <c r="F879" s="508"/>
      <c r="G879" s="508"/>
      <c r="H879" s="967"/>
      <c r="I879" s="508"/>
      <c r="J879" s="508"/>
      <c r="K879" s="508"/>
      <c r="L879" s="508"/>
      <c r="M879" s="508"/>
      <c r="N879" s="508"/>
      <c r="O879" s="508"/>
      <c r="P879" s="508"/>
      <c r="Q879" s="508"/>
      <c r="R879" s="508"/>
      <c r="S879" s="508"/>
      <c r="T879" s="508"/>
      <c r="U879" s="508"/>
      <c r="V879" s="508"/>
      <c r="W879" s="508"/>
      <c r="X879" s="508"/>
      <c r="Y879" s="508"/>
      <c r="Z879" s="508"/>
      <c r="AA879" s="508"/>
    </row>
    <row r="880">
      <c r="A880" s="508"/>
      <c r="B880" s="508"/>
      <c r="C880" s="508"/>
      <c r="D880" s="508"/>
      <c r="E880" s="967"/>
      <c r="F880" s="508"/>
      <c r="G880" s="508"/>
      <c r="H880" s="967"/>
      <c r="I880" s="508"/>
      <c r="J880" s="508"/>
      <c r="K880" s="508"/>
      <c r="L880" s="508"/>
      <c r="M880" s="508"/>
      <c r="N880" s="508"/>
      <c r="O880" s="508"/>
      <c r="P880" s="508"/>
      <c r="Q880" s="508"/>
      <c r="R880" s="508"/>
      <c r="S880" s="508"/>
      <c r="T880" s="508"/>
      <c r="U880" s="508"/>
      <c r="V880" s="508"/>
      <c r="W880" s="508"/>
      <c r="X880" s="508"/>
      <c r="Y880" s="508"/>
      <c r="Z880" s="508"/>
      <c r="AA880" s="508"/>
    </row>
    <row r="881">
      <c r="A881" s="508"/>
      <c r="B881" s="508"/>
      <c r="C881" s="508"/>
      <c r="D881" s="508"/>
      <c r="E881" s="967"/>
      <c r="F881" s="508"/>
      <c r="G881" s="508"/>
      <c r="H881" s="967"/>
      <c r="I881" s="508"/>
      <c r="J881" s="508"/>
      <c r="K881" s="508"/>
      <c r="L881" s="508"/>
      <c r="M881" s="508"/>
      <c r="N881" s="508"/>
      <c r="O881" s="508"/>
      <c r="P881" s="508"/>
      <c r="Q881" s="508"/>
      <c r="R881" s="508"/>
      <c r="S881" s="508"/>
      <c r="T881" s="508"/>
      <c r="U881" s="508"/>
      <c r="V881" s="508"/>
      <c r="W881" s="508"/>
      <c r="X881" s="508"/>
      <c r="Y881" s="508"/>
      <c r="Z881" s="508"/>
      <c r="AA881" s="508"/>
    </row>
    <row r="882">
      <c r="A882" s="508"/>
      <c r="B882" s="508"/>
      <c r="C882" s="508"/>
      <c r="D882" s="508"/>
      <c r="E882" s="967"/>
      <c r="F882" s="508"/>
      <c r="G882" s="508"/>
      <c r="H882" s="967"/>
      <c r="I882" s="508"/>
      <c r="J882" s="508"/>
      <c r="K882" s="508"/>
      <c r="L882" s="508"/>
      <c r="M882" s="508"/>
      <c r="N882" s="508"/>
      <c r="O882" s="508"/>
      <c r="P882" s="508"/>
      <c r="Q882" s="508"/>
      <c r="R882" s="508"/>
      <c r="S882" s="508"/>
      <c r="T882" s="508"/>
      <c r="U882" s="508"/>
      <c r="V882" s="508"/>
      <c r="W882" s="508"/>
      <c r="X882" s="508"/>
      <c r="Y882" s="508"/>
      <c r="Z882" s="508"/>
      <c r="AA882" s="508"/>
    </row>
    <row r="883">
      <c r="A883" s="508"/>
      <c r="B883" s="508"/>
      <c r="C883" s="508"/>
      <c r="D883" s="508"/>
      <c r="E883" s="967"/>
      <c r="F883" s="508"/>
      <c r="G883" s="508"/>
      <c r="H883" s="967"/>
      <c r="I883" s="508"/>
      <c r="J883" s="508"/>
      <c r="K883" s="508"/>
      <c r="L883" s="508"/>
      <c r="M883" s="508"/>
      <c r="N883" s="508"/>
      <c r="O883" s="508"/>
      <c r="P883" s="508"/>
      <c r="Q883" s="508"/>
      <c r="R883" s="508"/>
      <c r="S883" s="508"/>
      <c r="T883" s="508"/>
      <c r="U883" s="508"/>
      <c r="V883" s="508"/>
      <c r="W883" s="508"/>
      <c r="X883" s="508"/>
      <c r="Y883" s="508"/>
      <c r="Z883" s="508"/>
      <c r="AA883" s="508"/>
    </row>
    <row r="884">
      <c r="A884" s="508"/>
      <c r="B884" s="508"/>
      <c r="C884" s="508"/>
      <c r="D884" s="508"/>
      <c r="E884" s="967"/>
      <c r="F884" s="508"/>
      <c r="G884" s="508"/>
      <c r="H884" s="967"/>
      <c r="I884" s="508"/>
      <c r="J884" s="508"/>
      <c r="K884" s="508"/>
      <c r="L884" s="508"/>
      <c r="M884" s="508"/>
      <c r="N884" s="508"/>
      <c r="O884" s="508"/>
      <c r="P884" s="508"/>
      <c r="Q884" s="508"/>
      <c r="R884" s="508"/>
      <c r="S884" s="508"/>
      <c r="T884" s="508"/>
      <c r="U884" s="508"/>
      <c r="V884" s="508"/>
      <c r="W884" s="508"/>
      <c r="X884" s="508"/>
      <c r="Y884" s="508"/>
      <c r="Z884" s="508"/>
      <c r="AA884" s="508"/>
    </row>
    <row r="885">
      <c r="A885" s="508"/>
      <c r="B885" s="508"/>
      <c r="C885" s="508"/>
      <c r="D885" s="508"/>
      <c r="E885" s="967"/>
      <c r="F885" s="508"/>
      <c r="G885" s="508"/>
      <c r="H885" s="967"/>
      <c r="I885" s="508"/>
      <c r="J885" s="508"/>
      <c r="K885" s="508"/>
      <c r="L885" s="508"/>
      <c r="M885" s="508"/>
      <c r="N885" s="508"/>
      <c r="O885" s="508"/>
      <c r="P885" s="508"/>
      <c r="Q885" s="508"/>
      <c r="R885" s="508"/>
      <c r="S885" s="508"/>
      <c r="T885" s="508"/>
      <c r="U885" s="508"/>
      <c r="V885" s="508"/>
      <c r="W885" s="508"/>
      <c r="X885" s="508"/>
      <c r="Y885" s="508"/>
      <c r="Z885" s="508"/>
      <c r="AA885" s="508"/>
    </row>
    <row r="886">
      <c r="A886" s="508"/>
      <c r="B886" s="508"/>
      <c r="C886" s="508"/>
      <c r="D886" s="508"/>
      <c r="E886" s="967"/>
      <c r="F886" s="508"/>
      <c r="G886" s="508"/>
      <c r="H886" s="967"/>
      <c r="I886" s="508"/>
      <c r="J886" s="508"/>
      <c r="K886" s="508"/>
      <c r="L886" s="508"/>
      <c r="M886" s="508"/>
      <c r="N886" s="508"/>
      <c r="O886" s="508"/>
      <c r="P886" s="508"/>
      <c r="Q886" s="508"/>
      <c r="R886" s="508"/>
      <c r="S886" s="508"/>
      <c r="T886" s="508"/>
      <c r="U886" s="508"/>
      <c r="V886" s="508"/>
      <c r="W886" s="508"/>
      <c r="X886" s="508"/>
      <c r="Y886" s="508"/>
      <c r="Z886" s="508"/>
      <c r="AA886" s="508"/>
    </row>
    <row r="887">
      <c r="A887" s="508"/>
      <c r="B887" s="508"/>
      <c r="C887" s="508"/>
      <c r="D887" s="508"/>
      <c r="E887" s="967"/>
      <c r="F887" s="508"/>
      <c r="G887" s="508"/>
      <c r="H887" s="967"/>
      <c r="I887" s="508"/>
      <c r="J887" s="508"/>
      <c r="K887" s="508"/>
      <c r="L887" s="508"/>
      <c r="M887" s="508"/>
      <c r="N887" s="508"/>
      <c r="O887" s="508"/>
      <c r="P887" s="508"/>
      <c r="Q887" s="508"/>
      <c r="R887" s="508"/>
      <c r="S887" s="508"/>
      <c r="T887" s="508"/>
      <c r="U887" s="508"/>
      <c r="V887" s="508"/>
      <c r="W887" s="508"/>
      <c r="X887" s="508"/>
      <c r="Y887" s="508"/>
      <c r="Z887" s="508"/>
      <c r="AA887" s="508"/>
    </row>
    <row r="888">
      <c r="A888" s="508"/>
      <c r="B888" s="508"/>
      <c r="C888" s="508"/>
      <c r="D888" s="508"/>
      <c r="E888" s="967"/>
      <c r="F888" s="508"/>
      <c r="G888" s="508"/>
      <c r="H888" s="967"/>
      <c r="I888" s="508"/>
      <c r="J888" s="508"/>
      <c r="K888" s="508"/>
      <c r="L888" s="508"/>
      <c r="M888" s="508"/>
      <c r="N888" s="508"/>
      <c r="O888" s="508"/>
      <c r="P888" s="508"/>
      <c r="Q888" s="508"/>
      <c r="R888" s="508"/>
      <c r="S888" s="508"/>
      <c r="T888" s="508"/>
      <c r="U888" s="508"/>
      <c r="V888" s="508"/>
      <c r="W888" s="508"/>
      <c r="X888" s="508"/>
      <c r="Y888" s="508"/>
      <c r="Z888" s="508"/>
      <c r="AA888" s="508"/>
    </row>
    <row r="889">
      <c r="A889" s="508"/>
      <c r="B889" s="508"/>
      <c r="C889" s="508"/>
      <c r="D889" s="508"/>
      <c r="E889" s="967"/>
      <c r="F889" s="508"/>
      <c r="G889" s="508"/>
      <c r="H889" s="967"/>
      <c r="I889" s="508"/>
      <c r="J889" s="508"/>
      <c r="K889" s="508"/>
      <c r="L889" s="508"/>
      <c r="M889" s="508"/>
      <c r="N889" s="508"/>
      <c r="O889" s="508"/>
      <c r="P889" s="508"/>
      <c r="Q889" s="508"/>
      <c r="R889" s="508"/>
      <c r="S889" s="508"/>
      <c r="T889" s="508"/>
      <c r="U889" s="508"/>
      <c r="V889" s="508"/>
      <c r="W889" s="508"/>
      <c r="X889" s="508"/>
      <c r="Y889" s="508"/>
      <c r="Z889" s="508"/>
      <c r="AA889" s="508"/>
    </row>
    <row r="890">
      <c r="A890" s="508"/>
      <c r="B890" s="508"/>
      <c r="C890" s="508"/>
      <c r="D890" s="508"/>
      <c r="E890" s="967"/>
      <c r="F890" s="508"/>
      <c r="G890" s="508"/>
      <c r="H890" s="967"/>
      <c r="I890" s="508"/>
      <c r="J890" s="508"/>
      <c r="K890" s="508"/>
      <c r="L890" s="508"/>
      <c r="M890" s="508"/>
      <c r="N890" s="508"/>
      <c r="O890" s="508"/>
      <c r="P890" s="508"/>
      <c r="Q890" s="508"/>
      <c r="R890" s="508"/>
      <c r="S890" s="508"/>
      <c r="T890" s="508"/>
      <c r="U890" s="508"/>
      <c r="V890" s="508"/>
      <c r="W890" s="508"/>
      <c r="X890" s="508"/>
      <c r="Y890" s="508"/>
      <c r="Z890" s="508"/>
      <c r="AA890" s="508"/>
    </row>
    <row r="891">
      <c r="A891" s="508"/>
      <c r="B891" s="508"/>
      <c r="C891" s="508"/>
      <c r="D891" s="508"/>
      <c r="E891" s="967"/>
      <c r="F891" s="508"/>
      <c r="G891" s="508"/>
      <c r="H891" s="967"/>
      <c r="I891" s="508"/>
      <c r="J891" s="508"/>
      <c r="K891" s="508"/>
      <c r="L891" s="508"/>
      <c r="M891" s="508"/>
      <c r="N891" s="508"/>
      <c r="O891" s="508"/>
      <c r="P891" s="508"/>
      <c r="Q891" s="508"/>
      <c r="R891" s="508"/>
      <c r="S891" s="508"/>
      <c r="T891" s="508"/>
      <c r="U891" s="508"/>
      <c r="V891" s="508"/>
      <c r="W891" s="508"/>
      <c r="X891" s="508"/>
      <c r="Y891" s="508"/>
      <c r="Z891" s="508"/>
      <c r="AA891" s="508"/>
    </row>
    <row r="892">
      <c r="A892" s="508"/>
      <c r="B892" s="508"/>
      <c r="C892" s="508"/>
      <c r="D892" s="508"/>
      <c r="E892" s="967"/>
      <c r="F892" s="508"/>
      <c r="G892" s="508"/>
      <c r="H892" s="967"/>
      <c r="I892" s="508"/>
      <c r="J892" s="508"/>
      <c r="K892" s="508"/>
      <c r="L892" s="508"/>
      <c r="M892" s="508"/>
      <c r="N892" s="508"/>
      <c r="O892" s="508"/>
      <c r="P892" s="508"/>
      <c r="Q892" s="508"/>
      <c r="R892" s="508"/>
      <c r="S892" s="508"/>
      <c r="T892" s="508"/>
      <c r="U892" s="508"/>
      <c r="V892" s="508"/>
      <c r="W892" s="508"/>
      <c r="X892" s="508"/>
      <c r="Y892" s="508"/>
      <c r="Z892" s="508"/>
      <c r="AA892" s="508"/>
    </row>
    <row r="893">
      <c r="A893" s="508"/>
      <c r="B893" s="508"/>
      <c r="C893" s="508"/>
      <c r="D893" s="508"/>
      <c r="E893" s="967"/>
      <c r="F893" s="508"/>
      <c r="G893" s="508"/>
      <c r="H893" s="967"/>
      <c r="I893" s="508"/>
      <c r="J893" s="508"/>
      <c r="K893" s="508"/>
      <c r="L893" s="508"/>
      <c r="M893" s="508"/>
      <c r="N893" s="508"/>
      <c r="O893" s="508"/>
      <c r="P893" s="508"/>
      <c r="Q893" s="508"/>
      <c r="R893" s="508"/>
      <c r="S893" s="508"/>
      <c r="T893" s="508"/>
      <c r="U893" s="508"/>
      <c r="V893" s="508"/>
      <c r="W893" s="508"/>
      <c r="X893" s="508"/>
      <c r="Y893" s="508"/>
      <c r="Z893" s="508"/>
      <c r="AA893" s="508"/>
    </row>
    <row r="894">
      <c r="A894" s="508"/>
      <c r="B894" s="508"/>
      <c r="C894" s="508"/>
      <c r="D894" s="508"/>
      <c r="E894" s="967"/>
      <c r="F894" s="508"/>
      <c r="G894" s="508"/>
      <c r="H894" s="967"/>
      <c r="I894" s="508"/>
      <c r="J894" s="508"/>
      <c r="K894" s="508"/>
      <c r="L894" s="508"/>
      <c r="M894" s="508"/>
      <c r="N894" s="508"/>
      <c r="O894" s="508"/>
      <c r="P894" s="508"/>
      <c r="Q894" s="508"/>
      <c r="R894" s="508"/>
      <c r="S894" s="508"/>
      <c r="T894" s="508"/>
      <c r="U894" s="508"/>
      <c r="V894" s="508"/>
      <c r="W894" s="508"/>
      <c r="X894" s="508"/>
      <c r="Y894" s="508"/>
      <c r="Z894" s="508"/>
      <c r="AA894" s="508"/>
    </row>
    <row r="895">
      <c r="A895" s="508"/>
      <c r="B895" s="508"/>
      <c r="C895" s="508"/>
      <c r="D895" s="508"/>
      <c r="E895" s="967"/>
      <c r="F895" s="508"/>
      <c r="G895" s="508"/>
      <c r="H895" s="967"/>
      <c r="I895" s="508"/>
      <c r="J895" s="508"/>
      <c r="K895" s="508"/>
      <c r="L895" s="508"/>
      <c r="M895" s="508"/>
      <c r="N895" s="508"/>
      <c r="O895" s="508"/>
      <c r="P895" s="508"/>
      <c r="Q895" s="508"/>
      <c r="R895" s="508"/>
      <c r="S895" s="508"/>
      <c r="T895" s="508"/>
      <c r="U895" s="508"/>
      <c r="V895" s="508"/>
      <c r="W895" s="508"/>
      <c r="X895" s="508"/>
      <c r="Y895" s="508"/>
      <c r="Z895" s="508"/>
      <c r="AA895" s="508"/>
    </row>
    <row r="896">
      <c r="A896" s="508"/>
      <c r="B896" s="508"/>
      <c r="C896" s="508"/>
      <c r="D896" s="508"/>
      <c r="E896" s="967"/>
      <c r="F896" s="508"/>
      <c r="G896" s="508"/>
      <c r="H896" s="967"/>
      <c r="I896" s="508"/>
      <c r="J896" s="508"/>
      <c r="K896" s="508"/>
      <c r="L896" s="508"/>
      <c r="M896" s="508"/>
      <c r="N896" s="508"/>
      <c r="O896" s="508"/>
      <c r="P896" s="508"/>
      <c r="Q896" s="508"/>
      <c r="R896" s="508"/>
      <c r="S896" s="508"/>
      <c r="T896" s="508"/>
      <c r="U896" s="508"/>
      <c r="V896" s="508"/>
      <c r="W896" s="508"/>
      <c r="X896" s="508"/>
      <c r="Y896" s="508"/>
      <c r="Z896" s="508"/>
      <c r="AA896" s="508"/>
    </row>
    <row r="897">
      <c r="A897" s="508"/>
      <c r="B897" s="508"/>
      <c r="C897" s="508"/>
      <c r="D897" s="508"/>
      <c r="E897" s="967"/>
      <c r="F897" s="508"/>
      <c r="G897" s="508"/>
      <c r="H897" s="967"/>
      <c r="I897" s="508"/>
      <c r="J897" s="508"/>
      <c r="K897" s="508"/>
      <c r="L897" s="508"/>
      <c r="M897" s="508"/>
      <c r="N897" s="508"/>
      <c r="O897" s="508"/>
      <c r="P897" s="508"/>
      <c r="Q897" s="508"/>
      <c r="R897" s="508"/>
      <c r="S897" s="508"/>
      <c r="T897" s="508"/>
      <c r="U897" s="508"/>
      <c r="V897" s="508"/>
      <c r="W897" s="508"/>
      <c r="X897" s="508"/>
      <c r="Y897" s="508"/>
      <c r="Z897" s="508"/>
      <c r="AA897" s="508"/>
    </row>
    <row r="898">
      <c r="A898" s="508"/>
      <c r="B898" s="508"/>
      <c r="C898" s="508"/>
      <c r="D898" s="508"/>
      <c r="E898" s="967"/>
      <c r="F898" s="508"/>
      <c r="G898" s="508"/>
      <c r="H898" s="967"/>
      <c r="I898" s="508"/>
      <c r="J898" s="508"/>
      <c r="K898" s="508"/>
      <c r="L898" s="508"/>
      <c r="M898" s="508"/>
      <c r="N898" s="508"/>
      <c r="O898" s="508"/>
      <c r="P898" s="508"/>
      <c r="Q898" s="508"/>
      <c r="R898" s="508"/>
      <c r="S898" s="508"/>
      <c r="T898" s="508"/>
      <c r="U898" s="508"/>
      <c r="V898" s="508"/>
      <c r="W898" s="508"/>
      <c r="X898" s="508"/>
      <c r="Y898" s="508"/>
      <c r="Z898" s="508"/>
      <c r="AA898" s="508"/>
    </row>
    <row r="899">
      <c r="A899" s="508"/>
      <c r="B899" s="508"/>
      <c r="C899" s="508"/>
      <c r="D899" s="508"/>
      <c r="E899" s="967"/>
      <c r="F899" s="508"/>
      <c r="G899" s="508"/>
      <c r="H899" s="967"/>
      <c r="I899" s="508"/>
      <c r="J899" s="508"/>
      <c r="K899" s="508"/>
      <c r="L899" s="508"/>
      <c r="M899" s="508"/>
      <c r="N899" s="508"/>
      <c r="O899" s="508"/>
      <c r="P899" s="508"/>
      <c r="Q899" s="508"/>
      <c r="R899" s="508"/>
      <c r="S899" s="508"/>
      <c r="T899" s="508"/>
      <c r="U899" s="508"/>
      <c r="V899" s="508"/>
      <c r="W899" s="508"/>
      <c r="X899" s="508"/>
      <c r="Y899" s="508"/>
      <c r="Z899" s="508"/>
      <c r="AA899" s="508"/>
    </row>
    <row r="900">
      <c r="A900" s="508"/>
      <c r="B900" s="508"/>
      <c r="C900" s="508"/>
      <c r="D900" s="508"/>
      <c r="E900" s="967"/>
      <c r="F900" s="508"/>
      <c r="G900" s="508"/>
      <c r="H900" s="967"/>
      <c r="I900" s="508"/>
      <c r="J900" s="508"/>
      <c r="K900" s="508"/>
      <c r="L900" s="508"/>
      <c r="M900" s="508"/>
      <c r="N900" s="508"/>
      <c r="O900" s="508"/>
      <c r="P900" s="508"/>
      <c r="Q900" s="508"/>
      <c r="R900" s="508"/>
      <c r="S900" s="508"/>
      <c r="T900" s="508"/>
      <c r="U900" s="508"/>
      <c r="V900" s="508"/>
      <c r="W900" s="508"/>
      <c r="X900" s="508"/>
      <c r="Y900" s="508"/>
      <c r="Z900" s="508"/>
      <c r="AA900" s="508"/>
    </row>
    <row r="901">
      <c r="A901" s="508"/>
      <c r="B901" s="508"/>
      <c r="C901" s="508"/>
      <c r="D901" s="508"/>
      <c r="E901" s="967"/>
      <c r="F901" s="508"/>
      <c r="G901" s="508"/>
      <c r="H901" s="967"/>
      <c r="I901" s="508"/>
      <c r="J901" s="508"/>
      <c r="K901" s="508"/>
      <c r="L901" s="508"/>
      <c r="M901" s="508"/>
      <c r="N901" s="508"/>
      <c r="O901" s="508"/>
      <c r="P901" s="508"/>
      <c r="Q901" s="508"/>
      <c r="R901" s="508"/>
      <c r="S901" s="508"/>
      <c r="T901" s="508"/>
      <c r="U901" s="508"/>
      <c r="V901" s="508"/>
      <c r="W901" s="508"/>
      <c r="X901" s="508"/>
      <c r="Y901" s="508"/>
      <c r="Z901" s="508"/>
      <c r="AA901" s="508"/>
    </row>
    <row r="902">
      <c r="A902" s="508"/>
      <c r="B902" s="508"/>
      <c r="C902" s="508"/>
      <c r="D902" s="508"/>
      <c r="E902" s="967"/>
      <c r="F902" s="508"/>
      <c r="G902" s="508"/>
      <c r="H902" s="967"/>
      <c r="I902" s="508"/>
      <c r="J902" s="508"/>
      <c r="K902" s="508"/>
      <c r="L902" s="508"/>
      <c r="M902" s="508"/>
      <c r="N902" s="508"/>
      <c r="O902" s="508"/>
      <c r="P902" s="508"/>
      <c r="Q902" s="508"/>
      <c r="R902" s="508"/>
      <c r="S902" s="508"/>
      <c r="T902" s="508"/>
      <c r="U902" s="508"/>
      <c r="V902" s="508"/>
      <c r="W902" s="508"/>
      <c r="X902" s="508"/>
      <c r="Y902" s="508"/>
      <c r="Z902" s="508"/>
      <c r="AA902" s="508"/>
    </row>
    <row r="903">
      <c r="A903" s="508"/>
      <c r="B903" s="508"/>
      <c r="C903" s="508"/>
      <c r="D903" s="508"/>
      <c r="E903" s="967"/>
      <c r="F903" s="508"/>
      <c r="G903" s="508"/>
      <c r="H903" s="967"/>
      <c r="I903" s="508"/>
      <c r="J903" s="508"/>
      <c r="K903" s="508"/>
      <c r="L903" s="508"/>
      <c r="M903" s="508"/>
      <c r="N903" s="508"/>
      <c r="O903" s="508"/>
      <c r="P903" s="508"/>
      <c r="Q903" s="508"/>
      <c r="R903" s="508"/>
      <c r="S903" s="508"/>
      <c r="T903" s="508"/>
      <c r="U903" s="508"/>
      <c r="V903" s="508"/>
      <c r="W903" s="508"/>
      <c r="X903" s="508"/>
      <c r="Y903" s="508"/>
      <c r="Z903" s="508"/>
      <c r="AA903" s="508"/>
    </row>
    <row r="904">
      <c r="A904" s="508"/>
      <c r="B904" s="508"/>
      <c r="C904" s="508"/>
      <c r="D904" s="508"/>
      <c r="E904" s="967"/>
      <c r="F904" s="508"/>
      <c r="G904" s="508"/>
      <c r="H904" s="967"/>
      <c r="I904" s="508"/>
      <c r="J904" s="508"/>
      <c r="K904" s="508"/>
      <c r="L904" s="508"/>
      <c r="M904" s="508"/>
      <c r="N904" s="508"/>
      <c r="O904" s="508"/>
      <c r="P904" s="508"/>
      <c r="Q904" s="508"/>
      <c r="R904" s="508"/>
      <c r="S904" s="508"/>
      <c r="T904" s="508"/>
      <c r="U904" s="508"/>
      <c r="V904" s="508"/>
      <c r="W904" s="508"/>
      <c r="X904" s="508"/>
      <c r="Y904" s="508"/>
      <c r="Z904" s="508"/>
      <c r="AA904" s="508"/>
    </row>
    <row r="905">
      <c r="A905" s="508"/>
      <c r="B905" s="508"/>
      <c r="C905" s="508"/>
      <c r="D905" s="508"/>
      <c r="E905" s="967"/>
      <c r="F905" s="508"/>
      <c r="G905" s="508"/>
      <c r="H905" s="967"/>
      <c r="I905" s="508"/>
      <c r="J905" s="508"/>
      <c r="K905" s="508"/>
      <c r="L905" s="508"/>
      <c r="M905" s="508"/>
      <c r="N905" s="508"/>
      <c r="O905" s="508"/>
      <c r="P905" s="508"/>
      <c r="Q905" s="508"/>
      <c r="R905" s="508"/>
      <c r="S905" s="508"/>
      <c r="T905" s="508"/>
      <c r="U905" s="508"/>
      <c r="V905" s="508"/>
      <c r="W905" s="508"/>
      <c r="X905" s="508"/>
      <c r="Y905" s="508"/>
      <c r="Z905" s="508"/>
      <c r="AA905" s="508"/>
    </row>
    <row r="906">
      <c r="A906" s="508"/>
      <c r="B906" s="508"/>
      <c r="C906" s="508"/>
      <c r="D906" s="508"/>
      <c r="E906" s="967"/>
      <c r="F906" s="508"/>
      <c r="G906" s="508"/>
      <c r="H906" s="967"/>
      <c r="I906" s="508"/>
      <c r="J906" s="508"/>
      <c r="K906" s="508"/>
      <c r="L906" s="508"/>
      <c r="M906" s="508"/>
      <c r="N906" s="508"/>
      <c r="O906" s="508"/>
      <c r="P906" s="508"/>
      <c r="Q906" s="508"/>
      <c r="R906" s="508"/>
      <c r="S906" s="508"/>
      <c r="T906" s="508"/>
      <c r="U906" s="508"/>
      <c r="V906" s="508"/>
      <c r="W906" s="508"/>
      <c r="X906" s="508"/>
      <c r="Y906" s="508"/>
      <c r="Z906" s="508"/>
      <c r="AA906" s="508"/>
    </row>
    <row r="907">
      <c r="A907" s="508"/>
      <c r="B907" s="508"/>
      <c r="C907" s="508"/>
      <c r="D907" s="508"/>
      <c r="E907" s="967"/>
      <c r="F907" s="508"/>
      <c r="G907" s="508"/>
      <c r="H907" s="967"/>
      <c r="I907" s="508"/>
      <c r="J907" s="508"/>
      <c r="K907" s="508"/>
      <c r="L907" s="508"/>
      <c r="M907" s="508"/>
      <c r="N907" s="508"/>
      <c r="O907" s="508"/>
      <c r="P907" s="508"/>
      <c r="Q907" s="508"/>
      <c r="R907" s="508"/>
      <c r="S907" s="508"/>
      <c r="T907" s="508"/>
      <c r="U907" s="508"/>
      <c r="V907" s="508"/>
      <c r="W907" s="508"/>
      <c r="X907" s="508"/>
      <c r="Y907" s="508"/>
      <c r="Z907" s="508"/>
      <c r="AA907" s="508"/>
    </row>
    <row r="908">
      <c r="A908" s="508"/>
      <c r="B908" s="508"/>
      <c r="C908" s="508"/>
      <c r="D908" s="508"/>
      <c r="E908" s="967"/>
      <c r="F908" s="508"/>
      <c r="G908" s="508"/>
      <c r="H908" s="967"/>
      <c r="I908" s="508"/>
      <c r="J908" s="508"/>
      <c r="K908" s="508"/>
      <c r="L908" s="508"/>
      <c r="M908" s="508"/>
      <c r="N908" s="508"/>
      <c r="O908" s="508"/>
      <c r="P908" s="508"/>
      <c r="Q908" s="508"/>
      <c r="R908" s="508"/>
      <c r="S908" s="508"/>
      <c r="T908" s="508"/>
      <c r="U908" s="508"/>
      <c r="V908" s="508"/>
      <c r="W908" s="508"/>
      <c r="X908" s="508"/>
      <c r="Y908" s="508"/>
      <c r="Z908" s="508"/>
      <c r="AA908" s="508"/>
    </row>
    <row r="909">
      <c r="A909" s="508"/>
      <c r="B909" s="508"/>
      <c r="C909" s="508"/>
      <c r="D909" s="508"/>
      <c r="E909" s="967"/>
      <c r="F909" s="508"/>
      <c r="G909" s="508"/>
      <c r="H909" s="967"/>
      <c r="I909" s="508"/>
      <c r="J909" s="508"/>
      <c r="K909" s="508"/>
      <c r="L909" s="508"/>
      <c r="M909" s="508"/>
      <c r="N909" s="508"/>
      <c r="O909" s="508"/>
      <c r="P909" s="508"/>
      <c r="Q909" s="508"/>
      <c r="R909" s="508"/>
      <c r="S909" s="508"/>
      <c r="T909" s="508"/>
      <c r="U909" s="508"/>
      <c r="V909" s="508"/>
      <c r="W909" s="508"/>
      <c r="X909" s="508"/>
      <c r="Y909" s="508"/>
      <c r="Z909" s="508"/>
      <c r="AA909" s="508"/>
    </row>
    <row r="910">
      <c r="A910" s="508"/>
      <c r="B910" s="508"/>
      <c r="C910" s="508"/>
      <c r="D910" s="508"/>
      <c r="E910" s="967"/>
      <c r="F910" s="508"/>
      <c r="G910" s="508"/>
      <c r="H910" s="967"/>
      <c r="I910" s="508"/>
      <c r="J910" s="508"/>
      <c r="K910" s="508"/>
      <c r="L910" s="508"/>
      <c r="M910" s="508"/>
      <c r="N910" s="508"/>
      <c r="O910" s="508"/>
      <c r="P910" s="508"/>
      <c r="Q910" s="508"/>
      <c r="R910" s="508"/>
      <c r="S910" s="508"/>
      <c r="T910" s="508"/>
      <c r="U910" s="508"/>
      <c r="V910" s="508"/>
      <c r="W910" s="508"/>
      <c r="X910" s="508"/>
      <c r="Y910" s="508"/>
      <c r="Z910" s="508"/>
      <c r="AA910" s="508"/>
    </row>
    <row r="911">
      <c r="A911" s="508"/>
      <c r="B911" s="508"/>
      <c r="C911" s="508"/>
      <c r="D911" s="508"/>
      <c r="E911" s="967"/>
      <c r="F911" s="508"/>
      <c r="G911" s="508"/>
      <c r="H911" s="967"/>
      <c r="I911" s="508"/>
      <c r="J911" s="508"/>
      <c r="K911" s="508"/>
      <c r="L911" s="508"/>
      <c r="M911" s="508"/>
      <c r="N911" s="508"/>
      <c r="O911" s="508"/>
      <c r="P911" s="508"/>
      <c r="Q911" s="508"/>
      <c r="R911" s="508"/>
      <c r="S911" s="508"/>
      <c r="T911" s="508"/>
      <c r="U911" s="508"/>
      <c r="V911" s="508"/>
      <c r="W911" s="508"/>
      <c r="X911" s="508"/>
      <c r="Y911" s="508"/>
      <c r="Z911" s="508"/>
      <c r="AA911" s="508"/>
    </row>
    <row r="912">
      <c r="A912" s="508"/>
      <c r="B912" s="508"/>
      <c r="C912" s="508"/>
      <c r="D912" s="508"/>
      <c r="E912" s="967"/>
      <c r="F912" s="508"/>
      <c r="G912" s="508"/>
      <c r="H912" s="967"/>
      <c r="I912" s="508"/>
      <c r="J912" s="508"/>
      <c r="K912" s="508"/>
      <c r="L912" s="508"/>
      <c r="M912" s="508"/>
      <c r="N912" s="508"/>
      <c r="O912" s="508"/>
      <c r="P912" s="508"/>
      <c r="Q912" s="508"/>
      <c r="R912" s="508"/>
      <c r="S912" s="508"/>
      <c r="T912" s="508"/>
      <c r="U912" s="508"/>
      <c r="V912" s="508"/>
      <c r="W912" s="508"/>
      <c r="X912" s="508"/>
      <c r="Y912" s="508"/>
      <c r="Z912" s="508"/>
      <c r="AA912" s="508"/>
    </row>
    <row r="913">
      <c r="A913" s="508"/>
      <c r="B913" s="508"/>
      <c r="C913" s="508"/>
      <c r="D913" s="508"/>
      <c r="E913" s="967"/>
      <c r="F913" s="508"/>
      <c r="G913" s="508"/>
      <c r="H913" s="967"/>
      <c r="I913" s="508"/>
      <c r="J913" s="508"/>
      <c r="K913" s="508"/>
      <c r="L913" s="508"/>
      <c r="M913" s="508"/>
      <c r="N913" s="508"/>
      <c r="O913" s="508"/>
      <c r="P913" s="508"/>
      <c r="Q913" s="508"/>
      <c r="R913" s="508"/>
      <c r="S913" s="508"/>
      <c r="T913" s="508"/>
      <c r="U913" s="508"/>
      <c r="V913" s="508"/>
      <c r="W913" s="508"/>
      <c r="X913" s="508"/>
      <c r="Y913" s="508"/>
      <c r="Z913" s="508"/>
      <c r="AA913" s="508"/>
    </row>
    <row r="914">
      <c r="A914" s="508"/>
      <c r="B914" s="508"/>
      <c r="C914" s="508"/>
      <c r="D914" s="508"/>
      <c r="E914" s="967"/>
      <c r="F914" s="508"/>
      <c r="G914" s="508"/>
      <c r="H914" s="967"/>
      <c r="I914" s="508"/>
      <c r="J914" s="508"/>
      <c r="K914" s="508"/>
      <c r="L914" s="508"/>
      <c r="M914" s="508"/>
      <c r="N914" s="508"/>
      <c r="O914" s="508"/>
      <c r="P914" s="508"/>
      <c r="Q914" s="508"/>
      <c r="R914" s="508"/>
      <c r="S914" s="508"/>
      <c r="T914" s="508"/>
      <c r="U914" s="508"/>
      <c r="V914" s="508"/>
      <c r="W914" s="508"/>
      <c r="X914" s="508"/>
      <c r="Y914" s="508"/>
      <c r="Z914" s="508"/>
      <c r="AA914" s="508"/>
    </row>
    <row r="915">
      <c r="A915" s="508"/>
      <c r="B915" s="508"/>
      <c r="C915" s="508"/>
      <c r="D915" s="508"/>
      <c r="E915" s="967"/>
      <c r="F915" s="508"/>
      <c r="G915" s="508"/>
      <c r="H915" s="967"/>
      <c r="I915" s="508"/>
      <c r="J915" s="508"/>
      <c r="K915" s="508"/>
      <c r="L915" s="508"/>
      <c r="M915" s="508"/>
      <c r="N915" s="508"/>
      <c r="O915" s="508"/>
      <c r="P915" s="508"/>
      <c r="Q915" s="508"/>
      <c r="R915" s="508"/>
      <c r="S915" s="508"/>
      <c r="T915" s="508"/>
      <c r="U915" s="508"/>
      <c r="V915" s="508"/>
      <c r="W915" s="508"/>
      <c r="X915" s="508"/>
      <c r="Y915" s="508"/>
      <c r="Z915" s="508"/>
      <c r="AA915" s="508"/>
    </row>
    <row r="916">
      <c r="A916" s="508"/>
      <c r="B916" s="508"/>
      <c r="C916" s="508"/>
      <c r="D916" s="508"/>
      <c r="E916" s="967"/>
      <c r="F916" s="508"/>
      <c r="G916" s="508"/>
      <c r="H916" s="967"/>
      <c r="I916" s="508"/>
      <c r="J916" s="508"/>
      <c r="K916" s="508"/>
      <c r="L916" s="508"/>
      <c r="M916" s="508"/>
      <c r="N916" s="508"/>
      <c r="O916" s="508"/>
      <c r="P916" s="508"/>
      <c r="Q916" s="508"/>
      <c r="R916" s="508"/>
      <c r="S916" s="508"/>
      <c r="T916" s="508"/>
      <c r="U916" s="508"/>
      <c r="V916" s="508"/>
      <c r="W916" s="508"/>
      <c r="X916" s="508"/>
      <c r="Y916" s="508"/>
      <c r="Z916" s="508"/>
      <c r="AA916" s="508"/>
    </row>
    <row r="917">
      <c r="A917" s="508"/>
      <c r="B917" s="508"/>
      <c r="C917" s="508"/>
      <c r="D917" s="508"/>
      <c r="E917" s="967"/>
      <c r="F917" s="508"/>
      <c r="G917" s="508"/>
      <c r="H917" s="967"/>
      <c r="I917" s="508"/>
      <c r="J917" s="508"/>
      <c r="K917" s="508"/>
      <c r="L917" s="508"/>
      <c r="M917" s="508"/>
      <c r="N917" s="508"/>
      <c r="O917" s="508"/>
      <c r="P917" s="508"/>
      <c r="Q917" s="508"/>
      <c r="R917" s="508"/>
      <c r="S917" s="508"/>
      <c r="T917" s="508"/>
      <c r="U917" s="508"/>
      <c r="V917" s="508"/>
      <c r="W917" s="508"/>
      <c r="X917" s="508"/>
      <c r="Y917" s="508"/>
      <c r="Z917" s="508"/>
      <c r="AA917" s="508"/>
    </row>
    <row r="918">
      <c r="A918" s="508"/>
      <c r="B918" s="508"/>
      <c r="C918" s="508"/>
      <c r="D918" s="508"/>
      <c r="E918" s="967"/>
      <c r="F918" s="508"/>
      <c r="G918" s="508"/>
      <c r="H918" s="967"/>
      <c r="I918" s="508"/>
      <c r="J918" s="508"/>
      <c r="K918" s="508"/>
      <c r="L918" s="508"/>
      <c r="M918" s="508"/>
      <c r="N918" s="508"/>
      <c r="O918" s="508"/>
      <c r="P918" s="508"/>
      <c r="Q918" s="508"/>
      <c r="R918" s="508"/>
      <c r="S918" s="508"/>
      <c r="T918" s="508"/>
      <c r="U918" s="508"/>
      <c r="V918" s="508"/>
      <c r="W918" s="508"/>
      <c r="X918" s="508"/>
      <c r="Y918" s="508"/>
      <c r="Z918" s="508"/>
      <c r="AA918" s="508"/>
    </row>
    <row r="919">
      <c r="A919" s="508"/>
      <c r="B919" s="508"/>
      <c r="C919" s="508"/>
      <c r="D919" s="508"/>
      <c r="E919" s="967"/>
      <c r="F919" s="508"/>
      <c r="G919" s="508"/>
      <c r="H919" s="967"/>
      <c r="I919" s="508"/>
      <c r="J919" s="508"/>
      <c r="K919" s="508"/>
      <c r="L919" s="508"/>
      <c r="M919" s="508"/>
      <c r="N919" s="508"/>
      <c r="O919" s="508"/>
      <c r="P919" s="508"/>
      <c r="Q919" s="508"/>
      <c r="R919" s="508"/>
      <c r="S919" s="508"/>
      <c r="T919" s="508"/>
      <c r="U919" s="508"/>
      <c r="V919" s="508"/>
      <c r="W919" s="508"/>
      <c r="X919" s="508"/>
      <c r="Y919" s="508"/>
      <c r="Z919" s="508"/>
      <c r="AA919" s="508"/>
    </row>
    <row r="920">
      <c r="A920" s="508"/>
      <c r="B920" s="508"/>
      <c r="C920" s="508"/>
      <c r="D920" s="508"/>
      <c r="E920" s="967"/>
      <c r="F920" s="508"/>
      <c r="G920" s="508"/>
      <c r="H920" s="967"/>
      <c r="I920" s="508"/>
      <c r="J920" s="508"/>
      <c r="K920" s="508"/>
      <c r="L920" s="508"/>
      <c r="M920" s="508"/>
      <c r="N920" s="508"/>
      <c r="O920" s="508"/>
      <c r="P920" s="508"/>
      <c r="Q920" s="508"/>
      <c r="R920" s="508"/>
      <c r="S920" s="508"/>
      <c r="T920" s="508"/>
      <c r="U920" s="508"/>
      <c r="V920" s="508"/>
      <c r="W920" s="508"/>
      <c r="X920" s="508"/>
      <c r="Y920" s="508"/>
      <c r="Z920" s="508"/>
      <c r="AA920" s="508"/>
    </row>
    <row r="921">
      <c r="A921" s="508"/>
      <c r="B921" s="508"/>
      <c r="C921" s="508"/>
      <c r="D921" s="508"/>
      <c r="E921" s="967"/>
      <c r="F921" s="508"/>
      <c r="G921" s="508"/>
      <c r="H921" s="967"/>
      <c r="I921" s="508"/>
      <c r="J921" s="508"/>
      <c r="K921" s="508"/>
      <c r="L921" s="508"/>
      <c r="M921" s="508"/>
      <c r="N921" s="508"/>
      <c r="O921" s="508"/>
      <c r="P921" s="508"/>
      <c r="Q921" s="508"/>
      <c r="R921" s="508"/>
      <c r="S921" s="508"/>
      <c r="T921" s="508"/>
      <c r="U921" s="508"/>
      <c r="V921" s="508"/>
      <c r="W921" s="508"/>
      <c r="X921" s="508"/>
      <c r="Y921" s="508"/>
      <c r="Z921" s="508"/>
      <c r="AA921" s="508"/>
    </row>
    <row r="922">
      <c r="A922" s="508"/>
      <c r="B922" s="508"/>
      <c r="C922" s="508"/>
      <c r="D922" s="508"/>
      <c r="E922" s="967"/>
      <c r="F922" s="508"/>
      <c r="G922" s="508"/>
      <c r="H922" s="967"/>
      <c r="I922" s="508"/>
      <c r="J922" s="508"/>
      <c r="K922" s="508"/>
      <c r="L922" s="508"/>
      <c r="M922" s="508"/>
      <c r="N922" s="508"/>
      <c r="O922" s="508"/>
      <c r="P922" s="508"/>
      <c r="Q922" s="508"/>
      <c r="R922" s="508"/>
      <c r="S922" s="508"/>
      <c r="T922" s="508"/>
      <c r="U922" s="508"/>
      <c r="V922" s="508"/>
      <c r="W922" s="508"/>
      <c r="X922" s="508"/>
      <c r="Y922" s="508"/>
      <c r="Z922" s="508"/>
      <c r="AA922" s="508"/>
    </row>
    <row r="923">
      <c r="A923" s="508"/>
      <c r="B923" s="508"/>
      <c r="C923" s="508"/>
      <c r="D923" s="508"/>
      <c r="E923" s="967"/>
      <c r="F923" s="508"/>
      <c r="G923" s="508"/>
      <c r="H923" s="967"/>
      <c r="I923" s="508"/>
      <c r="J923" s="508"/>
      <c r="K923" s="508"/>
      <c r="L923" s="508"/>
      <c r="M923" s="508"/>
      <c r="N923" s="508"/>
      <c r="O923" s="508"/>
      <c r="P923" s="508"/>
      <c r="Q923" s="508"/>
      <c r="R923" s="508"/>
      <c r="S923" s="508"/>
      <c r="T923" s="508"/>
      <c r="U923" s="508"/>
      <c r="V923" s="508"/>
      <c r="W923" s="508"/>
      <c r="X923" s="508"/>
      <c r="Y923" s="508"/>
      <c r="Z923" s="508"/>
      <c r="AA923" s="508"/>
    </row>
    <row r="924">
      <c r="A924" s="508"/>
      <c r="B924" s="508"/>
      <c r="C924" s="508"/>
      <c r="D924" s="508"/>
      <c r="E924" s="967"/>
      <c r="F924" s="508"/>
      <c r="G924" s="508"/>
      <c r="H924" s="967"/>
      <c r="I924" s="508"/>
      <c r="J924" s="508"/>
      <c r="K924" s="508"/>
      <c r="L924" s="508"/>
      <c r="M924" s="508"/>
      <c r="N924" s="508"/>
      <c r="O924" s="508"/>
      <c r="P924" s="508"/>
      <c r="Q924" s="508"/>
      <c r="R924" s="508"/>
      <c r="S924" s="508"/>
      <c r="T924" s="508"/>
      <c r="U924" s="508"/>
      <c r="V924" s="508"/>
      <c r="W924" s="508"/>
      <c r="X924" s="508"/>
      <c r="Y924" s="508"/>
      <c r="Z924" s="508"/>
      <c r="AA924" s="508"/>
    </row>
    <row r="925">
      <c r="A925" s="508"/>
      <c r="B925" s="508"/>
      <c r="C925" s="508"/>
      <c r="D925" s="508"/>
      <c r="E925" s="967"/>
      <c r="F925" s="508"/>
      <c r="G925" s="508"/>
      <c r="H925" s="967"/>
      <c r="I925" s="508"/>
      <c r="J925" s="508"/>
      <c r="K925" s="508"/>
      <c r="L925" s="508"/>
      <c r="M925" s="508"/>
      <c r="N925" s="508"/>
      <c r="O925" s="508"/>
      <c r="P925" s="508"/>
      <c r="Q925" s="508"/>
      <c r="R925" s="508"/>
      <c r="S925" s="508"/>
      <c r="T925" s="508"/>
      <c r="U925" s="508"/>
      <c r="V925" s="508"/>
      <c r="W925" s="508"/>
      <c r="X925" s="508"/>
      <c r="Y925" s="508"/>
      <c r="Z925" s="508"/>
      <c r="AA925" s="508"/>
    </row>
    <row r="926">
      <c r="A926" s="508"/>
      <c r="B926" s="508"/>
      <c r="C926" s="508"/>
      <c r="D926" s="508"/>
      <c r="E926" s="967"/>
      <c r="F926" s="508"/>
      <c r="G926" s="508"/>
      <c r="H926" s="967"/>
      <c r="I926" s="508"/>
      <c r="J926" s="508"/>
      <c r="K926" s="508"/>
      <c r="L926" s="508"/>
      <c r="M926" s="508"/>
      <c r="N926" s="508"/>
      <c r="O926" s="508"/>
      <c r="P926" s="508"/>
      <c r="Q926" s="508"/>
      <c r="R926" s="508"/>
      <c r="S926" s="508"/>
      <c r="T926" s="508"/>
      <c r="U926" s="508"/>
      <c r="V926" s="508"/>
      <c r="W926" s="508"/>
      <c r="X926" s="508"/>
      <c r="Y926" s="508"/>
      <c r="Z926" s="508"/>
      <c r="AA926" s="508"/>
    </row>
    <row r="927">
      <c r="A927" s="508"/>
      <c r="B927" s="508"/>
      <c r="C927" s="508"/>
      <c r="D927" s="508"/>
      <c r="E927" s="967"/>
      <c r="F927" s="508"/>
      <c r="G927" s="508"/>
      <c r="H927" s="967"/>
      <c r="I927" s="508"/>
      <c r="J927" s="508"/>
      <c r="K927" s="508"/>
      <c r="L927" s="508"/>
      <c r="M927" s="508"/>
      <c r="N927" s="508"/>
      <c r="O927" s="508"/>
      <c r="P927" s="508"/>
      <c r="Q927" s="508"/>
      <c r="R927" s="508"/>
      <c r="S927" s="508"/>
      <c r="T927" s="508"/>
      <c r="U927" s="508"/>
      <c r="V927" s="508"/>
      <c r="W927" s="508"/>
      <c r="X927" s="508"/>
      <c r="Y927" s="508"/>
      <c r="Z927" s="508"/>
      <c r="AA927" s="508"/>
    </row>
    <row r="928">
      <c r="A928" s="508"/>
      <c r="B928" s="508"/>
      <c r="C928" s="508"/>
      <c r="D928" s="508"/>
      <c r="E928" s="967"/>
      <c r="F928" s="508"/>
      <c r="G928" s="508"/>
      <c r="H928" s="967"/>
      <c r="I928" s="508"/>
      <c r="J928" s="508"/>
      <c r="K928" s="508"/>
      <c r="L928" s="508"/>
      <c r="M928" s="508"/>
      <c r="N928" s="508"/>
      <c r="O928" s="508"/>
      <c r="P928" s="508"/>
      <c r="Q928" s="508"/>
      <c r="R928" s="508"/>
      <c r="S928" s="508"/>
      <c r="T928" s="508"/>
      <c r="U928" s="508"/>
      <c r="V928" s="508"/>
      <c r="W928" s="508"/>
      <c r="X928" s="508"/>
      <c r="Y928" s="508"/>
      <c r="Z928" s="508"/>
      <c r="AA928" s="508"/>
    </row>
    <row r="929">
      <c r="A929" s="508"/>
      <c r="B929" s="508"/>
      <c r="C929" s="508"/>
      <c r="D929" s="508"/>
      <c r="E929" s="967"/>
      <c r="F929" s="508"/>
      <c r="G929" s="508"/>
      <c r="H929" s="967"/>
      <c r="I929" s="508"/>
      <c r="J929" s="508"/>
      <c r="K929" s="508"/>
      <c r="L929" s="508"/>
      <c r="M929" s="508"/>
      <c r="N929" s="508"/>
      <c r="O929" s="508"/>
      <c r="P929" s="508"/>
      <c r="Q929" s="508"/>
      <c r="R929" s="508"/>
      <c r="S929" s="508"/>
      <c r="T929" s="508"/>
      <c r="U929" s="508"/>
      <c r="V929" s="508"/>
      <c r="W929" s="508"/>
      <c r="X929" s="508"/>
      <c r="Y929" s="508"/>
      <c r="Z929" s="508"/>
      <c r="AA929" s="508"/>
    </row>
    <row r="930">
      <c r="A930" s="508"/>
      <c r="B930" s="508"/>
      <c r="C930" s="508"/>
      <c r="D930" s="508"/>
      <c r="E930" s="967"/>
      <c r="F930" s="508"/>
      <c r="G930" s="508"/>
      <c r="H930" s="967"/>
      <c r="I930" s="508"/>
      <c r="J930" s="508"/>
      <c r="K930" s="508"/>
      <c r="L930" s="508"/>
      <c r="M930" s="508"/>
      <c r="N930" s="508"/>
      <c r="O930" s="508"/>
      <c r="P930" s="508"/>
      <c r="Q930" s="508"/>
      <c r="R930" s="508"/>
      <c r="S930" s="508"/>
      <c r="T930" s="508"/>
      <c r="U930" s="508"/>
      <c r="V930" s="508"/>
      <c r="W930" s="508"/>
      <c r="X930" s="508"/>
      <c r="Y930" s="508"/>
      <c r="Z930" s="508"/>
      <c r="AA930" s="508"/>
    </row>
    <row r="931">
      <c r="A931" s="508"/>
      <c r="B931" s="508"/>
      <c r="C931" s="508"/>
      <c r="D931" s="508"/>
      <c r="E931" s="967"/>
      <c r="F931" s="508"/>
      <c r="G931" s="508"/>
      <c r="H931" s="967"/>
      <c r="I931" s="508"/>
      <c r="J931" s="508"/>
      <c r="K931" s="508"/>
      <c r="L931" s="508"/>
      <c r="M931" s="508"/>
      <c r="N931" s="508"/>
      <c r="O931" s="508"/>
      <c r="P931" s="508"/>
      <c r="Q931" s="508"/>
      <c r="R931" s="508"/>
      <c r="S931" s="508"/>
      <c r="T931" s="508"/>
      <c r="U931" s="508"/>
      <c r="V931" s="508"/>
      <c r="W931" s="508"/>
      <c r="X931" s="508"/>
      <c r="Y931" s="508"/>
      <c r="Z931" s="508"/>
      <c r="AA931" s="508"/>
    </row>
    <row r="932">
      <c r="A932" s="508"/>
      <c r="B932" s="508"/>
      <c r="C932" s="508"/>
      <c r="D932" s="508"/>
      <c r="E932" s="967"/>
      <c r="F932" s="508"/>
      <c r="G932" s="508"/>
      <c r="H932" s="967"/>
      <c r="I932" s="508"/>
      <c r="J932" s="508"/>
      <c r="K932" s="508"/>
      <c r="L932" s="508"/>
      <c r="M932" s="508"/>
      <c r="N932" s="508"/>
      <c r="O932" s="508"/>
      <c r="P932" s="508"/>
      <c r="Q932" s="508"/>
      <c r="R932" s="508"/>
      <c r="S932" s="508"/>
      <c r="T932" s="508"/>
      <c r="U932" s="508"/>
      <c r="V932" s="508"/>
      <c r="W932" s="508"/>
      <c r="X932" s="508"/>
      <c r="Y932" s="508"/>
      <c r="Z932" s="508"/>
      <c r="AA932" s="508"/>
    </row>
    <row r="933">
      <c r="A933" s="508"/>
      <c r="B933" s="508"/>
      <c r="C933" s="508"/>
      <c r="D933" s="508"/>
      <c r="E933" s="967"/>
      <c r="F933" s="508"/>
      <c r="G933" s="508"/>
      <c r="H933" s="967"/>
      <c r="I933" s="508"/>
      <c r="J933" s="508"/>
      <c r="K933" s="508"/>
      <c r="L933" s="508"/>
      <c r="M933" s="508"/>
      <c r="N933" s="508"/>
      <c r="O933" s="508"/>
      <c r="P933" s="508"/>
      <c r="Q933" s="508"/>
      <c r="R933" s="508"/>
      <c r="S933" s="508"/>
      <c r="T933" s="508"/>
      <c r="U933" s="508"/>
      <c r="V933" s="508"/>
      <c r="W933" s="508"/>
      <c r="X933" s="508"/>
      <c r="Y933" s="508"/>
      <c r="Z933" s="508"/>
      <c r="AA933" s="508"/>
    </row>
    <row r="934">
      <c r="A934" s="508"/>
      <c r="B934" s="508"/>
      <c r="C934" s="508"/>
      <c r="D934" s="508"/>
      <c r="E934" s="967"/>
      <c r="F934" s="508"/>
      <c r="G934" s="508"/>
      <c r="H934" s="967"/>
      <c r="I934" s="508"/>
      <c r="J934" s="508"/>
      <c r="K934" s="508"/>
      <c r="L934" s="508"/>
      <c r="M934" s="508"/>
      <c r="N934" s="508"/>
      <c r="O934" s="508"/>
      <c r="P934" s="508"/>
      <c r="Q934" s="508"/>
      <c r="R934" s="508"/>
      <c r="S934" s="508"/>
      <c r="T934" s="508"/>
      <c r="U934" s="508"/>
      <c r="V934" s="508"/>
      <c r="W934" s="508"/>
      <c r="X934" s="508"/>
      <c r="Y934" s="508"/>
      <c r="Z934" s="508"/>
      <c r="AA934" s="508"/>
    </row>
    <row r="935">
      <c r="A935" s="508"/>
      <c r="B935" s="508"/>
      <c r="C935" s="508"/>
      <c r="D935" s="508"/>
      <c r="E935" s="967"/>
      <c r="F935" s="508"/>
      <c r="G935" s="508"/>
      <c r="H935" s="967"/>
      <c r="I935" s="508"/>
      <c r="J935" s="508"/>
      <c r="K935" s="508"/>
      <c r="L935" s="508"/>
      <c r="M935" s="508"/>
      <c r="N935" s="508"/>
      <c r="O935" s="508"/>
      <c r="P935" s="508"/>
      <c r="Q935" s="508"/>
      <c r="R935" s="508"/>
      <c r="S935" s="508"/>
      <c r="T935" s="508"/>
      <c r="U935" s="508"/>
      <c r="V935" s="508"/>
      <c r="W935" s="508"/>
      <c r="X935" s="508"/>
      <c r="Y935" s="508"/>
      <c r="Z935" s="508"/>
      <c r="AA935" s="508"/>
    </row>
    <row r="936">
      <c r="A936" s="508"/>
      <c r="B936" s="508"/>
      <c r="C936" s="508"/>
      <c r="D936" s="508"/>
      <c r="E936" s="967"/>
      <c r="F936" s="508"/>
      <c r="G936" s="508"/>
      <c r="H936" s="967"/>
      <c r="I936" s="508"/>
      <c r="J936" s="508"/>
      <c r="K936" s="508"/>
      <c r="L936" s="508"/>
      <c r="M936" s="508"/>
      <c r="N936" s="508"/>
      <c r="O936" s="508"/>
      <c r="P936" s="508"/>
      <c r="Q936" s="508"/>
      <c r="R936" s="508"/>
      <c r="S936" s="508"/>
      <c r="T936" s="508"/>
      <c r="U936" s="508"/>
      <c r="V936" s="508"/>
      <c r="W936" s="508"/>
      <c r="X936" s="508"/>
      <c r="Y936" s="508"/>
      <c r="Z936" s="508"/>
      <c r="AA936" s="508"/>
    </row>
    <row r="937">
      <c r="A937" s="508"/>
      <c r="B937" s="508"/>
      <c r="C937" s="508"/>
      <c r="D937" s="508"/>
      <c r="E937" s="967"/>
      <c r="F937" s="508"/>
      <c r="G937" s="508"/>
      <c r="H937" s="967"/>
      <c r="I937" s="508"/>
      <c r="J937" s="508"/>
      <c r="K937" s="508"/>
      <c r="L937" s="508"/>
      <c r="M937" s="508"/>
      <c r="N937" s="508"/>
      <c r="O937" s="508"/>
      <c r="P937" s="508"/>
      <c r="Q937" s="508"/>
      <c r="R937" s="508"/>
      <c r="S937" s="508"/>
      <c r="T937" s="508"/>
      <c r="U937" s="508"/>
      <c r="V937" s="508"/>
      <c r="W937" s="508"/>
      <c r="X937" s="508"/>
      <c r="Y937" s="508"/>
      <c r="Z937" s="508"/>
      <c r="AA937" s="508"/>
    </row>
    <row r="938">
      <c r="A938" s="508"/>
      <c r="B938" s="508"/>
      <c r="C938" s="508"/>
      <c r="D938" s="508"/>
      <c r="E938" s="967"/>
      <c r="F938" s="508"/>
      <c r="G938" s="508"/>
      <c r="H938" s="967"/>
      <c r="I938" s="508"/>
      <c r="J938" s="508"/>
      <c r="K938" s="508"/>
      <c r="L938" s="508"/>
      <c r="M938" s="508"/>
      <c r="N938" s="508"/>
      <c r="O938" s="508"/>
      <c r="P938" s="508"/>
      <c r="Q938" s="508"/>
      <c r="R938" s="508"/>
      <c r="S938" s="508"/>
      <c r="T938" s="508"/>
      <c r="U938" s="508"/>
      <c r="V938" s="508"/>
      <c r="W938" s="508"/>
      <c r="X938" s="508"/>
      <c r="Y938" s="508"/>
      <c r="Z938" s="508"/>
      <c r="AA938" s="508"/>
    </row>
    <row r="939">
      <c r="A939" s="508"/>
      <c r="B939" s="508"/>
      <c r="C939" s="508"/>
      <c r="D939" s="508"/>
      <c r="E939" s="967"/>
      <c r="F939" s="508"/>
      <c r="G939" s="508"/>
      <c r="H939" s="967"/>
      <c r="I939" s="508"/>
      <c r="J939" s="508"/>
      <c r="K939" s="508"/>
      <c r="L939" s="508"/>
      <c r="M939" s="508"/>
      <c r="N939" s="508"/>
      <c r="O939" s="508"/>
      <c r="P939" s="508"/>
      <c r="Q939" s="508"/>
      <c r="R939" s="508"/>
      <c r="S939" s="508"/>
      <c r="T939" s="508"/>
      <c r="U939" s="508"/>
      <c r="V939" s="508"/>
      <c r="W939" s="508"/>
      <c r="X939" s="508"/>
      <c r="Y939" s="508"/>
      <c r="Z939" s="508"/>
      <c r="AA939" s="508"/>
    </row>
    <row r="940">
      <c r="A940" s="508"/>
      <c r="B940" s="508"/>
      <c r="C940" s="508"/>
      <c r="D940" s="508"/>
      <c r="E940" s="967"/>
      <c r="F940" s="508"/>
      <c r="G940" s="508"/>
      <c r="H940" s="967"/>
      <c r="I940" s="508"/>
      <c r="J940" s="508"/>
      <c r="K940" s="508"/>
      <c r="L940" s="508"/>
      <c r="M940" s="508"/>
      <c r="N940" s="508"/>
      <c r="O940" s="508"/>
      <c r="P940" s="508"/>
      <c r="Q940" s="508"/>
      <c r="R940" s="508"/>
      <c r="S940" s="508"/>
      <c r="T940" s="508"/>
      <c r="U940" s="508"/>
      <c r="V940" s="508"/>
      <c r="W940" s="508"/>
      <c r="X940" s="508"/>
      <c r="Y940" s="508"/>
      <c r="Z940" s="508"/>
      <c r="AA940" s="508"/>
    </row>
    <row r="941">
      <c r="A941" s="508"/>
      <c r="B941" s="508"/>
      <c r="C941" s="508"/>
      <c r="D941" s="508"/>
      <c r="E941" s="967"/>
      <c r="F941" s="508"/>
      <c r="G941" s="508"/>
      <c r="H941" s="967"/>
      <c r="I941" s="508"/>
      <c r="J941" s="508"/>
      <c r="K941" s="508"/>
      <c r="L941" s="508"/>
      <c r="M941" s="508"/>
      <c r="N941" s="508"/>
      <c r="O941" s="508"/>
      <c r="P941" s="508"/>
      <c r="Q941" s="508"/>
      <c r="R941" s="508"/>
      <c r="S941" s="508"/>
      <c r="T941" s="508"/>
      <c r="U941" s="508"/>
      <c r="V941" s="508"/>
      <c r="W941" s="508"/>
      <c r="X941" s="508"/>
      <c r="Y941" s="508"/>
      <c r="Z941" s="508"/>
      <c r="AA941" s="508"/>
    </row>
    <row r="942">
      <c r="A942" s="508"/>
      <c r="B942" s="508"/>
      <c r="C942" s="508"/>
      <c r="D942" s="508"/>
      <c r="E942" s="967"/>
      <c r="F942" s="508"/>
      <c r="G942" s="508"/>
      <c r="H942" s="967"/>
      <c r="I942" s="508"/>
      <c r="J942" s="508"/>
      <c r="K942" s="508"/>
      <c r="L942" s="508"/>
      <c r="M942" s="508"/>
      <c r="N942" s="508"/>
      <c r="O942" s="508"/>
      <c r="P942" s="508"/>
      <c r="Q942" s="508"/>
      <c r="R942" s="508"/>
      <c r="S942" s="508"/>
      <c r="T942" s="508"/>
      <c r="U942" s="508"/>
      <c r="V942" s="508"/>
      <c r="W942" s="508"/>
      <c r="X942" s="508"/>
      <c r="Y942" s="508"/>
      <c r="Z942" s="508"/>
      <c r="AA942" s="508"/>
    </row>
    <row r="943">
      <c r="A943" s="508"/>
      <c r="B943" s="508"/>
      <c r="C943" s="508"/>
      <c r="D943" s="508"/>
      <c r="E943" s="967"/>
      <c r="F943" s="508"/>
      <c r="G943" s="508"/>
      <c r="H943" s="967"/>
      <c r="I943" s="508"/>
      <c r="J943" s="508"/>
      <c r="K943" s="508"/>
      <c r="L943" s="508"/>
      <c r="M943" s="508"/>
      <c r="N943" s="508"/>
      <c r="O943" s="508"/>
      <c r="P943" s="508"/>
      <c r="Q943" s="508"/>
      <c r="R943" s="508"/>
      <c r="S943" s="508"/>
      <c r="T943" s="508"/>
      <c r="U943" s="508"/>
      <c r="V943" s="508"/>
      <c r="W943" s="508"/>
      <c r="X943" s="508"/>
      <c r="Y943" s="508"/>
      <c r="Z943" s="508"/>
      <c r="AA943" s="508"/>
    </row>
    <row r="944">
      <c r="A944" s="508"/>
      <c r="B944" s="508"/>
      <c r="C944" s="508"/>
      <c r="D944" s="508"/>
      <c r="E944" s="967"/>
      <c r="F944" s="508"/>
      <c r="G944" s="508"/>
      <c r="H944" s="967"/>
      <c r="I944" s="508"/>
      <c r="J944" s="508"/>
      <c r="K944" s="508"/>
      <c r="L944" s="508"/>
      <c r="M944" s="508"/>
      <c r="N944" s="508"/>
      <c r="O944" s="508"/>
      <c r="P944" s="508"/>
      <c r="Q944" s="508"/>
      <c r="R944" s="508"/>
      <c r="S944" s="508"/>
      <c r="T944" s="508"/>
      <c r="U944" s="508"/>
      <c r="V944" s="508"/>
      <c r="W944" s="508"/>
      <c r="X944" s="508"/>
      <c r="Y944" s="508"/>
      <c r="Z944" s="508"/>
      <c r="AA944" s="508"/>
    </row>
    <row r="945">
      <c r="A945" s="508"/>
      <c r="B945" s="508"/>
      <c r="C945" s="508"/>
      <c r="D945" s="508"/>
      <c r="E945" s="967"/>
      <c r="F945" s="508"/>
      <c r="G945" s="508"/>
      <c r="H945" s="967"/>
      <c r="I945" s="508"/>
      <c r="J945" s="508"/>
      <c r="K945" s="508"/>
      <c r="L945" s="508"/>
      <c r="M945" s="508"/>
      <c r="N945" s="508"/>
      <c r="O945" s="508"/>
      <c r="P945" s="508"/>
      <c r="Q945" s="508"/>
      <c r="R945" s="508"/>
      <c r="S945" s="508"/>
      <c r="T945" s="508"/>
      <c r="U945" s="508"/>
      <c r="V945" s="508"/>
      <c r="W945" s="508"/>
      <c r="X945" s="508"/>
      <c r="Y945" s="508"/>
      <c r="Z945" s="508"/>
      <c r="AA945" s="508"/>
    </row>
    <row r="946">
      <c r="A946" s="508"/>
      <c r="B946" s="508"/>
      <c r="C946" s="508"/>
      <c r="D946" s="508"/>
      <c r="E946" s="967"/>
      <c r="F946" s="508"/>
      <c r="G946" s="508"/>
      <c r="H946" s="967"/>
      <c r="I946" s="508"/>
      <c r="J946" s="508"/>
      <c r="K946" s="508"/>
      <c r="L946" s="508"/>
      <c r="M946" s="508"/>
      <c r="N946" s="508"/>
      <c r="O946" s="508"/>
      <c r="P946" s="508"/>
      <c r="Q946" s="508"/>
      <c r="R946" s="508"/>
      <c r="S946" s="508"/>
      <c r="T946" s="508"/>
      <c r="U946" s="508"/>
      <c r="V946" s="508"/>
      <c r="W946" s="508"/>
      <c r="X946" s="508"/>
      <c r="Y946" s="508"/>
      <c r="Z946" s="508"/>
      <c r="AA946" s="508"/>
    </row>
    <row r="947">
      <c r="A947" s="508"/>
      <c r="B947" s="508"/>
      <c r="C947" s="508"/>
      <c r="D947" s="508"/>
      <c r="E947" s="967"/>
      <c r="F947" s="508"/>
      <c r="G947" s="508"/>
      <c r="H947" s="967"/>
      <c r="I947" s="508"/>
      <c r="J947" s="508"/>
      <c r="K947" s="508"/>
      <c r="L947" s="508"/>
      <c r="M947" s="508"/>
      <c r="N947" s="508"/>
      <c r="O947" s="508"/>
      <c r="P947" s="508"/>
      <c r="Q947" s="508"/>
      <c r="R947" s="508"/>
      <c r="S947" s="508"/>
      <c r="T947" s="508"/>
      <c r="U947" s="508"/>
      <c r="V947" s="508"/>
      <c r="W947" s="508"/>
      <c r="X947" s="508"/>
      <c r="Y947" s="508"/>
      <c r="Z947" s="508"/>
      <c r="AA947" s="508"/>
    </row>
    <row r="948">
      <c r="A948" s="508"/>
      <c r="B948" s="508"/>
      <c r="C948" s="508"/>
      <c r="D948" s="508"/>
      <c r="E948" s="967"/>
      <c r="F948" s="508"/>
      <c r="G948" s="508"/>
      <c r="H948" s="967"/>
      <c r="I948" s="508"/>
      <c r="J948" s="508"/>
      <c r="K948" s="508"/>
      <c r="L948" s="508"/>
      <c r="M948" s="508"/>
      <c r="N948" s="508"/>
      <c r="O948" s="508"/>
      <c r="P948" s="508"/>
      <c r="Q948" s="508"/>
      <c r="R948" s="508"/>
      <c r="S948" s="508"/>
      <c r="T948" s="508"/>
      <c r="U948" s="508"/>
      <c r="V948" s="508"/>
      <c r="W948" s="508"/>
      <c r="X948" s="508"/>
      <c r="Y948" s="508"/>
      <c r="Z948" s="508"/>
      <c r="AA948" s="508"/>
    </row>
    <row r="949">
      <c r="A949" s="508"/>
      <c r="B949" s="508"/>
      <c r="C949" s="508"/>
      <c r="D949" s="508"/>
      <c r="E949" s="967"/>
      <c r="F949" s="508"/>
      <c r="G949" s="508"/>
      <c r="H949" s="967"/>
      <c r="I949" s="508"/>
      <c r="J949" s="508"/>
      <c r="K949" s="508"/>
      <c r="L949" s="508"/>
      <c r="M949" s="508"/>
      <c r="N949" s="508"/>
      <c r="O949" s="508"/>
      <c r="P949" s="508"/>
      <c r="Q949" s="508"/>
      <c r="R949" s="508"/>
      <c r="S949" s="508"/>
      <c r="T949" s="508"/>
      <c r="U949" s="508"/>
      <c r="V949" s="508"/>
      <c r="W949" s="508"/>
      <c r="X949" s="508"/>
      <c r="Y949" s="508"/>
      <c r="Z949" s="508"/>
      <c r="AA949" s="508"/>
    </row>
    <row r="950">
      <c r="A950" s="508"/>
      <c r="B950" s="508"/>
      <c r="C950" s="508"/>
      <c r="D950" s="508"/>
      <c r="E950" s="967"/>
      <c r="F950" s="508"/>
      <c r="G950" s="508"/>
      <c r="H950" s="967"/>
      <c r="I950" s="508"/>
      <c r="J950" s="508"/>
      <c r="K950" s="508"/>
      <c r="L950" s="508"/>
      <c r="M950" s="508"/>
      <c r="N950" s="508"/>
      <c r="O950" s="508"/>
      <c r="P950" s="508"/>
      <c r="Q950" s="508"/>
      <c r="R950" s="508"/>
      <c r="S950" s="508"/>
      <c r="T950" s="508"/>
      <c r="U950" s="508"/>
      <c r="V950" s="508"/>
      <c r="W950" s="508"/>
      <c r="X950" s="508"/>
      <c r="Y950" s="508"/>
      <c r="Z950" s="508"/>
      <c r="AA950" s="508"/>
    </row>
    <row r="951">
      <c r="A951" s="508"/>
      <c r="B951" s="508"/>
      <c r="C951" s="508"/>
      <c r="D951" s="508"/>
      <c r="E951" s="967"/>
      <c r="F951" s="508"/>
      <c r="G951" s="508"/>
      <c r="H951" s="967"/>
      <c r="I951" s="508"/>
      <c r="J951" s="508"/>
      <c r="K951" s="508"/>
      <c r="L951" s="508"/>
      <c r="M951" s="508"/>
      <c r="N951" s="508"/>
      <c r="O951" s="508"/>
      <c r="P951" s="508"/>
      <c r="Q951" s="508"/>
      <c r="R951" s="508"/>
      <c r="S951" s="508"/>
      <c r="T951" s="508"/>
      <c r="U951" s="508"/>
      <c r="V951" s="508"/>
      <c r="W951" s="508"/>
      <c r="X951" s="508"/>
      <c r="Y951" s="508"/>
      <c r="Z951" s="508"/>
      <c r="AA951" s="508"/>
    </row>
    <row r="952">
      <c r="A952" s="508"/>
      <c r="B952" s="508"/>
      <c r="C952" s="508"/>
      <c r="D952" s="508"/>
      <c r="E952" s="967"/>
      <c r="F952" s="508"/>
      <c r="G952" s="508"/>
      <c r="H952" s="967"/>
      <c r="I952" s="508"/>
      <c r="J952" s="508"/>
      <c r="K952" s="508"/>
      <c r="L952" s="508"/>
      <c r="M952" s="508"/>
      <c r="N952" s="508"/>
      <c r="O952" s="508"/>
      <c r="P952" s="508"/>
      <c r="Q952" s="508"/>
      <c r="R952" s="508"/>
      <c r="S952" s="508"/>
      <c r="T952" s="508"/>
      <c r="U952" s="508"/>
      <c r="V952" s="508"/>
      <c r="W952" s="508"/>
      <c r="X952" s="508"/>
      <c r="Y952" s="508"/>
      <c r="Z952" s="508"/>
      <c r="AA952" s="508"/>
    </row>
    <row r="953">
      <c r="A953" s="508"/>
      <c r="B953" s="508"/>
      <c r="C953" s="508"/>
      <c r="D953" s="508"/>
      <c r="E953" s="967"/>
      <c r="F953" s="508"/>
      <c r="G953" s="508"/>
      <c r="H953" s="967"/>
      <c r="I953" s="508"/>
      <c r="J953" s="508"/>
      <c r="K953" s="508"/>
      <c r="L953" s="508"/>
      <c r="M953" s="508"/>
      <c r="N953" s="508"/>
      <c r="O953" s="508"/>
      <c r="P953" s="508"/>
      <c r="Q953" s="508"/>
      <c r="R953" s="508"/>
      <c r="S953" s="508"/>
      <c r="T953" s="508"/>
      <c r="U953" s="508"/>
      <c r="V953" s="508"/>
      <c r="W953" s="508"/>
      <c r="X953" s="508"/>
      <c r="Y953" s="508"/>
      <c r="Z953" s="508"/>
      <c r="AA953" s="508"/>
    </row>
    <row r="954">
      <c r="A954" s="508"/>
      <c r="B954" s="508"/>
      <c r="C954" s="508"/>
      <c r="D954" s="508"/>
      <c r="E954" s="967"/>
      <c r="F954" s="508"/>
      <c r="G954" s="508"/>
      <c r="H954" s="967"/>
      <c r="I954" s="508"/>
      <c r="J954" s="508"/>
      <c r="K954" s="508"/>
      <c r="L954" s="508"/>
      <c r="M954" s="508"/>
      <c r="N954" s="508"/>
      <c r="O954" s="508"/>
      <c r="P954" s="508"/>
      <c r="Q954" s="508"/>
      <c r="R954" s="508"/>
      <c r="S954" s="508"/>
      <c r="T954" s="508"/>
      <c r="U954" s="508"/>
      <c r="V954" s="508"/>
      <c r="W954" s="508"/>
      <c r="X954" s="508"/>
      <c r="Y954" s="508"/>
      <c r="Z954" s="508"/>
      <c r="AA954" s="508"/>
    </row>
    <row r="955">
      <c r="A955" s="508"/>
      <c r="B955" s="508"/>
      <c r="C955" s="508"/>
      <c r="D955" s="508"/>
      <c r="E955" s="967"/>
      <c r="F955" s="508"/>
      <c r="G955" s="508"/>
      <c r="H955" s="967"/>
      <c r="I955" s="508"/>
      <c r="J955" s="508"/>
      <c r="K955" s="508"/>
      <c r="L955" s="508"/>
      <c r="M955" s="508"/>
      <c r="N955" s="508"/>
      <c r="O955" s="508"/>
      <c r="P955" s="508"/>
      <c r="Q955" s="508"/>
      <c r="R955" s="508"/>
      <c r="S955" s="508"/>
      <c r="T955" s="508"/>
      <c r="U955" s="508"/>
      <c r="V955" s="508"/>
      <c r="W955" s="508"/>
      <c r="X955" s="508"/>
      <c r="Y955" s="508"/>
      <c r="Z955" s="508"/>
      <c r="AA955" s="508"/>
    </row>
    <row r="956">
      <c r="A956" s="508"/>
      <c r="B956" s="508"/>
      <c r="C956" s="508"/>
      <c r="D956" s="508"/>
      <c r="E956" s="967"/>
      <c r="F956" s="508"/>
      <c r="G956" s="508"/>
      <c r="H956" s="967"/>
      <c r="I956" s="508"/>
      <c r="J956" s="508"/>
      <c r="K956" s="508"/>
      <c r="L956" s="508"/>
      <c r="M956" s="508"/>
      <c r="N956" s="508"/>
      <c r="O956" s="508"/>
      <c r="P956" s="508"/>
      <c r="Q956" s="508"/>
      <c r="R956" s="508"/>
      <c r="S956" s="508"/>
      <c r="T956" s="508"/>
      <c r="U956" s="508"/>
      <c r="V956" s="508"/>
      <c r="W956" s="508"/>
      <c r="X956" s="508"/>
      <c r="Y956" s="508"/>
      <c r="Z956" s="508"/>
      <c r="AA956" s="508"/>
    </row>
    <row r="957">
      <c r="A957" s="508"/>
      <c r="B957" s="508"/>
      <c r="C957" s="508"/>
      <c r="D957" s="508"/>
      <c r="E957" s="967"/>
      <c r="F957" s="508"/>
      <c r="G957" s="508"/>
      <c r="H957" s="967"/>
      <c r="I957" s="508"/>
      <c r="J957" s="508"/>
      <c r="K957" s="508"/>
      <c r="L957" s="508"/>
      <c r="M957" s="508"/>
      <c r="N957" s="508"/>
      <c r="O957" s="508"/>
      <c r="P957" s="508"/>
      <c r="Q957" s="508"/>
      <c r="R957" s="508"/>
      <c r="S957" s="508"/>
      <c r="T957" s="508"/>
      <c r="U957" s="508"/>
      <c r="V957" s="508"/>
      <c r="W957" s="508"/>
      <c r="X957" s="508"/>
      <c r="Y957" s="508"/>
      <c r="Z957" s="508"/>
      <c r="AA957" s="508"/>
    </row>
    <row r="958">
      <c r="A958" s="508"/>
      <c r="B958" s="508"/>
      <c r="C958" s="508"/>
      <c r="D958" s="508"/>
      <c r="E958" s="967"/>
      <c r="F958" s="508"/>
      <c r="G958" s="508"/>
      <c r="H958" s="967"/>
      <c r="I958" s="508"/>
      <c r="J958" s="508"/>
      <c r="K958" s="508"/>
      <c r="L958" s="508"/>
      <c r="M958" s="508"/>
      <c r="N958" s="508"/>
      <c r="O958" s="508"/>
      <c r="P958" s="508"/>
      <c r="Q958" s="508"/>
      <c r="R958" s="508"/>
      <c r="S958" s="508"/>
      <c r="T958" s="508"/>
      <c r="U958" s="508"/>
      <c r="V958" s="508"/>
      <c r="W958" s="508"/>
      <c r="X958" s="508"/>
      <c r="Y958" s="508"/>
      <c r="Z958" s="508"/>
      <c r="AA958" s="508"/>
    </row>
    <row r="959">
      <c r="A959" s="508"/>
      <c r="B959" s="508"/>
      <c r="C959" s="508"/>
      <c r="D959" s="508"/>
      <c r="E959" s="967"/>
      <c r="F959" s="508"/>
      <c r="G959" s="508"/>
      <c r="H959" s="967"/>
      <c r="I959" s="508"/>
      <c r="J959" s="508"/>
      <c r="K959" s="508"/>
      <c r="L959" s="508"/>
      <c r="M959" s="508"/>
      <c r="N959" s="508"/>
      <c r="O959" s="508"/>
      <c r="P959" s="508"/>
      <c r="Q959" s="508"/>
      <c r="R959" s="508"/>
      <c r="S959" s="508"/>
      <c r="T959" s="508"/>
      <c r="U959" s="508"/>
      <c r="V959" s="508"/>
      <c r="W959" s="508"/>
      <c r="X959" s="508"/>
      <c r="Y959" s="508"/>
      <c r="Z959" s="508"/>
      <c r="AA959" s="508"/>
    </row>
    <row r="960">
      <c r="A960" s="508"/>
      <c r="B960" s="508"/>
      <c r="C960" s="508"/>
      <c r="D960" s="508"/>
      <c r="E960" s="967"/>
      <c r="F960" s="508"/>
      <c r="G960" s="508"/>
      <c r="H960" s="967"/>
      <c r="I960" s="508"/>
      <c r="J960" s="508"/>
      <c r="K960" s="508"/>
      <c r="L960" s="508"/>
      <c r="M960" s="508"/>
      <c r="N960" s="508"/>
      <c r="O960" s="508"/>
      <c r="P960" s="508"/>
      <c r="Q960" s="508"/>
      <c r="R960" s="508"/>
      <c r="S960" s="508"/>
      <c r="T960" s="508"/>
      <c r="U960" s="508"/>
      <c r="V960" s="508"/>
      <c r="W960" s="508"/>
      <c r="X960" s="508"/>
      <c r="Y960" s="508"/>
      <c r="Z960" s="508"/>
      <c r="AA960" s="508"/>
    </row>
    <row r="961">
      <c r="A961" s="508"/>
      <c r="B961" s="508"/>
      <c r="C961" s="508"/>
      <c r="D961" s="508"/>
      <c r="E961" s="967"/>
      <c r="F961" s="508"/>
      <c r="G961" s="508"/>
      <c r="H961" s="967"/>
      <c r="I961" s="508"/>
      <c r="J961" s="508"/>
      <c r="K961" s="508"/>
      <c r="L961" s="508"/>
      <c r="M961" s="508"/>
      <c r="N961" s="508"/>
      <c r="O961" s="508"/>
      <c r="P961" s="508"/>
      <c r="Q961" s="508"/>
      <c r="R961" s="508"/>
      <c r="S961" s="508"/>
      <c r="T961" s="508"/>
      <c r="U961" s="508"/>
      <c r="V961" s="508"/>
      <c r="W961" s="508"/>
      <c r="X961" s="508"/>
      <c r="Y961" s="508"/>
      <c r="Z961" s="508"/>
      <c r="AA961" s="508"/>
    </row>
    <row r="962">
      <c r="A962" s="508"/>
      <c r="B962" s="508"/>
      <c r="C962" s="508"/>
      <c r="D962" s="508"/>
      <c r="E962" s="967"/>
      <c r="F962" s="508"/>
      <c r="G962" s="508"/>
      <c r="H962" s="967"/>
      <c r="I962" s="508"/>
      <c r="J962" s="508"/>
      <c r="K962" s="508"/>
      <c r="L962" s="508"/>
      <c r="M962" s="508"/>
      <c r="N962" s="508"/>
      <c r="O962" s="508"/>
      <c r="P962" s="508"/>
      <c r="Q962" s="508"/>
      <c r="R962" s="508"/>
      <c r="S962" s="508"/>
      <c r="T962" s="508"/>
      <c r="U962" s="508"/>
      <c r="V962" s="508"/>
      <c r="W962" s="508"/>
      <c r="X962" s="508"/>
      <c r="Y962" s="508"/>
      <c r="Z962" s="508"/>
      <c r="AA962" s="508"/>
    </row>
    <row r="963">
      <c r="A963" s="508"/>
      <c r="B963" s="508"/>
      <c r="C963" s="508"/>
      <c r="D963" s="508"/>
      <c r="E963" s="967"/>
      <c r="F963" s="508"/>
      <c r="G963" s="508"/>
      <c r="H963" s="967"/>
      <c r="I963" s="508"/>
      <c r="J963" s="508"/>
      <c r="K963" s="508"/>
      <c r="L963" s="508"/>
      <c r="M963" s="508"/>
      <c r="N963" s="508"/>
      <c r="O963" s="508"/>
      <c r="P963" s="508"/>
      <c r="Q963" s="508"/>
      <c r="R963" s="508"/>
      <c r="S963" s="508"/>
      <c r="T963" s="508"/>
      <c r="U963" s="508"/>
      <c r="V963" s="508"/>
      <c r="W963" s="508"/>
      <c r="X963" s="508"/>
      <c r="Y963" s="508"/>
      <c r="Z963" s="508"/>
      <c r="AA963" s="508"/>
    </row>
    <row r="964">
      <c r="A964" s="508"/>
      <c r="B964" s="508"/>
      <c r="C964" s="508"/>
      <c r="D964" s="508"/>
      <c r="E964" s="967"/>
      <c r="F964" s="508"/>
      <c r="G964" s="508"/>
      <c r="H964" s="967"/>
      <c r="I964" s="508"/>
      <c r="J964" s="508"/>
      <c r="K964" s="508"/>
      <c r="L964" s="508"/>
      <c r="M964" s="508"/>
      <c r="N964" s="508"/>
      <c r="O964" s="508"/>
      <c r="P964" s="508"/>
      <c r="Q964" s="508"/>
      <c r="R964" s="508"/>
      <c r="S964" s="508"/>
      <c r="T964" s="508"/>
      <c r="U964" s="508"/>
      <c r="V964" s="508"/>
      <c r="W964" s="508"/>
      <c r="X964" s="508"/>
      <c r="Y964" s="508"/>
      <c r="Z964" s="508"/>
      <c r="AA964" s="508"/>
    </row>
    <row r="965">
      <c r="A965" s="508"/>
      <c r="B965" s="508"/>
      <c r="C965" s="508"/>
      <c r="D965" s="508"/>
      <c r="E965" s="967"/>
      <c r="F965" s="508"/>
      <c r="G965" s="508"/>
      <c r="H965" s="967"/>
      <c r="I965" s="508"/>
      <c r="J965" s="508"/>
      <c r="K965" s="508"/>
      <c r="L965" s="508"/>
      <c r="M965" s="508"/>
      <c r="N965" s="508"/>
      <c r="O965" s="508"/>
      <c r="P965" s="508"/>
      <c r="Q965" s="508"/>
      <c r="R965" s="508"/>
      <c r="S965" s="508"/>
      <c r="T965" s="508"/>
      <c r="U965" s="508"/>
      <c r="V965" s="508"/>
      <c r="W965" s="508"/>
      <c r="X965" s="508"/>
      <c r="Y965" s="508"/>
      <c r="Z965" s="508"/>
      <c r="AA965" s="508"/>
    </row>
    <row r="966">
      <c r="A966" s="508"/>
      <c r="B966" s="508"/>
      <c r="C966" s="508"/>
      <c r="D966" s="508"/>
      <c r="E966" s="967"/>
      <c r="F966" s="508"/>
      <c r="G966" s="508"/>
      <c r="H966" s="967"/>
      <c r="I966" s="508"/>
      <c r="J966" s="508"/>
      <c r="K966" s="508"/>
      <c r="L966" s="508"/>
      <c r="M966" s="508"/>
      <c r="N966" s="508"/>
      <c r="O966" s="508"/>
      <c r="P966" s="508"/>
      <c r="Q966" s="508"/>
      <c r="R966" s="508"/>
      <c r="S966" s="508"/>
      <c r="T966" s="508"/>
      <c r="U966" s="508"/>
      <c r="V966" s="508"/>
      <c r="W966" s="508"/>
      <c r="X966" s="508"/>
      <c r="Y966" s="508"/>
      <c r="Z966" s="508"/>
      <c r="AA966" s="508"/>
    </row>
    <row r="967">
      <c r="A967" s="508"/>
      <c r="B967" s="508"/>
      <c r="C967" s="508"/>
      <c r="D967" s="508"/>
      <c r="E967" s="967"/>
      <c r="F967" s="508"/>
      <c r="G967" s="508"/>
      <c r="H967" s="967"/>
      <c r="I967" s="508"/>
      <c r="J967" s="508"/>
      <c r="K967" s="508"/>
      <c r="L967" s="508"/>
      <c r="M967" s="508"/>
      <c r="N967" s="508"/>
      <c r="O967" s="508"/>
      <c r="P967" s="508"/>
      <c r="Q967" s="508"/>
      <c r="R967" s="508"/>
      <c r="S967" s="508"/>
      <c r="T967" s="508"/>
      <c r="U967" s="508"/>
      <c r="V967" s="508"/>
      <c r="W967" s="508"/>
      <c r="X967" s="508"/>
      <c r="Y967" s="508"/>
      <c r="Z967" s="508"/>
      <c r="AA967" s="508"/>
    </row>
    <row r="968">
      <c r="A968" s="508"/>
      <c r="B968" s="508"/>
      <c r="C968" s="508"/>
      <c r="D968" s="508"/>
      <c r="E968" s="967"/>
      <c r="F968" s="508"/>
      <c r="G968" s="508"/>
      <c r="H968" s="967"/>
      <c r="I968" s="508"/>
      <c r="J968" s="508"/>
      <c r="K968" s="508"/>
      <c r="L968" s="508"/>
      <c r="M968" s="508"/>
      <c r="N968" s="508"/>
      <c r="O968" s="508"/>
      <c r="P968" s="508"/>
      <c r="Q968" s="508"/>
      <c r="R968" s="508"/>
      <c r="S968" s="508"/>
      <c r="T968" s="508"/>
      <c r="U968" s="508"/>
      <c r="V968" s="508"/>
      <c r="W968" s="508"/>
      <c r="X968" s="508"/>
      <c r="Y968" s="508"/>
      <c r="Z968" s="508"/>
      <c r="AA968" s="508"/>
    </row>
    <row r="969">
      <c r="A969" s="508"/>
      <c r="B969" s="508"/>
      <c r="C969" s="508"/>
      <c r="D969" s="508"/>
      <c r="E969" s="967"/>
      <c r="F969" s="508"/>
      <c r="G969" s="508"/>
      <c r="H969" s="967"/>
      <c r="I969" s="508"/>
      <c r="J969" s="508"/>
      <c r="K969" s="508"/>
      <c r="L969" s="508"/>
      <c r="M969" s="508"/>
      <c r="N969" s="508"/>
      <c r="O969" s="508"/>
      <c r="P969" s="508"/>
      <c r="Q969" s="508"/>
      <c r="R969" s="508"/>
      <c r="S969" s="508"/>
      <c r="T969" s="508"/>
      <c r="U969" s="508"/>
      <c r="V969" s="508"/>
      <c r="W969" s="508"/>
      <c r="X969" s="508"/>
      <c r="Y969" s="508"/>
      <c r="Z969" s="508"/>
      <c r="AA969" s="508"/>
    </row>
    <row r="970">
      <c r="A970" s="508"/>
      <c r="B970" s="508"/>
      <c r="C970" s="508"/>
      <c r="D970" s="508"/>
      <c r="E970" s="967"/>
      <c r="F970" s="508"/>
      <c r="G970" s="508"/>
      <c r="H970" s="967"/>
      <c r="I970" s="508"/>
      <c r="J970" s="508"/>
      <c r="K970" s="508"/>
      <c r="L970" s="508"/>
      <c r="M970" s="508"/>
      <c r="N970" s="508"/>
      <c r="O970" s="508"/>
      <c r="P970" s="508"/>
      <c r="Q970" s="508"/>
      <c r="R970" s="508"/>
      <c r="S970" s="508"/>
      <c r="T970" s="508"/>
      <c r="U970" s="508"/>
      <c r="V970" s="508"/>
      <c r="W970" s="508"/>
      <c r="X970" s="508"/>
      <c r="Y970" s="508"/>
      <c r="Z970" s="508"/>
      <c r="AA970" s="508"/>
    </row>
    <row r="971">
      <c r="A971" s="508"/>
      <c r="B971" s="508"/>
      <c r="C971" s="508"/>
      <c r="D971" s="508"/>
      <c r="E971" s="967"/>
      <c r="F971" s="508"/>
      <c r="G971" s="508"/>
      <c r="H971" s="967"/>
      <c r="I971" s="508"/>
      <c r="J971" s="508"/>
      <c r="K971" s="508"/>
      <c r="L971" s="508"/>
      <c r="M971" s="508"/>
      <c r="N971" s="508"/>
      <c r="O971" s="508"/>
      <c r="P971" s="508"/>
      <c r="Q971" s="508"/>
      <c r="R971" s="508"/>
      <c r="S971" s="508"/>
      <c r="T971" s="508"/>
      <c r="U971" s="508"/>
      <c r="V971" s="508"/>
      <c r="W971" s="508"/>
      <c r="X971" s="508"/>
      <c r="Y971" s="508"/>
      <c r="Z971" s="508"/>
      <c r="AA971" s="508"/>
    </row>
    <row r="972">
      <c r="A972" s="508"/>
      <c r="B972" s="508"/>
      <c r="C972" s="508"/>
      <c r="D972" s="508"/>
      <c r="E972" s="967"/>
      <c r="F972" s="508"/>
      <c r="G972" s="508"/>
      <c r="H972" s="967"/>
      <c r="I972" s="508"/>
      <c r="J972" s="508"/>
      <c r="K972" s="508"/>
      <c r="L972" s="508"/>
      <c r="M972" s="508"/>
      <c r="N972" s="508"/>
      <c r="O972" s="508"/>
      <c r="P972" s="508"/>
      <c r="Q972" s="508"/>
      <c r="R972" s="508"/>
      <c r="S972" s="508"/>
      <c r="T972" s="508"/>
      <c r="U972" s="508"/>
      <c r="V972" s="508"/>
      <c r="W972" s="508"/>
      <c r="X972" s="508"/>
      <c r="Y972" s="508"/>
      <c r="Z972" s="508"/>
      <c r="AA972" s="508"/>
    </row>
    <row r="973">
      <c r="A973" s="508"/>
      <c r="B973" s="508"/>
      <c r="C973" s="508"/>
      <c r="D973" s="508"/>
      <c r="E973" s="967"/>
      <c r="F973" s="508"/>
      <c r="G973" s="508"/>
      <c r="H973" s="967"/>
      <c r="I973" s="508"/>
      <c r="J973" s="508"/>
      <c r="K973" s="508"/>
      <c r="L973" s="508"/>
      <c r="M973" s="508"/>
      <c r="N973" s="508"/>
      <c r="O973" s="508"/>
      <c r="P973" s="508"/>
      <c r="Q973" s="508"/>
      <c r="R973" s="508"/>
      <c r="S973" s="508"/>
      <c r="T973" s="508"/>
      <c r="U973" s="508"/>
      <c r="V973" s="508"/>
      <c r="W973" s="508"/>
      <c r="X973" s="508"/>
      <c r="Y973" s="508"/>
      <c r="Z973" s="508"/>
      <c r="AA973" s="508"/>
    </row>
    <row r="974">
      <c r="A974" s="508"/>
      <c r="B974" s="508"/>
      <c r="C974" s="508"/>
      <c r="D974" s="508"/>
      <c r="E974" s="967"/>
      <c r="F974" s="508"/>
      <c r="G974" s="508"/>
      <c r="H974" s="967"/>
      <c r="I974" s="508"/>
      <c r="J974" s="508"/>
      <c r="K974" s="508"/>
      <c r="L974" s="508"/>
      <c r="M974" s="508"/>
      <c r="N974" s="508"/>
      <c r="O974" s="508"/>
      <c r="P974" s="508"/>
      <c r="Q974" s="508"/>
      <c r="R974" s="508"/>
      <c r="S974" s="508"/>
      <c r="T974" s="508"/>
      <c r="U974" s="508"/>
      <c r="V974" s="508"/>
      <c r="W974" s="508"/>
      <c r="X974" s="508"/>
      <c r="Y974" s="508"/>
      <c r="Z974" s="508"/>
      <c r="AA974" s="508"/>
    </row>
    <row r="975">
      <c r="A975" s="508"/>
      <c r="B975" s="508"/>
      <c r="C975" s="508"/>
      <c r="D975" s="508"/>
      <c r="E975" s="967"/>
      <c r="F975" s="508"/>
      <c r="G975" s="508"/>
      <c r="H975" s="967"/>
      <c r="I975" s="508"/>
      <c r="J975" s="508"/>
      <c r="K975" s="508"/>
      <c r="L975" s="508"/>
      <c r="M975" s="508"/>
      <c r="N975" s="508"/>
      <c r="O975" s="508"/>
      <c r="P975" s="508"/>
      <c r="Q975" s="508"/>
      <c r="R975" s="508"/>
      <c r="S975" s="508"/>
      <c r="T975" s="508"/>
      <c r="U975" s="508"/>
      <c r="V975" s="508"/>
      <c r="W975" s="508"/>
      <c r="X975" s="508"/>
      <c r="Y975" s="508"/>
      <c r="Z975" s="508"/>
      <c r="AA975" s="508"/>
    </row>
    <row r="976">
      <c r="A976" s="508"/>
      <c r="B976" s="508"/>
      <c r="C976" s="508"/>
      <c r="D976" s="508"/>
      <c r="E976" s="967"/>
      <c r="F976" s="508"/>
      <c r="G976" s="508"/>
      <c r="H976" s="967"/>
      <c r="I976" s="508"/>
      <c r="J976" s="508"/>
      <c r="K976" s="508"/>
      <c r="L976" s="508"/>
      <c r="M976" s="508"/>
      <c r="N976" s="508"/>
      <c r="O976" s="508"/>
      <c r="P976" s="508"/>
      <c r="Q976" s="508"/>
      <c r="R976" s="508"/>
      <c r="S976" s="508"/>
      <c r="T976" s="508"/>
      <c r="U976" s="508"/>
      <c r="V976" s="508"/>
      <c r="W976" s="508"/>
      <c r="X976" s="508"/>
      <c r="Y976" s="508"/>
      <c r="Z976" s="508"/>
      <c r="AA976" s="508"/>
    </row>
    <row r="977">
      <c r="A977" s="508"/>
      <c r="B977" s="508"/>
      <c r="C977" s="508"/>
      <c r="D977" s="508"/>
      <c r="E977" s="967"/>
      <c r="F977" s="508"/>
      <c r="G977" s="508"/>
      <c r="H977" s="967"/>
      <c r="I977" s="508"/>
      <c r="J977" s="508"/>
      <c r="K977" s="508"/>
      <c r="L977" s="508"/>
      <c r="M977" s="508"/>
      <c r="N977" s="508"/>
      <c r="O977" s="508"/>
      <c r="P977" s="508"/>
      <c r="Q977" s="508"/>
      <c r="R977" s="508"/>
      <c r="S977" s="508"/>
      <c r="T977" s="508"/>
      <c r="U977" s="508"/>
      <c r="V977" s="508"/>
      <c r="W977" s="508"/>
      <c r="X977" s="508"/>
      <c r="Y977" s="508"/>
      <c r="Z977" s="508"/>
      <c r="AA977" s="508"/>
    </row>
    <row r="978">
      <c r="A978" s="508"/>
      <c r="B978" s="508"/>
      <c r="C978" s="508"/>
      <c r="D978" s="508"/>
      <c r="E978" s="967"/>
      <c r="F978" s="508"/>
      <c r="G978" s="508"/>
      <c r="H978" s="967"/>
      <c r="I978" s="508"/>
      <c r="J978" s="508"/>
      <c r="K978" s="508"/>
      <c r="L978" s="508"/>
      <c r="M978" s="508"/>
      <c r="N978" s="508"/>
      <c r="O978" s="508"/>
      <c r="P978" s="508"/>
      <c r="Q978" s="508"/>
      <c r="R978" s="508"/>
      <c r="S978" s="508"/>
      <c r="T978" s="508"/>
      <c r="U978" s="508"/>
      <c r="V978" s="508"/>
      <c r="W978" s="508"/>
      <c r="X978" s="508"/>
      <c r="Y978" s="508"/>
      <c r="Z978" s="508"/>
      <c r="AA978" s="508"/>
    </row>
    <row r="979">
      <c r="A979" s="508"/>
      <c r="B979" s="508"/>
      <c r="C979" s="508"/>
      <c r="D979" s="508"/>
      <c r="E979" s="967"/>
      <c r="F979" s="508"/>
      <c r="G979" s="508"/>
      <c r="H979" s="967"/>
      <c r="I979" s="508"/>
      <c r="J979" s="508"/>
      <c r="K979" s="508"/>
      <c r="L979" s="508"/>
      <c r="M979" s="508"/>
      <c r="N979" s="508"/>
      <c r="O979" s="508"/>
      <c r="P979" s="508"/>
      <c r="Q979" s="508"/>
      <c r="R979" s="508"/>
      <c r="S979" s="508"/>
      <c r="T979" s="508"/>
      <c r="U979" s="508"/>
      <c r="V979" s="508"/>
      <c r="W979" s="508"/>
      <c r="X979" s="508"/>
      <c r="Y979" s="508"/>
      <c r="Z979" s="508"/>
      <c r="AA979" s="508"/>
    </row>
    <row r="980">
      <c r="A980" s="508"/>
      <c r="B980" s="508"/>
      <c r="C980" s="508"/>
      <c r="D980" s="508"/>
      <c r="E980" s="967"/>
      <c r="F980" s="508"/>
      <c r="G980" s="508"/>
      <c r="H980" s="967"/>
      <c r="I980" s="508"/>
      <c r="J980" s="508"/>
      <c r="K980" s="508"/>
      <c r="L980" s="508"/>
      <c r="M980" s="508"/>
      <c r="N980" s="508"/>
      <c r="O980" s="508"/>
      <c r="P980" s="508"/>
      <c r="Q980" s="508"/>
      <c r="R980" s="508"/>
      <c r="S980" s="508"/>
      <c r="T980" s="508"/>
      <c r="U980" s="508"/>
      <c r="V980" s="508"/>
      <c r="W980" s="508"/>
      <c r="X980" s="508"/>
      <c r="Y980" s="508"/>
      <c r="Z980" s="508"/>
      <c r="AA980" s="508"/>
    </row>
    <row r="981">
      <c r="A981" s="508"/>
      <c r="B981" s="508"/>
      <c r="C981" s="508"/>
      <c r="D981" s="508"/>
      <c r="E981" s="967"/>
      <c r="F981" s="508"/>
      <c r="G981" s="508"/>
      <c r="H981" s="967"/>
      <c r="I981" s="508"/>
      <c r="J981" s="508"/>
      <c r="K981" s="508"/>
      <c r="L981" s="508"/>
      <c r="M981" s="508"/>
      <c r="N981" s="508"/>
      <c r="O981" s="508"/>
      <c r="P981" s="508"/>
      <c r="Q981" s="508"/>
      <c r="R981" s="508"/>
      <c r="S981" s="508"/>
      <c r="T981" s="508"/>
      <c r="U981" s="508"/>
      <c r="V981" s="508"/>
      <c r="W981" s="508"/>
      <c r="X981" s="508"/>
      <c r="Y981" s="508"/>
      <c r="Z981" s="508"/>
      <c r="AA981" s="508"/>
    </row>
    <row r="982">
      <c r="A982" s="508"/>
      <c r="B982" s="508"/>
      <c r="C982" s="508"/>
      <c r="D982" s="508"/>
      <c r="E982" s="967"/>
      <c r="F982" s="508"/>
      <c r="G982" s="508"/>
      <c r="H982" s="967"/>
      <c r="I982" s="508"/>
      <c r="J982" s="508"/>
      <c r="K982" s="508"/>
      <c r="L982" s="508"/>
      <c r="M982" s="508"/>
      <c r="N982" s="508"/>
      <c r="O982" s="508"/>
      <c r="P982" s="508"/>
      <c r="Q982" s="508"/>
      <c r="R982" s="508"/>
      <c r="S982" s="508"/>
      <c r="T982" s="508"/>
      <c r="U982" s="508"/>
      <c r="V982" s="508"/>
      <c r="W982" s="508"/>
      <c r="X982" s="508"/>
      <c r="Y982" s="508"/>
      <c r="Z982" s="508"/>
      <c r="AA982" s="508"/>
    </row>
    <row r="983">
      <c r="A983" s="508"/>
      <c r="B983" s="508"/>
      <c r="C983" s="508"/>
      <c r="D983" s="508"/>
      <c r="E983" s="967"/>
      <c r="F983" s="508"/>
      <c r="G983" s="508"/>
      <c r="H983" s="967"/>
      <c r="I983" s="508"/>
      <c r="J983" s="508"/>
      <c r="K983" s="508"/>
      <c r="L983" s="508"/>
      <c r="M983" s="508"/>
      <c r="N983" s="508"/>
      <c r="O983" s="508"/>
      <c r="P983" s="508"/>
      <c r="Q983" s="508"/>
      <c r="R983" s="508"/>
      <c r="S983" s="508"/>
      <c r="T983" s="508"/>
      <c r="U983" s="508"/>
      <c r="V983" s="508"/>
      <c r="W983" s="508"/>
      <c r="X983" s="508"/>
      <c r="Y983" s="508"/>
      <c r="Z983" s="508"/>
      <c r="AA983" s="508"/>
    </row>
    <row r="984">
      <c r="A984" s="508"/>
      <c r="B984" s="508"/>
      <c r="C984" s="508"/>
      <c r="D984" s="508"/>
      <c r="E984" s="967"/>
      <c r="F984" s="508"/>
      <c r="G984" s="508"/>
      <c r="H984" s="967"/>
      <c r="I984" s="508"/>
      <c r="J984" s="508"/>
      <c r="K984" s="508"/>
      <c r="L984" s="508"/>
      <c r="M984" s="508"/>
      <c r="N984" s="508"/>
      <c r="O984" s="508"/>
      <c r="P984" s="508"/>
      <c r="Q984" s="508"/>
      <c r="R984" s="508"/>
      <c r="S984" s="508"/>
      <c r="T984" s="508"/>
      <c r="U984" s="508"/>
      <c r="V984" s="508"/>
      <c r="W984" s="508"/>
      <c r="X984" s="508"/>
      <c r="Y984" s="508"/>
      <c r="Z984" s="508"/>
      <c r="AA984" s="508"/>
    </row>
    <row r="985">
      <c r="A985" s="508"/>
      <c r="B985" s="508"/>
      <c r="C985" s="508"/>
      <c r="D985" s="508"/>
      <c r="E985" s="967"/>
      <c r="F985" s="508"/>
      <c r="G985" s="508"/>
      <c r="H985" s="967"/>
      <c r="I985" s="508"/>
      <c r="J985" s="508"/>
      <c r="K985" s="508"/>
      <c r="L985" s="508"/>
      <c r="M985" s="508"/>
      <c r="N985" s="508"/>
      <c r="O985" s="508"/>
      <c r="P985" s="508"/>
      <c r="Q985" s="508"/>
      <c r="R985" s="508"/>
      <c r="S985" s="508"/>
      <c r="T985" s="508"/>
      <c r="U985" s="508"/>
      <c r="V985" s="508"/>
      <c r="W985" s="508"/>
      <c r="X985" s="508"/>
      <c r="Y985" s="508"/>
      <c r="Z985" s="508"/>
      <c r="AA985" s="508"/>
    </row>
    <row r="986">
      <c r="A986" s="508"/>
      <c r="B986" s="508"/>
      <c r="C986" s="508"/>
      <c r="D986" s="508"/>
      <c r="E986" s="967"/>
      <c r="F986" s="508"/>
      <c r="G986" s="508"/>
      <c r="H986" s="967"/>
      <c r="I986" s="508"/>
      <c r="J986" s="508"/>
      <c r="K986" s="508"/>
      <c r="L986" s="508"/>
      <c r="M986" s="508"/>
      <c r="N986" s="508"/>
      <c r="O986" s="508"/>
      <c r="P986" s="508"/>
      <c r="Q986" s="508"/>
      <c r="R986" s="508"/>
      <c r="S986" s="508"/>
      <c r="T986" s="508"/>
      <c r="U986" s="508"/>
      <c r="V986" s="508"/>
      <c r="W986" s="508"/>
      <c r="X986" s="508"/>
      <c r="Y986" s="508"/>
      <c r="Z986" s="508"/>
      <c r="AA986" s="508"/>
    </row>
    <row r="987">
      <c r="A987" s="508"/>
      <c r="B987" s="508"/>
      <c r="C987" s="508"/>
      <c r="D987" s="508"/>
      <c r="E987" s="967"/>
      <c r="F987" s="508"/>
      <c r="G987" s="508"/>
      <c r="H987" s="967"/>
      <c r="I987" s="508"/>
      <c r="J987" s="508"/>
      <c r="K987" s="508"/>
      <c r="L987" s="508"/>
      <c r="M987" s="508"/>
      <c r="N987" s="508"/>
      <c r="O987" s="508"/>
      <c r="P987" s="508"/>
      <c r="Q987" s="508"/>
      <c r="R987" s="508"/>
      <c r="S987" s="508"/>
      <c r="T987" s="508"/>
      <c r="U987" s="508"/>
      <c r="V987" s="508"/>
      <c r="W987" s="508"/>
      <c r="X987" s="508"/>
      <c r="Y987" s="508"/>
      <c r="Z987" s="508"/>
      <c r="AA987" s="508"/>
    </row>
    <row r="988">
      <c r="A988" s="508"/>
      <c r="B988" s="508"/>
      <c r="C988" s="508"/>
      <c r="D988" s="508"/>
      <c r="E988" s="967"/>
      <c r="F988" s="508"/>
      <c r="G988" s="508"/>
      <c r="H988" s="967"/>
      <c r="I988" s="508"/>
      <c r="J988" s="508"/>
      <c r="K988" s="508"/>
      <c r="L988" s="508"/>
      <c r="M988" s="508"/>
      <c r="N988" s="508"/>
      <c r="O988" s="508"/>
      <c r="P988" s="508"/>
      <c r="Q988" s="508"/>
      <c r="R988" s="508"/>
      <c r="S988" s="508"/>
      <c r="T988" s="508"/>
      <c r="U988" s="508"/>
      <c r="V988" s="508"/>
      <c r="W988" s="508"/>
      <c r="X988" s="508"/>
      <c r="Y988" s="508"/>
      <c r="Z988" s="508"/>
      <c r="AA988" s="508"/>
    </row>
    <row r="989">
      <c r="A989" s="508"/>
      <c r="B989" s="508"/>
      <c r="C989" s="508"/>
      <c r="D989" s="508"/>
      <c r="E989" s="967"/>
      <c r="F989" s="508"/>
      <c r="G989" s="508"/>
      <c r="H989" s="967"/>
      <c r="I989" s="508"/>
      <c r="J989" s="508"/>
      <c r="K989" s="508"/>
      <c r="L989" s="508"/>
      <c r="M989" s="508"/>
      <c r="N989" s="508"/>
      <c r="O989" s="508"/>
      <c r="P989" s="508"/>
      <c r="Q989" s="508"/>
      <c r="R989" s="508"/>
      <c r="S989" s="508"/>
      <c r="T989" s="508"/>
      <c r="U989" s="508"/>
      <c r="V989" s="508"/>
      <c r="W989" s="508"/>
      <c r="X989" s="508"/>
      <c r="Y989" s="508"/>
      <c r="Z989" s="508"/>
      <c r="AA989" s="508"/>
    </row>
    <row r="990">
      <c r="A990" s="508"/>
      <c r="B990" s="508"/>
      <c r="C990" s="508"/>
      <c r="D990" s="508"/>
      <c r="E990" s="967"/>
      <c r="F990" s="508"/>
      <c r="G990" s="508"/>
      <c r="H990" s="967"/>
      <c r="I990" s="508"/>
      <c r="J990" s="508"/>
      <c r="K990" s="508"/>
      <c r="L990" s="508"/>
      <c r="M990" s="508"/>
      <c r="N990" s="508"/>
      <c r="O990" s="508"/>
      <c r="P990" s="508"/>
      <c r="Q990" s="508"/>
      <c r="R990" s="508"/>
      <c r="S990" s="508"/>
      <c r="T990" s="508"/>
      <c r="U990" s="508"/>
      <c r="V990" s="508"/>
      <c r="W990" s="508"/>
      <c r="X990" s="508"/>
      <c r="Y990" s="508"/>
      <c r="Z990" s="508"/>
      <c r="AA990" s="508"/>
    </row>
    <row r="991">
      <c r="A991" s="508"/>
      <c r="B991" s="508"/>
      <c r="C991" s="508"/>
      <c r="D991" s="508"/>
      <c r="E991" s="967"/>
      <c r="F991" s="508"/>
      <c r="G991" s="508"/>
      <c r="H991" s="967"/>
      <c r="I991" s="508"/>
      <c r="J991" s="508"/>
      <c r="K991" s="508"/>
      <c r="L991" s="508"/>
      <c r="M991" s="508"/>
      <c r="N991" s="508"/>
      <c r="O991" s="508"/>
      <c r="P991" s="508"/>
      <c r="Q991" s="508"/>
      <c r="R991" s="508"/>
      <c r="S991" s="508"/>
      <c r="T991" s="508"/>
      <c r="U991" s="508"/>
      <c r="V991" s="508"/>
      <c r="W991" s="508"/>
      <c r="X991" s="508"/>
      <c r="Y991" s="508"/>
      <c r="Z991" s="508"/>
      <c r="AA991" s="508"/>
    </row>
    <row r="992">
      <c r="A992" s="508"/>
      <c r="B992" s="508"/>
      <c r="C992" s="508"/>
      <c r="D992" s="508"/>
      <c r="E992" s="967"/>
      <c r="F992" s="508"/>
      <c r="G992" s="508"/>
      <c r="H992" s="967"/>
      <c r="I992" s="508"/>
      <c r="J992" s="508"/>
      <c r="K992" s="508"/>
      <c r="L992" s="508"/>
      <c r="M992" s="508"/>
      <c r="N992" s="508"/>
      <c r="O992" s="508"/>
      <c r="P992" s="508"/>
      <c r="Q992" s="508"/>
      <c r="R992" s="508"/>
      <c r="S992" s="508"/>
      <c r="T992" s="508"/>
      <c r="U992" s="508"/>
      <c r="V992" s="508"/>
      <c r="W992" s="508"/>
      <c r="X992" s="508"/>
      <c r="Y992" s="508"/>
      <c r="Z992" s="508"/>
      <c r="AA992" s="508"/>
    </row>
    <row r="993">
      <c r="A993" s="508"/>
      <c r="B993" s="508"/>
      <c r="C993" s="508"/>
      <c r="D993" s="508"/>
      <c r="E993" s="967"/>
      <c r="F993" s="508"/>
      <c r="G993" s="508"/>
      <c r="H993" s="967"/>
      <c r="I993" s="508"/>
      <c r="J993" s="508"/>
      <c r="K993" s="508"/>
      <c r="L993" s="508"/>
      <c r="M993" s="508"/>
      <c r="N993" s="508"/>
      <c r="O993" s="508"/>
      <c r="P993" s="508"/>
      <c r="Q993" s="508"/>
      <c r="R993" s="508"/>
      <c r="S993" s="508"/>
      <c r="T993" s="508"/>
      <c r="U993" s="508"/>
      <c r="V993" s="508"/>
      <c r="W993" s="508"/>
      <c r="X993" s="508"/>
      <c r="Y993" s="508"/>
      <c r="Z993" s="508"/>
      <c r="AA993" s="508"/>
    </row>
    <row r="994">
      <c r="A994" s="508"/>
      <c r="B994" s="508"/>
      <c r="C994" s="508"/>
      <c r="D994" s="508"/>
      <c r="E994" s="967"/>
      <c r="F994" s="508"/>
      <c r="G994" s="508"/>
      <c r="H994" s="967"/>
      <c r="I994" s="508"/>
      <c r="J994" s="508"/>
      <c r="K994" s="508"/>
      <c r="L994" s="508"/>
      <c r="M994" s="508"/>
      <c r="N994" s="508"/>
      <c r="O994" s="508"/>
      <c r="P994" s="508"/>
      <c r="Q994" s="508"/>
      <c r="R994" s="508"/>
      <c r="S994" s="508"/>
      <c r="T994" s="508"/>
      <c r="U994" s="508"/>
      <c r="V994" s="508"/>
      <c r="W994" s="508"/>
      <c r="X994" s="508"/>
      <c r="Y994" s="508"/>
      <c r="Z994" s="508"/>
      <c r="AA994" s="508"/>
    </row>
    <row r="995">
      <c r="A995" s="508"/>
      <c r="B995" s="508"/>
      <c r="C995" s="508"/>
      <c r="D995" s="508"/>
      <c r="E995" s="967"/>
      <c r="F995" s="508"/>
      <c r="G995" s="508"/>
      <c r="H995" s="967"/>
      <c r="I995" s="508"/>
      <c r="J995" s="508"/>
      <c r="K995" s="508"/>
      <c r="L995" s="508"/>
      <c r="M995" s="508"/>
      <c r="N995" s="508"/>
      <c r="O995" s="508"/>
      <c r="P995" s="508"/>
      <c r="Q995" s="508"/>
      <c r="R995" s="508"/>
      <c r="S995" s="508"/>
      <c r="T995" s="508"/>
      <c r="U995" s="508"/>
      <c r="V995" s="508"/>
      <c r="W995" s="508"/>
      <c r="X995" s="508"/>
      <c r="Y995" s="508"/>
      <c r="Z995" s="508"/>
      <c r="AA995" s="508"/>
    </row>
    <row r="996">
      <c r="A996" s="508"/>
      <c r="B996" s="508"/>
      <c r="C996" s="508"/>
      <c r="D996" s="508"/>
      <c r="E996" s="967"/>
      <c r="F996" s="508"/>
      <c r="G996" s="508"/>
      <c r="H996" s="967"/>
      <c r="I996" s="508"/>
      <c r="J996" s="508"/>
      <c r="K996" s="508"/>
      <c r="L996" s="508"/>
      <c r="M996" s="508"/>
      <c r="N996" s="508"/>
      <c r="O996" s="508"/>
      <c r="P996" s="508"/>
      <c r="Q996" s="508"/>
      <c r="R996" s="508"/>
      <c r="S996" s="508"/>
      <c r="T996" s="508"/>
      <c r="U996" s="508"/>
      <c r="V996" s="508"/>
      <c r="W996" s="508"/>
      <c r="X996" s="508"/>
      <c r="Y996" s="508"/>
      <c r="Z996" s="508"/>
      <c r="AA996" s="508"/>
    </row>
    <row r="997">
      <c r="A997" s="508"/>
      <c r="B997" s="508"/>
      <c r="C997" s="508"/>
      <c r="D997" s="508"/>
      <c r="E997" s="967"/>
      <c r="F997" s="508"/>
      <c r="G997" s="508"/>
      <c r="H997" s="967"/>
      <c r="I997" s="508"/>
      <c r="J997" s="508"/>
      <c r="K997" s="508"/>
      <c r="L997" s="508"/>
      <c r="M997" s="508"/>
      <c r="N997" s="508"/>
      <c r="O997" s="508"/>
      <c r="P997" s="508"/>
      <c r="Q997" s="508"/>
      <c r="R997" s="508"/>
      <c r="S997" s="508"/>
      <c r="T997" s="508"/>
      <c r="U997" s="508"/>
      <c r="V997" s="508"/>
      <c r="W997" s="508"/>
      <c r="X997" s="508"/>
      <c r="Y997" s="508"/>
      <c r="Z997" s="508"/>
      <c r="AA997" s="508"/>
    </row>
    <row r="998">
      <c r="A998" s="508"/>
      <c r="B998" s="508"/>
      <c r="C998" s="508"/>
      <c r="D998" s="508"/>
      <c r="E998" s="967"/>
      <c r="F998" s="508"/>
      <c r="G998" s="508"/>
      <c r="H998" s="967"/>
      <c r="I998" s="508"/>
      <c r="J998" s="508"/>
      <c r="K998" s="508"/>
      <c r="L998" s="508"/>
      <c r="M998" s="508"/>
      <c r="N998" s="508"/>
      <c r="O998" s="508"/>
      <c r="P998" s="508"/>
      <c r="Q998" s="508"/>
      <c r="R998" s="508"/>
      <c r="S998" s="508"/>
      <c r="T998" s="508"/>
      <c r="U998" s="508"/>
      <c r="V998" s="508"/>
      <c r="W998" s="508"/>
      <c r="X998" s="508"/>
      <c r="Y998" s="508"/>
      <c r="Z998" s="508"/>
      <c r="AA998" s="508"/>
    </row>
    <row r="999">
      <c r="A999" s="508"/>
      <c r="B999" s="508"/>
      <c r="C999" s="508"/>
      <c r="D999" s="508"/>
      <c r="E999" s="967"/>
      <c r="F999" s="508"/>
      <c r="G999" s="508"/>
      <c r="H999" s="967"/>
      <c r="I999" s="508"/>
      <c r="J999" s="508"/>
      <c r="K999" s="508"/>
      <c r="L999" s="508"/>
      <c r="M999" s="508"/>
      <c r="N999" s="508"/>
      <c r="O999" s="508"/>
      <c r="P999" s="508"/>
      <c r="Q999" s="508"/>
      <c r="R999" s="508"/>
      <c r="S999" s="508"/>
      <c r="T999" s="508"/>
      <c r="U999" s="508"/>
      <c r="V999" s="508"/>
      <c r="W999" s="508"/>
      <c r="X999" s="508"/>
      <c r="Y999" s="508"/>
      <c r="Z999" s="508"/>
      <c r="AA999" s="508"/>
    </row>
    <row r="1000">
      <c r="A1000" s="508"/>
      <c r="B1000" s="508"/>
      <c r="C1000" s="508"/>
      <c r="D1000" s="508"/>
      <c r="E1000" s="967"/>
      <c r="F1000" s="508"/>
      <c r="G1000" s="508"/>
      <c r="H1000" s="967"/>
      <c r="I1000" s="508"/>
      <c r="J1000" s="508"/>
      <c r="K1000" s="508"/>
      <c r="L1000" s="508"/>
      <c r="M1000" s="508"/>
      <c r="N1000" s="508"/>
      <c r="O1000" s="508"/>
      <c r="P1000" s="508"/>
      <c r="Q1000" s="508"/>
      <c r="R1000" s="508"/>
      <c r="S1000" s="508"/>
      <c r="T1000" s="508"/>
      <c r="U1000" s="508"/>
      <c r="V1000" s="508"/>
      <c r="W1000" s="508"/>
      <c r="X1000" s="508"/>
      <c r="Y1000" s="508"/>
      <c r="Z1000" s="508"/>
      <c r="AA1000" s="508"/>
    </row>
    <row r="1001">
      <c r="A1001" s="508"/>
      <c r="B1001" s="508"/>
      <c r="C1001" s="508"/>
      <c r="D1001" s="508"/>
      <c r="E1001" s="967"/>
      <c r="F1001" s="508"/>
      <c r="G1001" s="508"/>
      <c r="H1001" s="967"/>
      <c r="I1001" s="508"/>
      <c r="J1001" s="508"/>
      <c r="K1001" s="508"/>
      <c r="L1001" s="508"/>
      <c r="M1001" s="508"/>
      <c r="N1001" s="508"/>
      <c r="O1001" s="508"/>
      <c r="P1001" s="508"/>
      <c r="Q1001" s="508"/>
      <c r="R1001" s="508"/>
      <c r="S1001" s="508"/>
      <c r="T1001" s="508"/>
      <c r="U1001" s="508"/>
      <c r="V1001" s="508"/>
      <c r="W1001" s="508"/>
      <c r="X1001" s="508"/>
      <c r="Y1001" s="508"/>
      <c r="Z1001" s="508"/>
      <c r="AA1001" s="508"/>
    </row>
    <row r="1002">
      <c r="A1002" s="508"/>
      <c r="B1002" s="508"/>
      <c r="C1002" s="508"/>
      <c r="D1002" s="508"/>
      <c r="E1002" s="967"/>
      <c r="F1002" s="508"/>
      <c r="G1002" s="508"/>
      <c r="H1002" s="967"/>
      <c r="I1002" s="508"/>
      <c r="J1002" s="508"/>
      <c r="K1002" s="508"/>
      <c r="L1002" s="508"/>
      <c r="M1002" s="508"/>
      <c r="N1002" s="508"/>
      <c r="O1002" s="508"/>
      <c r="P1002" s="508"/>
      <c r="Q1002" s="508"/>
      <c r="R1002" s="508"/>
      <c r="S1002" s="508"/>
      <c r="T1002" s="508"/>
      <c r="U1002" s="508"/>
      <c r="V1002" s="508"/>
      <c r="W1002" s="508"/>
      <c r="X1002" s="508"/>
      <c r="Y1002" s="508"/>
      <c r="Z1002" s="508"/>
      <c r="AA1002" s="508"/>
    </row>
    <row r="1003">
      <c r="A1003" s="508"/>
      <c r="B1003" s="508"/>
      <c r="C1003" s="508"/>
      <c r="D1003" s="508"/>
      <c r="E1003" s="967"/>
      <c r="F1003" s="508"/>
      <c r="G1003" s="508"/>
      <c r="H1003" s="967"/>
      <c r="I1003" s="508"/>
      <c r="J1003" s="508"/>
      <c r="K1003" s="508"/>
      <c r="L1003" s="508"/>
      <c r="M1003" s="508"/>
      <c r="N1003" s="508"/>
      <c r="O1003" s="508"/>
      <c r="P1003" s="508"/>
      <c r="Q1003" s="508"/>
      <c r="R1003" s="508"/>
      <c r="S1003" s="508"/>
      <c r="T1003" s="508"/>
      <c r="U1003" s="508"/>
      <c r="V1003" s="508"/>
      <c r="W1003" s="508"/>
      <c r="X1003" s="508"/>
      <c r="Y1003" s="508"/>
      <c r="Z1003" s="508"/>
      <c r="AA1003" s="508"/>
    </row>
    <row r="1004">
      <c r="A1004" s="508"/>
      <c r="B1004" s="508"/>
      <c r="C1004" s="508"/>
      <c r="D1004" s="508"/>
      <c r="E1004" s="967"/>
      <c r="F1004" s="508"/>
      <c r="G1004" s="508"/>
      <c r="H1004" s="967"/>
      <c r="I1004" s="508"/>
      <c r="J1004" s="508"/>
      <c r="K1004" s="508"/>
      <c r="L1004" s="508"/>
      <c r="M1004" s="508"/>
      <c r="N1004" s="508"/>
      <c r="O1004" s="508"/>
      <c r="P1004" s="508"/>
      <c r="Q1004" s="508"/>
      <c r="R1004" s="508"/>
      <c r="S1004" s="508"/>
      <c r="T1004" s="508"/>
      <c r="U1004" s="508"/>
      <c r="V1004" s="508"/>
      <c r="W1004" s="508"/>
      <c r="X1004" s="508"/>
      <c r="Y1004" s="508"/>
      <c r="Z1004" s="508"/>
      <c r="AA1004" s="508"/>
    </row>
    <row r="1005">
      <c r="A1005" s="508"/>
      <c r="B1005" s="508"/>
      <c r="C1005" s="508"/>
      <c r="D1005" s="508"/>
      <c r="E1005" s="967"/>
      <c r="F1005" s="508"/>
      <c r="G1005" s="508"/>
      <c r="H1005" s="967"/>
      <c r="I1005" s="508"/>
      <c r="J1005" s="508"/>
      <c r="K1005" s="508"/>
      <c r="L1005" s="508"/>
      <c r="M1005" s="508"/>
      <c r="N1005" s="508"/>
      <c r="O1005" s="508"/>
      <c r="P1005" s="508"/>
      <c r="Q1005" s="508"/>
      <c r="R1005" s="508"/>
      <c r="S1005" s="508"/>
      <c r="T1005" s="508"/>
      <c r="U1005" s="508"/>
      <c r="V1005" s="508"/>
      <c r="W1005" s="508"/>
      <c r="X1005" s="508"/>
      <c r="Y1005" s="508"/>
      <c r="Z1005" s="508"/>
      <c r="AA1005" s="508"/>
    </row>
    <row r="1006">
      <c r="A1006" s="508"/>
      <c r="B1006" s="508"/>
      <c r="C1006" s="508"/>
      <c r="D1006" s="508"/>
      <c r="E1006" s="967"/>
      <c r="F1006" s="508"/>
      <c r="G1006" s="508"/>
      <c r="H1006" s="967"/>
      <c r="I1006" s="508"/>
      <c r="J1006" s="508"/>
      <c r="K1006" s="508"/>
      <c r="L1006" s="508"/>
      <c r="M1006" s="508"/>
      <c r="N1006" s="508"/>
      <c r="O1006" s="508"/>
      <c r="P1006" s="508"/>
      <c r="Q1006" s="508"/>
      <c r="R1006" s="508"/>
      <c r="S1006" s="508"/>
      <c r="T1006" s="508"/>
      <c r="U1006" s="508"/>
      <c r="V1006" s="508"/>
      <c r="W1006" s="508"/>
      <c r="X1006" s="508"/>
      <c r="Y1006" s="508"/>
      <c r="Z1006" s="508"/>
      <c r="AA1006" s="508"/>
    </row>
    <row r="1007">
      <c r="A1007" s="508"/>
      <c r="B1007" s="508"/>
      <c r="C1007" s="508"/>
      <c r="D1007" s="508"/>
      <c r="E1007" s="967"/>
      <c r="F1007" s="508"/>
      <c r="G1007" s="508"/>
      <c r="H1007" s="967"/>
      <c r="I1007" s="508"/>
      <c r="J1007" s="508"/>
      <c r="K1007" s="508"/>
      <c r="L1007" s="508"/>
      <c r="M1007" s="508"/>
      <c r="N1007" s="508"/>
      <c r="O1007" s="508"/>
      <c r="P1007" s="508"/>
      <c r="Q1007" s="508"/>
      <c r="R1007" s="508"/>
      <c r="S1007" s="508"/>
      <c r="T1007" s="508"/>
      <c r="U1007" s="508"/>
      <c r="V1007" s="508"/>
      <c r="W1007" s="508"/>
      <c r="X1007" s="508"/>
      <c r="Y1007" s="508"/>
      <c r="Z1007" s="508"/>
      <c r="AA1007" s="508"/>
    </row>
    <row r="1008">
      <c r="A1008" s="508"/>
      <c r="B1008" s="508"/>
      <c r="C1008" s="508"/>
      <c r="D1008" s="508"/>
      <c r="E1008" s="967"/>
      <c r="F1008" s="508"/>
      <c r="G1008" s="508"/>
      <c r="H1008" s="967"/>
      <c r="I1008" s="508"/>
      <c r="J1008" s="508"/>
      <c r="K1008" s="508"/>
      <c r="L1008" s="508"/>
      <c r="M1008" s="508"/>
      <c r="N1008" s="508"/>
      <c r="O1008" s="508"/>
      <c r="P1008" s="508"/>
      <c r="Q1008" s="508"/>
      <c r="R1008" s="508"/>
      <c r="S1008" s="508"/>
      <c r="T1008" s="508"/>
      <c r="U1008" s="508"/>
      <c r="V1008" s="508"/>
      <c r="W1008" s="508"/>
      <c r="X1008" s="508"/>
      <c r="Y1008" s="508"/>
      <c r="Z1008" s="508"/>
      <c r="AA1008" s="508"/>
    </row>
    <row r="1009">
      <c r="A1009" s="508"/>
      <c r="B1009" s="508"/>
      <c r="C1009" s="508"/>
      <c r="D1009" s="508"/>
      <c r="E1009" s="967"/>
      <c r="F1009" s="508"/>
      <c r="G1009" s="508"/>
      <c r="H1009" s="967"/>
      <c r="I1009" s="508"/>
      <c r="J1009" s="508"/>
      <c r="K1009" s="508"/>
      <c r="L1009" s="508"/>
      <c r="M1009" s="508"/>
      <c r="N1009" s="508"/>
      <c r="O1009" s="508"/>
      <c r="P1009" s="508"/>
      <c r="Q1009" s="508"/>
      <c r="R1009" s="508"/>
      <c r="S1009" s="508"/>
      <c r="T1009" s="508"/>
      <c r="U1009" s="508"/>
      <c r="V1009" s="508"/>
      <c r="W1009" s="508"/>
      <c r="X1009" s="508"/>
      <c r="Y1009" s="508"/>
      <c r="Z1009" s="508"/>
      <c r="AA1009" s="508"/>
    </row>
    <row r="1010">
      <c r="A1010" s="508"/>
      <c r="B1010" s="508"/>
      <c r="C1010" s="508"/>
      <c r="D1010" s="508"/>
      <c r="E1010" s="967"/>
      <c r="F1010" s="508"/>
      <c r="G1010" s="508"/>
      <c r="H1010" s="967"/>
      <c r="I1010" s="508"/>
      <c r="J1010" s="508"/>
      <c r="K1010" s="508"/>
      <c r="L1010" s="508"/>
      <c r="M1010" s="508"/>
      <c r="N1010" s="508"/>
      <c r="O1010" s="508"/>
      <c r="P1010" s="508"/>
      <c r="Q1010" s="508"/>
      <c r="R1010" s="508"/>
      <c r="S1010" s="508"/>
      <c r="T1010" s="508"/>
      <c r="U1010" s="508"/>
      <c r="V1010" s="508"/>
      <c r="W1010" s="508"/>
      <c r="X1010" s="508"/>
      <c r="Y1010" s="508"/>
      <c r="Z1010" s="508"/>
      <c r="AA1010" s="508"/>
    </row>
    <row r="1011">
      <c r="A1011" s="508"/>
      <c r="B1011" s="508"/>
      <c r="C1011" s="508"/>
      <c r="D1011" s="508"/>
      <c r="E1011" s="967"/>
      <c r="F1011" s="508"/>
      <c r="G1011" s="508"/>
      <c r="H1011" s="967"/>
      <c r="I1011" s="508"/>
      <c r="J1011" s="508"/>
      <c r="K1011" s="508"/>
      <c r="L1011" s="508"/>
      <c r="M1011" s="508"/>
      <c r="N1011" s="508"/>
      <c r="O1011" s="508"/>
      <c r="P1011" s="508"/>
      <c r="Q1011" s="508"/>
      <c r="R1011" s="508"/>
      <c r="S1011" s="508"/>
      <c r="T1011" s="508"/>
      <c r="U1011" s="508"/>
      <c r="V1011" s="508"/>
      <c r="W1011" s="508"/>
      <c r="X1011" s="508"/>
      <c r="Y1011" s="508"/>
      <c r="Z1011" s="508"/>
      <c r="AA1011" s="508"/>
    </row>
    <row r="1012">
      <c r="A1012" s="508"/>
      <c r="B1012" s="508"/>
      <c r="C1012" s="508"/>
      <c r="D1012" s="508"/>
      <c r="E1012" s="967"/>
      <c r="F1012" s="508"/>
      <c r="G1012" s="508"/>
      <c r="H1012" s="967"/>
      <c r="I1012" s="508"/>
      <c r="J1012" s="508"/>
      <c r="K1012" s="508"/>
      <c r="L1012" s="508"/>
      <c r="M1012" s="508"/>
      <c r="N1012" s="508"/>
      <c r="O1012" s="508"/>
      <c r="P1012" s="508"/>
      <c r="Q1012" s="508"/>
      <c r="R1012" s="508"/>
      <c r="S1012" s="508"/>
      <c r="T1012" s="508"/>
      <c r="U1012" s="508"/>
      <c r="V1012" s="508"/>
      <c r="W1012" s="508"/>
      <c r="X1012" s="508"/>
      <c r="Y1012" s="508"/>
      <c r="Z1012" s="508"/>
      <c r="AA1012" s="508"/>
    </row>
    <row r="1013">
      <c r="A1013" s="508"/>
      <c r="B1013" s="508"/>
      <c r="C1013" s="508"/>
      <c r="D1013" s="508"/>
      <c r="E1013" s="967"/>
      <c r="F1013" s="508"/>
      <c r="G1013" s="508"/>
      <c r="H1013" s="967"/>
      <c r="I1013" s="508"/>
      <c r="J1013" s="508"/>
      <c r="K1013" s="508"/>
      <c r="L1013" s="508"/>
      <c r="M1013" s="508"/>
      <c r="N1013" s="508"/>
      <c r="O1013" s="508"/>
      <c r="P1013" s="508"/>
      <c r="Q1013" s="508"/>
      <c r="R1013" s="508"/>
      <c r="S1013" s="508"/>
      <c r="T1013" s="508"/>
      <c r="U1013" s="508"/>
      <c r="V1013" s="508"/>
      <c r="W1013" s="508"/>
      <c r="X1013" s="508"/>
      <c r="Y1013" s="508"/>
      <c r="Z1013" s="508"/>
      <c r="AA1013" s="50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8.25"/>
    <col customWidth="1" min="2" max="2" width="9.38"/>
    <col customWidth="1" min="4" max="5" width="8.75"/>
    <col customWidth="1" min="6" max="6" width="9.25"/>
    <col customWidth="1" min="7" max="8" width="10.5"/>
    <col customWidth="1" min="9" max="9" width="8.13"/>
    <col customWidth="1" min="10" max="10" width="9.5"/>
    <col customWidth="1" min="11" max="11" width="7.13"/>
    <col customWidth="1" min="12" max="12" width="8.88"/>
    <col customWidth="1" min="13" max="13" width="10.38"/>
    <col customWidth="1" hidden="1" min="14" max="17" width="11.25"/>
    <col customWidth="1" hidden="1" min="18" max="18" width="15.13"/>
    <col customWidth="1" hidden="1" min="19" max="23" width="10.75"/>
    <col hidden="1" min="24" max="25" width="12.63"/>
  </cols>
  <sheetData>
    <row r="1">
      <c r="A1" s="846" t="s">
        <v>1233</v>
      </c>
      <c r="B1" s="846" t="s">
        <v>0</v>
      </c>
      <c r="C1" s="971" t="s">
        <v>3055</v>
      </c>
      <c r="D1" s="846" t="s">
        <v>3056</v>
      </c>
      <c r="E1" s="846" t="s">
        <v>3192</v>
      </c>
      <c r="F1" s="846" t="s">
        <v>3058</v>
      </c>
      <c r="G1" s="846" t="s">
        <v>1236</v>
      </c>
      <c r="H1" s="846" t="s">
        <v>1237</v>
      </c>
      <c r="I1" s="846" t="s">
        <v>3059</v>
      </c>
      <c r="J1" s="846" t="s">
        <v>1240</v>
      </c>
      <c r="K1" s="846" t="s">
        <v>1285</v>
      </c>
      <c r="L1" s="972" t="s">
        <v>3192</v>
      </c>
      <c r="M1" s="972" t="s">
        <v>1244</v>
      </c>
      <c r="N1" s="973">
        <v>23.09</v>
      </c>
      <c r="O1" s="974" t="s">
        <v>3060</v>
      </c>
      <c r="P1" s="973" t="s">
        <v>3061</v>
      </c>
      <c r="Q1" s="973" t="s">
        <v>3062</v>
      </c>
      <c r="R1" s="975" t="s">
        <v>3063</v>
      </c>
      <c r="S1" s="973">
        <v>24.01</v>
      </c>
      <c r="T1" s="973">
        <v>24.02</v>
      </c>
      <c r="U1" s="973">
        <v>24.03</v>
      </c>
      <c r="V1" s="973">
        <v>24.04</v>
      </c>
      <c r="W1" s="973">
        <v>24.05</v>
      </c>
      <c r="X1" s="973">
        <v>24.06</v>
      </c>
      <c r="Y1" s="976">
        <v>24.07</v>
      </c>
      <c r="Z1" s="973">
        <v>24.08</v>
      </c>
      <c r="AA1" s="973">
        <v>24.09</v>
      </c>
      <c r="AB1" s="974" t="s">
        <v>3064</v>
      </c>
      <c r="AC1" s="973" t="s">
        <v>3065</v>
      </c>
      <c r="AD1" s="973" t="s">
        <v>3066</v>
      </c>
      <c r="AE1" s="973">
        <v>25.01</v>
      </c>
      <c r="AF1" s="973">
        <v>25.02</v>
      </c>
    </row>
    <row r="2" ht="16.5" hidden="1" customHeight="1">
      <c r="A2" s="977" t="s">
        <v>1249</v>
      </c>
      <c r="B2" s="977" t="s">
        <v>58</v>
      </c>
      <c r="C2" s="978" t="s">
        <v>324</v>
      </c>
      <c r="D2" s="979">
        <v>540000.0</v>
      </c>
      <c r="E2" s="979">
        <f>D2+D2*10%</f>
        <v>594000</v>
      </c>
      <c r="F2" s="980" t="s">
        <v>3121</v>
      </c>
      <c r="G2" s="981">
        <v>45292.0</v>
      </c>
      <c r="H2" s="981">
        <v>45296.0</v>
      </c>
      <c r="I2" s="982" t="s">
        <v>3072</v>
      </c>
      <c r="J2" s="983">
        <v>2000000.0</v>
      </c>
      <c r="K2" s="984" t="s">
        <v>3169</v>
      </c>
      <c r="L2" s="979">
        <f t="shared" ref="L2:L28" si="1">E2</f>
        <v>594000</v>
      </c>
      <c r="M2" s="979">
        <v>80000.0</v>
      </c>
      <c r="N2" s="985"/>
      <c r="O2" s="986"/>
      <c r="P2" s="987"/>
      <c r="Q2" s="987"/>
      <c r="R2" s="988">
        <f>SUM(O2:Q2)</f>
        <v>0</v>
      </c>
      <c r="S2" s="987">
        <v>99400.0</v>
      </c>
      <c r="T2" s="989"/>
      <c r="U2" s="989"/>
      <c r="V2" s="989"/>
      <c r="W2" s="990"/>
      <c r="X2" s="964"/>
      <c r="Y2" s="990"/>
      <c r="Z2" s="991"/>
      <c r="AA2" s="992"/>
      <c r="AB2" s="993"/>
      <c r="AC2" s="993"/>
      <c r="AD2" s="993"/>
      <c r="AE2" s="993"/>
      <c r="AF2" s="993"/>
      <c r="AG2" s="993"/>
      <c r="AH2" s="993"/>
      <c r="AI2" s="993"/>
    </row>
    <row r="3" ht="16.5" customHeight="1">
      <c r="A3" s="977" t="s">
        <v>1249</v>
      </c>
      <c r="B3" s="977" t="s">
        <v>58</v>
      </c>
      <c r="C3" s="978" t="s">
        <v>59</v>
      </c>
      <c r="D3" s="994">
        <v>620000.0</v>
      </c>
      <c r="E3" s="979">
        <f>D3+D3*10%-42000</f>
        <v>640000</v>
      </c>
      <c r="F3" s="995" t="s">
        <v>62</v>
      </c>
      <c r="G3" s="996">
        <v>45463.0</v>
      </c>
      <c r="H3" s="996">
        <v>45827.0</v>
      </c>
      <c r="I3" s="982" t="s">
        <v>3072</v>
      </c>
      <c r="J3" s="979">
        <v>2000000.0</v>
      </c>
      <c r="K3" s="984" t="s">
        <v>3169</v>
      </c>
      <c r="L3" s="979">
        <f t="shared" si="1"/>
        <v>640000</v>
      </c>
      <c r="M3" s="979">
        <v>80000.0</v>
      </c>
      <c r="N3" s="986"/>
      <c r="O3" s="986"/>
      <c r="P3" s="986"/>
      <c r="Q3" s="986"/>
      <c r="R3" s="988"/>
      <c r="S3" s="986"/>
      <c r="T3" s="986"/>
      <c r="U3" s="986"/>
      <c r="V3" s="986"/>
      <c r="W3" s="986"/>
      <c r="X3" s="986">
        <v>240500.0</v>
      </c>
      <c r="Y3" s="986">
        <v>649600.0</v>
      </c>
      <c r="Z3" s="986">
        <v>649600.0</v>
      </c>
      <c r="AA3" s="986">
        <v>649600.0</v>
      </c>
      <c r="AB3" s="993"/>
      <c r="AC3" s="993"/>
      <c r="AD3" s="993"/>
      <c r="AE3" s="993"/>
      <c r="AF3" s="993"/>
      <c r="AG3" s="993"/>
      <c r="AH3" s="993"/>
      <c r="AI3" s="993"/>
    </row>
    <row r="4" ht="16.5" hidden="1" customHeight="1">
      <c r="A4" s="977" t="s">
        <v>1249</v>
      </c>
      <c r="B4" s="977" t="s">
        <v>58</v>
      </c>
      <c r="C4" s="978" t="s">
        <v>83</v>
      </c>
      <c r="D4" s="994">
        <v>540000.0</v>
      </c>
      <c r="E4" s="979">
        <f t="shared" ref="E4:E6" si="2">D4+D4*10%</f>
        <v>594000</v>
      </c>
      <c r="F4" s="993" t="s">
        <v>86</v>
      </c>
      <c r="G4" s="996">
        <v>45297.0</v>
      </c>
      <c r="H4" s="996">
        <v>45478.0</v>
      </c>
      <c r="I4" s="982" t="s">
        <v>3072</v>
      </c>
      <c r="J4" s="979">
        <v>2000000.0</v>
      </c>
      <c r="K4" s="984" t="s">
        <v>3169</v>
      </c>
      <c r="L4" s="979">
        <f t="shared" si="1"/>
        <v>594000</v>
      </c>
      <c r="M4" s="979">
        <v>80000.0</v>
      </c>
      <c r="N4" s="986"/>
      <c r="O4" s="986"/>
      <c r="P4" s="986"/>
      <c r="Q4" s="986"/>
      <c r="R4" s="988"/>
      <c r="S4" s="986">
        <v>515200.0</v>
      </c>
      <c r="T4" s="986">
        <v>614600.0</v>
      </c>
      <c r="U4" s="986">
        <v>614600.0</v>
      </c>
      <c r="V4" s="986">
        <v>614600.0</v>
      </c>
      <c r="W4" s="986">
        <v>614600.0</v>
      </c>
      <c r="X4" s="986">
        <v>614600.0</v>
      </c>
      <c r="Y4" s="986">
        <v>98340.0</v>
      </c>
      <c r="Z4" s="997"/>
      <c r="AA4" s="997"/>
      <c r="AB4" s="997"/>
      <c r="AC4" s="997"/>
      <c r="AD4" s="997"/>
      <c r="AE4" s="997"/>
      <c r="AF4" s="993"/>
      <c r="AG4" s="993"/>
      <c r="AH4" s="993"/>
      <c r="AI4" s="993"/>
    </row>
    <row r="5" ht="16.5" customHeight="1">
      <c r="A5" s="977" t="s">
        <v>1249</v>
      </c>
      <c r="B5" s="977" t="s">
        <v>58</v>
      </c>
      <c r="C5" s="978" t="s">
        <v>83</v>
      </c>
      <c r="D5" s="994">
        <v>540000.0</v>
      </c>
      <c r="E5" s="979">
        <f t="shared" si="2"/>
        <v>594000</v>
      </c>
      <c r="F5" s="993" t="s">
        <v>88</v>
      </c>
      <c r="G5" s="996">
        <v>45479.0</v>
      </c>
      <c r="H5" s="996">
        <v>45662.0</v>
      </c>
      <c r="I5" s="982" t="s">
        <v>3072</v>
      </c>
      <c r="J5" s="979">
        <v>2000000.0</v>
      </c>
      <c r="K5" s="984" t="s">
        <v>3169</v>
      </c>
      <c r="L5" s="979">
        <f t="shared" si="1"/>
        <v>594000</v>
      </c>
      <c r="M5" s="979">
        <v>80000.0</v>
      </c>
      <c r="N5" s="986"/>
      <c r="O5" s="986"/>
      <c r="P5" s="986"/>
      <c r="Q5" s="986"/>
      <c r="R5" s="988"/>
      <c r="S5" s="997"/>
      <c r="T5" s="997"/>
      <c r="U5" s="997"/>
      <c r="V5" s="997"/>
      <c r="W5" s="997"/>
      <c r="X5" s="997"/>
      <c r="Y5" s="986">
        <v>510320.0</v>
      </c>
      <c r="Z5" s="986">
        <v>608660.0</v>
      </c>
      <c r="AA5" s="986">
        <v>608660.0</v>
      </c>
      <c r="AB5" s="986">
        <v>608660.0</v>
      </c>
      <c r="AC5" s="986">
        <v>608660.0</v>
      </c>
      <c r="AD5" s="986">
        <v>608660.0</v>
      </c>
      <c r="AE5" s="986">
        <v>608660.0</v>
      </c>
      <c r="AF5" s="993"/>
      <c r="AG5" s="993"/>
      <c r="AH5" s="993"/>
      <c r="AI5" s="993"/>
    </row>
    <row r="6" ht="16.5" customHeight="1">
      <c r="A6" s="977" t="s">
        <v>1249</v>
      </c>
      <c r="B6" s="977" t="s">
        <v>58</v>
      </c>
      <c r="C6" s="978" t="s">
        <v>3193</v>
      </c>
      <c r="D6" s="979">
        <v>480000.0</v>
      </c>
      <c r="E6" s="979">
        <f t="shared" si="2"/>
        <v>528000</v>
      </c>
      <c r="F6" s="995" t="s">
        <v>90</v>
      </c>
      <c r="G6" s="998">
        <v>45200.0</v>
      </c>
      <c r="H6" s="998">
        <v>45565.0</v>
      </c>
      <c r="I6" s="982" t="s">
        <v>3072</v>
      </c>
      <c r="J6" s="979">
        <v>1000000.0</v>
      </c>
      <c r="K6" s="984" t="s">
        <v>3169</v>
      </c>
      <c r="L6" s="979">
        <f t="shared" si="1"/>
        <v>528000</v>
      </c>
      <c r="M6" s="979">
        <v>80000.0</v>
      </c>
      <c r="N6" s="985"/>
      <c r="O6" s="999">
        <f>L6-L6*10%+M6</f>
        <v>555200</v>
      </c>
      <c r="P6" s="987">
        <f>O6</f>
        <v>555200</v>
      </c>
      <c r="Q6" s="987">
        <f>O6</f>
        <v>555200</v>
      </c>
      <c r="R6" s="988">
        <f>SUM(O6:Q6)</f>
        <v>1665600</v>
      </c>
      <c r="S6" s="987">
        <f>Q6</f>
        <v>555200</v>
      </c>
      <c r="T6" s="987">
        <f>S6</f>
        <v>555200</v>
      </c>
      <c r="U6" s="987">
        <f t="shared" ref="U6:X6" si="3">S6</f>
        <v>555200</v>
      </c>
      <c r="V6" s="987">
        <f t="shared" si="3"/>
        <v>555200</v>
      </c>
      <c r="W6" s="987">
        <f t="shared" si="3"/>
        <v>555200</v>
      </c>
      <c r="X6" s="987">
        <f t="shared" si="3"/>
        <v>555200</v>
      </c>
      <c r="Y6" s="987">
        <v>549920.0</v>
      </c>
      <c r="Z6" s="987">
        <v>549920.0</v>
      </c>
      <c r="AA6" s="987">
        <v>549920.0</v>
      </c>
      <c r="AB6" s="997"/>
      <c r="AC6" s="997"/>
      <c r="AD6" s="997"/>
      <c r="AE6" s="997"/>
      <c r="AF6" s="993"/>
      <c r="AG6" s="993"/>
      <c r="AH6" s="993"/>
      <c r="AI6" s="993"/>
    </row>
    <row r="7" ht="16.5" customHeight="1">
      <c r="A7" s="977" t="s">
        <v>1249</v>
      </c>
      <c r="B7" s="977" t="s">
        <v>154</v>
      </c>
      <c r="C7" s="978" t="s">
        <v>167</v>
      </c>
      <c r="D7" s="979">
        <v>540000.0</v>
      </c>
      <c r="E7" s="979">
        <f>D7+D7*10%+1000</f>
        <v>595000</v>
      </c>
      <c r="F7" s="1000" t="s">
        <v>170</v>
      </c>
      <c r="G7" s="996">
        <v>45532.0</v>
      </c>
      <c r="H7" s="996">
        <v>45626.0</v>
      </c>
      <c r="I7" s="982" t="s">
        <v>3072</v>
      </c>
      <c r="J7" s="979">
        <v>2000000.0</v>
      </c>
      <c r="K7" s="984" t="s">
        <v>3170</v>
      </c>
      <c r="L7" s="979">
        <f t="shared" si="1"/>
        <v>595000</v>
      </c>
      <c r="M7" s="979">
        <v>80000.0</v>
      </c>
      <c r="N7" s="18"/>
      <c r="O7" s="18"/>
      <c r="P7" s="18"/>
      <c r="Q7" s="18"/>
      <c r="R7" s="18"/>
      <c r="S7" s="997"/>
      <c r="T7" s="997"/>
      <c r="U7" s="997"/>
      <c r="V7" s="997"/>
      <c r="W7" s="986">
        <v>99400.0</v>
      </c>
      <c r="X7" s="986">
        <v>615500.0</v>
      </c>
      <c r="Y7" s="986">
        <v>609550.0</v>
      </c>
      <c r="Z7" s="986">
        <v>609550.0</v>
      </c>
      <c r="AA7" s="986">
        <v>609550.0</v>
      </c>
      <c r="AB7" s="986">
        <v>609550.0</v>
      </c>
      <c r="AC7" s="986">
        <v>609550.0</v>
      </c>
      <c r="AD7" s="997"/>
      <c r="AE7" s="997"/>
      <c r="AF7" s="964"/>
      <c r="AG7" s="964"/>
      <c r="AH7" s="964"/>
      <c r="AI7" s="964"/>
    </row>
    <row r="8" ht="16.5" hidden="1" customHeight="1">
      <c r="A8" s="977" t="s">
        <v>1249</v>
      </c>
      <c r="B8" s="977" t="s">
        <v>154</v>
      </c>
      <c r="C8" s="978" t="s">
        <v>187</v>
      </c>
      <c r="D8" s="979">
        <v>480000.0</v>
      </c>
      <c r="E8" s="979">
        <f t="shared" ref="E8:E9" si="4">D8+D8*10%</f>
        <v>528000</v>
      </c>
      <c r="F8" s="984" t="s">
        <v>189</v>
      </c>
      <c r="G8" s="996">
        <v>45322.0</v>
      </c>
      <c r="H8" s="996">
        <v>45504.0</v>
      </c>
      <c r="I8" s="982" t="s">
        <v>3072</v>
      </c>
      <c r="J8" s="979">
        <v>1000000.0</v>
      </c>
      <c r="K8" s="984" t="s">
        <v>3170</v>
      </c>
      <c r="L8" s="979">
        <f t="shared" si="1"/>
        <v>528000</v>
      </c>
      <c r="M8" s="979">
        <v>80000.0</v>
      </c>
      <c r="N8" s="986"/>
      <c r="O8" s="986"/>
      <c r="P8" s="986"/>
      <c r="Q8" s="986"/>
      <c r="R8" s="1001"/>
      <c r="S8" s="986">
        <v>17900.0</v>
      </c>
      <c r="T8" s="986">
        <v>555200.0</v>
      </c>
      <c r="U8" s="986">
        <v>555200.0</v>
      </c>
      <c r="V8" s="986">
        <v>555200.0</v>
      </c>
      <c r="W8" s="986">
        <v>555200.0</v>
      </c>
      <c r="X8" s="986">
        <v>555200.0</v>
      </c>
      <c r="Y8" s="986">
        <v>549920.0</v>
      </c>
      <c r="Z8" s="997"/>
      <c r="AA8" s="997"/>
      <c r="AB8" s="997"/>
      <c r="AC8" s="997"/>
      <c r="AD8" s="997"/>
      <c r="AE8" s="997"/>
      <c r="AF8" s="993"/>
      <c r="AG8" s="993"/>
      <c r="AH8" s="993"/>
      <c r="AI8" s="993"/>
    </row>
    <row r="9" ht="16.5" hidden="1" customHeight="1">
      <c r="A9" s="977" t="s">
        <v>1249</v>
      </c>
      <c r="B9" s="977" t="s">
        <v>210</v>
      </c>
      <c r="C9" s="978" t="s">
        <v>1362</v>
      </c>
      <c r="D9" s="979">
        <v>580000.0</v>
      </c>
      <c r="E9" s="979">
        <f t="shared" si="4"/>
        <v>638000</v>
      </c>
      <c r="F9" s="980" t="s">
        <v>3121</v>
      </c>
      <c r="G9" s="981">
        <v>45261.0</v>
      </c>
      <c r="H9" s="981">
        <v>45291.0</v>
      </c>
      <c r="I9" s="982" t="s">
        <v>3072</v>
      </c>
      <c r="J9" s="979">
        <v>2000000.0</v>
      </c>
      <c r="K9" s="984" t="s">
        <v>3171</v>
      </c>
      <c r="L9" s="979">
        <f t="shared" si="1"/>
        <v>638000</v>
      </c>
      <c r="M9" s="979">
        <v>80000.0</v>
      </c>
      <c r="N9" s="986"/>
      <c r="O9" s="986"/>
      <c r="P9" s="986"/>
      <c r="Q9" s="999">
        <f>L9-L9*10%+M9+27000</f>
        <v>681200</v>
      </c>
      <c r="R9" s="988"/>
      <c r="S9" s="1002"/>
      <c r="T9" s="1002"/>
      <c r="U9" s="1002"/>
      <c r="V9" s="1002"/>
      <c r="W9" s="991"/>
      <c r="X9" s="1003"/>
      <c r="Y9" s="991"/>
      <c r="Z9" s="991"/>
      <c r="AA9" s="992"/>
      <c r="AB9" s="993"/>
      <c r="AC9" s="993"/>
      <c r="AD9" s="993"/>
      <c r="AE9" s="993"/>
      <c r="AF9" s="993"/>
      <c r="AG9" s="993"/>
      <c r="AH9" s="993"/>
      <c r="AI9" s="993"/>
    </row>
    <row r="10" ht="16.5" hidden="1" customHeight="1">
      <c r="A10" s="977" t="s">
        <v>1249</v>
      </c>
      <c r="B10" s="977" t="s">
        <v>210</v>
      </c>
      <c r="C10" s="978" t="s">
        <v>3125</v>
      </c>
      <c r="D10" s="979">
        <v>580000.0</v>
      </c>
      <c r="E10" s="979">
        <f>D10+D10*10%+30000</f>
        <v>668000</v>
      </c>
      <c r="F10" s="980" t="s">
        <v>3126</v>
      </c>
      <c r="G10" s="981">
        <v>45209.0</v>
      </c>
      <c r="H10" s="981">
        <v>45291.0</v>
      </c>
      <c r="I10" s="1004" t="s">
        <v>3127</v>
      </c>
      <c r="J10" s="979">
        <v>2000000.0</v>
      </c>
      <c r="K10" s="984" t="s">
        <v>3171</v>
      </c>
      <c r="L10" s="979">
        <f t="shared" si="1"/>
        <v>668000</v>
      </c>
      <c r="M10" s="979">
        <v>80000.0</v>
      </c>
      <c r="N10" s="986"/>
      <c r="O10" s="999">
        <f>(L10/31*22)-(L10/31*22)*10%+(M10/31*22)+168</f>
        <v>483600.2581</v>
      </c>
      <c r="P10" s="986" t="s">
        <v>3128</v>
      </c>
      <c r="Q10" s="1005"/>
      <c r="R10" s="988">
        <f>SUM(N10:Q10)</f>
        <v>483600.2581</v>
      </c>
      <c r="S10" s="1005"/>
      <c r="T10" s="1005"/>
      <c r="U10" s="1005"/>
      <c r="V10" s="1005"/>
      <c r="W10" s="991"/>
      <c r="X10" s="1003"/>
      <c r="Y10" s="991"/>
      <c r="Z10" s="991"/>
      <c r="AA10" s="992"/>
      <c r="AB10" s="993"/>
      <c r="AC10" s="993"/>
      <c r="AD10" s="993"/>
      <c r="AE10" s="993"/>
      <c r="AF10" s="993"/>
      <c r="AG10" s="993"/>
      <c r="AH10" s="993"/>
      <c r="AI10" s="993"/>
    </row>
    <row r="11" ht="16.5" hidden="1" customHeight="1">
      <c r="A11" s="977" t="s">
        <v>1249</v>
      </c>
      <c r="B11" s="977" t="s">
        <v>210</v>
      </c>
      <c r="C11" s="978" t="s">
        <v>3129</v>
      </c>
      <c r="D11" s="979">
        <v>520000.0</v>
      </c>
      <c r="E11" s="979">
        <f t="shared" ref="E11:E19" si="5">D11+D11*10%</f>
        <v>572000</v>
      </c>
      <c r="F11" s="980" t="s">
        <v>3130</v>
      </c>
      <c r="G11" s="981">
        <v>45170.0</v>
      </c>
      <c r="H11" s="981">
        <v>45351.0</v>
      </c>
      <c r="I11" s="1006" t="s">
        <v>1285</v>
      </c>
      <c r="J11" s="979">
        <v>2000000.0</v>
      </c>
      <c r="K11" s="984" t="s">
        <v>3171</v>
      </c>
      <c r="L11" s="979">
        <f t="shared" si="1"/>
        <v>572000</v>
      </c>
      <c r="M11" s="979">
        <v>80000.0</v>
      </c>
      <c r="N11" s="999">
        <f>L11-L11*10%+M11</f>
        <v>594800</v>
      </c>
      <c r="O11" s="999">
        <f>N11</f>
        <v>594800</v>
      </c>
      <c r="P11" s="999">
        <f>N11</f>
        <v>594800</v>
      </c>
      <c r="Q11" s="1005"/>
      <c r="R11" s="1005"/>
      <c r="S11" s="1005"/>
      <c r="T11" s="1005"/>
      <c r="U11" s="1005"/>
      <c r="V11" s="1005"/>
      <c r="W11" s="991"/>
      <c r="X11" s="1003"/>
      <c r="Y11" s="991"/>
      <c r="Z11" s="991"/>
      <c r="AA11" s="992"/>
      <c r="AB11" s="993"/>
      <c r="AC11" s="993"/>
      <c r="AD11" s="993"/>
      <c r="AE11" s="993"/>
      <c r="AF11" s="993"/>
      <c r="AG11" s="993"/>
      <c r="AH11" s="993"/>
      <c r="AI11" s="993"/>
    </row>
    <row r="12" ht="16.5" hidden="1" customHeight="1">
      <c r="A12" s="977" t="s">
        <v>1249</v>
      </c>
      <c r="B12" s="977" t="s">
        <v>210</v>
      </c>
      <c r="C12" s="978" t="s">
        <v>3129</v>
      </c>
      <c r="D12" s="979">
        <v>520000.0</v>
      </c>
      <c r="E12" s="979">
        <f t="shared" si="5"/>
        <v>572000</v>
      </c>
      <c r="F12" s="980" t="s">
        <v>3130</v>
      </c>
      <c r="G12" s="998">
        <v>45170.0</v>
      </c>
      <c r="H12" s="998">
        <v>45351.0</v>
      </c>
      <c r="I12" s="1006" t="s">
        <v>1285</v>
      </c>
      <c r="J12" s="979"/>
      <c r="K12" s="984" t="s">
        <v>3171</v>
      </c>
      <c r="L12" s="979">
        <f t="shared" si="1"/>
        <v>572000</v>
      </c>
      <c r="M12" s="979">
        <v>80000.0</v>
      </c>
      <c r="N12" s="986"/>
      <c r="O12" s="986"/>
      <c r="P12" s="999">
        <v>1334000.0</v>
      </c>
      <c r="Q12" s="1005"/>
      <c r="R12" s="1005"/>
      <c r="S12" s="1005"/>
      <c r="T12" s="1005"/>
      <c r="U12" s="1005"/>
      <c r="V12" s="1005"/>
      <c r="W12" s="990"/>
      <c r="X12" s="964"/>
      <c r="Y12" s="990"/>
      <c r="Z12" s="991"/>
      <c r="AA12" s="992"/>
      <c r="AB12" s="993"/>
      <c r="AC12" s="993"/>
      <c r="AD12" s="993"/>
      <c r="AE12" s="993"/>
      <c r="AF12" s="993"/>
      <c r="AG12" s="993"/>
      <c r="AH12" s="993"/>
      <c r="AI12" s="993"/>
    </row>
    <row r="13" ht="16.5" hidden="1" customHeight="1">
      <c r="A13" s="1007" t="s">
        <v>1249</v>
      </c>
      <c r="B13" s="977" t="s">
        <v>210</v>
      </c>
      <c r="C13" s="978" t="s">
        <v>3131</v>
      </c>
      <c r="D13" s="979">
        <v>520000.0</v>
      </c>
      <c r="E13" s="979">
        <f t="shared" si="5"/>
        <v>572000</v>
      </c>
      <c r="F13" s="1007" t="s">
        <v>235</v>
      </c>
      <c r="G13" s="996">
        <v>45359.0</v>
      </c>
      <c r="H13" s="996">
        <v>45473.0</v>
      </c>
      <c r="I13" s="1008" t="s">
        <v>3074</v>
      </c>
      <c r="J13" s="979">
        <v>2000000.0</v>
      </c>
      <c r="K13" s="984" t="s">
        <v>3171</v>
      </c>
      <c r="L13" s="979">
        <f t="shared" si="1"/>
        <v>572000</v>
      </c>
      <c r="M13" s="979">
        <v>80000.0</v>
      </c>
      <c r="N13" s="1007"/>
      <c r="O13" s="1007"/>
      <c r="P13" s="1009"/>
      <c r="Q13" s="1009"/>
      <c r="R13" s="1009"/>
      <c r="S13" s="986"/>
      <c r="T13" s="986"/>
      <c r="U13" s="999">
        <v>460700.0</v>
      </c>
      <c r="V13" s="999">
        <v>594800.0</v>
      </c>
      <c r="W13" s="999">
        <v>594800.0</v>
      </c>
      <c r="X13" s="999">
        <v>594800.0</v>
      </c>
      <c r="Y13" s="997"/>
      <c r="Z13" s="997"/>
      <c r="AA13" s="997"/>
      <c r="AB13" s="993"/>
      <c r="AC13" s="993"/>
      <c r="AD13" s="993"/>
      <c r="AE13" s="993"/>
      <c r="AF13" s="993"/>
      <c r="AG13" s="993"/>
      <c r="AH13" s="993"/>
      <c r="AI13" s="993"/>
    </row>
    <row r="14" ht="16.5" customHeight="1">
      <c r="A14" s="1010" t="s">
        <v>1249</v>
      </c>
      <c r="B14" s="1011" t="s">
        <v>210</v>
      </c>
      <c r="C14" s="978" t="s">
        <v>226</v>
      </c>
      <c r="D14" s="979">
        <v>600000.0</v>
      </c>
      <c r="E14" s="979">
        <f t="shared" si="5"/>
        <v>660000</v>
      </c>
      <c r="F14" s="1012" t="s">
        <v>230</v>
      </c>
      <c r="G14" s="996">
        <v>45504.0</v>
      </c>
      <c r="H14" s="998">
        <v>45688.0</v>
      </c>
      <c r="I14" s="1008" t="s">
        <v>3137</v>
      </c>
      <c r="J14" s="979">
        <v>2000000.0</v>
      </c>
      <c r="K14" s="1013" t="s">
        <v>3171</v>
      </c>
      <c r="L14" s="979">
        <f t="shared" si="1"/>
        <v>660000</v>
      </c>
      <c r="M14" s="979">
        <v>80000.0</v>
      </c>
      <c r="N14" s="18"/>
      <c r="O14" s="18"/>
      <c r="P14" s="18"/>
      <c r="Q14" s="18"/>
      <c r="R14" s="18"/>
      <c r="S14" s="997"/>
      <c r="T14" s="997"/>
      <c r="U14" s="997"/>
      <c r="V14" s="997"/>
      <c r="W14" s="997"/>
      <c r="X14" s="997"/>
      <c r="Y14" s="1014">
        <v>21290.0</v>
      </c>
      <c r="Z14" s="1014">
        <v>667400.0</v>
      </c>
      <c r="AA14" s="1014">
        <v>667400.0</v>
      </c>
      <c r="AB14" s="1014">
        <v>667400.0</v>
      </c>
      <c r="AC14" s="1014">
        <v>667400.0</v>
      </c>
      <c r="AD14" s="1014">
        <v>667400.0</v>
      </c>
      <c r="AE14" s="1014">
        <v>667400.0</v>
      </c>
      <c r="AF14" s="964"/>
      <c r="AG14" s="964"/>
      <c r="AH14" s="964"/>
      <c r="AI14" s="964"/>
    </row>
    <row r="15" ht="16.5" customHeight="1">
      <c r="A15" s="1007" t="s">
        <v>1249</v>
      </c>
      <c r="B15" s="977" t="s">
        <v>210</v>
      </c>
      <c r="C15" s="978" t="s">
        <v>1362</v>
      </c>
      <c r="D15" s="979">
        <v>580000.0</v>
      </c>
      <c r="E15" s="979">
        <f t="shared" si="5"/>
        <v>638000</v>
      </c>
      <c r="F15" s="1007" t="s">
        <v>242</v>
      </c>
      <c r="G15" s="996">
        <v>45320.0</v>
      </c>
      <c r="H15" s="996">
        <v>45685.0</v>
      </c>
      <c r="I15" s="1008" t="s">
        <v>3074</v>
      </c>
      <c r="J15" s="979">
        <v>2000000.0</v>
      </c>
      <c r="K15" s="984" t="s">
        <v>3171</v>
      </c>
      <c r="L15" s="979">
        <f t="shared" si="1"/>
        <v>638000</v>
      </c>
      <c r="M15" s="979">
        <v>80000.0</v>
      </c>
      <c r="N15" s="1007"/>
      <c r="O15" s="1007"/>
      <c r="P15" s="1009"/>
      <c r="Q15" s="1009"/>
      <c r="R15" s="1009"/>
      <c r="S15" s="999">
        <v>63500.0</v>
      </c>
      <c r="T15" s="999">
        <v>654200.0</v>
      </c>
      <c r="U15" s="999">
        <v>654200.0</v>
      </c>
      <c r="V15" s="999">
        <v>654200.0</v>
      </c>
      <c r="W15" s="999">
        <v>654200.0</v>
      </c>
      <c r="X15" s="999">
        <v>654200.0</v>
      </c>
      <c r="Y15" s="999">
        <v>647820.0</v>
      </c>
      <c r="Z15" s="999">
        <v>647820.0</v>
      </c>
      <c r="AA15" s="999">
        <v>647820.0</v>
      </c>
      <c r="AB15" s="999">
        <v>647820.0</v>
      </c>
      <c r="AC15" s="999">
        <v>647820.0</v>
      </c>
      <c r="AD15" s="999">
        <v>647820.0</v>
      </c>
      <c r="AE15" s="999">
        <v>647820.0</v>
      </c>
      <c r="AF15" s="993"/>
      <c r="AG15" s="993"/>
      <c r="AH15" s="993"/>
      <c r="AI15" s="993"/>
    </row>
    <row r="16" ht="16.5" hidden="1" customHeight="1">
      <c r="A16" s="977" t="s">
        <v>1387</v>
      </c>
      <c r="B16" s="977" t="s">
        <v>3194</v>
      </c>
      <c r="C16" s="978" t="s">
        <v>3133</v>
      </c>
      <c r="D16" s="979">
        <v>520000.0</v>
      </c>
      <c r="E16" s="979">
        <f t="shared" si="5"/>
        <v>572000</v>
      </c>
      <c r="F16" s="980" t="s">
        <v>3134</v>
      </c>
      <c r="G16" s="981">
        <v>45202.0</v>
      </c>
      <c r="H16" s="981">
        <v>45525.0</v>
      </c>
      <c r="I16" s="1015" t="s">
        <v>3135</v>
      </c>
      <c r="J16" s="979">
        <v>2000000.0</v>
      </c>
      <c r="K16" s="984" t="s">
        <v>3195</v>
      </c>
      <c r="L16" s="979">
        <f t="shared" si="1"/>
        <v>572000</v>
      </c>
      <c r="M16" s="979">
        <v>80000.0</v>
      </c>
      <c r="N16" s="986"/>
      <c r="O16" s="999">
        <f>(L16/31*29)-L16*10%+(M16/31*29)+3765</f>
        <v>556500.4839</v>
      </c>
      <c r="P16" s="986">
        <f>L16-L16*10%+M16</f>
        <v>594800</v>
      </c>
      <c r="Q16" s="986">
        <v>445400.0</v>
      </c>
      <c r="R16" s="988">
        <f>SUM(N16:Q16)</f>
        <v>1596700.484</v>
      </c>
      <c r="S16" s="1005"/>
      <c r="T16" s="1005"/>
      <c r="U16" s="1005"/>
      <c r="V16" s="1005"/>
      <c r="W16" s="990"/>
      <c r="X16" s="964"/>
      <c r="Y16" s="990"/>
      <c r="Z16" s="1016"/>
      <c r="AA16" s="1017"/>
      <c r="AB16" s="1018"/>
      <c r="AC16" s="993"/>
      <c r="AD16" s="993"/>
      <c r="AE16" s="993"/>
      <c r="AF16" s="993"/>
      <c r="AG16" s="993"/>
      <c r="AH16" s="993"/>
      <c r="AI16" s="993"/>
    </row>
    <row r="17" ht="16.5" hidden="1" customHeight="1">
      <c r="A17" s="1007" t="s">
        <v>1249</v>
      </c>
      <c r="B17" s="977" t="s">
        <v>210</v>
      </c>
      <c r="C17" s="978" t="s">
        <v>226</v>
      </c>
      <c r="D17" s="979">
        <v>600000.0</v>
      </c>
      <c r="E17" s="979">
        <f t="shared" si="5"/>
        <v>660000</v>
      </c>
      <c r="F17" s="995" t="s">
        <v>3136</v>
      </c>
      <c r="G17" s="996">
        <v>45473.0</v>
      </c>
      <c r="H17" s="998">
        <v>45565.0</v>
      </c>
      <c r="I17" s="1008" t="s">
        <v>3137</v>
      </c>
      <c r="J17" s="979">
        <v>2000000.0</v>
      </c>
      <c r="K17" s="984" t="s">
        <v>3171</v>
      </c>
      <c r="L17" s="979">
        <f t="shared" si="1"/>
        <v>660000</v>
      </c>
      <c r="M17" s="979">
        <v>80000.0</v>
      </c>
      <c r="N17" s="986"/>
      <c r="O17" s="986"/>
      <c r="P17" s="987"/>
      <c r="Q17" s="1019"/>
      <c r="R17" s="988"/>
      <c r="S17" s="997"/>
      <c r="T17" s="997"/>
      <c r="U17" s="997"/>
      <c r="V17" s="997"/>
      <c r="W17" s="997"/>
      <c r="X17" s="997"/>
      <c r="Y17" s="997"/>
      <c r="Z17" s="997"/>
      <c r="AA17" s="997"/>
      <c r="AB17" s="993"/>
      <c r="AC17" s="993"/>
      <c r="AD17" s="993"/>
      <c r="AE17" s="993"/>
      <c r="AF17" s="993"/>
      <c r="AG17" s="993"/>
      <c r="AH17" s="993"/>
      <c r="AI17" s="993"/>
    </row>
    <row r="18" ht="16.5" hidden="1" customHeight="1">
      <c r="A18" s="977" t="s">
        <v>1434</v>
      </c>
      <c r="B18" s="977" t="s">
        <v>374</v>
      </c>
      <c r="C18" s="978" t="s">
        <v>3139</v>
      </c>
      <c r="D18" s="979">
        <v>400000.0</v>
      </c>
      <c r="E18" s="979">
        <f t="shared" si="5"/>
        <v>440000</v>
      </c>
      <c r="F18" s="995" t="s">
        <v>396</v>
      </c>
      <c r="G18" s="998">
        <v>45265.0</v>
      </c>
      <c r="H18" s="998">
        <v>45447.0</v>
      </c>
      <c r="I18" s="982" t="s">
        <v>3072</v>
      </c>
      <c r="J18" s="979">
        <v>1000000.0</v>
      </c>
      <c r="K18" s="984" t="s">
        <v>3176</v>
      </c>
      <c r="L18" s="979">
        <f t="shared" si="1"/>
        <v>440000</v>
      </c>
      <c r="M18" s="979">
        <v>80000.0</v>
      </c>
      <c r="N18" s="986"/>
      <c r="O18" s="986"/>
      <c r="P18" s="987"/>
      <c r="Q18" s="1019">
        <v>414700.0</v>
      </c>
      <c r="R18" s="988">
        <f t="shared" ref="R18:R19" si="6">SUM(N18:Q18)</f>
        <v>414700</v>
      </c>
      <c r="S18" s="987">
        <f t="shared" ref="S18:S19" si="7">L18-L18*10%+M18</f>
        <v>476000</v>
      </c>
      <c r="T18" s="1020">
        <v>476000.0</v>
      </c>
      <c r="U18" s="1020">
        <v>476000.0</v>
      </c>
      <c r="V18" s="1020">
        <v>476000.0</v>
      </c>
      <c r="W18" s="1020">
        <v>476000.0</v>
      </c>
      <c r="X18" s="987">
        <v>64100.0</v>
      </c>
      <c r="Y18" s="997"/>
      <c r="Z18" s="997"/>
      <c r="AA18" s="997"/>
      <c r="AB18" s="993"/>
      <c r="AC18" s="993"/>
      <c r="AD18" s="993"/>
      <c r="AE18" s="993"/>
      <c r="AF18" s="993"/>
      <c r="AG18" s="993"/>
      <c r="AH18" s="993"/>
      <c r="AI18" s="993"/>
    </row>
    <row r="19" ht="16.5" hidden="1" customHeight="1">
      <c r="A19" s="977" t="s">
        <v>1434</v>
      </c>
      <c r="B19" s="977" t="s">
        <v>374</v>
      </c>
      <c r="C19" s="978" t="s">
        <v>402</v>
      </c>
      <c r="D19" s="979">
        <v>400000.0</v>
      </c>
      <c r="E19" s="979">
        <f t="shared" si="5"/>
        <v>440000</v>
      </c>
      <c r="F19" s="980" t="s">
        <v>403</v>
      </c>
      <c r="G19" s="981">
        <v>45291.0</v>
      </c>
      <c r="H19" s="981">
        <v>45351.0</v>
      </c>
      <c r="I19" s="982" t="s">
        <v>3072</v>
      </c>
      <c r="J19" s="979">
        <v>1000000.0</v>
      </c>
      <c r="K19" s="984" t="s">
        <v>3176</v>
      </c>
      <c r="L19" s="979">
        <f t="shared" si="1"/>
        <v>440000</v>
      </c>
      <c r="M19" s="979">
        <v>80000.0</v>
      </c>
      <c r="N19" s="986"/>
      <c r="O19" s="986"/>
      <c r="P19" s="987"/>
      <c r="Q19" s="1019">
        <v>15600.0</v>
      </c>
      <c r="R19" s="988">
        <f t="shared" si="6"/>
        <v>15600</v>
      </c>
      <c r="S19" s="987">
        <f t="shared" si="7"/>
        <v>476000</v>
      </c>
      <c r="T19" s="1020">
        <v>476000.0</v>
      </c>
      <c r="U19" s="1005"/>
      <c r="V19" s="1005"/>
      <c r="W19" s="990"/>
      <c r="X19" s="964"/>
      <c r="Y19" s="990"/>
      <c r="Z19" s="991"/>
      <c r="AA19" s="992"/>
      <c r="AB19" s="993"/>
      <c r="AC19" s="993"/>
      <c r="AD19" s="993"/>
      <c r="AE19" s="993"/>
      <c r="AF19" s="993"/>
      <c r="AG19" s="993"/>
      <c r="AH19" s="993"/>
      <c r="AI19" s="993"/>
    </row>
    <row r="20" ht="16.5" hidden="1" customHeight="1">
      <c r="A20" s="977" t="s">
        <v>1680</v>
      </c>
      <c r="B20" s="977" t="s">
        <v>699</v>
      </c>
      <c r="C20" s="978" t="s">
        <v>700</v>
      </c>
      <c r="D20" s="979">
        <v>470000.0</v>
      </c>
      <c r="E20" s="979">
        <v>450000.0</v>
      </c>
      <c r="F20" s="995" t="s">
        <v>703</v>
      </c>
      <c r="G20" s="998">
        <v>45354.0</v>
      </c>
      <c r="H20" s="998">
        <v>45529.0</v>
      </c>
      <c r="I20" s="1015" t="s">
        <v>3196</v>
      </c>
      <c r="J20" s="979">
        <v>2000000.0</v>
      </c>
      <c r="K20" s="984" t="s">
        <v>3182</v>
      </c>
      <c r="L20" s="979">
        <f t="shared" si="1"/>
        <v>450000</v>
      </c>
      <c r="M20" s="979">
        <v>80000.0</v>
      </c>
      <c r="N20" s="986"/>
      <c r="O20" s="986"/>
      <c r="P20" s="986"/>
      <c r="Q20" s="986"/>
      <c r="R20" s="988"/>
      <c r="S20" s="987"/>
      <c r="T20" s="987"/>
      <c r="U20" s="986">
        <v>453900.0</v>
      </c>
      <c r="V20" s="987">
        <v>485000.0</v>
      </c>
      <c r="W20" s="987">
        <v>485000.0</v>
      </c>
      <c r="X20" s="987">
        <v>485000.0</v>
      </c>
      <c r="Y20" s="987">
        <v>480500.0</v>
      </c>
      <c r="Z20" s="987">
        <v>387570.0</v>
      </c>
      <c r="AA20" s="997"/>
      <c r="AB20" s="997"/>
      <c r="AC20" s="997"/>
      <c r="AD20" s="997"/>
      <c r="AE20" s="997"/>
      <c r="AF20" s="993"/>
      <c r="AG20" s="993"/>
      <c r="AH20" s="993"/>
      <c r="AI20" s="993"/>
    </row>
    <row r="21" ht="16.5" customHeight="1">
      <c r="A21" s="977" t="s">
        <v>1466</v>
      </c>
      <c r="B21" s="977" t="s">
        <v>577</v>
      </c>
      <c r="C21" s="978" t="s">
        <v>322</v>
      </c>
      <c r="D21" s="979">
        <v>400000.0</v>
      </c>
      <c r="E21" s="979">
        <f>D21+D21*10%</f>
        <v>440000</v>
      </c>
      <c r="F21" s="995" t="s">
        <v>581</v>
      </c>
      <c r="G21" s="998">
        <v>45234.0</v>
      </c>
      <c r="H21" s="998">
        <v>45704.0</v>
      </c>
      <c r="I21" s="1015" t="s">
        <v>3076</v>
      </c>
      <c r="J21" s="979">
        <v>1000000.0</v>
      </c>
      <c r="K21" s="984" t="s">
        <v>3180</v>
      </c>
      <c r="L21" s="979">
        <f t="shared" si="1"/>
        <v>440000</v>
      </c>
      <c r="M21" s="979">
        <v>80000.0</v>
      </c>
      <c r="N21" s="986"/>
      <c r="O21" s="986"/>
      <c r="P21" s="987">
        <f>(L21/30*27)-L21*10%+(M21/30*27)+4400</f>
        <v>428400</v>
      </c>
      <c r="Q21" s="987">
        <f>L21-L21*10%+M21</f>
        <v>476000</v>
      </c>
      <c r="R21" s="988">
        <f>SUM(N21:Q21)</f>
        <v>904400</v>
      </c>
      <c r="S21" s="987">
        <v>476000.0</v>
      </c>
      <c r="T21" s="987">
        <v>476000.0</v>
      </c>
      <c r="U21" s="987">
        <v>476000.0</v>
      </c>
      <c r="V21" s="987">
        <v>476000.0</v>
      </c>
      <c r="W21" s="987">
        <v>476000.0</v>
      </c>
      <c r="X21" s="987">
        <v>476000.0</v>
      </c>
      <c r="Y21" s="987">
        <v>471600.0</v>
      </c>
      <c r="Z21" s="987">
        <v>471600.0</v>
      </c>
      <c r="AA21" s="987">
        <v>471600.0</v>
      </c>
      <c r="AB21" s="987">
        <v>471600.0</v>
      </c>
      <c r="AC21" s="987">
        <v>471600.0</v>
      </c>
      <c r="AD21" s="987">
        <v>471600.0</v>
      </c>
      <c r="AE21" s="987">
        <v>471600.0</v>
      </c>
      <c r="AF21" s="987">
        <v>471600.0</v>
      </c>
      <c r="AG21" s="993"/>
      <c r="AH21" s="993"/>
      <c r="AI21" s="993"/>
    </row>
    <row r="22" hidden="1">
      <c r="A22" s="1007" t="s">
        <v>1832</v>
      </c>
      <c r="B22" s="977" t="s">
        <v>1021</v>
      </c>
      <c r="C22" s="978" t="s">
        <v>1024</v>
      </c>
      <c r="D22" s="979">
        <v>400000.0</v>
      </c>
      <c r="E22" s="979">
        <f>D22+D22*10%+10000</f>
        <v>450000</v>
      </c>
      <c r="F22" s="995" t="s">
        <v>3141</v>
      </c>
      <c r="G22" s="996">
        <v>45379.0</v>
      </c>
      <c r="H22" s="996">
        <v>45471.0</v>
      </c>
      <c r="I22" s="1008" t="s">
        <v>3074</v>
      </c>
      <c r="J22" s="979">
        <v>1000000.0</v>
      </c>
      <c r="K22" s="984" t="s">
        <v>3188</v>
      </c>
      <c r="L22" s="979">
        <f t="shared" si="1"/>
        <v>450000</v>
      </c>
      <c r="M22" s="979">
        <v>80000.0</v>
      </c>
      <c r="N22" s="986"/>
      <c r="O22" s="986"/>
      <c r="P22" s="987"/>
      <c r="Q22" s="987"/>
      <c r="R22" s="1001"/>
      <c r="S22" s="987"/>
      <c r="T22" s="987"/>
      <c r="U22" s="1021">
        <v>62200.0</v>
      </c>
      <c r="V22" s="1021">
        <v>485000.0</v>
      </c>
      <c r="W22" s="1021">
        <v>485000.0</v>
      </c>
      <c r="X22" s="1021">
        <v>453000.0</v>
      </c>
      <c r="Y22" s="1022"/>
      <c r="Z22" s="1023"/>
      <c r="AA22" s="992"/>
      <c r="AB22" s="993"/>
      <c r="AC22" s="993"/>
      <c r="AD22" s="993"/>
      <c r="AE22" s="993"/>
      <c r="AF22" s="993"/>
      <c r="AG22" s="993"/>
      <c r="AH22" s="993"/>
      <c r="AI22" s="993"/>
    </row>
    <row r="23">
      <c r="A23" s="1024" t="s">
        <v>1832</v>
      </c>
      <c r="B23" s="977" t="s">
        <v>1021</v>
      </c>
      <c r="C23" s="978" t="s">
        <v>316</v>
      </c>
      <c r="D23" s="979">
        <v>400000.0</v>
      </c>
      <c r="E23" s="979">
        <v>442000.0</v>
      </c>
      <c r="F23" s="995" t="s">
        <v>3142</v>
      </c>
      <c r="G23" s="1025">
        <v>45388.0</v>
      </c>
      <c r="H23" s="996">
        <v>45570.0</v>
      </c>
      <c r="I23" s="1008" t="s">
        <v>3074</v>
      </c>
      <c r="J23" s="979">
        <v>1000000.0</v>
      </c>
      <c r="K23" s="984" t="s">
        <v>3188</v>
      </c>
      <c r="L23" s="979">
        <f t="shared" si="1"/>
        <v>442000</v>
      </c>
      <c r="M23" s="979">
        <v>80000.0</v>
      </c>
      <c r="N23" s="1002"/>
      <c r="O23" s="1002"/>
      <c r="P23" s="1026"/>
      <c r="Q23" s="1026"/>
      <c r="R23" s="1027"/>
      <c r="S23" s="986"/>
      <c r="T23" s="986"/>
      <c r="U23" s="986"/>
      <c r="V23" s="1021">
        <v>398200.0</v>
      </c>
      <c r="W23" s="1021">
        <v>477800.0</v>
      </c>
      <c r="X23" s="1021">
        <v>477800.0</v>
      </c>
      <c r="Y23" s="1021">
        <v>473380.0</v>
      </c>
      <c r="Z23" s="1021">
        <v>473380.0</v>
      </c>
      <c r="AA23" s="1021">
        <v>473380.0</v>
      </c>
      <c r="AB23" s="1021">
        <v>76090.0</v>
      </c>
      <c r="AC23" s="1028"/>
      <c r="AD23" s="1028"/>
      <c r="AE23" s="1028"/>
      <c r="AF23" s="993"/>
      <c r="AG23" s="993"/>
      <c r="AH23" s="993"/>
      <c r="AI23" s="993"/>
    </row>
    <row r="24" ht="16.5" hidden="1" customHeight="1">
      <c r="A24" s="977" t="s">
        <v>1966</v>
      </c>
      <c r="B24" s="977" t="s">
        <v>1180</v>
      </c>
      <c r="C24" s="978" t="s">
        <v>582</v>
      </c>
      <c r="D24" s="979">
        <v>420000.0</v>
      </c>
      <c r="E24" s="979">
        <f>D24+D24*10%+30000</f>
        <v>492000</v>
      </c>
      <c r="F24" s="995" t="s">
        <v>3145</v>
      </c>
      <c r="G24" s="998">
        <v>45184.0</v>
      </c>
      <c r="H24" s="998">
        <v>45291.0</v>
      </c>
      <c r="I24" s="1008" t="s">
        <v>3074</v>
      </c>
      <c r="J24" s="979">
        <v>1000000.0</v>
      </c>
      <c r="K24" s="984" t="s">
        <v>3191</v>
      </c>
      <c r="L24" s="979">
        <f t="shared" si="1"/>
        <v>492000</v>
      </c>
      <c r="M24" s="979">
        <v>80000.0</v>
      </c>
      <c r="N24" s="999">
        <f>(L24/30*16)-(L24/30*16)*10%+(M24/30*16)-27</f>
        <v>278799.6667</v>
      </c>
      <c r="O24" s="999">
        <f>L24-L24*10%+M24</f>
        <v>522800</v>
      </c>
      <c r="P24" s="1021">
        <v>522800.0</v>
      </c>
      <c r="Q24" s="1021">
        <v>522800.0</v>
      </c>
      <c r="R24" s="988">
        <f>SUM(N24:Q24)</f>
        <v>1847199.667</v>
      </c>
      <c r="S24" s="1005"/>
      <c r="T24" s="1005"/>
      <c r="U24" s="1005"/>
      <c r="V24" s="1005"/>
      <c r="W24" s="1016"/>
      <c r="X24" s="1003"/>
      <c r="Y24" s="991"/>
      <c r="Z24" s="991"/>
      <c r="AA24" s="984"/>
      <c r="AB24" s="993"/>
      <c r="AC24" s="993"/>
      <c r="AD24" s="993"/>
      <c r="AE24" s="993"/>
      <c r="AF24" s="993"/>
      <c r="AG24" s="993"/>
      <c r="AH24" s="993"/>
      <c r="AI24" s="993"/>
    </row>
    <row r="25" ht="16.5" customHeight="1">
      <c r="A25" s="1029"/>
      <c r="B25" s="977" t="s">
        <v>275</v>
      </c>
      <c r="C25" s="978" t="s">
        <v>3151</v>
      </c>
      <c r="D25" s="979">
        <v>420000.0</v>
      </c>
      <c r="E25" s="979">
        <v>400000.0</v>
      </c>
      <c r="F25" s="995" t="s">
        <v>295</v>
      </c>
      <c r="G25" s="1030">
        <v>45536.0</v>
      </c>
      <c r="H25" s="998">
        <v>45716.0</v>
      </c>
      <c r="I25" s="982" t="s">
        <v>3072</v>
      </c>
      <c r="J25" s="979">
        <v>2000000.0</v>
      </c>
      <c r="K25" s="994" t="s">
        <v>3172</v>
      </c>
      <c r="L25" s="979">
        <f t="shared" si="1"/>
        <v>400000</v>
      </c>
      <c r="M25" s="979">
        <v>80000.0</v>
      </c>
      <c r="N25" s="986"/>
      <c r="O25" s="986"/>
      <c r="P25" s="987"/>
      <c r="Q25" s="987"/>
      <c r="R25" s="988"/>
      <c r="S25" s="997"/>
      <c r="T25" s="997"/>
      <c r="U25" s="997"/>
      <c r="V25" s="997"/>
      <c r="W25" s="997"/>
      <c r="X25" s="997"/>
      <c r="Y25" s="997"/>
      <c r="Z25" s="997"/>
      <c r="AA25" s="987">
        <v>436000.0</v>
      </c>
      <c r="AB25" s="987">
        <v>436000.0</v>
      </c>
      <c r="AC25" s="987">
        <v>436000.0</v>
      </c>
      <c r="AD25" s="987">
        <v>436000.0</v>
      </c>
      <c r="AE25" s="987">
        <v>436000.0</v>
      </c>
      <c r="AF25" s="987">
        <v>436000.0</v>
      </c>
      <c r="AG25" s="993"/>
      <c r="AH25" s="993"/>
      <c r="AI25" s="993"/>
    </row>
    <row r="26" ht="16.5" customHeight="1">
      <c r="A26" s="1029"/>
      <c r="B26" s="977" t="s">
        <v>448</v>
      </c>
      <c r="C26" s="978" t="s">
        <v>456</v>
      </c>
      <c r="D26" s="979">
        <v>520000.0</v>
      </c>
      <c r="E26" s="979">
        <f>D26+D26*10%+100000</f>
        <v>672000</v>
      </c>
      <c r="F26" s="977" t="s">
        <v>460</v>
      </c>
      <c r="G26" s="1030">
        <v>45536.0</v>
      </c>
      <c r="H26" s="1030">
        <v>45657.0</v>
      </c>
      <c r="I26" s="982" t="s">
        <v>3072</v>
      </c>
      <c r="J26" s="979">
        <v>2000000.0</v>
      </c>
      <c r="K26" s="994" t="s">
        <v>3178</v>
      </c>
      <c r="L26" s="979">
        <f t="shared" si="1"/>
        <v>672000</v>
      </c>
      <c r="M26" s="979">
        <v>80000.0</v>
      </c>
      <c r="N26" s="986"/>
      <c r="O26" s="986"/>
      <c r="P26" s="987"/>
      <c r="Q26" s="987"/>
      <c r="R26" s="988"/>
      <c r="S26" s="997"/>
      <c r="T26" s="997"/>
      <c r="U26" s="997"/>
      <c r="V26" s="997"/>
      <c r="W26" s="997"/>
      <c r="X26" s="997"/>
      <c r="Y26" s="997"/>
      <c r="Z26" s="997"/>
      <c r="AA26" s="987">
        <v>678080.0</v>
      </c>
      <c r="AB26" s="987">
        <v>678080.0</v>
      </c>
      <c r="AC26" s="987">
        <v>678080.0</v>
      </c>
      <c r="AD26" s="987">
        <v>678080.0</v>
      </c>
      <c r="AE26" s="997"/>
      <c r="AF26" s="987"/>
      <c r="AG26" s="993"/>
      <c r="AH26" s="993"/>
      <c r="AI26" s="993"/>
    </row>
    <row r="27" ht="16.5" customHeight="1">
      <c r="A27" s="1029" t="s">
        <v>1694</v>
      </c>
      <c r="B27" s="977" t="s">
        <v>848</v>
      </c>
      <c r="C27" s="978" t="s">
        <v>1797</v>
      </c>
      <c r="D27" s="979">
        <v>520000.0</v>
      </c>
      <c r="E27" s="979">
        <f>D27+D27*10%</f>
        <v>572000</v>
      </c>
      <c r="F27" s="995" t="s">
        <v>3146</v>
      </c>
      <c r="G27" s="996">
        <v>45526.0</v>
      </c>
      <c r="H27" s="996">
        <v>45562.0</v>
      </c>
      <c r="I27" s="1031" t="s">
        <v>3147</v>
      </c>
      <c r="J27" s="979">
        <v>2000000.0</v>
      </c>
      <c r="K27" s="994" t="s">
        <v>3186</v>
      </c>
      <c r="L27" s="979">
        <f t="shared" si="1"/>
        <v>572000</v>
      </c>
      <c r="M27" s="979">
        <v>80000.0</v>
      </c>
      <c r="N27" s="986"/>
      <c r="O27" s="986"/>
      <c r="P27" s="987"/>
      <c r="Q27" s="987"/>
      <c r="R27" s="988"/>
      <c r="S27" s="997"/>
      <c r="T27" s="997"/>
      <c r="U27" s="997"/>
      <c r="V27" s="997"/>
      <c r="W27" s="997"/>
      <c r="X27" s="997"/>
      <c r="Y27" s="997"/>
      <c r="Z27" s="987">
        <v>190450.0</v>
      </c>
      <c r="AA27" s="987">
        <v>589080.0</v>
      </c>
      <c r="AB27" s="993"/>
      <c r="AC27" s="993"/>
      <c r="AD27" s="993"/>
      <c r="AE27" s="993"/>
      <c r="AF27" s="993"/>
      <c r="AG27" s="993"/>
      <c r="AH27" s="993"/>
      <c r="AI27" s="993"/>
    </row>
    <row r="28" ht="16.5" customHeight="1">
      <c r="A28" s="977" t="s">
        <v>1966</v>
      </c>
      <c r="B28" s="977" t="s">
        <v>1093</v>
      </c>
      <c r="C28" s="978" t="s">
        <v>323</v>
      </c>
      <c r="D28" s="979">
        <v>390000.0</v>
      </c>
      <c r="E28" s="979">
        <f>D28+D28*10%+1000</f>
        <v>430000</v>
      </c>
      <c r="F28" s="995" t="s">
        <v>1110</v>
      </c>
      <c r="G28" s="998">
        <v>45352.0</v>
      </c>
      <c r="H28" s="998">
        <v>45716.0</v>
      </c>
      <c r="I28" s="1008" t="s">
        <v>3074</v>
      </c>
      <c r="J28" s="979">
        <v>1000000.0</v>
      </c>
      <c r="K28" s="984" t="s">
        <v>3189</v>
      </c>
      <c r="L28" s="979">
        <f t="shared" si="1"/>
        <v>430000</v>
      </c>
      <c r="M28" s="979">
        <v>80000.0</v>
      </c>
      <c r="N28" s="986"/>
      <c r="O28" s="986"/>
      <c r="P28" s="987"/>
      <c r="Q28" s="987"/>
      <c r="R28" s="988"/>
      <c r="S28" s="987"/>
      <c r="T28" s="987"/>
      <c r="U28" s="1021">
        <v>467000.0</v>
      </c>
      <c r="V28" s="1021">
        <v>467000.0</v>
      </c>
      <c r="W28" s="1021">
        <v>467000.0</v>
      </c>
      <c r="X28" s="1021">
        <v>467000.0</v>
      </c>
      <c r="Y28" s="1021">
        <v>462700.0</v>
      </c>
      <c r="Z28" s="1021">
        <v>462700.0</v>
      </c>
      <c r="AA28" s="1021">
        <v>462700.0</v>
      </c>
      <c r="AB28" s="1021">
        <v>462700.0</v>
      </c>
      <c r="AC28" s="1021">
        <v>462700.0</v>
      </c>
      <c r="AD28" s="1021">
        <v>462700.0</v>
      </c>
      <c r="AE28" s="1021">
        <v>462700.0</v>
      </c>
      <c r="AF28" s="1021">
        <v>462700.0</v>
      </c>
      <c r="AG28" s="993"/>
      <c r="AH28" s="993"/>
      <c r="AI28" s="993"/>
    </row>
    <row r="29">
      <c r="C29" s="978"/>
      <c r="L29" s="1032" t="s">
        <v>42</v>
      </c>
      <c r="M29" s="1033"/>
      <c r="N29" s="1034">
        <f t="shared" ref="N29:O29" si="8">SUM(N6:N24)</f>
        <v>873599.6667</v>
      </c>
      <c r="O29" s="1034">
        <f t="shared" si="8"/>
        <v>2712900.742</v>
      </c>
      <c r="P29" s="1034">
        <f t="shared" ref="P29:R29" si="9">SUM(P6:P21)</f>
        <v>3507200</v>
      </c>
      <c r="Q29" s="1034">
        <f t="shared" si="9"/>
        <v>2588100</v>
      </c>
      <c r="R29" s="1034">
        <f t="shared" si="9"/>
        <v>5080600.742</v>
      </c>
      <c r="S29" s="1034">
        <f t="shared" ref="S29:AE29" si="10">SUM(S2:S28)</f>
        <v>2679200</v>
      </c>
      <c r="T29" s="1034">
        <f t="shared" si="10"/>
        <v>3807200</v>
      </c>
      <c r="U29" s="1034">
        <f t="shared" si="10"/>
        <v>4775000</v>
      </c>
      <c r="V29" s="1034">
        <f t="shared" si="10"/>
        <v>5761200</v>
      </c>
      <c r="W29" s="1034">
        <f t="shared" si="10"/>
        <v>5940200</v>
      </c>
      <c r="X29" s="1034">
        <f t="shared" si="10"/>
        <v>6252900</v>
      </c>
      <c r="Y29" s="1034">
        <f t="shared" si="10"/>
        <v>5524940</v>
      </c>
      <c r="Z29" s="1034">
        <f t="shared" si="10"/>
        <v>5718650</v>
      </c>
      <c r="AA29" s="1034">
        <f t="shared" si="10"/>
        <v>6843790</v>
      </c>
      <c r="AB29" s="1034">
        <f t="shared" si="10"/>
        <v>4657900</v>
      </c>
      <c r="AC29" s="1034">
        <f t="shared" si="10"/>
        <v>4581810</v>
      </c>
      <c r="AD29" s="1034">
        <f t="shared" si="10"/>
        <v>3972260</v>
      </c>
      <c r="AE29" s="1034">
        <f t="shared" si="10"/>
        <v>3294180</v>
      </c>
    </row>
    <row r="30">
      <c r="C30" s="1035"/>
      <c r="L30" s="1036" t="s">
        <v>3197</v>
      </c>
      <c r="M30" s="1036"/>
      <c r="N30" s="1037" t="s">
        <v>3198</v>
      </c>
      <c r="O30" s="1037" t="s">
        <v>3199</v>
      </c>
      <c r="P30" s="1037" t="s">
        <v>3200</v>
      </c>
      <c r="Q30" s="1037" t="s">
        <v>3201</v>
      </c>
      <c r="R30" s="1038"/>
      <c r="S30" s="1037" t="s">
        <v>3202</v>
      </c>
      <c r="T30" s="1037" t="s">
        <v>3203</v>
      </c>
      <c r="U30" s="1037" t="s">
        <v>3204</v>
      </c>
      <c r="V30" s="1037" t="s">
        <v>3205</v>
      </c>
      <c r="W30" s="1037" t="s">
        <v>3206</v>
      </c>
      <c r="X30" s="1037" t="s">
        <v>3207</v>
      </c>
      <c r="Y30" s="1037" t="s">
        <v>3208</v>
      </c>
      <c r="Z30" s="1037" t="s">
        <v>3209</v>
      </c>
      <c r="AA30" s="1039" t="s">
        <v>3210</v>
      </c>
      <c r="AB30" s="1039" t="s">
        <v>3211</v>
      </c>
    </row>
    <row r="31">
      <c r="C31" s="1035"/>
      <c r="L31" s="1040" t="s">
        <v>3212</v>
      </c>
      <c r="M31" s="1041"/>
      <c r="N31" s="1042">
        <v>873600.0</v>
      </c>
      <c r="O31" s="1042">
        <v>2157700.0</v>
      </c>
      <c r="P31" s="1042">
        <v>4030000.0</v>
      </c>
      <c r="Q31" s="1042">
        <v>3276900.0</v>
      </c>
      <c r="R31" s="1043"/>
      <c r="S31" s="1044">
        <v>2679200.0</v>
      </c>
      <c r="T31" s="1044">
        <v>3729800.0</v>
      </c>
      <c r="U31" s="1044">
        <v>4852400.0</v>
      </c>
      <c r="V31" s="1044">
        <v>5833500.0</v>
      </c>
      <c r="W31" s="1044">
        <v>5940200.0</v>
      </c>
      <c r="X31" s="1044">
        <v>6493400.0</v>
      </c>
    </row>
    <row r="32">
      <c r="C32" s="1035"/>
      <c r="L32" s="1045" t="s">
        <v>3213</v>
      </c>
      <c r="M32" s="1046"/>
      <c r="N32" s="1047">
        <f t="shared" ref="N32:X32" si="11">N31-N29</f>
        <v>0.3333333333</v>
      </c>
      <c r="O32" s="1047">
        <f t="shared" si="11"/>
        <v>-555200.7419</v>
      </c>
      <c r="P32" s="1047">
        <f t="shared" si="11"/>
        <v>522800</v>
      </c>
      <c r="Q32" s="1047">
        <f t="shared" si="11"/>
        <v>688800</v>
      </c>
      <c r="R32" s="1047">
        <f t="shared" si="11"/>
        <v>-5080600.742</v>
      </c>
      <c r="S32" s="1047">
        <f t="shared" si="11"/>
        <v>0</v>
      </c>
      <c r="T32" s="1047">
        <f t="shared" si="11"/>
        <v>-77400</v>
      </c>
      <c r="U32" s="1047">
        <f t="shared" si="11"/>
        <v>77400</v>
      </c>
      <c r="V32" s="1047">
        <f t="shared" si="11"/>
        <v>72300</v>
      </c>
      <c r="W32" s="1047">
        <f t="shared" si="11"/>
        <v>0</v>
      </c>
      <c r="X32" s="1047">
        <f t="shared" si="11"/>
        <v>240500</v>
      </c>
      <c r="Y32" s="1047">
        <v>-240500.0</v>
      </c>
      <c r="Z32" s="1047"/>
    </row>
    <row r="33">
      <c r="C33" s="1035"/>
      <c r="L33" s="1046"/>
      <c r="P33" s="1048"/>
      <c r="Q33" s="1048"/>
      <c r="R33" s="1048"/>
    </row>
    <row r="34">
      <c r="C34" s="1035"/>
      <c r="L34" s="1046"/>
      <c r="P34" s="1048"/>
      <c r="Q34" s="1048"/>
      <c r="R34" s="1048"/>
    </row>
    <row r="35">
      <c r="C35" s="1035"/>
      <c r="D35" s="1046"/>
      <c r="E35" s="1046"/>
      <c r="F35" s="1046"/>
      <c r="L35" s="846" t="s">
        <v>3214</v>
      </c>
      <c r="M35" s="1049" t="s">
        <v>1243</v>
      </c>
      <c r="O35" s="1046"/>
      <c r="P35" s="1045" t="s">
        <v>3214</v>
      </c>
      <c r="Q35" s="1046"/>
      <c r="R35" s="1046"/>
      <c r="S35" s="1046"/>
      <c r="T35" s="1046"/>
      <c r="U35" s="1046"/>
      <c r="Z35" s="1045">
        <v>400000.0</v>
      </c>
      <c r="AA35" s="1048"/>
      <c r="AB35" s="1048"/>
      <c r="AC35" s="1048"/>
      <c r="AD35" s="1045" t="s">
        <v>1243</v>
      </c>
      <c r="AE35" s="1047">
        <v>363000.0</v>
      </c>
    </row>
    <row r="36">
      <c r="B36" s="1045"/>
      <c r="C36" s="1035"/>
      <c r="D36" s="1046"/>
      <c r="E36" s="1046"/>
      <c r="F36" s="1046"/>
      <c r="M36" s="1049" t="s">
        <v>3111</v>
      </c>
      <c r="O36" s="1046"/>
      <c r="P36" s="1046"/>
      <c r="Q36" s="1046"/>
      <c r="R36" s="1046"/>
      <c r="S36" s="1046"/>
      <c r="T36" s="1046"/>
      <c r="U36" s="1046"/>
      <c r="Z36" s="1048">
        <f t="shared" ref="Z36:Z37" si="12">Z35*10%</f>
        <v>40000</v>
      </c>
      <c r="AA36" s="1048"/>
      <c r="AB36" s="1048"/>
      <c r="AC36" s="1048"/>
      <c r="AD36" s="1045" t="s">
        <v>3111</v>
      </c>
      <c r="AE36" s="1048">
        <v>36300.0</v>
      </c>
    </row>
    <row r="37">
      <c r="B37" s="1045"/>
      <c r="C37" s="1050"/>
      <c r="M37" s="1049" t="s">
        <v>3115</v>
      </c>
      <c r="Q37" s="1046"/>
      <c r="R37" s="1046"/>
      <c r="S37" s="1046"/>
      <c r="T37" s="1046"/>
      <c r="U37" s="1046"/>
      <c r="Z37" s="1048">
        <f t="shared" si="12"/>
        <v>4000</v>
      </c>
      <c r="AA37" s="1048"/>
      <c r="AB37" s="1048"/>
      <c r="AC37" s="1048"/>
      <c r="AD37" s="1045" t="s">
        <v>3115</v>
      </c>
      <c r="AE37" s="1046">
        <v>3630.0</v>
      </c>
    </row>
    <row r="38">
      <c r="B38" s="1050"/>
      <c r="C38" s="846" t="s">
        <v>3215</v>
      </c>
      <c r="D38" s="846" t="s">
        <v>3111</v>
      </c>
      <c r="E38" s="846" t="s">
        <v>3192</v>
      </c>
      <c r="F38" s="846" t="s">
        <v>3216</v>
      </c>
      <c r="G38" s="846" t="s">
        <v>3217</v>
      </c>
      <c r="H38" s="1051" t="s">
        <v>3218</v>
      </c>
      <c r="M38" s="1052" t="s">
        <v>3117</v>
      </c>
      <c r="Q38" s="1046"/>
      <c r="R38" s="1046"/>
      <c r="S38" s="1046"/>
      <c r="T38" s="1046"/>
      <c r="U38" s="1046"/>
      <c r="Z38" s="1046">
        <f>Z35-Z36-Z37</f>
        <v>356000</v>
      </c>
      <c r="AA38" s="1048"/>
      <c r="AB38" s="1048"/>
      <c r="AC38" s="1047"/>
      <c r="AD38" s="846" t="s">
        <v>3117</v>
      </c>
      <c r="AE38" s="1048">
        <v>323070.0</v>
      </c>
    </row>
    <row r="39">
      <c r="B39" s="1053" t="s">
        <v>3219</v>
      </c>
      <c r="C39" s="1045">
        <v>500000.0</v>
      </c>
      <c r="D39" s="1046">
        <f t="shared" ref="D39:D40" si="13">C39*10%</f>
        <v>50000</v>
      </c>
      <c r="E39" s="1046">
        <f t="shared" ref="E39:E40" si="14">C39+D39</f>
        <v>550000</v>
      </c>
      <c r="F39" s="1046">
        <f t="shared" ref="F39:F40" si="15">E39*10%</f>
        <v>55000</v>
      </c>
      <c r="G39" s="1046">
        <f t="shared" ref="G39:G40" si="16">E39-F39</f>
        <v>495000</v>
      </c>
      <c r="H39" s="1054">
        <f t="shared" ref="H39:H40" si="17">C39-G39</f>
        <v>5000</v>
      </c>
      <c r="I39" s="1046"/>
      <c r="M39" s="1049" t="s">
        <v>1244</v>
      </c>
      <c r="Q39" s="1046"/>
      <c r="R39" s="1046"/>
      <c r="S39" s="1046"/>
      <c r="T39" s="1046"/>
      <c r="U39" s="1046"/>
      <c r="Z39" s="1045">
        <v>80000.0</v>
      </c>
      <c r="AA39" s="1048"/>
      <c r="AB39" s="1048"/>
      <c r="AC39" s="1048"/>
      <c r="AD39" s="1045" t="s">
        <v>1244</v>
      </c>
      <c r="AE39" s="1047">
        <v>64500.0</v>
      </c>
    </row>
    <row r="40">
      <c r="B40" s="1050"/>
      <c r="C40" s="1045">
        <v>400000.0</v>
      </c>
      <c r="D40" s="1046">
        <f t="shared" si="13"/>
        <v>40000</v>
      </c>
      <c r="E40" s="1046">
        <f t="shared" si="14"/>
        <v>440000</v>
      </c>
      <c r="F40" s="1046">
        <f t="shared" si="15"/>
        <v>44000</v>
      </c>
      <c r="G40" s="1046">
        <f t="shared" si="16"/>
        <v>396000</v>
      </c>
      <c r="H40" s="1054">
        <f t="shared" si="17"/>
        <v>4000</v>
      </c>
      <c r="I40" s="1046"/>
      <c r="M40" s="1049" t="s">
        <v>3118</v>
      </c>
      <c r="Q40" s="1046"/>
      <c r="R40" s="1046"/>
      <c r="S40" s="1046"/>
      <c r="T40" s="1046"/>
      <c r="U40" s="1046"/>
      <c r="Z40" s="1048">
        <f>SUM(Z38:Z39)</f>
        <v>436000</v>
      </c>
      <c r="AA40" s="1048"/>
      <c r="AB40" s="1048"/>
      <c r="AC40" s="1048"/>
      <c r="AD40" s="1045" t="s">
        <v>3118</v>
      </c>
      <c r="AE40" s="1046">
        <v>387570.0</v>
      </c>
    </row>
    <row r="41">
      <c r="B41" s="1055" t="s">
        <v>3220</v>
      </c>
      <c r="C41" s="1056" t="s">
        <v>3215</v>
      </c>
      <c r="D41" s="1056" t="s">
        <v>3111</v>
      </c>
      <c r="E41" s="1056" t="s">
        <v>3192</v>
      </c>
      <c r="F41" s="1056" t="s">
        <v>3216</v>
      </c>
      <c r="G41" s="1056" t="s">
        <v>3221</v>
      </c>
      <c r="H41" s="1056" t="s">
        <v>3217</v>
      </c>
      <c r="I41" s="1051" t="s">
        <v>3222</v>
      </c>
      <c r="M41" s="97"/>
      <c r="Z41" s="1048"/>
      <c r="AA41" s="1048"/>
      <c r="AB41" s="1057"/>
      <c r="AC41" s="1057"/>
    </row>
    <row r="42">
      <c r="C42" s="1045">
        <v>500000.0</v>
      </c>
      <c r="D42" s="1046">
        <f t="shared" ref="D42:D43" si="19">C42*10%</f>
        <v>50000</v>
      </c>
      <c r="E42" s="1046">
        <f t="shared" ref="E42:E43" si="20">C42+D42</f>
        <v>550000</v>
      </c>
      <c r="F42" s="1046">
        <f t="shared" ref="F42:G42" si="18">E42*10%</f>
        <v>55000</v>
      </c>
      <c r="G42" s="1046">
        <f t="shared" si="18"/>
        <v>5500</v>
      </c>
      <c r="H42" s="1046">
        <f t="shared" ref="H42:H43" si="22">E42-F42-G42</f>
        <v>489500</v>
      </c>
      <c r="I42" s="1054">
        <f t="shared" ref="I42:I43" si="23">C42-H42</f>
        <v>10500</v>
      </c>
      <c r="K42" s="846" t="s">
        <v>58</v>
      </c>
      <c r="L42" s="846" t="s">
        <v>3169</v>
      </c>
      <c r="M42" s="1049" t="s">
        <v>1243</v>
      </c>
      <c r="Q42" s="846"/>
      <c r="R42" s="846"/>
      <c r="S42" s="846"/>
      <c r="T42" s="846"/>
      <c r="U42" s="846"/>
      <c r="Z42" s="1047">
        <v>640000.0</v>
      </c>
      <c r="AA42" s="1047">
        <v>498000.0</v>
      </c>
      <c r="AB42" s="1047">
        <v>594000.0</v>
      </c>
      <c r="AC42" s="1047">
        <v>528000.0</v>
      </c>
    </row>
    <row r="43">
      <c r="C43" s="1045">
        <v>400000.0</v>
      </c>
      <c r="D43" s="1046">
        <f t="shared" si="19"/>
        <v>40000</v>
      </c>
      <c r="E43" s="1046">
        <f t="shared" si="20"/>
        <v>440000</v>
      </c>
      <c r="F43" s="1046">
        <f t="shared" ref="F43:G43" si="21">E43*10%</f>
        <v>44000</v>
      </c>
      <c r="G43" s="1046">
        <f t="shared" si="21"/>
        <v>4400</v>
      </c>
      <c r="H43" s="1046">
        <f t="shared" si="22"/>
        <v>391600</v>
      </c>
      <c r="I43" s="1054">
        <f t="shared" si="23"/>
        <v>8400</v>
      </c>
      <c r="M43" s="1049" t="s">
        <v>3111</v>
      </c>
      <c r="Z43" s="1048">
        <f t="shared" ref="Z43:AC43" si="24">Z42*10%</f>
        <v>64000</v>
      </c>
      <c r="AA43" s="1048">
        <f t="shared" si="24"/>
        <v>49800</v>
      </c>
      <c r="AB43" s="1048">
        <f t="shared" si="24"/>
        <v>59400</v>
      </c>
      <c r="AC43" s="1048">
        <f t="shared" si="24"/>
        <v>52800</v>
      </c>
    </row>
    <row r="44">
      <c r="C44" s="1035"/>
      <c r="M44" s="1049" t="s">
        <v>3115</v>
      </c>
      <c r="Z44" s="1048">
        <f t="shared" ref="Z44:AC44" si="25">Z43*10%</f>
        <v>6400</v>
      </c>
      <c r="AA44" s="1048">
        <f t="shared" si="25"/>
        <v>4980</v>
      </c>
      <c r="AB44" s="1048">
        <f t="shared" si="25"/>
        <v>5940</v>
      </c>
      <c r="AC44" s="1048">
        <f t="shared" si="25"/>
        <v>5280</v>
      </c>
    </row>
    <row r="45">
      <c r="C45" s="1035"/>
      <c r="M45" s="1052" t="s">
        <v>3117</v>
      </c>
      <c r="Z45" s="1046">
        <f t="shared" ref="Z45:AC45" si="26">Z42-Z43-Z44</f>
        <v>569600</v>
      </c>
      <c r="AA45" s="1046">
        <f t="shared" si="26"/>
        <v>443220</v>
      </c>
      <c r="AB45" s="1046">
        <f t="shared" si="26"/>
        <v>528660</v>
      </c>
      <c r="AC45" s="1046">
        <f t="shared" si="26"/>
        <v>469920</v>
      </c>
    </row>
    <row r="46">
      <c r="C46" s="1035"/>
      <c r="M46" s="1049" t="s">
        <v>1244</v>
      </c>
      <c r="Z46" s="1047">
        <v>80000.0</v>
      </c>
      <c r="AA46" s="1047">
        <v>67100.0</v>
      </c>
      <c r="AB46" s="1047">
        <v>80000.0</v>
      </c>
      <c r="AC46" s="1047">
        <v>80000.0</v>
      </c>
    </row>
    <row r="47">
      <c r="C47" s="1035"/>
      <c r="M47" s="1049" t="s">
        <v>3118</v>
      </c>
      <c r="Z47" s="1048">
        <f t="shared" ref="Z47:AC47" si="27">SUM(Z45:Z46)</f>
        <v>649600</v>
      </c>
      <c r="AA47" s="1048">
        <f t="shared" si="27"/>
        <v>510320</v>
      </c>
      <c r="AB47" s="1048">
        <f t="shared" si="27"/>
        <v>608660</v>
      </c>
      <c r="AC47" s="1048">
        <f t="shared" si="27"/>
        <v>549920</v>
      </c>
    </row>
    <row r="48">
      <c r="C48" s="1035"/>
      <c r="M48" s="46"/>
      <c r="Z48" s="1057"/>
      <c r="AA48" s="1057"/>
      <c r="AB48" s="1057"/>
      <c r="AC48" s="1057"/>
    </row>
    <row r="49">
      <c r="C49" s="1035"/>
      <c r="K49" s="846" t="s">
        <v>154</v>
      </c>
      <c r="L49" s="846" t="s">
        <v>3170</v>
      </c>
      <c r="M49" s="1049" t="s">
        <v>1243</v>
      </c>
      <c r="Q49" s="846"/>
      <c r="R49" s="846"/>
      <c r="S49" s="846"/>
      <c r="T49" s="846"/>
      <c r="U49" s="846"/>
      <c r="Z49" s="1047">
        <v>595000.0</v>
      </c>
      <c r="AA49" s="1047">
        <v>528000.0</v>
      </c>
      <c r="AB49" s="1047"/>
      <c r="AC49" s="1047"/>
    </row>
    <row r="50">
      <c r="C50" s="1035"/>
      <c r="M50" s="1049" t="s">
        <v>3111</v>
      </c>
      <c r="Z50" s="1048">
        <f t="shared" ref="Z50:AA50" si="28">Z49*10%</f>
        <v>59500</v>
      </c>
      <c r="AA50" s="1048">
        <f t="shared" si="28"/>
        <v>52800</v>
      </c>
      <c r="AB50" s="1048"/>
      <c r="AC50" s="1048"/>
    </row>
    <row r="51">
      <c r="C51" s="1035"/>
      <c r="M51" s="1049" t="s">
        <v>3115</v>
      </c>
      <c r="Z51" s="1048">
        <f t="shared" ref="Z51:AA51" si="29">Z50*10%</f>
        <v>5950</v>
      </c>
      <c r="AA51" s="1048">
        <f t="shared" si="29"/>
        <v>5280</v>
      </c>
    </row>
    <row r="52">
      <c r="C52" s="1035"/>
      <c r="M52" s="1052" t="s">
        <v>3117</v>
      </c>
      <c r="Z52" s="1046">
        <f t="shared" ref="Z52:AA52" si="30">Z49-Z50-Z51</f>
        <v>529550</v>
      </c>
      <c r="AA52" s="1046">
        <f t="shared" si="30"/>
        <v>469920</v>
      </c>
      <c r="AB52" s="1047"/>
      <c r="AC52" s="1047"/>
    </row>
    <row r="53">
      <c r="C53" s="1035"/>
      <c r="M53" s="1049" t="s">
        <v>1244</v>
      </c>
      <c r="Z53" s="1047">
        <f t="shared" ref="Z53:AA53" si="31">80000</f>
        <v>80000</v>
      </c>
      <c r="AA53" s="1047">
        <f t="shared" si="31"/>
        <v>80000</v>
      </c>
      <c r="AB53" s="1047"/>
      <c r="AC53" s="1047"/>
    </row>
    <row r="54">
      <c r="C54" s="1035"/>
      <c r="M54" s="1049" t="s">
        <v>3118</v>
      </c>
      <c r="Z54" s="1048">
        <f t="shared" ref="Z54:AA54" si="32">SUM(Z52:Z53)</f>
        <v>609550</v>
      </c>
      <c r="AA54" s="1048">
        <f t="shared" si="32"/>
        <v>549920</v>
      </c>
      <c r="AB54" s="1048"/>
      <c r="AC54" s="1048"/>
    </row>
    <row r="55">
      <c r="C55" s="1035"/>
      <c r="M55" s="46"/>
      <c r="Z55" s="1057"/>
      <c r="AA55" s="1057"/>
      <c r="AB55" s="1057"/>
      <c r="AC55" s="1057"/>
    </row>
    <row r="56">
      <c r="C56" s="1035"/>
      <c r="K56" s="846" t="s">
        <v>210</v>
      </c>
      <c r="L56" s="846" t="s">
        <v>3171</v>
      </c>
      <c r="M56" s="1049" t="s">
        <v>1243</v>
      </c>
      <c r="Q56" s="846"/>
      <c r="R56" s="846"/>
      <c r="S56" s="846"/>
      <c r="T56" s="846"/>
      <c r="U56" s="846"/>
      <c r="Z56" s="1047">
        <v>660000.0</v>
      </c>
      <c r="AA56" s="1047">
        <v>21000.0</v>
      </c>
      <c r="AB56" s="1047"/>
      <c r="AC56" s="1047"/>
    </row>
    <row r="57">
      <c r="C57" s="1035"/>
      <c r="M57" s="1049" t="s">
        <v>3111</v>
      </c>
      <c r="Z57" s="1048">
        <f t="shared" ref="Z57:AA57" si="33">Z56*10%</f>
        <v>66000</v>
      </c>
      <c r="AA57" s="1048">
        <f t="shared" si="33"/>
        <v>2100</v>
      </c>
      <c r="AB57" s="1048"/>
      <c r="AC57" s="1048"/>
    </row>
    <row r="58">
      <c r="C58" s="1035"/>
      <c r="M58" s="1049" t="s">
        <v>3115</v>
      </c>
      <c r="Z58" s="1048">
        <f t="shared" ref="Z58:AA58" si="34">Z57*10%</f>
        <v>6600</v>
      </c>
      <c r="AA58" s="1048">
        <f t="shared" si="34"/>
        <v>210</v>
      </c>
    </row>
    <row r="59">
      <c r="C59" s="1035"/>
      <c r="M59" s="1052" t="s">
        <v>3117</v>
      </c>
      <c r="Z59" s="1046">
        <f t="shared" ref="Z59:AA59" si="35">Z56-Z57-Z58</f>
        <v>587400</v>
      </c>
      <c r="AA59" s="1046">
        <f t="shared" si="35"/>
        <v>18690</v>
      </c>
      <c r="AB59" s="1047"/>
      <c r="AC59" s="1047"/>
    </row>
    <row r="60">
      <c r="C60" s="1035"/>
      <c r="M60" s="1049" t="s">
        <v>1244</v>
      </c>
      <c r="Z60" s="1047">
        <f>80000</f>
        <v>80000</v>
      </c>
      <c r="AA60" s="1047">
        <v>2600.0</v>
      </c>
      <c r="AB60" s="1048"/>
      <c r="AC60" s="1048"/>
    </row>
    <row r="61">
      <c r="C61" s="1035"/>
      <c r="M61" s="1049" t="s">
        <v>3118</v>
      </c>
      <c r="Z61" s="1048">
        <f t="shared" ref="Z61:AA61" si="36">SUM(Z59:Z60)</f>
        <v>667400</v>
      </c>
      <c r="AA61" s="1048">
        <f t="shared" si="36"/>
        <v>21290</v>
      </c>
      <c r="AB61" s="1057"/>
      <c r="AC61" s="1057"/>
    </row>
    <row r="62">
      <c r="C62" s="1035"/>
      <c r="M62" s="46"/>
      <c r="Z62" s="1057"/>
      <c r="AA62" s="1057"/>
      <c r="AB62" s="1057"/>
      <c r="AC62" s="1057"/>
    </row>
    <row r="63">
      <c r="C63" s="1035"/>
      <c r="K63" s="846" t="s">
        <v>699</v>
      </c>
      <c r="L63" s="846" t="s">
        <v>3182</v>
      </c>
      <c r="M63" s="1049" t="s">
        <v>1243</v>
      </c>
      <c r="Q63" s="846"/>
      <c r="R63" s="846"/>
      <c r="S63" s="846"/>
      <c r="T63" s="846"/>
      <c r="U63" s="846"/>
      <c r="Z63" s="1047">
        <v>450000.0</v>
      </c>
      <c r="AA63" s="1047">
        <v>363000.0</v>
      </c>
      <c r="AB63" s="1057"/>
      <c r="AC63" s="1057"/>
    </row>
    <row r="64">
      <c r="C64" s="1035"/>
      <c r="M64" s="1049" t="s">
        <v>3111</v>
      </c>
      <c r="Z64" s="1048">
        <f t="shared" ref="Z64:AA64" si="37">Z63*10%</f>
        <v>45000</v>
      </c>
      <c r="AA64" s="1048">
        <f t="shared" si="37"/>
        <v>36300</v>
      </c>
      <c r="AB64" s="1057"/>
      <c r="AC64" s="1057"/>
    </row>
    <row r="65">
      <c r="C65" s="1035"/>
      <c r="M65" s="1049" t="s">
        <v>3115</v>
      </c>
      <c r="Z65" s="1048">
        <f t="shared" ref="Z65:AA65" si="38">Z64*10%</f>
        <v>4500</v>
      </c>
      <c r="AA65" s="1048">
        <f t="shared" si="38"/>
        <v>3630</v>
      </c>
      <c r="AB65" s="1057"/>
      <c r="AC65" s="1057"/>
    </row>
    <row r="66">
      <c r="C66" s="1035"/>
      <c r="M66" s="1052" t="s">
        <v>3117</v>
      </c>
      <c r="Z66" s="1046">
        <f t="shared" ref="Z66:AA66" si="39">Z63-Z64-Z65</f>
        <v>400500</v>
      </c>
      <c r="AA66" s="1046">
        <f t="shared" si="39"/>
        <v>323070</v>
      </c>
      <c r="AB66" s="1057"/>
      <c r="AC66" s="1057"/>
    </row>
    <row r="67">
      <c r="C67" s="1035"/>
      <c r="M67" s="1049" t="s">
        <v>1244</v>
      </c>
      <c r="Z67" s="1047">
        <f>80000</f>
        <v>80000</v>
      </c>
      <c r="AA67" s="1047">
        <v>64500.0</v>
      </c>
      <c r="AB67" s="1057"/>
      <c r="AC67" s="1057"/>
    </row>
    <row r="68">
      <c r="C68" s="1035"/>
      <c r="K68" s="1045"/>
      <c r="M68" s="1049" t="s">
        <v>3118</v>
      </c>
      <c r="Z68" s="1048">
        <f t="shared" ref="Z68:AA68" si="40">SUM(Z66:Z67)</f>
        <v>480500</v>
      </c>
      <c r="AA68" s="1048">
        <f t="shared" si="40"/>
        <v>387570</v>
      </c>
      <c r="AB68" s="1057"/>
      <c r="AC68" s="1057"/>
    </row>
    <row r="69">
      <c r="C69" s="1035"/>
      <c r="K69" s="1045"/>
      <c r="M69" s="46"/>
      <c r="Z69" s="1057"/>
      <c r="AA69" s="1057"/>
      <c r="AB69" s="1057"/>
      <c r="AC69" s="1057"/>
    </row>
    <row r="70">
      <c r="C70" s="1035"/>
      <c r="K70" s="846" t="s">
        <v>577</v>
      </c>
      <c r="L70" s="846" t="s">
        <v>3180</v>
      </c>
      <c r="M70" s="1049" t="s">
        <v>1243</v>
      </c>
      <c r="Q70" s="846"/>
      <c r="R70" s="846"/>
      <c r="S70" s="846"/>
      <c r="T70" s="846"/>
      <c r="U70" s="846"/>
      <c r="Z70" s="1047">
        <v>440000.0</v>
      </c>
      <c r="AA70" s="1048"/>
      <c r="AB70" s="1057"/>
      <c r="AC70" s="1045"/>
    </row>
    <row r="71">
      <c r="C71" s="1035"/>
      <c r="K71" s="846"/>
      <c r="M71" s="1049" t="s">
        <v>3111</v>
      </c>
      <c r="Z71" s="1048">
        <f t="shared" ref="Z71:Z72" si="41">Z70*10%</f>
        <v>44000</v>
      </c>
      <c r="AA71" s="1048"/>
      <c r="AB71" s="1057"/>
      <c r="AC71" s="1045"/>
    </row>
    <row r="72">
      <c r="C72" s="1035"/>
      <c r="M72" s="1049" t="s">
        <v>3115</v>
      </c>
      <c r="Z72" s="1048">
        <f t="shared" si="41"/>
        <v>4400</v>
      </c>
      <c r="AB72" s="1057"/>
    </row>
    <row r="73">
      <c r="C73" s="1035"/>
      <c r="M73" s="1052" t="s">
        <v>3117</v>
      </c>
      <c r="Z73" s="1046">
        <f>Z70-Z71-Z72</f>
        <v>391600</v>
      </c>
      <c r="AB73" s="1057"/>
      <c r="AC73" s="1045"/>
    </row>
    <row r="74">
      <c r="C74" s="1035"/>
      <c r="M74" s="1049" t="s">
        <v>1244</v>
      </c>
      <c r="Z74" s="1047">
        <f>80000</f>
        <v>80000</v>
      </c>
      <c r="AA74" s="1048"/>
      <c r="AB74" s="1057"/>
      <c r="AC74" s="1045"/>
    </row>
    <row r="75">
      <c r="C75" s="1035"/>
      <c r="M75" s="1049" t="s">
        <v>3118</v>
      </c>
      <c r="Z75" s="1048">
        <f>SUM(Z73:Z74)</f>
        <v>471600</v>
      </c>
      <c r="AA75" s="1048"/>
      <c r="AC75" s="1057"/>
    </row>
    <row r="76">
      <c r="C76" s="1035"/>
      <c r="K76" s="1045"/>
      <c r="M76" s="46"/>
      <c r="Z76" s="1057"/>
      <c r="AA76" s="1057"/>
      <c r="AB76" s="1057"/>
      <c r="AC76" s="1057"/>
    </row>
    <row r="77">
      <c r="C77" s="1035"/>
      <c r="K77" s="1045" t="s">
        <v>1021</v>
      </c>
      <c r="L77" s="846" t="s">
        <v>3188</v>
      </c>
      <c r="M77" s="1049" t="s">
        <v>1243</v>
      </c>
      <c r="Z77" s="1047">
        <v>442000.0</v>
      </c>
      <c r="AA77" s="1047"/>
      <c r="AB77" s="1057"/>
      <c r="AC77" s="1057"/>
    </row>
    <row r="78">
      <c r="C78" s="1035"/>
      <c r="M78" s="1049" t="s">
        <v>3111</v>
      </c>
      <c r="Z78" s="1048">
        <f t="shared" ref="Z78:Z79" si="42">Z77*10%</f>
        <v>44200</v>
      </c>
      <c r="AA78" s="1048"/>
      <c r="AB78" s="1057"/>
      <c r="AC78" s="1057"/>
    </row>
    <row r="79">
      <c r="C79" s="1035"/>
      <c r="M79" s="1049" t="s">
        <v>3115</v>
      </c>
      <c r="Z79" s="1048">
        <f t="shared" si="42"/>
        <v>4420</v>
      </c>
      <c r="AA79" s="1048"/>
      <c r="AB79" s="1057"/>
      <c r="AC79" s="1057"/>
    </row>
    <row r="80">
      <c r="C80" s="1035"/>
      <c r="M80" s="1052" t="s">
        <v>3117</v>
      </c>
      <c r="Z80" s="1046">
        <f>Z77-Z78-Z79</f>
        <v>393380</v>
      </c>
      <c r="AB80" s="1057"/>
      <c r="AC80" s="1057"/>
    </row>
    <row r="81">
      <c r="C81" s="1035"/>
      <c r="M81" s="1049" t="s">
        <v>1244</v>
      </c>
      <c r="Z81" s="1047">
        <f>80000</f>
        <v>80000</v>
      </c>
      <c r="AA81" s="1047"/>
      <c r="AB81" s="1057"/>
      <c r="AC81" s="1057"/>
    </row>
    <row r="82">
      <c r="C82" s="1035"/>
      <c r="M82" s="1049" t="s">
        <v>3118</v>
      </c>
      <c r="Q82" s="1057"/>
      <c r="R82" s="1057"/>
      <c r="S82" s="1057"/>
      <c r="T82" s="1057"/>
      <c r="U82" s="1057"/>
      <c r="Z82" s="1048">
        <f>SUM(Z80:Z81)</f>
        <v>473380</v>
      </c>
      <c r="AA82" s="1048"/>
    </row>
    <row r="83">
      <c r="C83" s="1035"/>
      <c r="M83" s="46"/>
    </row>
    <row r="84">
      <c r="C84" s="1035"/>
      <c r="M84" s="1049" t="s">
        <v>1243</v>
      </c>
      <c r="Z84" s="1047">
        <v>430000.0</v>
      </c>
      <c r="AA84" s="1047">
        <v>375000.0</v>
      </c>
      <c r="AB84" s="1057"/>
      <c r="AC84" s="1057"/>
    </row>
    <row r="85">
      <c r="C85" s="1035"/>
      <c r="K85" s="846" t="s">
        <v>1093</v>
      </c>
      <c r="L85" s="846" t="s">
        <v>3189</v>
      </c>
      <c r="M85" s="1049" t="s">
        <v>3111</v>
      </c>
      <c r="Q85" s="846"/>
      <c r="R85" s="846"/>
      <c r="S85" s="846"/>
      <c r="T85" s="846"/>
      <c r="U85" s="846"/>
      <c r="Z85" s="1048">
        <f t="shared" ref="Z85:AA85" si="43">Z84*10%</f>
        <v>43000</v>
      </c>
      <c r="AA85" s="1048">
        <f t="shared" si="43"/>
        <v>37500</v>
      </c>
      <c r="AB85" s="1057"/>
      <c r="AC85" s="1057"/>
    </row>
    <row r="86">
      <c r="C86" s="1035"/>
      <c r="M86" s="1049" t="s">
        <v>3115</v>
      </c>
      <c r="Z86" s="1048">
        <f t="shared" ref="Z86:AA86" si="44">Z85*10%</f>
        <v>4300</v>
      </c>
      <c r="AA86" s="1048">
        <f t="shared" si="44"/>
        <v>3750</v>
      </c>
      <c r="AB86" s="1057"/>
      <c r="AC86" s="1057"/>
    </row>
    <row r="87">
      <c r="C87" s="1035"/>
      <c r="M87" s="1052" t="s">
        <v>3117</v>
      </c>
      <c r="Z87" s="1046">
        <f>Z84-Z85-Z86</f>
        <v>382700</v>
      </c>
      <c r="AA87" s="1046">
        <f>AA85-AA86</f>
        <v>33750</v>
      </c>
      <c r="AB87" s="1057"/>
      <c r="AC87" s="1057"/>
    </row>
    <row r="88">
      <c r="C88" s="1035"/>
      <c r="M88" s="1049" t="s">
        <v>1244</v>
      </c>
      <c r="Z88" s="1047">
        <f>80000</f>
        <v>80000</v>
      </c>
      <c r="AA88" s="1047">
        <v>69700.0</v>
      </c>
      <c r="AB88" s="1057"/>
      <c r="AC88" s="1057"/>
    </row>
    <row r="89">
      <c r="C89" s="1035"/>
      <c r="M89" s="1049" t="s">
        <v>3118</v>
      </c>
      <c r="Z89" s="1048">
        <f t="shared" ref="Z89:AA89" si="45">SUM(Z87:Z88)</f>
        <v>462700</v>
      </c>
      <c r="AA89" s="1048">
        <f t="shared" si="45"/>
        <v>103450</v>
      </c>
      <c r="AB89" s="1057"/>
      <c r="AC89" s="1057"/>
    </row>
    <row r="90">
      <c r="C90" s="1035"/>
      <c r="M90" s="46"/>
      <c r="Q90" s="1057"/>
      <c r="R90" s="1057"/>
      <c r="S90" s="1057"/>
      <c r="T90" s="1057"/>
      <c r="U90" s="1057"/>
    </row>
    <row r="91">
      <c r="C91" s="1035"/>
      <c r="M91" s="1049" t="s">
        <v>1243</v>
      </c>
      <c r="Z91" s="1047">
        <v>572000.0</v>
      </c>
      <c r="AA91" s="1047">
        <v>375000.0</v>
      </c>
    </row>
    <row r="92">
      <c r="C92" s="1035"/>
      <c r="K92" s="846" t="s">
        <v>848</v>
      </c>
      <c r="L92" s="846" t="s">
        <v>3186</v>
      </c>
      <c r="M92" s="1049" t="s">
        <v>3111</v>
      </c>
      <c r="Q92" s="846"/>
      <c r="R92" s="846"/>
      <c r="S92" s="846"/>
      <c r="T92" s="846"/>
      <c r="U92" s="846"/>
      <c r="Z92" s="1048">
        <f t="shared" ref="Z92:AA92" si="46">Z91*10%</f>
        <v>57200</v>
      </c>
      <c r="AA92" s="1048">
        <f t="shared" si="46"/>
        <v>37500</v>
      </c>
    </row>
    <row r="93">
      <c r="C93" s="1035"/>
      <c r="M93" s="1049" t="s">
        <v>3115</v>
      </c>
      <c r="Z93" s="1048">
        <f t="shared" ref="Z93:AA93" si="47">Z92*10%</f>
        <v>5720</v>
      </c>
      <c r="AA93" s="1048">
        <f t="shared" si="47"/>
        <v>3750</v>
      </c>
    </row>
    <row r="94">
      <c r="C94" s="1035"/>
      <c r="M94" s="1052" t="s">
        <v>3117</v>
      </c>
      <c r="Z94" s="1046">
        <f>Z91-Z92-Z93</f>
        <v>509080</v>
      </c>
      <c r="AA94" s="1046">
        <f>AA92-AA93</f>
        <v>33750</v>
      </c>
    </row>
    <row r="95">
      <c r="C95" s="1035"/>
      <c r="M95" s="1049" t="s">
        <v>1244</v>
      </c>
      <c r="Z95" s="1047">
        <f>80000</f>
        <v>80000</v>
      </c>
      <c r="AA95" s="1047">
        <v>69700.0</v>
      </c>
    </row>
    <row r="96">
      <c r="C96" s="1035"/>
      <c r="M96" s="1049" t="s">
        <v>3118</v>
      </c>
      <c r="Z96" s="1048">
        <f t="shared" ref="Z96:AA96" si="48">SUM(Z94:Z95)</f>
        <v>589080</v>
      </c>
      <c r="AA96" s="1048">
        <f t="shared" si="48"/>
        <v>103450</v>
      </c>
    </row>
    <row r="97">
      <c r="C97" s="1035"/>
      <c r="N97" s="1057"/>
      <c r="O97" s="1057"/>
      <c r="P97" s="1057"/>
      <c r="Q97" s="1057"/>
      <c r="R97" s="1057"/>
    </row>
    <row r="98">
      <c r="C98" s="1035"/>
      <c r="N98" s="1057"/>
      <c r="O98" s="1057"/>
      <c r="P98" s="1057"/>
      <c r="Q98" s="1057"/>
      <c r="R98" s="1057"/>
    </row>
    <row r="99">
      <c r="C99" s="1035"/>
      <c r="N99" s="1057"/>
      <c r="O99" s="1057"/>
      <c r="P99" s="1057"/>
      <c r="Q99" s="1057"/>
      <c r="R99" s="1057"/>
    </row>
    <row r="100">
      <c r="C100" s="1035"/>
      <c r="N100" s="1057"/>
      <c r="O100" s="1057"/>
      <c r="P100" s="1057"/>
      <c r="Q100" s="1057"/>
      <c r="R100" s="1057"/>
    </row>
    <row r="101">
      <c r="C101" s="1035"/>
      <c r="N101" s="1057"/>
      <c r="O101" s="1057"/>
      <c r="P101" s="1057"/>
      <c r="Q101" s="1057"/>
      <c r="R101" s="1057"/>
    </row>
    <row r="102">
      <c r="C102" s="1035"/>
      <c r="N102" s="1057"/>
      <c r="O102" s="1057"/>
      <c r="P102" s="1057"/>
      <c r="Q102" s="1057"/>
      <c r="R102" s="1057"/>
    </row>
    <row r="103">
      <c r="C103" s="1035"/>
      <c r="N103" s="1057"/>
      <c r="O103" s="1057"/>
      <c r="P103" s="1057"/>
      <c r="Q103" s="1057"/>
      <c r="R103" s="1057"/>
    </row>
    <row r="104">
      <c r="C104" s="1035"/>
      <c r="N104" s="1057"/>
      <c r="O104" s="1057"/>
      <c r="P104" s="1057"/>
      <c r="Q104" s="1057"/>
      <c r="R104" s="1057"/>
    </row>
    <row r="105">
      <c r="C105" s="1035"/>
      <c r="N105" s="1057"/>
      <c r="O105" s="1057"/>
      <c r="P105" s="1057"/>
      <c r="Q105" s="1057"/>
      <c r="R105" s="1057"/>
    </row>
    <row r="106">
      <c r="C106" s="1035"/>
      <c r="N106" s="1057"/>
      <c r="O106" s="1057"/>
      <c r="P106" s="1057"/>
      <c r="Q106" s="1057"/>
      <c r="R106" s="1057"/>
    </row>
    <row r="107">
      <c r="C107" s="1035"/>
      <c r="N107" s="1057"/>
      <c r="O107" s="1057"/>
      <c r="P107" s="1057"/>
      <c r="Q107" s="1057"/>
      <c r="R107" s="1057"/>
    </row>
    <row r="108">
      <c r="C108" s="1035"/>
      <c r="N108" s="1057"/>
      <c r="O108" s="1057"/>
      <c r="P108" s="1057"/>
      <c r="Q108" s="1057"/>
      <c r="R108" s="1057"/>
    </row>
    <row r="109">
      <c r="C109" s="1035"/>
      <c r="N109" s="1057"/>
      <c r="O109" s="1057"/>
      <c r="P109" s="1057"/>
      <c r="Q109" s="1057"/>
      <c r="R109" s="1057"/>
    </row>
    <row r="110">
      <c r="C110" s="1035"/>
      <c r="N110" s="1057"/>
      <c r="O110" s="1057"/>
      <c r="P110" s="1057"/>
      <c r="Q110" s="1057"/>
      <c r="R110" s="1057"/>
    </row>
    <row r="111">
      <c r="C111" s="1035"/>
      <c r="N111" s="1057"/>
      <c r="O111" s="1057"/>
      <c r="P111" s="1057"/>
      <c r="Q111" s="1057"/>
      <c r="R111" s="1057"/>
    </row>
    <row r="112">
      <c r="C112" s="1035"/>
      <c r="N112" s="1057"/>
      <c r="O112" s="1057"/>
      <c r="P112" s="1057"/>
      <c r="Q112" s="1057"/>
      <c r="R112" s="1057"/>
    </row>
    <row r="113">
      <c r="C113" s="1035"/>
      <c r="N113" s="1057"/>
      <c r="O113" s="1057"/>
      <c r="P113" s="1057"/>
      <c r="Q113" s="1057"/>
      <c r="R113" s="1057"/>
    </row>
    <row r="114">
      <c r="C114" s="1035"/>
      <c r="N114" s="1057"/>
      <c r="O114" s="1057"/>
      <c r="P114" s="1057"/>
      <c r="Q114" s="1057"/>
      <c r="R114" s="1057"/>
    </row>
    <row r="115">
      <c r="C115" s="1035"/>
      <c r="N115" s="1057"/>
      <c r="O115" s="1057"/>
      <c r="P115" s="1057"/>
      <c r="Q115" s="1057"/>
      <c r="R115" s="1057"/>
    </row>
    <row r="116">
      <c r="C116" s="1035"/>
      <c r="N116" s="1057"/>
      <c r="O116" s="1057"/>
      <c r="P116" s="1057"/>
      <c r="Q116" s="1057"/>
      <c r="R116" s="1057"/>
    </row>
    <row r="117">
      <c r="C117" s="1035"/>
      <c r="N117" s="1057"/>
      <c r="O117" s="1057"/>
      <c r="P117" s="1057"/>
      <c r="Q117" s="1057"/>
      <c r="R117" s="1057"/>
    </row>
    <row r="118">
      <c r="C118" s="1035"/>
      <c r="N118" s="1057"/>
      <c r="O118" s="1057"/>
      <c r="P118" s="1057"/>
      <c r="Q118" s="1057"/>
      <c r="R118" s="1057"/>
    </row>
    <row r="119">
      <c r="C119" s="1035"/>
      <c r="N119" s="1057"/>
      <c r="O119" s="1057"/>
      <c r="P119" s="1057"/>
      <c r="Q119" s="1057"/>
      <c r="R119" s="1057"/>
    </row>
    <row r="120">
      <c r="C120" s="1035"/>
      <c r="N120" s="1057"/>
      <c r="O120" s="1057"/>
      <c r="P120" s="1057"/>
      <c r="Q120" s="1057"/>
      <c r="R120" s="1057"/>
    </row>
    <row r="121">
      <c r="C121" s="1035"/>
      <c r="N121" s="1057"/>
      <c r="O121" s="1057"/>
      <c r="P121" s="1057"/>
      <c r="Q121" s="1057"/>
      <c r="R121" s="1057"/>
    </row>
    <row r="122">
      <c r="C122" s="1035"/>
      <c r="N122" s="1057"/>
      <c r="O122" s="1057"/>
      <c r="P122" s="1057"/>
      <c r="Q122" s="1057"/>
      <c r="R122" s="1057"/>
    </row>
    <row r="123">
      <c r="C123" s="1035"/>
      <c r="N123" s="1057"/>
      <c r="O123" s="1057"/>
      <c r="P123" s="1057"/>
      <c r="Q123" s="1057"/>
      <c r="R123" s="1057"/>
    </row>
    <row r="124">
      <c r="C124" s="1035"/>
      <c r="N124" s="1057"/>
      <c r="O124" s="1057"/>
      <c r="P124" s="1057"/>
      <c r="Q124" s="1057"/>
      <c r="R124" s="1057"/>
    </row>
    <row r="125">
      <c r="C125" s="1035"/>
      <c r="N125" s="1057"/>
      <c r="O125" s="1057"/>
      <c r="P125" s="1057"/>
      <c r="Q125" s="1057"/>
      <c r="R125" s="1057"/>
    </row>
    <row r="126">
      <c r="C126" s="1035"/>
      <c r="N126" s="1057"/>
      <c r="O126" s="1057"/>
      <c r="P126" s="1057"/>
      <c r="Q126" s="1057"/>
      <c r="R126" s="1057"/>
    </row>
    <row r="127">
      <c r="C127" s="1035"/>
      <c r="N127" s="1057"/>
      <c r="O127" s="1057"/>
      <c r="P127" s="1057"/>
      <c r="Q127" s="1057"/>
      <c r="R127" s="1057"/>
    </row>
    <row r="128">
      <c r="C128" s="1035"/>
      <c r="N128" s="1057"/>
      <c r="O128" s="1057"/>
      <c r="P128" s="1057"/>
      <c r="Q128" s="1057"/>
      <c r="R128" s="1057"/>
    </row>
    <row r="129">
      <c r="C129" s="1035"/>
      <c r="N129" s="1057"/>
      <c r="O129" s="1057"/>
      <c r="P129" s="1057"/>
      <c r="Q129" s="1057"/>
      <c r="R129" s="1057"/>
    </row>
    <row r="130">
      <c r="C130" s="1035"/>
      <c r="N130" s="1057"/>
      <c r="O130" s="1057"/>
      <c r="P130" s="1057"/>
      <c r="Q130" s="1057"/>
      <c r="R130" s="1057"/>
    </row>
    <row r="131">
      <c r="C131" s="1035"/>
      <c r="N131" s="1057"/>
      <c r="O131" s="1057"/>
      <c r="P131" s="1057"/>
      <c r="Q131" s="1057"/>
      <c r="R131" s="1057"/>
    </row>
    <row r="132">
      <c r="C132" s="1035"/>
      <c r="N132" s="1057"/>
      <c r="O132" s="1057"/>
      <c r="P132" s="1057"/>
      <c r="Q132" s="1057"/>
      <c r="R132" s="1057"/>
    </row>
    <row r="133">
      <c r="C133" s="1035"/>
      <c r="N133" s="1057"/>
      <c r="O133" s="1057"/>
      <c r="P133" s="1057"/>
      <c r="Q133" s="1057"/>
      <c r="R133" s="1057"/>
    </row>
    <row r="134">
      <c r="C134" s="1035"/>
      <c r="N134" s="1057"/>
      <c r="O134" s="1057"/>
      <c r="P134" s="1057"/>
      <c r="Q134" s="1057"/>
      <c r="R134" s="1057"/>
    </row>
    <row r="135">
      <c r="C135" s="1035"/>
      <c r="N135" s="1057"/>
      <c r="O135" s="1057"/>
      <c r="P135" s="1057"/>
      <c r="Q135" s="1057"/>
      <c r="R135" s="1057"/>
    </row>
    <row r="136">
      <c r="C136" s="1035"/>
      <c r="N136" s="1057"/>
      <c r="O136" s="1057"/>
      <c r="P136" s="1057"/>
      <c r="Q136" s="1057"/>
      <c r="R136" s="1057"/>
    </row>
    <row r="137">
      <c r="C137" s="1035"/>
      <c r="N137" s="1057"/>
      <c r="O137" s="1057"/>
      <c r="P137" s="1057"/>
      <c r="Q137" s="1057"/>
      <c r="R137" s="1057"/>
    </row>
    <row r="138">
      <c r="C138" s="1035"/>
      <c r="N138" s="1057"/>
      <c r="O138" s="1057"/>
      <c r="P138" s="1057"/>
      <c r="Q138" s="1057"/>
      <c r="R138" s="1057"/>
    </row>
    <row r="139">
      <c r="C139" s="1035"/>
      <c r="N139" s="1057"/>
      <c r="O139" s="1057"/>
      <c r="P139" s="1057"/>
      <c r="Q139" s="1057"/>
      <c r="R139" s="1057"/>
    </row>
    <row r="140">
      <c r="C140" s="1035"/>
      <c r="N140" s="1057"/>
      <c r="O140" s="1057"/>
      <c r="P140" s="1057"/>
      <c r="Q140" s="1057"/>
      <c r="R140" s="1057"/>
    </row>
    <row r="141">
      <c r="C141" s="1035"/>
      <c r="N141" s="1057"/>
      <c r="O141" s="1057"/>
      <c r="P141" s="1057"/>
      <c r="Q141" s="1057"/>
      <c r="R141" s="1057"/>
    </row>
    <row r="142">
      <c r="C142" s="1035"/>
      <c r="N142" s="1057"/>
      <c r="O142" s="1057"/>
      <c r="P142" s="1057"/>
      <c r="Q142" s="1057"/>
      <c r="R142" s="1057"/>
    </row>
    <row r="143">
      <c r="C143" s="1035"/>
      <c r="N143" s="1057"/>
      <c r="O143" s="1057"/>
      <c r="P143" s="1057"/>
      <c r="Q143" s="1057"/>
      <c r="R143" s="1057"/>
    </row>
    <row r="144">
      <c r="C144" s="1035"/>
      <c r="N144" s="1057"/>
      <c r="O144" s="1057"/>
      <c r="P144" s="1057"/>
      <c r="Q144" s="1057"/>
      <c r="R144" s="1057"/>
    </row>
    <row r="145">
      <c r="C145" s="1035"/>
      <c r="N145" s="1057"/>
      <c r="O145" s="1057"/>
      <c r="P145" s="1057"/>
      <c r="Q145" s="1057"/>
      <c r="R145" s="1057"/>
    </row>
    <row r="146">
      <c r="C146" s="1035"/>
      <c r="N146" s="1057"/>
      <c r="O146" s="1057"/>
      <c r="P146" s="1057"/>
      <c r="Q146" s="1057"/>
      <c r="R146" s="1057"/>
    </row>
    <row r="147">
      <c r="C147" s="1035"/>
      <c r="N147" s="1057"/>
      <c r="O147" s="1057"/>
      <c r="P147" s="1057"/>
      <c r="Q147" s="1057"/>
      <c r="R147" s="1057"/>
    </row>
    <row r="148">
      <c r="C148" s="1035"/>
      <c r="N148" s="1057"/>
      <c r="O148" s="1057"/>
      <c r="P148" s="1057"/>
      <c r="Q148" s="1057"/>
      <c r="R148" s="1057"/>
    </row>
    <row r="149">
      <c r="C149" s="1035"/>
      <c r="N149" s="1057"/>
      <c r="O149" s="1057"/>
      <c r="P149" s="1057"/>
      <c r="Q149" s="1057"/>
      <c r="R149" s="1057"/>
    </row>
    <row r="150">
      <c r="C150" s="1035"/>
      <c r="N150" s="1057"/>
      <c r="O150" s="1057"/>
      <c r="P150" s="1057"/>
      <c r="Q150" s="1057"/>
      <c r="R150" s="1057"/>
    </row>
    <row r="151">
      <c r="C151" s="1035"/>
      <c r="N151" s="1057"/>
      <c r="O151" s="1057"/>
      <c r="P151" s="1057"/>
      <c r="Q151" s="1057"/>
      <c r="R151" s="1057"/>
    </row>
    <row r="152">
      <c r="C152" s="1035"/>
      <c r="N152" s="1057"/>
      <c r="O152" s="1057"/>
      <c r="P152" s="1057"/>
      <c r="Q152" s="1057"/>
      <c r="R152" s="1057"/>
    </row>
    <row r="153">
      <c r="C153" s="1035"/>
      <c r="N153" s="1057"/>
      <c r="O153" s="1057"/>
      <c r="P153" s="1057"/>
      <c r="Q153" s="1057"/>
      <c r="R153" s="1057"/>
    </row>
    <row r="154">
      <c r="C154" s="1035"/>
      <c r="N154" s="1057"/>
      <c r="O154" s="1057"/>
      <c r="P154" s="1057"/>
      <c r="Q154" s="1057"/>
      <c r="R154" s="1057"/>
    </row>
    <row r="155">
      <c r="C155" s="1035"/>
      <c r="N155" s="1057"/>
      <c r="O155" s="1057"/>
      <c r="P155" s="1057"/>
      <c r="Q155" s="1057"/>
      <c r="R155" s="1057"/>
    </row>
    <row r="156">
      <c r="C156" s="1035"/>
      <c r="N156" s="1057"/>
      <c r="O156" s="1057"/>
      <c r="P156" s="1057"/>
      <c r="Q156" s="1057"/>
      <c r="R156" s="1057"/>
    </row>
    <row r="157">
      <c r="C157" s="1035"/>
      <c r="N157" s="1057"/>
      <c r="O157" s="1057"/>
      <c r="P157" s="1057"/>
      <c r="Q157" s="1057"/>
      <c r="R157" s="1057"/>
    </row>
    <row r="158">
      <c r="C158" s="1035"/>
      <c r="N158" s="1057"/>
      <c r="O158" s="1057"/>
      <c r="P158" s="1057"/>
      <c r="Q158" s="1057"/>
      <c r="R158" s="1057"/>
    </row>
    <row r="159">
      <c r="C159" s="1035"/>
      <c r="N159" s="1057"/>
      <c r="O159" s="1057"/>
      <c r="P159" s="1057"/>
      <c r="Q159" s="1057"/>
      <c r="R159" s="1057"/>
    </row>
    <row r="160">
      <c r="C160" s="1035"/>
      <c r="N160" s="1057"/>
      <c r="O160" s="1057"/>
      <c r="P160" s="1057"/>
      <c r="Q160" s="1057"/>
      <c r="R160" s="1057"/>
    </row>
    <row r="161">
      <c r="C161" s="1035"/>
      <c r="N161" s="1057"/>
      <c r="O161" s="1057"/>
      <c r="P161" s="1057"/>
      <c r="Q161" s="1057"/>
      <c r="R161" s="1057"/>
    </row>
    <row r="162">
      <c r="C162" s="1035"/>
      <c r="N162" s="1057"/>
      <c r="O162" s="1057"/>
      <c r="P162" s="1057"/>
      <c r="Q162" s="1057"/>
      <c r="R162" s="1057"/>
    </row>
    <row r="163">
      <c r="C163" s="1035"/>
      <c r="N163" s="1057"/>
      <c r="O163" s="1057"/>
      <c r="P163" s="1057"/>
      <c r="Q163" s="1057"/>
      <c r="R163" s="1057"/>
    </row>
    <row r="164">
      <c r="C164" s="1035"/>
      <c r="N164" s="1057"/>
      <c r="O164" s="1057"/>
      <c r="P164" s="1057"/>
      <c r="Q164" s="1057"/>
      <c r="R164" s="1057"/>
    </row>
    <row r="165">
      <c r="C165" s="1035"/>
      <c r="N165" s="1057"/>
      <c r="O165" s="1057"/>
      <c r="P165" s="1057"/>
      <c r="Q165" s="1057"/>
      <c r="R165" s="1057"/>
    </row>
    <row r="166">
      <c r="C166" s="1035"/>
      <c r="N166" s="1057"/>
      <c r="O166" s="1057"/>
      <c r="P166" s="1057"/>
      <c r="Q166" s="1057"/>
      <c r="R166" s="1057"/>
    </row>
    <row r="167">
      <c r="C167" s="1035"/>
      <c r="N167" s="1057"/>
      <c r="O167" s="1057"/>
      <c r="P167" s="1057"/>
      <c r="Q167" s="1057"/>
      <c r="R167" s="1057"/>
    </row>
    <row r="168">
      <c r="C168" s="1035"/>
      <c r="N168" s="1057"/>
      <c r="O168" s="1057"/>
      <c r="P168" s="1057"/>
      <c r="Q168" s="1057"/>
      <c r="R168" s="1057"/>
    </row>
    <row r="169">
      <c r="C169" s="1035"/>
      <c r="N169" s="1057"/>
      <c r="O169" s="1057"/>
      <c r="P169" s="1057"/>
      <c r="Q169" s="1057"/>
      <c r="R169" s="1057"/>
    </row>
    <row r="170">
      <c r="C170" s="1035"/>
      <c r="N170" s="1057"/>
      <c r="O170" s="1057"/>
      <c r="P170" s="1057"/>
      <c r="Q170" s="1057"/>
      <c r="R170" s="1057"/>
    </row>
    <row r="171">
      <c r="C171" s="1035"/>
      <c r="N171" s="1057"/>
      <c r="O171" s="1057"/>
      <c r="P171" s="1057"/>
      <c r="Q171" s="1057"/>
      <c r="R171" s="1057"/>
    </row>
    <row r="172">
      <c r="C172" s="1035"/>
      <c r="N172" s="1057"/>
      <c r="O172" s="1057"/>
      <c r="P172" s="1057"/>
      <c r="Q172" s="1057"/>
      <c r="R172" s="1057"/>
    </row>
    <row r="173">
      <c r="C173" s="1035"/>
      <c r="N173" s="1057"/>
      <c r="O173" s="1057"/>
      <c r="P173" s="1057"/>
      <c r="Q173" s="1057"/>
      <c r="R173" s="1057"/>
    </row>
    <row r="174">
      <c r="C174" s="1035"/>
      <c r="N174" s="1057"/>
      <c r="O174" s="1057"/>
      <c r="P174" s="1057"/>
      <c r="Q174" s="1057"/>
      <c r="R174" s="1057"/>
    </row>
    <row r="175">
      <c r="C175" s="1035"/>
      <c r="N175" s="1057"/>
      <c r="O175" s="1057"/>
      <c r="P175" s="1057"/>
      <c r="Q175" s="1057"/>
      <c r="R175" s="1057"/>
    </row>
    <row r="176">
      <c r="C176" s="1035"/>
      <c r="N176" s="1057"/>
      <c r="O176" s="1057"/>
      <c r="P176" s="1057"/>
      <c r="Q176" s="1057"/>
      <c r="R176" s="1057"/>
    </row>
    <row r="177">
      <c r="C177" s="1035"/>
      <c r="N177" s="1057"/>
      <c r="O177" s="1057"/>
      <c r="P177" s="1057"/>
      <c r="Q177" s="1057"/>
      <c r="R177" s="1057"/>
    </row>
    <row r="178">
      <c r="C178" s="1035"/>
      <c r="N178" s="1057"/>
      <c r="O178" s="1057"/>
      <c r="P178" s="1057"/>
      <c r="Q178" s="1057"/>
      <c r="R178" s="1057"/>
    </row>
    <row r="179">
      <c r="C179" s="1035"/>
      <c r="N179" s="1057"/>
      <c r="O179" s="1057"/>
      <c r="P179" s="1057"/>
      <c r="Q179" s="1057"/>
      <c r="R179" s="1057"/>
    </row>
    <row r="180">
      <c r="C180" s="1035"/>
      <c r="N180" s="1057"/>
      <c r="O180" s="1057"/>
      <c r="P180" s="1057"/>
      <c r="Q180" s="1057"/>
      <c r="R180" s="1057"/>
    </row>
    <row r="181">
      <c r="C181" s="1035"/>
      <c r="N181" s="1057"/>
      <c r="O181" s="1057"/>
      <c r="P181" s="1057"/>
      <c r="Q181" s="1057"/>
      <c r="R181" s="1057"/>
    </row>
    <row r="182">
      <c r="C182" s="1035"/>
      <c r="N182" s="1057"/>
      <c r="O182" s="1057"/>
      <c r="P182" s="1057"/>
      <c r="Q182" s="1057"/>
      <c r="R182" s="1057"/>
    </row>
    <row r="183">
      <c r="C183" s="1035"/>
      <c r="N183" s="1057"/>
      <c r="O183" s="1057"/>
      <c r="P183" s="1057"/>
      <c r="Q183" s="1057"/>
      <c r="R183" s="1057"/>
    </row>
    <row r="184">
      <c r="C184" s="1035"/>
      <c r="N184" s="1057"/>
      <c r="O184" s="1057"/>
      <c r="P184" s="1057"/>
      <c r="Q184" s="1057"/>
      <c r="R184" s="1057"/>
    </row>
    <row r="185">
      <c r="C185" s="1035"/>
      <c r="N185" s="1057"/>
      <c r="O185" s="1057"/>
      <c r="P185" s="1057"/>
      <c r="Q185" s="1057"/>
      <c r="R185" s="1057"/>
    </row>
    <row r="186">
      <c r="C186" s="1035"/>
      <c r="N186" s="1057"/>
      <c r="O186" s="1057"/>
      <c r="P186" s="1057"/>
      <c r="Q186" s="1057"/>
      <c r="R186" s="1057"/>
    </row>
    <row r="187">
      <c r="C187" s="1035"/>
      <c r="N187" s="1057"/>
      <c r="O187" s="1057"/>
      <c r="P187" s="1057"/>
      <c r="Q187" s="1057"/>
      <c r="R187" s="1057"/>
    </row>
    <row r="188">
      <c r="C188" s="1035"/>
      <c r="N188" s="1057"/>
      <c r="O188" s="1057"/>
      <c r="P188" s="1057"/>
      <c r="Q188" s="1057"/>
      <c r="R188" s="1057"/>
    </row>
    <row r="189">
      <c r="C189" s="1035"/>
      <c r="N189" s="1057"/>
      <c r="O189" s="1057"/>
      <c r="P189" s="1057"/>
      <c r="Q189" s="1057"/>
      <c r="R189" s="1057"/>
    </row>
    <row r="190">
      <c r="C190" s="1035"/>
      <c r="N190" s="1057"/>
      <c r="O190" s="1057"/>
      <c r="P190" s="1057"/>
      <c r="Q190" s="1057"/>
      <c r="R190" s="1057"/>
    </row>
    <row r="191">
      <c r="C191" s="1035"/>
      <c r="N191" s="1057"/>
      <c r="O191" s="1057"/>
      <c r="P191" s="1057"/>
      <c r="Q191" s="1057"/>
      <c r="R191" s="1057"/>
    </row>
    <row r="192">
      <c r="C192" s="1035"/>
      <c r="N192" s="1057"/>
      <c r="O192" s="1057"/>
      <c r="P192" s="1057"/>
      <c r="Q192" s="1057"/>
      <c r="R192" s="1057"/>
    </row>
    <row r="193">
      <c r="C193" s="1035"/>
      <c r="N193" s="1057"/>
      <c r="O193" s="1057"/>
      <c r="P193" s="1057"/>
      <c r="Q193" s="1057"/>
      <c r="R193" s="1057"/>
    </row>
    <row r="194">
      <c r="C194" s="1035"/>
      <c r="N194" s="1057"/>
      <c r="O194" s="1057"/>
      <c r="P194" s="1057"/>
      <c r="Q194" s="1057"/>
      <c r="R194" s="1057"/>
    </row>
    <row r="195">
      <c r="C195" s="1035"/>
      <c r="N195" s="1057"/>
      <c r="O195" s="1057"/>
      <c r="P195" s="1057"/>
      <c r="Q195" s="1057"/>
      <c r="R195" s="1057"/>
    </row>
    <row r="196">
      <c r="C196" s="1035"/>
      <c r="N196" s="1057"/>
      <c r="O196" s="1057"/>
      <c r="P196" s="1057"/>
      <c r="Q196" s="1057"/>
      <c r="R196" s="1057"/>
    </row>
    <row r="197">
      <c r="C197" s="1035"/>
      <c r="N197" s="1057"/>
      <c r="O197" s="1057"/>
      <c r="P197" s="1057"/>
      <c r="Q197" s="1057"/>
      <c r="R197" s="1057"/>
    </row>
    <row r="198">
      <c r="C198" s="1035"/>
      <c r="N198" s="1057"/>
      <c r="O198" s="1057"/>
      <c r="P198" s="1057"/>
      <c r="Q198" s="1057"/>
      <c r="R198" s="1057"/>
    </row>
    <row r="199">
      <c r="C199" s="1035"/>
      <c r="N199" s="1057"/>
      <c r="O199" s="1057"/>
      <c r="P199" s="1057"/>
      <c r="Q199" s="1057"/>
      <c r="R199" s="1057"/>
    </row>
    <row r="200">
      <c r="C200" s="1035"/>
      <c r="N200" s="1057"/>
      <c r="O200" s="1057"/>
      <c r="P200" s="1057"/>
      <c r="Q200" s="1057"/>
      <c r="R200" s="1057"/>
    </row>
    <row r="201">
      <c r="C201" s="1035"/>
      <c r="N201" s="1057"/>
      <c r="O201" s="1057"/>
      <c r="P201" s="1057"/>
      <c r="Q201" s="1057"/>
      <c r="R201" s="1057"/>
    </row>
    <row r="202">
      <c r="C202" s="1035"/>
      <c r="N202" s="1057"/>
      <c r="O202" s="1057"/>
      <c r="P202" s="1057"/>
      <c r="Q202" s="1057"/>
      <c r="R202" s="1057"/>
    </row>
    <row r="203">
      <c r="C203" s="1035"/>
      <c r="N203" s="1057"/>
      <c r="O203" s="1057"/>
      <c r="P203" s="1057"/>
      <c r="Q203" s="1057"/>
      <c r="R203" s="1057"/>
    </row>
    <row r="204">
      <c r="C204" s="1035"/>
      <c r="N204" s="1057"/>
      <c r="O204" s="1057"/>
      <c r="P204" s="1057"/>
      <c r="Q204" s="1057"/>
      <c r="R204" s="1057"/>
    </row>
    <row r="205">
      <c r="C205" s="1035"/>
      <c r="N205" s="1057"/>
      <c r="O205" s="1057"/>
      <c r="P205" s="1057"/>
      <c r="Q205" s="1057"/>
      <c r="R205" s="1057"/>
    </row>
    <row r="206">
      <c r="C206" s="1035"/>
      <c r="N206" s="1057"/>
      <c r="O206" s="1057"/>
      <c r="P206" s="1057"/>
      <c r="Q206" s="1057"/>
      <c r="R206" s="1057"/>
    </row>
    <row r="207">
      <c r="C207" s="1035"/>
      <c r="N207" s="1057"/>
      <c r="O207" s="1057"/>
      <c r="P207" s="1057"/>
      <c r="Q207" s="1057"/>
      <c r="R207" s="1057"/>
    </row>
    <row r="208">
      <c r="C208" s="1035"/>
      <c r="N208" s="1057"/>
      <c r="O208" s="1057"/>
      <c r="P208" s="1057"/>
      <c r="Q208" s="1057"/>
      <c r="R208" s="1057"/>
    </row>
    <row r="209">
      <c r="C209" s="1035"/>
      <c r="N209" s="1057"/>
      <c r="O209" s="1057"/>
      <c r="P209" s="1057"/>
      <c r="Q209" s="1057"/>
      <c r="R209" s="1057"/>
    </row>
    <row r="210">
      <c r="C210" s="1035"/>
      <c r="N210" s="1057"/>
      <c r="O210" s="1057"/>
      <c r="P210" s="1057"/>
      <c r="Q210" s="1057"/>
      <c r="R210" s="1057"/>
    </row>
    <row r="211">
      <c r="C211" s="1035"/>
      <c r="N211" s="1057"/>
      <c r="O211" s="1057"/>
      <c r="P211" s="1057"/>
      <c r="Q211" s="1057"/>
      <c r="R211" s="1057"/>
    </row>
    <row r="212">
      <c r="C212" s="1035"/>
      <c r="N212" s="1057"/>
      <c r="O212" s="1057"/>
      <c r="P212" s="1057"/>
      <c r="Q212" s="1057"/>
      <c r="R212" s="1057"/>
    </row>
    <row r="213">
      <c r="C213" s="1035"/>
      <c r="N213" s="1057"/>
      <c r="O213" s="1057"/>
      <c r="P213" s="1057"/>
      <c r="Q213" s="1057"/>
      <c r="R213" s="1057"/>
    </row>
    <row r="214">
      <c r="C214" s="1035"/>
      <c r="N214" s="1057"/>
      <c r="O214" s="1057"/>
      <c r="P214" s="1057"/>
      <c r="Q214" s="1057"/>
      <c r="R214" s="1057"/>
    </row>
    <row r="215">
      <c r="C215" s="1035"/>
      <c r="N215" s="1057"/>
      <c r="O215" s="1057"/>
      <c r="P215" s="1057"/>
      <c r="Q215" s="1057"/>
      <c r="R215" s="1057"/>
    </row>
    <row r="216">
      <c r="C216" s="1035"/>
      <c r="N216" s="1057"/>
      <c r="O216" s="1057"/>
      <c r="P216" s="1057"/>
      <c r="Q216" s="1057"/>
      <c r="R216" s="1057"/>
    </row>
    <row r="217">
      <c r="C217" s="1035"/>
      <c r="N217" s="1057"/>
      <c r="O217" s="1057"/>
      <c r="P217" s="1057"/>
      <c r="Q217" s="1057"/>
      <c r="R217" s="1057"/>
    </row>
    <row r="218">
      <c r="C218" s="1035"/>
      <c r="N218" s="1057"/>
      <c r="O218" s="1057"/>
      <c r="P218" s="1057"/>
      <c r="Q218" s="1057"/>
      <c r="R218" s="1057"/>
    </row>
    <row r="219">
      <c r="C219" s="1035"/>
      <c r="N219" s="1057"/>
      <c r="O219" s="1057"/>
      <c r="P219" s="1057"/>
      <c r="Q219" s="1057"/>
      <c r="R219" s="1057"/>
    </row>
    <row r="220">
      <c r="C220" s="1035"/>
      <c r="N220" s="1057"/>
      <c r="O220" s="1057"/>
      <c r="P220" s="1057"/>
      <c r="Q220" s="1057"/>
      <c r="R220" s="1057"/>
    </row>
    <row r="221">
      <c r="C221" s="1035"/>
      <c r="N221" s="1057"/>
      <c r="O221" s="1057"/>
      <c r="P221" s="1057"/>
      <c r="Q221" s="1057"/>
      <c r="R221" s="1057"/>
    </row>
    <row r="222">
      <c r="C222" s="1035"/>
      <c r="N222" s="1057"/>
      <c r="O222" s="1057"/>
      <c r="P222" s="1057"/>
      <c r="Q222" s="1057"/>
      <c r="R222" s="1057"/>
    </row>
    <row r="223">
      <c r="C223" s="1035"/>
      <c r="N223" s="1057"/>
      <c r="O223" s="1057"/>
      <c r="P223" s="1057"/>
      <c r="Q223" s="1057"/>
      <c r="R223" s="1057"/>
    </row>
    <row r="224">
      <c r="C224" s="1035"/>
      <c r="N224" s="1057"/>
      <c r="O224" s="1057"/>
      <c r="P224" s="1057"/>
      <c r="Q224" s="1057"/>
      <c r="R224" s="1057"/>
    </row>
    <row r="225">
      <c r="C225" s="1035"/>
      <c r="N225" s="1057"/>
      <c r="O225" s="1057"/>
      <c r="P225" s="1057"/>
      <c r="Q225" s="1057"/>
      <c r="R225" s="1057"/>
    </row>
    <row r="226">
      <c r="C226" s="1035"/>
      <c r="N226" s="1057"/>
      <c r="O226" s="1057"/>
      <c r="P226" s="1057"/>
      <c r="Q226" s="1057"/>
      <c r="R226" s="1057"/>
    </row>
    <row r="227">
      <c r="C227" s="1035"/>
      <c r="N227" s="1057"/>
      <c r="O227" s="1057"/>
      <c r="P227" s="1057"/>
      <c r="Q227" s="1057"/>
      <c r="R227" s="1057"/>
    </row>
    <row r="228">
      <c r="C228" s="1035"/>
      <c r="N228" s="1057"/>
      <c r="O228" s="1057"/>
      <c r="P228" s="1057"/>
      <c r="Q228" s="1057"/>
      <c r="R228" s="1057"/>
    </row>
    <row r="229">
      <c r="C229" s="1035"/>
      <c r="N229" s="1057"/>
      <c r="O229" s="1057"/>
      <c r="P229" s="1057"/>
      <c r="Q229" s="1057"/>
      <c r="R229" s="1057"/>
    </row>
    <row r="230">
      <c r="C230" s="1035"/>
      <c r="N230" s="1057"/>
      <c r="O230" s="1057"/>
      <c r="P230" s="1057"/>
      <c r="Q230" s="1057"/>
      <c r="R230" s="1057"/>
    </row>
    <row r="231">
      <c r="C231" s="1035"/>
      <c r="N231" s="1057"/>
      <c r="O231" s="1057"/>
      <c r="P231" s="1057"/>
      <c r="Q231" s="1057"/>
      <c r="R231" s="1057"/>
    </row>
    <row r="232">
      <c r="C232" s="1035"/>
      <c r="N232" s="1057"/>
      <c r="O232" s="1057"/>
      <c r="P232" s="1057"/>
      <c r="Q232" s="1057"/>
      <c r="R232" s="1057"/>
    </row>
    <row r="233">
      <c r="C233" s="1035"/>
      <c r="N233" s="1057"/>
      <c r="O233" s="1057"/>
      <c r="P233" s="1057"/>
      <c r="Q233" s="1057"/>
      <c r="R233" s="1057"/>
    </row>
    <row r="234">
      <c r="C234" s="1035"/>
      <c r="N234" s="1057"/>
      <c r="O234" s="1057"/>
      <c r="P234" s="1057"/>
      <c r="Q234" s="1057"/>
      <c r="R234" s="1057"/>
    </row>
    <row r="235">
      <c r="C235" s="1035"/>
      <c r="N235" s="1057"/>
      <c r="O235" s="1057"/>
      <c r="P235" s="1057"/>
      <c r="Q235" s="1057"/>
      <c r="R235" s="1057"/>
    </row>
    <row r="236">
      <c r="C236" s="1035"/>
      <c r="N236" s="1057"/>
      <c r="O236" s="1057"/>
      <c r="P236" s="1057"/>
      <c r="Q236" s="1057"/>
      <c r="R236" s="1057"/>
    </row>
    <row r="237">
      <c r="C237" s="1035"/>
      <c r="N237" s="1057"/>
      <c r="O237" s="1057"/>
      <c r="P237" s="1057"/>
      <c r="Q237" s="1057"/>
      <c r="R237" s="1057"/>
    </row>
    <row r="238">
      <c r="C238" s="1035"/>
      <c r="N238" s="1057"/>
      <c r="O238" s="1057"/>
      <c r="P238" s="1057"/>
      <c r="Q238" s="1057"/>
      <c r="R238" s="1057"/>
    </row>
    <row r="239">
      <c r="C239" s="1035"/>
      <c r="N239" s="1057"/>
      <c r="O239" s="1057"/>
      <c r="P239" s="1057"/>
      <c r="Q239" s="1057"/>
      <c r="R239" s="1057"/>
    </row>
    <row r="240">
      <c r="C240" s="1035"/>
      <c r="N240" s="1057"/>
      <c r="O240" s="1057"/>
      <c r="P240" s="1057"/>
      <c r="Q240" s="1057"/>
      <c r="R240" s="1057"/>
    </row>
    <row r="241">
      <c r="C241" s="1035"/>
      <c r="N241" s="1057"/>
      <c r="O241" s="1057"/>
      <c r="P241" s="1057"/>
      <c r="Q241" s="1057"/>
      <c r="R241" s="1057"/>
    </row>
    <row r="242">
      <c r="C242" s="1035"/>
      <c r="N242" s="1057"/>
      <c r="O242" s="1057"/>
      <c r="P242" s="1057"/>
      <c r="Q242" s="1057"/>
      <c r="R242" s="1057"/>
    </row>
    <row r="243">
      <c r="C243" s="1035"/>
      <c r="N243" s="1057"/>
      <c r="O243" s="1057"/>
      <c r="P243" s="1057"/>
      <c r="Q243" s="1057"/>
      <c r="R243" s="1057"/>
    </row>
    <row r="244">
      <c r="C244" s="1035"/>
      <c r="N244" s="1057"/>
      <c r="O244" s="1057"/>
      <c r="P244" s="1057"/>
      <c r="Q244" s="1057"/>
      <c r="R244" s="1057"/>
    </row>
    <row r="245">
      <c r="C245" s="1035"/>
      <c r="N245" s="1057"/>
      <c r="O245" s="1057"/>
      <c r="P245" s="1057"/>
      <c r="Q245" s="1057"/>
      <c r="R245" s="1057"/>
    </row>
    <row r="246">
      <c r="C246" s="1035"/>
      <c r="N246" s="1057"/>
      <c r="O246" s="1057"/>
      <c r="P246" s="1057"/>
      <c r="Q246" s="1057"/>
      <c r="R246" s="1057"/>
    </row>
    <row r="247">
      <c r="C247" s="1035"/>
      <c r="N247" s="1057"/>
      <c r="O247" s="1057"/>
      <c r="P247" s="1057"/>
      <c r="Q247" s="1057"/>
      <c r="R247" s="1057"/>
    </row>
    <row r="248">
      <c r="C248" s="1035"/>
      <c r="N248" s="1057"/>
      <c r="O248" s="1057"/>
      <c r="P248" s="1057"/>
      <c r="Q248" s="1057"/>
      <c r="R248" s="1057"/>
    </row>
    <row r="249">
      <c r="C249" s="1035"/>
      <c r="N249" s="1057"/>
      <c r="O249" s="1057"/>
      <c r="P249" s="1057"/>
      <c r="Q249" s="1057"/>
      <c r="R249" s="1057"/>
    </row>
    <row r="250">
      <c r="C250" s="1035"/>
      <c r="N250" s="1057"/>
      <c r="O250" s="1057"/>
      <c r="P250" s="1057"/>
      <c r="Q250" s="1057"/>
      <c r="R250" s="1057"/>
    </row>
    <row r="251">
      <c r="C251" s="1035"/>
      <c r="N251" s="1057"/>
      <c r="O251" s="1057"/>
      <c r="P251" s="1057"/>
      <c r="Q251" s="1057"/>
      <c r="R251" s="1057"/>
    </row>
    <row r="252">
      <c r="C252" s="1035"/>
      <c r="N252" s="1057"/>
      <c r="O252" s="1057"/>
      <c r="P252" s="1057"/>
      <c r="Q252" s="1057"/>
      <c r="R252" s="1057"/>
    </row>
    <row r="253">
      <c r="C253" s="1035"/>
      <c r="N253" s="1057"/>
      <c r="O253" s="1057"/>
      <c r="P253" s="1057"/>
      <c r="Q253" s="1057"/>
      <c r="R253" s="1057"/>
    </row>
    <row r="254">
      <c r="C254" s="1035"/>
      <c r="N254" s="1057"/>
      <c r="O254" s="1057"/>
      <c r="P254" s="1057"/>
      <c r="Q254" s="1057"/>
      <c r="R254" s="1057"/>
    </row>
    <row r="255">
      <c r="C255" s="1035"/>
      <c r="N255" s="1057"/>
      <c r="O255" s="1057"/>
      <c r="P255" s="1057"/>
      <c r="Q255" s="1057"/>
      <c r="R255" s="1057"/>
    </row>
    <row r="256">
      <c r="C256" s="1035"/>
      <c r="N256" s="1057"/>
      <c r="O256" s="1057"/>
      <c r="P256" s="1057"/>
      <c r="Q256" s="1057"/>
      <c r="R256" s="1057"/>
    </row>
    <row r="257">
      <c r="C257" s="1035"/>
      <c r="N257" s="1057"/>
      <c r="O257" s="1057"/>
      <c r="P257" s="1057"/>
      <c r="Q257" s="1057"/>
      <c r="R257" s="1057"/>
    </row>
    <row r="258">
      <c r="C258" s="1035"/>
      <c r="N258" s="1057"/>
      <c r="O258" s="1057"/>
      <c r="P258" s="1057"/>
      <c r="Q258" s="1057"/>
      <c r="R258" s="1057"/>
    </row>
    <row r="259">
      <c r="C259" s="1035"/>
      <c r="N259" s="1057"/>
      <c r="O259" s="1057"/>
      <c r="P259" s="1057"/>
      <c r="Q259" s="1057"/>
      <c r="R259" s="1057"/>
    </row>
    <row r="260">
      <c r="C260" s="1035"/>
      <c r="N260" s="1057"/>
      <c r="O260" s="1057"/>
      <c r="P260" s="1057"/>
      <c r="Q260" s="1057"/>
      <c r="R260" s="1057"/>
    </row>
    <row r="261">
      <c r="C261" s="1035"/>
      <c r="N261" s="1057"/>
      <c r="O261" s="1057"/>
      <c r="P261" s="1057"/>
      <c r="Q261" s="1057"/>
      <c r="R261" s="1057"/>
    </row>
    <row r="262">
      <c r="C262" s="1035"/>
      <c r="N262" s="1057"/>
      <c r="O262" s="1057"/>
      <c r="P262" s="1057"/>
      <c r="Q262" s="1057"/>
      <c r="R262" s="1057"/>
    </row>
    <row r="263">
      <c r="C263" s="1035"/>
      <c r="N263" s="1057"/>
      <c r="O263" s="1057"/>
      <c r="P263" s="1057"/>
      <c r="Q263" s="1057"/>
      <c r="R263" s="1057"/>
    </row>
    <row r="264">
      <c r="C264" s="1035"/>
      <c r="N264" s="1057"/>
      <c r="O264" s="1057"/>
      <c r="P264" s="1057"/>
      <c r="Q264" s="1057"/>
      <c r="R264" s="1057"/>
    </row>
    <row r="265">
      <c r="C265" s="1035"/>
      <c r="N265" s="1057"/>
      <c r="O265" s="1057"/>
      <c r="P265" s="1057"/>
      <c r="Q265" s="1057"/>
      <c r="R265" s="1057"/>
    </row>
    <row r="266">
      <c r="C266" s="1035"/>
      <c r="N266" s="1057"/>
      <c r="O266" s="1057"/>
      <c r="P266" s="1057"/>
      <c r="Q266" s="1057"/>
      <c r="R266" s="1057"/>
    </row>
    <row r="267">
      <c r="C267" s="1035"/>
      <c r="N267" s="1057"/>
      <c r="O267" s="1057"/>
      <c r="P267" s="1057"/>
      <c r="Q267" s="1057"/>
      <c r="R267" s="1057"/>
    </row>
    <row r="268">
      <c r="C268" s="1035"/>
      <c r="N268" s="1057"/>
      <c r="O268" s="1057"/>
      <c r="P268" s="1057"/>
      <c r="Q268" s="1057"/>
      <c r="R268" s="1057"/>
    </row>
    <row r="269">
      <c r="C269" s="1035"/>
      <c r="N269" s="1057"/>
      <c r="O269" s="1057"/>
      <c r="P269" s="1057"/>
      <c r="Q269" s="1057"/>
      <c r="R269" s="1057"/>
    </row>
    <row r="270">
      <c r="C270" s="1035"/>
      <c r="N270" s="1057"/>
      <c r="O270" s="1057"/>
      <c r="P270" s="1057"/>
      <c r="Q270" s="1057"/>
      <c r="R270" s="1057"/>
    </row>
    <row r="271">
      <c r="C271" s="1035"/>
      <c r="N271" s="1057"/>
      <c r="O271" s="1057"/>
      <c r="P271" s="1057"/>
      <c r="Q271" s="1057"/>
      <c r="R271" s="1057"/>
    </row>
    <row r="272">
      <c r="C272" s="1035"/>
      <c r="N272" s="1057"/>
      <c r="O272" s="1057"/>
      <c r="P272" s="1057"/>
      <c r="Q272" s="1057"/>
      <c r="R272" s="1057"/>
    </row>
    <row r="273">
      <c r="C273" s="1035"/>
      <c r="N273" s="1057"/>
      <c r="O273" s="1057"/>
      <c r="P273" s="1057"/>
      <c r="Q273" s="1057"/>
      <c r="R273" s="1057"/>
    </row>
    <row r="274">
      <c r="C274" s="1035"/>
      <c r="N274" s="1057"/>
      <c r="O274" s="1057"/>
      <c r="P274" s="1057"/>
      <c r="Q274" s="1057"/>
      <c r="R274" s="1057"/>
    </row>
    <row r="275">
      <c r="C275" s="1035"/>
      <c r="N275" s="1057"/>
      <c r="O275" s="1057"/>
      <c r="P275" s="1057"/>
      <c r="Q275" s="1057"/>
      <c r="R275" s="1057"/>
    </row>
    <row r="276">
      <c r="C276" s="1035"/>
      <c r="N276" s="1057"/>
      <c r="O276" s="1057"/>
      <c r="P276" s="1057"/>
      <c r="Q276" s="1057"/>
      <c r="R276" s="1057"/>
    </row>
    <row r="277">
      <c r="C277" s="1035"/>
      <c r="N277" s="1057"/>
      <c r="O277" s="1057"/>
      <c r="P277" s="1057"/>
      <c r="Q277" s="1057"/>
      <c r="R277" s="1057"/>
    </row>
    <row r="278">
      <c r="C278" s="1035"/>
      <c r="N278" s="1057"/>
      <c r="O278" s="1057"/>
      <c r="P278" s="1057"/>
      <c r="Q278" s="1057"/>
      <c r="R278" s="1057"/>
    </row>
    <row r="279">
      <c r="C279" s="1035"/>
      <c r="N279" s="1057"/>
      <c r="O279" s="1057"/>
      <c r="P279" s="1057"/>
      <c r="Q279" s="1057"/>
      <c r="R279" s="1057"/>
    </row>
    <row r="280">
      <c r="C280" s="1035"/>
      <c r="N280" s="1057"/>
      <c r="O280" s="1057"/>
      <c r="P280" s="1057"/>
      <c r="Q280" s="1057"/>
      <c r="R280" s="1057"/>
    </row>
    <row r="281">
      <c r="C281" s="1035"/>
      <c r="N281" s="1057"/>
      <c r="O281" s="1057"/>
      <c r="P281" s="1057"/>
      <c r="Q281" s="1057"/>
      <c r="R281" s="1057"/>
    </row>
    <row r="282">
      <c r="C282" s="1035"/>
      <c r="N282" s="1057"/>
      <c r="O282" s="1057"/>
      <c r="P282" s="1057"/>
      <c r="Q282" s="1057"/>
      <c r="R282" s="1057"/>
    </row>
    <row r="283">
      <c r="C283" s="1035"/>
      <c r="N283" s="1057"/>
      <c r="O283" s="1057"/>
      <c r="P283" s="1057"/>
      <c r="Q283" s="1057"/>
      <c r="R283" s="1057"/>
    </row>
    <row r="284">
      <c r="C284" s="1035"/>
      <c r="N284" s="1057"/>
      <c r="O284" s="1057"/>
      <c r="P284" s="1057"/>
      <c r="Q284" s="1057"/>
      <c r="R284" s="1057"/>
    </row>
    <row r="285">
      <c r="C285" s="1035"/>
      <c r="N285" s="1057"/>
      <c r="O285" s="1057"/>
      <c r="P285" s="1057"/>
      <c r="Q285" s="1057"/>
      <c r="R285" s="1057"/>
    </row>
    <row r="286">
      <c r="C286" s="1035"/>
      <c r="N286" s="1057"/>
      <c r="O286" s="1057"/>
      <c r="P286" s="1057"/>
      <c r="Q286" s="1057"/>
      <c r="R286" s="1057"/>
    </row>
    <row r="287">
      <c r="C287" s="1035"/>
      <c r="N287" s="1057"/>
      <c r="O287" s="1057"/>
      <c r="P287" s="1057"/>
      <c r="Q287" s="1057"/>
      <c r="R287" s="1057"/>
    </row>
    <row r="288">
      <c r="C288" s="1035"/>
      <c r="N288" s="1057"/>
      <c r="O288" s="1057"/>
      <c r="P288" s="1057"/>
      <c r="Q288" s="1057"/>
      <c r="R288" s="1057"/>
    </row>
    <row r="289">
      <c r="C289" s="1035"/>
      <c r="N289" s="1057"/>
      <c r="O289" s="1057"/>
      <c r="P289" s="1057"/>
      <c r="Q289" s="1057"/>
      <c r="R289" s="1057"/>
    </row>
    <row r="290">
      <c r="C290" s="1035"/>
      <c r="N290" s="1057"/>
      <c r="O290" s="1057"/>
      <c r="P290" s="1057"/>
      <c r="Q290" s="1057"/>
      <c r="R290" s="1057"/>
    </row>
    <row r="291">
      <c r="C291" s="1035"/>
      <c r="N291" s="1057"/>
      <c r="O291" s="1057"/>
      <c r="P291" s="1057"/>
      <c r="Q291" s="1057"/>
      <c r="R291" s="1057"/>
    </row>
    <row r="292">
      <c r="C292" s="1035"/>
      <c r="N292" s="1057"/>
      <c r="O292" s="1057"/>
      <c r="P292" s="1057"/>
      <c r="Q292" s="1057"/>
      <c r="R292" s="1057"/>
    </row>
    <row r="293">
      <c r="C293" s="1035"/>
      <c r="N293" s="1057"/>
      <c r="O293" s="1057"/>
      <c r="P293" s="1057"/>
      <c r="Q293" s="1057"/>
      <c r="R293" s="1057"/>
    </row>
    <row r="294">
      <c r="C294" s="1035"/>
      <c r="N294" s="1057"/>
      <c r="O294" s="1057"/>
      <c r="P294" s="1057"/>
      <c r="Q294" s="1057"/>
      <c r="R294" s="1057"/>
    </row>
    <row r="295">
      <c r="C295" s="1035"/>
      <c r="N295" s="1057"/>
      <c r="O295" s="1057"/>
      <c r="P295" s="1057"/>
      <c r="Q295" s="1057"/>
      <c r="R295" s="1057"/>
    </row>
    <row r="296">
      <c r="C296" s="1035"/>
      <c r="N296" s="1057"/>
      <c r="O296" s="1057"/>
      <c r="P296" s="1057"/>
      <c r="Q296" s="1057"/>
      <c r="R296" s="1057"/>
    </row>
    <row r="297">
      <c r="C297" s="1035"/>
      <c r="N297" s="1057"/>
      <c r="O297" s="1057"/>
      <c r="P297" s="1057"/>
      <c r="Q297" s="1057"/>
      <c r="R297" s="1057"/>
    </row>
    <row r="298">
      <c r="C298" s="1035"/>
      <c r="N298" s="1057"/>
      <c r="O298" s="1057"/>
      <c r="P298" s="1057"/>
      <c r="Q298" s="1057"/>
      <c r="R298" s="1057"/>
    </row>
    <row r="299">
      <c r="C299" s="1035"/>
      <c r="N299" s="1057"/>
      <c r="O299" s="1057"/>
      <c r="P299" s="1057"/>
      <c r="Q299" s="1057"/>
      <c r="R299" s="1057"/>
    </row>
    <row r="300">
      <c r="C300" s="1035"/>
      <c r="N300" s="1057"/>
      <c r="O300" s="1057"/>
      <c r="P300" s="1057"/>
      <c r="Q300" s="1057"/>
      <c r="R300" s="1057"/>
    </row>
    <row r="301">
      <c r="C301" s="1035"/>
      <c r="N301" s="1057"/>
      <c r="O301" s="1057"/>
      <c r="P301" s="1057"/>
      <c r="Q301" s="1057"/>
      <c r="R301" s="1057"/>
    </row>
    <row r="302">
      <c r="C302" s="1035"/>
      <c r="N302" s="1057"/>
      <c r="O302" s="1057"/>
      <c r="P302" s="1057"/>
      <c r="Q302" s="1057"/>
      <c r="R302" s="1057"/>
    </row>
    <row r="303">
      <c r="C303" s="1035"/>
      <c r="N303" s="1057"/>
      <c r="O303" s="1057"/>
      <c r="P303" s="1057"/>
      <c r="Q303" s="1057"/>
      <c r="R303" s="1057"/>
    </row>
    <row r="304">
      <c r="C304" s="1035"/>
      <c r="N304" s="1057"/>
      <c r="O304" s="1057"/>
      <c r="P304" s="1057"/>
      <c r="Q304" s="1057"/>
      <c r="R304" s="1057"/>
    </row>
    <row r="305">
      <c r="C305" s="1035"/>
      <c r="N305" s="1057"/>
      <c r="O305" s="1057"/>
      <c r="P305" s="1057"/>
      <c r="Q305" s="1057"/>
      <c r="R305" s="1057"/>
    </row>
    <row r="306">
      <c r="C306" s="1035"/>
      <c r="N306" s="1057"/>
      <c r="O306" s="1057"/>
      <c r="P306" s="1057"/>
      <c r="Q306" s="1057"/>
      <c r="R306" s="1057"/>
    </row>
    <row r="307">
      <c r="C307" s="1035"/>
      <c r="N307" s="1057"/>
      <c r="O307" s="1057"/>
      <c r="P307" s="1057"/>
      <c r="Q307" s="1057"/>
      <c r="R307" s="1057"/>
    </row>
    <row r="308">
      <c r="C308" s="1035"/>
      <c r="N308" s="1057"/>
      <c r="O308" s="1057"/>
      <c r="P308" s="1057"/>
      <c r="Q308" s="1057"/>
      <c r="R308" s="1057"/>
    </row>
    <row r="309">
      <c r="C309" s="1035"/>
      <c r="N309" s="1057"/>
      <c r="O309" s="1057"/>
      <c r="P309" s="1057"/>
      <c r="Q309" s="1057"/>
      <c r="R309" s="1057"/>
    </row>
    <row r="310">
      <c r="C310" s="1035"/>
      <c r="N310" s="1057"/>
      <c r="O310" s="1057"/>
      <c r="P310" s="1057"/>
      <c r="Q310" s="1057"/>
      <c r="R310" s="1057"/>
    </row>
    <row r="311">
      <c r="C311" s="1035"/>
      <c r="N311" s="1057"/>
      <c r="O311" s="1057"/>
      <c r="P311" s="1057"/>
      <c r="Q311" s="1057"/>
      <c r="R311" s="1057"/>
    </row>
    <row r="312">
      <c r="C312" s="1035"/>
      <c r="N312" s="1057"/>
      <c r="O312" s="1057"/>
      <c r="P312" s="1057"/>
      <c r="Q312" s="1057"/>
      <c r="R312" s="1057"/>
    </row>
    <row r="313">
      <c r="C313" s="1035"/>
      <c r="N313" s="1057"/>
      <c r="O313" s="1057"/>
      <c r="P313" s="1057"/>
      <c r="Q313" s="1057"/>
      <c r="R313" s="1057"/>
    </row>
    <row r="314">
      <c r="C314" s="1035"/>
      <c r="N314" s="1057"/>
      <c r="O314" s="1057"/>
      <c r="P314" s="1057"/>
      <c r="Q314" s="1057"/>
      <c r="R314" s="1057"/>
    </row>
    <row r="315">
      <c r="C315" s="1035"/>
      <c r="N315" s="1057"/>
      <c r="O315" s="1057"/>
      <c r="P315" s="1057"/>
      <c r="Q315" s="1057"/>
      <c r="R315" s="1057"/>
    </row>
    <row r="316">
      <c r="C316" s="1035"/>
      <c r="N316" s="1057"/>
      <c r="O316" s="1057"/>
      <c r="P316" s="1057"/>
      <c r="Q316" s="1057"/>
      <c r="R316" s="1057"/>
    </row>
    <row r="317">
      <c r="C317" s="1035"/>
      <c r="N317" s="1057"/>
      <c r="O317" s="1057"/>
      <c r="P317" s="1057"/>
      <c r="Q317" s="1057"/>
      <c r="R317" s="1057"/>
    </row>
    <row r="318">
      <c r="C318" s="1035"/>
      <c r="N318" s="1057"/>
      <c r="O318" s="1057"/>
      <c r="P318" s="1057"/>
      <c r="Q318" s="1057"/>
      <c r="R318" s="1057"/>
    </row>
    <row r="319">
      <c r="C319" s="1035"/>
      <c r="N319" s="1057"/>
      <c r="O319" s="1057"/>
      <c r="P319" s="1057"/>
      <c r="Q319" s="1057"/>
      <c r="R319" s="1057"/>
    </row>
    <row r="320">
      <c r="C320" s="1035"/>
      <c r="N320" s="1057"/>
      <c r="O320" s="1057"/>
      <c r="P320" s="1057"/>
      <c r="Q320" s="1057"/>
      <c r="R320" s="1057"/>
    </row>
    <row r="321">
      <c r="C321" s="1035"/>
      <c r="N321" s="1057"/>
      <c r="O321" s="1057"/>
      <c r="P321" s="1057"/>
      <c r="Q321" s="1057"/>
      <c r="R321" s="1057"/>
    </row>
    <row r="322">
      <c r="C322" s="1035"/>
      <c r="N322" s="1057"/>
      <c r="O322" s="1057"/>
      <c r="P322" s="1057"/>
      <c r="Q322" s="1057"/>
      <c r="R322" s="1057"/>
    </row>
    <row r="323">
      <c r="C323" s="1035"/>
      <c r="N323" s="1057"/>
      <c r="O323" s="1057"/>
      <c r="P323" s="1057"/>
      <c r="Q323" s="1057"/>
      <c r="R323" s="1057"/>
    </row>
    <row r="324">
      <c r="C324" s="1035"/>
      <c r="N324" s="1057"/>
      <c r="O324" s="1057"/>
      <c r="P324" s="1057"/>
      <c r="Q324" s="1057"/>
      <c r="R324" s="1057"/>
    </row>
    <row r="325">
      <c r="C325" s="1035"/>
      <c r="N325" s="1057"/>
      <c r="O325" s="1057"/>
      <c r="P325" s="1057"/>
      <c r="Q325" s="1057"/>
      <c r="R325" s="1057"/>
    </row>
    <row r="326">
      <c r="C326" s="1035"/>
      <c r="N326" s="1057"/>
      <c r="O326" s="1057"/>
      <c r="P326" s="1057"/>
      <c r="Q326" s="1057"/>
      <c r="R326" s="1057"/>
    </row>
    <row r="327">
      <c r="C327" s="1035"/>
      <c r="N327" s="1057"/>
      <c r="O327" s="1057"/>
      <c r="P327" s="1057"/>
      <c r="Q327" s="1057"/>
      <c r="R327" s="1057"/>
    </row>
    <row r="328">
      <c r="C328" s="1035"/>
      <c r="N328" s="1057"/>
      <c r="O328" s="1057"/>
      <c r="P328" s="1057"/>
      <c r="Q328" s="1057"/>
      <c r="R328" s="1057"/>
    </row>
    <row r="329">
      <c r="C329" s="1035"/>
      <c r="N329" s="1057"/>
      <c r="O329" s="1057"/>
      <c r="P329" s="1057"/>
      <c r="Q329" s="1057"/>
      <c r="R329" s="1057"/>
    </row>
    <row r="330">
      <c r="C330" s="1035"/>
      <c r="N330" s="1057"/>
      <c r="O330" s="1057"/>
      <c r="P330" s="1057"/>
      <c r="Q330" s="1057"/>
      <c r="R330" s="1057"/>
    </row>
    <row r="331">
      <c r="C331" s="1035"/>
      <c r="N331" s="1057"/>
      <c r="O331" s="1057"/>
      <c r="P331" s="1057"/>
      <c r="Q331" s="1057"/>
      <c r="R331" s="1057"/>
    </row>
    <row r="332">
      <c r="C332" s="1035"/>
      <c r="N332" s="1057"/>
      <c r="O332" s="1057"/>
      <c r="P332" s="1057"/>
      <c r="Q332" s="1057"/>
      <c r="R332" s="1057"/>
    </row>
    <row r="333">
      <c r="C333" s="1035"/>
      <c r="N333" s="1057"/>
      <c r="O333" s="1057"/>
      <c r="P333" s="1057"/>
      <c r="Q333" s="1057"/>
      <c r="R333" s="1057"/>
    </row>
    <row r="334">
      <c r="C334" s="1035"/>
      <c r="N334" s="1057"/>
      <c r="O334" s="1057"/>
      <c r="P334" s="1057"/>
      <c r="Q334" s="1057"/>
      <c r="R334" s="1057"/>
    </row>
    <row r="335">
      <c r="C335" s="1035"/>
      <c r="N335" s="1057"/>
      <c r="O335" s="1057"/>
      <c r="P335" s="1057"/>
      <c r="Q335" s="1057"/>
      <c r="R335" s="1057"/>
    </row>
    <row r="336">
      <c r="C336" s="1035"/>
      <c r="N336" s="1057"/>
      <c r="O336" s="1057"/>
      <c r="P336" s="1057"/>
      <c r="Q336" s="1057"/>
      <c r="R336" s="1057"/>
    </row>
    <row r="337">
      <c r="C337" s="1035"/>
      <c r="N337" s="1057"/>
      <c r="O337" s="1057"/>
      <c r="P337" s="1057"/>
      <c r="Q337" s="1057"/>
      <c r="R337" s="1057"/>
    </row>
    <row r="338">
      <c r="C338" s="1035"/>
      <c r="N338" s="1057"/>
      <c r="O338" s="1057"/>
      <c r="P338" s="1057"/>
      <c r="Q338" s="1057"/>
      <c r="R338" s="1057"/>
    </row>
    <row r="339">
      <c r="C339" s="1035"/>
      <c r="N339" s="1057"/>
      <c r="O339" s="1057"/>
      <c r="P339" s="1057"/>
      <c r="Q339" s="1057"/>
      <c r="R339" s="1057"/>
    </row>
    <row r="340">
      <c r="C340" s="1035"/>
      <c r="N340" s="1057"/>
      <c r="O340" s="1057"/>
      <c r="P340" s="1057"/>
      <c r="Q340" s="1057"/>
      <c r="R340" s="1057"/>
    </row>
    <row r="341">
      <c r="C341" s="1035"/>
      <c r="N341" s="1057"/>
      <c r="O341" s="1057"/>
      <c r="P341" s="1057"/>
      <c r="Q341" s="1057"/>
      <c r="R341" s="1057"/>
    </row>
    <row r="342">
      <c r="C342" s="1035"/>
      <c r="N342" s="1057"/>
      <c r="O342" s="1057"/>
      <c r="P342" s="1057"/>
      <c r="Q342" s="1057"/>
      <c r="R342" s="1057"/>
    </row>
    <row r="343">
      <c r="C343" s="1035"/>
      <c r="N343" s="1057"/>
      <c r="O343" s="1057"/>
      <c r="P343" s="1057"/>
      <c r="Q343" s="1057"/>
      <c r="R343" s="1057"/>
    </row>
    <row r="344">
      <c r="C344" s="1035"/>
      <c r="N344" s="1057"/>
      <c r="O344" s="1057"/>
      <c r="P344" s="1057"/>
      <c r="Q344" s="1057"/>
      <c r="R344" s="1057"/>
    </row>
    <row r="345">
      <c r="C345" s="1035"/>
      <c r="N345" s="1057"/>
      <c r="O345" s="1057"/>
      <c r="P345" s="1057"/>
      <c r="Q345" s="1057"/>
      <c r="R345" s="1057"/>
    </row>
    <row r="346">
      <c r="C346" s="1035"/>
      <c r="N346" s="1057"/>
      <c r="O346" s="1057"/>
      <c r="P346" s="1057"/>
      <c r="Q346" s="1057"/>
      <c r="R346" s="1057"/>
    </row>
    <row r="347">
      <c r="C347" s="1035"/>
      <c r="N347" s="1057"/>
      <c r="O347" s="1057"/>
      <c r="P347" s="1057"/>
      <c r="Q347" s="1057"/>
      <c r="R347" s="1057"/>
    </row>
    <row r="348">
      <c r="C348" s="1035"/>
      <c r="N348" s="1057"/>
      <c r="O348" s="1057"/>
      <c r="P348" s="1057"/>
      <c r="Q348" s="1057"/>
      <c r="R348" s="1057"/>
    </row>
    <row r="349">
      <c r="C349" s="1035"/>
      <c r="N349" s="1057"/>
      <c r="O349" s="1057"/>
      <c r="P349" s="1057"/>
      <c r="Q349" s="1057"/>
      <c r="R349" s="1057"/>
    </row>
    <row r="350">
      <c r="C350" s="1035"/>
      <c r="N350" s="1057"/>
      <c r="O350" s="1057"/>
      <c r="P350" s="1057"/>
      <c r="Q350" s="1057"/>
      <c r="R350" s="1057"/>
    </row>
    <row r="351">
      <c r="C351" s="1035"/>
      <c r="N351" s="1057"/>
      <c r="O351" s="1057"/>
      <c r="P351" s="1057"/>
      <c r="Q351" s="1057"/>
      <c r="R351" s="1057"/>
    </row>
    <row r="352">
      <c r="C352" s="1035"/>
      <c r="N352" s="1057"/>
      <c r="O352" s="1057"/>
      <c r="P352" s="1057"/>
      <c r="Q352" s="1057"/>
      <c r="R352" s="1057"/>
    </row>
    <row r="353">
      <c r="C353" s="1035"/>
      <c r="N353" s="1057"/>
      <c r="O353" s="1057"/>
      <c r="P353" s="1057"/>
      <c r="Q353" s="1057"/>
      <c r="R353" s="1057"/>
    </row>
    <row r="354">
      <c r="C354" s="1035"/>
      <c r="N354" s="1057"/>
      <c r="O354" s="1057"/>
      <c r="P354" s="1057"/>
      <c r="Q354" s="1057"/>
      <c r="R354" s="1057"/>
    </row>
    <row r="355">
      <c r="C355" s="1035"/>
      <c r="N355" s="1057"/>
      <c r="O355" s="1057"/>
      <c r="P355" s="1057"/>
      <c r="Q355" s="1057"/>
      <c r="R355" s="1057"/>
    </row>
    <row r="356">
      <c r="C356" s="1035"/>
      <c r="N356" s="1057"/>
      <c r="O356" s="1057"/>
      <c r="P356" s="1057"/>
      <c r="Q356" s="1057"/>
      <c r="R356" s="1057"/>
    </row>
    <row r="357">
      <c r="C357" s="1035"/>
      <c r="N357" s="1057"/>
      <c r="O357" s="1057"/>
      <c r="P357" s="1057"/>
      <c r="Q357" s="1057"/>
      <c r="R357" s="1057"/>
    </row>
    <row r="358">
      <c r="C358" s="1035"/>
      <c r="N358" s="1057"/>
      <c r="O358" s="1057"/>
      <c r="P358" s="1057"/>
      <c r="Q358" s="1057"/>
      <c r="R358" s="1057"/>
    </row>
    <row r="359">
      <c r="C359" s="1035"/>
      <c r="N359" s="1057"/>
      <c r="O359" s="1057"/>
      <c r="P359" s="1057"/>
      <c r="Q359" s="1057"/>
      <c r="R359" s="1057"/>
    </row>
    <row r="360">
      <c r="C360" s="1035"/>
      <c r="N360" s="1057"/>
      <c r="O360" s="1057"/>
      <c r="P360" s="1057"/>
      <c r="Q360" s="1057"/>
      <c r="R360" s="1057"/>
    </row>
    <row r="361">
      <c r="C361" s="1035"/>
      <c r="N361" s="1057"/>
      <c r="O361" s="1057"/>
      <c r="P361" s="1057"/>
      <c r="Q361" s="1057"/>
      <c r="R361" s="1057"/>
    </row>
    <row r="362">
      <c r="C362" s="1035"/>
      <c r="N362" s="1057"/>
      <c r="O362" s="1057"/>
      <c r="P362" s="1057"/>
      <c r="Q362" s="1057"/>
      <c r="R362" s="1057"/>
    </row>
    <row r="363">
      <c r="C363" s="1035"/>
      <c r="N363" s="1057"/>
      <c r="O363" s="1057"/>
      <c r="P363" s="1057"/>
      <c r="Q363" s="1057"/>
      <c r="R363" s="1057"/>
    </row>
    <row r="364">
      <c r="C364" s="1035"/>
      <c r="N364" s="1057"/>
      <c r="O364" s="1057"/>
      <c r="P364" s="1057"/>
      <c r="Q364" s="1057"/>
      <c r="R364" s="1057"/>
    </row>
    <row r="365">
      <c r="C365" s="1035"/>
      <c r="N365" s="1057"/>
      <c r="O365" s="1057"/>
      <c r="P365" s="1057"/>
      <c r="Q365" s="1057"/>
      <c r="R365" s="1057"/>
    </row>
    <row r="366">
      <c r="C366" s="1035"/>
      <c r="N366" s="1057"/>
      <c r="O366" s="1057"/>
      <c r="P366" s="1057"/>
      <c r="Q366" s="1057"/>
      <c r="R366" s="1057"/>
    </row>
    <row r="367">
      <c r="C367" s="1035"/>
      <c r="N367" s="1057"/>
      <c r="O367" s="1057"/>
      <c r="P367" s="1057"/>
      <c r="Q367" s="1057"/>
      <c r="R367" s="1057"/>
    </row>
    <row r="368">
      <c r="C368" s="1035"/>
      <c r="N368" s="1057"/>
      <c r="O368" s="1057"/>
      <c r="P368" s="1057"/>
      <c r="Q368" s="1057"/>
      <c r="R368" s="1057"/>
    </row>
    <row r="369">
      <c r="C369" s="1035"/>
      <c r="N369" s="1057"/>
      <c r="O369" s="1057"/>
      <c r="P369" s="1057"/>
      <c r="Q369" s="1057"/>
      <c r="R369" s="1057"/>
    </row>
    <row r="370">
      <c r="C370" s="1035"/>
      <c r="N370" s="1057"/>
      <c r="O370" s="1057"/>
      <c r="P370" s="1057"/>
      <c r="Q370" s="1057"/>
      <c r="R370" s="1057"/>
    </row>
    <row r="371">
      <c r="C371" s="1035"/>
      <c r="N371" s="1057"/>
      <c r="O371" s="1057"/>
      <c r="P371" s="1057"/>
      <c r="Q371" s="1057"/>
      <c r="R371" s="1057"/>
    </row>
    <row r="372">
      <c r="C372" s="1035"/>
      <c r="N372" s="1057"/>
      <c r="O372" s="1057"/>
      <c r="P372" s="1057"/>
      <c r="Q372" s="1057"/>
      <c r="R372" s="1057"/>
    </row>
    <row r="373">
      <c r="C373" s="1035"/>
      <c r="N373" s="1057"/>
      <c r="O373" s="1057"/>
      <c r="P373" s="1057"/>
      <c r="Q373" s="1057"/>
      <c r="R373" s="1057"/>
    </row>
    <row r="374">
      <c r="C374" s="1035"/>
      <c r="N374" s="1057"/>
      <c r="O374" s="1057"/>
      <c r="P374" s="1057"/>
      <c r="Q374" s="1057"/>
      <c r="R374" s="1057"/>
    </row>
    <row r="375">
      <c r="C375" s="1035"/>
      <c r="N375" s="1057"/>
      <c r="O375" s="1057"/>
      <c r="P375" s="1057"/>
      <c r="Q375" s="1057"/>
      <c r="R375" s="1057"/>
    </row>
    <row r="376">
      <c r="C376" s="1035"/>
      <c r="N376" s="1057"/>
      <c r="O376" s="1057"/>
      <c r="P376" s="1057"/>
      <c r="Q376" s="1057"/>
      <c r="R376" s="1057"/>
    </row>
    <row r="377">
      <c r="C377" s="1035"/>
      <c r="N377" s="1057"/>
      <c r="O377" s="1057"/>
      <c r="P377" s="1057"/>
      <c r="Q377" s="1057"/>
      <c r="R377" s="1057"/>
    </row>
    <row r="378">
      <c r="C378" s="1035"/>
      <c r="N378" s="1057"/>
      <c r="O378" s="1057"/>
      <c r="P378" s="1057"/>
      <c r="Q378" s="1057"/>
      <c r="R378" s="1057"/>
    </row>
    <row r="379">
      <c r="C379" s="1035"/>
      <c r="N379" s="1057"/>
      <c r="O379" s="1057"/>
      <c r="P379" s="1057"/>
      <c r="Q379" s="1057"/>
      <c r="R379" s="1057"/>
    </row>
    <row r="380">
      <c r="C380" s="1035"/>
      <c r="N380" s="1057"/>
      <c r="O380" s="1057"/>
      <c r="P380" s="1057"/>
      <c r="Q380" s="1057"/>
      <c r="R380" s="1057"/>
    </row>
    <row r="381">
      <c r="C381" s="1035"/>
      <c r="N381" s="1057"/>
      <c r="O381" s="1057"/>
      <c r="P381" s="1057"/>
      <c r="Q381" s="1057"/>
      <c r="R381" s="1057"/>
    </row>
    <row r="382">
      <c r="C382" s="1035"/>
      <c r="N382" s="1057"/>
      <c r="O382" s="1057"/>
      <c r="P382" s="1057"/>
      <c r="Q382" s="1057"/>
      <c r="R382" s="1057"/>
    </row>
    <row r="383">
      <c r="C383" s="1035"/>
      <c r="N383" s="1057"/>
      <c r="O383" s="1057"/>
      <c r="P383" s="1057"/>
      <c r="Q383" s="1057"/>
      <c r="R383" s="1057"/>
    </row>
    <row r="384">
      <c r="C384" s="1035"/>
      <c r="N384" s="1057"/>
      <c r="O384" s="1057"/>
      <c r="P384" s="1057"/>
      <c r="Q384" s="1057"/>
      <c r="R384" s="1057"/>
    </row>
    <row r="385">
      <c r="C385" s="1035"/>
      <c r="N385" s="1057"/>
      <c r="O385" s="1057"/>
      <c r="P385" s="1057"/>
      <c r="Q385" s="1057"/>
      <c r="R385" s="1057"/>
    </row>
    <row r="386">
      <c r="C386" s="1035"/>
      <c r="N386" s="1057"/>
      <c r="O386" s="1057"/>
      <c r="P386" s="1057"/>
      <c r="Q386" s="1057"/>
      <c r="R386" s="1057"/>
    </row>
    <row r="387">
      <c r="C387" s="1035"/>
      <c r="N387" s="1057"/>
      <c r="O387" s="1057"/>
      <c r="P387" s="1057"/>
      <c r="Q387" s="1057"/>
      <c r="R387" s="1057"/>
    </row>
    <row r="388">
      <c r="C388" s="1035"/>
      <c r="N388" s="1057"/>
      <c r="O388" s="1057"/>
      <c r="P388" s="1057"/>
      <c r="Q388" s="1057"/>
      <c r="R388" s="1057"/>
    </row>
    <row r="389">
      <c r="C389" s="1035"/>
      <c r="N389" s="1057"/>
      <c r="O389" s="1057"/>
      <c r="P389" s="1057"/>
      <c r="Q389" s="1057"/>
      <c r="R389" s="1057"/>
    </row>
    <row r="390">
      <c r="C390" s="1035"/>
      <c r="N390" s="1057"/>
      <c r="O390" s="1057"/>
      <c r="P390" s="1057"/>
      <c r="Q390" s="1057"/>
      <c r="R390" s="1057"/>
    </row>
    <row r="391">
      <c r="C391" s="1035"/>
      <c r="N391" s="1057"/>
      <c r="O391" s="1057"/>
      <c r="P391" s="1057"/>
      <c r="Q391" s="1057"/>
      <c r="R391" s="1057"/>
    </row>
    <row r="392">
      <c r="C392" s="1035"/>
      <c r="N392" s="1057"/>
      <c r="O392" s="1057"/>
      <c r="P392" s="1057"/>
      <c r="Q392" s="1057"/>
      <c r="R392" s="1057"/>
    </row>
    <row r="393">
      <c r="C393" s="1035"/>
      <c r="N393" s="1057"/>
      <c r="O393" s="1057"/>
      <c r="P393" s="1057"/>
      <c r="Q393" s="1057"/>
      <c r="R393" s="1057"/>
    </row>
    <row r="394">
      <c r="C394" s="1035"/>
      <c r="N394" s="1057"/>
      <c r="O394" s="1057"/>
      <c r="P394" s="1057"/>
      <c r="Q394" s="1057"/>
      <c r="R394" s="1057"/>
    </row>
    <row r="395">
      <c r="C395" s="1035"/>
      <c r="N395" s="1057"/>
      <c r="O395" s="1057"/>
      <c r="P395" s="1057"/>
      <c r="Q395" s="1057"/>
      <c r="R395" s="1057"/>
    </row>
    <row r="396">
      <c r="C396" s="1035"/>
      <c r="N396" s="1057"/>
      <c r="O396" s="1057"/>
      <c r="P396" s="1057"/>
      <c r="Q396" s="1057"/>
      <c r="R396" s="1057"/>
    </row>
    <row r="397">
      <c r="C397" s="1035"/>
      <c r="N397" s="1057"/>
      <c r="O397" s="1057"/>
      <c r="P397" s="1057"/>
      <c r="Q397" s="1057"/>
      <c r="R397" s="1057"/>
    </row>
    <row r="398">
      <c r="C398" s="1035"/>
      <c r="N398" s="1057"/>
      <c r="O398" s="1057"/>
      <c r="P398" s="1057"/>
      <c r="Q398" s="1057"/>
      <c r="R398" s="1057"/>
    </row>
    <row r="399">
      <c r="C399" s="1035"/>
      <c r="N399" s="1057"/>
      <c r="O399" s="1057"/>
      <c r="P399" s="1057"/>
      <c r="Q399" s="1057"/>
      <c r="R399" s="1057"/>
    </row>
    <row r="400">
      <c r="C400" s="1035"/>
      <c r="N400" s="1057"/>
      <c r="O400" s="1057"/>
      <c r="P400" s="1057"/>
      <c r="Q400" s="1057"/>
      <c r="R400" s="1057"/>
    </row>
    <row r="401">
      <c r="C401" s="1035"/>
      <c r="N401" s="1057"/>
      <c r="O401" s="1057"/>
      <c r="P401" s="1057"/>
      <c r="Q401" s="1057"/>
      <c r="R401" s="1057"/>
    </row>
    <row r="402">
      <c r="C402" s="1035"/>
      <c r="N402" s="1057"/>
      <c r="O402" s="1057"/>
      <c r="P402" s="1057"/>
      <c r="Q402" s="1057"/>
      <c r="R402" s="1057"/>
    </row>
    <row r="403">
      <c r="C403" s="1035"/>
      <c r="N403" s="1057"/>
      <c r="O403" s="1057"/>
      <c r="P403" s="1057"/>
      <c r="Q403" s="1057"/>
      <c r="R403" s="1057"/>
    </row>
    <row r="404">
      <c r="C404" s="1035"/>
      <c r="N404" s="1057"/>
      <c r="O404" s="1057"/>
      <c r="P404" s="1057"/>
      <c r="Q404" s="1057"/>
      <c r="R404" s="1057"/>
    </row>
    <row r="405">
      <c r="C405" s="1035"/>
      <c r="N405" s="1057"/>
      <c r="O405" s="1057"/>
      <c r="P405" s="1057"/>
      <c r="Q405" s="1057"/>
      <c r="R405" s="1057"/>
    </row>
    <row r="406">
      <c r="C406" s="1035"/>
      <c r="N406" s="1057"/>
      <c r="O406" s="1057"/>
      <c r="P406" s="1057"/>
      <c r="Q406" s="1057"/>
      <c r="R406" s="1057"/>
    </row>
    <row r="407">
      <c r="C407" s="1035"/>
      <c r="N407" s="1057"/>
      <c r="O407" s="1057"/>
      <c r="P407" s="1057"/>
      <c r="Q407" s="1057"/>
      <c r="R407" s="1057"/>
    </row>
    <row r="408">
      <c r="C408" s="1035"/>
      <c r="N408" s="1057"/>
      <c r="O408" s="1057"/>
      <c r="P408" s="1057"/>
      <c r="Q408" s="1057"/>
      <c r="R408" s="1057"/>
    </row>
    <row r="409">
      <c r="C409" s="1035"/>
      <c r="N409" s="1057"/>
      <c r="O409" s="1057"/>
      <c r="P409" s="1057"/>
      <c r="Q409" s="1057"/>
      <c r="R409" s="1057"/>
    </row>
    <row r="410">
      <c r="C410" s="1035"/>
      <c r="N410" s="1057"/>
      <c r="O410" s="1057"/>
      <c r="P410" s="1057"/>
      <c r="Q410" s="1057"/>
      <c r="R410" s="1057"/>
    </row>
    <row r="411">
      <c r="C411" s="1035"/>
      <c r="N411" s="1057"/>
      <c r="O411" s="1057"/>
      <c r="P411" s="1057"/>
      <c r="Q411" s="1057"/>
      <c r="R411" s="1057"/>
    </row>
    <row r="412">
      <c r="C412" s="1035"/>
      <c r="N412" s="1057"/>
      <c r="O412" s="1057"/>
      <c r="P412" s="1057"/>
      <c r="Q412" s="1057"/>
      <c r="R412" s="1057"/>
    </row>
    <row r="413">
      <c r="C413" s="1035"/>
      <c r="N413" s="1057"/>
      <c r="O413" s="1057"/>
      <c r="P413" s="1057"/>
      <c r="Q413" s="1057"/>
      <c r="R413" s="1057"/>
    </row>
    <row r="414">
      <c r="C414" s="1035"/>
      <c r="N414" s="1057"/>
      <c r="O414" s="1057"/>
      <c r="P414" s="1057"/>
      <c r="Q414" s="1057"/>
      <c r="R414" s="1057"/>
    </row>
    <row r="415">
      <c r="C415" s="1035"/>
      <c r="N415" s="1057"/>
      <c r="O415" s="1057"/>
      <c r="P415" s="1057"/>
      <c r="Q415" s="1057"/>
      <c r="R415" s="1057"/>
    </row>
    <row r="416">
      <c r="C416" s="1035"/>
      <c r="N416" s="1057"/>
      <c r="O416" s="1057"/>
      <c r="P416" s="1057"/>
      <c r="Q416" s="1057"/>
      <c r="R416" s="1057"/>
    </row>
    <row r="417">
      <c r="C417" s="1035"/>
      <c r="N417" s="1057"/>
      <c r="O417" s="1057"/>
      <c r="P417" s="1057"/>
      <c r="Q417" s="1057"/>
      <c r="R417" s="1057"/>
    </row>
    <row r="418">
      <c r="C418" s="1035"/>
      <c r="N418" s="1057"/>
      <c r="O418" s="1057"/>
      <c r="P418" s="1057"/>
      <c r="Q418" s="1057"/>
      <c r="R418" s="1057"/>
    </row>
    <row r="419">
      <c r="C419" s="1035"/>
      <c r="N419" s="1057"/>
      <c r="O419" s="1057"/>
      <c r="P419" s="1057"/>
      <c r="Q419" s="1057"/>
      <c r="R419" s="1057"/>
    </row>
    <row r="420">
      <c r="C420" s="1035"/>
      <c r="N420" s="1057"/>
      <c r="O420" s="1057"/>
      <c r="P420" s="1057"/>
      <c r="Q420" s="1057"/>
      <c r="R420" s="1057"/>
    </row>
    <row r="421">
      <c r="C421" s="1035"/>
      <c r="N421" s="1057"/>
      <c r="O421" s="1057"/>
      <c r="P421" s="1057"/>
      <c r="Q421" s="1057"/>
      <c r="R421" s="1057"/>
    </row>
    <row r="422">
      <c r="C422" s="1035"/>
      <c r="N422" s="1057"/>
      <c r="O422" s="1057"/>
      <c r="P422" s="1057"/>
      <c r="Q422" s="1057"/>
      <c r="R422" s="1057"/>
    </row>
    <row r="423">
      <c r="C423" s="1035"/>
      <c r="N423" s="1057"/>
      <c r="O423" s="1057"/>
      <c r="P423" s="1057"/>
      <c r="Q423" s="1057"/>
      <c r="R423" s="1057"/>
    </row>
    <row r="424">
      <c r="C424" s="1035"/>
      <c r="N424" s="1057"/>
      <c r="O424" s="1057"/>
      <c r="P424" s="1057"/>
      <c r="Q424" s="1057"/>
      <c r="R424" s="1057"/>
    </row>
    <row r="425">
      <c r="C425" s="1035"/>
      <c r="N425" s="1057"/>
      <c r="O425" s="1057"/>
      <c r="P425" s="1057"/>
      <c r="Q425" s="1057"/>
      <c r="R425" s="1057"/>
    </row>
    <row r="426">
      <c r="C426" s="1035"/>
      <c r="N426" s="1057"/>
      <c r="O426" s="1057"/>
      <c r="P426" s="1057"/>
      <c r="Q426" s="1057"/>
      <c r="R426" s="1057"/>
    </row>
    <row r="427">
      <c r="C427" s="1035"/>
      <c r="N427" s="1057"/>
      <c r="O427" s="1057"/>
      <c r="P427" s="1057"/>
      <c r="Q427" s="1057"/>
      <c r="R427" s="1057"/>
    </row>
    <row r="428">
      <c r="C428" s="1035"/>
      <c r="N428" s="1057"/>
      <c r="O428" s="1057"/>
      <c r="P428" s="1057"/>
      <c r="Q428" s="1057"/>
      <c r="R428" s="1057"/>
    </row>
    <row r="429">
      <c r="C429" s="1035"/>
      <c r="N429" s="1057"/>
      <c r="O429" s="1057"/>
      <c r="P429" s="1057"/>
      <c r="Q429" s="1057"/>
      <c r="R429" s="1057"/>
    </row>
    <row r="430">
      <c r="C430" s="1035"/>
      <c r="N430" s="1057"/>
      <c r="O430" s="1057"/>
      <c r="P430" s="1057"/>
      <c r="Q430" s="1057"/>
      <c r="R430" s="1057"/>
    </row>
    <row r="431">
      <c r="C431" s="1035"/>
      <c r="N431" s="1057"/>
      <c r="O431" s="1057"/>
      <c r="P431" s="1057"/>
      <c r="Q431" s="1057"/>
      <c r="R431" s="1057"/>
    </row>
    <row r="432">
      <c r="C432" s="1035"/>
      <c r="N432" s="1057"/>
      <c r="O432" s="1057"/>
      <c r="P432" s="1057"/>
      <c r="Q432" s="1057"/>
      <c r="R432" s="1057"/>
    </row>
    <row r="433">
      <c r="C433" s="1035"/>
      <c r="N433" s="1057"/>
      <c r="O433" s="1057"/>
      <c r="P433" s="1057"/>
      <c r="Q433" s="1057"/>
      <c r="R433" s="1057"/>
    </row>
    <row r="434">
      <c r="C434" s="1035"/>
      <c r="N434" s="1057"/>
      <c r="O434" s="1057"/>
      <c r="P434" s="1057"/>
      <c r="Q434" s="1057"/>
      <c r="R434" s="1057"/>
    </row>
    <row r="435">
      <c r="C435" s="1035"/>
      <c r="N435" s="1057"/>
      <c r="O435" s="1057"/>
      <c r="P435" s="1057"/>
      <c r="Q435" s="1057"/>
      <c r="R435" s="1057"/>
    </row>
    <row r="436">
      <c r="C436" s="1035"/>
      <c r="N436" s="1057"/>
      <c r="O436" s="1057"/>
      <c r="P436" s="1057"/>
      <c r="Q436" s="1057"/>
      <c r="R436" s="1057"/>
    </row>
    <row r="437">
      <c r="C437" s="1035"/>
      <c r="N437" s="1057"/>
      <c r="O437" s="1057"/>
      <c r="P437" s="1057"/>
      <c r="Q437" s="1057"/>
      <c r="R437" s="1057"/>
    </row>
    <row r="438">
      <c r="C438" s="1035"/>
      <c r="N438" s="1057"/>
      <c r="O438" s="1057"/>
      <c r="P438" s="1057"/>
      <c r="Q438" s="1057"/>
      <c r="R438" s="1057"/>
    </row>
    <row r="439">
      <c r="C439" s="1035"/>
      <c r="N439" s="1057"/>
      <c r="O439" s="1057"/>
      <c r="P439" s="1057"/>
      <c r="Q439" s="1057"/>
      <c r="R439" s="1057"/>
    </row>
    <row r="440">
      <c r="C440" s="1035"/>
      <c r="N440" s="1057"/>
      <c r="O440" s="1057"/>
      <c r="P440" s="1057"/>
      <c r="Q440" s="1057"/>
      <c r="R440" s="1057"/>
    </row>
    <row r="441">
      <c r="C441" s="1035"/>
      <c r="N441" s="1057"/>
      <c r="O441" s="1057"/>
      <c r="P441" s="1057"/>
      <c r="Q441" s="1057"/>
      <c r="R441" s="1057"/>
    </row>
    <row r="442">
      <c r="C442" s="1035"/>
      <c r="N442" s="1057"/>
      <c r="O442" s="1057"/>
      <c r="P442" s="1057"/>
      <c r="Q442" s="1057"/>
      <c r="R442" s="1057"/>
    </row>
    <row r="443">
      <c r="C443" s="1035"/>
      <c r="N443" s="1057"/>
      <c r="O443" s="1057"/>
      <c r="P443" s="1057"/>
      <c r="Q443" s="1057"/>
      <c r="R443" s="1057"/>
    </row>
    <row r="444">
      <c r="C444" s="1035"/>
      <c r="N444" s="1057"/>
      <c r="O444" s="1057"/>
      <c r="P444" s="1057"/>
      <c r="Q444" s="1057"/>
      <c r="R444" s="1057"/>
    </row>
    <row r="445">
      <c r="C445" s="1035"/>
      <c r="N445" s="1057"/>
      <c r="O445" s="1057"/>
      <c r="P445" s="1057"/>
      <c r="Q445" s="1057"/>
      <c r="R445" s="1057"/>
    </row>
    <row r="446">
      <c r="C446" s="1035"/>
      <c r="N446" s="1057"/>
      <c r="O446" s="1057"/>
      <c r="P446" s="1057"/>
      <c r="Q446" s="1057"/>
      <c r="R446" s="1057"/>
    </row>
    <row r="447">
      <c r="C447" s="1035"/>
      <c r="N447" s="1057"/>
      <c r="O447" s="1057"/>
      <c r="P447" s="1057"/>
      <c r="Q447" s="1057"/>
      <c r="R447" s="1057"/>
    </row>
    <row r="448">
      <c r="C448" s="1035"/>
      <c r="N448" s="1057"/>
      <c r="O448" s="1057"/>
      <c r="P448" s="1057"/>
      <c r="Q448" s="1057"/>
      <c r="R448" s="1057"/>
    </row>
    <row r="449">
      <c r="C449" s="1035"/>
      <c r="N449" s="1057"/>
      <c r="O449" s="1057"/>
      <c r="P449" s="1057"/>
      <c r="Q449" s="1057"/>
      <c r="R449" s="1057"/>
    </row>
    <row r="450">
      <c r="C450" s="1035"/>
      <c r="N450" s="1057"/>
      <c r="O450" s="1057"/>
      <c r="P450" s="1057"/>
      <c r="Q450" s="1057"/>
      <c r="R450" s="1057"/>
    </row>
    <row r="451">
      <c r="C451" s="1035"/>
      <c r="N451" s="1057"/>
      <c r="O451" s="1057"/>
      <c r="P451" s="1057"/>
      <c r="Q451" s="1057"/>
      <c r="R451" s="1057"/>
    </row>
    <row r="452">
      <c r="C452" s="1035"/>
      <c r="N452" s="1057"/>
      <c r="O452" s="1057"/>
      <c r="P452" s="1057"/>
      <c r="Q452" s="1057"/>
      <c r="R452" s="1057"/>
    </row>
    <row r="453">
      <c r="C453" s="1035"/>
      <c r="N453" s="1057"/>
      <c r="O453" s="1057"/>
      <c r="P453" s="1057"/>
      <c r="Q453" s="1057"/>
      <c r="R453" s="1057"/>
    </row>
    <row r="454">
      <c r="C454" s="1035"/>
      <c r="N454" s="1057"/>
      <c r="O454" s="1057"/>
      <c r="P454" s="1057"/>
      <c r="Q454" s="1057"/>
      <c r="R454" s="1057"/>
    </row>
    <row r="455">
      <c r="C455" s="1035"/>
      <c r="N455" s="1057"/>
      <c r="O455" s="1057"/>
      <c r="P455" s="1057"/>
      <c r="Q455" s="1057"/>
      <c r="R455" s="1057"/>
    </row>
    <row r="456">
      <c r="C456" s="1035"/>
      <c r="N456" s="1057"/>
      <c r="O456" s="1057"/>
      <c r="P456" s="1057"/>
      <c r="Q456" s="1057"/>
      <c r="R456" s="1057"/>
    </row>
    <row r="457">
      <c r="C457" s="1035"/>
      <c r="N457" s="1057"/>
      <c r="O457" s="1057"/>
      <c r="P457" s="1057"/>
      <c r="Q457" s="1057"/>
      <c r="R457" s="1057"/>
    </row>
    <row r="458">
      <c r="C458" s="1035"/>
      <c r="N458" s="1057"/>
      <c r="O458" s="1057"/>
      <c r="P458" s="1057"/>
      <c r="Q458" s="1057"/>
      <c r="R458" s="1057"/>
    </row>
    <row r="459">
      <c r="C459" s="1035"/>
      <c r="N459" s="1057"/>
      <c r="O459" s="1057"/>
      <c r="P459" s="1057"/>
      <c r="Q459" s="1057"/>
      <c r="R459" s="1057"/>
    </row>
    <row r="460">
      <c r="C460" s="1035"/>
      <c r="N460" s="1057"/>
      <c r="O460" s="1057"/>
      <c r="P460" s="1057"/>
      <c r="Q460" s="1057"/>
      <c r="R460" s="1057"/>
    </row>
    <row r="461">
      <c r="C461" s="1035"/>
      <c r="N461" s="1057"/>
      <c r="O461" s="1057"/>
      <c r="P461" s="1057"/>
      <c r="Q461" s="1057"/>
      <c r="R461" s="1057"/>
    </row>
    <row r="462">
      <c r="C462" s="1035"/>
      <c r="N462" s="1057"/>
      <c r="O462" s="1057"/>
      <c r="P462" s="1057"/>
      <c r="Q462" s="1057"/>
      <c r="R462" s="1057"/>
    </row>
    <row r="463">
      <c r="C463" s="1035"/>
      <c r="N463" s="1057"/>
      <c r="O463" s="1057"/>
      <c r="P463" s="1057"/>
      <c r="Q463" s="1057"/>
      <c r="R463" s="1057"/>
    </row>
    <row r="464">
      <c r="C464" s="1035"/>
      <c r="N464" s="1057"/>
      <c r="O464" s="1057"/>
      <c r="P464" s="1057"/>
      <c r="Q464" s="1057"/>
      <c r="R464" s="1057"/>
    </row>
    <row r="465">
      <c r="C465" s="1035"/>
      <c r="N465" s="1057"/>
      <c r="O465" s="1057"/>
      <c r="P465" s="1057"/>
      <c r="Q465" s="1057"/>
      <c r="R465" s="1057"/>
    </row>
    <row r="466">
      <c r="C466" s="1035"/>
      <c r="N466" s="1057"/>
      <c r="O466" s="1057"/>
      <c r="P466" s="1057"/>
      <c r="Q466" s="1057"/>
      <c r="R466" s="1057"/>
    </row>
    <row r="467">
      <c r="C467" s="1035"/>
      <c r="N467" s="1057"/>
      <c r="O467" s="1057"/>
      <c r="P467" s="1057"/>
      <c r="Q467" s="1057"/>
      <c r="R467" s="1057"/>
    </row>
    <row r="468">
      <c r="C468" s="1035"/>
      <c r="N468" s="1057"/>
      <c r="O468" s="1057"/>
      <c r="P468" s="1057"/>
      <c r="Q468" s="1057"/>
      <c r="R468" s="1057"/>
    </row>
    <row r="469">
      <c r="C469" s="1035"/>
      <c r="N469" s="1057"/>
      <c r="O469" s="1057"/>
      <c r="P469" s="1057"/>
      <c r="Q469" s="1057"/>
      <c r="R469" s="1057"/>
    </row>
    <row r="470">
      <c r="C470" s="1035"/>
      <c r="N470" s="1057"/>
      <c r="O470" s="1057"/>
      <c r="P470" s="1057"/>
      <c r="Q470" s="1057"/>
      <c r="R470" s="1057"/>
    </row>
    <row r="471">
      <c r="C471" s="1035"/>
      <c r="N471" s="1057"/>
      <c r="O471" s="1057"/>
      <c r="P471" s="1057"/>
      <c r="Q471" s="1057"/>
      <c r="R471" s="1057"/>
    </row>
    <row r="472">
      <c r="C472" s="1035"/>
      <c r="N472" s="1057"/>
      <c r="O472" s="1057"/>
      <c r="P472" s="1057"/>
      <c r="Q472" s="1057"/>
      <c r="R472" s="1057"/>
    </row>
    <row r="473">
      <c r="C473" s="1035"/>
      <c r="N473" s="1057"/>
      <c r="O473" s="1057"/>
      <c r="P473" s="1057"/>
      <c r="Q473" s="1057"/>
      <c r="R473" s="1057"/>
    </row>
    <row r="474">
      <c r="C474" s="1035"/>
      <c r="N474" s="1057"/>
      <c r="O474" s="1057"/>
      <c r="P474" s="1057"/>
      <c r="Q474" s="1057"/>
      <c r="R474" s="1057"/>
    </row>
    <row r="475">
      <c r="C475" s="1035"/>
      <c r="N475" s="1057"/>
      <c r="O475" s="1057"/>
      <c r="P475" s="1057"/>
      <c r="Q475" s="1057"/>
      <c r="R475" s="1057"/>
    </row>
    <row r="476">
      <c r="C476" s="1035"/>
      <c r="N476" s="1057"/>
      <c r="O476" s="1057"/>
      <c r="P476" s="1057"/>
      <c r="Q476" s="1057"/>
      <c r="R476" s="1057"/>
    </row>
    <row r="477">
      <c r="C477" s="1035"/>
      <c r="N477" s="1057"/>
      <c r="O477" s="1057"/>
      <c r="P477" s="1057"/>
      <c r="Q477" s="1057"/>
      <c r="R477" s="1057"/>
    </row>
    <row r="478">
      <c r="C478" s="1035"/>
      <c r="N478" s="1057"/>
      <c r="O478" s="1057"/>
      <c r="P478" s="1057"/>
      <c r="Q478" s="1057"/>
      <c r="R478" s="1057"/>
    </row>
    <row r="479">
      <c r="C479" s="1035"/>
      <c r="N479" s="1057"/>
      <c r="O479" s="1057"/>
      <c r="P479" s="1057"/>
      <c r="Q479" s="1057"/>
      <c r="R479" s="1057"/>
    </row>
    <row r="480">
      <c r="C480" s="1035"/>
      <c r="N480" s="1057"/>
      <c r="O480" s="1057"/>
      <c r="P480" s="1057"/>
      <c r="Q480" s="1057"/>
      <c r="R480" s="1057"/>
    </row>
    <row r="481">
      <c r="C481" s="1035"/>
      <c r="N481" s="1057"/>
      <c r="O481" s="1057"/>
      <c r="P481" s="1057"/>
      <c r="Q481" s="1057"/>
      <c r="R481" s="1057"/>
    </row>
    <row r="482">
      <c r="C482" s="1035"/>
      <c r="N482" s="1057"/>
      <c r="O482" s="1057"/>
      <c r="P482" s="1057"/>
      <c r="Q482" s="1057"/>
      <c r="R482" s="1057"/>
    </row>
    <row r="483">
      <c r="C483" s="1035"/>
      <c r="N483" s="1057"/>
      <c r="O483" s="1057"/>
      <c r="P483" s="1057"/>
      <c r="Q483" s="1057"/>
      <c r="R483" s="1057"/>
    </row>
    <row r="484">
      <c r="C484" s="1035"/>
      <c r="N484" s="1057"/>
      <c r="O484" s="1057"/>
      <c r="P484" s="1057"/>
      <c r="Q484" s="1057"/>
      <c r="R484" s="1057"/>
    </row>
    <row r="485">
      <c r="C485" s="1035"/>
      <c r="N485" s="1057"/>
      <c r="O485" s="1057"/>
      <c r="P485" s="1057"/>
      <c r="Q485" s="1057"/>
      <c r="R485" s="1057"/>
    </row>
    <row r="486">
      <c r="C486" s="1035"/>
      <c r="N486" s="1057"/>
      <c r="O486" s="1057"/>
      <c r="P486" s="1057"/>
      <c r="Q486" s="1057"/>
      <c r="R486" s="1057"/>
    </row>
    <row r="487">
      <c r="C487" s="1035"/>
      <c r="N487" s="1057"/>
      <c r="O487" s="1057"/>
      <c r="P487" s="1057"/>
      <c r="Q487" s="1057"/>
      <c r="R487" s="1057"/>
    </row>
    <row r="488">
      <c r="C488" s="1035"/>
      <c r="N488" s="1057"/>
      <c r="O488" s="1057"/>
      <c r="P488" s="1057"/>
      <c r="Q488" s="1057"/>
      <c r="R488" s="1057"/>
    </row>
    <row r="489">
      <c r="C489" s="1035"/>
      <c r="N489" s="1057"/>
      <c r="O489" s="1057"/>
      <c r="P489" s="1057"/>
      <c r="Q489" s="1057"/>
      <c r="R489" s="1057"/>
    </row>
    <row r="490">
      <c r="C490" s="1035"/>
      <c r="N490" s="1057"/>
      <c r="O490" s="1057"/>
      <c r="P490" s="1057"/>
      <c r="Q490" s="1057"/>
      <c r="R490" s="1057"/>
    </row>
    <row r="491">
      <c r="C491" s="1035"/>
      <c r="N491" s="1057"/>
      <c r="O491" s="1057"/>
      <c r="P491" s="1057"/>
      <c r="Q491" s="1057"/>
      <c r="R491" s="1057"/>
    </row>
    <row r="492">
      <c r="C492" s="1035"/>
      <c r="N492" s="1057"/>
      <c r="O492" s="1057"/>
      <c r="P492" s="1057"/>
      <c r="Q492" s="1057"/>
      <c r="R492" s="1057"/>
    </row>
    <row r="493">
      <c r="C493" s="1035"/>
      <c r="N493" s="1057"/>
      <c r="O493" s="1057"/>
      <c r="P493" s="1057"/>
      <c r="Q493" s="1057"/>
      <c r="R493" s="1057"/>
    </row>
    <row r="494">
      <c r="C494" s="1035"/>
      <c r="N494" s="1057"/>
      <c r="O494" s="1057"/>
      <c r="P494" s="1057"/>
      <c r="Q494" s="1057"/>
      <c r="R494" s="1057"/>
    </row>
    <row r="495">
      <c r="C495" s="1035"/>
      <c r="N495" s="1057"/>
      <c r="O495" s="1057"/>
      <c r="P495" s="1057"/>
      <c r="Q495" s="1057"/>
      <c r="R495" s="1057"/>
    </row>
    <row r="496">
      <c r="C496" s="1035"/>
      <c r="N496" s="1057"/>
      <c r="O496" s="1057"/>
      <c r="P496" s="1057"/>
      <c r="Q496" s="1057"/>
      <c r="R496" s="1057"/>
    </row>
    <row r="497">
      <c r="C497" s="1035"/>
      <c r="N497" s="1057"/>
      <c r="O497" s="1057"/>
      <c r="P497" s="1057"/>
      <c r="Q497" s="1057"/>
      <c r="R497" s="1057"/>
    </row>
    <row r="498">
      <c r="C498" s="1035"/>
      <c r="N498" s="1057"/>
      <c r="O498" s="1057"/>
      <c r="P498" s="1057"/>
      <c r="Q498" s="1057"/>
      <c r="R498" s="1057"/>
    </row>
    <row r="499">
      <c r="C499" s="1035"/>
      <c r="N499" s="1057"/>
      <c r="O499" s="1057"/>
      <c r="P499" s="1057"/>
      <c r="Q499" s="1057"/>
      <c r="R499" s="1057"/>
    </row>
    <row r="500">
      <c r="C500" s="1035"/>
      <c r="N500" s="1057"/>
      <c r="O500" s="1057"/>
      <c r="P500" s="1057"/>
      <c r="Q500" s="1057"/>
      <c r="R500" s="1057"/>
    </row>
    <row r="501">
      <c r="C501" s="1035"/>
      <c r="N501" s="1057"/>
      <c r="O501" s="1057"/>
      <c r="P501" s="1057"/>
      <c r="Q501" s="1057"/>
      <c r="R501" s="1057"/>
    </row>
    <row r="502">
      <c r="C502" s="1035"/>
      <c r="N502" s="1057"/>
      <c r="O502" s="1057"/>
      <c r="P502" s="1057"/>
      <c r="Q502" s="1057"/>
      <c r="R502" s="1057"/>
    </row>
    <row r="503">
      <c r="C503" s="1035"/>
      <c r="N503" s="1057"/>
      <c r="O503" s="1057"/>
      <c r="P503" s="1057"/>
      <c r="Q503" s="1057"/>
      <c r="R503" s="1057"/>
    </row>
    <row r="504">
      <c r="C504" s="1035"/>
      <c r="N504" s="1057"/>
      <c r="O504" s="1057"/>
      <c r="P504" s="1057"/>
      <c r="Q504" s="1057"/>
      <c r="R504" s="1057"/>
    </row>
    <row r="505">
      <c r="C505" s="1035"/>
      <c r="N505" s="1057"/>
      <c r="O505" s="1057"/>
      <c r="P505" s="1057"/>
      <c r="Q505" s="1057"/>
      <c r="R505" s="1057"/>
    </row>
    <row r="506">
      <c r="C506" s="1035"/>
      <c r="N506" s="1057"/>
      <c r="O506" s="1057"/>
      <c r="P506" s="1057"/>
      <c r="Q506" s="1057"/>
      <c r="R506" s="1057"/>
    </row>
    <row r="507">
      <c r="C507" s="1035"/>
      <c r="N507" s="1057"/>
      <c r="O507" s="1057"/>
      <c r="P507" s="1057"/>
      <c r="Q507" s="1057"/>
      <c r="R507" s="1057"/>
    </row>
    <row r="508">
      <c r="C508" s="1035"/>
      <c r="N508" s="1057"/>
      <c r="O508" s="1057"/>
      <c r="P508" s="1057"/>
      <c r="Q508" s="1057"/>
      <c r="R508" s="1057"/>
    </row>
    <row r="509">
      <c r="C509" s="1035"/>
      <c r="N509" s="1057"/>
      <c r="O509" s="1057"/>
      <c r="P509" s="1057"/>
      <c r="Q509" s="1057"/>
      <c r="R509" s="1057"/>
    </row>
    <row r="510">
      <c r="C510" s="1035"/>
      <c r="N510" s="1057"/>
      <c r="O510" s="1057"/>
      <c r="P510" s="1057"/>
      <c r="Q510" s="1057"/>
      <c r="R510" s="1057"/>
    </row>
    <row r="511">
      <c r="C511" s="1035"/>
      <c r="N511" s="1057"/>
      <c r="O511" s="1057"/>
      <c r="P511" s="1057"/>
      <c r="Q511" s="1057"/>
      <c r="R511" s="1057"/>
    </row>
    <row r="512">
      <c r="C512" s="1035"/>
      <c r="N512" s="1057"/>
      <c r="O512" s="1057"/>
      <c r="P512" s="1057"/>
      <c r="Q512" s="1057"/>
      <c r="R512" s="1057"/>
    </row>
    <row r="513">
      <c r="C513" s="1035"/>
      <c r="N513" s="1057"/>
      <c r="O513" s="1057"/>
      <c r="P513" s="1057"/>
      <c r="Q513" s="1057"/>
      <c r="R513" s="1057"/>
    </row>
    <row r="514">
      <c r="C514" s="1035"/>
      <c r="N514" s="1057"/>
      <c r="O514" s="1057"/>
      <c r="P514" s="1057"/>
      <c r="Q514" s="1057"/>
      <c r="R514" s="1057"/>
    </row>
    <row r="515">
      <c r="C515" s="1035"/>
      <c r="N515" s="1057"/>
      <c r="O515" s="1057"/>
      <c r="P515" s="1057"/>
      <c r="Q515" s="1057"/>
      <c r="R515" s="1057"/>
    </row>
    <row r="516">
      <c r="C516" s="1035"/>
      <c r="N516" s="1057"/>
      <c r="O516" s="1057"/>
      <c r="P516" s="1057"/>
      <c r="Q516" s="1057"/>
      <c r="R516" s="1057"/>
    </row>
    <row r="517">
      <c r="C517" s="1035"/>
      <c r="N517" s="1057"/>
      <c r="O517" s="1057"/>
      <c r="P517" s="1057"/>
      <c r="Q517" s="1057"/>
      <c r="R517" s="1057"/>
    </row>
    <row r="518">
      <c r="C518" s="1035"/>
      <c r="N518" s="1057"/>
      <c r="O518" s="1057"/>
      <c r="P518" s="1057"/>
      <c r="Q518" s="1057"/>
      <c r="R518" s="1057"/>
    </row>
    <row r="519">
      <c r="C519" s="1035"/>
      <c r="N519" s="1057"/>
      <c r="O519" s="1057"/>
      <c r="P519" s="1057"/>
      <c r="Q519" s="1057"/>
      <c r="R519" s="1057"/>
    </row>
    <row r="520">
      <c r="C520" s="1035"/>
      <c r="N520" s="1057"/>
      <c r="O520" s="1057"/>
      <c r="P520" s="1057"/>
      <c r="Q520" s="1057"/>
      <c r="R520" s="1057"/>
    </row>
    <row r="521">
      <c r="C521" s="1035"/>
      <c r="N521" s="1057"/>
      <c r="O521" s="1057"/>
      <c r="P521" s="1057"/>
      <c r="Q521" s="1057"/>
      <c r="R521" s="1057"/>
    </row>
    <row r="522">
      <c r="C522" s="1035"/>
      <c r="N522" s="1057"/>
      <c r="O522" s="1057"/>
      <c r="P522" s="1057"/>
      <c r="Q522" s="1057"/>
      <c r="R522" s="1057"/>
    </row>
    <row r="523">
      <c r="C523" s="1035"/>
      <c r="N523" s="1057"/>
      <c r="O523" s="1057"/>
      <c r="P523" s="1057"/>
      <c r="Q523" s="1057"/>
      <c r="R523" s="1057"/>
    </row>
    <row r="524">
      <c r="C524" s="1035"/>
      <c r="N524" s="1057"/>
      <c r="O524" s="1057"/>
      <c r="P524" s="1057"/>
      <c r="Q524" s="1057"/>
      <c r="R524" s="1057"/>
    </row>
    <row r="525">
      <c r="C525" s="1035"/>
      <c r="N525" s="1057"/>
      <c r="O525" s="1057"/>
      <c r="P525" s="1057"/>
      <c r="Q525" s="1057"/>
      <c r="R525" s="1057"/>
    </row>
    <row r="526">
      <c r="C526" s="1035"/>
      <c r="N526" s="1057"/>
      <c r="O526" s="1057"/>
      <c r="P526" s="1057"/>
      <c r="Q526" s="1057"/>
      <c r="R526" s="1057"/>
    </row>
    <row r="527">
      <c r="C527" s="1035"/>
      <c r="N527" s="1057"/>
      <c r="O527" s="1057"/>
      <c r="P527" s="1057"/>
      <c r="Q527" s="1057"/>
      <c r="R527" s="1057"/>
    </row>
    <row r="528">
      <c r="C528" s="1035"/>
      <c r="N528" s="1057"/>
      <c r="O528" s="1057"/>
      <c r="P528" s="1057"/>
      <c r="Q528" s="1057"/>
      <c r="R528" s="1057"/>
    </row>
    <row r="529">
      <c r="C529" s="1035"/>
      <c r="N529" s="1057"/>
      <c r="O529" s="1057"/>
      <c r="P529" s="1057"/>
      <c r="Q529" s="1057"/>
      <c r="R529" s="1057"/>
    </row>
    <row r="530">
      <c r="C530" s="1035"/>
      <c r="N530" s="1057"/>
      <c r="O530" s="1057"/>
      <c r="P530" s="1057"/>
      <c r="Q530" s="1057"/>
      <c r="R530" s="1057"/>
    </row>
    <row r="531">
      <c r="C531" s="1035"/>
      <c r="N531" s="1057"/>
      <c r="O531" s="1057"/>
      <c r="P531" s="1057"/>
      <c r="Q531" s="1057"/>
      <c r="R531" s="1057"/>
    </row>
    <row r="532">
      <c r="C532" s="1035"/>
      <c r="N532" s="1057"/>
      <c r="O532" s="1057"/>
      <c r="P532" s="1057"/>
      <c r="Q532" s="1057"/>
      <c r="R532" s="1057"/>
    </row>
    <row r="533">
      <c r="C533" s="1035"/>
      <c r="N533" s="1057"/>
      <c r="O533" s="1057"/>
      <c r="P533" s="1057"/>
      <c r="Q533" s="1057"/>
      <c r="R533" s="1057"/>
    </row>
    <row r="534">
      <c r="C534" s="1035"/>
      <c r="N534" s="1057"/>
      <c r="O534" s="1057"/>
      <c r="P534" s="1057"/>
      <c r="Q534" s="1057"/>
      <c r="R534" s="1057"/>
    </row>
    <row r="535">
      <c r="C535" s="1035"/>
      <c r="N535" s="1057"/>
      <c r="O535" s="1057"/>
      <c r="P535" s="1057"/>
      <c r="Q535" s="1057"/>
      <c r="R535" s="1057"/>
    </row>
    <row r="536">
      <c r="C536" s="1035"/>
      <c r="N536" s="1057"/>
      <c r="O536" s="1057"/>
      <c r="P536" s="1057"/>
      <c r="Q536" s="1057"/>
      <c r="R536" s="1057"/>
    </row>
    <row r="537">
      <c r="C537" s="1035"/>
      <c r="N537" s="1057"/>
      <c r="O537" s="1057"/>
      <c r="P537" s="1057"/>
      <c r="Q537" s="1057"/>
      <c r="R537" s="1057"/>
    </row>
    <row r="538">
      <c r="C538" s="1035"/>
      <c r="N538" s="1057"/>
      <c r="O538" s="1057"/>
      <c r="P538" s="1057"/>
      <c r="Q538" s="1057"/>
      <c r="R538" s="1057"/>
    </row>
    <row r="539">
      <c r="C539" s="1035"/>
      <c r="N539" s="1057"/>
      <c r="O539" s="1057"/>
      <c r="P539" s="1057"/>
      <c r="Q539" s="1057"/>
      <c r="R539" s="1057"/>
    </row>
    <row r="540">
      <c r="C540" s="1035"/>
      <c r="N540" s="1057"/>
      <c r="O540" s="1057"/>
      <c r="P540" s="1057"/>
      <c r="Q540" s="1057"/>
      <c r="R540" s="1057"/>
    </row>
    <row r="541">
      <c r="C541" s="1035"/>
      <c r="N541" s="1057"/>
      <c r="O541" s="1057"/>
      <c r="P541" s="1057"/>
      <c r="Q541" s="1057"/>
      <c r="R541" s="1057"/>
    </row>
    <row r="542">
      <c r="C542" s="1035"/>
      <c r="N542" s="1057"/>
      <c r="O542" s="1057"/>
      <c r="P542" s="1057"/>
      <c r="Q542" s="1057"/>
      <c r="R542" s="1057"/>
    </row>
    <row r="543">
      <c r="C543" s="1035"/>
      <c r="N543" s="1057"/>
      <c r="O543" s="1057"/>
      <c r="P543" s="1057"/>
      <c r="Q543" s="1057"/>
      <c r="R543" s="1057"/>
    </row>
    <row r="544">
      <c r="C544" s="1035"/>
      <c r="N544" s="1057"/>
      <c r="O544" s="1057"/>
      <c r="P544" s="1057"/>
      <c r="Q544" s="1057"/>
      <c r="R544" s="1057"/>
    </row>
    <row r="545">
      <c r="C545" s="1035"/>
      <c r="N545" s="1057"/>
      <c r="O545" s="1057"/>
      <c r="P545" s="1057"/>
      <c r="Q545" s="1057"/>
      <c r="R545" s="1057"/>
    </row>
    <row r="546">
      <c r="C546" s="1035"/>
      <c r="N546" s="1057"/>
      <c r="O546" s="1057"/>
      <c r="P546" s="1057"/>
      <c r="Q546" s="1057"/>
      <c r="R546" s="1057"/>
    </row>
    <row r="547">
      <c r="C547" s="1035"/>
      <c r="N547" s="1057"/>
      <c r="O547" s="1057"/>
      <c r="P547" s="1057"/>
      <c r="Q547" s="1057"/>
      <c r="R547" s="1057"/>
    </row>
    <row r="548">
      <c r="C548" s="1035"/>
      <c r="N548" s="1057"/>
      <c r="O548" s="1057"/>
      <c r="P548" s="1057"/>
      <c r="Q548" s="1057"/>
      <c r="R548" s="1057"/>
    </row>
    <row r="549">
      <c r="C549" s="1035"/>
      <c r="N549" s="1057"/>
      <c r="O549" s="1057"/>
      <c r="P549" s="1057"/>
      <c r="Q549" s="1057"/>
      <c r="R549" s="1057"/>
    </row>
    <row r="550">
      <c r="C550" s="1035"/>
      <c r="N550" s="1057"/>
      <c r="O550" s="1057"/>
      <c r="P550" s="1057"/>
      <c r="Q550" s="1057"/>
      <c r="R550" s="1057"/>
    </row>
    <row r="551">
      <c r="C551" s="1035"/>
      <c r="N551" s="1057"/>
      <c r="O551" s="1057"/>
      <c r="P551" s="1057"/>
      <c r="Q551" s="1057"/>
      <c r="R551" s="1057"/>
    </row>
    <row r="552">
      <c r="C552" s="1035"/>
      <c r="N552" s="1057"/>
      <c r="O552" s="1057"/>
      <c r="P552" s="1057"/>
      <c r="Q552" s="1057"/>
      <c r="R552" s="1057"/>
    </row>
    <row r="553">
      <c r="C553" s="1035"/>
      <c r="N553" s="1057"/>
      <c r="O553" s="1057"/>
      <c r="P553" s="1057"/>
      <c r="Q553" s="1057"/>
      <c r="R553" s="1057"/>
    </row>
    <row r="554">
      <c r="C554" s="1035"/>
      <c r="N554" s="1057"/>
      <c r="O554" s="1057"/>
      <c r="P554" s="1057"/>
      <c r="Q554" s="1057"/>
      <c r="R554" s="1057"/>
    </row>
    <row r="555">
      <c r="C555" s="1035"/>
      <c r="N555" s="1057"/>
      <c r="O555" s="1057"/>
      <c r="P555" s="1057"/>
      <c r="Q555" s="1057"/>
      <c r="R555" s="1057"/>
    </row>
    <row r="556">
      <c r="C556" s="1035"/>
      <c r="N556" s="1057"/>
      <c r="O556" s="1057"/>
      <c r="P556" s="1057"/>
      <c r="Q556" s="1057"/>
      <c r="R556" s="1057"/>
    </row>
    <row r="557">
      <c r="C557" s="1035"/>
      <c r="N557" s="1057"/>
      <c r="O557" s="1057"/>
      <c r="P557" s="1057"/>
      <c r="Q557" s="1057"/>
      <c r="R557" s="1057"/>
    </row>
    <row r="558">
      <c r="C558" s="1035"/>
      <c r="N558" s="1057"/>
      <c r="O558" s="1057"/>
      <c r="P558" s="1057"/>
      <c r="Q558" s="1057"/>
      <c r="R558" s="1057"/>
    </row>
    <row r="559">
      <c r="C559" s="1035"/>
      <c r="N559" s="1057"/>
      <c r="O559" s="1057"/>
      <c r="P559" s="1057"/>
      <c r="Q559" s="1057"/>
      <c r="R559" s="1057"/>
    </row>
    <row r="560">
      <c r="C560" s="1035"/>
      <c r="N560" s="1057"/>
      <c r="O560" s="1057"/>
      <c r="P560" s="1057"/>
      <c r="Q560" s="1057"/>
      <c r="R560" s="1057"/>
    </row>
    <row r="561">
      <c r="C561" s="1035"/>
      <c r="N561" s="1057"/>
      <c r="O561" s="1057"/>
      <c r="P561" s="1057"/>
      <c r="Q561" s="1057"/>
      <c r="R561" s="1057"/>
    </row>
    <row r="562">
      <c r="C562" s="1035"/>
      <c r="N562" s="1057"/>
      <c r="O562" s="1057"/>
      <c r="P562" s="1057"/>
      <c r="Q562" s="1057"/>
      <c r="R562" s="1057"/>
    </row>
    <row r="563">
      <c r="C563" s="1035"/>
      <c r="N563" s="1057"/>
      <c r="O563" s="1057"/>
      <c r="P563" s="1057"/>
      <c r="Q563" s="1057"/>
      <c r="R563" s="1057"/>
    </row>
    <row r="564">
      <c r="C564" s="1035"/>
      <c r="N564" s="1057"/>
      <c r="O564" s="1057"/>
      <c r="P564" s="1057"/>
      <c r="Q564" s="1057"/>
      <c r="R564" s="1057"/>
    </row>
    <row r="565">
      <c r="C565" s="1035"/>
      <c r="N565" s="1057"/>
      <c r="O565" s="1057"/>
      <c r="P565" s="1057"/>
      <c r="Q565" s="1057"/>
      <c r="R565" s="1057"/>
    </row>
    <row r="566">
      <c r="C566" s="1035"/>
      <c r="N566" s="1057"/>
      <c r="O566" s="1057"/>
      <c r="P566" s="1057"/>
      <c r="Q566" s="1057"/>
      <c r="R566" s="1057"/>
    </row>
    <row r="567">
      <c r="C567" s="1035"/>
      <c r="N567" s="1057"/>
      <c r="O567" s="1057"/>
      <c r="P567" s="1057"/>
      <c r="Q567" s="1057"/>
      <c r="R567" s="1057"/>
    </row>
    <row r="568">
      <c r="C568" s="1035"/>
      <c r="N568" s="1057"/>
      <c r="O568" s="1057"/>
      <c r="P568" s="1057"/>
      <c r="Q568" s="1057"/>
      <c r="R568" s="1057"/>
    </row>
    <row r="569">
      <c r="C569" s="1035"/>
      <c r="N569" s="1057"/>
      <c r="O569" s="1057"/>
      <c r="P569" s="1057"/>
      <c r="Q569" s="1057"/>
      <c r="R569" s="1057"/>
    </row>
    <row r="570">
      <c r="C570" s="1035"/>
      <c r="N570" s="1057"/>
      <c r="O570" s="1057"/>
      <c r="P570" s="1057"/>
      <c r="Q570" s="1057"/>
      <c r="R570" s="1057"/>
    </row>
    <row r="571">
      <c r="C571" s="1035"/>
      <c r="N571" s="1057"/>
      <c r="O571" s="1057"/>
      <c r="P571" s="1057"/>
      <c r="Q571" s="1057"/>
      <c r="R571" s="1057"/>
    </row>
    <row r="572">
      <c r="C572" s="1035"/>
      <c r="N572" s="1057"/>
      <c r="O572" s="1057"/>
      <c r="P572" s="1057"/>
      <c r="Q572" s="1057"/>
      <c r="R572" s="1057"/>
    </row>
    <row r="573">
      <c r="C573" s="1035"/>
      <c r="N573" s="1057"/>
      <c r="O573" s="1057"/>
      <c r="P573" s="1057"/>
      <c r="Q573" s="1057"/>
      <c r="R573" s="1057"/>
    </row>
    <row r="574">
      <c r="C574" s="1035"/>
      <c r="N574" s="1057"/>
      <c r="O574" s="1057"/>
      <c r="P574" s="1057"/>
      <c r="Q574" s="1057"/>
      <c r="R574" s="1057"/>
    </row>
    <row r="575">
      <c r="C575" s="1035"/>
      <c r="N575" s="1057"/>
      <c r="O575" s="1057"/>
      <c r="P575" s="1057"/>
      <c r="Q575" s="1057"/>
      <c r="R575" s="1057"/>
    </row>
    <row r="576">
      <c r="C576" s="1035"/>
      <c r="N576" s="1057"/>
      <c r="O576" s="1057"/>
      <c r="P576" s="1057"/>
      <c r="Q576" s="1057"/>
      <c r="R576" s="1057"/>
    </row>
    <row r="577">
      <c r="C577" s="1035"/>
      <c r="N577" s="1057"/>
      <c r="O577" s="1057"/>
      <c r="P577" s="1057"/>
      <c r="Q577" s="1057"/>
      <c r="R577" s="1057"/>
    </row>
    <row r="578">
      <c r="C578" s="1035"/>
      <c r="N578" s="1057"/>
      <c r="O578" s="1057"/>
      <c r="P578" s="1057"/>
      <c r="Q578" s="1057"/>
      <c r="R578" s="1057"/>
    </row>
    <row r="579">
      <c r="C579" s="1035"/>
      <c r="N579" s="1057"/>
      <c r="O579" s="1057"/>
      <c r="P579" s="1057"/>
      <c r="Q579" s="1057"/>
      <c r="R579" s="1057"/>
    </row>
    <row r="580">
      <c r="C580" s="1035"/>
      <c r="N580" s="1057"/>
      <c r="O580" s="1057"/>
      <c r="P580" s="1057"/>
      <c r="Q580" s="1057"/>
      <c r="R580" s="1057"/>
    </row>
    <row r="581">
      <c r="C581" s="1035"/>
      <c r="N581" s="1057"/>
      <c r="O581" s="1057"/>
      <c r="P581" s="1057"/>
      <c r="Q581" s="1057"/>
      <c r="R581" s="1057"/>
    </row>
    <row r="582">
      <c r="C582" s="1035"/>
      <c r="N582" s="1057"/>
      <c r="O582" s="1057"/>
      <c r="P582" s="1057"/>
      <c r="Q582" s="1057"/>
      <c r="R582" s="1057"/>
    </row>
    <row r="583">
      <c r="C583" s="1035"/>
      <c r="N583" s="1057"/>
      <c r="O583" s="1057"/>
      <c r="P583" s="1057"/>
      <c r="Q583" s="1057"/>
      <c r="R583" s="1057"/>
    </row>
    <row r="584">
      <c r="C584" s="1035"/>
      <c r="N584" s="1057"/>
      <c r="O584" s="1057"/>
      <c r="P584" s="1057"/>
      <c r="Q584" s="1057"/>
      <c r="R584" s="1057"/>
    </row>
    <row r="585">
      <c r="C585" s="1035"/>
      <c r="N585" s="1057"/>
      <c r="O585" s="1057"/>
      <c r="P585" s="1057"/>
      <c r="Q585" s="1057"/>
      <c r="R585" s="1057"/>
    </row>
    <row r="586">
      <c r="C586" s="1035"/>
      <c r="N586" s="1057"/>
      <c r="O586" s="1057"/>
      <c r="P586" s="1057"/>
      <c r="Q586" s="1057"/>
      <c r="R586" s="1057"/>
    </row>
    <row r="587">
      <c r="C587" s="1035"/>
      <c r="N587" s="1057"/>
      <c r="O587" s="1057"/>
      <c r="P587" s="1057"/>
      <c r="Q587" s="1057"/>
      <c r="R587" s="1057"/>
    </row>
    <row r="588">
      <c r="C588" s="1035"/>
      <c r="N588" s="1057"/>
      <c r="O588" s="1057"/>
      <c r="P588" s="1057"/>
      <c r="Q588" s="1057"/>
      <c r="R588" s="1057"/>
    </row>
    <row r="589">
      <c r="C589" s="1035"/>
      <c r="N589" s="1057"/>
      <c r="O589" s="1057"/>
      <c r="P589" s="1057"/>
      <c r="Q589" s="1057"/>
      <c r="R589" s="1057"/>
    </row>
    <row r="590">
      <c r="C590" s="1035"/>
      <c r="N590" s="1057"/>
      <c r="O590" s="1057"/>
      <c r="P590" s="1057"/>
      <c r="Q590" s="1057"/>
      <c r="R590" s="1057"/>
    </row>
    <row r="591">
      <c r="C591" s="1035"/>
      <c r="N591" s="1057"/>
      <c r="O591" s="1057"/>
      <c r="P591" s="1057"/>
      <c r="Q591" s="1057"/>
      <c r="R591" s="1057"/>
    </row>
    <row r="592">
      <c r="C592" s="1035"/>
      <c r="N592" s="1057"/>
      <c r="O592" s="1057"/>
      <c r="P592" s="1057"/>
      <c r="Q592" s="1057"/>
      <c r="R592" s="1057"/>
    </row>
    <row r="593">
      <c r="C593" s="1035"/>
      <c r="N593" s="1057"/>
      <c r="O593" s="1057"/>
      <c r="P593" s="1057"/>
      <c r="Q593" s="1057"/>
      <c r="R593" s="1057"/>
    </row>
    <row r="594">
      <c r="C594" s="1035"/>
      <c r="N594" s="1057"/>
      <c r="O594" s="1057"/>
      <c r="P594" s="1057"/>
      <c r="Q594" s="1057"/>
      <c r="R594" s="1057"/>
    </row>
    <row r="595">
      <c r="C595" s="1035"/>
      <c r="N595" s="1057"/>
      <c r="O595" s="1057"/>
      <c r="P595" s="1057"/>
      <c r="Q595" s="1057"/>
      <c r="R595" s="1057"/>
    </row>
    <row r="596">
      <c r="C596" s="1035"/>
      <c r="N596" s="1057"/>
      <c r="O596" s="1057"/>
      <c r="P596" s="1057"/>
      <c r="Q596" s="1057"/>
      <c r="R596" s="1057"/>
    </row>
    <row r="597">
      <c r="C597" s="1035"/>
      <c r="N597" s="1057"/>
      <c r="O597" s="1057"/>
      <c r="P597" s="1057"/>
      <c r="Q597" s="1057"/>
      <c r="R597" s="1057"/>
    </row>
    <row r="598">
      <c r="C598" s="1035"/>
      <c r="N598" s="1057"/>
      <c r="O598" s="1057"/>
      <c r="P598" s="1057"/>
      <c r="Q598" s="1057"/>
      <c r="R598" s="1057"/>
    </row>
    <row r="599">
      <c r="C599" s="1035"/>
      <c r="N599" s="1057"/>
      <c r="O599" s="1057"/>
      <c r="P599" s="1057"/>
      <c r="Q599" s="1057"/>
      <c r="R599" s="1057"/>
    </row>
    <row r="600">
      <c r="C600" s="1035"/>
      <c r="N600" s="1057"/>
      <c r="O600" s="1057"/>
      <c r="P600" s="1057"/>
      <c r="Q600" s="1057"/>
      <c r="R600" s="1057"/>
    </row>
    <row r="601">
      <c r="C601" s="1035"/>
      <c r="N601" s="1057"/>
      <c r="O601" s="1057"/>
      <c r="P601" s="1057"/>
      <c r="Q601" s="1057"/>
      <c r="R601" s="1057"/>
    </row>
    <row r="602">
      <c r="C602" s="1035"/>
      <c r="N602" s="1057"/>
      <c r="O602" s="1057"/>
      <c r="P602" s="1057"/>
      <c r="Q602" s="1057"/>
      <c r="R602" s="1057"/>
    </row>
    <row r="603">
      <c r="C603" s="1035"/>
      <c r="N603" s="1057"/>
      <c r="O603" s="1057"/>
      <c r="P603" s="1057"/>
      <c r="Q603" s="1057"/>
      <c r="R603" s="1057"/>
    </row>
    <row r="604">
      <c r="C604" s="1035"/>
      <c r="N604" s="1057"/>
      <c r="O604" s="1057"/>
      <c r="P604" s="1057"/>
      <c r="Q604" s="1057"/>
      <c r="R604" s="1057"/>
    </row>
    <row r="605">
      <c r="C605" s="1035"/>
      <c r="N605" s="1057"/>
      <c r="O605" s="1057"/>
      <c r="P605" s="1057"/>
      <c r="Q605" s="1057"/>
      <c r="R605" s="1057"/>
    </row>
    <row r="606">
      <c r="C606" s="1035"/>
      <c r="N606" s="1057"/>
      <c r="O606" s="1057"/>
      <c r="P606" s="1057"/>
      <c r="Q606" s="1057"/>
      <c r="R606" s="1057"/>
    </row>
    <row r="607">
      <c r="C607" s="1035"/>
      <c r="N607" s="1057"/>
      <c r="O607" s="1057"/>
      <c r="P607" s="1057"/>
      <c r="Q607" s="1057"/>
      <c r="R607" s="1057"/>
    </row>
    <row r="608">
      <c r="C608" s="1035"/>
      <c r="N608" s="1057"/>
      <c r="O608" s="1057"/>
      <c r="P608" s="1057"/>
      <c r="Q608" s="1057"/>
      <c r="R608" s="1057"/>
    </row>
    <row r="609">
      <c r="C609" s="1035"/>
      <c r="N609" s="1057"/>
      <c r="O609" s="1057"/>
      <c r="P609" s="1057"/>
      <c r="Q609" s="1057"/>
      <c r="R609" s="1057"/>
    </row>
    <row r="610">
      <c r="C610" s="1035"/>
      <c r="N610" s="1057"/>
      <c r="O610" s="1057"/>
      <c r="P610" s="1057"/>
      <c r="Q610" s="1057"/>
      <c r="R610" s="1057"/>
    </row>
    <row r="611">
      <c r="C611" s="1035"/>
      <c r="N611" s="1057"/>
      <c r="O611" s="1057"/>
      <c r="P611" s="1057"/>
      <c r="Q611" s="1057"/>
      <c r="R611" s="1057"/>
    </row>
    <row r="612">
      <c r="C612" s="1035"/>
      <c r="N612" s="1057"/>
      <c r="O612" s="1057"/>
      <c r="P612" s="1057"/>
      <c r="Q612" s="1057"/>
      <c r="R612" s="1057"/>
    </row>
    <row r="613">
      <c r="C613" s="1035"/>
      <c r="N613" s="1057"/>
      <c r="O613" s="1057"/>
      <c r="P613" s="1057"/>
      <c r="Q613" s="1057"/>
      <c r="R613" s="1057"/>
    </row>
    <row r="614">
      <c r="C614" s="1035"/>
      <c r="N614" s="1057"/>
      <c r="O614" s="1057"/>
      <c r="P614" s="1057"/>
      <c r="Q614" s="1057"/>
      <c r="R614" s="1057"/>
    </row>
    <row r="615">
      <c r="C615" s="1035"/>
      <c r="N615" s="1057"/>
      <c r="O615" s="1057"/>
      <c r="P615" s="1057"/>
      <c r="Q615" s="1057"/>
      <c r="R615" s="1057"/>
    </row>
    <row r="616">
      <c r="C616" s="1035"/>
      <c r="N616" s="1057"/>
      <c r="O616" s="1057"/>
      <c r="P616" s="1057"/>
      <c r="Q616" s="1057"/>
      <c r="R616" s="1057"/>
    </row>
    <row r="617">
      <c r="C617" s="1035"/>
      <c r="N617" s="1057"/>
      <c r="O617" s="1057"/>
      <c r="P617" s="1057"/>
      <c r="Q617" s="1057"/>
      <c r="R617" s="1057"/>
    </row>
    <row r="618">
      <c r="C618" s="1035"/>
      <c r="N618" s="1057"/>
      <c r="O618" s="1057"/>
      <c r="P618" s="1057"/>
      <c r="Q618" s="1057"/>
      <c r="R618" s="1057"/>
    </row>
    <row r="619">
      <c r="C619" s="1035"/>
      <c r="N619" s="1057"/>
      <c r="O619" s="1057"/>
      <c r="P619" s="1057"/>
      <c r="Q619" s="1057"/>
      <c r="R619" s="1057"/>
    </row>
    <row r="620">
      <c r="C620" s="1035"/>
      <c r="N620" s="1057"/>
      <c r="O620" s="1057"/>
      <c r="P620" s="1057"/>
      <c r="Q620" s="1057"/>
      <c r="R620" s="1057"/>
    </row>
    <row r="621">
      <c r="C621" s="1035"/>
      <c r="N621" s="1057"/>
      <c r="O621" s="1057"/>
      <c r="P621" s="1057"/>
      <c r="Q621" s="1057"/>
      <c r="R621" s="1057"/>
    </row>
    <row r="622">
      <c r="C622" s="1035"/>
      <c r="N622" s="1057"/>
      <c r="O622" s="1057"/>
      <c r="P622" s="1057"/>
      <c r="Q622" s="1057"/>
      <c r="R622" s="1057"/>
    </row>
    <row r="623">
      <c r="C623" s="1035"/>
      <c r="N623" s="1057"/>
      <c r="O623" s="1057"/>
      <c r="P623" s="1057"/>
      <c r="Q623" s="1057"/>
      <c r="R623" s="1057"/>
    </row>
    <row r="624">
      <c r="C624" s="1035"/>
      <c r="N624" s="1057"/>
      <c r="O624" s="1057"/>
      <c r="P624" s="1057"/>
      <c r="Q624" s="1057"/>
      <c r="R624" s="1057"/>
    </row>
    <row r="625">
      <c r="C625" s="1035"/>
      <c r="N625" s="1057"/>
      <c r="O625" s="1057"/>
      <c r="P625" s="1057"/>
      <c r="Q625" s="1057"/>
      <c r="R625" s="1057"/>
    </row>
    <row r="626">
      <c r="C626" s="1035"/>
      <c r="N626" s="1057"/>
      <c r="O626" s="1057"/>
      <c r="P626" s="1057"/>
      <c r="Q626" s="1057"/>
      <c r="R626" s="1057"/>
    </row>
    <row r="627">
      <c r="C627" s="1035"/>
      <c r="N627" s="1057"/>
      <c r="O627" s="1057"/>
      <c r="P627" s="1057"/>
      <c r="Q627" s="1057"/>
      <c r="R627" s="1057"/>
    </row>
    <row r="628">
      <c r="C628" s="1035"/>
      <c r="N628" s="1057"/>
      <c r="O628" s="1057"/>
      <c r="P628" s="1057"/>
      <c r="Q628" s="1057"/>
      <c r="R628" s="1057"/>
    </row>
    <row r="629">
      <c r="C629" s="1035"/>
      <c r="N629" s="1057"/>
      <c r="O629" s="1057"/>
      <c r="P629" s="1057"/>
      <c r="Q629" s="1057"/>
      <c r="R629" s="1057"/>
    </row>
    <row r="630">
      <c r="C630" s="1035"/>
      <c r="N630" s="1057"/>
      <c r="O630" s="1057"/>
      <c r="P630" s="1057"/>
      <c r="Q630" s="1057"/>
      <c r="R630" s="1057"/>
    </row>
    <row r="631">
      <c r="C631" s="1035"/>
      <c r="N631" s="1057"/>
      <c r="O631" s="1057"/>
      <c r="P631" s="1057"/>
      <c r="Q631" s="1057"/>
      <c r="R631" s="1057"/>
    </row>
    <row r="632">
      <c r="C632" s="1035"/>
      <c r="N632" s="1057"/>
      <c r="O632" s="1057"/>
      <c r="P632" s="1057"/>
      <c r="Q632" s="1057"/>
      <c r="R632" s="1057"/>
    </row>
    <row r="633">
      <c r="C633" s="1035"/>
      <c r="N633" s="1057"/>
      <c r="O633" s="1057"/>
      <c r="P633" s="1057"/>
      <c r="Q633" s="1057"/>
      <c r="R633" s="1057"/>
    </row>
    <row r="634">
      <c r="C634" s="1035"/>
      <c r="N634" s="1057"/>
      <c r="O634" s="1057"/>
      <c r="P634" s="1057"/>
      <c r="Q634" s="1057"/>
      <c r="R634" s="1057"/>
    </row>
    <row r="635">
      <c r="C635" s="1035"/>
      <c r="N635" s="1057"/>
      <c r="O635" s="1057"/>
      <c r="P635" s="1057"/>
      <c r="Q635" s="1057"/>
      <c r="R635" s="1057"/>
    </row>
    <row r="636">
      <c r="C636" s="1035"/>
      <c r="N636" s="1057"/>
      <c r="O636" s="1057"/>
      <c r="P636" s="1057"/>
      <c r="Q636" s="1057"/>
      <c r="R636" s="1057"/>
    </row>
    <row r="637">
      <c r="C637" s="1035"/>
      <c r="N637" s="1057"/>
      <c r="O637" s="1057"/>
      <c r="P637" s="1057"/>
      <c r="Q637" s="1057"/>
      <c r="R637" s="1057"/>
    </row>
    <row r="638">
      <c r="C638" s="1035"/>
      <c r="N638" s="1057"/>
      <c r="O638" s="1057"/>
      <c r="P638" s="1057"/>
      <c r="Q638" s="1057"/>
      <c r="R638" s="1057"/>
    </row>
    <row r="639">
      <c r="C639" s="1035"/>
      <c r="N639" s="1057"/>
      <c r="O639" s="1057"/>
      <c r="P639" s="1057"/>
      <c r="Q639" s="1057"/>
      <c r="R639" s="1057"/>
    </row>
    <row r="640">
      <c r="C640" s="1035"/>
      <c r="N640" s="1057"/>
      <c r="O640" s="1057"/>
      <c r="P640" s="1057"/>
      <c r="Q640" s="1057"/>
      <c r="R640" s="1057"/>
    </row>
    <row r="641">
      <c r="C641" s="1035"/>
      <c r="N641" s="1057"/>
      <c r="O641" s="1057"/>
      <c r="P641" s="1057"/>
      <c r="Q641" s="1057"/>
      <c r="R641" s="1057"/>
    </row>
    <row r="642">
      <c r="C642" s="1035"/>
      <c r="N642" s="1057"/>
      <c r="O642" s="1057"/>
      <c r="P642" s="1057"/>
      <c r="Q642" s="1057"/>
      <c r="R642" s="1057"/>
    </row>
    <row r="643">
      <c r="C643" s="1035"/>
      <c r="N643" s="1057"/>
      <c r="O643" s="1057"/>
      <c r="P643" s="1057"/>
      <c r="Q643" s="1057"/>
      <c r="R643" s="1057"/>
    </row>
    <row r="644">
      <c r="C644" s="1035"/>
      <c r="N644" s="1057"/>
      <c r="O644" s="1057"/>
      <c r="P644" s="1057"/>
      <c r="Q644" s="1057"/>
      <c r="R644" s="1057"/>
    </row>
    <row r="645">
      <c r="C645" s="1035"/>
      <c r="N645" s="1057"/>
      <c r="O645" s="1057"/>
      <c r="P645" s="1057"/>
      <c r="Q645" s="1057"/>
      <c r="R645" s="1057"/>
    </row>
    <row r="646">
      <c r="C646" s="1035"/>
      <c r="N646" s="1057"/>
      <c r="O646" s="1057"/>
      <c r="P646" s="1057"/>
      <c r="Q646" s="1057"/>
      <c r="R646" s="1057"/>
    </row>
    <row r="647">
      <c r="C647" s="1035"/>
      <c r="N647" s="1057"/>
      <c r="O647" s="1057"/>
      <c r="P647" s="1057"/>
      <c r="Q647" s="1057"/>
      <c r="R647" s="1057"/>
    </row>
    <row r="648">
      <c r="C648" s="1035"/>
      <c r="N648" s="1057"/>
      <c r="O648" s="1057"/>
      <c r="P648" s="1057"/>
      <c r="Q648" s="1057"/>
      <c r="R648" s="1057"/>
    </row>
    <row r="649">
      <c r="C649" s="1035"/>
      <c r="N649" s="1057"/>
      <c r="O649" s="1057"/>
      <c r="P649" s="1057"/>
      <c r="Q649" s="1057"/>
      <c r="R649" s="1057"/>
    </row>
    <row r="650">
      <c r="C650" s="1035"/>
      <c r="N650" s="1057"/>
      <c r="O650" s="1057"/>
      <c r="P650" s="1057"/>
      <c r="Q650" s="1057"/>
      <c r="R650" s="1057"/>
    </row>
    <row r="651">
      <c r="C651" s="1035"/>
      <c r="N651" s="1057"/>
      <c r="O651" s="1057"/>
      <c r="P651" s="1057"/>
      <c r="Q651" s="1057"/>
      <c r="R651" s="1057"/>
    </row>
    <row r="652">
      <c r="C652" s="1035"/>
      <c r="N652" s="1057"/>
      <c r="O652" s="1057"/>
      <c r="P652" s="1057"/>
      <c r="Q652" s="1057"/>
      <c r="R652" s="1057"/>
    </row>
    <row r="653">
      <c r="C653" s="1035"/>
      <c r="N653" s="1057"/>
      <c r="O653" s="1057"/>
      <c r="P653" s="1057"/>
      <c r="Q653" s="1057"/>
      <c r="R653" s="1057"/>
    </row>
    <row r="654">
      <c r="C654" s="1035"/>
      <c r="N654" s="1057"/>
      <c r="O654" s="1057"/>
      <c r="P654" s="1057"/>
      <c r="Q654" s="1057"/>
      <c r="R654" s="1057"/>
    </row>
    <row r="655">
      <c r="C655" s="1035"/>
      <c r="N655" s="1057"/>
      <c r="O655" s="1057"/>
      <c r="P655" s="1057"/>
      <c r="Q655" s="1057"/>
      <c r="R655" s="1057"/>
    </row>
    <row r="656">
      <c r="C656" s="1035"/>
      <c r="N656" s="1057"/>
      <c r="O656" s="1057"/>
      <c r="P656" s="1057"/>
      <c r="Q656" s="1057"/>
      <c r="R656" s="1057"/>
    </row>
    <row r="657">
      <c r="C657" s="1035"/>
      <c r="N657" s="1057"/>
      <c r="O657" s="1057"/>
      <c r="P657" s="1057"/>
      <c r="Q657" s="1057"/>
      <c r="R657" s="1057"/>
    </row>
    <row r="658">
      <c r="C658" s="1035"/>
      <c r="N658" s="1057"/>
      <c r="O658" s="1057"/>
      <c r="P658" s="1057"/>
      <c r="Q658" s="1057"/>
      <c r="R658" s="1057"/>
    </row>
    <row r="659">
      <c r="C659" s="1035"/>
      <c r="N659" s="1057"/>
      <c r="O659" s="1057"/>
      <c r="P659" s="1057"/>
      <c r="Q659" s="1057"/>
      <c r="R659" s="1057"/>
    </row>
    <row r="660">
      <c r="C660" s="1035"/>
      <c r="N660" s="1057"/>
      <c r="O660" s="1057"/>
      <c r="P660" s="1057"/>
      <c r="Q660" s="1057"/>
      <c r="R660" s="1057"/>
    </row>
    <row r="661">
      <c r="C661" s="1035"/>
      <c r="N661" s="1057"/>
      <c r="O661" s="1057"/>
      <c r="P661" s="1057"/>
      <c r="Q661" s="1057"/>
      <c r="R661" s="1057"/>
    </row>
    <row r="662">
      <c r="C662" s="1035"/>
      <c r="N662" s="1057"/>
      <c r="O662" s="1057"/>
      <c r="P662" s="1057"/>
      <c r="Q662" s="1057"/>
      <c r="R662" s="1057"/>
    </row>
    <row r="663">
      <c r="C663" s="1035"/>
      <c r="N663" s="1057"/>
      <c r="O663" s="1057"/>
      <c r="P663" s="1057"/>
      <c r="Q663" s="1057"/>
      <c r="R663" s="1057"/>
    </row>
    <row r="664">
      <c r="C664" s="1035"/>
      <c r="N664" s="1057"/>
      <c r="O664" s="1057"/>
      <c r="P664" s="1057"/>
      <c r="Q664" s="1057"/>
      <c r="R664" s="1057"/>
    </row>
    <row r="665">
      <c r="C665" s="1035"/>
      <c r="N665" s="1057"/>
      <c r="O665" s="1057"/>
      <c r="P665" s="1057"/>
      <c r="Q665" s="1057"/>
      <c r="R665" s="1057"/>
    </row>
    <row r="666">
      <c r="C666" s="1035"/>
      <c r="N666" s="1057"/>
      <c r="O666" s="1057"/>
      <c r="P666" s="1057"/>
      <c r="Q666" s="1057"/>
      <c r="R666" s="1057"/>
    </row>
    <row r="667">
      <c r="C667" s="1035"/>
      <c r="N667" s="1057"/>
      <c r="O667" s="1057"/>
      <c r="P667" s="1057"/>
      <c r="Q667" s="1057"/>
      <c r="R667" s="1057"/>
    </row>
    <row r="668">
      <c r="C668" s="1035"/>
      <c r="N668" s="1057"/>
      <c r="O668" s="1057"/>
      <c r="P668" s="1057"/>
      <c r="Q668" s="1057"/>
      <c r="R668" s="1057"/>
    </row>
    <row r="669">
      <c r="C669" s="1035"/>
      <c r="N669" s="1057"/>
      <c r="O669" s="1057"/>
      <c r="P669" s="1057"/>
      <c r="Q669" s="1057"/>
      <c r="R669" s="1057"/>
    </row>
    <row r="670">
      <c r="C670" s="1035"/>
      <c r="N670" s="1057"/>
      <c r="O670" s="1057"/>
      <c r="P670" s="1057"/>
      <c r="Q670" s="1057"/>
      <c r="R670" s="1057"/>
    </row>
    <row r="671">
      <c r="C671" s="1035"/>
      <c r="N671" s="1057"/>
      <c r="O671" s="1057"/>
      <c r="P671" s="1057"/>
      <c r="Q671" s="1057"/>
      <c r="R671" s="1057"/>
    </row>
    <row r="672">
      <c r="C672" s="1035"/>
      <c r="N672" s="1057"/>
      <c r="O672" s="1057"/>
      <c r="P672" s="1057"/>
      <c r="Q672" s="1057"/>
      <c r="R672" s="1057"/>
    </row>
    <row r="673">
      <c r="C673" s="1035"/>
      <c r="N673" s="1057"/>
      <c r="O673" s="1057"/>
      <c r="P673" s="1057"/>
      <c r="Q673" s="1057"/>
      <c r="R673" s="1057"/>
    </row>
    <row r="674">
      <c r="C674" s="1035"/>
      <c r="N674" s="1057"/>
      <c r="O674" s="1057"/>
      <c r="P674" s="1057"/>
      <c r="Q674" s="1057"/>
      <c r="R674" s="1057"/>
    </row>
    <row r="675">
      <c r="C675" s="1035"/>
      <c r="N675" s="1057"/>
      <c r="O675" s="1057"/>
      <c r="P675" s="1057"/>
      <c r="Q675" s="1057"/>
      <c r="R675" s="1057"/>
    </row>
    <row r="676">
      <c r="C676" s="1035"/>
      <c r="N676" s="1057"/>
      <c r="O676" s="1057"/>
      <c r="P676" s="1057"/>
      <c r="Q676" s="1057"/>
      <c r="R676" s="1057"/>
    </row>
    <row r="677">
      <c r="C677" s="1035"/>
      <c r="N677" s="1057"/>
      <c r="O677" s="1057"/>
      <c r="P677" s="1057"/>
      <c r="Q677" s="1057"/>
      <c r="R677" s="1057"/>
    </row>
    <row r="678">
      <c r="C678" s="1035"/>
      <c r="N678" s="1057"/>
      <c r="O678" s="1057"/>
      <c r="P678" s="1057"/>
      <c r="Q678" s="1057"/>
      <c r="R678" s="1057"/>
    </row>
    <row r="679">
      <c r="C679" s="1035"/>
      <c r="N679" s="1057"/>
      <c r="O679" s="1057"/>
      <c r="P679" s="1057"/>
      <c r="Q679" s="1057"/>
      <c r="R679" s="1057"/>
    </row>
    <row r="680">
      <c r="C680" s="1035"/>
      <c r="N680" s="1057"/>
      <c r="O680" s="1057"/>
      <c r="P680" s="1057"/>
      <c r="Q680" s="1057"/>
      <c r="R680" s="1057"/>
    </row>
    <row r="681">
      <c r="C681" s="1035"/>
      <c r="N681" s="1057"/>
      <c r="O681" s="1057"/>
      <c r="P681" s="1057"/>
      <c r="Q681" s="1057"/>
      <c r="R681" s="1057"/>
    </row>
    <row r="682">
      <c r="C682" s="1035"/>
      <c r="N682" s="1057"/>
      <c r="O682" s="1057"/>
      <c r="P682" s="1057"/>
      <c r="Q682" s="1057"/>
      <c r="R682" s="1057"/>
    </row>
    <row r="683">
      <c r="C683" s="1035"/>
      <c r="N683" s="1057"/>
      <c r="O683" s="1057"/>
      <c r="P683" s="1057"/>
      <c r="Q683" s="1057"/>
      <c r="R683" s="1057"/>
    </row>
    <row r="684">
      <c r="C684" s="1035"/>
      <c r="N684" s="1057"/>
      <c r="O684" s="1057"/>
      <c r="P684" s="1057"/>
      <c r="Q684" s="1057"/>
      <c r="R684" s="1057"/>
    </row>
    <row r="685">
      <c r="C685" s="1035"/>
      <c r="N685" s="1057"/>
      <c r="O685" s="1057"/>
      <c r="P685" s="1057"/>
      <c r="Q685" s="1057"/>
      <c r="R685" s="1057"/>
    </row>
    <row r="686">
      <c r="C686" s="1035"/>
      <c r="N686" s="1057"/>
      <c r="O686" s="1057"/>
      <c r="P686" s="1057"/>
      <c r="Q686" s="1057"/>
      <c r="R686" s="1057"/>
    </row>
    <row r="687">
      <c r="C687" s="1035"/>
      <c r="N687" s="1057"/>
      <c r="O687" s="1057"/>
      <c r="P687" s="1057"/>
      <c r="Q687" s="1057"/>
      <c r="R687" s="1057"/>
    </row>
    <row r="688">
      <c r="C688" s="1035"/>
      <c r="N688" s="1057"/>
      <c r="O688" s="1057"/>
      <c r="P688" s="1057"/>
      <c r="Q688" s="1057"/>
      <c r="R688" s="1057"/>
    </row>
    <row r="689">
      <c r="C689" s="1035"/>
      <c r="N689" s="1057"/>
      <c r="O689" s="1057"/>
      <c r="P689" s="1057"/>
      <c r="Q689" s="1057"/>
      <c r="R689" s="1057"/>
    </row>
    <row r="690">
      <c r="C690" s="1035"/>
      <c r="N690" s="1057"/>
      <c r="O690" s="1057"/>
      <c r="P690" s="1057"/>
      <c r="Q690" s="1057"/>
      <c r="R690" s="1057"/>
    </row>
    <row r="691">
      <c r="C691" s="1035"/>
      <c r="N691" s="1057"/>
      <c r="O691" s="1057"/>
      <c r="P691" s="1057"/>
      <c r="Q691" s="1057"/>
      <c r="R691" s="1057"/>
    </row>
    <row r="692">
      <c r="C692" s="1035"/>
      <c r="N692" s="1057"/>
      <c r="O692" s="1057"/>
      <c r="P692" s="1057"/>
      <c r="Q692" s="1057"/>
      <c r="R692" s="1057"/>
    </row>
    <row r="693">
      <c r="C693" s="1035"/>
      <c r="N693" s="1057"/>
      <c r="O693" s="1057"/>
      <c r="P693" s="1057"/>
      <c r="Q693" s="1057"/>
      <c r="R693" s="1057"/>
    </row>
    <row r="694">
      <c r="C694" s="1035"/>
      <c r="N694" s="1057"/>
      <c r="O694" s="1057"/>
      <c r="P694" s="1057"/>
      <c r="Q694" s="1057"/>
      <c r="R694" s="1057"/>
    </row>
    <row r="695">
      <c r="C695" s="1035"/>
      <c r="N695" s="1057"/>
      <c r="O695" s="1057"/>
      <c r="P695" s="1057"/>
      <c r="Q695" s="1057"/>
      <c r="R695" s="1057"/>
    </row>
    <row r="696">
      <c r="C696" s="1035"/>
      <c r="N696" s="1057"/>
      <c r="O696" s="1057"/>
      <c r="P696" s="1057"/>
      <c r="Q696" s="1057"/>
      <c r="R696" s="1057"/>
    </row>
    <row r="697">
      <c r="C697" s="1035"/>
      <c r="N697" s="1057"/>
      <c r="O697" s="1057"/>
      <c r="P697" s="1057"/>
      <c r="Q697" s="1057"/>
      <c r="R697" s="1057"/>
    </row>
    <row r="698">
      <c r="C698" s="1035"/>
      <c r="N698" s="1057"/>
      <c r="O698" s="1057"/>
      <c r="P698" s="1057"/>
      <c r="Q698" s="1057"/>
      <c r="R698" s="1057"/>
    </row>
    <row r="699">
      <c r="C699" s="1035"/>
      <c r="N699" s="1057"/>
      <c r="O699" s="1057"/>
      <c r="P699" s="1057"/>
      <c r="Q699" s="1057"/>
      <c r="R699" s="1057"/>
    </row>
    <row r="700">
      <c r="C700" s="1035"/>
      <c r="N700" s="1057"/>
      <c r="O700" s="1057"/>
      <c r="P700" s="1057"/>
      <c r="Q700" s="1057"/>
      <c r="R700" s="1057"/>
    </row>
    <row r="701">
      <c r="C701" s="1035"/>
      <c r="N701" s="1057"/>
      <c r="O701" s="1057"/>
      <c r="P701" s="1057"/>
      <c r="Q701" s="1057"/>
      <c r="R701" s="1057"/>
    </row>
    <row r="702">
      <c r="C702" s="1035"/>
      <c r="N702" s="1057"/>
      <c r="O702" s="1057"/>
      <c r="P702" s="1057"/>
      <c r="Q702" s="1057"/>
      <c r="R702" s="1057"/>
    </row>
    <row r="703">
      <c r="C703" s="1035"/>
      <c r="N703" s="1057"/>
      <c r="O703" s="1057"/>
      <c r="P703" s="1057"/>
      <c r="Q703" s="1057"/>
      <c r="R703" s="1057"/>
    </row>
    <row r="704">
      <c r="C704" s="1035"/>
      <c r="N704" s="1057"/>
      <c r="O704" s="1057"/>
      <c r="P704" s="1057"/>
      <c r="Q704" s="1057"/>
      <c r="R704" s="1057"/>
    </row>
    <row r="705">
      <c r="C705" s="1035"/>
      <c r="N705" s="1057"/>
      <c r="O705" s="1057"/>
      <c r="P705" s="1057"/>
      <c r="Q705" s="1057"/>
      <c r="R705" s="1057"/>
    </row>
    <row r="706">
      <c r="C706" s="1035"/>
      <c r="N706" s="1057"/>
      <c r="O706" s="1057"/>
      <c r="P706" s="1057"/>
      <c r="Q706" s="1057"/>
      <c r="R706" s="1057"/>
    </row>
    <row r="707">
      <c r="C707" s="1035"/>
      <c r="N707" s="1057"/>
      <c r="O707" s="1057"/>
      <c r="P707" s="1057"/>
      <c r="Q707" s="1057"/>
      <c r="R707" s="1057"/>
    </row>
    <row r="708">
      <c r="C708" s="1035"/>
      <c r="N708" s="1057"/>
      <c r="O708" s="1057"/>
      <c r="P708" s="1057"/>
      <c r="Q708" s="1057"/>
      <c r="R708" s="1057"/>
    </row>
    <row r="709">
      <c r="C709" s="1035"/>
      <c r="N709" s="1057"/>
      <c r="O709" s="1057"/>
      <c r="P709" s="1057"/>
      <c r="Q709" s="1057"/>
      <c r="R709" s="1057"/>
    </row>
    <row r="710">
      <c r="C710" s="1035"/>
      <c r="N710" s="1057"/>
      <c r="O710" s="1057"/>
      <c r="P710" s="1057"/>
      <c r="Q710" s="1057"/>
      <c r="R710" s="1057"/>
    </row>
    <row r="711">
      <c r="C711" s="1035"/>
      <c r="N711" s="1057"/>
      <c r="O711" s="1057"/>
      <c r="P711" s="1057"/>
      <c r="Q711" s="1057"/>
      <c r="R711" s="1057"/>
    </row>
    <row r="712">
      <c r="C712" s="1035"/>
      <c r="N712" s="1057"/>
      <c r="O712" s="1057"/>
      <c r="P712" s="1057"/>
      <c r="Q712" s="1057"/>
      <c r="R712" s="1057"/>
    </row>
    <row r="713">
      <c r="C713" s="1035"/>
      <c r="N713" s="1057"/>
      <c r="O713" s="1057"/>
      <c r="P713" s="1057"/>
      <c r="Q713" s="1057"/>
      <c r="R713" s="1057"/>
    </row>
    <row r="714">
      <c r="C714" s="1035"/>
      <c r="N714" s="1057"/>
      <c r="O714" s="1057"/>
      <c r="P714" s="1057"/>
      <c r="Q714" s="1057"/>
      <c r="R714" s="1057"/>
    </row>
    <row r="715">
      <c r="C715" s="1035"/>
      <c r="N715" s="1057"/>
      <c r="O715" s="1057"/>
      <c r="P715" s="1057"/>
      <c r="Q715" s="1057"/>
      <c r="R715" s="1057"/>
    </row>
    <row r="716">
      <c r="C716" s="1035"/>
      <c r="N716" s="1057"/>
      <c r="O716" s="1057"/>
      <c r="P716" s="1057"/>
      <c r="Q716" s="1057"/>
      <c r="R716" s="1057"/>
    </row>
    <row r="717">
      <c r="C717" s="1035"/>
      <c r="N717" s="1057"/>
      <c r="O717" s="1057"/>
      <c r="P717" s="1057"/>
      <c r="Q717" s="1057"/>
      <c r="R717" s="1057"/>
    </row>
    <row r="718">
      <c r="C718" s="1035"/>
      <c r="N718" s="1057"/>
      <c r="O718" s="1057"/>
      <c r="P718" s="1057"/>
      <c r="Q718" s="1057"/>
      <c r="R718" s="1057"/>
    </row>
    <row r="719">
      <c r="C719" s="1035"/>
      <c r="N719" s="1057"/>
      <c r="O719" s="1057"/>
      <c r="P719" s="1057"/>
      <c r="Q719" s="1057"/>
      <c r="R719" s="1057"/>
    </row>
    <row r="720">
      <c r="C720" s="1035"/>
      <c r="N720" s="1057"/>
      <c r="O720" s="1057"/>
      <c r="P720" s="1057"/>
      <c r="Q720" s="1057"/>
      <c r="R720" s="1057"/>
    </row>
    <row r="721">
      <c r="C721" s="1035"/>
      <c r="N721" s="1057"/>
      <c r="O721" s="1057"/>
      <c r="P721" s="1057"/>
      <c r="Q721" s="1057"/>
      <c r="R721" s="1057"/>
    </row>
    <row r="722">
      <c r="C722" s="1035"/>
      <c r="N722" s="1057"/>
      <c r="O722" s="1057"/>
      <c r="P722" s="1057"/>
      <c r="Q722" s="1057"/>
      <c r="R722" s="1057"/>
    </row>
    <row r="723">
      <c r="C723" s="1035"/>
      <c r="N723" s="1057"/>
      <c r="O723" s="1057"/>
      <c r="P723" s="1057"/>
      <c r="Q723" s="1057"/>
      <c r="R723" s="1057"/>
    </row>
    <row r="724">
      <c r="C724" s="1035"/>
      <c r="N724" s="1057"/>
      <c r="O724" s="1057"/>
      <c r="P724" s="1057"/>
      <c r="Q724" s="1057"/>
      <c r="R724" s="1057"/>
    </row>
    <row r="725">
      <c r="C725" s="1035"/>
      <c r="N725" s="1057"/>
      <c r="O725" s="1057"/>
      <c r="P725" s="1057"/>
      <c r="Q725" s="1057"/>
      <c r="R725" s="1057"/>
    </row>
    <row r="726">
      <c r="C726" s="1035"/>
      <c r="N726" s="1057"/>
      <c r="O726" s="1057"/>
      <c r="P726" s="1057"/>
      <c r="Q726" s="1057"/>
      <c r="R726" s="1057"/>
    </row>
    <row r="727">
      <c r="C727" s="1035"/>
      <c r="N727" s="1057"/>
      <c r="O727" s="1057"/>
      <c r="P727" s="1057"/>
      <c r="Q727" s="1057"/>
      <c r="R727" s="1057"/>
    </row>
    <row r="728">
      <c r="C728" s="1035"/>
      <c r="N728" s="1057"/>
      <c r="O728" s="1057"/>
      <c r="P728" s="1057"/>
      <c r="Q728" s="1057"/>
      <c r="R728" s="1057"/>
    </row>
    <row r="729">
      <c r="C729" s="1035"/>
      <c r="N729" s="1057"/>
      <c r="O729" s="1057"/>
      <c r="P729" s="1057"/>
      <c r="Q729" s="1057"/>
      <c r="R729" s="1057"/>
    </row>
    <row r="730">
      <c r="C730" s="1035"/>
      <c r="N730" s="1057"/>
      <c r="O730" s="1057"/>
      <c r="P730" s="1057"/>
      <c r="Q730" s="1057"/>
      <c r="R730" s="1057"/>
    </row>
    <row r="731">
      <c r="C731" s="1035"/>
      <c r="N731" s="1057"/>
      <c r="O731" s="1057"/>
      <c r="P731" s="1057"/>
      <c r="Q731" s="1057"/>
      <c r="R731" s="1057"/>
    </row>
    <row r="732">
      <c r="C732" s="1035"/>
      <c r="N732" s="1057"/>
      <c r="O732" s="1057"/>
      <c r="P732" s="1057"/>
      <c r="Q732" s="1057"/>
      <c r="R732" s="1057"/>
    </row>
    <row r="733">
      <c r="C733" s="1035"/>
      <c r="N733" s="1057"/>
      <c r="O733" s="1057"/>
      <c r="P733" s="1057"/>
      <c r="Q733" s="1057"/>
      <c r="R733" s="1057"/>
    </row>
    <row r="734">
      <c r="C734" s="1035"/>
      <c r="N734" s="1057"/>
      <c r="O734" s="1057"/>
      <c r="P734" s="1057"/>
      <c r="Q734" s="1057"/>
      <c r="R734" s="1057"/>
    </row>
    <row r="735">
      <c r="C735" s="1035"/>
      <c r="N735" s="1057"/>
      <c r="O735" s="1057"/>
      <c r="P735" s="1057"/>
      <c r="Q735" s="1057"/>
      <c r="R735" s="1057"/>
    </row>
    <row r="736">
      <c r="C736" s="1035"/>
      <c r="N736" s="1057"/>
      <c r="O736" s="1057"/>
      <c r="P736" s="1057"/>
      <c r="Q736" s="1057"/>
      <c r="R736" s="1057"/>
    </row>
    <row r="737">
      <c r="C737" s="1035"/>
      <c r="N737" s="1057"/>
      <c r="O737" s="1057"/>
      <c r="P737" s="1057"/>
      <c r="Q737" s="1057"/>
      <c r="R737" s="1057"/>
    </row>
    <row r="738">
      <c r="C738" s="1035"/>
      <c r="N738" s="1057"/>
      <c r="O738" s="1057"/>
      <c r="P738" s="1057"/>
      <c r="Q738" s="1057"/>
      <c r="R738" s="1057"/>
    </row>
    <row r="739">
      <c r="C739" s="1035"/>
      <c r="N739" s="1057"/>
      <c r="O739" s="1057"/>
      <c r="P739" s="1057"/>
      <c r="Q739" s="1057"/>
      <c r="R739" s="1057"/>
    </row>
    <row r="740">
      <c r="C740" s="1035"/>
      <c r="N740" s="1057"/>
      <c r="O740" s="1057"/>
      <c r="P740" s="1057"/>
      <c r="Q740" s="1057"/>
      <c r="R740" s="1057"/>
    </row>
    <row r="741">
      <c r="C741" s="1035"/>
      <c r="N741" s="1057"/>
      <c r="O741" s="1057"/>
      <c r="P741" s="1057"/>
      <c r="Q741" s="1057"/>
      <c r="R741" s="1057"/>
    </row>
    <row r="742">
      <c r="C742" s="1035"/>
      <c r="N742" s="1057"/>
      <c r="O742" s="1057"/>
      <c r="P742" s="1057"/>
      <c r="Q742" s="1057"/>
      <c r="R742" s="1057"/>
    </row>
    <row r="743">
      <c r="C743" s="1035"/>
      <c r="N743" s="1057"/>
      <c r="O743" s="1057"/>
      <c r="P743" s="1057"/>
      <c r="Q743" s="1057"/>
      <c r="R743" s="1057"/>
    </row>
    <row r="744">
      <c r="C744" s="1035"/>
      <c r="N744" s="1057"/>
      <c r="O744" s="1057"/>
      <c r="P744" s="1057"/>
      <c r="Q744" s="1057"/>
      <c r="R744" s="1057"/>
    </row>
    <row r="745">
      <c r="C745" s="1035"/>
      <c r="N745" s="1057"/>
      <c r="O745" s="1057"/>
      <c r="P745" s="1057"/>
      <c r="Q745" s="1057"/>
      <c r="R745" s="1057"/>
    </row>
    <row r="746">
      <c r="C746" s="1035"/>
      <c r="N746" s="1057"/>
      <c r="O746" s="1057"/>
      <c r="P746" s="1057"/>
      <c r="Q746" s="1057"/>
      <c r="R746" s="1057"/>
    </row>
    <row r="747">
      <c r="C747" s="1035"/>
      <c r="N747" s="1057"/>
      <c r="O747" s="1057"/>
      <c r="P747" s="1057"/>
      <c r="Q747" s="1057"/>
      <c r="R747" s="1057"/>
    </row>
    <row r="748">
      <c r="C748" s="1035"/>
      <c r="N748" s="1057"/>
      <c r="O748" s="1057"/>
      <c r="P748" s="1057"/>
      <c r="Q748" s="1057"/>
      <c r="R748" s="1057"/>
    </row>
    <row r="749">
      <c r="C749" s="1035"/>
      <c r="N749" s="1057"/>
      <c r="O749" s="1057"/>
      <c r="P749" s="1057"/>
      <c r="Q749" s="1057"/>
      <c r="R749" s="1057"/>
    </row>
    <row r="750">
      <c r="C750" s="1035"/>
      <c r="N750" s="1057"/>
      <c r="O750" s="1057"/>
      <c r="P750" s="1057"/>
      <c r="Q750" s="1057"/>
      <c r="R750" s="1057"/>
    </row>
    <row r="751">
      <c r="C751" s="1035"/>
      <c r="N751" s="1057"/>
      <c r="O751" s="1057"/>
      <c r="P751" s="1057"/>
      <c r="Q751" s="1057"/>
      <c r="R751" s="1057"/>
    </row>
    <row r="752">
      <c r="C752" s="1035"/>
      <c r="N752" s="1057"/>
      <c r="O752" s="1057"/>
      <c r="P752" s="1057"/>
      <c r="Q752" s="1057"/>
      <c r="R752" s="1057"/>
    </row>
    <row r="753">
      <c r="C753" s="1035"/>
      <c r="N753" s="1057"/>
      <c r="O753" s="1057"/>
      <c r="P753" s="1057"/>
      <c r="Q753" s="1057"/>
      <c r="R753" s="1057"/>
    </row>
    <row r="754">
      <c r="C754" s="1035"/>
      <c r="N754" s="1057"/>
      <c r="O754" s="1057"/>
      <c r="P754" s="1057"/>
      <c r="Q754" s="1057"/>
      <c r="R754" s="1057"/>
    </row>
    <row r="755">
      <c r="C755" s="1035"/>
      <c r="N755" s="1057"/>
      <c r="O755" s="1057"/>
      <c r="P755" s="1057"/>
      <c r="Q755" s="1057"/>
      <c r="R755" s="1057"/>
    </row>
    <row r="756">
      <c r="C756" s="1035"/>
      <c r="N756" s="1057"/>
      <c r="O756" s="1057"/>
      <c r="P756" s="1057"/>
      <c r="Q756" s="1057"/>
      <c r="R756" s="1057"/>
    </row>
    <row r="757">
      <c r="C757" s="1035"/>
      <c r="N757" s="1057"/>
      <c r="O757" s="1057"/>
      <c r="P757" s="1057"/>
      <c r="Q757" s="1057"/>
      <c r="R757" s="1057"/>
    </row>
    <row r="758">
      <c r="C758" s="1035"/>
      <c r="N758" s="1057"/>
      <c r="O758" s="1057"/>
      <c r="P758" s="1057"/>
      <c r="Q758" s="1057"/>
      <c r="R758" s="1057"/>
    </row>
    <row r="759">
      <c r="C759" s="1035"/>
      <c r="N759" s="1057"/>
      <c r="O759" s="1057"/>
      <c r="P759" s="1057"/>
      <c r="Q759" s="1057"/>
      <c r="R759" s="1057"/>
    </row>
    <row r="760">
      <c r="C760" s="1035"/>
      <c r="N760" s="1057"/>
      <c r="O760" s="1057"/>
      <c r="P760" s="1057"/>
      <c r="Q760" s="1057"/>
      <c r="R760" s="1057"/>
    </row>
    <row r="761">
      <c r="C761" s="1035"/>
      <c r="N761" s="1057"/>
      <c r="O761" s="1057"/>
      <c r="P761" s="1057"/>
      <c r="Q761" s="1057"/>
      <c r="R761" s="1057"/>
    </row>
    <row r="762">
      <c r="C762" s="1035"/>
      <c r="N762" s="1057"/>
      <c r="O762" s="1057"/>
      <c r="P762" s="1057"/>
      <c r="Q762" s="1057"/>
      <c r="R762" s="1057"/>
    </row>
    <row r="763">
      <c r="C763" s="1035"/>
      <c r="N763" s="1057"/>
      <c r="O763" s="1057"/>
      <c r="P763" s="1057"/>
      <c r="Q763" s="1057"/>
      <c r="R763" s="1057"/>
    </row>
    <row r="764">
      <c r="C764" s="1035"/>
      <c r="N764" s="1057"/>
      <c r="O764" s="1057"/>
      <c r="P764" s="1057"/>
      <c r="Q764" s="1057"/>
      <c r="R764" s="1057"/>
    </row>
    <row r="765">
      <c r="C765" s="1035"/>
      <c r="N765" s="1057"/>
      <c r="O765" s="1057"/>
      <c r="P765" s="1057"/>
      <c r="Q765" s="1057"/>
      <c r="R765" s="1057"/>
    </row>
    <row r="766">
      <c r="C766" s="1035"/>
      <c r="N766" s="1057"/>
      <c r="O766" s="1057"/>
      <c r="P766" s="1057"/>
      <c r="Q766" s="1057"/>
      <c r="R766" s="1057"/>
    </row>
    <row r="767">
      <c r="C767" s="1035"/>
      <c r="N767" s="1057"/>
      <c r="O767" s="1057"/>
      <c r="P767" s="1057"/>
      <c r="Q767" s="1057"/>
      <c r="R767" s="1057"/>
    </row>
    <row r="768">
      <c r="C768" s="1035"/>
      <c r="N768" s="1057"/>
      <c r="O768" s="1057"/>
      <c r="P768" s="1057"/>
      <c r="Q768" s="1057"/>
      <c r="R768" s="1057"/>
    </row>
    <row r="769">
      <c r="C769" s="1035"/>
      <c r="N769" s="1057"/>
      <c r="O769" s="1057"/>
      <c r="P769" s="1057"/>
      <c r="Q769" s="1057"/>
      <c r="R769" s="1057"/>
    </row>
    <row r="770">
      <c r="C770" s="1035"/>
      <c r="N770" s="1057"/>
      <c r="O770" s="1057"/>
      <c r="P770" s="1057"/>
      <c r="Q770" s="1057"/>
      <c r="R770" s="1057"/>
    </row>
    <row r="771">
      <c r="C771" s="1035"/>
      <c r="N771" s="1057"/>
      <c r="O771" s="1057"/>
      <c r="P771" s="1057"/>
      <c r="Q771" s="1057"/>
      <c r="R771" s="1057"/>
    </row>
    <row r="772">
      <c r="C772" s="1035"/>
      <c r="N772" s="1057"/>
      <c r="O772" s="1057"/>
      <c r="P772" s="1057"/>
      <c r="Q772" s="1057"/>
      <c r="R772" s="1057"/>
    </row>
    <row r="773">
      <c r="C773" s="1035"/>
      <c r="N773" s="1057"/>
      <c r="O773" s="1057"/>
      <c r="P773" s="1057"/>
      <c r="Q773" s="1057"/>
      <c r="R773" s="1057"/>
    </row>
    <row r="774">
      <c r="C774" s="1035"/>
      <c r="N774" s="1057"/>
      <c r="O774" s="1057"/>
      <c r="P774" s="1057"/>
      <c r="Q774" s="1057"/>
      <c r="R774" s="1057"/>
    </row>
    <row r="775">
      <c r="C775" s="1035"/>
      <c r="N775" s="1057"/>
      <c r="O775" s="1057"/>
      <c r="P775" s="1057"/>
      <c r="Q775" s="1057"/>
      <c r="R775" s="1057"/>
    </row>
    <row r="776">
      <c r="C776" s="1035"/>
      <c r="N776" s="1057"/>
      <c r="O776" s="1057"/>
      <c r="P776" s="1057"/>
      <c r="Q776" s="1057"/>
      <c r="R776" s="1057"/>
    </row>
    <row r="777">
      <c r="C777" s="1035"/>
      <c r="N777" s="1057"/>
      <c r="O777" s="1057"/>
      <c r="P777" s="1057"/>
      <c r="Q777" s="1057"/>
      <c r="R777" s="1057"/>
    </row>
    <row r="778">
      <c r="C778" s="1035"/>
      <c r="N778" s="1057"/>
      <c r="O778" s="1057"/>
      <c r="P778" s="1057"/>
      <c r="Q778" s="1057"/>
      <c r="R778" s="1057"/>
    </row>
    <row r="779">
      <c r="C779" s="1035"/>
      <c r="N779" s="1057"/>
      <c r="O779" s="1057"/>
      <c r="P779" s="1057"/>
      <c r="Q779" s="1057"/>
      <c r="R779" s="1057"/>
    </row>
    <row r="780">
      <c r="C780" s="1035"/>
      <c r="N780" s="1057"/>
      <c r="O780" s="1057"/>
      <c r="P780" s="1057"/>
      <c r="Q780" s="1057"/>
      <c r="R780" s="1057"/>
    </row>
    <row r="781">
      <c r="C781" s="1035"/>
      <c r="N781" s="1057"/>
      <c r="O781" s="1057"/>
      <c r="P781" s="1057"/>
      <c r="Q781" s="1057"/>
      <c r="R781" s="1057"/>
    </row>
    <row r="782">
      <c r="C782" s="1035"/>
      <c r="N782" s="1057"/>
      <c r="O782" s="1057"/>
      <c r="P782" s="1057"/>
      <c r="Q782" s="1057"/>
      <c r="R782" s="1057"/>
    </row>
    <row r="783">
      <c r="C783" s="1035"/>
      <c r="N783" s="1057"/>
      <c r="O783" s="1057"/>
      <c r="P783" s="1057"/>
      <c r="Q783" s="1057"/>
      <c r="R783" s="1057"/>
    </row>
    <row r="784">
      <c r="C784" s="1035"/>
      <c r="N784" s="1057"/>
      <c r="O784" s="1057"/>
      <c r="P784" s="1057"/>
      <c r="Q784" s="1057"/>
      <c r="R784" s="1057"/>
    </row>
    <row r="785">
      <c r="C785" s="1035"/>
      <c r="N785" s="1057"/>
      <c r="O785" s="1057"/>
      <c r="P785" s="1057"/>
      <c r="Q785" s="1057"/>
      <c r="R785" s="1057"/>
    </row>
    <row r="786">
      <c r="C786" s="1035"/>
      <c r="N786" s="1057"/>
      <c r="O786" s="1057"/>
      <c r="P786" s="1057"/>
      <c r="Q786" s="1057"/>
      <c r="R786" s="1057"/>
    </row>
    <row r="787">
      <c r="C787" s="1035"/>
      <c r="N787" s="1057"/>
      <c r="O787" s="1057"/>
      <c r="P787" s="1057"/>
      <c r="Q787" s="1057"/>
      <c r="R787" s="1057"/>
    </row>
    <row r="788">
      <c r="C788" s="1035"/>
      <c r="N788" s="1057"/>
      <c r="O788" s="1057"/>
      <c r="P788" s="1057"/>
      <c r="Q788" s="1057"/>
      <c r="R788" s="1057"/>
    </row>
    <row r="789">
      <c r="C789" s="1035"/>
      <c r="N789" s="1057"/>
      <c r="O789" s="1057"/>
      <c r="P789" s="1057"/>
      <c r="Q789" s="1057"/>
      <c r="R789" s="1057"/>
    </row>
    <row r="790">
      <c r="C790" s="1035"/>
      <c r="N790" s="1057"/>
      <c r="O790" s="1057"/>
      <c r="P790" s="1057"/>
      <c r="Q790" s="1057"/>
      <c r="R790" s="1057"/>
    </row>
    <row r="791">
      <c r="C791" s="1035"/>
      <c r="N791" s="1057"/>
      <c r="O791" s="1057"/>
      <c r="P791" s="1057"/>
      <c r="Q791" s="1057"/>
      <c r="R791" s="1057"/>
    </row>
    <row r="792">
      <c r="C792" s="1035"/>
      <c r="N792" s="1057"/>
      <c r="O792" s="1057"/>
      <c r="P792" s="1057"/>
      <c r="Q792" s="1057"/>
      <c r="R792" s="1057"/>
    </row>
    <row r="793">
      <c r="C793" s="1035"/>
      <c r="N793" s="1057"/>
      <c r="O793" s="1057"/>
      <c r="P793" s="1057"/>
      <c r="Q793" s="1057"/>
      <c r="R793" s="1057"/>
    </row>
    <row r="794">
      <c r="C794" s="1035"/>
      <c r="N794" s="1057"/>
      <c r="O794" s="1057"/>
      <c r="P794" s="1057"/>
      <c r="Q794" s="1057"/>
      <c r="R794" s="1057"/>
    </row>
    <row r="795">
      <c r="C795" s="1035"/>
      <c r="N795" s="1057"/>
      <c r="O795" s="1057"/>
      <c r="P795" s="1057"/>
      <c r="Q795" s="1057"/>
      <c r="R795" s="1057"/>
    </row>
    <row r="796">
      <c r="C796" s="1035"/>
      <c r="N796" s="1057"/>
      <c r="O796" s="1057"/>
      <c r="P796" s="1057"/>
      <c r="Q796" s="1057"/>
      <c r="R796" s="1057"/>
    </row>
    <row r="797">
      <c r="C797" s="1035"/>
      <c r="N797" s="1057"/>
      <c r="O797" s="1057"/>
      <c r="P797" s="1057"/>
      <c r="Q797" s="1057"/>
      <c r="R797" s="1057"/>
    </row>
    <row r="798">
      <c r="C798" s="1035"/>
      <c r="N798" s="1057"/>
      <c r="O798" s="1057"/>
      <c r="P798" s="1057"/>
      <c r="Q798" s="1057"/>
      <c r="R798" s="1057"/>
    </row>
    <row r="799">
      <c r="C799" s="1035"/>
      <c r="N799" s="1057"/>
      <c r="O799" s="1057"/>
      <c r="P799" s="1057"/>
      <c r="Q799" s="1057"/>
      <c r="R799" s="1057"/>
    </row>
    <row r="800">
      <c r="C800" s="1035"/>
      <c r="N800" s="1057"/>
      <c r="O800" s="1057"/>
      <c r="P800" s="1057"/>
      <c r="Q800" s="1057"/>
      <c r="R800" s="1057"/>
    </row>
    <row r="801">
      <c r="C801" s="1035"/>
      <c r="N801" s="1057"/>
      <c r="O801" s="1057"/>
      <c r="P801" s="1057"/>
      <c r="Q801" s="1057"/>
      <c r="R801" s="1057"/>
    </row>
    <row r="802">
      <c r="C802" s="1035"/>
      <c r="N802" s="1057"/>
      <c r="O802" s="1057"/>
      <c r="P802" s="1057"/>
      <c r="Q802" s="1057"/>
      <c r="R802" s="1057"/>
    </row>
    <row r="803">
      <c r="C803" s="1035"/>
      <c r="N803" s="1057"/>
      <c r="O803" s="1057"/>
      <c r="P803" s="1057"/>
      <c r="Q803" s="1057"/>
      <c r="R803" s="1057"/>
    </row>
    <row r="804">
      <c r="C804" s="1035"/>
      <c r="N804" s="1057"/>
      <c r="O804" s="1057"/>
      <c r="P804" s="1057"/>
      <c r="Q804" s="1057"/>
      <c r="R804" s="1057"/>
    </row>
    <row r="805">
      <c r="C805" s="1035"/>
      <c r="N805" s="1057"/>
      <c r="O805" s="1057"/>
      <c r="P805" s="1057"/>
      <c r="Q805" s="1057"/>
      <c r="R805" s="1057"/>
    </row>
    <row r="806">
      <c r="C806" s="1035"/>
      <c r="N806" s="1057"/>
      <c r="O806" s="1057"/>
      <c r="P806" s="1057"/>
      <c r="Q806" s="1057"/>
      <c r="R806" s="1057"/>
    </row>
    <row r="807">
      <c r="C807" s="1035"/>
      <c r="N807" s="1057"/>
      <c r="O807" s="1057"/>
      <c r="P807" s="1057"/>
      <c r="Q807" s="1057"/>
      <c r="R807" s="1057"/>
    </row>
    <row r="808">
      <c r="C808" s="1035"/>
      <c r="N808" s="1057"/>
      <c r="O808" s="1057"/>
      <c r="P808" s="1057"/>
      <c r="Q808" s="1057"/>
      <c r="R808" s="1057"/>
    </row>
    <row r="809">
      <c r="C809" s="1035"/>
      <c r="N809" s="1057"/>
      <c r="O809" s="1057"/>
      <c r="P809" s="1057"/>
      <c r="Q809" s="1057"/>
      <c r="R809" s="1057"/>
    </row>
    <row r="810">
      <c r="C810" s="1035"/>
      <c r="N810" s="1057"/>
      <c r="O810" s="1057"/>
      <c r="P810" s="1057"/>
      <c r="Q810" s="1057"/>
      <c r="R810" s="1057"/>
    </row>
    <row r="811">
      <c r="C811" s="1035"/>
      <c r="N811" s="1057"/>
      <c r="O811" s="1057"/>
      <c r="P811" s="1057"/>
      <c r="Q811" s="1057"/>
      <c r="R811" s="1057"/>
    </row>
    <row r="812">
      <c r="C812" s="1035"/>
      <c r="N812" s="1057"/>
      <c r="O812" s="1057"/>
      <c r="P812" s="1057"/>
      <c r="Q812" s="1057"/>
      <c r="R812" s="1057"/>
    </row>
    <row r="813">
      <c r="C813" s="1035"/>
      <c r="N813" s="1057"/>
      <c r="O813" s="1057"/>
      <c r="P813" s="1057"/>
      <c r="Q813" s="1057"/>
      <c r="R813" s="1057"/>
    </row>
    <row r="814">
      <c r="C814" s="1035"/>
      <c r="N814" s="1057"/>
      <c r="O814" s="1057"/>
      <c r="P814" s="1057"/>
      <c r="Q814" s="1057"/>
      <c r="R814" s="1057"/>
    </row>
    <row r="815">
      <c r="C815" s="1035"/>
      <c r="N815" s="1057"/>
      <c r="O815" s="1057"/>
      <c r="P815" s="1057"/>
      <c r="Q815" s="1057"/>
      <c r="R815" s="1057"/>
    </row>
    <row r="816">
      <c r="C816" s="1035"/>
      <c r="N816" s="1057"/>
      <c r="O816" s="1057"/>
      <c r="P816" s="1057"/>
      <c r="Q816" s="1057"/>
      <c r="R816" s="1057"/>
    </row>
    <row r="817">
      <c r="C817" s="1035"/>
      <c r="N817" s="1057"/>
      <c r="O817" s="1057"/>
      <c r="P817" s="1057"/>
      <c r="Q817" s="1057"/>
      <c r="R817" s="1057"/>
    </row>
    <row r="818">
      <c r="C818" s="1035"/>
      <c r="N818" s="1057"/>
      <c r="O818" s="1057"/>
      <c r="P818" s="1057"/>
      <c r="Q818" s="1057"/>
      <c r="R818" s="1057"/>
    </row>
    <row r="819">
      <c r="C819" s="1035"/>
      <c r="N819" s="1057"/>
      <c r="O819" s="1057"/>
      <c r="P819" s="1057"/>
      <c r="Q819" s="1057"/>
      <c r="R819" s="1057"/>
    </row>
    <row r="820">
      <c r="C820" s="1035"/>
      <c r="N820" s="1057"/>
      <c r="O820" s="1057"/>
      <c r="P820" s="1057"/>
      <c r="Q820" s="1057"/>
      <c r="R820" s="1057"/>
    </row>
    <row r="821">
      <c r="C821" s="1035"/>
      <c r="N821" s="1057"/>
      <c r="O821" s="1057"/>
      <c r="P821" s="1057"/>
      <c r="Q821" s="1057"/>
      <c r="R821" s="1057"/>
    </row>
    <row r="822">
      <c r="C822" s="1035"/>
      <c r="N822" s="1057"/>
      <c r="O822" s="1057"/>
      <c r="P822" s="1057"/>
      <c r="Q822" s="1057"/>
      <c r="R822" s="1057"/>
    </row>
    <row r="823">
      <c r="C823" s="1035"/>
      <c r="N823" s="1057"/>
      <c r="O823" s="1057"/>
      <c r="P823" s="1057"/>
      <c r="Q823" s="1057"/>
      <c r="R823" s="1057"/>
    </row>
    <row r="824">
      <c r="C824" s="1035"/>
      <c r="N824" s="1057"/>
      <c r="O824" s="1057"/>
      <c r="P824" s="1057"/>
      <c r="Q824" s="1057"/>
      <c r="R824" s="1057"/>
    </row>
    <row r="825">
      <c r="C825" s="1035"/>
      <c r="N825" s="1057"/>
      <c r="O825" s="1057"/>
      <c r="P825" s="1057"/>
      <c r="Q825" s="1057"/>
      <c r="R825" s="1057"/>
    </row>
    <row r="826">
      <c r="C826" s="1035"/>
      <c r="N826" s="1057"/>
      <c r="O826" s="1057"/>
      <c r="P826" s="1057"/>
      <c r="Q826" s="1057"/>
      <c r="R826" s="1057"/>
    </row>
    <row r="827">
      <c r="C827" s="1035"/>
      <c r="N827" s="1057"/>
      <c r="O827" s="1057"/>
      <c r="P827" s="1057"/>
      <c r="Q827" s="1057"/>
      <c r="R827" s="1057"/>
    </row>
    <row r="828">
      <c r="C828" s="1035"/>
      <c r="N828" s="1057"/>
      <c r="O828" s="1057"/>
      <c r="P828" s="1057"/>
      <c r="Q828" s="1057"/>
      <c r="R828" s="1057"/>
    </row>
    <row r="829">
      <c r="C829" s="1035"/>
      <c r="N829" s="1057"/>
      <c r="O829" s="1057"/>
      <c r="P829" s="1057"/>
      <c r="Q829" s="1057"/>
      <c r="R829" s="1057"/>
    </row>
    <row r="830">
      <c r="C830" s="1035"/>
      <c r="N830" s="1057"/>
      <c r="O830" s="1057"/>
      <c r="P830" s="1057"/>
      <c r="Q830" s="1057"/>
      <c r="R830" s="1057"/>
    </row>
    <row r="831">
      <c r="C831" s="1035"/>
      <c r="N831" s="1057"/>
      <c r="O831" s="1057"/>
      <c r="P831" s="1057"/>
      <c r="Q831" s="1057"/>
      <c r="R831" s="1057"/>
    </row>
    <row r="832">
      <c r="C832" s="1035"/>
      <c r="N832" s="1057"/>
      <c r="O832" s="1057"/>
      <c r="P832" s="1057"/>
      <c r="Q832" s="1057"/>
      <c r="R832" s="1057"/>
    </row>
    <row r="833">
      <c r="C833" s="1035"/>
      <c r="N833" s="1057"/>
      <c r="O833" s="1057"/>
      <c r="P833" s="1057"/>
      <c r="Q833" s="1057"/>
      <c r="R833" s="1057"/>
    </row>
    <row r="834">
      <c r="C834" s="1035"/>
      <c r="N834" s="1057"/>
      <c r="O834" s="1057"/>
      <c r="P834" s="1057"/>
      <c r="Q834" s="1057"/>
      <c r="R834" s="1057"/>
    </row>
    <row r="835">
      <c r="C835" s="1035"/>
      <c r="N835" s="1057"/>
      <c r="O835" s="1057"/>
      <c r="P835" s="1057"/>
      <c r="Q835" s="1057"/>
      <c r="R835" s="1057"/>
    </row>
    <row r="836">
      <c r="C836" s="1035"/>
      <c r="N836" s="1057"/>
      <c r="O836" s="1057"/>
      <c r="P836" s="1057"/>
      <c r="Q836" s="1057"/>
      <c r="R836" s="1057"/>
    </row>
    <row r="837">
      <c r="C837" s="1035"/>
      <c r="N837" s="1057"/>
      <c r="O837" s="1057"/>
      <c r="P837" s="1057"/>
      <c r="Q837" s="1057"/>
      <c r="R837" s="1057"/>
    </row>
    <row r="838">
      <c r="C838" s="1035"/>
      <c r="N838" s="1057"/>
      <c r="O838" s="1057"/>
      <c r="P838" s="1057"/>
      <c r="Q838" s="1057"/>
      <c r="R838" s="1057"/>
    </row>
    <row r="839">
      <c r="C839" s="1035"/>
      <c r="N839" s="1057"/>
      <c r="O839" s="1057"/>
      <c r="P839" s="1057"/>
      <c r="Q839" s="1057"/>
      <c r="R839" s="1057"/>
    </row>
    <row r="840">
      <c r="C840" s="1035"/>
      <c r="N840" s="1057"/>
      <c r="O840" s="1057"/>
      <c r="P840" s="1057"/>
      <c r="Q840" s="1057"/>
      <c r="R840" s="1057"/>
    </row>
    <row r="841">
      <c r="C841" s="1035"/>
      <c r="N841" s="1057"/>
      <c r="O841" s="1057"/>
      <c r="P841" s="1057"/>
      <c r="Q841" s="1057"/>
      <c r="R841" s="1057"/>
    </row>
    <row r="842">
      <c r="C842" s="1035"/>
      <c r="N842" s="1057"/>
      <c r="O842" s="1057"/>
      <c r="P842" s="1057"/>
      <c r="Q842" s="1057"/>
      <c r="R842" s="1057"/>
    </row>
    <row r="843">
      <c r="C843" s="1035"/>
      <c r="N843" s="1057"/>
      <c r="O843" s="1057"/>
      <c r="P843" s="1057"/>
      <c r="Q843" s="1057"/>
      <c r="R843" s="1057"/>
    </row>
    <row r="844">
      <c r="C844" s="1035"/>
      <c r="N844" s="1057"/>
      <c r="O844" s="1057"/>
      <c r="P844" s="1057"/>
      <c r="Q844" s="1057"/>
      <c r="R844" s="1057"/>
    </row>
    <row r="845">
      <c r="C845" s="1035"/>
      <c r="N845" s="1057"/>
      <c r="O845" s="1057"/>
      <c r="P845" s="1057"/>
      <c r="Q845" s="1057"/>
      <c r="R845" s="1057"/>
    </row>
    <row r="846">
      <c r="C846" s="1035"/>
      <c r="N846" s="1057"/>
      <c r="O846" s="1057"/>
      <c r="P846" s="1057"/>
      <c r="Q846" s="1057"/>
      <c r="R846" s="1057"/>
    </row>
    <row r="847">
      <c r="C847" s="1035"/>
      <c r="N847" s="1057"/>
      <c r="O847" s="1057"/>
      <c r="P847" s="1057"/>
      <c r="Q847" s="1057"/>
      <c r="R847" s="1057"/>
    </row>
    <row r="848">
      <c r="C848" s="1035"/>
      <c r="N848" s="1057"/>
      <c r="O848" s="1057"/>
      <c r="P848" s="1057"/>
      <c r="Q848" s="1057"/>
      <c r="R848" s="1057"/>
    </row>
    <row r="849">
      <c r="C849" s="1035"/>
      <c r="N849" s="1057"/>
      <c r="O849" s="1057"/>
      <c r="P849" s="1057"/>
      <c r="Q849" s="1057"/>
      <c r="R849" s="1057"/>
    </row>
    <row r="850">
      <c r="C850" s="1035"/>
      <c r="N850" s="1057"/>
      <c r="O850" s="1057"/>
      <c r="P850" s="1057"/>
      <c r="Q850" s="1057"/>
      <c r="R850" s="1057"/>
    </row>
    <row r="851">
      <c r="C851" s="1035"/>
      <c r="N851" s="1057"/>
      <c r="O851" s="1057"/>
      <c r="P851" s="1057"/>
      <c r="Q851" s="1057"/>
      <c r="R851" s="1057"/>
    </row>
    <row r="852">
      <c r="C852" s="1035"/>
      <c r="N852" s="1057"/>
      <c r="O852" s="1057"/>
      <c r="P852" s="1057"/>
      <c r="Q852" s="1057"/>
      <c r="R852" s="1057"/>
    </row>
    <row r="853">
      <c r="C853" s="1035"/>
      <c r="N853" s="1057"/>
      <c r="O853" s="1057"/>
      <c r="P853" s="1057"/>
      <c r="Q853" s="1057"/>
      <c r="R853" s="1057"/>
    </row>
    <row r="854">
      <c r="C854" s="1035"/>
      <c r="N854" s="1057"/>
      <c r="O854" s="1057"/>
      <c r="P854" s="1057"/>
      <c r="Q854" s="1057"/>
      <c r="R854" s="1057"/>
    </row>
    <row r="855">
      <c r="C855" s="1035"/>
      <c r="N855" s="1057"/>
      <c r="O855" s="1057"/>
      <c r="P855" s="1057"/>
      <c r="Q855" s="1057"/>
      <c r="R855" s="1057"/>
    </row>
    <row r="856">
      <c r="C856" s="1035"/>
      <c r="N856" s="1057"/>
      <c r="O856" s="1057"/>
      <c r="P856" s="1057"/>
      <c r="Q856" s="1057"/>
      <c r="R856" s="1057"/>
    </row>
    <row r="857">
      <c r="C857" s="1035"/>
      <c r="N857" s="1057"/>
      <c r="O857" s="1057"/>
      <c r="P857" s="1057"/>
      <c r="Q857" s="1057"/>
      <c r="R857" s="1057"/>
    </row>
    <row r="858">
      <c r="C858" s="1035"/>
      <c r="N858" s="1057"/>
      <c r="O858" s="1057"/>
      <c r="P858" s="1057"/>
      <c r="Q858" s="1057"/>
      <c r="R858" s="1057"/>
    </row>
    <row r="859">
      <c r="C859" s="1035"/>
      <c r="N859" s="1057"/>
      <c r="O859" s="1057"/>
      <c r="P859" s="1057"/>
      <c r="Q859" s="1057"/>
      <c r="R859" s="1057"/>
    </row>
    <row r="860">
      <c r="C860" s="1035"/>
      <c r="N860" s="1057"/>
      <c r="O860" s="1057"/>
      <c r="P860" s="1057"/>
      <c r="Q860" s="1057"/>
      <c r="R860" s="1057"/>
    </row>
    <row r="861">
      <c r="C861" s="1035"/>
      <c r="N861" s="1057"/>
      <c r="O861" s="1057"/>
      <c r="P861" s="1057"/>
      <c r="Q861" s="1057"/>
      <c r="R861" s="1057"/>
    </row>
    <row r="862">
      <c r="C862" s="1035"/>
      <c r="N862" s="1057"/>
      <c r="O862" s="1057"/>
      <c r="P862" s="1057"/>
      <c r="Q862" s="1057"/>
      <c r="R862" s="1057"/>
    </row>
    <row r="863">
      <c r="C863" s="1035"/>
      <c r="N863" s="1057"/>
      <c r="O863" s="1057"/>
      <c r="P863" s="1057"/>
      <c r="Q863" s="1057"/>
      <c r="R863" s="1057"/>
    </row>
    <row r="864">
      <c r="C864" s="1035"/>
      <c r="N864" s="1057"/>
      <c r="O864" s="1057"/>
      <c r="P864" s="1057"/>
      <c r="Q864" s="1057"/>
      <c r="R864" s="1057"/>
    </row>
    <row r="865">
      <c r="C865" s="1035"/>
      <c r="N865" s="1057"/>
      <c r="O865" s="1057"/>
      <c r="P865" s="1057"/>
      <c r="Q865" s="1057"/>
      <c r="R865" s="1057"/>
    </row>
    <row r="866">
      <c r="C866" s="1035"/>
      <c r="N866" s="1057"/>
      <c r="O866" s="1057"/>
      <c r="P866" s="1057"/>
      <c r="Q866" s="1057"/>
      <c r="R866" s="1057"/>
    </row>
    <row r="867">
      <c r="C867" s="1035"/>
      <c r="N867" s="1057"/>
      <c r="O867" s="1057"/>
      <c r="P867" s="1057"/>
      <c r="Q867" s="1057"/>
      <c r="R867" s="1057"/>
    </row>
    <row r="868">
      <c r="C868" s="1035"/>
      <c r="N868" s="1057"/>
      <c r="O868" s="1057"/>
      <c r="P868" s="1057"/>
      <c r="Q868" s="1057"/>
      <c r="R868" s="1057"/>
    </row>
    <row r="869">
      <c r="C869" s="1035"/>
      <c r="N869" s="1057"/>
      <c r="O869" s="1057"/>
      <c r="P869" s="1057"/>
      <c r="Q869" s="1057"/>
      <c r="R869" s="1057"/>
    </row>
    <row r="870">
      <c r="C870" s="1035"/>
      <c r="N870" s="1057"/>
      <c r="O870" s="1057"/>
      <c r="P870" s="1057"/>
      <c r="Q870" s="1057"/>
      <c r="R870" s="1057"/>
    </row>
    <row r="871">
      <c r="C871" s="1035"/>
      <c r="N871" s="1057"/>
      <c r="O871" s="1057"/>
      <c r="P871" s="1057"/>
      <c r="Q871" s="1057"/>
      <c r="R871" s="1057"/>
    </row>
    <row r="872">
      <c r="C872" s="1035"/>
      <c r="N872" s="1057"/>
      <c r="O872" s="1057"/>
      <c r="P872" s="1057"/>
      <c r="Q872" s="1057"/>
      <c r="R872" s="1057"/>
    </row>
    <row r="873">
      <c r="C873" s="1035"/>
      <c r="N873" s="1057"/>
      <c r="O873" s="1057"/>
      <c r="P873" s="1057"/>
      <c r="Q873" s="1057"/>
      <c r="R873" s="1057"/>
    </row>
    <row r="874">
      <c r="C874" s="1035"/>
      <c r="N874" s="1057"/>
      <c r="O874" s="1057"/>
      <c r="P874" s="1057"/>
      <c r="Q874" s="1057"/>
      <c r="R874" s="1057"/>
    </row>
    <row r="875">
      <c r="C875" s="1035"/>
      <c r="N875" s="1057"/>
      <c r="O875" s="1057"/>
      <c r="P875" s="1057"/>
      <c r="Q875" s="1057"/>
      <c r="R875" s="1057"/>
    </row>
    <row r="876">
      <c r="C876" s="1035"/>
      <c r="N876" s="1057"/>
      <c r="O876" s="1057"/>
      <c r="P876" s="1057"/>
      <c r="Q876" s="1057"/>
      <c r="R876" s="1057"/>
    </row>
    <row r="877">
      <c r="C877" s="1035"/>
      <c r="N877" s="1057"/>
      <c r="O877" s="1057"/>
      <c r="P877" s="1057"/>
      <c r="Q877" s="1057"/>
      <c r="R877" s="1057"/>
    </row>
    <row r="878">
      <c r="C878" s="1035"/>
      <c r="N878" s="1057"/>
      <c r="O878" s="1057"/>
      <c r="P878" s="1057"/>
      <c r="Q878" s="1057"/>
      <c r="R878" s="1057"/>
    </row>
    <row r="879">
      <c r="C879" s="1035"/>
      <c r="N879" s="1057"/>
      <c r="O879" s="1057"/>
      <c r="P879" s="1057"/>
      <c r="Q879" s="1057"/>
      <c r="R879" s="1057"/>
    </row>
    <row r="880">
      <c r="C880" s="1035"/>
      <c r="N880" s="1057"/>
      <c r="O880" s="1057"/>
      <c r="P880" s="1057"/>
      <c r="Q880" s="1057"/>
      <c r="R880" s="1057"/>
    </row>
    <row r="881">
      <c r="C881" s="1035"/>
      <c r="N881" s="1057"/>
      <c r="O881" s="1057"/>
      <c r="P881" s="1057"/>
      <c r="Q881" s="1057"/>
      <c r="R881" s="1057"/>
    </row>
    <row r="882">
      <c r="C882" s="1035"/>
      <c r="N882" s="1057"/>
      <c r="O882" s="1057"/>
      <c r="P882" s="1057"/>
      <c r="Q882" s="1057"/>
      <c r="R882" s="1057"/>
    </row>
    <row r="883">
      <c r="C883" s="1035"/>
      <c r="N883" s="1057"/>
      <c r="O883" s="1057"/>
      <c r="P883" s="1057"/>
      <c r="Q883" s="1057"/>
      <c r="R883" s="1057"/>
    </row>
    <row r="884">
      <c r="C884" s="1035"/>
      <c r="N884" s="1057"/>
      <c r="O884" s="1057"/>
      <c r="P884" s="1057"/>
      <c r="Q884" s="1057"/>
      <c r="R884" s="1057"/>
    </row>
    <row r="885">
      <c r="C885" s="1035"/>
      <c r="N885" s="1057"/>
      <c r="O885" s="1057"/>
      <c r="P885" s="1057"/>
      <c r="Q885" s="1057"/>
      <c r="R885" s="1057"/>
    </row>
    <row r="886">
      <c r="C886" s="1035"/>
      <c r="N886" s="1057"/>
      <c r="O886" s="1057"/>
      <c r="P886" s="1057"/>
      <c r="Q886" s="1057"/>
      <c r="R886" s="1057"/>
    </row>
    <row r="887">
      <c r="C887" s="1035"/>
      <c r="N887" s="1057"/>
      <c r="O887" s="1057"/>
      <c r="P887" s="1057"/>
      <c r="Q887" s="1057"/>
      <c r="R887" s="1057"/>
    </row>
    <row r="888">
      <c r="C888" s="1035"/>
      <c r="N888" s="1057"/>
      <c r="O888" s="1057"/>
      <c r="P888" s="1057"/>
      <c r="Q888" s="1057"/>
      <c r="R888" s="1057"/>
    </row>
    <row r="889">
      <c r="C889" s="1035"/>
      <c r="N889" s="1057"/>
      <c r="O889" s="1057"/>
      <c r="P889" s="1057"/>
      <c r="Q889" s="1057"/>
      <c r="R889" s="1057"/>
    </row>
    <row r="890">
      <c r="C890" s="1035"/>
      <c r="N890" s="1057"/>
      <c r="O890" s="1057"/>
      <c r="P890" s="1057"/>
      <c r="Q890" s="1057"/>
      <c r="R890" s="1057"/>
    </row>
    <row r="891">
      <c r="C891" s="1035"/>
      <c r="N891" s="1057"/>
      <c r="O891" s="1057"/>
      <c r="P891" s="1057"/>
      <c r="Q891" s="1057"/>
      <c r="R891" s="1057"/>
    </row>
    <row r="892">
      <c r="C892" s="1035"/>
      <c r="N892" s="1057"/>
      <c r="O892" s="1057"/>
      <c r="P892" s="1057"/>
      <c r="Q892" s="1057"/>
      <c r="R892" s="1057"/>
    </row>
    <row r="893">
      <c r="C893" s="1035"/>
      <c r="N893" s="1057"/>
      <c r="O893" s="1057"/>
      <c r="P893" s="1057"/>
      <c r="Q893" s="1057"/>
      <c r="R893" s="1057"/>
    </row>
    <row r="894">
      <c r="C894" s="1035"/>
      <c r="N894" s="1057"/>
      <c r="O894" s="1057"/>
      <c r="P894" s="1057"/>
      <c r="Q894" s="1057"/>
      <c r="R894" s="1057"/>
    </row>
    <row r="895">
      <c r="C895" s="1035"/>
      <c r="N895" s="1057"/>
      <c r="O895" s="1057"/>
      <c r="P895" s="1057"/>
      <c r="Q895" s="1057"/>
      <c r="R895" s="1057"/>
    </row>
    <row r="896">
      <c r="C896" s="1035"/>
      <c r="N896" s="1057"/>
      <c r="O896" s="1057"/>
      <c r="P896" s="1057"/>
      <c r="Q896" s="1057"/>
      <c r="R896" s="1057"/>
    </row>
    <row r="897">
      <c r="C897" s="1035"/>
      <c r="N897" s="1057"/>
      <c r="O897" s="1057"/>
      <c r="P897" s="1057"/>
      <c r="Q897" s="1057"/>
      <c r="R897" s="1057"/>
    </row>
    <row r="898">
      <c r="C898" s="1035"/>
      <c r="N898" s="1057"/>
      <c r="O898" s="1057"/>
      <c r="P898" s="1057"/>
      <c r="Q898" s="1057"/>
      <c r="R898" s="1057"/>
    </row>
    <row r="899">
      <c r="C899" s="1035"/>
      <c r="N899" s="1057"/>
      <c r="O899" s="1057"/>
      <c r="P899" s="1057"/>
      <c r="Q899" s="1057"/>
      <c r="R899" s="1057"/>
    </row>
    <row r="900">
      <c r="C900" s="1035"/>
      <c r="N900" s="1057"/>
      <c r="O900" s="1057"/>
      <c r="P900" s="1057"/>
      <c r="Q900" s="1057"/>
      <c r="R900" s="1057"/>
    </row>
    <row r="901">
      <c r="C901" s="1035"/>
      <c r="N901" s="1057"/>
      <c r="O901" s="1057"/>
      <c r="P901" s="1057"/>
      <c r="Q901" s="1057"/>
      <c r="R901" s="1057"/>
    </row>
    <row r="902">
      <c r="C902" s="1035"/>
      <c r="N902" s="1057"/>
      <c r="O902" s="1057"/>
      <c r="P902" s="1057"/>
      <c r="Q902" s="1057"/>
      <c r="R902" s="1057"/>
    </row>
    <row r="903">
      <c r="C903" s="1035"/>
      <c r="N903" s="1057"/>
      <c r="O903" s="1057"/>
      <c r="P903" s="1057"/>
      <c r="Q903" s="1057"/>
      <c r="R903" s="1057"/>
    </row>
    <row r="904">
      <c r="C904" s="1035"/>
      <c r="N904" s="1057"/>
      <c r="O904" s="1057"/>
      <c r="P904" s="1057"/>
      <c r="Q904" s="1057"/>
      <c r="R904" s="1057"/>
    </row>
    <row r="905">
      <c r="C905" s="1035"/>
      <c r="N905" s="1057"/>
      <c r="O905" s="1057"/>
      <c r="P905" s="1057"/>
      <c r="Q905" s="1057"/>
      <c r="R905" s="1057"/>
    </row>
    <row r="906">
      <c r="C906" s="1035"/>
      <c r="N906" s="1057"/>
      <c r="O906" s="1057"/>
      <c r="P906" s="1057"/>
      <c r="Q906" s="1057"/>
      <c r="R906" s="1057"/>
    </row>
    <row r="907">
      <c r="C907" s="1035"/>
      <c r="N907" s="1057"/>
      <c r="O907" s="1057"/>
      <c r="P907" s="1057"/>
      <c r="Q907" s="1057"/>
      <c r="R907" s="1057"/>
    </row>
    <row r="908">
      <c r="C908" s="1035"/>
      <c r="N908" s="1057"/>
      <c r="O908" s="1057"/>
      <c r="P908" s="1057"/>
      <c r="Q908" s="1057"/>
      <c r="R908" s="1057"/>
    </row>
    <row r="909">
      <c r="C909" s="1035"/>
      <c r="N909" s="1057"/>
      <c r="O909" s="1057"/>
      <c r="P909" s="1057"/>
      <c r="Q909" s="1057"/>
      <c r="R909" s="1057"/>
    </row>
    <row r="910">
      <c r="C910" s="1035"/>
      <c r="N910" s="1057"/>
      <c r="O910" s="1057"/>
      <c r="P910" s="1057"/>
      <c r="Q910" s="1057"/>
      <c r="R910" s="1057"/>
    </row>
    <row r="911">
      <c r="C911" s="1035"/>
      <c r="N911" s="1057"/>
      <c r="O911" s="1057"/>
      <c r="P911" s="1057"/>
      <c r="Q911" s="1057"/>
      <c r="R911" s="1057"/>
    </row>
    <row r="912">
      <c r="C912" s="1035"/>
      <c r="N912" s="1057"/>
      <c r="O912" s="1057"/>
      <c r="P912" s="1057"/>
      <c r="Q912" s="1057"/>
      <c r="R912" s="1057"/>
    </row>
    <row r="913">
      <c r="C913" s="1035"/>
      <c r="N913" s="1057"/>
      <c r="O913" s="1057"/>
      <c r="P913" s="1057"/>
      <c r="Q913" s="1057"/>
      <c r="R913" s="1057"/>
    </row>
    <row r="914">
      <c r="C914" s="1035"/>
      <c r="N914" s="1057"/>
      <c r="O914" s="1057"/>
      <c r="P914" s="1057"/>
      <c r="Q914" s="1057"/>
      <c r="R914" s="1057"/>
    </row>
    <row r="915">
      <c r="C915" s="1035"/>
      <c r="N915" s="1057"/>
      <c r="O915" s="1057"/>
      <c r="P915" s="1057"/>
      <c r="Q915" s="1057"/>
      <c r="R915" s="1057"/>
    </row>
    <row r="916">
      <c r="C916" s="1035"/>
      <c r="N916" s="1057"/>
      <c r="O916" s="1057"/>
      <c r="P916" s="1057"/>
      <c r="Q916" s="1057"/>
      <c r="R916" s="1057"/>
    </row>
    <row r="917">
      <c r="C917" s="1035"/>
      <c r="N917" s="1057"/>
      <c r="O917" s="1057"/>
      <c r="P917" s="1057"/>
      <c r="Q917" s="1057"/>
      <c r="R917" s="1057"/>
    </row>
    <row r="918">
      <c r="C918" s="1035"/>
      <c r="N918" s="1057"/>
      <c r="O918" s="1057"/>
      <c r="P918" s="1057"/>
      <c r="Q918" s="1057"/>
      <c r="R918" s="1057"/>
    </row>
    <row r="919">
      <c r="C919" s="1035"/>
      <c r="N919" s="1057"/>
      <c r="O919" s="1057"/>
      <c r="P919" s="1057"/>
      <c r="Q919" s="1057"/>
      <c r="R919" s="1057"/>
    </row>
    <row r="920">
      <c r="C920" s="1035"/>
      <c r="N920" s="1057"/>
      <c r="O920" s="1057"/>
      <c r="P920" s="1057"/>
      <c r="Q920" s="1057"/>
      <c r="R920" s="1057"/>
    </row>
    <row r="921">
      <c r="C921" s="1035"/>
      <c r="N921" s="1057"/>
      <c r="O921" s="1057"/>
      <c r="P921" s="1057"/>
      <c r="Q921" s="1057"/>
      <c r="R921" s="1057"/>
    </row>
    <row r="922">
      <c r="C922" s="1035"/>
      <c r="N922" s="1057"/>
      <c r="O922" s="1057"/>
      <c r="P922" s="1057"/>
      <c r="Q922" s="1057"/>
      <c r="R922" s="1057"/>
    </row>
    <row r="923">
      <c r="C923" s="1035"/>
      <c r="N923" s="1057"/>
      <c r="O923" s="1057"/>
      <c r="P923" s="1057"/>
      <c r="Q923" s="1057"/>
      <c r="R923" s="1057"/>
    </row>
    <row r="924">
      <c r="C924" s="1035"/>
      <c r="N924" s="1057"/>
      <c r="O924" s="1057"/>
      <c r="P924" s="1057"/>
      <c r="Q924" s="1057"/>
      <c r="R924" s="1057"/>
    </row>
    <row r="925">
      <c r="C925" s="1035"/>
      <c r="N925" s="1057"/>
      <c r="O925" s="1057"/>
      <c r="P925" s="1057"/>
      <c r="Q925" s="1057"/>
      <c r="R925" s="1057"/>
    </row>
    <row r="926">
      <c r="C926" s="1035"/>
      <c r="N926" s="1057"/>
      <c r="O926" s="1057"/>
      <c r="P926" s="1057"/>
      <c r="Q926" s="1057"/>
      <c r="R926" s="1057"/>
    </row>
    <row r="927">
      <c r="C927" s="1035"/>
      <c r="N927" s="1057"/>
      <c r="O927" s="1057"/>
      <c r="P927" s="1057"/>
      <c r="Q927" s="1057"/>
      <c r="R927" s="1057"/>
    </row>
    <row r="928">
      <c r="C928" s="1035"/>
      <c r="N928" s="1057"/>
      <c r="O928" s="1057"/>
      <c r="P928" s="1057"/>
      <c r="Q928" s="1057"/>
      <c r="R928" s="1057"/>
    </row>
    <row r="929">
      <c r="C929" s="1035"/>
      <c r="N929" s="1057"/>
      <c r="O929" s="1057"/>
      <c r="P929" s="1057"/>
      <c r="Q929" s="1057"/>
      <c r="R929" s="1057"/>
    </row>
    <row r="930">
      <c r="C930" s="1035"/>
      <c r="N930" s="1057"/>
      <c r="O930" s="1057"/>
      <c r="P930" s="1057"/>
      <c r="Q930" s="1057"/>
      <c r="R930" s="1057"/>
    </row>
    <row r="931">
      <c r="C931" s="1035"/>
      <c r="N931" s="1057"/>
      <c r="O931" s="1057"/>
      <c r="P931" s="1057"/>
      <c r="Q931" s="1057"/>
      <c r="R931" s="1057"/>
    </row>
    <row r="932">
      <c r="C932" s="1035"/>
      <c r="N932" s="1057"/>
      <c r="O932" s="1057"/>
      <c r="P932" s="1057"/>
      <c r="Q932" s="1057"/>
      <c r="R932" s="1057"/>
    </row>
    <row r="933">
      <c r="C933" s="1035"/>
      <c r="N933" s="1057"/>
      <c r="O933" s="1057"/>
      <c r="P933" s="1057"/>
      <c r="Q933" s="1057"/>
      <c r="R933" s="1057"/>
    </row>
    <row r="934">
      <c r="C934" s="1035"/>
      <c r="N934" s="1057"/>
      <c r="O934" s="1057"/>
      <c r="P934" s="1057"/>
      <c r="Q934" s="1057"/>
      <c r="R934" s="1057"/>
    </row>
    <row r="935">
      <c r="C935" s="1035"/>
      <c r="N935" s="1057"/>
      <c r="O935" s="1057"/>
      <c r="P935" s="1057"/>
      <c r="Q935" s="1057"/>
      <c r="R935" s="1057"/>
    </row>
    <row r="936">
      <c r="C936" s="1035"/>
      <c r="N936" s="1057"/>
      <c r="O936" s="1057"/>
      <c r="P936" s="1057"/>
      <c r="Q936" s="1057"/>
      <c r="R936" s="1057"/>
    </row>
    <row r="937">
      <c r="C937" s="1035"/>
      <c r="N937" s="1057"/>
      <c r="O937" s="1057"/>
      <c r="P937" s="1057"/>
      <c r="Q937" s="1057"/>
      <c r="R937" s="1057"/>
    </row>
    <row r="938">
      <c r="C938" s="1035"/>
      <c r="N938" s="1057"/>
      <c r="O938" s="1057"/>
      <c r="P938" s="1057"/>
      <c r="Q938" s="1057"/>
      <c r="R938" s="1057"/>
    </row>
    <row r="939">
      <c r="C939" s="1035"/>
      <c r="N939" s="1057"/>
      <c r="O939" s="1057"/>
      <c r="P939" s="1057"/>
      <c r="Q939" s="1057"/>
      <c r="R939" s="1057"/>
    </row>
    <row r="940">
      <c r="C940" s="1035"/>
      <c r="N940" s="1057"/>
      <c r="O940" s="1057"/>
      <c r="P940" s="1057"/>
      <c r="Q940" s="1057"/>
      <c r="R940" s="1057"/>
    </row>
    <row r="941">
      <c r="C941" s="1035"/>
      <c r="N941" s="1057"/>
      <c r="O941" s="1057"/>
      <c r="P941" s="1057"/>
      <c r="Q941" s="1057"/>
      <c r="R941" s="1057"/>
    </row>
    <row r="942">
      <c r="C942" s="1035"/>
      <c r="N942" s="1057"/>
      <c r="O942" s="1057"/>
      <c r="P942" s="1057"/>
      <c r="Q942" s="1057"/>
      <c r="R942" s="1057"/>
    </row>
    <row r="943">
      <c r="C943" s="1035"/>
      <c r="N943" s="1057"/>
      <c r="O943" s="1057"/>
      <c r="P943" s="1057"/>
      <c r="Q943" s="1057"/>
      <c r="R943" s="1057"/>
    </row>
    <row r="944">
      <c r="C944" s="1035"/>
      <c r="N944" s="1057"/>
      <c r="O944" s="1057"/>
      <c r="P944" s="1057"/>
      <c r="Q944" s="1057"/>
      <c r="R944" s="1057"/>
    </row>
    <row r="945">
      <c r="C945" s="1035"/>
      <c r="N945" s="1057"/>
      <c r="O945" s="1057"/>
      <c r="P945" s="1057"/>
      <c r="Q945" s="1057"/>
      <c r="R945" s="1057"/>
    </row>
    <row r="946">
      <c r="C946" s="1035"/>
      <c r="N946" s="1057"/>
      <c r="O946" s="1057"/>
      <c r="P946" s="1057"/>
      <c r="Q946" s="1057"/>
      <c r="R946" s="1057"/>
    </row>
    <row r="947">
      <c r="C947" s="1035"/>
      <c r="N947" s="1057"/>
      <c r="O947" s="1057"/>
      <c r="P947" s="1057"/>
      <c r="Q947" s="1057"/>
      <c r="R947" s="1057"/>
    </row>
    <row r="948">
      <c r="C948" s="1035"/>
      <c r="N948" s="1057"/>
      <c r="O948" s="1057"/>
      <c r="P948" s="1057"/>
      <c r="Q948" s="1057"/>
      <c r="R948" s="1057"/>
    </row>
    <row r="949">
      <c r="C949" s="1035"/>
      <c r="N949" s="1057"/>
      <c r="O949" s="1057"/>
      <c r="P949" s="1057"/>
      <c r="Q949" s="1057"/>
      <c r="R949" s="1057"/>
    </row>
    <row r="950">
      <c r="C950" s="1035"/>
      <c r="N950" s="1057"/>
      <c r="O950" s="1057"/>
      <c r="P950" s="1057"/>
      <c r="Q950" s="1057"/>
      <c r="R950" s="1057"/>
    </row>
    <row r="951">
      <c r="C951" s="1035"/>
      <c r="N951" s="1057"/>
      <c r="O951" s="1057"/>
      <c r="P951" s="1057"/>
      <c r="Q951" s="1057"/>
      <c r="R951" s="1057"/>
    </row>
    <row r="952">
      <c r="C952" s="1035"/>
      <c r="N952" s="1057"/>
      <c r="O952" s="1057"/>
      <c r="P952" s="1057"/>
      <c r="Q952" s="1057"/>
      <c r="R952" s="1057"/>
    </row>
    <row r="953">
      <c r="C953" s="1035"/>
      <c r="N953" s="1057"/>
      <c r="O953" s="1057"/>
      <c r="P953" s="1057"/>
      <c r="Q953" s="1057"/>
      <c r="R953" s="1057"/>
    </row>
    <row r="954">
      <c r="C954" s="1035"/>
      <c r="N954" s="1057"/>
      <c r="O954" s="1057"/>
      <c r="P954" s="1057"/>
      <c r="Q954" s="1057"/>
      <c r="R954" s="1057"/>
    </row>
    <row r="955">
      <c r="C955" s="1035"/>
      <c r="N955" s="1057"/>
      <c r="O955" s="1057"/>
      <c r="P955" s="1057"/>
      <c r="Q955" s="1057"/>
      <c r="R955" s="1057"/>
    </row>
    <row r="956">
      <c r="C956" s="1035"/>
      <c r="N956" s="1057"/>
      <c r="O956" s="1057"/>
      <c r="P956" s="1057"/>
      <c r="Q956" s="1057"/>
      <c r="R956" s="1057"/>
    </row>
    <row r="957">
      <c r="C957" s="1035"/>
      <c r="N957" s="1057"/>
      <c r="O957" s="1057"/>
      <c r="P957" s="1057"/>
      <c r="Q957" s="1057"/>
      <c r="R957" s="1057"/>
    </row>
    <row r="958">
      <c r="C958" s="1035"/>
      <c r="N958" s="1057"/>
      <c r="O958" s="1057"/>
      <c r="P958" s="1057"/>
      <c r="Q958" s="1057"/>
      <c r="R958" s="1057"/>
    </row>
    <row r="959">
      <c r="C959" s="1035"/>
      <c r="N959" s="1057"/>
      <c r="O959" s="1057"/>
      <c r="P959" s="1057"/>
      <c r="Q959" s="1057"/>
      <c r="R959" s="1057"/>
    </row>
    <row r="960">
      <c r="C960" s="1035"/>
      <c r="N960" s="1057"/>
      <c r="O960" s="1057"/>
      <c r="P960" s="1057"/>
      <c r="Q960" s="1057"/>
      <c r="R960" s="1057"/>
    </row>
    <row r="961">
      <c r="C961" s="1035"/>
      <c r="N961" s="1057"/>
      <c r="O961" s="1057"/>
      <c r="P961" s="1057"/>
      <c r="Q961" s="1057"/>
      <c r="R961" s="1057"/>
    </row>
    <row r="962">
      <c r="C962" s="1035"/>
      <c r="N962" s="1057"/>
      <c r="O962" s="1057"/>
      <c r="P962" s="1057"/>
      <c r="Q962" s="1057"/>
      <c r="R962" s="1057"/>
    </row>
    <row r="963">
      <c r="C963" s="1035"/>
      <c r="N963" s="1057"/>
      <c r="O963" s="1057"/>
      <c r="P963" s="1057"/>
      <c r="Q963" s="1057"/>
      <c r="R963" s="1057"/>
    </row>
    <row r="964">
      <c r="C964" s="1035"/>
      <c r="N964" s="1057"/>
      <c r="O964" s="1057"/>
      <c r="P964" s="1057"/>
      <c r="Q964" s="1057"/>
      <c r="R964" s="1057"/>
    </row>
    <row r="965">
      <c r="C965" s="1035"/>
      <c r="N965" s="1057"/>
      <c r="O965" s="1057"/>
      <c r="P965" s="1057"/>
      <c r="Q965" s="1057"/>
      <c r="R965" s="1057"/>
    </row>
    <row r="966">
      <c r="C966" s="1035"/>
      <c r="N966" s="1057"/>
      <c r="O966" s="1057"/>
      <c r="P966" s="1057"/>
      <c r="Q966" s="1057"/>
      <c r="R966" s="1057"/>
    </row>
    <row r="967">
      <c r="C967" s="1035"/>
      <c r="N967" s="1057"/>
      <c r="O967" s="1057"/>
      <c r="P967" s="1057"/>
      <c r="Q967" s="1057"/>
      <c r="R967" s="1057"/>
    </row>
    <row r="968">
      <c r="C968" s="1035"/>
      <c r="N968" s="1057"/>
      <c r="O968" s="1057"/>
      <c r="P968" s="1057"/>
      <c r="Q968" s="1057"/>
      <c r="R968" s="1057"/>
    </row>
    <row r="969">
      <c r="C969" s="1035"/>
      <c r="N969" s="1057"/>
      <c r="O969" s="1057"/>
      <c r="P969" s="1057"/>
      <c r="Q969" s="1057"/>
      <c r="R969" s="1057"/>
    </row>
    <row r="970">
      <c r="C970" s="1035"/>
      <c r="N970" s="1057"/>
      <c r="O970" s="1057"/>
      <c r="P970" s="1057"/>
      <c r="Q970" s="1057"/>
      <c r="R970" s="1057"/>
    </row>
    <row r="971">
      <c r="C971" s="1035"/>
      <c r="N971" s="1057"/>
      <c r="O971" s="1057"/>
      <c r="P971" s="1057"/>
      <c r="Q971" s="1057"/>
      <c r="R971" s="1057"/>
    </row>
    <row r="972">
      <c r="C972" s="1035"/>
      <c r="N972" s="1057"/>
      <c r="O972" s="1057"/>
      <c r="P972" s="1057"/>
      <c r="Q972" s="1057"/>
      <c r="R972" s="1057"/>
    </row>
    <row r="973">
      <c r="C973" s="1035"/>
      <c r="N973" s="1057"/>
      <c r="O973" s="1057"/>
      <c r="P973" s="1057"/>
      <c r="Q973" s="1057"/>
      <c r="R973" s="1057"/>
    </row>
    <row r="974">
      <c r="C974" s="1035"/>
      <c r="N974" s="1057"/>
      <c r="O974" s="1057"/>
      <c r="P974" s="1057"/>
      <c r="Q974" s="1057"/>
      <c r="R974" s="1057"/>
    </row>
    <row r="975">
      <c r="C975" s="1035"/>
      <c r="N975" s="1057"/>
      <c r="O975" s="1057"/>
      <c r="P975" s="1057"/>
      <c r="Q975" s="1057"/>
      <c r="R975" s="1057"/>
    </row>
    <row r="976">
      <c r="C976" s="1035"/>
      <c r="N976" s="1057"/>
      <c r="O976" s="1057"/>
      <c r="P976" s="1057"/>
      <c r="Q976" s="1057"/>
      <c r="R976" s="1057"/>
    </row>
    <row r="977">
      <c r="C977" s="1035"/>
      <c r="N977" s="1057"/>
      <c r="O977" s="1057"/>
      <c r="P977" s="1057"/>
      <c r="Q977" s="1057"/>
      <c r="R977" s="1057"/>
    </row>
    <row r="978">
      <c r="C978" s="1035"/>
      <c r="N978" s="1057"/>
      <c r="O978" s="1057"/>
      <c r="P978" s="1057"/>
      <c r="Q978" s="1057"/>
      <c r="R978" s="1057"/>
    </row>
    <row r="979">
      <c r="C979" s="1035"/>
      <c r="N979" s="1057"/>
      <c r="O979" s="1057"/>
      <c r="P979" s="1057"/>
      <c r="Q979" s="1057"/>
      <c r="R979" s="1057"/>
    </row>
    <row r="980">
      <c r="C980" s="1035"/>
      <c r="N980" s="1057"/>
      <c r="O980" s="1057"/>
      <c r="P980" s="1057"/>
      <c r="Q980" s="1057"/>
      <c r="R980" s="1057"/>
    </row>
    <row r="981">
      <c r="C981" s="1035"/>
      <c r="N981" s="1057"/>
      <c r="O981" s="1057"/>
      <c r="P981" s="1057"/>
      <c r="Q981" s="1057"/>
      <c r="R981" s="1057"/>
    </row>
    <row r="982">
      <c r="C982" s="1035"/>
      <c r="N982" s="1057"/>
      <c r="O982" s="1057"/>
      <c r="P982" s="1057"/>
      <c r="Q982" s="1057"/>
      <c r="R982" s="1057"/>
    </row>
    <row r="983">
      <c r="C983" s="1035"/>
      <c r="N983" s="1057"/>
      <c r="O983" s="1057"/>
      <c r="P983" s="1057"/>
      <c r="Q983" s="1057"/>
      <c r="R983" s="1057"/>
    </row>
    <row r="984">
      <c r="C984" s="1035"/>
      <c r="N984" s="1057"/>
      <c r="O984" s="1057"/>
      <c r="P984" s="1057"/>
      <c r="Q984" s="1057"/>
      <c r="R984" s="1057"/>
    </row>
    <row r="985">
      <c r="C985" s="1035"/>
      <c r="N985" s="1057"/>
      <c r="O985" s="1057"/>
      <c r="P985" s="1057"/>
      <c r="Q985" s="1057"/>
      <c r="R985" s="1057"/>
    </row>
    <row r="986">
      <c r="C986" s="1035"/>
      <c r="N986" s="1057"/>
      <c r="O986" s="1057"/>
      <c r="P986" s="1057"/>
      <c r="Q986" s="1057"/>
      <c r="R986" s="1057"/>
    </row>
    <row r="987">
      <c r="C987" s="1035"/>
      <c r="N987" s="1057"/>
      <c r="O987" s="1057"/>
      <c r="P987" s="1057"/>
      <c r="Q987" s="1057"/>
      <c r="R987" s="1057"/>
    </row>
    <row r="988">
      <c r="C988" s="1035"/>
      <c r="N988" s="1057"/>
      <c r="O988" s="1057"/>
      <c r="P988" s="1057"/>
      <c r="Q988" s="1057"/>
      <c r="R988" s="1057"/>
    </row>
    <row r="989">
      <c r="C989" s="1035"/>
      <c r="N989" s="1057"/>
      <c r="O989" s="1057"/>
      <c r="P989" s="1057"/>
      <c r="Q989" s="1057"/>
      <c r="R989" s="1057"/>
    </row>
    <row r="990">
      <c r="C990" s="1035"/>
      <c r="N990" s="1057"/>
      <c r="O990" s="1057"/>
      <c r="P990" s="1057"/>
      <c r="Q990" s="1057"/>
      <c r="R990" s="1057"/>
    </row>
    <row r="991">
      <c r="C991" s="1035"/>
      <c r="N991" s="1057"/>
      <c r="O991" s="1057"/>
      <c r="P991" s="1057"/>
      <c r="Q991" s="1057"/>
      <c r="R991" s="1057"/>
    </row>
    <row r="992">
      <c r="C992" s="1035"/>
      <c r="N992" s="1057"/>
      <c r="O992" s="1057"/>
      <c r="P992" s="1057"/>
      <c r="Q992" s="1057"/>
      <c r="R992" s="1057"/>
    </row>
    <row r="993">
      <c r="C993" s="1035"/>
      <c r="N993" s="1057"/>
      <c r="O993" s="1057"/>
      <c r="P993" s="1057"/>
      <c r="Q993" s="1057"/>
      <c r="R993" s="1057"/>
    </row>
    <row r="994">
      <c r="C994" s="1035"/>
      <c r="N994" s="1057"/>
      <c r="O994" s="1057"/>
      <c r="P994" s="1057"/>
      <c r="Q994" s="1057"/>
      <c r="R994" s="1057"/>
    </row>
    <row r="995">
      <c r="C995" s="1035"/>
      <c r="N995" s="1057"/>
      <c r="O995" s="1057"/>
      <c r="P995" s="1057"/>
      <c r="Q995" s="1057"/>
      <c r="R995" s="1057"/>
    </row>
    <row r="996">
      <c r="C996" s="1035"/>
      <c r="N996" s="1057"/>
      <c r="O996" s="1057"/>
      <c r="P996" s="1057"/>
      <c r="Q996" s="1057"/>
      <c r="R996" s="1057"/>
    </row>
    <row r="997">
      <c r="C997" s="1035"/>
      <c r="N997" s="1057"/>
      <c r="O997" s="1057"/>
      <c r="P997" s="1057"/>
      <c r="Q997" s="1057"/>
      <c r="R997" s="1057"/>
    </row>
    <row r="998">
      <c r="C998" s="1035"/>
      <c r="N998" s="1057"/>
      <c r="O998" s="1057"/>
      <c r="P998" s="1057"/>
      <c r="Q998" s="1057"/>
      <c r="R998" s="1057"/>
    </row>
    <row r="999">
      <c r="C999" s="1035"/>
      <c r="N999" s="1057"/>
      <c r="O999" s="1057"/>
      <c r="P999" s="1057"/>
      <c r="Q999" s="1057"/>
      <c r="R999" s="1057"/>
    </row>
    <row r="1000">
      <c r="C1000" s="1035"/>
      <c r="N1000" s="1057"/>
      <c r="O1000" s="1057"/>
      <c r="P1000" s="1057"/>
      <c r="Q1000" s="1057"/>
      <c r="R1000" s="1057"/>
    </row>
    <row r="1001">
      <c r="C1001" s="1035"/>
      <c r="N1001" s="1057"/>
      <c r="O1001" s="1057"/>
      <c r="P1001" s="1057"/>
      <c r="Q1001" s="1057"/>
      <c r="R1001" s="1057"/>
    </row>
    <row r="1002">
      <c r="C1002" s="1035"/>
      <c r="N1002" s="1057"/>
      <c r="O1002" s="1057"/>
      <c r="P1002" s="1057"/>
      <c r="Q1002" s="1057"/>
      <c r="R1002" s="1057"/>
    </row>
    <row r="1003">
      <c r="C1003" s="1035"/>
      <c r="N1003" s="1057"/>
      <c r="O1003" s="1057"/>
      <c r="P1003" s="1057"/>
      <c r="Q1003" s="1057"/>
      <c r="R1003" s="1057"/>
    </row>
    <row r="1004">
      <c r="C1004" s="1035"/>
      <c r="N1004" s="1057"/>
      <c r="O1004" s="1057"/>
      <c r="P1004" s="1057"/>
      <c r="Q1004" s="1057"/>
      <c r="R1004" s="1057"/>
    </row>
    <row r="1005">
      <c r="C1005" s="1035"/>
      <c r="N1005" s="1057"/>
      <c r="O1005" s="1057"/>
      <c r="P1005" s="1057"/>
      <c r="Q1005" s="1057"/>
      <c r="R1005" s="1057"/>
    </row>
    <row r="1006">
      <c r="C1006" s="1035"/>
      <c r="N1006" s="1057"/>
      <c r="O1006" s="1057"/>
      <c r="P1006" s="1057"/>
      <c r="Q1006" s="1057"/>
      <c r="R1006" s="1057"/>
    </row>
    <row r="1007">
      <c r="C1007" s="1035"/>
      <c r="N1007" s="1057"/>
      <c r="O1007" s="1057"/>
      <c r="P1007" s="1057"/>
      <c r="Q1007" s="1057"/>
      <c r="R1007" s="1057"/>
    </row>
    <row r="1008">
      <c r="C1008" s="1035"/>
      <c r="N1008" s="1057"/>
      <c r="O1008" s="1057"/>
      <c r="P1008" s="1057"/>
      <c r="Q1008" s="1057"/>
      <c r="R1008" s="1057"/>
    </row>
    <row r="1009">
      <c r="C1009" s="1035"/>
      <c r="N1009" s="1057"/>
      <c r="O1009" s="1057"/>
      <c r="P1009" s="1057"/>
      <c r="Q1009" s="1057"/>
      <c r="R1009" s="1057"/>
    </row>
    <row r="1010">
      <c r="C1010" s="1035"/>
      <c r="N1010" s="1057"/>
      <c r="O1010" s="1057"/>
      <c r="P1010" s="1057"/>
      <c r="Q1010" s="1057"/>
      <c r="R1010" s="1057"/>
    </row>
  </sheetData>
  <autoFilter ref="$A$1:$AI$32"/>
  <mergeCells count="1">
    <mergeCell ref="B41:B43"/>
  </mergeCells>
  <conditionalFormatting sqref="H25:H27">
    <cfRule type="expression" dxfId="3" priority="1">
      <formula>AND(H25&lt;&gt;"", H25-TODAY()&lt;=45, H25-TODAY()&gt;=0)</formula>
    </cfRule>
  </conditionalFormatting>
  <conditionalFormatting sqref="G13:H13">
    <cfRule type="expression" dxfId="9" priority="2">
      <formula>AND(H13&lt;&gt;"", H13&lt;=TODAY()+60)</formula>
    </cfRule>
  </conditionalFormatting>
  <conditionalFormatting sqref="H3:H5 G5 H8">
    <cfRule type="expression" dxfId="10" priority="3">
      <formula>AND(H3&lt;&gt; "", H3 &gt;= TODAY(), H3 &lt;= EDATE(TODAY(), 2))</formula>
    </cfRule>
  </conditionalFormatting>
  <conditionalFormatting sqref="G2:H2 H11:H12 G12 H14 G16 H16:H19 G18:G19 G21:H21 G24:H29">
    <cfRule type="expression" dxfId="3" priority="4">
      <formula>AND(ISNUMBER(G2),TRUNC(G2)&lt;EDATE(TODAY(),-1)+1)</formula>
    </cfRule>
  </conditionalFormatting>
  <dataValidations>
    <dataValidation type="list" allowBlank="1" showErrorMessage="1" sqref="A13:A15 A17 A22:A23 A25:A27">
      <formula1>'하우스정보'!$C$3:$C$49</formula1>
    </dataValidation>
    <dataValidation type="list" allowBlank="1" showErrorMessage="1" sqref="B2:B28">
      <formula1>'데이터'!$D$3:$D$100</formula1>
    </dataValidation>
    <dataValidation type="list" allowBlank="1" showErrorMessage="1" sqref="A2:A12 A16 A18:A21 A24 A28">
      <formula1>'데이터'!$C$3:$C$100</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9.13"/>
    <col customWidth="1" min="3" max="3" width="11.5"/>
    <col customWidth="1" min="4" max="4" width="14.13"/>
    <col customWidth="1" min="5" max="7" width="11.5"/>
    <col customWidth="1" min="8" max="14" width="11.38"/>
    <col customWidth="1" min="15" max="16" width="13.38"/>
    <col customWidth="1" min="17" max="17" width="3.25"/>
  </cols>
  <sheetData>
    <row r="1" ht="16.5" customHeight="1">
      <c r="A1" s="1058"/>
      <c r="B1" s="1059" t="s">
        <v>3223</v>
      </c>
      <c r="C1" s="1060"/>
      <c r="D1" s="1060"/>
      <c r="E1" s="1060"/>
      <c r="F1" s="1060"/>
      <c r="G1" s="1060"/>
      <c r="H1" s="1060"/>
      <c r="I1" s="1060"/>
      <c r="J1" s="1060"/>
      <c r="K1" s="1060"/>
      <c r="L1" s="1060"/>
      <c r="M1" s="1060"/>
      <c r="N1" s="1060"/>
      <c r="O1" s="1061"/>
      <c r="P1" s="1061"/>
      <c r="Q1" s="1062"/>
    </row>
    <row r="2">
      <c r="A2" s="1063"/>
      <c r="B2" s="1064">
        <v>2023.0</v>
      </c>
      <c r="C2" s="1065" t="s">
        <v>2382</v>
      </c>
      <c r="D2" s="1065" t="s">
        <v>2383</v>
      </c>
      <c r="E2" s="1065" t="s">
        <v>2384</v>
      </c>
      <c r="F2" s="1065" t="s">
        <v>2385</v>
      </c>
      <c r="G2" s="1065" t="s">
        <v>2386</v>
      </c>
      <c r="H2" s="1065" t="s">
        <v>2387</v>
      </c>
      <c r="I2" s="1065" t="s">
        <v>2388</v>
      </c>
      <c r="J2" s="1065" t="s">
        <v>2389</v>
      </c>
      <c r="K2" s="1065" t="s">
        <v>2390</v>
      </c>
      <c r="L2" s="1065" t="s">
        <v>2391</v>
      </c>
      <c r="M2" s="1065" t="s">
        <v>2392</v>
      </c>
      <c r="N2" s="1065" t="s">
        <v>2393</v>
      </c>
      <c r="O2" s="1066" t="s">
        <v>3224</v>
      </c>
      <c r="P2" s="1066" t="s">
        <v>3225</v>
      </c>
      <c r="Q2" s="1067"/>
    </row>
    <row r="3">
      <c r="A3" s="1068" t="s">
        <v>3226</v>
      </c>
      <c r="B3" s="1069" t="s">
        <v>27</v>
      </c>
      <c r="C3" s="1070" t="str">
        <f t="shared" ref="C3:C47" si="1">SUMIFS('2023 정산'!F:F,'2023 정산'!$A:$A,$B3,'2023 정산'!$C:$C,"운영자")</f>
        <v>#N/A</v>
      </c>
      <c r="D3" s="1070" t="str">
        <f t="shared" ref="D3:D47" si="2">SUMIFS('2023 정산'!H:H,'2023 정산'!$A:$A,$B3,'2023 정산'!$C:$C,"운영자")</f>
        <v>#N/A</v>
      </c>
      <c r="E3" s="1070" t="str">
        <f t="shared" ref="E3:E47" si="3">SUMIFS('2023 정산'!J:J,'2023 정산'!$A:$A,$B3,'2023 정산'!$C:$C,"운영자")</f>
        <v>#N/A</v>
      </c>
      <c r="F3" s="1070" t="str">
        <f t="shared" ref="F3:F47" si="4">SUMIFS('2023 정산'!L:L,'2023 정산'!$A:$A,$B3,'2023 정산'!$C:$C,"운영자")</f>
        <v>#N/A</v>
      </c>
      <c r="G3" s="1070" t="str">
        <f t="shared" ref="G3:G47" si="5">SUMIFS('2023 정산'!N:N,'2023 정산'!$A:$A,$B3,'2023 정산'!$C:$C,"운영자")</f>
        <v>#N/A</v>
      </c>
      <c r="H3" s="1070" t="str">
        <f t="shared" ref="H3:H47" si="6">SUMIFS('2023 정산'!P:P,'2023 정산'!$A:$A,$B3,'2023 정산'!$C:$C,"운영자")</f>
        <v>#N/A</v>
      </c>
      <c r="I3" s="1070" t="str">
        <f t="shared" ref="I3:I47" si="7">SUMIFS('2023 정산'!R:R,'2023 정산'!$A:$A,$B3,'2023 정산'!$C:$C,"운영자")</f>
        <v>#N/A</v>
      </c>
      <c r="J3" s="1070" t="str">
        <f t="shared" ref="J3:J47" si="8">SUMIFS('2023 정산'!T:T,'2023 정산'!$A:$A,$B3,'2023 정산'!$C:$C,"운영자")</f>
        <v>#N/A</v>
      </c>
      <c r="K3" s="1070" t="str">
        <f t="shared" ref="K3:K47" si="9">SUMIFS('2023 정산'!V:V,'2023 정산'!$A:$A,$B3,'2023 정산'!$C:$C,"운영자")</f>
        <v>#N/A</v>
      </c>
      <c r="L3" s="1070" t="str">
        <f t="shared" ref="L3:L47" si="10">SUMIFS('2023 정산'!X:X,'2023 정산'!$A:$A,$B3,'2023 정산'!$C:$C,"운영자")</f>
        <v>#N/A</v>
      </c>
      <c r="M3" s="1070" t="str">
        <f t="shared" ref="M3:M47" si="11">SUMIFS('2023 정산'!Z:Z,'2023 정산'!$A:$A,$B3,'2023 정산'!$C:$C,"운영자")</f>
        <v>#N/A</v>
      </c>
      <c r="N3" s="1070" t="str">
        <f t="shared" ref="N3:N47" si="12">SUMIFS('2023 정산'!AB:AB,'2023 정산'!$A:$A,$B3,'2023 정산'!$C:$C,"운영자")</f>
        <v>#N/A</v>
      </c>
      <c r="O3" s="1071" t="str">
        <f t="shared" ref="O3:O47" si="13">sum(C3:N3)</f>
        <v>#N/A</v>
      </c>
      <c r="P3" s="1072" t="str">
        <f t="shared" ref="P3:P51" si="14">O3/12</f>
        <v>#N/A</v>
      </c>
      <c r="Q3" s="1073"/>
    </row>
    <row r="4">
      <c r="A4" s="1068" t="s">
        <v>3227</v>
      </c>
      <c r="B4" s="1069" t="s">
        <v>58</v>
      </c>
      <c r="C4" s="1070" t="str">
        <f t="shared" si="1"/>
        <v>#N/A</v>
      </c>
      <c r="D4" s="1070" t="str">
        <f t="shared" si="2"/>
        <v>#N/A</v>
      </c>
      <c r="E4" s="1070" t="str">
        <f t="shared" si="3"/>
        <v>#N/A</v>
      </c>
      <c r="F4" s="1070" t="str">
        <f t="shared" si="4"/>
        <v>#N/A</v>
      </c>
      <c r="G4" s="1070" t="str">
        <f t="shared" si="5"/>
        <v>#N/A</v>
      </c>
      <c r="H4" s="1070" t="str">
        <f t="shared" si="6"/>
        <v>#N/A</v>
      </c>
      <c r="I4" s="1070" t="str">
        <f t="shared" si="7"/>
        <v>#N/A</v>
      </c>
      <c r="J4" s="1070" t="str">
        <f t="shared" si="8"/>
        <v>#N/A</v>
      </c>
      <c r="K4" s="1070" t="str">
        <f t="shared" si="9"/>
        <v>#N/A</v>
      </c>
      <c r="L4" s="1070" t="str">
        <f t="shared" si="10"/>
        <v>#N/A</v>
      </c>
      <c r="M4" s="1070" t="str">
        <f t="shared" si="11"/>
        <v>#N/A</v>
      </c>
      <c r="N4" s="1070" t="str">
        <f t="shared" si="12"/>
        <v>#N/A</v>
      </c>
      <c r="O4" s="1071" t="str">
        <f t="shared" si="13"/>
        <v>#N/A</v>
      </c>
      <c r="P4" s="1072" t="str">
        <f t="shared" si="14"/>
        <v>#N/A</v>
      </c>
      <c r="Q4" s="1073"/>
    </row>
    <row r="5">
      <c r="A5" s="1068" t="s">
        <v>3227</v>
      </c>
      <c r="B5" s="1069" t="s">
        <v>97</v>
      </c>
      <c r="C5" s="1070" t="str">
        <f t="shared" si="1"/>
        <v>#N/A</v>
      </c>
      <c r="D5" s="1070" t="str">
        <f t="shared" si="2"/>
        <v>#N/A</v>
      </c>
      <c r="E5" s="1070" t="str">
        <f t="shared" si="3"/>
        <v>#N/A</v>
      </c>
      <c r="F5" s="1070" t="str">
        <f t="shared" si="4"/>
        <v>#N/A</v>
      </c>
      <c r="G5" s="1070" t="str">
        <f t="shared" si="5"/>
        <v>#N/A</v>
      </c>
      <c r="H5" s="1070" t="str">
        <f t="shared" si="6"/>
        <v>#N/A</v>
      </c>
      <c r="I5" s="1070" t="str">
        <f t="shared" si="7"/>
        <v>#N/A</v>
      </c>
      <c r="J5" s="1070" t="str">
        <f t="shared" si="8"/>
        <v>#N/A</v>
      </c>
      <c r="K5" s="1070" t="str">
        <f t="shared" si="9"/>
        <v>#N/A</v>
      </c>
      <c r="L5" s="1070" t="str">
        <f t="shared" si="10"/>
        <v>#N/A</v>
      </c>
      <c r="M5" s="1070" t="str">
        <f t="shared" si="11"/>
        <v>#N/A</v>
      </c>
      <c r="N5" s="1070" t="str">
        <f t="shared" si="12"/>
        <v>#N/A</v>
      </c>
      <c r="O5" s="1071" t="str">
        <f t="shared" si="13"/>
        <v>#N/A</v>
      </c>
      <c r="P5" s="1072" t="str">
        <f t="shared" si="14"/>
        <v>#N/A</v>
      </c>
      <c r="Q5" s="1073"/>
    </row>
    <row r="6">
      <c r="A6" s="1068" t="s">
        <v>3227</v>
      </c>
      <c r="B6" s="1069" t="s">
        <v>154</v>
      </c>
      <c r="C6" s="1070" t="str">
        <f t="shared" si="1"/>
        <v>#N/A</v>
      </c>
      <c r="D6" s="1070" t="str">
        <f t="shared" si="2"/>
        <v>#N/A</v>
      </c>
      <c r="E6" s="1070" t="str">
        <f t="shared" si="3"/>
        <v>#N/A</v>
      </c>
      <c r="F6" s="1070" t="str">
        <f t="shared" si="4"/>
        <v>#N/A</v>
      </c>
      <c r="G6" s="1070" t="str">
        <f t="shared" si="5"/>
        <v>#N/A</v>
      </c>
      <c r="H6" s="1070" t="str">
        <f t="shared" si="6"/>
        <v>#N/A</v>
      </c>
      <c r="I6" s="1070" t="str">
        <f t="shared" si="7"/>
        <v>#N/A</v>
      </c>
      <c r="J6" s="1070" t="str">
        <f t="shared" si="8"/>
        <v>#N/A</v>
      </c>
      <c r="K6" s="1070" t="str">
        <f t="shared" si="9"/>
        <v>#N/A</v>
      </c>
      <c r="L6" s="1070" t="str">
        <f t="shared" si="10"/>
        <v>#N/A</v>
      </c>
      <c r="M6" s="1070" t="str">
        <f t="shared" si="11"/>
        <v>#N/A</v>
      </c>
      <c r="N6" s="1070" t="str">
        <f t="shared" si="12"/>
        <v>#N/A</v>
      </c>
      <c r="O6" s="1071" t="str">
        <f t="shared" si="13"/>
        <v>#N/A</v>
      </c>
      <c r="P6" s="1072" t="str">
        <f t="shared" si="14"/>
        <v>#N/A</v>
      </c>
      <c r="Q6" s="1073"/>
    </row>
    <row r="7">
      <c r="A7" s="1068" t="s">
        <v>3227</v>
      </c>
      <c r="B7" s="1069" t="s">
        <v>210</v>
      </c>
      <c r="C7" s="1070" t="str">
        <f t="shared" si="1"/>
        <v>#N/A</v>
      </c>
      <c r="D7" s="1070" t="str">
        <f t="shared" si="2"/>
        <v>#N/A</v>
      </c>
      <c r="E7" s="1070" t="str">
        <f t="shared" si="3"/>
        <v>#N/A</v>
      </c>
      <c r="F7" s="1070" t="str">
        <f t="shared" si="4"/>
        <v>#N/A</v>
      </c>
      <c r="G7" s="1070" t="str">
        <f t="shared" si="5"/>
        <v>#N/A</v>
      </c>
      <c r="H7" s="1070" t="str">
        <f t="shared" si="6"/>
        <v>#N/A</v>
      </c>
      <c r="I7" s="1070" t="str">
        <f t="shared" si="7"/>
        <v>#N/A</v>
      </c>
      <c r="J7" s="1070" t="str">
        <f t="shared" si="8"/>
        <v>#N/A</v>
      </c>
      <c r="K7" s="1070" t="str">
        <f t="shared" si="9"/>
        <v>#N/A</v>
      </c>
      <c r="L7" s="1070" t="str">
        <f t="shared" si="10"/>
        <v>#N/A</v>
      </c>
      <c r="M7" s="1070" t="str">
        <f t="shared" si="11"/>
        <v>#N/A</v>
      </c>
      <c r="N7" s="1070" t="str">
        <f t="shared" si="12"/>
        <v>#N/A</v>
      </c>
      <c r="O7" s="1071" t="str">
        <f t="shared" si="13"/>
        <v>#N/A</v>
      </c>
      <c r="P7" s="1072" t="str">
        <f t="shared" si="14"/>
        <v>#N/A</v>
      </c>
      <c r="Q7" s="1073"/>
    </row>
    <row r="8">
      <c r="A8" s="1068" t="s">
        <v>3227</v>
      </c>
      <c r="B8" s="1069" t="s">
        <v>275</v>
      </c>
      <c r="C8" s="1070" t="str">
        <f t="shared" si="1"/>
        <v>#N/A</v>
      </c>
      <c r="D8" s="1070" t="str">
        <f t="shared" si="2"/>
        <v>#N/A</v>
      </c>
      <c r="E8" s="1070" t="str">
        <f t="shared" si="3"/>
        <v>#N/A</v>
      </c>
      <c r="F8" s="1070" t="str">
        <f t="shared" si="4"/>
        <v>#N/A</v>
      </c>
      <c r="G8" s="1070" t="str">
        <f t="shared" si="5"/>
        <v>#N/A</v>
      </c>
      <c r="H8" s="1070" t="str">
        <f t="shared" si="6"/>
        <v>#N/A</v>
      </c>
      <c r="I8" s="1070" t="str">
        <f t="shared" si="7"/>
        <v>#N/A</v>
      </c>
      <c r="J8" s="1070" t="str">
        <f t="shared" si="8"/>
        <v>#N/A</v>
      </c>
      <c r="K8" s="1070" t="str">
        <f t="shared" si="9"/>
        <v>#N/A</v>
      </c>
      <c r="L8" s="1070" t="str">
        <f t="shared" si="10"/>
        <v>#N/A</v>
      </c>
      <c r="M8" s="1070" t="str">
        <f t="shared" si="11"/>
        <v>#N/A</v>
      </c>
      <c r="N8" s="1070" t="str">
        <f t="shared" si="12"/>
        <v>#N/A</v>
      </c>
      <c r="O8" s="1071" t="str">
        <f t="shared" si="13"/>
        <v>#N/A</v>
      </c>
      <c r="P8" s="1072" t="str">
        <f t="shared" si="14"/>
        <v>#N/A</v>
      </c>
      <c r="Q8" s="1073"/>
    </row>
    <row r="9">
      <c r="A9" s="1068" t="s">
        <v>3227</v>
      </c>
      <c r="B9" s="1069" t="s">
        <v>305</v>
      </c>
      <c r="C9" s="1070" t="str">
        <f t="shared" si="1"/>
        <v>#N/A</v>
      </c>
      <c r="D9" s="1070" t="str">
        <f t="shared" si="2"/>
        <v>#N/A</v>
      </c>
      <c r="E9" s="1070" t="str">
        <f t="shared" si="3"/>
        <v>#N/A</v>
      </c>
      <c r="F9" s="1070" t="str">
        <f t="shared" si="4"/>
        <v>#N/A</v>
      </c>
      <c r="G9" s="1070" t="str">
        <f t="shared" si="5"/>
        <v>#N/A</v>
      </c>
      <c r="H9" s="1070" t="str">
        <f t="shared" si="6"/>
        <v>#N/A</v>
      </c>
      <c r="I9" s="1070" t="str">
        <f t="shared" si="7"/>
        <v>#N/A</v>
      </c>
      <c r="J9" s="1070" t="str">
        <f t="shared" si="8"/>
        <v>#N/A</v>
      </c>
      <c r="K9" s="1070" t="str">
        <f t="shared" si="9"/>
        <v>#N/A</v>
      </c>
      <c r="L9" s="1070" t="str">
        <f t="shared" si="10"/>
        <v>#N/A</v>
      </c>
      <c r="M9" s="1070" t="str">
        <f t="shared" si="11"/>
        <v>#N/A</v>
      </c>
      <c r="N9" s="1070" t="str">
        <f t="shared" si="12"/>
        <v>#N/A</v>
      </c>
      <c r="O9" s="1071" t="str">
        <f t="shared" si="13"/>
        <v>#N/A</v>
      </c>
      <c r="P9" s="1072" t="str">
        <f t="shared" si="14"/>
        <v>#N/A</v>
      </c>
      <c r="Q9" s="1073"/>
    </row>
    <row r="10">
      <c r="A10" s="1068" t="s">
        <v>3227</v>
      </c>
      <c r="B10" s="1069" t="s">
        <v>374</v>
      </c>
      <c r="C10" s="1070" t="str">
        <f t="shared" si="1"/>
        <v>#N/A</v>
      </c>
      <c r="D10" s="1070" t="str">
        <f t="shared" si="2"/>
        <v>#N/A</v>
      </c>
      <c r="E10" s="1070" t="str">
        <f t="shared" si="3"/>
        <v>#N/A</v>
      </c>
      <c r="F10" s="1070" t="str">
        <f t="shared" si="4"/>
        <v>#N/A</v>
      </c>
      <c r="G10" s="1070" t="str">
        <f t="shared" si="5"/>
        <v>#N/A</v>
      </c>
      <c r="H10" s="1070" t="str">
        <f t="shared" si="6"/>
        <v>#N/A</v>
      </c>
      <c r="I10" s="1070" t="str">
        <f t="shared" si="7"/>
        <v>#N/A</v>
      </c>
      <c r="J10" s="1070" t="str">
        <f t="shared" si="8"/>
        <v>#N/A</v>
      </c>
      <c r="K10" s="1070" t="str">
        <f t="shared" si="9"/>
        <v>#N/A</v>
      </c>
      <c r="L10" s="1070" t="str">
        <f t="shared" si="10"/>
        <v>#N/A</v>
      </c>
      <c r="M10" s="1070" t="str">
        <f t="shared" si="11"/>
        <v>#N/A</v>
      </c>
      <c r="N10" s="1070" t="str">
        <f t="shared" si="12"/>
        <v>#N/A</v>
      </c>
      <c r="O10" s="1071" t="str">
        <f t="shared" si="13"/>
        <v>#N/A</v>
      </c>
      <c r="P10" s="1072" t="str">
        <f t="shared" si="14"/>
        <v>#N/A</v>
      </c>
      <c r="Q10" s="1073"/>
    </row>
    <row r="11">
      <c r="A11" s="1068" t="s">
        <v>3227</v>
      </c>
      <c r="B11" s="1069" t="s">
        <v>353</v>
      </c>
      <c r="C11" s="1070" t="str">
        <f t="shared" si="1"/>
        <v>#N/A</v>
      </c>
      <c r="D11" s="1070" t="str">
        <f t="shared" si="2"/>
        <v>#N/A</v>
      </c>
      <c r="E11" s="1070" t="str">
        <f t="shared" si="3"/>
        <v>#N/A</v>
      </c>
      <c r="F11" s="1070" t="str">
        <f t="shared" si="4"/>
        <v>#N/A</v>
      </c>
      <c r="G11" s="1070" t="str">
        <f t="shared" si="5"/>
        <v>#N/A</v>
      </c>
      <c r="H11" s="1070" t="str">
        <f t="shared" si="6"/>
        <v>#N/A</v>
      </c>
      <c r="I11" s="1070" t="str">
        <f t="shared" si="7"/>
        <v>#N/A</v>
      </c>
      <c r="J11" s="1070" t="str">
        <f t="shared" si="8"/>
        <v>#N/A</v>
      </c>
      <c r="K11" s="1070" t="str">
        <f t="shared" si="9"/>
        <v>#N/A</v>
      </c>
      <c r="L11" s="1070" t="str">
        <f t="shared" si="10"/>
        <v>#N/A</v>
      </c>
      <c r="M11" s="1070" t="str">
        <f t="shared" si="11"/>
        <v>#N/A</v>
      </c>
      <c r="N11" s="1070" t="str">
        <f t="shared" si="12"/>
        <v>#N/A</v>
      </c>
      <c r="O11" s="1071" t="str">
        <f t="shared" si="13"/>
        <v>#N/A</v>
      </c>
      <c r="P11" s="1072" t="str">
        <f t="shared" si="14"/>
        <v>#N/A</v>
      </c>
      <c r="Q11" s="1073"/>
    </row>
    <row r="12">
      <c r="A12" s="1068" t="s">
        <v>3227</v>
      </c>
      <c r="B12" s="1069" t="s">
        <v>415</v>
      </c>
      <c r="C12" s="1070" t="str">
        <f t="shared" si="1"/>
        <v>#N/A</v>
      </c>
      <c r="D12" s="1070" t="str">
        <f t="shared" si="2"/>
        <v>#N/A</v>
      </c>
      <c r="E12" s="1070" t="str">
        <f t="shared" si="3"/>
        <v>#N/A</v>
      </c>
      <c r="F12" s="1070" t="str">
        <f t="shared" si="4"/>
        <v>#N/A</v>
      </c>
      <c r="G12" s="1070" t="str">
        <f t="shared" si="5"/>
        <v>#N/A</v>
      </c>
      <c r="H12" s="1070" t="str">
        <f t="shared" si="6"/>
        <v>#N/A</v>
      </c>
      <c r="I12" s="1070" t="str">
        <f t="shared" si="7"/>
        <v>#N/A</v>
      </c>
      <c r="J12" s="1070" t="str">
        <f t="shared" si="8"/>
        <v>#N/A</v>
      </c>
      <c r="K12" s="1070" t="str">
        <f t="shared" si="9"/>
        <v>#N/A</v>
      </c>
      <c r="L12" s="1070" t="str">
        <f t="shared" si="10"/>
        <v>#N/A</v>
      </c>
      <c r="M12" s="1070" t="str">
        <f t="shared" si="11"/>
        <v>#N/A</v>
      </c>
      <c r="N12" s="1070" t="str">
        <f t="shared" si="12"/>
        <v>#N/A</v>
      </c>
      <c r="O12" s="1071" t="str">
        <f t="shared" si="13"/>
        <v>#N/A</v>
      </c>
      <c r="P12" s="1072" t="str">
        <f t="shared" si="14"/>
        <v>#N/A</v>
      </c>
      <c r="Q12" s="1073"/>
    </row>
    <row r="13">
      <c r="A13" s="1068" t="s">
        <v>3227</v>
      </c>
      <c r="B13" s="1069" t="s">
        <v>553</v>
      </c>
      <c r="C13" s="1070" t="str">
        <f t="shared" si="1"/>
        <v>#N/A</v>
      </c>
      <c r="D13" s="1070" t="str">
        <f t="shared" si="2"/>
        <v>#N/A</v>
      </c>
      <c r="E13" s="1070" t="str">
        <f t="shared" si="3"/>
        <v>#N/A</v>
      </c>
      <c r="F13" s="1070" t="str">
        <f t="shared" si="4"/>
        <v>#N/A</v>
      </c>
      <c r="G13" s="1070" t="str">
        <f t="shared" si="5"/>
        <v>#N/A</v>
      </c>
      <c r="H13" s="1070" t="str">
        <f t="shared" si="6"/>
        <v>#N/A</v>
      </c>
      <c r="I13" s="1070" t="str">
        <f t="shared" si="7"/>
        <v>#N/A</v>
      </c>
      <c r="J13" s="1070" t="str">
        <f t="shared" si="8"/>
        <v>#N/A</v>
      </c>
      <c r="K13" s="1070" t="str">
        <f t="shared" si="9"/>
        <v>#N/A</v>
      </c>
      <c r="L13" s="1070" t="str">
        <f t="shared" si="10"/>
        <v>#N/A</v>
      </c>
      <c r="M13" s="1070" t="str">
        <f t="shared" si="11"/>
        <v>#N/A</v>
      </c>
      <c r="N13" s="1070" t="str">
        <f t="shared" si="12"/>
        <v>#N/A</v>
      </c>
      <c r="O13" s="1071" t="str">
        <f t="shared" si="13"/>
        <v>#N/A</v>
      </c>
      <c r="P13" s="1072" t="str">
        <f t="shared" si="14"/>
        <v>#N/A</v>
      </c>
      <c r="Q13" s="1073"/>
    </row>
    <row r="14">
      <c r="A14" s="1068" t="s">
        <v>3228</v>
      </c>
      <c r="B14" s="1069" t="s">
        <v>474</v>
      </c>
      <c r="C14" s="1070" t="str">
        <f t="shared" si="1"/>
        <v>#N/A</v>
      </c>
      <c r="D14" s="1070" t="str">
        <f t="shared" si="2"/>
        <v>#N/A</v>
      </c>
      <c r="E14" s="1070" t="str">
        <f t="shared" si="3"/>
        <v>#N/A</v>
      </c>
      <c r="F14" s="1070" t="str">
        <f t="shared" si="4"/>
        <v>#N/A</v>
      </c>
      <c r="G14" s="1070" t="str">
        <f t="shared" si="5"/>
        <v>#N/A</v>
      </c>
      <c r="H14" s="1070" t="str">
        <f t="shared" si="6"/>
        <v>#N/A</v>
      </c>
      <c r="I14" s="1070" t="str">
        <f t="shared" si="7"/>
        <v>#N/A</v>
      </c>
      <c r="J14" s="1070" t="str">
        <f t="shared" si="8"/>
        <v>#N/A</v>
      </c>
      <c r="K14" s="1070" t="str">
        <f t="shared" si="9"/>
        <v>#N/A</v>
      </c>
      <c r="L14" s="1070" t="str">
        <f t="shared" si="10"/>
        <v>#N/A</v>
      </c>
      <c r="M14" s="1070" t="str">
        <f t="shared" si="11"/>
        <v>#N/A</v>
      </c>
      <c r="N14" s="1070" t="str">
        <f t="shared" si="12"/>
        <v>#N/A</v>
      </c>
      <c r="O14" s="1071" t="str">
        <f t="shared" si="13"/>
        <v>#N/A</v>
      </c>
      <c r="P14" s="1072" t="str">
        <f t="shared" si="14"/>
        <v>#N/A</v>
      </c>
      <c r="Q14" s="1073"/>
    </row>
    <row r="15">
      <c r="A15" s="1068" t="s">
        <v>3227</v>
      </c>
      <c r="B15" s="1069" t="s">
        <v>448</v>
      </c>
      <c r="C15" s="1070" t="str">
        <f t="shared" si="1"/>
        <v>#N/A</v>
      </c>
      <c r="D15" s="1070" t="str">
        <f t="shared" si="2"/>
        <v>#N/A</v>
      </c>
      <c r="E15" s="1070" t="str">
        <f t="shared" si="3"/>
        <v>#N/A</v>
      </c>
      <c r="F15" s="1070" t="str">
        <f t="shared" si="4"/>
        <v>#N/A</v>
      </c>
      <c r="G15" s="1070" t="str">
        <f t="shared" si="5"/>
        <v>#N/A</v>
      </c>
      <c r="H15" s="1070" t="str">
        <f t="shared" si="6"/>
        <v>#N/A</v>
      </c>
      <c r="I15" s="1070" t="str">
        <f t="shared" si="7"/>
        <v>#N/A</v>
      </c>
      <c r="J15" s="1070" t="str">
        <f t="shared" si="8"/>
        <v>#N/A</v>
      </c>
      <c r="K15" s="1070" t="str">
        <f t="shared" si="9"/>
        <v>#N/A</v>
      </c>
      <c r="L15" s="1070" t="str">
        <f t="shared" si="10"/>
        <v>#N/A</v>
      </c>
      <c r="M15" s="1070" t="str">
        <f t="shared" si="11"/>
        <v>#N/A</v>
      </c>
      <c r="N15" s="1070" t="str">
        <f t="shared" si="12"/>
        <v>#N/A</v>
      </c>
      <c r="O15" s="1071" t="str">
        <f t="shared" si="13"/>
        <v>#N/A</v>
      </c>
      <c r="P15" s="1072" t="str">
        <f t="shared" si="14"/>
        <v>#N/A</v>
      </c>
      <c r="Q15" s="1073"/>
    </row>
    <row r="16">
      <c r="A16" s="1068" t="s">
        <v>3227</v>
      </c>
      <c r="B16" s="1069" t="s">
        <v>505</v>
      </c>
      <c r="C16" s="1070" t="str">
        <f t="shared" si="1"/>
        <v>#N/A</v>
      </c>
      <c r="D16" s="1070" t="str">
        <f t="shared" si="2"/>
        <v>#N/A</v>
      </c>
      <c r="E16" s="1070" t="str">
        <f t="shared" si="3"/>
        <v>#N/A</v>
      </c>
      <c r="F16" s="1070" t="str">
        <f t="shared" si="4"/>
        <v>#N/A</v>
      </c>
      <c r="G16" s="1070" t="str">
        <f t="shared" si="5"/>
        <v>#N/A</v>
      </c>
      <c r="H16" s="1070" t="str">
        <f t="shared" si="6"/>
        <v>#N/A</v>
      </c>
      <c r="I16" s="1070" t="str">
        <f t="shared" si="7"/>
        <v>#N/A</v>
      </c>
      <c r="J16" s="1070" t="str">
        <f t="shared" si="8"/>
        <v>#N/A</v>
      </c>
      <c r="K16" s="1070" t="str">
        <f t="shared" si="9"/>
        <v>#N/A</v>
      </c>
      <c r="L16" s="1070" t="str">
        <f t="shared" si="10"/>
        <v>#N/A</v>
      </c>
      <c r="M16" s="1070" t="str">
        <f t="shared" si="11"/>
        <v>#N/A</v>
      </c>
      <c r="N16" s="1070" t="str">
        <f t="shared" si="12"/>
        <v>#N/A</v>
      </c>
      <c r="O16" s="1071" t="str">
        <f t="shared" si="13"/>
        <v>#N/A</v>
      </c>
      <c r="P16" s="1072" t="str">
        <f t="shared" si="14"/>
        <v>#N/A</v>
      </c>
      <c r="Q16" s="1073"/>
    </row>
    <row r="17">
      <c r="A17" s="1068" t="s">
        <v>3227</v>
      </c>
      <c r="B17" s="1069" t="s">
        <v>577</v>
      </c>
      <c r="C17" s="1070" t="str">
        <f t="shared" si="1"/>
        <v>#N/A</v>
      </c>
      <c r="D17" s="1070" t="str">
        <f t="shared" si="2"/>
        <v>#N/A</v>
      </c>
      <c r="E17" s="1070" t="str">
        <f t="shared" si="3"/>
        <v>#N/A</v>
      </c>
      <c r="F17" s="1070" t="str">
        <f t="shared" si="4"/>
        <v>#N/A</v>
      </c>
      <c r="G17" s="1070" t="str">
        <f t="shared" si="5"/>
        <v>#N/A</v>
      </c>
      <c r="H17" s="1070" t="str">
        <f t="shared" si="6"/>
        <v>#N/A</v>
      </c>
      <c r="I17" s="1070" t="str">
        <f t="shared" si="7"/>
        <v>#N/A</v>
      </c>
      <c r="J17" s="1070" t="str">
        <f t="shared" si="8"/>
        <v>#N/A</v>
      </c>
      <c r="K17" s="1070" t="str">
        <f t="shared" si="9"/>
        <v>#N/A</v>
      </c>
      <c r="L17" s="1070" t="str">
        <f t="shared" si="10"/>
        <v>#N/A</v>
      </c>
      <c r="M17" s="1070" t="str">
        <f t="shared" si="11"/>
        <v>#N/A</v>
      </c>
      <c r="N17" s="1070" t="str">
        <f t="shared" si="12"/>
        <v>#N/A</v>
      </c>
      <c r="O17" s="1071" t="str">
        <f t="shared" si="13"/>
        <v>#N/A</v>
      </c>
      <c r="P17" s="1072" t="str">
        <f t="shared" si="14"/>
        <v>#N/A</v>
      </c>
      <c r="Q17" s="1073"/>
    </row>
    <row r="18">
      <c r="A18" s="1068" t="s">
        <v>3227</v>
      </c>
      <c r="B18" s="1069" t="s">
        <v>629</v>
      </c>
      <c r="C18" s="1070" t="str">
        <f t="shared" si="1"/>
        <v>#N/A</v>
      </c>
      <c r="D18" s="1070" t="str">
        <f t="shared" si="2"/>
        <v>#N/A</v>
      </c>
      <c r="E18" s="1070" t="str">
        <f t="shared" si="3"/>
        <v>#N/A</v>
      </c>
      <c r="F18" s="1070" t="str">
        <f t="shared" si="4"/>
        <v>#N/A</v>
      </c>
      <c r="G18" s="1070" t="str">
        <f t="shared" si="5"/>
        <v>#N/A</v>
      </c>
      <c r="H18" s="1070" t="str">
        <f t="shared" si="6"/>
        <v>#N/A</v>
      </c>
      <c r="I18" s="1070" t="str">
        <f t="shared" si="7"/>
        <v>#N/A</v>
      </c>
      <c r="J18" s="1070" t="str">
        <f t="shared" si="8"/>
        <v>#N/A</v>
      </c>
      <c r="K18" s="1070" t="str">
        <f t="shared" si="9"/>
        <v>#N/A</v>
      </c>
      <c r="L18" s="1070" t="str">
        <f t="shared" si="10"/>
        <v>#N/A</v>
      </c>
      <c r="M18" s="1070" t="str">
        <f t="shared" si="11"/>
        <v>#N/A</v>
      </c>
      <c r="N18" s="1070" t="str">
        <f t="shared" si="12"/>
        <v>#N/A</v>
      </c>
      <c r="O18" s="1071" t="str">
        <f t="shared" si="13"/>
        <v>#N/A</v>
      </c>
      <c r="P18" s="1072" t="str">
        <f t="shared" si="14"/>
        <v>#N/A</v>
      </c>
      <c r="Q18" s="1073"/>
    </row>
    <row r="19">
      <c r="A19" s="1068" t="s">
        <v>3227</v>
      </c>
      <c r="B19" s="1069" t="s">
        <v>610</v>
      </c>
      <c r="C19" s="1070" t="str">
        <f t="shared" si="1"/>
        <v>#N/A</v>
      </c>
      <c r="D19" s="1070" t="str">
        <f t="shared" si="2"/>
        <v>#N/A</v>
      </c>
      <c r="E19" s="1070" t="str">
        <f t="shared" si="3"/>
        <v>#N/A</v>
      </c>
      <c r="F19" s="1070" t="str">
        <f t="shared" si="4"/>
        <v>#N/A</v>
      </c>
      <c r="G19" s="1070" t="str">
        <f t="shared" si="5"/>
        <v>#N/A</v>
      </c>
      <c r="H19" s="1070" t="str">
        <f t="shared" si="6"/>
        <v>#N/A</v>
      </c>
      <c r="I19" s="1070" t="str">
        <f t="shared" si="7"/>
        <v>#N/A</v>
      </c>
      <c r="J19" s="1070" t="str">
        <f t="shared" si="8"/>
        <v>#N/A</v>
      </c>
      <c r="K19" s="1070" t="str">
        <f t="shared" si="9"/>
        <v>#N/A</v>
      </c>
      <c r="L19" s="1070" t="str">
        <f t="shared" si="10"/>
        <v>#N/A</v>
      </c>
      <c r="M19" s="1070" t="str">
        <f t="shared" si="11"/>
        <v>#N/A</v>
      </c>
      <c r="N19" s="1070" t="str">
        <f t="shared" si="12"/>
        <v>#N/A</v>
      </c>
      <c r="O19" s="1071" t="str">
        <f t="shared" si="13"/>
        <v>#N/A</v>
      </c>
      <c r="P19" s="1072" t="str">
        <f t="shared" si="14"/>
        <v>#N/A</v>
      </c>
      <c r="Q19" s="1073"/>
    </row>
    <row r="20">
      <c r="A20" s="1068" t="s">
        <v>3227</v>
      </c>
      <c r="B20" s="1069" t="s">
        <v>643</v>
      </c>
      <c r="C20" s="1070" t="str">
        <f t="shared" si="1"/>
        <v>#N/A</v>
      </c>
      <c r="D20" s="1070" t="str">
        <f t="shared" si="2"/>
        <v>#N/A</v>
      </c>
      <c r="E20" s="1070" t="str">
        <f t="shared" si="3"/>
        <v>#N/A</v>
      </c>
      <c r="F20" s="1070" t="str">
        <f t="shared" si="4"/>
        <v>#N/A</v>
      </c>
      <c r="G20" s="1070" t="str">
        <f t="shared" si="5"/>
        <v>#N/A</v>
      </c>
      <c r="H20" s="1070" t="str">
        <f t="shared" si="6"/>
        <v>#N/A</v>
      </c>
      <c r="I20" s="1070" t="str">
        <f t="shared" si="7"/>
        <v>#N/A</v>
      </c>
      <c r="J20" s="1070" t="str">
        <f t="shared" si="8"/>
        <v>#N/A</v>
      </c>
      <c r="K20" s="1070" t="str">
        <f t="shared" si="9"/>
        <v>#N/A</v>
      </c>
      <c r="L20" s="1070" t="str">
        <f t="shared" si="10"/>
        <v>#N/A</v>
      </c>
      <c r="M20" s="1070" t="str">
        <f t="shared" si="11"/>
        <v>#N/A</v>
      </c>
      <c r="N20" s="1070" t="str">
        <f t="shared" si="12"/>
        <v>#N/A</v>
      </c>
      <c r="O20" s="1071" t="str">
        <f t="shared" si="13"/>
        <v>#N/A</v>
      </c>
      <c r="P20" s="1072" t="str">
        <f t="shared" si="14"/>
        <v>#N/A</v>
      </c>
      <c r="Q20" s="1073"/>
    </row>
    <row r="21">
      <c r="A21" s="1068" t="s">
        <v>3226</v>
      </c>
      <c r="B21" s="1069" t="s">
        <v>666</v>
      </c>
      <c r="C21" s="1070" t="str">
        <f t="shared" si="1"/>
        <v>#N/A</v>
      </c>
      <c r="D21" s="1070" t="str">
        <f t="shared" si="2"/>
        <v>#N/A</v>
      </c>
      <c r="E21" s="1070" t="str">
        <f t="shared" si="3"/>
        <v>#N/A</v>
      </c>
      <c r="F21" s="1070" t="str">
        <f t="shared" si="4"/>
        <v>#N/A</v>
      </c>
      <c r="G21" s="1070" t="str">
        <f t="shared" si="5"/>
        <v>#N/A</v>
      </c>
      <c r="H21" s="1070" t="str">
        <f t="shared" si="6"/>
        <v>#N/A</v>
      </c>
      <c r="I21" s="1070" t="str">
        <f t="shared" si="7"/>
        <v>#N/A</v>
      </c>
      <c r="J21" s="1070" t="str">
        <f t="shared" si="8"/>
        <v>#N/A</v>
      </c>
      <c r="K21" s="1070" t="str">
        <f t="shared" si="9"/>
        <v>#N/A</v>
      </c>
      <c r="L21" s="1070" t="str">
        <f t="shared" si="10"/>
        <v>#N/A</v>
      </c>
      <c r="M21" s="1070" t="str">
        <f t="shared" si="11"/>
        <v>#N/A</v>
      </c>
      <c r="N21" s="1070" t="str">
        <f t="shared" si="12"/>
        <v>#N/A</v>
      </c>
      <c r="O21" s="1071" t="str">
        <f t="shared" si="13"/>
        <v>#N/A</v>
      </c>
      <c r="P21" s="1072" t="str">
        <f t="shared" si="14"/>
        <v>#N/A</v>
      </c>
      <c r="Q21" s="1073"/>
    </row>
    <row r="22">
      <c r="A22" s="1068" t="s">
        <v>3226</v>
      </c>
      <c r="B22" s="1069" t="s">
        <v>682</v>
      </c>
      <c r="C22" s="1070" t="str">
        <f t="shared" si="1"/>
        <v>#N/A</v>
      </c>
      <c r="D22" s="1070" t="str">
        <f t="shared" si="2"/>
        <v>#N/A</v>
      </c>
      <c r="E22" s="1070" t="str">
        <f t="shared" si="3"/>
        <v>#N/A</v>
      </c>
      <c r="F22" s="1070" t="str">
        <f t="shared" si="4"/>
        <v>#N/A</v>
      </c>
      <c r="G22" s="1070" t="str">
        <f t="shared" si="5"/>
        <v>#N/A</v>
      </c>
      <c r="H22" s="1070" t="str">
        <f t="shared" si="6"/>
        <v>#N/A</v>
      </c>
      <c r="I22" s="1070" t="str">
        <f t="shared" si="7"/>
        <v>#N/A</v>
      </c>
      <c r="J22" s="1070" t="str">
        <f t="shared" si="8"/>
        <v>#N/A</v>
      </c>
      <c r="K22" s="1070" t="str">
        <f t="shared" si="9"/>
        <v>#N/A</v>
      </c>
      <c r="L22" s="1070" t="str">
        <f t="shared" si="10"/>
        <v>#N/A</v>
      </c>
      <c r="M22" s="1070" t="str">
        <f t="shared" si="11"/>
        <v>#N/A</v>
      </c>
      <c r="N22" s="1070" t="str">
        <f t="shared" si="12"/>
        <v>#N/A</v>
      </c>
      <c r="O22" s="1071" t="str">
        <f t="shared" si="13"/>
        <v>#N/A</v>
      </c>
      <c r="P22" s="1072" t="str">
        <f t="shared" si="14"/>
        <v>#N/A</v>
      </c>
      <c r="Q22" s="1073"/>
    </row>
    <row r="23">
      <c r="A23" s="1068" t="s">
        <v>3226</v>
      </c>
      <c r="B23" s="1069" t="s">
        <v>699</v>
      </c>
      <c r="C23" s="1070" t="str">
        <f t="shared" si="1"/>
        <v>#N/A</v>
      </c>
      <c r="D23" s="1070" t="str">
        <f t="shared" si="2"/>
        <v>#N/A</v>
      </c>
      <c r="E23" s="1070" t="str">
        <f t="shared" si="3"/>
        <v>#N/A</v>
      </c>
      <c r="F23" s="1070" t="str">
        <f t="shared" si="4"/>
        <v>#N/A</v>
      </c>
      <c r="G23" s="1070" t="str">
        <f t="shared" si="5"/>
        <v>#N/A</v>
      </c>
      <c r="H23" s="1070" t="str">
        <f t="shared" si="6"/>
        <v>#N/A</v>
      </c>
      <c r="I23" s="1070" t="str">
        <f t="shared" si="7"/>
        <v>#N/A</v>
      </c>
      <c r="J23" s="1070" t="str">
        <f t="shared" si="8"/>
        <v>#N/A</v>
      </c>
      <c r="K23" s="1070" t="str">
        <f t="shared" si="9"/>
        <v>#N/A</v>
      </c>
      <c r="L23" s="1070" t="str">
        <f t="shared" si="10"/>
        <v>#N/A</v>
      </c>
      <c r="M23" s="1070" t="str">
        <f t="shared" si="11"/>
        <v>#N/A</v>
      </c>
      <c r="N23" s="1070" t="str">
        <f t="shared" si="12"/>
        <v>#N/A</v>
      </c>
      <c r="O23" s="1071" t="str">
        <f t="shared" si="13"/>
        <v>#N/A</v>
      </c>
      <c r="P23" s="1072" t="str">
        <f t="shared" si="14"/>
        <v>#N/A</v>
      </c>
      <c r="Q23" s="1073"/>
    </row>
    <row r="24">
      <c r="A24" s="1068" t="s">
        <v>3226</v>
      </c>
      <c r="B24" s="1069" t="s">
        <v>730</v>
      </c>
      <c r="C24" s="1070" t="str">
        <f t="shared" si="1"/>
        <v>#N/A</v>
      </c>
      <c r="D24" s="1070" t="str">
        <f t="shared" si="2"/>
        <v>#N/A</v>
      </c>
      <c r="E24" s="1070" t="str">
        <f t="shared" si="3"/>
        <v>#N/A</v>
      </c>
      <c r="F24" s="1070" t="str">
        <f t="shared" si="4"/>
        <v>#N/A</v>
      </c>
      <c r="G24" s="1070" t="str">
        <f t="shared" si="5"/>
        <v>#N/A</v>
      </c>
      <c r="H24" s="1070" t="str">
        <f t="shared" si="6"/>
        <v>#N/A</v>
      </c>
      <c r="I24" s="1070" t="str">
        <f t="shared" si="7"/>
        <v>#N/A</v>
      </c>
      <c r="J24" s="1070" t="str">
        <f t="shared" si="8"/>
        <v>#N/A</v>
      </c>
      <c r="K24" s="1070" t="str">
        <f t="shared" si="9"/>
        <v>#N/A</v>
      </c>
      <c r="L24" s="1070" t="str">
        <f t="shared" si="10"/>
        <v>#N/A</v>
      </c>
      <c r="M24" s="1070" t="str">
        <f t="shared" si="11"/>
        <v>#N/A</v>
      </c>
      <c r="N24" s="1070" t="str">
        <f t="shared" si="12"/>
        <v>#N/A</v>
      </c>
      <c r="O24" s="1071" t="str">
        <f t="shared" si="13"/>
        <v>#N/A</v>
      </c>
      <c r="P24" s="1072" t="str">
        <f t="shared" si="14"/>
        <v>#N/A</v>
      </c>
      <c r="Q24" s="1073"/>
    </row>
    <row r="25">
      <c r="A25" s="1068" t="s">
        <v>3226</v>
      </c>
      <c r="B25" s="1069" t="s">
        <v>760</v>
      </c>
      <c r="C25" s="1070" t="str">
        <f t="shared" si="1"/>
        <v>#N/A</v>
      </c>
      <c r="D25" s="1070" t="str">
        <f t="shared" si="2"/>
        <v>#N/A</v>
      </c>
      <c r="E25" s="1070" t="str">
        <f t="shared" si="3"/>
        <v>#N/A</v>
      </c>
      <c r="F25" s="1070" t="str">
        <f t="shared" si="4"/>
        <v>#N/A</v>
      </c>
      <c r="G25" s="1070" t="str">
        <f t="shared" si="5"/>
        <v>#N/A</v>
      </c>
      <c r="H25" s="1070" t="str">
        <f t="shared" si="6"/>
        <v>#N/A</v>
      </c>
      <c r="I25" s="1070" t="str">
        <f t="shared" si="7"/>
        <v>#N/A</v>
      </c>
      <c r="J25" s="1070" t="str">
        <f t="shared" si="8"/>
        <v>#N/A</v>
      </c>
      <c r="K25" s="1070" t="str">
        <f t="shared" si="9"/>
        <v>#N/A</v>
      </c>
      <c r="L25" s="1070" t="str">
        <f t="shared" si="10"/>
        <v>#N/A</v>
      </c>
      <c r="M25" s="1070" t="str">
        <f t="shared" si="11"/>
        <v>#N/A</v>
      </c>
      <c r="N25" s="1070" t="str">
        <f t="shared" si="12"/>
        <v>#N/A</v>
      </c>
      <c r="O25" s="1071" t="str">
        <f t="shared" si="13"/>
        <v>#N/A</v>
      </c>
      <c r="P25" s="1072" t="str">
        <f t="shared" si="14"/>
        <v>#N/A</v>
      </c>
      <c r="Q25" s="1073"/>
    </row>
    <row r="26">
      <c r="A26" s="1068" t="s">
        <v>3226</v>
      </c>
      <c r="B26" s="1069" t="s">
        <v>778</v>
      </c>
      <c r="C26" s="1070" t="str">
        <f t="shared" si="1"/>
        <v>#N/A</v>
      </c>
      <c r="D26" s="1070" t="str">
        <f t="shared" si="2"/>
        <v>#N/A</v>
      </c>
      <c r="E26" s="1070" t="str">
        <f t="shared" si="3"/>
        <v>#N/A</v>
      </c>
      <c r="F26" s="1070" t="str">
        <f t="shared" si="4"/>
        <v>#N/A</v>
      </c>
      <c r="G26" s="1070" t="str">
        <f t="shared" si="5"/>
        <v>#N/A</v>
      </c>
      <c r="H26" s="1070" t="str">
        <f t="shared" si="6"/>
        <v>#N/A</v>
      </c>
      <c r="I26" s="1070" t="str">
        <f t="shared" si="7"/>
        <v>#N/A</v>
      </c>
      <c r="J26" s="1070" t="str">
        <f t="shared" si="8"/>
        <v>#N/A</v>
      </c>
      <c r="K26" s="1070" t="str">
        <f t="shared" si="9"/>
        <v>#N/A</v>
      </c>
      <c r="L26" s="1070" t="str">
        <f t="shared" si="10"/>
        <v>#N/A</v>
      </c>
      <c r="M26" s="1070" t="str">
        <f t="shared" si="11"/>
        <v>#N/A</v>
      </c>
      <c r="N26" s="1070" t="str">
        <f t="shared" si="12"/>
        <v>#N/A</v>
      </c>
      <c r="O26" s="1071" t="str">
        <f t="shared" si="13"/>
        <v>#N/A</v>
      </c>
      <c r="P26" s="1072" t="str">
        <f t="shared" si="14"/>
        <v>#N/A</v>
      </c>
      <c r="Q26" s="1073"/>
    </row>
    <row r="27">
      <c r="A27" s="1068" t="s">
        <v>3226</v>
      </c>
      <c r="B27" s="1069" t="s">
        <v>804</v>
      </c>
      <c r="C27" s="1070" t="str">
        <f t="shared" si="1"/>
        <v>#N/A</v>
      </c>
      <c r="D27" s="1070" t="str">
        <f t="shared" si="2"/>
        <v>#N/A</v>
      </c>
      <c r="E27" s="1070" t="str">
        <f t="shared" si="3"/>
        <v>#N/A</v>
      </c>
      <c r="F27" s="1070" t="str">
        <f t="shared" si="4"/>
        <v>#N/A</v>
      </c>
      <c r="G27" s="1070" t="str">
        <f t="shared" si="5"/>
        <v>#N/A</v>
      </c>
      <c r="H27" s="1070" t="str">
        <f t="shared" si="6"/>
        <v>#N/A</v>
      </c>
      <c r="I27" s="1070" t="str">
        <f t="shared" si="7"/>
        <v>#N/A</v>
      </c>
      <c r="J27" s="1070" t="str">
        <f t="shared" si="8"/>
        <v>#N/A</v>
      </c>
      <c r="K27" s="1070" t="str">
        <f t="shared" si="9"/>
        <v>#N/A</v>
      </c>
      <c r="L27" s="1070" t="str">
        <f t="shared" si="10"/>
        <v>#N/A</v>
      </c>
      <c r="M27" s="1070" t="str">
        <f t="shared" si="11"/>
        <v>#N/A</v>
      </c>
      <c r="N27" s="1070" t="str">
        <f t="shared" si="12"/>
        <v>#N/A</v>
      </c>
      <c r="O27" s="1071" t="str">
        <f t="shared" si="13"/>
        <v>#N/A</v>
      </c>
      <c r="P27" s="1072" t="str">
        <f t="shared" si="14"/>
        <v>#N/A</v>
      </c>
      <c r="Q27" s="1073"/>
    </row>
    <row r="28">
      <c r="A28" s="1068" t="s">
        <v>3227</v>
      </c>
      <c r="B28" s="1069" t="s">
        <v>822</v>
      </c>
      <c r="C28" s="1070" t="str">
        <f t="shared" si="1"/>
        <v>#N/A</v>
      </c>
      <c r="D28" s="1070" t="str">
        <f t="shared" si="2"/>
        <v>#N/A</v>
      </c>
      <c r="E28" s="1070" t="str">
        <f t="shared" si="3"/>
        <v>#N/A</v>
      </c>
      <c r="F28" s="1070" t="str">
        <f t="shared" si="4"/>
        <v>#N/A</v>
      </c>
      <c r="G28" s="1070" t="str">
        <f t="shared" si="5"/>
        <v>#N/A</v>
      </c>
      <c r="H28" s="1070" t="str">
        <f t="shared" si="6"/>
        <v>#N/A</v>
      </c>
      <c r="I28" s="1070" t="str">
        <f t="shared" si="7"/>
        <v>#N/A</v>
      </c>
      <c r="J28" s="1070" t="str">
        <f t="shared" si="8"/>
        <v>#N/A</v>
      </c>
      <c r="K28" s="1070" t="str">
        <f t="shared" si="9"/>
        <v>#N/A</v>
      </c>
      <c r="L28" s="1070" t="str">
        <f t="shared" si="10"/>
        <v>#N/A</v>
      </c>
      <c r="M28" s="1070" t="str">
        <f t="shared" si="11"/>
        <v>#N/A</v>
      </c>
      <c r="N28" s="1070" t="str">
        <f t="shared" si="12"/>
        <v>#N/A</v>
      </c>
      <c r="O28" s="1071" t="str">
        <f t="shared" si="13"/>
        <v>#N/A</v>
      </c>
      <c r="P28" s="1072" t="str">
        <f t="shared" si="14"/>
        <v>#N/A</v>
      </c>
      <c r="Q28" s="1073"/>
    </row>
    <row r="29">
      <c r="A29" s="1068" t="s">
        <v>3228</v>
      </c>
      <c r="B29" s="1069" t="s">
        <v>848</v>
      </c>
      <c r="C29" s="1070" t="str">
        <f t="shared" si="1"/>
        <v>#N/A</v>
      </c>
      <c r="D29" s="1070" t="str">
        <f t="shared" si="2"/>
        <v>#N/A</v>
      </c>
      <c r="E29" s="1070" t="str">
        <f t="shared" si="3"/>
        <v>#N/A</v>
      </c>
      <c r="F29" s="1070" t="str">
        <f t="shared" si="4"/>
        <v>#N/A</v>
      </c>
      <c r="G29" s="1070" t="str">
        <f t="shared" si="5"/>
        <v>#N/A</v>
      </c>
      <c r="H29" s="1070" t="str">
        <f t="shared" si="6"/>
        <v>#N/A</v>
      </c>
      <c r="I29" s="1070" t="str">
        <f t="shared" si="7"/>
        <v>#N/A</v>
      </c>
      <c r="J29" s="1070" t="str">
        <f t="shared" si="8"/>
        <v>#N/A</v>
      </c>
      <c r="K29" s="1070" t="str">
        <f t="shared" si="9"/>
        <v>#N/A</v>
      </c>
      <c r="L29" s="1070" t="str">
        <f t="shared" si="10"/>
        <v>#N/A</v>
      </c>
      <c r="M29" s="1070" t="str">
        <f t="shared" si="11"/>
        <v>#N/A</v>
      </c>
      <c r="N29" s="1070" t="str">
        <f t="shared" si="12"/>
        <v>#N/A</v>
      </c>
      <c r="O29" s="1071" t="str">
        <f t="shared" si="13"/>
        <v>#N/A</v>
      </c>
      <c r="P29" s="1072" t="str">
        <f t="shared" si="14"/>
        <v>#N/A</v>
      </c>
      <c r="Q29" s="1073"/>
    </row>
    <row r="30">
      <c r="A30" s="1068" t="s">
        <v>3226</v>
      </c>
      <c r="B30" s="1069" t="s">
        <v>888</v>
      </c>
      <c r="C30" s="1070" t="str">
        <f t="shared" si="1"/>
        <v>#N/A</v>
      </c>
      <c r="D30" s="1070" t="str">
        <f t="shared" si="2"/>
        <v>#N/A</v>
      </c>
      <c r="E30" s="1070" t="str">
        <f t="shared" si="3"/>
        <v>#N/A</v>
      </c>
      <c r="F30" s="1070" t="str">
        <f t="shared" si="4"/>
        <v>#N/A</v>
      </c>
      <c r="G30" s="1070" t="str">
        <f t="shared" si="5"/>
        <v>#N/A</v>
      </c>
      <c r="H30" s="1070" t="str">
        <f t="shared" si="6"/>
        <v>#N/A</v>
      </c>
      <c r="I30" s="1070" t="str">
        <f t="shared" si="7"/>
        <v>#N/A</v>
      </c>
      <c r="J30" s="1070" t="str">
        <f t="shared" si="8"/>
        <v>#N/A</v>
      </c>
      <c r="K30" s="1070" t="str">
        <f t="shared" si="9"/>
        <v>#N/A</v>
      </c>
      <c r="L30" s="1070" t="str">
        <f t="shared" si="10"/>
        <v>#N/A</v>
      </c>
      <c r="M30" s="1070" t="str">
        <f t="shared" si="11"/>
        <v>#N/A</v>
      </c>
      <c r="N30" s="1070" t="str">
        <f t="shared" si="12"/>
        <v>#N/A</v>
      </c>
      <c r="O30" s="1071" t="str">
        <f t="shared" si="13"/>
        <v>#N/A</v>
      </c>
      <c r="P30" s="1072" t="str">
        <f t="shared" si="14"/>
        <v>#N/A</v>
      </c>
      <c r="Q30" s="1073"/>
    </row>
    <row r="31">
      <c r="A31" s="1068" t="s">
        <v>3226</v>
      </c>
      <c r="B31" s="1069" t="s">
        <v>897</v>
      </c>
      <c r="C31" s="1070" t="str">
        <f t="shared" si="1"/>
        <v>#N/A</v>
      </c>
      <c r="D31" s="1070" t="str">
        <f t="shared" si="2"/>
        <v>#N/A</v>
      </c>
      <c r="E31" s="1070" t="str">
        <f t="shared" si="3"/>
        <v>#N/A</v>
      </c>
      <c r="F31" s="1070" t="str">
        <f t="shared" si="4"/>
        <v>#N/A</v>
      </c>
      <c r="G31" s="1070" t="str">
        <f t="shared" si="5"/>
        <v>#N/A</v>
      </c>
      <c r="H31" s="1070" t="str">
        <f t="shared" si="6"/>
        <v>#N/A</v>
      </c>
      <c r="I31" s="1070" t="str">
        <f t="shared" si="7"/>
        <v>#N/A</v>
      </c>
      <c r="J31" s="1070" t="str">
        <f t="shared" si="8"/>
        <v>#N/A</v>
      </c>
      <c r="K31" s="1070" t="str">
        <f t="shared" si="9"/>
        <v>#N/A</v>
      </c>
      <c r="L31" s="1070" t="str">
        <f t="shared" si="10"/>
        <v>#N/A</v>
      </c>
      <c r="M31" s="1070" t="str">
        <f t="shared" si="11"/>
        <v>#N/A</v>
      </c>
      <c r="N31" s="1070" t="str">
        <f t="shared" si="12"/>
        <v>#N/A</v>
      </c>
      <c r="O31" s="1071" t="str">
        <f t="shared" si="13"/>
        <v>#N/A</v>
      </c>
      <c r="P31" s="1072" t="str">
        <f t="shared" si="14"/>
        <v>#N/A</v>
      </c>
      <c r="Q31" s="1073"/>
    </row>
    <row r="32">
      <c r="A32" s="1068" t="s">
        <v>3226</v>
      </c>
      <c r="B32" s="1069" t="s">
        <v>918</v>
      </c>
      <c r="C32" s="1070" t="str">
        <f t="shared" si="1"/>
        <v>#N/A</v>
      </c>
      <c r="D32" s="1070" t="str">
        <f t="shared" si="2"/>
        <v>#N/A</v>
      </c>
      <c r="E32" s="1070" t="str">
        <f t="shared" si="3"/>
        <v>#N/A</v>
      </c>
      <c r="F32" s="1070" t="str">
        <f t="shared" si="4"/>
        <v>#N/A</v>
      </c>
      <c r="G32" s="1070" t="str">
        <f t="shared" si="5"/>
        <v>#N/A</v>
      </c>
      <c r="H32" s="1070" t="str">
        <f t="shared" si="6"/>
        <v>#N/A</v>
      </c>
      <c r="I32" s="1070" t="str">
        <f t="shared" si="7"/>
        <v>#N/A</v>
      </c>
      <c r="J32" s="1070" t="str">
        <f t="shared" si="8"/>
        <v>#N/A</v>
      </c>
      <c r="K32" s="1070" t="str">
        <f t="shared" si="9"/>
        <v>#N/A</v>
      </c>
      <c r="L32" s="1070" t="str">
        <f t="shared" si="10"/>
        <v>#N/A</v>
      </c>
      <c r="M32" s="1070" t="str">
        <f t="shared" si="11"/>
        <v>#N/A</v>
      </c>
      <c r="N32" s="1070" t="str">
        <f t="shared" si="12"/>
        <v>#N/A</v>
      </c>
      <c r="O32" s="1071" t="str">
        <f t="shared" si="13"/>
        <v>#N/A</v>
      </c>
      <c r="P32" s="1072" t="str">
        <f t="shared" si="14"/>
        <v>#N/A</v>
      </c>
      <c r="Q32" s="1073"/>
    </row>
    <row r="33">
      <c r="A33" s="1068" t="s">
        <v>3227</v>
      </c>
      <c r="B33" s="1069" t="s">
        <v>945</v>
      </c>
      <c r="C33" s="1070" t="str">
        <f t="shared" si="1"/>
        <v>#N/A</v>
      </c>
      <c r="D33" s="1070" t="str">
        <f t="shared" si="2"/>
        <v>#N/A</v>
      </c>
      <c r="E33" s="1070" t="str">
        <f t="shared" si="3"/>
        <v>#N/A</v>
      </c>
      <c r="F33" s="1070" t="str">
        <f t="shared" si="4"/>
        <v>#N/A</v>
      </c>
      <c r="G33" s="1070" t="str">
        <f t="shared" si="5"/>
        <v>#N/A</v>
      </c>
      <c r="H33" s="1070" t="str">
        <f t="shared" si="6"/>
        <v>#N/A</v>
      </c>
      <c r="I33" s="1070" t="str">
        <f t="shared" si="7"/>
        <v>#N/A</v>
      </c>
      <c r="J33" s="1070" t="str">
        <f t="shared" si="8"/>
        <v>#N/A</v>
      </c>
      <c r="K33" s="1070" t="str">
        <f t="shared" si="9"/>
        <v>#N/A</v>
      </c>
      <c r="L33" s="1070" t="str">
        <f t="shared" si="10"/>
        <v>#N/A</v>
      </c>
      <c r="M33" s="1070" t="str">
        <f t="shared" si="11"/>
        <v>#N/A</v>
      </c>
      <c r="N33" s="1070" t="str">
        <f t="shared" si="12"/>
        <v>#N/A</v>
      </c>
      <c r="O33" s="1071" t="str">
        <f t="shared" si="13"/>
        <v>#N/A</v>
      </c>
      <c r="P33" s="1072" t="str">
        <f t="shared" si="14"/>
        <v>#N/A</v>
      </c>
      <c r="Q33" s="1073"/>
    </row>
    <row r="34">
      <c r="A34" s="1068" t="s">
        <v>3227</v>
      </c>
      <c r="B34" s="1069" t="s">
        <v>967</v>
      </c>
      <c r="C34" s="1070" t="str">
        <f t="shared" si="1"/>
        <v>#N/A</v>
      </c>
      <c r="D34" s="1070" t="str">
        <f t="shared" si="2"/>
        <v>#N/A</v>
      </c>
      <c r="E34" s="1070" t="str">
        <f t="shared" si="3"/>
        <v>#N/A</v>
      </c>
      <c r="F34" s="1070" t="str">
        <f t="shared" si="4"/>
        <v>#N/A</v>
      </c>
      <c r="G34" s="1070" t="str">
        <f t="shared" si="5"/>
        <v>#N/A</v>
      </c>
      <c r="H34" s="1070" t="str">
        <f t="shared" si="6"/>
        <v>#N/A</v>
      </c>
      <c r="I34" s="1070" t="str">
        <f t="shared" si="7"/>
        <v>#N/A</v>
      </c>
      <c r="J34" s="1070" t="str">
        <f t="shared" si="8"/>
        <v>#N/A</v>
      </c>
      <c r="K34" s="1070" t="str">
        <f t="shared" si="9"/>
        <v>#N/A</v>
      </c>
      <c r="L34" s="1070" t="str">
        <f t="shared" si="10"/>
        <v>#N/A</v>
      </c>
      <c r="M34" s="1070" t="str">
        <f t="shared" si="11"/>
        <v>#N/A</v>
      </c>
      <c r="N34" s="1070" t="str">
        <f t="shared" si="12"/>
        <v>#N/A</v>
      </c>
      <c r="O34" s="1071" t="str">
        <f t="shared" si="13"/>
        <v>#N/A</v>
      </c>
      <c r="P34" s="1072" t="str">
        <f t="shared" si="14"/>
        <v>#N/A</v>
      </c>
      <c r="Q34" s="1073"/>
    </row>
    <row r="35">
      <c r="A35" s="1068" t="s">
        <v>3227</v>
      </c>
      <c r="B35" s="1069" t="s">
        <v>986</v>
      </c>
      <c r="C35" s="1070" t="str">
        <f t="shared" si="1"/>
        <v>#N/A</v>
      </c>
      <c r="D35" s="1070" t="str">
        <f t="shared" si="2"/>
        <v>#N/A</v>
      </c>
      <c r="E35" s="1070" t="str">
        <f t="shared" si="3"/>
        <v>#N/A</v>
      </c>
      <c r="F35" s="1070" t="str">
        <f t="shared" si="4"/>
        <v>#N/A</v>
      </c>
      <c r="G35" s="1070" t="str">
        <f t="shared" si="5"/>
        <v>#N/A</v>
      </c>
      <c r="H35" s="1070" t="str">
        <f t="shared" si="6"/>
        <v>#N/A</v>
      </c>
      <c r="I35" s="1070" t="str">
        <f t="shared" si="7"/>
        <v>#N/A</v>
      </c>
      <c r="J35" s="1070" t="str">
        <f t="shared" si="8"/>
        <v>#N/A</v>
      </c>
      <c r="K35" s="1070" t="str">
        <f t="shared" si="9"/>
        <v>#N/A</v>
      </c>
      <c r="L35" s="1070" t="str">
        <f t="shared" si="10"/>
        <v>#N/A</v>
      </c>
      <c r="M35" s="1070" t="str">
        <f t="shared" si="11"/>
        <v>#N/A</v>
      </c>
      <c r="N35" s="1070" t="str">
        <f t="shared" si="12"/>
        <v>#N/A</v>
      </c>
      <c r="O35" s="1071" t="str">
        <f t="shared" si="13"/>
        <v>#N/A</v>
      </c>
      <c r="P35" s="1072" t="str">
        <f t="shared" si="14"/>
        <v>#N/A</v>
      </c>
      <c r="Q35" s="1073"/>
    </row>
    <row r="36">
      <c r="A36" s="1068" t="s">
        <v>3227</v>
      </c>
      <c r="B36" s="1069" t="s">
        <v>1006</v>
      </c>
      <c r="C36" s="1070" t="str">
        <f t="shared" si="1"/>
        <v>#N/A</v>
      </c>
      <c r="D36" s="1070" t="str">
        <f t="shared" si="2"/>
        <v>#N/A</v>
      </c>
      <c r="E36" s="1070" t="str">
        <f t="shared" si="3"/>
        <v>#N/A</v>
      </c>
      <c r="F36" s="1070" t="str">
        <f t="shared" si="4"/>
        <v>#N/A</v>
      </c>
      <c r="G36" s="1070" t="str">
        <f t="shared" si="5"/>
        <v>#N/A</v>
      </c>
      <c r="H36" s="1070" t="str">
        <f t="shared" si="6"/>
        <v>#N/A</v>
      </c>
      <c r="I36" s="1070" t="str">
        <f t="shared" si="7"/>
        <v>#N/A</v>
      </c>
      <c r="J36" s="1070" t="str">
        <f t="shared" si="8"/>
        <v>#N/A</v>
      </c>
      <c r="K36" s="1070" t="str">
        <f t="shared" si="9"/>
        <v>#N/A</v>
      </c>
      <c r="L36" s="1070" t="str">
        <f t="shared" si="10"/>
        <v>#N/A</v>
      </c>
      <c r="M36" s="1070" t="str">
        <f t="shared" si="11"/>
        <v>#N/A</v>
      </c>
      <c r="N36" s="1070" t="str">
        <f t="shared" si="12"/>
        <v>#N/A</v>
      </c>
      <c r="O36" s="1071" t="str">
        <f t="shared" si="13"/>
        <v>#N/A</v>
      </c>
      <c r="P36" s="1072" t="str">
        <f t="shared" si="14"/>
        <v>#N/A</v>
      </c>
      <c r="Q36" s="1073"/>
    </row>
    <row r="37">
      <c r="A37" s="1068" t="s">
        <v>3228</v>
      </c>
      <c r="B37" s="1069" t="s">
        <v>1021</v>
      </c>
      <c r="C37" s="1070" t="str">
        <f t="shared" si="1"/>
        <v>#N/A</v>
      </c>
      <c r="D37" s="1070" t="str">
        <f t="shared" si="2"/>
        <v>#N/A</v>
      </c>
      <c r="E37" s="1070" t="str">
        <f t="shared" si="3"/>
        <v>#N/A</v>
      </c>
      <c r="F37" s="1070" t="str">
        <f t="shared" si="4"/>
        <v>#N/A</v>
      </c>
      <c r="G37" s="1070" t="str">
        <f t="shared" si="5"/>
        <v>#N/A</v>
      </c>
      <c r="H37" s="1070" t="str">
        <f t="shared" si="6"/>
        <v>#N/A</v>
      </c>
      <c r="I37" s="1070" t="str">
        <f t="shared" si="7"/>
        <v>#N/A</v>
      </c>
      <c r="J37" s="1070" t="str">
        <f t="shared" si="8"/>
        <v>#N/A</v>
      </c>
      <c r="K37" s="1070" t="str">
        <f t="shared" si="9"/>
        <v>#N/A</v>
      </c>
      <c r="L37" s="1070" t="str">
        <f t="shared" si="10"/>
        <v>#N/A</v>
      </c>
      <c r="M37" s="1070" t="str">
        <f t="shared" si="11"/>
        <v>#N/A</v>
      </c>
      <c r="N37" s="1070" t="str">
        <f t="shared" si="12"/>
        <v>#N/A</v>
      </c>
      <c r="O37" s="1071" t="str">
        <f t="shared" si="13"/>
        <v>#N/A</v>
      </c>
      <c r="P37" s="1072" t="str">
        <f t="shared" si="14"/>
        <v>#N/A</v>
      </c>
      <c r="Q37" s="1073"/>
    </row>
    <row r="38">
      <c r="A38" s="1068" t="s">
        <v>3226</v>
      </c>
      <c r="B38" s="1069" t="s">
        <v>1055</v>
      </c>
      <c r="C38" s="1070" t="str">
        <f t="shared" si="1"/>
        <v>#N/A</v>
      </c>
      <c r="D38" s="1070" t="str">
        <f t="shared" si="2"/>
        <v>#N/A</v>
      </c>
      <c r="E38" s="1070" t="str">
        <f t="shared" si="3"/>
        <v>#N/A</v>
      </c>
      <c r="F38" s="1070" t="str">
        <f t="shared" si="4"/>
        <v>#N/A</v>
      </c>
      <c r="G38" s="1070" t="str">
        <f t="shared" si="5"/>
        <v>#N/A</v>
      </c>
      <c r="H38" s="1070" t="str">
        <f t="shared" si="6"/>
        <v>#N/A</v>
      </c>
      <c r="I38" s="1070" t="str">
        <f t="shared" si="7"/>
        <v>#N/A</v>
      </c>
      <c r="J38" s="1070" t="str">
        <f t="shared" si="8"/>
        <v>#N/A</v>
      </c>
      <c r="K38" s="1070" t="str">
        <f t="shared" si="9"/>
        <v>#N/A</v>
      </c>
      <c r="L38" s="1070" t="str">
        <f t="shared" si="10"/>
        <v>#N/A</v>
      </c>
      <c r="M38" s="1070" t="str">
        <f t="shared" si="11"/>
        <v>#N/A</v>
      </c>
      <c r="N38" s="1070" t="str">
        <f t="shared" si="12"/>
        <v>#N/A</v>
      </c>
      <c r="O38" s="1071" t="str">
        <f t="shared" si="13"/>
        <v>#N/A</v>
      </c>
      <c r="P38" s="1072" t="str">
        <f t="shared" si="14"/>
        <v>#N/A</v>
      </c>
      <c r="Q38" s="1073"/>
    </row>
    <row r="39">
      <c r="A39" s="1068" t="s">
        <v>3228</v>
      </c>
      <c r="B39" s="1069" t="s">
        <v>1093</v>
      </c>
      <c r="C39" s="1070" t="str">
        <f t="shared" si="1"/>
        <v>#N/A</v>
      </c>
      <c r="D39" s="1070" t="str">
        <f t="shared" si="2"/>
        <v>#N/A</v>
      </c>
      <c r="E39" s="1070" t="str">
        <f t="shared" si="3"/>
        <v>#N/A</v>
      </c>
      <c r="F39" s="1070" t="str">
        <f t="shared" si="4"/>
        <v>#N/A</v>
      </c>
      <c r="G39" s="1070" t="str">
        <f t="shared" si="5"/>
        <v>#N/A</v>
      </c>
      <c r="H39" s="1070" t="str">
        <f t="shared" si="6"/>
        <v>#N/A</v>
      </c>
      <c r="I39" s="1070" t="str">
        <f t="shared" si="7"/>
        <v>#N/A</v>
      </c>
      <c r="J39" s="1070" t="str">
        <f t="shared" si="8"/>
        <v>#N/A</v>
      </c>
      <c r="K39" s="1070" t="str">
        <f t="shared" si="9"/>
        <v>#N/A</v>
      </c>
      <c r="L39" s="1070" t="str">
        <f t="shared" si="10"/>
        <v>#N/A</v>
      </c>
      <c r="M39" s="1070" t="str">
        <f t="shared" si="11"/>
        <v>#N/A</v>
      </c>
      <c r="N39" s="1070" t="str">
        <f t="shared" si="12"/>
        <v>#N/A</v>
      </c>
      <c r="O39" s="1071" t="str">
        <f t="shared" si="13"/>
        <v>#N/A</v>
      </c>
      <c r="P39" s="1072" t="str">
        <f t="shared" si="14"/>
        <v>#N/A</v>
      </c>
      <c r="Q39" s="1073"/>
    </row>
    <row r="40">
      <c r="A40" s="1068" t="s">
        <v>3228</v>
      </c>
      <c r="B40" s="1069" t="s">
        <v>1122</v>
      </c>
      <c r="C40" s="1070" t="str">
        <f t="shared" si="1"/>
        <v>#N/A</v>
      </c>
      <c r="D40" s="1070" t="str">
        <f t="shared" si="2"/>
        <v>#N/A</v>
      </c>
      <c r="E40" s="1070" t="str">
        <f t="shared" si="3"/>
        <v>#N/A</v>
      </c>
      <c r="F40" s="1070" t="str">
        <f t="shared" si="4"/>
        <v>#N/A</v>
      </c>
      <c r="G40" s="1070" t="str">
        <f t="shared" si="5"/>
        <v>#N/A</v>
      </c>
      <c r="H40" s="1070" t="str">
        <f t="shared" si="6"/>
        <v>#N/A</v>
      </c>
      <c r="I40" s="1070" t="str">
        <f t="shared" si="7"/>
        <v>#N/A</v>
      </c>
      <c r="J40" s="1070" t="str">
        <f t="shared" si="8"/>
        <v>#N/A</v>
      </c>
      <c r="K40" s="1070" t="str">
        <f t="shared" si="9"/>
        <v>#N/A</v>
      </c>
      <c r="L40" s="1070" t="str">
        <f t="shared" si="10"/>
        <v>#N/A</v>
      </c>
      <c r="M40" s="1070" t="str">
        <f t="shared" si="11"/>
        <v>#N/A</v>
      </c>
      <c r="N40" s="1070" t="str">
        <f t="shared" si="12"/>
        <v>#N/A</v>
      </c>
      <c r="O40" s="1071" t="str">
        <f t="shared" si="13"/>
        <v>#N/A</v>
      </c>
      <c r="P40" s="1072" t="str">
        <f t="shared" si="14"/>
        <v>#N/A</v>
      </c>
      <c r="Q40" s="1073"/>
    </row>
    <row r="41">
      <c r="A41" s="1068" t="s">
        <v>3228</v>
      </c>
      <c r="B41" s="1069" t="s">
        <v>1138</v>
      </c>
      <c r="C41" s="1070" t="str">
        <f t="shared" si="1"/>
        <v>#N/A</v>
      </c>
      <c r="D41" s="1070" t="str">
        <f t="shared" si="2"/>
        <v>#N/A</v>
      </c>
      <c r="E41" s="1070" t="str">
        <f t="shared" si="3"/>
        <v>#N/A</v>
      </c>
      <c r="F41" s="1070" t="str">
        <f t="shared" si="4"/>
        <v>#N/A</v>
      </c>
      <c r="G41" s="1070" t="str">
        <f t="shared" si="5"/>
        <v>#N/A</v>
      </c>
      <c r="H41" s="1070" t="str">
        <f t="shared" si="6"/>
        <v>#N/A</v>
      </c>
      <c r="I41" s="1070" t="str">
        <f t="shared" si="7"/>
        <v>#N/A</v>
      </c>
      <c r="J41" s="1070" t="str">
        <f t="shared" si="8"/>
        <v>#N/A</v>
      </c>
      <c r="K41" s="1070" t="str">
        <f t="shared" si="9"/>
        <v>#N/A</v>
      </c>
      <c r="L41" s="1070" t="str">
        <f t="shared" si="10"/>
        <v>#N/A</v>
      </c>
      <c r="M41" s="1070" t="str">
        <f t="shared" si="11"/>
        <v>#N/A</v>
      </c>
      <c r="N41" s="1070" t="str">
        <f t="shared" si="12"/>
        <v>#N/A</v>
      </c>
      <c r="O41" s="1071" t="str">
        <f t="shared" si="13"/>
        <v>#N/A</v>
      </c>
      <c r="P41" s="1072" t="str">
        <f t="shared" si="14"/>
        <v>#N/A</v>
      </c>
      <c r="Q41" s="1073"/>
    </row>
    <row r="42">
      <c r="A42" s="1068" t="s">
        <v>3228</v>
      </c>
      <c r="B42" s="1069" t="s">
        <v>1165</v>
      </c>
      <c r="C42" s="1070" t="str">
        <f t="shared" si="1"/>
        <v>#N/A</v>
      </c>
      <c r="D42" s="1070" t="str">
        <f t="shared" si="2"/>
        <v>#N/A</v>
      </c>
      <c r="E42" s="1070" t="str">
        <f t="shared" si="3"/>
        <v>#N/A</v>
      </c>
      <c r="F42" s="1070" t="str">
        <f t="shared" si="4"/>
        <v>#N/A</v>
      </c>
      <c r="G42" s="1070" t="str">
        <f t="shared" si="5"/>
        <v>#N/A</v>
      </c>
      <c r="H42" s="1070" t="str">
        <f t="shared" si="6"/>
        <v>#N/A</v>
      </c>
      <c r="I42" s="1070" t="str">
        <f t="shared" si="7"/>
        <v>#N/A</v>
      </c>
      <c r="J42" s="1070" t="str">
        <f t="shared" si="8"/>
        <v>#N/A</v>
      </c>
      <c r="K42" s="1070" t="str">
        <f t="shared" si="9"/>
        <v>#N/A</v>
      </c>
      <c r="L42" s="1070" t="str">
        <f t="shared" si="10"/>
        <v>#N/A</v>
      </c>
      <c r="M42" s="1070" t="str">
        <f t="shared" si="11"/>
        <v>#N/A</v>
      </c>
      <c r="N42" s="1070" t="str">
        <f t="shared" si="12"/>
        <v>#N/A</v>
      </c>
      <c r="O42" s="1071" t="str">
        <f t="shared" si="13"/>
        <v>#N/A</v>
      </c>
      <c r="P42" s="1072" t="str">
        <f t="shared" si="14"/>
        <v>#N/A</v>
      </c>
      <c r="Q42" s="1073"/>
    </row>
    <row r="43">
      <c r="A43" s="1068" t="s">
        <v>3228</v>
      </c>
      <c r="B43" s="1069" t="s">
        <v>1180</v>
      </c>
      <c r="C43" s="1070" t="str">
        <f t="shared" si="1"/>
        <v>#N/A</v>
      </c>
      <c r="D43" s="1070" t="str">
        <f t="shared" si="2"/>
        <v>#N/A</v>
      </c>
      <c r="E43" s="1070" t="str">
        <f t="shared" si="3"/>
        <v>#N/A</v>
      </c>
      <c r="F43" s="1070" t="str">
        <f t="shared" si="4"/>
        <v>#N/A</v>
      </c>
      <c r="G43" s="1070" t="str">
        <f t="shared" si="5"/>
        <v>#N/A</v>
      </c>
      <c r="H43" s="1070" t="str">
        <f t="shared" si="6"/>
        <v>#N/A</v>
      </c>
      <c r="I43" s="1070" t="str">
        <f t="shared" si="7"/>
        <v>#N/A</v>
      </c>
      <c r="J43" s="1070" t="str">
        <f t="shared" si="8"/>
        <v>#N/A</v>
      </c>
      <c r="K43" s="1070" t="str">
        <f t="shared" si="9"/>
        <v>#N/A</v>
      </c>
      <c r="L43" s="1070" t="str">
        <f t="shared" si="10"/>
        <v>#N/A</v>
      </c>
      <c r="M43" s="1070" t="str">
        <f t="shared" si="11"/>
        <v>#N/A</v>
      </c>
      <c r="N43" s="1070" t="str">
        <f t="shared" si="12"/>
        <v>#N/A</v>
      </c>
      <c r="O43" s="1071" t="str">
        <f t="shared" si="13"/>
        <v>#N/A</v>
      </c>
      <c r="P43" s="1072" t="str">
        <f t="shared" si="14"/>
        <v>#N/A</v>
      </c>
      <c r="Q43" s="1073"/>
    </row>
    <row r="44">
      <c r="A44" s="1068" t="s">
        <v>3228</v>
      </c>
      <c r="B44" s="1069" t="s">
        <v>1089</v>
      </c>
      <c r="C44" s="1070" t="str">
        <f t="shared" si="1"/>
        <v>#N/A</v>
      </c>
      <c r="D44" s="1070" t="str">
        <f t="shared" si="2"/>
        <v>#N/A</v>
      </c>
      <c r="E44" s="1070" t="str">
        <f t="shared" si="3"/>
        <v>#N/A</v>
      </c>
      <c r="F44" s="1070" t="str">
        <f t="shared" si="4"/>
        <v>#N/A</v>
      </c>
      <c r="G44" s="1070" t="str">
        <f t="shared" si="5"/>
        <v>#N/A</v>
      </c>
      <c r="H44" s="1070" t="str">
        <f t="shared" si="6"/>
        <v>#N/A</v>
      </c>
      <c r="I44" s="1070" t="str">
        <f t="shared" si="7"/>
        <v>#N/A</v>
      </c>
      <c r="J44" s="1070" t="str">
        <f t="shared" si="8"/>
        <v>#N/A</v>
      </c>
      <c r="K44" s="1070" t="str">
        <f t="shared" si="9"/>
        <v>#N/A</v>
      </c>
      <c r="L44" s="1070" t="str">
        <f t="shared" si="10"/>
        <v>#N/A</v>
      </c>
      <c r="M44" s="1070" t="str">
        <f t="shared" si="11"/>
        <v>#N/A</v>
      </c>
      <c r="N44" s="1070" t="str">
        <f t="shared" si="12"/>
        <v>#N/A</v>
      </c>
      <c r="O44" s="1071" t="str">
        <f t="shared" si="13"/>
        <v>#N/A</v>
      </c>
      <c r="P44" s="1072" t="str">
        <f t="shared" si="14"/>
        <v>#N/A</v>
      </c>
      <c r="Q44" s="1073"/>
    </row>
    <row r="45">
      <c r="A45" s="1068" t="s">
        <v>3228</v>
      </c>
      <c r="B45" s="1069" t="s">
        <v>1092</v>
      </c>
      <c r="C45" s="1070" t="str">
        <f t="shared" si="1"/>
        <v>#N/A</v>
      </c>
      <c r="D45" s="1070" t="str">
        <f t="shared" si="2"/>
        <v>#N/A</v>
      </c>
      <c r="E45" s="1070" t="str">
        <f t="shared" si="3"/>
        <v>#N/A</v>
      </c>
      <c r="F45" s="1070" t="str">
        <f t="shared" si="4"/>
        <v>#N/A</v>
      </c>
      <c r="G45" s="1070" t="str">
        <f t="shared" si="5"/>
        <v>#N/A</v>
      </c>
      <c r="H45" s="1070" t="str">
        <f t="shared" si="6"/>
        <v>#N/A</v>
      </c>
      <c r="I45" s="1070" t="str">
        <f t="shared" si="7"/>
        <v>#N/A</v>
      </c>
      <c r="J45" s="1070" t="str">
        <f t="shared" si="8"/>
        <v>#N/A</v>
      </c>
      <c r="K45" s="1070" t="str">
        <f t="shared" si="9"/>
        <v>#N/A</v>
      </c>
      <c r="L45" s="1070" t="str">
        <f t="shared" si="10"/>
        <v>#N/A</v>
      </c>
      <c r="M45" s="1070" t="str">
        <f t="shared" si="11"/>
        <v>#N/A</v>
      </c>
      <c r="N45" s="1070" t="str">
        <f t="shared" si="12"/>
        <v>#N/A</v>
      </c>
      <c r="O45" s="1071" t="str">
        <f t="shared" si="13"/>
        <v>#N/A</v>
      </c>
      <c r="P45" s="1072" t="str">
        <f t="shared" si="14"/>
        <v>#N/A</v>
      </c>
      <c r="Q45" s="1073"/>
    </row>
    <row r="46">
      <c r="A46" s="1068" t="s">
        <v>3228</v>
      </c>
      <c r="B46" s="1074" t="s">
        <v>577</v>
      </c>
      <c r="C46" s="1070" t="str">
        <f t="shared" si="1"/>
        <v>#N/A</v>
      </c>
      <c r="D46" s="1070" t="str">
        <f t="shared" si="2"/>
        <v>#N/A</v>
      </c>
      <c r="E46" s="1070" t="str">
        <f t="shared" si="3"/>
        <v>#N/A</v>
      </c>
      <c r="F46" s="1070" t="str">
        <f t="shared" si="4"/>
        <v>#N/A</v>
      </c>
      <c r="G46" s="1070" t="str">
        <f t="shared" si="5"/>
        <v>#N/A</v>
      </c>
      <c r="H46" s="1070" t="str">
        <f t="shared" si="6"/>
        <v>#N/A</v>
      </c>
      <c r="I46" s="1070" t="str">
        <f t="shared" si="7"/>
        <v>#N/A</v>
      </c>
      <c r="J46" s="1070" t="str">
        <f t="shared" si="8"/>
        <v>#N/A</v>
      </c>
      <c r="K46" s="1070" t="str">
        <f t="shared" si="9"/>
        <v>#N/A</v>
      </c>
      <c r="L46" s="1070" t="str">
        <f t="shared" si="10"/>
        <v>#N/A</v>
      </c>
      <c r="M46" s="1070" t="str">
        <f t="shared" si="11"/>
        <v>#N/A</v>
      </c>
      <c r="N46" s="1070" t="str">
        <f t="shared" si="12"/>
        <v>#N/A</v>
      </c>
      <c r="O46" s="1071" t="str">
        <f t="shared" si="13"/>
        <v>#N/A</v>
      </c>
      <c r="P46" s="1072" t="str">
        <f t="shared" si="14"/>
        <v>#N/A</v>
      </c>
      <c r="Q46" s="1073"/>
    </row>
    <row r="47">
      <c r="A47" s="1068" t="s">
        <v>3228</v>
      </c>
      <c r="B47" s="1074" t="s">
        <v>319</v>
      </c>
      <c r="C47" s="1070" t="str">
        <f t="shared" si="1"/>
        <v>#N/A</v>
      </c>
      <c r="D47" s="1070" t="str">
        <f t="shared" si="2"/>
        <v>#N/A</v>
      </c>
      <c r="E47" s="1070" t="str">
        <f t="shared" si="3"/>
        <v>#N/A</v>
      </c>
      <c r="F47" s="1070" t="str">
        <f t="shared" si="4"/>
        <v>#N/A</v>
      </c>
      <c r="G47" s="1070" t="str">
        <f t="shared" si="5"/>
        <v>#N/A</v>
      </c>
      <c r="H47" s="1070" t="str">
        <f t="shared" si="6"/>
        <v>#N/A</v>
      </c>
      <c r="I47" s="1070" t="str">
        <f t="shared" si="7"/>
        <v>#N/A</v>
      </c>
      <c r="J47" s="1070" t="str">
        <f t="shared" si="8"/>
        <v>#N/A</v>
      </c>
      <c r="K47" s="1070" t="str">
        <f t="shared" si="9"/>
        <v>#N/A</v>
      </c>
      <c r="L47" s="1070" t="str">
        <f t="shared" si="10"/>
        <v>#N/A</v>
      </c>
      <c r="M47" s="1070" t="str">
        <f t="shared" si="11"/>
        <v>#N/A</v>
      </c>
      <c r="N47" s="1070" t="str">
        <f t="shared" si="12"/>
        <v>#N/A</v>
      </c>
      <c r="O47" s="1071" t="str">
        <f t="shared" si="13"/>
        <v>#N/A</v>
      </c>
      <c r="P47" s="1072" t="str">
        <f t="shared" si="14"/>
        <v>#N/A</v>
      </c>
      <c r="Q47" s="1073"/>
    </row>
    <row r="48" ht="30.75" customHeight="1">
      <c r="A48" s="1075"/>
      <c r="B48" s="1076" t="s">
        <v>3017</v>
      </c>
      <c r="C48" s="1077" t="str">
        <f t="shared" ref="C48:O48" si="15">SUM(C3:C47)</f>
        <v>#N/A</v>
      </c>
      <c r="D48" s="1077" t="str">
        <f t="shared" si="15"/>
        <v>#N/A</v>
      </c>
      <c r="E48" s="1077" t="str">
        <f t="shared" si="15"/>
        <v>#N/A</v>
      </c>
      <c r="F48" s="1077" t="str">
        <f t="shared" si="15"/>
        <v>#N/A</v>
      </c>
      <c r="G48" s="1077" t="str">
        <f t="shared" si="15"/>
        <v>#N/A</v>
      </c>
      <c r="H48" s="1077" t="str">
        <f t="shared" si="15"/>
        <v>#N/A</v>
      </c>
      <c r="I48" s="1077" t="str">
        <f t="shared" si="15"/>
        <v>#N/A</v>
      </c>
      <c r="J48" s="1077" t="str">
        <f t="shared" si="15"/>
        <v>#N/A</v>
      </c>
      <c r="K48" s="1077" t="str">
        <f t="shared" si="15"/>
        <v>#N/A</v>
      </c>
      <c r="L48" s="1077" t="str">
        <f t="shared" si="15"/>
        <v>#N/A</v>
      </c>
      <c r="M48" s="1077" t="str">
        <f t="shared" si="15"/>
        <v>#N/A</v>
      </c>
      <c r="N48" s="1077" t="str">
        <f t="shared" si="15"/>
        <v>#N/A</v>
      </c>
      <c r="O48" s="1078" t="str">
        <f t="shared" si="15"/>
        <v>#N/A</v>
      </c>
      <c r="P48" s="1079" t="str">
        <f t="shared" si="14"/>
        <v>#N/A</v>
      </c>
      <c r="Q48" s="1073"/>
    </row>
    <row r="49" ht="22.5" customHeight="1">
      <c r="A49" s="1080"/>
      <c r="B49" s="1081" t="s">
        <v>1259</v>
      </c>
      <c r="C49" s="1082" t="str">
        <f t="shared" ref="C49:N49" si="16">sumif($A3:$A47,"아",C3:C47)</f>
        <v>#N/A</v>
      </c>
      <c r="D49" s="1082" t="str">
        <f t="shared" si="16"/>
        <v>#N/A</v>
      </c>
      <c r="E49" s="1082" t="str">
        <f t="shared" si="16"/>
        <v>#N/A</v>
      </c>
      <c r="F49" s="1082" t="str">
        <f t="shared" si="16"/>
        <v>#N/A</v>
      </c>
      <c r="G49" s="1082" t="str">
        <f t="shared" si="16"/>
        <v>#N/A</v>
      </c>
      <c r="H49" s="1082" t="str">
        <f t="shared" si="16"/>
        <v>#N/A</v>
      </c>
      <c r="I49" s="1082" t="str">
        <f t="shared" si="16"/>
        <v>#N/A</v>
      </c>
      <c r="J49" s="1082" t="str">
        <f t="shared" si="16"/>
        <v>#N/A</v>
      </c>
      <c r="K49" s="1082" t="str">
        <f t="shared" si="16"/>
        <v>#N/A</v>
      </c>
      <c r="L49" s="1082" t="str">
        <f t="shared" si="16"/>
        <v>#N/A</v>
      </c>
      <c r="M49" s="1082" t="str">
        <f t="shared" si="16"/>
        <v>#N/A</v>
      </c>
      <c r="N49" s="1082" t="str">
        <f t="shared" si="16"/>
        <v>#N/A</v>
      </c>
      <c r="O49" s="1083" t="str">
        <f t="shared" ref="O49:O51" si="18">sum(C49:N49)</f>
        <v>#N/A</v>
      </c>
      <c r="P49" s="1083" t="str">
        <f t="shared" si="14"/>
        <v>#N/A</v>
      </c>
      <c r="Q49" s="1082"/>
    </row>
    <row r="50" ht="21.75" customHeight="1">
      <c r="A50" s="1084"/>
      <c r="B50" s="1085" t="s">
        <v>1408</v>
      </c>
      <c r="C50" s="1086" t="str">
        <f t="shared" ref="C50:N50" si="17">sumif($A4:$A48,"공",C4:C48)</f>
        <v>#N/A</v>
      </c>
      <c r="D50" s="1086" t="str">
        <f t="shared" si="17"/>
        <v>#N/A</v>
      </c>
      <c r="E50" s="1086" t="str">
        <f t="shared" si="17"/>
        <v>#N/A</v>
      </c>
      <c r="F50" s="1086" t="str">
        <f t="shared" si="17"/>
        <v>#N/A</v>
      </c>
      <c r="G50" s="1086" t="str">
        <f t="shared" si="17"/>
        <v>#N/A</v>
      </c>
      <c r="H50" s="1086" t="str">
        <f t="shared" si="17"/>
        <v>#N/A</v>
      </c>
      <c r="I50" s="1086" t="str">
        <f t="shared" si="17"/>
        <v>#N/A</v>
      </c>
      <c r="J50" s="1086" t="str">
        <f t="shared" si="17"/>
        <v>#N/A</v>
      </c>
      <c r="K50" s="1086" t="str">
        <f t="shared" si="17"/>
        <v>#N/A</v>
      </c>
      <c r="L50" s="1086" t="str">
        <f t="shared" si="17"/>
        <v>#N/A</v>
      </c>
      <c r="M50" s="1086" t="str">
        <f t="shared" si="17"/>
        <v>#N/A</v>
      </c>
      <c r="N50" s="1086" t="str">
        <f t="shared" si="17"/>
        <v>#N/A</v>
      </c>
      <c r="O50" s="1087" t="str">
        <f t="shared" si="18"/>
        <v>#N/A</v>
      </c>
      <c r="P50" s="1087" t="str">
        <f t="shared" si="14"/>
        <v>#N/A</v>
      </c>
      <c r="Q50" s="1086"/>
    </row>
    <row r="51" ht="21.75" customHeight="1">
      <c r="A51" s="1088"/>
      <c r="B51" s="1088" t="s">
        <v>3229</v>
      </c>
      <c r="C51" s="1089" t="str">
        <f t="shared" ref="C51:N51" si="19">sumif($A5:$A49,"잠",C5:C49)</f>
        <v>#N/A</v>
      </c>
      <c r="D51" s="1089" t="str">
        <f t="shared" si="19"/>
        <v>#N/A</v>
      </c>
      <c r="E51" s="1089" t="str">
        <f t="shared" si="19"/>
        <v>#N/A</v>
      </c>
      <c r="F51" s="1089" t="str">
        <f t="shared" si="19"/>
        <v>#N/A</v>
      </c>
      <c r="G51" s="1089" t="str">
        <f t="shared" si="19"/>
        <v>#N/A</v>
      </c>
      <c r="H51" s="1089" t="str">
        <f t="shared" si="19"/>
        <v>#N/A</v>
      </c>
      <c r="I51" s="1089" t="str">
        <f t="shared" si="19"/>
        <v>#N/A</v>
      </c>
      <c r="J51" s="1089" t="str">
        <f t="shared" si="19"/>
        <v>#N/A</v>
      </c>
      <c r="K51" s="1089" t="str">
        <f t="shared" si="19"/>
        <v>#N/A</v>
      </c>
      <c r="L51" s="1089" t="str">
        <f t="shared" si="19"/>
        <v>#N/A</v>
      </c>
      <c r="M51" s="1089" t="str">
        <f t="shared" si="19"/>
        <v>#N/A</v>
      </c>
      <c r="N51" s="1089" t="str">
        <f t="shared" si="19"/>
        <v>#N/A</v>
      </c>
      <c r="O51" s="1090" t="str">
        <f t="shared" si="18"/>
        <v>#N/A</v>
      </c>
      <c r="P51" s="1090" t="str">
        <f t="shared" si="14"/>
        <v>#N/A</v>
      </c>
      <c r="Q51" s="1091"/>
    </row>
  </sheetData>
  <conditionalFormatting sqref="A1:Q51">
    <cfRule type="containsText" dxfId="11" priority="1" operator="containsText" text="-">
      <formula>NOT(ISERROR(SEARCH(("-"),(A1))))</formula>
    </cfRule>
  </conditionalFormatting>
  <conditionalFormatting sqref="A1:A51">
    <cfRule type="containsText" dxfId="12" priority="2" operator="containsText" text="아">
      <formula>NOT(ISERROR(SEARCH(("아"),(A1))))</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0.75"/>
    <col customWidth="1" min="3" max="3" width="11.0"/>
    <col customWidth="1" min="4" max="4" width="11.13"/>
    <col customWidth="1" min="5" max="16" width="10.13"/>
  </cols>
  <sheetData>
    <row r="1" ht="8.25" customHeight="1">
      <c r="A1" s="1092"/>
      <c r="B1" s="1092"/>
      <c r="C1" s="1092"/>
      <c r="D1" s="1093"/>
      <c r="E1" s="1093"/>
      <c r="F1" s="1093"/>
      <c r="G1" s="1093"/>
      <c r="H1" s="1093"/>
      <c r="I1" s="1093"/>
      <c r="J1" s="1093"/>
      <c r="K1" s="1094"/>
      <c r="L1" s="1094"/>
      <c r="M1" s="1095"/>
      <c r="N1" s="1095"/>
      <c r="O1" s="1095"/>
      <c r="P1" s="1095"/>
      <c r="Q1" s="1095"/>
      <c r="R1" s="1095"/>
      <c r="S1" s="1095"/>
      <c r="T1" s="1095"/>
      <c r="U1" s="1095"/>
      <c r="V1" s="1095"/>
      <c r="W1" s="1095"/>
      <c r="X1" s="1095"/>
      <c r="Y1" s="1095"/>
      <c r="Z1" s="1095"/>
      <c r="AA1" s="1095"/>
      <c r="AB1" s="1095"/>
    </row>
    <row r="2" ht="27.75" customHeight="1">
      <c r="A2" s="1096"/>
      <c r="B2" s="1097" t="s">
        <v>0</v>
      </c>
      <c r="C2" s="1097" t="s">
        <v>3230</v>
      </c>
      <c r="D2" s="1098" t="s">
        <v>3231</v>
      </c>
      <c r="E2" s="1098" t="s">
        <v>2382</v>
      </c>
      <c r="F2" s="1098" t="s">
        <v>2383</v>
      </c>
      <c r="G2" s="1098" t="s">
        <v>2384</v>
      </c>
      <c r="H2" s="1098" t="s">
        <v>2385</v>
      </c>
      <c r="I2" s="1098" t="s">
        <v>2386</v>
      </c>
      <c r="J2" s="1098" t="s">
        <v>2387</v>
      </c>
      <c r="K2" s="1099" t="s">
        <v>2388</v>
      </c>
      <c r="L2" s="1099" t="s">
        <v>2389</v>
      </c>
      <c r="M2" s="1099" t="s">
        <v>2390</v>
      </c>
      <c r="N2" s="1099" t="s">
        <v>2391</v>
      </c>
      <c r="O2" s="1099" t="s">
        <v>2392</v>
      </c>
      <c r="P2" s="1099" t="s">
        <v>2393</v>
      </c>
      <c r="Q2" s="1100"/>
      <c r="R2" s="1100"/>
      <c r="S2" s="1100"/>
      <c r="T2" s="1100"/>
      <c r="U2" s="1100"/>
      <c r="V2" s="1100"/>
      <c r="W2" s="1100"/>
      <c r="X2" s="1100"/>
      <c r="Y2" s="1100"/>
      <c r="Z2" s="1100"/>
      <c r="AA2" s="1100"/>
      <c r="AB2" s="1100"/>
    </row>
    <row r="3">
      <c r="A3" s="1092"/>
      <c r="B3" s="1101" t="s">
        <v>27</v>
      </c>
      <c r="C3" s="1101" t="s">
        <v>3232</v>
      </c>
      <c r="D3" s="1102" t="s">
        <v>48</v>
      </c>
      <c r="E3" s="1102">
        <v>208910.0</v>
      </c>
      <c r="F3" s="1102">
        <v>180700.0</v>
      </c>
      <c r="G3" s="1102">
        <v>146530.0</v>
      </c>
      <c r="H3" s="1102">
        <v>114060.0</v>
      </c>
      <c r="I3" s="1102">
        <v>74870.0</v>
      </c>
      <c r="J3" s="1102">
        <v>42090.0</v>
      </c>
      <c r="K3" s="1103"/>
      <c r="L3" s="1103"/>
      <c r="M3" s="1104"/>
      <c r="N3" s="1104"/>
      <c r="O3" s="1104"/>
      <c r="P3" s="1104"/>
      <c r="Q3" s="1095"/>
      <c r="R3" s="1095"/>
      <c r="S3" s="1095"/>
      <c r="T3" s="1095"/>
      <c r="U3" s="1095"/>
      <c r="V3" s="1095"/>
      <c r="W3" s="1095"/>
      <c r="X3" s="1095"/>
      <c r="Y3" s="1095"/>
      <c r="Z3" s="1095"/>
      <c r="AA3" s="1095"/>
      <c r="AB3" s="1095"/>
    </row>
    <row r="4">
      <c r="A4" s="1092"/>
      <c r="B4" s="1101" t="s">
        <v>27</v>
      </c>
      <c r="C4" s="1101" t="s">
        <v>3233</v>
      </c>
      <c r="D4" s="1101" t="s">
        <v>3234</v>
      </c>
      <c r="E4" s="1102">
        <v>31000.0</v>
      </c>
      <c r="F4" s="1102">
        <v>36350.0</v>
      </c>
      <c r="G4" s="1102">
        <v>31560.0</v>
      </c>
      <c r="H4" s="1102">
        <v>32340.0</v>
      </c>
      <c r="I4" s="1102">
        <v>27570.0</v>
      </c>
      <c r="J4" s="1102">
        <v>38520.0</v>
      </c>
      <c r="K4" s="1102">
        <v>54730.0</v>
      </c>
      <c r="L4" s="1103"/>
      <c r="M4" s="1104"/>
      <c r="N4" s="1104"/>
      <c r="O4" s="1104"/>
      <c r="P4" s="1104"/>
      <c r="Q4" s="1095"/>
      <c r="R4" s="1095"/>
      <c r="S4" s="1095"/>
      <c r="T4" s="1095"/>
      <c r="U4" s="1095"/>
      <c r="V4" s="1095"/>
      <c r="W4" s="1095"/>
      <c r="X4" s="1095"/>
      <c r="Y4" s="1095"/>
      <c r="Z4" s="1095"/>
      <c r="AA4" s="1095"/>
      <c r="AB4" s="1095"/>
    </row>
    <row r="5">
      <c r="A5" s="1092"/>
      <c r="B5" s="1101" t="s">
        <v>27</v>
      </c>
      <c r="C5" s="1101" t="s">
        <v>802</v>
      </c>
      <c r="D5" s="1105" t="s">
        <v>50</v>
      </c>
      <c r="E5" s="1102">
        <v>45000.0</v>
      </c>
      <c r="F5" s="1103"/>
      <c r="G5" s="1102">
        <v>48000.0</v>
      </c>
      <c r="H5" s="1103"/>
      <c r="I5" s="1102">
        <v>0.0</v>
      </c>
      <c r="J5" s="1102">
        <v>10000.0</v>
      </c>
      <c r="K5" s="1103"/>
      <c r="L5" s="1103"/>
      <c r="M5" s="1104"/>
      <c r="N5" s="1104"/>
      <c r="O5" s="1104"/>
      <c r="P5" s="1104"/>
      <c r="Q5" s="1095"/>
      <c r="R5" s="1095"/>
      <c r="S5" s="1095"/>
      <c r="T5" s="1095"/>
      <c r="U5" s="1095"/>
      <c r="V5" s="1095"/>
      <c r="W5" s="1095"/>
      <c r="X5" s="1095"/>
      <c r="Y5" s="1095"/>
      <c r="Z5" s="1095"/>
      <c r="AA5" s="1095"/>
      <c r="AB5" s="1095"/>
    </row>
    <row r="6">
      <c r="A6" s="1092"/>
      <c r="B6" s="1101" t="s">
        <v>27</v>
      </c>
      <c r="C6" s="1101" t="s">
        <v>3235</v>
      </c>
      <c r="D6" s="1102" t="s">
        <v>3236</v>
      </c>
      <c r="E6" s="1102">
        <v>22000.0</v>
      </c>
      <c r="F6" s="1102">
        <v>22000.0</v>
      </c>
      <c r="G6" s="1102">
        <v>22000.0</v>
      </c>
      <c r="H6" s="1102">
        <v>22000.0</v>
      </c>
      <c r="I6" s="1102">
        <v>22000.0</v>
      </c>
      <c r="J6" s="1102">
        <v>22000.0</v>
      </c>
      <c r="K6" s="1102">
        <v>22000.0</v>
      </c>
      <c r="L6" s="1102">
        <v>22000.0</v>
      </c>
      <c r="M6" s="1104"/>
      <c r="N6" s="1104"/>
      <c r="O6" s="1104"/>
      <c r="P6" s="1104"/>
      <c r="Q6" s="1095"/>
      <c r="R6" s="1095"/>
      <c r="S6" s="1095"/>
      <c r="T6" s="1095"/>
      <c r="U6" s="1095"/>
      <c r="V6" s="1095"/>
      <c r="W6" s="1095"/>
      <c r="X6" s="1095"/>
      <c r="Y6" s="1095"/>
      <c r="Z6" s="1095"/>
      <c r="AA6" s="1095"/>
      <c r="AB6" s="1095"/>
    </row>
    <row r="7">
      <c r="A7" s="1092"/>
      <c r="B7" s="1101" t="s">
        <v>27</v>
      </c>
      <c r="C7" s="1101" t="s">
        <v>3237</v>
      </c>
      <c r="D7" s="1102" t="s">
        <v>3236</v>
      </c>
      <c r="E7" s="1102">
        <v>11000.0</v>
      </c>
      <c r="F7" s="1102">
        <v>11000.0</v>
      </c>
      <c r="G7" s="1102">
        <v>11000.0</v>
      </c>
      <c r="H7" s="1102">
        <v>11000.0</v>
      </c>
      <c r="I7" s="1102">
        <v>11000.0</v>
      </c>
      <c r="J7" s="1102">
        <v>11000.0</v>
      </c>
      <c r="K7" s="1102">
        <v>11000.0</v>
      </c>
      <c r="L7" s="1102">
        <v>11000.0</v>
      </c>
      <c r="M7" s="1104"/>
      <c r="N7" s="1104"/>
      <c r="O7" s="1104"/>
      <c r="P7" s="1104"/>
      <c r="Q7" s="1095"/>
      <c r="R7" s="1095"/>
      <c r="S7" s="1095"/>
      <c r="T7" s="1095"/>
      <c r="U7" s="1095"/>
      <c r="V7" s="1095"/>
      <c r="W7" s="1095"/>
      <c r="X7" s="1095"/>
      <c r="Y7" s="1095"/>
      <c r="Z7" s="1095"/>
      <c r="AA7" s="1095"/>
      <c r="AB7" s="1095"/>
    </row>
    <row r="8">
      <c r="A8" s="1106"/>
      <c r="B8" s="1101" t="s">
        <v>27</v>
      </c>
      <c r="C8" s="1107" t="s">
        <v>3238</v>
      </c>
      <c r="D8" s="1108"/>
      <c r="E8" s="1108"/>
      <c r="F8" s="1108"/>
      <c r="G8" s="1108"/>
      <c r="H8" s="1108">
        <v>14800.0</v>
      </c>
      <c r="I8" s="1108">
        <v>132790.0</v>
      </c>
      <c r="J8" s="1108">
        <v>131400.0</v>
      </c>
      <c r="K8" s="1109"/>
      <c r="L8" s="1109"/>
      <c r="M8" s="1104"/>
      <c r="N8" s="1104"/>
      <c r="O8" s="1104"/>
      <c r="P8" s="1104"/>
      <c r="Q8" s="1095"/>
      <c r="R8" s="1095"/>
      <c r="S8" s="1095"/>
      <c r="T8" s="1095"/>
      <c r="U8" s="1095"/>
      <c r="V8" s="1095"/>
      <c r="W8" s="1095"/>
      <c r="X8" s="1095"/>
      <c r="Y8" s="1095"/>
      <c r="Z8" s="1095"/>
      <c r="AA8" s="1095"/>
      <c r="AB8" s="1095"/>
    </row>
    <row r="9">
      <c r="A9" s="1095"/>
      <c r="B9" s="1110" t="s">
        <v>58</v>
      </c>
      <c r="C9" s="1095"/>
      <c r="D9" s="1095"/>
      <c r="E9" s="1095"/>
      <c r="F9" s="1095"/>
      <c r="G9" s="1095"/>
      <c r="H9" s="1095"/>
      <c r="I9" s="1095"/>
      <c r="J9" s="1095"/>
      <c r="K9" s="1095"/>
      <c r="L9" s="1095"/>
      <c r="M9" s="1095"/>
      <c r="N9" s="1095"/>
      <c r="O9" s="1095"/>
      <c r="P9" s="1095"/>
      <c r="Q9" s="1095"/>
      <c r="R9" s="1095"/>
      <c r="S9" s="1095"/>
      <c r="T9" s="1095"/>
      <c r="U9" s="1095"/>
      <c r="V9" s="1095"/>
      <c r="W9" s="1095"/>
      <c r="X9" s="1095"/>
      <c r="Y9" s="1095"/>
      <c r="Z9" s="1095"/>
      <c r="AA9" s="1095"/>
      <c r="AB9" s="1095"/>
    </row>
    <row r="10">
      <c r="A10" s="1095"/>
      <c r="B10" s="1110" t="s">
        <v>58</v>
      </c>
      <c r="C10" s="1095"/>
      <c r="D10" s="1095"/>
      <c r="E10" s="1095"/>
      <c r="F10" s="1095"/>
      <c r="G10" s="1095"/>
      <c r="H10" s="1095"/>
      <c r="I10" s="1095"/>
      <c r="J10" s="1095"/>
      <c r="K10" s="1095"/>
      <c r="L10" s="1095"/>
      <c r="M10" s="1095"/>
      <c r="N10" s="1095"/>
      <c r="O10" s="1095"/>
      <c r="P10" s="1095"/>
      <c r="Q10" s="1095"/>
      <c r="R10" s="1095"/>
      <c r="S10" s="1095"/>
      <c r="T10" s="1095"/>
      <c r="U10" s="1095"/>
      <c r="V10" s="1095"/>
      <c r="W10" s="1095"/>
      <c r="X10" s="1095"/>
      <c r="Y10" s="1095"/>
      <c r="Z10" s="1095"/>
      <c r="AA10" s="1095"/>
      <c r="AB10" s="1095"/>
    </row>
    <row r="11">
      <c r="A11" s="1095"/>
      <c r="B11" s="1110" t="s">
        <v>58</v>
      </c>
      <c r="C11" s="1095"/>
      <c r="D11" s="1095"/>
      <c r="E11" s="1095"/>
      <c r="F11" s="1095"/>
      <c r="G11" s="1095"/>
      <c r="H11" s="1095"/>
      <c r="I11" s="1095"/>
      <c r="J11" s="1095"/>
      <c r="K11" s="1095"/>
      <c r="L11" s="1095"/>
      <c r="M11" s="1095"/>
      <c r="N11" s="1095"/>
      <c r="O11" s="1095"/>
      <c r="P11" s="1095"/>
      <c r="Q11" s="1095"/>
      <c r="R11" s="1095"/>
      <c r="S11" s="1095"/>
      <c r="T11" s="1095"/>
      <c r="U11" s="1095"/>
      <c r="V11" s="1095"/>
      <c r="W11" s="1095"/>
      <c r="X11" s="1095"/>
      <c r="Y11" s="1095"/>
      <c r="Z11" s="1095"/>
      <c r="AA11" s="1095"/>
      <c r="AB11" s="1095"/>
    </row>
    <row r="12">
      <c r="A12" s="1095"/>
      <c r="B12" s="1110" t="s">
        <v>58</v>
      </c>
      <c r="C12" s="1095"/>
      <c r="D12" s="1095"/>
      <c r="E12" s="1095"/>
      <c r="F12" s="1095"/>
      <c r="G12" s="1095"/>
      <c r="H12" s="1095"/>
      <c r="I12" s="1095"/>
      <c r="J12" s="1095"/>
      <c r="K12" s="1095"/>
      <c r="L12" s="1095"/>
      <c r="M12" s="1095"/>
      <c r="N12" s="1095"/>
      <c r="O12" s="1095"/>
      <c r="P12" s="1095"/>
      <c r="Q12" s="1095"/>
      <c r="R12" s="1095"/>
      <c r="S12" s="1095"/>
      <c r="T12" s="1095"/>
      <c r="U12" s="1095"/>
      <c r="V12" s="1095"/>
      <c r="W12" s="1095"/>
      <c r="X12" s="1095"/>
      <c r="Y12" s="1095"/>
      <c r="Z12" s="1095"/>
      <c r="AA12" s="1095"/>
      <c r="AB12" s="1095"/>
    </row>
    <row r="13">
      <c r="A13" s="1095"/>
      <c r="B13" s="1110" t="s">
        <v>58</v>
      </c>
      <c r="C13" s="1095"/>
      <c r="D13" s="1095"/>
      <c r="E13" s="1095"/>
      <c r="F13" s="1095"/>
      <c r="G13" s="1095"/>
      <c r="H13" s="1095"/>
      <c r="I13" s="1095"/>
      <c r="J13" s="1095"/>
      <c r="K13" s="1095"/>
      <c r="L13" s="1095"/>
      <c r="M13" s="1095"/>
      <c r="N13" s="1095"/>
      <c r="O13" s="1095"/>
      <c r="P13" s="1095"/>
      <c r="Q13" s="1095"/>
      <c r="R13" s="1095"/>
      <c r="S13" s="1095"/>
      <c r="T13" s="1095"/>
      <c r="U13" s="1095"/>
      <c r="V13" s="1095"/>
      <c r="W13" s="1095"/>
      <c r="X13" s="1095"/>
      <c r="Y13" s="1095"/>
      <c r="Z13" s="1095"/>
      <c r="AA13" s="1095"/>
      <c r="AB13" s="1095"/>
    </row>
    <row r="14">
      <c r="A14" s="1095"/>
      <c r="B14" s="1095"/>
      <c r="C14" s="1095"/>
      <c r="D14" s="1095"/>
      <c r="E14" s="1095"/>
      <c r="F14" s="1095"/>
      <c r="G14" s="1095"/>
      <c r="H14" s="1095"/>
      <c r="I14" s="1095"/>
      <c r="J14" s="1095"/>
      <c r="K14" s="1095"/>
      <c r="L14" s="1095"/>
      <c r="M14" s="1095"/>
      <c r="N14" s="1095"/>
      <c r="O14" s="1095"/>
      <c r="P14" s="1095"/>
      <c r="Q14" s="1095"/>
      <c r="R14" s="1095"/>
      <c r="S14" s="1095"/>
      <c r="T14" s="1095"/>
      <c r="U14" s="1095"/>
      <c r="V14" s="1095"/>
      <c r="W14" s="1095"/>
      <c r="X14" s="1095"/>
      <c r="Y14" s="1095"/>
      <c r="Z14" s="1095"/>
      <c r="AA14" s="1095"/>
      <c r="AB14" s="1095"/>
    </row>
    <row r="15">
      <c r="A15" s="1095"/>
      <c r="B15" s="1095"/>
      <c r="C15" s="1095"/>
      <c r="D15" s="1095"/>
      <c r="E15" s="1095"/>
      <c r="F15" s="1095"/>
      <c r="G15" s="1095"/>
      <c r="H15" s="1095"/>
      <c r="I15" s="1095"/>
      <c r="J15" s="1095"/>
      <c r="K15" s="1095"/>
      <c r="L15" s="1095"/>
      <c r="M15" s="1095"/>
      <c r="N15" s="1095"/>
      <c r="O15" s="1095"/>
      <c r="P15" s="1095"/>
      <c r="Q15" s="1095"/>
      <c r="R15" s="1095"/>
      <c r="S15" s="1095"/>
      <c r="T15" s="1095"/>
      <c r="U15" s="1095"/>
      <c r="V15" s="1095"/>
      <c r="W15" s="1095"/>
      <c r="X15" s="1095"/>
      <c r="Y15" s="1095"/>
      <c r="Z15" s="1095"/>
      <c r="AA15" s="1095"/>
      <c r="AB15" s="1095"/>
    </row>
    <row r="16">
      <c r="A16" s="1095"/>
      <c r="B16" s="1095"/>
      <c r="C16" s="1095"/>
      <c r="D16" s="1095"/>
      <c r="E16" s="1095"/>
      <c r="F16" s="1095"/>
      <c r="G16" s="1095"/>
      <c r="H16" s="1095"/>
      <c r="I16" s="1095"/>
      <c r="J16" s="1095"/>
      <c r="K16" s="1095"/>
      <c r="L16" s="1095"/>
      <c r="M16" s="1095"/>
      <c r="N16" s="1095"/>
      <c r="O16" s="1095"/>
      <c r="P16" s="1095"/>
      <c r="Q16" s="1095"/>
      <c r="R16" s="1095"/>
      <c r="S16" s="1095"/>
      <c r="T16" s="1095"/>
      <c r="U16" s="1095"/>
      <c r="V16" s="1095"/>
      <c r="W16" s="1095"/>
      <c r="X16" s="1095"/>
      <c r="Y16" s="1095"/>
      <c r="Z16" s="1095"/>
      <c r="AA16" s="1095"/>
      <c r="AB16" s="1095"/>
    </row>
    <row r="17">
      <c r="A17" s="1095"/>
      <c r="B17" s="1095"/>
      <c r="C17" s="1095"/>
      <c r="D17" s="1095"/>
      <c r="E17" s="1095"/>
      <c r="F17" s="1095"/>
      <c r="G17" s="1095"/>
      <c r="H17" s="1095"/>
      <c r="I17" s="1095"/>
      <c r="J17" s="1095"/>
      <c r="K17" s="1095"/>
      <c r="L17" s="1095"/>
      <c r="M17" s="1095"/>
      <c r="N17" s="1095"/>
      <c r="O17" s="1095"/>
      <c r="P17" s="1095"/>
      <c r="Q17" s="1095"/>
      <c r="R17" s="1095"/>
      <c r="S17" s="1095"/>
      <c r="T17" s="1095"/>
      <c r="U17" s="1095"/>
      <c r="V17" s="1095"/>
      <c r="W17" s="1095"/>
      <c r="X17" s="1095"/>
      <c r="Y17" s="1095"/>
      <c r="Z17" s="1095"/>
      <c r="AA17" s="1095"/>
      <c r="AB17" s="1095"/>
    </row>
    <row r="18">
      <c r="A18" s="1095"/>
      <c r="B18" s="1095"/>
      <c r="C18" s="1095"/>
      <c r="D18" s="1095"/>
      <c r="E18" s="1095"/>
      <c r="F18" s="1095"/>
      <c r="G18" s="1095"/>
      <c r="H18" s="1095"/>
      <c r="I18" s="1095"/>
      <c r="J18" s="1095"/>
      <c r="K18" s="1095"/>
      <c r="L18" s="1095"/>
      <c r="M18" s="1095"/>
      <c r="N18" s="1095"/>
      <c r="O18" s="1095"/>
      <c r="P18" s="1095"/>
      <c r="Q18" s="1095"/>
      <c r="R18" s="1095"/>
      <c r="S18" s="1095"/>
      <c r="T18" s="1095"/>
      <c r="U18" s="1095"/>
      <c r="V18" s="1095"/>
      <c r="W18" s="1095"/>
      <c r="X18" s="1095"/>
      <c r="Y18" s="1095"/>
      <c r="Z18" s="1095"/>
      <c r="AA18" s="1095"/>
      <c r="AB18" s="1095"/>
    </row>
    <row r="19">
      <c r="A19" s="1095"/>
      <c r="B19" s="1095"/>
      <c r="C19" s="1095"/>
      <c r="D19" s="1095"/>
      <c r="E19" s="1095"/>
      <c r="F19" s="1095"/>
      <c r="G19" s="1095"/>
      <c r="H19" s="1095"/>
      <c r="I19" s="1095"/>
      <c r="J19" s="1095"/>
      <c r="K19" s="1095"/>
      <c r="L19" s="1095"/>
      <c r="M19" s="1095"/>
      <c r="N19" s="1095"/>
      <c r="O19" s="1095"/>
      <c r="P19" s="1095"/>
      <c r="Q19" s="1095"/>
      <c r="R19" s="1095"/>
      <c r="S19" s="1095"/>
      <c r="T19" s="1095"/>
      <c r="U19" s="1095"/>
      <c r="V19" s="1095"/>
      <c r="W19" s="1095"/>
      <c r="X19" s="1095"/>
      <c r="Y19" s="1095"/>
      <c r="Z19" s="1095"/>
      <c r="AA19" s="1095"/>
      <c r="AB19" s="1095"/>
    </row>
    <row r="20">
      <c r="A20" s="1095"/>
      <c r="B20" s="1095"/>
      <c r="C20" s="1095"/>
      <c r="D20" s="1095"/>
      <c r="E20" s="1095"/>
      <c r="F20" s="1095"/>
      <c r="G20" s="1095"/>
      <c r="H20" s="1095"/>
      <c r="I20" s="1095"/>
      <c r="J20" s="1095"/>
      <c r="K20" s="1095"/>
      <c r="L20" s="1095"/>
      <c r="M20" s="1095"/>
      <c r="N20" s="1095"/>
      <c r="O20" s="1095"/>
      <c r="P20" s="1095"/>
      <c r="Q20" s="1095"/>
      <c r="R20" s="1095"/>
      <c r="S20" s="1095"/>
      <c r="T20" s="1095"/>
      <c r="U20" s="1095"/>
      <c r="V20" s="1095"/>
      <c r="W20" s="1095"/>
      <c r="X20" s="1095"/>
      <c r="Y20" s="1095"/>
      <c r="Z20" s="1095"/>
      <c r="AA20" s="1095"/>
      <c r="AB20" s="1095"/>
    </row>
    <row r="21">
      <c r="A21" s="1095"/>
      <c r="B21" s="1095"/>
      <c r="C21" s="1095"/>
      <c r="D21" s="1095"/>
      <c r="E21" s="1095"/>
      <c r="F21" s="1095"/>
      <c r="G21" s="1095"/>
      <c r="H21" s="1095"/>
      <c r="I21" s="1095"/>
      <c r="J21" s="1095"/>
      <c r="K21" s="1095"/>
      <c r="L21" s="1095"/>
      <c r="M21" s="1095"/>
      <c r="N21" s="1095"/>
      <c r="O21" s="1095"/>
      <c r="P21" s="1095"/>
      <c r="Q21" s="1095"/>
      <c r="R21" s="1095"/>
      <c r="S21" s="1095"/>
      <c r="T21" s="1095"/>
      <c r="U21" s="1095"/>
      <c r="V21" s="1095"/>
      <c r="W21" s="1095"/>
      <c r="X21" s="1095"/>
      <c r="Y21" s="1095"/>
      <c r="Z21" s="1095"/>
      <c r="AA21" s="1095"/>
      <c r="AB21" s="1095"/>
    </row>
    <row r="22">
      <c r="A22" s="1095"/>
      <c r="B22" s="1095"/>
      <c r="C22" s="1095"/>
      <c r="D22" s="1095"/>
      <c r="E22" s="1095"/>
      <c r="F22" s="1095"/>
      <c r="G22" s="1095"/>
      <c r="H22" s="1095"/>
      <c r="I22" s="1095"/>
      <c r="J22" s="1095"/>
      <c r="K22" s="1095"/>
      <c r="L22" s="1095"/>
      <c r="M22" s="1095"/>
      <c r="N22" s="1095"/>
      <c r="O22" s="1095"/>
      <c r="P22" s="1095"/>
      <c r="Q22" s="1095"/>
      <c r="R22" s="1095"/>
      <c r="S22" s="1095"/>
      <c r="T22" s="1095"/>
      <c r="U22" s="1095"/>
      <c r="V22" s="1095"/>
      <c r="W22" s="1095"/>
      <c r="X22" s="1095"/>
      <c r="Y22" s="1095"/>
      <c r="Z22" s="1095"/>
      <c r="AA22" s="1095"/>
      <c r="AB22" s="1095"/>
    </row>
    <row r="23">
      <c r="A23" s="1095"/>
      <c r="B23" s="1095"/>
      <c r="C23" s="1095"/>
      <c r="D23" s="1095"/>
      <c r="E23" s="1095"/>
      <c r="F23" s="1095"/>
      <c r="G23" s="1095"/>
      <c r="H23" s="1095"/>
      <c r="I23" s="1095"/>
      <c r="J23" s="1095"/>
      <c r="K23" s="1095"/>
      <c r="L23" s="1095"/>
      <c r="M23" s="1095"/>
      <c r="N23" s="1095"/>
      <c r="O23" s="1095"/>
      <c r="P23" s="1095"/>
      <c r="Q23" s="1095"/>
      <c r="R23" s="1095"/>
      <c r="S23" s="1095"/>
      <c r="T23" s="1095"/>
      <c r="U23" s="1095"/>
      <c r="V23" s="1095"/>
      <c r="W23" s="1095"/>
      <c r="X23" s="1095"/>
      <c r="Y23" s="1095"/>
      <c r="Z23" s="1095"/>
      <c r="AA23" s="1095"/>
      <c r="AB23" s="1095"/>
    </row>
    <row r="24">
      <c r="A24" s="1095"/>
      <c r="B24" s="1095"/>
      <c r="C24" s="1095"/>
      <c r="D24" s="1095"/>
      <c r="E24" s="1095"/>
      <c r="F24" s="1095"/>
      <c r="G24" s="1095"/>
      <c r="H24" s="1095"/>
      <c r="I24" s="1095"/>
      <c r="J24" s="1095"/>
      <c r="K24" s="1095"/>
      <c r="L24" s="1095"/>
      <c r="M24" s="1095"/>
      <c r="N24" s="1095"/>
      <c r="O24" s="1095"/>
      <c r="P24" s="1095"/>
      <c r="Q24" s="1095"/>
      <c r="R24" s="1095"/>
      <c r="S24" s="1095"/>
      <c r="T24" s="1095"/>
      <c r="U24" s="1095"/>
      <c r="V24" s="1095"/>
      <c r="W24" s="1095"/>
      <c r="X24" s="1095"/>
      <c r="Y24" s="1095"/>
      <c r="Z24" s="1095"/>
      <c r="AA24" s="1095"/>
      <c r="AB24" s="1095"/>
    </row>
    <row r="25">
      <c r="A25" s="1095"/>
      <c r="B25" s="1095"/>
      <c r="C25" s="1095"/>
      <c r="D25" s="1095"/>
      <c r="E25" s="1095"/>
      <c r="F25" s="1095"/>
      <c r="G25" s="1095"/>
      <c r="H25" s="1095"/>
      <c r="I25" s="1095"/>
      <c r="J25" s="1095"/>
      <c r="K25" s="1095"/>
      <c r="L25" s="1095"/>
      <c r="M25" s="1095"/>
      <c r="N25" s="1095"/>
      <c r="O25" s="1095"/>
      <c r="P25" s="1095"/>
      <c r="Q25" s="1095"/>
      <c r="R25" s="1095"/>
      <c r="S25" s="1095"/>
      <c r="T25" s="1095"/>
      <c r="U25" s="1095"/>
      <c r="V25" s="1095"/>
      <c r="W25" s="1095"/>
      <c r="X25" s="1095"/>
      <c r="Y25" s="1095"/>
      <c r="Z25" s="1095"/>
      <c r="AA25" s="1095"/>
      <c r="AB25" s="1095"/>
    </row>
    <row r="26">
      <c r="A26" s="1095"/>
      <c r="B26" s="1095"/>
      <c r="C26" s="1095"/>
      <c r="D26" s="1095"/>
      <c r="E26" s="1095"/>
      <c r="F26" s="1095"/>
      <c r="G26" s="1095"/>
      <c r="H26" s="1095"/>
      <c r="I26" s="1095"/>
      <c r="J26" s="1095"/>
      <c r="K26" s="1095"/>
      <c r="L26" s="1095"/>
      <c r="M26" s="1095"/>
      <c r="N26" s="1095"/>
      <c r="O26" s="1095"/>
      <c r="P26" s="1095"/>
      <c r="Q26" s="1095"/>
      <c r="R26" s="1095"/>
      <c r="S26" s="1095"/>
      <c r="T26" s="1095"/>
      <c r="U26" s="1095"/>
      <c r="V26" s="1095"/>
      <c r="W26" s="1095"/>
      <c r="X26" s="1095"/>
      <c r="Y26" s="1095"/>
      <c r="Z26" s="1095"/>
      <c r="AA26" s="1095"/>
      <c r="AB26" s="1095"/>
    </row>
    <row r="27">
      <c r="A27" s="1095"/>
      <c r="B27" s="1095"/>
      <c r="C27" s="1095"/>
      <c r="D27" s="1095"/>
      <c r="E27" s="1095"/>
      <c r="F27" s="1095"/>
      <c r="G27" s="1095"/>
      <c r="H27" s="1095"/>
      <c r="I27" s="1095"/>
      <c r="J27" s="1095"/>
      <c r="K27" s="1095"/>
      <c r="L27" s="1095"/>
      <c r="M27" s="1095"/>
      <c r="N27" s="1095"/>
      <c r="O27" s="1095"/>
      <c r="P27" s="1095"/>
      <c r="Q27" s="1095"/>
      <c r="R27" s="1095"/>
      <c r="S27" s="1095"/>
      <c r="T27" s="1095"/>
      <c r="U27" s="1095"/>
      <c r="V27" s="1095"/>
      <c r="W27" s="1095"/>
      <c r="X27" s="1095"/>
      <c r="Y27" s="1095"/>
      <c r="Z27" s="1095"/>
      <c r="AA27" s="1095"/>
      <c r="AB27" s="1095"/>
    </row>
    <row r="28">
      <c r="A28" s="1095"/>
      <c r="B28" s="1095"/>
      <c r="C28" s="1095"/>
      <c r="D28" s="1095"/>
      <c r="E28" s="1095"/>
      <c r="F28" s="1095"/>
      <c r="G28" s="1095"/>
      <c r="H28" s="1095"/>
      <c r="I28" s="1095"/>
      <c r="J28" s="1095"/>
      <c r="K28" s="1095"/>
      <c r="L28" s="1095"/>
      <c r="M28" s="1095"/>
      <c r="N28" s="1095"/>
      <c r="O28" s="1095"/>
      <c r="P28" s="1095"/>
      <c r="Q28" s="1095"/>
      <c r="R28" s="1095"/>
      <c r="S28" s="1095"/>
      <c r="T28" s="1095"/>
      <c r="U28" s="1095"/>
      <c r="V28" s="1095"/>
      <c r="W28" s="1095"/>
      <c r="X28" s="1095"/>
      <c r="Y28" s="1095"/>
      <c r="Z28" s="1095"/>
      <c r="AA28" s="1095"/>
      <c r="AB28" s="1095"/>
    </row>
    <row r="29">
      <c r="A29" s="1095"/>
      <c r="B29" s="1095"/>
      <c r="C29" s="1095"/>
      <c r="D29" s="1095"/>
      <c r="E29" s="1095"/>
      <c r="F29" s="1095"/>
      <c r="G29" s="1095"/>
      <c r="H29" s="1095"/>
      <c r="I29" s="1095"/>
      <c r="J29" s="1095"/>
      <c r="K29" s="1095"/>
      <c r="L29" s="1095"/>
      <c r="M29" s="1095"/>
      <c r="N29" s="1095"/>
      <c r="O29" s="1095"/>
      <c r="P29" s="1095"/>
      <c r="Q29" s="1095"/>
      <c r="R29" s="1095"/>
      <c r="S29" s="1095"/>
      <c r="T29" s="1095"/>
      <c r="U29" s="1095"/>
      <c r="V29" s="1095"/>
      <c r="W29" s="1095"/>
      <c r="X29" s="1095"/>
      <c r="Y29" s="1095"/>
      <c r="Z29" s="1095"/>
      <c r="AA29" s="1095"/>
      <c r="AB29" s="1095"/>
    </row>
    <row r="30">
      <c r="A30" s="1095"/>
      <c r="B30" s="1095"/>
      <c r="C30" s="1095"/>
      <c r="D30" s="1095"/>
      <c r="E30" s="1095"/>
      <c r="F30" s="1095"/>
      <c r="G30" s="1095"/>
      <c r="H30" s="1095"/>
      <c r="I30" s="1095"/>
      <c r="J30" s="1095"/>
      <c r="K30" s="1095"/>
      <c r="L30" s="1095"/>
      <c r="M30" s="1095"/>
      <c r="N30" s="1095"/>
      <c r="O30" s="1095"/>
      <c r="P30" s="1095"/>
      <c r="Q30" s="1095"/>
      <c r="R30" s="1095"/>
      <c r="S30" s="1095"/>
      <c r="T30" s="1095"/>
      <c r="U30" s="1095"/>
      <c r="V30" s="1095"/>
      <c r="W30" s="1095"/>
      <c r="X30" s="1095"/>
      <c r="Y30" s="1095"/>
      <c r="Z30" s="1095"/>
      <c r="AA30" s="1095"/>
      <c r="AB30" s="1095"/>
    </row>
    <row r="31">
      <c r="A31" s="1095"/>
      <c r="B31" s="1095"/>
      <c r="C31" s="1095"/>
      <c r="D31" s="1095"/>
      <c r="E31" s="1095"/>
      <c r="F31" s="1095"/>
      <c r="G31" s="1095"/>
      <c r="H31" s="1095"/>
      <c r="I31" s="1095"/>
      <c r="J31" s="1095"/>
      <c r="K31" s="1095"/>
      <c r="L31" s="1095"/>
      <c r="M31" s="1095"/>
      <c r="N31" s="1095"/>
      <c r="O31" s="1095"/>
      <c r="P31" s="1095"/>
      <c r="Q31" s="1095"/>
      <c r="R31" s="1095"/>
      <c r="S31" s="1095"/>
      <c r="T31" s="1095"/>
      <c r="U31" s="1095"/>
      <c r="V31" s="1095"/>
      <c r="W31" s="1095"/>
      <c r="X31" s="1095"/>
      <c r="Y31" s="1095"/>
      <c r="Z31" s="1095"/>
      <c r="AA31" s="1095"/>
      <c r="AB31" s="1095"/>
    </row>
    <row r="32">
      <c r="A32" s="1095"/>
      <c r="B32" s="1095"/>
      <c r="C32" s="1095"/>
      <c r="D32" s="1095"/>
      <c r="E32" s="1095"/>
      <c r="F32" s="1095"/>
      <c r="G32" s="1095"/>
      <c r="H32" s="1095"/>
      <c r="I32" s="1095"/>
      <c r="J32" s="1095"/>
      <c r="K32" s="1095"/>
      <c r="L32" s="1095"/>
      <c r="M32" s="1095"/>
      <c r="N32" s="1095"/>
      <c r="O32" s="1095"/>
      <c r="P32" s="1095"/>
      <c r="Q32" s="1095"/>
      <c r="R32" s="1095"/>
      <c r="S32" s="1095"/>
      <c r="T32" s="1095"/>
      <c r="U32" s="1095"/>
      <c r="V32" s="1095"/>
      <c r="W32" s="1095"/>
      <c r="X32" s="1095"/>
      <c r="Y32" s="1095"/>
      <c r="Z32" s="1095"/>
      <c r="AA32" s="1095"/>
      <c r="AB32" s="1095"/>
    </row>
    <row r="33">
      <c r="A33" s="1095"/>
      <c r="B33" s="1095"/>
      <c r="C33" s="1095"/>
      <c r="D33" s="1095"/>
      <c r="E33" s="1095"/>
      <c r="F33" s="1095"/>
      <c r="G33" s="1095"/>
      <c r="H33" s="1095"/>
      <c r="I33" s="1095"/>
      <c r="J33" s="1095"/>
      <c r="K33" s="1095"/>
      <c r="L33" s="1095"/>
      <c r="M33" s="1095"/>
      <c r="N33" s="1095"/>
      <c r="O33" s="1095"/>
      <c r="P33" s="1095"/>
      <c r="Q33" s="1095"/>
      <c r="R33" s="1095"/>
      <c r="S33" s="1095"/>
      <c r="T33" s="1095"/>
      <c r="U33" s="1095"/>
      <c r="V33" s="1095"/>
      <c r="W33" s="1095"/>
      <c r="X33" s="1095"/>
      <c r="Y33" s="1095"/>
      <c r="Z33" s="1095"/>
      <c r="AA33" s="1095"/>
      <c r="AB33" s="1095"/>
    </row>
    <row r="34">
      <c r="A34" s="1095"/>
      <c r="B34" s="1095"/>
      <c r="C34" s="1095"/>
      <c r="D34" s="1095"/>
      <c r="E34" s="1095"/>
      <c r="F34" s="1095"/>
      <c r="G34" s="1095"/>
      <c r="H34" s="1095"/>
      <c r="I34" s="1095"/>
      <c r="J34" s="1095"/>
      <c r="K34" s="1095"/>
      <c r="L34" s="1095"/>
      <c r="M34" s="1095"/>
      <c r="N34" s="1095"/>
      <c r="O34" s="1095"/>
      <c r="P34" s="1095"/>
      <c r="Q34" s="1095"/>
      <c r="R34" s="1095"/>
      <c r="S34" s="1095"/>
      <c r="T34" s="1095"/>
      <c r="U34" s="1095"/>
      <c r="V34" s="1095"/>
      <c r="W34" s="1095"/>
      <c r="X34" s="1095"/>
      <c r="Y34" s="1095"/>
      <c r="Z34" s="1095"/>
      <c r="AA34" s="1095"/>
      <c r="AB34" s="1095"/>
    </row>
    <row r="35">
      <c r="A35" s="1095"/>
      <c r="B35" s="1095"/>
      <c r="C35" s="1095"/>
      <c r="D35" s="1095"/>
      <c r="E35" s="1095"/>
      <c r="F35" s="1095"/>
      <c r="G35" s="1095"/>
      <c r="H35" s="1095"/>
      <c r="I35" s="1095"/>
      <c r="J35" s="1095"/>
      <c r="K35" s="1095"/>
      <c r="L35" s="1095"/>
      <c r="M35" s="1095"/>
      <c r="N35" s="1095"/>
      <c r="O35" s="1095"/>
      <c r="P35" s="1095"/>
      <c r="Q35" s="1095"/>
      <c r="R35" s="1095"/>
      <c r="S35" s="1095"/>
      <c r="T35" s="1095"/>
      <c r="U35" s="1095"/>
      <c r="V35" s="1095"/>
      <c r="W35" s="1095"/>
      <c r="X35" s="1095"/>
      <c r="Y35" s="1095"/>
      <c r="Z35" s="1095"/>
      <c r="AA35" s="1095"/>
      <c r="AB35" s="1095"/>
    </row>
    <row r="36">
      <c r="A36" s="1095"/>
      <c r="B36" s="1095"/>
      <c r="C36" s="1095"/>
      <c r="D36" s="1095"/>
      <c r="E36" s="1095"/>
      <c r="F36" s="1095"/>
      <c r="G36" s="1095"/>
      <c r="H36" s="1095"/>
      <c r="I36" s="1095"/>
      <c r="J36" s="1095"/>
      <c r="K36" s="1095"/>
      <c r="L36" s="1095"/>
      <c r="M36" s="1095"/>
      <c r="N36" s="1095"/>
      <c r="O36" s="1095"/>
      <c r="P36" s="1095"/>
      <c r="Q36" s="1095"/>
      <c r="R36" s="1095"/>
      <c r="S36" s="1095"/>
      <c r="T36" s="1095"/>
      <c r="U36" s="1095"/>
      <c r="V36" s="1095"/>
      <c r="W36" s="1095"/>
      <c r="X36" s="1095"/>
      <c r="Y36" s="1095"/>
      <c r="Z36" s="1095"/>
      <c r="AA36" s="1095"/>
      <c r="AB36" s="1095"/>
    </row>
    <row r="37">
      <c r="A37" s="1095"/>
      <c r="B37" s="1095"/>
      <c r="C37" s="1095"/>
      <c r="D37" s="1095"/>
      <c r="E37" s="1095"/>
      <c r="F37" s="1095"/>
      <c r="G37" s="1095"/>
      <c r="H37" s="1095"/>
      <c r="I37" s="1095"/>
      <c r="J37" s="1095"/>
      <c r="K37" s="1095"/>
      <c r="L37" s="1095"/>
      <c r="M37" s="1095"/>
      <c r="N37" s="1095"/>
      <c r="O37" s="1095"/>
      <c r="P37" s="1095"/>
      <c r="Q37" s="1095"/>
      <c r="R37" s="1095"/>
      <c r="S37" s="1095"/>
      <c r="T37" s="1095"/>
      <c r="U37" s="1095"/>
      <c r="V37" s="1095"/>
      <c r="W37" s="1095"/>
      <c r="X37" s="1095"/>
      <c r="Y37" s="1095"/>
      <c r="Z37" s="1095"/>
      <c r="AA37" s="1095"/>
      <c r="AB37" s="1095"/>
    </row>
    <row r="38">
      <c r="A38" s="1095"/>
      <c r="B38" s="1095"/>
      <c r="C38" s="1095"/>
      <c r="D38" s="1095"/>
      <c r="E38" s="1095"/>
      <c r="F38" s="1095"/>
      <c r="G38" s="1095"/>
      <c r="H38" s="1095"/>
      <c r="I38" s="1095"/>
      <c r="J38" s="1095"/>
      <c r="K38" s="1095"/>
      <c r="L38" s="1095"/>
      <c r="M38" s="1095"/>
      <c r="N38" s="1095"/>
      <c r="O38" s="1095"/>
      <c r="P38" s="1095"/>
      <c r="Q38" s="1095"/>
      <c r="R38" s="1095"/>
      <c r="S38" s="1095"/>
      <c r="T38" s="1095"/>
      <c r="U38" s="1095"/>
      <c r="V38" s="1095"/>
      <c r="W38" s="1095"/>
      <c r="X38" s="1095"/>
      <c r="Y38" s="1095"/>
      <c r="Z38" s="1095"/>
      <c r="AA38" s="1095"/>
      <c r="AB38" s="1095"/>
    </row>
    <row r="39">
      <c r="A39" s="1095"/>
      <c r="B39" s="1095"/>
      <c r="C39" s="1095"/>
      <c r="D39" s="1095"/>
      <c r="E39" s="1095"/>
      <c r="F39" s="1095"/>
      <c r="G39" s="1095"/>
      <c r="H39" s="1095"/>
      <c r="I39" s="1095"/>
      <c r="J39" s="1095"/>
      <c r="K39" s="1095"/>
      <c r="L39" s="1095"/>
      <c r="M39" s="1095"/>
      <c r="N39" s="1095"/>
      <c r="O39" s="1095"/>
      <c r="P39" s="1095"/>
      <c r="Q39" s="1095"/>
      <c r="R39" s="1095"/>
      <c r="S39" s="1095"/>
      <c r="T39" s="1095"/>
      <c r="U39" s="1095"/>
      <c r="V39" s="1095"/>
      <c r="W39" s="1095"/>
      <c r="X39" s="1095"/>
      <c r="Y39" s="1095"/>
      <c r="Z39" s="1095"/>
      <c r="AA39" s="1095"/>
      <c r="AB39" s="1095"/>
    </row>
    <row r="40">
      <c r="A40" s="1095"/>
      <c r="B40" s="1095"/>
      <c r="C40" s="1095"/>
      <c r="D40" s="1095"/>
      <c r="E40" s="1095"/>
      <c r="F40" s="1095"/>
      <c r="G40" s="1095"/>
      <c r="H40" s="1095"/>
      <c r="I40" s="1095"/>
      <c r="J40" s="1095"/>
      <c r="K40" s="1095"/>
      <c r="L40" s="1095"/>
      <c r="M40" s="1095"/>
      <c r="N40" s="1095"/>
      <c r="O40" s="1095"/>
      <c r="P40" s="1095"/>
      <c r="Q40" s="1095"/>
      <c r="R40" s="1095"/>
      <c r="S40" s="1095"/>
      <c r="T40" s="1095"/>
      <c r="U40" s="1095"/>
      <c r="V40" s="1095"/>
      <c r="W40" s="1095"/>
      <c r="X40" s="1095"/>
      <c r="Y40" s="1095"/>
      <c r="Z40" s="1095"/>
      <c r="AA40" s="1095"/>
      <c r="AB40" s="1095"/>
    </row>
    <row r="41">
      <c r="A41" s="1095"/>
      <c r="B41" s="1095"/>
      <c r="C41" s="1095"/>
      <c r="D41" s="1095"/>
      <c r="E41" s="1095"/>
      <c r="F41" s="1095"/>
      <c r="G41" s="1095"/>
      <c r="H41" s="1095"/>
      <c r="I41" s="1095"/>
      <c r="J41" s="1095"/>
      <c r="K41" s="1095"/>
      <c r="L41" s="1095"/>
      <c r="M41" s="1095"/>
      <c r="N41" s="1095"/>
      <c r="O41" s="1095"/>
      <c r="P41" s="1095"/>
      <c r="Q41" s="1095"/>
      <c r="R41" s="1095"/>
      <c r="S41" s="1095"/>
      <c r="T41" s="1095"/>
      <c r="U41" s="1095"/>
      <c r="V41" s="1095"/>
      <c r="W41" s="1095"/>
      <c r="X41" s="1095"/>
      <c r="Y41" s="1095"/>
      <c r="Z41" s="1095"/>
      <c r="AA41" s="1095"/>
      <c r="AB41" s="1095"/>
    </row>
    <row r="42">
      <c r="A42" s="1095"/>
      <c r="B42" s="1095"/>
      <c r="C42" s="1095"/>
      <c r="D42" s="1095"/>
      <c r="E42" s="1095"/>
      <c r="F42" s="1095"/>
      <c r="G42" s="1095"/>
      <c r="H42" s="1095"/>
      <c r="I42" s="1095"/>
      <c r="J42" s="1095"/>
      <c r="K42" s="1095"/>
      <c r="L42" s="1095"/>
      <c r="M42" s="1095"/>
      <c r="N42" s="1095"/>
      <c r="O42" s="1095"/>
      <c r="P42" s="1095"/>
      <c r="Q42" s="1095"/>
      <c r="R42" s="1095"/>
      <c r="S42" s="1095"/>
      <c r="T42" s="1095"/>
      <c r="U42" s="1095"/>
      <c r="V42" s="1095"/>
      <c r="W42" s="1095"/>
      <c r="X42" s="1095"/>
      <c r="Y42" s="1095"/>
      <c r="Z42" s="1095"/>
      <c r="AA42" s="1095"/>
      <c r="AB42" s="1095"/>
    </row>
    <row r="43">
      <c r="A43" s="1095"/>
      <c r="B43" s="1095"/>
      <c r="C43" s="1095"/>
      <c r="D43" s="1095"/>
      <c r="E43" s="1095"/>
      <c r="F43" s="1095"/>
      <c r="G43" s="1095"/>
      <c r="H43" s="1095"/>
      <c r="I43" s="1095"/>
      <c r="J43" s="1095"/>
      <c r="K43" s="1095"/>
      <c r="L43" s="1095"/>
      <c r="M43" s="1095"/>
      <c r="N43" s="1095"/>
      <c r="O43" s="1095"/>
      <c r="P43" s="1095"/>
      <c r="Q43" s="1095"/>
      <c r="R43" s="1095"/>
      <c r="S43" s="1095"/>
      <c r="T43" s="1095"/>
      <c r="U43" s="1095"/>
      <c r="V43" s="1095"/>
      <c r="W43" s="1095"/>
      <c r="X43" s="1095"/>
      <c r="Y43" s="1095"/>
      <c r="Z43" s="1095"/>
      <c r="AA43" s="1095"/>
      <c r="AB43" s="1095"/>
    </row>
    <row r="44">
      <c r="A44" s="1095"/>
      <c r="B44" s="1095"/>
      <c r="C44" s="1095"/>
      <c r="D44" s="1095"/>
      <c r="E44" s="1095"/>
      <c r="F44" s="1095"/>
      <c r="G44" s="1095"/>
      <c r="H44" s="1095"/>
      <c r="I44" s="1095"/>
      <c r="J44" s="1095"/>
      <c r="K44" s="1095"/>
      <c r="L44" s="1095"/>
      <c r="M44" s="1095"/>
      <c r="N44" s="1095"/>
      <c r="O44" s="1095"/>
      <c r="P44" s="1095"/>
      <c r="Q44" s="1095"/>
      <c r="R44" s="1095"/>
      <c r="S44" s="1095"/>
      <c r="T44" s="1095"/>
      <c r="U44" s="1095"/>
      <c r="V44" s="1095"/>
      <c r="W44" s="1095"/>
      <c r="X44" s="1095"/>
      <c r="Y44" s="1095"/>
      <c r="Z44" s="1095"/>
      <c r="AA44" s="1095"/>
      <c r="AB44" s="1095"/>
    </row>
    <row r="45">
      <c r="A45" s="1095"/>
      <c r="B45" s="1095"/>
      <c r="C45" s="1095"/>
      <c r="D45" s="1095"/>
      <c r="E45" s="1095"/>
      <c r="F45" s="1095"/>
      <c r="G45" s="1095"/>
      <c r="H45" s="1095"/>
      <c r="I45" s="1095"/>
      <c r="J45" s="1095"/>
      <c r="K45" s="1095"/>
      <c r="L45" s="1095"/>
      <c r="M45" s="1095"/>
      <c r="N45" s="1095"/>
      <c r="O45" s="1095"/>
      <c r="P45" s="1095"/>
      <c r="Q45" s="1095"/>
      <c r="R45" s="1095"/>
      <c r="S45" s="1095"/>
      <c r="T45" s="1095"/>
      <c r="U45" s="1095"/>
      <c r="V45" s="1095"/>
      <c r="W45" s="1095"/>
      <c r="X45" s="1095"/>
      <c r="Y45" s="1095"/>
      <c r="Z45" s="1095"/>
      <c r="AA45" s="1095"/>
      <c r="AB45" s="1095"/>
    </row>
    <row r="46">
      <c r="A46" s="1095"/>
      <c r="B46" s="1095"/>
      <c r="C46" s="1095"/>
      <c r="D46" s="1095"/>
      <c r="E46" s="1095"/>
      <c r="F46" s="1095"/>
      <c r="G46" s="1095"/>
      <c r="H46" s="1095"/>
      <c r="I46" s="1095"/>
      <c r="J46" s="1095"/>
      <c r="K46" s="1095"/>
      <c r="L46" s="1095"/>
      <c r="M46" s="1095"/>
      <c r="N46" s="1095"/>
      <c r="O46" s="1095"/>
      <c r="P46" s="1095"/>
      <c r="Q46" s="1095"/>
      <c r="R46" s="1095"/>
      <c r="S46" s="1095"/>
      <c r="T46" s="1095"/>
      <c r="U46" s="1095"/>
      <c r="V46" s="1095"/>
      <c r="W46" s="1095"/>
      <c r="X46" s="1095"/>
      <c r="Y46" s="1095"/>
      <c r="Z46" s="1095"/>
      <c r="AA46" s="1095"/>
      <c r="AB46" s="1095"/>
    </row>
    <row r="47">
      <c r="A47" s="1095"/>
      <c r="B47" s="1095"/>
      <c r="C47" s="1095"/>
      <c r="D47" s="1095"/>
      <c r="E47" s="1095"/>
      <c r="F47" s="1095"/>
      <c r="G47" s="1095"/>
      <c r="H47" s="1095"/>
      <c r="I47" s="1095"/>
      <c r="J47" s="1095"/>
      <c r="K47" s="1095"/>
      <c r="L47" s="1095"/>
      <c r="M47" s="1095"/>
      <c r="N47" s="1095"/>
      <c r="O47" s="1095"/>
      <c r="P47" s="1095"/>
      <c r="Q47" s="1095"/>
      <c r="R47" s="1095"/>
      <c r="S47" s="1095"/>
      <c r="T47" s="1095"/>
      <c r="U47" s="1095"/>
      <c r="V47" s="1095"/>
      <c r="W47" s="1095"/>
      <c r="X47" s="1095"/>
      <c r="Y47" s="1095"/>
      <c r="Z47" s="1095"/>
      <c r="AA47" s="1095"/>
      <c r="AB47" s="1095"/>
    </row>
    <row r="48">
      <c r="A48" s="1095"/>
      <c r="B48" s="1095"/>
      <c r="C48" s="1095"/>
      <c r="D48" s="1095"/>
      <c r="E48" s="1095"/>
      <c r="F48" s="1095"/>
      <c r="G48" s="1095"/>
      <c r="H48" s="1095"/>
      <c r="I48" s="1095"/>
      <c r="J48" s="1095"/>
      <c r="K48" s="1095"/>
      <c r="L48" s="1095"/>
      <c r="M48" s="1095"/>
      <c r="N48" s="1095"/>
      <c r="O48" s="1095"/>
      <c r="P48" s="1095"/>
      <c r="Q48" s="1095"/>
      <c r="R48" s="1095"/>
      <c r="S48" s="1095"/>
      <c r="T48" s="1095"/>
      <c r="U48" s="1095"/>
      <c r="V48" s="1095"/>
      <c r="W48" s="1095"/>
      <c r="X48" s="1095"/>
      <c r="Y48" s="1095"/>
      <c r="Z48" s="1095"/>
      <c r="AA48" s="1095"/>
      <c r="AB48" s="1095"/>
    </row>
    <row r="49">
      <c r="A49" s="1095"/>
      <c r="B49" s="1095"/>
      <c r="C49" s="1095"/>
      <c r="D49" s="1095"/>
      <c r="E49" s="1095"/>
      <c r="F49" s="1095"/>
      <c r="G49" s="1095"/>
      <c r="H49" s="1095"/>
      <c r="I49" s="1095"/>
      <c r="J49" s="1095"/>
      <c r="K49" s="1095"/>
      <c r="L49" s="1095"/>
      <c r="M49" s="1095"/>
      <c r="N49" s="1095"/>
      <c r="O49" s="1095"/>
      <c r="P49" s="1095"/>
      <c r="Q49" s="1095"/>
      <c r="R49" s="1095"/>
      <c r="S49" s="1095"/>
      <c r="T49" s="1095"/>
      <c r="U49" s="1095"/>
      <c r="V49" s="1095"/>
      <c r="W49" s="1095"/>
      <c r="X49" s="1095"/>
      <c r="Y49" s="1095"/>
      <c r="Z49" s="1095"/>
      <c r="AA49" s="1095"/>
      <c r="AB49" s="1095"/>
    </row>
    <row r="50">
      <c r="A50" s="1095"/>
      <c r="B50" s="1095"/>
      <c r="C50" s="1095"/>
      <c r="D50" s="1095"/>
      <c r="E50" s="1095"/>
      <c r="F50" s="1095"/>
      <c r="G50" s="1095"/>
      <c r="H50" s="1095"/>
      <c r="I50" s="1095"/>
      <c r="J50" s="1095"/>
      <c r="K50" s="1095"/>
      <c r="L50" s="1095"/>
      <c r="M50" s="1095"/>
      <c r="N50" s="1095"/>
      <c r="O50" s="1095"/>
      <c r="P50" s="1095"/>
      <c r="Q50" s="1095"/>
      <c r="R50" s="1095"/>
      <c r="S50" s="1095"/>
      <c r="T50" s="1095"/>
      <c r="U50" s="1095"/>
      <c r="V50" s="1095"/>
      <c r="W50" s="1095"/>
      <c r="X50" s="1095"/>
      <c r="Y50" s="1095"/>
      <c r="Z50" s="1095"/>
      <c r="AA50" s="1095"/>
      <c r="AB50" s="1095"/>
    </row>
    <row r="51">
      <c r="A51" s="1095"/>
      <c r="B51" s="1095"/>
      <c r="C51" s="1095"/>
      <c r="D51" s="1095"/>
      <c r="E51" s="1095"/>
      <c r="F51" s="1095"/>
      <c r="G51" s="1095"/>
      <c r="H51" s="1095"/>
      <c r="I51" s="1095"/>
      <c r="J51" s="1095"/>
      <c r="K51" s="1095"/>
      <c r="L51" s="1095"/>
      <c r="M51" s="1095"/>
      <c r="N51" s="1095"/>
      <c r="O51" s="1095"/>
      <c r="P51" s="1095"/>
      <c r="Q51" s="1095"/>
      <c r="R51" s="1095"/>
      <c r="S51" s="1095"/>
      <c r="T51" s="1095"/>
      <c r="U51" s="1095"/>
      <c r="V51" s="1095"/>
      <c r="W51" s="1095"/>
      <c r="X51" s="1095"/>
      <c r="Y51" s="1095"/>
      <c r="Z51" s="1095"/>
      <c r="AA51" s="1095"/>
      <c r="AB51" s="1095"/>
    </row>
    <row r="52">
      <c r="A52" s="1095"/>
      <c r="B52" s="1095"/>
      <c r="C52" s="1095"/>
      <c r="D52" s="1095"/>
      <c r="E52" s="1095"/>
      <c r="F52" s="1095"/>
      <c r="G52" s="1095"/>
      <c r="H52" s="1095"/>
      <c r="I52" s="1095"/>
      <c r="J52" s="1095"/>
      <c r="K52" s="1095"/>
      <c r="L52" s="1095"/>
      <c r="M52" s="1095"/>
      <c r="N52" s="1095"/>
      <c r="O52" s="1095"/>
      <c r="P52" s="1095"/>
      <c r="Q52" s="1095"/>
      <c r="R52" s="1095"/>
      <c r="S52" s="1095"/>
      <c r="T52" s="1095"/>
      <c r="U52" s="1095"/>
      <c r="V52" s="1095"/>
      <c r="W52" s="1095"/>
      <c r="X52" s="1095"/>
      <c r="Y52" s="1095"/>
      <c r="Z52" s="1095"/>
      <c r="AA52" s="1095"/>
      <c r="AB52" s="1095"/>
    </row>
    <row r="53">
      <c r="A53" s="1095"/>
      <c r="B53" s="1095"/>
      <c r="C53" s="1095"/>
      <c r="D53" s="1095"/>
      <c r="E53" s="1095"/>
      <c r="F53" s="1095"/>
      <c r="G53" s="1095"/>
      <c r="H53" s="1095"/>
      <c r="I53" s="1095"/>
      <c r="J53" s="1095"/>
      <c r="K53" s="1095"/>
      <c r="L53" s="1095"/>
      <c r="M53" s="1095"/>
      <c r="N53" s="1095"/>
      <c r="O53" s="1095"/>
      <c r="P53" s="1095"/>
      <c r="Q53" s="1095"/>
      <c r="R53" s="1095"/>
      <c r="S53" s="1095"/>
      <c r="T53" s="1095"/>
      <c r="U53" s="1095"/>
      <c r="V53" s="1095"/>
      <c r="W53" s="1095"/>
      <c r="X53" s="1095"/>
      <c r="Y53" s="1095"/>
      <c r="Z53" s="1095"/>
      <c r="AA53" s="1095"/>
      <c r="AB53" s="1095"/>
    </row>
    <row r="54">
      <c r="A54" s="1095"/>
      <c r="B54" s="1095"/>
      <c r="C54" s="1095"/>
      <c r="D54" s="1095"/>
      <c r="E54" s="1095"/>
      <c r="F54" s="1095"/>
      <c r="G54" s="1095"/>
      <c r="H54" s="1095"/>
      <c r="I54" s="1095"/>
      <c r="J54" s="1095"/>
      <c r="K54" s="1095"/>
      <c r="L54" s="1095"/>
      <c r="M54" s="1095"/>
      <c r="N54" s="1095"/>
      <c r="O54" s="1095"/>
      <c r="P54" s="1095"/>
      <c r="Q54" s="1095"/>
      <c r="R54" s="1095"/>
      <c r="S54" s="1095"/>
      <c r="T54" s="1095"/>
      <c r="U54" s="1095"/>
      <c r="V54" s="1095"/>
      <c r="W54" s="1095"/>
      <c r="X54" s="1095"/>
      <c r="Y54" s="1095"/>
      <c r="Z54" s="1095"/>
      <c r="AA54" s="1095"/>
      <c r="AB54" s="1095"/>
    </row>
    <row r="55">
      <c r="A55" s="1095"/>
      <c r="B55" s="1095"/>
      <c r="C55" s="1095"/>
      <c r="D55" s="1095"/>
      <c r="E55" s="1095"/>
      <c r="F55" s="1095"/>
      <c r="G55" s="1095"/>
      <c r="H55" s="1095"/>
      <c r="I55" s="1095"/>
      <c r="J55" s="1095"/>
      <c r="K55" s="1095"/>
      <c r="L55" s="1095"/>
      <c r="M55" s="1095"/>
      <c r="N55" s="1095"/>
      <c r="O55" s="1095"/>
      <c r="P55" s="1095"/>
      <c r="Q55" s="1095"/>
      <c r="R55" s="1095"/>
      <c r="S55" s="1095"/>
      <c r="T55" s="1095"/>
      <c r="U55" s="1095"/>
      <c r="V55" s="1095"/>
      <c r="W55" s="1095"/>
      <c r="X55" s="1095"/>
      <c r="Y55" s="1095"/>
      <c r="Z55" s="1095"/>
      <c r="AA55" s="1095"/>
      <c r="AB55" s="1095"/>
    </row>
    <row r="56">
      <c r="A56" s="1095"/>
      <c r="B56" s="1095"/>
      <c r="C56" s="1095"/>
      <c r="D56" s="1095"/>
      <c r="E56" s="1095"/>
      <c r="F56" s="1095"/>
      <c r="G56" s="1095"/>
      <c r="H56" s="1095"/>
      <c r="I56" s="1095"/>
      <c r="J56" s="1095"/>
      <c r="K56" s="1095"/>
      <c r="L56" s="1095"/>
      <c r="M56" s="1095"/>
      <c r="N56" s="1095"/>
      <c r="O56" s="1095"/>
      <c r="P56" s="1095"/>
      <c r="Q56" s="1095"/>
      <c r="R56" s="1095"/>
      <c r="S56" s="1095"/>
      <c r="T56" s="1095"/>
      <c r="U56" s="1095"/>
      <c r="V56" s="1095"/>
      <c r="W56" s="1095"/>
      <c r="X56" s="1095"/>
      <c r="Y56" s="1095"/>
      <c r="Z56" s="1095"/>
      <c r="AA56" s="1095"/>
      <c r="AB56" s="1095"/>
    </row>
    <row r="57">
      <c r="A57" s="1095"/>
      <c r="B57" s="1095"/>
      <c r="C57" s="1095"/>
      <c r="D57" s="1095"/>
      <c r="E57" s="1095"/>
      <c r="F57" s="1095"/>
      <c r="G57" s="1095"/>
      <c r="H57" s="1095"/>
      <c r="I57" s="1095"/>
      <c r="J57" s="1095"/>
      <c r="K57" s="1095"/>
      <c r="L57" s="1095"/>
      <c r="M57" s="1095"/>
      <c r="N57" s="1095"/>
      <c r="O57" s="1095"/>
      <c r="P57" s="1095"/>
      <c r="Q57" s="1095"/>
      <c r="R57" s="1095"/>
      <c r="S57" s="1095"/>
      <c r="T57" s="1095"/>
      <c r="U57" s="1095"/>
      <c r="V57" s="1095"/>
      <c r="W57" s="1095"/>
      <c r="X57" s="1095"/>
      <c r="Y57" s="1095"/>
      <c r="Z57" s="1095"/>
      <c r="AA57" s="1095"/>
      <c r="AB57" s="1095"/>
    </row>
    <row r="58">
      <c r="A58" s="1095"/>
      <c r="B58" s="1095"/>
      <c r="C58" s="1095"/>
      <c r="D58" s="1095"/>
      <c r="E58" s="1095"/>
      <c r="F58" s="1095"/>
      <c r="G58" s="1095"/>
      <c r="H58" s="1095"/>
      <c r="I58" s="1095"/>
      <c r="J58" s="1095"/>
      <c r="K58" s="1095"/>
      <c r="L58" s="1095"/>
      <c r="M58" s="1095"/>
      <c r="N58" s="1095"/>
      <c r="O58" s="1095"/>
      <c r="P58" s="1095"/>
      <c r="Q58" s="1095"/>
      <c r="R58" s="1095"/>
      <c r="S58" s="1095"/>
      <c r="T58" s="1095"/>
      <c r="U58" s="1095"/>
      <c r="V58" s="1095"/>
      <c r="W58" s="1095"/>
      <c r="X58" s="1095"/>
      <c r="Y58" s="1095"/>
      <c r="Z58" s="1095"/>
      <c r="AA58" s="1095"/>
      <c r="AB58" s="1095"/>
    </row>
    <row r="59">
      <c r="A59" s="1095"/>
      <c r="B59" s="1095"/>
      <c r="C59" s="1095"/>
      <c r="D59" s="1095"/>
      <c r="E59" s="1095"/>
      <c r="F59" s="1095"/>
      <c r="G59" s="1095"/>
      <c r="H59" s="1095"/>
      <c r="I59" s="1095"/>
      <c r="J59" s="1095"/>
      <c r="K59" s="1095"/>
      <c r="L59" s="1095"/>
      <c r="M59" s="1095"/>
      <c r="N59" s="1095"/>
      <c r="O59" s="1095"/>
      <c r="P59" s="1095"/>
      <c r="Q59" s="1095"/>
      <c r="R59" s="1095"/>
      <c r="S59" s="1095"/>
      <c r="T59" s="1095"/>
      <c r="U59" s="1095"/>
      <c r="V59" s="1095"/>
      <c r="W59" s="1095"/>
      <c r="X59" s="1095"/>
      <c r="Y59" s="1095"/>
      <c r="Z59" s="1095"/>
      <c r="AA59" s="1095"/>
      <c r="AB59" s="1095"/>
    </row>
    <row r="60">
      <c r="A60" s="1095"/>
      <c r="B60" s="1095"/>
      <c r="C60" s="1095"/>
      <c r="D60" s="1095"/>
      <c r="E60" s="1095"/>
      <c r="F60" s="1095"/>
      <c r="G60" s="1095"/>
      <c r="H60" s="1095"/>
      <c r="I60" s="1095"/>
      <c r="J60" s="1095"/>
      <c r="K60" s="1095"/>
      <c r="L60" s="1095"/>
      <c r="M60" s="1095"/>
      <c r="N60" s="1095"/>
      <c r="O60" s="1095"/>
      <c r="P60" s="1095"/>
      <c r="Q60" s="1095"/>
      <c r="R60" s="1095"/>
      <c r="S60" s="1095"/>
      <c r="T60" s="1095"/>
      <c r="U60" s="1095"/>
      <c r="V60" s="1095"/>
      <c r="W60" s="1095"/>
      <c r="X60" s="1095"/>
      <c r="Y60" s="1095"/>
      <c r="Z60" s="1095"/>
      <c r="AA60" s="1095"/>
      <c r="AB60" s="1095"/>
    </row>
    <row r="61">
      <c r="A61" s="1095"/>
      <c r="B61" s="1095"/>
      <c r="C61" s="1095"/>
      <c r="D61" s="1095"/>
      <c r="E61" s="1095"/>
      <c r="F61" s="1095"/>
      <c r="G61" s="1095"/>
      <c r="H61" s="1095"/>
      <c r="I61" s="1095"/>
      <c r="J61" s="1095"/>
      <c r="K61" s="1095"/>
      <c r="L61" s="1095"/>
      <c r="M61" s="1095"/>
      <c r="N61" s="1095"/>
      <c r="O61" s="1095"/>
      <c r="P61" s="1095"/>
      <c r="Q61" s="1095"/>
      <c r="R61" s="1095"/>
      <c r="S61" s="1095"/>
      <c r="T61" s="1095"/>
      <c r="U61" s="1095"/>
      <c r="V61" s="1095"/>
      <c r="W61" s="1095"/>
      <c r="X61" s="1095"/>
      <c r="Y61" s="1095"/>
      <c r="Z61" s="1095"/>
      <c r="AA61" s="1095"/>
      <c r="AB61" s="1095"/>
    </row>
    <row r="62">
      <c r="A62" s="1095"/>
      <c r="B62" s="1095"/>
      <c r="C62" s="1095"/>
      <c r="D62" s="1095"/>
      <c r="E62" s="1095"/>
      <c r="F62" s="1095"/>
      <c r="G62" s="1095"/>
      <c r="H62" s="1095"/>
      <c r="I62" s="1095"/>
      <c r="J62" s="1095"/>
      <c r="K62" s="1095"/>
      <c r="L62" s="1095"/>
      <c r="M62" s="1095"/>
      <c r="N62" s="1095"/>
      <c r="O62" s="1095"/>
      <c r="P62" s="1095"/>
      <c r="Q62" s="1095"/>
      <c r="R62" s="1095"/>
      <c r="S62" s="1095"/>
      <c r="T62" s="1095"/>
      <c r="U62" s="1095"/>
      <c r="V62" s="1095"/>
      <c r="W62" s="1095"/>
      <c r="X62" s="1095"/>
      <c r="Y62" s="1095"/>
      <c r="Z62" s="1095"/>
      <c r="AA62" s="1095"/>
      <c r="AB62" s="1095"/>
    </row>
    <row r="63">
      <c r="A63" s="1095"/>
      <c r="B63" s="1095"/>
      <c r="C63" s="1095"/>
      <c r="D63" s="1095"/>
      <c r="E63" s="1095"/>
      <c r="F63" s="1095"/>
      <c r="G63" s="1095"/>
      <c r="H63" s="1095"/>
      <c r="I63" s="1095"/>
      <c r="J63" s="1095"/>
      <c r="K63" s="1095"/>
      <c r="L63" s="1095"/>
      <c r="M63" s="1095"/>
      <c r="N63" s="1095"/>
      <c r="O63" s="1095"/>
      <c r="P63" s="1095"/>
      <c r="Q63" s="1095"/>
      <c r="R63" s="1095"/>
      <c r="S63" s="1095"/>
      <c r="T63" s="1095"/>
      <c r="U63" s="1095"/>
      <c r="V63" s="1095"/>
      <c r="W63" s="1095"/>
      <c r="X63" s="1095"/>
      <c r="Y63" s="1095"/>
      <c r="Z63" s="1095"/>
      <c r="AA63" s="1095"/>
      <c r="AB63" s="1095"/>
    </row>
    <row r="64">
      <c r="A64" s="1095"/>
      <c r="B64" s="1095"/>
      <c r="C64" s="1095"/>
      <c r="D64" s="1095"/>
      <c r="E64" s="1095"/>
      <c r="F64" s="1095"/>
      <c r="G64" s="1095"/>
      <c r="H64" s="1095"/>
      <c r="I64" s="1095"/>
      <c r="J64" s="1095"/>
      <c r="K64" s="1095"/>
      <c r="L64" s="1095"/>
      <c r="M64" s="1095"/>
      <c r="N64" s="1095"/>
      <c r="O64" s="1095"/>
      <c r="P64" s="1095"/>
      <c r="Q64" s="1095"/>
      <c r="R64" s="1095"/>
      <c r="S64" s="1095"/>
      <c r="T64" s="1095"/>
      <c r="U64" s="1095"/>
      <c r="V64" s="1095"/>
      <c r="W64" s="1095"/>
      <c r="X64" s="1095"/>
      <c r="Y64" s="1095"/>
      <c r="Z64" s="1095"/>
      <c r="AA64" s="1095"/>
      <c r="AB64" s="1095"/>
    </row>
    <row r="65">
      <c r="A65" s="1095"/>
      <c r="B65" s="1095"/>
      <c r="C65" s="1095"/>
      <c r="D65" s="1095"/>
      <c r="E65" s="1095"/>
      <c r="F65" s="1095"/>
      <c r="G65" s="1095"/>
      <c r="H65" s="1095"/>
      <c r="I65" s="1095"/>
      <c r="J65" s="1095"/>
      <c r="K65" s="1095"/>
      <c r="L65" s="1095"/>
      <c r="M65" s="1095"/>
      <c r="N65" s="1095"/>
      <c r="O65" s="1095"/>
      <c r="P65" s="1095"/>
      <c r="Q65" s="1095"/>
      <c r="R65" s="1095"/>
      <c r="S65" s="1095"/>
      <c r="T65" s="1095"/>
      <c r="U65" s="1095"/>
      <c r="V65" s="1095"/>
      <c r="W65" s="1095"/>
      <c r="X65" s="1095"/>
      <c r="Y65" s="1095"/>
      <c r="Z65" s="1095"/>
      <c r="AA65" s="1095"/>
      <c r="AB65" s="1095"/>
    </row>
    <row r="66">
      <c r="A66" s="1095"/>
      <c r="B66" s="1095"/>
      <c r="C66" s="1095"/>
      <c r="D66" s="1095"/>
      <c r="E66" s="1095"/>
      <c r="F66" s="1095"/>
      <c r="G66" s="1095"/>
      <c r="H66" s="1095"/>
      <c r="I66" s="1095"/>
      <c r="J66" s="1095"/>
      <c r="K66" s="1095"/>
      <c r="L66" s="1095"/>
      <c r="M66" s="1095"/>
      <c r="N66" s="1095"/>
      <c r="O66" s="1095"/>
      <c r="P66" s="1095"/>
      <c r="Q66" s="1095"/>
      <c r="R66" s="1095"/>
      <c r="S66" s="1095"/>
      <c r="T66" s="1095"/>
      <c r="U66" s="1095"/>
      <c r="V66" s="1095"/>
      <c r="W66" s="1095"/>
      <c r="X66" s="1095"/>
      <c r="Y66" s="1095"/>
      <c r="Z66" s="1095"/>
      <c r="AA66" s="1095"/>
      <c r="AB66" s="1095"/>
    </row>
    <row r="67">
      <c r="A67" s="1095"/>
      <c r="B67" s="1095"/>
      <c r="C67" s="1095"/>
      <c r="D67" s="1095"/>
      <c r="E67" s="1095"/>
      <c r="F67" s="1095"/>
      <c r="G67" s="1095"/>
      <c r="H67" s="1095"/>
      <c r="I67" s="1095"/>
      <c r="J67" s="1095"/>
      <c r="K67" s="1095"/>
      <c r="L67" s="1095"/>
      <c r="M67" s="1095"/>
      <c r="N67" s="1095"/>
      <c r="O67" s="1095"/>
      <c r="P67" s="1095"/>
      <c r="Q67" s="1095"/>
      <c r="R67" s="1095"/>
      <c r="S67" s="1095"/>
      <c r="T67" s="1095"/>
      <c r="U67" s="1095"/>
      <c r="V67" s="1095"/>
      <c r="W67" s="1095"/>
      <c r="X67" s="1095"/>
      <c r="Y67" s="1095"/>
      <c r="Z67" s="1095"/>
      <c r="AA67" s="1095"/>
      <c r="AB67" s="1095"/>
    </row>
    <row r="68">
      <c r="A68" s="1095"/>
      <c r="B68" s="1095"/>
      <c r="C68" s="1095"/>
      <c r="D68" s="1095"/>
      <c r="E68" s="1095"/>
      <c r="F68" s="1095"/>
      <c r="G68" s="1095"/>
      <c r="H68" s="1095"/>
      <c r="I68" s="1095"/>
      <c r="J68" s="1095"/>
      <c r="K68" s="1095"/>
      <c r="L68" s="1095"/>
      <c r="M68" s="1095"/>
      <c r="N68" s="1095"/>
      <c r="O68" s="1095"/>
      <c r="P68" s="1095"/>
      <c r="Q68" s="1095"/>
      <c r="R68" s="1095"/>
      <c r="S68" s="1095"/>
      <c r="T68" s="1095"/>
      <c r="U68" s="1095"/>
      <c r="V68" s="1095"/>
      <c r="W68" s="1095"/>
      <c r="X68" s="1095"/>
      <c r="Y68" s="1095"/>
      <c r="Z68" s="1095"/>
      <c r="AA68" s="1095"/>
      <c r="AB68" s="1095"/>
    </row>
    <row r="69">
      <c r="A69" s="1095"/>
      <c r="B69" s="1095"/>
      <c r="C69" s="1095"/>
      <c r="D69" s="1095"/>
      <c r="E69" s="1095"/>
      <c r="F69" s="1095"/>
      <c r="G69" s="1095"/>
      <c r="H69" s="1095"/>
      <c r="I69" s="1095"/>
      <c r="J69" s="1095"/>
      <c r="K69" s="1095"/>
      <c r="L69" s="1095"/>
      <c r="M69" s="1095"/>
      <c r="N69" s="1095"/>
      <c r="O69" s="1095"/>
      <c r="P69" s="1095"/>
      <c r="Q69" s="1095"/>
      <c r="R69" s="1095"/>
      <c r="S69" s="1095"/>
      <c r="T69" s="1095"/>
      <c r="U69" s="1095"/>
      <c r="V69" s="1095"/>
      <c r="W69" s="1095"/>
      <c r="X69" s="1095"/>
      <c r="Y69" s="1095"/>
      <c r="Z69" s="1095"/>
      <c r="AA69" s="1095"/>
      <c r="AB69" s="1095"/>
    </row>
    <row r="70">
      <c r="A70" s="1095"/>
      <c r="B70" s="1095"/>
      <c r="C70" s="1095"/>
      <c r="D70" s="1095"/>
      <c r="E70" s="1095"/>
      <c r="F70" s="1095"/>
      <c r="G70" s="1095"/>
      <c r="H70" s="1095"/>
      <c r="I70" s="1095"/>
      <c r="J70" s="1095"/>
      <c r="K70" s="1095"/>
      <c r="L70" s="1095"/>
      <c r="M70" s="1095"/>
      <c r="N70" s="1095"/>
      <c r="O70" s="1095"/>
      <c r="P70" s="1095"/>
      <c r="Q70" s="1095"/>
      <c r="R70" s="1095"/>
      <c r="S70" s="1095"/>
      <c r="T70" s="1095"/>
      <c r="U70" s="1095"/>
      <c r="V70" s="1095"/>
      <c r="W70" s="1095"/>
      <c r="X70" s="1095"/>
      <c r="Y70" s="1095"/>
      <c r="Z70" s="1095"/>
      <c r="AA70" s="1095"/>
      <c r="AB70" s="1095"/>
    </row>
    <row r="71">
      <c r="A71" s="1095"/>
      <c r="B71" s="1095"/>
      <c r="C71" s="1095"/>
      <c r="D71" s="1095"/>
      <c r="E71" s="1095"/>
      <c r="F71" s="1095"/>
      <c r="G71" s="1095"/>
      <c r="H71" s="1095"/>
      <c r="I71" s="1095"/>
      <c r="J71" s="1095"/>
      <c r="K71" s="1095"/>
      <c r="L71" s="1095"/>
      <c r="M71" s="1095"/>
      <c r="N71" s="1095"/>
      <c r="O71" s="1095"/>
      <c r="P71" s="1095"/>
      <c r="Q71" s="1095"/>
      <c r="R71" s="1095"/>
      <c r="S71" s="1095"/>
      <c r="T71" s="1095"/>
      <c r="U71" s="1095"/>
      <c r="V71" s="1095"/>
      <c r="W71" s="1095"/>
      <c r="X71" s="1095"/>
      <c r="Y71" s="1095"/>
      <c r="Z71" s="1095"/>
      <c r="AA71" s="1095"/>
      <c r="AB71" s="1095"/>
    </row>
    <row r="72">
      <c r="A72" s="1095"/>
      <c r="B72" s="1095"/>
      <c r="C72" s="1095"/>
      <c r="D72" s="1095"/>
      <c r="E72" s="1095"/>
      <c r="F72" s="1095"/>
      <c r="G72" s="1095"/>
      <c r="H72" s="1095"/>
      <c r="I72" s="1095"/>
      <c r="J72" s="1095"/>
      <c r="K72" s="1095"/>
      <c r="L72" s="1095"/>
      <c r="M72" s="1095"/>
      <c r="N72" s="1095"/>
      <c r="O72" s="1095"/>
      <c r="P72" s="1095"/>
      <c r="Q72" s="1095"/>
      <c r="R72" s="1095"/>
      <c r="S72" s="1095"/>
      <c r="T72" s="1095"/>
      <c r="U72" s="1095"/>
      <c r="V72" s="1095"/>
      <c r="W72" s="1095"/>
      <c r="X72" s="1095"/>
      <c r="Y72" s="1095"/>
      <c r="Z72" s="1095"/>
      <c r="AA72" s="1095"/>
      <c r="AB72" s="1095"/>
    </row>
    <row r="73">
      <c r="A73" s="1095"/>
      <c r="B73" s="1095"/>
      <c r="C73" s="1095"/>
      <c r="D73" s="1095"/>
      <c r="E73" s="1095"/>
      <c r="F73" s="1095"/>
      <c r="G73" s="1095"/>
      <c r="H73" s="1095"/>
      <c r="I73" s="1095"/>
      <c r="J73" s="1095"/>
      <c r="K73" s="1095"/>
      <c r="L73" s="1095"/>
      <c r="M73" s="1095"/>
      <c r="N73" s="1095"/>
      <c r="O73" s="1095"/>
      <c r="P73" s="1095"/>
      <c r="Q73" s="1095"/>
      <c r="R73" s="1095"/>
      <c r="S73" s="1095"/>
      <c r="T73" s="1095"/>
      <c r="U73" s="1095"/>
      <c r="V73" s="1095"/>
      <c r="W73" s="1095"/>
      <c r="X73" s="1095"/>
      <c r="Y73" s="1095"/>
      <c r="Z73" s="1095"/>
      <c r="AA73" s="1095"/>
      <c r="AB73" s="1095"/>
    </row>
    <row r="74">
      <c r="A74" s="1095"/>
      <c r="B74" s="1095"/>
      <c r="C74" s="1095"/>
      <c r="D74" s="1095"/>
      <c r="E74" s="1095"/>
      <c r="F74" s="1095"/>
      <c r="G74" s="1095"/>
      <c r="H74" s="1095"/>
      <c r="I74" s="1095"/>
      <c r="J74" s="1095"/>
      <c r="K74" s="1095"/>
      <c r="L74" s="1095"/>
      <c r="M74" s="1095"/>
      <c r="N74" s="1095"/>
      <c r="O74" s="1095"/>
      <c r="P74" s="1095"/>
      <c r="Q74" s="1095"/>
      <c r="R74" s="1095"/>
      <c r="S74" s="1095"/>
      <c r="T74" s="1095"/>
      <c r="U74" s="1095"/>
      <c r="V74" s="1095"/>
      <c r="W74" s="1095"/>
      <c r="X74" s="1095"/>
      <c r="Y74" s="1095"/>
      <c r="Z74" s="1095"/>
      <c r="AA74" s="1095"/>
      <c r="AB74" s="1095"/>
    </row>
    <row r="75">
      <c r="A75" s="1095"/>
      <c r="B75" s="1095"/>
      <c r="C75" s="1095"/>
      <c r="D75" s="1095"/>
      <c r="E75" s="1095"/>
      <c r="F75" s="1095"/>
      <c r="G75" s="1095"/>
      <c r="H75" s="1095"/>
      <c r="I75" s="1095"/>
      <c r="J75" s="1095"/>
      <c r="K75" s="1095"/>
      <c r="L75" s="1095"/>
      <c r="M75" s="1095"/>
      <c r="N75" s="1095"/>
      <c r="O75" s="1095"/>
      <c r="P75" s="1095"/>
      <c r="Q75" s="1095"/>
      <c r="R75" s="1095"/>
      <c r="S75" s="1095"/>
      <c r="T75" s="1095"/>
      <c r="U75" s="1095"/>
      <c r="V75" s="1095"/>
      <c r="W75" s="1095"/>
      <c r="X75" s="1095"/>
      <c r="Y75" s="1095"/>
      <c r="Z75" s="1095"/>
      <c r="AA75" s="1095"/>
      <c r="AB75" s="1095"/>
    </row>
    <row r="76">
      <c r="A76" s="1095"/>
      <c r="B76" s="1095"/>
      <c r="C76" s="1095"/>
      <c r="D76" s="1095"/>
      <c r="E76" s="1095"/>
      <c r="F76" s="1095"/>
      <c r="G76" s="1095"/>
      <c r="H76" s="1095"/>
      <c r="I76" s="1095"/>
      <c r="J76" s="1095"/>
      <c r="K76" s="1095"/>
      <c r="L76" s="1095"/>
      <c r="M76" s="1095"/>
      <c r="N76" s="1095"/>
      <c r="O76" s="1095"/>
      <c r="P76" s="1095"/>
      <c r="Q76" s="1095"/>
      <c r="R76" s="1095"/>
      <c r="S76" s="1095"/>
      <c r="T76" s="1095"/>
      <c r="U76" s="1095"/>
      <c r="V76" s="1095"/>
      <c r="W76" s="1095"/>
      <c r="X76" s="1095"/>
      <c r="Y76" s="1095"/>
      <c r="Z76" s="1095"/>
      <c r="AA76" s="1095"/>
      <c r="AB76" s="1095"/>
    </row>
    <row r="77">
      <c r="A77" s="1095"/>
      <c r="B77" s="1095"/>
      <c r="C77" s="1095"/>
      <c r="D77" s="1095"/>
      <c r="E77" s="1095"/>
      <c r="F77" s="1095"/>
      <c r="G77" s="1095"/>
      <c r="H77" s="1095"/>
      <c r="I77" s="1095"/>
      <c r="J77" s="1095"/>
      <c r="K77" s="1095"/>
      <c r="L77" s="1095"/>
      <c r="M77" s="1095"/>
      <c r="N77" s="1095"/>
      <c r="O77" s="1095"/>
      <c r="P77" s="1095"/>
      <c r="Q77" s="1095"/>
      <c r="R77" s="1095"/>
      <c r="S77" s="1095"/>
      <c r="T77" s="1095"/>
      <c r="U77" s="1095"/>
      <c r="V77" s="1095"/>
      <c r="W77" s="1095"/>
      <c r="X77" s="1095"/>
      <c r="Y77" s="1095"/>
      <c r="Z77" s="1095"/>
      <c r="AA77" s="1095"/>
      <c r="AB77" s="1095"/>
    </row>
    <row r="78">
      <c r="A78" s="1095"/>
      <c r="B78" s="1095"/>
      <c r="C78" s="1095"/>
      <c r="D78" s="1095"/>
      <c r="E78" s="1095"/>
      <c r="F78" s="1095"/>
      <c r="G78" s="1095"/>
      <c r="H78" s="1095"/>
      <c r="I78" s="1095"/>
      <c r="J78" s="1095"/>
      <c r="K78" s="1095"/>
      <c r="L78" s="1095"/>
      <c r="M78" s="1095"/>
      <c r="N78" s="1095"/>
      <c r="O78" s="1095"/>
      <c r="P78" s="1095"/>
      <c r="Q78" s="1095"/>
      <c r="R78" s="1095"/>
      <c r="S78" s="1095"/>
      <c r="T78" s="1095"/>
      <c r="U78" s="1095"/>
      <c r="V78" s="1095"/>
      <c r="W78" s="1095"/>
      <c r="X78" s="1095"/>
      <c r="Y78" s="1095"/>
      <c r="Z78" s="1095"/>
      <c r="AA78" s="1095"/>
      <c r="AB78" s="1095"/>
    </row>
    <row r="79">
      <c r="A79" s="1095"/>
      <c r="B79" s="1095"/>
      <c r="C79" s="1095"/>
      <c r="D79" s="1095"/>
      <c r="E79" s="1095"/>
      <c r="F79" s="1095"/>
      <c r="G79" s="1095"/>
      <c r="H79" s="1095"/>
      <c r="I79" s="1095"/>
      <c r="J79" s="1095"/>
      <c r="K79" s="1095"/>
      <c r="L79" s="1095"/>
      <c r="M79" s="1095"/>
      <c r="N79" s="1095"/>
      <c r="O79" s="1095"/>
      <c r="P79" s="1095"/>
      <c r="Q79" s="1095"/>
      <c r="R79" s="1095"/>
      <c r="S79" s="1095"/>
      <c r="T79" s="1095"/>
      <c r="U79" s="1095"/>
      <c r="V79" s="1095"/>
      <c r="W79" s="1095"/>
      <c r="X79" s="1095"/>
      <c r="Y79" s="1095"/>
      <c r="Z79" s="1095"/>
      <c r="AA79" s="1095"/>
      <c r="AB79" s="1095"/>
    </row>
    <row r="80">
      <c r="A80" s="1095"/>
      <c r="B80" s="1095"/>
      <c r="C80" s="1095"/>
      <c r="D80" s="1095"/>
      <c r="E80" s="1095"/>
      <c r="F80" s="1095"/>
      <c r="G80" s="1095"/>
      <c r="H80" s="1095"/>
      <c r="I80" s="1095"/>
      <c r="J80" s="1095"/>
      <c r="K80" s="1095"/>
      <c r="L80" s="1095"/>
      <c r="M80" s="1095"/>
      <c r="N80" s="1095"/>
      <c r="O80" s="1095"/>
      <c r="P80" s="1095"/>
      <c r="Q80" s="1095"/>
      <c r="R80" s="1095"/>
      <c r="S80" s="1095"/>
      <c r="T80" s="1095"/>
      <c r="U80" s="1095"/>
      <c r="V80" s="1095"/>
      <c r="W80" s="1095"/>
      <c r="X80" s="1095"/>
      <c r="Y80" s="1095"/>
      <c r="Z80" s="1095"/>
      <c r="AA80" s="1095"/>
      <c r="AB80" s="1095"/>
    </row>
    <row r="81">
      <c r="A81" s="1095"/>
      <c r="B81" s="1095"/>
      <c r="C81" s="1095"/>
      <c r="D81" s="1095"/>
      <c r="E81" s="1095"/>
      <c r="F81" s="1095"/>
      <c r="G81" s="1095"/>
      <c r="H81" s="1095"/>
      <c r="I81" s="1095"/>
      <c r="J81" s="1095"/>
      <c r="K81" s="1095"/>
      <c r="L81" s="1095"/>
      <c r="M81" s="1095"/>
      <c r="N81" s="1095"/>
      <c r="O81" s="1095"/>
      <c r="P81" s="1095"/>
      <c r="Q81" s="1095"/>
      <c r="R81" s="1095"/>
      <c r="S81" s="1095"/>
      <c r="T81" s="1095"/>
      <c r="U81" s="1095"/>
      <c r="V81" s="1095"/>
      <c r="W81" s="1095"/>
      <c r="X81" s="1095"/>
      <c r="Y81" s="1095"/>
      <c r="Z81" s="1095"/>
      <c r="AA81" s="1095"/>
      <c r="AB81" s="1095"/>
    </row>
    <row r="82">
      <c r="A82" s="1095"/>
      <c r="B82" s="1095"/>
      <c r="C82" s="1095"/>
      <c r="D82" s="1095"/>
      <c r="E82" s="1095"/>
      <c r="F82" s="1095"/>
      <c r="G82" s="1095"/>
      <c r="H82" s="1095"/>
      <c r="I82" s="1095"/>
      <c r="J82" s="1095"/>
      <c r="K82" s="1095"/>
      <c r="L82" s="1095"/>
      <c r="M82" s="1095"/>
      <c r="N82" s="1095"/>
      <c r="O82" s="1095"/>
      <c r="P82" s="1095"/>
      <c r="Q82" s="1095"/>
      <c r="R82" s="1095"/>
      <c r="S82" s="1095"/>
      <c r="T82" s="1095"/>
      <c r="U82" s="1095"/>
      <c r="V82" s="1095"/>
      <c r="W82" s="1095"/>
      <c r="X82" s="1095"/>
      <c r="Y82" s="1095"/>
      <c r="Z82" s="1095"/>
      <c r="AA82" s="1095"/>
      <c r="AB82" s="1095"/>
    </row>
    <row r="83">
      <c r="A83" s="1095"/>
      <c r="B83" s="1095"/>
      <c r="C83" s="1095"/>
      <c r="D83" s="1095"/>
      <c r="E83" s="1095"/>
      <c r="F83" s="1095"/>
      <c r="G83" s="1095"/>
      <c r="H83" s="1095"/>
      <c r="I83" s="1095"/>
      <c r="J83" s="1095"/>
      <c r="K83" s="1095"/>
      <c r="L83" s="1095"/>
      <c r="M83" s="1095"/>
      <c r="N83" s="1095"/>
      <c r="O83" s="1095"/>
      <c r="P83" s="1095"/>
      <c r="Q83" s="1095"/>
      <c r="R83" s="1095"/>
      <c r="S83" s="1095"/>
      <c r="T83" s="1095"/>
      <c r="U83" s="1095"/>
      <c r="V83" s="1095"/>
      <c r="W83" s="1095"/>
      <c r="X83" s="1095"/>
      <c r="Y83" s="1095"/>
      <c r="Z83" s="1095"/>
      <c r="AA83" s="1095"/>
      <c r="AB83" s="1095"/>
    </row>
    <row r="84">
      <c r="A84" s="1095"/>
      <c r="B84" s="1095"/>
      <c r="C84" s="1095"/>
      <c r="D84" s="1095"/>
      <c r="E84" s="1095"/>
      <c r="F84" s="1095"/>
      <c r="G84" s="1095"/>
      <c r="H84" s="1095"/>
      <c r="I84" s="1095"/>
      <c r="J84" s="1095"/>
      <c r="K84" s="1095"/>
      <c r="L84" s="1095"/>
      <c r="M84" s="1095"/>
      <c r="N84" s="1095"/>
      <c r="O84" s="1095"/>
      <c r="P84" s="1095"/>
      <c r="Q84" s="1095"/>
      <c r="R84" s="1095"/>
      <c r="S84" s="1095"/>
      <c r="T84" s="1095"/>
      <c r="U84" s="1095"/>
      <c r="V84" s="1095"/>
      <c r="W84" s="1095"/>
      <c r="X84" s="1095"/>
      <c r="Y84" s="1095"/>
      <c r="Z84" s="1095"/>
      <c r="AA84" s="1095"/>
      <c r="AB84" s="1095"/>
    </row>
    <row r="85">
      <c r="A85" s="1095"/>
      <c r="B85" s="1095"/>
      <c r="C85" s="1095"/>
      <c r="D85" s="1095"/>
      <c r="E85" s="1095"/>
      <c r="F85" s="1095"/>
      <c r="G85" s="1095"/>
      <c r="H85" s="1095"/>
      <c r="I85" s="1095"/>
      <c r="J85" s="1095"/>
      <c r="K85" s="1095"/>
      <c r="L85" s="1095"/>
      <c r="M85" s="1095"/>
      <c r="N85" s="1095"/>
      <c r="O85" s="1095"/>
      <c r="P85" s="1095"/>
      <c r="Q85" s="1095"/>
      <c r="R85" s="1095"/>
      <c r="S85" s="1095"/>
      <c r="T85" s="1095"/>
      <c r="U85" s="1095"/>
      <c r="V85" s="1095"/>
      <c r="W85" s="1095"/>
      <c r="X85" s="1095"/>
      <c r="Y85" s="1095"/>
      <c r="Z85" s="1095"/>
      <c r="AA85" s="1095"/>
      <c r="AB85" s="1095"/>
    </row>
    <row r="86">
      <c r="A86" s="1095"/>
      <c r="B86" s="1095"/>
      <c r="C86" s="1095"/>
      <c r="D86" s="1095"/>
      <c r="E86" s="1095"/>
      <c r="F86" s="1095"/>
      <c r="G86" s="1095"/>
      <c r="H86" s="1095"/>
      <c r="I86" s="1095"/>
      <c r="J86" s="1095"/>
      <c r="K86" s="1095"/>
      <c r="L86" s="1095"/>
      <c r="M86" s="1095"/>
      <c r="N86" s="1095"/>
      <c r="O86" s="1095"/>
      <c r="P86" s="1095"/>
      <c r="Q86" s="1095"/>
      <c r="R86" s="1095"/>
      <c r="S86" s="1095"/>
      <c r="T86" s="1095"/>
      <c r="U86" s="1095"/>
      <c r="V86" s="1095"/>
      <c r="W86" s="1095"/>
      <c r="X86" s="1095"/>
      <c r="Y86" s="1095"/>
      <c r="Z86" s="1095"/>
      <c r="AA86" s="1095"/>
      <c r="AB86" s="1095"/>
    </row>
    <row r="87">
      <c r="A87" s="1095"/>
      <c r="B87" s="1095"/>
      <c r="C87" s="1095"/>
      <c r="D87" s="1095"/>
      <c r="E87" s="1095"/>
      <c r="F87" s="1095"/>
      <c r="G87" s="1095"/>
      <c r="H87" s="1095"/>
      <c r="I87" s="1095"/>
      <c r="J87" s="1095"/>
      <c r="K87" s="1095"/>
      <c r="L87" s="1095"/>
      <c r="M87" s="1095"/>
      <c r="N87" s="1095"/>
      <c r="O87" s="1095"/>
      <c r="P87" s="1095"/>
      <c r="Q87" s="1095"/>
      <c r="R87" s="1095"/>
      <c r="S87" s="1095"/>
      <c r="T87" s="1095"/>
      <c r="U87" s="1095"/>
      <c r="V87" s="1095"/>
      <c r="W87" s="1095"/>
      <c r="X87" s="1095"/>
      <c r="Y87" s="1095"/>
      <c r="Z87" s="1095"/>
      <c r="AA87" s="1095"/>
      <c r="AB87" s="1095"/>
    </row>
    <row r="88">
      <c r="A88" s="1095"/>
      <c r="B88" s="1095"/>
      <c r="C88" s="1095"/>
      <c r="D88" s="1095"/>
      <c r="E88" s="1095"/>
      <c r="F88" s="1095"/>
      <c r="G88" s="1095"/>
      <c r="H88" s="1095"/>
      <c r="I88" s="1095"/>
      <c r="J88" s="1095"/>
      <c r="K88" s="1095"/>
      <c r="L88" s="1095"/>
      <c r="M88" s="1095"/>
      <c r="N88" s="1095"/>
      <c r="O88" s="1095"/>
      <c r="P88" s="1095"/>
      <c r="Q88" s="1095"/>
      <c r="R88" s="1095"/>
      <c r="S88" s="1095"/>
      <c r="T88" s="1095"/>
      <c r="U88" s="1095"/>
      <c r="V88" s="1095"/>
      <c r="W88" s="1095"/>
      <c r="X88" s="1095"/>
      <c r="Y88" s="1095"/>
      <c r="Z88" s="1095"/>
      <c r="AA88" s="1095"/>
      <c r="AB88" s="1095"/>
    </row>
    <row r="89">
      <c r="A89" s="1095"/>
      <c r="B89" s="1095"/>
      <c r="C89" s="1095"/>
      <c r="D89" s="1095"/>
      <c r="E89" s="1095"/>
      <c r="F89" s="1095"/>
      <c r="G89" s="1095"/>
      <c r="H89" s="1095"/>
      <c r="I89" s="1095"/>
      <c r="J89" s="1095"/>
      <c r="K89" s="1095"/>
      <c r="L89" s="1095"/>
      <c r="M89" s="1095"/>
      <c r="N89" s="1095"/>
      <c r="O89" s="1095"/>
      <c r="P89" s="1095"/>
      <c r="Q89" s="1095"/>
      <c r="R89" s="1095"/>
      <c r="S89" s="1095"/>
      <c r="T89" s="1095"/>
      <c r="U89" s="1095"/>
      <c r="V89" s="1095"/>
      <c r="W89" s="1095"/>
      <c r="X89" s="1095"/>
      <c r="Y89" s="1095"/>
      <c r="Z89" s="1095"/>
      <c r="AA89" s="1095"/>
      <c r="AB89" s="1095"/>
    </row>
    <row r="90">
      <c r="A90" s="1095"/>
      <c r="B90" s="1095"/>
      <c r="C90" s="1095"/>
      <c r="D90" s="1095"/>
      <c r="E90" s="1095"/>
      <c r="F90" s="1095"/>
      <c r="G90" s="1095"/>
      <c r="H90" s="1095"/>
      <c r="I90" s="1095"/>
      <c r="J90" s="1095"/>
      <c r="K90" s="1095"/>
      <c r="L90" s="1095"/>
      <c r="M90" s="1095"/>
      <c r="N90" s="1095"/>
      <c r="O90" s="1095"/>
      <c r="P90" s="1095"/>
      <c r="Q90" s="1095"/>
      <c r="R90" s="1095"/>
      <c r="S90" s="1095"/>
      <c r="T90" s="1095"/>
      <c r="U90" s="1095"/>
      <c r="V90" s="1095"/>
      <c r="W90" s="1095"/>
      <c r="X90" s="1095"/>
      <c r="Y90" s="1095"/>
      <c r="Z90" s="1095"/>
      <c r="AA90" s="1095"/>
      <c r="AB90" s="1095"/>
    </row>
    <row r="91">
      <c r="A91" s="1095"/>
      <c r="B91" s="1095"/>
      <c r="C91" s="1095"/>
      <c r="D91" s="1095"/>
      <c r="E91" s="1095"/>
      <c r="F91" s="1095"/>
      <c r="G91" s="1095"/>
      <c r="H91" s="1095"/>
      <c r="I91" s="1095"/>
      <c r="J91" s="1095"/>
      <c r="K91" s="1095"/>
      <c r="L91" s="1095"/>
      <c r="M91" s="1095"/>
      <c r="N91" s="1095"/>
      <c r="O91" s="1095"/>
      <c r="P91" s="1095"/>
      <c r="Q91" s="1095"/>
      <c r="R91" s="1095"/>
      <c r="S91" s="1095"/>
      <c r="T91" s="1095"/>
      <c r="U91" s="1095"/>
      <c r="V91" s="1095"/>
      <c r="W91" s="1095"/>
      <c r="X91" s="1095"/>
      <c r="Y91" s="1095"/>
      <c r="Z91" s="1095"/>
      <c r="AA91" s="1095"/>
      <c r="AB91" s="1095"/>
    </row>
    <row r="92">
      <c r="A92" s="1095"/>
      <c r="B92" s="1095"/>
      <c r="C92" s="1095"/>
      <c r="D92" s="1095"/>
      <c r="E92" s="1095"/>
      <c r="F92" s="1095"/>
      <c r="G92" s="1095"/>
      <c r="H92" s="1095"/>
      <c r="I92" s="1095"/>
      <c r="J92" s="1095"/>
      <c r="K92" s="1095"/>
      <c r="L92" s="1095"/>
      <c r="M92" s="1095"/>
      <c r="N92" s="1095"/>
      <c r="O92" s="1095"/>
      <c r="P92" s="1095"/>
      <c r="Q92" s="1095"/>
      <c r="R92" s="1095"/>
      <c r="S92" s="1095"/>
      <c r="T92" s="1095"/>
      <c r="U92" s="1095"/>
      <c r="V92" s="1095"/>
      <c r="W92" s="1095"/>
      <c r="X92" s="1095"/>
      <c r="Y92" s="1095"/>
      <c r="Z92" s="1095"/>
      <c r="AA92" s="1095"/>
      <c r="AB92" s="1095"/>
    </row>
    <row r="93">
      <c r="A93" s="1095"/>
      <c r="B93" s="1095"/>
      <c r="C93" s="1095"/>
      <c r="D93" s="1095"/>
      <c r="E93" s="1095"/>
      <c r="F93" s="1095"/>
      <c r="G93" s="1095"/>
      <c r="H93" s="1095"/>
      <c r="I93" s="1095"/>
      <c r="J93" s="1095"/>
      <c r="K93" s="1095"/>
      <c r="L93" s="1095"/>
      <c r="M93" s="1095"/>
      <c r="N93" s="1095"/>
      <c r="O93" s="1095"/>
      <c r="P93" s="1095"/>
      <c r="Q93" s="1095"/>
      <c r="R93" s="1095"/>
      <c r="S93" s="1095"/>
      <c r="T93" s="1095"/>
      <c r="U93" s="1095"/>
      <c r="V93" s="1095"/>
      <c r="W93" s="1095"/>
      <c r="X93" s="1095"/>
      <c r="Y93" s="1095"/>
      <c r="Z93" s="1095"/>
      <c r="AA93" s="1095"/>
      <c r="AB93" s="1095"/>
    </row>
    <row r="94">
      <c r="A94" s="1095"/>
      <c r="B94" s="1095"/>
      <c r="C94" s="1095"/>
      <c r="D94" s="1095"/>
      <c r="E94" s="1095"/>
      <c r="F94" s="1095"/>
      <c r="G94" s="1095"/>
      <c r="H94" s="1095"/>
      <c r="I94" s="1095"/>
      <c r="J94" s="1095"/>
      <c r="K94" s="1095"/>
      <c r="L94" s="1095"/>
      <c r="M94" s="1095"/>
      <c r="N94" s="1095"/>
      <c r="O94" s="1095"/>
      <c r="P94" s="1095"/>
      <c r="Q94" s="1095"/>
      <c r="R94" s="1095"/>
      <c r="S94" s="1095"/>
      <c r="T94" s="1095"/>
      <c r="U94" s="1095"/>
      <c r="V94" s="1095"/>
      <c r="W94" s="1095"/>
      <c r="X94" s="1095"/>
      <c r="Y94" s="1095"/>
      <c r="Z94" s="1095"/>
      <c r="AA94" s="1095"/>
      <c r="AB94" s="1095"/>
    </row>
    <row r="95">
      <c r="A95" s="1095"/>
      <c r="B95" s="1095"/>
      <c r="C95" s="1095"/>
      <c r="D95" s="1095"/>
      <c r="E95" s="1095"/>
      <c r="F95" s="1095"/>
      <c r="G95" s="1095"/>
      <c r="H95" s="1095"/>
      <c r="I95" s="1095"/>
      <c r="J95" s="1095"/>
      <c r="K95" s="1095"/>
      <c r="L95" s="1095"/>
      <c r="M95" s="1095"/>
      <c r="N95" s="1095"/>
      <c r="O95" s="1095"/>
      <c r="P95" s="1095"/>
      <c r="Q95" s="1095"/>
      <c r="R95" s="1095"/>
      <c r="S95" s="1095"/>
      <c r="T95" s="1095"/>
      <c r="U95" s="1095"/>
      <c r="V95" s="1095"/>
      <c r="W95" s="1095"/>
      <c r="X95" s="1095"/>
      <c r="Y95" s="1095"/>
      <c r="Z95" s="1095"/>
      <c r="AA95" s="1095"/>
      <c r="AB95" s="1095"/>
    </row>
    <row r="96">
      <c r="A96" s="1095"/>
      <c r="B96" s="1095"/>
      <c r="C96" s="1095"/>
      <c r="D96" s="1095"/>
      <c r="E96" s="1095"/>
      <c r="F96" s="1095"/>
      <c r="G96" s="1095"/>
      <c r="H96" s="1095"/>
      <c r="I96" s="1095"/>
      <c r="J96" s="1095"/>
      <c r="K96" s="1095"/>
      <c r="L96" s="1095"/>
      <c r="M96" s="1095"/>
      <c r="N96" s="1095"/>
      <c r="O96" s="1095"/>
      <c r="P96" s="1095"/>
      <c r="Q96" s="1095"/>
      <c r="R96" s="1095"/>
      <c r="S96" s="1095"/>
      <c r="T96" s="1095"/>
      <c r="U96" s="1095"/>
      <c r="V96" s="1095"/>
      <c r="W96" s="1095"/>
      <c r="X96" s="1095"/>
      <c r="Y96" s="1095"/>
      <c r="Z96" s="1095"/>
      <c r="AA96" s="1095"/>
      <c r="AB96" s="1095"/>
    </row>
    <row r="97">
      <c r="A97" s="1095"/>
      <c r="B97" s="1095"/>
      <c r="C97" s="1095"/>
      <c r="D97" s="1095"/>
      <c r="E97" s="1095"/>
      <c r="F97" s="1095"/>
      <c r="G97" s="1095"/>
      <c r="H97" s="1095"/>
      <c r="I97" s="1095"/>
      <c r="J97" s="1095"/>
      <c r="K97" s="1095"/>
      <c r="L97" s="1095"/>
      <c r="M97" s="1095"/>
      <c r="N97" s="1095"/>
      <c r="O97" s="1095"/>
      <c r="P97" s="1095"/>
      <c r="Q97" s="1095"/>
      <c r="R97" s="1095"/>
      <c r="S97" s="1095"/>
      <c r="T97" s="1095"/>
      <c r="U97" s="1095"/>
      <c r="V97" s="1095"/>
      <c r="W97" s="1095"/>
      <c r="X97" s="1095"/>
      <c r="Y97" s="1095"/>
      <c r="Z97" s="1095"/>
      <c r="AA97" s="1095"/>
      <c r="AB97" s="1095"/>
    </row>
    <row r="98">
      <c r="A98" s="1095"/>
      <c r="B98" s="1095"/>
      <c r="C98" s="1095"/>
      <c r="D98" s="1095"/>
      <c r="E98" s="1095"/>
      <c r="F98" s="1095"/>
      <c r="G98" s="1095"/>
      <c r="H98" s="1095"/>
      <c r="I98" s="1095"/>
      <c r="J98" s="1095"/>
      <c r="K98" s="1095"/>
      <c r="L98" s="1095"/>
      <c r="M98" s="1095"/>
      <c r="N98" s="1095"/>
      <c r="O98" s="1095"/>
      <c r="P98" s="1095"/>
      <c r="Q98" s="1095"/>
      <c r="R98" s="1095"/>
      <c r="S98" s="1095"/>
      <c r="T98" s="1095"/>
      <c r="U98" s="1095"/>
      <c r="V98" s="1095"/>
      <c r="W98" s="1095"/>
      <c r="X98" s="1095"/>
      <c r="Y98" s="1095"/>
      <c r="Z98" s="1095"/>
      <c r="AA98" s="1095"/>
      <c r="AB98" s="1095"/>
    </row>
    <row r="99">
      <c r="A99" s="1095"/>
      <c r="B99" s="1095"/>
      <c r="C99" s="1095"/>
      <c r="D99" s="1095"/>
      <c r="E99" s="1095"/>
      <c r="F99" s="1095"/>
      <c r="G99" s="1095"/>
      <c r="H99" s="1095"/>
      <c r="I99" s="1095"/>
      <c r="J99" s="1095"/>
      <c r="K99" s="1095"/>
      <c r="L99" s="1095"/>
      <c r="M99" s="1095"/>
      <c r="N99" s="1095"/>
      <c r="O99" s="1095"/>
      <c r="P99" s="1095"/>
      <c r="Q99" s="1095"/>
      <c r="R99" s="1095"/>
      <c r="S99" s="1095"/>
      <c r="T99" s="1095"/>
      <c r="U99" s="1095"/>
      <c r="V99" s="1095"/>
      <c r="W99" s="1095"/>
      <c r="X99" s="1095"/>
      <c r="Y99" s="1095"/>
      <c r="Z99" s="1095"/>
      <c r="AA99" s="1095"/>
      <c r="AB99" s="1095"/>
    </row>
    <row r="100">
      <c r="A100" s="1095"/>
      <c r="B100" s="1095"/>
      <c r="C100" s="1095"/>
      <c r="D100" s="1095"/>
      <c r="E100" s="1095"/>
      <c r="F100" s="1095"/>
      <c r="G100" s="1095"/>
      <c r="H100" s="1095"/>
      <c r="I100" s="1095"/>
      <c r="J100" s="1095"/>
      <c r="K100" s="1095"/>
      <c r="L100" s="1095"/>
      <c r="M100" s="1095"/>
      <c r="N100" s="1095"/>
      <c r="O100" s="1095"/>
      <c r="P100" s="1095"/>
      <c r="Q100" s="1095"/>
      <c r="R100" s="1095"/>
      <c r="S100" s="1095"/>
      <c r="T100" s="1095"/>
      <c r="U100" s="1095"/>
      <c r="V100" s="1095"/>
      <c r="W100" s="1095"/>
      <c r="X100" s="1095"/>
      <c r="Y100" s="1095"/>
      <c r="Z100" s="1095"/>
      <c r="AA100" s="1095"/>
      <c r="AB100" s="1095"/>
    </row>
    <row r="101">
      <c r="A101" s="1095"/>
      <c r="B101" s="1095"/>
      <c r="C101" s="1095"/>
      <c r="D101" s="1095"/>
      <c r="E101" s="1095"/>
      <c r="F101" s="1095"/>
      <c r="G101" s="1095"/>
      <c r="H101" s="1095"/>
      <c r="I101" s="1095"/>
      <c r="J101" s="1095"/>
      <c r="K101" s="1095"/>
      <c r="L101" s="1095"/>
      <c r="M101" s="1095"/>
      <c r="N101" s="1095"/>
      <c r="O101" s="1095"/>
      <c r="P101" s="1095"/>
      <c r="Q101" s="1095"/>
      <c r="R101" s="1095"/>
      <c r="S101" s="1095"/>
      <c r="T101" s="1095"/>
      <c r="U101" s="1095"/>
      <c r="V101" s="1095"/>
      <c r="W101" s="1095"/>
      <c r="X101" s="1095"/>
      <c r="Y101" s="1095"/>
      <c r="Z101" s="1095"/>
      <c r="AA101" s="1095"/>
      <c r="AB101" s="1095"/>
    </row>
    <row r="102">
      <c r="A102" s="1095"/>
      <c r="B102" s="1095"/>
      <c r="C102" s="1095"/>
      <c r="D102" s="1095"/>
      <c r="E102" s="1095"/>
      <c r="F102" s="1095"/>
      <c r="G102" s="1095"/>
      <c r="H102" s="1095"/>
      <c r="I102" s="1095"/>
      <c r="J102" s="1095"/>
      <c r="K102" s="1095"/>
      <c r="L102" s="1095"/>
      <c r="M102" s="1095"/>
      <c r="N102" s="1095"/>
      <c r="O102" s="1095"/>
      <c r="P102" s="1095"/>
      <c r="Q102" s="1095"/>
      <c r="R102" s="1095"/>
      <c r="S102" s="1095"/>
      <c r="T102" s="1095"/>
      <c r="U102" s="1095"/>
      <c r="V102" s="1095"/>
      <c r="W102" s="1095"/>
      <c r="X102" s="1095"/>
      <c r="Y102" s="1095"/>
      <c r="Z102" s="1095"/>
      <c r="AA102" s="1095"/>
      <c r="AB102" s="1095"/>
    </row>
    <row r="103">
      <c r="A103" s="1095"/>
      <c r="B103" s="1095"/>
      <c r="C103" s="1095"/>
      <c r="D103" s="1095"/>
      <c r="E103" s="1095"/>
      <c r="F103" s="1095"/>
      <c r="G103" s="1095"/>
      <c r="H103" s="1095"/>
      <c r="I103" s="1095"/>
      <c r="J103" s="1095"/>
      <c r="K103" s="1095"/>
      <c r="L103" s="1095"/>
      <c r="M103" s="1095"/>
      <c r="N103" s="1095"/>
      <c r="O103" s="1095"/>
      <c r="P103" s="1095"/>
      <c r="Q103" s="1095"/>
      <c r="R103" s="1095"/>
      <c r="S103" s="1095"/>
      <c r="T103" s="1095"/>
      <c r="U103" s="1095"/>
      <c r="V103" s="1095"/>
      <c r="W103" s="1095"/>
      <c r="X103" s="1095"/>
      <c r="Y103" s="1095"/>
      <c r="Z103" s="1095"/>
      <c r="AA103" s="1095"/>
      <c r="AB103" s="1095"/>
    </row>
    <row r="104">
      <c r="A104" s="1095"/>
      <c r="B104" s="1095"/>
      <c r="C104" s="1095"/>
      <c r="D104" s="1095"/>
      <c r="E104" s="1095"/>
      <c r="F104" s="1095"/>
      <c r="G104" s="1095"/>
      <c r="H104" s="1095"/>
      <c r="I104" s="1095"/>
      <c r="J104" s="1095"/>
      <c r="K104" s="1095"/>
      <c r="L104" s="1095"/>
      <c r="M104" s="1095"/>
      <c r="N104" s="1095"/>
      <c r="O104" s="1095"/>
      <c r="P104" s="1095"/>
      <c r="Q104" s="1095"/>
      <c r="R104" s="1095"/>
      <c r="S104" s="1095"/>
      <c r="T104" s="1095"/>
      <c r="U104" s="1095"/>
      <c r="V104" s="1095"/>
      <c r="W104" s="1095"/>
      <c r="X104" s="1095"/>
      <c r="Y104" s="1095"/>
      <c r="Z104" s="1095"/>
      <c r="AA104" s="1095"/>
      <c r="AB104" s="1095"/>
    </row>
    <row r="105">
      <c r="A105" s="1095"/>
      <c r="B105" s="1095"/>
      <c r="C105" s="1095"/>
      <c r="D105" s="1095"/>
      <c r="E105" s="1095"/>
      <c r="F105" s="1095"/>
      <c r="G105" s="1095"/>
      <c r="H105" s="1095"/>
      <c r="I105" s="1095"/>
      <c r="J105" s="1095"/>
      <c r="K105" s="1095"/>
      <c r="L105" s="1095"/>
      <c r="M105" s="1095"/>
      <c r="N105" s="1095"/>
      <c r="O105" s="1095"/>
      <c r="P105" s="1095"/>
      <c r="Q105" s="1095"/>
      <c r="R105" s="1095"/>
      <c r="S105" s="1095"/>
      <c r="T105" s="1095"/>
      <c r="U105" s="1095"/>
      <c r="V105" s="1095"/>
      <c r="W105" s="1095"/>
      <c r="X105" s="1095"/>
      <c r="Y105" s="1095"/>
      <c r="Z105" s="1095"/>
      <c r="AA105" s="1095"/>
      <c r="AB105" s="1095"/>
    </row>
    <row r="106">
      <c r="A106" s="1095"/>
      <c r="B106" s="1095"/>
      <c r="C106" s="1095"/>
      <c r="D106" s="1095"/>
      <c r="E106" s="1095"/>
      <c r="F106" s="1095"/>
      <c r="G106" s="1095"/>
      <c r="H106" s="1095"/>
      <c r="I106" s="1095"/>
      <c r="J106" s="1095"/>
      <c r="K106" s="1095"/>
      <c r="L106" s="1095"/>
      <c r="M106" s="1095"/>
      <c r="N106" s="1095"/>
      <c r="O106" s="1095"/>
      <c r="P106" s="1095"/>
      <c r="Q106" s="1095"/>
      <c r="R106" s="1095"/>
      <c r="S106" s="1095"/>
      <c r="T106" s="1095"/>
      <c r="U106" s="1095"/>
      <c r="V106" s="1095"/>
      <c r="W106" s="1095"/>
      <c r="X106" s="1095"/>
      <c r="Y106" s="1095"/>
      <c r="Z106" s="1095"/>
      <c r="AA106" s="1095"/>
      <c r="AB106" s="1095"/>
    </row>
    <row r="107">
      <c r="A107" s="1095"/>
      <c r="B107" s="1095"/>
      <c r="C107" s="1095"/>
      <c r="D107" s="1095"/>
      <c r="E107" s="1095"/>
      <c r="F107" s="1095"/>
      <c r="G107" s="1095"/>
      <c r="H107" s="1095"/>
      <c r="I107" s="1095"/>
      <c r="J107" s="1095"/>
      <c r="K107" s="1095"/>
      <c r="L107" s="1095"/>
      <c r="M107" s="1095"/>
      <c r="N107" s="1095"/>
      <c r="O107" s="1095"/>
      <c r="P107" s="1095"/>
      <c r="Q107" s="1095"/>
      <c r="R107" s="1095"/>
      <c r="S107" s="1095"/>
      <c r="T107" s="1095"/>
      <c r="U107" s="1095"/>
      <c r="V107" s="1095"/>
      <c r="W107" s="1095"/>
      <c r="X107" s="1095"/>
      <c r="Y107" s="1095"/>
      <c r="Z107" s="1095"/>
      <c r="AA107" s="1095"/>
      <c r="AB107" s="1095"/>
    </row>
    <row r="108">
      <c r="A108" s="1095"/>
      <c r="B108" s="1095"/>
      <c r="C108" s="1095"/>
      <c r="D108" s="1095"/>
      <c r="E108" s="1095"/>
      <c r="F108" s="1095"/>
      <c r="G108" s="1095"/>
      <c r="H108" s="1095"/>
      <c r="I108" s="1095"/>
      <c r="J108" s="1095"/>
      <c r="K108" s="1095"/>
      <c r="L108" s="1095"/>
      <c r="M108" s="1095"/>
      <c r="N108" s="1095"/>
      <c r="O108" s="1095"/>
      <c r="P108" s="1095"/>
      <c r="Q108" s="1095"/>
      <c r="R108" s="1095"/>
      <c r="S108" s="1095"/>
      <c r="T108" s="1095"/>
      <c r="U108" s="1095"/>
      <c r="V108" s="1095"/>
      <c r="W108" s="1095"/>
      <c r="X108" s="1095"/>
      <c r="Y108" s="1095"/>
      <c r="Z108" s="1095"/>
      <c r="AA108" s="1095"/>
      <c r="AB108" s="1095"/>
    </row>
    <row r="109">
      <c r="A109" s="1095"/>
      <c r="B109" s="1095"/>
      <c r="C109" s="1095"/>
      <c r="D109" s="1095"/>
      <c r="E109" s="1095"/>
      <c r="F109" s="1095"/>
      <c r="G109" s="1095"/>
      <c r="H109" s="1095"/>
      <c r="I109" s="1095"/>
      <c r="J109" s="1095"/>
      <c r="K109" s="1095"/>
      <c r="L109" s="1095"/>
      <c r="M109" s="1095"/>
      <c r="N109" s="1095"/>
      <c r="O109" s="1095"/>
      <c r="P109" s="1095"/>
      <c r="Q109" s="1095"/>
      <c r="R109" s="1095"/>
      <c r="S109" s="1095"/>
      <c r="T109" s="1095"/>
      <c r="U109" s="1095"/>
      <c r="V109" s="1095"/>
      <c r="W109" s="1095"/>
      <c r="X109" s="1095"/>
      <c r="Y109" s="1095"/>
      <c r="Z109" s="1095"/>
      <c r="AA109" s="1095"/>
      <c r="AB109" s="1095"/>
    </row>
    <row r="110">
      <c r="A110" s="1095"/>
      <c r="B110" s="1095"/>
      <c r="C110" s="1095"/>
      <c r="D110" s="1095"/>
      <c r="E110" s="1095"/>
      <c r="F110" s="1095"/>
      <c r="G110" s="1095"/>
      <c r="H110" s="1095"/>
      <c r="I110" s="1095"/>
      <c r="J110" s="1095"/>
      <c r="K110" s="1095"/>
      <c r="L110" s="1095"/>
      <c r="M110" s="1095"/>
      <c r="N110" s="1095"/>
      <c r="O110" s="1095"/>
      <c r="P110" s="1095"/>
      <c r="Q110" s="1095"/>
      <c r="R110" s="1095"/>
      <c r="S110" s="1095"/>
      <c r="T110" s="1095"/>
      <c r="U110" s="1095"/>
      <c r="V110" s="1095"/>
      <c r="W110" s="1095"/>
      <c r="X110" s="1095"/>
      <c r="Y110" s="1095"/>
      <c r="Z110" s="1095"/>
      <c r="AA110" s="1095"/>
      <c r="AB110" s="1095"/>
    </row>
    <row r="111">
      <c r="A111" s="1095"/>
      <c r="B111" s="1095"/>
      <c r="C111" s="1095"/>
      <c r="D111" s="1095"/>
      <c r="E111" s="1095"/>
      <c r="F111" s="1095"/>
      <c r="G111" s="1095"/>
      <c r="H111" s="1095"/>
      <c r="I111" s="1095"/>
      <c r="J111" s="1095"/>
      <c r="K111" s="1095"/>
      <c r="L111" s="1095"/>
      <c r="M111" s="1095"/>
      <c r="N111" s="1095"/>
      <c r="O111" s="1095"/>
      <c r="P111" s="1095"/>
      <c r="Q111" s="1095"/>
      <c r="R111" s="1095"/>
      <c r="S111" s="1095"/>
      <c r="T111" s="1095"/>
      <c r="U111" s="1095"/>
      <c r="V111" s="1095"/>
      <c r="W111" s="1095"/>
      <c r="X111" s="1095"/>
      <c r="Y111" s="1095"/>
      <c r="Z111" s="1095"/>
      <c r="AA111" s="1095"/>
      <c r="AB111" s="1095"/>
    </row>
    <row r="112">
      <c r="A112" s="1095"/>
      <c r="B112" s="1095"/>
      <c r="C112" s="1095"/>
      <c r="D112" s="1095"/>
      <c r="E112" s="1095"/>
      <c r="F112" s="1095"/>
      <c r="G112" s="1095"/>
      <c r="H112" s="1095"/>
      <c r="I112" s="1095"/>
      <c r="J112" s="1095"/>
      <c r="K112" s="1095"/>
      <c r="L112" s="1095"/>
      <c r="M112" s="1095"/>
      <c r="N112" s="1095"/>
      <c r="O112" s="1095"/>
      <c r="P112" s="1095"/>
      <c r="Q112" s="1095"/>
      <c r="R112" s="1095"/>
      <c r="S112" s="1095"/>
      <c r="T112" s="1095"/>
      <c r="U112" s="1095"/>
      <c r="V112" s="1095"/>
      <c r="W112" s="1095"/>
      <c r="X112" s="1095"/>
      <c r="Y112" s="1095"/>
      <c r="Z112" s="1095"/>
      <c r="AA112" s="1095"/>
      <c r="AB112" s="1095"/>
    </row>
    <row r="113">
      <c r="A113" s="1095"/>
      <c r="B113" s="1095"/>
      <c r="C113" s="1095"/>
      <c r="D113" s="1095"/>
      <c r="E113" s="1095"/>
      <c r="F113" s="1095"/>
      <c r="G113" s="1095"/>
      <c r="H113" s="1095"/>
      <c r="I113" s="1095"/>
      <c r="J113" s="1095"/>
      <c r="K113" s="1095"/>
      <c r="L113" s="1095"/>
      <c r="M113" s="1095"/>
      <c r="N113" s="1095"/>
      <c r="O113" s="1095"/>
      <c r="P113" s="1095"/>
      <c r="Q113" s="1095"/>
      <c r="R113" s="1095"/>
      <c r="S113" s="1095"/>
      <c r="T113" s="1095"/>
      <c r="U113" s="1095"/>
      <c r="V113" s="1095"/>
      <c r="W113" s="1095"/>
      <c r="X113" s="1095"/>
      <c r="Y113" s="1095"/>
      <c r="Z113" s="1095"/>
      <c r="AA113" s="1095"/>
      <c r="AB113" s="1095"/>
    </row>
    <row r="114">
      <c r="A114" s="1095"/>
      <c r="B114" s="1095"/>
      <c r="C114" s="1095"/>
      <c r="D114" s="1095"/>
      <c r="E114" s="1095"/>
      <c r="F114" s="1095"/>
      <c r="G114" s="1095"/>
      <c r="H114" s="1095"/>
      <c r="I114" s="1095"/>
      <c r="J114" s="1095"/>
      <c r="K114" s="1095"/>
      <c r="L114" s="1095"/>
      <c r="M114" s="1095"/>
      <c r="N114" s="1095"/>
      <c r="O114" s="1095"/>
      <c r="P114" s="1095"/>
      <c r="Q114" s="1095"/>
      <c r="R114" s="1095"/>
      <c r="S114" s="1095"/>
      <c r="T114" s="1095"/>
      <c r="U114" s="1095"/>
      <c r="V114" s="1095"/>
      <c r="W114" s="1095"/>
      <c r="X114" s="1095"/>
      <c r="Y114" s="1095"/>
      <c r="Z114" s="1095"/>
      <c r="AA114" s="1095"/>
      <c r="AB114" s="1095"/>
    </row>
    <row r="115">
      <c r="A115" s="1095"/>
      <c r="B115" s="1095"/>
      <c r="C115" s="1095"/>
      <c r="D115" s="1095"/>
      <c r="E115" s="1095"/>
      <c r="F115" s="1095"/>
      <c r="G115" s="1095"/>
      <c r="H115" s="1095"/>
      <c r="I115" s="1095"/>
      <c r="J115" s="1095"/>
      <c r="K115" s="1095"/>
      <c r="L115" s="1095"/>
      <c r="M115" s="1095"/>
      <c r="N115" s="1095"/>
      <c r="O115" s="1095"/>
      <c r="P115" s="1095"/>
      <c r="Q115" s="1095"/>
      <c r="R115" s="1095"/>
      <c r="S115" s="1095"/>
      <c r="T115" s="1095"/>
      <c r="U115" s="1095"/>
      <c r="V115" s="1095"/>
      <c r="W115" s="1095"/>
      <c r="X115" s="1095"/>
      <c r="Y115" s="1095"/>
      <c r="Z115" s="1095"/>
      <c r="AA115" s="1095"/>
      <c r="AB115" s="1095"/>
    </row>
    <row r="116">
      <c r="A116" s="1095"/>
      <c r="B116" s="1095"/>
      <c r="C116" s="1095"/>
      <c r="D116" s="1095"/>
      <c r="E116" s="1095"/>
      <c r="F116" s="1095"/>
      <c r="G116" s="1095"/>
      <c r="H116" s="1095"/>
      <c r="I116" s="1095"/>
      <c r="J116" s="1095"/>
      <c r="K116" s="1095"/>
      <c r="L116" s="1095"/>
      <c r="M116" s="1095"/>
      <c r="N116" s="1095"/>
      <c r="O116" s="1095"/>
      <c r="P116" s="1095"/>
      <c r="Q116" s="1095"/>
      <c r="R116" s="1095"/>
      <c r="S116" s="1095"/>
      <c r="T116" s="1095"/>
      <c r="U116" s="1095"/>
      <c r="V116" s="1095"/>
      <c r="W116" s="1095"/>
      <c r="X116" s="1095"/>
      <c r="Y116" s="1095"/>
      <c r="Z116" s="1095"/>
      <c r="AA116" s="1095"/>
      <c r="AB116" s="1095"/>
    </row>
    <row r="117">
      <c r="A117" s="1095"/>
      <c r="B117" s="1095"/>
      <c r="C117" s="1095"/>
      <c r="D117" s="1095"/>
      <c r="E117" s="1095"/>
      <c r="F117" s="1095"/>
      <c r="G117" s="1095"/>
      <c r="H117" s="1095"/>
      <c r="I117" s="1095"/>
      <c r="J117" s="1095"/>
      <c r="K117" s="1095"/>
      <c r="L117" s="1095"/>
      <c r="M117" s="1095"/>
      <c r="N117" s="1095"/>
      <c r="O117" s="1095"/>
      <c r="P117" s="1095"/>
      <c r="Q117" s="1095"/>
      <c r="R117" s="1095"/>
      <c r="S117" s="1095"/>
      <c r="T117" s="1095"/>
      <c r="U117" s="1095"/>
      <c r="V117" s="1095"/>
      <c r="W117" s="1095"/>
      <c r="X117" s="1095"/>
      <c r="Y117" s="1095"/>
      <c r="Z117" s="1095"/>
      <c r="AA117" s="1095"/>
      <c r="AB117" s="1095"/>
    </row>
    <row r="118">
      <c r="A118" s="1095"/>
      <c r="B118" s="1095"/>
      <c r="C118" s="1095"/>
      <c r="D118" s="1095"/>
      <c r="E118" s="1095"/>
      <c r="F118" s="1095"/>
      <c r="G118" s="1095"/>
      <c r="H118" s="1095"/>
      <c r="I118" s="1095"/>
      <c r="J118" s="1095"/>
      <c r="K118" s="1095"/>
      <c r="L118" s="1095"/>
      <c r="M118" s="1095"/>
      <c r="N118" s="1095"/>
      <c r="O118" s="1095"/>
      <c r="P118" s="1095"/>
      <c r="Q118" s="1095"/>
      <c r="R118" s="1095"/>
      <c r="S118" s="1095"/>
      <c r="T118" s="1095"/>
      <c r="U118" s="1095"/>
      <c r="V118" s="1095"/>
      <c r="W118" s="1095"/>
      <c r="X118" s="1095"/>
      <c r="Y118" s="1095"/>
      <c r="Z118" s="1095"/>
      <c r="AA118" s="1095"/>
      <c r="AB118" s="1095"/>
    </row>
    <row r="119">
      <c r="A119" s="1095"/>
      <c r="B119" s="1095"/>
      <c r="C119" s="1095"/>
      <c r="D119" s="1095"/>
      <c r="E119" s="1095"/>
      <c r="F119" s="1095"/>
      <c r="G119" s="1095"/>
      <c r="H119" s="1095"/>
      <c r="I119" s="1095"/>
      <c r="J119" s="1095"/>
      <c r="K119" s="1095"/>
      <c r="L119" s="1095"/>
      <c r="M119" s="1095"/>
      <c r="N119" s="1095"/>
      <c r="O119" s="1095"/>
      <c r="P119" s="1095"/>
      <c r="Q119" s="1095"/>
      <c r="R119" s="1095"/>
      <c r="S119" s="1095"/>
      <c r="T119" s="1095"/>
      <c r="U119" s="1095"/>
      <c r="V119" s="1095"/>
      <c r="W119" s="1095"/>
      <c r="X119" s="1095"/>
      <c r="Y119" s="1095"/>
      <c r="Z119" s="1095"/>
      <c r="AA119" s="1095"/>
      <c r="AB119" s="1095"/>
    </row>
    <row r="120">
      <c r="A120" s="1095"/>
      <c r="B120" s="1095"/>
      <c r="C120" s="1095"/>
      <c r="D120" s="1095"/>
      <c r="E120" s="1095"/>
      <c r="F120" s="1095"/>
      <c r="G120" s="1095"/>
      <c r="H120" s="1095"/>
      <c r="I120" s="1095"/>
      <c r="J120" s="1095"/>
      <c r="K120" s="1095"/>
      <c r="L120" s="1095"/>
      <c r="M120" s="1095"/>
      <c r="N120" s="1095"/>
      <c r="O120" s="1095"/>
      <c r="P120" s="1095"/>
      <c r="Q120" s="1095"/>
      <c r="R120" s="1095"/>
      <c r="S120" s="1095"/>
      <c r="T120" s="1095"/>
      <c r="U120" s="1095"/>
      <c r="V120" s="1095"/>
      <c r="W120" s="1095"/>
      <c r="X120" s="1095"/>
      <c r="Y120" s="1095"/>
      <c r="Z120" s="1095"/>
      <c r="AA120" s="1095"/>
      <c r="AB120" s="1095"/>
    </row>
    <row r="121">
      <c r="A121" s="1095"/>
      <c r="B121" s="1095"/>
      <c r="C121" s="1095"/>
      <c r="D121" s="1095"/>
      <c r="E121" s="1095"/>
      <c r="F121" s="1095"/>
      <c r="G121" s="1095"/>
      <c r="H121" s="1095"/>
      <c r="I121" s="1095"/>
      <c r="J121" s="1095"/>
      <c r="K121" s="1095"/>
      <c r="L121" s="1095"/>
      <c r="M121" s="1095"/>
      <c r="N121" s="1095"/>
      <c r="O121" s="1095"/>
      <c r="P121" s="1095"/>
      <c r="Q121" s="1095"/>
      <c r="R121" s="1095"/>
      <c r="S121" s="1095"/>
      <c r="T121" s="1095"/>
      <c r="U121" s="1095"/>
      <c r="V121" s="1095"/>
      <c r="W121" s="1095"/>
      <c r="X121" s="1095"/>
      <c r="Y121" s="1095"/>
      <c r="Z121" s="1095"/>
      <c r="AA121" s="1095"/>
      <c r="AB121" s="1095"/>
    </row>
    <row r="122">
      <c r="A122" s="1095"/>
      <c r="B122" s="1095"/>
      <c r="C122" s="1095"/>
      <c r="D122" s="1095"/>
      <c r="E122" s="1095"/>
      <c r="F122" s="1095"/>
      <c r="G122" s="1095"/>
      <c r="H122" s="1095"/>
      <c r="I122" s="1095"/>
      <c r="J122" s="1095"/>
      <c r="K122" s="1095"/>
      <c r="L122" s="1095"/>
      <c r="M122" s="1095"/>
      <c r="N122" s="1095"/>
      <c r="O122" s="1095"/>
      <c r="P122" s="1095"/>
      <c r="Q122" s="1095"/>
      <c r="R122" s="1095"/>
      <c r="S122" s="1095"/>
      <c r="T122" s="1095"/>
      <c r="U122" s="1095"/>
      <c r="V122" s="1095"/>
      <c r="W122" s="1095"/>
      <c r="X122" s="1095"/>
      <c r="Y122" s="1095"/>
      <c r="Z122" s="1095"/>
      <c r="AA122" s="1095"/>
      <c r="AB122" s="1095"/>
    </row>
    <row r="123">
      <c r="A123" s="1095"/>
      <c r="B123" s="1095"/>
      <c r="C123" s="1095"/>
      <c r="D123" s="1095"/>
      <c r="E123" s="1095"/>
      <c r="F123" s="1095"/>
      <c r="G123" s="1095"/>
      <c r="H123" s="1095"/>
      <c r="I123" s="1095"/>
      <c r="J123" s="1095"/>
      <c r="K123" s="1095"/>
      <c r="L123" s="1095"/>
      <c r="M123" s="1095"/>
      <c r="N123" s="1095"/>
      <c r="O123" s="1095"/>
      <c r="P123" s="1095"/>
      <c r="Q123" s="1095"/>
      <c r="R123" s="1095"/>
      <c r="S123" s="1095"/>
      <c r="T123" s="1095"/>
      <c r="U123" s="1095"/>
      <c r="V123" s="1095"/>
      <c r="W123" s="1095"/>
      <c r="X123" s="1095"/>
      <c r="Y123" s="1095"/>
      <c r="Z123" s="1095"/>
      <c r="AA123" s="1095"/>
      <c r="AB123" s="1095"/>
    </row>
    <row r="124">
      <c r="A124" s="1095"/>
      <c r="B124" s="1095"/>
      <c r="C124" s="1095"/>
      <c r="D124" s="1095"/>
      <c r="E124" s="1095"/>
      <c r="F124" s="1095"/>
      <c r="G124" s="1095"/>
      <c r="H124" s="1095"/>
      <c r="I124" s="1095"/>
      <c r="J124" s="1095"/>
      <c r="K124" s="1095"/>
      <c r="L124" s="1095"/>
      <c r="M124" s="1095"/>
      <c r="N124" s="1095"/>
      <c r="O124" s="1095"/>
      <c r="P124" s="1095"/>
      <c r="Q124" s="1095"/>
      <c r="R124" s="1095"/>
      <c r="S124" s="1095"/>
      <c r="T124" s="1095"/>
      <c r="U124" s="1095"/>
      <c r="V124" s="1095"/>
      <c r="W124" s="1095"/>
      <c r="X124" s="1095"/>
      <c r="Y124" s="1095"/>
      <c r="Z124" s="1095"/>
      <c r="AA124" s="1095"/>
      <c r="AB124" s="1095"/>
    </row>
    <row r="125">
      <c r="A125" s="1095"/>
      <c r="B125" s="1095"/>
      <c r="C125" s="1095"/>
      <c r="D125" s="1095"/>
      <c r="E125" s="1095"/>
      <c r="F125" s="1095"/>
      <c r="G125" s="1095"/>
      <c r="H125" s="1095"/>
      <c r="I125" s="1095"/>
      <c r="J125" s="1095"/>
      <c r="K125" s="1095"/>
      <c r="L125" s="1095"/>
      <c r="M125" s="1095"/>
      <c r="N125" s="1095"/>
      <c r="O125" s="1095"/>
      <c r="P125" s="1095"/>
      <c r="Q125" s="1095"/>
      <c r="R125" s="1095"/>
      <c r="S125" s="1095"/>
      <c r="T125" s="1095"/>
      <c r="U125" s="1095"/>
      <c r="V125" s="1095"/>
      <c r="W125" s="1095"/>
      <c r="X125" s="1095"/>
      <c r="Y125" s="1095"/>
      <c r="Z125" s="1095"/>
      <c r="AA125" s="1095"/>
      <c r="AB125" s="1095"/>
    </row>
    <row r="126">
      <c r="A126" s="1095"/>
      <c r="B126" s="1095"/>
      <c r="C126" s="1095"/>
      <c r="D126" s="1095"/>
      <c r="E126" s="1095"/>
      <c r="F126" s="1095"/>
      <c r="G126" s="1095"/>
      <c r="H126" s="1095"/>
      <c r="I126" s="1095"/>
      <c r="J126" s="1095"/>
      <c r="K126" s="1095"/>
      <c r="L126" s="1095"/>
      <c r="M126" s="1095"/>
      <c r="N126" s="1095"/>
      <c r="O126" s="1095"/>
      <c r="P126" s="1095"/>
      <c r="Q126" s="1095"/>
      <c r="R126" s="1095"/>
      <c r="S126" s="1095"/>
      <c r="T126" s="1095"/>
      <c r="U126" s="1095"/>
      <c r="V126" s="1095"/>
      <c r="W126" s="1095"/>
      <c r="X126" s="1095"/>
      <c r="Y126" s="1095"/>
      <c r="Z126" s="1095"/>
      <c r="AA126" s="1095"/>
      <c r="AB126" s="1095"/>
    </row>
    <row r="127">
      <c r="A127" s="1095"/>
      <c r="B127" s="1095"/>
      <c r="C127" s="1095"/>
      <c r="D127" s="1095"/>
      <c r="E127" s="1095"/>
      <c r="F127" s="1095"/>
      <c r="G127" s="1095"/>
      <c r="H127" s="1095"/>
      <c r="I127" s="1095"/>
      <c r="J127" s="1095"/>
      <c r="K127" s="1095"/>
      <c r="L127" s="1095"/>
      <c r="M127" s="1095"/>
      <c r="N127" s="1095"/>
      <c r="O127" s="1095"/>
      <c r="P127" s="1095"/>
      <c r="Q127" s="1095"/>
      <c r="R127" s="1095"/>
      <c r="S127" s="1095"/>
      <c r="T127" s="1095"/>
      <c r="U127" s="1095"/>
      <c r="V127" s="1095"/>
      <c r="W127" s="1095"/>
      <c r="X127" s="1095"/>
      <c r="Y127" s="1095"/>
      <c r="Z127" s="1095"/>
      <c r="AA127" s="1095"/>
      <c r="AB127" s="1095"/>
    </row>
    <row r="128">
      <c r="A128" s="1095"/>
      <c r="B128" s="1095"/>
      <c r="C128" s="1095"/>
      <c r="D128" s="1095"/>
      <c r="E128" s="1095"/>
      <c r="F128" s="1095"/>
      <c r="G128" s="1095"/>
      <c r="H128" s="1095"/>
      <c r="I128" s="1095"/>
      <c r="J128" s="1095"/>
      <c r="K128" s="1095"/>
      <c r="L128" s="1095"/>
      <c r="M128" s="1095"/>
      <c r="N128" s="1095"/>
      <c r="O128" s="1095"/>
      <c r="P128" s="1095"/>
      <c r="Q128" s="1095"/>
      <c r="R128" s="1095"/>
      <c r="S128" s="1095"/>
      <c r="T128" s="1095"/>
      <c r="U128" s="1095"/>
      <c r="V128" s="1095"/>
      <c r="W128" s="1095"/>
      <c r="X128" s="1095"/>
      <c r="Y128" s="1095"/>
      <c r="Z128" s="1095"/>
      <c r="AA128" s="1095"/>
      <c r="AB128" s="1095"/>
    </row>
    <row r="129">
      <c r="A129" s="1095"/>
      <c r="B129" s="1095"/>
      <c r="C129" s="1095"/>
      <c r="D129" s="1095"/>
      <c r="E129" s="1095"/>
      <c r="F129" s="1095"/>
      <c r="G129" s="1095"/>
      <c r="H129" s="1095"/>
      <c r="I129" s="1095"/>
      <c r="J129" s="1095"/>
      <c r="K129" s="1095"/>
      <c r="L129" s="1095"/>
      <c r="M129" s="1095"/>
      <c r="N129" s="1095"/>
      <c r="O129" s="1095"/>
      <c r="P129" s="1095"/>
      <c r="Q129" s="1095"/>
      <c r="R129" s="1095"/>
      <c r="S129" s="1095"/>
      <c r="T129" s="1095"/>
      <c r="U129" s="1095"/>
      <c r="V129" s="1095"/>
      <c r="W129" s="1095"/>
      <c r="X129" s="1095"/>
      <c r="Y129" s="1095"/>
      <c r="Z129" s="1095"/>
      <c r="AA129" s="1095"/>
      <c r="AB129" s="1095"/>
    </row>
    <row r="130">
      <c r="A130" s="1095"/>
      <c r="B130" s="1095"/>
      <c r="C130" s="1095"/>
      <c r="D130" s="1095"/>
      <c r="E130" s="1095"/>
      <c r="F130" s="1095"/>
      <c r="G130" s="1095"/>
      <c r="H130" s="1095"/>
      <c r="I130" s="1095"/>
      <c r="J130" s="1095"/>
      <c r="K130" s="1095"/>
      <c r="L130" s="1095"/>
      <c r="M130" s="1095"/>
      <c r="N130" s="1095"/>
      <c r="O130" s="1095"/>
      <c r="P130" s="1095"/>
      <c r="Q130" s="1095"/>
      <c r="R130" s="1095"/>
      <c r="S130" s="1095"/>
      <c r="T130" s="1095"/>
      <c r="U130" s="1095"/>
      <c r="V130" s="1095"/>
      <c r="W130" s="1095"/>
      <c r="X130" s="1095"/>
      <c r="Y130" s="1095"/>
      <c r="Z130" s="1095"/>
      <c r="AA130" s="1095"/>
      <c r="AB130" s="1095"/>
    </row>
    <row r="131">
      <c r="A131" s="1095"/>
      <c r="B131" s="1095"/>
      <c r="C131" s="1095"/>
      <c r="D131" s="1095"/>
      <c r="E131" s="1095"/>
      <c r="F131" s="1095"/>
      <c r="G131" s="1095"/>
      <c r="H131" s="1095"/>
      <c r="I131" s="1095"/>
      <c r="J131" s="1095"/>
      <c r="K131" s="1095"/>
      <c r="L131" s="1095"/>
      <c r="M131" s="1095"/>
      <c r="N131" s="1095"/>
      <c r="O131" s="1095"/>
      <c r="P131" s="1095"/>
      <c r="Q131" s="1095"/>
      <c r="R131" s="1095"/>
      <c r="S131" s="1095"/>
      <c r="T131" s="1095"/>
      <c r="U131" s="1095"/>
      <c r="V131" s="1095"/>
      <c r="W131" s="1095"/>
      <c r="X131" s="1095"/>
      <c r="Y131" s="1095"/>
      <c r="Z131" s="1095"/>
      <c r="AA131" s="1095"/>
      <c r="AB131" s="1095"/>
    </row>
    <row r="132">
      <c r="A132" s="1095"/>
      <c r="B132" s="1095"/>
      <c r="C132" s="1095"/>
      <c r="D132" s="1095"/>
      <c r="E132" s="1095"/>
      <c r="F132" s="1095"/>
      <c r="G132" s="1095"/>
      <c r="H132" s="1095"/>
      <c r="I132" s="1095"/>
      <c r="J132" s="1095"/>
      <c r="K132" s="1095"/>
      <c r="L132" s="1095"/>
      <c r="M132" s="1095"/>
      <c r="N132" s="1095"/>
      <c r="O132" s="1095"/>
      <c r="P132" s="1095"/>
      <c r="Q132" s="1095"/>
      <c r="R132" s="1095"/>
      <c r="S132" s="1095"/>
      <c r="T132" s="1095"/>
      <c r="U132" s="1095"/>
      <c r="V132" s="1095"/>
      <c r="W132" s="1095"/>
      <c r="X132" s="1095"/>
      <c r="Y132" s="1095"/>
      <c r="Z132" s="1095"/>
      <c r="AA132" s="1095"/>
      <c r="AB132" s="1095"/>
    </row>
    <row r="133">
      <c r="A133" s="1095"/>
      <c r="B133" s="1095"/>
      <c r="C133" s="1095"/>
      <c r="D133" s="1095"/>
      <c r="E133" s="1095"/>
      <c r="F133" s="1095"/>
      <c r="G133" s="1095"/>
      <c r="H133" s="1095"/>
      <c r="I133" s="1095"/>
      <c r="J133" s="1095"/>
      <c r="K133" s="1095"/>
      <c r="L133" s="1095"/>
      <c r="M133" s="1095"/>
      <c r="N133" s="1095"/>
      <c r="O133" s="1095"/>
      <c r="P133" s="1095"/>
      <c r="Q133" s="1095"/>
      <c r="R133" s="1095"/>
      <c r="S133" s="1095"/>
      <c r="T133" s="1095"/>
      <c r="U133" s="1095"/>
      <c r="V133" s="1095"/>
      <c r="W133" s="1095"/>
      <c r="X133" s="1095"/>
      <c r="Y133" s="1095"/>
      <c r="Z133" s="1095"/>
      <c r="AA133" s="1095"/>
      <c r="AB133" s="1095"/>
    </row>
    <row r="134">
      <c r="A134" s="1095"/>
      <c r="B134" s="1095"/>
      <c r="C134" s="1095"/>
      <c r="D134" s="1095"/>
      <c r="E134" s="1095"/>
      <c r="F134" s="1095"/>
      <c r="G134" s="1095"/>
      <c r="H134" s="1095"/>
      <c r="I134" s="1095"/>
      <c r="J134" s="1095"/>
      <c r="K134" s="1095"/>
      <c r="L134" s="1095"/>
      <c r="M134" s="1095"/>
      <c r="N134" s="1095"/>
      <c r="O134" s="1095"/>
      <c r="P134" s="1095"/>
      <c r="Q134" s="1095"/>
      <c r="R134" s="1095"/>
      <c r="S134" s="1095"/>
      <c r="T134" s="1095"/>
      <c r="U134" s="1095"/>
      <c r="V134" s="1095"/>
      <c r="W134" s="1095"/>
      <c r="X134" s="1095"/>
      <c r="Y134" s="1095"/>
      <c r="Z134" s="1095"/>
      <c r="AA134" s="1095"/>
      <c r="AB134" s="1095"/>
    </row>
    <row r="135">
      <c r="A135" s="1095"/>
      <c r="B135" s="1095"/>
      <c r="C135" s="1095"/>
      <c r="D135" s="1095"/>
      <c r="E135" s="1095"/>
      <c r="F135" s="1095"/>
      <c r="G135" s="1095"/>
      <c r="H135" s="1095"/>
      <c r="I135" s="1095"/>
      <c r="J135" s="1095"/>
      <c r="K135" s="1095"/>
      <c r="L135" s="1095"/>
      <c r="M135" s="1095"/>
      <c r="N135" s="1095"/>
      <c r="O135" s="1095"/>
      <c r="P135" s="1095"/>
      <c r="Q135" s="1095"/>
      <c r="R135" s="1095"/>
      <c r="S135" s="1095"/>
      <c r="T135" s="1095"/>
      <c r="U135" s="1095"/>
      <c r="V135" s="1095"/>
      <c r="W135" s="1095"/>
      <c r="X135" s="1095"/>
      <c r="Y135" s="1095"/>
      <c r="Z135" s="1095"/>
      <c r="AA135" s="1095"/>
      <c r="AB135" s="1095"/>
    </row>
    <row r="136">
      <c r="A136" s="1095"/>
      <c r="B136" s="1095"/>
      <c r="C136" s="1095"/>
      <c r="D136" s="1095"/>
      <c r="E136" s="1095"/>
      <c r="F136" s="1095"/>
      <c r="G136" s="1095"/>
      <c r="H136" s="1095"/>
      <c r="I136" s="1095"/>
      <c r="J136" s="1095"/>
      <c r="K136" s="1095"/>
      <c r="L136" s="1095"/>
      <c r="M136" s="1095"/>
      <c r="N136" s="1095"/>
      <c r="O136" s="1095"/>
      <c r="P136" s="1095"/>
      <c r="Q136" s="1095"/>
      <c r="R136" s="1095"/>
      <c r="S136" s="1095"/>
      <c r="T136" s="1095"/>
      <c r="U136" s="1095"/>
      <c r="V136" s="1095"/>
      <c r="W136" s="1095"/>
      <c r="X136" s="1095"/>
      <c r="Y136" s="1095"/>
      <c r="Z136" s="1095"/>
      <c r="AA136" s="1095"/>
      <c r="AB136" s="1095"/>
    </row>
    <row r="137">
      <c r="A137" s="1095"/>
      <c r="B137" s="1095"/>
      <c r="C137" s="1095"/>
      <c r="D137" s="1095"/>
      <c r="E137" s="1095"/>
      <c r="F137" s="1095"/>
      <c r="G137" s="1095"/>
      <c r="H137" s="1095"/>
      <c r="I137" s="1095"/>
      <c r="J137" s="1095"/>
      <c r="K137" s="1095"/>
      <c r="L137" s="1095"/>
      <c r="M137" s="1095"/>
      <c r="N137" s="1095"/>
      <c r="O137" s="1095"/>
      <c r="P137" s="1095"/>
      <c r="Q137" s="1095"/>
      <c r="R137" s="1095"/>
      <c r="S137" s="1095"/>
      <c r="T137" s="1095"/>
      <c r="U137" s="1095"/>
      <c r="V137" s="1095"/>
      <c r="W137" s="1095"/>
      <c r="X137" s="1095"/>
      <c r="Y137" s="1095"/>
      <c r="Z137" s="1095"/>
      <c r="AA137" s="1095"/>
      <c r="AB137" s="1095"/>
    </row>
    <row r="138">
      <c r="A138" s="1095"/>
      <c r="B138" s="1095"/>
      <c r="C138" s="1095"/>
      <c r="D138" s="1095"/>
      <c r="E138" s="1095"/>
      <c r="F138" s="1095"/>
      <c r="G138" s="1095"/>
      <c r="H138" s="1095"/>
      <c r="I138" s="1095"/>
      <c r="J138" s="1095"/>
      <c r="K138" s="1095"/>
      <c r="L138" s="1095"/>
      <c r="M138" s="1095"/>
      <c r="N138" s="1095"/>
      <c r="O138" s="1095"/>
      <c r="P138" s="1095"/>
      <c r="Q138" s="1095"/>
      <c r="R138" s="1095"/>
      <c r="S138" s="1095"/>
      <c r="T138" s="1095"/>
      <c r="U138" s="1095"/>
      <c r="V138" s="1095"/>
      <c r="W138" s="1095"/>
      <c r="X138" s="1095"/>
      <c r="Y138" s="1095"/>
      <c r="Z138" s="1095"/>
      <c r="AA138" s="1095"/>
      <c r="AB138" s="1095"/>
    </row>
    <row r="139">
      <c r="A139" s="1095"/>
      <c r="B139" s="1095"/>
      <c r="C139" s="1095"/>
      <c r="D139" s="1095"/>
      <c r="E139" s="1095"/>
      <c r="F139" s="1095"/>
      <c r="G139" s="1095"/>
      <c r="H139" s="1095"/>
      <c r="I139" s="1095"/>
      <c r="J139" s="1095"/>
      <c r="K139" s="1095"/>
      <c r="L139" s="1095"/>
      <c r="M139" s="1095"/>
      <c r="N139" s="1095"/>
      <c r="O139" s="1095"/>
      <c r="P139" s="1095"/>
      <c r="Q139" s="1095"/>
      <c r="R139" s="1095"/>
      <c r="S139" s="1095"/>
      <c r="T139" s="1095"/>
      <c r="U139" s="1095"/>
      <c r="V139" s="1095"/>
      <c r="W139" s="1095"/>
      <c r="X139" s="1095"/>
      <c r="Y139" s="1095"/>
      <c r="Z139" s="1095"/>
      <c r="AA139" s="1095"/>
      <c r="AB139" s="1095"/>
    </row>
    <row r="140">
      <c r="A140" s="1095"/>
      <c r="B140" s="1095"/>
      <c r="C140" s="1095"/>
      <c r="D140" s="1095"/>
      <c r="E140" s="1095"/>
      <c r="F140" s="1095"/>
      <c r="G140" s="1095"/>
      <c r="H140" s="1095"/>
      <c r="I140" s="1095"/>
      <c r="J140" s="1095"/>
      <c r="K140" s="1095"/>
      <c r="L140" s="1095"/>
      <c r="M140" s="1095"/>
      <c r="N140" s="1095"/>
      <c r="O140" s="1095"/>
      <c r="P140" s="1095"/>
      <c r="Q140" s="1095"/>
      <c r="R140" s="1095"/>
      <c r="S140" s="1095"/>
      <c r="T140" s="1095"/>
      <c r="U140" s="1095"/>
      <c r="V140" s="1095"/>
      <c r="W140" s="1095"/>
      <c r="X140" s="1095"/>
      <c r="Y140" s="1095"/>
      <c r="Z140" s="1095"/>
      <c r="AA140" s="1095"/>
      <c r="AB140" s="1095"/>
    </row>
    <row r="141">
      <c r="A141" s="1095"/>
      <c r="B141" s="1095"/>
      <c r="C141" s="1095"/>
      <c r="D141" s="1095"/>
      <c r="E141" s="1095"/>
      <c r="F141" s="1095"/>
      <c r="G141" s="1095"/>
      <c r="H141" s="1095"/>
      <c r="I141" s="1095"/>
      <c r="J141" s="1095"/>
      <c r="K141" s="1095"/>
      <c r="L141" s="1095"/>
      <c r="M141" s="1095"/>
      <c r="N141" s="1095"/>
      <c r="O141" s="1095"/>
      <c r="P141" s="1095"/>
      <c r="Q141" s="1095"/>
      <c r="R141" s="1095"/>
      <c r="S141" s="1095"/>
      <c r="T141" s="1095"/>
      <c r="U141" s="1095"/>
      <c r="V141" s="1095"/>
      <c r="W141" s="1095"/>
      <c r="X141" s="1095"/>
      <c r="Y141" s="1095"/>
      <c r="Z141" s="1095"/>
      <c r="AA141" s="1095"/>
      <c r="AB141" s="1095"/>
    </row>
    <row r="142">
      <c r="A142" s="1095"/>
      <c r="B142" s="1095"/>
      <c r="C142" s="1095"/>
      <c r="D142" s="1095"/>
      <c r="E142" s="1095"/>
      <c r="F142" s="1095"/>
      <c r="G142" s="1095"/>
      <c r="H142" s="1095"/>
      <c r="I142" s="1095"/>
      <c r="J142" s="1095"/>
      <c r="K142" s="1095"/>
      <c r="L142" s="1095"/>
      <c r="M142" s="1095"/>
      <c r="N142" s="1095"/>
      <c r="O142" s="1095"/>
      <c r="P142" s="1095"/>
      <c r="Q142" s="1095"/>
      <c r="R142" s="1095"/>
      <c r="S142" s="1095"/>
      <c r="T142" s="1095"/>
      <c r="U142" s="1095"/>
      <c r="V142" s="1095"/>
      <c r="W142" s="1095"/>
      <c r="X142" s="1095"/>
      <c r="Y142" s="1095"/>
      <c r="Z142" s="1095"/>
      <c r="AA142" s="1095"/>
      <c r="AB142" s="1095"/>
    </row>
    <row r="143">
      <c r="A143" s="1095"/>
      <c r="B143" s="1095"/>
      <c r="C143" s="1095"/>
      <c r="D143" s="1095"/>
      <c r="E143" s="1095"/>
      <c r="F143" s="1095"/>
      <c r="G143" s="1095"/>
      <c r="H143" s="1095"/>
      <c r="I143" s="1095"/>
      <c r="J143" s="1095"/>
      <c r="K143" s="1095"/>
      <c r="L143" s="1095"/>
      <c r="M143" s="1095"/>
      <c r="N143" s="1095"/>
      <c r="O143" s="1095"/>
      <c r="P143" s="1095"/>
      <c r="Q143" s="1095"/>
      <c r="R143" s="1095"/>
      <c r="S143" s="1095"/>
      <c r="T143" s="1095"/>
      <c r="U143" s="1095"/>
      <c r="V143" s="1095"/>
      <c r="W143" s="1095"/>
      <c r="X143" s="1095"/>
      <c r="Y143" s="1095"/>
      <c r="Z143" s="1095"/>
      <c r="AA143" s="1095"/>
      <c r="AB143" s="1095"/>
    </row>
    <row r="144">
      <c r="A144" s="1095"/>
      <c r="B144" s="1095"/>
      <c r="C144" s="1095"/>
      <c r="D144" s="1095"/>
      <c r="E144" s="1095"/>
      <c r="F144" s="1095"/>
      <c r="G144" s="1095"/>
      <c r="H144" s="1095"/>
      <c r="I144" s="1095"/>
      <c r="J144" s="1095"/>
      <c r="K144" s="1095"/>
      <c r="L144" s="1095"/>
      <c r="M144" s="1095"/>
      <c r="N144" s="1095"/>
      <c r="O144" s="1095"/>
      <c r="P144" s="1095"/>
      <c r="Q144" s="1095"/>
      <c r="R144" s="1095"/>
      <c r="S144" s="1095"/>
      <c r="T144" s="1095"/>
      <c r="U144" s="1095"/>
      <c r="V144" s="1095"/>
      <c r="W144" s="1095"/>
      <c r="X144" s="1095"/>
      <c r="Y144" s="1095"/>
      <c r="Z144" s="1095"/>
      <c r="AA144" s="1095"/>
      <c r="AB144" s="1095"/>
    </row>
    <row r="145">
      <c r="A145" s="1095"/>
      <c r="B145" s="1095"/>
      <c r="C145" s="1095"/>
      <c r="D145" s="1095"/>
      <c r="E145" s="1095"/>
      <c r="F145" s="1095"/>
      <c r="G145" s="1095"/>
      <c r="H145" s="1095"/>
      <c r="I145" s="1095"/>
      <c r="J145" s="1095"/>
      <c r="K145" s="1095"/>
      <c r="L145" s="1095"/>
      <c r="M145" s="1095"/>
      <c r="N145" s="1095"/>
      <c r="O145" s="1095"/>
      <c r="P145" s="1095"/>
      <c r="Q145" s="1095"/>
      <c r="R145" s="1095"/>
      <c r="S145" s="1095"/>
      <c r="T145" s="1095"/>
      <c r="U145" s="1095"/>
      <c r="V145" s="1095"/>
      <c r="W145" s="1095"/>
      <c r="X145" s="1095"/>
      <c r="Y145" s="1095"/>
      <c r="Z145" s="1095"/>
      <c r="AA145" s="1095"/>
      <c r="AB145" s="1095"/>
    </row>
    <row r="146">
      <c r="A146" s="1095"/>
      <c r="B146" s="1095"/>
      <c r="C146" s="1095"/>
      <c r="D146" s="1095"/>
      <c r="E146" s="1095"/>
      <c r="F146" s="1095"/>
      <c r="G146" s="1095"/>
      <c r="H146" s="1095"/>
      <c r="I146" s="1095"/>
      <c r="J146" s="1095"/>
      <c r="K146" s="1095"/>
      <c r="L146" s="1095"/>
      <c r="M146" s="1095"/>
      <c r="N146" s="1095"/>
      <c r="O146" s="1095"/>
      <c r="P146" s="1095"/>
      <c r="Q146" s="1095"/>
      <c r="R146" s="1095"/>
      <c r="S146" s="1095"/>
      <c r="T146" s="1095"/>
      <c r="U146" s="1095"/>
      <c r="V146" s="1095"/>
      <c r="W146" s="1095"/>
      <c r="X146" s="1095"/>
      <c r="Y146" s="1095"/>
      <c r="Z146" s="1095"/>
      <c r="AA146" s="1095"/>
      <c r="AB146" s="1095"/>
    </row>
    <row r="147">
      <c r="A147" s="1095"/>
      <c r="B147" s="1095"/>
      <c r="C147" s="1095"/>
      <c r="D147" s="1095"/>
      <c r="E147" s="1095"/>
      <c r="F147" s="1095"/>
      <c r="G147" s="1095"/>
      <c r="H147" s="1095"/>
      <c r="I147" s="1095"/>
      <c r="J147" s="1095"/>
      <c r="K147" s="1095"/>
      <c r="L147" s="1095"/>
      <c r="M147" s="1095"/>
      <c r="N147" s="1095"/>
      <c r="O147" s="1095"/>
      <c r="P147" s="1095"/>
      <c r="Q147" s="1095"/>
      <c r="R147" s="1095"/>
      <c r="S147" s="1095"/>
      <c r="T147" s="1095"/>
      <c r="U147" s="1095"/>
      <c r="V147" s="1095"/>
      <c r="W147" s="1095"/>
      <c r="X147" s="1095"/>
      <c r="Y147" s="1095"/>
      <c r="Z147" s="1095"/>
      <c r="AA147" s="1095"/>
      <c r="AB147" s="1095"/>
    </row>
    <row r="148">
      <c r="A148" s="1095"/>
      <c r="B148" s="1095"/>
      <c r="C148" s="1095"/>
      <c r="D148" s="1095"/>
      <c r="E148" s="1095"/>
      <c r="F148" s="1095"/>
      <c r="G148" s="1095"/>
      <c r="H148" s="1095"/>
      <c r="I148" s="1095"/>
      <c r="J148" s="1095"/>
      <c r="K148" s="1095"/>
      <c r="L148" s="1095"/>
      <c r="M148" s="1095"/>
      <c r="N148" s="1095"/>
      <c r="O148" s="1095"/>
      <c r="P148" s="1095"/>
      <c r="Q148" s="1095"/>
      <c r="R148" s="1095"/>
      <c r="S148" s="1095"/>
      <c r="T148" s="1095"/>
      <c r="U148" s="1095"/>
      <c r="V148" s="1095"/>
      <c r="W148" s="1095"/>
      <c r="X148" s="1095"/>
      <c r="Y148" s="1095"/>
      <c r="Z148" s="1095"/>
      <c r="AA148" s="1095"/>
      <c r="AB148" s="1095"/>
    </row>
    <row r="149">
      <c r="A149" s="1095"/>
      <c r="B149" s="1095"/>
      <c r="C149" s="1095"/>
      <c r="D149" s="1095"/>
      <c r="E149" s="1095"/>
      <c r="F149" s="1095"/>
      <c r="G149" s="1095"/>
      <c r="H149" s="1095"/>
      <c r="I149" s="1095"/>
      <c r="J149" s="1095"/>
      <c r="K149" s="1095"/>
      <c r="L149" s="1095"/>
      <c r="M149" s="1095"/>
      <c r="N149" s="1095"/>
      <c r="O149" s="1095"/>
      <c r="P149" s="1095"/>
      <c r="Q149" s="1095"/>
      <c r="R149" s="1095"/>
      <c r="S149" s="1095"/>
      <c r="T149" s="1095"/>
      <c r="U149" s="1095"/>
      <c r="V149" s="1095"/>
      <c r="W149" s="1095"/>
      <c r="X149" s="1095"/>
      <c r="Y149" s="1095"/>
      <c r="Z149" s="1095"/>
      <c r="AA149" s="1095"/>
      <c r="AB149" s="1095"/>
    </row>
    <row r="150">
      <c r="A150" s="1095"/>
      <c r="B150" s="1095"/>
      <c r="C150" s="1095"/>
      <c r="D150" s="1095"/>
      <c r="E150" s="1095"/>
      <c r="F150" s="1095"/>
      <c r="G150" s="1095"/>
      <c r="H150" s="1095"/>
      <c r="I150" s="1095"/>
      <c r="J150" s="1095"/>
      <c r="K150" s="1095"/>
      <c r="L150" s="1095"/>
      <c r="M150" s="1095"/>
      <c r="N150" s="1095"/>
      <c r="O150" s="1095"/>
      <c r="P150" s="1095"/>
      <c r="Q150" s="1095"/>
      <c r="R150" s="1095"/>
      <c r="S150" s="1095"/>
      <c r="T150" s="1095"/>
      <c r="U150" s="1095"/>
      <c r="V150" s="1095"/>
      <c r="W150" s="1095"/>
      <c r="X150" s="1095"/>
      <c r="Y150" s="1095"/>
      <c r="Z150" s="1095"/>
      <c r="AA150" s="1095"/>
      <c r="AB150" s="1095"/>
    </row>
    <row r="151">
      <c r="A151" s="1095"/>
      <c r="B151" s="1095"/>
      <c r="C151" s="1095"/>
      <c r="D151" s="1095"/>
      <c r="E151" s="1095"/>
      <c r="F151" s="1095"/>
      <c r="G151" s="1095"/>
      <c r="H151" s="1095"/>
      <c r="I151" s="1095"/>
      <c r="J151" s="1095"/>
      <c r="K151" s="1095"/>
      <c r="L151" s="1095"/>
      <c r="M151" s="1095"/>
      <c r="N151" s="1095"/>
      <c r="O151" s="1095"/>
      <c r="P151" s="1095"/>
      <c r="Q151" s="1095"/>
      <c r="R151" s="1095"/>
      <c r="S151" s="1095"/>
      <c r="T151" s="1095"/>
      <c r="U151" s="1095"/>
      <c r="V151" s="1095"/>
      <c r="W151" s="1095"/>
      <c r="X151" s="1095"/>
      <c r="Y151" s="1095"/>
      <c r="Z151" s="1095"/>
      <c r="AA151" s="1095"/>
      <c r="AB151" s="1095"/>
    </row>
    <row r="152">
      <c r="A152" s="1095"/>
      <c r="B152" s="1095"/>
      <c r="C152" s="1095"/>
      <c r="D152" s="1095"/>
      <c r="E152" s="1095"/>
      <c r="F152" s="1095"/>
      <c r="G152" s="1095"/>
      <c r="H152" s="1095"/>
      <c r="I152" s="1095"/>
      <c r="J152" s="1095"/>
      <c r="K152" s="1095"/>
      <c r="L152" s="1095"/>
      <c r="M152" s="1095"/>
      <c r="N152" s="1095"/>
      <c r="O152" s="1095"/>
      <c r="P152" s="1095"/>
      <c r="Q152" s="1095"/>
      <c r="R152" s="1095"/>
      <c r="S152" s="1095"/>
      <c r="T152" s="1095"/>
      <c r="U152" s="1095"/>
      <c r="V152" s="1095"/>
      <c r="W152" s="1095"/>
      <c r="X152" s="1095"/>
      <c r="Y152" s="1095"/>
      <c r="Z152" s="1095"/>
      <c r="AA152" s="1095"/>
      <c r="AB152" s="1095"/>
    </row>
    <row r="153">
      <c r="A153" s="1095"/>
      <c r="B153" s="1095"/>
      <c r="C153" s="1095"/>
      <c r="D153" s="1095"/>
      <c r="E153" s="1095"/>
      <c r="F153" s="1095"/>
      <c r="G153" s="1095"/>
      <c r="H153" s="1095"/>
      <c r="I153" s="1095"/>
      <c r="J153" s="1095"/>
      <c r="K153" s="1095"/>
      <c r="L153" s="1095"/>
      <c r="M153" s="1095"/>
      <c r="N153" s="1095"/>
      <c r="O153" s="1095"/>
      <c r="P153" s="1095"/>
      <c r="Q153" s="1095"/>
      <c r="R153" s="1095"/>
      <c r="S153" s="1095"/>
      <c r="T153" s="1095"/>
      <c r="U153" s="1095"/>
      <c r="V153" s="1095"/>
      <c r="W153" s="1095"/>
      <c r="X153" s="1095"/>
      <c r="Y153" s="1095"/>
      <c r="Z153" s="1095"/>
      <c r="AA153" s="1095"/>
      <c r="AB153" s="1095"/>
    </row>
    <row r="154">
      <c r="A154" s="1095"/>
      <c r="B154" s="1095"/>
      <c r="C154" s="1095"/>
      <c r="D154" s="1095"/>
      <c r="E154" s="1095"/>
      <c r="F154" s="1095"/>
      <c r="G154" s="1095"/>
      <c r="H154" s="1095"/>
      <c r="I154" s="1095"/>
      <c r="J154" s="1095"/>
      <c r="K154" s="1095"/>
      <c r="L154" s="1095"/>
      <c r="M154" s="1095"/>
      <c r="N154" s="1095"/>
      <c r="O154" s="1095"/>
      <c r="P154" s="1095"/>
      <c r="Q154" s="1095"/>
      <c r="R154" s="1095"/>
      <c r="S154" s="1095"/>
      <c r="T154" s="1095"/>
      <c r="U154" s="1095"/>
      <c r="V154" s="1095"/>
      <c r="W154" s="1095"/>
      <c r="X154" s="1095"/>
      <c r="Y154" s="1095"/>
      <c r="Z154" s="1095"/>
      <c r="AA154" s="1095"/>
      <c r="AB154" s="1095"/>
    </row>
    <row r="155">
      <c r="A155" s="1095"/>
      <c r="B155" s="1095"/>
      <c r="C155" s="1095"/>
      <c r="D155" s="1095"/>
      <c r="E155" s="1095"/>
      <c r="F155" s="1095"/>
      <c r="G155" s="1095"/>
      <c r="H155" s="1095"/>
      <c r="I155" s="1095"/>
      <c r="J155" s="1095"/>
      <c r="K155" s="1095"/>
      <c r="L155" s="1095"/>
      <c r="M155" s="1095"/>
      <c r="N155" s="1095"/>
      <c r="O155" s="1095"/>
      <c r="P155" s="1095"/>
      <c r="Q155" s="1095"/>
      <c r="R155" s="1095"/>
      <c r="S155" s="1095"/>
      <c r="T155" s="1095"/>
      <c r="U155" s="1095"/>
      <c r="V155" s="1095"/>
      <c r="W155" s="1095"/>
      <c r="X155" s="1095"/>
      <c r="Y155" s="1095"/>
      <c r="Z155" s="1095"/>
      <c r="AA155" s="1095"/>
      <c r="AB155" s="1095"/>
    </row>
    <row r="156">
      <c r="A156" s="1095"/>
      <c r="B156" s="1095"/>
      <c r="C156" s="1095"/>
      <c r="D156" s="1095"/>
      <c r="E156" s="1095"/>
      <c r="F156" s="1095"/>
      <c r="G156" s="1095"/>
      <c r="H156" s="1095"/>
      <c r="I156" s="1095"/>
      <c r="J156" s="1095"/>
      <c r="K156" s="1095"/>
      <c r="L156" s="1095"/>
      <c r="M156" s="1095"/>
      <c r="N156" s="1095"/>
      <c r="O156" s="1095"/>
      <c r="P156" s="1095"/>
      <c r="Q156" s="1095"/>
      <c r="R156" s="1095"/>
      <c r="S156" s="1095"/>
      <c r="T156" s="1095"/>
      <c r="U156" s="1095"/>
      <c r="V156" s="1095"/>
      <c r="W156" s="1095"/>
      <c r="X156" s="1095"/>
      <c r="Y156" s="1095"/>
      <c r="Z156" s="1095"/>
      <c r="AA156" s="1095"/>
      <c r="AB156" s="1095"/>
    </row>
    <row r="157">
      <c r="A157" s="1095"/>
      <c r="B157" s="1095"/>
      <c r="C157" s="1095"/>
      <c r="D157" s="1095"/>
      <c r="E157" s="1095"/>
      <c r="F157" s="1095"/>
      <c r="G157" s="1095"/>
      <c r="H157" s="1095"/>
      <c r="I157" s="1095"/>
      <c r="J157" s="1095"/>
      <c r="K157" s="1095"/>
      <c r="L157" s="1095"/>
      <c r="M157" s="1095"/>
      <c r="N157" s="1095"/>
      <c r="O157" s="1095"/>
      <c r="P157" s="1095"/>
      <c r="Q157" s="1095"/>
      <c r="R157" s="1095"/>
      <c r="S157" s="1095"/>
      <c r="T157" s="1095"/>
      <c r="U157" s="1095"/>
      <c r="V157" s="1095"/>
      <c r="W157" s="1095"/>
      <c r="X157" s="1095"/>
      <c r="Y157" s="1095"/>
      <c r="Z157" s="1095"/>
      <c r="AA157" s="1095"/>
      <c r="AB157" s="1095"/>
    </row>
    <row r="158">
      <c r="A158" s="1095"/>
      <c r="B158" s="1095"/>
      <c r="C158" s="1095"/>
      <c r="D158" s="1095"/>
      <c r="E158" s="1095"/>
      <c r="F158" s="1095"/>
      <c r="G158" s="1095"/>
      <c r="H158" s="1095"/>
      <c r="I158" s="1095"/>
      <c r="J158" s="1095"/>
      <c r="K158" s="1095"/>
      <c r="L158" s="1095"/>
      <c r="M158" s="1095"/>
      <c r="N158" s="1095"/>
      <c r="O158" s="1095"/>
      <c r="P158" s="1095"/>
      <c r="Q158" s="1095"/>
      <c r="R158" s="1095"/>
      <c r="S158" s="1095"/>
      <c r="T158" s="1095"/>
      <c r="U158" s="1095"/>
      <c r="V158" s="1095"/>
      <c r="W158" s="1095"/>
      <c r="X158" s="1095"/>
      <c r="Y158" s="1095"/>
      <c r="Z158" s="1095"/>
      <c r="AA158" s="1095"/>
      <c r="AB158" s="1095"/>
    </row>
    <row r="159">
      <c r="A159" s="1095"/>
      <c r="B159" s="1095"/>
      <c r="C159" s="1095"/>
      <c r="D159" s="1095"/>
      <c r="E159" s="1095"/>
      <c r="F159" s="1095"/>
      <c r="G159" s="1095"/>
      <c r="H159" s="1095"/>
      <c r="I159" s="1095"/>
      <c r="J159" s="1095"/>
      <c r="K159" s="1095"/>
      <c r="L159" s="1095"/>
      <c r="M159" s="1095"/>
      <c r="N159" s="1095"/>
      <c r="O159" s="1095"/>
      <c r="P159" s="1095"/>
      <c r="Q159" s="1095"/>
      <c r="R159" s="1095"/>
      <c r="S159" s="1095"/>
      <c r="T159" s="1095"/>
      <c r="U159" s="1095"/>
      <c r="V159" s="1095"/>
      <c r="W159" s="1095"/>
      <c r="X159" s="1095"/>
      <c r="Y159" s="1095"/>
      <c r="Z159" s="1095"/>
      <c r="AA159" s="1095"/>
      <c r="AB159" s="1095"/>
    </row>
    <row r="160">
      <c r="A160" s="1095"/>
      <c r="B160" s="1095"/>
      <c r="C160" s="1095"/>
      <c r="D160" s="1095"/>
      <c r="E160" s="1095"/>
      <c r="F160" s="1095"/>
      <c r="G160" s="1095"/>
      <c r="H160" s="1095"/>
      <c r="I160" s="1095"/>
      <c r="J160" s="1095"/>
      <c r="K160" s="1095"/>
      <c r="L160" s="1095"/>
      <c r="M160" s="1095"/>
      <c r="N160" s="1095"/>
      <c r="O160" s="1095"/>
      <c r="P160" s="1095"/>
      <c r="Q160" s="1095"/>
      <c r="R160" s="1095"/>
      <c r="S160" s="1095"/>
      <c r="T160" s="1095"/>
      <c r="U160" s="1095"/>
      <c r="V160" s="1095"/>
      <c r="W160" s="1095"/>
      <c r="X160" s="1095"/>
      <c r="Y160" s="1095"/>
      <c r="Z160" s="1095"/>
      <c r="AA160" s="1095"/>
      <c r="AB160" s="1095"/>
    </row>
    <row r="161">
      <c r="A161" s="1095"/>
      <c r="B161" s="1095"/>
      <c r="C161" s="1095"/>
      <c r="D161" s="1095"/>
      <c r="E161" s="1095"/>
      <c r="F161" s="1095"/>
      <c r="G161" s="1095"/>
      <c r="H161" s="1095"/>
      <c r="I161" s="1095"/>
      <c r="J161" s="1095"/>
      <c r="K161" s="1095"/>
      <c r="L161" s="1095"/>
      <c r="M161" s="1095"/>
      <c r="N161" s="1095"/>
      <c r="O161" s="1095"/>
      <c r="P161" s="1095"/>
      <c r="Q161" s="1095"/>
      <c r="R161" s="1095"/>
      <c r="S161" s="1095"/>
      <c r="T161" s="1095"/>
      <c r="U161" s="1095"/>
      <c r="V161" s="1095"/>
      <c r="W161" s="1095"/>
      <c r="X161" s="1095"/>
      <c r="Y161" s="1095"/>
      <c r="Z161" s="1095"/>
      <c r="AA161" s="1095"/>
      <c r="AB161" s="1095"/>
    </row>
    <row r="162">
      <c r="A162" s="1095"/>
      <c r="B162" s="1095"/>
      <c r="C162" s="1095"/>
      <c r="D162" s="1095"/>
      <c r="E162" s="1095"/>
      <c r="F162" s="1095"/>
      <c r="G162" s="1095"/>
      <c r="H162" s="1095"/>
      <c r="I162" s="1095"/>
      <c r="J162" s="1095"/>
      <c r="K162" s="1095"/>
      <c r="L162" s="1095"/>
      <c r="M162" s="1095"/>
      <c r="N162" s="1095"/>
      <c r="O162" s="1095"/>
      <c r="P162" s="1095"/>
      <c r="Q162" s="1095"/>
      <c r="R162" s="1095"/>
      <c r="S162" s="1095"/>
      <c r="T162" s="1095"/>
      <c r="U162" s="1095"/>
      <c r="V162" s="1095"/>
      <c r="W162" s="1095"/>
      <c r="X162" s="1095"/>
      <c r="Y162" s="1095"/>
      <c r="Z162" s="1095"/>
      <c r="AA162" s="1095"/>
      <c r="AB162" s="1095"/>
    </row>
    <row r="163">
      <c r="A163" s="1095"/>
      <c r="B163" s="1095"/>
      <c r="C163" s="1095"/>
      <c r="D163" s="1095"/>
      <c r="E163" s="1095"/>
      <c r="F163" s="1095"/>
      <c r="G163" s="1095"/>
      <c r="H163" s="1095"/>
      <c r="I163" s="1095"/>
      <c r="J163" s="1095"/>
      <c r="K163" s="1095"/>
      <c r="L163" s="1095"/>
      <c r="M163" s="1095"/>
      <c r="N163" s="1095"/>
      <c r="O163" s="1095"/>
      <c r="P163" s="1095"/>
      <c r="Q163" s="1095"/>
      <c r="R163" s="1095"/>
      <c r="S163" s="1095"/>
      <c r="T163" s="1095"/>
      <c r="U163" s="1095"/>
      <c r="V163" s="1095"/>
      <c r="W163" s="1095"/>
      <c r="X163" s="1095"/>
      <c r="Y163" s="1095"/>
      <c r="Z163" s="1095"/>
      <c r="AA163" s="1095"/>
      <c r="AB163" s="1095"/>
    </row>
    <row r="164">
      <c r="A164" s="1095"/>
      <c r="B164" s="1095"/>
      <c r="C164" s="1095"/>
      <c r="D164" s="1095"/>
      <c r="E164" s="1095"/>
      <c r="F164" s="1095"/>
      <c r="G164" s="1095"/>
      <c r="H164" s="1095"/>
      <c r="I164" s="1095"/>
      <c r="J164" s="1095"/>
      <c r="K164" s="1095"/>
      <c r="L164" s="1095"/>
      <c r="M164" s="1095"/>
      <c r="N164" s="1095"/>
      <c r="O164" s="1095"/>
      <c r="P164" s="1095"/>
      <c r="Q164" s="1095"/>
      <c r="R164" s="1095"/>
      <c r="S164" s="1095"/>
      <c r="T164" s="1095"/>
      <c r="U164" s="1095"/>
      <c r="V164" s="1095"/>
      <c r="W164" s="1095"/>
      <c r="X164" s="1095"/>
      <c r="Y164" s="1095"/>
      <c r="Z164" s="1095"/>
      <c r="AA164" s="1095"/>
      <c r="AB164" s="1095"/>
    </row>
    <row r="165">
      <c r="A165" s="1095"/>
      <c r="B165" s="1095"/>
      <c r="C165" s="1095"/>
      <c r="D165" s="1095"/>
      <c r="E165" s="1095"/>
      <c r="F165" s="1095"/>
      <c r="G165" s="1095"/>
      <c r="H165" s="1095"/>
      <c r="I165" s="1095"/>
      <c r="J165" s="1095"/>
      <c r="K165" s="1095"/>
      <c r="L165" s="1095"/>
      <c r="M165" s="1095"/>
      <c r="N165" s="1095"/>
      <c r="O165" s="1095"/>
      <c r="P165" s="1095"/>
      <c r="Q165" s="1095"/>
      <c r="R165" s="1095"/>
      <c r="S165" s="1095"/>
      <c r="T165" s="1095"/>
      <c r="U165" s="1095"/>
      <c r="V165" s="1095"/>
      <c r="W165" s="1095"/>
      <c r="X165" s="1095"/>
      <c r="Y165" s="1095"/>
      <c r="Z165" s="1095"/>
      <c r="AA165" s="1095"/>
      <c r="AB165" s="1095"/>
    </row>
    <row r="166">
      <c r="A166" s="1095"/>
      <c r="B166" s="1095"/>
      <c r="C166" s="1095"/>
      <c r="D166" s="1095"/>
      <c r="E166" s="1095"/>
      <c r="F166" s="1095"/>
      <c r="G166" s="1095"/>
      <c r="H166" s="1095"/>
      <c r="I166" s="1095"/>
      <c r="J166" s="1095"/>
      <c r="K166" s="1095"/>
      <c r="L166" s="1095"/>
      <c r="M166" s="1095"/>
      <c r="N166" s="1095"/>
      <c r="O166" s="1095"/>
      <c r="P166" s="1095"/>
      <c r="Q166" s="1095"/>
      <c r="R166" s="1095"/>
      <c r="S166" s="1095"/>
      <c r="T166" s="1095"/>
      <c r="U166" s="1095"/>
      <c r="V166" s="1095"/>
      <c r="W166" s="1095"/>
      <c r="X166" s="1095"/>
      <c r="Y166" s="1095"/>
      <c r="Z166" s="1095"/>
      <c r="AA166" s="1095"/>
      <c r="AB166" s="1095"/>
    </row>
    <row r="167">
      <c r="A167" s="1095"/>
      <c r="B167" s="1095"/>
      <c r="C167" s="1095"/>
      <c r="D167" s="1095"/>
      <c r="E167" s="1095"/>
      <c r="F167" s="1095"/>
      <c r="G167" s="1095"/>
      <c r="H167" s="1095"/>
      <c r="I167" s="1095"/>
      <c r="J167" s="1095"/>
      <c r="K167" s="1095"/>
      <c r="L167" s="1095"/>
      <c r="M167" s="1095"/>
      <c r="N167" s="1095"/>
      <c r="O167" s="1095"/>
      <c r="P167" s="1095"/>
      <c r="Q167" s="1095"/>
      <c r="R167" s="1095"/>
      <c r="S167" s="1095"/>
      <c r="T167" s="1095"/>
      <c r="U167" s="1095"/>
      <c r="V167" s="1095"/>
      <c r="W167" s="1095"/>
      <c r="X167" s="1095"/>
      <c r="Y167" s="1095"/>
      <c r="Z167" s="1095"/>
      <c r="AA167" s="1095"/>
      <c r="AB167" s="1095"/>
    </row>
    <row r="168">
      <c r="A168" s="1095"/>
      <c r="B168" s="1095"/>
      <c r="C168" s="1095"/>
      <c r="D168" s="1095"/>
      <c r="E168" s="1095"/>
      <c r="F168" s="1095"/>
      <c r="G168" s="1095"/>
      <c r="H168" s="1095"/>
      <c r="I168" s="1095"/>
      <c r="J168" s="1095"/>
      <c r="K168" s="1095"/>
      <c r="L168" s="1095"/>
      <c r="M168" s="1095"/>
      <c r="N168" s="1095"/>
      <c r="O168" s="1095"/>
      <c r="P168" s="1095"/>
      <c r="Q168" s="1095"/>
      <c r="R168" s="1095"/>
      <c r="S168" s="1095"/>
      <c r="T168" s="1095"/>
      <c r="U168" s="1095"/>
      <c r="V168" s="1095"/>
      <c r="W168" s="1095"/>
      <c r="X168" s="1095"/>
      <c r="Y168" s="1095"/>
      <c r="Z168" s="1095"/>
      <c r="AA168" s="1095"/>
      <c r="AB168" s="1095"/>
    </row>
    <row r="169">
      <c r="A169" s="1095"/>
      <c r="B169" s="1095"/>
      <c r="C169" s="1095"/>
      <c r="D169" s="1095"/>
      <c r="E169" s="1095"/>
      <c r="F169" s="1095"/>
      <c r="G169" s="1095"/>
      <c r="H169" s="1095"/>
      <c r="I169" s="1095"/>
      <c r="J169" s="1095"/>
      <c r="K169" s="1095"/>
      <c r="L169" s="1095"/>
      <c r="M169" s="1095"/>
      <c r="N169" s="1095"/>
      <c r="O169" s="1095"/>
      <c r="P169" s="1095"/>
      <c r="Q169" s="1095"/>
      <c r="R169" s="1095"/>
      <c r="S169" s="1095"/>
      <c r="T169" s="1095"/>
      <c r="U169" s="1095"/>
      <c r="V169" s="1095"/>
      <c r="W169" s="1095"/>
      <c r="X169" s="1095"/>
      <c r="Y169" s="1095"/>
      <c r="Z169" s="1095"/>
      <c r="AA169" s="1095"/>
      <c r="AB169" s="1095"/>
    </row>
    <row r="170">
      <c r="A170" s="1095"/>
      <c r="B170" s="1095"/>
      <c r="C170" s="1095"/>
      <c r="D170" s="1095"/>
      <c r="E170" s="1095"/>
      <c r="F170" s="1095"/>
      <c r="G170" s="1095"/>
      <c r="H170" s="1095"/>
      <c r="I170" s="1095"/>
      <c r="J170" s="1095"/>
      <c r="K170" s="1095"/>
      <c r="L170" s="1095"/>
      <c r="M170" s="1095"/>
      <c r="N170" s="1095"/>
      <c r="O170" s="1095"/>
      <c r="P170" s="1095"/>
      <c r="Q170" s="1095"/>
      <c r="R170" s="1095"/>
      <c r="S170" s="1095"/>
      <c r="T170" s="1095"/>
      <c r="U170" s="1095"/>
      <c r="V170" s="1095"/>
      <c r="W170" s="1095"/>
      <c r="X170" s="1095"/>
      <c r="Y170" s="1095"/>
      <c r="Z170" s="1095"/>
      <c r="AA170" s="1095"/>
      <c r="AB170" s="1095"/>
    </row>
    <row r="171">
      <c r="A171" s="1095"/>
      <c r="B171" s="1095"/>
      <c r="C171" s="1095"/>
      <c r="D171" s="1095"/>
      <c r="E171" s="1095"/>
      <c r="F171" s="1095"/>
      <c r="G171" s="1095"/>
      <c r="H171" s="1095"/>
      <c r="I171" s="1095"/>
      <c r="J171" s="1095"/>
      <c r="K171" s="1095"/>
      <c r="L171" s="1095"/>
      <c r="M171" s="1095"/>
      <c r="N171" s="1095"/>
      <c r="O171" s="1095"/>
      <c r="P171" s="1095"/>
      <c r="Q171" s="1095"/>
      <c r="R171" s="1095"/>
      <c r="S171" s="1095"/>
      <c r="T171" s="1095"/>
      <c r="U171" s="1095"/>
      <c r="V171" s="1095"/>
      <c r="W171" s="1095"/>
      <c r="X171" s="1095"/>
      <c r="Y171" s="1095"/>
      <c r="Z171" s="1095"/>
      <c r="AA171" s="1095"/>
      <c r="AB171" s="1095"/>
    </row>
    <row r="172">
      <c r="A172" s="1095"/>
      <c r="B172" s="1095"/>
      <c r="C172" s="1095"/>
      <c r="D172" s="1095"/>
      <c r="E172" s="1095"/>
      <c r="F172" s="1095"/>
      <c r="G172" s="1095"/>
      <c r="H172" s="1095"/>
      <c r="I172" s="1095"/>
      <c r="J172" s="1095"/>
      <c r="K172" s="1095"/>
      <c r="L172" s="1095"/>
      <c r="M172" s="1095"/>
      <c r="N172" s="1095"/>
      <c r="O172" s="1095"/>
      <c r="P172" s="1095"/>
      <c r="Q172" s="1095"/>
      <c r="R172" s="1095"/>
      <c r="S172" s="1095"/>
      <c r="T172" s="1095"/>
      <c r="U172" s="1095"/>
      <c r="V172" s="1095"/>
      <c r="W172" s="1095"/>
      <c r="X172" s="1095"/>
      <c r="Y172" s="1095"/>
      <c r="Z172" s="1095"/>
      <c r="AA172" s="1095"/>
      <c r="AB172" s="1095"/>
    </row>
    <row r="173">
      <c r="A173" s="1095"/>
      <c r="B173" s="1095"/>
      <c r="C173" s="1095"/>
      <c r="D173" s="1095"/>
      <c r="E173" s="1095"/>
      <c r="F173" s="1095"/>
      <c r="G173" s="1095"/>
      <c r="H173" s="1095"/>
      <c r="I173" s="1095"/>
      <c r="J173" s="1095"/>
      <c r="K173" s="1095"/>
      <c r="L173" s="1095"/>
      <c r="M173" s="1095"/>
      <c r="N173" s="1095"/>
      <c r="O173" s="1095"/>
      <c r="P173" s="1095"/>
      <c r="Q173" s="1095"/>
      <c r="R173" s="1095"/>
      <c r="S173" s="1095"/>
      <c r="T173" s="1095"/>
      <c r="U173" s="1095"/>
      <c r="V173" s="1095"/>
      <c r="W173" s="1095"/>
      <c r="X173" s="1095"/>
      <c r="Y173" s="1095"/>
      <c r="Z173" s="1095"/>
      <c r="AA173" s="1095"/>
      <c r="AB173" s="1095"/>
    </row>
    <row r="174">
      <c r="A174" s="1095"/>
      <c r="B174" s="1095"/>
      <c r="C174" s="1095"/>
      <c r="D174" s="1095"/>
      <c r="E174" s="1095"/>
      <c r="F174" s="1095"/>
      <c r="G174" s="1095"/>
      <c r="H174" s="1095"/>
      <c r="I174" s="1095"/>
      <c r="J174" s="1095"/>
      <c r="K174" s="1095"/>
      <c r="L174" s="1095"/>
      <c r="M174" s="1095"/>
      <c r="N174" s="1095"/>
      <c r="O174" s="1095"/>
      <c r="P174" s="1095"/>
      <c r="Q174" s="1095"/>
      <c r="R174" s="1095"/>
      <c r="S174" s="1095"/>
      <c r="T174" s="1095"/>
      <c r="U174" s="1095"/>
      <c r="V174" s="1095"/>
      <c r="W174" s="1095"/>
      <c r="X174" s="1095"/>
      <c r="Y174" s="1095"/>
      <c r="Z174" s="1095"/>
      <c r="AA174" s="1095"/>
      <c r="AB174" s="1095"/>
    </row>
    <row r="175">
      <c r="A175" s="1095"/>
      <c r="B175" s="1095"/>
      <c r="C175" s="1095"/>
      <c r="D175" s="1095"/>
      <c r="E175" s="1095"/>
      <c r="F175" s="1095"/>
      <c r="G175" s="1095"/>
      <c r="H175" s="1095"/>
      <c r="I175" s="1095"/>
      <c r="J175" s="1095"/>
      <c r="K175" s="1095"/>
      <c r="L175" s="1095"/>
      <c r="M175" s="1095"/>
      <c r="N175" s="1095"/>
      <c r="O175" s="1095"/>
      <c r="P175" s="1095"/>
      <c r="Q175" s="1095"/>
      <c r="R175" s="1095"/>
      <c r="S175" s="1095"/>
      <c r="T175" s="1095"/>
      <c r="U175" s="1095"/>
      <c r="V175" s="1095"/>
      <c r="W175" s="1095"/>
      <c r="X175" s="1095"/>
      <c r="Y175" s="1095"/>
      <c r="Z175" s="1095"/>
      <c r="AA175" s="1095"/>
      <c r="AB175" s="1095"/>
    </row>
    <row r="176">
      <c r="A176" s="1095"/>
      <c r="B176" s="1095"/>
      <c r="C176" s="1095"/>
      <c r="D176" s="1095"/>
      <c r="E176" s="1095"/>
      <c r="F176" s="1095"/>
      <c r="G176" s="1095"/>
      <c r="H176" s="1095"/>
      <c r="I176" s="1095"/>
      <c r="J176" s="1095"/>
      <c r="K176" s="1095"/>
      <c r="L176" s="1095"/>
      <c r="M176" s="1095"/>
      <c r="N176" s="1095"/>
      <c r="O176" s="1095"/>
      <c r="P176" s="1095"/>
      <c r="Q176" s="1095"/>
      <c r="R176" s="1095"/>
      <c r="S176" s="1095"/>
      <c r="T176" s="1095"/>
      <c r="U176" s="1095"/>
      <c r="V176" s="1095"/>
      <c r="W176" s="1095"/>
      <c r="X176" s="1095"/>
      <c r="Y176" s="1095"/>
      <c r="Z176" s="1095"/>
      <c r="AA176" s="1095"/>
      <c r="AB176" s="1095"/>
    </row>
    <row r="177">
      <c r="A177" s="1095"/>
      <c r="B177" s="1095"/>
      <c r="C177" s="1095"/>
      <c r="D177" s="1095"/>
      <c r="E177" s="1095"/>
      <c r="F177" s="1095"/>
      <c r="G177" s="1095"/>
      <c r="H177" s="1095"/>
      <c r="I177" s="1095"/>
      <c r="J177" s="1095"/>
      <c r="K177" s="1095"/>
      <c r="L177" s="1095"/>
      <c r="M177" s="1095"/>
      <c r="N177" s="1095"/>
      <c r="O177" s="1095"/>
      <c r="P177" s="1095"/>
      <c r="Q177" s="1095"/>
      <c r="R177" s="1095"/>
      <c r="S177" s="1095"/>
      <c r="T177" s="1095"/>
      <c r="U177" s="1095"/>
      <c r="V177" s="1095"/>
      <c r="W177" s="1095"/>
      <c r="X177" s="1095"/>
      <c r="Y177" s="1095"/>
      <c r="Z177" s="1095"/>
      <c r="AA177" s="1095"/>
      <c r="AB177" s="1095"/>
    </row>
    <row r="178">
      <c r="A178" s="1095"/>
      <c r="B178" s="1095"/>
      <c r="C178" s="1095"/>
      <c r="D178" s="1095"/>
      <c r="E178" s="1095"/>
      <c r="F178" s="1095"/>
      <c r="G178" s="1095"/>
      <c r="H178" s="1095"/>
      <c r="I178" s="1095"/>
      <c r="J178" s="1095"/>
      <c r="K178" s="1095"/>
      <c r="L178" s="1095"/>
      <c r="M178" s="1095"/>
      <c r="N178" s="1095"/>
      <c r="O178" s="1095"/>
      <c r="P178" s="1095"/>
      <c r="Q178" s="1095"/>
      <c r="R178" s="1095"/>
      <c r="S178" s="1095"/>
      <c r="T178" s="1095"/>
      <c r="U178" s="1095"/>
      <c r="V178" s="1095"/>
      <c r="W178" s="1095"/>
      <c r="X178" s="1095"/>
      <c r="Y178" s="1095"/>
      <c r="Z178" s="1095"/>
      <c r="AA178" s="1095"/>
      <c r="AB178" s="1095"/>
    </row>
    <row r="179">
      <c r="A179" s="1095"/>
      <c r="B179" s="1095"/>
      <c r="C179" s="1095"/>
      <c r="D179" s="1095"/>
      <c r="E179" s="1095"/>
      <c r="F179" s="1095"/>
      <c r="G179" s="1095"/>
      <c r="H179" s="1095"/>
      <c r="I179" s="1095"/>
      <c r="J179" s="1095"/>
      <c r="K179" s="1095"/>
      <c r="L179" s="1095"/>
      <c r="M179" s="1095"/>
      <c r="N179" s="1095"/>
      <c r="O179" s="1095"/>
      <c r="P179" s="1095"/>
      <c r="Q179" s="1095"/>
      <c r="R179" s="1095"/>
      <c r="S179" s="1095"/>
      <c r="T179" s="1095"/>
      <c r="U179" s="1095"/>
      <c r="V179" s="1095"/>
      <c r="W179" s="1095"/>
      <c r="X179" s="1095"/>
      <c r="Y179" s="1095"/>
      <c r="Z179" s="1095"/>
      <c r="AA179" s="1095"/>
      <c r="AB179" s="1095"/>
    </row>
    <row r="180">
      <c r="A180" s="1095"/>
      <c r="B180" s="1095"/>
      <c r="C180" s="1095"/>
      <c r="D180" s="1095"/>
      <c r="E180" s="1095"/>
      <c r="F180" s="1095"/>
      <c r="G180" s="1095"/>
      <c r="H180" s="1095"/>
      <c r="I180" s="1095"/>
      <c r="J180" s="1095"/>
      <c r="K180" s="1095"/>
      <c r="L180" s="1095"/>
      <c r="M180" s="1095"/>
      <c r="N180" s="1095"/>
      <c r="O180" s="1095"/>
      <c r="P180" s="1095"/>
      <c r="Q180" s="1095"/>
      <c r="R180" s="1095"/>
      <c r="S180" s="1095"/>
      <c r="T180" s="1095"/>
      <c r="U180" s="1095"/>
      <c r="V180" s="1095"/>
      <c r="W180" s="1095"/>
      <c r="X180" s="1095"/>
      <c r="Y180" s="1095"/>
      <c r="Z180" s="1095"/>
      <c r="AA180" s="1095"/>
      <c r="AB180" s="1095"/>
    </row>
    <row r="181">
      <c r="A181" s="1095"/>
      <c r="B181" s="1095"/>
      <c r="C181" s="1095"/>
      <c r="D181" s="1095"/>
      <c r="E181" s="1095"/>
      <c r="F181" s="1095"/>
      <c r="G181" s="1095"/>
      <c r="H181" s="1095"/>
      <c r="I181" s="1095"/>
      <c r="J181" s="1095"/>
      <c r="K181" s="1095"/>
      <c r="L181" s="1095"/>
      <c r="M181" s="1095"/>
      <c r="N181" s="1095"/>
      <c r="O181" s="1095"/>
      <c r="P181" s="1095"/>
      <c r="Q181" s="1095"/>
      <c r="R181" s="1095"/>
      <c r="S181" s="1095"/>
      <c r="T181" s="1095"/>
      <c r="U181" s="1095"/>
      <c r="V181" s="1095"/>
      <c r="W181" s="1095"/>
      <c r="X181" s="1095"/>
      <c r="Y181" s="1095"/>
      <c r="Z181" s="1095"/>
      <c r="AA181" s="1095"/>
      <c r="AB181" s="1095"/>
    </row>
    <row r="182">
      <c r="A182" s="1095"/>
      <c r="B182" s="1095"/>
      <c r="C182" s="1095"/>
      <c r="D182" s="1095"/>
      <c r="E182" s="1095"/>
      <c r="F182" s="1095"/>
      <c r="G182" s="1095"/>
      <c r="H182" s="1095"/>
      <c r="I182" s="1095"/>
      <c r="J182" s="1095"/>
      <c r="K182" s="1095"/>
      <c r="L182" s="1095"/>
      <c r="M182" s="1095"/>
      <c r="N182" s="1095"/>
      <c r="O182" s="1095"/>
      <c r="P182" s="1095"/>
      <c r="Q182" s="1095"/>
      <c r="R182" s="1095"/>
      <c r="S182" s="1095"/>
      <c r="T182" s="1095"/>
      <c r="U182" s="1095"/>
      <c r="V182" s="1095"/>
      <c r="W182" s="1095"/>
      <c r="X182" s="1095"/>
      <c r="Y182" s="1095"/>
      <c r="Z182" s="1095"/>
      <c r="AA182" s="1095"/>
      <c r="AB182" s="1095"/>
    </row>
    <row r="183">
      <c r="A183" s="1095"/>
      <c r="B183" s="1095"/>
      <c r="C183" s="1095"/>
      <c r="D183" s="1095"/>
      <c r="E183" s="1095"/>
      <c r="F183" s="1095"/>
      <c r="G183" s="1095"/>
      <c r="H183" s="1095"/>
      <c r="I183" s="1095"/>
      <c r="J183" s="1095"/>
      <c r="K183" s="1095"/>
      <c r="L183" s="1095"/>
      <c r="M183" s="1095"/>
      <c r="N183" s="1095"/>
      <c r="O183" s="1095"/>
      <c r="P183" s="1095"/>
      <c r="Q183" s="1095"/>
      <c r="R183" s="1095"/>
      <c r="S183" s="1095"/>
      <c r="T183" s="1095"/>
      <c r="U183" s="1095"/>
      <c r="V183" s="1095"/>
      <c r="W183" s="1095"/>
      <c r="X183" s="1095"/>
      <c r="Y183" s="1095"/>
      <c r="Z183" s="1095"/>
      <c r="AA183" s="1095"/>
      <c r="AB183" s="1095"/>
    </row>
    <row r="184">
      <c r="A184" s="1095"/>
      <c r="B184" s="1095"/>
      <c r="C184" s="1095"/>
      <c r="D184" s="1095"/>
      <c r="E184" s="1095"/>
      <c r="F184" s="1095"/>
      <c r="G184" s="1095"/>
      <c r="H184" s="1095"/>
      <c r="I184" s="1095"/>
      <c r="J184" s="1095"/>
      <c r="K184" s="1095"/>
      <c r="L184" s="1095"/>
      <c r="M184" s="1095"/>
      <c r="N184" s="1095"/>
      <c r="O184" s="1095"/>
      <c r="P184" s="1095"/>
      <c r="Q184" s="1095"/>
      <c r="R184" s="1095"/>
      <c r="S184" s="1095"/>
      <c r="T184" s="1095"/>
      <c r="U184" s="1095"/>
      <c r="V184" s="1095"/>
      <c r="W184" s="1095"/>
      <c r="X184" s="1095"/>
      <c r="Y184" s="1095"/>
      <c r="Z184" s="1095"/>
      <c r="AA184" s="1095"/>
      <c r="AB184" s="1095"/>
    </row>
    <row r="185">
      <c r="A185" s="1095"/>
      <c r="B185" s="1095"/>
      <c r="C185" s="1095"/>
      <c r="D185" s="1095"/>
      <c r="E185" s="1095"/>
      <c r="F185" s="1095"/>
      <c r="G185" s="1095"/>
      <c r="H185" s="1095"/>
      <c r="I185" s="1095"/>
      <c r="J185" s="1095"/>
      <c r="K185" s="1095"/>
      <c r="L185" s="1095"/>
      <c r="M185" s="1095"/>
      <c r="N185" s="1095"/>
      <c r="O185" s="1095"/>
      <c r="P185" s="1095"/>
      <c r="Q185" s="1095"/>
      <c r="R185" s="1095"/>
      <c r="S185" s="1095"/>
      <c r="T185" s="1095"/>
      <c r="U185" s="1095"/>
      <c r="V185" s="1095"/>
      <c r="W185" s="1095"/>
      <c r="X185" s="1095"/>
      <c r="Y185" s="1095"/>
      <c r="Z185" s="1095"/>
      <c r="AA185" s="1095"/>
      <c r="AB185" s="1095"/>
    </row>
    <row r="186">
      <c r="A186" s="1095"/>
      <c r="B186" s="1095"/>
      <c r="C186" s="1095"/>
      <c r="D186" s="1095"/>
      <c r="E186" s="1095"/>
      <c r="F186" s="1095"/>
      <c r="G186" s="1095"/>
      <c r="H186" s="1095"/>
      <c r="I186" s="1095"/>
      <c r="J186" s="1095"/>
      <c r="K186" s="1095"/>
      <c r="L186" s="1095"/>
      <c r="M186" s="1095"/>
      <c r="N186" s="1095"/>
      <c r="O186" s="1095"/>
      <c r="P186" s="1095"/>
      <c r="Q186" s="1095"/>
      <c r="R186" s="1095"/>
      <c r="S186" s="1095"/>
      <c r="T186" s="1095"/>
      <c r="U186" s="1095"/>
      <c r="V186" s="1095"/>
      <c r="W186" s="1095"/>
      <c r="X186" s="1095"/>
      <c r="Y186" s="1095"/>
      <c r="Z186" s="1095"/>
      <c r="AA186" s="1095"/>
      <c r="AB186" s="1095"/>
    </row>
    <row r="187">
      <c r="A187" s="1095"/>
      <c r="B187" s="1095"/>
      <c r="C187" s="1095"/>
      <c r="D187" s="1095"/>
      <c r="E187" s="1095"/>
      <c r="F187" s="1095"/>
      <c r="G187" s="1095"/>
      <c r="H187" s="1095"/>
      <c r="I187" s="1095"/>
      <c r="J187" s="1095"/>
      <c r="K187" s="1095"/>
      <c r="L187" s="1095"/>
      <c r="M187" s="1095"/>
      <c r="N187" s="1095"/>
      <c r="O187" s="1095"/>
      <c r="P187" s="1095"/>
      <c r="Q187" s="1095"/>
      <c r="R187" s="1095"/>
      <c r="S187" s="1095"/>
      <c r="T187" s="1095"/>
      <c r="U187" s="1095"/>
      <c r="V187" s="1095"/>
      <c r="W187" s="1095"/>
      <c r="X187" s="1095"/>
      <c r="Y187" s="1095"/>
      <c r="Z187" s="1095"/>
      <c r="AA187" s="1095"/>
      <c r="AB187" s="1095"/>
    </row>
    <row r="188">
      <c r="A188" s="1095"/>
      <c r="B188" s="1095"/>
      <c r="C188" s="1095"/>
      <c r="D188" s="1095"/>
      <c r="E188" s="1095"/>
      <c r="F188" s="1095"/>
      <c r="G188" s="1095"/>
      <c r="H188" s="1095"/>
      <c r="I188" s="1095"/>
      <c r="J188" s="1095"/>
      <c r="K188" s="1095"/>
      <c r="L188" s="1095"/>
      <c r="M188" s="1095"/>
      <c r="N188" s="1095"/>
      <c r="O188" s="1095"/>
      <c r="P188" s="1095"/>
      <c r="Q188" s="1095"/>
      <c r="R188" s="1095"/>
      <c r="S188" s="1095"/>
      <c r="T188" s="1095"/>
      <c r="U188" s="1095"/>
      <c r="V188" s="1095"/>
      <c r="W188" s="1095"/>
      <c r="X188" s="1095"/>
      <c r="Y188" s="1095"/>
      <c r="Z188" s="1095"/>
      <c r="AA188" s="1095"/>
      <c r="AB188" s="1095"/>
    </row>
    <row r="189">
      <c r="A189" s="1095"/>
      <c r="B189" s="1095"/>
      <c r="C189" s="1095"/>
      <c r="D189" s="1095"/>
      <c r="E189" s="1095"/>
      <c r="F189" s="1095"/>
      <c r="G189" s="1095"/>
      <c r="H189" s="1095"/>
      <c r="I189" s="1095"/>
      <c r="J189" s="1095"/>
      <c r="K189" s="1095"/>
      <c r="L189" s="1095"/>
      <c r="M189" s="1095"/>
      <c r="N189" s="1095"/>
      <c r="O189" s="1095"/>
      <c r="P189" s="1095"/>
      <c r="Q189" s="1095"/>
      <c r="R189" s="1095"/>
      <c r="S189" s="1095"/>
      <c r="T189" s="1095"/>
      <c r="U189" s="1095"/>
      <c r="V189" s="1095"/>
      <c r="W189" s="1095"/>
      <c r="X189" s="1095"/>
      <c r="Y189" s="1095"/>
      <c r="Z189" s="1095"/>
      <c r="AA189" s="1095"/>
      <c r="AB189" s="1095"/>
    </row>
    <row r="190">
      <c r="A190" s="1095"/>
      <c r="B190" s="1095"/>
      <c r="C190" s="1095"/>
      <c r="D190" s="1095"/>
      <c r="E190" s="1095"/>
      <c r="F190" s="1095"/>
      <c r="G190" s="1095"/>
      <c r="H190" s="1095"/>
      <c r="I190" s="1095"/>
      <c r="J190" s="1095"/>
      <c r="K190" s="1095"/>
      <c r="L190" s="1095"/>
      <c r="M190" s="1095"/>
      <c r="N190" s="1095"/>
      <c r="O190" s="1095"/>
      <c r="P190" s="1095"/>
      <c r="Q190" s="1095"/>
      <c r="R190" s="1095"/>
      <c r="S190" s="1095"/>
      <c r="T190" s="1095"/>
      <c r="U190" s="1095"/>
      <c r="V190" s="1095"/>
      <c r="W190" s="1095"/>
      <c r="X190" s="1095"/>
      <c r="Y190" s="1095"/>
      <c r="Z190" s="1095"/>
      <c r="AA190" s="1095"/>
      <c r="AB190" s="1095"/>
    </row>
    <row r="191">
      <c r="A191" s="1095"/>
      <c r="B191" s="1095"/>
      <c r="C191" s="1095"/>
      <c r="D191" s="1095"/>
      <c r="E191" s="1095"/>
      <c r="F191" s="1095"/>
      <c r="G191" s="1095"/>
      <c r="H191" s="1095"/>
      <c r="I191" s="1095"/>
      <c r="J191" s="1095"/>
      <c r="K191" s="1095"/>
      <c r="L191" s="1095"/>
      <c r="M191" s="1095"/>
      <c r="N191" s="1095"/>
      <c r="O191" s="1095"/>
      <c r="P191" s="1095"/>
      <c r="Q191" s="1095"/>
      <c r="R191" s="1095"/>
      <c r="S191" s="1095"/>
      <c r="T191" s="1095"/>
      <c r="U191" s="1095"/>
      <c r="V191" s="1095"/>
      <c r="W191" s="1095"/>
      <c r="X191" s="1095"/>
      <c r="Y191" s="1095"/>
      <c r="Z191" s="1095"/>
      <c r="AA191" s="1095"/>
      <c r="AB191" s="1095"/>
    </row>
    <row r="192">
      <c r="A192" s="1095"/>
      <c r="B192" s="1095"/>
      <c r="C192" s="1095"/>
      <c r="D192" s="1095"/>
      <c r="E192" s="1095"/>
      <c r="F192" s="1095"/>
      <c r="G192" s="1095"/>
      <c r="H192" s="1095"/>
      <c r="I192" s="1095"/>
      <c r="J192" s="1095"/>
      <c r="K192" s="1095"/>
      <c r="L192" s="1095"/>
      <c r="M192" s="1095"/>
      <c r="N192" s="1095"/>
      <c r="O192" s="1095"/>
      <c r="P192" s="1095"/>
      <c r="Q192" s="1095"/>
      <c r="R192" s="1095"/>
      <c r="S192" s="1095"/>
      <c r="T192" s="1095"/>
      <c r="U192" s="1095"/>
      <c r="V192" s="1095"/>
      <c r="W192" s="1095"/>
      <c r="X192" s="1095"/>
      <c r="Y192" s="1095"/>
      <c r="Z192" s="1095"/>
      <c r="AA192" s="1095"/>
      <c r="AB192" s="1095"/>
    </row>
    <row r="193">
      <c r="A193" s="1095"/>
      <c r="B193" s="1095"/>
      <c r="C193" s="1095"/>
      <c r="D193" s="1095"/>
      <c r="E193" s="1095"/>
      <c r="F193" s="1095"/>
      <c r="G193" s="1095"/>
      <c r="H193" s="1095"/>
      <c r="I193" s="1095"/>
      <c r="J193" s="1095"/>
      <c r="K193" s="1095"/>
      <c r="L193" s="1095"/>
      <c r="M193" s="1095"/>
      <c r="N193" s="1095"/>
      <c r="O193" s="1095"/>
      <c r="P193" s="1095"/>
      <c r="Q193" s="1095"/>
      <c r="R193" s="1095"/>
      <c r="S193" s="1095"/>
      <c r="T193" s="1095"/>
      <c r="U193" s="1095"/>
      <c r="V193" s="1095"/>
      <c r="W193" s="1095"/>
      <c r="X193" s="1095"/>
      <c r="Y193" s="1095"/>
      <c r="Z193" s="1095"/>
      <c r="AA193" s="1095"/>
      <c r="AB193" s="1095"/>
    </row>
    <row r="194">
      <c r="A194" s="1095"/>
      <c r="B194" s="1095"/>
      <c r="C194" s="1095"/>
      <c r="D194" s="1095"/>
      <c r="E194" s="1095"/>
      <c r="F194" s="1095"/>
      <c r="G194" s="1095"/>
      <c r="H194" s="1095"/>
      <c r="I194" s="1095"/>
      <c r="J194" s="1095"/>
      <c r="K194" s="1095"/>
      <c r="L194" s="1095"/>
      <c r="M194" s="1095"/>
      <c r="N194" s="1095"/>
      <c r="O194" s="1095"/>
      <c r="P194" s="1095"/>
      <c r="Q194" s="1095"/>
      <c r="R194" s="1095"/>
      <c r="S194" s="1095"/>
      <c r="T194" s="1095"/>
      <c r="U194" s="1095"/>
      <c r="V194" s="1095"/>
      <c r="W194" s="1095"/>
      <c r="X194" s="1095"/>
      <c r="Y194" s="1095"/>
      <c r="Z194" s="1095"/>
      <c r="AA194" s="1095"/>
      <c r="AB194" s="1095"/>
    </row>
    <row r="195">
      <c r="A195" s="1095"/>
      <c r="B195" s="1095"/>
      <c r="C195" s="1095"/>
      <c r="D195" s="1095"/>
      <c r="E195" s="1095"/>
      <c r="F195" s="1095"/>
      <c r="G195" s="1095"/>
      <c r="H195" s="1095"/>
      <c r="I195" s="1095"/>
      <c r="J195" s="1095"/>
      <c r="K195" s="1095"/>
      <c r="L195" s="1095"/>
      <c r="M195" s="1095"/>
      <c r="N195" s="1095"/>
      <c r="O195" s="1095"/>
      <c r="P195" s="1095"/>
      <c r="Q195" s="1095"/>
      <c r="R195" s="1095"/>
      <c r="S195" s="1095"/>
      <c r="T195" s="1095"/>
      <c r="U195" s="1095"/>
      <c r="V195" s="1095"/>
      <c r="W195" s="1095"/>
      <c r="X195" s="1095"/>
      <c r="Y195" s="1095"/>
      <c r="Z195" s="1095"/>
      <c r="AA195" s="1095"/>
      <c r="AB195" s="1095"/>
    </row>
    <row r="196">
      <c r="A196" s="1095"/>
      <c r="B196" s="1095"/>
      <c r="C196" s="1095"/>
      <c r="D196" s="1095"/>
      <c r="E196" s="1095"/>
      <c r="F196" s="1095"/>
      <c r="G196" s="1095"/>
      <c r="H196" s="1095"/>
      <c r="I196" s="1095"/>
      <c r="J196" s="1095"/>
      <c r="K196" s="1095"/>
      <c r="L196" s="1095"/>
      <c r="M196" s="1095"/>
      <c r="N196" s="1095"/>
      <c r="O196" s="1095"/>
      <c r="P196" s="1095"/>
      <c r="Q196" s="1095"/>
      <c r="R196" s="1095"/>
      <c r="S196" s="1095"/>
      <c r="T196" s="1095"/>
      <c r="U196" s="1095"/>
      <c r="V196" s="1095"/>
      <c r="W196" s="1095"/>
      <c r="X196" s="1095"/>
      <c r="Y196" s="1095"/>
      <c r="Z196" s="1095"/>
      <c r="AA196" s="1095"/>
      <c r="AB196" s="1095"/>
    </row>
    <row r="197">
      <c r="A197" s="1095"/>
      <c r="B197" s="1095"/>
      <c r="C197" s="1095"/>
      <c r="D197" s="1095"/>
      <c r="E197" s="1095"/>
      <c r="F197" s="1095"/>
      <c r="G197" s="1095"/>
      <c r="H197" s="1095"/>
      <c r="I197" s="1095"/>
      <c r="J197" s="1095"/>
      <c r="K197" s="1095"/>
      <c r="L197" s="1095"/>
      <c r="M197" s="1095"/>
      <c r="N197" s="1095"/>
      <c r="O197" s="1095"/>
      <c r="P197" s="1095"/>
      <c r="Q197" s="1095"/>
      <c r="R197" s="1095"/>
      <c r="S197" s="1095"/>
      <c r="T197" s="1095"/>
      <c r="U197" s="1095"/>
      <c r="V197" s="1095"/>
      <c r="W197" s="1095"/>
      <c r="X197" s="1095"/>
      <c r="Y197" s="1095"/>
      <c r="Z197" s="1095"/>
      <c r="AA197" s="1095"/>
      <c r="AB197" s="1095"/>
    </row>
    <row r="198">
      <c r="A198" s="1095"/>
      <c r="B198" s="1095"/>
      <c r="C198" s="1095"/>
      <c r="D198" s="1095"/>
      <c r="E198" s="1095"/>
      <c r="F198" s="1095"/>
      <c r="G198" s="1095"/>
      <c r="H198" s="1095"/>
      <c r="I198" s="1095"/>
      <c r="J198" s="1095"/>
      <c r="K198" s="1095"/>
      <c r="L198" s="1095"/>
      <c r="M198" s="1095"/>
      <c r="N198" s="1095"/>
      <c r="O198" s="1095"/>
      <c r="P198" s="1095"/>
      <c r="Q198" s="1095"/>
      <c r="R198" s="1095"/>
      <c r="S198" s="1095"/>
      <c r="T198" s="1095"/>
      <c r="U198" s="1095"/>
      <c r="V198" s="1095"/>
      <c r="W198" s="1095"/>
      <c r="X198" s="1095"/>
      <c r="Y198" s="1095"/>
      <c r="Z198" s="1095"/>
      <c r="AA198" s="1095"/>
      <c r="AB198" s="1095"/>
    </row>
    <row r="199">
      <c r="A199" s="1095"/>
      <c r="B199" s="1095"/>
      <c r="C199" s="1095"/>
      <c r="D199" s="1095"/>
      <c r="E199" s="1095"/>
      <c r="F199" s="1095"/>
      <c r="G199" s="1095"/>
      <c r="H199" s="1095"/>
      <c r="I199" s="1095"/>
      <c r="J199" s="1095"/>
      <c r="K199" s="1095"/>
      <c r="L199" s="1095"/>
      <c r="M199" s="1095"/>
      <c r="N199" s="1095"/>
      <c r="O199" s="1095"/>
      <c r="P199" s="1095"/>
      <c r="Q199" s="1095"/>
      <c r="R199" s="1095"/>
      <c r="S199" s="1095"/>
      <c r="T199" s="1095"/>
      <c r="U199" s="1095"/>
      <c r="V199" s="1095"/>
      <c r="W199" s="1095"/>
      <c r="X199" s="1095"/>
      <c r="Y199" s="1095"/>
      <c r="Z199" s="1095"/>
      <c r="AA199" s="1095"/>
      <c r="AB199" s="1095"/>
    </row>
    <row r="200">
      <c r="A200" s="1095"/>
      <c r="B200" s="1095"/>
      <c r="C200" s="1095"/>
      <c r="D200" s="1095"/>
      <c r="E200" s="1095"/>
      <c r="F200" s="1095"/>
      <c r="G200" s="1095"/>
      <c r="H200" s="1095"/>
      <c r="I200" s="1095"/>
      <c r="J200" s="1095"/>
      <c r="K200" s="1095"/>
      <c r="L200" s="1095"/>
      <c r="M200" s="1095"/>
      <c r="N200" s="1095"/>
      <c r="O200" s="1095"/>
      <c r="P200" s="1095"/>
      <c r="Q200" s="1095"/>
      <c r="R200" s="1095"/>
      <c r="S200" s="1095"/>
      <c r="T200" s="1095"/>
      <c r="U200" s="1095"/>
      <c r="V200" s="1095"/>
      <c r="W200" s="1095"/>
      <c r="X200" s="1095"/>
      <c r="Y200" s="1095"/>
      <c r="Z200" s="1095"/>
      <c r="AA200" s="1095"/>
      <c r="AB200" s="1095"/>
    </row>
    <row r="201">
      <c r="A201" s="1095"/>
      <c r="B201" s="1095"/>
      <c r="C201" s="1095"/>
      <c r="D201" s="1095"/>
      <c r="E201" s="1095"/>
      <c r="F201" s="1095"/>
      <c r="G201" s="1095"/>
      <c r="H201" s="1095"/>
      <c r="I201" s="1095"/>
      <c r="J201" s="1095"/>
      <c r="K201" s="1095"/>
      <c r="L201" s="1095"/>
      <c r="M201" s="1095"/>
      <c r="N201" s="1095"/>
      <c r="O201" s="1095"/>
      <c r="P201" s="1095"/>
      <c r="Q201" s="1095"/>
      <c r="R201" s="1095"/>
      <c r="S201" s="1095"/>
      <c r="T201" s="1095"/>
      <c r="U201" s="1095"/>
      <c r="V201" s="1095"/>
      <c r="W201" s="1095"/>
      <c r="X201" s="1095"/>
      <c r="Y201" s="1095"/>
      <c r="Z201" s="1095"/>
      <c r="AA201" s="1095"/>
      <c r="AB201" s="1095"/>
    </row>
    <row r="202">
      <c r="A202" s="1095"/>
      <c r="B202" s="1095"/>
      <c r="C202" s="1095"/>
      <c r="D202" s="1095"/>
      <c r="E202" s="1095"/>
      <c r="F202" s="1095"/>
      <c r="G202" s="1095"/>
      <c r="H202" s="1095"/>
      <c r="I202" s="1095"/>
      <c r="J202" s="1095"/>
      <c r="K202" s="1095"/>
      <c r="L202" s="1095"/>
      <c r="M202" s="1095"/>
      <c r="N202" s="1095"/>
      <c r="O202" s="1095"/>
      <c r="P202" s="1095"/>
      <c r="Q202" s="1095"/>
      <c r="R202" s="1095"/>
      <c r="S202" s="1095"/>
      <c r="T202" s="1095"/>
      <c r="U202" s="1095"/>
      <c r="V202" s="1095"/>
      <c r="W202" s="1095"/>
      <c r="X202" s="1095"/>
      <c r="Y202" s="1095"/>
      <c r="Z202" s="1095"/>
      <c r="AA202" s="1095"/>
      <c r="AB202" s="1095"/>
    </row>
    <row r="203">
      <c r="A203" s="1095"/>
      <c r="B203" s="1095"/>
      <c r="C203" s="1095"/>
      <c r="D203" s="1095"/>
      <c r="E203" s="1095"/>
      <c r="F203" s="1095"/>
      <c r="G203" s="1095"/>
      <c r="H203" s="1095"/>
      <c r="I203" s="1095"/>
      <c r="J203" s="1095"/>
      <c r="K203" s="1095"/>
      <c r="L203" s="1095"/>
      <c r="M203" s="1095"/>
      <c r="N203" s="1095"/>
      <c r="O203" s="1095"/>
      <c r="P203" s="1095"/>
      <c r="Q203" s="1095"/>
      <c r="R203" s="1095"/>
      <c r="S203" s="1095"/>
      <c r="T203" s="1095"/>
      <c r="U203" s="1095"/>
      <c r="V203" s="1095"/>
      <c r="W203" s="1095"/>
      <c r="X203" s="1095"/>
      <c r="Y203" s="1095"/>
      <c r="Z203" s="1095"/>
      <c r="AA203" s="1095"/>
      <c r="AB203" s="1095"/>
    </row>
    <row r="204">
      <c r="A204" s="1095"/>
      <c r="B204" s="1095"/>
      <c r="C204" s="1095"/>
      <c r="D204" s="1095"/>
      <c r="E204" s="1095"/>
      <c r="F204" s="1095"/>
      <c r="G204" s="1095"/>
      <c r="H204" s="1095"/>
      <c r="I204" s="1095"/>
      <c r="J204" s="1095"/>
      <c r="K204" s="1095"/>
      <c r="L204" s="1095"/>
      <c r="M204" s="1095"/>
      <c r="N204" s="1095"/>
      <c r="O204" s="1095"/>
      <c r="P204" s="1095"/>
      <c r="Q204" s="1095"/>
      <c r="R204" s="1095"/>
      <c r="S204" s="1095"/>
      <c r="T204" s="1095"/>
      <c r="U204" s="1095"/>
      <c r="V204" s="1095"/>
      <c r="W204" s="1095"/>
      <c r="X204" s="1095"/>
      <c r="Y204" s="1095"/>
      <c r="Z204" s="1095"/>
      <c r="AA204" s="1095"/>
      <c r="AB204" s="1095"/>
    </row>
    <row r="205">
      <c r="A205" s="1095"/>
      <c r="B205" s="1095"/>
      <c r="C205" s="1095"/>
      <c r="D205" s="1095"/>
      <c r="E205" s="1095"/>
      <c r="F205" s="1095"/>
      <c r="G205" s="1095"/>
      <c r="H205" s="1095"/>
      <c r="I205" s="1095"/>
      <c r="J205" s="1095"/>
      <c r="K205" s="1095"/>
      <c r="L205" s="1095"/>
      <c r="M205" s="1095"/>
      <c r="N205" s="1095"/>
      <c r="O205" s="1095"/>
      <c r="P205" s="1095"/>
      <c r="Q205" s="1095"/>
      <c r="R205" s="1095"/>
      <c r="S205" s="1095"/>
      <c r="T205" s="1095"/>
      <c r="U205" s="1095"/>
      <c r="V205" s="1095"/>
      <c r="W205" s="1095"/>
      <c r="X205" s="1095"/>
      <c r="Y205" s="1095"/>
      <c r="Z205" s="1095"/>
      <c r="AA205" s="1095"/>
      <c r="AB205" s="1095"/>
    </row>
    <row r="206">
      <c r="A206" s="1095"/>
      <c r="B206" s="1095"/>
      <c r="C206" s="1095"/>
      <c r="D206" s="1095"/>
      <c r="E206" s="1095"/>
      <c r="F206" s="1095"/>
      <c r="G206" s="1095"/>
      <c r="H206" s="1095"/>
      <c r="I206" s="1095"/>
      <c r="J206" s="1095"/>
      <c r="K206" s="1095"/>
      <c r="L206" s="1095"/>
      <c r="M206" s="1095"/>
      <c r="N206" s="1095"/>
      <c r="O206" s="1095"/>
      <c r="P206" s="1095"/>
      <c r="Q206" s="1095"/>
      <c r="R206" s="1095"/>
      <c r="S206" s="1095"/>
      <c r="T206" s="1095"/>
      <c r="U206" s="1095"/>
      <c r="V206" s="1095"/>
      <c r="W206" s="1095"/>
      <c r="X206" s="1095"/>
      <c r="Y206" s="1095"/>
      <c r="Z206" s="1095"/>
      <c r="AA206" s="1095"/>
      <c r="AB206" s="1095"/>
    </row>
    <row r="207">
      <c r="A207" s="1095"/>
      <c r="B207" s="1095"/>
      <c r="C207" s="1095"/>
      <c r="D207" s="1095"/>
      <c r="E207" s="1095"/>
      <c r="F207" s="1095"/>
      <c r="G207" s="1095"/>
      <c r="H207" s="1095"/>
      <c r="I207" s="1095"/>
      <c r="J207" s="1095"/>
      <c r="K207" s="1095"/>
      <c r="L207" s="1095"/>
      <c r="M207" s="1095"/>
      <c r="N207" s="1095"/>
      <c r="O207" s="1095"/>
      <c r="P207" s="1095"/>
      <c r="Q207" s="1095"/>
      <c r="R207" s="1095"/>
      <c r="S207" s="1095"/>
      <c r="T207" s="1095"/>
      <c r="U207" s="1095"/>
      <c r="V207" s="1095"/>
      <c r="W207" s="1095"/>
      <c r="X207" s="1095"/>
      <c r="Y207" s="1095"/>
      <c r="Z207" s="1095"/>
      <c r="AA207" s="1095"/>
      <c r="AB207" s="1095"/>
    </row>
    <row r="208">
      <c r="A208" s="1095"/>
      <c r="B208" s="1095"/>
      <c r="C208" s="1095"/>
      <c r="D208" s="1095"/>
      <c r="E208" s="1095"/>
      <c r="F208" s="1095"/>
      <c r="G208" s="1095"/>
      <c r="H208" s="1095"/>
      <c r="I208" s="1095"/>
      <c r="J208" s="1095"/>
      <c r="K208" s="1095"/>
      <c r="L208" s="1095"/>
      <c r="M208" s="1095"/>
      <c r="N208" s="1095"/>
      <c r="O208" s="1095"/>
      <c r="P208" s="1095"/>
      <c r="Q208" s="1095"/>
      <c r="R208" s="1095"/>
      <c r="S208" s="1095"/>
      <c r="T208" s="1095"/>
      <c r="U208" s="1095"/>
      <c r="V208" s="1095"/>
      <c r="W208" s="1095"/>
      <c r="X208" s="1095"/>
      <c r="Y208" s="1095"/>
      <c r="Z208" s="1095"/>
      <c r="AA208" s="1095"/>
      <c r="AB208" s="1095"/>
    </row>
    <row r="209">
      <c r="A209" s="1095"/>
      <c r="B209" s="1095"/>
      <c r="C209" s="1095"/>
      <c r="D209" s="1095"/>
      <c r="E209" s="1095"/>
      <c r="F209" s="1095"/>
      <c r="G209" s="1095"/>
      <c r="H209" s="1095"/>
      <c r="I209" s="1095"/>
      <c r="J209" s="1095"/>
      <c r="K209" s="1095"/>
      <c r="L209" s="1095"/>
      <c r="M209" s="1095"/>
      <c r="N209" s="1095"/>
      <c r="O209" s="1095"/>
      <c r="P209" s="1095"/>
      <c r="Q209" s="1095"/>
      <c r="R209" s="1095"/>
      <c r="S209" s="1095"/>
      <c r="T209" s="1095"/>
      <c r="U209" s="1095"/>
      <c r="V209" s="1095"/>
      <c r="W209" s="1095"/>
      <c r="X209" s="1095"/>
      <c r="Y209" s="1095"/>
      <c r="Z209" s="1095"/>
      <c r="AA209" s="1095"/>
      <c r="AB209" s="1095"/>
    </row>
    <row r="210">
      <c r="A210" s="1095"/>
      <c r="B210" s="1095"/>
      <c r="C210" s="1095"/>
      <c r="D210" s="1095"/>
      <c r="E210" s="1095"/>
      <c r="F210" s="1095"/>
      <c r="G210" s="1095"/>
      <c r="H210" s="1095"/>
      <c r="I210" s="1095"/>
      <c r="J210" s="1095"/>
      <c r="K210" s="1095"/>
      <c r="L210" s="1095"/>
      <c r="M210" s="1095"/>
      <c r="N210" s="1095"/>
      <c r="O210" s="1095"/>
      <c r="P210" s="1095"/>
      <c r="Q210" s="1095"/>
      <c r="R210" s="1095"/>
      <c r="S210" s="1095"/>
      <c r="T210" s="1095"/>
      <c r="U210" s="1095"/>
      <c r="V210" s="1095"/>
      <c r="W210" s="1095"/>
      <c r="X210" s="1095"/>
      <c r="Y210" s="1095"/>
      <c r="Z210" s="1095"/>
      <c r="AA210" s="1095"/>
      <c r="AB210" s="1095"/>
    </row>
    <row r="211">
      <c r="A211" s="1095"/>
      <c r="B211" s="1095"/>
      <c r="C211" s="1095"/>
      <c r="D211" s="1095"/>
      <c r="E211" s="1095"/>
      <c r="F211" s="1095"/>
      <c r="G211" s="1095"/>
      <c r="H211" s="1095"/>
      <c r="I211" s="1095"/>
      <c r="J211" s="1095"/>
      <c r="K211" s="1095"/>
      <c r="L211" s="1095"/>
      <c r="M211" s="1095"/>
      <c r="N211" s="1095"/>
      <c r="O211" s="1095"/>
      <c r="P211" s="1095"/>
      <c r="Q211" s="1095"/>
      <c r="R211" s="1095"/>
      <c r="S211" s="1095"/>
      <c r="T211" s="1095"/>
      <c r="U211" s="1095"/>
      <c r="V211" s="1095"/>
      <c r="W211" s="1095"/>
      <c r="X211" s="1095"/>
      <c r="Y211" s="1095"/>
      <c r="Z211" s="1095"/>
      <c r="AA211" s="1095"/>
      <c r="AB211" s="1095"/>
    </row>
    <row r="212">
      <c r="A212" s="1095"/>
      <c r="B212" s="1095"/>
      <c r="C212" s="1095"/>
      <c r="D212" s="1095"/>
      <c r="E212" s="1095"/>
      <c r="F212" s="1095"/>
      <c r="G212" s="1095"/>
      <c r="H212" s="1095"/>
      <c r="I212" s="1095"/>
      <c r="J212" s="1095"/>
      <c r="K212" s="1095"/>
      <c r="L212" s="1095"/>
      <c r="M212" s="1095"/>
      <c r="N212" s="1095"/>
      <c r="O212" s="1095"/>
      <c r="P212" s="1095"/>
      <c r="Q212" s="1095"/>
      <c r="R212" s="1095"/>
      <c r="S212" s="1095"/>
      <c r="T212" s="1095"/>
      <c r="U212" s="1095"/>
      <c r="V212" s="1095"/>
      <c r="W212" s="1095"/>
      <c r="X212" s="1095"/>
      <c r="Y212" s="1095"/>
      <c r="Z212" s="1095"/>
      <c r="AA212" s="1095"/>
      <c r="AB212" s="1095"/>
    </row>
    <row r="213">
      <c r="A213" s="1095"/>
      <c r="B213" s="1095"/>
      <c r="C213" s="1095"/>
      <c r="D213" s="1095"/>
      <c r="E213" s="1095"/>
      <c r="F213" s="1095"/>
      <c r="G213" s="1095"/>
      <c r="H213" s="1095"/>
      <c r="I213" s="1095"/>
      <c r="J213" s="1095"/>
      <c r="K213" s="1095"/>
      <c r="L213" s="1095"/>
      <c r="M213" s="1095"/>
      <c r="N213" s="1095"/>
      <c r="O213" s="1095"/>
      <c r="P213" s="1095"/>
      <c r="Q213" s="1095"/>
      <c r="R213" s="1095"/>
      <c r="S213" s="1095"/>
      <c r="T213" s="1095"/>
      <c r="U213" s="1095"/>
      <c r="V213" s="1095"/>
      <c r="W213" s="1095"/>
      <c r="X213" s="1095"/>
      <c r="Y213" s="1095"/>
      <c r="Z213" s="1095"/>
      <c r="AA213" s="1095"/>
      <c r="AB213" s="1095"/>
    </row>
    <row r="214">
      <c r="A214" s="1095"/>
      <c r="B214" s="1095"/>
      <c r="C214" s="1095"/>
      <c r="D214" s="1095"/>
      <c r="E214" s="1095"/>
      <c r="F214" s="1095"/>
      <c r="G214" s="1095"/>
      <c r="H214" s="1095"/>
      <c r="I214" s="1095"/>
      <c r="J214" s="1095"/>
      <c r="K214" s="1095"/>
      <c r="L214" s="1095"/>
      <c r="M214" s="1095"/>
      <c r="N214" s="1095"/>
      <c r="O214" s="1095"/>
      <c r="P214" s="1095"/>
      <c r="Q214" s="1095"/>
      <c r="R214" s="1095"/>
      <c r="S214" s="1095"/>
      <c r="T214" s="1095"/>
      <c r="U214" s="1095"/>
      <c r="V214" s="1095"/>
      <c r="W214" s="1095"/>
      <c r="X214" s="1095"/>
      <c r="Y214" s="1095"/>
      <c r="Z214" s="1095"/>
      <c r="AA214" s="1095"/>
      <c r="AB214" s="1095"/>
    </row>
    <row r="215">
      <c r="A215" s="1095"/>
      <c r="B215" s="1095"/>
      <c r="C215" s="1095"/>
      <c r="D215" s="1095"/>
      <c r="E215" s="1095"/>
      <c r="F215" s="1095"/>
      <c r="G215" s="1095"/>
      <c r="H215" s="1095"/>
      <c r="I215" s="1095"/>
      <c r="J215" s="1095"/>
      <c r="K215" s="1095"/>
      <c r="L215" s="1095"/>
      <c r="M215" s="1095"/>
      <c r="N215" s="1095"/>
      <c r="O215" s="1095"/>
      <c r="P215" s="1095"/>
      <c r="Q215" s="1095"/>
      <c r="R215" s="1095"/>
      <c r="S215" s="1095"/>
      <c r="T215" s="1095"/>
      <c r="U215" s="1095"/>
      <c r="V215" s="1095"/>
      <c r="W215" s="1095"/>
      <c r="X215" s="1095"/>
      <c r="Y215" s="1095"/>
      <c r="Z215" s="1095"/>
      <c r="AA215" s="1095"/>
      <c r="AB215" s="1095"/>
    </row>
    <row r="216">
      <c r="A216" s="1095"/>
      <c r="B216" s="1095"/>
      <c r="C216" s="1095"/>
      <c r="D216" s="1095"/>
      <c r="E216" s="1095"/>
      <c r="F216" s="1095"/>
      <c r="G216" s="1095"/>
      <c r="H216" s="1095"/>
      <c r="I216" s="1095"/>
      <c r="J216" s="1095"/>
      <c r="K216" s="1095"/>
      <c r="L216" s="1095"/>
      <c r="M216" s="1095"/>
      <c r="N216" s="1095"/>
      <c r="O216" s="1095"/>
      <c r="P216" s="1095"/>
      <c r="Q216" s="1095"/>
      <c r="R216" s="1095"/>
      <c r="S216" s="1095"/>
      <c r="T216" s="1095"/>
      <c r="U216" s="1095"/>
      <c r="V216" s="1095"/>
      <c r="W216" s="1095"/>
      <c r="X216" s="1095"/>
      <c r="Y216" s="1095"/>
      <c r="Z216" s="1095"/>
      <c r="AA216" s="1095"/>
      <c r="AB216" s="1095"/>
    </row>
    <row r="217">
      <c r="A217" s="1095"/>
      <c r="B217" s="1095"/>
      <c r="C217" s="1095"/>
      <c r="D217" s="1095"/>
      <c r="E217" s="1095"/>
      <c r="F217" s="1095"/>
      <c r="G217" s="1095"/>
      <c r="H217" s="1095"/>
      <c r="I217" s="1095"/>
      <c r="J217" s="1095"/>
      <c r="K217" s="1095"/>
      <c r="L217" s="1095"/>
      <c r="M217" s="1095"/>
      <c r="N217" s="1095"/>
      <c r="O217" s="1095"/>
      <c r="P217" s="1095"/>
      <c r="Q217" s="1095"/>
      <c r="R217" s="1095"/>
      <c r="S217" s="1095"/>
      <c r="T217" s="1095"/>
      <c r="U217" s="1095"/>
      <c r="V217" s="1095"/>
      <c r="W217" s="1095"/>
      <c r="X217" s="1095"/>
      <c r="Y217" s="1095"/>
      <c r="Z217" s="1095"/>
      <c r="AA217" s="1095"/>
      <c r="AB217" s="1095"/>
    </row>
    <row r="218">
      <c r="A218" s="1095"/>
      <c r="B218" s="1095"/>
      <c r="C218" s="1095"/>
      <c r="D218" s="1095"/>
      <c r="E218" s="1095"/>
      <c r="F218" s="1095"/>
      <c r="G218" s="1095"/>
      <c r="H218" s="1095"/>
      <c r="I218" s="1095"/>
      <c r="J218" s="1095"/>
      <c r="K218" s="1095"/>
      <c r="L218" s="1095"/>
      <c r="M218" s="1095"/>
      <c r="N218" s="1095"/>
      <c r="O218" s="1095"/>
      <c r="P218" s="1095"/>
      <c r="Q218" s="1095"/>
      <c r="R218" s="1095"/>
      <c r="S218" s="1095"/>
      <c r="T218" s="1095"/>
      <c r="U218" s="1095"/>
      <c r="V218" s="1095"/>
      <c r="W218" s="1095"/>
      <c r="X218" s="1095"/>
      <c r="Y218" s="1095"/>
      <c r="Z218" s="1095"/>
      <c r="AA218" s="1095"/>
      <c r="AB218" s="1095"/>
    </row>
    <row r="219">
      <c r="A219" s="1095"/>
      <c r="B219" s="1095"/>
      <c r="C219" s="1095"/>
      <c r="D219" s="1095"/>
      <c r="E219" s="1095"/>
      <c r="F219" s="1095"/>
      <c r="G219" s="1095"/>
      <c r="H219" s="1095"/>
      <c r="I219" s="1095"/>
      <c r="J219" s="1095"/>
      <c r="K219" s="1095"/>
      <c r="L219" s="1095"/>
      <c r="M219" s="1095"/>
      <c r="N219" s="1095"/>
      <c r="O219" s="1095"/>
      <c r="P219" s="1095"/>
      <c r="Q219" s="1095"/>
      <c r="R219" s="1095"/>
      <c r="S219" s="1095"/>
      <c r="T219" s="1095"/>
      <c r="U219" s="1095"/>
      <c r="V219" s="1095"/>
      <c r="W219" s="1095"/>
      <c r="X219" s="1095"/>
      <c r="Y219" s="1095"/>
      <c r="Z219" s="1095"/>
      <c r="AA219" s="1095"/>
      <c r="AB219" s="1095"/>
    </row>
    <row r="220">
      <c r="A220" s="1095"/>
      <c r="B220" s="1095"/>
      <c r="C220" s="1095"/>
      <c r="D220" s="1095"/>
      <c r="E220" s="1095"/>
      <c r="F220" s="1095"/>
      <c r="G220" s="1095"/>
      <c r="H220" s="1095"/>
      <c r="I220" s="1095"/>
      <c r="J220" s="1095"/>
      <c r="K220" s="1095"/>
      <c r="L220" s="1095"/>
      <c r="M220" s="1095"/>
      <c r="N220" s="1095"/>
      <c r="O220" s="1095"/>
      <c r="P220" s="1095"/>
      <c r="Q220" s="1095"/>
      <c r="R220" s="1095"/>
      <c r="S220" s="1095"/>
      <c r="T220" s="1095"/>
      <c r="U220" s="1095"/>
      <c r="V220" s="1095"/>
      <c r="W220" s="1095"/>
      <c r="X220" s="1095"/>
      <c r="Y220" s="1095"/>
      <c r="Z220" s="1095"/>
      <c r="AA220" s="1095"/>
      <c r="AB220" s="1095"/>
    </row>
    <row r="221">
      <c r="A221" s="1095"/>
      <c r="B221" s="1095"/>
      <c r="C221" s="1095"/>
      <c r="D221" s="1095"/>
      <c r="E221" s="1095"/>
      <c r="F221" s="1095"/>
      <c r="G221" s="1095"/>
      <c r="H221" s="1095"/>
      <c r="I221" s="1095"/>
      <c r="J221" s="1095"/>
      <c r="K221" s="1095"/>
      <c r="L221" s="1095"/>
      <c r="M221" s="1095"/>
      <c r="N221" s="1095"/>
      <c r="O221" s="1095"/>
      <c r="P221" s="1095"/>
      <c r="Q221" s="1095"/>
      <c r="R221" s="1095"/>
      <c r="S221" s="1095"/>
      <c r="T221" s="1095"/>
      <c r="U221" s="1095"/>
      <c r="V221" s="1095"/>
      <c r="W221" s="1095"/>
      <c r="X221" s="1095"/>
      <c r="Y221" s="1095"/>
      <c r="Z221" s="1095"/>
      <c r="AA221" s="1095"/>
      <c r="AB221" s="1095"/>
    </row>
    <row r="222">
      <c r="A222" s="1095"/>
      <c r="B222" s="1095"/>
      <c r="C222" s="1095"/>
      <c r="D222" s="1095"/>
      <c r="E222" s="1095"/>
      <c r="F222" s="1095"/>
      <c r="G222" s="1095"/>
      <c r="H222" s="1095"/>
      <c r="I222" s="1095"/>
      <c r="J222" s="1095"/>
      <c r="K222" s="1095"/>
      <c r="L222" s="1095"/>
      <c r="M222" s="1095"/>
      <c r="N222" s="1095"/>
      <c r="O222" s="1095"/>
      <c r="P222" s="1095"/>
      <c r="Q222" s="1095"/>
      <c r="R222" s="1095"/>
      <c r="S222" s="1095"/>
      <c r="T222" s="1095"/>
      <c r="U222" s="1095"/>
      <c r="V222" s="1095"/>
      <c r="W222" s="1095"/>
      <c r="X222" s="1095"/>
      <c r="Y222" s="1095"/>
      <c r="Z222" s="1095"/>
      <c r="AA222" s="1095"/>
      <c r="AB222" s="1095"/>
    </row>
    <row r="223">
      <c r="A223" s="1095"/>
      <c r="B223" s="1095"/>
      <c r="C223" s="1095"/>
      <c r="D223" s="1095"/>
      <c r="E223" s="1095"/>
      <c r="F223" s="1095"/>
      <c r="G223" s="1095"/>
      <c r="H223" s="1095"/>
      <c r="I223" s="1095"/>
      <c r="J223" s="1095"/>
      <c r="K223" s="1095"/>
      <c r="L223" s="1095"/>
      <c r="M223" s="1095"/>
      <c r="N223" s="1095"/>
      <c r="O223" s="1095"/>
      <c r="P223" s="1095"/>
      <c r="Q223" s="1095"/>
      <c r="R223" s="1095"/>
      <c r="S223" s="1095"/>
      <c r="T223" s="1095"/>
      <c r="U223" s="1095"/>
      <c r="V223" s="1095"/>
      <c r="W223" s="1095"/>
      <c r="X223" s="1095"/>
      <c r="Y223" s="1095"/>
      <c r="Z223" s="1095"/>
      <c r="AA223" s="1095"/>
      <c r="AB223" s="1095"/>
    </row>
    <row r="224">
      <c r="A224" s="1095"/>
      <c r="B224" s="1095"/>
      <c r="C224" s="1095"/>
      <c r="D224" s="1095"/>
      <c r="E224" s="1095"/>
      <c r="F224" s="1095"/>
      <c r="G224" s="1095"/>
      <c r="H224" s="1095"/>
      <c r="I224" s="1095"/>
      <c r="J224" s="1095"/>
      <c r="K224" s="1095"/>
      <c r="L224" s="1095"/>
      <c r="M224" s="1095"/>
      <c r="N224" s="1095"/>
      <c r="O224" s="1095"/>
      <c r="P224" s="1095"/>
      <c r="Q224" s="1095"/>
      <c r="R224" s="1095"/>
      <c r="S224" s="1095"/>
      <c r="T224" s="1095"/>
      <c r="U224" s="1095"/>
      <c r="V224" s="1095"/>
      <c r="W224" s="1095"/>
      <c r="X224" s="1095"/>
      <c r="Y224" s="1095"/>
      <c r="Z224" s="1095"/>
      <c r="AA224" s="1095"/>
      <c r="AB224" s="1095"/>
    </row>
    <row r="225">
      <c r="A225" s="1095"/>
      <c r="B225" s="1095"/>
      <c r="C225" s="1095"/>
      <c r="D225" s="1095"/>
      <c r="E225" s="1095"/>
      <c r="F225" s="1095"/>
      <c r="G225" s="1095"/>
      <c r="H225" s="1095"/>
      <c r="I225" s="1095"/>
      <c r="J225" s="1095"/>
      <c r="K225" s="1095"/>
      <c r="L225" s="1095"/>
      <c r="M225" s="1095"/>
      <c r="N225" s="1095"/>
      <c r="O225" s="1095"/>
      <c r="P225" s="1095"/>
      <c r="Q225" s="1095"/>
      <c r="R225" s="1095"/>
      <c r="S225" s="1095"/>
      <c r="T225" s="1095"/>
      <c r="U225" s="1095"/>
      <c r="V225" s="1095"/>
      <c r="W225" s="1095"/>
      <c r="X225" s="1095"/>
      <c r="Y225" s="1095"/>
      <c r="Z225" s="1095"/>
      <c r="AA225" s="1095"/>
      <c r="AB225" s="1095"/>
    </row>
    <row r="226">
      <c r="A226" s="1095"/>
      <c r="B226" s="1095"/>
      <c r="C226" s="1095"/>
      <c r="D226" s="1095"/>
      <c r="E226" s="1095"/>
      <c r="F226" s="1095"/>
      <c r="G226" s="1095"/>
      <c r="H226" s="1095"/>
      <c r="I226" s="1095"/>
      <c r="J226" s="1095"/>
      <c r="K226" s="1095"/>
      <c r="L226" s="1095"/>
      <c r="M226" s="1095"/>
      <c r="N226" s="1095"/>
      <c r="O226" s="1095"/>
      <c r="P226" s="1095"/>
      <c r="Q226" s="1095"/>
      <c r="R226" s="1095"/>
      <c r="S226" s="1095"/>
      <c r="T226" s="1095"/>
      <c r="U226" s="1095"/>
      <c r="V226" s="1095"/>
      <c r="W226" s="1095"/>
      <c r="X226" s="1095"/>
      <c r="Y226" s="1095"/>
      <c r="Z226" s="1095"/>
      <c r="AA226" s="1095"/>
      <c r="AB226" s="1095"/>
    </row>
    <row r="227">
      <c r="A227" s="1095"/>
      <c r="B227" s="1095"/>
      <c r="C227" s="1095"/>
      <c r="D227" s="1095"/>
      <c r="E227" s="1095"/>
      <c r="F227" s="1095"/>
      <c r="G227" s="1095"/>
      <c r="H227" s="1095"/>
      <c r="I227" s="1095"/>
      <c r="J227" s="1095"/>
      <c r="K227" s="1095"/>
      <c r="L227" s="1095"/>
      <c r="M227" s="1095"/>
      <c r="N227" s="1095"/>
      <c r="O227" s="1095"/>
      <c r="P227" s="1095"/>
      <c r="Q227" s="1095"/>
      <c r="R227" s="1095"/>
      <c r="S227" s="1095"/>
      <c r="T227" s="1095"/>
      <c r="U227" s="1095"/>
      <c r="V227" s="1095"/>
      <c r="W227" s="1095"/>
      <c r="X227" s="1095"/>
      <c r="Y227" s="1095"/>
      <c r="Z227" s="1095"/>
      <c r="AA227" s="1095"/>
      <c r="AB227" s="1095"/>
    </row>
    <row r="228">
      <c r="A228" s="1095"/>
      <c r="B228" s="1095"/>
      <c r="C228" s="1095"/>
      <c r="D228" s="1095"/>
      <c r="E228" s="1095"/>
      <c r="F228" s="1095"/>
      <c r="G228" s="1095"/>
      <c r="H228" s="1095"/>
      <c r="I228" s="1095"/>
      <c r="J228" s="1095"/>
      <c r="K228" s="1095"/>
      <c r="L228" s="1095"/>
      <c r="M228" s="1095"/>
      <c r="N228" s="1095"/>
      <c r="O228" s="1095"/>
      <c r="P228" s="1095"/>
      <c r="Q228" s="1095"/>
      <c r="R228" s="1095"/>
      <c r="S228" s="1095"/>
      <c r="T228" s="1095"/>
      <c r="U228" s="1095"/>
      <c r="V228" s="1095"/>
      <c r="W228" s="1095"/>
      <c r="X228" s="1095"/>
      <c r="Y228" s="1095"/>
      <c r="Z228" s="1095"/>
      <c r="AA228" s="1095"/>
      <c r="AB228" s="1095"/>
    </row>
    <row r="229">
      <c r="A229" s="1095"/>
      <c r="B229" s="1095"/>
      <c r="C229" s="1095"/>
      <c r="D229" s="1095"/>
      <c r="E229" s="1095"/>
      <c r="F229" s="1095"/>
      <c r="G229" s="1095"/>
      <c r="H229" s="1095"/>
      <c r="I229" s="1095"/>
      <c r="J229" s="1095"/>
      <c r="K229" s="1095"/>
      <c r="L229" s="1095"/>
      <c r="M229" s="1095"/>
      <c r="N229" s="1095"/>
      <c r="O229" s="1095"/>
      <c r="P229" s="1095"/>
      <c r="Q229" s="1095"/>
      <c r="R229" s="1095"/>
      <c r="S229" s="1095"/>
      <c r="T229" s="1095"/>
      <c r="U229" s="1095"/>
      <c r="V229" s="1095"/>
      <c r="W229" s="1095"/>
      <c r="X229" s="1095"/>
      <c r="Y229" s="1095"/>
      <c r="Z229" s="1095"/>
      <c r="AA229" s="1095"/>
      <c r="AB229" s="1095"/>
    </row>
    <row r="230">
      <c r="A230" s="1095"/>
      <c r="B230" s="1095"/>
      <c r="C230" s="1095"/>
      <c r="D230" s="1095"/>
      <c r="E230" s="1095"/>
      <c r="F230" s="1095"/>
      <c r="G230" s="1095"/>
      <c r="H230" s="1095"/>
      <c r="I230" s="1095"/>
      <c r="J230" s="1095"/>
      <c r="K230" s="1095"/>
      <c r="L230" s="1095"/>
      <c r="M230" s="1095"/>
      <c r="N230" s="1095"/>
      <c r="O230" s="1095"/>
      <c r="P230" s="1095"/>
      <c r="Q230" s="1095"/>
      <c r="R230" s="1095"/>
      <c r="S230" s="1095"/>
      <c r="T230" s="1095"/>
      <c r="U230" s="1095"/>
      <c r="V230" s="1095"/>
      <c r="W230" s="1095"/>
      <c r="X230" s="1095"/>
      <c r="Y230" s="1095"/>
      <c r="Z230" s="1095"/>
      <c r="AA230" s="1095"/>
      <c r="AB230" s="1095"/>
    </row>
    <row r="231">
      <c r="A231" s="1095"/>
      <c r="B231" s="1095"/>
      <c r="C231" s="1095"/>
      <c r="D231" s="1095"/>
      <c r="E231" s="1095"/>
      <c r="F231" s="1095"/>
      <c r="G231" s="1095"/>
      <c r="H231" s="1095"/>
      <c r="I231" s="1095"/>
      <c r="J231" s="1095"/>
      <c r="K231" s="1095"/>
      <c r="L231" s="1095"/>
      <c r="M231" s="1095"/>
      <c r="N231" s="1095"/>
      <c r="O231" s="1095"/>
      <c r="P231" s="1095"/>
      <c r="Q231" s="1095"/>
      <c r="R231" s="1095"/>
      <c r="S231" s="1095"/>
      <c r="T231" s="1095"/>
      <c r="U231" s="1095"/>
      <c r="V231" s="1095"/>
      <c r="W231" s="1095"/>
      <c r="X231" s="1095"/>
      <c r="Y231" s="1095"/>
      <c r="Z231" s="1095"/>
      <c r="AA231" s="1095"/>
      <c r="AB231" s="1095"/>
    </row>
    <row r="232">
      <c r="A232" s="1095"/>
      <c r="B232" s="1095"/>
      <c r="C232" s="1095"/>
      <c r="D232" s="1095"/>
      <c r="E232" s="1095"/>
      <c r="F232" s="1095"/>
      <c r="G232" s="1095"/>
      <c r="H232" s="1095"/>
      <c r="I232" s="1095"/>
      <c r="J232" s="1095"/>
      <c r="K232" s="1095"/>
      <c r="L232" s="1095"/>
      <c r="M232" s="1095"/>
      <c r="N232" s="1095"/>
      <c r="O232" s="1095"/>
      <c r="P232" s="1095"/>
      <c r="Q232" s="1095"/>
      <c r="R232" s="1095"/>
      <c r="S232" s="1095"/>
      <c r="T232" s="1095"/>
      <c r="U232" s="1095"/>
      <c r="V232" s="1095"/>
      <c r="W232" s="1095"/>
      <c r="X232" s="1095"/>
      <c r="Y232" s="1095"/>
      <c r="Z232" s="1095"/>
      <c r="AA232" s="1095"/>
      <c r="AB232" s="1095"/>
    </row>
    <row r="233">
      <c r="A233" s="1095"/>
      <c r="B233" s="1095"/>
      <c r="C233" s="1095"/>
      <c r="D233" s="1095"/>
      <c r="E233" s="1095"/>
      <c r="F233" s="1095"/>
      <c r="G233" s="1095"/>
      <c r="H233" s="1095"/>
      <c r="I233" s="1095"/>
      <c r="J233" s="1095"/>
      <c r="K233" s="1095"/>
      <c r="L233" s="1095"/>
      <c r="M233" s="1095"/>
      <c r="N233" s="1095"/>
      <c r="O233" s="1095"/>
      <c r="P233" s="1095"/>
      <c r="Q233" s="1095"/>
      <c r="R233" s="1095"/>
      <c r="S233" s="1095"/>
      <c r="T233" s="1095"/>
      <c r="U233" s="1095"/>
      <c r="V233" s="1095"/>
      <c r="W233" s="1095"/>
      <c r="X233" s="1095"/>
      <c r="Y233" s="1095"/>
      <c r="Z233" s="1095"/>
      <c r="AA233" s="1095"/>
      <c r="AB233" s="1095"/>
    </row>
    <row r="234">
      <c r="A234" s="1095"/>
      <c r="B234" s="1095"/>
      <c r="C234" s="1095"/>
      <c r="D234" s="1095"/>
      <c r="E234" s="1095"/>
      <c r="F234" s="1095"/>
      <c r="G234" s="1095"/>
      <c r="H234" s="1095"/>
      <c r="I234" s="1095"/>
      <c r="J234" s="1095"/>
      <c r="K234" s="1095"/>
      <c r="L234" s="1095"/>
      <c r="M234" s="1095"/>
      <c r="N234" s="1095"/>
      <c r="O234" s="1095"/>
      <c r="P234" s="1095"/>
      <c r="Q234" s="1095"/>
      <c r="R234" s="1095"/>
      <c r="S234" s="1095"/>
      <c r="T234" s="1095"/>
      <c r="U234" s="1095"/>
      <c r="V234" s="1095"/>
      <c r="W234" s="1095"/>
      <c r="X234" s="1095"/>
      <c r="Y234" s="1095"/>
      <c r="Z234" s="1095"/>
      <c r="AA234" s="1095"/>
      <c r="AB234" s="1095"/>
    </row>
    <row r="235">
      <c r="A235" s="1095"/>
      <c r="B235" s="1095"/>
      <c r="C235" s="1095"/>
      <c r="D235" s="1095"/>
      <c r="E235" s="1095"/>
      <c r="F235" s="1095"/>
      <c r="G235" s="1095"/>
      <c r="H235" s="1095"/>
      <c r="I235" s="1095"/>
      <c r="J235" s="1095"/>
      <c r="K235" s="1095"/>
      <c r="L235" s="1095"/>
      <c r="M235" s="1095"/>
      <c r="N235" s="1095"/>
      <c r="O235" s="1095"/>
      <c r="P235" s="1095"/>
      <c r="Q235" s="1095"/>
      <c r="R235" s="1095"/>
      <c r="S235" s="1095"/>
      <c r="T235" s="1095"/>
      <c r="U235" s="1095"/>
      <c r="V235" s="1095"/>
      <c r="W235" s="1095"/>
      <c r="X235" s="1095"/>
      <c r="Y235" s="1095"/>
      <c r="Z235" s="1095"/>
      <c r="AA235" s="1095"/>
      <c r="AB235" s="1095"/>
    </row>
    <row r="236">
      <c r="A236" s="1095"/>
      <c r="B236" s="1095"/>
      <c r="C236" s="1095"/>
      <c r="D236" s="1095"/>
      <c r="E236" s="1095"/>
      <c r="F236" s="1095"/>
      <c r="G236" s="1095"/>
      <c r="H236" s="1095"/>
      <c r="I236" s="1095"/>
      <c r="J236" s="1095"/>
      <c r="K236" s="1095"/>
      <c r="L236" s="1095"/>
      <c r="M236" s="1095"/>
      <c r="N236" s="1095"/>
      <c r="O236" s="1095"/>
      <c r="P236" s="1095"/>
      <c r="Q236" s="1095"/>
      <c r="R236" s="1095"/>
      <c r="S236" s="1095"/>
      <c r="T236" s="1095"/>
      <c r="U236" s="1095"/>
      <c r="V236" s="1095"/>
      <c r="W236" s="1095"/>
      <c r="X236" s="1095"/>
      <c r="Y236" s="1095"/>
      <c r="Z236" s="1095"/>
      <c r="AA236" s="1095"/>
      <c r="AB236" s="1095"/>
    </row>
    <row r="237">
      <c r="A237" s="1095"/>
      <c r="B237" s="1095"/>
      <c r="C237" s="1095"/>
      <c r="D237" s="1095"/>
      <c r="E237" s="1095"/>
      <c r="F237" s="1095"/>
      <c r="G237" s="1095"/>
      <c r="H237" s="1095"/>
      <c r="I237" s="1095"/>
      <c r="J237" s="1095"/>
      <c r="K237" s="1095"/>
      <c r="L237" s="1095"/>
      <c r="M237" s="1095"/>
      <c r="N237" s="1095"/>
      <c r="O237" s="1095"/>
      <c r="P237" s="1095"/>
      <c r="Q237" s="1095"/>
      <c r="R237" s="1095"/>
      <c r="S237" s="1095"/>
      <c r="T237" s="1095"/>
      <c r="U237" s="1095"/>
      <c r="V237" s="1095"/>
      <c r="W237" s="1095"/>
      <c r="X237" s="1095"/>
      <c r="Y237" s="1095"/>
      <c r="Z237" s="1095"/>
      <c r="AA237" s="1095"/>
      <c r="AB237" s="1095"/>
    </row>
    <row r="238">
      <c r="A238" s="1095"/>
      <c r="B238" s="1095"/>
      <c r="C238" s="1095"/>
      <c r="D238" s="1095"/>
      <c r="E238" s="1095"/>
      <c r="F238" s="1095"/>
      <c r="G238" s="1095"/>
      <c r="H238" s="1095"/>
      <c r="I238" s="1095"/>
      <c r="J238" s="1095"/>
      <c r="K238" s="1095"/>
      <c r="L238" s="1095"/>
      <c r="M238" s="1095"/>
      <c r="N238" s="1095"/>
      <c r="O238" s="1095"/>
      <c r="P238" s="1095"/>
      <c r="Q238" s="1095"/>
      <c r="R238" s="1095"/>
      <c r="S238" s="1095"/>
      <c r="T238" s="1095"/>
      <c r="U238" s="1095"/>
      <c r="V238" s="1095"/>
      <c r="W238" s="1095"/>
      <c r="X238" s="1095"/>
      <c r="Y238" s="1095"/>
      <c r="Z238" s="1095"/>
      <c r="AA238" s="1095"/>
      <c r="AB238" s="1095"/>
    </row>
    <row r="239">
      <c r="A239" s="1095"/>
      <c r="B239" s="1095"/>
      <c r="C239" s="1095"/>
      <c r="D239" s="1095"/>
      <c r="E239" s="1095"/>
      <c r="F239" s="1095"/>
      <c r="G239" s="1095"/>
      <c r="H239" s="1095"/>
      <c r="I239" s="1095"/>
      <c r="J239" s="1095"/>
      <c r="K239" s="1095"/>
      <c r="L239" s="1095"/>
      <c r="M239" s="1095"/>
      <c r="N239" s="1095"/>
      <c r="O239" s="1095"/>
      <c r="P239" s="1095"/>
      <c r="Q239" s="1095"/>
      <c r="R239" s="1095"/>
      <c r="S239" s="1095"/>
      <c r="T239" s="1095"/>
      <c r="U239" s="1095"/>
      <c r="V239" s="1095"/>
      <c r="W239" s="1095"/>
      <c r="X239" s="1095"/>
      <c r="Y239" s="1095"/>
      <c r="Z239" s="1095"/>
      <c r="AA239" s="1095"/>
      <c r="AB239" s="1095"/>
    </row>
    <row r="240">
      <c r="A240" s="1095"/>
      <c r="B240" s="1095"/>
      <c r="C240" s="1095"/>
      <c r="D240" s="1095"/>
      <c r="E240" s="1095"/>
      <c r="F240" s="1095"/>
      <c r="G240" s="1095"/>
      <c r="H240" s="1095"/>
      <c r="I240" s="1095"/>
      <c r="J240" s="1095"/>
      <c r="K240" s="1095"/>
      <c r="L240" s="1095"/>
      <c r="M240" s="1095"/>
      <c r="N240" s="1095"/>
      <c r="O240" s="1095"/>
      <c r="P240" s="1095"/>
      <c r="Q240" s="1095"/>
      <c r="R240" s="1095"/>
      <c r="S240" s="1095"/>
      <c r="T240" s="1095"/>
      <c r="U240" s="1095"/>
      <c r="V240" s="1095"/>
      <c r="W240" s="1095"/>
      <c r="X240" s="1095"/>
      <c r="Y240" s="1095"/>
      <c r="Z240" s="1095"/>
      <c r="AA240" s="1095"/>
      <c r="AB240" s="1095"/>
    </row>
    <row r="241">
      <c r="A241" s="1095"/>
      <c r="B241" s="1095"/>
      <c r="C241" s="1095"/>
      <c r="D241" s="1095"/>
      <c r="E241" s="1095"/>
      <c r="F241" s="1095"/>
      <c r="G241" s="1095"/>
      <c r="H241" s="1095"/>
      <c r="I241" s="1095"/>
      <c r="J241" s="1095"/>
      <c r="K241" s="1095"/>
      <c r="L241" s="1095"/>
      <c r="M241" s="1095"/>
      <c r="N241" s="1095"/>
      <c r="O241" s="1095"/>
      <c r="P241" s="1095"/>
      <c r="Q241" s="1095"/>
      <c r="R241" s="1095"/>
      <c r="S241" s="1095"/>
      <c r="T241" s="1095"/>
      <c r="U241" s="1095"/>
      <c r="V241" s="1095"/>
      <c r="W241" s="1095"/>
      <c r="X241" s="1095"/>
      <c r="Y241" s="1095"/>
      <c r="Z241" s="1095"/>
      <c r="AA241" s="1095"/>
      <c r="AB241" s="1095"/>
    </row>
    <row r="242">
      <c r="A242" s="1095"/>
      <c r="B242" s="1095"/>
      <c r="C242" s="1095"/>
      <c r="D242" s="1095"/>
      <c r="E242" s="1095"/>
      <c r="F242" s="1095"/>
      <c r="G242" s="1095"/>
      <c r="H242" s="1095"/>
      <c r="I242" s="1095"/>
      <c r="J242" s="1095"/>
      <c r="K242" s="1095"/>
      <c r="L242" s="1095"/>
      <c r="M242" s="1095"/>
      <c r="N242" s="1095"/>
      <c r="O242" s="1095"/>
      <c r="P242" s="1095"/>
      <c r="Q242" s="1095"/>
      <c r="R242" s="1095"/>
      <c r="S242" s="1095"/>
      <c r="T242" s="1095"/>
      <c r="U242" s="1095"/>
      <c r="V242" s="1095"/>
      <c r="W242" s="1095"/>
      <c r="X242" s="1095"/>
      <c r="Y242" s="1095"/>
      <c r="Z242" s="1095"/>
      <c r="AA242" s="1095"/>
      <c r="AB242" s="1095"/>
    </row>
    <row r="243">
      <c r="A243" s="1095"/>
      <c r="B243" s="1095"/>
      <c r="C243" s="1095"/>
      <c r="D243" s="1095"/>
      <c r="E243" s="1095"/>
      <c r="F243" s="1095"/>
      <c r="G243" s="1095"/>
      <c r="H243" s="1095"/>
      <c r="I243" s="1095"/>
      <c r="J243" s="1095"/>
      <c r="K243" s="1095"/>
      <c r="L243" s="1095"/>
      <c r="M243" s="1095"/>
      <c r="N243" s="1095"/>
      <c r="O243" s="1095"/>
      <c r="P243" s="1095"/>
      <c r="Q243" s="1095"/>
      <c r="R243" s="1095"/>
      <c r="S243" s="1095"/>
      <c r="T243" s="1095"/>
      <c r="U243" s="1095"/>
      <c r="V243" s="1095"/>
      <c r="W243" s="1095"/>
      <c r="X243" s="1095"/>
      <c r="Y243" s="1095"/>
      <c r="Z243" s="1095"/>
      <c r="AA243" s="1095"/>
      <c r="AB243" s="1095"/>
    </row>
    <row r="244">
      <c r="A244" s="1095"/>
      <c r="B244" s="1095"/>
      <c r="C244" s="1095"/>
      <c r="D244" s="1095"/>
      <c r="E244" s="1095"/>
      <c r="F244" s="1095"/>
      <c r="G244" s="1095"/>
      <c r="H244" s="1095"/>
      <c r="I244" s="1095"/>
      <c r="J244" s="1095"/>
      <c r="K244" s="1095"/>
      <c r="L244" s="1095"/>
      <c r="M244" s="1095"/>
      <c r="N244" s="1095"/>
      <c r="O244" s="1095"/>
      <c r="P244" s="1095"/>
      <c r="Q244" s="1095"/>
      <c r="R244" s="1095"/>
      <c r="S244" s="1095"/>
      <c r="T244" s="1095"/>
      <c r="U244" s="1095"/>
      <c r="V244" s="1095"/>
      <c r="W244" s="1095"/>
      <c r="X244" s="1095"/>
      <c r="Y244" s="1095"/>
      <c r="Z244" s="1095"/>
      <c r="AA244" s="1095"/>
      <c r="AB244" s="1095"/>
    </row>
    <row r="245">
      <c r="A245" s="1095"/>
      <c r="B245" s="1095"/>
      <c r="C245" s="1095"/>
      <c r="D245" s="1095"/>
      <c r="E245" s="1095"/>
      <c r="F245" s="1095"/>
      <c r="G245" s="1095"/>
      <c r="H245" s="1095"/>
      <c r="I245" s="1095"/>
      <c r="J245" s="1095"/>
      <c r="K245" s="1095"/>
      <c r="L245" s="1095"/>
      <c r="M245" s="1095"/>
      <c r="N245" s="1095"/>
      <c r="O245" s="1095"/>
      <c r="P245" s="1095"/>
      <c r="Q245" s="1095"/>
      <c r="R245" s="1095"/>
      <c r="S245" s="1095"/>
      <c r="T245" s="1095"/>
      <c r="U245" s="1095"/>
      <c r="V245" s="1095"/>
      <c r="W245" s="1095"/>
      <c r="X245" s="1095"/>
      <c r="Y245" s="1095"/>
      <c r="Z245" s="1095"/>
      <c r="AA245" s="1095"/>
      <c r="AB245" s="1095"/>
    </row>
    <row r="246">
      <c r="A246" s="1095"/>
      <c r="B246" s="1095"/>
      <c r="C246" s="1095"/>
      <c r="D246" s="1095"/>
      <c r="E246" s="1095"/>
      <c r="F246" s="1095"/>
      <c r="G246" s="1095"/>
      <c r="H246" s="1095"/>
      <c r="I246" s="1095"/>
      <c r="J246" s="1095"/>
      <c r="K246" s="1095"/>
      <c r="L246" s="1095"/>
      <c r="M246" s="1095"/>
      <c r="N246" s="1095"/>
      <c r="O246" s="1095"/>
      <c r="P246" s="1095"/>
      <c r="Q246" s="1095"/>
      <c r="R246" s="1095"/>
      <c r="S246" s="1095"/>
      <c r="T246" s="1095"/>
      <c r="U246" s="1095"/>
      <c r="V246" s="1095"/>
      <c r="W246" s="1095"/>
      <c r="X246" s="1095"/>
      <c r="Y246" s="1095"/>
      <c r="Z246" s="1095"/>
      <c r="AA246" s="1095"/>
      <c r="AB246" s="1095"/>
    </row>
    <row r="247">
      <c r="A247" s="1095"/>
      <c r="B247" s="1095"/>
      <c r="C247" s="1095"/>
      <c r="D247" s="1095"/>
      <c r="E247" s="1095"/>
      <c r="F247" s="1095"/>
      <c r="G247" s="1095"/>
      <c r="H247" s="1095"/>
      <c r="I247" s="1095"/>
      <c r="J247" s="1095"/>
      <c r="K247" s="1095"/>
      <c r="L247" s="1095"/>
      <c r="M247" s="1095"/>
      <c r="N247" s="1095"/>
      <c r="O247" s="1095"/>
      <c r="P247" s="1095"/>
      <c r="Q247" s="1095"/>
      <c r="R247" s="1095"/>
      <c r="S247" s="1095"/>
      <c r="T247" s="1095"/>
      <c r="U247" s="1095"/>
      <c r="V247" s="1095"/>
      <c r="W247" s="1095"/>
      <c r="X247" s="1095"/>
      <c r="Y247" s="1095"/>
      <c r="Z247" s="1095"/>
      <c r="AA247" s="1095"/>
      <c r="AB247" s="1095"/>
    </row>
    <row r="248">
      <c r="A248" s="1095"/>
      <c r="B248" s="1095"/>
      <c r="C248" s="1095"/>
      <c r="D248" s="1095"/>
      <c r="E248" s="1095"/>
      <c r="F248" s="1095"/>
      <c r="G248" s="1095"/>
      <c r="H248" s="1095"/>
      <c r="I248" s="1095"/>
      <c r="J248" s="1095"/>
      <c r="K248" s="1095"/>
      <c r="L248" s="1095"/>
      <c r="M248" s="1095"/>
      <c r="N248" s="1095"/>
      <c r="O248" s="1095"/>
      <c r="P248" s="1095"/>
      <c r="Q248" s="1095"/>
      <c r="R248" s="1095"/>
      <c r="S248" s="1095"/>
      <c r="T248" s="1095"/>
      <c r="U248" s="1095"/>
      <c r="V248" s="1095"/>
      <c r="W248" s="1095"/>
      <c r="X248" s="1095"/>
      <c r="Y248" s="1095"/>
      <c r="Z248" s="1095"/>
      <c r="AA248" s="1095"/>
      <c r="AB248" s="1095"/>
    </row>
    <row r="249">
      <c r="A249" s="1095"/>
      <c r="B249" s="1095"/>
      <c r="C249" s="1095"/>
      <c r="D249" s="1095"/>
      <c r="E249" s="1095"/>
      <c r="F249" s="1095"/>
      <c r="G249" s="1095"/>
      <c r="H249" s="1095"/>
      <c r="I249" s="1095"/>
      <c r="J249" s="1095"/>
      <c r="K249" s="1095"/>
      <c r="L249" s="1095"/>
      <c r="M249" s="1095"/>
      <c r="N249" s="1095"/>
      <c r="O249" s="1095"/>
      <c r="P249" s="1095"/>
      <c r="Q249" s="1095"/>
      <c r="R249" s="1095"/>
      <c r="S249" s="1095"/>
      <c r="T249" s="1095"/>
      <c r="U249" s="1095"/>
      <c r="V249" s="1095"/>
      <c r="W249" s="1095"/>
      <c r="X249" s="1095"/>
      <c r="Y249" s="1095"/>
      <c r="Z249" s="1095"/>
      <c r="AA249" s="1095"/>
      <c r="AB249" s="1095"/>
    </row>
    <row r="250">
      <c r="A250" s="1095"/>
      <c r="B250" s="1095"/>
      <c r="C250" s="1095"/>
      <c r="D250" s="1095"/>
      <c r="E250" s="1095"/>
      <c r="F250" s="1095"/>
      <c r="G250" s="1095"/>
      <c r="H250" s="1095"/>
      <c r="I250" s="1095"/>
      <c r="J250" s="1095"/>
      <c r="K250" s="1095"/>
      <c r="L250" s="1095"/>
      <c r="M250" s="1095"/>
      <c r="N250" s="1095"/>
      <c r="O250" s="1095"/>
      <c r="P250" s="1095"/>
      <c r="Q250" s="1095"/>
      <c r="R250" s="1095"/>
      <c r="S250" s="1095"/>
      <c r="T250" s="1095"/>
      <c r="U250" s="1095"/>
      <c r="V250" s="1095"/>
      <c r="W250" s="1095"/>
      <c r="X250" s="1095"/>
      <c r="Y250" s="1095"/>
      <c r="Z250" s="1095"/>
      <c r="AA250" s="1095"/>
      <c r="AB250" s="1095"/>
    </row>
    <row r="251">
      <c r="A251" s="1095"/>
      <c r="B251" s="1095"/>
      <c r="C251" s="1095"/>
      <c r="D251" s="1095"/>
      <c r="E251" s="1095"/>
      <c r="F251" s="1095"/>
      <c r="G251" s="1095"/>
      <c r="H251" s="1095"/>
      <c r="I251" s="1095"/>
      <c r="J251" s="1095"/>
      <c r="K251" s="1095"/>
      <c r="L251" s="1095"/>
      <c r="M251" s="1095"/>
      <c r="N251" s="1095"/>
      <c r="O251" s="1095"/>
      <c r="P251" s="1095"/>
      <c r="Q251" s="1095"/>
      <c r="R251" s="1095"/>
      <c r="S251" s="1095"/>
      <c r="T251" s="1095"/>
      <c r="U251" s="1095"/>
      <c r="V251" s="1095"/>
      <c r="W251" s="1095"/>
      <c r="X251" s="1095"/>
      <c r="Y251" s="1095"/>
      <c r="Z251" s="1095"/>
      <c r="AA251" s="1095"/>
      <c r="AB251" s="1095"/>
    </row>
    <row r="252">
      <c r="A252" s="1095"/>
      <c r="B252" s="1095"/>
      <c r="C252" s="1095"/>
      <c r="D252" s="1095"/>
      <c r="E252" s="1095"/>
      <c r="F252" s="1095"/>
      <c r="G252" s="1095"/>
      <c r="H252" s="1095"/>
      <c r="I252" s="1095"/>
      <c r="J252" s="1095"/>
      <c r="K252" s="1095"/>
      <c r="L252" s="1095"/>
      <c r="M252" s="1095"/>
      <c r="N252" s="1095"/>
      <c r="O252" s="1095"/>
      <c r="P252" s="1095"/>
      <c r="Q252" s="1095"/>
      <c r="R252" s="1095"/>
      <c r="S252" s="1095"/>
      <c r="T252" s="1095"/>
      <c r="U252" s="1095"/>
      <c r="V252" s="1095"/>
      <c r="W252" s="1095"/>
      <c r="X252" s="1095"/>
      <c r="Y252" s="1095"/>
      <c r="Z252" s="1095"/>
      <c r="AA252" s="1095"/>
      <c r="AB252" s="1095"/>
    </row>
    <row r="253">
      <c r="A253" s="1095"/>
      <c r="B253" s="1095"/>
      <c r="C253" s="1095"/>
      <c r="D253" s="1095"/>
      <c r="E253" s="1095"/>
      <c r="F253" s="1095"/>
      <c r="G253" s="1095"/>
      <c r="H253" s="1095"/>
      <c r="I253" s="1095"/>
      <c r="J253" s="1095"/>
      <c r="K253" s="1095"/>
      <c r="L253" s="1095"/>
      <c r="M253" s="1095"/>
      <c r="N253" s="1095"/>
      <c r="O253" s="1095"/>
      <c r="P253" s="1095"/>
      <c r="Q253" s="1095"/>
      <c r="R253" s="1095"/>
      <c r="S253" s="1095"/>
      <c r="T253" s="1095"/>
      <c r="U253" s="1095"/>
      <c r="V253" s="1095"/>
      <c r="W253" s="1095"/>
      <c r="X253" s="1095"/>
      <c r="Y253" s="1095"/>
      <c r="Z253" s="1095"/>
      <c r="AA253" s="1095"/>
      <c r="AB253" s="1095"/>
    </row>
    <row r="254">
      <c r="A254" s="1095"/>
      <c r="B254" s="1095"/>
      <c r="C254" s="1095"/>
      <c r="D254" s="1095"/>
      <c r="E254" s="1095"/>
      <c r="F254" s="1095"/>
      <c r="G254" s="1095"/>
      <c r="H254" s="1095"/>
      <c r="I254" s="1095"/>
      <c r="J254" s="1095"/>
      <c r="K254" s="1095"/>
      <c r="L254" s="1095"/>
      <c r="M254" s="1095"/>
      <c r="N254" s="1095"/>
      <c r="O254" s="1095"/>
      <c r="P254" s="1095"/>
      <c r="Q254" s="1095"/>
      <c r="R254" s="1095"/>
      <c r="S254" s="1095"/>
      <c r="T254" s="1095"/>
      <c r="U254" s="1095"/>
      <c r="V254" s="1095"/>
      <c r="W254" s="1095"/>
      <c r="X254" s="1095"/>
      <c r="Y254" s="1095"/>
      <c r="Z254" s="1095"/>
      <c r="AA254" s="1095"/>
      <c r="AB254" s="1095"/>
    </row>
    <row r="255">
      <c r="A255" s="1095"/>
      <c r="B255" s="1095"/>
      <c r="C255" s="1095"/>
      <c r="D255" s="1095"/>
      <c r="E255" s="1095"/>
      <c r="F255" s="1095"/>
      <c r="G255" s="1095"/>
      <c r="H255" s="1095"/>
      <c r="I255" s="1095"/>
      <c r="J255" s="1095"/>
      <c r="K255" s="1095"/>
      <c r="L255" s="1095"/>
      <c r="M255" s="1095"/>
      <c r="N255" s="1095"/>
      <c r="O255" s="1095"/>
      <c r="P255" s="1095"/>
      <c r="Q255" s="1095"/>
      <c r="R255" s="1095"/>
      <c r="S255" s="1095"/>
      <c r="T255" s="1095"/>
      <c r="U255" s="1095"/>
      <c r="V255" s="1095"/>
      <c r="W255" s="1095"/>
      <c r="X255" s="1095"/>
      <c r="Y255" s="1095"/>
      <c r="Z255" s="1095"/>
      <c r="AA255" s="1095"/>
      <c r="AB255" s="1095"/>
    </row>
    <row r="256">
      <c r="A256" s="1095"/>
      <c r="B256" s="1095"/>
      <c r="C256" s="1095"/>
      <c r="D256" s="1095"/>
      <c r="E256" s="1095"/>
      <c r="F256" s="1095"/>
      <c r="G256" s="1095"/>
      <c r="H256" s="1095"/>
      <c r="I256" s="1095"/>
      <c r="J256" s="1095"/>
      <c r="K256" s="1095"/>
      <c r="L256" s="1095"/>
      <c r="M256" s="1095"/>
      <c r="N256" s="1095"/>
      <c r="O256" s="1095"/>
      <c r="P256" s="1095"/>
      <c r="Q256" s="1095"/>
      <c r="R256" s="1095"/>
      <c r="S256" s="1095"/>
      <c r="T256" s="1095"/>
      <c r="U256" s="1095"/>
      <c r="V256" s="1095"/>
      <c r="W256" s="1095"/>
      <c r="X256" s="1095"/>
      <c r="Y256" s="1095"/>
      <c r="Z256" s="1095"/>
      <c r="AA256" s="1095"/>
      <c r="AB256" s="1095"/>
    </row>
    <row r="257">
      <c r="A257" s="1095"/>
      <c r="B257" s="1095"/>
      <c r="C257" s="1095"/>
      <c r="D257" s="1095"/>
      <c r="E257" s="1095"/>
      <c r="F257" s="1095"/>
      <c r="G257" s="1095"/>
      <c r="H257" s="1095"/>
      <c r="I257" s="1095"/>
      <c r="J257" s="1095"/>
      <c r="K257" s="1095"/>
      <c r="L257" s="1095"/>
      <c r="M257" s="1095"/>
      <c r="N257" s="1095"/>
      <c r="O257" s="1095"/>
      <c r="P257" s="1095"/>
      <c r="Q257" s="1095"/>
      <c r="R257" s="1095"/>
      <c r="S257" s="1095"/>
      <c r="T257" s="1095"/>
      <c r="U257" s="1095"/>
      <c r="V257" s="1095"/>
      <c r="W257" s="1095"/>
      <c r="X257" s="1095"/>
      <c r="Y257" s="1095"/>
      <c r="Z257" s="1095"/>
      <c r="AA257" s="1095"/>
      <c r="AB257" s="1095"/>
    </row>
    <row r="258">
      <c r="A258" s="1095"/>
      <c r="B258" s="1095"/>
      <c r="C258" s="1095"/>
      <c r="D258" s="1095"/>
      <c r="E258" s="1095"/>
      <c r="F258" s="1095"/>
      <c r="G258" s="1095"/>
      <c r="H258" s="1095"/>
      <c r="I258" s="1095"/>
      <c r="J258" s="1095"/>
      <c r="K258" s="1095"/>
      <c r="L258" s="1095"/>
      <c r="M258" s="1095"/>
      <c r="N258" s="1095"/>
      <c r="O258" s="1095"/>
      <c r="P258" s="1095"/>
      <c r="Q258" s="1095"/>
      <c r="R258" s="1095"/>
      <c r="S258" s="1095"/>
      <c r="T258" s="1095"/>
      <c r="U258" s="1095"/>
      <c r="V258" s="1095"/>
      <c r="W258" s="1095"/>
      <c r="X258" s="1095"/>
      <c r="Y258" s="1095"/>
      <c r="Z258" s="1095"/>
      <c r="AA258" s="1095"/>
      <c r="AB258" s="1095"/>
    </row>
    <row r="259">
      <c r="A259" s="1095"/>
      <c r="B259" s="1095"/>
      <c r="C259" s="1095"/>
      <c r="D259" s="1095"/>
      <c r="E259" s="1095"/>
      <c r="F259" s="1095"/>
      <c r="G259" s="1095"/>
      <c r="H259" s="1095"/>
      <c r="I259" s="1095"/>
      <c r="J259" s="1095"/>
      <c r="K259" s="1095"/>
      <c r="L259" s="1095"/>
      <c r="M259" s="1095"/>
      <c r="N259" s="1095"/>
      <c r="O259" s="1095"/>
      <c r="P259" s="1095"/>
      <c r="Q259" s="1095"/>
      <c r="R259" s="1095"/>
      <c r="S259" s="1095"/>
      <c r="T259" s="1095"/>
      <c r="U259" s="1095"/>
      <c r="V259" s="1095"/>
      <c r="W259" s="1095"/>
      <c r="X259" s="1095"/>
      <c r="Y259" s="1095"/>
      <c r="Z259" s="1095"/>
      <c r="AA259" s="1095"/>
      <c r="AB259" s="1095"/>
    </row>
    <row r="260">
      <c r="A260" s="1095"/>
      <c r="B260" s="1095"/>
      <c r="C260" s="1095"/>
      <c r="D260" s="1095"/>
      <c r="E260" s="1095"/>
      <c r="F260" s="1095"/>
      <c r="G260" s="1095"/>
      <c r="H260" s="1095"/>
      <c r="I260" s="1095"/>
      <c r="J260" s="1095"/>
      <c r="K260" s="1095"/>
      <c r="L260" s="1095"/>
      <c r="M260" s="1095"/>
      <c r="N260" s="1095"/>
      <c r="O260" s="1095"/>
      <c r="P260" s="1095"/>
      <c r="Q260" s="1095"/>
      <c r="R260" s="1095"/>
      <c r="S260" s="1095"/>
      <c r="T260" s="1095"/>
      <c r="U260" s="1095"/>
      <c r="V260" s="1095"/>
      <c r="W260" s="1095"/>
      <c r="X260" s="1095"/>
      <c r="Y260" s="1095"/>
      <c r="Z260" s="1095"/>
      <c r="AA260" s="1095"/>
      <c r="AB260" s="1095"/>
    </row>
    <row r="261">
      <c r="A261" s="1095"/>
      <c r="B261" s="1095"/>
      <c r="C261" s="1095"/>
      <c r="D261" s="1095"/>
      <c r="E261" s="1095"/>
      <c r="F261" s="1095"/>
      <c r="G261" s="1095"/>
      <c r="H261" s="1095"/>
      <c r="I261" s="1095"/>
      <c r="J261" s="1095"/>
      <c r="K261" s="1095"/>
      <c r="L261" s="1095"/>
      <c r="M261" s="1095"/>
      <c r="N261" s="1095"/>
      <c r="O261" s="1095"/>
      <c r="P261" s="1095"/>
      <c r="Q261" s="1095"/>
      <c r="R261" s="1095"/>
      <c r="S261" s="1095"/>
      <c r="T261" s="1095"/>
      <c r="U261" s="1095"/>
      <c r="V261" s="1095"/>
      <c r="W261" s="1095"/>
      <c r="X261" s="1095"/>
      <c r="Y261" s="1095"/>
      <c r="Z261" s="1095"/>
      <c r="AA261" s="1095"/>
      <c r="AB261" s="1095"/>
    </row>
    <row r="262">
      <c r="A262" s="1095"/>
      <c r="B262" s="1095"/>
      <c r="C262" s="1095"/>
      <c r="D262" s="1095"/>
      <c r="E262" s="1095"/>
      <c r="F262" s="1095"/>
      <c r="G262" s="1095"/>
      <c r="H262" s="1095"/>
      <c r="I262" s="1095"/>
      <c r="J262" s="1095"/>
      <c r="K262" s="1095"/>
      <c r="L262" s="1095"/>
      <c r="M262" s="1095"/>
      <c r="N262" s="1095"/>
      <c r="O262" s="1095"/>
      <c r="P262" s="1095"/>
      <c r="Q262" s="1095"/>
      <c r="R262" s="1095"/>
      <c r="S262" s="1095"/>
      <c r="T262" s="1095"/>
      <c r="U262" s="1095"/>
      <c r="V262" s="1095"/>
      <c r="W262" s="1095"/>
      <c r="X262" s="1095"/>
      <c r="Y262" s="1095"/>
      <c r="Z262" s="1095"/>
      <c r="AA262" s="1095"/>
      <c r="AB262" s="1095"/>
    </row>
    <row r="263">
      <c r="A263" s="1095"/>
      <c r="B263" s="1095"/>
      <c r="C263" s="1095"/>
      <c r="D263" s="1095"/>
      <c r="E263" s="1095"/>
      <c r="F263" s="1095"/>
      <c r="G263" s="1095"/>
      <c r="H263" s="1095"/>
      <c r="I263" s="1095"/>
      <c r="J263" s="1095"/>
      <c r="K263" s="1095"/>
      <c r="L263" s="1095"/>
      <c r="M263" s="1095"/>
      <c r="N263" s="1095"/>
      <c r="O263" s="1095"/>
      <c r="P263" s="1095"/>
      <c r="Q263" s="1095"/>
      <c r="R263" s="1095"/>
      <c r="S263" s="1095"/>
      <c r="T263" s="1095"/>
      <c r="U263" s="1095"/>
      <c r="V263" s="1095"/>
      <c r="W263" s="1095"/>
      <c r="X263" s="1095"/>
      <c r="Y263" s="1095"/>
      <c r="Z263" s="1095"/>
      <c r="AA263" s="1095"/>
      <c r="AB263" s="1095"/>
    </row>
    <row r="264">
      <c r="A264" s="1095"/>
      <c r="B264" s="1095"/>
      <c r="C264" s="1095"/>
      <c r="D264" s="1095"/>
      <c r="E264" s="1095"/>
      <c r="F264" s="1095"/>
      <c r="G264" s="1095"/>
      <c r="H264" s="1095"/>
      <c r="I264" s="1095"/>
      <c r="J264" s="1095"/>
      <c r="K264" s="1095"/>
      <c r="L264" s="1095"/>
      <c r="M264" s="1095"/>
      <c r="N264" s="1095"/>
      <c r="O264" s="1095"/>
      <c r="P264" s="1095"/>
      <c r="Q264" s="1095"/>
      <c r="R264" s="1095"/>
      <c r="S264" s="1095"/>
      <c r="T264" s="1095"/>
      <c r="U264" s="1095"/>
      <c r="V264" s="1095"/>
      <c r="W264" s="1095"/>
      <c r="X264" s="1095"/>
      <c r="Y264" s="1095"/>
      <c r="Z264" s="1095"/>
      <c r="AA264" s="1095"/>
      <c r="AB264" s="1095"/>
    </row>
    <row r="265">
      <c r="A265" s="1095"/>
      <c r="B265" s="1095"/>
      <c r="C265" s="1095"/>
      <c r="D265" s="1095"/>
      <c r="E265" s="1095"/>
      <c r="F265" s="1095"/>
      <c r="G265" s="1095"/>
      <c r="H265" s="1095"/>
      <c r="I265" s="1095"/>
      <c r="J265" s="1095"/>
      <c r="K265" s="1095"/>
      <c r="L265" s="1095"/>
      <c r="M265" s="1095"/>
      <c r="N265" s="1095"/>
      <c r="O265" s="1095"/>
      <c r="P265" s="1095"/>
      <c r="Q265" s="1095"/>
      <c r="R265" s="1095"/>
      <c r="S265" s="1095"/>
      <c r="T265" s="1095"/>
      <c r="U265" s="1095"/>
      <c r="V265" s="1095"/>
      <c r="W265" s="1095"/>
      <c r="X265" s="1095"/>
      <c r="Y265" s="1095"/>
      <c r="Z265" s="1095"/>
      <c r="AA265" s="1095"/>
      <c r="AB265" s="1095"/>
    </row>
    <row r="266">
      <c r="A266" s="1095"/>
      <c r="B266" s="1095"/>
      <c r="C266" s="1095"/>
      <c r="D266" s="1095"/>
      <c r="E266" s="1095"/>
      <c r="F266" s="1095"/>
      <c r="G266" s="1095"/>
      <c r="H266" s="1095"/>
      <c r="I266" s="1095"/>
      <c r="J266" s="1095"/>
      <c r="K266" s="1095"/>
      <c r="L266" s="1095"/>
      <c r="M266" s="1095"/>
      <c r="N266" s="1095"/>
      <c r="O266" s="1095"/>
      <c r="P266" s="1095"/>
      <c r="Q266" s="1095"/>
      <c r="R266" s="1095"/>
      <c r="S266" s="1095"/>
      <c r="T266" s="1095"/>
      <c r="U266" s="1095"/>
      <c r="V266" s="1095"/>
      <c r="W266" s="1095"/>
      <c r="X266" s="1095"/>
      <c r="Y266" s="1095"/>
      <c r="Z266" s="1095"/>
      <c r="AA266" s="1095"/>
      <c r="AB266" s="1095"/>
    </row>
    <row r="267">
      <c r="A267" s="1095"/>
      <c r="B267" s="1095"/>
      <c r="C267" s="1095"/>
      <c r="D267" s="1095"/>
      <c r="E267" s="1095"/>
      <c r="F267" s="1095"/>
      <c r="G267" s="1095"/>
      <c r="H267" s="1095"/>
      <c r="I267" s="1095"/>
      <c r="J267" s="1095"/>
      <c r="K267" s="1095"/>
      <c r="L267" s="1095"/>
      <c r="M267" s="1095"/>
      <c r="N267" s="1095"/>
      <c r="O267" s="1095"/>
      <c r="P267" s="1095"/>
      <c r="Q267" s="1095"/>
      <c r="R267" s="1095"/>
      <c r="S267" s="1095"/>
      <c r="T267" s="1095"/>
      <c r="U267" s="1095"/>
      <c r="V267" s="1095"/>
      <c r="W267" s="1095"/>
      <c r="X267" s="1095"/>
      <c r="Y267" s="1095"/>
      <c r="Z267" s="1095"/>
      <c r="AA267" s="1095"/>
      <c r="AB267" s="1095"/>
    </row>
    <row r="268">
      <c r="A268" s="1095"/>
      <c r="B268" s="1095"/>
      <c r="C268" s="1095"/>
      <c r="D268" s="1095"/>
      <c r="E268" s="1095"/>
      <c r="F268" s="1095"/>
      <c r="G268" s="1095"/>
      <c r="H268" s="1095"/>
      <c r="I268" s="1095"/>
      <c r="J268" s="1095"/>
      <c r="K268" s="1095"/>
      <c r="L268" s="1095"/>
      <c r="M268" s="1095"/>
      <c r="N268" s="1095"/>
      <c r="O268" s="1095"/>
      <c r="P268" s="1095"/>
      <c r="Q268" s="1095"/>
      <c r="R268" s="1095"/>
      <c r="S268" s="1095"/>
      <c r="T268" s="1095"/>
      <c r="U268" s="1095"/>
      <c r="V268" s="1095"/>
      <c r="W268" s="1095"/>
      <c r="X268" s="1095"/>
      <c r="Y268" s="1095"/>
      <c r="Z268" s="1095"/>
      <c r="AA268" s="1095"/>
      <c r="AB268" s="1095"/>
    </row>
    <row r="269">
      <c r="A269" s="1095"/>
      <c r="B269" s="1095"/>
      <c r="C269" s="1095"/>
      <c r="D269" s="1095"/>
      <c r="E269" s="1095"/>
      <c r="F269" s="1095"/>
      <c r="G269" s="1095"/>
      <c r="H269" s="1095"/>
      <c r="I269" s="1095"/>
      <c r="J269" s="1095"/>
      <c r="K269" s="1095"/>
      <c r="L269" s="1095"/>
      <c r="M269" s="1095"/>
      <c r="N269" s="1095"/>
      <c r="O269" s="1095"/>
      <c r="P269" s="1095"/>
      <c r="Q269" s="1095"/>
      <c r="R269" s="1095"/>
      <c r="S269" s="1095"/>
      <c r="T269" s="1095"/>
      <c r="U269" s="1095"/>
      <c r="V269" s="1095"/>
      <c r="W269" s="1095"/>
      <c r="X269" s="1095"/>
      <c r="Y269" s="1095"/>
      <c r="Z269" s="1095"/>
      <c r="AA269" s="1095"/>
      <c r="AB269" s="1095"/>
    </row>
    <row r="270">
      <c r="A270" s="1095"/>
      <c r="B270" s="1095"/>
      <c r="C270" s="1095"/>
      <c r="D270" s="1095"/>
      <c r="E270" s="1095"/>
      <c r="F270" s="1095"/>
      <c r="G270" s="1095"/>
      <c r="H270" s="1095"/>
      <c r="I270" s="1095"/>
      <c r="J270" s="1095"/>
      <c r="K270" s="1095"/>
      <c r="L270" s="1095"/>
      <c r="M270" s="1095"/>
      <c r="N270" s="1095"/>
      <c r="O270" s="1095"/>
      <c r="P270" s="1095"/>
      <c r="Q270" s="1095"/>
      <c r="R270" s="1095"/>
      <c r="S270" s="1095"/>
      <c r="T270" s="1095"/>
      <c r="U270" s="1095"/>
      <c r="V270" s="1095"/>
      <c r="W270" s="1095"/>
      <c r="X270" s="1095"/>
      <c r="Y270" s="1095"/>
      <c r="Z270" s="1095"/>
      <c r="AA270" s="1095"/>
      <c r="AB270" s="1095"/>
    </row>
    <row r="271">
      <c r="A271" s="1095"/>
      <c r="B271" s="1095"/>
      <c r="C271" s="1095"/>
      <c r="D271" s="1095"/>
      <c r="E271" s="1095"/>
      <c r="F271" s="1095"/>
      <c r="G271" s="1095"/>
      <c r="H271" s="1095"/>
      <c r="I271" s="1095"/>
      <c r="J271" s="1095"/>
      <c r="K271" s="1095"/>
      <c r="L271" s="1095"/>
      <c r="M271" s="1095"/>
      <c r="N271" s="1095"/>
      <c r="O271" s="1095"/>
      <c r="P271" s="1095"/>
      <c r="Q271" s="1095"/>
      <c r="R271" s="1095"/>
      <c r="S271" s="1095"/>
      <c r="T271" s="1095"/>
      <c r="U271" s="1095"/>
      <c r="V271" s="1095"/>
      <c r="W271" s="1095"/>
      <c r="X271" s="1095"/>
      <c r="Y271" s="1095"/>
      <c r="Z271" s="1095"/>
      <c r="AA271" s="1095"/>
      <c r="AB271" s="1095"/>
    </row>
    <row r="272">
      <c r="A272" s="1095"/>
      <c r="B272" s="1095"/>
      <c r="C272" s="1095"/>
      <c r="D272" s="1095"/>
      <c r="E272" s="1095"/>
      <c r="F272" s="1095"/>
      <c r="G272" s="1095"/>
      <c r="H272" s="1095"/>
      <c r="I272" s="1095"/>
      <c r="J272" s="1095"/>
      <c r="K272" s="1095"/>
      <c r="L272" s="1095"/>
      <c r="M272" s="1095"/>
      <c r="N272" s="1095"/>
      <c r="O272" s="1095"/>
      <c r="P272" s="1095"/>
      <c r="Q272" s="1095"/>
      <c r="R272" s="1095"/>
      <c r="S272" s="1095"/>
      <c r="T272" s="1095"/>
      <c r="U272" s="1095"/>
      <c r="V272" s="1095"/>
      <c r="W272" s="1095"/>
      <c r="X272" s="1095"/>
      <c r="Y272" s="1095"/>
      <c r="Z272" s="1095"/>
      <c r="AA272" s="1095"/>
      <c r="AB272" s="1095"/>
    </row>
    <row r="273">
      <c r="A273" s="1095"/>
      <c r="B273" s="1095"/>
      <c r="C273" s="1095"/>
      <c r="D273" s="1095"/>
      <c r="E273" s="1095"/>
      <c r="F273" s="1095"/>
      <c r="G273" s="1095"/>
      <c r="H273" s="1095"/>
      <c r="I273" s="1095"/>
      <c r="J273" s="1095"/>
      <c r="K273" s="1095"/>
      <c r="L273" s="1095"/>
      <c r="M273" s="1095"/>
      <c r="N273" s="1095"/>
      <c r="O273" s="1095"/>
      <c r="P273" s="1095"/>
      <c r="Q273" s="1095"/>
      <c r="R273" s="1095"/>
      <c r="S273" s="1095"/>
      <c r="T273" s="1095"/>
      <c r="U273" s="1095"/>
      <c r="V273" s="1095"/>
      <c r="W273" s="1095"/>
      <c r="X273" s="1095"/>
      <c r="Y273" s="1095"/>
      <c r="Z273" s="1095"/>
      <c r="AA273" s="1095"/>
      <c r="AB273" s="1095"/>
    </row>
    <row r="274">
      <c r="A274" s="1095"/>
      <c r="B274" s="1095"/>
      <c r="C274" s="1095"/>
      <c r="D274" s="1095"/>
      <c r="E274" s="1095"/>
      <c r="F274" s="1095"/>
      <c r="G274" s="1095"/>
      <c r="H274" s="1095"/>
      <c r="I274" s="1095"/>
      <c r="J274" s="1095"/>
      <c r="K274" s="1095"/>
      <c r="L274" s="1095"/>
      <c r="M274" s="1095"/>
      <c r="N274" s="1095"/>
      <c r="O274" s="1095"/>
      <c r="P274" s="1095"/>
      <c r="Q274" s="1095"/>
      <c r="R274" s="1095"/>
      <c r="S274" s="1095"/>
      <c r="T274" s="1095"/>
      <c r="U274" s="1095"/>
      <c r="V274" s="1095"/>
      <c r="W274" s="1095"/>
      <c r="X274" s="1095"/>
      <c r="Y274" s="1095"/>
      <c r="Z274" s="1095"/>
      <c r="AA274" s="1095"/>
      <c r="AB274" s="1095"/>
    </row>
    <row r="275">
      <c r="A275" s="1095"/>
      <c r="B275" s="1095"/>
      <c r="C275" s="1095"/>
      <c r="D275" s="1095"/>
      <c r="E275" s="1095"/>
      <c r="F275" s="1095"/>
      <c r="G275" s="1095"/>
      <c r="H275" s="1095"/>
      <c r="I275" s="1095"/>
      <c r="J275" s="1095"/>
      <c r="K275" s="1095"/>
      <c r="L275" s="1095"/>
      <c r="M275" s="1095"/>
      <c r="N275" s="1095"/>
      <c r="O275" s="1095"/>
      <c r="P275" s="1095"/>
      <c r="Q275" s="1095"/>
      <c r="R275" s="1095"/>
      <c r="S275" s="1095"/>
      <c r="T275" s="1095"/>
      <c r="U275" s="1095"/>
      <c r="V275" s="1095"/>
      <c r="W275" s="1095"/>
      <c r="X275" s="1095"/>
      <c r="Y275" s="1095"/>
      <c r="Z275" s="1095"/>
      <c r="AA275" s="1095"/>
      <c r="AB275" s="1095"/>
    </row>
    <row r="276">
      <c r="A276" s="1095"/>
      <c r="B276" s="1095"/>
      <c r="C276" s="1095"/>
      <c r="D276" s="1095"/>
      <c r="E276" s="1095"/>
      <c r="F276" s="1095"/>
      <c r="G276" s="1095"/>
      <c r="H276" s="1095"/>
      <c r="I276" s="1095"/>
      <c r="J276" s="1095"/>
      <c r="K276" s="1095"/>
      <c r="L276" s="1095"/>
      <c r="M276" s="1095"/>
      <c r="N276" s="1095"/>
      <c r="O276" s="1095"/>
      <c r="P276" s="1095"/>
      <c r="Q276" s="1095"/>
      <c r="R276" s="1095"/>
      <c r="S276" s="1095"/>
      <c r="T276" s="1095"/>
      <c r="U276" s="1095"/>
      <c r="V276" s="1095"/>
      <c r="W276" s="1095"/>
      <c r="X276" s="1095"/>
      <c r="Y276" s="1095"/>
      <c r="Z276" s="1095"/>
      <c r="AA276" s="1095"/>
      <c r="AB276" s="1095"/>
    </row>
    <row r="277">
      <c r="A277" s="1095"/>
      <c r="B277" s="1095"/>
      <c r="C277" s="1095"/>
      <c r="D277" s="1095"/>
      <c r="E277" s="1095"/>
      <c r="F277" s="1095"/>
      <c r="G277" s="1095"/>
      <c r="H277" s="1095"/>
      <c r="I277" s="1095"/>
      <c r="J277" s="1095"/>
      <c r="K277" s="1095"/>
      <c r="L277" s="1095"/>
      <c r="M277" s="1095"/>
      <c r="N277" s="1095"/>
      <c r="O277" s="1095"/>
      <c r="P277" s="1095"/>
      <c r="Q277" s="1095"/>
      <c r="R277" s="1095"/>
      <c r="S277" s="1095"/>
      <c r="T277" s="1095"/>
      <c r="U277" s="1095"/>
      <c r="V277" s="1095"/>
      <c r="W277" s="1095"/>
      <c r="X277" s="1095"/>
      <c r="Y277" s="1095"/>
      <c r="Z277" s="1095"/>
      <c r="AA277" s="1095"/>
      <c r="AB277" s="1095"/>
    </row>
    <row r="278">
      <c r="A278" s="1095"/>
      <c r="B278" s="1095"/>
      <c r="C278" s="1095"/>
      <c r="D278" s="1095"/>
      <c r="E278" s="1095"/>
      <c r="F278" s="1095"/>
      <c r="G278" s="1095"/>
      <c r="H278" s="1095"/>
      <c r="I278" s="1095"/>
      <c r="J278" s="1095"/>
      <c r="K278" s="1095"/>
      <c r="L278" s="1095"/>
      <c r="M278" s="1095"/>
      <c r="N278" s="1095"/>
      <c r="O278" s="1095"/>
      <c r="P278" s="1095"/>
      <c r="Q278" s="1095"/>
      <c r="R278" s="1095"/>
      <c r="S278" s="1095"/>
      <c r="T278" s="1095"/>
      <c r="U278" s="1095"/>
      <c r="V278" s="1095"/>
      <c r="W278" s="1095"/>
      <c r="X278" s="1095"/>
      <c r="Y278" s="1095"/>
      <c r="Z278" s="1095"/>
      <c r="AA278" s="1095"/>
      <c r="AB278" s="1095"/>
    </row>
    <row r="279">
      <c r="A279" s="1095"/>
      <c r="B279" s="1095"/>
      <c r="C279" s="1095"/>
      <c r="D279" s="1095"/>
      <c r="E279" s="1095"/>
      <c r="F279" s="1095"/>
      <c r="G279" s="1095"/>
      <c r="H279" s="1095"/>
      <c r="I279" s="1095"/>
      <c r="J279" s="1095"/>
      <c r="K279" s="1095"/>
      <c r="L279" s="1095"/>
      <c r="M279" s="1095"/>
      <c r="N279" s="1095"/>
      <c r="O279" s="1095"/>
      <c r="P279" s="1095"/>
      <c r="Q279" s="1095"/>
      <c r="R279" s="1095"/>
      <c r="S279" s="1095"/>
      <c r="T279" s="1095"/>
      <c r="U279" s="1095"/>
      <c r="V279" s="1095"/>
      <c r="W279" s="1095"/>
      <c r="X279" s="1095"/>
      <c r="Y279" s="1095"/>
      <c r="Z279" s="1095"/>
      <c r="AA279" s="1095"/>
      <c r="AB279" s="1095"/>
    </row>
    <row r="280">
      <c r="A280" s="1095"/>
      <c r="B280" s="1095"/>
      <c r="C280" s="1095"/>
      <c r="D280" s="1095"/>
      <c r="E280" s="1095"/>
      <c r="F280" s="1095"/>
      <c r="G280" s="1095"/>
      <c r="H280" s="1095"/>
      <c r="I280" s="1095"/>
      <c r="J280" s="1095"/>
      <c r="K280" s="1095"/>
      <c r="L280" s="1095"/>
      <c r="M280" s="1095"/>
      <c r="N280" s="1095"/>
      <c r="O280" s="1095"/>
      <c r="P280" s="1095"/>
      <c r="Q280" s="1095"/>
      <c r="R280" s="1095"/>
      <c r="S280" s="1095"/>
      <c r="T280" s="1095"/>
      <c r="U280" s="1095"/>
      <c r="V280" s="1095"/>
      <c r="W280" s="1095"/>
      <c r="X280" s="1095"/>
      <c r="Y280" s="1095"/>
      <c r="Z280" s="1095"/>
      <c r="AA280" s="1095"/>
      <c r="AB280" s="1095"/>
    </row>
    <row r="281">
      <c r="A281" s="1095"/>
      <c r="B281" s="1095"/>
      <c r="C281" s="1095"/>
      <c r="D281" s="1095"/>
      <c r="E281" s="1095"/>
      <c r="F281" s="1095"/>
      <c r="G281" s="1095"/>
      <c r="H281" s="1095"/>
      <c r="I281" s="1095"/>
      <c r="J281" s="1095"/>
      <c r="K281" s="1095"/>
      <c r="L281" s="1095"/>
      <c r="M281" s="1095"/>
      <c r="N281" s="1095"/>
      <c r="O281" s="1095"/>
      <c r="P281" s="1095"/>
      <c r="Q281" s="1095"/>
      <c r="R281" s="1095"/>
      <c r="S281" s="1095"/>
      <c r="T281" s="1095"/>
      <c r="U281" s="1095"/>
      <c r="V281" s="1095"/>
      <c r="W281" s="1095"/>
      <c r="X281" s="1095"/>
      <c r="Y281" s="1095"/>
      <c r="Z281" s="1095"/>
      <c r="AA281" s="1095"/>
      <c r="AB281" s="1095"/>
    </row>
    <row r="282">
      <c r="A282" s="1095"/>
      <c r="B282" s="1095"/>
      <c r="C282" s="1095"/>
      <c r="D282" s="1095"/>
      <c r="E282" s="1095"/>
      <c r="F282" s="1095"/>
      <c r="G282" s="1095"/>
      <c r="H282" s="1095"/>
      <c r="I282" s="1095"/>
      <c r="J282" s="1095"/>
      <c r="K282" s="1095"/>
      <c r="L282" s="1095"/>
      <c r="M282" s="1095"/>
      <c r="N282" s="1095"/>
      <c r="O282" s="1095"/>
      <c r="P282" s="1095"/>
      <c r="Q282" s="1095"/>
      <c r="R282" s="1095"/>
      <c r="S282" s="1095"/>
      <c r="T282" s="1095"/>
      <c r="U282" s="1095"/>
      <c r="V282" s="1095"/>
      <c r="W282" s="1095"/>
      <c r="X282" s="1095"/>
      <c r="Y282" s="1095"/>
      <c r="Z282" s="1095"/>
      <c r="AA282" s="1095"/>
      <c r="AB282" s="1095"/>
    </row>
    <row r="283">
      <c r="A283" s="1095"/>
      <c r="B283" s="1095"/>
      <c r="C283" s="1095"/>
      <c r="D283" s="1095"/>
      <c r="E283" s="1095"/>
      <c r="F283" s="1095"/>
      <c r="G283" s="1095"/>
      <c r="H283" s="1095"/>
      <c r="I283" s="1095"/>
      <c r="J283" s="1095"/>
      <c r="K283" s="1095"/>
      <c r="L283" s="1095"/>
      <c r="M283" s="1095"/>
      <c r="N283" s="1095"/>
      <c r="O283" s="1095"/>
      <c r="P283" s="1095"/>
      <c r="Q283" s="1095"/>
      <c r="R283" s="1095"/>
      <c r="S283" s="1095"/>
      <c r="T283" s="1095"/>
      <c r="U283" s="1095"/>
      <c r="V283" s="1095"/>
      <c r="W283" s="1095"/>
      <c r="X283" s="1095"/>
      <c r="Y283" s="1095"/>
      <c r="Z283" s="1095"/>
      <c r="AA283" s="1095"/>
      <c r="AB283" s="1095"/>
    </row>
    <row r="284">
      <c r="A284" s="1095"/>
      <c r="B284" s="1095"/>
      <c r="C284" s="1095"/>
      <c r="D284" s="1095"/>
      <c r="E284" s="1095"/>
      <c r="F284" s="1095"/>
      <c r="G284" s="1095"/>
      <c r="H284" s="1095"/>
      <c r="I284" s="1095"/>
      <c r="J284" s="1095"/>
      <c r="K284" s="1095"/>
      <c r="L284" s="1095"/>
      <c r="M284" s="1095"/>
      <c r="N284" s="1095"/>
      <c r="O284" s="1095"/>
      <c r="P284" s="1095"/>
      <c r="Q284" s="1095"/>
      <c r="R284" s="1095"/>
      <c r="S284" s="1095"/>
      <c r="T284" s="1095"/>
      <c r="U284" s="1095"/>
      <c r="V284" s="1095"/>
      <c r="W284" s="1095"/>
      <c r="X284" s="1095"/>
      <c r="Y284" s="1095"/>
      <c r="Z284" s="1095"/>
      <c r="AA284" s="1095"/>
      <c r="AB284" s="1095"/>
    </row>
    <row r="285">
      <c r="A285" s="1095"/>
      <c r="B285" s="1095"/>
      <c r="C285" s="1095"/>
      <c r="D285" s="1095"/>
      <c r="E285" s="1095"/>
      <c r="F285" s="1095"/>
      <c r="G285" s="1095"/>
      <c r="H285" s="1095"/>
      <c r="I285" s="1095"/>
      <c r="J285" s="1095"/>
      <c r="K285" s="1095"/>
      <c r="L285" s="1095"/>
      <c r="M285" s="1095"/>
      <c r="N285" s="1095"/>
      <c r="O285" s="1095"/>
      <c r="P285" s="1095"/>
      <c r="Q285" s="1095"/>
      <c r="R285" s="1095"/>
      <c r="S285" s="1095"/>
      <c r="T285" s="1095"/>
      <c r="U285" s="1095"/>
      <c r="V285" s="1095"/>
      <c r="W285" s="1095"/>
      <c r="X285" s="1095"/>
      <c r="Y285" s="1095"/>
      <c r="Z285" s="1095"/>
      <c r="AA285" s="1095"/>
      <c r="AB285" s="1095"/>
    </row>
    <row r="286">
      <c r="A286" s="1095"/>
      <c r="B286" s="1095"/>
      <c r="C286" s="1095"/>
      <c r="D286" s="1095"/>
      <c r="E286" s="1095"/>
      <c r="F286" s="1095"/>
      <c r="G286" s="1095"/>
      <c r="H286" s="1095"/>
      <c r="I286" s="1095"/>
      <c r="J286" s="1095"/>
      <c r="K286" s="1095"/>
      <c r="L286" s="1095"/>
      <c r="M286" s="1095"/>
      <c r="N286" s="1095"/>
      <c r="O286" s="1095"/>
      <c r="P286" s="1095"/>
      <c r="Q286" s="1095"/>
      <c r="R286" s="1095"/>
      <c r="S286" s="1095"/>
      <c r="T286" s="1095"/>
      <c r="U286" s="1095"/>
      <c r="V286" s="1095"/>
      <c r="W286" s="1095"/>
      <c r="X286" s="1095"/>
      <c r="Y286" s="1095"/>
      <c r="Z286" s="1095"/>
      <c r="AA286" s="1095"/>
      <c r="AB286" s="1095"/>
    </row>
    <row r="287">
      <c r="A287" s="1095"/>
      <c r="B287" s="1095"/>
      <c r="C287" s="1095"/>
      <c r="D287" s="1095"/>
      <c r="E287" s="1095"/>
      <c r="F287" s="1095"/>
      <c r="G287" s="1095"/>
      <c r="H287" s="1095"/>
      <c r="I287" s="1095"/>
      <c r="J287" s="1095"/>
      <c r="K287" s="1095"/>
      <c r="L287" s="1095"/>
      <c r="M287" s="1095"/>
      <c r="N287" s="1095"/>
      <c r="O287" s="1095"/>
      <c r="P287" s="1095"/>
      <c r="Q287" s="1095"/>
      <c r="R287" s="1095"/>
      <c r="S287" s="1095"/>
      <c r="T287" s="1095"/>
      <c r="U287" s="1095"/>
      <c r="V287" s="1095"/>
      <c r="W287" s="1095"/>
      <c r="X287" s="1095"/>
      <c r="Y287" s="1095"/>
      <c r="Z287" s="1095"/>
      <c r="AA287" s="1095"/>
      <c r="AB287" s="1095"/>
    </row>
    <row r="288">
      <c r="A288" s="1095"/>
      <c r="B288" s="1095"/>
      <c r="C288" s="1095"/>
      <c r="D288" s="1095"/>
      <c r="E288" s="1095"/>
      <c r="F288" s="1095"/>
      <c r="G288" s="1095"/>
      <c r="H288" s="1095"/>
      <c r="I288" s="1095"/>
      <c r="J288" s="1095"/>
      <c r="K288" s="1095"/>
      <c r="L288" s="1095"/>
      <c r="M288" s="1095"/>
      <c r="N288" s="1095"/>
      <c r="O288" s="1095"/>
      <c r="P288" s="1095"/>
      <c r="Q288" s="1095"/>
      <c r="R288" s="1095"/>
      <c r="S288" s="1095"/>
      <c r="T288" s="1095"/>
      <c r="U288" s="1095"/>
      <c r="V288" s="1095"/>
      <c r="W288" s="1095"/>
      <c r="X288" s="1095"/>
      <c r="Y288" s="1095"/>
      <c r="Z288" s="1095"/>
      <c r="AA288" s="1095"/>
      <c r="AB288" s="1095"/>
    </row>
    <row r="289">
      <c r="A289" s="1095"/>
      <c r="B289" s="1095"/>
      <c r="C289" s="1095"/>
      <c r="D289" s="1095"/>
      <c r="E289" s="1095"/>
      <c r="F289" s="1095"/>
      <c r="G289" s="1095"/>
      <c r="H289" s="1095"/>
      <c r="I289" s="1095"/>
      <c r="J289" s="1095"/>
      <c r="K289" s="1095"/>
      <c r="L289" s="1095"/>
      <c r="M289" s="1095"/>
      <c r="N289" s="1095"/>
      <c r="O289" s="1095"/>
      <c r="P289" s="1095"/>
      <c r="Q289" s="1095"/>
      <c r="R289" s="1095"/>
      <c r="S289" s="1095"/>
      <c r="T289" s="1095"/>
      <c r="U289" s="1095"/>
      <c r="V289" s="1095"/>
      <c r="W289" s="1095"/>
      <c r="X289" s="1095"/>
      <c r="Y289" s="1095"/>
      <c r="Z289" s="1095"/>
      <c r="AA289" s="1095"/>
      <c r="AB289" s="1095"/>
    </row>
    <row r="290">
      <c r="A290" s="1095"/>
      <c r="B290" s="1095"/>
      <c r="C290" s="1095"/>
      <c r="D290" s="1095"/>
      <c r="E290" s="1095"/>
      <c r="F290" s="1095"/>
      <c r="G290" s="1095"/>
      <c r="H290" s="1095"/>
      <c r="I290" s="1095"/>
      <c r="J290" s="1095"/>
      <c r="K290" s="1095"/>
      <c r="L290" s="1095"/>
      <c r="M290" s="1095"/>
      <c r="N290" s="1095"/>
      <c r="O290" s="1095"/>
      <c r="P290" s="1095"/>
      <c r="Q290" s="1095"/>
      <c r="R290" s="1095"/>
      <c r="S290" s="1095"/>
      <c r="T290" s="1095"/>
      <c r="U290" s="1095"/>
      <c r="V290" s="1095"/>
      <c r="W290" s="1095"/>
      <c r="X290" s="1095"/>
      <c r="Y290" s="1095"/>
      <c r="Z290" s="1095"/>
      <c r="AA290" s="1095"/>
      <c r="AB290" s="1095"/>
    </row>
    <row r="291">
      <c r="A291" s="1095"/>
      <c r="B291" s="1095"/>
      <c r="C291" s="1095"/>
      <c r="D291" s="1095"/>
      <c r="E291" s="1095"/>
      <c r="F291" s="1095"/>
      <c r="G291" s="1095"/>
      <c r="H291" s="1095"/>
      <c r="I291" s="1095"/>
      <c r="J291" s="1095"/>
      <c r="K291" s="1095"/>
      <c r="L291" s="1095"/>
      <c r="M291" s="1095"/>
      <c r="N291" s="1095"/>
      <c r="O291" s="1095"/>
      <c r="P291" s="1095"/>
      <c r="Q291" s="1095"/>
      <c r="R291" s="1095"/>
      <c r="S291" s="1095"/>
      <c r="T291" s="1095"/>
      <c r="U291" s="1095"/>
      <c r="V291" s="1095"/>
      <c r="W291" s="1095"/>
      <c r="X291" s="1095"/>
      <c r="Y291" s="1095"/>
      <c r="Z291" s="1095"/>
      <c r="AA291" s="1095"/>
      <c r="AB291" s="1095"/>
    </row>
    <row r="292">
      <c r="A292" s="1095"/>
      <c r="B292" s="1095"/>
      <c r="C292" s="1095"/>
      <c r="D292" s="1095"/>
      <c r="E292" s="1095"/>
      <c r="F292" s="1095"/>
      <c r="G292" s="1095"/>
      <c r="H292" s="1095"/>
      <c r="I292" s="1095"/>
      <c r="J292" s="1095"/>
      <c r="K292" s="1095"/>
      <c r="L292" s="1095"/>
      <c r="M292" s="1095"/>
      <c r="N292" s="1095"/>
      <c r="O292" s="1095"/>
      <c r="P292" s="1095"/>
      <c r="Q292" s="1095"/>
      <c r="R292" s="1095"/>
      <c r="S292" s="1095"/>
      <c r="T292" s="1095"/>
      <c r="U292" s="1095"/>
      <c r="V292" s="1095"/>
      <c r="W292" s="1095"/>
      <c r="X292" s="1095"/>
      <c r="Y292" s="1095"/>
      <c r="Z292" s="1095"/>
      <c r="AA292" s="1095"/>
      <c r="AB292" s="1095"/>
    </row>
    <row r="293">
      <c r="A293" s="1095"/>
      <c r="B293" s="1095"/>
      <c r="C293" s="1095"/>
      <c r="D293" s="1095"/>
      <c r="E293" s="1095"/>
      <c r="F293" s="1095"/>
      <c r="G293" s="1095"/>
      <c r="H293" s="1095"/>
      <c r="I293" s="1095"/>
      <c r="J293" s="1095"/>
      <c r="K293" s="1095"/>
      <c r="L293" s="1095"/>
      <c r="M293" s="1095"/>
      <c r="N293" s="1095"/>
      <c r="O293" s="1095"/>
      <c r="P293" s="1095"/>
      <c r="Q293" s="1095"/>
      <c r="R293" s="1095"/>
      <c r="S293" s="1095"/>
      <c r="T293" s="1095"/>
      <c r="U293" s="1095"/>
      <c r="V293" s="1095"/>
      <c r="W293" s="1095"/>
      <c r="X293" s="1095"/>
      <c r="Y293" s="1095"/>
      <c r="Z293" s="1095"/>
      <c r="AA293" s="1095"/>
      <c r="AB293" s="1095"/>
    </row>
    <row r="294">
      <c r="A294" s="1095"/>
      <c r="B294" s="1095"/>
      <c r="C294" s="1095"/>
      <c r="D294" s="1095"/>
      <c r="E294" s="1095"/>
      <c r="F294" s="1095"/>
      <c r="G294" s="1095"/>
      <c r="H294" s="1095"/>
      <c r="I294" s="1095"/>
      <c r="J294" s="1095"/>
      <c r="K294" s="1095"/>
      <c r="L294" s="1095"/>
      <c r="M294" s="1095"/>
      <c r="N294" s="1095"/>
      <c r="O294" s="1095"/>
      <c r="P294" s="1095"/>
      <c r="Q294" s="1095"/>
      <c r="R294" s="1095"/>
      <c r="S294" s="1095"/>
      <c r="T294" s="1095"/>
      <c r="U294" s="1095"/>
      <c r="V294" s="1095"/>
      <c r="W294" s="1095"/>
      <c r="X294" s="1095"/>
      <c r="Y294" s="1095"/>
      <c r="Z294" s="1095"/>
      <c r="AA294" s="1095"/>
      <c r="AB294" s="1095"/>
    </row>
    <row r="295">
      <c r="A295" s="1095"/>
      <c r="B295" s="1095"/>
      <c r="C295" s="1095"/>
      <c r="D295" s="1095"/>
      <c r="E295" s="1095"/>
      <c r="F295" s="1095"/>
      <c r="G295" s="1095"/>
      <c r="H295" s="1095"/>
      <c r="I295" s="1095"/>
      <c r="J295" s="1095"/>
      <c r="K295" s="1095"/>
      <c r="L295" s="1095"/>
      <c r="M295" s="1095"/>
      <c r="N295" s="1095"/>
      <c r="O295" s="1095"/>
      <c r="P295" s="1095"/>
      <c r="Q295" s="1095"/>
      <c r="R295" s="1095"/>
      <c r="S295" s="1095"/>
      <c r="T295" s="1095"/>
      <c r="U295" s="1095"/>
      <c r="V295" s="1095"/>
      <c r="W295" s="1095"/>
      <c r="X295" s="1095"/>
      <c r="Y295" s="1095"/>
      <c r="Z295" s="1095"/>
      <c r="AA295" s="1095"/>
      <c r="AB295" s="1095"/>
    </row>
    <row r="296">
      <c r="A296" s="1095"/>
      <c r="B296" s="1095"/>
      <c r="C296" s="1095"/>
      <c r="D296" s="1095"/>
      <c r="E296" s="1095"/>
      <c r="F296" s="1095"/>
      <c r="G296" s="1095"/>
      <c r="H296" s="1095"/>
      <c r="I296" s="1095"/>
      <c r="J296" s="1095"/>
      <c r="K296" s="1095"/>
      <c r="L296" s="1095"/>
      <c r="M296" s="1095"/>
      <c r="N296" s="1095"/>
      <c r="O296" s="1095"/>
      <c r="P296" s="1095"/>
      <c r="Q296" s="1095"/>
      <c r="R296" s="1095"/>
      <c r="S296" s="1095"/>
      <c r="T296" s="1095"/>
      <c r="U296" s="1095"/>
      <c r="V296" s="1095"/>
      <c r="W296" s="1095"/>
      <c r="X296" s="1095"/>
      <c r="Y296" s="1095"/>
      <c r="Z296" s="1095"/>
      <c r="AA296" s="1095"/>
      <c r="AB296" s="1095"/>
    </row>
    <row r="297">
      <c r="A297" s="1095"/>
      <c r="B297" s="1095"/>
      <c r="C297" s="1095"/>
      <c r="D297" s="1095"/>
      <c r="E297" s="1095"/>
      <c r="F297" s="1095"/>
      <c r="G297" s="1095"/>
      <c r="H297" s="1095"/>
      <c r="I297" s="1095"/>
      <c r="J297" s="1095"/>
      <c r="K297" s="1095"/>
      <c r="L297" s="1095"/>
      <c r="M297" s="1095"/>
      <c r="N297" s="1095"/>
      <c r="O297" s="1095"/>
      <c r="P297" s="1095"/>
      <c r="Q297" s="1095"/>
      <c r="R297" s="1095"/>
      <c r="S297" s="1095"/>
      <c r="T297" s="1095"/>
      <c r="U297" s="1095"/>
      <c r="V297" s="1095"/>
      <c r="W297" s="1095"/>
      <c r="X297" s="1095"/>
      <c r="Y297" s="1095"/>
      <c r="Z297" s="1095"/>
      <c r="AA297" s="1095"/>
      <c r="AB297" s="1095"/>
    </row>
    <row r="298">
      <c r="A298" s="1095"/>
      <c r="B298" s="1095"/>
      <c r="C298" s="1095"/>
      <c r="D298" s="1095"/>
      <c r="E298" s="1095"/>
      <c r="F298" s="1095"/>
      <c r="G298" s="1095"/>
      <c r="H298" s="1095"/>
      <c r="I298" s="1095"/>
      <c r="J298" s="1095"/>
      <c r="K298" s="1095"/>
      <c r="L298" s="1095"/>
      <c r="M298" s="1095"/>
      <c r="N298" s="1095"/>
      <c r="O298" s="1095"/>
      <c r="P298" s="1095"/>
      <c r="Q298" s="1095"/>
      <c r="R298" s="1095"/>
      <c r="S298" s="1095"/>
      <c r="T298" s="1095"/>
      <c r="U298" s="1095"/>
      <c r="V298" s="1095"/>
      <c r="W298" s="1095"/>
      <c r="X298" s="1095"/>
      <c r="Y298" s="1095"/>
      <c r="Z298" s="1095"/>
      <c r="AA298" s="1095"/>
      <c r="AB298" s="1095"/>
    </row>
    <row r="299">
      <c r="A299" s="1095"/>
      <c r="B299" s="1095"/>
      <c r="C299" s="1095"/>
      <c r="D299" s="1095"/>
      <c r="E299" s="1095"/>
      <c r="F299" s="1095"/>
      <c r="G299" s="1095"/>
      <c r="H299" s="1095"/>
      <c r="I299" s="1095"/>
      <c r="J299" s="1095"/>
      <c r="K299" s="1095"/>
      <c r="L299" s="1095"/>
      <c r="M299" s="1095"/>
      <c r="N299" s="1095"/>
      <c r="O299" s="1095"/>
      <c r="P299" s="1095"/>
      <c r="Q299" s="1095"/>
      <c r="R299" s="1095"/>
      <c r="S299" s="1095"/>
      <c r="T299" s="1095"/>
      <c r="U299" s="1095"/>
      <c r="V299" s="1095"/>
      <c r="W299" s="1095"/>
      <c r="X299" s="1095"/>
      <c r="Y299" s="1095"/>
      <c r="Z299" s="1095"/>
      <c r="AA299" s="1095"/>
      <c r="AB299" s="1095"/>
    </row>
    <row r="300">
      <c r="A300" s="1095"/>
      <c r="B300" s="1095"/>
      <c r="C300" s="1095"/>
      <c r="D300" s="1095"/>
      <c r="E300" s="1095"/>
      <c r="F300" s="1095"/>
      <c r="G300" s="1095"/>
      <c r="H300" s="1095"/>
      <c r="I300" s="1095"/>
      <c r="J300" s="1095"/>
      <c r="K300" s="1095"/>
      <c r="L300" s="1095"/>
      <c r="M300" s="1095"/>
      <c r="N300" s="1095"/>
      <c r="O300" s="1095"/>
      <c r="P300" s="1095"/>
      <c r="Q300" s="1095"/>
      <c r="R300" s="1095"/>
      <c r="S300" s="1095"/>
      <c r="T300" s="1095"/>
      <c r="U300" s="1095"/>
      <c r="V300" s="1095"/>
      <c r="W300" s="1095"/>
      <c r="X300" s="1095"/>
      <c r="Y300" s="1095"/>
      <c r="Z300" s="1095"/>
      <c r="AA300" s="1095"/>
      <c r="AB300" s="1095"/>
    </row>
    <row r="301">
      <c r="A301" s="1095"/>
      <c r="B301" s="1095"/>
      <c r="C301" s="1095"/>
      <c r="D301" s="1095"/>
      <c r="E301" s="1095"/>
      <c r="F301" s="1095"/>
      <c r="G301" s="1095"/>
      <c r="H301" s="1095"/>
      <c r="I301" s="1095"/>
      <c r="J301" s="1095"/>
      <c r="K301" s="1095"/>
      <c r="L301" s="1095"/>
      <c r="M301" s="1095"/>
      <c r="N301" s="1095"/>
      <c r="O301" s="1095"/>
      <c r="P301" s="1095"/>
      <c r="Q301" s="1095"/>
      <c r="R301" s="1095"/>
      <c r="S301" s="1095"/>
      <c r="T301" s="1095"/>
      <c r="U301" s="1095"/>
      <c r="V301" s="1095"/>
      <c r="W301" s="1095"/>
      <c r="X301" s="1095"/>
      <c r="Y301" s="1095"/>
      <c r="Z301" s="1095"/>
      <c r="AA301" s="1095"/>
      <c r="AB301" s="1095"/>
    </row>
    <row r="302">
      <c r="A302" s="1095"/>
      <c r="B302" s="1095"/>
      <c r="C302" s="1095"/>
      <c r="D302" s="1095"/>
      <c r="E302" s="1095"/>
      <c r="F302" s="1095"/>
      <c r="G302" s="1095"/>
      <c r="H302" s="1095"/>
      <c r="I302" s="1095"/>
      <c r="J302" s="1095"/>
      <c r="K302" s="1095"/>
      <c r="L302" s="1095"/>
      <c r="M302" s="1095"/>
      <c r="N302" s="1095"/>
      <c r="O302" s="1095"/>
      <c r="P302" s="1095"/>
      <c r="Q302" s="1095"/>
      <c r="R302" s="1095"/>
      <c r="S302" s="1095"/>
      <c r="T302" s="1095"/>
      <c r="U302" s="1095"/>
      <c r="V302" s="1095"/>
      <c r="W302" s="1095"/>
      <c r="X302" s="1095"/>
      <c r="Y302" s="1095"/>
      <c r="Z302" s="1095"/>
      <c r="AA302" s="1095"/>
      <c r="AB302" s="1095"/>
    </row>
    <row r="303">
      <c r="A303" s="1095"/>
      <c r="B303" s="1095"/>
      <c r="C303" s="1095"/>
      <c r="D303" s="1095"/>
      <c r="E303" s="1095"/>
      <c r="F303" s="1095"/>
      <c r="G303" s="1095"/>
      <c r="H303" s="1095"/>
      <c r="I303" s="1095"/>
      <c r="J303" s="1095"/>
      <c r="K303" s="1095"/>
      <c r="L303" s="1095"/>
      <c r="M303" s="1095"/>
      <c r="N303" s="1095"/>
      <c r="O303" s="1095"/>
      <c r="P303" s="1095"/>
      <c r="Q303" s="1095"/>
      <c r="R303" s="1095"/>
      <c r="S303" s="1095"/>
      <c r="T303" s="1095"/>
      <c r="U303" s="1095"/>
      <c r="V303" s="1095"/>
      <c r="W303" s="1095"/>
      <c r="X303" s="1095"/>
      <c r="Y303" s="1095"/>
      <c r="Z303" s="1095"/>
      <c r="AA303" s="1095"/>
      <c r="AB303" s="1095"/>
    </row>
    <row r="304">
      <c r="A304" s="1095"/>
      <c r="B304" s="1095"/>
      <c r="C304" s="1095"/>
      <c r="D304" s="1095"/>
      <c r="E304" s="1095"/>
      <c r="F304" s="1095"/>
      <c r="G304" s="1095"/>
      <c r="H304" s="1095"/>
      <c r="I304" s="1095"/>
      <c r="J304" s="1095"/>
      <c r="K304" s="1095"/>
      <c r="L304" s="1095"/>
      <c r="M304" s="1095"/>
      <c r="N304" s="1095"/>
      <c r="O304" s="1095"/>
      <c r="P304" s="1095"/>
      <c r="Q304" s="1095"/>
      <c r="R304" s="1095"/>
      <c r="S304" s="1095"/>
      <c r="T304" s="1095"/>
      <c r="U304" s="1095"/>
      <c r="V304" s="1095"/>
      <c r="W304" s="1095"/>
      <c r="X304" s="1095"/>
      <c r="Y304" s="1095"/>
      <c r="Z304" s="1095"/>
      <c r="AA304" s="1095"/>
      <c r="AB304" s="1095"/>
    </row>
    <row r="305">
      <c r="A305" s="1095"/>
      <c r="B305" s="1095"/>
      <c r="C305" s="1095"/>
      <c r="D305" s="1095"/>
      <c r="E305" s="1095"/>
      <c r="F305" s="1095"/>
      <c r="G305" s="1095"/>
      <c r="H305" s="1095"/>
      <c r="I305" s="1095"/>
      <c r="J305" s="1095"/>
      <c r="K305" s="1095"/>
      <c r="L305" s="1095"/>
      <c r="M305" s="1095"/>
      <c r="N305" s="1095"/>
      <c r="O305" s="1095"/>
      <c r="P305" s="1095"/>
      <c r="Q305" s="1095"/>
      <c r="R305" s="1095"/>
      <c r="S305" s="1095"/>
      <c r="T305" s="1095"/>
      <c r="U305" s="1095"/>
      <c r="V305" s="1095"/>
      <c r="W305" s="1095"/>
      <c r="X305" s="1095"/>
      <c r="Y305" s="1095"/>
      <c r="Z305" s="1095"/>
      <c r="AA305" s="1095"/>
      <c r="AB305" s="1095"/>
    </row>
    <row r="306">
      <c r="A306" s="1095"/>
      <c r="B306" s="1095"/>
      <c r="C306" s="1095"/>
      <c r="D306" s="1095"/>
      <c r="E306" s="1095"/>
      <c r="F306" s="1095"/>
      <c r="G306" s="1095"/>
      <c r="H306" s="1095"/>
      <c r="I306" s="1095"/>
      <c r="J306" s="1095"/>
      <c r="K306" s="1095"/>
      <c r="L306" s="1095"/>
      <c r="M306" s="1095"/>
      <c r="N306" s="1095"/>
      <c r="O306" s="1095"/>
      <c r="P306" s="1095"/>
      <c r="Q306" s="1095"/>
      <c r="R306" s="1095"/>
      <c r="S306" s="1095"/>
      <c r="T306" s="1095"/>
      <c r="U306" s="1095"/>
      <c r="V306" s="1095"/>
      <c r="W306" s="1095"/>
      <c r="X306" s="1095"/>
      <c r="Y306" s="1095"/>
      <c r="Z306" s="1095"/>
      <c r="AA306" s="1095"/>
      <c r="AB306" s="1095"/>
    </row>
    <row r="307">
      <c r="A307" s="1095"/>
      <c r="B307" s="1095"/>
      <c r="C307" s="1095"/>
      <c r="D307" s="1095"/>
      <c r="E307" s="1095"/>
      <c r="F307" s="1095"/>
      <c r="G307" s="1095"/>
      <c r="H307" s="1095"/>
      <c r="I307" s="1095"/>
      <c r="J307" s="1095"/>
      <c r="K307" s="1095"/>
      <c r="L307" s="1095"/>
      <c r="M307" s="1095"/>
      <c r="N307" s="1095"/>
      <c r="O307" s="1095"/>
      <c r="P307" s="1095"/>
      <c r="Q307" s="1095"/>
      <c r="R307" s="1095"/>
      <c r="S307" s="1095"/>
      <c r="T307" s="1095"/>
      <c r="U307" s="1095"/>
      <c r="V307" s="1095"/>
      <c r="W307" s="1095"/>
      <c r="X307" s="1095"/>
      <c r="Y307" s="1095"/>
      <c r="Z307" s="1095"/>
      <c r="AA307" s="1095"/>
      <c r="AB307" s="1095"/>
    </row>
    <row r="308">
      <c r="A308" s="1095"/>
      <c r="B308" s="1095"/>
      <c r="C308" s="1095"/>
      <c r="D308" s="1095"/>
      <c r="E308" s="1095"/>
      <c r="F308" s="1095"/>
      <c r="G308" s="1095"/>
      <c r="H308" s="1095"/>
      <c r="I308" s="1095"/>
      <c r="J308" s="1095"/>
      <c r="K308" s="1095"/>
      <c r="L308" s="1095"/>
      <c r="M308" s="1095"/>
      <c r="N308" s="1095"/>
      <c r="O308" s="1095"/>
      <c r="P308" s="1095"/>
      <c r="Q308" s="1095"/>
      <c r="R308" s="1095"/>
      <c r="S308" s="1095"/>
      <c r="T308" s="1095"/>
      <c r="U308" s="1095"/>
      <c r="V308" s="1095"/>
      <c r="W308" s="1095"/>
      <c r="X308" s="1095"/>
      <c r="Y308" s="1095"/>
      <c r="Z308" s="1095"/>
      <c r="AA308" s="1095"/>
      <c r="AB308" s="1095"/>
    </row>
    <row r="309">
      <c r="A309" s="1095"/>
      <c r="B309" s="1095"/>
      <c r="C309" s="1095"/>
      <c r="D309" s="1095"/>
      <c r="E309" s="1095"/>
      <c r="F309" s="1095"/>
      <c r="G309" s="1095"/>
      <c r="H309" s="1095"/>
      <c r="I309" s="1095"/>
      <c r="J309" s="1095"/>
      <c r="K309" s="1095"/>
      <c r="L309" s="1095"/>
      <c r="M309" s="1095"/>
      <c r="N309" s="1095"/>
      <c r="O309" s="1095"/>
      <c r="P309" s="1095"/>
      <c r="Q309" s="1095"/>
      <c r="R309" s="1095"/>
      <c r="S309" s="1095"/>
      <c r="T309" s="1095"/>
      <c r="U309" s="1095"/>
      <c r="V309" s="1095"/>
      <c r="W309" s="1095"/>
      <c r="X309" s="1095"/>
      <c r="Y309" s="1095"/>
      <c r="Z309" s="1095"/>
      <c r="AA309" s="1095"/>
      <c r="AB309" s="1095"/>
    </row>
    <row r="310">
      <c r="A310" s="1095"/>
      <c r="B310" s="1095"/>
      <c r="C310" s="1095"/>
      <c r="D310" s="1095"/>
      <c r="E310" s="1095"/>
      <c r="F310" s="1095"/>
      <c r="G310" s="1095"/>
      <c r="H310" s="1095"/>
      <c r="I310" s="1095"/>
      <c r="J310" s="1095"/>
      <c r="K310" s="1095"/>
      <c r="L310" s="1095"/>
      <c r="M310" s="1095"/>
      <c r="N310" s="1095"/>
      <c r="O310" s="1095"/>
      <c r="P310" s="1095"/>
      <c r="Q310" s="1095"/>
      <c r="R310" s="1095"/>
      <c r="S310" s="1095"/>
      <c r="T310" s="1095"/>
      <c r="U310" s="1095"/>
      <c r="V310" s="1095"/>
      <c r="W310" s="1095"/>
      <c r="X310" s="1095"/>
      <c r="Y310" s="1095"/>
      <c r="Z310" s="1095"/>
      <c r="AA310" s="1095"/>
      <c r="AB310" s="1095"/>
    </row>
    <row r="311">
      <c r="A311" s="1095"/>
      <c r="B311" s="1095"/>
      <c r="C311" s="1095"/>
      <c r="D311" s="1095"/>
      <c r="E311" s="1095"/>
      <c r="F311" s="1095"/>
      <c r="G311" s="1095"/>
      <c r="H311" s="1095"/>
      <c r="I311" s="1095"/>
      <c r="J311" s="1095"/>
      <c r="K311" s="1095"/>
      <c r="L311" s="1095"/>
      <c r="M311" s="1095"/>
      <c r="N311" s="1095"/>
      <c r="O311" s="1095"/>
      <c r="P311" s="1095"/>
      <c r="Q311" s="1095"/>
      <c r="R311" s="1095"/>
      <c r="S311" s="1095"/>
      <c r="T311" s="1095"/>
      <c r="U311" s="1095"/>
      <c r="V311" s="1095"/>
      <c r="W311" s="1095"/>
      <c r="X311" s="1095"/>
      <c r="Y311" s="1095"/>
      <c r="Z311" s="1095"/>
      <c r="AA311" s="1095"/>
      <c r="AB311" s="1095"/>
    </row>
    <row r="312">
      <c r="A312" s="1095"/>
      <c r="B312" s="1095"/>
      <c r="C312" s="1095"/>
      <c r="D312" s="1095"/>
      <c r="E312" s="1095"/>
      <c r="F312" s="1095"/>
      <c r="G312" s="1095"/>
      <c r="H312" s="1095"/>
      <c r="I312" s="1095"/>
      <c r="J312" s="1095"/>
      <c r="K312" s="1095"/>
      <c r="L312" s="1095"/>
      <c r="M312" s="1095"/>
      <c r="N312" s="1095"/>
      <c r="O312" s="1095"/>
      <c r="P312" s="1095"/>
      <c r="Q312" s="1095"/>
      <c r="R312" s="1095"/>
      <c r="S312" s="1095"/>
      <c r="T312" s="1095"/>
      <c r="U312" s="1095"/>
      <c r="V312" s="1095"/>
      <c r="W312" s="1095"/>
      <c r="X312" s="1095"/>
      <c r="Y312" s="1095"/>
      <c r="Z312" s="1095"/>
      <c r="AA312" s="1095"/>
      <c r="AB312" s="1095"/>
    </row>
    <row r="313">
      <c r="A313" s="1095"/>
      <c r="B313" s="1095"/>
      <c r="C313" s="1095"/>
      <c r="D313" s="1095"/>
      <c r="E313" s="1095"/>
      <c r="F313" s="1095"/>
      <c r="G313" s="1095"/>
      <c r="H313" s="1095"/>
      <c r="I313" s="1095"/>
      <c r="J313" s="1095"/>
      <c r="K313" s="1095"/>
      <c r="L313" s="1095"/>
      <c r="M313" s="1095"/>
      <c r="N313" s="1095"/>
      <c r="O313" s="1095"/>
      <c r="P313" s="1095"/>
      <c r="Q313" s="1095"/>
      <c r="R313" s="1095"/>
      <c r="S313" s="1095"/>
      <c r="T313" s="1095"/>
      <c r="U313" s="1095"/>
      <c r="V313" s="1095"/>
      <c r="W313" s="1095"/>
      <c r="X313" s="1095"/>
      <c r="Y313" s="1095"/>
      <c r="Z313" s="1095"/>
      <c r="AA313" s="1095"/>
      <c r="AB313" s="1095"/>
    </row>
    <row r="314">
      <c r="A314" s="1095"/>
      <c r="B314" s="1095"/>
      <c r="C314" s="1095"/>
      <c r="D314" s="1095"/>
      <c r="E314" s="1095"/>
      <c r="F314" s="1095"/>
      <c r="G314" s="1095"/>
      <c r="H314" s="1095"/>
      <c r="I314" s="1095"/>
      <c r="J314" s="1095"/>
      <c r="K314" s="1095"/>
      <c r="L314" s="1095"/>
      <c r="M314" s="1095"/>
      <c r="N314" s="1095"/>
      <c r="O314" s="1095"/>
      <c r="P314" s="1095"/>
      <c r="Q314" s="1095"/>
      <c r="R314" s="1095"/>
      <c r="S314" s="1095"/>
      <c r="T314" s="1095"/>
      <c r="U314" s="1095"/>
      <c r="V314" s="1095"/>
      <c r="W314" s="1095"/>
      <c r="X314" s="1095"/>
      <c r="Y314" s="1095"/>
      <c r="Z314" s="1095"/>
      <c r="AA314" s="1095"/>
      <c r="AB314" s="1095"/>
    </row>
    <row r="315">
      <c r="A315" s="1095"/>
      <c r="B315" s="1095"/>
      <c r="C315" s="1095"/>
      <c r="D315" s="1095"/>
      <c r="E315" s="1095"/>
      <c r="F315" s="1095"/>
      <c r="G315" s="1095"/>
      <c r="H315" s="1095"/>
      <c r="I315" s="1095"/>
      <c r="J315" s="1095"/>
      <c r="K315" s="1095"/>
      <c r="L315" s="1095"/>
      <c r="M315" s="1095"/>
      <c r="N315" s="1095"/>
      <c r="O315" s="1095"/>
      <c r="P315" s="1095"/>
      <c r="Q315" s="1095"/>
      <c r="R315" s="1095"/>
      <c r="S315" s="1095"/>
      <c r="T315" s="1095"/>
      <c r="U315" s="1095"/>
      <c r="V315" s="1095"/>
      <c r="W315" s="1095"/>
      <c r="X315" s="1095"/>
      <c r="Y315" s="1095"/>
      <c r="Z315" s="1095"/>
      <c r="AA315" s="1095"/>
      <c r="AB315" s="1095"/>
    </row>
    <row r="316">
      <c r="A316" s="1095"/>
      <c r="B316" s="1095"/>
      <c r="C316" s="1095"/>
      <c r="D316" s="1095"/>
      <c r="E316" s="1095"/>
      <c r="F316" s="1095"/>
      <c r="G316" s="1095"/>
      <c r="H316" s="1095"/>
      <c r="I316" s="1095"/>
      <c r="J316" s="1095"/>
      <c r="K316" s="1095"/>
      <c r="L316" s="1095"/>
      <c r="M316" s="1095"/>
      <c r="N316" s="1095"/>
      <c r="O316" s="1095"/>
      <c r="P316" s="1095"/>
      <c r="Q316" s="1095"/>
      <c r="R316" s="1095"/>
      <c r="S316" s="1095"/>
      <c r="T316" s="1095"/>
      <c r="U316" s="1095"/>
      <c r="V316" s="1095"/>
      <c r="W316" s="1095"/>
      <c r="X316" s="1095"/>
      <c r="Y316" s="1095"/>
      <c r="Z316" s="1095"/>
      <c r="AA316" s="1095"/>
      <c r="AB316" s="1095"/>
    </row>
    <row r="317">
      <c r="A317" s="1095"/>
      <c r="B317" s="1095"/>
      <c r="C317" s="1095"/>
      <c r="D317" s="1095"/>
      <c r="E317" s="1095"/>
      <c r="F317" s="1095"/>
      <c r="G317" s="1095"/>
      <c r="H317" s="1095"/>
      <c r="I317" s="1095"/>
      <c r="J317" s="1095"/>
      <c r="K317" s="1095"/>
      <c r="L317" s="1095"/>
      <c r="M317" s="1095"/>
      <c r="N317" s="1095"/>
      <c r="O317" s="1095"/>
      <c r="P317" s="1095"/>
      <c r="Q317" s="1095"/>
      <c r="R317" s="1095"/>
      <c r="S317" s="1095"/>
      <c r="T317" s="1095"/>
      <c r="U317" s="1095"/>
      <c r="V317" s="1095"/>
      <c r="W317" s="1095"/>
      <c r="X317" s="1095"/>
      <c r="Y317" s="1095"/>
      <c r="Z317" s="1095"/>
      <c r="AA317" s="1095"/>
      <c r="AB317" s="1095"/>
    </row>
    <row r="318">
      <c r="A318" s="1095"/>
      <c r="B318" s="1095"/>
      <c r="C318" s="1095"/>
      <c r="D318" s="1095"/>
      <c r="E318" s="1095"/>
      <c r="F318" s="1095"/>
      <c r="G318" s="1095"/>
      <c r="H318" s="1095"/>
      <c r="I318" s="1095"/>
      <c r="J318" s="1095"/>
      <c r="K318" s="1095"/>
      <c r="L318" s="1095"/>
      <c r="M318" s="1095"/>
      <c r="N318" s="1095"/>
      <c r="O318" s="1095"/>
      <c r="P318" s="1095"/>
      <c r="Q318" s="1095"/>
      <c r="R318" s="1095"/>
      <c r="S318" s="1095"/>
      <c r="T318" s="1095"/>
      <c r="U318" s="1095"/>
      <c r="V318" s="1095"/>
      <c r="W318" s="1095"/>
      <c r="X318" s="1095"/>
      <c r="Y318" s="1095"/>
      <c r="Z318" s="1095"/>
      <c r="AA318" s="1095"/>
      <c r="AB318" s="1095"/>
    </row>
    <row r="319">
      <c r="A319" s="1095"/>
      <c r="B319" s="1095"/>
      <c r="C319" s="1095"/>
      <c r="D319" s="1095"/>
      <c r="E319" s="1095"/>
      <c r="F319" s="1095"/>
      <c r="G319" s="1095"/>
      <c r="H319" s="1095"/>
      <c r="I319" s="1095"/>
      <c r="J319" s="1095"/>
      <c r="K319" s="1095"/>
      <c r="L319" s="1095"/>
      <c r="M319" s="1095"/>
      <c r="N319" s="1095"/>
      <c r="O319" s="1095"/>
      <c r="P319" s="1095"/>
      <c r="Q319" s="1095"/>
      <c r="R319" s="1095"/>
      <c r="S319" s="1095"/>
      <c r="T319" s="1095"/>
      <c r="U319" s="1095"/>
      <c r="V319" s="1095"/>
      <c r="W319" s="1095"/>
      <c r="X319" s="1095"/>
      <c r="Y319" s="1095"/>
      <c r="Z319" s="1095"/>
      <c r="AA319" s="1095"/>
      <c r="AB319" s="1095"/>
    </row>
    <row r="320">
      <c r="A320" s="1095"/>
      <c r="B320" s="1095"/>
      <c r="C320" s="1095"/>
      <c r="D320" s="1095"/>
      <c r="E320" s="1095"/>
      <c r="F320" s="1095"/>
      <c r="G320" s="1095"/>
      <c r="H320" s="1095"/>
      <c r="I320" s="1095"/>
      <c r="J320" s="1095"/>
      <c r="K320" s="1095"/>
      <c r="L320" s="1095"/>
      <c r="M320" s="1095"/>
      <c r="N320" s="1095"/>
      <c r="O320" s="1095"/>
      <c r="P320" s="1095"/>
      <c r="Q320" s="1095"/>
      <c r="R320" s="1095"/>
      <c r="S320" s="1095"/>
      <c r="T320" s="1095"/>
      <c r="U320" s="1095"/>
      <c r="V320" s="1095"/>
      <c r="W320" s="1095"/>
      <c r="X320" s="1095"/>
      <c r="Y320" s="1095"/>
      <c r="Z320" s="1095"/>
      <c r="AA320" s="1095"/>
      <c r="AB320" s="1095"/>
    </row>
    <row r="321">
      <c r="A321" s="1095"/>
      <c r="B321" s="1095"/>
      <c r="C321" s="1095"/>
      <c r="D321" s="1095"/>
      <c r="E321" s="1095"/>
      <c r="F321" s="1095"/>
      <c r="G321" s="1095"/>
      <c r="H321" s="1095"/>
      <c r="I321" s="1095"/>
      <c r="J321" s="1095"/>
      <c r="K321" s="1095"/>
      <c r="L321" s="1095"/>
      <c r="M321" s="1095"/>
      <c r="N321" s="1095"/>
      <c r="O321" s="1095"/>
      <c r="P321" s="1095"/>
      <c r="Q321" s="1095"/>
      <c r="R321" s="1095"/>
      <c r="S321" s="1095"/>
      <c r="T321" s="1095"/>
      <c r="U321" s="1095"/>
      <c r="V321" s="1095"/>
      <c r="W321" s="1095"/>
      <c r="X321" s="1095"/>
      <c r="Y321" s="1095"/>
      <c r="Z321" s="1095"/>
      <c r="AA321" s="1095"/>
      <c r="AB321" s="1095"/>
    </row>
    <row r="322">
      <c r="A322" s="1095"/>
      <c r="B322" s="1095"/>
      <c r="C322" s="1095"/>
      <c r="D322" s="1095"/>
      <c r="E322" s="1095"/>
      <c r="F322" s="1095"/>
      <c r="G322" s="1095"/>
      <c r="H322" s="1095"/>
      <c r="I322" s="1095"/>
      <c r="J322" s="1095"/>
      <c r="K322" s="1095"/>
      <c r="L322" s="1095"/>
      <c r="M322" s="1095"/>
      <c r="N322" s="1095"/>
      <c r="O322" s="1095"/>
      <c r="P322" s="1095"/>
      <c r="Q322" s="1095"/>
      <c r="R322" s="1095"/>
      <c r="S322" s="1095"/>
      <c r="T322" s="1095"/>
      <c r="U322" s="1095"/>
      <c r="V322" s="1095"/>
      <c r="W322" s="1095"/>
      <c r="X322" s="1095"/>
      <c r="Y322" s="1095"/>
      <c r="Z322" s="1095"/>
      <c r="AA322" s="1095"/>
      <c r="AB322" s="1095"/>
    </row>
    <row r="323">
      <c r="A323" s="1095"/>
      <c r="B323" s="1095"/>
      <c r="C323" s="1095"/>
      <c r="D323" s="1095"/>
      <c r="E323" s="1095"/>
      <c r="F323" s="1095"/>
      <c r="G323" s="1095"/>
      <c r="H323" s="1095"/>
      <c r="I323" s="1095"/>
      <c r="J323" s="1095"/>
      <c r="K323" s="1095"/>
      <c r="L323" s="1095"/>
      <c r="M323" s="1095"/>
      <c r="N323" s="1095"/>
      <c r="O323" s="1095"/>
      <c r="P323" s="1095"/>
      <c r="Q323" s="1095"/>
      <c r="R323" s="1095"/>
      <c r="S323" s="1095"/>
      <c r="T323" s="1095"/>
      <c r="U323" s="1095"/>
      <c r="V323" s="1095"/>
      <c r="W323" s="1095"/>
      <c r="X323" s="1095"/>
      <c r="Y323" s="1095"/>
      <c r="Z323" s="1095"/>
      <c r="AA323" s="1095"/>
      <c r="AB323" s="1095"/>
    </row>
    <row r="324">
      <c r="A324" s="1095"/>
      <c r="B324" s="1095"/>
      <c r="C324" s="1095"/>
      <c r="D324" s="1095"/>
      <c r="E324" s="1095"/>
      <c r="F324" s="1095"/>
      <c r="G324" s="1095"/>
      <c r="H324" s="1095"/>
      <c r="I324" s="1095"/>
      <c r="J324" s="1095"/>
      <c r="K324" s="1095"/>
      <c r="L324" s="1095"/>
      <c r="M324" s="1095"/>
      <c r="N324" s="1095"/>
      <c r="O324" s="1095"/>
      <c r="P324" s="1095"/>
      <c r="Q324" s="1095"/>
      <c r="R324" s="1095"/>
      <c r="S324" s="1095"/>
      <c r="T324" s="1095"/>
      <c r="U324" s="1095"/>
      <c r="V324" s="1095"/>
      <c r="W324" s="1095"/>
      <c r="X324" s="1095"/>
      <c r="Y324" s="1095"/>
      <c r="Z324" s="1095"/>
      <c r="AA324" s="1095"/>
      <c r="AB324" s="1095"/>
    </row>
    <row r="325">
      <c r="A325" s="1095"/>
      <c r="B325" s="1095"/>
      <c r="C325" s="1095"/>
      <c r="D325" s="1095"/>
      <c r="E325" s="1095"/>
      <c r="F325" s="1095"/>
      <c r="G325" s="1095"/>
      <c r="H325" s="1095"/>
      <c r="I325" s="1095"/>
      <c r="J325" s="1095"/>
      <c r="K325" s="1095"/>
      <c r="L325" s="1095"/>
      <c r="M325" s="1095"/>
      <c r="N325" s="1095"/>
      <c r="O325" s="1095"/>
      <c r="P325" s="1095"/>
      <c r="Q325" s="1095"/>
      <c r="R325" s="1095"/>
      <c r="S325" s="1095"/>
      <c r="T325" s="1095"/>
      <c r="U325" s="1095"/>
      <c r="V325" s="1095"/>
      <c r="W325" s="1095"/>
      <c r="X325" s="1095"/>
      <c r="Y325" s="1095"/>
      <c r="Z325" s="1095"/>
      <c r="AA325" s="1095"/>
      <c r="AB325" s="1095"/>
    </row>
    <row r="326">
      <c r="A326" s="1095"/>
      <c r="B326" s="1095"/>
      <c r="C326" s="1095"/>
      <c r="D326" s="1095"/>
      <c r="E326" s="1095"/>
      <c r="F326" s="1095"/>
      <c r="G326" s="1095"/>
      <c r="H326" s="1095"/>
      <c r="I326" s="1095"/>
      <c r="J326" s="1095"/>
      <c r="K326" s="1095"/>
      <c r="L326" s="1095"/>
      <c r="M326" s="1095"/>
      <c r="N326" s="1095"/>
      <c r="O326" s="1095"/>
      <c r="P326" s="1095"/>
      <c r="Q326" s="1095"/>
      <c r="R326" s="1095"/>
      <c r="S326" s="1095"/>
      <c r="T326" s="1095"/>
      <c r="U326" s="1095"/>
      <c r="V326" s="1095"/>
      <c r="W326" s="1095"/>
      <c r="X326" s="1095"/>
      <c r="Y326" s="1095"/>
      <c r="Z326" s="1095"/>
      <c r="AA326" s="1095"/>
      <c r="AB326" s="1095"/>
    </row>
    <row r="327">
      <c r="A327" s="1095"/>
      <c r="B327" s="1095"/>
      <c r="C327" s="1095"/>
      <c r="D327" s="1095"/>
      <c r="E327" s="1095"/>
      <c r="F327" s="1095"/>
      <c r="G327" s="1095"/>
      <c r="H327" s="1095"/>
      <c r="I327" s="1095"/>
      <c r="J327" s="1095"/>
      <c r="K327" s="1095"/>
      <c r="L327" s="1095"/>
      <c r="M327" s="1095"/>
      <c r="N327" s="1095"/>
      <c r="O327" s="1095"/>
      <c r="P327" s="1095"/>
      <c r="Q327" s="1095"/>
      <c r="R327" s="1095"/>
      <c r="S327" s="1095"/>
      <c r="T327" s="1095"/>
      <c r="U327" s="1095"/>
      <c r="V327" s="1095"/>
      <c r="W327" s="1095"/>
      <c r="X327" s="1095"/>
      <c r="Y327" s="1095"/>
      <c r="Z327" s="1095"/>
      <c r="AA327" s="1095"/>
      <c r="AB327" s="1095"/>
    </row>
    <row r="328">
      <c r="A328" s="1095"/>
      <c r="B328" s="1095"/>
      <c r="C328" s="1095"/>
      <c r="D328" s="1095"/>
      <c r="E328" s="1095"/>
      <c r="F328" s="1095"/>
      <c r="G328" s="1095"/>
      <c r="H328" s="1095"/>
      <c r="I328" s="1095"/>
      <c r="J328" s="1095"/>
      <c r="K328" s="1095"/>
      <c r="L328" s="1095"/>
      <c r="M328" s="1095"/>
      <c r="N328" s="1095"/>
      <c r="O328" s="1095"/>
      <c r="P328" s="1095"/>
      <c r="Q328" s="1095"/>
      <c r="R328" s="1095"/>
      <c r="S328" s="1095"/>
      <c r="T328" s="1095"/>
      <c r="U328" s="1095"/>
      <c r="V328" s="1095"/>
      <c r="W328" s="1095"/>
      <c r="X328" s="1095"/>
      <c r="Y328" s="1095"/>
      <c r="Z328" s="1095"/>
      <c r="AA328" s="1095"/>
      <c r="AB328" s="1095"/>
    </row>
    <row r="329">
      <c r="A329" s="1095"/>
      <c r="B329" s="1095"/>
      <c r="C329" s="1095"/>
      <c r="D329" s="1095"/>
      <c r="E329" s="1095"/>
      <c r="F329" s="1095"/>
      <c r="G329" s="1095"/>
      <c r="H329" s="1095"/>
      <c r="I329" s="1095"/>
      <c r="J329" s="1095"/>
      <c r="K329" s="1095"/>
      <c r="L329" s="1095"/>
      <c r="M329" s="1095"/>
      <c r="N329" s="1095"/>
      <c r="O329" s="1095"/>
      <c r="P329" s="1095"/>
      <c r="Q329" s="1095"/>
      <c r="R329" s="1095"/>
      <c r="S329" s="1095"/>
      <c r="T329" s="1095"/>
      <c r="U329" s="1095"/>
      <c r="V329" s="1095"/>
      <c r="W329" s="1095"/>
      <c r="X329" s="1095"/>
      <c r="Y329" s="1095"/>
      <c r="Z329" s="1095"/>
      <c r="AA329" s="1095"/>
      <c r="AB329" s="1095"/>
    </row>
    <row r="330">
      <c r="A330" s="1095"/>
      <c r="B330" s="1095"/>
      <c r="C330" s="1095"/>
      <c r="D330" s="1095"/>
      <c r="E330" s="1095"/>
      <c r="F330" s="1095"/>
      <c r="G330" s="1095"/>
      <c r="H330" s="1095"/>
      <c r="I330" s="1095"/>
      <c r="J330" s="1095"/>
      <c r="K330" s="1095"/>
      <c r="L330" s="1095"/>
      <c r="M330" s="1095"/>
      <c r="N330" s="1095"/>
      <c r="O330" s="1095"/>
      <c r="P330" s="1095"/>
      <c r="Q330" s="1095"/>
      <c r="R330" s="1095"/>
      <c r="S330" s="1095"/>
      <c r="T330" s="1095"/>
      <c r="U330" s="1095"/>
      <c r="V330" s="1095"/>
      <c r="W330" s="1095"/>
      <c r="X330" s="1095"/>
      <c r="Y330" s="1095"/>
      <c r="Z330" s="1095"/>
      <c r="AA330" s="1095"/>
      <c r="AB330" s="1095"/>
    </row>
    <row r="331">
      <c r="A331" s="1095"/>
      <c r="B331" s="1095"/>
      <c r="C331" s="1095"/>
      <c r="D331" s="1095"/>
      <c r="E331" s="1095"/>
      <c r="F331" s="1095"/>
      <c r="G331" s="1095"/>
      <c r="H331" s="1095"/>
      <c r="I331" s="1095"/>
      <c r="J331" s="1095"/>
      <c r="K331" s="1095"/>
      <c r="L331" s="1095"/>
      <c r="M331" s="1095"/>
      <c r="N331" s="1095"/>
      <c r="O331" s="1095"/>
      <c r="P331" s="1095"/>
      <c r="Q331" s="1095"/>
      <c r="R331" s="1095"/>
      <c r="S331" s="1095"/>
      <c r="T331" s="1095"/>
      <c r="U331" s="1095"/>
      <c r="V331" s="1095"/>
      <c r="W331" s="1095"/>
      <c r="X331" s="1095"/>
      <c r="Y331" s="1095"/>
      <c r="Z331" s="1095"/>
      <c r="AA331" s="1095"/>
      <c r="AB331" s="1095"/>
    </row>
    <row r="332">
      <c r="A332" s="1095"/>
      <c r="B332" s="1095"/>
      <c r="C332" s="1095"/>
      <c r="D332" s="1095"/>
      <c r="E332" s="1095"/>
      <c r="F332" s="1095"/>
      <c r="G332" s="1095"/>
      <c r="H332" s="1095"/>
      <c r="I332" s="1095"/>
      <c r="J332" s="1095"/>
      <c r="K332" s="1095"/>
      <c r="L332" s="1095"/>
      <c r="M332" s="1095"/>
      <c r="N332" s="1095"/>
      <c r="O332" s="1095"/>
      <c r="P332" s="1095"/>
      <c r="Q332" s="1095"/>
      <c r="R332" s="1095"/>
      <c r="S332" s="1095"/>
      <c r="T332" s="1095"/>
      <c r="U332" s="1095"/>
      <c r="V332" s="1095"/>
      <c r="W332" s="1095"/>
      <c r="X332" s="1095"/>
      <c r="Y332" s="1095"/>
      <c r="Z332" s="1095"/>
      <c r="AA332" s="1095"/>
      <c r="AB332" s="1095"/>
    </row>
    <row r="333">
      <c r="A333" s="1095"/>
      <c r="B333" s="1095"/>
      <c r="C333" s="1095"/>
      <c r="D333" s="1095"/>
      <c r="E333" s="1095"/>
      <c r="F333" s="1095"/>
      <c r="G333" s="1095"/>
      <c r="H333" s="1095"/>
      <c r="I333" s="1095"/>
      <c r="J333" s="1095"/>
      <c r="K333" s="1095"/>
      <c r="L333" s="1095"/>
      <c r="M333" s="1095"/>
      <c r="N333" s="1095"/>
      <c r="O333" s="1095"/>
      <c r="P333" s="1095"/>
      <c r="Q333" s="1095"/>
      <c r="R333" s="1095"/>
      <c r="S333" s="1095"/>
      <c r="T333" s="1095"/>
      <c r="U333" s="1095"/>
      <c r="V333" s="1095"/>
      <c r="W333" s="1095"/>
      <c r="X333" s="1095"/>
      <c r="Y333" s="1095"/>
      <c r="Z333" s="1095"/>
      <c r="AA333" s="1095"/>
      <c r="AB333" s="1095"/>
    </row>
    <row r="334">
      <c r="A334" s="1095"/>
      <c r="B334" s="1095"/>
      <c r="C334" s="1095"/>
      <c r="D334" s="1095"/>
      <c r="E334" s="1095"/>
      <c r="F334" s="1095"/>
      <c r="G334" s="1095"/>
      <c r="H334" s="1095"/>
      <c r="I334" s="1095"/>
      <c r="J334" s="1095"/>
      <c r="K334" s="1095"/>
      <c r="L334" s="1095"/>
      <c r="M334" s="1095"/>
      <c r="N334" s="1095"/>
      <c r="O334" s="1095"/>
      <c r="P334" s="1095"/>
      <c r="Q334" s="1095"/>
      <c r="R334" s="1095"/>
      <c r="S334" s="1095"/>
      <c r="T334" s="1095"/>
      <c r="U334" s="1095"/>
      <c r="V334" s="1095"/>
      <c r="W334" s="1095"/>
      <c r="X334" s="1095"/>
      <c r="Y334" s="1095"/>
      <c r="Z334" s="1095"/>
      <c r="AA334" s="1095"/>
      <c r="AB334" s="1095"/>
    </row>
    <row r="335">
      <c r="A335" s="1095"/>
      <c r="B335" s="1095"/>
      <c r="C335" s="1095"/>
      <c r="D335" s="1095"/>
      <c r="E335" s="1095"/>
      <c r="F335" s="1095"/>
      <c r="G335" s="1095"/>
      <c r="H335" s="1095"/>
      <c r="I335" s="1095"/>
      <c r="J335" s="1095"/>
      <c r="K335" s="1095"/>
      <c r="L335" s="1095"/>
      <c r="M335" s="1095"/>
      <c r="N335" s="1095"/>
      <c r="O335" s="1095"/>
      <c r="P335" s="1095"/>
      <c r="Q335" s="1095"/>
      <c r="R335" s="1095"/>
      <c r="S335" s="1095"/>
      <c r="T335" s="1095"/>
      <c r="U335" s="1095"/>
      <c r="V335" s="1095"/>
      <c r="W335" s="1095"/>
      <c r="X335" s="1095"/>
      <c r="Y335" s="1095"/>
      <c r="Z335" s="1095"/>
      <c r="AA335" s="1095"/>
      <c r="AB335" s="1095"/>
    </row>
    <row r="336">
      <c r="A336" s="1095"/>
      <c r="B336" s="1095"/>
      <c r="C336" s="1095"/>
      <c r="D336" s="1095"/>
      <c r="E336" s="1095"/>
      <c r="F336" s="1095"/>
      <c r="G336" s="1095"/>
      <c r="H336" s="1095"/>
      <c r="I336" s="1095"/>
      <c r="J336" s="1095"/>
      <c r="K336" s="1095"/>
      <c r="L336" s="1095"/>
      <c r="M336" s="1095"/>
      <c r="N336" s="1095"/>
      <c r="O336" s="1095"/>
      <c r="P336" s="1095"/>
      <c r="Q336" s="1095"/>
      <c r="R336" s="1095"/>
      <c r="S336" s="1095"/>
      <c r="T336" s="1095"/>
      <c r="U336" s="1095"/>
      <c r="V336" s="1095"/>
      <c r="W336" s="1095"/>
      <c r="X336" s="1095"/>
      <c r="Y336" s="1095"/>
      <c r="Z336" s="1095"/>
      <c r="AA336" s="1095"/>
      <c r="AB336" s="1095"/>
    </row>
    <row r="337">
      <c r="A337" s="1095"/>
      <c r="B337" s="1095"/>
      <c r="C337" s="1095"/>
      <c r="D337" s="1095"/>
      <c r="E337" s="1095"/>
      <c r="F337" s="1095"/>
      <c r="G337" s="1095"/>
      <c r="H337" s="1095"/>
      <c r="I337" s="1095"/>
      <c r="J337" s="1095"/>
      <c r="K337" s="1095"/>
      <c r="L337" s="1095"/>
      <c r="M337" s="1095"/>
      <c r="N337" s="1095"/>
      <c r="O337" s="1095"/>
      <c r="P337" s="1095"/>
      <c r="Q337" s="1095"/>
      <c r="R337" s="1095"/>
      <c r="S337" s="1095"/>
      <c r="T337" s="1095"/>
      <c r="U337" s="1095"/>
      <c r="V337" s="1095"/>
      <c r="W337" s="1095"/>
      <c r="X337" s="1095"/>
      <c r="Y337" s="1095"/>
      <c r="Z337" s="1095"/>
      <c r="AA337" s="1095"/>
      <c r="AB337" s="1095"/>
    </row>
    <row r="338">
      <c r="A338" s="1095"/>
      <c r="B338" s="1095"/>
      <c r="C338" s="1095"/>
      <c r="D338" s="1095"/>
      <c r="E338" s="1095"/>
      <c r="F338" s="1095"/>
      <c r="G338" s="1095"/>
      <c r="H338" s="1095"/>
      <c r="I338" s="1095"/>
      <c r="J338" s="1095"/>
      <c r="K338" s="1095"/>
      <c r="L338" s="1095"/>
      <c r="M338" s="1095"/>
      <c r="N338" s="1095"/>
      <c r="O338" s="1095"/>
      <c r="P338" s="1095"/>
      <c r="Q338" s="1095"/>
      <c r="R338" s="1095"/>
      <c r="S338" s="1095"/>
      <c r="T338" s="1095"/>
      <c r="U338" s="1095"/>
      <c r="V338" s="1095"/>
      <c r="W338" s="1095"/>
      <c r="X338" s="1095"/>
      <c r="Y338" s="1095"/>
      <c r="Z338" s="1095"/>
      <c r="AA338" s="1095"/>
      <c r="AB338" s="1095"/>
    </row>
    <row r="339">
      <c r="A339" s="1095"/>
      <c r="B339" s="1095"/>
      <c r="C339" s="1095"/>
      <c r="D339" s="1095"/>
      <c r="E339" s="1095"/>
      <c r="F339" s="1095"/>
      <c r="G339" s="1095"/>
      <c r="H339" s="1095"/>
      <c r="I339" s="1095"/>
      <c r="J339" s="1095"/>
      <c r="K339" s="1095"/>
      <c r="L339" s="1095"/>
      <c r="M339" s="1095"/>
      <c r="N339" s="1095"/>
      <c r="O339" s="1095"/>
      <c r="P339" s="1095"/>
      <c r="Q339" s="1095"/>
      <c r="R339" s="1095"/>
      <c r="S339" s="1095"/>
      <c r="T339" s="1095"/>
      <c r="U339" s="1095"/>
      <c r="V339" s="1095"/>
      <c r="W339" s="1095"/>
      <c r="X339" s="1095"/>
      <c r="Y339" s="1095"/>
      <c r="Z339" s="1095"/>
      <c r="AA339" s="1095"/>
      <c r="AB339" s="1095"/>
    </row>
    <row r="340">
      <c r="A340" s="1095"/>
      <c r="B340" s="1095"/>
      <c r="C340" s="1095"/>
      <c r="D340" s="1095"/>
      <c r="E340" s="1095"/>
      <c r="F340" s="1095"/>
      <c r="G340" s="1095"/>
      <c r="H340" s="1095"/>
      <c r="I340" s="1095"/>
      <c r="J340" s="1095"/>
      <c r="K340" s="1095"/>
      <c r="L340" s="1095"/>
      <c r="M340" s="1095"/>
      <c r="N340" s="1095"/>
      <c r="O340" s="1095"/>
      <c r="P340" s="1095"/>
      <c r="Q340" s="1095"/>
      <c r="R340" s="1095"/>
      <c r="S340" s="1095"/>
      <c r="T340" s="1095"/>
      <c r="U340" s="1095"/>
      <c r="V340" s="1095"/>
      <c r="W340" s="1095"/>
      <c r="X340" s="1095"/>
      <c r="Y340" s="1095"/>
      <c r="Z340" s="1095"/>
      <c r="AA340" s="1095"/>
      <c r="AB340" s="1095"/>
    </row>
    <row r="341">
      <c r="A341" s="1095"/>
      <c r="B341" s="1095"/>
      <c r="C341" s="1095"/>
      <c r="D341" s="1095"/>
      <c r="E341" s="1095"/>
      <c r="F341" s="1095"/>
      <c r="G341" s="1095"/>
      <c r="H341" s="1095"/>
      <c r="I341" s="1095"/>
      <c r="J341" s="1095"/>
      <c r="K341" s="1095"/>
      <c r="L341" s="1095"/>
      <c r="M341" s="1095"/>
      <c r="N341" s="1095"/>
      <c r="O341" s="1095"/>
      <c r="P341" s="1095"/>
      <c r="Q341" s="1095"/>
      <c r="R341" s="1095"/>
      <c r="S341" s="1095"/>
      <c r="T341" s="1095"/>
      <c r="U341" s="1095"/>
      <c r="V341" s="1095"/>
      <c r="W341" s="1095"/>
      <c r="X341" s="1095"/>
      <c r="Y341" s="1095"/>
      <c r="Z341" s="1095"/>
      <c r="AA341" s="1095"/>
      <c r="AB341" s="1095"/>
    </row>
    <row r="342">
      <c r="A342" s="1095"/>
      <c r="B342" s="1095"/>
      <c r="C342" s="1095"/>
      <c r="D342" s="1095"/>
      <c r="E342" s="1095"/>
      <c r="F342" s="1095"/>
      <c r="G342" s="1095"/>
      <c r="H342" s="1095"/>
      <c r="I342" s="1095"/>
      <c r="J342" s="1095"/>
      <c r="K342" s="1095"/>
      <c r="L342" s="1095"/>
      <c r="M342" s="1095"/>
      <c r="N342" s="1095"/>
      <c r="O342" s="1095"/>
      <c r="P342" s="1095"/>
      <c r="Q342" s="1095"/>
      <c r="R342" s="1095"/>
      <c r="S342" s="1095"/>
      <c r="T342" s="1095"/>
      <c r="U342" s="1095"/>
      <c r="V342" s="1095"/>
      <c r="W342" s="1095"/>
      <c r="X342" s="1095"/>
      <c r="Y342" s="1095"/>
      <c r="Z342" s="1095"/>
      <c r="AA342" s="1095"/>
      <c r="AB342" s="1095"/>
    </row>
    <row r="343">
      <c r="A343" s="1095"/>
      <c r="B343" s="1095"/>
      <c r="C343" s="1095"/>
      <c r="D343" s="1095"/>
      <c r="E343" s="1095"/>
      <c r="F343" s="1095"/>
      <c r="G343" s="1095"/>
      <c r="H343" s="1095"/>
      <c r="I343" s="1095"/>
      <c r="J343" s="1095"/>
      <c r="K343" s="1095"/>
      <c r="L343" s="1095"/>
      <c r="M343" s="1095"/>
      <c r="N343" s="1095"/>
      <c r="O343" s="1095"/>
      <c r="P343" s="1095"/>
      <c r="Q343" s="1095"/>
      <c r="R343" s="1095"/>
      <c r="S343" s="1095"/>
      <c r="T343" s="1095"/>
      <c r="U343" s="1095"/>
      <c r="V343" s="1095"/>
      <c r="W343" s="1095"/>
      <c r="X343" s="1095"/>
      <c r="Y343" s="1095"/>
      <c r="Z343" s="1095"/>
      <c r="AA343" s="1095"/>
      <c r="AB343" s="1095"/>
    </row>
    <row r="344">
      <c r="A344" s="1095"/>
      <c r="B344" s="1095"/>
      <c r="C344" s="1095"/>
      <c r="D344" s="1095"/>
      <c r="E344" s="1095"/>
      <c r="F344" s="1095"/>
      <c r="G344" s="1095"/>
      <c r="H344" s="1095"/>
      <c r="I344" s="1095"/>
      <c r="J344" s="1095"/>
      <c r="K344" s="1095"/>
      <c r="L344" s="1095"/>
      <c r="M344" s="1095"/>
      <c r="N344" s="1095"/>
      <c r="O344" s="1095"/>
      <c r="P344" s="1095"/>
      <c r="Q344" s="1095"/>
      <c r="R344" s="1095"/>
      <c r="S344" s="1095"/>
      <c r="T344" s="1095"/>
      <c r="U344" s="1095"/>
      <c r="V344" s="1095"/>
      <c r="W344" s="1095"/>
      <c r="X344" s="1095"/>
      <c r="Y344" s="1095"/>
      <c r="Z344" s="1095"/>
      <c r="AA344" s="1095"/>
      <c r="AB344" s="1095"/>
    </row>
    <row r="345">
      <c r="A345" s="1095"/>
      <c r="B345" s="1095"/>
      <c r="C345" s="1095"/>
      <c r="D345" s="1095"/>
      <c r="E345" s="1095"/>
      <c r="F345" s="1095"/>
      <c r="G345" s="1095"/>
      <c r="H345" s="1095"/>
      <c r="I345" s="1095"/>
      <c r="J345" s="1095"/>
      <c r="K345" s="1095"/>
      <c r="L345" s="1095"/>
      <c r="M345" s="1095"/>
      <c r="N345" s="1095"/>
      <c r="O345" s="1095"/>
      <c r="P345" s="1095"/>
      <c r="Q345" s="1095"/>
      <c r="R345" s="1095"/>
      <c r="S345" s="1095"/>
      <c r="T345" s="1095"/>
      <c r="U345" s="1095"/>
      <c r="V345" s="1095"/>
      <c r="W345" s="1095"/>
      <c r="X345" s="1095"/>
      <c r="Y345" s="1095"/>
      <c r="Z345" s="1095"/>
      <c r="AA345" s="1095"/>
      <c r="AB345" s="1095"/>
    </row>
    <row r="346">
      <c r="A346" s="1095"/>
      <c r="B346" s="1095"/>
      <c r="C346" s="1095"/>
      <c r="D346" s="1095"/>
      <c r="E346" s="1095"/>
      <c r="F346" s="1095"/>
      <c r="G346" s="1095"/>
      <c r="H346" s="1095"/>
      <c r="I346" s="1095"/>
      <c r="J346" s="1095"/>
      <c r="K346" s="1095"/>
      <c r="L346" s="1095"/>
      <c r="M346" s="1095"/>
      <c r="N346" s="1095"/>
      <c r="O346" s="1095"/>
      <c r="P346" s="1095"/>
      <c r="Q346" s="1095"/>
      <c r="R346" s="1095"/>
      <c r="S346" s="1095"/>
      <c r="T346" s="1095"/>
      <c r="U346" s="1095"/>
      <c r="V346" s="1095"/>
      <c r="W346" s="1095"/>
      <c r="X346" s="1095"/>
      <c r="Y346" s="1095"/>
      <c r="Z346" s="1095"/>
      <c r="AA346" s="1095"/>
      <c r="AB346" s="1095"/>
    </row>
    <row r="347">
      <c r="A347" s="1095"/>
      <c r="B347" s="1095"/>
      <c r="C347" s="1095"/>
      <c r="D347" s="1095"/>
      <c r="E347" s="1095"/>
      <c r="F347" s="1095"/>
      <c r="G347" s="1095"/>
      <c r="H347" s="1095"/>
      <c r="I347" s="1095"/>
      <c r="J347" s="1095"/>
      <c r="K347" s="1095"/>
      <c r="L347" s="1095"/>
      <c r="M347" s="1095"/>
      <c r="N347" s="1095"/>
      <c r="O347" s="1095"/>
      <c r="P347" s="1095"/>
      <c r="Q347" s="1095"/>
      <c r="R347" s="1095"/>
      <c r="S347" s="1095"/>
      <c r="T347" s="1095"/>
      <c r="U347" s="1095"/>
      <c r="V347" s="1095"/>
      <c r="W347" s="1095"/>
      <c r="X347" s="1095"/>
      <c r="Y347" s="1095"/>
      <c r="Z347" s="1095"/>
      <c r="AA347" s="1095"/>
      <c r="AB347" s="1095"/>
    </row>
    <row r="348">
      <c r="A348" s="1095"/>
      <c r="B348" s="1095"/>
      <c r="C348" s="1095"/>
      <c r="D348" s="1095"/>
      <c r="E348" s="1095"/>
      <c r="F348" s="1095"/>
      <c r="G348" s="1095"/>
      <c r="H348" s="1095"/>
      <c r="I348" s="1095"/>
      <c r="J348" s="1095"/>
      <c r="K348" s="1095"/>
      <c r="L348" s="1095"/>
      <c r="M348" s="1095"/>
      <c r="N348" s="1095"/>
      <c r="O348" s="1095"/>
      <c r="P348" s="1095"/>
      <c r="Q348" s="1095"/>
      <c r="R348" s="1095"/>
      <c r="S348" s="1095"/>
      <c r="T348" s="1095"/>
      <c r="U348" s="1095"/>
      <c r="V348" s="1095"/>
      <c r="W348" s="1095"/>
      <c r="X348" s="1095"/>
      <c r="Y348" s="1095"/>
      <c r="Z348" s="1095"/>
      <c r="AA348" s="1095"/>
      <c r="AB348" s="1095"/>
    </row>
    <row r="349">
      <c r="A349" s="1095"/>
      <c r="B349" s="1095"/>
      <c r="C349" s="1095"/>
      <c r="D349" s="1095"/>
      <c r="E349" s="1095"/>
      <c r="F349" s="1095"/>
      <c r="G349" s="1095"/>
      <c r="H349" s="1095"/>
      <c r="I349" s="1095"/>
      <c r="J349" s="1095"/>
      <c r="K349" s="1095"/>
      <c r="L349" s="1095"/>
      <c r="M349" s="1095"/>
      <c r="N349" s="1095"/>
      <c r="O349" s="1095"/>
      <c r="P349" s="1095"/>
      <c r="Q349" s="1095"/>
      <c r="R349" s="1095"/>
      <c r="S349" s="1095"/>
      <c r="T349" s="1095"/>
      <c r="U349" s="1095"/>
      <c r="V349" s="1095"/>
      <c r="W349" s="1095"/>
      <c r="X349" s="1095"/>
      <c r="Y349" s="1095"/>
      <c r="Z349" s="1095"/>
      <c r="AA349" s="1095"/>
      <c r="AB349" s="1095"/>
    </row>
    <row r="350">
      <c r="A350" s="1095"/>
      <c r="B350" s="1095"/>
      <c r="C350" s="1095"/>
      <c r="D350" s="1095"/>
      <c r="E350" s="1095"/>
      <c r="F350" s="1095"/>
      <c r="G350" s="1095"/>
      <c r="H350" s="1095"/>
      <c r="I350" s="1095"/>
      <c r="J350" s="1095"/>
      <c r="K350" s="1095"/>
      <c r="L350" s="1095"/>
      <c r="M350" s="1095"/>
      <c r="N350" s="1095"/>
      <c r="O350" s="1095"/>
      <c r="P350" s="1095"/>
      <c r="Q350" s="1095"/>
      <c r="R350" s="1095"/>
      <c r="S350" s="1095"/>
      <c r="T350" s="1095"/>
      <c r="U350" s="1095"/>
      <c r="V350" s="1095"/>
      <c r="W350" s="1095"/>
      <c r="X350" s="1095"/>
      <c r="Y350" s="1095"/>
      <c r="Z350" s="1095"/>
      <c r="AA350" s="1095"/>
      <c r="AB350" s="1095"/>
    </row>
    <row r="351">
      <c r="A351" s="1095"/>
      <c r="B351" s="1095"/>
      <c r="C351" s="1095"/>
      <c r="D351" s="1095"/>
      <c r="E351" s="1095"/>
      <c r="F351" s="1095"/>
      <c r="G351" s="1095"/>
      <c r="H351" s="1095"/>
      <c r="I351" s="1095"/>
      <c r="J351" s="1095"/>
      <c r="K351" s="1095"/>
      <c r="L351" s="1095"/>
      <c r="M351" s="1095"/>
      <c r="N351" s="1095"/>
      <c r="O351" s="1095"/>
      <c r="P351" s="1095"/>
      <c r="Q351" s="1095"/>
      <c r="R351" s="1095"/>
      <c r="S351" s="1095"/>
      <c r="T351" s="1095"/>
      <c r="U351" s="1095"/>
      <c r="V351" s="1095"/>
      <c r="W351" s="1095"/>
      <c r="X351" s="1095"/>
      <c r="Y351" s="1095"/>
      <c r="Z351" s="1095"/>
      <c r="AA351" s="1095"/>
      <c r="AB351" s="1095"/>
    </row>
    <row r="352">
      <c r="A352" s="1095"/>
      <c r="B352" s="1095"/>
      <c r="C352" s="1095"/>
      <c r="D352" s="1095"/>
      <c r="E352" s="1095"/>
      <c r="F352" s="1095"/>
      <c r="G352" s="1095"/>
      <c r="H352" s="1095"/>
      <c r="I352" s="1095"/>
      <c r="J352" s="1095"/>
      <c r="K352" s="1095"/>
      <c r="L352" s="1095"/>
      <c r="M352" s="1095"/>
      <c r="N352" s="1095"/>
      <c r="O352" s="1095"/>
      <c r="P352" s="1095"/>
      <c r="Q352" s="1095"/>
      <c r="R352" s="1095"/>
      <c r="S352" s="1095"/>
      <c r="T352" s="1095"/>
      <c r="U352" s="1095"/>
      <c r="V352" s="1095"/>
      <c r="W352" s="1095"/>
      <c r="X352" s="1095"/>
      <c r="Y352" s="1095"/>
      <c r="Z352" s="1095"/>
      <c r="AA352" s="1095"/>
      <c r="AB352" s="1095"/>
    </row>
    <row r="353">
      <c r="A353" s="1095"/>
      <c r="B353" s="1095"/>
      <c r="C353" s="1095"/>
      <c r="D353" s="1095"/>
      <c r="E353" s="1095"/>
      <c r="F353" s="1095"/>
      <c r="G353" s="1095"/>
      <c r="H353" s="1095"/>
      <c r="I353" s="1095"/>
      <c r="J353" s="1095"/>
      <c r="K353" s="1095"/>
      <c r="L353" s="1095"/>
      <c r="M353" s="1095"/>
      <c r="N353" s="1095"/>
      <c r="O353" s="1095"/>
      <c r="P353" s="1095"/>
      <c r="Q353" s="1095"/>
      <c r="R353" s="1095"/>
      <c r="S353" s="1095"/>
      <c r="T353" s="1095"/>
      <c r="U353" s="1095"/>
      <c r="V353" s="1095"/>
      <c r="W353" s="1095"/>
      <c r="X353" s="1095"/>
      <c r="Y353" s="1095"/>
      <c r="Z353" s="1095"/>
      <c r="AA353" s="1095"/>
      <c r="AB353" s="1095"/>
    </row>
    <row r="354">
      <c r="A354" s="1095"/>
      <c r="B354" s="1095"/>
      <c r="C354" s="1095"/>
      <c r="D354" s="1095"/>
      <c r="E354" s="1095"/>
      <c r="F354" s="1095"/>
      <c r="G354" s="1095"/>
      <c r="H354" s="1095"/>
      <c r="I354" s="1095"/>
      <c r="J354" s="1095"/>
      <c r="K354" s="1095"/>
      <c r="L354" s="1095"/>
      <c r="M354" s="1095"/>
      <c r="N354" s="1095"/>
      <c r="O354" s="1095"/>
      <c r="P354" s="1095"/>
      <c r="Q354" s="1095"/>
      <c r="R354" s="1095"/>
      <c r="S354" s="1095"/>
      <c r="T354" s="1095"/>
      <c r="U354" s="1095"/>
      <c r="V354" s="1095"/>
      <c r="W354" s="1095"/>
      <c r="X354" s="1095"/>
      <c r="Y354" s="1095"/>
      <c r="Z354" s="1095"/>
      <c r="AA354" s="1095"/>
      <c r="AB354" s="1095"/>
    </row>
    <row r="355">
      <c r="A355" s="1095"/>
      <c r="B355" s="1095"/>
      <c r="C355" s="1095"/>
      <c r="D355" s="1095"/>
      <c r="E355" s="1095"/>
      <c r="F355" s="1095"/>
      <c r="G355" s="1095"/>
      <c r="H355" s="1095"/>
      <c r="I355" s="1095"/>
      <c r="J355" s="1095"/>
      <c r="K355" s="1095"/>
      <c r="L355" s="1095"/>
      <c r="M355" s="1095"/>
      <c r="N355" s="1095"/>
      <c r="O355" s="1095"/>
      <c r="P355" s="1095"/>
      <c r="Q355" s="1095"/>
      <c r="R355" s="1095"/>
      <c r="S355" s="1095"/>
      <c r="T355" s="1095"/>
      <c r="U355" s="1095"/>
      <c r="V355" s="1095"/>
      <c r="W355" s="1095"/>
      <c r="X355" s="1095"/>
      <c r="Y355" s="1095"/>
      <c r="Z355" s="1095"/>
      <c r="AA355" s="1095"/>
      <c r="AB355" s="1095"/>
    </row>
    <row r="356">
      <c r="A356" s="1095"/>
      <c r="B356" s="1095"/>
      <c r="C356" s="1095"/>
      <c r="D356" s="1095"/>
      <c r="E356" s="1095"/>
      <c r="F356" s="1095"/>
      <c r="G356" s="1095"/>
      <c r="H356" s="1095"/>
      <c r="I356" s="1095"/>
      <c r="J356" s="1095"/>
      <c r="K356" s="1095"/>
      <c r="L356" s="1095"/>
      <c r="M356" s="1095"/>
      <c r="N356" s="1095"/>
      <c r="O356" s="1095"/>
      <c r="P356" s="1095"/>
      <c r="Q356" s="1095"/>
      <c r="R356" s="1095"/>
      <c r="S356" s="1095"/>
      <c r="T356" s="1095"/>
      <c r="U356" s="1095"/>
      <c r="V356" s="1095"/>
      <c r="W356" s="1095"/>
      <c r="X356" s="1095"/>
      <c r="Y356" s="1095"/>
      <c r="Z356" s="1095"/>
      <c r="AA356" s="1095"/>
      <c r="AB356" s="1095"/>
    </row>
    <row r="357">
      <c r="A357" s="1095"/>
      <c r="B357" s="1095"/>
      <c r="C357" s="1095"/>
      <c r="D357" s="1095"/>
      <c r="E357" s="1095"/>
      <c r="F357" s="1095"/>
      <c r="G357" s="1095"/>
      <c r="H357" s="1095"/>
      <c r="I357" s="1095"/>
      <c r="J357" s="1095"/>
      <c r="K357" s="1095"/>
      <c r="L357" s="1095"/>
      <c r="M357" s="1095"/>
      <c r="N357" s="1095"/>
      <c r="O357" s="1095"/>
      <c r="P357" s="1095"/>
      <c r="Q357" s="1095"/>
      <c r="R357" s="1095"/>
      <c r="S357" s="1095"/>
      <c r="T357" s="1095"/>
      <c r="U357" s="1095"/>
      <c r="V357" s="1095"/>
      <c r="W357" s="1095"/>
      <c r="X357" s="1095"/>
      <c r="Y357" s="1095"/>
      <c r="Z357" s="1095"/>
      <c r="AA357" s="1095"/>
      <c r="AB357" s="1095"/>
    </row>
    <row r="358">
      <c r="A358" s="1095"/>
      <c r="B358" s="1095"/>
      <c r="C358" s="1095"/>
      <c r="D358" s="1095"/>
      <c r="E358" s="1095"/>
      <c r="F358" s="1095"/>
      <c r="G358" s="1095"/>
      <c r="H358" s="1095"/>
      <c r="I358" s="1095"/>
      <c r="J358" s="1095"/>
      <c r="K358" s="1095"/>
      <c r="L358" s="1095"/>
      <c r="M358" s="1095"/>
      <c r="N358" s="1095"/>
      <c r="O358" s="1095"/>
      <c r="P358" s="1095"/>
      <c r="Q358" s="1095"/>
      <c r="R358" s="1095"/>
      <c r="S358" s="1095"/>
      <c r="T358" s="1095"/>
      <c r="U358" s="1095"/>
      <c r="V358" s="1095"/>
      <c r="W358" s="1095"/>
      <c r="X358" s="1095"/>
      <c r="Y358" s="1095"/>
      <c r="Z358" s="1095"/>
      <c r="AA358" s="1095"/>
      <c r="AB358" s="1095"/>
    </row>
    <row r="359">
      <c r="A359" s="1095"/>
      <c r="B359" s="1095"/>
      <c r="C359" s="1095"/>
      <c r="D359" s="1095"/>
      <c r="E359" s="1095"/>
      <c r="F359" s="1095"/>
      <c r="G359" s="1095"/>
      <c r="H359" s="1095"/>
      <c r="I359" s="1095"/>
      <c r="J359" s="1095"/>
      <c r="K359" s="1095"/>
      <c r="L359" s="1095"/>
      <c r="M359" s="1095"/>
      <c r="N359" s="1095"/>
      <c r="O359" s="1095"/>
      <c r="P359" s="1095"/>
      <c r="Q359" s="1095"/>
      <c r="R359" s="1095"/>
      <c r="S359" s="1095"/>
      <c r="T359" s="1095"/>
      <c r="U359" s="1095"/>
      <c r="V359" s="1095"/>
      <c r="W359" s="1095"/>
      <c r="X359" s="1095"/>
      <c r="Y359" s="1095"/>
      <c r="Z359" s="1095"/>
      <c r="AA359" s="1095"/>
      <c r="AB359" s="1095"/>
    </row>
    <row r="360">
      <c r="A360" s="1095"/>
      <c r="B360" s="1095"/>
      <c r="C360" s="1095"/>
      <c r="D360" s="1095"/>
      <c r="E360" s="1095"/>
      <c r="F360" s="1095"/>
      <c r="G360" s="1095"/>
      <c r="H360" s="1095"/>
      <c r="I360" s="1095"/>
      <c r="J360" s="1095"/>
      <c r="K360" s="1095"/>
      <c r="L360" s="1095"/>
      <c r="M360" s="1095"/>
      <c r="N360" s="1095"/>
      <c r="O360" s="1095"/>
      <c r="P360" s="1095"/>
      <c r="Q360" s="1095"/>
      <c r="R360" s="1095"/>
      <c r="S360" s="1095"/>
      <c r="T360" s="1095"/>
      <c r="U360" s="1095"/>
      <c r="V360" s="1095"/>
      <c r="W360" s="1095"/>
      <c r="X360" s="1095"/>
      <c r="Y360" s="1095"/>
      <c r="Z360" s="1095"/>
      <c r="AA360" s="1095"/>
      <c r="AB360" s="1095"/>
    </row>
    <row r="361">
      <c r="A361" s="1095"/>
      <c r="B361" s="1095"/>
      <c r="C361" s="1095"/>
      <c r="D361" s="1095"/>
      <c r="E361" s="1095"/>
      <c r="F361" s="1095"/>
      <c r="G361" s="1095"/>
      <c r="H361" s="1095"/>
      <c r="I361" s="1095"/>
      <c r="J361" s="1095"/>
      <c r="K361" s="1095"/>
      <c r="L361" s="1095"/>
      <c r="M361" s="1095"/>
      <c r="N361" s="1095"/>
      <c r="O361" s="1095"/>
      <c r="P361" s="1095"/>
      <c r="Q361" s="1095"/>
      <c r="R361" s="1095"/>
      <c r="S361" s="1095"/>
      <c r="T361" s="1095"/>
      <c r="U361" s="1095"/>
      <c r="V361" s="1095"/>
      <c r="W361" s="1095"/>
      <c r="X361" s="1095"/>
      <c r="Y361" s="1095"/>
      <c r="Z361" s="1095"/>
      <c r="AA361" s="1095"/>
      <c r="AB361" s="1095"/>
    </row>
    <row r="362">
      <c r="A362" s="1095"/>
      <c r="B362" s="1095"/>
      <c r="C362" s="1095"/>
      <c r="D362" s="1095"/>
      <c r="E362" s="1095"/>
      <c r="F362" s="1095"/>
      <c r="G362" s="1095"/>
      <c r="H362" s="1095"/>
      <c r="I362" s="1095"/>
      <c r="J362" s="1095"/>
      <c r="K362" s="1095"/>
      <c r="L362" s="1095"/>
      <c r="M362" s="1095"/>
      <c r="N362" s="1095"/>
      <c r="O362" s="1095"/>
      <c r="P362" s="1095"/>
      <c r="Q362" s="1095"/>
      <c r="R362" s="1095"/>
      <c r="S362" s="1095"/>
      <c r="T362" s="1095"/>
      <c r="U362" s="1095"/>
      <c r="V362" s="1095"/>
      <c r="W362" s="1095"/>
      <c r="X362" s="1095"/>
      <c r="Y362" s="1095"/>
      <c r="Z362" s="1095"/>
      <c r="AA362" s="1095"/>
      <c r="AB362" s="1095"/>
    </row>
    <row r="363">
      <c r="A363" s="1095"/>
      <c r="B363" s="1095"/>
      <c r="C363" s="1095"/>
      <c r="D363" s="1095"/>
      <c r="E363" s="1095"/>
      <c r="F363" s="1095"/>
      <c r="G363" s="1095"/>
      <c r="H363" s="1095"/>
      <c r="I363" s="1095"/>
      <c r="J363" s="1095"/>
      <c r="K363" s="1095"/>
      <c r="L363" s="1095"/>
      <c r="M363" s="1095"/>
      <c r="N363" s="1095"/>
      <c r="O363" s="1095"/>
      <c r="P363" s="1095"/>
      <c r="Q363" s="1095"/>
      <c r="R363" s="1095"/>
      <c r="S363" s="1095"/>
      <c r="T363" s="1095"/>
      <c r="U363" s="1095"/>
      <c r="V363" s="1095"/>
      <c r="W363" s="1095"/>
      <c r="X363" s="1095"/>
      <c r="Y363" s="1095"/>
      <c r="Z363" s="1095"/>
      <c r="AA363" s="1095"/>
      <c r="AB363" s="1095"/>
    </row>
    <row r="364">
      <c r="A364" s="1095"/>
      <c r="B364" s="1095"/>
      <c r="C364" s="1095"/>
      <c r="D364" s="1095"/>
      <c r="E364" s="1095"/>
      <c r="F364" s="1095"/>
      <c r="G364" s="1095"/>
      <c r="H364" s="1095"/>
      <c r="I364" s="1095"/>
      <c r="J364" s="1095"/>
      <c r="K364" s="1095"/>
      <c r="L364" s="1095"/>
      <c r="M364" s="1095"/>
      <c r="N364" s="1095"/>
      <c r="O364" s="1095"/>
      <c r="P364" s="1095"/>
      <c r="Q364" s="1095"/>
      <c r="R364" s="1095"/>
      <c r="S364" s="1095"/>
      <c r="T364" s="1095"/>
      <c r="U364" s="1095"/>
      <c r="V364" s="1095"/>
      <c r="W364" s="1095"/>
      <c r="X364" s="1095"/>
      <c r="Y364" s="1095"/>
      <c r="Z364" s="1095"/>
      <c r="AA364" s="1095"/>
      <c r="AB364" s="1095"/>
    </row>
    <row r="365">
      <c r="A365" s="1095"/>
      <c r="B365" s="1095"/>
      <c r="C365" s="1095"/>
      <c r="D365" s="1095"/>
      <c r="E365" s="1095"/>
      <c r="F365" s="1095"/>
      <c r="G365" s="1095"/>
      <c r="H365" s="1095"/>
      <c r="I365" s="1095"/>
      <c r="J365" s="1095"/>
      <c r="K365" s="1095"/>
      <c r="L365" s="1095"/>
      <c r="M365" s="1095"/>
      <c r="N365" s="1095"/>
      <c r="O365" s="1095"/>
      <c r="P365" s="1095"/>
      <c r="Q365" s="1095"/>
      <c r="R365" s="1095"/>
      <c r="S365" s="1095"/>
      <c r="T365" s="1095"/>
      <c r="U365" s="1095"/>
      <c r="V365" s="1095"/>
      <c r="W365" s="1095"/>
      <c r="X365" s="1095"/>
      <c r="Y365" s="1095"/>
      <c r="Z365" s="1095"/>
      <c r="AA365" s="1095"/>
      <c r="AB365" s="1095"/>
    </row>
    <row r="366">
      <c r="A366" s="1095"/>
      <c r="B366" s="1095"/>
      <c r="C366" s="1095"/>
      <c r="D366" s="1095"/>
      <c r="E366" s="1095"/>
      <c r="F366" s="1095"/>
      <c r="G366" s="1095"/>
      <c r="H366" s="1095"/>
      <c r="I366" s="1095"/>
      <c r="J366" s="1095"/>
      <c r="K366" s="1095"/>
      <c r="L366" s="1095"/>
      <c r="M366" s="1095"/>
      <c r="N366" s="1095"/>
      <c r="O366" s="1095"/>
      <c r="P366" s="1095"/>
      <c r="Q366" s="1095"/>
      <c r="R366" s="1095"/>
      <c r="S366" s="1095"/>
      <c r="T366" s="1095"/>
      <c r="U366" s="1095"/>
      <c r="V366" s="1095"/>
      <c r="W366" s="1095"/>
      <c r="X366" s="1095"/>
      <c r="Y366" s="1095"/>
      <c r="Z366" s="1095"/>
      <c r="AA366" s="1095"/>
      <c r="AB366" s="1095"/>
    </row>
    <row r="367">
      <c r="A367" s="1095"/>
      <c r="B367" s="1095"/>
      <c r="C367" s="1095"/>
      <c r="D367" s="1095"/>
      <c r="E367" s="1095"/>
      <c r="F367" s="1095"/>
      <c r="G367" s="1095"/>
      <c r="H367" s="1095"/>
      <c r="I367" s="1095"/>
      <c r="J367" s="1095"/>
      <c r="K367" s="1095"/>
      <c r="L367" s="1095"/>
      <c r="M367" s="1095"/>
      <c r="N367" s="1095"/>
      <c r="O367" s="1095"/>
      <c r="P367" s="1095"/>
      <c r="Q367" s="1095"/>
      <c r="R367" s="1095"/>
      <c r="S367" s="1095"/>
      <c r="T367" s="1095"/>
      <c r="U367" s="1095"/>
      <c r="V367" s="1095"/>
      <c r="W367" s="1095"/>
      <c r="X367" s="1095"/>
      <c r="Y367" s="1095"/>
      <c r="Z367" s="1095"/>
      <c r="AA367" s="1095"/>
      <c r="AB367" s="1095"/>
    </row>
    <row r="368">
      <c r="A368" s="1095"/>
      <c r="B368" s="1095"/>
      <c r="C368" s="1095"/>
      <c r="D368" s="1095"/>
      <c r="E368" s="1095"/>
      <c r="F368" s="1095"/>
      <c r="G368" s="1095"/>
      <c r="H368" s="1095"/>
      <c r="I368" s="1095"/>
      <c r="J368" s="1095"/>
      <c r="K368" s="1095"/>
      <c r="L368" s="1095"/>
      <c r="M368" s="1095"/>
      <c r="N368" s="1095"/>
      <c r="O368" s="1095"/>
      <c r="P368" s="1095"/>
      <c r="Q368" s="1095"/>
      <c r="R368" s="1095"/>
      <c r="S368" s="1095"/>
      <c r="T368" s="1095"/>
      <c r="U368" s="1095"/>
      <c r="V368" s="1095"/>
      <c r="W368" s="1095"/>
      <c r="X368" s="1095"/>
      <c r="Y368" s="1095"/>
      <c r="Z368" s="1095"/>
      <c r="AA368" s="1095"/>
      <c r="AB368" s="1095"/>
    </row>
    <row r="369">
      <c r="A369" s="1095"/>
      <c r="B369" s="1095"/>
      <c r="C369" s="1095"/>
      <c r="D369" s="1095"/>
      <c r="E369" s="1095"/>
      <c r="F369" s="1095"/>
      <c r="G369" s="1095"/>
      <c r="H369" s="1095"/>
      <c r="I369" s="1095"/>
      <c r="J369" s="1095"/>
      <c r="K369" s="1095"/>
      <c r="L369" s="1095"/>
      <c r="M369" s="1095"/>
      <c r="N369" s="1095"/>
      <c r="O369" s="1095"/>
      <c r="P369" s="1095"/>
      <c r="Q369" s="1095"/>
      <c r="R369" s="1095"/>
      <c r="S369" s="1095"/>
      <c r="T369" s="1095"/>
      <c r="U369" s="1095"/>
      <c r="V369" s="1095"/>
      <c r="W369" s="1095"/>
      <c r="X369" s="1095"/>
      <c r="Y369" s="1095"/>
      <c r="Z369" s="1095"/>
      <c r="AA369" s="1095"/>
      <c r="AB369" s="1095"/>
    </row>
    <row r="370">
      <c r="A370" s="1095"/>
      <c r="B370" s="1095"/>
      <c r="C370" s="1095"/>
      <c r="D370" s="1095"/>
      <c r="E370" s="1095"/>
      <c r="F370" s="1095"/>
      <c r="G370" s="1095"/>
      <c r="H370" s="1095"/>
      <c r="I370" s="1095"/>
      <c r="J370" s="1095"/>
      <c r="K370" s="1095"/>
      <c r="L370" s="1095"/>
      <c r="M370" s="1095"/>
      <c r="N370" s="1095"/>
      <c r="O370" s="1095"/>
      <c r="P370" s="1095"/>
      <c r="Q370" s="1095"/>
      <c r="R370" s="1095"/>
      <c r="S370" s="1095"/>
      <c r="T370" s="1095"/>
      <c r="U370" s="1095"/>
      <c r="V370" s="1095"/>
      <c r="W370" s="1095"/>
      <c r="X370" s="1095"/>
      <c r="Y370" s="1095"/>
      <c r="Z370" s="1095"/>
      <c r="AA370" s="1095"/>
      <c r="AB370" s="1095"/>
    </row>
    <row r="371">
      <c r="A371" s="1095"/>
      <c r="B371" s="1095"/>
      <c r="C371" s="1095"/>
      <c r="D371" s="1095"/>
      <c r="E371" s="1095"/>
      <c r="F371" s="1095"/>
      <c r="G371" s="1095"/>
      <c r="H371" s="1095"/>
      <c r="I371" s="1095"/>
      <c r="J371" s="1095"/>
      <c r="K371" s="1095"/>
      <c r="L371" s="1095"/>
      <c r="M371" s="1095"/>
      <c r="N371" s="1095"/>
      <c r="O371" s="1095"/>
      <c r="P371" s="1095"/>
      <c r="Q371" s="1095"/>
      <c r="R371" s="1095"/>
      <c r="S371" s="1095"/>
      <c r="T371" s="1095"/>
      <c r="U371" s="1095"/>
      <c r="V371" s="1095"/>
      <c r="W371" s="1095"/>
      <c r="X371" s="1095"/>
      <c r="Y371" s="1095"/>
      <c r="Z371" s="1095"/>
      <c r="AA371" s="1095"/>
      <c r="AB371" s="1095"/>
    </row>
    <row r="372">
      <c r="A372" s="1095"/>
      <c r="B372" s="1095"/>
      <c r="C372" s="1095"/>
      <c r="D372" s="1095"/>
      <c r="E372" s="1095"/>
      <c r="F372" s="1095"/>
      <c r="G372" s="1095"/>
      <c r="H372" s="1095"/>
      <c r="I372" s="1095"/>
      <c r="J372" s="1095"/>
      <c r="K372" s="1095"/>
      <c r="L372" s="1095"/>
      <c r="M372" s="1095"/>
      <c r="N372" s="1095"/>
      <c r="O372" s="1095"/>
      <c r="P372" s="1095"/>
      <c r="Q372" s="1095"/>
      <c r="R372" s="1095"/>
      <c r="S372" s="1095"/>
      <c r="T372" s="1095"/>
      <c r="U372" s="1095"/>
      <c r="V372" s="1095"/>
      <c r="W372" s="1095"/>
      <c r="X372" s="1095"/>
      <c r="Y372" s="1095"/>
      <c r="Z372" s="1095"/>
      <c r="AA372" s="1095"/>
      <c r="AB372" s="1095"/>
    </row>
    <row r="373">
      <c r="A373" s="1095"/>
      <c r="B373" s="1095"/>
      <c r="C373" s="1095"/>
      <c r="D373" s="1095"/>
      <c r="E373" s="1095"/>
      <c r="F373" s="1095"/>
      <c r="G373" s="1095"/>
      <c r="H373" s="1095"/>
      <c r="I373" s="1095"/>
      <c r="J373" s="1095"/>
      <c r="K373" s="1095"/>
      <c r="L373" s="1095"/>
      <c r="M373" s="1095"/>
      <c r="N373" s="1095"/>
      <c r="O373" s="1095"/>
      <c r="P373" s="1095"/>
      <c r="Q373" s="1095"/>
      <c r="R373" s="1095"/>
      <c r="S373" s="1095"/>
      <c r="T373" s="1095"/>
      <c r="U373" s="1095"/>
      <c r="V373" s="1095"/>
      <c r="W373" s="1095"/>
      <c r="X373" s="1095"/>
      <c r="Y373" s="1095"/>
      <c r="Z373" s="1095"/>
      <c r="AA373" s="1095"/>
      <c r="AB373" s="1095"/>
    </row>
    <row r="374">
      <c r="A374" s="1095"/>
      <c r="B374" s="1095"/>
      <c r="C374" s="1095"/>
      <c r="D374" s="1095"/>
      <c r="E374" s="1095"/>
      <c r="F374" s="1095"/>
      <c r="G374" s="1095"/>
      <c r="H374" s="1095"/>
      <c r="I374" s="1095"/>
      <c r="J374" s="1095"/>
      <c r="K374" s="1095"/>
      <c r="L374" s="1095"/>
      <c r="M374" s="1095"/>
      <c r="N374" s="1095"/>
      <c r="O374" s="1095"/>
      <c r="P374" s="1095"/>
      <c r="Q374" s="1095"/>
      <c r="R374" s="1095"/>
      <c r="S374" s="1095"/>
      <c r="T374" s="1095"/>
      <c r="U374" s="1095"/>
      <c r="V374" s="1095"/>
      <c r="W374" s="1095"/>
      <c r="X374" s="1095"/>
      <c r="Y374" s="1095"/>
      <c r="Z374" s="1095"/>
      <c r="AA374" s="1095"/>
      <c r="AB374" s="1095"/>
    </row>
    <row r="375">
      <c r="A375" s="1095"/>
      <c r="B375" s="1095"/>
      <c r="C375" s="1095"/>
      <c r="D375" s="1095"/>
      <c r="E375" s="1095"/>
      <c r="F375" s="1095"/>
      <c r="G375" s="1095"/>
      <c r="H375" s="1095"/>
      <c r="I375" s="1095"/>
      <c r="J375" s="1095"/>
      <c r="K375" s="1095"/>
      <c r="L375" s="1095"/>
      <c r="M375" s="1095"/>
      <c r="N375" s="1095"/>
      <c r="O375" s="1095"/>
      <c r="P375" s="1095"/>
      <c r="Q375" s="1095"/>
      <c r="R375" s="1095"/>
      <c r="S375" s="1095"/>
      <c r="T375" s="1095"/>
      <c r="U375" s="1095"/>
      <c r="V375" s="1095"/>
      <c r="W375" s="1095"/>
      <c r="X375" s="1095"/>
      <c r="Y375" s="1095"/>
      <c r="Z375" s="1095"/>
      <c r="AA375" s="1095"/>
      <c r="AB375" s="1095"/>
    </row>
    <row r="376">
      <c r="A376" s="1095"/>
      <c r="B376" s="1095"/>
      <c r="C376" s="1095"/>
      <c r="D376" s="1095"/>
      <c r="E376" s="1095"/>
      <c r="F376" s="1095"/>
      <c r="G376" s="1095"/>
      <c r="H376" s="1095"/>
      <c r="I376" s="1095"/>
      <c r="J376" s="1095"/>
      <c r="K376" s="1095"/>
      <c r="L376" s="1095"/>
      <c r="M376" s="1095"/>
      <c r="N376" s="1095"/>
      <c r="O376" s="1095"/>
      <c r="P376" s="1095"/>
      <c r="Q376" s="1095"/>
      <c r="R376" s="1095"/>
      <c r="S376" s="1095"/>
      <c r="T376" s="1095"/>
      <c r="U376" s="1095"/>
      <c r="V376" s="1095"/>
      <c r="W376" s="1095"/>
      <c r="X376" s="1095"/>
      <c r="Y376" s="1095"/>
      <c r="Z376" s="1095"/>
      <c r="AA376" s="1095"/>
      <c r="AB376" s="1095"/>
    </row>
    <row r="377">
      <c r="A377" s="1095"/>
      <c r="B377" s="1095"/>
      <c r="C377" s="1095"/>
      <c r="D377" s="1095"/>
      <c r="E377" s="1095"/>
      <c r="F377" s="1095"/>
      <c r="G377" s="1095"/>
      <c r="H377" s="1095"/>
      <c r="I377" s="1095"/>
      <c r="J377" s="1095"/>
      <c r="K377" s="1095"/>
      <c r="L377" s="1095"/>
      <c r="M377" s="1095"/>
      <c r="N377" s="1095"/>
      <c r="O377" s="1095"/>
      <c r="P377" s="1095"/>
      <c r="Q377" s="1095"/>
      <c r="R377" s="1095"/>
      <c r="S377" s="1095"/>
      <c r="T377" s="1095"/>
      <c r="U377" s="1095"/>
      <c r="V377" s="1095"/>
      <c r="W377" s="1095"/>
      <c r="X377" s="1095"/>
      <c r="Y377" s="1095"/>
      <c r="Z377" s="1095"/>
      <c r="AA377" s="1095"/>
      <c r="AB377" s="1095"/>
    </row>
    <row r="378">
      <c r="A378" s="1095"/>
      <c r="B378" s="1095"/>
      <c r="C378" s="1095"/>
      <c r="D378" s="1095"/>
      <c r="E378" s="1095"/>
      <c r="F378" s="1095"/>
      <c r="G378" s="1095"/>
      <c r="H378" s="1095"/>
      <c r="I378" s="1095"/>
      <c r="J378" s="1095"/>
      <c r="K378" s="1095"/>
      <c r="L378" s="1095"/>
      <c r="M378" s="1095"/>
      <c r="N378" s="1095"/>
      <c r="O378" s="1095"/>
      <c r="P378" s="1095"/>
      <c r="Q378" s="1095"/>
      <c r="R378" s="1095"/>
      <c r="S378" s="1095"/>
      <c r="T378" s="1095"/>
      <c r="U378" s="1095"/>
      <c r="V378" s="1095"/>
      <c r="W378" s="1095"/>
      <c r="X378" s="1095"/>
      <c r="Y378" s="1095"/>
      <c r="Z378" s="1095"/>
      <c r="AA378" s="1095"/>
      <c r="AB378" s="1095"/>
    </row>
    <row r="379">
      <c r="A379" s="1095"/>
      <c r="B379" s="1095"/>
      <c r="C379" s="1095"/>
      <c r="D379" s="1095"/>
      <c r="E379" s="1095"/>
      <c r="F379" s="1095"/>
      <c r="G379" s="1095"/>
      <c r="H379" s="1095"/>
      <c r="I379" s="1095"/>
      <c r="J379" s="1095"/>
      <c r="K379" s="1095"/>
      <c r="L379" s="1095"/>
      <c r="M379" s="1095"/>
      <c r="N379" s="1095"/>
      <c r="O379" s="1095"/>
      <c r="P379" s="1095"/>
      <c r="Q379" s="1095"/>
      <c r="R379" s="1095"/>
      <c r="S379" s="1095"/>
      <c r="T379" s="1095"/>
      <c r="U379" s="1095"/>
      <c r="V379" s="1095"/>
      <c r="W379" s="1095"/>
      <c r="X379" s="1095"/>
      <c r="Y379" s="1095"/>
      <c r="Z379" s="1095"/>
      <c r="AA379" s="1095"/>
      <c r="AB379" s="1095"/>
    </row>
    <row r="380">
      <c r="A380" s="1095"/>
      <c r="B380" s="1095"/>
      <c r="C380" s="1095"/>
      <c r="D380" s="1095"/>
      <c r="E380" s="1095"/>
      <c r="F380" s="1095"/>
      <c r="G380" s="1095"/>
      <c r="H380" s="1095"/>
      <c r="I380" s="1095"/>
      <c r="J380" s="1095"/>
      <c r="K380" s="1095"/>
      <c r="L380" s="1095"/>
      <c r="M380" s="1095"/>
      <c r="N380" s="1095"/>
      <c r="O380" s="1095"/>
      <c r="P380" s="1095"/>
      <c r="Q380" s="1095"/>
      <c r="R380" s="1095"/>
      <c r="S380" s="1095"/>
      <c r="T380" s="1095"/>
      <c r="U380" s="1095"/>
      <c r="V380" s="1095"/>
      <c r="W380" s="1095"/>
      <c r="X380" s="1095"/>
      <c r="Y380" s="1095"/>
      <c r="Z380" s="1095"/>
      <c r="AA380" s="1095"/>
      <c r="AB380" s="1095"/>
    </row>
    <row r="381">
      <c r="A381" s="1095"/>
      <c r="B381" s="1095"/>
      <c r="C381" s="1095"/>
      <c r="D381" s="1095"/>
      <c r="E381" s="1095"/>
      <c r="F381" s="1095"/>
      <c r="G381" s="1095"/>
      <c r="H381" s="1095"/>
      <c r="I381" s="1095"/>
      <c r="J381" s="1095"/>
      <c r="K381" s="1095"/>
      <c r="L381" s="1095"/>
      <c r="M381" s="1095"/>
      <c r="N381" s="1095"/>
      <c r="O381" s="1095"/>
      <c r="P381" s="1095"/>
      <c r="Q381" s="1095"/>
      <c r="R381" s="1095"/>
      <c r="S381" s="1095"/>
      <c r="T381" s="1095"/>
      <c r="U381" s="1095"/>
      <c r="V381" s="1095"/>
      <c r="W381" s="1095"/>
      <c r="X381" s="1095"/>
      <c r="Y381" s="1095"/>
      <c r="Z381" s="1095"/>
      <c r="AA381" s="1095"/>
      <c r="AB381" s="1095"/>
    </row>
    <row r="382">
      <c r="A382" s="1095"/>
      <c r="B382" s="1095"/>
      <c r="C382" s="1095"/>
      <c r="D382" s="1095"/>
      <c r="E382" s="1095"/>
      <c r="F382" s="1095"/>
      <c r="G382" s="1095"/>
      <c r="H382" s="1095"/>
      <c r="I382" s="1095"/>
      <c r="J382" s="1095"/>
      <c r="K382" s="1095"/>
      <c r="L382" s="1095"/>
      <c r="M382" s="1095"/>
      <c r="N382" s="1095"/>
      <c r="O382" s="1095"/>
      <c r="P382" s="1095"/>
      <c r="Q382" s="1095"/>
      <c r="R382" s="1095"/>
      <c r="S382" s="1095"/>
      <c r="T382" s="1095"/>
      <c r="U382" s="1095"/>
      <c r="V382" s="1095"/>
      <c r="W382" s="1095"/>
      <c r="X382" s="1095"/>
      <c r="Y382" s="1095"/>
      <c r="Z382" s="1095"/>
      <c r="AA382" s="1095"/>
      <c r="AB382" s="1095"/>
    </row>
    <row r="383">
      <c r="A383" s="1095"/>
      <c r="B383" s="1095"/>
      <c r="C383" s="1095"/>
      <c r="D383" s="1095"/>
      <c r="E383" s="1095"/>
      <c r="F383" s="1095"/>
      <c r="G383" s="1095"/>
      <c r="H383" s="1095"/>
      <c r="I383" s="1095"/>
      <c r="J383" s="1095"/>
      <c r="K383" s="1095"/>
      <c r="L383" s="1095"/>
      <c r="M383" s="1095"/>
      <c r="N383" s="1095"/>
      <c r="O383" s="1095"/>
      <c r="P383" s="1095"/>
      <c r="Q383" s="1095"/>
      <c r="R383" s="1095"/>
      <c r="S383" s="1095"/>
      <c r="T383" s="1095"/>
      <c r="U383" s="1095"/>
      <c r="V383" s="1095"/>
      <c r="W383" s="1095"/>
      <c r="X383" s="1095"/>
      <c r="Y383" s="1095"/>
      <c r="Z383" s="1095"/>
      <c r="AA383" s="1095"/>
      <c r="AB383" s="1095"/>
    </row>
    <row r="384">
      <c r="A384" s="1095"/>
      <c r="B384" s="1095"/>
      <c r="C384" s="1095"/>
      <c r="D384" s="1095"/>
      <c r="E384" s="1095"/>
      <c r="F384" s="1095"/>
      <c r="G384" s="1095"/>
      <c r="H384" s="1095"/>
      <c r="I384" s="1095"/>
      <c r="J384" s="1095"/>
      <c r="K384" s="1095"/>
      <c r="L384" s="1095"/>
      <c r="M384" s="1095"/>
      <c r="N384" s="1095"/>
      <c r="O384" s="1095"/>
      <c r="P384" s="1095"/>
      <c r="Q384" s="1095"/>
      <c r="R384" s="1095"/>
      <c r="S384" s="1095"/>
      <c r="T384" s="1095"/>
      <c r="U384" s="1095"/>
      <c r="V384" s="1095"/>
      <c r="W384" s="1095"/>
      <c r="X384" s="1095"/>
      <c r="Y384" s="1095"/>
      <c r="Z384" s="1095"/>
      <c r="AA384" s="1095"/>
      <c r="AB384" s="1095"/>
    </row>
    <row r="385">
      <c r="A385" s="1095"/>
      <c r="B385" s="1095"/>
      <c r="C385" s="1095"/>
      <c r="D385" s="1095"/>
      <c r="E385" s="1095"/>
      <c r="F385" s="1095"/>
      <c r="G385" s="1095"/>
      <c r="H385" s="1095"/>
      <c r="I385" s="1095"/>
      <c r="J385" s="1095"/>
      <c r="K385" s="1095"/>
      <c r="L385" s="1095"/>
      <c r="M385" s="1095"/>
      <c r="N385" s="1095"/>
      <c r="O385" s="1095"/>
      <c r="P385" s="1095"/>
      <c r="Q385" s="1095"/>
      <c r="R385" s="1095"/>
      <c r="S385" s="1095"/>
      <c r="T385" s="1095"/>
      <c r="U385" s="1095"/>
      <c r="V385" s="1095"/>
      <c r="W385" s="1095"/>
      <c r="X385" s="1095"/>
      <c r="Y385" s="1095"/>
      <c r="Z385" s="1095"/>
      <c r="AA385" s="1095"/>
      <c r="AB385" s="1095"/>
    </row>
    <row r="386">
      <c r="A386" s="1095"/>
      <c r="B386" s="1095"/>
      <c r="C386" s="1095"/>
      <c r="D386" s="1095"/>
      <c r="E386" s="1095"/>
      <c r="F386" s="1095"/>
      <c r="G386" s="1095"/>
      <c r="H386" s="1095"/>
      <c r="I386" s="1095"/>
      <c r="J386" s="1095"/>
      <c r="K386" s="1095"/>
      <c r="L386" s="1095"/>
      <c r="M386" s="1095"/>
      <c r="N386" s="1095"/>
      <c r="O386" s="1095"/>
      <c r="P386" s="1095"/>
      <c r="Q386" s="1095"/>
      <c r="R386" s="1095"/>
      <c r="S386" s="1095"/>
      <c r="T386" s="1095"/>
      <c r="U386" s="1095"/>
      <c r="V386" s="1095"/>
      <c r="W386" s="1095"/>
      <c r="X386" s="1095"/>
      <c r="Y386" s="1095"/>
      <c r="Z386" s="1095"/>
      <c r="AA386" s="1095"/>
      <c r="AB386" s="1095"/>
    </row>
    <row r="387">
      <c r="A387" s="1095"/>
      <c r="B387" s="1095"/>
      <c r="C387" s="1095"/>
      <c r="D387" s="1095"/>
      <c r="E387" s="1095"/>
      <c r="F387" s="1095"/>
      <c r="G387" s="1095"/>
      <c r="H387" s="1095"/>
      <c r="I387" s="1095"/>
      <c r="J387" s="1095"/>
      <c r="K387" s="1095"/>
      <c r="L387" s="1095"/>
      <c r="M387" s="1095"/>
      <c r="N387" s="1095"/>
      <c r="O387" s="1095"/>
      <c r="P387" s="1095"/>
      <c r="Q387" s="1095"/>
      <c r="R387" s="1095"/>
      <c r="S387" s="1095"/>
      <c r="T387" s="1095"/>
      <c r="U387" s="1095"/>
      <c r="V387" s="1095"/>
      <c r="W387" s="1095"/>
      <c r="X387" s="1095"/>
      <c r="Y387" s="1095"/>
      <c r="Z387" s="1095"/>
      <c r="AA387" s="1095"/>
      <c r="AB387" s="1095"/>
    </row>
    <row r="388">
      <c r="A388" s="1095"/>
      <c r="B388" s="1095"/>
      <c r="C388" s="1095"/>
      <c r="D388" s="1095"/>
      <c r="E388" s="1095"/>
      <c r="F388" s="1095"/>
      <c r="G388" s="1095"/>
      <c r="H388" s="1095"/>
      <c r="I388" s="1095"/>
      <c r="J388" s="1095"/>
      <c r="K388" s="1095"/>
      <c r="L388" s="1095"/>
      <c r="M388" s="1095"/>
      <c r="N388" s="1095"/>
      <c r="O388" s="1095"/>
      <c r="P388" s="1095"/>
      <c r="Q388" s="1095"/>
      <c r="R388" s="1095"/>
      <c r="S388" s="1095"/>
      <c r="T388" s="1095"/>
      <c r="U388" s="1095"/>
      <c r="V388" s="1095"/>
      <c r="W388" s="1095"/>
      <c r="X388" s="1095"/>
      <c r="Y388" s="1095"/>
      <c r="Z388" s="1095"/>
      <c r="AA388" s="1095"/>
      <c r="AB388" s="1095"/>
    </row>
    <row r="389">
      <c r="A389" s="1095"/>
      <c r="B389" s="1095"/>
      <c r="C389" s="1095"/>
      <c r="D389" s="1095"/>
      <c r="E389" s="1095"/>
      <c r="F389" s="1095"/>
      <c r="G389" s="1095"/>
      <c r="H389" s="1095"/>
      <c r="I389" s="1095"/>
      <c r="J389" s="1095"/>
      <c r="K389" s="1095"/>
      <c r="L389" s="1095"/>
      <c r="M389" s="1095"/>
      <c r="N389" s="1095"/>
      <c r="O389" s="1095"/>
      <c r="P389" s="1095"/>
      <c r="Q389" s="1095"/>
      <c r="R389" s="1095"/>
      <c r="S389" s="1095"/>
      <c r="T389" s="1095"/>
      <c r="U389" s="1095"/>
      <c r="V389" s="1095"/>
      <c r="W389" s="1095"/>
      <c r="X389" s="1095"/>
      <c r="Y389" s="1095"/>
      <c r="Z389" s="1095"/>
      <c r="AA389" s="1095"/>
      <c r="AB389" s="1095"/>
    </row>
    <row r="390">
      <c r="A390" s="1095"/>
      <c r="B390" s="1095"/>
      <c r="C390" s="1095"/>
      <c r="D390" s="1095"/>
      <c r="E390" s="1095"/>
      <c r="F390" s="1095"/>
      <c r="G390" s="1095"/>
      <c r="H390" s="1095"/>
      <c r="I390" s="1095"/>
      <c r="J390" s="1095"/>
      <c r="K390" s="1095"/>
      <c r="L390" s="1095"/>
      <c r="M390" s="1095"/>
      <c r="N390" s="1095"/>
      <c r="O390" s="1095"/>
      <c r="P390" s="1095"/>
      <c r="Q390" s="1095"/>
      <c r="R390" s="1095"/>
      <c r="S390" s="1095"/>
      <c r="T390" s="1095"/>
      <c r="U390" s="1095"/>
      <c r="V390" s="1095"/>
      <c r="W390" s="1095"/>
      <c r="X390" s="1095"/>
      <c r="Y390" s="1095"/>
      <c r="Z390" s="1095"/>
      <c r="AA390" s="1095"/>
      <c r="AB390" s="1095"/>
    </row>
    <row r="391">
      <c r="A391" s="1095"/>
      <c r="B391" s="1095"/>
      <c r="C391" s="1095"/>
      <c r="D391" s="1095"/>
      <c r="E391" s="1095"/>
      <c r="F391" s="1095"/>
      <c r="G391" s="1095"/>
      <c r="H391" s="1095"/>
      <c r="I391" s="1095"/>
      <c r="J391" s="1095"/>
      <c r="K391" s="1095"/>
      <c r="L391" s="1095"/>
      <c r="M391" s="1095"/>
      <c r="N391" s="1095"/>
      <c r="O391" s="1095"/>
      <c r="P391" s="1095"/>
      <c r="Q391" s="1095"/>
      <c r="R391" s="1095"/>
      <c r="S391" s="1095"/>
      <c r="T391" s="1095"/>
      <c r="U391" s="1095"/>
      <c r="V391" s="1095"/>
      <c r="W391" s="1095"/>
      <c r="X391" s="1095"/>
      <c r="Y391" s="1095"/>
      <c r="Z391" s="1095"/>
      <c r="AA391" s="1095"/>
      <c r="AB391" s="1095"/>
    </row>
    <row r="392">
      <c r="A392" s="1095"/>
      <c r="B392" s="1095"/>
      <c r="C392" s="1095"/>
      <c r="D392" s="1095"/>
      <c r="E392" s="1095"/>
      <c r="F392" s="1095"/>
      <c r="G392" s="1095"/>
      <c r="H392" s="1095"/>
      <c r="I392" s="1095"/>
      <c r="J392" s="1095"/>
      <c r="K392" s="1095"/>
      <c r="L392" s="1095"/>
      <c r="M392" s="1095"/>
      <c r="N392" s="1095"/>
      <c r="O392" s="1095"/>
      <c r="P392" s="1095"/>
      <c r="Q392" s="1095"/>
      <c r="R392" s="1095"/>
      <c r="S392" s="1095"/>
      <c r="T392" s="1095"/>
      <c r="U392" s="1095"/>
      <c r="V392" s="1095"/>
      <c r="W392" s="1095"/>
      <c r="X392" s="1095"/>
      <c r="Y392" s="1095"/>
      <c r="Z392" s="1095"/>
      <c r="AA392" s="1095"/>
      <c r="AB392" s="1095"/>
    </row>
    <row r="393">
      <c r="A393" s="1095"/>
      <c r="B393" s="1095"/>
      <c r="C393" s="1095"/>
      <c r="D393" s="1095"/>
      <c r="E393" s="1095"/>
      <c r="F393" s="1095"/>
      <c r="G393" s="1095"/>
      <c r="H393" s="1095"/>
      <c r="I393" s="1095"/>
      <c r="J393" s="1095"/>
      <c r="K393" s="1095"/>
      <c r="L393" s="1095"/>
      <c r="M393" s="1095"/>
      <c r="N393" s="1095"/>
      <c r="O393" s="1095"/>
      <c r="P393" s="1095"/>
      <c r="Q393" s="1095"/>
      <c r="R393" s="1095"/>
      <c r="S393" s="1095"/>
      <c r="T393" s="1095"/>
      <c r="U393" s="1095"/>
      <c r="V393" s="1095"/>
      <c r="W393" s="1095"/>
      <c r="X393" s="1095"/>
      <c r="Y393" s="1095"/>
      <c r="Z393" s="1095"/>
      <c r="AA393" s="1095"/>
      <c r="AB393" s="1095"/>
    </row>
    <row r="394">
      <c r="A394" s="1095"/>
      <c r="B394" s="1095"/>
      <c r="C394" s="1095"/>
      <c r="D394" s="1095"/>
      <c r="E394" s="1095"/>
      <c r="F394" s="1095"/>
      <c r="G394" s="1095"/>
      <c r="H394" s="1095"/>
      <c r="I394" s="1095"/>
      <c r="J394" s="1095"/>
      <c r="K394" s="1095"/>
      <c r="L394" s="1095"/>
      <c r="M394" s="1095"/>
      <c r="N394" s="1095"/>
      <c r="O394" s="1095"/>
      <c r="P394" s="1095"/>
      <c r="Q394" s="1095"/>
      <c r="R394" s="1095"/>
      <c r="S394" s="1095"/>
      <c r="T394" s="1095"/>
      <c r="U394" s="1095"/>
      <c r="V394" s="1095"/>
      <c r="W394" s="1095"/>
      <c r="X394" s="1095"/>
      <c r="Y394" s="1095"/>
      <c r="Z394" s="1095"/>
      <c r="AA394" s="1095"/>
      <c r="AB394" s="1095"/>
    </row>
    <row r="395">
      <c r="A395" s="1095"/>
      <c r="B395" s="1095"/>
      <c r="C395" s="1095"/>
      <c r="D395" s="1095"/>
      <c r="E395" s="1095"/>
      <c r="F395" s="1095"/>
      <c r="G395" s="1095"/>
      <c r="H395" s="1095"/>
      <c r="I395" s="1095"/>
      <c r="J395" s="1095"/>
      <c r="K395" s="1095"/>
      <c r="L395" s="1095"/>
      <c r="M395" s="1095"/>
      <c r="N395" s="1095"/>
      <c r="O395" s="1095"/>
      <c r="P395" s="1095"/>
      <c r="Q395" s="1095"/>
      <c r="R395" s="1095"/>
      <c r="S395" s="1095"/>
      <c r="T395" s="1095"/>
      <c r="U395" s="1095"/>
      <c r="V395" s="1095"/>
      <c r="W395" s="1095"/>
      <c r="X395" s="1095"/>
      <c r="Y395" s="1095"/>
      <c r="Z395" s="1095"/>
      <c r="AA395" s="1095"/>
      <c r="AB395" s="1095"/>
    </row>
    <row r="396">
      <c r="A396" s="1095"/>
      <c r="B396" s="1095"/>
      <c r="C396" s="1095"/>
      <c r="D396" s="1095"/>
      <c r="E396" s="1095"/>
      <c r="F396" s="1095"/>
      <c r="G396" s="1095"/>
      <c r="H396" s="1095"/>
      <c r="I396" s="1095"/>
      <c r="J396" s="1095"/>
      <c r="K396" s="1095"/>
      <c r="L396" s="1095"/>
      <c r="M396" s="1095"/>
      <c r="N396" s="1095"/>
      <c r="O396" s="1095"/>
      <c r="P396" s="1095"/>
      <c r="Q396" s="1095"/>
      <c r="R396" s="1095"/>
      <c r="S396" s="1095"/>
      <c r="T396" s="1095"/>
      <c r="U396" s="1095"/>
      <c r="V396" s="1095"/>
      <c r="W396" s="1095"/>
      <c r="X396" s="1095"/>
      <c r="Y396" s="1095"/>
      <c r="Z396" s="1095"/>
      <c r="AA396" s="1095"/>
      <c r="AB396" s="1095"/>
    </row>
    <row r="397">
      <c r="A397" s="1095"/>
      <c r="B397" s="1095"/>
      <c r="C397" s="1095"/>
      <c r="D397" s="1095"/>
      <c r="E397" s="1095"/>
      <c r="F397" s="1095"/>
      <c r="G397" s="1095"/>
      <c r="H397" s="1095"/>
      <c r="I397" s="1095"/>
      <c r="J397" s="1095"/>
      <c r="K397" s="1095"/>
      <c r="L397" s="1095"/>
      <c r="M397" s="1095"/>
      <c r="N397" s="1095"/>
      <c r="O397" s="1095"/>
      <c r="P397" s="1095"/>
      <c r="Q397" s="1095"/>
      <c r="R397" s="1095"/>
      <c r="S397" s="1095"/>
      <c r="T397" s="1095"/>
      <c r="U397" s="1095"/>
      <c r="V397" s="1095"/>
      <c r="W397" s="1095"/>
      <c r="X397" s="1095"/>
      <c r="Y397" s="1095"/>
      <c r="Z397" s="1095"/>
      <c r="AA397" s="1095"/>
      <c r="AB397" s="1095"/>
    </row>
    <row r="398">
      <c r="A398" s="1095"/>
      <c r="B398" s="1095"/>
      <c r="C398" s="1095"/>
      <c r="D398" s="1095"/>
      <c r="E398" s="1095"/>
      <c r="F398" s="1095"/>
      <c r="G398" s="1095"/>
      <c r="H398" s="1095"/>
      <c r="I398" s="1095"/>
      <c r="J398" s="1095"/>
      <c r="K398" s="1095"/>
      <c r="L398" s="1095"/>
      <c r="M398" s="1095"/>
      <c r="N398" s="1095"/>
      <c r="O398" s="1095"/>
      <c r="P398" s="1095"/>
      <c r="Q398" s="1095"/>
      <c r="R398" s="1095"/>
      <c r="S398" s="1095"/>
      <c r="T398" s="1095"/>
      <c r="U398" s="1095"/>
      <c r="V398" s="1095"/>
      <c r="W398" s="1095"/>
      <c r="X398" s="1095"/>
      <c r="Y398" s="1095"/>
      <c r="Z398" s="1095"/>
      <c r="AA398" s="1095"/>
      <c r="AB398" s="1095"/>
    </row>
    <row r="399">
      <c r="A399" s="1095"/>
      <c r="B399" s="1095"/>
      <c r="C399" s="1095"/>
      <c r="D399" s="1095"/>
      <c r="E399" s="1095"/>
      <c r="F399" s="1095"/>
      <c r="G399" s="1095"/>
      <c r="H399" s="1095"/>
      <c r="I399" s="1095"/>
      <c r="J399" s="1095"/>
      <c r="K399" s="1095"/>
      <c r="L399" s="1095"/>
      <c r="M399" s="1095"/>
      <c r="N399" s="1095"/>
      <c r="O399" s="1095"/>
      <c r="P399" s="1095"/>
      <c r="Q399" s="1095"/>
      <c r="R399" s="1095"/>
      <c r="S399" s="1095"/>
      <c r="T399" s="1095"/>
      <c r="U399" s="1095"/>
      <c r="V399" s="1095"/>
      <c r="W399" s="1095"/>
      <c r="X399" s="1095"/>
      <c r="Y399" s="1095"/>
      <c r="Z399" s="1095"/>
      <c r="AA399" s="1095"/>
      <c r="AB399" s="1095"/>
    </row>
    <row r="400">
      <c r="A400" s="1095"/>
      <c r="B400" s="1095"/>
      <c r="C400" s="1095"/>
      <c r="D400" s="1095"/>
      <c r="E400" s="1095"/>
      <c r="F400" s="1095"/>
      <c r="G400" s="1095"/>
      <c r="H400" s="1095"/>
      <c r="I400" s="1095"/>
      <c r="J400" s="1095"/>
      <c r="K400" s="1095"/>
      <c r="L400" s="1095"/>
      <c r="M400" s="1095"/>
      <c r="N400" s="1095"/>
      <c r="O400" s="1095"/>
      <c r="P400" s="1095"/>
      <c r="Q400" s="1095"/>
      <c r="R400" s="1095"/>
      <c r="S400" s="1095"/>
      <c r="T400" s="1095"/>
      <c r="U400" s="1095"/>
      <c r="V400" s="1095"/>
      <c r="W400" s="1095"/>
      <c r="X400" s="1095"/>
      <c r="Y400" s="1095"/>
      <c r="Z400" s="1095"/>
      <c r="AA400" s="1095"/>
      <c r="AB400" s="1095"/>
    </row>
    <row r="401">
      <c r="A401" s="1095"/>
      <c r="B401" s="1095"/>
      <c r="C401" s="1095"/>
      <c r="D401" s="1095"/>
      <c r="E401" s="1095"/>
      <c r="F401" s="1095"/>
      <c r="G401" s="1095"/>
      <c r="H401" s="1095"/>
      <c r="I401" s="1095"/>
      <c r="J401" s="1095"/>
      <c r="K401" s="1095"/>
      <c r="L401" s="1095"/>
      <c r="M401" s="1095"/>
      <c r="N401" s="1095"/>
      <c r="O401" s="1095"/>
      <c r="P401" s="1095"/>
      <c r="Q401" s="1095"/>
      <c r="R401" s="1095"/>
      <c r="S401" s="1095"/>
      <c r="T401" s="1095"/>
      <c r="U401" s="1095"/>
      <c r="V401" s="1095"/>
      <c r="W401" s="1095"/>
      <c r="X401" s="1095"/>
      <c r="Y401" s="1095"/>
      <c r="Z401" s="1095"/>
      <c r="AA401" s="1095"/>
      <c r="AB401" s="1095"/>
    </row>
    <row r="402">
      <c r="A402" s="1095"/>
      <c r="B402" s="1095"/>
      <c r="C402" s="1095"/>
      <c r="D402" s="1095"/>
      <c r="E402" s="1095"/>
      <c r="F402" s="1095"/>
      <c r="G402" s="1095"/>
      <c r="H402" s="1095"/>
      <c r="I402" s="1095"/>
      <c r="J402" s="1095"/>
      <c r="K402" s="1095"/>
      <c r="L402" s="1095"/>
      <c r="M402" s="1095"/>
      <c r="N402" s="1095"/>
      <c r="O402" s="1095"/>
      <c r="P402" s="1095"/>
      <c r="Q402" s="1095"/>
      <c r="R402" s="1095"/>
      <c r="S402" s="1095"/>
      <c r="T402" s="1095"/>
      <c r="U402" s="1095"/>
      <c r="V402" s="1095"/>
      <c r="W402" s="1095"/>
      <c r="X402" s="1095"/>
      <c r="Y402" s="1095"/>
      <c r="Z402" s="1095"/>
      <c r="AA402" s="1095"/>
      <c r="AB402" s="1095"/>
    </row>
    <row r="403">
      <c r="A403" s="1095"/>
      <c r="B403" s="1095"/>
      <c r="C403" s="1095"/>
      <c r="D403" s="1095"/>
      <c r="E403" s="1095"/>
      <c r="F403" s="1095"/>
      <c r="G403" s="1095"/>
      <c r="H403" s="1095"/>
      <c r="I403" s="1095"/>
      <c r="J403" s="1095"/>
      <c r="K403" s="1095"/>
      <c r="L403" s="1095"/>
      <c r="M403" s="1095"/>
      <c r="N403" s="1095"/>
      <c r="O403" s="1095"/>
      <c r="P403" s="1095"/>
      <c r="Q403" s="1095"/>
      <c r="R403" s="1095"/>
      <c r="S403" s="1095"/>
      <c r="T403" s="1095"/>
      <c r="U403" s="1095"/>
      <c r="V403" s="1095"/>
      <c r="W403" s="1095"/>
      <c r="X403" s="1095"/>
      <c r="Y403" s="1095"/>
      <c r="Z403" s="1095"/>
      <c r="AA403" s="1095"/>
      <c r="AB403" s="1095"/>
    </row>
    <row r="404">
      <c r="A404" s="1095"/>
      <c r="B404" s="1095"/>
      <c r="C404" s="1095"/>
      <c r="D404" s="1095"/>
      <c r="E404" s="1095"/>
      <c r="F404" s="1095"/>
      <c r="G404" s="1095"/>
      <c r="H404" s="1095"/>
      <c r="I404" s="1095"/>
      <c r="J404" s="1095"/>
      <c r="K404" s="1095"/>
      <c r="L404" s="1095"/>
      <c r="M404" s="1095"/>
      <c r="N404" s="1095"/>
      <c r="O404" s="1095"/>
      <c r="P404" s="1095"/>
      <c r="Q404" s="1095"/>
      <c r="R404" s="1095"/>
      <c r="S404" s="1095"/>
      <c r="T404" s="1095"/>
      <c r="U404" s="1095"/>
      <c r="V404" s="1095"/>
      <c r="W404" s="1095"/>
      <c r="X404" s="1095"/>
      <c r="Y404" s="1095"/>
      <c r="Z404" s="1095"/>
      <c r="AA404" s="1095"/>
      <c r="AB404" s="1095"/>
    </row>
    <row r="405">
      <c r="A405" s="1095"/>
      <c r="B405" s="1095"/>
      <c r="C405" s="1095"/>
      <c r="D405" s="1095"/>
      <c r="E405" s="1095"/>
      <c r="F405" s="1095"/>
      <c r="G405" s="1095"/>
      <c r="H405" s="1095"/>
      <c r="I405" s="1095"/>
      <c r="J405" s="1095"/>
      <c r="K405" s="1095"/>
      <c r="L405" s="1095"/>
      <c r="M405" s="1095"/>
      <c r="N405" s="1095"/>
      <c r="O405" s="1095"/>
      <c r="P405" s="1095"/>
      <c r="Q405" s="1095"/>
      <c r="R405" s="1095"/>
      <c r="S405" s="1095"/>
      <c r="T405" s="1095"/>
      <c r="U405" s="1095"/>
      <c r="V405" s="1095"/>
      <c r="W405" s="1095"/>
      <c r="X405" s="1095"/>
      <c r="Y405" s="1095"/>
      <c r="Z405" s="1095"/>
      <c r="AA405" s="1095"/>
      <c r="AB405" s="1095"/>
    </row>
    <row r="406">
      <c r="A406" s="1095"/>
      <c r="B406" s="1095"/>
      <c r="C406" s="1095"/>
      <c r="D406" s="1095"/>
      <c r="E406" s="1095"/>
      <c r="F406" s="1095"/>
      <c r="G406" s="1095"/>
      <c r="H406" s="1095"/>
      <c r="I406" s="1095"/>
      <c r="J406" s="1095"/>
      <c r="K406" s="1095"/>
      <c r="L406" s="1095"/>
      <c r="M406" s="1095"/>
      <c r="N406" s="1095"/>
      <c r="O406" s="1095"/>
      <c r="P406" s="1095"/>
      <c r="Q406" s="1095"/>
      <c r="R406" s="1095"/>
      <c r="S406" s="1095"/>
      <c r="T406" s="1095"/>
      <c r="U406" s="1095"/>
      <c r="V406" s="1095"/>
      <c r="W406" s="1095"/>
      <c r="X406" s="1095"/>
      <c r="Y406" s="1095"/>
      <c r="Z406" s="1095"/>
      <c r="AA406" s="1095"/>
      <c r="AB406" s="1095"/>
    </row>
    <row r="407">
      <c r="A407" s="1095"/>
      <c r="B407" s="1095"/>
      <c r="C407" s="1095"/>
      <c r="D407" s="1095"/>
      <c r="E407" s="1095"/>
      <c r="F407" s="1095"/>
      <c r="G407" s="1095"/>
      <c r="H407" s="1095"/>
      <c r="I407" s="1095"/>
      <c r="J407" s="1095"/>
      <c r="K407" s="1095"/>
      <c r="L407" s="1095"/>
      <c r="M407" s="1095"/>
      <c r="N407" s="1095"/>
      <c r="O407" s="1095"/>
      <c r="P407" s="1095"/>
      <c r="Q407" s="1095"/>
      <c r="R407" s="1095"/>
      <c r="S407" s="1095"/>
      <c r="T407" s="1095"/>
      <c r="U407" s="1095"/>
      <c r="V407" s="1095"/>
      <c r="W407" s="1095"/>
      <c r="X407" s="1095"/>
      <c r="Y407" s="1095"/>
      <c r="Z407" s="1095"/>
      <c r="AA407" s="1095"/>
      <c r="AB407" s="1095"/>
    </row>
    <row r="408">
      <c r="A408" s="1095"/>
      <c r="B408" s="1095"/>
      <c r="C408" s="1095"/>
      <c r="D408" s="1095"/>
      <c r="E408" s="1095"/>
      <c r="F408" s="1095"/>
      <c r="G408" s="1095"/>
      <c r="H408" s="1095"/>
      <c r="I408" s="1095"/>
      <c r="J408" s="1095"/>
      <c r="K408" s="1095"/>
      <c r="L408" s="1095"/>
      <c r="M408" s="1095"/>
      <c r="N408" s="1095"/>
      <c r="O408" s="1095"/>
      <c r="P408" s="1095"/>
      <c r="Q408" s="1095"/>
      <c r="R408" s="1095"/>
      <c r="S408" s="1095"/>
      <c r="T408" s="1095"/>
      <c r="U408" s="1095"/>
      <c r="V408" s="1095"/>
      <c r="W408" s="1095"/>
      <c r="X408" s="1095"/>
      <c r="Y408" s="1095"/>
      <c r="Z408" s="1095"/>
      <c r="AA408" s="1095"/>
      <c r="AB408" s="1095"/>
    </row>
    <row r="409">
      <c r="A409" s="1095"/>
      <c r="B409" s="1095"/>
      <c r="C409" s="1095"/>
      <c r="D409" s="1095"/>
      <c r="E409" s="1095"/>
      <c r="F409" s="1095"/>
      <c r="G409" s="1095"/>
      <c r="H409" s="1095"/>
      <c r="I409" s="1095"/>
      <c r="J409" s="1095"/>
      <c r="K409" s="1095"/>
      <c r="L409" s="1095"/>
      <c r="M409" s="1095"/>
      <c r="N409" s="1095"/>
      <c r="O409" s="1095"/>
      <c r="P409" s="1095"/>
      <c r="Q409" s="1095"/>
      <c r="R409" s="1095"/>
      <c r="S409" s="1095"/>
      <c r="T409" s="1095"/>
      <c r="U409" s="1095"/>
      <c r="V409" s="1095"/>
      <c r="W409" s="1095"/>
      <c r="X409" s="1095"/>
      <c r="Y409" s="1095"/>
      <c r="Z409" s="1095"/>
      <c r="AA409" s="1095"/>
      <c r="AB409" s="1095"/>
    </row>
    <row r="410">
      <c r="A410" s="1095"/>
      <c r="B410" s="1095"/>
      <c r="C410" s="1095"/>
      <c r="D410" s="1095"/>
      <c r="E410" s="1095"/>
      <c r="F410" s="1095"/>
      <c r="G410" s="1095"/>
      <c r="H410" s="1095"/>
      <c r="I410" s="1095"/>
      <c r="J410" s="1095"/>
      <c r="K410" s="1095"/>
      <c r="L410" s="1095"/>
      <c r="M410" s="1095"/>
      <c r="N410" s="1095"/>
      <c r="O410" s="1095"/>
      <c r="P410" s="1095"/>
      <c r="Q410" s="1095"/>
      <c r="R410" s="1095"/>
      <c r="S410" s="1095"/>
      <c r="T410" s="1095"/>
      <c r="U410" s="1095"/>
      <c r="V410" s="1095"/>
      <c r="W410" s="1095"/>
      <c r="X410" s="1095"/>
      <c r="Y410" s="1095"/>
      <c r="Z410" s="1095"/>
      <c r="AA410" s="1095"/>
      <c r="AB410" s="1095"/>
    </row>
    <row r="411">
      <c r="A411" s="1095"/>
      <c r="B411" s="1095"/>
      <c r="C411" s="1095"/>
      <c r="D411" s="1095"/>
      <c r="E411" s="1095"/>
      <c r="F411" s="1095"/>
      <c r="G411" s="1095"/>
      <c r="H411" s="1095"/>
      <c r="I411" s="1095"/>
      <c r="J411" s="1095"/>
      <c r="K411" s="1095"/>
      <c r="L411" s="1095"/>
      <c r="M411" s="1095"/>
      <c r="N411" s="1095"/>
      <c r="O411" s="1095"/>
      <c r="P411" s="1095"/>
      <c r="Q411" s="1095"/>
      <c r="R411" s="1095"/>
      <c r="S411" s="1095"/>
      <c r="T411" s="1095"/>
      <c r="U411" s="1095"/>
      <c r="V411" s="1095"/>
      <c r="W411" s="1095"/>
      <c r="X411" s="1095"/>
      <c r="Y411" s="1095"/>
      <c r="Z411" s="1095"/>
      <c r="AA411" s="1095"/>
      <c r="AB411" s="1095"/>
    </row>
    <row r="412">
      <c r="A412" s="1095"/>
      <c r="B412" s="1095"/>
      <c r="C412" s="1095"/>
      <c r="D412" s="1095"/>
      <c r="E412" s="1095"/>
      <c r="F412" s="1095"/>
      <c r="G412" s="1095"/>
      <c r="H412" s="1095"/>
      <c r="I412" s="1095"/>
      <c r="J412" s="1095"/>
      <c r="K412" s="1095"/>
      <c r="L412" s="1095"/>
      <c r="M412" s="1095"/>
      <c r="N412" s="1095"/>
      <c r="O412" s="1095"/>
      <c r="P412" s="1095"/>
      <c r="Q412" s="1095"/>
      <c r="R412" s="1095"/>
      <c r="S412" s="1095"/>
      <c r="T412" s="1095"/>
      <c r="U412" s="1095"/>
      <c r="V412" s="1095"/>
      <c r="W412" s="1095"/>
      <c r="X412" s="1095"/>
      <c r="Y412" s="1095"/>
      <c r="Z412" s="1095"/>
      <c r="AA412" s="1095"/>
      <c r="AB412" s="1095"/>
    </row>
    <row r="413">
      <c r="A413" s="1095"/>
      <c r="B413" s="1095"/>
      <c r="C413" s="1095"/>
      <c r="D413" s="1095"/>
      <c r="E413" s="1095"/>
      <c r="F413" s="1095"/>
      <c r="G413" s="1095"/>
      <c r="H413" s="1095"/>
      <c r="I413" s="1095"/>
      <c r="J413" s="1095"/>
      <c r="K413" s="1095"/>
      <c r="L413" s="1095"/>
      <c r="M413" s="1095"/>
      <c r="N413" s="1095"/>
      <c r="O413" s="1095"/>
      <c r="P413" s="1095"/>
      <c r="Q413" s="1095"/>
      <c r="R413" s="1095"/>
      <c r="S413" s="1095"/>
      <c r="T413" s="1095"/>
      <c r="U413" s="1095"/>
      <c r="V413" s="1095"/>
      <c r="W413" s="1095"/>
      <c r="X413" s="1095"/>
      <c r="Y413" s="1095"/>
      <c r="Z413" s="1095"/>
      <c r="AA413" s="1095"/>
      <c r="AB413" s="1095"/>
    </row>
    <row r="414">
      <c r="A414" s="1095"/>
      <c r="B414" s="1095"/>
      <c r="C414" s="1095"/>
      <c r="D414" s="1095"/>
      <c r="E414" s="1095"/>
      <c r="F414" s="1095"/>
      <c r="G414" s="1095"/>
      <c r="H414" s="1095"/>
      <c r="I414" s="1095"/>
      <c r="J414" s="1095"/>
      <c r="K414" s="1095"/>
      <c r="L414" s="1095"/>
      <c r="M414" s="1095"/>
      <c r="N414" s="1095"/>
      <c r="O414" s="1095"/>
      <c r="P414" s="1095"/>
      <c r="Q414" s="1095"/>
      <c r="R414" s="1095"/>
      <c r="S414" s="1095"/>
      <c r="T414" s="1095"/>
      <c r="U414" s="1095"/>
      <c r="V414" s="1095"/>
      <c r="W414" s="1095"/>
      <c r="X414" s="1095"/>
      <c r="Y414" s="1095"/>
      <c r="Z414" s="1095"/>
      <c r="AA414" s="1095"/>
      <c r="AB414" s="1095"/>
    </row>
    <row r="415">
      <c r="A415" s="1095"/>
      <c r="B415" s="1095"/>
      <c r="C415" s="1095"/>
      <c r="D415" s="1095"/>
      <c r="E415" s="1095"/>
      <c r="F415" s="1095"/>
      <c r="G415" s="1095"/>
      <c r="H415" s="1095"/>
      <c r="I415" s="1095"/>
      <c r="J415" s="1095"/>
      <c r="K415" s="1095"/>
      <c r="L415" s="1095"/>
      <c r="M415" s="1095"/>
      <c r="N415" s="1095"/>
      <c r="O415" s="1095"/>
      <c r="P415" s="1095"/>
      <c r="Q415" s="1095"/>
      <c r="R415" s="1095"/>
      <c r="S415" s="1095"/>
      <c r="T415" s="1095"/>
      <c r="U415" s="1095"/>
      <c r="V415" s="1095"/>
      <c r="W415" s="1095"/>
      <c r="X415" s="1095"/>
      <c r="Y415" s="1095"/>
      <c r="Z415" s="1095"/>
      <c r="AA415" s="1095"/>
      <c r="AB415" s="1095"/>
    </row>
    <row r="416">
      <c r="A416" s="1095"/>
      <c r="B416" s="1095"/>
      <c r="C416" s="1095"/>
      <c r="D416" s="1095"/>
      <c r="E416" s="1095"/>
      <c r="F416" s="1095"/>
      <c r="G416" s="1095"/>
      <c r="H416" s="1095"/>
      <c r="I416" s="1095"/>
      <c r="J416" s="1095"/>
      <c r="K416" s="1095"/>
      <c r="L416" s="1095"/>
      <c r="M416" s="1095"/>
      <c r="N416" s="1095"/>
      <c r="O416" s="1095"/>
      <c r="P416" s="1095"/>
      <c r="Q416" s="1095"/>
      <c r="R416" s="1095"/>
      <c r="S416" s="1095"/>
      <c r="T416" s="1095"/>
      <c r="U416" s="1095"/>
      <c r="V416" s="1095"/>
      <c r="W416" s="1095"/>
      <c r="X416" s="1095"/>
      <c r="Y416" s="1095"/>
      <c r="Z416" s="1095"/>
      <c r="AA416" s="1095"/>
      <c r="AB416" s="1095"/>
    </row>
    <row r="417">
      <c r="A417" s="1095"/>
      <c r="B417" s="1095"/>
      <c r="C417" s="1095"/>
      <c r="D417" s="1095"/>
      <c r="E417" s="1095"/>
      <c r="F417" s="1095"/>
      <c r="G417" s="1095"/>
      <c r="H417" s="1095"/>
      <c r="I417" s="1095"/>
      <c r="J417" s="1095"/>
      <c r="K417" s="1095"/>
      <c r="L417" s="1095"/>
      <c r="M417" s="1095"/>
      <c r="N417" s="1095"/>
      <c r="O417" s="1095"/>
      <c r="P417" s="1095"/>
      <c r="Q417" s="1095"/>
      <c r="R417" s="1095"/>
      <c r="S417" s="1095"/>
      <c r="T417" s="1095"/>
      <c r="U417" s="1095"/>
      <c r="V417" s="1095"/>
      <c r="W417" s="1095"/>
      <c r="X417" s="1095"/>
      <c r="Y417" s="1095"/>
      <c r="Z417" s="1095"/>
      <c r="AA417" s="1095"/>
      <c r="AB417" s="1095"/>
    </row>
    <row r="418">
      <c r="A418" s="1095"/>
      <c r="B418" s="1095"/>
      <c r="C418" s="1095"/>
      <c r="D418" s="1095"/>
      <c r="E418" s="1095"/>
      <c r="F418" s="1095"/>
      <c r="G418" s="1095"/>
      <c r="H418" s="1095"/>
      <c r="I418" s="1095"/>
      <c r="J418" s="1095"/>
      <c r="K418" s="1095"/>
      <c r="L418" s="1095"/>
      <c r="M418" s="1095"/>
      <c r="N418" s="1095"/>
      <c r="O418" s="1095"/>
      <c r="P418" s="1095"/>
      <c r="Q418" s="1095"/>
      <c r="R418" s="1095"/>
      <c r="S418" s="1095"/>
      <c r="T418" s="1095"/>
      <c r="U418" s="1095"/>
      <c r="V418" s="1095"/>
      <c r="W418" s="1095"/>
      <c r="X418" s="1095"/>
      <c r="Y418" s="1095"/>
      <c r="Z418" s="1095"/>
      <c r="AA418" s="1095"/>
      <c r="AB418" s="1095"/>
    </row>
    <row r="419">
      <c r="A419" s="1095"/>
      <c r="B419" s="1095"/>
      <c r="C419" s="1095"/>
      <c r="D419" s="1095"/>
      <c r="E419" s="1095"/>
      <c r="F419" s="1095"/>
      <c r="G419" s="1095"/>
      <c r="H419" s="1095"/>
      <c r="I419" s="1095"/>
      <c r="J419" s="1095"/>
      <c r="K419" s="1095"/>
      <c r="L419" s="1095"/>
      <c r="M419" s="1095"/>
      <c r="N419" s="1095"/>
      <c r="O419" s="1095"/>
      <c r="P419" s="1095"/>
      <c r="Q419" s="1095"/>
      <c r="R419" s="1095"/>
      <c r="S419" s="1095"/>
      <c r="T419" s="1095"/>
      <c r="U419" s="1095"/>
      <c r="V419" s="1095"/>
      <c r="W419" s="1095"/>
      <c r="X419" s="1095"/>
      <c r="Y419" s="1095"/>
      <c r="Z419" s="1095"/>
      <c r="AA419" s="1095"/>
      <c r="AB419" s="1095"/>
    </row>
    <row r="420">
      <c r="A420" s="1095"/>
      <c r="B420" s="1095"/>
      <c r="C420" s="1095"/>
      <c r="D420" s="1095"/>
      <c r="E420" s="1095"/>
      <c r="F420" s="1095"/>
      <c r="G420" s="1095"/>
      <c r="H420" s="1095"/>
      <c r="I420" s="1095"/>
      <c r="J420" s="1095"/>
      <c r="K420" s="1095"/>
      <c r="L420" s="1095"/>
      <c r="M420" s="1095"/>
      <c r="N420" s="1095"/>
      <c r="O420" s="1095"/>
      <c r="P420" s="1095"/>
      <c r="Q420" s="1095"/>
      <c r="R420" s="1095"/>
      <c r="S420" s="1095"/>
      <c r="T420" s="1095"/>
      <c r="U420" s="1095"/>
      <c r="V420" s="1095"/>
      <c r="W420" s="1095"/>
      <c r="X420" s="1095"/>
      <c r="Y420" s="1095"/>
      <c r="Z420" s="1095"/>
      <c r="AA420" s="1095"/>
      <c r="AB420" s="1095"/>
    </row>
    <row r="421">
      <c r="A421" s="1095"/>
      <c r="B421" s="1095"/>
      <c r="C421" s="1095"/>
      <c r="D421" s="1095"/>
      <c r="E421" s="1095"/>
      <c r="F421" s="1095"/>
      <c r="G421" s="1095"/>
      <c r="H421" s="1095"/>
      <c r="I421" s="1095"/>
      <c r="J421" s="1095"/>
      <c r="K421" s="1095"/>
      <c r="L421" s="1095"/>
      <c r="M421" s="1095"/>
      <c r="N421" s="1095"/>
      <c r="O421" s="1095"/>
      <c r="P421" s="1095"/>
      <c r="Q421" s="1095"/>
      <c r="R421" s="1095"/>
      <c r="S421" s="1095"/>
      <c r="T421" s="1095"/>
      <c r="U421" s="1095"/>
      <c r="V421" s="1095"/>
      <c r="W421" s="1095"/>
      <c r="X421" s="1095"/>
      <c r="Y421" s="1095"/>
      <c r="Z421" s="1095"/>
      <c r="AA421" s="1095"/>
      <c r="AB421" s="1095"/>
    </row>
    <row r="422">
      <c r="A422" s="1095"/>
      <c r="B422" s="1095"/>
      <c r="C422" s="1095"/>
      <c r="D422" s="1095"/>
      <c r="E422" s="1095"/>
      <c r="F422" s="1095"/>
      <c r="G422" s="1095"/>
      <c r="H422" s="1095"/>
      <c r="I422" s="1095"/>
      <c r="J422" s="1095"/>
      <c r="K422" s="1095"/>
      <c r="L422" s="1095"/>
      <c r="M422" s="1095"/>
      <c r="N422" s="1095"/>
      <c r="O422" s="1095"/>
      <c r="P422" s="1095"/>
      <c r="Q422" s="1095"/>
      <c r="R422" s="1095"/>
      <c r="S422" s="1095"/>
      <c r="T422" s="1095"/>
      <c r="U422" s="1095"/>
      <c r="V422" s="1095"/>
      <c r="W422" s="1095"/>
      <c r="X422" s="1095"/>
      <c r="Y422" s="1095"/>
      <c r="Z422" s="1095"/>
      <c r="AA422" s="1095"/>
      <c r="AB422" s="1095"/>
    </row>
    <row r="423">
      <c r="A423" s="1095"/>
      <c r="B423" s="1095"/>
      <c r="C423" s="1095"/>
      <c r="D423" s="1095"/>
      <c r="E423" s="1095"/>
      <c r="F423" s="1095"/>
      <c r="G423" s="1095"/>
      <c r="H423" s="1095"/>
      <c r="I423" s="1095"/>
      <c r="J423" s="1095"/>
      <c r="K423" s="1095"/>
      <c r="L423" s="1095"/>
      <c r="M423" s="1095"/>
      <c r="N423" s="1095"/>
      <c r="O423" s="1095"/>
      <c r="P423" s="1095"/>
      <c r="Q423" s="1095"/>
      <c r="R423" s="1095"/>
      <c r="S423" s="1095"/>
      <c r="T423" s="1095"/>
      <c r="U423" s="1095"/>
      <c r="V423" s="1095"/>
      <c r="W423" s="1095"/>
      <c r="X423" s="1095"/>
      <c r="Y423" s="1095"/>
      <c r="Z423" s="1095"/>
      <c r="AA423" s="1095"/>
      <c r="AB423" s="1095"/>
    </row>
    <row r="424">
      <c r="A424" s="1095"/>
      <c r="B424" s="1095"/>
      <c r="C424" s="1095"/>
      <c r="D424" s="1095"/>
      <c r="E424" s="1095"/>
      <c r="F424" s="1095"/>
      <c r="G424" s="1095"/>
      <c r="H424" s="1095"/>
      <c r="I424" s="1095"/>
      <c r="J424" s="1095"/>
      <c r="K424" s="1095"/>
      <c r="L424" s="1095"/>
      <c r="M424" s="1095"/>
      <c r="N424" s="1095"/>
      <c r="O424" s="1095"/>
      <c r="P424" s="1095"/>
      <c r="Q424" s="1095"/>
      <c r="R424" s="1095"/>
      <c r="S424" s="1095"/>
      <c r="T424" s="1095"/>
      <c r="U424" s="1095"/>
      <c r="V424" s="1095"/>
      <c r="W424" s="1095"/>
      <c r="X424" s="1095"/>
      <c r="Y424" s="1095"/>
      <c r="Z424" s="1095"/>
      <c r="AA424" s="1095"/>
      <c r="AB424" s="1095"/>
    </row>
    <row r="425">
      <c r="A425" s="1095"/>
      <c r="B425" s="1095"/>
      <c r="C425" s="1095"/>
      <c r="D425" s="1095"/>
      <c r="E425" s="1095"/>
      <c r="F425" s="1095"/>
      <c r="G425" s="1095"/>
      <c r="H425" s="1095"/>
      <c r="I425" s="1095"/>
      <c r="J425" s="1095"/>
      <c r="K425" s="1095"/>
      <c r="L425" s="1095"/>
      <c r="M425" s="1095"/>
      <c r="N425" s="1095"/>
      <c r="O425" s="1095"/>
      <c r="P425" s="1095"/>
      <c r="Q425" s="1095"/>
      <c r="R425" s="1095"/>
      <c r="S425" s="1095"/>
      <c r="T425" s="1095"/>
      <c r="U425" s="1095"/>
      <c r="V425" s="1095"/>
      <c r="W425" s="1095"/>
      <c r="X425" s="1095"/>
      <c r="Y425" s="1095"/>
      <c r="Z425" s="1095"/>
      <c r="AA425" s="1095"/>
      <c r="AB425" s="1095"/>
    </row>
    <row r="426">
      <c r="A426" s="1095"/>
      <c r="B426" s="1095"/>
      <c r="C426" s="1095"/>
      <c r="D426" s="1095"/>
      <c r="E426" s="1095"/>
      <c r="F426" s="1095"/>
      <c r="G426" s="1095"/>
      <c r="H426" s="1095"/>
      <c r="I426" s="1095"/>
      <c r="J426" s="1095"/>
      <c r="K426" s="1095"/>
      <c r="L426" s="1095"/>
      <c r="M426" s="1095"/>
      <c r="N426" s="1095"/>
      <c r="O426" s="1095"/>
      <c r="P426" s="1095"/>
      <c r="Q426" s="1095"/>
      <c r="R426" s="1095"/>
      <c r="S426" s="1095"/>
      <c r="T426" s="1095"/>
      <c r="U426" s="1095"/>
      <c r="V426" s="1095"/>
      <c r="W426" s="1095"/>
      <c r="X426" s="1095"/>
      <c r="Y426" s="1095"/>
      <c r="Z426" s="1095"/>
      <c r="AA426" s="1095"/>
      <c r="AB426" s="1095"/>
    </row>
    <row r="427">
      <c r="A427" s="1095"/>
      <c r="B427" s="1095"/>
      <c r="C427" s="1095"/>
      <c r="D427" s="1095"/>
      <c r="E427" s="1095"/>
      <c r="F427" s="1095"/>
      <c r="G427" s="1095"/>
      <c r="H427" s="1095"/>
      <c r="I427" s="1095"/>
      <c r="J427" s="1095"/>
      <c r="K427" s="1095"/>
      <c r="L427" s="1095"/>
      <c r="M427" s="1095"/>
      <c r="N427" s="1095"/>
      <c r="O427" s="1095"/>
      <c r="P427" s="1095"/>
      <c r="Q427" s="1095"/>
      <c r="R427" s="1095"/>
      <c r="S427" s="1095"/>
      <c r="T427" s="1095"/>
      <c r="U427" s="1095"/>
      <c r="V427" s="1095"/>
      <c r="W427" s="1095"/>
      <c r="X427" s="1095"/>
      <c r="Y427" s="1095"/>
      <c r="Z427" s="1095"/>
      <c r="AA427" s="1095"/>
      <c r="AB427" s="1095"/>
    </row>
    <row r="428">
      <c r="A428" s="1095"/>
      <c r="B428" s="1095"/>
      <c r="C428" s="1095"/>
      <c r="D428" s="1095"/>
      <c r="E428" s="1095"/>
      <c r="F428" s="1095"/>
      <c r="G428" s="1095"/>
      <c r="H428" s="1095"/>
      <c r="I428" s="1095"/>
      <c r="J428" s="1095"/>
      <c r="K428" s="1095"/>
      <c r="L428" s="1095"/>
      <c r="M428" s="1095"/>
      <c r="N428" s="1095"/>
      <c r="O428" s="1095"/>
      <c r="P428" s="1095"/>
      <c r="Q428" s="1095"/>
      <c r="R428" s="1095"/>
      <c r="S428" s="1095"/>
      <c r="T428" s="1095"/>
      <c r="U428" s="1095"/>
      <c r="V428" s="1095"/>
      <c r="W428" s="1095"/>
      <c r="X428" s="1095"/>
      <c r="Y428" s="1095"/>
      <c r="Z428" s="1095"/>
      <c r="AA428" s="1095"/>
      <c r="AB428" s="1095"/>
    </row>
    <row r="429">
      <c r="A429" s="1095"/>
      <c r="B429" s="1095"/>
      <c r="C429" s="1095"/>
      <c r="D429" s="1095"/>
      <c r="E429" s="1095"/>
      <c r="F429" s="1095"/>
      <c r="G429" s="1095"/>
      <c r="H429" s="1095"/>
      <c r="I429" s="1095"/>
      <c r="J429" s="1095"/>
      <c r="K429" s="1095"/>
      <c r="L429" s="1095"/>
      <c r="M429" s="1095"/>
      <c r="N429" s="1095"/>
      <c r="O429" s="1095"/>
      <c r="P429" s="1095"/>
      <c r="Q429" s="1095"/>
      <c r="R429" s="1095"/>
      <c r="S429" s="1095"/>
      <c r="T429" s="1095"/>
      <c r="U429" s="1095"/>
      <c r="V429" s="1095"/>
      <c r="W429" s="1095"/>
      <c r="X429" s="1095"/>
      <c r="Y429" s="1095"/>
      <c r="Z429" s="1095"/>
      <c r="AA429" s="1095"/>
      <c r="AB429" s="1095"/>
    </row>
    <row r="430">
      <c r="A430" s="1095"/>
      <c r="B430" s="1095"/>
      <c r="C430" s="1095"/>
      <c r="D430" s="1095"/>
      <c r="E430" s="1095"/>
      <c r="F430" s="1095"/>
      <c r="G430" s="1095"/>
      <c r="H430" s="1095"/>
      <c r="I430" s="1095"/>
      <c r="J430" s="1095"/>
      <c r="K430" s="1095"/>
      <c r="L430" s="1095"/>
      <c r="M430" s="1095"/>
      <c r="N430" s="1095"/>
      <c r="O430" s="1095"/>
      <c r="P430" s="1095"/>
      <c r="Q430" s="1095"/>
      <c r="R430" s="1095"/>
      <c r="S430" s="1095"/>
      <c r="T430" s="1095"/>
      <c r="U430" s="1095"/>
      <c r="V430" s="1095"/>
      <c r="W430" s="1095"/>
      <c r="X430" s="1095"/>
      <c r="Y430" s="1095"/>
      <c r="Z430" s="1095"/>
      <c r="AA430" s="1095"/>
      <c r="AB430" s="1095"/>
    </row>
    <row r="431">
      <c r="A431" s="1095"/>
      <c r="B431" s="1095"/>
      <c r="C431" s="1095"/>
      <c r="D431" s="1095"/>
      <c r="E431" s="1095"/>
      <c r="F431" s="1095"/>
      <c r="G431" s="1095"/>
      <c r="H431" s="1095"/>
      <c r="I431" s="1095"/>
      <c r="J431" s="1095"/>
      <c r="K431" s="1095"/>
      <c r="L431" s="1095"/>
      <c r="M431" s="1095"/>
      <c r="N431" s="1095"/>
      <c r="O431" s="1095"/>
      <c r="P431" s="1095"/>
      <c r="Q431" s="1095"/>
      <c r="R431" s="1095"/>
      <c r="S431" s="1095"/>
      <c r="T431" s="1095"/>
      <c r="U431" s="1095"/>
      <c r="V431" s="1095"/>
      <c r="W431" s="1095"/>
      <c r="X431" s="1095"/>
      <c r="Y431" s="1095"/>
      <c r="Z431" s="1095"/>
      <c r="AA431" s="1095"/>
      <c r="AB431" s="1095"/>
    </row>
    <row r="432">
      <c r="A432" s="1095"/>
      <c r="B432" s="1095"/>
      <c r="C432" s="1095"/>
      <c r="D432" s="1095"/>
      <c r="E432" s="1095"/>
      <c r="F432" s="1095"/>
      <c r="G432" s="1095"/>
      <c r="H432" s="1095"/>
      <c r="I432" s="1095"/>
      <c r="J432" s="1095"/>
      <c r="K432" s="1095"/>
      <c r="L432" s="1095"/>
      <c r="M432" s="1095"/>
      <c r="N432" s="1095"/>
      <c r="O432" s="1095"/>
      <c r="P432" s="1095"/>
      <c r="Q432" s="1095"/>
      <c r="R432" s="1095"/>
      <c r="S432" s="1095"/>
      <c r="T432" s="1095"/>
      <c r="U432" s="1095"/>
      <c r="V432" s="1095"/>
      <c r="W432" s="1095"/>
      <c r="X432" s="1095"/>
      <c r="Y432" s="1095"/>
      <c r="Z432" s="1095"/>
      <c r="AA432" s="1095"/>
      <c r="AB432" s="1095"/>
    </row>
    <row r="433">
      <c r="A433" s="1095"/>
      <c r="B433" s="1095"/>
      <c r="C433" s="1095"/>
      <c r="D433" s="1095"/>
      <c r="E433" s="1095"/>
      <c r="F433" s="1095"/>
      <c r="G433" s="1095"/>
      <c r="H433" s="1095"/>
      <c r="I433" s="1095"/>
      <c r="J433" s="1095"/>
      <c r="K433" s="1095"/>
      <c r="L433" s="1095"/>
      <c r="M433" s="1095"/>
      <c r="N433" s="1095"/>
      <c r="O433" s="1095"/>
      <c r="P433" s="1095"/>
      <c r="Q433" s="1095"/>
      <c r="R433" s="1095"/>
      <c r="S433" s="1095"/>
      <c r="T433" s="1095"/>
      <c r="U433" s="1095"/>
      <c r="V433" s="1095"/>
      <c r="W433" s="1095"/>
      <c r="X433" s="1095"/>
      <c r="Y433" s="1095"/>
      <c r="Z433" s="1095"/>
      <c r="AA433" s="1095"/>
      <c r="AB433" s="1095"/>
    </row>
    <row r="434">
      <c r="A434" s="1095"/>
      <c r="B434" s="1095"/>
      <c r="C434" s="1095"/>
      <c r="D434" s="1095"/>
      <c r="E434" s="1095"/>
      <c r="F434" s="1095"/>
      <c r="G434" s="1095"/>
      <c r="H434" s="1095"/>
      <c r="I434" s="1095"/>
      <c r="J434" s="1095"/>
      <c r="K434" s="1095"/>
      <c r="L434" s="1095"/>
      <c r="M434" s="1095"/>
      <c r="N434" s="1095"/>
      <c r="O434" s="1095"/>
      <c r="P434" s="1095"/>
      <c r="Q434" s="1095"/>
      <c r="R434" s="1095"/>
      <c r="S434" s="1095"/>
      <c r="T434" s="1095"/>
      <c r="U434" s="1095"/>
      <c r="V434" s="1095"/>
      <c r="W434" s="1095"/>
      <c r="X434" s="1095"/>
      <c r="Y434" s="1095"/>
      <c r="Z434" s="1095"/>
      <c r="AA434" s="1095"/>
      <c r="AB434" s="1095"/>
    </row>
    <row r="435">
      <c r="A435" s="1095"/>
      <c r="B435" s="1095"/>
      <c r="C435" s="1095"/>
      <c r="D435" s="1095"/>
      <c r="E435" s="1095"/>
      <c r="F435" s="1095"/>
      <c r="G435" s="1095"/>
      <c r="H435" s="1095"/>
      <c r="I435" s="1095"/>
      <c r="J435" s="1095"/>
      <c r="K435" s="1095"/>
      <c r="L435" s="1095"/>
      <c r="M435" s="1095"/>
      <c r="N435" s="1095"/>
      <c r="O435" s="1095"/>
      <c r="P435" s="1095"/>
      <c r="Q435" s="1095"/>
      <c r="R435" s="1095"/>
      <c r="S435" s="1095"/>
      <c r="T435" s="1095"/>
      <c r="U435" s="1095"/>
      <c r="V435" s="1095"/>
      <c r="W435" s="1095"/>
      <c r="X435" s="1095"/>
      <c r="Y435" s="1095"/>
      <c r="Z435" s="1095"/>
      <c r="AA435" s="1095"/>
      <c r="AB435" s="1095"/>
    </row>
    <row r="436">
      <c r="A436" s="1095"/>
      <c r="B436" s="1095"/>
      <c r="C436" s="1095"/>
      <c r="D436" s="1095"/>
      <c r="E436" s="1095"/>
      <c r="F436" s="1095"/>
      <c r="G436" s="1095"/>
      <c r="H436" s="1095"/>
      <c r="I436" s="1095"/>
      <c r="J436" s="1095"/>
      <c r="K436" s="1095"/>
      <c r="L436" s="1095"/>
      <c r="M436" s="1095"/>
      <c r="N436" s="1095"/>
      <c r="O436" s="1095"/>
      <c r="P436" s="1095"/>
      <c r="Q436" s="1095"/>
      <c r="R436" s="1095"/>
      <c r="S436" s="1095"/>
      <c r="T436" s="1095"/>
      <c r="U436" s="1095"/>
      <c r="V436" s="1095"/>
      <c r="W436" s="1095"/>
      <c r="X436" s="1095"/>
      <c r="Y436" s="1095"/>
      <c r="Z436" s="1095"/>
      <c r="AA436" s="1095"/>
      <c r="AB436" s="1095"/>
    </row>
    <row r="437">
      <c r="A437" s="1095"/>
      <c r="B437" s="1095"/>
      <c r="C437" s="1095"/>
      <c r="D437" s="1095"/>
      <c r="E437" s="1095"/>
      <c r="F437" s="1095"/>
      <c r="G437" s="1095"/>
      <c r="H437" s="1095"/>
      <c r="I437" s="1095"/>
      <c r="J437" s="1095"/>
      <c r="K437" s="1095"/>
      <c r="L437" s="1095"/>
      <c r="M437" s="1095"/>
      <c r="N437" s="1095"/>
      <c r="O437" s="1095"/>
      <c r="P437" s="1095"/>
      <c r="Q437" s="1095"/>
      <c r="R437" s="1095"/>
      <c r="S437" s="1095"/>
      <c r="T437" s="1095"/>
      <c r="U437" s="1095"/>
      <c r="V437" s="1095"/>
      <c r="W437" s="1095"/>
      <c r="X437" s="1095"/>
      <c r="Y437" s="1095"/>
      <c r="Z437" s="1095"/>
      <c r="AA437" s="1095"/>
      <c r="AB437" s="1095"/>
    </row>
    <row r="438">
      <c r="A438" s="1095"/>
      <c r="B438" s="1095"/>
      <c r="C438" s="1095"/>
      <c r="D438" s="1095"/>
      <c r="E438" s="1095"/>
      <c r="F438" s="1095"/>
      <c r="G438" s="1095"/>
      <c r="H438" s="1095"/>
      <c r="I438" s="1095"/>
      <c r="J438" s="1095"/>
      <c r="K438" s="1095"/>
      <c r="L438" s="1095"/>
      <c r="M438" s="1095"/>
      <c r="N438" s="1095"/>
      <c r="O438" s="1095"/>
      <c r="P438" s="1095"/>
      <c r="Q438" s="1095"/>
      <c r="R438" s="1095"/>
      <c r="S438" s="1095"/>
      <c r="T438" s="1095"/>
      <c r="U438" s="1095"/>
      <c r="V438" s="1095"/>
      <c r="W438" s="1095"/>
      <c r="X438" s="1095"/>
      <c r="Y438" s="1095"/>
      <c r="Z438" s="1095"/>
      <c r="AA438" s="1095"/>
      <c r="AB438" s="1095"/>
    </row>
    <row r="439">
      <c r="A439" s="1095"/>
      <c r="B439" s="1095"/>
      <c r="C439" s="1095"/>
      <c r="D439" s="1095"/>
      <c r="E439" s="1095"/>
      <c r="F439" s="1095"/>
      <c r="G439" s="1095"/>
      <c r="H439" s="1095"/>
      <c r="I439" s="1095"/>
      <c r="J439" s="1095"/>
      <c r="K439" s="1095"/>
      <c r="L439" s="1095"/>
      <c r="M439" s="1095"/>
      <c r="N439" s="1095"/>
      <c r="O439" s="1095"/>
      <c r="P439" s="1095"/>
      <c r="Q439" s="1095"/>
      <c r="R439" s="1095"/>
      <c r="S439" s="1095"/>
      <c r="T439" s="1095"/>
      <c r="U439" s="1095"/>
      <c r="V439" s="1095"/>
      <c r="W439" s="1095"/>
      <c r="X439" s="1095"/>
      <c r="Y439" s="1095"/>
      <c r="Z439" s="1095"/>
      <c r="AA439" s="1095"/>
      <c r="AB439" s="1095"/>
    </row>
    <row r="440">
      <c r="A440" s="1095"/>
      <c r="B440" s="1095"/>
      <c r="C440" s="1095"/>
      <c r="D440" s="1095"/>
      <c r="E440" s="1095"/>
      <c r="F440" s="1095"/>
      <c r="G440" s="1095"/>
      <c r="H440" s="1095"/>
      <c r="I440" s="1095"/>
      <c r="J440" s="1095"/>
      <c r="K440" s="1095"/>
      <c r="L440" s="1095"/>
      <c r="M440" s="1095"/>
      <c r="N440" s="1095"/>
      <c r="O440" s="1095"/>
      <c r="P440" s="1095"/>
      <c r="Q440" s="1095"/>
      <c r="R440" s="1095"/>
      <c r="S440" s="1095"/>
      <c r="T440" s="1095"/>
      <c r="U440" s="1095"/>
      <c r="V440" s="1095"/>
      <c r="W440" s="1095"/>
      <c r="X440" s="1095"/>
      <c r="Y440" s="1095"/>
      <c r="Z440" s="1095"/>
      <c r="AA440" s="1095"/>
      <c r="AB440" s="1095"/>
    </row>
    <row r="441">
      <c r="A441" s="1095"/>
      <c r="B441" s="1095"/>
      <c r="C441" s="1095"/>
      <c r="D441" s="1095"/>
      <c r="E441" s="1095"/>
      <c r="F441" s="1095"/>
      <c r="G441" s="1095"/>
      <c r="H441" s="1095"/>
      <c r="I441" s="1095"/>
      <c r="J441" s="1095"/>
      <c r="K441" s="1095"/>
      <c r="L441" s="1095"/>
      <c r="M441" s="1095"/>
      <c r="N441" s="1095"/>
      <c r="O441" s="1095"/>
      <c r="P441" s="1095"/>
      <c r="Q441" s="1095"/>
      <c r="R441" s="1095"/>
      <c r="S441" s="1095"/>
      <c r="T441" s="1095"/>
      <c r="U441" s="1095"/>
      <c r="V441" s="1095"/>
      <c r="W441" s="1095"/>
      <c r="X441" s="1095"/>
      <c r="Y441" s="1095"/>
      <c r="Z441" s="1095"/>
      <c r="AA441" s="1095"/>
      <c r="AB441" s="1095"/>
    </row>
    <row r="442">
      <c r="A442" s="1095"/>
      <c r="B442" s="1095"/>
      <c r="C442" s="1095"/>
      <c r="D442" s="1095"/>
      <c r="E442" s="1095"/>
      <c r="F442" s="1095"/>
      <c r="G442" s="1095"/>
      <c r="H442" s="1095"/>
      <c r="I442" s="1095"/>
      <c r="J442" s="1095"/>
      <c r="K442" s="1095"/>
      <c r="L442" s="1095"/>
      <c r="M442" s="1095"/>
      <c r="N442" s="1095"/>
      <c r="O442" s="1095"/>
      <c r="P442" s="1095"/>
      <c r="Q442" s="1095"/>
      <c r="R442" s="1095"/>
      <c r="S442" s="1095"/>
      <c r="T442" s="1095"/>
      <c r="U442" s="1095"/>
      <c r="V442" s="1095"/>
      <c r="W442" s="1095"/>
      <c r="X442" s="1095"/>
      <c r="Y442" s="1095"/>
      <c r="Z442" s="1095"/>
      <c r="AA442" s="1095"/>
      <c r="AB442" s="1095"/>
    </row>
    <row r="443">
      <c r="A443" s="1095"/>
      <c r="B443" s="1095"/>
      <c r="C443" s="1095"/>
      <c r="D443" s="1095"/>
      <c r="E443" s="1095"/>
      <c r="F443" s="1095"/>
      <c r="G443" s="1095"/>
      <c r="H443" s="1095"/>
      <c r="I443" s="1095"/>
      <c r="J443" s="1095"/>
      <c r="K443" s="1095"/>
      <c r="L443" s="1095"/>
      <c r="M443" s="1095"/>
      <c r="N443" s="1095"/>
      <c r="O443" s="1095"/>
      <c r="P443" s="1095"/>
      <c r="Q443" s="1095"/>
      <c r="R443" s="1095"/>
      <c r="S443" s="1095"/>
      <c r="T443" s="1095"/>
      <c r="U443" s="1095"/>
      <c r="V443" s="1095"/>
      <c r="W443" s="1095"/>
      <c r="X443" s="1095"/>
      <c r="Y443" s="1095"/>
      <c r="Z443" s="1095"/>
      <c r="AA443" s="1095"/>
      <c r="AB443" s="1095"/>
    </row>
    <row r="444">
      <c r="A444" s="1095"/>
      <c r="B444" s="1095"/>
      <c r="C444" s="1095"/>
      <c r="D444" s="1095"/>
      <c r="E444" s="1095"/>
      <c r="F444" s="1095"/>
      <c r="G444" s="1095"/>
      <c r="H444" s="1095"/>
      <c r="I444" s="1095"/>
      <c r="J444" s="1095"/>
      <c r="K444" s="1095"/>
      <c r="L444" s="1095"/>
      <c r="M444" s="1095"/>
      <c r="N444" s="1095"/>
      <c r="O444" s="1095"/>
      <c r="P444" s="1095"/>
      <c r="Q444" s="1095"/>
      <c r="R444" s="1095"/>
      <c r="S444" s="1095"/>
      <c r="T444" s="1095"/>
      <c r="U444" s="1095"/>
      <c r="V444" s="1095"/>
      <c r="W444" s="1095"/>
      <c r="X444" s="1095"/>
      <c r="Y444" s="1095"/>
      <c r="Z444" s="1095"/>
      <c r="AA444" s="1095"/>
      <c r="AB444" s="1095"/>
    </row>
    <row r="445">
      <c r="A445" s="1095"/>
      <c r="B445" s="1095"/>
      <c r="C445" s="1095"/>
      <c r="D445" s="1095"/>
      <c r="E445" s="1095"/>
      <c r="F445" s="1095"/>
      <c r="G445" s="1095"/>
      <c r="H445" s="1095"/>
      <c r="I445" s="1095"/>
      <c r="J445" s="1095"/>
      <c r="K445" s="1095"/>
      <c r="L445" s="1095"/>
      <c r="M445" s="1095"/>
      <c r="N445" s="1095"/>
      <c r="O445" s="1095"/>
      <c r="P445" s="1095"/>
      <c r="Q445" s="1095"/>
      <c r="R445" s="1095"/>
      <c r="S445" s="1095"/>
      <c r="T445" s="1095"/>
      <c r="U445" s="1095"/>
      <c r="V445" s="1095"/>
      <c r="W445" s="1095"/>
      <c r="X445" s="1095"/>
      <c r="Y445" s="1095"/>
      <c r="Z445" s="1095"/>
      <c r="AA445" s="1095"/>
      <c r="AB445" s="1095"/>
    </row>
    <row r="446">
      <c r="A446" s="1095"/>
      <c r="B446" s="1095"/>
      <c r="C446" s="1095"/>
      <c r="D446" s="1095"/>
      <c r="E446" s="1095"/>
      <c r="F446" s="1095"/>
      <c r="G446" s="1095"/>
      <c r="H446" s="1095"/>
      <c r="I446" s="1095"/>
      <c r="J446" s="1095"/>
      <c r="K446" s="1095"/>
      <c r="L446" s="1095"/>
      <c r="M446" s="1095"/>
      <c r="N446" s="1095"/>
      <c r="O446" s="1095"/>
      <c r="P446" s="1095"/>
      <c r="Q446" s="1095"/>
      <c r="R446" s="1095"/>
      <c r="S446" s="1095"/>
      <c r="T446" s="1095"/>
      <c r="U446" s="1095"/>
      <c r="V446" s="1095"/>
      <c r="W446" s="1095"/>
      <c r="X446" s="1095"/>
      <c r="Y446" s="1095"/>
      <c r="Z446" s="1095"/>
      <c r="AA446" s="1095"/>
      <c r="AB446" s="1095"/>
    </row>
    <row r="447">
      <c r="A447" s="1095"/>
      <c r="B447" s="1095"/>
      <c r="C447" s="1095"/>
      <c r="D447" s="1095"/>
      <c r="E447" s="1095"/>
      <c r="F447" s="1095"/>
      <c r="G447" s="1095"/>
      <c r="H447" s="1095"/>
      <c r="I447" s="1095"/>
      <c r="J447" s="1095"/>
      <c r="K447" s="1095"/>
      <c r="L447" s="1095"/>
      <c r="M447" s="1095"/>
      <c r="N447" s="1095"/>
      <c r="O447" s="1095"/>
      <c r="P447" s="1095"/>
      <c r="Q447" s="1095"/>
      <c r="R447" s="1095"/>
      <c r="S447" s="1095"/>
      <c r="T447" s="1095"/>
      <c r="U447" s="1095"/>
      <c r="V447" s="1095"/>
      <c r="W447" s="1095"/>
      <c r="X447" s="1095"/>
      <c r="Y447" s="1095"/>
      <c r="Z447" s="1095"/>
      <c r="AA447" s="1095"/>
      <c r="AB447" s="1095"/>
    </row>
    <row r="448">
      <c r="A448" s="1095"/>
      <c r="B448" s="1095"/>
      <c r="C448" s="1095"/>
      <c r="D448" s="1095"/>
      <c r="E448" s="1095"/>
      <c r="F448" s="1095"/>
      <c r="G448" s="1095"/>
      <c r="H448" s="1095"/>
      <c r="I448" s="1095"/>
      <c r="J448" s="1095"/>
      <c r="K448" s="1095"/>
      <c r="L448" s="1095"/>
      <c r="M448" s="1095"/>
      <c r="N448" s="1095"/>
      <c r="O448" s="1095"/>
      <c r="P448" s="1095"/>
      <c r="Q448" s="1095"/>
      <c r="R448" s="1095"/>
      <c r="S448" s="1095"/>
      <c r="T448" s="1095"/>
      <c r="U448" s="1095"/>
      <c r="V448" s="1095"/>
      <c r="W448" s="1095"/>
      <c r="X448" s="1095"/>
      <c r="Y448" s="1095"/>
      <c r="Z448" s="1095"/>
      <c r="AA448" s="1095"/>
      <c r="AB448" s="1095"/>
    </row>
    <row r="449">
      <c r="A449" s="1095"/>
      <c r="B449" s="1095"/>
      <c r="C449" s="1095"/>
      <c r="D449" s="1095"/>
      <c r="E449" s="1095"/>
      <c r="F449" s="1095"/>
      <c r="G449" s="1095"/>
      <c r="H449" s="1095"/>
      <c r="I449" s="1095"/>
      <c r="J449" s="1095"/>
      <c r="K449" s="1095"/>
      <c r="L449" s="1095"/>
      <c r="M449" s="1095"/>
      <c r="N449" s="1095"/>
      <c r="O449" s="1095"/>
      <c r="P449" s="1095"/>
      <c r="Q449" s="1095"/>
      <c r="R449" s="1095"/>
      <c r="S449" s="1095"/>
      <c r="T449" s="1095"/>
      <c r="U449" s="1095"/>
      <c r="V449" s="1095"/>
      <c r="W449" s="1095"/>
      <c r="X449" s="1095"/>
      <c r="Y449" s="1095"/>
      <c r="Z449" s="1095"/>
      <c r="AA449" s="1095"/>
      <c r="AB449" s="1095"/>
    </row>
    <row r="450">
      <c r="A450" s="1095"/>
      <c r="B450" s="1095"/>
      <c r="C450" s="1095"/>
      <c r="D450" s="1095"/>
      <c r="E450" s="1095"/>
      <c r="F450" s="1095"/>
      <c r="G450" s="1095"/>
      <c r="H450" s="1095"/>
      <c r="I450" s="1095"/>
      <c r="J450" s="1095"/>
      <c r="K450" s="1095"/>
      <c r="L450" s="1095"/>
      <c r="M450" s="1095"/>
      <c r="N450" s="1095"/>
      <c r="O450" s="1095"/>
      <c r="P450" s="1095"/>
      <c r="Q450" s="1095"/>
      <c r="R450" s="1095"/>
      <c r="S450" s="1095"/>
      <c r="T450" s="1095"/>
      <c r="U450" s="1095"/>
      <c r="V450" s="1095"/>
      <c r="W450" s="1095"/>
      <c r="X450" s="1095"/>
      <c r="Y450" s="1095"/>
      <c r="Z450" s="1095"/>
      <c r="AA450" s="1095"/>
      <c r="AB450" s="1095"/>
    </row>
    <row r="451">
      <c r="A451" s="1095"/>
      <c r="B451" s="1095"/>
      <c r="C451" s="1095"/>
      <c r="D451" s="1095"/>
      <c r="E451" s="1095"/>
      <c r="F451" s="1095"/>
      <c r="G451" s="1095"/>
      <c r="H451" s="1095"/>
      <c r="I451" s="1095"/>
      <c r="J451" s="1095"/>
      <c r="K451" s="1095"/>
      <c r="L451" s="1095"/>
      <c r="M451" s="1095"/>
      <c r="N451" s="1095"/>
      <c r="O451" s="1095"/>
      <c r="P451" s="1095"/>
      <c r="Q451" s="1095"/>
      <c r="R451" s="1095"/>
      <c r="S451" s="1095"/>
      <c r="T451" s="1095"/>
      <c r="U451" s="1095"/>
      <c r="V451" s="1095"/>
      <c r="W451" s="1095"/>
      <c r="X451" s="1095"/>
      <c r="Y451" s="1095"/>
      <c r="Z451" s="1095"/>
      <c r="AA451" s="1095"/>
      <c r="AB451" s="1095"/>
    </row>
    <row r="452">
      <c r="A452" s="1095"/>
      <c r="B452" s="1095"/>
      <c r="C452" s="1095"/>
      <c r="D452" s="1095"/>
      <c r="E452" s="1095"/>
      <c r="F452" s="1095"/>
      <c r="G452" s="1095"/>
      <c r="H452" s="1095"/>
      <c r="I452" s="1095"/>
      <c r="J452" s="1095"/>
      <c r="K452" s="1095"/>
      <c r="L452" s="1095"/>
      <c r="M452" s="1095"/>
      <c r="N452" s="1095"/>
      <c r="O452" s="1095"/>
      <c r="P452" s="1095"/>
      <c r="Q452" s="1095"/>
      <c r="R452" s="1095"/>
      <c r="S452" s="1095"/>
      <c r="T452" s="1095"/>
      <c r="U452" s="1095"/>
      <c r="V452" s="1095"/>
      <c r="W452" s="1095"/>
      <c r="X452" s="1095"/>
      <c r="Y452" s="1095"/>
      <c r="Z452" s="1095"/>
      <c r="AA452" s="1095"/>
      <c r="AB452" s="1095"/>
    </row>
    <row r="453">
      <c r="A453" s="1095"/>
      <c r="B453" s="1095"/>
      <c r="C453" s="1095"/>
      <c r="D453" s="1095"/>
      <c r="E453" s="1095"/>
      <c r="F453" s="1095"/>
      <c r="G453" s="1095"/>
      <c r="H453" s="1095"/>
      <c r="I453" s="1095"/>
      <c r="J453" s="1095"/>
      <c r="K453" s="1095"/>
      <c r="L453" s="1095"/>
      <c r="M453" s="1095"/>
      <c r="N453" s="1095"/>
      <c r="O453" s="1095"/>
      <c r="P453" s="1095"/>
      <c r="Q453" s="1095"/>
      <c r="R453" s="1095"/>
      <c r="S453" s="1095"/>
      <c r="T453" s="1095"/>
      <c r="U453" s="1095"/>
      <c r="V453" s="1095"/>
      <c r="W453" s="1095"/>
      <c r="X453" s="1095"/>
      <c r="Y453" s="1095"/>
      <c r="Z453" s="1095"/>
      <c r="AA453" s="1095"/>
      <c r="AB453" s="1095"/>
    </row>
    <row r="454">
      <c r="A454" s="1095"/>
      <c r="B454" s="1095"/>
      <c r="C454" s="1095"/>
      <c r="D454" s="1095"/>
      <c r="E454" s="1095"/>
      <c r="F454" s="1095"/>
      <c r="G454" s="1095"/>
      <c r="H454" s="1095"/>
      <c r="I454" s="1095"/>
      <c r="J454" s="1095"/>
      <c r="K454" s="1095"/>
      <c r="L454" s="1095"/>
      <c r="M454" s="1095"/>
      <c r="N454" s="1095"/>
      <c r="O454" s="1095"/>
      <c r="P454" s="1095"/>
      <c r="Q454" s="1095"/>
      <c r="R454" s="1095"/>
      <c r="S454" s="1095"/>
      <c r="T454" s="1095"/>
      <c r="U454" s="1095"/>
      <c r="V454" s="1095"/>
      <c r="W454" s="1095"/>
      <c r="X454" s="1095"/>
      <c r="Y454" s="1095"/>
      <c r="Z454" s="1095"/>
      <c r="AA454" s="1095"/>
      <c r="AB454" s="1095"/>
    </row>
    <row r="455">
      <c r="A455" s="1095"/>
      <c r="B455" s="1095"/>
      <c r="C455" s="1095"/>
      <c r="D455" s="1095"/>
      <c r="E455" s="1095"/>
      <c r="F455" s="1095"/>
      <c r="G455" s="1095"/>
      <c r="H455" s="1095"/>
      <c r="I455" s="1095"/>
      <c r="J455" s="1095"/>
      <c r="K455" s="1095"/>
      <c r="L455" s="1095"/>
      <c r="M455" s="1095"/>
      <c r="N455" s="1095"/>
      <c r="O455" s="1095"/>
      <c r="P455" s="1095"/>
      <c r="Q455" s="1095"/>
      <c r="R455" s="1095"/>
      <c r="S455" s="1095"/>
      <c r="T455" s="1095"/>
      <c r="U455" s="1095"/>
      <c r="V455" s="1095"/>
      <c r="W455" s="1095"/>
      <c r="X455" s="1095"/>
      <c r="Y455" s="1095"/>
      <c r="Z455" s="1095"/>
      <c r="AA455" s="1095"/>
      <c r="AB455" s="1095"/>
    </row>
    <row r="456">
      <c r="A456" s="1095"/>
      <c r="B456" s="1095"/>
      <c r="C456" s="1095"/>
      <c r="D456" s="1095"/>
      <c r="E456" s="1095"/>
      <c r="F456" s="1095"/>
      <c r="G456" s="1095"/>
      <c r="H456" s="1095"/>
      <c r="I456" s="1095"/>
      <c r="J456" s="1095"/>
      <c r="K456" s="1095"/>
      <c r="L456" s="1095"/>
      <c r="M456" s="1095"/>
      <c r="N456" s="1095"/>
      <c r="O456" s="1095"/>
      <c r="P456" s="1095"/>
      <c r="Q456" s="1095"/>
      <c r="R456" s="1095"/>
      <c r="S456" s="1095"/>
      <c r="T456" s="1095"/>
      <c r="U456" s="1095"/>
      <c r="V456" s="1095"/>
      <c r="W456" s="1095"/>
      <c r="X456" s="1095"/>
      <c r="Y456" s="1095"/>
      <c r="Z456" s="1095"/>
      <c r="AA456" s="1095"/>
      <c r="AB456" s="1095"/>
    </row>
    <row r="457">
      <c r="A457" s="1095"/>
      <c r="B457" s="1095"/>
      <c r="C457" s="1095"/>
      <c r="D457" s="1095"/>
      <c r="E457" s="1095"/>
      <c r="F457" s="1095"/>
      <c r="G457" s="1095"/>
      <c r="H457" s="1095"/>
      <c r="I457" s="1095"/>
      <c r="J457" s="1095"/>
      <c r="K457" s="1095"/>
      <c r="L457" s="1095"/>
      <c r="M457" s="1095"/>
      <c r="N457" s="1095"/>
      <c r="O457" s="1095"/>
      <c r="P457" s="1095"/>
      <c r="Q457" s="1095"/>
      <c r="R457" s="1095"/>
      <c r="S457" s="1095"/>
      <c r="T457" s="1095"/>
      <c r="U457" s="1095"/>
      <c r="V457" s="1095"/>
      <c r="W457" s="1095"/>
      <c r="X457" s="1095"/>
      <c r="Y457" s="1095"/>
      <c r="Z457" s="1095"/>
      <c r="AA457" s="1095"/>
      <c r="AB457" s="1095"/>
    </row>
    <row r="458">
      <c r="A458" s="1095"/>
      <c r="B458" s="1095"/>
      <c r="C458" s="1095"/>
      <c r="D458" s="1095"/>
      <c r="E458" s="1095"/>
      <c r="F458" s="1095"/>
      <c r="G458" s="1095"/>
      <c r="H458" s="1095"/>
      <c r="I458" s="1095"/>
      <c r="J458" s="1095"/>
      <c r="K458" s="1095"/>
      <c r="L458" s="1095"/>
      <c r="M458" s="1095"/>
      <c r="N458" s="1095"/>
      <c r="O458" s="1095"/>
      <c r="P458" s="1095"/>
      <c r="Q458" s="1095"/>
      <c r="R458" s="1095"/>
      <c r="S458" s="1095"/>
      <c r="T458" s="1095"/>
      <c r="U458" s="1095"/>
      <c r="V458" s="1095"/>
      <c r="W458" s="1095"/>
      <c r="X458" s="1095"/>
      <c r="Y458" s="1095"/>
      <c r="Z458" s="1095"/>
      <c r="AA458" s="1095"/>
      <c r="AB458" s="1095"/>
    </row>
    <row r="459">
      <c r="A459" s="1095"/>
      <c r="B459" s="1095"/>
      <c r="C459" s="1095"/>
      <c r="D459" s="1095"/>
      <c r="E459" s="1095"/>
      <c r="F459" s="1095"/>
      <c r="G459" s="1095"/>
      <c r="H459" s="1095"/>
      <c r="I459" s="1095"/>
      <c r="J459" s="1095"/>
      <c r="K459" s="1095"/>
      <c r="L459" s="1095"/>
      <c r="M459" s="1095"/>
      <c r="N459" s="1095"/>
      <c r="O459" s="1095"/>
      <c r="P459" s="1095"/>
      <c r="Q459" s="1095"/>
      <c r="R459" s="1095"/>
      <c r="S459" s="1095"/>
      <c r="T459" s="1095"/>
      <c r="U459" s="1095"/>
      <c r="V459" s="1095"/>
      <c r="W459" s="1095"/>
      <c r="X459" s="1095"/>
      <c r="Y459" s="1095"/>
      <c r="Z459" s="1095"/>
      <c r="AA459" s="1095"/>
      <c r="AB459" s="1095"/>
    </row>
    <row r="460">
      <c r="A460" s="1095"/>
      <c r="B460" s="1095"/>
      <c r="C460" s="1095"/>
      <c r="D460" s="1095"/>
      <c r="E460" s="1095"/>
      <c r="F460" s="1095"/>
      <c r="G460" s="1095"/>
      <c r="H460" s="1095"/>
      <c r="I460" s="1095"/>
      <c r="J460" s="1095"/>
      <c r="K460" s="1095"/>
      <c r="L460" s="1095"/>
      <c r="M460" s="1095"/>
      <c r="N460" s="1095"/>
      <c r="O460" s="1095"/>
      <c r="P460" s="1095"/>
      <c r="Q460" s="1095"/>
      <c r="R460" s="1095"/>
      <c r="S460" s="1095"/>
      <c r="T460" s="1095"/>
      <c r="U460" s="1095"/>
      <c r="V460" s="1095"/>
      <c r="W460" s="1095"/>
      <c r="X460" s="1095"/>
      <c r="Y460" s="1095"/>
      <c r="Z460" s="1095"/>
      <c r="AA460" s="1095"/>
      <c r="AB460" s="1095"/>
    </row>
    <row r="461">
      <c r="A461" s="1095"/>
      <c r="B461" s="1095"/>
      <c r="C461" s="1095"/>
      <c r="D461" s="1095"/>
      <c r="E461" s="1095"/>
      <c r="F461" s="1095"/>
      <c r="G461" s="1095"/>
      <c r="H461" s="1095"/>
      <c r="I461" s="1095"/>
      <c r="J461" s="1095"/>
      <c r="K461" s="1095"/>
      <c r="L461" s="1095"/>
      <c r="M461" s="1095"/>
      <c r="N461" s="1095"/>
      <c r="O461" s="1095"/>
      <c r="P461" s="1095"/>
      <c r="Q461" s="1095"/>
      <c r="R461" s="1095"/>
      <c r="S461" s="1095"/>
      <c r="T461" s="1095"/>
      <c r="U461" s="1095"/>
      <c r="V461" s="1095"/>
      <c r="W461" s="1095"/>
      <c r="X461" s="1095"/>
      <c r="Y461" s="1095"/>
      <c r="Z461" s="1095"/>
      <c r="AA461" s="1095"/>
      <c r="AB461" s="1095"/>
    </row>
    <row r="462">
      <c r="A462" s="1095"/>
      <c r="B462" s="1095"/>
      <c r="C462" s="1095"/>
      <c r="D462" s="1095"/>
      <c r="E462" s="1095"/>
      <c r="F462" s="1095"/>
      <c r="G462" s="1095"/>
      <c r="H462" s="1095"/>
      <c r="I462" s="1095"/>
      <c r="J462" s="1095"/>
      <c r="K462" s="1095"/>
      <c r="L462" s="1095"/>
      <c r="M462" s="1095"/>
      <c r="N462" s="1095"/>
      <c r="O462" s="1095"/>
      <c r="P462" s="1095"/>
      <c r="Q462" s="1095"/>
      <c r="R462" s="1095"/>
      <c r="S462" s="1095"/>
      <c r="T462" s="1095"/>
      <c r="U462" s="1095"/>
      <c r="V462" s="1095"/>
      <c r="W462" s="1095"/>
      <c r="X462" s="1095"/>
      <c r="Y462" s="1095"/>
      <c r="Z462" s="1095"/>
      <c r="AA462" s="1095"/>
      <c r="AB462" s="1095"/>
    </row>
    <row r="463">
      <c r="A463" s="1095"/>
      <c r="B463" s="1095"/>
      <c r="C463" s="1095"/>
      <c r="D463" s="1095"/>
      <c r="E463" s="1095"/>
      <c r="F463" s="1095"/>
      <c r="G463" s="1095"/>
      <c r="H463" s="1095"/>
      <c r="I463" s="1095"/>
      <c r="J463" s="1095"/>
      <c r="K463" s="1095"/>
      <c r="L463" s="1095"/>
      <c r="M463" s="1095"/>
      <c r="N463" s="1095"/>
      <c r="O463" s="1095"/>
      <c r="P463" s="1095"/>
      <c r="Q463" s="1095"/>
      <c r="R463" s="1095"/>
      <c r="S463" s="1095"/>
      <c r="T463" s="1095"/>
      <c r="U463" s="1095"/>
      <c r="V463" s="1095"/>
      <c r="W463" s="1095"/>
      <c r="X463" s="1095"/>
      <c r="Y463" s="1095"/>
      <c r="Z463" s="1095"/>
      <c r="AA463" s="1095"/>
      <c r="AB463" s="1095"/>
    </row>
    <row r="464">
      <c r="A464" s="1095"/>
      <c r="B464" s="1095"/>
      <c r="C464" s="1095"/>
      <c r="D464" s="1095"/>
      <c r="E464" s="1095"/>
      <c r="F464" s="1095"/>
      <c r="G464" s="1095"/>
      <c r="H464" s="1095"/>
      <c r="I464" s="1095"/>
      <c r="J464" s="1095"/>
      <c r="K464" s="1095"/>
      <c r="L464" s="1095"/>
      <c r="M464" s="1095"/>
      <c r="N464" s="1095"/>
      <c r="O464" s="1095"/>
      <c r="P464" s="1095"/>
      <c r="Q464" s="1095"/>
      <c r="R464" s="1095"/>
      <c r="S464" s="1095"/>
      <c r="T464" s="1095"/>
      <c r="U464" s="1095"/>
      <c r="V464" s="1095"/>
      <c r="W464" s="1095"/>
      <c r="X464" s="1095"/>
      <c r="Y464" s="1095"/>
      <c r="Z464" s="1095"/>
      <c r="AA464" s="1095"/>
      <c r="AB464" s="1095"/>
    </row>
    <row r="465">
      <c r="A465" s="1095"/>
      <c r="B465" s="1095"/>
      <c r="C465" s="1095"/>
      <c r="D465" s="1095"/>
      <c r="E465" s="1095"/>
      <c r="F465" s="1095"/>
      <c r="G465" s="1095"/>
      <c r="H465" s="1095"/>
      <c r="I465" s="1095"/>
      <c r="J465" s="1095"/>
      <c r="K465" s="1095"/>
      <c r="L465" s="1095"/>
      <c r="M465" s="1095"/>
      <c r="N465" s="1095"/>
      <c r="O465" s="1095"/>
      <c r="P465" s="1095"/>
      <c r="Q465" s="1095"/>
      <c r="R465" s="1095"/>
      <c r="S465" s="1095"/>
      <c r="T465" s="1095"/>
      <c r="U465" s="1095"/>
      <c r="V465" s="1095"/>
      <c r="W465" s="1095"/>
      <c r="X465" s="1095"/>
      <c r="Y465" s="1095"/>
      <c r="Z465" s="1095"/>
      <c r="AA465" s="1095"/>
      <c r="AB465" s="1095"/>
    </row>
    <row r="466">
      <c r="A466" s="1095"/>
      <c r="B466" s="1095"/>
      <c r="C466" s="1095"/>
      <c r="D466" s="1095"/>
      <c r="E466" s="1095"/>
      <c r="F466" s="1095"/>
      <c r="G466" s="1095"/>
      <c r="H466" s="1095"/>
      <c r="I466" s="1095"/>
      <c r="J466" s="1095"/>
      <c r="K466" s="1095"/>
      <c r="L466" s="1095"/>
      <c r="M466" s="1095"/>
      <c r="N466" s="1095"/>
      <c r="O466" s="1095"/>
      <c r="P466" s="1095"/>
      <c r="Q466" s="1095"/>
      <c r="R466" s="1095"/>
      <c r="S466" s="1095"/>
      <c r="T466" s="1095"/>
      <c r="U466" s="1095"/>
      <c r="V466" s="1095"/>
      <c r="W466" s="1095"/>
      <c r="X466" s="1095"/>
      <c r="Y466" s="1095"/>
      <c r="Z466" s="1095"/>
      <c r="AA466" s="1095"/>
      <c r="AB466" s="1095"/>
    </row>
    <row r="467">
      <c r="A467" s="1095"/>
      <c r="B467" s="1095"/>
      <c r="C467" s="1095"/>
      <c r="D467" s="1095"/>
      <c r="E467" s="1095"/>
      <c r="F467" s="1095"/>
      <c r="G467" s="1095"/>
      <c r="H467" s="1095"/>
      <c r="I467" s="1095"/>
      <c r="J467" s="1095"/>
      <c r="K467" s="1095"/>
      <c r="L467" s="1095"/>
      <c r="M467" s="1095"/>
      <c r="N467" s="1095"/>
      <c r="O467" s="1095"/>
      <c r="P467" s="1095"/>
      <c r="Q467" s="1095"/>
      <c r="R467" s="1095"/>
      <c r="S467" s="1095"/>
      <c r="T467" s="1095"/>
      <c r="U467" s="1095"/>
      <c r="V467" s="1095"/>
      <c r="W467" s="1095"/>
      <c r="X467" s="1095"/>
      <c r="Y467" s="1095"/>
      <c r="Z467" s="1095"/>
      <c r="AA467" s="1095"/>
      <c r="AB467" s="1095"/>
    </row>
    <row r="468">
      <c r="A468" s="1095"/>
      <c r="B468" s="1095"/>
      <c r="C468" s="1095"/>
      <c r="D468" s="1095"/>
      <c r="E468" s="1095"/>
      <c r="F468" s="1095"/>
      <c r="G468" s="1095"/>
      <c r="H468" s="1095"/>
      <c r="I468" s="1095"/>
      <c r="J468" s="1095"/>
      <c r="K468" s="1095"/>
      <c r="L468" s="1095"/>
      <c r="M468" s="1095"/>
      <c r="N468" s="1095"/>
      <c r="O468" s="1095"/>
      <c r="P468" s="1095"/>
      <c r="Q468" s="1095"/>
      <c r="R468" s="1095"/>
      <c r="S468" s="1095"/>
      <c r="T468" s="1095"/>
      <c r="U468" s="1095"/>
      <c r="V468" s="1095"/>
      <c r="W468" s="1095"/>
      <c r="X468" s="1095"/>
      <c r="Y468" s="1095"/>
      <c r="Z468" s="1095"/>
      <c r="AA468" s="1095"/>
      <c r="AB468" s="1095"/>
    </row>
    <row r="469">
      <c r="A469" s="1095"/>
      <c r="B469" s="1095"/>
      <c r="C469" s="1095"/>
      <c r="D469" s="1095"/>
      <c r="E469" s="1095"/>
      <c r="F469" s="1095"/>
      <c r="G469" s="1095"/>
      <c r="H469" s="1095"/>
      <c r="I469" s="1095"/>
      <c r="J469" s="1095"/>
      <c r="K469" s="1095"/>
      <c r="L469" s="1095"/>
      <c r="M469" s="1095"/>
      <c r="N469" s="1095"/>
      <c r="O469" s="1095"/>
      <c r="P469" s="1095"/>
      <c r="Q469" s="1095"/>
      <c r="R469" s="1095"/>
      <c r="S469" s="1095"/>
      <c r="T469" s="1095"/>
      <c r="U469" s="1095"/>
      <c r="V469" s="1095"/>
      <c r="W469" s="1095"/>
      <c r="X469" s="1095"/>
      <c r="Y469" s="1095"/>
      <c r="Z469" s="1095"/>
      <c r="AA469" s="1095"/>
      <c r="AB469" s="1095"/>
    </row>
    <row r="470">
      <c r="A470" s="1095"/>
      <c r="B470" s="1095"/>
      <c r="C470" s="1095"/>
      <c r="D470" s="1095"/>
      <c r="E470" s="1095"/>
      <c r="F470" s="1095"/>
      <c r="G470" s="1095"/>
      <c r="H470" s="1095"/>
      <c r="I470" s="1095"/>
      <c r="J470" s="1095"/>
      <c r="K470" s="1095"/>
      <c r="L470" s="1095"/>
      <c r="M470" s="1095"/>
      <c r="N470" s="1095"/>
      <c r="O470" s="1095"/>
      <c r="P470" s="1095"/>
      <c r="Q470" s="1095"/>
      <c r="R470" s="1095"/>
      <c r="S470" s="1095"/>
      <c r="T470" s="1095"/>
      <c r="U470" s="1095"/>
      <c r="V470" s="1095"/>
      <c r="W470" s="1095"/>
      <c r="X470" s="1095"/>
      <c r="Y470" s="1095"/>
      <c r="Z470" s="1095"/>
      <c r="AA470" s="1095"/>
      <c r="AB470" s="1095"/>
    </row>
    <row r="471">
      <c r="A471" s="1095"/>
      <c r="B471" s="1095"/>
      <c r="C471" s="1095"/>
      <c r="D471" s="1095"/>
      <c r="E471" s="1095"/>
      <c r="F471" s="1095"/>
      <c r="G471" s="1095"/>
      <c r="H471" s="1095"/>
      <c r="I471" s="1095"/>
      <c r="J471" s="1095"/>
      <c r="K471" s="1095"/>
      <c r="L471" s="1095"/>
      <c r="M471" s="1095"/>
      <c r="N471" s="1095"/>
      <c r="O471" s="1095"/>
      <c r="P471" s="1095"/>
      <c r="Q471" s="1095"/>
      <c r="R471" s="1095"/>
      <c r="S471" s="1095"/>
      <c r="T471" s="1095"/>
      <c r="U471" s="1095"/>
      <c r="V471" s="1095"/>
      <c r="W471" s="1095"/>
      <c r="X471" s="1095"/>
      <c r="Y471" s="1095"/>
      <c r="Z471" s="1095"/>
      <c r="AA471" s="1095"/>
      <c r="AB471" s="1095"/>
    </row>
    <row r="472">
      <c r="A472" s="1095"/>
      <c r="B472" s="1095"/>
      <c r="C472" s="1095"/>
      <c r="D472" s="1095"/>
      <c r="E472" s="1095"/>
      <c r="F472" s="1095"/>
      <c r="G472" s="1095"/>
      <c r="H472" s="1095"/>
      <c r="I472" s="1095"/>
      <c r="J472" s="1095"/>
      <c r="K472" s="1095"/>
      <c r="L472" s="1095"/>
      <c r="M472" s="1095"/>
      <c r="N472" s="1095"/>
      <c r="O472" s="1095"/>
      <c r="P472" s="1095"/>
      <c r="Q472" s="1095"/>
      <c r="R472" s="1095"/>
      <c r="S472" s="1095"/>
      <c r="T472" s="1095"/>
      <c r="U472" s="1095"/>
      <c r="V472" s="1095"/>
      <c r="W472" s="1095"/>
      <c r="X472" s="1095"/>
      <c r="Y472" s="1095"/>
      <c r="Z472" s="1095"/>
      <c r="AA472" s="1095"/>
      <c r="AB472" s="1095"/>
    </row>
    <row r="473">
      <c r="A473" s="1095"/>
      <c r="B473" s="1095"/>
      <c r="C473" s="1095"/>
      <c r="D473" s="1095"/>
      <c r="E473" s="1095"/>
      <c r="F473" s="1095"/>
      <c r="G473" s="1095"/>
      <c r="H473" s="1095"/>
      <c r="I473" s="1095"/>
      <c r="J473" s="1095"/>
      <c r="K473" s="1095"/>
      <c r="L473" s="1095"/>
      <c r="M473" s="1095"/>
      <c r="N473" s="1095"/>
      <c r="O473" s="1095"/>
      <c r="P473" s="1095"/>
      <c r="Q473" s="1095"/>
      <c r="R473" s="1095"/>
      <c r="S473" s="1095"/>
      <c r="T473" s="1095"/>
      <c r="U473" s="1095"/>
      <c r="V473" s="1095"/>
      <c r="W473" s="1095"/>
      <c r="X473" s="1095"/>
      <c r="Y473" s="1095"/>
      <c r="Z473" s="1095"/>
      <c r="AA473" s="1095"/>
      <c r="AB473" s="1095"/>
    </row>
    <row r="474">
      <c r="A474" s="1095"/>
      <c r="B474" s="1095"/>
      <c r="C474" s="1095"/>
      <c r="D474" s="1095"/>
      <c r="E474" s="1095"/>
      <c r="F474" s="1095"/>
      <c r="G474" s="1095"/>
      <c r="H474" s="1095"/>
      <c r="I474" s="1095"/>
      <c r="J474" s="1095"/>
      <c r="K474" s="1095"/>
      <c r="L474" s="1095"/>
      <c r="M474" s="1095"/>
      <c r="N474" s="1095"/>
      <c r="O474" s="1095"/>
      <c r="P474" s="1095"/>
      <c r="Q474" s="1095"/>
      <c r="R474" s="1095"/>
      <c r="S474" s="1095"/>
      <c r="T474" s="1095"/>
      <c r="U474" s="1095"/>
      <c r="V474" s="1095"/>
      <c r="W474" s="1095"/>
      <c r="X474" s="1095"/>
      <c r="Y474" s="1095"/>
      <c r="Z474" s="1095"/>
      <c r="AA474" s="1095"/>
      <c r="AB474" s="1095"/>
    </row>
    <row r="475">
      <c r="A475" s="1095"/>
      <c r="B475" s="1095"/>
      <c r="C475" s="1095"/>
      <c r="D475" s="1095"/>
      <c r="E475" s="1095"/>
      <c r="F475" s="1095"/>
      <c r="G475" s="1095"/>
      <c r="H475" s="1095"/>
      <c r="I475" s="1095"/>
      <c r="J475" s="1095"/>
      <c r="K475" s="1095"/>
      <c r="L475" s="1095"/>
      <c r="M475" s="1095"/>
      <c r="N475" s="1095"/>
      <c r="O475" s="1095"/>
      <c r="P475" s="1095"/>
      <c r="Q475" s="1095"/>
      <c r="R475" s="1095"/>
      <c r="S475" s="1095"/>
      <c r="T475" s="1095"/>
      <c r="U475" s="1095"/>
      <c r="V475" s="1095"/>
      <c r="W475" s="1095"/>
      <c r="X475" s="1095"/>
      <c r="Y475" s="1095"/>
      <c r="Z475" s="1095"/>
      <c r="AA475" s="1095"/>
      <c r="AB475" s="1095"/>
    </row>
    <row r="476">
      <c r="A476" s="1095"/>
      <c r="B476" s="1095"/>
      <c r="C476" s="1095"/>
      <c r="D476" s="1095"/>
      <c r="E476" s="1095"/>
      <c r="F476" s="1095"/>
      <c r="G476" s="1095"/>
      <c r="H476" s="1095"/>
      <c r="I476" s="1095"/>
      <c r="J476" s="1095"/>
      <c r="K476" s="1095"/>
      <c r="L476" s="1095"/>
      <c r="M476" s="1095"/>
      <c r="N476" s="1095"/>
      <c r="O476" s="1095"/>
      <c r="P476" s="1095"/>
      <c r="Q476" s="1095"/>
      <c r="R476" s="1095"/>
      <c r="S476" s="1095"/>
      <c r="T476" s="1095"/>
      <c r="U476" s="1095"/>
      <c r="V476" s="1095"/>
      <c r="W476" s="1095"/>
      <c r="X476" s="1095"/>
      <c r="Y476" s="1095"/>
      <c r="Z476" s="1095"/>
      <c r="AA476" s="1095"/>
      <c r="AB476" s="1095"/>
    </row>
    <row r="477">
      <c r="A477" s="1095"/>
      <c r="B477" s="1095"/>
      <c r="C477" s="1095"/>
      <c r="D477" s="1095"/>
      <c r="E477" s="1095"/>
      <c r="F477" s="1095"/>
      <c r="G477" s="1095"/>
      <c r="H477" s="1095"/>
      <c r="I477" s="1095"/>
      <c r="J477" s="1095"/>
      <c r="K477" s="1095"/>
      <c r="L477" s="1095"/>
      <c r="M477" s="1095"/>
      <c r="N477" s="1095"/>
      <c r="O477" s="1095"/>
      <c r="P477" s="1095"/>
      <c r="Q477" s="1095"/>
      <c r="R477" s="1095"/>
      <c r="S477" s="1095"/>
      <c r="T477" s="1095"/>
      <c r="U477" s="1095"/>
      <c r="V477" s="1095"/>
      <c r="W477" s="1095"/>
      <c r="X477" s="1095"/>
      <c r="Y477" s="1095"/>
      <c r="Z477" s="1095"/>
      <c r="AA477" s="1095"/>
      <c r="AB477" s="1095"/>
    </row>
    <row r="478">
      <c r="A478" s="1095"/>
      <c r="B478" s="1095"/>
      <c r="C478" s="1095"/>
      <c r="D478" s="1095"/>
      <c r="E478" s="1095"/>
      <c r="F478" s="1095"/>
      <c r="G478" s="1095"/>
      <c r="H478" s="1095"/>
      <c r="I478" s="1095"/>
      <c r="J478" s="1095"/>
      <c r="K478" s="1095"/>
      <c r="L478" s="1095"/>
      <c r="M478" s="1095"/>
      <c r="N478" s="1095"/>
      <c r="O478" s="1095"/>
      <c r="P478" s="1095"/>
      <c r="Q478" s="1095"/>
      <c r="R478" s="1095"/>
      <c r="S478" s="1095"/>
      <c r="T478" s="1095"/>
      <c r="U478" s="1095"/>
      <c r="V478" s="1095"/>
      <c r="W478" s="1095"/>
      <c r="X478" s="1095"/>
      <c r="Y478" s="1095"/>
      <c r="Z478" s="1095"/>
      <c r="AA478" s="1095"/>
      <c r="AB478" s="1095"/>
    </row>
    <row r="479">
      <c r="A479" s="1095"/>
      <c r="B479" s="1095"/>
      <c r="C479" s="1095"/>
      <c r="D479" s="1095"/>
      <c r="E479" s="1095"/>
      <c r="F479" s="1095"/>
      <c r="G479" s="1095"/>
      <c r="H479" s="1095"/>
      <c r="I479" s="1095"/>
      <c r="J479" s="1095"/>
      <c r="K479" s="1095"/>
      <c r="L479" s="1095"/>
      <c r="M479" s="1095"/>
      <c r="N479" s="1095"/>
      <c r="O479" s="1095"/>
      <c r="P479" s="1095"/>
      <c r="Q479" s="1095"/>
      <c r="R479" s="1095"/>
      <c r="S479" s="1095"/>
      <c r="T479" s="1095"/>
      <c r="U479" s="1095"/>
      <c r="V479" s="1095"/>
      <c r="W479" s="1095"/>
      <c r="X479" s="1095"/>
      <c r="Y479" s="1095"/>
      <c r="Z479" s="1095"/>
      <c r="AA479" s="1095"/>
      <c r="AB479" s="1095"/>
    </row>
    <row r="480">
      <c r="A480" s="1095"/>
      <c r="B480" s="1095"/>
      <c r="C480" s="1095"/>
      <c r="D480" s="1095"/>
      <c r="E480" s="1095"/>
      <c r="F480" s="1095"/>
      <c r="G480" s="1095"/>
      <c r="H480" s="1095"/>
      <c r="I480" s="1095"/>
      <c r="J480" s="1095"/>
      <c r="K480" s="1095"/>
      <c r="L480" s="1095"/>
      <c r="M480" s="1095"/>
      <c r="N480" s="1095"/>
      <c r="O480" s="1095"/>
      <c r="P480" s="1095"/>
      <c r="Q480" s="1095"/>
      <c r="R480" s="1095"/>
      <c r="S480" s="1095"/>
      <c r="T480" s="1095"/>
      <c r="U480" s="1095"/>
      <c r="V480" s="1095"/>
      <c r="W480" s="1095"/>
      <c r="X480" s="1095"/>
      <c r="Y480" s="1095"/>
      <c r="Z480" s="1095"/>
      <c r="AA480" s="1095"/>
      <c r="AB480" s="1095"/>
    </row>
    <row r="481">
      <c r="A481" s="1095"/>
      <c r="B481" s="1095"/>
      <c r="C481" s="1095"/>
      <c r="D481" s="1095"/>
      <c r="E481" s="1095"/>
      <c r="F481" s="1095"/>
      <c r="G481" s="1095"/>
      <c r="H481" s="1095"/>
      <c r="I481" s="1095"/>
      <c r="J481" s="1095"/>
      <c r="K481" s="1095"/>
      <c r="L481" s="1095"/>
      <c r="M481" s="1095"/>
      <c r="N481" s="1095"/>
      <c r="O481" s="1095"/>
      <c r="P481" s="1095"/>
      <c r="Q481" s="1095"/>
      <c r="R481" s="1095"/>
      <c r="S481" s="1095"/>
      <c r="T481" s="1095"/>
      <c r="U481" s="1095"/>
      <c r="V481" s="1095"/>
      <c r="W481" s="1095"/>
      <c r="X481" s="1095"/>
      <c r="Y481" s="1095"/>
      <c r="Z481" s="1095"/>
      <c r="AA481" s="1095"/>
      <c r="AB481" s="1095"/>
    </row>
    <row r="482">
      <c r="A482" s="1095"/>
      <c r="B482" s="1095"/>
      <c r="C482" s="1095"/>
      <c r="D482" s="1095"/>
      <c r="E482" s="1095"/>
      <c r="F482" s="1095"/>
      <c r="G482" s="1095"/>
      <c r="H482" s="1095"/>
      <c r="I482" s="1095"/>
      <c r="J482" s="1095"/>
      <c r="K482" s="1095"/>
      <c r="L482" s="1095"/>
      <c r="M482" s="1095"/>
      <c r="N482" s="1095"/>
      <c r="O482" s="1095"/>
      <c r="P482" s="1095"/>
      <c r="Q482" s="1095"/>
      <c r="R482" s="1095"/>
      <c r="S482" s="1095"/>
      <c r="T482" s="1095"/>
      <c r="U482" s="1095"/>
      <c r="V482" s="1095"/>
      <c r="W482" s="1095"/>
      <c r="X482" s="1095"/>
      <c r="Y482" s="1095"/>
      <c r="Z482" s="1095"/>
      <c r="AA482" s="1095"/>
      <c r="AB482" s="1095"/>
    </row>
    <row r="483">
      <c r="A483" s="1095"/>
      <c r="B483" s="1095"/>
      <c r="C483" s="1095"/>
      <c r="D483" s="1095"/>
      <c r="E483" s="1095"/>
      <c r="F483" s="1095"/>
      <c r="G483" s="1095"/>
      <c r="H483" s="1095"/>
      <c r="I483" s="1095"/>
      <c r="J483" s="1095"/>
      <c r="K483" s="1095"/>
      <c r="L483" s="1095"/>
      <c r="M483" s="1095"/>
      <c r="N483" s="1095"/>
      <c r="O483" s="1095"/>
      <c r="P483" s="1095"/>
      <c r="Q483" s="1095"/>
      <c r="R483" s="1095"/>
      <c r="S483" s="1095"/>
      <c r="T483" s="1095"/>
      <c r="U483" s="1095"/>
      <c r="V483" s="1095"/>
      <c r="W483" s="1095"/>
      <c r="X483" s="1095"/>
      <c r="Y483" s="1095"/>
      <c r="Z483" s="1095"/>
      <c r="AA483" s="1095"/>
      <c r="AB483" s="1095"/>
    </row>
    <row r="484">
      <c r="A484" s="1095"/>
      <c r="B484" s="1095"/>
      <c r="C484" s="1095"/>
      <c r="D484" s="1095"/>
      <c r="E484" s="1095"/>
      <c r="F484" s="1095"/>
      <c r="G484" s="1095"/>
      <c r="H484" s="1095"/>
      <c r="I484" s="1095"/>
      <c r="J484" s="1095"/>
      <c r="K484" s="1095"/>
      <c r="L484" s="1095"/>
      <c r="M484" s="1095"/>
      <c r="N484" s="1095"/>
      <c r="O484" s="1095"/>
      <c r="P484" s="1095"/>
      <c r="Q484" s="1095"/>
      <c r="R484" s="1095"/>
      <c r="S484" s="1095"/>
      <c r="T484" s="1095"/>
      <c r="U484" s="1095"/>
      <c r="V484" s="1095"/>
      <c r="W484" s="1095"/>
      <c r="X484" s="1095"/>
      <c r="Y484" s="1095"/>
      <c r="Z484" s="1095"/>
      <c r="AA484" s="1095"/>
      <c r="AB484" s="1095"/>
    </row>
    <row r="485">
      <c r="A485" s="1095"/>
      <c r="B485" s="1095"/>
      <c r="C485" s="1095"/>
      <c r="D485" s="1095"/>
      <c r="E485" s="1095"/>
      <c r="F485" s="1095"/>
      <c r="G485" s="1095"/>
      <c r="H485" s="1095"/>
      <c r="I485" s="1095"/>
      <c r="J485" s="1095"/>
      <c r="K485" s="1095"/>
      <c r="L485" s="1095"/>
      <c r="M485" s="1095"/>
      <c r="N485" s="1095"/>
      <c r="O485" s="1095"/>
      <c r="P485" s="1095"/>
      <c r="Q485" s="1095"/>
      <c r="R485" s="1095"/>
      <c r="S485" s="1095"/>
      <c r="T485" s="1095"/>
      <c r="U485" s="1095"/>
      <c r="V485" s="1095"/>
      <c r="W485" s="1095"/>
      <c r="X485" s="1095"/>
      <c r="Y485" s="1095"/>
      <c r="Z485" s="1095"/>
      <c r="AA485" s="1095"/>
      <c r="AB485" s="1095"/>
    </row>
    <row r="486">
      <c r="A486" s="1095"/>
      <c r="B486" s="1095"/>
      <c r="C486" s="1095"/>
      <c r="D486" s="1095"/>
      <c r="E486" s="1095"/>
      <c r="F486" s="1095"/>
      <c r="G486" s="1095"/>
      <c r="H486" s="1095"/>
      <c r="I486" s="1095"/>
      <c r="J486" s="1095"/>
      <c r="K486" s="1095"/>
      <c r="L486" s="1095"/>
      <c r="M486" s="1095"/>
      <c r="N486" s="1095"/>
      <c r="O486" s="1095"/>
      <c r="P486" s="1095"/>
      <c r="Q486" s="1095"/>
      <c r="R486" s="1095"/>
      <c r="S486" s="1095"/>
      <c r="T486" s="1095"/>
      <c r="U486" s="1095"/>
      <c r="V486" s="1095"/>
      <c r="W486" s="1095"/>
      <c r="X486" s="1095"/>
      <c r="Y486" s="1095"/>
      <c r="Z486" s="1095"/>
      <c r="AA486" s="1095"/>
      <c r="AB486" s="1095"/>
    </row>
    <row r="487">
      <c r="A487" s="1095"/>
      <c r="B487" s="1095"/>
      <c r="C487" s="1095"/>
      <c r="D487" s="1095"/>
      <c r="E487" s="1095"/>
      <c r="F487" s="1095"/>
      <c r="G487" s="1095"/>
      <c r="H487" s="1095"/>
      <c r="I487" s="1095"/>
      <c r="J487" s="1095"/>
      <c r="K487" s="1095"/>
      <c r="L487" s="1095"/>
      <c r="M487" s="1095"/>
      <c r="N487" s="1095"/>
      <c r="O487" s="1095"/>
      <c r="P487" s="1095"/>
      <c r="Q487" s="1095"/>
      <c r="R487" s="1095"/>
      <c r="S487" s="1095"/>
      <c r="T487" s="1095"/>
      <c r="U487" s="1095"/>
      <c r="V487" s="1095"/>
      <c r="W487" s="1095"/>
      <c r="X487" s="1095"/>
      <c r="Y487" s="1095"/>
      <c r="Z487" s="1095"/>
      <c r="AA487" s="1095"/>
      <c r="AB487" s="1095"/>
    </row>
    <row r="488">
      <c r="A488" s="1095"/>
      <c r="B488" s="1095"/>
      <c r="C488" s="1095"/>
      <c r="D488" s="1095"/>
      <c r="E488" s="1095"/>
      <c r="F488" s="1095"/>
      <c r="G488" s="1095"/>
      <c r="H488" s="1095"/>
      <c r="I488" s="1095"/>
      <c r="J488" s="1095"/>
      <c r="K488" s="1095"/>
      <c r="L488" s="1095"/>
      <c r="M488" s="1095"/>
      <c r="N488" s="1095"/>
      <c r="O488" s="1095"/>
      <c r="P488" s="1095"/>
      <c r="Q488" s="1095"/>
      <c r="R488" s="1095"/>
      <c r="S488" s="1095"/>
      <c r="T488" s="1095"/>
      <c r="U488" s="1095"/>
      <c r="V488" s="1095"/>
      <c r="W488" s="1095"/>
      <c r="X488" s="1095"/>
      <c r="Y488" s="1095"/>
      <c r="Z488" s="1095"/>
      <c r="AA488" s="1095"/>
      <c r="AB488" s="1095"/>
    </row>
    <row r="489">
      <c r="A489" s="1095"/>
      <c r="B489" s="1095"/>
      <c r="C489" s="1095"/>
      <c r="D489" s="1095"/>
      <c r="E489" s="1095"/>
      <c r="F489" s="1095"/>
      <c r="G489" s="1095"/>
      <c r="H489" s="1095"/>
      <c r="I489" s="1095"/>
      <c r="J489" s="1095"/>
      <c r="K489" s="1095"/>
      <c r="L489" s="1095"/>
      <c r="M489" s="1095"/>
      <c r="N489" s="1095"/>
      <c r="O489" s="1095"/>
      <c r="P489" s="1095"/>
      <c r="Q489" s="1095"/>
      <c r="R489" s="1095"/>
      <c r="S489" s="1095"/>
      <c r="T489" s="1095"/>
      <c r="U489" s="1095"/>
      <c r="V489" s="1095"/>
      <c r="W489" s="1095"/>
      <c r="X489" s="1095"/>
      <c r="Y489" s="1095"/>
      <c r="Z489" s="1095"/>
      <c r="AA489" s="1095"/>
      <c r="AB489" s="1095"/>
    </row>
    <row r="490">
      <c r="A490" s="1095"/>
      <c r="B490" s="1095"/>
      <c r="C490" s="1095"/>
      <c r="D490" s="1095"/>
      <c r="E490" s="1095"/>
      <c r="F490" s="1095"/>
      <c r="G490" s="1095"/>
      <c r="H490" s="1095"/>
      <c r="I490" s="1095"/>
      <c r="J490" s="1095"/>
      <c r="K490" s="1095"/>
      <c r="L490" s="1095"/>
      <c r="M490" s="1095"/>
      <c r="N490" s="1095"/>
      <c r="O490" s="1095"/>
      <c r="P490" s="1095"/>
      <c r="Q490" s="1095"/>
      <c r="R490" s="1095"/>
      <c r="S490" s="1095"/>
      <c r="T490" s="1095"/>
      <c r="U490" s="1095"/>
      <c r="V490" s="1095"/>
      <c r="W490" s="1095"/>
      <c r="X490" s="1095"/>
      <c r="Y490" s="1095"/>
      <c r="Z490" s="1095"/>
      <c r="AA490" s="1095"/>
      <c r="AB490" s="1095"/>
    </row>
    <row r="491">
      <c r="A491" s="1095"/>
      <c r="B491" s="1095"/>
      <c r="C491" s="1095"/>
      <c r="D491" s="1095"/>
      <c r="E491" s="1095"/>
      <c r="F491" s="1095"/>
      <c r="G491" s="1095"/>
      <c r="H491" s="1095"/>
      <c r="I491" s="1095"/>
      <c r="J491" s="1095"/>
      <c r="K491" s="1095"/>
      <c r="L491" s="1095"/>
      <c r="M491" s="1095"/>
      <c r="N491" s="1095"/>
      <c r="O491" s="1095"/>
      <c r="P491" s="1095"/>
      <c r="Q491" s="1095"/>
      <c r="R491" s="1095"/>
      <c r="S491" s="1095"/>
      <c r="T491" s="1095"/>
      <c r="U491" s="1095"/>
      <c r="V491" s="1095"/>
      <c r="W491" s="1095"/>
      <c r="X491" s="1095"/>
      <c r="Y491" s="1095"/>
      <c r="Z491" s="1095"/>
      <c r="AA491" s="1095"/>
      <c r="AB491" s="1095"/>
    </row>
    <row r="492">
      <c r="A492" s="1095"/>
      <c r="B492" s="1095"/>
      <c r="C492" s="1095"/>
      <c r="D492" s="1095"/>
      <c r="E492" s="1095"/>
      <c r="F492" s="1095"/>
      <c r="G492" s="1095"/>
      <c r="H492" s="1095"/>
      <c r="I492" s="1095"/>
      <c r="J492" s="1095"/>
      <c r="K492" s="1095"/>
      <c r="L492" s="1095"/>
      <c r="M492" s="1095"/>
      <c r="N492" s="1095"/>
      <c r="O492" s="1095"/>
      <c r="P492" s="1095"/>
      <c r="Q492" s="1095"/>
      <c r="R492" s="1095"/>
      <c r="S492" s="1095"/>
      <c r="T492" s="1095"/>
      <c r="U492" s="1095"/>
      <c r="V492" s="1095"/>
      <c r="W492" s="1095"/>
      <c r="X492" s="1095"/>
      <c r="Y492" s="1095"/>
      <c r="Z492" s="1095"/>
      <c r="AA492" s="1095"/>
      <c r="AB492" s="1095"/>
    </row>
    <row r="493">
      <c r="A493" s="1095"/>
      <c r="B493" s="1095"/>
      <c r="C493" s="1095"/>
      <c r="D493" s="1095"/>
      <c r="E493" s="1095"/>
      <c r="F493" s="1095"/>
      <c r="G493" s="1095"/>
      <c r="H493" s="1095"/>
      <c r="I493" s="1095"/>
      <c r="J493" s="1095"/>
      <c r="K493" s="1095"/>
      <c r="L493" s="1095"/>
      <c r="M493" s="1095"/>
      <c r="N493" s="1095"/>
      <c r="O493" s="1095"/>
      <c r="P493" s="1095"/>
      <c r="Q493" s="1095"/>
      <c r="R493" s="1095"/>
      <c r="S493" s="1095"/>
      <c r="T493" s="1095"/>
      <c r="U493" s="1095"/>
      <c r="V493" s="1095"/>
      <c r="W493" s="1095"/>
      <c r="X493" s="1095"/>
      <c r="Y493" s="1095"/>
      <c r="Z493" s="1095"/>
      <c r="AA493" s="1095"/>
      <c r="AB493" s="1095"/>
    </row>
    <row r="494">
      <c r="A494" s="1095"/>
      <c r="B494" s="1095"/>
      <c r="C494" s="1095"/>
      <c r="D494" s="1095"/>
      <c r="E494" s="1095"/>
      <c r="F494" s="1095"/>
      <c r="G494" s="1095"/>
      <c r="H494" s="1095"/>
      <c r="I494" s="1095"/>
      <c r="J494" s="1095"/>
      <c r="K494" s="1095"/>
      <c r="L494" s="1095"/>
      <c r="M494" s="1095"/>
      <c r="N494" s="1095"/>
      <c r="O494" s="1095"/>
      <c r="P494" s="1095"/>
      <c r="Q494" s="1095"/>
      <c r="R494" s="1095"/>
      <c r="S494" s="1095"/>
      <c r="T494" s="1095"/>
      <c r="U494" s="1095"/>
      <c r="V494" s="1095"/>
      <c r="W494" s="1095"/>
      <c r="X494" s="1095"/>
      <c r="Y494" s="1095"/>
      <c r="Z494" s="1095"/>
      <c r="AA494" s="1095"/>
      <c r="AB494" s="1095"/>
    </row>
    <row r="495">
      <c r="A495" s="1095"/>
      <c r="B495" s="1095"/>
      <c r="C495" s="1095"/>
      <c r="D495" s="1095"/>
      <c r="E495" s="1095"/>
      <c r="F495" s="1095"/>
      <c r="G495" s="1095"/>
      <c r="H495" s="1095"/>
      <c r="I495" s="1095"/>
      <c r="J495" s="1095"/>
      <c r="K495" s="1095"/>
      <c r="L495" s="1095"/>
      <c r="M495" s="1095"/>
      <c r="N495" s="1095"/>
      <c r="O495" s="1095"/>
      <c r="P495" s="1095"/>
      <c r="Q495" s="1095"/>
      <c r="R495" s="1095"/>
      <c r="S495" s="1095"/>
      <c r="T495" s="1095"/>
      <c r="U495" s="1095"/>
      <c r="V495" s="1095"/>
      <c r="W495" s="1095"/>
      <c r="X495" s="1095"/>
      <c r="Y495" s="1095"/>
      <c r="Z495" s="1095"/>
      <c r="AA495" s="1095"/>
      <c r="AB495" s="1095"/>
    </row>
    <row r="496">
      <c r="A496" s="1095"/>
      <c r="B496" s="1095"/>
      <c r="C496" s="1095"/>
      <c r="D496" s="1095"/>
      <c r="E496" s="1095"/>
      <c r="F496" s="1095"/>
      <c r="G496" s="1095"/>
      <c r="H496" s="1095"/>
      <c r="I496" s="1095"/>
      <c r="J496" s="1095"/>
      <c r="K496" s="1095"/>
      <c r="L496" s="1095"/>
      <c r="M496" s="1095"/>
      <c r="N496" s="1095"/>
      <c r="O496" s="1095"/>
      <c r="P496" s="1095"/>
      <c r="Q496" s="1095"/>
      <c r="R496" s="1095"/>
      <c r="S496" s="1095"/>
      <c r="T496" s="1095"/>
      <c r="U496" s="1095"/>
      <c r="V496" s="1095"/>
      <c r="W496" s="1095"/>
      <c r="X496" s="1095"/>
      <c r="Y496" s="1095"/>
      <c r="Z496" s="1095"/>
      <c r="AA496" s="1095"/>
      <c r="AB496" s="1095"/>
    </row>
    <row r="497">
      <c r="A497" s="1095"/>
      <c r="B497" s="1095"/>
      <c r="C497" s="1095"/>
      <c r="D497" s="1095"/>
      <c r="E497" s="1095"/>
      <c r="F497" s="1095"/>
      <c r="G497" s="1095"/>
      <c r="H497" s="1095"/>
      <c r="I497" s="1095"/>
      <c r="J497" s="1095"/>
      <c r="K497" s="1095"/>
      <c r="L497" s="1095"/>
      <c r="M497" s="1095"/>
      <c r="N497" s="1095"/>
      <c r="O497" s="1095"/>
      <c r="P497" s="1095"/>
      <c r="Q497" s="1095"/>
      <c r="R497" s="1095"/>
      <c r="S497" s="1095"/>
      <c r="T497" s="1095"/>
      <c r="U497" s="1095"/>
      <c r="V497" s="1095"/>
      <c r="W497" s="1095"/>
      <c r="X497" s="1095"/>
      <c r="Y497" s="1095"/>
      <c r="Z497" s="1095"/>
      <c r="AA497" s="1095"/>
      <c r="AB497" s="1095"/>
    </row>
    <row r="498">
      <c r="A498" s="1095"/>
      <c r="B498" s="1095"/>
      <c r="C498" s="1095"/>
      <c r="D498" s="1095"/>
      <c r="E498" s="1095"/>
      <c r="F498" s="1095"/>
      <c r="G498" s="1095"/>
      <c r="H498" s="1095"/>
      <c r="I498" s="1095"/>
      <c r="J498" s="1095"/>
      <c r="K498" s="1095"/>
      <c r="L498" s="1095"/>
      <c r="M498" s="1095"/>
      <c r="N498" s="1095"/>
      <c r="O498" s="1095"/>
      <c r="P498" s="1095"/>
      <c r="Q498" s="1095"/>
      <c r="R498" s="1095"/>
      <c r="S498" s="1095"/>
      <c r="T498" s="1095"/>
      <c r="U498" s="1095"/>
      <c r="V498" s="1095"/>
      <c r="W498" s="1095"/>
      <c r="X498" s="1095"/>
      <c r="Y498" s="1095"/>
      <c r="Z498" s="1095"/>
      <c r="AA498" s="1095"/>
      <c r="AB498" s="1095"/>
    </row>
    <row r="499">
      <c r="A499" s="1095"/>
      <c r="B499" s="1095"/>
      <c r="C499" s="1095"/>
      <c r="D499" s="1095"/>
      <c r="E499" s="1095"/>
      <c r="F499" s="1095"/>
      <c r="G499" s="1095"/>
      <c r="H499" s="1095"/>
      <c r="I499" s="1095"/>
      <c r="J499" s="1095"/>
      <c r="K499" s="1095"/>
      <c r="L499" s="1095"/>
      <c r="M499" s="1095"/>
      <c r="N499" s="1095"/>
      <c r="O499" s="1095"/>
      <c r="P499" s="1095"/>
      <c r="Q499" s="1095"/>
      <c r="R499" s="1095"/>
      <c r="S499" s="1095"/>
      <c r="T499" s="1095"/>
      <c r="U499" s="1095"/>
      <c r="V499" s="1095"/>
      <c r="W499" s="1095"/>
      <c r="X499" s="1095"/>
      <c r="Y499" s="1095"/>
      <c r="Z499" s="1095"/>
      <c r="AA499" s="1095"/>
      <c r="AB499" s="1095"/>
    </row>
    <row r="500">
      <c r="A500" s="1095"/>
      <c r="B500" s="1095"/>
      <c r="C500" s="1095"/>
      <c r="D500" s="1095"/>
      <c r="E500" s="1095"/>
      <c r="F500" s="1095"/>
      <c r="G500" s="1095"/>
      <c r="H500" s="1095"/>
      <c r="I500" s="1095"/>
      <c r="J500" s="1095"/>
      <c r="K500" s="1095"/>
      <c r="L500" s="1095"/>
      <c r="M500" s="1095"/>
      <c r="N500" s="1095"/>
      <c r="O500" s="1095"/>
      <c r="P500" s="1095"/>
      <c r="Q500" s="1095"/>
      <c r="R500" s="1095"/>
      <c r="S500" s="1095"/>
      <c r="T500" s="1095"/>
      <c r="U500" s="1095"/>
      <c r="V500" s="1095"/>
      <c r="W500" s="1095"/>
      <c r="X500" s="1095"/>
      <c r="Y500" s="1095"/>
      <c r="Z500" s="1095"/>
      <c r="AA500" s="1095"/>
      <c r="AB500" s="1095"/>
    </row>
    <row r="501">
      <c r="A501" s="1095"/>
      <c r="B501" s="1095"/>
      <c r="C501" s="1095"/>
      <c r="D501" s="1095"/>
      <c r="E501" s="1095"/>
      <c r="F501" s="1095"/>
      <c r="G501" s="1095"/>
      <c r="H501" s="1095"/>
      <c r="I501" s="1095"/>
      <c r="J501" s="1095"/>
      <c r="K501" s="1095"/>
      <c r="L501" s="1095"/>
      <c r="M501" s="1095"/>
      <c r="N501" s="1095"/>
      <c r="O501" s="1095"/>
      <c r="P501" s="1095"/>
      <c r="Q501" s="1095"/>
      <c r="R501" s="1095"/>
      <c r="S501" s="1095"/>
      <c r="T501" s="1095"/>
      <c r="U501" s="1095"/>
      <c r="V501" s="1095"/>
      <c r="W501" s="1095"/>
      <c r="X501" s="1095"/>
      <c r="Y501" s="1095"/>
      <c r="Z501" s="1095"/>
      <c r="AA501" s="1095"/>
      <c r="AB501" s="1095"/>
    </row>
    <row r="502">
      <c r="A502" s="1095"/>
      <c r="B502" s="1095"/>
      <c r="C502" s="1095"/>
      <c r="D502" s="1095"/>
      <c r="E502" s="1095"/>
      <c r="F502" s="1095"/>
      <c r="G502" s="1095"/>
      <c r="H502" s="1095"/>
      <c r="I502" s="1095"/>
      <c r="J502" s="1095"/>
      <c r="K502" s="1095"/>
      <c r="L502" s="1095"/>
      <c r="M502" s="1095"/>
      <c r="N502" s="1095"/>
      <c r="O502" s="1095"/>
      <c r="P502" s="1095"/>
      <c r="Q502" s="1095"/>
      <c r="R502" s="1095"/>
      <c r="S502" s="1095"/>
      <c r="T502" s="1095"/>
      <c r="U502" s="1095"/>
      <c r="V502" s="1095"/>
      <c r="W502" s="1095"/>
      <c r="X502" s="1095"/>
      <c r="Y502" s="1095"/>
      <c r="Z502" s="1095"/>
      <c r="AA502" s="1095"/>
      <c r="AB502" s="1095"/>
    </row>
    <row r="503">
      <c r="A503" s="1095"/>
      <c r="B503" s="1095"/>
      <c r="C503" s="1095"/>
      <c r="D503" s="1095"/>
      <c r="E503" s="1095"/>
      <c r="F503" s="1095"/>
      <c r="G503" s="1095"/>
      <c r="H503" s="1095"/>
      <c r="I503" s="1095"/>
      <c r="J503" s="1095"/>
      <c r="K503" s="1095"/>
      <c r="L503" s="1095"/>
      <c r="M503" s="1095"/>
      <c r="N503" s="1095"/>
      <c r="O503" s="1095"/>
      <c r="P503" s="1095"/>
      <c r="Q503" s="1095"/>
      <c r="R503" s="1095"/>
      <c r="S503" s="1095"/>
      <c r="T503" s="1095"/>
      <c r="U503" s="1095"/>
      <c r="V503" s="1095"/>
      <c r="W503" s="1095"/>
      <c r="X503" s="1095"/>
      <c r="Y503" s="1095"/>
      <c r="Z503" s="1095"/>
      <c r="AA503" s="1095"/>
      <c r="AB503" s="1095"/>
    </row>
    <row r="504">
      <c r="A504" s="1095"/>
      <c r="B504" s="1095"/>
      <c r="C504" s="1095"/>
      <c r="D504" s="1095"/>
      <c r="E504" s="1095"/>
      <c r="F504" s="1095"/>
      <c r="G504" s="1095"/>
      <c r="H504" s="1095"/>
      <c r="I504" s="1095"/>
      <c r="J504" s="1095"/>
      <c r="K504" s="1095"/>
      <c r="L504" s="1095"/>
      <c r="M504" s="1095"/>
      <c r="N504" s="1095"/>
      <c r="O504" s="1095"/>
      <c r="P504" s="1095"/>
      <c r="Q504" s="1095"/>
      <c r="R504" s="1095"/>
      <c r="S504" s="1095"/>
      <c r="T504" s="1095"/>
      <c r="U504" s="1095"/>
      <c r="V504" s="1095"/>
      <c r="W504" s="1095"/>
      <c r="X504" s="1095"/>
      <c r="Y504" s="1095"/>
      <c r="Z504" s="1095"/>
      <c r="AA504" s="1095"/>
      <c r="AB504" s="1095"/>
    </row>
    <row r="505">
      <c r="A505" s="1095"/>
      <c r="B505" s="1095"/>
      <c r="C505" s="1095"/>
      <c r="D505" s="1095"/>
      <c r="E505" s="1095"/>
      <c r="F505" s="1095"/>
      <c r="G505" s="1095"/>
      <c r="H505" s="1095"/>
      <c r="I505" s="1095"/>
      <c r="J505" s="1095"/>
      <c r="K505" s="1095"/>
      <c r="L505" s="1095"/>
      <c r="M505" s="1095"/>
      <c r="N505" s="1095"/>
      <c r="O505" s="1095"/>
      <c r="P505" s="1095"/>
      <c r="Q505" s="1095"/>
      <c r="R505" s="1095"/>
      <c r="S505" s="1095"/>
      <c r="T505" s="1095"/>
      <c r="U505" s="1095"/>
      <c r="V505" s="1095"/>
      <c r="W505" s="1095"/>
      <c r="X505" s="1095"/>
      <c r="Y505" s="1095"/>
      <c r="Z505" s="1095"/>
      <c r="AA505" s="1095"/>
      <c r="AB505" s="1095"/>
    </row>
    <row r="506">
      <c r="A506" s="1095"/>
      <c r="B506" s="1095"/>
      <c r="C506" s="1095"/>
      <c r="D506" s="1095"/>
      <c r="E506" s="1095"/>
      <c r="F506" s="1095"/>
      <c r="G506" s="1095"/>
      <c r="H506" s="1095"/>
      <c r="I506" s="1095"/>
      <c r="J506" s="1095"/>
      <c r="K506" s="1095"/>
      <c r="L506" s="1095"/>
      <c r="M506" s="1095"/>
      <c r="N506" s="1095"/>
      <c r="O506" s="1095"/>
      <c r="P506" s="1095"/>
      <c r="Q506" s="1095"/>
      <c r="R506" s="1095"/>
      <c r="S506" s="1095"/>
      <c r="T506" s="1095"/>
      <c r="U506" s="1095"/>
      <c r="V506" s="1095"/>
      <c r="W506" s="1095"/>
      <c r="X506" s="1095"/>
      <c r="Y506" s="1095"/>
      <c r="Z506" s="1095"/>
      <c r="AA506" s="1095"/>
      <c r="AB506" s="1095"/>
    </row>
    <row r="507">
      <c r="A507" s="1095"/>
      <c r="B507" s="1095"/>
      <c r="C507" s="1095"/>
      <c r="D507" s="1095"/>
      <c r="E507" s="1095"/>
      <c r="F507" s="1095"/>
      <c r="G507" s="1095"/>
      <c r="H507" s="1095"/>
      <c r="I507" s="1095"/>
      <c r="J507" s="1095"/>
      <c r="K507" s="1095"/>
      <c r="L507" s="1095"/>
      <c r="M507" s="1095"/>
      <c r="N507" s="1095"/>
      <c r="O507" s="1095"/>
      <c r="P507" s="1095"/>
      <c r="Q507" s="1095"/>
      <c r="R507" s="1095"/>
      <c r="S507" s="1095"/>
      <c r="T507" s="1095"/>
      <c r="U507" s="1095"/>
      <c r="V507" s="1095"/>
      <c r="W507" s="1095"/>
      <c r="X507" s="1095"/>
      <c r="Y507" s="1095"/>
      <c r="Z507" s="1095"/>
      <c r="AA507" s="1095"/>
      <c r="AB507" s="1095"/>
    </row>
    <row r="508">
      <c r="A508" s="1095"/>
      <c r="B508" s="1095"/>
      <c r="C508" s="1095"/>
      <c r="D508" s="1095"/>
      <c r="E508" s="1095"/>
      <c r="F508" s="1095"/>
      <c r="G508" s="1095"/>
      <c r="H508" s="1095"/>
      <c r="I508" s="1095"/>
      <c r="J508" s="1095"/>
      <c r="K508" s="1095"/>
      <c r="L508" s="1095"/>
      <c r="M508" s="1095"/>
      <c r="N508" s="1095"/>
      <c r="O508" s="1095"/>
      <c r="P508" s="1095"/>
      <c r="Q508" s="1095"/>
      <c r="R508" s="1095"/>
      <c r="S508" s="1095"/>
      <c r="T508" s="1095"/>
      <c r="U508" s="1095"/>
      <c r="V508" s="1095"/>
      <c r="W508" s="1095"/>
      <c r="X508" s="1095"/>
      <c r="Y508" s="1095"/>
      <c r="Z508" s="1095"/>
      <c r="AA508" s="1095"/>
      <c r="AB508" s="1095"/>
    </row>
    <row r="509">
      <c r="A509" s="1095"/>
      <c r="B509" s="1095"/>
      <c r="C509" s="1095"/>
      <c r="D509" s="1095"/>
      <c r="E509" s="1095"/>
      <c r="F509" s="1095"/>
      <c r="G509" s="1095"/>
      <c r="H509" s="1095"/>
      <c r="I509" s="1095"/>
      <c r="J509" s="1095"/>
      <c r="K509" s="1095"/>
      <c r="L509" s="1095"/>
      <c r="M509" s="1095"/>
      <c r="N509" s="1095"/>
      <c r="O509" s="1095"/>
      <c r="P509" s="1095"/>
      <c r="Q509" s="1095"/>
      <c r="R509" s="1095"/>
      <c r="S509" s="1095"/>
      <c r="T509" s="1095"/>
      <c r="U509" s="1095"/>
      <c r="V509" s="1095"/>
      <c r="W509" s="1095"/>
      <c r="X509" s="1095"/>
      <c r="Y509" s="1095"/>
      <c r="Z509" s="1095"/>
      <c r="AA509" s="1095"/>
      <c r="AB509" s="1095"/>
    </row>
    <row r="510">
      <c r="A510" s="1095"/>
      <c r="B510" s="1095"/>
      <c r="C510" s="1095"/>
      <c r="D510" s="1095"/>
      <c r="E510" s="1095"/>
      <c r="F510" s="1095"/>
      <c r="G510" s="1095"/>
      <c r="H510" s="1095"/>
      <c r="I510" s="1095"/>
      <c r="J510" s="1095"/>
      <c r="K510" s="1095"/>
      <c r="L510" s="1095"/>
      <c r="M510" s="1095"/>
      <c r="N510" s="1095"/>
      <c r="O510" s="1095"/>
      <c r="P510" s="1095"/>
      <c r="Q510" s="1095"/>
      <c r="R510" s="1095"/>
      <c r="S510" s="1095"/>
      <c r="T510" s="1095"/>
      <c r="U510" s="1095"/>
      <c r="V510" s="1095"/>
      <c r="W510" s="1095"/>
      <c r="X510" s="1095"/>
      <c r="Y510" s="1095"/>
      <c r="Z510" s="1095"/>
      <c r="AA510" s="1095"/>
      <c r="AB510" s="1095"/>
    </row>
    <row r="511">
      <c r="A511" s="1095"/>
      <c r="B511" s="1095"/>
      <c r="C511" s="1095"/>
      <c r="D511" s="1095"/>
      <c r="E511" s="1095"/>
      <c r="F511" s="1095"/>
      <c r="G511" s="1095"/>
      <c r="H511" s="1095"/>
      <c r="I511" s="1095"/>
      <c r="J511" s="1095"/>
      <c r="K511" s="1095"/>
      <c r="L511" s="1095"/>
      <c r="M511" s="1095"/>
      <c r="N511" s="1095"/>
      <c r="O511" s="1095"/>
      <c r="P511" s="1095"/>
      <c r="Q511" s="1095"/>
      <c r="R511" s="1095"/>
      <c r="S511" s="1095"/>
      <c r="T511" s="1095"/>
      <c r="U511" s="1095"/>
      <c r="V511" s="1095"/>
      <c r="W511" s="1095"/>
      <c r="X511" s="1095"/>
      <c r="Y511" s="1095"/>
      <c r="Z511" s="1095"/>
      <c r="AA511" s="1095"/>
      <c r="AB511" s="1095"/>
    </row>
    <row r="512">
      <c r="A512" s="1095"/>
      <c r="B512" s="1095"/>
      <c r="C512" s="1095"/>
      <c r="D512" s="1095"/>
      <c r="E512" s="1095"/>
      <c r="F512" s="1095"/>
      <c r="G512" s="1095"/>
      <c r="H512" s="1095"/>
      <c r="I512" s="1095"/>
      <c r="J512" s="1095"/>
      <c r="K512" s="1095"/>
      <c r="L512" s="1095"/>
      <c r="M512" s="1095"/>
      <c r="N512" s="1095"/>
      <c r="O512" s="1095"/>
      <c r="P512" s="1095"/>
      <c r="Q512" s="1095"/>
      <c r="R512" s="1095"/>
      <c r="S512" s="1095"/>
      <c r="T512" s="1095"/>
      <c r="U512" s="1095"/>
      <c r="V512" s="1095"/>
      <c r="W512" s="1095"/>
      <c r="X512" s="1095"/>
      <c r="Y512" s="1095"/>
      <c r="Z512" s="1095"/>
      <c r="AA512" s="1095"/>
      <c r="AB512" s="1095"/>
    </row>
    <row r="513">
      <c r="A513" s="1095"/>
      <c r="B513" s="1095"/>
      <c r="C513" s="1095"/>
      <c r="D513" s="1095"/>
      <c r="E513" s="1095"/>
      <c r="F513" s="1095"/>
      <c r="G513" s="1095"/>
      <c r="H513" s="1095"/>
      <c r="I513" s="1095"/>
      <c r="J513" s="1095"/>
      <c r="K513" s="1095"/>
      <c r="L513" s="1095"/>
      <c r="M513" s="1095"/>
      <c r="N513" s="1095"/>
      <c r="O513" s="1095"/>
      <c r="P513" s="1095"/>
      <c r="Q513" s="1095"/>
      <c r="R513" s="1095"/>
      <c r="S513" s="1095"/>
      <c r="T513" s="1095"/>
      <c r="U513" s="1095"/>
      <c r="V513" s="1095"/>
      <c r="W513" s="1095"/>
      <c r="X513" s="1095"/>
      <c r="Y513" s="1095"/>
      <c r="Z513" s="1095"/>
      <c r="AA513" s="1095"/>
      <c r="AB513" s="1095"/>
    </row>
    <row r="514">
      <c r="A514" s="1095"/>
      <c r="B514" s="1095"/>
      <c r="C514" s="1095"/>
      <c r="D514" s="1095"/>
      <c r="E514" s="1095"/>
      <c r="F514" s="1095"/>
      <c r="G514" s="1095"/>
      <c r="H514" s="1095"/>
      <c r="I514" s="1095"/>
      <c r="J514" s="1095"/>
      <c r="K514" s="1095"/>
      <c r="L514" s="1095"/>
      <c r="M514" s="1095"/>
      <c r="N514" s="1095"/>
      <c r="O514" s="1095"/>
      <c r="P514" s="1095"/>
      <c r="Q514" s="1095"/>
      <c r="R514" s="1095"/>
      <c r="S514" s="1095"/>
      <c r="T514" s="1095"/>
      <c r="U514" s="1095"/>
      <c r="V514" s="1095"/>
      <c r="W514" s="1095"/>
      <c r="X514" s="1095"/>
      <c r="Y514" s="1095"/>
      <c r="Z514" s="1095"/>
      <c r="AA514" s="1095"/>
      <c r="AB514" s="1095"/>
    </row>
    <row r="515">
      <c r="A515" s="1095"/>
      <c r="B515" s="1095"/>
      <c r="C515" s="1095"/>
      <c r="D515" s="1095"/>
      <c r="E515" s="1095"/>
      <c r="F515" s="1095"/>
      <c r="G515" s="1095"/>
      <c r="H515" s="1095"/>
      <c r="I515" s="1095"/>
      <c r="J515" s="1095"/>
      <c r="K515" s="1095"/>
      <c r="L515" s="1095"/>
      <c r="M515" s="1095"/>
      <c r="N515" s="1095"/>
      <c r="O515" s="1095"/>
      <c r="P515" s="1095"/>
      <c r="Q515" s="1095"/>
      <c r="R515" s="1095"/>
      <c r="S515" s="1095"/>
      <c r="T515" s="1095"/>
      <c r="U515" s="1095"/>
      <c r="V515" s="1095"/>
      <c r="W515" s="1095"/>
      <c r="X515" s="1095"/>
      <c r="Y515" s="1095"/>
      <c r="Z515" s="1095"/>
      <c r="AA515" s="1095"/>
      <c r="AB515" s="1095"/>
    </row>
    <row r="516">
      <c r="A516" s="1095"/>
      <c r="B516" s="1095"/>
      <c r="C516" s="1095"/>
      <c r="D516" s="1095"/>
      <c r="E516" s="1095"/>
      <c r="F516" s="1095"/>
      <c r="G516" s="1095"/>
      <c r="H516" s="1095"/>
      <c r="I516" s="1095"/>
      <c r="J516" s="1095"/>
      <c r="K516" s="1095"/>
      <c r="L516" s="1095"/>
      <c r="M516" s="1095"/>
      <c r="N516" s="1095"/>
      <c r="O516" s="1095"/>
      <c r="P516" s="1095"/>
      <c r="Q516" s="1095"/>
      <c r="R516" s="1095"/>
      <c r="S516" s="1095"/>
      <c r="T516" s="1095"/>
      <c r="U516" s="1095"/>
      <c r="V516" s="1095"/>
      <c r="W516" s="1095"/>
      <c r="X516" s="1095"/>
      <c r="Y516" s="1095"/>
      <c r="Z516" s="1095"/>
      <c r="AA516" s="1095"/>
      <c r="AB516" s="1095"/>
    </row>
    <row r="517">
      <c r="A517" s="1095"/>
      <c r="B517" s="1095"/>
      <c r="C517" s="1095"/>
      <c r="D517" s="1095"/>
      <c r="E517" s="1095"/>
      <c r="F517" s="1095"/>
      <c r="G517" s="1095"/>
      <c r="H517" s="1095"/>
      <c r="I517" s="1095"/>
      <c r="J517" s="1095"/>
      <c r="K517" s="1095"/>
      <c r="L517" s="1095"/>
      <c r="M517" s="1095"/>
      <c r="N517" s="1095"/>
      <c r="O517" s="1095"/>
      <c r="P517" s="1095"/>
      <c r="Q517" s="1095"/>
      <c r="R517" s="1095"/>
      <c r="S517" s="1095"/>
      <c r="T517" s="1095"/>
      <c r="U517" s="1095"/>
      <c r="V517" s="1095"/>
      <c r="W517" s="1095"/>
      <c r="X517" s="1095"/>
      <c r="Y517" s="1095"/>
      <c r="Z517" s="1095"/>
      <c r="AA517" s="1095"/>
      <c r="AB517" s="1095"/>
    </row>
    <row r="518">
      <c r="A518" s="1095"/>
      <c r="B518" s="1095"/>
      <c r="C518" s="1095"/>
      <c r="D518" s="1095"/>
      <c r="E518" s="1095"/>
      <c r="F518" s="1095"/>
      <c r="G518" s="1095"/>
      <c r="H518" s="1095"/>
      <c r="I518" s="1095"/>
      <c r="J518" s="1095"/>
      <c r="K518" s="1095"/>
      <c r="L518" s="1095"/>
      <c r="M518" s="1095"/>
      <c r="N518" s="1095"/>
      <c r="O518" s="1095"/>
      <c r="P518" s="1095"/>
      <c r="Q518" s="1095"/>
      <c r="R518" s="1095"/>
      <c r="S518" s="1095"/>
      <c r="T518" s="1095"/>
      <c r="U518" s="1095"/>
      <c r="V518" s="1095"/>
      <c r="W518" s="1095"/>
      <c r="X518" s="1095"/>
      <c r="Y518" s="1095"/>
      <c r="Z518" s="1095"/>
      <c r="AA518" s="1095"/>
      <c r="AB518" s="1095"/>
    </row>
    <row r="519">
      <c r="A519" s="1095"/>
      <c r="B519" s="1095"/>
      <c r="C519" s="1095"/>
      <c r="D519" s="1095"/>
      <c r="E519" s="1095"/>
      <c r="F519" s="1095"/>
      <c r="G519" s="1095"/>
      <c r="H519" s="1095"/>
      <c r="I519" s="1095"/>
      <c r="J519" s="1095"/>
      <c r="K519" s="1095"/>
      <c r="L519" s="1095"/>
      <c r="M519" s="1095"/>
      <c r="N519" s="1095"/>
      <c r="O519" s="1095"/>
      <c r="P519" s="1095"/>
      <c r="Q519" s="1095"/>
      <c r="R519" s="1095"/>
      <c r="S519" s="1095"/>
      <c r="T519" s="1095"/>
      <c r="U519" s="1095"/>
      <c r="V519" s="1095"/>
      <c r="W519" s="1095"/>
      <c r="X519" s="1095"/>
      <c r="Y519" s="1095"/>
      <c r="Z519" s="1095"/>
      <c r="AA519" s="1095"/>
      <c r="AB519" s="1095"/>
    </row>
    <row r="520">
      <c r="A520" s="1095"/>
      <c r="B520" s="1095"/>
      <c r="C520" s="1095"/>
      <c r="D520" s="1095"/>
      <c r="E520" s="1095"/>
      <c r="F520" s="1095"/>
      <c r="G520" s="1095"/>
      <c r="H520" s="1095"/>
      <c r="I520" s="1095"/>
      <c r="J520" s="1095"/>
      <c r="K520" s="1095"/>
      <c r="L520" s="1095"/>
      <c r="M520" s="1095"/>
      <c r="N520" s="1095"/>
      <c r="O520" s="1095"/>
      <c r="P520" s="1095"/>
      <c r="Q520" s="1095"/>
      <c r="R520" s="1095"/>
      <c r="S520" s="1095"/>
      <c r="T520" s="1095"/>
      <c r="U520" s="1095"/>
      <c r="V520" s="1095"/>
      <c r="W520" s="1095"/>
      <c r="X520" s="1095"/>
      <c r="Y520" s="1095"/>
      <c r="Z520" s="1095"/>
      <c r="AA520" s="1095"/>
      <c r="AB520" s="1095"/>
    </row>
    <row r="521">
      <c r="A521" s="1095"/>
      <c r="B521" s="1095"/>
      <c r="C521" s="1095"/>
      <c r="D521" s="1095"/>
      <c r="E521" s="1095"/>
      <c r="F521" s="1095"/>
      <c r="G521" s="1095"/>
      <c r="H521" s="1095"/>
      <c r="I521" s="1095"/>
      <c r="J521" s="1095"/>
      <c r="K521" s="1095"/>
      <c r="L521" s="1095"/>
      <c r="M521" s="1095"/>
      <c r="N521" s="1095"/>
      <c r="O521" s="1095"/>
      <c r="P521" s="1095"/>
      <c r="Q521" s="1095"/>
      <c r="R521" s="1095"/>
      <c r="S521" s="1095"/>
      <c r="T521" s="1095"/>
      <c r="U521" s="1095"/>
      <c r="V521" s="1095"/>
      <c r="W521" s="1095"/>
      <c r="X521" s="1095"/>
      <c r="Y521" s="1095"/>
      <c r="Z521" s="1095"/>
      <c r="AA521" s="1095"/>
      <c r="AB521" s="1095"/>
    </row>
    <row r="522">
      <c r="A522" s="1095"/>
      <c r="B522" s="1095"/>
      <c r="C522" s="1095"/>
      <c r="D522" s="1095"/>
      <c r="E522" s="1095"/>
      <c r="F522" s="1095"/>
      <c r="G522" s="1095"/>
      <c r="H522" s="1095"/>
      <c r="I522" s="1095"/>
      <c r="J522" s="1095"/>
      <c r="K522" s="1095"/>
      <c r="L522" s="1095"/>
      <c r="M522" s="1095"/>
      <c r="N522" s="1095"/>
      <c r="O522" s="1095"/>
      <c r="P522" s="1095"/>
      <c r="Q522" s="1095"/>
      <c r="R522" s="1095"/>
      <c r="S522" s="1095"/>
      <c r="T522" s="1095"/>
      <c r="U522" s="1095"/>
      <c r="V522" s="1095"/>
      <c r="W522" s="1095"/>
      <c r="X522" s="1095"/>
      <c r="Y522" s="1095"/>
      <c r="Z522" s="1095"/>
      <c r="AA522" s="1095"/>
      <c r="AB522" s="1095"/>
    </row>
    <row r="523">
      <c r="A523" s="1095"/>
      <c r="B523" s="1095"/>
      <c r="C523" s="1095"/>
      <c r="D523" s="1095"/>
      <c r="E523" s="1095"/>
      <c r="F523" s="1095"/>
      <c r="G523" s="1095"/>
      <c r="H523" s="1095"/>
      <c r="I523" s="1095"/>
      <c r="J523" s="1095"/>
      <c r="K523" s="1095"/>
      <c r="L523" s="1095"/>
      <c r="M523" s="1095"/>
      <c r="N523" s="1095"/>
      <c r="O523" s="1095"/>
      <c r="P523" s="1095"/>
      <c r="Q523" s="1095"/>
      <c r="R523" s="1095"/>
      <c r="S523" s="1095"/>
      <c r="T523" s="1095"/>
      <c r="U523" s="1095"/>
      <c r="V523" s="1095"/>
      <c r="W523" s="1095"/>
      <c r="X523" s="1095"/>
      <c r="Y523" s="1095"/>
      <c r="Z523" s="1095"/>
      <c r="AA523" s="1095"/>
      <c r="AB523" s="1095"/>
    </row>
    <row r="524">
      <c r="A524" s="1095"/>
      <c r="B524" s="1095"/>
      <c r="C524" s="1095"/>
      <c r="D524" s="1095"/>
      <c r="E524" s="1095"/>
      <c r="F524" s="1095"/>
      <c r="G524" s="1095"/>
      <c r="H524" s="1095"/>
      <c r="I524" s="1095"/>
      <c r="J524" s="1095"/>
      <c r="K524" s="1095"/>
      <c r="L524" s="1095"/>
      <c r="M524" s="1095"/>
      <c r="N524" s="1095"/>
      <c r="O524" s="1095"/>
      <c r="P524" s="1095"/>
      <c r="Q524" s="1095"/>
      <c r="R524" s="1095"/>
      <c r="S524" s="1095"/>
      <c r="T524" s="1095"/>
      <c r="U524" s="1095"/>
      <c r="V524" s="1095"/>
      <c r="W524" s="1095"/>
      <c r="X524" s="1095"/>
      <c r="Y524" s="1095"/>
      <c r="Z524" s="1095"/>
      <c r="AA524" s="1095"/>
      <c r="AB524" s="1095"/>
    </row>
    <row r="525">
      <c r="A525" s="1095"/>
      <c r="B525" s="1095"/>
      <c r="C525" s="1095"/>
      <c r="D525" s="1095"/>
      <c r="E525" s="1095"/>
      <c r="F525" s="1095"/>
      <c r="G525" s="1095"/>
      <c r="H525" s="1095"/>
      <c r="I525" s="1095"/>
      <c r="J525" s="1095"/>
      <c r="K525" s="1095"/>
      <c r="L525" s="1095"/>
      <c r="M525" s="1095"/>
      <c r="N525" s="1095"/>
      <c r="O525" s="1095"/>
      <c r="P525" s="1095"/>
      <c r="Q525" s="1095"/>
      <c r="R525" s="1095"/>
      <c r="S525" s="1095"/>
      <c r="T525" s="1095"/>
      <c r="U525" s="1095"/>
      <c r="V525" s="1095"/>
      <c r="W525" s="1095"/>
      <c r="X525" s="1095"/>
      <c r="Y525" s="1095"/>
      <c r="Z525" s="1095"/>
      <c r="AA525" s="1095"/>
      <c r="AB525" s="1095"/>
    </row>
    <row r="526">
      <c r="A526" s="1095"/>
      <c r="B526" s="1095"/>
      <c r="C526" s="1095"/>
      <c r="D526" s="1095"/>
      <c r="E526" s="1095"/>
      <c r="F526" s="1095"/>
      <c r="G526" s="1095"/>
      <c r="H526" s="1095"/>
      <c r="I526" s="1095"/>
      <c r="J526" s="1095"/>
      <c r="K526" s="1095"/>
      <c r="L526" s="1095"/>
      <c r="M526" s="1095"/>
      <c r="N526" s="1095"/>
      <c r="O526" s="1095"/>
      <c r="P526" s="1095"/>
      <c r="Q526" s="1095"/>
      <c r="R526" s="1095"/>
      <c r="S526" s="1095"/>
      <c r="T526" s="1095"/>
      <c r="U526" s="1095"/>
      <c r="V526" s="1095"/>
      <c r="W526" s="1095"/>
      <c r="X526" s="1095"/>
      <c r="Y526" s="1095"/>
      <c r="Z526" s="1095"/>
      <c r="AA526" s="1095"/>
      <c r="AB526" s="1095"/>
    </row>
    <row r="527">
      <c r="A527" s="1095"/>
      <c r="B527" s="1095"/>
      <c r="C527" s="1095"/>
      <c r="D527" s="1095"/>
      <c r="E527" s="1095"/>
      <c r="F527" s="1095"/>
      <c r="G527" s="1095"/>
      <c r="H527" s="1095"/>
      <c r="I527" s="1095"/>
      <c r="J527" s="1095"/>
      <c r="K527" s="1095"/>
      <c r="L527" s="1095"/>
      <c r="M527" s="1095"/>
      <c r="N527" s="1095"/>
      <c r="O527" s="1095"/>
      <c r="P527" s="1095"/>
      <c r="Q527" s="1095"/>
      <c r="R527" s="1095"/>
      <c r="S527" s="1095"/>
      <c r="T527" s="1095"/>
      <c r="U527" s="1095"/>
      <c r="V527" s="1095"/>
      <c r="W527" s="1095"/>
      <c r="X527" s="1095"/>
      <c r="Y527" s="1095"/>
      <c r="Z527" s="1095"/>
      <c r="AA527" s="1095"/>
      <c r="AB527" s="1095"/>
    </row>
    <row r="528">
      <c r="A528" s="1095"/>
      <c r="B528" s="1095"/>
      <c r="C528" s="1095"/>
      <c r="D528" s="1095"/>
      <c r="E528" s="1095"/>
      <c r="F528" s="1095"/>
      <c r="G528" s="1095"/>
      <c r="H528" s="1095"/>
      <c r="I528" s="1095"/>
      <c r="J528" s="1095"/>
      <c r="K528" s="1095"/>
      <c r="L528" s="1095"/>
      <c r="M528" s="1095"/>
      <c r="N528" s="1095"/>
      <c r="O528" s="1095"/>
      <c r="P528" s="1095"/>
      <c r="Q528" s="1095"/>
      <c r="R528" s="1095"/>
      <c r="S528" s="1095"/>
      <c r="T528" s="1095"/>
      <c r="U528" s="1095"/>
      <c r="V528" s="1095"/>
      <c r="W528" s="1095"/>
      <c r="X528" s="1095"/>
      <c r="Y528" s="1095"/>
      <c r="Z528" s="1095"/>
      <c r="AA528" s="1095"/>
      <c r="AB528" s="1095"/>
    </row>
    <row r="529">
      <c r="A529" s="1095"/>
      <c r="B529" s="1095"/>
      <c r="C529" s="1095"/>
      <c r="D529" s="1095"/>
      <c r="E529" s="1095"/>
      <c r="F529" s="1095"/>
      <c r="G529" s="1095"/>
      <c r="H529" s="1095"/>
      <c r="I529" s="1095"/>
      <c r="J529" s="1095"/>
      <c r="K529" s="1095"/>
      <c r="L529" s="1095"/>
      <c r="M529" s="1095"/>
      <c r="N529" s="1095"/>
      <c r="O529" s="1095"/>
      <c r="P529" s="1095"/>
      <c r="Q529" s="1095"/>
      <c r="R529" s="1095"/>
      <c r="S529" s="1095"/>
      <c r="T529" s="1095"/>
      <c r="U529" s="1095"/>
      <c r="V529" s="1095"/>
      <c r="W529" s="1095"/>
      <c r="X529" s="1095"/>
      <c r="Y529" s="1095"/>
      <c r="Z529" s="1095"/>
      <c r="AA529" s="1095"/>
      <c r="AB529" s="1095"/>
    </row>
    <row r="530">
      <c r="A530" s="1095"/>
      <c r="B530" s="1095"/>
      <c r="C530" s="1095"/>
      <c r="D530" s="1095"/>
      <c r="E530" s="1095"/>
      <c r="F530" s="1095"/>
      <c r="G530" s="1095"/>
      <c r="H530" s="1095"/>
      <c r="I530" s="1095"/>
      <c r="J530" s="1095"/>
      <c r="K530" s="1095"/>
      <c r="L530" s="1095"/>
      <c r="M530" s="1095"/>
      <c r="N530" s="1095"/>
      <c r="O530" s="1095"/>
      <c r="P530" s="1095"/>
      <c r="Q530" s="1095"/>
      <c r="R530" s="1095"/>
      <c r="S530" s="1095"/>
      <c r="T530" s="1095"/>
      <c r="U530" s="1095"/>
      <c r="V530" s="1095"/>
      <c r="W530" s="1095"/>
      <c r="X530" s="1095"/>
      <c r="Y530" s="1095"/>
      <c r="Z530" s="1095"/>
      <c r="AA530" s="1095"/>
      <c r="AB530" s="1095"/>
    </row>
    <row r="531">
      <c r="A531" s="1095"/>
      <c r="B531" s="1095"/>
      <c r="C531" s="1095"/>
      <c r="D531" s="1095"/>
      <c r="E531" s="1095"/>
      <c r="F531" s="1095"/>
      <c r="G531" s="1095"/>
      <c r="H531" s="1095"/>
      <c r="I531" s="1095"/>
      <c r="J531" s="1095"/>
      <c r="K531" s="1095"/>
      <c r="L531" s="1095"/>
      <c r="M531" s="1095"/>
      <c r="N531" s="1095"/>
      <c r="O531" s="1095"/>
      <c r="P531" s="1095"/>
      <c r="Q531" s="1095"/>
      <c r="R531" s="1095"/>
      <c r="S531" s="1095"/>
      <c r="T531" s="1095"/>
      <c r="U531" s="1095"/>
      <c r="V531" s="1095"/>
      <c r="W531" s="1095"/>
      <c r="X531" s="1095"/>
      <c r="Y531" s="1095"/>
      <c r="Z531" s="1095"/>
      <c r="AA531" s="1095"/>
      <c r="AB531" s="1095"/>
    </row>
    <row r="532">
      <c r="A532" s="1095"/>
      <c r="B532" s="1095"/>
      <c r="C532" s="1095"/>
      <c r="D532" s="1095"/>
      <c r="E532" s="1095"/>
      <c r="F532" s="1095"/>
      <c r="G532" s="1095"/>
      <c r="H532" s="1095"/>
      <c r="I532" s="1095"/>
      <c r="J532" s="1095"/>
      <c r="K532" s="1095"/>
      <c r="L532" s="1095"/>
      <c r="M532" s="1095"/>
      <c r="N532" s="1095"/>
      <c r="O532" s="1095"/>
      <c r="P532" s="1095"/>
      <c r="Q532" s="1095"/>
      <c r="R532" s="1095"/>
      <c r="S532" s="1095"/>
      <c r="T532" s="1095"/>
      <c r="U532" s="1095"/>
      <c r="V532" s="1095"/>
      <c r="W532" s="1095"/>
      <c r="X532" s="1095"/>
      <c r="Y532" s="1095"/>
      <c r="Z532" s="1095"/>
      <c r="AA532" s="1095"/>
      <c r="AB532" s="1095"/>
    </row>
    <row r="533">
      <c r="A533" s="1095"/>
      <c r="B533" s="1095"/>
      <c r="C533" s="1095"/>
      <c r="D533" s="1095"/>
      <c r="E533" s="1095"/>
      <c r="F533" s="1095"/>
      <c r="G533" s="1095"/>
      <c r="H533" s="1095"/>
      <c r="I533" s="1095"/>
      <c r="J533" s="1095"/>
      <c r="K533" s="1095"/>
      <c r="L533" s="1095"/>
      <c r="M533" s="1095"/>
      <c r="N533" s="1095"/>
      <c r="O533" s="1095"/>
      <c r="P533" s="1095"/>
      <c r="Q533" s="1095"/>
      <c r="R533" s="1095"/>
      <c r="S533" s="1095"/>
      <c r="T533" s="1095"/>
      <c r="U533" s="1095"/>
      <c r="V533" s="1095"/>
      <c r="W533" s="1095"/>
      <c r="X533" s="1095"/>
      <c r="Y533" s="1095"/>
      <c r="Z533" s="1095"/>
      <c r="AA533" s="1095"/>
      <c r="AB533" s="1095"/>
    </row>
    <row r="534">
      <c r="A534" s="1095"/>
      <c r="B534" s="1095"/>
      <c r="C534" s="1095"/>
      <c r="D534" s="1095"/>
      <c r="E534" s="1095"/>
      <c r="F534" s="1095"/>
      <c r="G534" s="1095"/>
      <c r="H534" s="1095"/>
      <c r="I534" s="1095"/>
      <c r="J534" s="1095"/>
      <c r="K534" s="1095"/>
      <c r="L534" s="1095"/>
      <c r="M534" s="1095"/>
      <c r="N534" s="1095"/>
      <c r="O534" s="1095"/>
      <c r="P534" s="1095"/>
      <c r="Q534" s="1095"/>
      <c r="R534" s="1095"/>
      <c r="S534" s="1095"/>
      <c r="T534" s="1095"/>
      <c r="U534" s="1095"/>
      <c r="V534" s="1095"/>
      <c r="W534" s="1095"/>
      <c r="X534" s="1095"/>
      <c r="Y534" s="1095"/>
      <c r="Z534" s="1095"/>
      <c r="AA534" s="1095"/>
      <c r="AB534" s="1095"/>
    </row>
    <row r="535">
      <c r="A535" s="1095"/>
      <c r="B535" s="1095"/>
      <c r="C535" s="1095"/>
      <c r="D535" s="1095"/>
      <c r="E535" s="1095"/>
      <c r="F535" s="1095"/>
      <c r="G535" s="1095"/>
      <c r="H535" s="1095"/>
      <c r="I535" s="1095"/>
      <c r="J535" s="1095"/>
      <c r="K535" s="1095"/>
      <c r="L535" s="1095"/>
      <c r="M535" s="1095"/>
      <c r="N535" s="1095"/>
      <c r="O535" s="1095"/>
      <c r="P535" s="1095"/>
      <c r="Q535" s="1095"/>
      <c r="R535" s="1095"/>
      <c r="S535" s="1095"/>
      <c r="T535" s="1095"/>
      <c r="U535" s="1095"/>
      <c r="V535" s="1095"/>
      <c r="W535" s="1095"/>
      <c r="X535" s="1095"/>
      <c r="Y535" s="1095"/>
      <c r="Z535" s="1095"/>
      <c r="AA535" s="1095"/>
      <c r="AB535" s="1095"/>
    </row>
    <row r="536">
      <c r="A536" s="1095"/>
      <c r="B536" s="1095"/>
      <c r="C536" s="1095"/>
      <c r="D536" s="1095"/>
      <c r="E536" s="1095"/>
      <c r="F536" s="1095"/>
      <c r="G536" s="1095"/>
      <c r="H536" s="1095"/>
      <c r="I536" s="1095"/>
      <c r="J536" s="1095"/>
      <c r="K536" s="1095"/>
      <c r="L536" s="1095"/>
      <c r="M536" s="1095"/>
      <c r="N536" s="1095"/>
      <c r="O536" s="1095"/>
      <c r="P536" s="1095"/>
      <c r="Q536" s="1095"/>
      <c r="R536" s="1095"/>
      <c r="S536" s="1095"/>
      <c r="T536" s="1095"/>
      <c r="U536" s="1095"/>
      <c r="V536" s="1095"/>
      <c r="W536" s="1095"/>
      <c r="X536" s="1095"/>
      <c r="Y536" s="1095"/>
      <c r="Z536" s="1095"/>
      <c r="AA536" s="1095"/>
      <c r="AB536" s="1095"/>
    </row>
    <row r="537">
      <c r="A537" s="1095"/>
      <c r="B537" s="1095"/>
      <c r="C537" s="1095"/>
      <c r="D537" s="1095"/>
      <c r="E537" s="1095"/>
      <c r="F537" s="1095"/>
      <c r="G537" s="1095"/>
      <c r="H537" s="1095"/>
      <c r="I537" s="1095"/>
      <c r="J537" s="1095"/>
      <c r="K537" s="1095"/>
      <c r="L537" s="1095"/>
      <c r="M537" s="1095"/>
      <c r="N537" s="1095"/>
      <c r="O537" s="1095"/>
      <c r="P537" s="1095"/>
      <c r="Q537" s="1095"/>
      <c r="R537" s="1095"/>
      <c r="S537" s="1095"/>
      <c r="T537" s="1095"/>
      <c r="U537" s="1095"/>
      <c r="V537" s="1095"/>
      <c r="W537" s="1095"/>
      <c r="X537" s="1095"/>
      <c r="Y537" s="1095"/>
      <c r="Z537" s="1095"/>
      <c r="AA537" s="1095"/>
      <c r="AB537" s="1095"/>
    </row>
    <row r="538">
      <c r="A538" s="1095"/>
      <c r="B538" s="1095"/>
      <c r="C538" s="1095"/>
      <c r="D538" s="1095"/>
      <c r="E538" s="1095"/>
      <c r="F538" s="1095"/>
      <c r="G538" s="1095"/>
      <c r="H538" s="1095"/>
      <c r="I538" s="1095"/>
      <c r="J538" s="1095"/>
      <c r="K538" s="1095"/>
      <c r="L538" s="1095"/>
      <c r="M538" s="1095"/>
      <c r="N538" s="1095"/>
      <c r="O538" s="1095"/>
      <c r="P538" s="1095"/>
      <c r="Q538" s="1095"/>
      <c r="R538" s="1095"/>
      <c r="S538" s="1095"/>
      <c r="T538" s="1095"/>
      <c r="U538" s="1095"/>
      <c r="V538" s="1095"/>
      <c r="W538" s="1095"/>
      <c r="X538" s="1095"/>
      <c r="Y538" s="1095"/>
      <c r="Z538" s="1095"/>
      <c r="AA538" s="1095"/>
      <c r="AB538" s="1095"/>
    </row>
    <row r="539">
      <c r="A539" s="1095"/>
      <c r="B539" s="1095"/>
      <c r="C539" s="1095"/>
      <c r="D539" s="1095"/>
      <c r="E539" s="1095"/>
      <c r="F539" s="1095"/>
      <c r="G539" s="1095"/>
      <c r="H539" s="1095"/>
      <c r="I539" s="1095"/>
      <c r="J539" s="1095"/>
      <c r="K539" s="1095"/>
      <c r="L539" s="1095"/>
      <c r="M539" s="1095"/>
      <c r="N539" s="1095"/>
      <c r="O539" s="1095"/>
      <c r="P539" s="1095"/>
      <c r="Q539" s="1095"/>
      <c r="R539" s="1095"/>
      <c r="S539" s="1095"/>
      <c r="T539" s="1095"/>
      <c r="U539" s="1095"/>
      <c r="V539" s="1095"/>
      <c r="W539" s="1095"/>
      <c r="X539" s="1095"/>
      <c r="Y539" s="1095"/>
      <c r="Z539" s="1095"/>
      <c r="AA539" s="1095"/>
      <c r="AB539" s="1095"/>
    </row>
    <row r="540">
      <c r="A540" s="1095"/>
      <c r="B540" s="1095"/>
      <c r="C540" s="1095"/>
      <c r="D540" s="1095"/>
      <c r="E540" s="1095"/>
      <c r="F540" s="1095"/>
      <c r="G540" s="1095"/>
      <c r="H540" s="1095"/>
      <c r="I540" s="1095"/>
      <c r="J540" s="1095"/>
      <c r="K540" s="1095"/>
      <c r="L540" s="1095"/>
      <c r="M540" s="1095"/>
      <c r="N540" s="1095"/>
      <c r="O540" s="1095"/>
      <c r="P540" s="1095"/>
      <c r="Q540" s="1095"/>
      <c r="R540" s="1095"/>
      <c r="S540" s="1095"/>
      <c r="T540" s="1095"/>
      <c r="U540" s="1095"/>
      <c r="V540" s="1095"/>
      <c r="W540" s="1095"/>
      <c r="X540" s="1095"/>
      <c r="Y540" s="1095"/>
      <c r="Z540" s="1095"/>
      <c r="AA540" s="1095"/>
      <c r="AB540" s="1095"/>
    </row>
    <row r="541">
      <c r="A541" s="1095"/>
      <c r="B541" s="1095"/>
      <c r="C541" s="1095"/>
      <c r="D541" s="1095"/>
      <c r="E541" s="1095"/>
      <c r="F541" s="1095"/>
      <c r="G541" s="1095"/>
      <c r="H541" s="1095"/>
      <c r="I541" s="1095"/>
      <c r="J541" s="1095"/>
      <c r="K541" s="1095"/>
      <c r="L541" s="1095"/>
      <c r="M541" s="1095"/>
      <c r="N541" s="1095"/>
      <c r="O541" s="1095"/>
      <c r="P541" s="1095"/>
      <c r="Q541" s="1095"/>
      <c r="R541" s="1095"/>
      <c r="S541" s="1095"/>
      <c r="T541" s="1095"/>
      <c r="U541" s="1095"/>
      <c r="V541" s="1095"/>
      <c r="W541" s="1095"/>
      <c r="X541" s="1095"/>
      <c r="Y541" s="1095"/>
      <c r="Z541" s="1095"/>
      <c r="AA541" s="1095"/>
      <c r="AB541" s="1095"/>
    </row>
    <row r="542">
      <c r="A542" s="1095"/>
      <c r="B542" s="1095"/>
      <c r="C542" s="1095"/>
      <c r="D542" s="1095"/>
      <c r="E542" s="1095"/>
      <c r="F542" s="1095"/>
      <c r="G542" s="1095"/>
      <c r="H542" s="1095"/>
      <c r="I542" s="1095"/>
      <c r="J542" s="1095"/>
      <c r="K542" s="1095"/>
      <c r="L542" s="1095"/>
      <c r="M542" s="1095"/>
      <c r="N542" s="1095"/>
      <c r="O542" s="1095"/>
      <c r="P542" s="1095"/>
      <c r="Q542" s="1095"/>
      <c r="R542" s="1095"/>
      <c r="S542" s="1095"/>
      <c r="T542" s="1095"/>
      <c r="U542" s="1095"/>
      <c r="V542" s="1095"/>
      <c r="W542" s="1095"/>
      <c r="X542" s="1095"/>
      <c r="Y542" s="1095"/>
      <c r="Z542" s="1095"/>
      <c r="AA542" s="1095"/>
      <c r="AB542" s="1095"/>
    </row>
    <row r="543">
      <c r="A543" s="1095"/>
      <c r="B543" s="1095"/>
      <c r="C543" s="1095"/>
      <c r="D543" s="1095"/>
      <c r="E543" s="1095"/>
      <c r="F543" s="1095"/>
      <c r="G543" s="1095"/>
      <c r="H543" s="1095"/>
      <c r="I543" s="1095"/>
      <c r="J543" s="1095"/>
      <c r="K543" s="1095"/>
      <c r="L543" s="1095"/>
      <c r="M543" s="1095"/>
      <c r="N543" s="1095"/>
      <c r="O543" s="1095"/>
      <c r="P543" s="1095"/>
      <c r="Q543" s="1095"/>
      <c r="R543" s="1095"/>
      <c r="S543" s="1095"/>
      <c r="T543" s="1095"/>
      <c r="U543" s="1095"/>
      <c r="V543" s="1095"/>
      <c r="W543" s="1095"/>
      <c r="X543" s="1095"/>
      <c r="Y543" s="1095"/>
      <c r="Z543" s="1095"/>
      <c r="AA543" s="1095"/>
      <c r="AB543" s="1095"/>
    </row>
    <row r="544">
      <c r="A544" s="1095"/>
      <c r="B544" s="1095"/>
      <c r="C544" s="1095"/>
      <c r="D544" s="1095"/>
      <c r="E544" s="1095"/>
      <c r="F544" s="1095"/>
      <c r="G544" s="1095"/>
      <c r="H544" s="1095"/>
      <c r="I544" s="1095"/>
      <c r="J544" s="1095"/>
      <c r="K544" s="1095"/>
      <c r="L544" s="1095"/>
      <c r="M544" s="1095"/>
      <c r="N544" s="1095"/>
      <c r="O544" s="1095"/>
      <c r="P544" s="1095"/>
      <c r="Q544" s="1095"/>
      <c r="R544" s="1095"/>
      <c r="S544" s="1095"/>
      <c r="T544" s="1095"/>
      <c r="U544" s="1095"/>
      <c r="V544" s="1095"/>
      <c r="W544" s="1095"/>
      <c r="X544" s="1095"/>
      <c r="Y544" s="1095"/>
      <c r="Z544" s="1095"/>
      <c r="AA544" s="1095"/>
      <c r="AB544" s="1095"/>
    </row>
    <row r="545">
      <c r="A545" s="1095"/>
      <c r="B545" s="1095"/>
      <c r="C545" s="1095"/>
      <c r="D545" s="1095"/>
      <c r="E545" s="1095"/>
      <c r="F545" s="1095"/>
      <c r="G545" s="1095"/>
      <c r="H545" s="1095"/>
      <c r="I545" s="1095"/>
      <c r="J545" s="1095"/>
      <c r="K545" s="1095"/>
      <c r="L545" s="1095"/>
      <c r="M545" s="1095"/>
      <c r="N545" s="1095"/>
      <c r="O545" s="1095"/>
      <c r="P545" s="1095"/>
      <c r="Q545" s="1095"/>
      <c r="R545" s="1095"/>
      <c r="S545" s="1095"/>
      <c r="T545" s="1095"/>
      <c r="U545" s="1095"/>
      <c r="V545" s="1095"/>
      <c r="W545" s="1095"/>
      <c r="X545" s="1095"/>
      <c r="Y545" s="1095"/>
      <c r="Z545" s="1095"/>
      <c r="AA545" s="1095"/>
      <c r="AB545" s="1095"/>
    </row>
    <row r="546">
      <c r="A546" s="1095"/>
      <c r="B546" s="1095"/>
      <c r="C546" s="1095"/>
      <c r="D546" s="1095"/>
      <c r="E546" s="1095"/>
      <c r="F546" s="1095"/>
      <c r="G546" s="1095"/>
      <c r="H546" s="1095"/>
      <c r="I546" s="1095"/>
      <c r="J546" s="1095"/>
      <c r="K546" s="1095"/>
      <c r="L546" s="1095"/>
      <c r="M546" s="1095"/>
      <c r="N546" s="1095"/>
      <c r="O546" s="1095"/>
      <c r="P546" s="1095"/>
      <c r="Q546" s="1095"/>
      <c r="R546" s="1095"/>
      <c r="S546" s="1095"/>
      <c r="T546" s="1095"/>
      <c r="U546" s="1095"/>
      <c r="V546" s="1095"/>
      <c r="W546" s="1095"/>
      <c r="X546" s="1095"/>
      <c r="Y546" s="1095"/>
      <c r="Z546" s="1095"/>
      <c r="AA546" s="1095"/>
      <c r="AB546" s="1095"/>
    </row>
    <row r="547">
      <c r="A547" s="1095"/>
      <c r="B547" s="1095"/>
      <c r="C547" s="1095"/>
      <c r="D547" s="1095"/>
      <c r="E547" s="1095"/>
      <c r="F547" s="1095"/>
      <c r="G547" s="1095"/>
      <c r="H547" s="1095"/>
      <c r="I547" s="1095"/>
      <c r="J547" s="1095"/>
      <c r="K547" s="1095"/>
      <c r="L547" s="1095"/>
      <c r="M547" s="1095"/>
      <c r="N547" s="1095"/>
      <c r="O547" s="1095"/>
      <c r="P547" s="1095"/>
      <c r="Q547" s="1095"/>
      <c r="R547" s="1095"/>
      <c r="S547" s="1095"/>
      <c r="T547" s="1095"/>
      <c r="U547" s="1095"/>
      <c r="V547" s="1095"/>
      <c r="W547" s="1095"/>
      <c r="X547" s="1095"/>
      <c r="Y547" s="1095"/>
      <c r="Z547" s="1095"/>
      <c r="AA547" s="1095"/>
      <c r="AB547" s="1095"/>
    </row>
    <row r="548">
      <c r="A548" s="1095"/>
      <c r="B548" s="1095"/>
      <c r="C548" s="1095"/>
      <c r="D548" s="1095"/>
      <c r="E548" s="1095"/>
      <c r="F548" s="1095"/>
      <c r="G548" s="1095"/>
      <c r="H548" s="1095"/>
      <c r="I548" s="1095"/>
      <c r="J548" s="1095"/>
      <c r="K548" s="1095"/>
      <c r="L548" s="1095"/>
      <c r="M548" s="1095"/>
      <c r="N548" s="1095"/>
      <c r="O548" s="1095"/>
      <c r="P548" s="1095"/>
      <c r="Q548" s="1095"/>
      <c r="R548" s="1095"/>
      <c r="S548" s="1095"/>
      <c r="T548" s="1095"/>
      <c r="U548" s="1095"/>
      <c r="V548" s="1095"/>
      <c r="W548" s="1095"/>
      <c r="X548" s="1095"/>
      <c r="Y548" s="1095"/>
      <c r="Z548" s="1095"/>
      <c r="AA548" s="1095"/>
      <c r="AB548" s="1095"/>
    </row>
    <row r="549">
      <c r="A549" s="1095"/>
      <c r="B549" s="1095"/>
      <c r="C549" s="1095"/>
      <c r="D549" s="1095"/>
      <c r="E549" s="1095"/>
      <c r="F549" s="1095"/>
      <c r="G549" s="1095"/>
      <c r="H549" s="1095"/>
      <c r="I549" s="1095"/>
      <c r="J549" s="1095"/>
      <c r="K549" s="1095"/>
      <c r="L549" s="1095"/>
      <c r="M549" s="1095"/>
      <c r="N549" s="1095"/>
      <c r="O549" s="1095"/>
      <c r="P549" s="1095"/>
      <c r="Q549" s="1095"/>
      <c r="R549" s="1095"/>
      <c r="S549" s="1095"/>
      <c r="T549" s="1095"/>
      <c r="U549" s="1095"/>
      <c r="V549" s="1095"/>
      <c r="W549" s="1095"/>
      <c r="X549" s="1095"/>
      <c r="Y549" s="1095"/>
      <c r="Z549" s="1095"/>
      <c r="AA549" s="1095"/>
      <c r="AB549" s="1095"/>
    </row>
    <row r="550">
      <c r="A550" s="1095"/>
      <c r="B550" s="1095"/>
      <c r="C550" s="1095"/>
      <c r="D550" s="1095"/>
      <c r="E550" s="1095"/>
      <c r="F550" s="1095"/>
      <c r="G550" s="1095"/>
      <c r="H550" s="1095"/>
      <c r="I550" s="1095"/>
      <c r="J550" s="1095"/>
      <c r="K550" s="1095"/>
      <c r="L550" s="1095"/>
      <c r="M550" s="1095"/>
      <c r="N550" s="1095"/>
      <c r="O550" s="1095"/>
      <c r="P550" s="1095"/>
      <c r="Q550" s="1095"/>
      <c r="R550" s="1095"/>
      <c r="S550" s="1095"/>
      <c r="T550" s="1095"/>
      <c r="U550" s="1095"/>
      <c r="V550" s="1095"/>
      <c r="W550" s="1095"/>
      <c r="X550" s="1095"/>
      <c r="Y550" s="1095"/>
      <c r="Z550" s="1095"/>
      <c r="AA550" s="1095"/>
      <c r="AB550" s="1095"/>
    </row>
    <row r="551">
      <c r="A551" s="1095"/>
      <c r="B551" s="1095"/>
      <c r="C551" s="1095"/>
      <c r="D551" s="1095"/>
      <c r="E551" s="1095"/>
      <c r="F551" s="1095"/>
      <c r="G551" s="1095"/>
      <c r="H551" s="1095"/>
      <c r="I551" s="1095"/>
      <c r="J551" s="1095"/>
      <c r="K551" s="1095"/>
      <c r="L551" s="1095"/>
      <c r="M551" s="1095"/>
      <c r="N551" s="1095"/>
      <c r="O551" s="1095"/>
      <c r="P551" s="1095"/>
      <c r="Q551" s="1095"/>
      <c r="R551" s="1095"/>
      <c r="S551" s="1095"/>
      <c r="T551" s="1095"/>
      <c r="U551" s="1095"/>
      <c r="V551" s="1095"/>
      <c r="W551" s="1095"/>
      <c r="X551" s="1095"/>
      <c r="Y551" s="1095"/>
      <c r="Z551" s="1095"/>
      <c r="AA551" s="1095"/>
      <c r="AB551" s="1095"/>
    </row>
    <row r="552">
      <c r="A552" s="1095"/>
      <c r="B552" s="1095"/>
      <c r="C552" s="1095"/>
      <c r="D552" s="1095"/>
      <c r="E552" s="1095"/>
      <c r="F552" s="1095"/>
      <c r="G552" s="1095"/>
      <c r="H552" s="1095"/>
      <c r="I552" s="1095"/>
      <c r="J552" s="1095"/>
      <c r="K552" s="1095"/>
      <c r="L552" s="1095"/>
      <c r="M552" s="1095"/>
      <c r="N552" s="1095"/>
      <c r="O552" s="1095"/>
      <c r="P552" s="1095"/>
      <c r="Q552" s="1095"/>
      <c r="R552" s="1095"/>
      <c r="S552" s="1095"/>
      <c r="T552" s="1095"/>
      <c r="U552" s="1095"/>
      <c r="V552" s="1095"/>
      <c r="W552" s="1095"/>
      <c r="X552" s="1095"/>
      <c r="Y552" s="1095"/>
      <c r="Z552" s="1095"/>
      <c r="AA552" s="1095"/>
      <c r="AB552" s="1095"/>
    </row>
    <row r="553">
      <c r="A553" s="1095"/>
      <c r="B553" s="1095"/>
      <c r="C553" s="1095"/>
      <c r="D553" s="1095"/>
      <c r="E553" s="1095"/>
      <c r="F553" s="1095"/>
      <c r="G553" s="1095"/>
      <c r="H553" s="1095"/>
      <c r="I553" s="1095"/>
      <c r="J553" s="1095"/>
      <c r="K553" s="1095"/>
      <c r="L553" s="1095"/>
      <c r="M553" s="1095"/>
      <c r="N553" s="1095"/>
      <c r="O553" s="1095"/>
      <c r="P553" s="1095"/>
      <c r="Q553" s="1095"/>
      <c r="R553" s="1095"/>
      <c r="S553" s="1095"/>
      <c r="T553" s="1095"/>
      <c r="U553" s="1095"/>
      <c r="V553" s="1095"/>
      <c r="W553" s="1095"/>
      <c r="X553" s="1095"/>
      <c r="Y553" s="1095"/>
      <c r="Z553" s="1095"/>
      <c r="AA553" s="1095"/>
      <c r="AB553" s="1095"/>
    </row>
    <row r="554">
      <c r="A554" s="1095"/>
      <c r="B554" s="1095"/>
      <c r="C554" s="1095"/>
      <c r="D554" s="1095"/>
      <c r="E554" s="1095"/>
      <c r="F554" s="1095"/>
      <c r="G554" s="1095"/>
      <c r="H554" s="1095"/>
      <c r="I554" s="1095"/>
      <c r="J554" s="1095"/>
      <c r="K554" s="1095"/>
      <c r="L554" s="1095"/>
      <c r="M554" s="1095"/>
      <c r="N554" s="1095"/>
      <c r="O554" s="1095"/>
      <c r="P554" s="1095"/>
      <c r="Q554" s="1095"/>
      <c r="R554" s="1095"/>
      <c r="S554" s="1095"/>
      <c r="T554" s="1095"/>
      <c r="U554" s="1095"/>
      <c r="V554" s="1095"/>
      <c r="W554" s="1095"/>
      <c r="X554" s="1095"/>
      <c r="Y554" s="1095"/>
      <c r="Z554" s="1095"/>
      <c r="AA554" s="1095"/>
      <c r="AB554" s="1095"/>
    </row>
    <row r="555">
      <c r="A555" s="1095"/>
      <c r="B555" s="1095"/>
      <c r="C555" s="1095"/>
      <c r="D555" s="1095"/>
      <c r="E555" s="1095"/>
      <c r="F555" s="1095"/>
      <c r="G555" s="1095"/>
      <c r="H555" s="1095"/>
      <c r="I555" s="1095"/>
      <c r="J555" s="1095"/>
      <c r="K555" s="1095"/>
      <c r="L555" s="1095"/>
      <c r="M555" s="1095"/>
      <c r="N555" s="1095"/>
      <c r="O555" s="1095"/>
      <c r="P555" s="1095"/>
      <c r="Q555" s="1095"/>
      <c r="R555" s="1095"/>
      <c r="S555" s="1095"/>
      <c r="T555" s="1095"/>
      <c r="U555" s="1095"/>
      <c r="V555" s="1095"/>
      <c r="W555" s="1095"/>
      <c r="X555" s="1095"/>
      <c r="Y555" s="1095"/>
      <c r="Z555" s="1095"/>
      <c r="AA555" s="1095"/>
      <c r="AB555" s="1095"/>
    </row>
    <row r="556">
      <c r="A556" s="1095"/>
      <c r="B556" s="1095"/>
      <c r="C556" s="1095"/>
      <c r="D556" s="1095"/>
      <c r="E556" s="1095"/>
      <c r="F556" s="1095"/>
      <c r="G556" s="1095"/>
      <c r="H556" s="1095"/>
      <c r="I556" s="1095"/>
      <c r="J556" s="1095"/>
      <c r="K556" s="1095"/>
      <c r="L556" s="1095"/>
      <c r="M556" s="1095"/>
      <c r="N556" s="1095"/>
      <c r="O556" s="1095"/>
      <c r="P556" s="1095"/>
      <c r="Q556" s="1095"/>
      <c r="R556" s="1095"/>
      <c r="S556" s="1095"/>
      <c r="T556" s="1095"/>
      <c r="U556" s="1095"/>
      <c r="V556" s="1095"/>
      <c r="W556" s="1095"/>
      <c r="X556" s="1095"/>
      <c r="Y556" s="1095"/>
      <c r="Z556" s="1095"/>
      <c r="AA556" s="1095"/>
      <c r="AB556" s="1095"/>
    </row>
    <row r="557">
      <c r="A557" s="1095"/>
      <c r="B557" s="1095"/>
      <c r="C557" s="1095"/>
      <c r="D557" s="1095"/>
      <c r="E557" s="1095"/>
      <c r="F557" s="1095"/>
      <c r="G557" s="1095"/>
      <c r="H557" s="1095"/>
      <c r="I557" s="1095"/>
      <c r="J557" s="1095"/>
      <c r="K557" s="1095"/>
      <c r="L557" s="1095"/>
      <c r="M557" s="1095"/>
      <c r="N557" s="1095"/>
      <c r="O557" s="1095"/>
      <c r="P557" s="1095"/>
      <c r="Q557" s="1095"/>
      <c r="R557" s="1095"/>
      <c r="S557" s="1095"/>
      <c r="T557" s="1095"/>
      <c r="U557" s="1095"/>
      <c r="V557" s="1095"/>
      <c r="W557" s="1095"/>
      <c r="X557" s="1095"/>
      <c r="Y557" s="1095"/>
      <c r="Z557" s="1095"/>
      <c r="AA557" s="1095"/>
      <c r="AB557" s="1095"/>
    </row>
    <row r="558">
      <c r="A558" s="1095"/>
      <c r="B558" s="1095"/>
      <c r="C558" s="1095"/>
      <c r="D558" s="1095"/>
      <c r="E558" s="1095"/>
      <c r="F558" s="1095"/>
      <c r="G558" s="1095"/>
      <c r="H558" s="1095"/>
      <c r="I558" s="1095"/>
      <c r="J558" s="1095"/>
      <c r="K558" s="1095"/>
      <c r="L558" s="1095"/>
      <c r="M558" s="1095"/>
      <c r="N558" s="1095"/>
      <c r="O558" s="1095"/>
      <c r="P558" s="1095"/>
      <c r="Q558" s="1095"/>
      <c r="R558" s="1095"/>
      <c r="S558" s="1095"/>
      <c r="T558" s="1095"/>
      <c r="U558" s="1095"/>
      <c r="V558" s="1095"/>
      <c r="W558" s="1095"/>
      <c r="X558" s="1095"/>
      <c r="Y558" s="1095"/>
      <c r="Z558" s="1095"/>
      <c r="AA558" s="1095"/>
      <c r="AB558" s="1095"/>
    </row>
    <row r="559">
      <c r="A559" s="1095"/>
      <c r="B559" s="1095"/>
      <c r="C559" s="1095"/>
      <c r="D559" s="1095"/>
      <c r="E559" s="1095"/>
      <c r="F559" s="1095"/>
      <c r="G559" s="1095"/>
      <c r="H559" s="1095"/>
      <c r="I559" s="1095"/>
      <c r="J559" s="1095"/>
      <c r="K559" s="1095"/>
      <c r="L559" s="1095"/>
      <c r="M559" s="1095"/>
      <c r="N559" s="1095"/>
      <c r="O559" s="1095"/>
      <c r="P559" s="1095"/>
      <c r="Q559" s="1095"/>
      <c r="R559" s="1095"/>
      <c r="S559" s="1095"/>
      <c r="T559" s="1095"/>
      <c r="U559" s="1095"/>
      <c r="V559" s="1095"/>
      <c r="W559" s="1095"/>
      <c r="X559" s="1095"/>
      <c r="Y559" s="1095"/>
      <c r="Z559" s="1095"/>
      <c r="AA559" s="1095"/>
      <c r="AB559" s="1095"/>
    </row>
    <row r="560">
      <c r="A560" s="1095"/>
      <c r="B560" s="1095"/>
      <c r="C560" s="1095"/>
      <c r="D560" s="1095"/>
      <c r="E560" s="1095"/>
      <c r="F560" s="1095"/>
      <c r="G560" s="1095"/>
      <c r="H560" s="1095"/>
      <c r="I560" s="1095"/>
      <c r="J560" s="1095"/>
      <c r="K560" s="1095"/>
      <c r="L560" s="1095"/>
      <c r="M560" s="1095"/>
      <c r="N560" s="1095"/>
      <c r="O560" s="1095"/>
      <c r="P560" s="1095"/>
      <c r="Q560" s="1095"/>
      <c r="R560" s="1095"/>
      <c r="S560" s="1095"/>
      <c r="T560" s="1095"/>
      <c r="U560" s="1095"/>
      <c r="V560" s="1095"/>
      <c r="W560" s="1095"/>
      <c r="X560" s="1095"/>
      <c r="Y560" s="1095"/>
      <c r="Z560" s="1095"/>
      <c r="AA560" s="1095"/>
      <c r="AB560" s="1095"/>
    </row>
    <row r="561">
      <c r="A561" s="1095"/>
      <c r="B561" s="1095"/>
      <c r="C561" s="1095"/>
      <c r="D561" s="1095"/>
      <c r="E561" s="1095"/>
      <c r="F561" s="1095"/>
      <c r="G561" s="1095"/>
      <c r="H561" s="1095"/>
      <c r="I561" s="1095"/>
      <c r="J561" s="1095"/>
      <c r="K561" s="1095"/>
      <c r="L561" s="1095"/>
      <c r="M561" s="1095"/>
      <c r="N561" s="1095"/>
      <c r="O561" s="1095"/>
      <c r="P561" s="1095"/>
      <c r="Q561" s="1095"/>
      <c r="R561" s="1095"/>
      <c r="S561" s="1095"/>
      <c r="T561" s="1095"/>
      <c r="U561" s="1095"/>
      <c r="V561" s="1095"/>
      <c r="W561" s="1095"/>
      <c r="X561" s="1095"/>
      <c r="Y561" s="1095"/>
      <c r="Z561" s="1095"/>
      <c r="AA561" s="1095"/>
      <c r="AB561" s="1095"/>
    </row>
    <row r="562">
      <c r="A562" s="1095"/>
      <c r="B562" s="1095"/>
      <c r="C562" s="1095"/>
      <c r="D562" s="1095"/>
      <c r="E562" s="1095"/>
      <c r="F562" s="1095"/>
      <c r="G562" s="1095"/>
      <c r="H562" s="1095"/>
      <c r="I562" s="1095"/>
      <c r="J562" s="1095"/>
      <c r="K562" s="1095"/>
      <c r="L562" s="1095"/>
      <c r="M562" s="1095"/>
      <c r="N562" s="1095"/>
      <c r="O562" s="1095"/>
      <c r="P562" s="1095"/>
      <c r="Q562" s="1095"/>
      <c r="R562" s="1095"/>
      <c r="S562" s="1095"/>
      <c r="T562" s="1095"/>
      <c r="U562" s="1095"/>
      <c r="V562" s="1095"/>
      <c r="W562" s="1095"/>
      <c r="X562" s="1095"/>
      <c r="Y562" s="1095"/>
      <c r="Z562" s="1095"/>
      <c r="AA562" s="1095"/>
      <c r="AB562" s="1095"/>
    </row>
    <row r="563">
      <c r="A563" s="1095"/>
      <c r="B563" s="1095"/>
      <c r="C563" s="1095"/>
      <c r="D563" s="1095"/>
      <c r="E563" s="1095"/>
      <c r="F563" s="1095"/>
      <c r="G563" s="1095"/>
      <c r="H563" s="1095"/>
      <c r="I563" s="1095"/>
      <c r="J563" s="1095"/>
      <c r="K563" s="1095"/>
      <c r="L563" s="1095"/>
      <c r="M563" s="1095"/>
      <c r="N563" s="1095"/>
      <c r="O563" s="1095"/>
      <c r="P563" s="1095"/>
      <c r="Q563" s="1095"/>
      <c r="R563" s="1095"/>
      <c r="S563" s="1095"/>
      <c r="T563" s="1095"/>
      <c r="U563" s="1095"/>
      <c r="V563" s="1095"/>
      <c r="W563" s="1095"/>
      <c r="X563" s="1095"/>
      <c r="Y563" s="1095"/>
      <c r="Z563" s="1095"/>
      <c r="AA563" s="1095"/>
      <c r="AB563" s="1095"/>
    </row>
    <row r="564">
      <c r="A564" s="1095"/>
      <c r="B564" s="1095"/>
      <c r="C564" s="1095"/>
      <c r="D564" s="1095"/>
      <c r="E564" s="1095"/>
      <c r="F564" s="1095"/>
      <c r="G564" s="1095"/>
      <c r="H564" s="1095"/>
      <c r="I564" s="1095"/>
      <c r="J564" s="1095"/>
      <c r="K564" s="1095"/>
      <c r="L564" s="1095"/>
      <c r="M564" s="1095"/>
      <c r="N564" s="1095"/>
      <c r="O564" s="1095"/>
      <c r="P564" s="1095"/>
      <c r="Q564" s="1095"/>
      <c r="R564" s="1095"/>
      <c r="S564" s="1095"/>
      <c r="T564" s="1095"/>
      <c r="U564" s="1095"/>
      <c r="V564" s="1095"/>
      <c r="W564" s="1095"/>
      <c r="X564" s="1095"/>
      <c r="Y564" s="1095"/>
      <c r="Z564" s="1095"/>
      <c r="AA564" s="1095"/>
      <c r="AB564" s="1095"/>
    </row>
    <row r="565">
      <c r="A565" s="1095"/>
      <c r="B565" s="1095"/>
      <c r="C565" s="1095"/>
      <c r="D565" s="1095"/>
      <c r="E565" s="1095"/>
      <c r="F565" s="1095"/>
      <c r="G565" s="1095"/>
      <c r="H565" s="1095"/>
      <c r="I565" s="1095"/>
      <c r="J565" s="1095"/>
      <c r="K565" s="1095"/>
      <c r="L565" s="1095"/>
      <c r="M565" s="1095"/>
      <c r="N565" s="1095"/>
      <c r="O565" s="1095"/>
      <c r="P565" s="1095"/>
      <c r="Q565" s="1095"/>
      <c r="R565" s="1095"/>
      <c r="S565" s="1095"/>
      <c r="T565" s="1095"/>
      <c r="U565" s="1095"/>
      <c r="V565" s="1095"/>
      <c r="W565" s="1095"/>
      <c r="X565" s="1095"/>
      <c r="Y565" s="1095"/>
      <c r="Z565" s="1095"/>
      <c r="AA565" s="1095"/>
      <c r="AB565" s="1095"/>
    </row>
    <row r="566">
      <c r="A566" s="1095"/>
      <c r="B566" s="1095"/>
      <c r="C566" s="1095"/>
      <c r="D566" s="1095"/>
      <c r="E566" s="1095"/>
      <c r="F566" s="1095"/>
      <c r="G566" s="1095"/>
      <c r="H566" s="1095"/>
      <c r="I566" s="1095"/>
      <c r="J566" s="1095"/>
      <c r="K566" s="1095"/>
      <c r="L566" s="1095"/>
      <c r="M566" s="1095"/>
      <c r="N566" s="1095"/>
      <c r="O566" s="1095"/>
      <c r="P566" s="1095"/>
      <c r="Q566" s="1095"/>
      <c r="R566" s="1095"/>
      <c r="S566" s="1095"/>
      <c r="T566" s="1095"/>
      <c r="U566" s="1095"/>
      <c r="V566" s="1095"/>
      <c r="W566" s="1095"/>
      <c r="X566" s="1095"/>
      <c r="Y566" s="1095"/>
      <c r="Z566" s="1095"/>
      <c r="AA566" s="1095"/>
      <c r="AB566" s="1095"/>
    </row>
    <row r="567">
      <c r="A567" s="1095"/>
      <c r="B567" s="1095"/>
      <c r="C567" s="1095"/>
      <c r="D567" s="1095"/>
      <c r="E567" s="1095"/>
      <c r="F567" s="1095"/>
      <c r="G567" s="1095"/>
      <c r="H567" s="1095"/>
      <c r="I567" s="1095"/>
      <c r="J567" s="1095"/>
      <c r="K567" s="1095"/>
      <c r="L567" s="1095"/>
      <c r="M567" s="1095"/>
      <c r="N567" s="1095"/>
      <c r="O567" s="1095"/>
      <c r="P567" s="1095"/>
      <c r="Q567" s="1095"/>
      <c r="R567" s="1095"/>
      <c r="S567" s="1095"/>
      <c r="T567" s="1095"/>
      <c r="U567" s="1095"/>
      <c r="V567" s="1095"/>
      <c r="W567" s="1095"/>
      <c r="X567" s="1095"/>
      <c r="Y567" s="1095"/>
      <c r="Z567" s="1095"/>
      <c r="AA567" s="1095"/>
      <c r="AB567" s="1095"/>
    </row>
    <row r="568">
      <c r="A568" s="1095"/>
      <c r="B568" s="1095"/>
      <c r="C568" s="1095"/>
      <c r="D568" s="1095"/>
      <c r="E568" s="1095"/>
      <c r="F568" s="1095"/>
      <c r="G568" s="1095"/>
      <c r="H568" s="1095"/>
      <c r="I568" s="1095"/>
      <c r="J568" s="1095"/>
      <c r="K568" s="1095"/>
      <c r="L568" s="1095"/>
      <c r="M568" s="1095"/>
      <c r="N568" s="1095"/>
      <c r="O568" s="1095"/>
      <c r="P568" s="1095"/>
      <c r="Q568" s="1095"/>
      <c r="R568" s="1095"/>
      <c r="S568" s="1095"/>
      <c r="T568" s="1095"/>
      <c r="U568" s="1095"/>
      <c r="V568" s="1095"/>
      <c r="W568" s="1095"/>
      <c r="X568" s="1095"/>
      <c r="Y568" s="1095"/>
      <c r="Z568" s="1095"/>
      <c r="AA568" s="1095"/>
      <c r="AB568" s="1095"/>
    </row>
    <row r="569">
      <c r="A569" s="1095"/>
      <c r="B569" s="1095"/>
      <c r="C569" s="1095"/>
      <c r="D569" s="1095"/>
      <c r="E569" s="1095"/>
      <c r="F569" s="1095"/>
      <c r="G569" s="1095"/>
      <c r="H569" s="1095"/>
      <c r="I569" s="1095"/>
      <c r="J569" s="1095"/>
      <c r="K569" s="1095"/>
      <c r="L569" s="1095"/>
      <c r="M569" s="1095"/>
      <c r="N569" s="1095"/>
      <c r="O569" s="1095"/>
      <c r="P569" s="1095"/>
      <c r="Q569" s="1095"/>
      <c r="R569" s="1095"/>
      <c r="S569" s="1095"/>
      <c r="T569" s="1095"/>
      <c r="U569" s="1095"/>
      <c r="V569" s="1095"/>
      <c r="W569" s="1095"/>
      <c r="X569" s="1095"/>
      <c r="Y569" s="1095"/>
      <c r="Z569" s="1095"/>
      <c r="AA569" s="1095"/>
      <c r="AB569" s="1095"/>
    </row>
    <row r="570">
      <c r="A570" s="1095"/>
      <c r="B570" s="1095"/>
      <c r="C570" s="1095"/>
      <c r="D570" s="1095"/>
      <c r="E570" s="1095"/>
      <c r="F570" s="1095"/>
      <c r="G570" s="1095"/>
      <c r="H570" s="1095"/>
      <c r="I570" s="1095"/>
      <c r="J570" s="1095"/>
      <c r="K570" s="1095"/>
      <c r="L570" s="1095"/>
      <c r="M570" s="1095"/>
      <c r="N570" s="1095"/>
      <c r="O570" s="1095"/>
      <c r="P570" s="1095"/>
      <c r="Q570" s="1095"/>
      <c r="R570" s="1095"/>
      <c r="S570" s="1095"/>
      <c r="T570" s="1095"/>
      <c r="U570" s="1095"/>
      <c r="V570" s="1095"/>
      <c r="W570" s="1095"/>
      <c r="X570" s="1095"/>
      <c r="Y570" s="1095"/>
      <c r="Z570" s="1095"/>
      <c r="AA570" s="1095"/>
      <c r="AB570" s="1095"/>
    </row>
    <row r="571">
      <c r="A571" s="1095"/>
      <c r="B571" s="1095"/>
      <c r="C571" s="1095"/>
      <c r="D571" s="1095"/>
      <c r="E571" s="1095"/>
      <c r="F571" s="1095"/>
      <c r="G571" s="1095"/>
      <c r="H571" s="1095"/>
      <c r="I571" s="1095"/>
      <c r="J571" s="1095"/>
      <c r="K571" s="1095"/>
      <c r="L571" s="1095"/>
      <c r="M571" s="1095"/>
      <c r="N571" s="1095"/>
      <c r="O571" s="1095"/>
      <c r="P571" s="1095"/>
      <c r="Q571" s="1095"/>
      <c r="R571" s="1095"/>
      <c r="S571" s="1095"/>
      <c r="T571" s="1095"/>
      <c r="U571" s="1095"/>
      <c r="V571" s="1095"/>
      <c r="W571" s="1095"/>
      <c r="X571" s="1095"/>
      <c r="Y571" s="1095"/>
      <c r="Z571" s="1095"/>
      <c r="AA571" s="1095"/>
      <c r="AB571" s="1095"/>
    </row>
    <row r="572">
      <c r="A572" s="1095"/>
      <c r="B572" s="1095"/>
      <c r="C572" s="1095"/>
      <c r="D572" s="1095"/>
      <c r="E572" s="1095"/>
      <c r="F572" s="1095"/>
      <c r="G572" s="1095"/>
      <c r="H572" s="1095"/>
      <c r="I572" s="1095"/>
      <c r="J572" s="1095"/>
      <c r="K572" s="1095"/>
      <c r="L572" s="1095"/>
      <c r="M572" s="1095"/>
      <c r="N572" s="1095"/>
      <c r="O572" s="1095"/>
      <c r="P572" s="1095"/>
      <c r="Q572" s="1095"/>
      <c r="R572" s="1095"/>
      <c r="S572" s="1095"/>
      <c r="T572" s="1095"/>
      <c r="U572" s="1095"/>
      <c r="V572" s="1095"/>
      <c r="W572" s="1095"/>
      <c r="X572" s="1095"/>
      <c r="Y572" s="1095"/>
      <c r="Z572" s="1095"/>
      <c r="AA572" s="1095"/>
      <c r="AB572" s="1095"/>
    </row>
    <row r="573">
      <c r="A573" s="1095"/>
      <c r="B573" s="1095"/>
      <c r="C573" s="1095"/>
      <c r="D573" s="1095"/>
      <c r="E573" s="1095"/>
      <c r="F573" s="1095"/>
      <c r="G573" s="1095"/>
      <c r="H573" s="1095"/>
      <c r="I573" s="1095"/>
      <c r="J573" s="1095"/>
      <c r="K573" s="1095"/>
      <c r="L573" s="1095"/>
      <c r="M573" s="1095"/>
      <c r="N573" s="1095"/>
      <c r="O573" s="1095"/>
      <c r="P573" s="1095"/>
      <c r="Q573" s="1095"/>
      <c r="R573" s="1095"/>
      <c r="S573" s="1095"/>
      <c r="T573" s="1095"/>
      <c r="U573" s="1095"/>
      <c r="V573" s="1095"/>
      <c r="W573" s="1095"/>
      <c r="X573" s="1095"/>
      <c r="Y573" s="1095"/>
      <c r="Z573" s="1095"/>
      <c r="AA573" s="1095"/>
      <c r="AB573" s="1095"/>
    </row>
    <row r="574">
      <c r="A574" s="1095"/>
      <c r="B574" s="1095"/>
      <c r="C574" s="1095"/>
      <c r="D574" s="1095"/>
      <c r="E574" s="1095"/>
      <c r="F574" s="1095"/>
      <c r="G574" s="1095"/>
      <c r="H574" s="1095"/>
      <c r="I574" s="1095"/>
      <c r="J574" s="1095"/>
      <c r="K574" s="1095"/>
      <c r="L574" s="1095"/>
      <c r="M574" s="1095"/>
      <c r="N574" s="1095"/>
      <c r="O574" s="1095"/>
      <c r="P574" s="1095"/>
      <c r="Q574" s="1095"/>
      <c r="R574" s="1095"/>
      <c r="S574" s="1095"/>
      <c r="T574" s="1095"/>
      <c r="U574" s="1095"/>
      <c r="V574" s="1095"/>
      <c r="W574" s="1095"/>
      <c r="X574" s="1095"/>
      <c r="Y574" s="1095"/>
      <c r="Z574" s="1095"/>
      <c r="AA574" s="1095"/>
      <c r="AB574" s="1095"/>
    </row>
    <row r="575">
      <c r="A575" s="1095"/>
      <c r="B575" s="1095"/>
      <c r="C575" s="1095"/>
      <c r="D575" s="1095"/>
      <c r="E575" s="1095"/>
      <c r="F575" s="1095"/>
      <c r="G575" s="1095"/>
      <c r="H575" s="1095"/>
      <c r="I575" s="1095"/>
      <c r="J575" s="1095"/>
      <c r="K575" s="1095"/>
      <c r="L575" s="1095"/>
      <c r="M575" s="1095"/>
      <c r="N575" s="1095"/>
      <c r="O575" s="1095"/>
      <c r="P575" s="1095"/>
      <c r="Q575" s="1095"/>
      <c r="R575" s="1095"/>
      <c r="S575" s="1095"/>
      <c r="T575" s="1095"/>
      <c r="U575" s="1095"/>
      <c r="V575" s="1095"/>
      <c r="W575" s="1095"/>
      <c r="X575" s="1095"/>
      <c r="Y575" s="1095"/>
      <c r="Z575" s="1095"/>
      <c r="AA575" s="1095"/>
      <c r="AB575" s="1095"/>
    </row>
    <row r="576">
      <c r="A576" s="1095"/>
      <c r="B576" s="1095"/>
      <c r="C576" s="1095"/>
      <c r="D576" s="1095"/>
      <c r="E576" s="1095"/>
      <c r="F576" s="1095"/>
      <c r="G576" s="1095"/>
      <c r="H576" s="1095"/>
      <c r="I576" s="1095"/>
      <c r="J576" s="1095"/>
      <c r="K576" s="1095"/>
      <c r="L576" s="1095"/>
      <c r="M576" s="1095"/>
      <c r="N576" s="1095"/>
      <c r="O576" s="1095"/>
      <c r="P576" s="1095"/>
      <c r="Q576" s="1095"/>
      <c r="R576" s="1095"/>
      <c r="S576" s="1095"/>
      <c r="T576" s="1095"/>
      <c r="U576" s="1095"/>
      <c r="V576" s="1095"/>
      <c r="W576" s="1095"/>
      <c r="X576" s="1095"/>
      <c r="Y576" s="1095"/>
      <c r="Z576" s="1095"/>
      <c r="AA576" s="1095"/>
      <c r="AB576" s="1095"/>
    </row>
    <row r="577">
      <c r="A577" s="1095"/>
      <c r="B577" s="1095"/>
      <c r="C577" s="1095"/>
      <c r="D577" s="1095"/>
      <c r="E577" s="1095"/>
      <c r="F577" s="1095"/>
      <c r="G577" s="1095"/>
      <c r="H577" s="1095"/>
      <c r="I577" s="1095"/>
      <c r="J577" s="1095"/>
      <c r="K577" s="1095"/>
      <c r="L577" s="1095"/>
      <c r="M577" s="1095"/>
      <c r="N577" s="1095"/>
      <c r="O577" s="1095"/>
      <c r="P577" s="1095"/>
      <c r="Q577" s="1095"/>
      <c r="R577" s="1095"/>
      <c r="S577" s="1095"/>
      <c r="T577" s="1095"/>
      <c r="U577" s="1095"/>
      <c r="V577" s="1095"/>
      <c r="W577" s="1095"/>
      <c r="X577" s="1095"/>
      <c r="Y577" s="1095"/>
      <c r="Z577" s="1095"/>
      <c r="AA577" s="1095"/>
      <c r="AB577" s="1095"/>
    </row>
    <row r="578">
      <c r="A578" s="1095"/>
      <c r="B578" s="1095"/>
      <c r="C578" s="1095"/>
      <c r="D578" s="1095"/>
      <c r="E578" s="1095"/>
      <c r="F578" s="1095"/>
      <c r="G578" s="1095"/>
      <c r="H578" s="1095"/>
      <c r="I578" s="1095"/>
      <c r="J578" s="1095"/>
      <c r="K578" s="1095"/>
      <c r="L578" s="1095"/>
      <c r="M578" s="1095"/>
      <c r="N578" s="1095"/>
      <c r="O578" s="1095"/>
      <c r="P578" s="1095"/>
      <c r="Q578" s="1095"/>
      <c r="R578" s="1095"/>
      <c r="S578" s="1095"/>
      <c r="T578" s="1095"/>
      <c r="U578" s="1095"/>
      <c r="V578" s="1095"/>
      <c r="W578" s="1095"/>
      <c r="X578" s="1095"/>
      <c r="Y578" s="1095"/>
      <c r="Z578" s="1095"/>
      <c r="AA578" s="1095"/>
      <c r="AB578" s="1095"/>
    </row>
    <row r="579">
      <c r="A579" s="1095"/>
      <c r="B579" s="1095"/>
      <c r="C579" s="1095"/>
      <c r="D579" s="1095"/>
      <c r="E579" s="1095"/>
      <c r="F579" s="1095"/>
      <c r="G579" s="1095"/>
      <c r="H579" s="1095"/>
      <c r="I579" s="1095"/>
      <c r="J579" s="1095"/>
      <c r="K579" s="1095"/>
      <c r="L579" s="1095"/>
      <c r="M579" s="1095"/>
      <c r="N579" s="1095"/>
      <c r="O579" s="1095"/>
      <c r="P579" s="1095"/>
      <c r="Q579" s="1095"/>
      <c r="R579" s="1095"/>
      <c r="S579" s="1095"/>
      <c r="T579" s="1095"/>
      <c r="U579" s="1095"/>
      <c r="V579" s="1095"/>
      <c r="W579" s="1095"/>
      <c r="X579" s="1095"/>
      <c r="Y579" s="1095"/>
      <c r="Z579" s="1095"/>
      <c r="AA579" s="1095"/>
      <c r="AB579" s="1095"/>
    </row>
    <row r="580">
      <c r="A580" s="1095"/>
      <c r="B580" s="1095"/>
      <c r="C580" s="1095"/>
      <c r="D580" s="1095"/>
      <c r="E580" s="1095"/>
      <c r="F580" s="1095"/>
      <c r="G580" s="1095"/>
      <c r="H580" s="1095"/>
      <c r="I580" s="1095"/>
      <c r="J580" s="1095"/>
      <c r="K580" s="1095"/>
      <c r="L580" s="1095"/>
      <c r="M580" s="1095"/>
      <c r="N580" s="1095"/>
      <c r="O580" s="1095"/>
      <c r="P580" s="1095"/>
      <c r="Q580" s="1095"/>
      <c r="R580" s="1095"/>
      <c r="S580" s="1095"/>
      <c r="T580" s="1095"/>
      <c r="U580" s="1095"/>
      <c r="V580" s="1095"/>
      <c r="W580" s="1095"/>
      <c r="X580" s="1095"/>
      <c r="Y580" s="1095"/>
      <c r="Z580" s="1095"/>
      <c r="AA580" s="1095"/>
      <c r="AB580" s="1095"/>
    </row>
    <row r="581">
      <c r="A581" s="1095"/>
      <c r="B581" s="1095"/>
      <c r="C581" s="1095"/>
      <c r="D581" s="1095"/>
      <c r="E581" s="1095"/>
      <c r="F581" s="1095"/>
      <c r="G581" s="1095"/>
      <c r="H581" s="1095"/>
      <c r="I581" s="1095"/>
      <c r="J581" s="1095"/>
      <c r="K581" s="1095"/>
      <c r="L581" s="1095"/>
      <c r="M581" s="1095"/>
      <c r="N581" s="1095"/>
      <c r="O581" s="1095"/>
      <c r="P581" s="1095"/>
      <c r="Q581" s="1095"/>
      <c r="R581" s="1095"/>
      <c r="S581" s="1095"/>
      <c r="T581" s="1095"/>
      <c r="U581" s="1095"/>
      <c r="V581" s="1095"/>
      <c r="W581" s="1095"/>
      <c r="X581" s="1095"/>
      <c r="Y581" s="1095"/>
      <c r="Z581" s="1095"/>
      <c r="AA581" s="1095"/>
      <c r="AB581" s="1095"/>
    </row>
    <row r="582">
      <c r="A582" s="1095"/>
      <c r="B582" s="1095"/>
      <c r="C582" s="1095"/>
      <c r="D582" s="1095"/>
      <c r="E582" s="1095"/>
      <c r="F582" s="1095"/>
      <c r="G582" s="1095"/>
      <c r="H582" s="1095"/>
      <c r="I582" s="1095"/>
      <c r="J582" s="1095"/>
      <c r="K582" s="1095"/>
      <c r="L582" s="1095"/>
      <c r="M582" s="1095"/>
      <c r="N582" s="1095"/>
      <c r="O582" s="1095"/>
      <c r="P582" s="1095"/>
      <c r="Q582" s="1095"/>
      <c r="R582" s="1095"/>
      <c r="S582" s="1095"/>
      <c r="T582" s="1095"/>
      <c r="U582" s="1095"/>
      <c r="V582" s="1095"/>
      <c r="W582" s="1095"/>
      <c r="X582" s="1095"/>
      <c r="Y582" s="1095"/>
      <c r="Z582" s="1095"/>
      <c r="AA582" s="1095"/>
      <c r="AB582" s="1095"/>
    </row>
    <row r="583">
      <c r="A583" s="1095"/>
      <c r="B583" s="1095"/>
      <c r="C583" s="1095"/>
      <c r="D583" s="1095"/>
      <c r="E583" s="1095"/>
      <c r="F583" s="1095"/>
      <c r="G583" s="1095"/>
      <c r="H583" s="1095"/>
      <c r="I583" s="1095"/>
      <c r="J583" s="1095"/>
      <c r="K583" s="1095"/>
      <c r="L583" s="1095"/>
      <c r="M583" s="1095"/>
      <c r="N583" s="1095"/>
      <c r="O583" s="1095"/>
      <c r="P583" s="1095"/>
      <c r="Q583" s="1095"/>
      <c r="R583" s="1095"/>
      <c r="S583" s="1095"/>
      <c r="T583" s="1095"/>
      <c r="U583" s="1095"/>
      <c r="V583" s="1095"/>
      <c r="W583" s="1095"/>
      <c r="X583" s="1095"/>
      <c r="Y583" s="1095"/>
      <c r="Z583" s="1095"/>
      <c r="AA583" s="1095"/>
      <c r="AB583" s="1095"/>
    </row>
    <row r="584">
      <c r="A584" s="1095"/>
      <c r="B584" s="1095"/>
      <c r="C584" s="1095"/>
      <c r="D584" s="1095"/>
      <c r="E584" s="1095"/>
      <c r="F584" s="1095"/>
      <c r="G584" s="1095"/>
      <c r="H584" s="1095"/>
      <c r="I584" s="1095"/>
      <c r="J584" s="1095"/>
      <c r="K584" s="1095"/>
      <c r="L584" s="1095"/>
      <c r="M584" s="1095"/>
      <c r="N584" s="1095"/>
      <c r="O584" s="1095"/>
      <c r="P584" s="1095"/>
      <c r="Q584" s="1095"/>
      <c r="R584" s="1095"/>
      <c r="S584" s="1095"/>
      <c r="T584" s="1095"/>
      <c r="U584" s="1095"/>
      <c r="V584" s="1095"/>
      <c r="W584" s="1095"/>
      <c r="X584" s="1095"/>
      <c r="Y584" s="1095"/>
      <c r="Z584" s="1095"/>
      <c r="AA584" s="1095"/>
      <c r="AB584" s="1095"/>
    </row>
    <row r="585">
      <c r="A585" s="1095"/>
      <c r="B585" s="1095"/>
      <c r="C585" s="1095"/>
      <c r="D585" s="1095"/>
      <c r="E585" s="1095"/>
      <c r="F585" s="1095"/>
      <c r="G585" s="1095"/>
      <c r="H585" s="1095"/>
      <c r="I585" s="1095"/>
      <c r="J585" s="1095"/>
      <c r="K585" s="1095"/>
      <c r="L585" s="1095"/>
      <c r="M585" s="1095"/>
      <c r="N585" s="1095"/>
      <c r="O585" s="1095"/>
      <c r="P585" s="1095"/>
      <c r="Q585" s="1095"/>
      <c r="R585" s="1095"/>
      <c r="S585" s="1095"/>
      <c r="T585" s="1095"/>
      <c r="U585" s="1095"/>
      <c r="V585" s="1095"/>
      <c r="W585" s="1095"/>
      <c r="X585" s="1095"/>
      <c r="Y585" s="1095"/>
      <c r="Z585" s="1095"/>
      <c r="AA585" s="1095"/>
      <c r="AB585" s="1095"/>
    </row>
    <row r="586">
      <c r="A586" s="1095"/>
      <c r="B586" s="1095"/>
      <c r="C586" s="1095"/>
      <c r="D586" s="1095"/>
      <c r="E586" s="1095"/>
      <c r="F586" s="1095"/>
      <c r="G586" s="1095"/>
      <c r="H586" s="1095"/>
      <c r="I586" s="1095"/>
      <c r="J586" s="1095"/>
      <c r="K586" s="1095"/>
      <c r="L586" s="1095"/>
      <c r="M586" s="1095"/>
      <c r="N586" s="1095"/>
      <c r="O586" s="1095"/>
      <c r="P586" s="1095"/>
      <c r="Q586" s="1095"/>
      <c r="R586" s="1095"/>
      <c r="S586" s="1095"/>
      <c r="T586" s="1095"/>
      <c r="U586" s="1095"/>
      <c r="V586" s="1095"/>
      <c r="W586" s="1095"/>
      <c r="X586" s="1095"/>
      <c r="Y586" s="1095"/>
      <c r="Z586" s="1095"/>
      <c r="AA586" s="1095"/>
      <c r="AB586" s="1095"/>
    </row>
    <row r="587">
      <c r="A587" s="1095"/>
      <c r="B587" s="1095"/>
      <c r="C587" s="1095"/>
      <c r="D587" s="1095"/>
      <c r="E587" s="1095"/>
      <c r="F587" s="1095"/>
      <c r="G587" s="1095"/>
      <c r="H587" s="1095"/>
      <c r="I587" s="1095"/>
      <c r="J587" s="1095"/>
      <c r="K587" s="1095"/>
      <c r="L587" s="1095"/>
      <c r="M587" s="1095"/>
      <c r="N587" s="1095"/>
      <c r="O587" s="1095"/>
      <c r="P587" s="1095"/>
      <c r="Q587" s="1095"/>
      <c r="R587" s="1095"/>
      <c r="S587" s="1095"/>
      <c r="T587" s="1095"/>
      <c r="U587" s="1095"/>
      <c r="V587" s="1095"/>
      <c r="W587" s="1095"/>
      <c r="X587" s="1095"/>
      <c r="Y587" s="1095"/>
      <c r="Z587" s="1095"/>
      <c r="AA587" s="1095"/>
      <c r="AB587" s="1095"/>
    </row>
    <row r="588">
      <c r="A588" s="1095"/>
      <c r="B588" s="1095"/>
      <c r="C588" s="1095"/>
      <c r="D588" s="1095"/>
      <c r="E588" s="1095"/>
      <c r="F588" s="1095"/>
      <c r="G588" s="1095"/>
      <c r="H588" s="1095"/>
      <c r="I588" s="1095"/>
      <c r="J588" s="1095"/>
      <c r="K588" s="1095"/>
      <c r="L588" s="1095"/>
      <c r="M588" s="1095"/>
      <c r="N588" s="1095"/>
      <c r="O588" s="1095"/>
      <c r="P588" s="1095"/>
      <c r="Q588" s="1095"/>
      <c r="R588" s="1095"/>
      <c r="S588" s="1095"/>
      <c r="T588" s="1095"/>
      <c r="U588" s="1095"/>
      <c r="V588" s="1095"/>
      <c r="W588" s="1095"/>
      <c r="X588" s="1095"/>
      <c r="Y588" s="1095"/>
      <c r="Z588" s="1095"/>
      <c r="AA588" s="1095"/>
      <c r="AB588" s="1095"/>
    </row>
    <row r="589">
      <c r="A589" s="1095"/>
      <c r="B589" s="1095"/>
      <c r="C589" s="1095"/>
      <c r="D589" s="1095"/>
      <c r="E589" s="1095"/>
      <c r="F589" s="1095"/>
      <c r="G589" s="1095"/>
      <c r="H589" s="1095"/>
      <c r="I589" s="1095"/>
      <c r="J589" s="1095"/>
      <c r="K589" s="1095"/>
      <c r="L589" s="1095"/>
      <c r="M589" s="1095"/>
      <c r="N589" s="1095"/>
      <c r="O589" s="1095"/>
      <c r="P589" s="1095"/>
      <c r="Q589" s="1095"/>
      <c r="R589" s="1095"/>
      <c r="S589" s="1095"/>
      <c r="T589" s="1095"/>
      <c r="U589" s="1095"/>
      <c r="V589" s="1095"/>
      <c r="W589" s="1095"/>
      <c r="X589" s="1095"/>
      <c r="Y589" s="1095"/>
      <c r="Z589" s="1095"/>
      <c r="AA589" s="1095"/>
      <c r="AB589" s="1095"/>
    </row>
    <row r="590">
      <c r="A590" s="1095"/>
      <c r="B590" s="1095"/>
      <c r="C590" s="1095"/>
      <c r="D590" s="1095"/>
      <c r="E590" s="1095"/>
      <c r="F590" s="1095"/>
      <c r="G590" s="1095"/>
      <c r="H590" s="1095"/>
      <c r="I590" s="1095"/>
      <c r="J590" s="1095"/>
      <c r="K590" s="1095"/>
      <c r="L590" s="1095"/>
      <c r="M590" s="1095"/>
      <c r="N590" s="1095"/>
      <c r="O590" s="1095"/>
      <c r="P590" s="1095"/>
      <c r="Q590" s="1095"/>
      <c r="R590" s="1095"/>
      <c r="S590" s="1095"/>
      <c r="T590" s="1095"/>
      <c r="U590" s="1095"/>
      <c r="V590" s="1095"/>
      <c r="W590" s="1095"/>
      <c r="X590" s="1095"/>
      <c r="Y590" s="1095"/>
      <c r="Z590" s="1095"/>
      <c r="AA590" s="1095"/>
      <c r="AB590" s="1095"/>
    </row>
    <row r="591">
      <c r="A591" s="1095"/>
      <c r="B591" s="1095"/>
      <c r="C591" s="1095"/>
      <c r="D591" s="1095"/>
      <c r="E591" s="1095"/>
      <c r="F591" s="1095"/>
      <c r="G591" s="1095"/>
      <c r="H591" s="1095"/>
      <c r="I591" s="1095"/>
      <c r="J591" s="1095"/>
      <c r="K591" s="1095"/>
      <c r="L591" s="1095"/>
      <c r="M591" s="1095"/>
      <c r="N591" s="1095"/>
      <c r="O591" s="1095"/>
      <c r="P591" s="1095"/>
      <c r="Q591" s="1095"/>
      <c r="R591" s="1095"/>
      <c r="S591" s="1095"/>
      <c r="T591" s="1095"/>
      <c r="U591" s="1095"/>
      <c r="V591" s="1095"/>
      <c r="W591" s="1095"/>
      <c r="X591" s="1095"/>
      <c r="Y591" s="1095"/>
      <c r="Z591" s="1095"/>
      <c r="AA591" s="1095"/>
      <c r="AB591" s="1095"/>
    </row>
    <row r="592">
      <c r="A592" s="1095"/>
      <c r="B592" s="1095"/>
      <c r="C592" s="1095"/>
      <c r="D592" s="1095"/>
      <c r="E592" s="1095"/>
      <c r="F592" s="1095"/>
      <c r="G592" s="1095"/>
      <c r="H592" s="1095"/>
      <c r="I592" s="1095"/>
      <c r="J592" s="1095"/>
      <c r="K592" s="1095"/>
      <c r="L592" s="1095"/>
      <c r="M592" s="1095"/>
      <c r="N592" s="1095"/>
      <c r="O592" s="1095"/>
      <c r="P592" s="1095"/>
      <c r="Q592" s="1095"/>
      <c r="R592" s="1095"/>
      <c r="S592" s="1095"/>
      <c r="T592" s="1095"/>
      <c r="U592" s="1095"/>
      <c r="V592" s="1095"/>
      <c r="W592" s="1095"/>
      <c r="X592" s="1095"/>
      <c r="Y592" s="1095"/>
      <c r="Z592" s="1095"/>
      <c r="AA592" s="1095"/>
      <c r="AB592" s="1095"/>
    </row>
    <row r="593">
      <c r="A593" s="1095"/>
      <c r="B593" s="1095"/>
      <c r="C593" s="1095"/>
      <c r="D593" s="1095"/>
      <c r="E593" s="1095"/>
      <c r="F593" s="1095"/>
      <c r="G593" s="1095"/>
      <c r="H593" s="1095"/>
      <c r="I593" s="1095"/>
      <c r="J593" s="1095"/>
      <c r="K593" s="1095"/>
      <c r="L593" s="1095"/>
      <c r="M593" s="1095"/>
      <c r="N593" s="1095"/>
      <c r="O593" s="1095"/>
      <c r="P593" s="1095"/>
      <c r="Q593" s="1095"/>
      <c r="R593" s="1095"/>
      <c r="S593" s="1095"/>
      <c r="T593" s="1095"/>
      <c r="U593" s="1095"/>
      <c r="V593" s="1095"/>
      <c r="W593" s="1095"/>
      <c r="X593" s="1095"/>
      <c r="Y593" s="1095"/>
      <c r="Z593" s="1095"/>
      <c r="AA593" s="1095"/>
      <c r="AB593" s="1095"/>
    </row>
    <row r="594">
      <c r="A594" s="1095"/>
      <c r="B594" s="1095"/>
      <c r="C594" s="1095"/>
      <c r="D594" s="1095"/>
      <c r="E594" s="1095"/>
      <c r="F594" s="1095"/>
      <c r="G594" s="1095"/>
      <c r="H594" s="1095"/>
      <c r="I594" s="1095"/>
      <c r="J594" s="1095"/>
      <c r="K594" s="1095"/>
      <c r="L594" s="1095"/>
      <c r="M594" s="1095"/>
      <c r="N594" s="1095"/>
      <c r="O594" s="1095"/>
      <c r="P594" s="1095"/>
      <c r="Q594" s="1095"/>
      <c r="R594" s="1095"/>
      <c r="S594" s="1095"/>
      <c r="T594" s="1095"/>
      <c r="U594" s="1095"/>
      <c r="V594" s="1095"/>
      <c r="W594" s="1095"/>
      <c r="X594" s="1095"/>
      <c r="Y594" s="1095"/>
      <c r="Z594" s="1095"/>
      <c r="AA594" s="1095"/>
      <c r="AB594" s="1095"/>
    </row>
    <row r="595">
      <c r="A595" s="1095"/>
      <c r="B595" s="1095"/>
      <c r="C595" s="1095"/>
      <c r="D595" s="1095"/>
      <c r="E595" s="1095"/>
      <c r="F595" s="1095"/>
      <c r="G595" s="1095"/>
      <c r="H595" s="1095"/>
      <c r="I595" s="1095"/>
      <c r="J595" s="1095"/>
      <c r="K595" s="1095"/>
      <c r="L595" s="1095"/>
      <c r="M595" s="1095"/>
      <c r="N595" s="1095"/>
      <c r="O595" s="1095"/>
      <c r="P595" s="1095"/>
      <c r="Q595" s="1095"/>
      <c r="R595" s="1095"/>
      <c r="S595" s="1095"/>
      <c r="T595" s="1095"/>
      <c r="U595" s="1095"/>
      <c r="V595" s="1095"/>
      <c r="W595" s="1095"/>
      <c r="X595" s="1095"/>
      <c r="Y595" s="1095"/>
      <c r="Z595" s="1095"/>
      <c r="AA595" s="1095"/>
      <c r="AB595" s="1095"/>
    </row>
    <row r="596">
      <c r="A596" s="1095"/>
      <c r="B596" s="1095"/>
      <c r="C596" s="1095"/>
      <c r="D596" s="1095"/>
      <c r="E596" s="1095"/>
      <c r="F596" s="1095"/>
      <c r="G596" s="1095"/>
      <c r="H596" s="1095"/>
      <c r="I596" s="1095"/>
      <c r="J596" s="1095"/>
      <c r="K596" s="1095"/>
      <c r="L596" s="1095"/>
      <c r="M596" s="1095"/>
      <c r="N596" s="1095"/>
      <c r="O596" s="1095"/>
      <c r="P596" s="1095"/>
      <c r="Q596" s="1095"/>
      <c r="R596" s="1095"/>
      <c r="S596" s="1095"/>
      <c r="T596" s="1095"/>
      <c r="U596" s="1095"/>
      <c r="V596" s="1095"/>
      <c r="W596" s="1095"/>
      <c r="X596" s="1095"/>
      <c r="Y596" s="1095"/>
      <c r="Z596" s="1095"/>
      <c r="AA596" s="1095"/>
      <c r="AB596" s="1095"/>
    </row>
    <row r="597">
      <c r="A597" s="1095"/>
      <c r="B597" s="1095"/>
      <c r="C597" s="1095"/>
      <c r="D597" s="1095"/>
      <c r="E597" s="1095"/>
      <c r="F597" s="1095"/>
      <c r="G597" s="1095"/>
      <c r="H597" s="1095"/>
      <c r="I597" s="1095"/>
      <c r="J597" s="1095"/>
      <c r="K597" s="1095"/>
      <c r="L597" s="1095"/>
      <c r="M597" s="1095"/>
      <c r="N597" s="1095"/>
      <c r="O597" s="1095"/>
      <c r="P597" s="1095"/>
      <c r="Q597" s="1095"/>
      <c r="R597" s="1095"/>
      <c r="S597" s="1095"/>
      <c r="T597" s="1095"/>
      <c r="U597" s="1095"/>
      <c r="V597" s="1095"/>
      <c r="W597" s="1095"/>
      <c r="X597" s="1095"/>
      <c r="Y597" s="1095"/>
      <c r="Z597" s="1095"/>
      <c r="AA597" s="1095"/>
      <c r="AB597" s="1095"/>
    </row>
    <row r="598">
      <c r="A598" s="1095"/>
      <c r="B598" s="1095"/>
      <c r="C598" s="1095"/>
      <c r="D598" s="1095"/>
      <c r="E598" s="1095"/>
      <c r="F598" s="1095"/>
      <c r="G598" s="1095"/>
      <c r="H598" s="1095"/>
      <c r="I598" s="1095"/>
      <c r="J598" s="1095"/>
      <c r="K598" s="1095"/>
      <c r="L598" s="1095"/>
      <c r="M598" s="1095"/>
      <c r="N598" s="1095"/>
      <c r="O598" s="1095"/>
      <c r="P598" s="1095"/>
      <c r="Q598" s="1095"/>
      <c r="R598" s="1095"/>
      <c r="S598" s="1095"/>
      <c r="T598" s="1095"/>
      <c r="U598" s="1095"/>
      <c r="V598" s="1095"/>
      <c r="W598" s="1095"/>
      <c r="X598" s="1095"/>
      <c r="Y598" s="1095"/>
      <c r="Z598" s="1095"/>
      <c r="AA598" s="1095"/>
      <c r="AB598" s="1095"/>
    </row>
    <row r="599">
      <c r="A599" s="1095"/>
      <c r="B599" s="1095"/>
      <c r="C599" s="1095"/>
      <c r="D599" s="1095"/>
      <c r="E599" s="1095"/>
      <c r="F599" s="1095"/>
      <c r="G599" s="1095"/>
      <c r="H599" s="1095"/>
      <c r="I599" s="1095"/>
      <c r="J599" s="1095"/>
      <c r="K599" s="1095"/>
      <c r="L599" s="1095"/>
      <c r="M599" s="1095"/>
      <c r="N599" s="1095"/>
      <c r="O599" s="1095"/>
      <c r="P599" s="1095"/>
      <c r="Q599" s="1095"/>
      <c r="R599" s="1095"/>
      <c r="S599" s="1095"/>
      <c r="T599" s="1095"/>
      <c r="U599" s="1095"/>
      <c r="V599" s="1095"/>
      <c r="W599" s="1095"/>
      <c r="X599" s="1095"/>
      <c r="Y599" s="1095"/>
      <c r="Z599" s="1095"/>
      <c r="AA599" s="1095"/>
      <c r="AB599" s="1095"/>
    </row>
    <row r="600">
      <c r="A600" s="1095"/>
      <c r="B600" s="1095"/>
      <c r="C600" s="1095"/>
      <c r="D600" s="1095"/>
      <c r="E600" s="1095"/>
      <c r="F600" s="1095"/>
      <c r="G600" s="1095"/>
      <c r="H600" s="1095"/>
      <c r="I600" s="1095"/>
      <c r="J600" s="1095"/>
      <c r="K600" s="1095"/>
      <c r="L600" s="1095"/>
      <c r="M600" s="1095"/>
      <c r="N600" s="1095"/>
      <c r="O600" s="1095"/>
      <c r="P600" s="1095"/>
      <c r="Q600" s="1095"/>
      <c r="R600" s="1095"/>
      <c r="S600" s="1095"/>
      <c r="T600" s="1095"/>
      <c r="U600" s="1095"/>
      <c r="V600" s="1095"/>
      <c r="W600" s="1095"/>
      <c r="X600" s="1095"/>
      <c r="Y600" s="1095"/>
      <c r="Z600" s="1095"/>
      <c r="AA600" s="1095"/>
      <c r="AB600" s="1095"/>
    </row>
    <row r="601">
      <c r="A601" s="1095"/>
      <c r="B601" s="1095"/>
      <c r="C601" s="1095"/>
      <c r="D601" s="1095"/>
      <c r="E601" s="1095"/>
      <c r="F601" s="1095"/>
      <c r="G601" s="1095"/>
      <c r="H601" s="1095"/>
      <c r="I601" s="1095"/>
      <c r="J601" s="1095"/>
      <c r="K601" s="1095"/>
      <c r="L601" s="1095"/>
      <c r="M601" s="1095"/>
      <c r="N601" s="1095"/>
      <c r="O601" s="1095"/>
      <c r="P601" s="1095"/>
      <c r="Q601" s="1095"/>
      <c r="R601" s="1095"/>
      <c r="S601" s="1095"/>
      <c r="T601" s="1095"/>
      <c r="U601" s="1095"/>
      <c r="V601" s="1095"/>
      <c r="W601" s="1095"/>
      <c r="X601" s="1095"/>
      <c r="Y601" s="1095"/>
      <c r="Z601" s="1095"/>
      <c r="AA601" s="1095"/>
      <c r="AB601" s="1095"/>
    </row>
    <row r="602">
      <c r="A602" s="1095"/>
      <c r="B602" s="1095"/>
      <c r="C602" s="1095"/>
      <c r="D602" s="1095"/>
      <c r="E602" s="1095"/>
      <c r="F602" s="1095"/>
      <c r="G602" s="1095"/>
      <c r="H602" s="1095"/>
      <c r="I602" s="1095"/>
      <c r="J602" s="1095"/>
      <c r="K602" s="1095"/>
      <c r="L602" s="1095"/>
      <c r="M602" s="1095"/>
      <c r="N602" s="1095"/>
      <c r="O602" s="1095"/>
      <c r="P602" s="1095"/>
      <c r="Q602" s="1095"/>
      <c r="R602" s="1095"/>
      <c r="S602" s="1095"/>
      <c r="T602" s="1095"/>
      <c r="U602" s="1095"/>
      <c r="V602" s="1095"/>
      <c r="W602" s="1095"/>
      <c r="X602" s="1095"/>
      <c r="Y602" s="1095"/>
      <c r="Z602" s="1095"/>
      <c r="AA602" s="1095"/>
      <c r="AB602" s="1095"/>
    </row>
    <row r="603">
      <c r="A603" s="1095"/>
      <c r="B603" s="1095"/>
      <c r="C603" s="1095"/>
      <c r="D603" s="1095"/>
      <c r="E603" s="1095"/>
      <c r="F603" s="1095"/>
      <c r="G603" s="1095"/>
      <c r="H603" s="1095"/>
      <c r="I603" s="1095"/>
      <c r="J603" s="1095"/>
      <c r="K603" s="1095"/>
      <c r="L603" s="1095"/>
      <c r="M603" s="1095"/>
      <c r="N603" s="1095"/>
      <c r="O603" s="1095"/>
      <c r="P603" s="1095"/>
      <c r="Q603" s="1095"/>
      <c r="R603" s="1095"/>
      <c r="S603" s="1095"/>
      <c r="T603" s="1095"/>
      <c r="U603" s="1095"/>
      <c r="V603" s="1095"/>
      <c r="W603" s="1095"/>
      <c r="X603" s="1095"/>
      <c r="Y603" s="1095"/>
      <c r="Z603" s="1095"/>
      <c r="AA603" s="1095"/>
      <c r="AB603" s="1095"/>
    </row>
    <row r="604">
      <c r="A604" s="1095"/>
      <c r="B604" s="1095"/>
      <c r="C604" s="1095"/>
      <c r="D604" s="1095"/>
      <c r="E604" s="1095"/>
      <c r="F604" s="1095"/>
      <c r="G604" s="1095"/>
      <c r="H604" s="1095"/>
      <c r="I604" s="1095"/>
      <c r="J604" s="1095"/>
      <c r="K604" s="1095"/>
      <c r="L604" s="1095"/>
      <c r="M604" s="1095"/>
      <c r="N604" s="1095"/>
      <c r="O604" s="1095"/>
      <c r="P604" s="1095"/>
      <c r="Q604" s="1095"/>
      <c r="R604" s="1095"/>
      <c r="S604" s="1095"/>
      <c r="T604" s="1095"/>
      <c r="U604" s="1095"/>
      <c r="V604" s="1095"/>
      <c r="W604" s="1095"/>
      <c r="X604" s="1095"/>
      <c r="Y604" s="1095"/>
      <c r="Z604" s="1095"/>
      <c r="AA604" s="1095"/>
      <c r="AB604" s="1095"/>
    </row>
    <row r="605">
      <c r="A605" s="1095"/>
      <c r="B605" s="1095"/>
      <c r="C605" s="1095"/>
      <c r="D605" s="1095"/>
      <c r="E605" s="1095"/>
      <c r="F605" s="1095"/>
      <c r="G605" s="1095"/>
      <c r="H605" s="1095"/>
      <c r="I605" s="1095"/>
      <c r="J605" s="1095"/>
      <c r="K605" s="1095"/>
      <c r="L605" s="1095"/>
      <c r="M605" s="1095"/>
      <c r="N605" s="1095"/>
      <c r="O605" s="1095"/>
      <c r="P605" s="1095"/>
      <c r="Q605" s="1095"/>
      <c r="R605" s="1095"/>
      <c r="S605" s="1095"/>
      <c r="T605" s="1095"/>
      <c r="U605" s="1095"/>
      <c r="V605" s="1095"/>
      <c r="W605" s="1095"/>
      <c r="X605" s="1095"/>
      <c r="Y605" s="1095"/>
      <c r="Z605" s="1095"/>
      <c r="AA605" s="1095"/>
      <c r="AB605" s="1095"/>
    </row>
    <row r="606">
      <c r="A606" s="1095"/>
      <c r="B606" s="1095"/>
      <c r="C606" s="1095"/>
      <c r="D606" s="1095"/>
      <c r="E606" s="1095"/>
      <c r="F606" s="1095"/>
      <c r="G606" s="1095"/>
      <c r="H606" s="1095"/>
      <c r="I606" s="1095"/>
      <c r="J606" s="1095"/>
      <c r="K606" s="1095"/>
      <c r="L606" s="1095"/>
      <c r="M606" s="1095"/>
      <c r="N606" s="1095"/>
      <c r="O606" s="1095"/>
      <c r="P606" s="1095"/>
      <c r="Q606" s="1095"/>
      <c r="R606" s="1095"/>
      <c r="S606" s="1095"/>
      <c r="T606" s="1095"/>
      <c r="U606" s="1095"/>
      <c r="V606" s="1095"/>
      <c r="W606" s="1095"/>
      <c r="X606" s="1095"/>
      <c r="Y606" s="1095"/>
      <c r="Z606" s="1095"/>
      <c r="AA606" s="1095"/>
      <c r="AB606" s="1095"/>
    </row>
    <row r="607">
      <c r="A607" s="1095"/>
      <c r="B607" s="1095"/>
      <c r="C607" s="1095"/>
      <c r="D607" s="1095"/>
      <c r="E607" s="1095"/>
      <c r="F607" s="1095"/>
      <c r="G607" s="1095"/>
      <c r="H607" s="1095"/>
      <c r="I607" s="1095"/>
      <c r="J607" s="1095"/>
      <c r="K607" s="1095"/>
      <c r="L607" s="1095"/>
      <c r="M607" s="1095"/>
      <c r="N607" s="1095"/>
      <c r="O607" s="1095"/>
      <c r="P607" s="1095"/>
      <c r="Q607" s="1095"/>
      <c r="R607" s="1095"/>
      <c r="S607" s="1095"/>
      <c r="T607" s="1095"/>
      <c r="U607" s="1095"/>
      <c r="V607" s="1095"/>
      <c r="W607" s="1095"/>
      <c r="X607" s="1095"/>
      <c r="Y607" s="1095"/>
      <c r="Z607" s="1095"/>
      <c r="AA607" s="1095"/>
      <c r="AB607" s="1095"/>
    </row>
    <row r="608">
      <c r="A608" s="1095"/>
      <c r="B608" s="1095"/>
      <c r="C608" s="1095"/>
      <c r="D608" s="1095"/>
      <c r="E608" s="1095"/>
      <c r="F608" s="1095"/>
      <c r="G608" s="1095"/>
      <c r="H608" s="1095"/>
      <c r="I608" s="1095"/>
      <c r="J608" s="1095"/>
      <c r="K608" s="1095"/>
      <c r="L608" s="1095"/>
      <c r="M608" s="1095"/>
      <c r="N608" s="1095"/>
      <c r="O608" s="1095"/>
      <c r="P608" s="1095"/>
      <c r="Q608" s="1095"/>
      <c r="R608" s="1095"/>
      <c r="S608" s="1095"/>
      <c r="T608" s="1095"/>
      <c r="U608" s="1095"/>
      <c r="V608" s="1095"/>
      <c r="W608" s="1095"/>
      <c r="X608" s="1095"/>
      <c r="Y608" s="1095"/>
      <c r="Z608" s="1095"/>
      <c r="AA608" s="1095"/>
      <c r="AB608" s="1095"/>
    </row>
    <row r="609">
      <c r="A609" s="1095"/>
      <c r="B609" s="1095"/>
      <c r="C609" s="1095"/>
      <c r="D609" s="1095"/>
      <c r="E609" s="1095"/>
      <c r="F609" s="1095"/>
      <c r="G609" s="1095"/>
      <c r="H609" s="1095"/>
      <c r="I609" s="1095"/>
      <c r="J609" s="1095"/>
      <c r="K609" s="1095"/>
      <c r="L609" s="1095"/>
      <c r="M609" s="1095"/>
      <c r="N609" s="1095"/>
      <c r="O609" s="1095"/>
      <c r="P609" s="1095"/>
      <c r="Q609" s="1095"/>
      <c r="R609" s="1095"/>
      <c r="S609" s="1095"/>
      <c r="T609" s="1095"/>
      <c r="U609" s="1095"/>
      <c r="V609" s="1095"/>
      <c r="W609" s="1095"/>
      <c r="X609" s="1095"/>
      <c r="Y609" s="1095"/>
      <c r="Z609" s="1095"/>
      <c r="AA609" s="1095"/>
      <c r="AB609" s="1095"/>
    </row>
    <row r="610">
      <c r="A610" s="1095"/>
      <c r="B610" s="1095"/>
      <c r="C610" s="1095"/>
      <c r="D610" s="1095"/>
      <c r="E610" s="1095"/>
      <c r="F610" s="1095"/>
      <c r="G610" s="1095"/>
      <c r="H610" s="1095"/>
      <c r="I610" s="1095"/>
      <c r="J610" s="1095"/>
      <c r="K610" s="1095"/>
      <c r="L610" s="1095"/>
      <c r="M610" s="1095"/>
      <c r="N610" s="1095"/>
      <c r="O610" s="1095"/>
      <c r="P610" s="1095"/>
      <c r="Q610" s="1095"/>
      <c r="R610" s="1095"/>
      <c r="S610" s="1095"/>
      <c r="T610" s="1095"/>
      <c r="U610" s="1095"/>
      <c r="V610" s="1095"/>
      <c r="W610" s="1095"/>
      <c r="X610" s="1095"/>
      <c r="Y610" s="1095"/>
      <c r="Z610" s="1095"/>
      <c r="AA610" s="1095"/>
      <c r="AB610" s="1095"/>
    </row>
    <row r="611">
      <c r="A611" s="1095"/>
      <c r="B611" s="1095"/>
      <c r="C611" s="1095"/>
      <c r="D611" s="1095"/>
      <c r="E611" s="1095"/>
      <c r="F611" s="1095"/>
      <c r="G611" s="1095"/>
      <c r="H611" s="1095"/>
      <c r="I611" s="1095"/>
      <c r="J611" s="1095"/>
      <c r="K611" s="1095"/>
      <c r="L611" s="1095"/>
      <c r="M611" s="1095"/>
      <c r="N611" s="1095"/>
      <c r="O611" s="1095"/>
      <c r="P611" s="1095"/>
      <c r="Q611" s="1095"/>
      <c r="R611" s="1095"/>
      <c r="S611" s="1095"/>
      <c r="T611" s="1095"/>
      <c r="U611" s="1095"/>
      <c r="V611" s="1095"/>
      <c r="W611" s="1095"/>
      <c r="X611" s="1095"/>
      <c r="Y611" s="1095"/>
      <c r="Z611" s="1095"/>
      <c r="AA611" s="1095"/>
      <c r="AB611" s="1095"/>
    </row>
    <row r="612">
      <c r="A612" s="1095"/>
      <c r="B612" s="1095"/>
      <c r="C612" s="1095"/>
      <c r="D612" s="1095"/>
      <c r="E612" s="1095"/>
      <c r="F612" s="1095"/>
      <c r="G612" s="1095"/>
      <c r="H612" s="1095"/>
      <c r="I612" s="1095"/>
      <c r="J612" s="1095"/>
      <c r="K612" s="1095"/>
      <c r="L612" s="1095"/>
      <c r="M612" s="1095"/>
      <c r="N612" s="1095"/>
      <c r="O612" s="1095"/>
      <c r="P612" s="1095"/>
      <c r="Q612" s="1095"/>
      <c r="R612" s="1095"/>
      <c r="S612" s="1095"/>
      <c r="T612" s="1095"/>
      <c r="U612" s="1095"/>
      <c r="V612" s="1095"/>
      <c r="W612" s="1095"/>
      <c r="X612" s="1095"/>
      <c r="Y612" s="1095"/>
      <c r="Z612" s="1095"/>
      <c r="AA612" s="1095"/>
      <c r="AB612" s="1095"/>
    </row>
    <row r="613">
      <c r="A613" s="1095"/>
      <c r="B613" s="1095"/>
      <c r="C613" s="1095"/>
      <c r="D613" s="1095"/>
      <c r="E613" s="1095"/>
      <c r="F613" s="1095"/>
      <c r="G613" s="1095"/>
      <c r="H613" s="1095"/>
      <c r="I613" s="1095"/>
      <c r="J613" s="1095"/>
      <c r="K613" s="1095"/>
      <c r="L613" s="1095"/>
      <c r="M613" s="1095"/>
      <c r="N613" s="1095"/>
      <c r="O613" s="1095"/>
      <c r="P613" s="1095"/>
      <c r="Q613" s="1095"/>
      <c r="R613" s="1095"/>
      <c r="S613" s="1095"/>
      <c r="T613" s="1095"/>
      <c r="U613" s="1095"/>
      <c r="V613" s="1095"/>
      <c r="W613" s="1095"/>
      <c r="X613" s="1095"/>
      <c r="Y613" s="1095"/>
      <c r="Z613" s="1095"/>
      <c r="AA613" s="1095"/>
      <c r="AB613" s="1095"/>
    </row>
    <row r="614">
      <c r="A614" s="1095"/>
      <c r="B614" s="1095"/>
      <c r="C614" s="1095"/>
      <c r="D614" s="1095"/>
      <c r="E614" s="1095"/>
      <c r="F614" s="1095"/>
      <c r="G614" s="1095"/>
      <c r="H614" s="1095"/>
      <c r="I614" s="1095"/>
      <c r="J614" s="1095"/>
      <c r="K614" s="1095"/>
      <c r="L614" s="1095"/>
      <c r="M614" s="1095"/>
      <c r="N614" s="1095"/>
      <c r="O614" s="1095"/>
      <c r="P614" s="1095"/>
      <c r="Q614" s="1095"/>
      <c r="R614" s="1095"/>
      <c r="S614" s="1095"/>
      <c r="T614" s="1095"/>
      <c r="U614" s="1095"/>
      <c r="V614" s="1095"/>
      <c r="W614" s="1095"/>
      <c r="X614" s="1095"/>
      <c r="Y614" s="1095"/>
      <c r="Z614" s="1095"/>
      <c r="AA614" s="1095"/>
      <c r="AB614" s="1095"/>
    </row>
    <row r="615">
      <c r="A615" s="1095"/>
      <c r="B615" s="1095"/>
      <c r="C615" s="1095"/>
      <c r="D615" s="1095"/>
      <c r="E615" s="1095"/>
      <c r="F615" s="1095"/>
      <c r="G615" s="1095"/>
      <c r="H615" s="1095"/>
      <c r="I615" s="1095"/>
      <c r="J615" s="1095"/>
      <c r="K615" s="1095"/>
      <c r="L615" s="1095"/>
      <c r="M615" s="1095"/>
      <c r="N615" s="1095"/>
      <c r="O615" s="1095"/>
      <c r="P615" s="1095"/>
      <c r="Q615" s="1095"/>
      <c r="R615" s="1095"/>
      <c r="S615" s="1095"/>
      <c r="T615" s="1095"/>
      <c r="U615" s="1095"/>
      <c r="V615" s="1095"/>
      <c r="W615" s="1095"/>
      <c r="X615" s="1095"/>
      <c r="Y615" s="1095"/>
      <c r="Z615" s="1095"/>
      <c r="AA615" s="1095"/>
      <c r="AB615" s="1095"/>
    </row>
    <row r="616">
      <c r="A616" s="1095"/>
      <c r="B616" s="1095"/>
      <c r="C616" s="1095"/>
      <c r="D616" s="1095"/>
      <c r="E616" s="1095"/>
      <c r="F616" s="1095"/>
      <c r="G616" s="1095"/>
      <c r="H616" s="1095"/>
      <c r="I616" s="1095"/>
      <c r="J616" s="1095"/>
      <c r="K616" s="1095"/>
      <c r="L616" s="1095"/>
      <c r="M616" s="1095"/>
      <c r="N616" s="1095"/>
      <c r="O616" s="1095"/>
      <c r="P616" s="1095"/>
      <c r="Q616" s="1095"/>
      <c r="R616" s="1095"/>
      <c r="S616" s="1095"/>
      <c r="T616" s="1095"/>
      <c r="U616" s="1095"/>
      <c r="V616" s="1095"/>
      <c r="W616" s="1095"/>
      <c r="X616" s="1095"/>
      <c r="Y616" s="1095"/>
      <c r="Z616" s="1095"/>
      <c r="AA616" s="1095"/>
      <c r="AB616" s="1095"/>
    </row>
    <row r="617">
      <c r="A617" s="1095"/>
      <c r="B617" s="1095"/>
      <c r="C617" s="1095"/>
      <c r="D617" s="1095"/>
      <c r="E617" s="1095"/>
      <c r="F617" s="1095"/>
      <c r="G617" s="1095"/>
      <c r="H617" s="1095"/>
      <c r="I617" s="1095"/>
      <c r="J617" s="1095"/>
      <c r="K617" s="1095"/>
      <c r="L617" s="1095"/>
      <c r="M617" s="1095"/>
      <c r="N617" s="1095"/>
      <c r="O617" s="1095"/>
      <c r="P617" s="1095"/>
      <c r="Q617" s="1095"/>
      <c r="R617" s="1095"/>
      <c r="S617" s="1095"/>
      <c r="T617" s="1095"/>
      <c r="U617" s="1095"/>
      <c r="V617" s="1095"/>
      <c r="W617" s="1095"/>
      <c r="X617" s="1095"/>
      <c r="Y617" s="1095"/>
      <c r="Z617" s="1095"/>
      <c r="AA617" s="1095"/>
      <c r="AB617" s="1095"/>
    </row>
    <row r="618">
      <c r="A618" s="1095"/>
      <c r="B618" s="1095"/>
      <c r="C618" s="1095"/>
      <c r="D618" s="1095"/>
      <c r="E618" s="1095"/>
      <c r="F618" s="1095"/>
      <c r="G618" s="1095"/>
      <c r="H618" s="1095"/>
      <c r="I618" s="1095"/>
      <c r="J618" s="1095"/>
      <c r="K618" s="1095"/>
      <c r="L618" s="1095"/>
      <c r="M618" s="1095"/>
      <c r="N618" s="1095"/>
      <c r="O618" s="1095"/>
      <c r="P618" s="1095"/>
      <c r="Q618" s="1095"/>
      <c r="R618" s="1095"/>
      <c r="S618" s="1095"/>
      <c r="T618" s="1095"/>
      <c r="U618" s="1095"/>
      <c r="V618" s="1095"/>
      <c r="W618" s="1095"/>
      <c r="X618" s="1095"/>
      <c r="Y618" s="1095"/>
      <c r="Z618" s="1095"/>
      <c r="AA618" s="1095"/>
      <c r="AB618" s="1095"/>
    </row>
    <row r="619">
      <c r="A619" s="1095"/>
      <c r="B619" s="1095"/>
      <c r="C619" s="1095"/>
      <c r="D619" s="1095"/>
      <c r="E619" s="1095"/>
      <c r="F619" s="1095"/>
      <c r="G619" s="1095"/>
      <c r="H619" s="1095"/>
      <c r="I619" s="1095"/>
      <c r="J619" s="1095"/>
      <c r="K619" s="1095"/>
      <c r="L619" s="1095"/>
      <c r="M619" s="1095"/>
      <c r="N619" s="1095"/>
      <c r="O619" s="1095"/>
      <c r="P619" s="1095"/>
      <c r="Q619" s="1095"/>
      <c r="R619" s="1095"/>
      <c r="S619" s="1095"/>
      <c r="T619" s="1095"/>
      <c r="U619" s="1095"/>
      <c r="V619" s="1095"/>
      <c r="W619" s="1095"/>
      <c r="X619" s="1095"/>
      <c r="Y619" s="1095"/>
      <c r="Z619" s="1095"/>
      <c r="AA619" s="1095"/>
      <c r="AB619" s="1095"/>
    </row>
    <row r="620">
      <c r="A620" s="1095"/>
      <c r="B620" s="1095"/>
      <c r="C620" s="1095"/>
      <c r="D620" s="1095"/>
      <c r="E620" s="1095"/>
      <c r="F620" s="1095"/>
      <c r="G620" s="1095"/>
      <c r="H620" s="1095"/>
      <c r="I620" s="1095"/>
      <c r="J620" s="1095"/>
      <c r="K620" s="1095"/>
      <c r="L620" s="1095"/>
      <c r="M620" s="1095"/>
      <c r="N620" s="1095"/>
      <c r="O620" s="1095"/>
      <c r="P620" s="1095"/>
      <c r="Q620" s="1095"/>
      <c r="R620" s="1095"/>
      <c r="S620" s="1095"/>
      <c r="T620" s="1095"/>
      <c r="U620" s="1095"/>
      <c r="V620" s="1095"/>
      <c r="W620" s="1095"/>
      <c r="X620" s="1095"/>
      <c r="Y620" s="1095"/>
      <c r="Z620" s="1095"/>
      <c r="AA620" s="1095"/>
      <c r="AB620" s="1095"/>
    </row>
    <row r="621">
      <c r="A621" s="1095"/>
      <c r="B621" s="1095"/>
      <c r="C621" s="1095"/>
      <c r="D621" s="1095"/>
      <c r="E621" s="1095"/>
      <c r="F621" s="1095"/>
      <c r="G621" s="1095"/>
      <c r="H621" s="1095"/>
      <c r="I621" s="1095"/>
      <c r="J621" s="1095"/>
      <c r="K621" s="1095"/>
      <c r="L621" s="1095"/>
      <c r="M621" s="1095"/>
      <c r="N621" s="1095"/>
      <c r="O621" s="1095"/>
      <c r="P621" s="1095"/>
      <c r="Q621" s="1095"/>
      <c r="R621" s="1095"/>
      <c r="S621" s="1095"/>
      <c r="T621" s="1095"/>
      <c r="U621" s="1095"/>
      <c r="V621" s="1095"/>
      <c r="W621" s="1095"/>
      <c r="X621" s="1095"/>
      <c r="Y621" s="1095"/>
      <c r="Z621" s="1095"/>
      <c r="AA621" s="1095"/>
      <c r="AB621" s="1095"/>
    </row>
    <row r="622">
      <c r="A622" s="1095"/>
      <c r="B622" s="1095"/>
      <c r="C622" s="1095"/>
      <c r="D622" s="1095"/>
      <c r="E622" s="1095"/>
      <c r="F622" s="1095"/>
      <c r="G622" s="1095"/>
      <c r="H622" s="1095"/>
      <c r="I622" s="1095"/>
      <c r="J622" s="1095"/>
      <c r="K622" s="1095"/>
      <c r="L622" s="1095"/>
      <c r="M622" s="1095"/>
      <c r="N622" s="1095"/>
      <c r="O622" s="1095"/>
      <c r="P622" s="1095"/>
      <c r="Q622" s="1095"/>
      <c r="R622" s="1095"/>
      <c r="S622" s="1095"/>
      <c r="T622" s="1095"/>
      <c r="U622" s="1095"/>
      <c r="V622" s="1095"/>
      <c r="W622" s="1095"/>
      <c r="X622" s="1095"/>
      <c r="Y622" s="1095"/>
      <c r="Z622" s="1095"/>
      <c r="AA622" s="1095"/>
      <c r="AB622" s="1095"/>
    </row>
    <row r="623">
      <c r="A623" s="1095"/>
      <c r="B623" s="1095"/>
      <c r="C623" s="1095"/>
      <c r="D623" s="1095"/>
      <c r="E623" s="1095"/>
      <c r="F623" s="1095"/>
      <c r="G623" s="1095"/>
      <c r="H623" s="1095"/>
      <c r="I623" s="1095"/>
      <c r="J623" s="1095"/>
      <c r="K623" s="1095"/>
      <c r="L623" s="1095"/>
      <c r="M623" s="1095"/>
      <c r="N623" s="1095"/>
      <c r="O623" s="1095"/>
      <c r="P623" s="1095"/>
      <c r="Q623" s="1095"/>
      <c r="R623" s="1095"/>
      <c r="S623" s="1095"/>
      <c r="T623" s="1095"/>
      <c r="U623" s="1095"/>
      <c r="V623" s="1095"/>
      <c r="W623" s="1095"/>
      <c r="X623" s="1095"/>
      <c r="Y623" s="1095"/>
      <c r="Z623" s="1095"/>
      <c r="AA623" s="1095"/>
      <c r="AB623" s="1095"/>
    </row>
    <row r="624">
      <c r="A624" s="1095"/>
      <c r="B624" s="1095"/>
      <c r="C624" s="1095"/>
      <c r="D624" s="1095"/>
      <c r="E624" s="1095"/>
      <c r="F624" s="1095"/>
      <c r="G624" s="1095"/>
      <c r="H624" s="1095"/>
      <c r="I624" s="1095"/>
      <c r="J624" s="1095"/>
      <c r="K624" s="1095"/>
      <c r="L624" s="1095"/>
      <c r="M624" s="1095"/>
      <c r="N624" s="1095"/>
      <c r="O624" s="1095"/>
      <c r="P624" s="1095"/>
      <c r="Q624" s="1095"/>
      <c r="R624" s="1095"/>
      <c r="S624" s="1095"/>
      <c r="T624" s="1095"/>
      <c r="U624" s="1095"/>
      <c r="V624" s="1095"/>
      <c r="W624" s="1095"/>
      <c r="X624" s="1095"/>
      <c r="Y624" s="1095"/>
      <c r="Z624" s="1095"/>
      <c r="AA624" s="1095"/>
      <c r="AB624" s="1095"/>
    </row>
    <row r="625">
      <c r="A625" s="1095"/>
      <c r="B625" s="1095"/>
      <c r="C625" s="1095"/>
      <c r="D625" s="1095"/>
      <c r="E625" s="1095"/>
      <c r="F625" s="1095"/>
      <c r="G625" s="1095"/>
      <c r="H625" s="1095"/>
      <c r="I625" s="1095"/>
      <c r="J625" s="1095"/>
      <c r="K625" s="1095"/>
      <c r="L625" s="1095"/>
      <c r="M625" s="1095"/>
      <c r="N625" s="1095"/>
      <c r="O625" s="1095"/>
      <c r="P625" s="1095"/>
      <c r="Q625" s="1095"/>
      <c r="R625" s="1095"/>
      <c r="S625" s="1095"/>
      <c r="T625" s="1095"/>
      <c r="U625" s="1095"/>
      <c r="V625" s="1095"/>
      <c r="W625" s="1095"/>
      <c r="X625" s="1095"/>
      <c r="Y625" s="1095"/>
      <c r="Z625" s="1095"/>
      <c r="AA625" s="1095"/>
      <c r="AB625" s="1095"/>
    </row>
    <row r="626">
      <c r="A626" s="1095"/>
      <c r="B626" s="1095"/>
      <c r="C626" s="1095"/>
      <c r="D626" s="1095"/>
      <c r="E626" s="1095"/>
      <c r="F626" s="1095"/>
      <c r="G626" s="1095"/>
      <c r="H626" s="1095"/>
      <c r="I626" s="1095"/>
      <c r="J626" s="1095"/>
      <c r="K626" s="1095"/>
      <c r="L626" s="1095"/>
      <c r="M626" s="1095"/>
      <c r="N626" s="1095"/>
      <c r="O626" s="1095"/>
      <c r="P626" s="1095"/>
      <c r="Q626" s="1095"/>
      <c r="R626" s="1095"/>
      <c r="S626" s="1095"/>
      <c r="T626" s="1095"/>
      <c r="U626" s="1095"/>
      <c r="V626" s="1095"/>
      <c r="W626" s="1095"/>
      <c r="X626" s="1095"/>
      <c r="Y626" s="1095"/>
      <c r="Z626" s="1095"/>
      <c r="AA626" s="1095"/>
      <c r="AB626" s="1095"/>
    </row>
    <row r="627">
      <c r="A627" s="1095"/>
      <c r="B627" s="1095"/>
      <c r="C627" s="1095"/>
      <c r="D627" s="1095"/>
      <c r="E627" s="1095"/>
      <c r="F627" s="1095"/>
      <c r="G627" s="1095"/>
      <c r="H627" s="1095"/>
      <c r="I627" s="1095"/>
      <c r="J627" s="1095"/>
      <c r="K627" s="1095"/>
      <c r="L627" s="1095"/>
      <c r="M627" s="1095"/>
      <c r="N627" s="1095"/>
      <c r="O627" s="1095"/>
      <c r="P627" s="1095"/>
      <c r="Q627" s="1095"/>
      <c r="R627" s="1095"/>
      <c r="S627" s="1095"/>
      <c r="T627" s="1095"/>
      <c r="U627" s="1095"/>
      <c r="V627" s="1095"/>
      <c r="W627" s="1095"/>
      <c r="X627" s="1095"/>
      <c r="Y627" s="1095"/>
      <c r="Z627" s="1095"/>
      <c r="AA627" s="1095"/>
      <c r="AB627" s="1095"/>
    </row>
    <row r="628">
      <c r="A628" s="1095"/>
      <c r="B628" s="1095"/>
      <c r="C628" s="1095"/>
      <c r="D628" s="1095"/>
      <c r="E628" s="1095"/>
      <c r="F628" s="1095"/>
      <c r="G628" s="1095"/>
      <c r="H628" s="1095"/>
      <c r="I628" s="1095"/>
      <c r="J628" s="1095"/>
      <c r="K628" s="1095"/>
      <c r="L628" s="1095"/>
      <c r="M628" s="1095"/>
      <c r="N628" s="1095"/>
      <c r="O628" s="1095"/>
      <c r="P628" s="1095"/>
      <c r="Q628" s="1095"/>
      <c r="R628" s="1095"/>
      <c r="S628" s="1095"/>
      <c r="T628" s="1095"/>
      <c r="U628" s="1095"/>
      <c r="V628" s="1095"/>
      <c r="W628" s="1095"/>
      <c r="X628" s="1095"/>
      <c r="Y628" s="1095"/>
      <c r="Z628" s="1095"/>
      <c r="AA628" s="1095"/>
      <c r="AB628" s="1095"/>
    </row>
    <row r="629">
      <c r="A629" s="1095"/>
      <c r="B629" s="1095"/>
      <c r="C629" s="1095"/>
      <c r="D629" s="1095"/>
      <c r="E629" s="1095"/>
      <c r="F629" s="1095"/>
      <c r="G629" s="1095"/>
      <c r="H629" s="1095"/>
      <c r="I629" s="1095"/>
      <c r="J629" s="1095"/>
      <c r="K629" s="1095"/>
      <c r="L629" s="1095"/>
      <c r="M629" s="1095"/>
      <c r="N629" s="1095"/>
      <c r="O629" s="1095"/>
      <c r="P629" s="1095"/>
      <c r="Q629" s="1095"/>
      <c r="R629" s="1095"/>
      <c r="S629" s="1095"/>
      <c r="T629" s="1095"/>
      <c r="U629" s="1095"/>
      <c r="V629" s="1095"/>
      <c r="W629" s="1095"/>
      <c r="X629" s="1095"/>
      <c r="Y629" s="1095"/>
      <c r="Z629" s="1095"/>
      <c r="AA629" s="1095"/>
      <c r="AB629" s="1095"/>
    </row>
    <row r="630">
      <c r="A630" s="1095"/>
      <c r="B630" s="1095"/>
      <c r="C630" s="1095"/>
      <c r="D630" s="1095"/>
      <c r="E630" s="1095"/>
      <c r="F630" s="1095"/>
      <c r="G630" s="1095"/>
      <c r="H630" s="1095"/>
      <c r="I630" s="1095"/>
      <c r="J630" s="1095"/>
      <c r="K630" s="1095"/>
      <c r="L630" s="1095"/>
      <c r="M630" s="1095"/>
      <c r="N630" s="1095"/>
      <c r="O630" s="1095"/>
      <c r="P630" s="1095"/>
      <c r="Q630" s="1095"/>
      <c r="R630" s="1095"/>
      <c r="S630" s="1095"/>
      <c r="T630" s="1095"/>
      <c r="U630" s="1095"/>
      <c r="V630" s="1095"/>
      <c r="W630" s="1095"/>
      <c r="X630" s="1095"/>
      <c r="Y630" s="1095"/>
      <c r="Z630" s="1095"/>
      <c r="AA630" s="1095"/>
      <c r="AB630" s="1095"/>
    </row>
    <row r="631">
      <c r="A631" s="1095"/>
      <c r="B631" s="1095"/>
      <c r="C631" s="1095"/>
      <c r="D631" s="1095"/>
      <c r="E631" s="1095"/>
      <c r="F631" s="1095"/>
      <c r="G631" s="1095"/>
      <c r="H631" s="1095"/>
      <c r="I631" s="1095"/>
      <c r="J631" s="1095"/>
      <c r="K631" s="1095"/>
      <c r="L631" s="1095"/>
      <c r="M631" s="1095"/>
      <c r="N631" s="1095"/>
      <c r="O631" s="1095"/>
      <c r="P631" s="1095"/>
      <c r="Q631" s="1095"/>
      <c r="R631" s="1095"/>
      <c r="S631" s="1095"/>
      <c r="T631" s="1095"/>
      <c r="U631" s="1095"/>
      <c r="V631" s="1095"/>
      <c r="W631" s="1095"/>
      <c r="X631" s="1095"/>
      <c r="Y631" s="1095"/>
      <c r="Z631" s="1095"/>
      <c r="AA631" s="1095"/>
      <c r="AB631" s="1095"/>
    </row>
    <row r="632">
      <c r="A632" s="1095"/>
      <c r="B632" s="1095"/>
      <c r="C632" s="1095"/>
      <c r="D632" s="1095"/>
      <c r="E632" s="1095"/>
      <c r="F632" s="1095"/>
      <c r="G632" s="1095"/>
      <c r="H632" s="1095"/>
      <c r="I632" s="1095"/>
      <c r="J632" s="1095"/>
      <c r="K632" s="1095"/>
      <c r="L632" s="1095"/>
      <c r="M632" s="1095"/>
      <c r="N632" s="1095"/>
      <c r="O632" s="1095"/>
      <c r="P632" s="1095"/>
      <c r="Q632" s="1095"/>
      <c r="R632" s="1095"/>
      <c r="S632" s="1095"/>
      <c r="T632" s="1095"/>
      <c r="U632" s="1095"/>
      <c r="V632" s="1095"/>
      <c r="W632" s="1095"/>
      <c r="X632" s="1095"/>
      <c r="Y632" s="1095"/>
      <c r="Z632" s="1095"/>
      <c r="AA632" s="1095"/>
      <c r="AB632" s="1095"/>
    </row>
    <row r="633">
      <c r="A633" s="1095"/>
      <c r="B633" s="1095"/>
      <c r="C633" s="1095"/>
      <c r="D633" s="1095"/>
      <c r="E633" s="1095"/>
      <c r="F633" s="1095"/>
      <c r="G633" s="1095"/>
      <c r="H633" s="1095"/>
      <c r="I633" s="1095"/>
      <c r="J633" s="1095"/>
      <c r="K633" s="1095"/>
      <c r="L633" s="1095"/>
      <c r="M633" s="1095"/>
      <c r="N633" s="1095"/>
      <c r="O633" s="1095"/>
      <c r="P633" s="1095"/>
      <c r="Q633" s="1095"/>
      <c r="R633" s="1095"/>
      <c r="S633" s="1095"/>
      <c r="T633" s="1095"/>
      <c r="U633" s="1095"/>
      <c r="V633" s="1095"/>
      <c r="W633" s="1095"/>
      <c r="X633" s="1095"/>
      <c r="Y633" s="1095"/>
      <c r="Z633" s="1095"/>
      <c r="AA633" s="1095"/>
      <c r="AB633" s="1095"/>
    </row>
    <row r="634">
      <c r="A634" s="1095"/>
      <c r="B634" s="1095"/>
      <c r="C634" s="1095"/>
      <c r="D634" s="1095"/>
      <c r="E634" s="1095"/>
      <c r="F634" s="1095"/>
      <c r="G634" s="1095"/>
      <c r="H634" s="1095"/>
      <c r="I634" s="1095"/>
      <c r="J634" s="1095"/>
      <c r="K634" s="1095"/>
      <c r="L634" s="1095"/>
      <c r="M634" s="1095"/>
      <c r="N634" s="1095"/>
      <c r="O634" s="1095"/>
      <c r="P634" s="1095"/>
      <c r="Q634" s="1095"/>
      <c r="R634" s="1095"/>
      <c r="S634" s="1095"/>
      <c r="T634" s="1095"/>
      <c r="U634" s="1095"/>
      <c r="V634" s="1095"/>
      <c r="W634" s="1095"/>
      <c r="X634" s="1095"/>
      <c r="Y634" s="1095"/>
      <c r="Z634" s="1095"/>
      <c r="AA634" s="1095"/>
      <c r="AB634" s="1095"/>
    </row>
    <row r="635">
      <c r="A635" s="1095"/>
      <c r="B635" s="1095"/>
      <c r="C635" s="1095"/>
      <c r="D635" s="1095"/>
      <c r="E635" s="1095"/>
      <c r="F635" s="1095"/>
      <c r="G635" s="1095"/>
      <c r="H635" s="1095"/>
      <c r="I635" s="1095"/>
      <c r="J635" s="1095"/>
      <c r="K635" s="1095"/>
      <c r="L635" s="1095"/>
      <c r="M635" s="1095"/>
      <c r="N635" s="1095"/>
      <c r="O635" s="1095"/>
      <c r="P635" s="1095"/>
      <c r="Q635" s="1095"/>
      <c r="R635" s="1095"/>
      <c r="S635" s="1095"/>
      <c r="T635" s="1095"/>
      <c r="U635" s="1095"/>
      <c r="V635" s="1095"/>
      <c r="W635" s="1095"/>
      <c r="X635" s="1095"/>
      <c r="Y635" s="1095"/>
      <c r="Z635" s="1095"/>
      <c r="AA635" s="1095"/>
      <c r="AB635" s="1095"/>
    </row>
    <row r="636">
      <c r="A636" s="1095"/>
      <c r="B636" s="1095"/>
      <c r="C636" s="1095"/>
      <c r="D636" s="1095"/>
      <c r="E636" s="1095"/>
      <c r="F636" s="1095"/>
      <c r="G636" s="1095"/>
      <c r="H636" s="1095"/>
      <c r="I636" s="1095"/>
      <c r="J636" s="1095"/>
      <c r="K636" s="1095"/>
      <c r="L636" s="1095"/>
      <c r="M636" s="1095"/>
      <c r="N636" s="1095"/>
      <c r="O636" s="1095"/>
      <c r="P636" s="1095"/>
      <c r="Q636" s="1095"/>
      <c r="R636" s="1095"/>
      <c r="S636" s="1095"/>
      <c r="T636" s="1095"/>
      <c r="U636" s="1095"/>
      <c r="V636" s="1095"/>
      <c r="W636" s="1095"/>
      <c r="X636" s="1095"/>
      <c r="Y636" s="1095"/>
      <c r="Z636" s="1095"/>
      <c r="AA636" s="1095"/>
      <c r="AB636" s="1095"/>
    </row>
    <row r="637">
      <c r="A637" s="1095"/>
      <c r="B637" s="1095"/>
      <c r="C637" s="1095"/>
      <c r="D637" s="1095"/>
      <c r="E637" s="1095"/>
      <c r="F637" s="1095"/>
      <c r="G637" s="1095"/>
      <c r="H637" s="1095"/>
      <c r="I637" s="1095"/>
      <c r="J637" s="1095"/>
      <c r="K637" s="1095"/>
      <c r="L637" s="1095"/>
      <c r="M637" s="1095"/>
      <c r="N637" s="1095"/>
      <c r="O637" s="1095"/>
      <c r="P637" s="1095"/>
      <c r="Q637" s="1095"/>
      <c r="R637" s="1095"/>
      <c r="S637" s="1095"/>
      <c r="T637" s="1095"/>
      <c r="U637" s="1095"/>
      <c r="V637" s="1095"/>
      <c r="W637" s="1095"/>
      <c r="X637" s="1095"/>
      <c r="Y637" s="1095"/>
      <c r="Z637" s="1095"/>
      <c r="AA637" s="1095"/>
      <c r="AB637" s="1095"/>
    </row>
    <row r="638">
      <c r="A638" s="1095"/>
      <c r="B638" s="1095"/>
      <c r="C638" s="1095"/>
      <c r="D638" s="1095"/>
      <c r="E638" s="1095"/>
      <c r="F638" s="1095"/>
      <c r="G638" s="1095"/>
      <c r="H638" s="1095"/>
      <c r="I638" s="1095"/>
      <c r="J638" s="1095"/>
      <c r="K638" s="1095"/>
      <c r="L638" s="1095"/>
      <c r="M638" s="1095"/>
      <c r="N638" s="1095"/>
      <c r="O638" s="1095"/>
      <c r="P638" s="1095"/>
      <c r="Q638" s="1095"/>
      <c r="R638" s="1095"/>
      <c r="S638" s="1095"/>
      <c r="T638" s="1095"/>
      <c r="U638" s="1095"/>
      <c r="V638" s="1095"/>
      <c r="W638" s="1095"/>
      <c r="X638" s="1095"/>
      <c r="Y638" s="1095"/>
      <c r="Z638" s="1095"/>
      <c r="AA638" s="1095"/>
      <c r="AB638" s="1095"/>
    </row>
    <row r="639">
      <c r="A639" s="1095"/>
      <c r="B639" s="1095"/>
      <c r="C639" s="1095"/>
      <c r="D639" s="1095"/>
      <c r="E639" s="1095"/>
      <c r="F639" s="1095"/>
      <c r="G639" s="1095"/>
      <c r="H639" s="1095"/>
      <c r="I639" s="1095"/>
      <c r="J639" s="1095"/>
      <c r="K639" s="1095"/>
      <c r="L639" s="1095"/>
      <c r="M639" s="1095"/>
      <c r="N639" s="1095"/>
      <c r="O639" s="1095"/>
      <c r="P639" s="1095"/>
      <c r="Q639" s="1095"/>
      <c r="R639" s="1095"/>
      <c r="S639" s="1095"/>
      <c r="T639" s="1095"/>
      <c r="U639" s="1095"/>
      <c r="V639" s="1095"/>
      <c r="W639" s="1095"/>
      <c r="X639" s="1095"/>
      <c r="Y639" s="1095"/>
      <c r="Z639" s="1095"/>
      <c r="AA639" s="1095"/>
      <c r="AB639" s="1095"/>
    </row>
    <row r="640">
      <c r="A640" s="1095"/>
      <c r="B640" s="1095"/>
      <c r="C640" s="1095"/>
      <c r="D640" s="1095"/>
      <c r="E640" s="1095"/>
      <c r="F640" s="1095"/>
      <c r="G640" s="1095"/>
      <c r="H640" s="1095"/>
      <c r="I640" s="1095"/>
      <c r="J640" s="1095"/>
      <c r="K640" s="1095"/>
      <c r="L640" s="1095"/>
      <c r="M640" s="1095"/>
      <c r="N640" s="1095"/>
      <c r="O640" s="1095"/>
      <c r="P640" s="1095"/>
      <c r="Q640" s="1095"/>
      <c r="R640" s="1095"/>
      <c r="S640" s="1095"/>
      <c r="T640" s="1095"/>
      <c r="U640" s="1095"/>
      <c r="V640" s="1095"/>
      <c r="W640" s="1095"/>
      <c r="X640" s="1095"/>
      <c r="Y640" s="1095"/>
      <c r="Z640" s="1095"/>
      <c r="AA640" s="1095"/>
      <c r="AB640" s="1095"/>
    </row>
    <row r="641">
      <c r="A641" s="1095"/>
      <c r="B641" s="1095"/>
      <c r="C641" s="1095"/>
      <c r="D641" s="1095"/>
      <c r="E641" s="1095"/>
      <c r="F641" s="1095"/>
      <c r="G641" s="1095"/>
      <c r="H641" s="1095"/>
      <c r="I641" s="1095"/>
      <c r="J641" s="1095"/>
      <c r="K641" s="1095"/>
      <c r="L641" s="1095"/>
      <c r="M641" s="1095"/>
      <c r="N641" s="1095"/>
      <c r="O641" s="1095"/>
      <c r="P641" s="1095"/>
      <c r="Q641" s="1095"/>
      <c r="R641" s="1095"/>
      <c r="S641" s="1095"/>
      <c r="T641" s="1095"/>
      <c r="U641" s="1095"/>
      <c r="V641" s="1095"/>
      <c r="W641" s="1095"/>
      <c r="X641" s="1095"/>
      <c r="Y641" s="1095"/>
      <c r="Z641" s="1095"/>
      <c r="AA641" s="1095"/>
      <c r="AB641" s="1095"/>
    </row>
    <row r="642">
      <c r="A642" s="1095"/>
      <c r="B642" s="1095"/>
      <c r="C642" s="1095"/>
      <c r="D642" s="1095"/>
      <c r="E642" s="1095"/>
      <c r="F642" s="1095"/>
      <c r="G642" s="1095"/>
      <c r="H642" s="1095"/>
      <c r="I642" s="1095"/>
      <c r="J642" s="1095"/>
      <c r="K642" s="1095"/>
      <c r="L642" s="1095"/>
      <c r="M642" s="1095"/>
      <c r="N642" s="1095"/>
      <c r="O642" s="1095"/>
      <c r="P642" s="1095"/>
      <c r="Q642" s="1095"/>
      <c r="R642" s="1095"/>
      <c r="S642" s="1095"/>
      <c r="T642" s="1095"/>
      <c r="U642" s="1095"/>
      <c r="V642" s="1095"/>
      <c r="W642" s="1095"/>
      <c r="X642" s="1095"/>
      <c r="Y642" s="1095"/>
      <c r="Z642" s="1095"/>
      <c r="AA642" s="1095"/>
      <c r="AB642" s="1095"/>
    </row>
    <row r="643">
      <c r="A643" s="1095"/>
      <c r="B643" s="1095"/>
      <c r="C643" s="1095"/>
      <c r="D643" s="1095"/>
      <c r="E643" s="1095"/>
      <c r="F643" s="1095"/>
      <c r="G643" s="1095"/>
      <c r="H643" s="1095"/>
      <c r="I643" s="1095"/>
      <c r="J643" s="1095"/>
      <c r="K643" s="1095"/>
      <c r="L643" s="1095"/>
      <c r="M643" s="1095"/>
      <c r="N643" s="1095"/>
      <c r="O643" s="1095"/>
      <c r="P643" s="1095"/>
      <c r="Q643" s="1095"/>
      <c r="R643" s="1095"/>
      <c r="S643" s="1095"/>
      <c r="T643" s="1095"/>
      <c r="U643" s="1095"/>
      <c r="V643" s="1095"/>
      <c r="W643" s="1095"/>
      <c r="X643" s="1095"/>
      <c r="Y643" s="1095"/>
      <c r="Z643" s="1095"/>
      <c r="AA643" s="1095"/>
      <c r="AB643" s="1095"/>
    </row>
    <row r="644">
      <c r="A644" s="1095"/>
      <c r="B644" s="1095"/>
      <c r="C644" s="1095"/>
      <c r="D644" s="1095"/>
      <c r="E644" s="1095"/>
      <c r="F644" s="1095"/>
      <c r="G644" s="1095"/>
      <c r="H644" s="1095"/>
      <c r="I644" s="1095"/>
      <c r="J644" s="1095"/>
      <c r="K644" s="1095"/>
      <c r="L644" s="1095"/>
      <c r="M644" s="1095"/>
      <c r="N644" s="1095"/>
      <c r="O644" s="1095"/>
      <c r="P644" s="1095"/>
      <c r="Q644" s="1095"/>
      <c r="R644" s="1095"/>
      <c r="S644" s="1095"/>
      <c r="T644" s="1095"/>
      <c r="U644" s="1095"/>
      <c r="V644" s="1095"/>
      <c r="W644" s="1095"/>
      <c r="X644" s="1095"/>
      <c r="Y644" s="1095"/>
      <c r="Z644" s="1095"/>
      <c r="AA644" s="1095"/>
      <c r="AB644" s="1095"/>
    </row>
    <row r="645">
      <c r="A645" s="1095"/>
      <c r="B645" s="1095"/>
      <c r="C645" s="1095"/>
      <c r="D645" s="1095"/>
      <c r="E645" s="1095"/>
      <c r="F645" s="1095"/>
      <c r="G645" s="1095"/>
      <c r="H645" s="1095"/>
      <c r="I645" s="1095"/>
      <c r="J645" s="1095"/>
      <c r="K645" s="1095"/>
      <c r="L645" s="1095"/>
      <c r="M645" s="1095"/>
      <c r="N645" s="1095"/>
      <c r="O645" s="1095"/>
      <c r="P645" s="1095"/>
      <c r="Q645" s="1095"/>
      <c r="R645" s="1095"/>
      <c r="S645" s="1095"/>
      <c r="T645" s="1095"/>
      <c r="U645" s="1095"/>
      <c r="V645" s="1095"/>
      <c r="W645" s="1095"/>
      <c r="X645" s="1095"/>
      <c r="Y645" s="1095"/>
      <c r="Z645" s="1095"/>
      <c r="AA645" s="1095"/>
      <c r="AB645" s="1095"/>
    </row>
    <row r="646">
      <c r="A646" s="1095"/>
      <c r="B646" s="1095"/>
      <c r="C646" s="1095"/>
      <c r="D646" s="1095"/>
      <c r="E646" s="1095"/>
      <c r="F646" s="1095"/>
      <c r="G646" s="1095"/>
      <c r="H646" s="1095"/>
      <c r="I646" s="1095"/>
      <c r="J646" s="1095"/>
      <c r="K646" s="1095"/>
      <c r="L646" s="1095"/>
      <c r="M646" s="1095"/>
      <c r="N646" s="1095"/>
      <c r="O646" s="1095"/>
      <c r="P646" s="1095"/>
      <c r="Q646" s="1095"/>
      <c r="R646" s="1095"/>
      <c r="S646" s="1095"/>
      <c r="T646" s="1095"/>
      <c r="U646" s="1095"/>
      <c r="V646" s="1095"/>
      <c r="W646" s="1095"/>
      <c r="X646" s="1095"/>
      <c r="Y646" s="1095"/>
      <c r="Z646" s="1095"/>
      <c r="AA646" s="1095"/>
      <c r="AB646" s="1095"/>
    </row>
    <row r="647">
      <c r="A647" s="1095"/>
      <c r="B647" s="1095"/>
      <c r="C647" s="1095"/>
      <c r="D647" s="1095"/>
      <c r="E647" s="1095"/>
      <c r="F647" s="1095"/>
      <c r="G647" s="1095"/>
      <c r="H647" s="1095"/>
      <c r="I647" s="1095"/>
      <c r="J647" s="1095"/>
      <c r="K647" s="1095"/>
      <c r="L647" s="1095"/>
      <c r="M647" s="1095"/>
      <c r="N647" s="1095"/>
      <c r="O647" s="1095"/>
      <c r="P647" s="1095"/>
      <c r="Q647" s="1095"/>
      <c r="R647" s="1095"/>
      <c r="S647" s="1095"/>
      <c r="T647" s="1095"/>
      <c r="U647" s="1095"/>
      <c r="V647" s="1095"/>
      <c r="W647" s="1095"/>
      <c r="X647" s="1095"/>
      <c r="Y647" s="1095"/>
      <c r="Z647" s="1095"/>
      <c r="AA647" s="1095"/>
      <c r="AB647" s="1095"/>
    </row>
    <row r="648">
      <c r="A648" s="1095"/>
      <c r="B648" s="1095"/>
      <c r="C648" s="1095"/>
      <c r="D648" s="1095"/>
      <c r="E648" s="1095"/>
      <c r="F648" s="1095"/>
      <c r="G648" s="1095"/>
      <c r="H648" s="1095"/>
      <c r="I648" s="1095"/>
      <c r="J648" s="1095"/>
      <c r="K648" s="1095"/>
      <c r="L648" s="1095"/>
      <c r="M648" s="1095"/>
      <c r="N648" s="1095"/>
      <c r="O648" s="1095"/>
      <c r="P648" s="1095"/>
      <c r="Q648" s="1095"/>
      <c r="R648" s="1095"/>
      <c r="S648" s="1095"/>
      <c r="T648" s="1095"/>
      <c r="U648" s="1095"/>
      <c r="V648" s="1095"/>
      <c r="W648" s="1095"/>
      <c r="X648" s="1095"/>
      <c r="Y648" s="1095"/>
      <c r="Z648" s="1095"/>
      <c r="AA648" s="1095"/>
      <c r="AB648" s="1095"/>
    </row>
    <row r="649">
      <c r="A649" s="1095"/>
      <c r="B649" s="1095"/>
      <c r="C649" s="1095"/>
      <c r="D649" s="1095"/>
      <c r="E649" s="1095"/>
      <c r="F649" s="1095"/>
      <c r="G649" s="1095"/>
      <c r="H649" s="1095"/>
      <c r="I649" s="1095"/>
      <c r="J649" s="1095"/>
      <c r="K649" s="1095"/>
      <c r="L649" s="1095"/>
      <c r="M649" s="1095"/>
      <c r="N649" s="1095"/>
      <c r="O649" s="1095"/>
      <c r="P649" s="1095"/>
      <c r="Q649" s="1095"/>
      <c r="R649" s="1095"/>
      <c r="S649" s="1095"/>
      <c r="T649" s="1095"/>
      <c r="U649" s="1095"/>
      <c r="V649" s="1095"/>
      <c r="W649" s="1095"/>
      <c r="X649" s="1095"/>
      <c r="Y649" s="1095"/>
      <c r="Z649" s="1095"/>
      <c r="AA649" s="1095"/>
      <c r="AB649" s="1095"/>
    </row>
    <row r="650">
      <c r="A650" s="1095"/>
      <c r="B650" s="1095"/>
      <c r="C650" s="1095"/>
      <c r="D650" s="1095"/>
      <c r="E650" s="1095"/>
      <c r="F650" s="1095"/>
      <c r="G650" s="1095"/>
      <c r="H650" s="1095"/>
      <c r="I650" s="1095"/>
      <c r="J650" s="1095"/>
      <c r="K650" s="1095"/>
      <c r="L650" s="1095"/>
      <c r="M650" s="1095"/>
      <c r="N650" s="1095"/>
      <c r="O650" s="1095"/>
      <c r="P650" s="1095"/>
      <c r="Q650" s="1095"/>
      <c r="R650" s="1095"/>
      <c r="S650" s="1095"/>
      <c r="T650" s="1095"/>
      <c r="U650" s="1095"/>
      <c r="V650" s="1095"/>
      <c r="W650" s="1095"/>
      <c r="X650" s="1095"/>
      <c r="Y650" s="1095"/>
      <c r="Z650" s="1095"/>
      <c r="AA650" s="1095"/>
      <c r="AB650" s="1095"/>
    </row>
    <row r="651">
      <c r="A651" s="1095"/>
      <c r="B651" s="1095"/>
      <c r="C651" s="1095"/>
      <c r="D651" s="1095"/>
      <c r="E651" s="1095"/>
      <c r="F651" s="1095"/>
      <c r="G651" s="1095"/>
      <c r="H651" s="1095"/>
      <c r="I651" s="1095"/>
      <c r="J651" s="1095"/>
      <c r="K651" s="1095"/>
      <c r="L651" s="1095"/>
      <c r="M651" s="1095"/>
      <c r="N651" s="1095"/>
      <c r="O651" s="1095"/>
      <c r="P651" s="1095"/>
      <c r="Q651" s="1095"/>
      <c r="R651" s="1095"/>
      <c r="S651" s="1095"/>
      <c r="T651" s="1095"/>
      <c r="U651" s="1095"/>
      <c r="V651" s="1095"/>
      <c r="W651" s="1095"/>
      <c r="X651" s="1095"/>
      <c r="Y651" s="1095"/>
      <c r="Z651" s="1095"/>
      <c r="AA651" s="1095"/>
      <c r="AB651" s="1095"/>
    </row>
    <row r="652">
      <c r="A652" s="1095"/>
      <c r="B652" s="1095"/>
      <c r="C652" s="1095"/>
      <c r="D652" s="1095"/>
      <c r="E652" s="1095"/>
      <c r="F652" s="1095"/>
      <c r="G652" s="1095"/>
      <c r="H652" s="1095"/>
      <c r="I652" s="1095"/>
      <c r="J652" s="1095"/>
      <c r="K652" s="1095"/>
      <c r="L652" s="1095"/>
      <c r="M652" s="1095"/>
      <c r="N652" s="1095"/>
      <c r="O652" s="1095"/>
      <c r="P652" s="1095"/>
      <c r="Q652" s="1095"/>
      <c r="R652" s="1095"/>
      <c r="S652" s="1095"/>
      <c r="T652" s="1095"/>
      <c r="U652" s="1095"/>
      <c r="V652" s="1095"/>
      <c r="W652" s="1095"/>
      <c r="X652" s="1095"/>
      <c r="Y652" s="1095"/>
      <c r="Z652" s="1095"/>
      <c r="AA652" s="1095"/>
      <c r="AB652" s="1095"/>
    </row>
    <row r="653">
      <c r="A653" s="1095"/>
      <c r="B653" s="1095"/>
      <c r="C653" s="1095"/>
      <c r="D653" s="1095"/>
      <c r="E653" s="1095"/>
      <c r="F653" s="1095"/>
      <c r="G653" s="1095"/>
      <c r="H653" s="1095"/>
      <c r="I653" s="1095"/>
      <c r="J653" s="1095"/>
      <c r="K653" s="1095"/>
      <c r="L653" s="1095"/>
      <c r="M653" s="1095"/>
      <c r="N653" s="1095"/>
      <c r="O653" s="1095"/>
      <c r="P653" s="1095"/>
      <c r="Q653" s="1095"/>
      <c r="R653" s="1095"/>
      <c r="S653" s="1095"/>
      <c r="T653" s="1095"/>
      <c r="U653" s="1095"/>
      <c r="V653" s="1095"/>
      <c r="W653" s="1095"/>
      <c r="X653" s="1095"/>
      <c r="Y653" s="1095"/>
      <c r="Z653" s="1095"/>
      <c r="AA653" s="1095"/>
      <c r="AB653" s="1095"/>
    </row>
    <row r="654">
      <c r="A654" s="1095"/>
      <c r="B654" s="1095"/>
      <c r="C654" s="1095"/>
      <c r="D654" s="1095"/>
      <c r="E654" s="1095"/>
      <c r="F654" s="1095"/>
      <c r="G654" s="1095"/>
      <c r="H654" s="1095"/>
      <c r="I654" s="1095"/>
      <c r="J654" s="1095"/>
      <c r="K654" s="1095"/>
      <c r="L654" s="1095"/>
      <c r="M654" s="1095"/>
      <c r="N654" s="1095"/>
      <c r="O654" s="1095"/>
      <c r="P654" s="1095"/>
      <c r="Q654" s="1095"/>
      <c r="R654" s="1095"/>
      <c r="S654" s="1095"/>
      <c r="T654" s="1095"/>
      <c r="U654" s="1095"/>
      <c r="V654" s="1095"/>
      <c r="W654" s="1095"/>
      <c r="X654" s="1095"/>
      <c r="Y654" s="1095"/>
      <c r="Z654" s="1095"/>
      <c r="AA654" s="1095"/>
      <c r="AB654" s="1095"/>
    </row>
    <row r="655">
      <c r="A655" s="1095"/>
      <c r="B655" s="1095"/>
      <c r="C655" s="1095"/>
      <c r="D655" s="1095"/>
      <c r="E655" s="1095"/>
      <c r="F655" s="1095"/>
      <c r="G655" s="1095"/>
      <c r="H655" s="1095"/>
      <c r="I655" s="1095"/>
      <c r="J655" s="1095"/>
      <c r="K655" s="1095"/>
      <c r="L655" s="1095"/>
      <c r="M655" s="1095"/>
      <c r="N655" s="1095"/>
      <c r="O655" s="1095"/>
      <c r="P655" s="1095"/>
      <c r="Q655" s="1095"/>
      <c r="R655" s="1095"/>
      <c r="S655" s="1095"/>
      <c r="T655" s="1095"/>
      <c r="U655" s="1095"/>
      <c r="V655" s="1095"/>
      <c r="W655" s="1095"/>
      <c r="X655" s="1095"/>
      <c r="Y655" s="1095"/>
      <c r="Z655" s="1095"/>
      <c r="AA655" s="1095"/>
      <c r="AB655" s="1095"/>
    </row>
    <row r="656">
      <c r="A656" s="1095"/>
      <c r="B656" s="1095"/>
      <c r="C656" s="1095"/>
      <c r="D656" s="1095"/>
      <c r="E656" s="1095"/>
      <c r="F656" s="1095"/>
      <c r="G656" s="1095"/>
      <c r="H656" s="1095"/>
      <c r="I656" s="1095"/>
      <c r="J656" s="1095"/>
      <c r="K656" s="1095"/>
      <c r="L656" s="1095"/>
      <c r="M656" s="1095"/>
      <c r="N656" s="1095"/>
      <c r="O656" s="1095"/>
      <c r="P656" s="1095"/>
      <c r="Q656" s="1095"/>
      <c r="R656" s="1095"/>
      <c r="S656" s="1095"/>
      <c r="T656" s="1095"/>
      <c r="U656" s="1095"/>
      <c r="V656" s="1095"/>
      <c r="W656" s="1095"/>
      <c r="X656" s="1095"/>
      <c r="Y656" s="1095"/>
      <c r="Z656" s="1095"/>
      <c r="AA656" s="1095"/>
      <c r="AB656" s="1095"/>
    </row>
    <row r="657">
      <c r="A657" s="1095"/>
      <c r="B657" s="1095"/>
      <c r="C657" s="1095"/>
      <c r="D657" s="1095"/>
      <c r="E657" s="1095"/>
      <c r="F657" s="1095"/>
      <c r="G657" s="1095"/>
      <c r="H657" s="1095"/>
      <c r="I657" s="1095"/>
      <c r="J657" s="1095"/>
      <c r="K657" s="1095"/>
      <c r="L657" s="1095"/>
      <c r="M657" s="1095"/>
      <c r="N657" s="1095"/>
      <c r="O657" s="1095"/>
      <c r="P657" s="1095"/>
      <c r="Q657" s="1095"/>
      <c r="R657" s="1095"/>
      <c r="S657" s="1095"/>
      <c r="T657" s="1095"/>
      <c r="U657" s="1095"/>
      <c r="V657" s="1095"/>
      <c r="W657" s="1095"/>
      <c r="X657" s="1095"/>
      <c r="Y657" s="1095"/>
      <c r="Z657" s="1095"/>
      <c r="AA657" s="1095"/>
      <c r="AB657" s="1095"/>
    </row>
    <row r="658">
      <c r="A658" s="1095"/>
      <c r="B658" s="1095"/>
      <c r="C658" s="1095"/>
      <c r="D658" s="1095"/>
      <c r="E658" s="1095"/>
      <c r="F658" s="1095"/>
      <c r="G658" s="1095"/>
      <c r="H658" s="1095"/>
      <c r="I658" s="1095"/>
      <c r="J658" s="1095"/>
      <c r="K658" s="1095"/>
      <c r="L658" s="1095"/>
      <c r="M658" s="1095"/>
      <c r="N658" s="1095"/>
      <c r="O658" s="1095"/>
      <c r="P658" s="1095"/>
      <c r="Q658" s="1095"/>
      <c r="R658" s="1095"/>
      <c r="S658" s="1095"/>
      <c r="T658" s="1095"/>
      <c r="U658" s="1095"/>
      <c r="V658" s="1095"/>
      <c r="W658" s="1095"/>
      <c r="X658" s="1095"/>
      <c r="Y658" s="1095"/>
      <c r="Z658" s="1095"/>
      <c r="AA658" s="1095"/>
      <c r="AB658" s="1095"/>
    </row>
    <row r="659">
      <c r="A659" s="1095"/>
      <c r="B659" s="1095"/>
      <c r="C659" s="1095"/>
      <c r="D659" s="1095"/>
      <c r="E659" s="1095"/>
      <c r="F659" s="1095"/>
      <c r="G659" s="1095"/>
      <c r="H659" s="1095"/>
      <c r="I659" s="1095"/>
      <c r="J659" s="1095"/>
      <c r="K659" s="1095"/>
      <c r="L659" s="1095"/>
      <c r="M659" s="1095"/>
      <c r="N659" s="1095"/>
      <c r="O659" s="1095"/>
      <c r="P659" s="1095"/>
      <c r="Q659" s="1095"/>
      <c r="R659" s="1095"/>
      <c r="S659" s="1095"/>
      <c r="T659" s="1095"/>
      <c r="U659" s="1095"/>
      <c r="V659" s="1095"/>
      <c r="W659" s="1095"/>
      <c r="X659" s="1095"/>
      <c r="Y659" s="1095"/>
      <c r="Z659" s="1095"/>
      <c r="AA659" s="1095"/>
      <c r="AB659" s="1095"/>
    </row>
    <row r="660">
      <c r="A660" s="1095"/>
      <c r="B660" s="1095"/>
      <c r="C660" s="1095"/>
      <c r="D660" s="1095"/>
      <c r="E660" s="1095"/>
      <c r="F660" s="1095"/>
      <c r="G660" s="1095"/>
      <c r="H660" s="1095"/>
      <c r="I660" s="1095"/>
      <c r="J660" s="1095"/>
      <c r="K660" s="1095"/>
      <c r="L660" s="1095"/>
      <c r="M660" s="1095"/>
      <c r="N660" s="1095"/>
      <c r="O660" s="1095"/>
      <c r="P660" s="1095"/>
      <c r="Q660" s="1095"/>
      <c r="R660" s="1095"/>
      <c r="S660" s="1095"/>
      <c r="T660" s="1095"/>
      <c r="U660" s="1095"/>
      <c r="V660" s="1095"/>
      <c r="W660" s="1095"/>
      <c r="X660" s="1095"/>
      <c r="Y660" s="1095"/>
      <c r="Z660" s="1095"/>
      <c r="AA660" s="1095"/>
      <c r="AB660" s="1095"/>
    </row>
    <row r="661">
      <c r="A661" s="1095"/>
      <c r="B661" s="1095"/>
      <c r="C661" s="1095"/>
      <c r="D661" s="1095"/>
      <c r="E661" s="1095"/>
      <c r="F661" s="1095"/>
      <c r="G661" s="1095"/>
      <c r="H661" s="1095"/>
      <c r="I661" s="1095"/>
      <c r="J661" s="1095"/>
      <c r="K661" s="1095"/>
      <c r="L661" s="1095"/>
      <c r="M661" s="1095"/>
      <c r="N661" s="1095"/>
      <c r="O661" s="1095"/>
      <c r="P661" s="1095"/>
      <c r="Q661" s="1095"/>
      <c r="R661" s="1095"/>
      <c r="S661" s="1095"/>
      <c r="T661" s="1095"/>
      <c r="U661" s="1095"/>
      <c r="V661" s="1095"/>
      <c r="W661" s="1095"/>
      <c r="X661" s="1095"/>
      <c r="Y661" s="1095"/>
      <c r="Z661" s="1095"/>
      <c r="AA661" s="1095"/>
      <c r="AB661" s="1095"/>
    </row>
    <row r="662">
      <c r="A662" s="1095"/>
      <c r="B662" s="1095"/>
      <c r="C662" s="1095"/>
      <c r="D662" s="1095"/>
      <c r="E662" s="1095"/>
      <c r="F662" s="1095"/>
      <c r="G662" s="1095"/>
      <c r="H662" s="1095"/>
      <c r="I662" s="1095"/>
      <c r="J662" s="1095"/>
      <c r="K662" s="1095"/>
      <c r="L662" s="1095"/>
      <c r="M662" s="1095"/>
      <c r="N662" s="1095"/>
      <c r="O662" s="1095"/>
      <c r="P662" s="1095"/>
      <c r="Q662" s="1095"/>
      <c r="R662" s="1095"/>
      <c r="S662" s="1095"/>
      <c r="T662" s="1095"/>
      <c r="U662" s="1095"/>
      <c r="V662" s="1095"/>
      <c r="W662" s="1095"/>
      <c r="X662" s="1095"/>
      <c r="Y662" s="1095"/>
      <c r="Z662" s="1095"/>
      <c r="AA662" s="1095"/>
      <c r="AB662" s="1095"/>
    </row>
    <row r="663">
      <c r="A663" s="1095"/>
      <c r="B663" s="1095"/>
      <c r="C663" s="1095"/>
      <c r="D663" s="1095"/>
      <c r="E663" s="1095"/>
      <c r="F663" s="1095"/>
      <c r="G663" s="1095"/>
      <c r="H663" s="1095"/>
      <c r="I663" s="1095"/>
      <c r="J663" s="1095"/>
      <c r="K663" s="1095"/>
      <c r="L663" s="1095"/>
      <c r="M663" s="1095"/>
      <c r="N663" s="1095"/>
      <c r="O663" s="1095"/>
      <c r="P663" s="1095"/>
      <c r="Q663" s="1095"/>
      <c r="R663" s="1095"/>
      <c r="S663" s="1095"/>
      <c r="T663" s="1095"/>
      <c r="U663" s="1095"/>
      <c r="V663" s="1095"/>
      <c r="W663" s="1095"/>
      <c r="X663" s="1095"/>
      <c r="Y663" s="1095"/>
      <c r="Z663" s="1095"/>
      <c r="AA663" s="1095"/>
      <c r="AB663" s="1095"/>
    </row>
    <row r="664">
      <c r="A664" s="1095"/>
      <c r="B664" s="1095"/>
      <c r="C664" s="1095"/>
      <c r="D664" s="1095"/>
      <c r="E664" s="1095"/>
      <c r="F664" s="1095"/>
      <c r="G664" s="1095"/>
      <c r="H664" s="1095"/>
      <c r="I664" s="1095"/>
      <c r="J664" s="1095"/>
      <c r="K664" s="1095"/>
      <c r="L664" s="1095"/>
      <c r="M664" s="1095"/>
      <c r="N664" s="1095"/>
      <c r="O664" s="1095"/>
      <c r="P664" s="1095"/>
      <c r="Q664" s="1095"/>
      <c r="R664" s="1095"/>
      <c r="S664" s="1095"/>
      <c r="T664" s="1095"/>
      <c r="U664" s="1095"/>
      <c r="V664" s="1095"/>
      <c r="W664" s="1095"/>
      <c r="X664" s="1095"/>
      <c r="Y664" s="1095"/>
      <c r="Z664" s="1095"/>
      <c r="AA664" s="1095"/>
      <c r="AB664" s="1095"/>
    </row>
    <row r="665">
      <c r="A665" s="1095"/>
      <c r="B665" s="1095"/>
      <c r="C665" s="1095"/>
      <c r="D665" s="1095"/>
      <c r="E665" s="1095"/>
      <c r="F665" s="1095"/>
      <c r="G665" s="1095"/>
      <c r="H665" s="1095"/>
      <c r="I665" s="1095"/>
      <c r="J665" s="1095"/>
      <c r="K665" s="1095"/>
      <c r="L665" s="1095"/>
      <c r="M665" s="1095"/>
      <c r="N665" s="1095"/>
      <c r="O665" s="1095"/>
      <c r="P665" s="1095"/>
      <c r="Q665" s="1095"/>
      <c r="R665" s="1095"/>
      <c r="S665" s="1095"/>
      <c r="T665" s="1095"/>
      <c r="U665" s="1095"/>
      <c r="V665" s="1095"/>
      <c r="W665" s="1095"/>
      <c r="X665" s="1095"/>
      <c r="Y665" s="1095"/>
      <c r="Z665" s="1095"/>
      <c r="AA665" s="1095"/>
      <c r="AB665" s="1095"/>
    </row>
    <row r="666">
      <c r="A666" s="1095"/>
      <c r="B666" s="1095"/>
      <c r="C666" s="1095"/>
      <c r="D666" s="1095"/>
      <c r="E666" s="1095"/>
      <c r="F666" s="1095"/>
      <c r="G666" s="1095"/>
      <c r="H666" s="1095"/>
      <c r="I666" s="1095"/>
      <c r="J666" s="1095"/>
      <c r="K666" s="1095"/>
      <c r="L666" s="1095"/>
      <c r="M666" s="1095"/>
      <c r="N666" s="1095"/>
      <c r="O666" s="1095"/>
      <c r="P666" s="1095"/>
      <c r="Q666" s="1095"/>
      <c r="R666" s="1095"/>
      <c r="S666" s="1095"/>
      <c r="T666" s="1095"/>
      <c r="U666" s="1095"/>
      <c r="V666" s="1095"/>
      <c r="W666" s="1095"/>
      <c r="X666" s="1095"/>
      <c r="Y666" s="1095"/>
      <c r="Z666" s="1095"/>
      <c r="AA666" s="1095"/>
      <c r="AB666" s="1095"/>
    </row>
    <row r="667">
      <c r="A667" s="1095"/>
      <c r="B667" s="1095"/>
      <c r="C667" s="1095"/>
      <c r="D667" s="1095"/>
      <c r="E667" s="1095"/>
      <c r="F667" s="1095"/>
      <c r="G667" s="1095"/>
      <c r="H667" s="1095"/>
      <c r="I667" s="1095"/>
      <c r="J667" s="1095"/>
      <c r="K667" s="1095"/>
      <c r="L667" s="1095"/>
      <c r="M667" s="1095"/>
      <c r="N667" s="1095"/>
      <c r="O667" s="1095"/>
      <c r="P667" s="1095"/>
      <c r="Q667" s="1095"/>
      <c r="R667" s="1095"/>
      <c r="S667" s="1095"/>
      <c r="T667" s="1095"/>
      <c r="U667" s="1095"/>
      <c r="V667" s="1095"/>
      <c r="W667" s="1095"/>
      <c r="X667" s="1095"/>
      <c r="Y667" s="1095"/>
      <c r="Z667" s="1095"/>
      <c r="AA667" s="1095"/>
      <c r="AB667" s="1095"/>
    </row>
    <row r="668">
      <c r="A668" s="1095"/>
      <c r="B668" s="1095"/>
      <c r="C668" s="1095"/>
      <c r="D668" s="1095"/>
      <c r="E668" s="1095"/>
      <c r="F668" s="1095"/>
      <c r="G668" s="1095"/>
      <c r="H668" s="1095"/>
      <c r="I668" s="1095"/>
      <c r="J668" s="1095"/>
      <c r="K668" s="1095"/>
      <c r="L668" s="1095"/>
      <c r="M668" s="1095"/>
      <c r="N668" s="1095"/>
      <c r="O668" s="1095"/>
      <c r="P668" s="1095"/>
      <c r="Q668" s="1095"/>
      <c r="R668" s="1095"/>
      <c r="S668" s="1095"/>
      <c r="T668" s="1095"/>
      <c r="U668" s="1095"/>
      <c r="V668" s="1095"/>
      <c r="W668" s="1095"/>
      <c r="X668" s="1095"/>
      <c r="Y668" s="1095"/>
      <c r="Z668" s="1095"/>
      <c r="AA668" s="1095"/>
      <c r="AB668" s="1095"/>
    </row>
    <row r="669">
      <c r="A669" s="1095"/>
      <c r="B669" s="1095"/>
      <c r="C669" s="1095"/>
      <c r="D669" s="1095"/>
      <c r="E669" s="1095"/>
      <c r="F669" s="1095"/>
      <c r="G669" s="1095"/>
      <c r="H669" s="1095"/>
      <c r="I669" s="1095"/>
      <c r="J669" s="1095"/>
      <c r="K669" s="1095"/>
      <c r="L669" s="1095"/>
      <c r="M669" s="1095"/>
      <c r="N669" s="1095"/>
      <c r="O669" s="1095"/>
      <c r="P669" s="1095"/>
      <c r="Q669" s="1095"/>
      <c r="R669" s="1095"/>
      <c r="S669" s="1095"/>
      <c r="T669" s="1095"/>
      <c r="U669" s="1095"/>
      <c r="V669" s="1095"/>
      <c r="W669" s="1095"/>
      <c r="X669" s="1095"/>
      <c r="Y669" s="1095"/>
      <c r="Z669" s="1095"/>
      <c r="AA669" s="1095"/>
      <c r="AB669" s="1095"/>
    </row>
    <row r="670">
      <c r="A670" s="1095"/>
      <c r="B670" s="1095"/>
      <c r="C670" s="1095"/>
      <c r="D670" s="1095"/>
      <c r="E670" s="1095"/>
      <c r="F670" s="1095"/>
      <c r="G670" s="1095"/>
      <c r="H670" s="1095"/>
      <c r="I670" s="1095"/>
      <c r="J670" s="1095"/>
      <c r="K670" s="1095"/>
      <c r="L670" s="1095"/>
      <c r="M670" s="1095"/>
      <c r="N670" s="1095"/>
      <c r="O670" s="1095"/>
      <c r="P670" s="1095"/>
      <c r="Q670" s="1095"/>
      <c r="R670" s="1095"/>
      <c r="S670" s="1095"/>
      <c r="T670" s="1095"/>
      <c r="U670" s="1095"/>
      <c r="V670" s="1095"/>
      <c r="W670" s="1095"/>
      <c r="X670" s="1095"/>
      <c r="Y670" s="1095"/>
      <c r="Z670" s="1095"/>
      <c r="AA670" s="1095"/>
      <c r="AB670" s="1095"/>
    </row>
    <row r="671">
      <c r="A671" s="1095"/>
      <c r="B671" s="1095"/>
      <c r="C671" s="1095"/>
      <c r="D671" s="1095"/>
      <c r="E671" s="1095"/>
      <c r="F671" s="1095"/>
      <c r="G671" s="1095"/>
      <c r="H671" s="1095"/>
      <c r="I671" s="1095"/>
      <c r="J671" s="1095"/>
      <c r="K671" s="1095"/>
      <c r="L671" s="1095"/>
      <c r="M671" s="1095"/>
      <c r="N671" s="1095"/>
      <c r="O671" s="1095"/>
      <c r="P671" s="1095"/>
      <c r="Q671" s="1095"/>
      <c r="R671" s="1095"/>
      <c r="S671" s="1095"/>
      <c r="T671" s="1095"/>
      <c r="U671" s="1095"/>
      <c r="V671" s="1095"/>
      <c r="W671" s="1095"/>
      <c r="X671" s="1095"/>
      <c r="Y671" s="1095"/>
      <c r="Z671" s="1095"/>
      <c r="AA671" s="1095"/>
      <c r="AB671" s="1095"/>
    </row>
    <row r="672">
      <c r="A672" s="1095"/>
      <c r="B672" s="1095"/>
      <c r="C672" s="1095"/>
      <c r="D672" s="1095"/>
      <c r="E672" s="1095"/>
      <c r="F672" s="1095"/>
      <c r="G672" s="1095"/>
      <c r="H672" s="1095"/>
      <c r="I672" s="1095"/>
      <c r="J672" s="1095"/>
      <c r="K672" s="1095"/>
      <c r="L672" s="1095"/>
      <c r="M672" s="1095"/>
      <c r="N672" s="1095"/>
      <c r="O672" s="1095"/>
      <c r="P672" s="1095"/>
      <c r="Q672" s="1095"/>
      <c r="R672" s="1095"/>
      <c r="S672" s="1095"/>
      <c r="T672" s="1095"/>
      <c r="U672" s="1095"/>
      <c r="V672" s="1095"/>
      <c r="W672" s="1095"/>
      <c r="X672" s="1095"/>
      <c r="Y672" s="1095"/>
      <c r="Z672" s="1095"/>
      <c r="AA672" s="1095"/>
      <c r="AB672" s="1095"/>
    </row>
    <row r="673">
      <c r="A673" s="1095"/>
      <c r="B673" s="1095"/>
      <c r="C673" s="1095"/>
      <c r="D673" s="1095"/>
      <c r="E673" s="1095"/>
      <c r="F673" s="1095"/>
      <c r="G673" s="1095"/>
      <c r="H673" s="1095"/>
      <c r="I673" s="1095"/>
      <c r="J673" s="1095"/>
      <c r="K673" s="1095"/>
      <c r="L673" s="1095"/>
      <c r="M673" s="1095"/>
      <c r="N673" s="1095"/>
      <c r="O673" s="1095"/>
      <c r="P673" s="1095"/>
      <c r="Q673" s="1095"/>
      <c r="R673" s="1095"/>
      <c r="S673" s="1095"/>
      <c r="T673" s="1095"/>
      <c r="U673" s="1095"/>
      <c r="V673" s="1095"/>
      <c r="W673" s="1095"/>
      <c r="X673" s="1095"/>
      <c r="Y673" s="1095"/>
      <c r="Z673" s="1095"/>
      <c r="AA673" s="1095"/>
      <c r="AB673" s="1095"/>
    </row>
    <row r="674">
      <c r="A674" s="1095"/>
      <c r="B674" s="1095"/>
      <c r="C674" s="1095"/>
      <c r="D674" s="1095"/>
      <c r="E674" s="1095"/>
      <c r="F674" s="1095"/>
      <c r="G674" s="1095"/>
      <c r="H674" s="1095"/>
      <c r="I674" s="1095"/>
      <c r="J674" s="1095"/>
      <c r="K674" s="1095"/>
      <c r="L674" s="1095"/>
      <c r="M674" s="1095"/>
      <c r="N674" s="1095"/>
      <c r="O674" s="1095"/>
      <c r="P674" s="1095"/>
      <c r="Q674" s="1095"/>
      <c r="R674" s="1095"/>
      <c r="S674" s="1095"/>
      <c r="T674" s="1095"/>
      <c r="U674" s="1095"/>
      <c r="V674" s="1095"/>
      <c r="W674" s="1095"/>
      <c r="X674" s="1095"/>
      <c r="Y674" s="1095"/>
      <c r="Z674" s="1095"/>
      <c r="AA674" s="1095"/>
      <c r="AB674" s="1095"/>
    </row>
    <row r="675">
      <c r="A675" s="1095"/>
      <c r="B675" s="1095"/>
      <c r="C675" s="1095"/>
      <c r="D675" s="1095"/>
      <c r="E675" s="1095"/>
      <c r="F675" s="1095"/>
      <c r="G675" s="1095"/>
      <c r="H675" s="1095"/>
      <c r="I675" s="1095"/>
      <c r="J675" s="1095"/>
      <c r="K675" s="1095"/>
      <c r="L675" s="1095"/>
      <c r="M675" s="1095"/>
      <c r="N675" s="1095"/>
      <c r="O675" s="1095"/>
      <c r="P675" s="1095"/>
      <c r="Q675" s="1095"/>
      <c r="R675" s="1095"/>
      <c r="S675" s="1095"/>
      <c r="T675" s="1095"/>
      <c r="U675" s="1095"/>
      <c r="V675" s="1095"/>
      <c r="W675" s="1095"/>
      <c r="X675" s="1095"/>
      <c r="Y675" s="1095"/>
      <c r="Z675" s="1095"/>
      <c r="AA675" s="1095"/>
      <c r="AB675" s="1095"/>
    </row>
    <row r="676">
      <c r="A676" s="1095"/>
      <c r="B676" s="1095"/>
      <c r="C676" s="1095"/>
      <c r="D676" s="1095"/>
      <c r="E676" s="1095"/>
      <c r="F676" s="1095"/>
      <c r="G676" s="1095"/>
      <c r="H676" s="1095"/>
      <c r="I676" s="1095"/>
      <c r="J676" s="1095"/>
      <c r="K676" s="1095"/>
      <c r="L676" s="1095"/>
      <c r="M676" s="1095"/>
      <c r="N676" s="1095"/>
      <c r="O676" s="1095"/>
      <c r="P676" s="1095"/>
      <c r="Q676" s="1095"/>
      <c r="R676" s="1095"/>
      <c r="S676" s="1095"/>
      <c r="T676" s="1095"/>
      <c r="U676" s="1095"/>
      <c r="V676" s="1095"/>
      <c r="W676" s="1095"/>
      <c r="X676" s="1095"/>
      <c r="Y676" s="1095"/>
      <c r="Z676" s="1095"/>
      <c r="AA676" s="1095"/>
      <c r="AB676" s="1095"/>
    </row>
    <row r="677">
      <c r="A677" s="1095"/>
      <c r="B677" s="1095"/>
      <c r="C677" s="1095"/>
      <c r="D677" s="1095"/>
      <c r="E677" s="1095"/>
      <c r="F677" s="1095"/>
      <c r="G677" s="1095"/>
      <c r="H677" s="1095"/>
      <c r="I677" s="1095"/>
      <c r="J677" s="1095"/>
      <c r="K677" s="1095"/>
      <c r="L677" s="1095"/>
      <c r="M677" s="1095"/>
      <c r="N677" s="1095"/>
      <c r="O677" s="1095"/>
      <c r="P677" s="1095"/>
      <c r="Q677" s="1095"/>
      <c r="R677" s="1095"/>
      <c r="S677" s="1095"/>
      <c r="T677" s="1095"/>
      <c r="U677" s="1095"/>
      <c r="V677" s="1095"/>
      <c r="W677" s="1095"/>
      <c r="X677" s="1095"/>
      <c r="Y677" s="1095"/>
      <c r="Z677" s="1095"/>
      <c r="AA677" s="1095"/>
      <c r="AB677" s="1095"/>
    </row>
    <row r="678">
      <c r="A678" s="1095"/>
      <c r="B678" s="1095"/>
      <c r="C678" s="1095"/>
      <c r="D678" s="1095"/>
      <c r="E678" s="1095"/>
      <c r="F678" s="1095"/>
      <c r="G678" s="1095"/>
      <c r="H678" s="1095"/>
      <c r="I678" s="1095"/>
      <c r="J678" s="1095"/>
      <c r="K678" s="1095"/>
      <c r="L678" s="1095"/>
      <c r="M678" s="1095"/>
      <c r="N678" s="1095"/>
      <c r="O678" s="1095"/>
      <c r="P678" s="1095"/>
      <c r="Q678" s="1095"/>
      <c r="R678" s="1095"/>
      <c r="S678" s="1095"/>
      <c r="T678" s="1095"/>
      <c r="U678" s="1095"/>
      <c r="V678" s="1095"/>
      <c r="W678" s="1095"/>
      <c r="X678" s="1095"/>
      <c r="Y678" s="1095"/>
      <c r="Z678" s="1095"/>
      <c r="AA678" s="1095"/>
      <c r="AB678" s="1095"/>
    </row>
    <row r="679">
      <c r="A679" s="1095"/>
      <c r="B679" s="1095"/>
      <c r="C679" s="1095"/>
      <c r="D679" s="1095"/>
      <c r="E679" s="1095"/>
      <c r="F679" s="1095"/>
      <c r="G679" s="1095"/>
      <c r="H679" s="1095"/>
      <c r="I679" s="1095"/>
      <c r="J679" s="1095"/>
      <c r="K679" s="1095"/>
      <c r="L679" s="1095"/>
      <c r="M679" s="1095"/>
      <c r="N679" s="1095"/>
      <c r="O679" s="1095"/>
      <c r="P679" s="1095"/>
      <c r="Q679" s="1095"/>
      <c r="R679" s="1095"/>
      <c r="S679" s="1095"/>
      <c r="T679" s="1095"/>
      <c r="U679" s="1095"/>
      <c r="V679" s="1095"/>
      <c r="W679" s="1095"/>
      <c r="X679" s="1095"/>
      <c r="Y679" s="1095"/>
      <c r="Z679" s="1095"/>
      <c r="AA679" s="1095"/>
      <c r="AB679" s="1095"/>
    </row>
    <row r="680">
      <c r="A680" s="1095"/>
      <c r="B680" s="1095"/>
      <c r="C680" s="1095"/>
      <c r="D680" s="1095"/>
      <c r="E680" s="1095"/>
      <c r="F680" s="1095"/>
      <c r="G680" s="1095"/>
      <c r="H680" s="1095"/>
      <c r="I680" s="1095"/>
      <c r="J680" s="1095"/>
      <c r="K680" s="1095"/>
      <c r="L680" s="1095"/>
      <c r="M680" s="1095"/>
      <c r="N680" s="1095"/>
      <c r="O680" s="1095"/>
      <c r="P680" s="1095"/>
      <c r="Q680" s="1095"/>
      <c r="R680" s="1095"/>
      <c r="S680" s="1095"/>
      <c r="T680" s="1095"/>
      <c r="U680" s="1095"/>
      <c r="V680" s="1095"/>
      <c r="W680" s="1095"/>
      <c r="X680" s="1095"/>
      <c r="Y680" s="1095"/>
      <c r="Z680" s="1095"/>
      <c r="AA680" s="1095"/>
      <c r="AB680" s="1095"/>
    </row>
    <row r="681">
      <c r="A681" s="1095"/>
      <c r="B681" s="1095"/>
      <c r="C681" s="1095"/>
      <c r="D681" s="1095"/>
      <c r="E681" s="1095"/>
      <c r="F681" s="1095"/>
      <c r="G681" s="1095"/>
      <c r="H681" s="1095"/>
      <c r="I681" s="1095"/>
      <c r="J681" s="1095"/>
      <c r="K681" s="1095"/>
      <c r="L681" s="1095"/>
      <c r="M681" s="1095"/>
      <c r="N681" s="1095"/>
      <c r="O681" s="1095"/>
      <c r="P681" s="1095"/>
      <c r="Q681" s="1095"/>
      <c r="R681" s="1095"/>
      <c r="S681" s="1095"/>
      <c r="T681" s="1095"/>
      <c r="U681" s="1095"/>
      <c r="V681" s="1095"/>
      <c r="W681" s="1095"/>
      <c r="X681" s="1095"/>
      <c r="Y681" s="1095"/>
      <c r="Z681" s="1095"/>
      <c r="AA681" s="1095"/>
      <c r="AB681" s="1095"/>
    </row>
    <row r="682">
      <c r="A682" s="1095"/>
      <c r="B682" s="1095"/>
      <c r="C682" s="1095"/>
      <c r="D682" s="1095"/>
      <c r="E682" s="1095"/>
      <c r="F682" s="1095"/>
      <c r="G682" s="1095"/>
      <c r="H682" s="1095"/>
      <c r="I682" s="1095"/>
      <c r="J682" s="1095"/>
      <c r="K682" s="1095"/>
      <c r="L682" s="1095"/>
      <c r="M682" s="1095"/>
      <c r="N682" s="1095"/>
      <c r="O682" s="1095"/>
      <c r="P682" s="1095"/>
      <c r="Q682" s="1095"/>
      <c r="R682" s="1095"/>
      <c r="S682" s="1095"/>
      <c r="T682" s="1095"/>
      <c r="U682" s="1095"/>
      <c r="V682" s="1095"/>
      <c r="W682" s="1095"/>
      <c r="X682" s="1095"/>
      <c r="Y682" s="1095"/>
      <c r="Z682" s="1095"/>
      <c r="AA682" s="1095"/>
      <c r="AB682" s="1095"/>
    </row>
    <row r="683">
      <c r="A683" s="1095"/>
      <c r="B683" s="1095"/>
      <c r="C683" s="1095"/>
      <c r="D683" s="1095"/>
      <c r="E683" s="1095"/>
      <c r="F683" s="1095"/>
      <c r="G683" s="1095"/>
      <c r="H683" s="1095"/>
      <c r="I683" s="1095"/>
      <c r="J683" s="1095"/>
      <c r="K683" s="1095"/>
      <c r="L683" s="1095"/>
      <c r="M683" s="1095"/>
      <c r="N683" s="1095"/>
      <c r="O683" s="1095"/>
      <c r="P683" s="1095"/>
      <c r="Q683" s="1095"/>
      <c r="R683" s="1095"/>
      <c r="S683" s="1095"/>
      <c r="T683" s="1095"/>
      <c r="U683" s="1095"/>
      <c r="V683" s="1095"/>
      <c r="W683" s="1095"/>
      <c r="X683" s="1095"/>
      <c r="Y683" s="1095"/>
      <c r="Z683" s="1095"/>
      <c r="AA683" s="1095"/>
      <c r="AB683" s="1095"/>
    </row>
    <row r="684">
      <c r="A684" s="1095"/>
      <c r="B684" s="1095"/>
      <c r="C684" s="1095"/>
      <c r="D684" s="1095"/>
      <c r="E684" s="1095"/>
      <c r="F684" s="1095"/>
      <c r="G684" s="1095"/>
      <c r="H684" s="1095"/>
      <c r="I684" s="1095"/>
      <c r="J684" s="1095"/>
      <c r="K684" s="1095"/>
      <c r="L684" s="1095"/>
      <c r="M684" s="1095"/>
      <c r="N684" s="1095"/>
      <c r="O684" s="1095"/>
      <c r="P684" s="1095"/>
      <c r="Q684" s="1095"/>
      <c r="R684" s="1095"/>
      <c r="S684" s="1095"/>
      <c r="T684" s="1095"/>
      <c r="U684" s="1095"/>
      <c r="V684" s="1095"/>
      <c r="W684" s="1095"/>
      <c r="X684" s="1095"/>
      <c r="Y684" s="1095"/>
      <c r="Z684" s="1095"/>
      <c r="AA684" s="1095"/>
      <c r="AB684" s="1095"/>
    </row>
    <row r="685">
      <c r="A685" s="1095"/>
      <c r="B685" s="1095"/>
      <c r="C685" s="1095"/>
      <c r="D685" s="1095"/>
      <c r="E685" s="1095"/>
      <c r="F685" s="1095"/>
      <c r="G685" s="1095"/>
      <c r="H685" s="1095"/>
      <c r="I685" s="1095"/>
      <c r="J685" s="1095"/>
      <c r="K685" s="1095"/>
      <c r="L685" s="1095"/>
      <c r="M685" s="1095"/>
      <c r="N685" s="1095"/>
      <c r="O685" s="1095"/>
      <c r="P685" s="1095"/>
      <c r="Q685" s="1095"/>
      <c r="R685" s="1095"/>
      <c r="S685" s="1095"/>
      <c r="T685" s="1095"/>
      <c r="U685" s="1095"/>
      <c r="V685" s="1095"/>
      <c r="W685" s="1095"/>
      <c r="X685" s="1095"/>
      <c r="Y685" s="1095"/>
      <c r="Z685" s="1095"/>
      <c r="AA685" s="1095"/>
      <c r="AB685" s="1095"/>
    </row>
    <row r="686">
      <c r="A686" s="1095"/>
      <c r="B686" s="1095"/>
      <c r="C686" s="1095"/>
      <c r="D686" s="1095"/>
      <c r="E686" s="1095"/>
      <c r="F686" s="1095"/>
      <c r="G686" s="1095"/>
      <c r="H686" s="1095"/>
      <c r="I686" s="1095"/>
      <c r="J686" s="1095"/>
      <c r="K686" s="1095"/>
      <c r="L686" s="1095"/>
      <c r="M686" s="1095"/>
      <c r="N686" s="1095"/>
      <c r="O686" s="1095"/>
      <c r="P686" s="1095"/>
      <c r="Q686" s="1095"/>
      <c r="R686" s="1095"/>
      <c r="S686" s="1095"/>
      <c r="T686" s="1095"/>
      <c r="U686" s="1095"/>
      <c r="V686" s="1095"/>
      <c r="W686" s="1095"/>
      <c r="X686" s="1095"/>
      <c r="Y686" s="1095"/>
      <c r="Z686" s="1095"/>
      <c r="AA686" s="1095"/>
      <c r="AB686" s="1095"/>
    </row>
    <row r="687">
      <c r="A687" s="1095"/>
      <c r="B687" s="1095"/>
      <c r="C687" s="1095"/>
      <c r="D687" s="1095"/>
      <c r="E687" s="1095"/>
      <c r="F687" s="1095"/>
      <c r="G687" s="1095"/>
      <c r="H687" s="1095"/>
      <c r="I687" s="1095"/>
      <c r="J687" s="1095"/>
      <c r="K687" s="1095"/>
      <c r="L687" s="1095"/>
      <c r="M687" s="1095"/>
      <c r="N687" s="1095"/>
      <c r="O687" s="1095"/>
      <c r="P687" s="1095"/>
      <c r="Q687" s="1095"/>
      <c r="R687" s="1095"/>
      <c r="S687" s="1095"/>
      <c r="T687" s="1095"/>
      <c r="U687" s="1095"/>
      <c r="V687" s="1095"/>
      <c r="W687" s="1095"/>
      <c r="X687" s="1095"/>
      <c r="Y687" s="1095"/>
      <c r="Z687" s="1095"/>
      <c r="AA687" s="1095"/>
      <c r="AB687" s="1095"/>
    </row>
    <row r="688">
      <c r="A688" s="1095"/>
      <c r="B688" s="1095"/>
      <c r="C688" s="1095"/>
      <c r="D688" s="1095"/>
      <c r="E688" s="1095"/>
      <c r="F688" s="1095"/>
      <c r="G688" s="1095"/>
      <c r="H688" s="1095"/>
      <c r="I688" s="1095"/>
      <c r="J688" s="1095"/>
      <c r="K688" s="1095"/>
      <c r="L688" s="1095"/>
      <c r="M688" s="1095"/>
      <c r="N688" s="1095"/>
      <c r="O688" s="1095"/>
      <c r="P688" s="1095"/>
      <c r="Q688" s="1095"/>
      <c r="R688" s="1095"/>
      <c r="S688" s="1095"/>
      <c r="T688" s="1095"/>
      <c r="U688" s="1095"/>
      <c r="V688" s="1095"/>
      <c r="W688" s="1095"/>
      <c r="X688" s="1095"/>
      <c r="Y688" s="1095"/>
      <c r="Z688" s="1095"/>
      <c r="AA688" s="1095"/>
      <c r="AB688" s="1095"/>
    </row>
    <row r="689">
      <c r="A689" s="1095"/>
      <c r="B689" s="1095"/>
      <c r="C689" s="1095"/>
      <c r="D689" s="1095"/>
      <c r="E689" s="1095"/>
      <c r="F689" s="1095"/>
      <c r="G689" s="1095"/>
      <c r="H689" s="1095"/>
      <c r="I689" s="1095"/>
      <c r="J689" s="1095"/>
      <c r="K689" s="1095"/>
      <c r="L689" s="1095"/>
      <c r="M689" s="1095"/>
      <c r="N689" s="1095"/>
      <c r="O689" s="1095"/>
      <c r="P689" s="1095"/>
      <c r="Q689" s="1095"/>
      <c r="R689" s="1095"/>
      <c r="S689" s="1095"/>
      <c r="T689" s="1095"/>
      <c r="U689" s="1095"/>
      <c r="V689" s="1095"/>
      <c r="W689" s="1095"/>
      <c r="X689" s="1095"/>
      <c r="Y689" s="1095"/>
      <c r="Z689" s="1095"/>
      <c r="AA689" s="1095"/>
      <c r="AB689" s="1095"/>
    </row>
    <row r="690">
      <c r="A690" s="1095"/>
      <c r="B690" s="1095"/>
      <c r="C690" s="1095"/>
      <c r="D690" s="1095"/>
      <c r="E690" s="1095"/>
      <c r="F690" s="1095"/>
      <c r="G690" s="1095"/>
      <c r="H690" s="1095"/>
      <c r="I690" s="1095"/>
      <c r="J690" s="1095"/>
      <c r="K690" s="1095"/>
      <c r="L690" s="1095"/>
      <c r="M690" s="1095"/>
      <c r="N690" s="1095"/>
      <c r="O690" s="1095"/>
      <c r="P690" s="1095"/>
      <c r="Q690" s="1095"/>
      <c r="R690" s="1095"/>
      <c r="S690" s="1095"/>
      <c r="T690" s="1095"/>
      <c r="U690" s="1095"/>
      <c r="V690" s="1095"/>
      <c r="W690" s="1095"/>
      <c r="X690" s="1095"/>
      <c r="Y690" s="1095"/>
      <c r="Z690" s="1095"/>
      <c r="AA690" s="1095"/>
      <c r="AB690" s="1095"/>
    </row>
    <row r="691">
      <c r="A691" s="1095"/>
      <c r="B691" s="1095"/>
      <c r="C691" s="1095"/>
      <c r="D691" s="1095"/>
      <c r="E691" s="1095"/>
      <c r="F691" s="1095"/>
      <c r="G691" s="1095"/>
      <c r="H691" s="1095"/>
      <c r="I691" s="1095"/>
      <c r="J691" s="1095"/>
      <c r="K691" s="1095"/>
      <c r="L691" s="1095"/>
      <c r="M691" s="1095"/>
      <c r="N691" s="1095"/>
      <c r="O691" s="1095"/>
      <c r="P691" s="1095"/>
      <c r="Q691" s="1095"/>
      <c r="R691" s="1095"/>
      <c r="S691" s="1095"/>
      <c r="T691" s="1095"/>
      <c r="U691" s="1095"/>
      <c r="V691" s="1095"/>
      <c r="W691" s="1095"/>
      <c r="X691" s="1095"/>
      <c r="Y691" s="1095"/>
      <c r="Z691" s="1095"/>
      <c r="AA691" s="1095"/>
      <c r="AB691" s="1095"/>
    </row>
    <row r="692">
      <c r="A692" s="1095"/>
      <c r="B692" s="1095"/>
      <c r="C692" s="1095"/>
      <c r="D692" s="1095"/>
      <c r="E692" s="1095"/>
      <c r="F692" s="1095"/>
      <c r="G692" s="1095"/>
      <c r="H692" s="1095"/>
      <c r="I692" s="1095"/>
      <c r="J692" s="1095"/>
      <c r="K692" s="1095"/>
      <c r="L692" s="1095"/>
      <c r="M692" s="1095"/>
      <c r="N692" s="1095"/>
      <c r="O692" s="1095"/>
      <c r="P692" s="1095"/>
      <c r="Q692" s="1095"/>
      <c r="R692" s="1095"/>
      <c r="S692" s="1095"/>
      <c r="T692" s="1095"/>
      <c r="U692" s="1095"/>
      <c r="V692" s="1095"/>
      <c r="W692" s="1095"/>
      <c r="X692" s="1095"/>
      <c r="Y692" s="1095"/>
      <c r="Z692" s="1095"/>
      <c r="AA692" s="1095"/>
      <c r="AB692" s="1095"/>
    </row>
    <row r="693">
      <c r="A693" s="1095"/>
      <c r="B693" s="1095"/>
      <c r="C693" s="1095"/>
      <c r="D693" s="1095"/>
      <c r="E693" s="1095"/>
      <c r="F693" s="1095"/>
      <c r="G693" s="1095"/>
      <c r="H693" s="1095"/>
      <c r="I693" s="1095"/>
      <c r="J693" s="1095"/>
      <c r="K693" s="1095"/>
      <c r="L693" s="1095"/>
      <c r="M693" s="1095"/>
      <c r="N693" s="1095"/>
      <c r="O693" s="1095"/>
      <c r="P693" s="1095"/>
      <c r="Q693" s="1095"/>
      <c r="R693" s="1095"/>
      <c r="S693" s="1095"/>
      <c r="T693" s="1095"/>
      <c r="U693" s="1095"/>
      <c r="V693" s="1095"/>
      <c r="W693" s="1095"/>
      <c r="X693" s="1095"/>
      <c r="Y693" s="1095"/>
      <c r="Z693" s="1095"/>
      <c r="AA693" s="1095"/>
      <c r="AB693" s="1095"/>
    </row>
    <row r="694">
      <c r="A694" s="1095"/>
      <c r="B694" s="1095"/>
      <c r="C694" s="1095"/>
      <c r="D694" s="1095"/>
      <c r="E694" s="1095"/>
      <c r="F694" s="1095"/>
      <c r="G694" s="1095"/>
      <c r="H694" s="1095"/>
      <c r="I694" s="1095"/>
      <c r="J694" s="1095"/>
      <c r="K694" s="1095"/>
      <c r="L694" s="1095"/>
      <c r="M694" s="1095"/>
      <c r="N694" s="1095"/>
      <c r="O694" s="1095"/>
      <c r="P694" s="1095"/>
      <c r="Q694" s="1095"/>
      <c r="R694" s="1095"/>
      <c r="S694" s="1095"/>
      <c r="T694" s="1095"/>
      <c r="U694" s="1095"/>
      <c r="V694" s="1095"/>
      <c r="W694" s="1095"/>
      <c r="X694" s="1095"/>
      <c r="Y694" s="1095"/>
      <c r="Z694" s="1095"/>
      <c r="AA694" s="1095"/>
      <c r="AB694" s="1095"/>
    </row>
    <row r="695">
      <c r="A695" s="1095"/>
      <c r="B695" s="1095"/>
      <c r="C695" s="1095"/>
      <c r="D695" s="1095"/>
      <c r="E695" s="1095"/>
      <c r="F695" s="1095"/>
      <c r="G695" s="1095"/>
      <c r="H695" s="1095"/>
      <c r="I695" s="1095"/>
      <c r="J695" s="1095"/>
      <c r="K695" s="1095"/>
      <c r="L695" s="1095"/>
      <c r="M695" s="1095"/>
      <c r="N695" s="1095"/>
      <c r="O695" s="1095"/>
      <c r="P695" s="1095"/>
      <c r="Q695" s="1095"/>
      <c r="R695" s="1095"/>
      <c r="S695" s="1095"/>
      <c r="T695" s="1095"/>
      <c r="U695" s="1095"/>
      <c r="V695" s="1095"/>
      <c r="W695" s="1095"/>
      <c r="X695" s="1095"/>
      <c r="Y695" s="1095"/>
      <c r="Z695" s="1095"/>
      <c r="AA695" s="1095"/>
      <c r="AB695" s="1095"/>
    </row>
    <row r="696">
      <c r="A696" s="1095"/>
      <c r="B696" s="1095"/>
      <c r="C696" s="1095"/>
      <c r="D696" s="1095"/>
      <c r="E696" s="1095"/>
      <c r="F696" s="1095"/>
      <c r="G696" s="1095"/>
      <c r="H696" s="1095"/>
      <c r="I696" s="1095"/>
      <c r="J696" s="1095"/>
      <c r="K696" s="1095"/>
      <c r="L696" s="1095"/>
      <c r="M696" s="1095"/>
      <c r="N696" s="1095"/>
      <c r="O696" s="1095"/>
      <c r="P696" s="1095"/>
      <c r="Q696" s="1095"/>
      <c r="R696" s="1095"/>
      <c r="S696" s="1095"/>
      <c r="T696" s="1095"/>
      <c r="U696" s="1095"/>
      <c r="V696" s="1095"/>
      <c r="W696" s="1095"/>
      <c r="X696" s="1095"/>
      <c r="Y696" s="1095"/>
      <c r="Z696" s="1095"/>
      <c r="AA696" s="1095"/>
      <c r="AB696" s="1095"/>
    </row>
    <row r="697">
      <c r="A697" s="1095"/>
      <c r="B697" s="1095"/>
      <c r="C697" s="1095"/>
      <c r="D697" s="1095"/>
      <c r="E697" s="1095"/>
      <c r="F697" s="1095"/>
      <c r="G697" s="1095"/>
      <c r="H697" s="1095"/>
      <c r="I697" s="1095"/>
      <c r="J697" s="1095"/>
      <c r="K697" s="1095"/>
      <c r="L697" s="1095"/>
      <c r="M697" s="1095"/>
      <c r="N697" s="1095"/>
      <c r="O697" s="1095"/>
      <c r="P697" s="1095"/>
      <c r="Q697" s="1095"/>
      <c r="R697" s="1095"/>
      <c r="S697" s="1095"/>
      <c r="T697" s="1095"/>
      <c r="U697" s="1095"/>
      <c r="V697" s="1095"/>
      <c r="W697" s="1095"/>
      <c r="X697" s="1095"/>
      <c r="Y697" s="1095"/>
      <c r="Z697" s="1095"/>
      <c r="AA697" s="1095"/>
      <c r="AB697" s="1095"/>
    </row>
    <row r="698">
      <c r="A698" s="1095"/>
      <c r="B698" s="1095"/>
      <c r="C698" s="1095"/>
      <c r="D698" s="1095"/>
      <c r="E698" s="1095"/>
      <c r="F698" s="1095"/>
      <c r="G698" s="1095"/>
      <c r="H698" s="1095"/>
      <c r="I698" s="1095"/>
      <c r="J698" s="1095"/>
      <c r="K698" s="1095"/>
      <c r="L698" s="1095"/>
      <c r="M698" s="1095"/>
      <c r="N698" s="1095"/>
      <c r="O698" s="1095"/>
      <c r="P698" s="1095"/>
      <c r="Q698" s="1095"/>
      <c r="R698" s="1095"/>
      <c r="S698" s="1095"/>
      <c r="T698" s="1095"/>
      <c r="U698" s="1095"/>
      <c r="V698" s="1095"/>
      <c r="W698" s="1095"/>
      <c r="X698" s="1095"/>
      <c r="Y698" s="1095"/>
      <c r="Z698" s="1095"/>
      <c r="AA698" s="1095"/>
      <c r="AB698" s="1095"/>
    </row>
    <row r="699">
      <c r="A699" s="1095"/>
      <c r="B699" s="1095"/>
      <c r="C699" s="1095"/>
      <c r="D699" s="1095"/>
      <c r="E699" s="1095"/>
      <c r="F699" s="1095"/>
      <c r="G699" s="1095"/>
      <c r="H699" s="1095"/>
      <c r="I699" s="1095"/>
      <c r="J699" s="1095"/>
      <c r="K699" s="1095"/>
      <c r="L699" s="1095"/>
      <c r="M699" s="1095"/>
      <c r="N699" s="1095"/>
      <c r="O699" s="1095"/>
      <c r="P699" s="1095"/>
      <c r="Q699" s="1095"/>
      <c r="R699" s="1095"/>
      <c r="S699" s="1095"/>
      <c r="T699" s="1095"/>
      <c r="U699" s="1095"/>
      <c r="V699" s="1095"/>
      <c r="W699" s="1095"/>
      <c r="X699" s="1095"/>
      <c r="Y699" s="1095"/>
      <c r="Z699" s="1095"/>
      <c r="AA699" s="1095"/>
      <c r="AB699" s="1095"/>
    </row>
    <row r="700">
      <c r="A700" s="1095"/>
      <c r="B700" s="1095"/>
      <c r="C700" s="1095"/>
      <c r="D700" s="1095"/>
      <c r="E700" s="1095"/>
      <c r="F700" s="1095"/>
      <c r="G700" s="1095"/>
      <c r="H700" s="1095"/>
      <c r="I700" s="1095"/>
      <c r="J700" s="1095"/>
      <c r="K700" s="1095"/>
      <c r="L700" s="1095"/>
      <c r="M700" s="1095"/>
      <c r="N700" s="1095"/>
      <c r="O700" s="1095"/>
      <c r="P700" s="1095"/>
      <c r="Q700" s="1095"/>
      <c r="R700" s="1095"/>
      <c r="S700" s="1095"/>
      <c r="T700" s="1095"/>
      <c r="U700" s="1095"/>
      <c r="V700" s="1095"/>
      <c r="W700" s="1095"/>
      <c r="X700" s="1095"/>
      <c r="Y700" s="1095"/>
      <c r="Z700" s="1095"/>
      <c r="AA700" s="1095"/>
      <c r="AB700" s="1095"/>
    </row>
    <row r="701">
      <c r="A701" s="1095"/>
      <c r="B701" s="1095"/>
      <c r="C701" s="1095"/>
      <c r="D701" s="1095"/>
      <c r="E701" s="1095"/>
      <c r="F701" s="1095"/>
      <c r="G701" s="1095"/>
      <c r="H701" s="1095"/>
      <c r="I701" s="1095"/>
      <c r="J701" s="1095"/>
      <c r="K701" s="1095"/>
      <c r="L701" s="1095"/>
      <c r="M701" s="1095"/>
      <c r="N701" s="1095"/>
      <c r="O701" s="1095"/>
      <c r="P701" s="1095"/>
      <c r="Q701" s="1095"/>
      <c r="R701" s="1095"/>
      <c r="S701" s="1095"/>
      <c r="T701" s="1095"/>
      <c r="U701" s="1095"/>
      <c r="V701" s="1095"/>
      <c r="W701" s="1095"/>
      <c r="X701" s="1095"/>
      <c r="Y701" s="1095"/>
      <c r="Z701" s="1095"/>
      <c r="AA701" s="1095"/>
      <c r="AB701" s="1095"/>
    </row>
    <row r="702">
      <c r="A702" s="1095"/>
      <c r="B702" s="1095"/>
      <c r="C702" s="1095"/>
      <c r="D702" s="1095"/>
      <c r="E702" s="1095"/>
      <c r="F702" s="1095"/>
      <c r="G702" s="1095"/>
      <c r="H702" s="1095"/>
      <c r="I702" s="1095"/>
      <c r="J702" s="1095"/>
      <c r="K702" s="1095"/>
      <c r="L702" s="1095"/>
      <c r="M702" s="1095"/>
      <c r="N702" s="1095"/>
      <c r="O702" s="1095"/>
      <c r="P702" s="1095"/>
      <c r="Q702" s="1095"/>
      <c r="R702" s="1095"/>
      <c r="S702" s="1095"/>
      <c r="T702" s="1095"/>
      <c r="U702" s="1095"/>
      <c r="V702" s="1095"/>
      <c r="W702" s="1095"/>
      <c r="X702" s="1095"/>
      <c r="Y702" s="1095"/>
      <c r="Z702" s="1095"/>
      <c r="AA702" s="1095"/>
      <c r="AB702" s="1095"/>
    </row>
    <row r="703">
      <c r="A703" s="1095"/>
      <c r="B703" s="1095"/>
      <c r="C703" s="1095"/>
      <c r="D703" s="1095"/>
      <c r="E703" s="1095"/>
      <c r="F703" s="1095"/>
      <c r="G703" s="1095"/>
      <c r="H703" s="1095"/>
      <c r="I703" s="1095"/>
      <c r="J703" s="1095"/>
      <c r="K703" s="1095"/>
      <c r="L703" s="1095"/>
      <c r="M703" s="1095"/>
      <c r="N703" s="1095"/>
      <c r="O703" s="1095"/>
      <c r="P703" s="1095"/>
      <c r="Q703" s="1095"/>
      <c r="R703" s="1095"/>
      <c r="S703" s="1095"/>
      <c r="T703" s="1095"/>
      <c r="U703" s="1095"/>
      <c r="V703" s="1095"/>
      <c r="W703" s="1095"/>
      <c r="X703" s="1095"/>
      <c r="Y703" s="1095"/>
      <c r="Z703" s="1095"/>
      <c r="AA703" s="1095"/>
      <c r="AB703" s="1095"/>
    </row>
    <row r="704">
      <c r="A704" s="1095"/>
      <c r="B704" s="1095"/>
      <c r="C704" s="1095"/>
      <c r="D704" s="1095"/>
      <c r="E704" s="1095"/>
      <c r="F704" s="1095"/>
      <c r="G704" s="1095"/>
      <c r="H704" s="1095"/>
      <c r="I704" s="1095"/>
      <c r="J704" s="1095"/>
      <c r="K704" s="1095"/>
      <c r="L704" s="1095"/>
      <c r="M704" s="1095"/>
      <c r="N704" s="1095"/>
      <c r="O704" s="1095"/>
      <c r="P704" s="1095"/>
      <c r="Q704" s="1095"/>
      <c r="R704" s="1095"/>
      <c r="S704" s="1095"/>
      <c r="T704" s="1095"/>
      <c r="U704" s="1095"/>
      <c r="V704" s="1095"/>
      <c r="W704" s="1095"/>
      <c r="X704" s="1095"/>
      <c r="Y704" s="1095"/>
      <c r="Z704" s="1095"/>
      <c r="AA704" s="1095"/>
      <c r="AB704" s="1095"/>
    </row>
    <row r="705">
      <c r="A705" s="1095"/>
      <c r="B705" s="1095"/>
      <c r="C705" s="1095"/>
      <c r="D705" s="1095"/>
      <c r="E705" s="1095"/>
      <c r="F705" s="1095"/>
      <c r="G705" s="1095"/>
      <c r="H705" s="1095"/>
      <c r="I705" s="1095"/>
      <c r="J705" s="1095"/>
      <c r="K705" s="1095"/>
      <c r="L705" s="1095"/>
      <c r="M705" s="1095"/>
      <c r="N705" s="1095"/>
      <c r="O705" s="1095"/>
      <c r="P705" s="1095"/>
      <c r="Q705" s="1095"/>
      <c r="R705" s="1095"/>
      <c r="S705" s="1095"/>
      <c r="T705" s="1095"/>
      <c r="U705" s="1095"/>
      <c r="V705" s="1095"/>
      <c r="W705" s="1095"/>
      <c r="X705" s="1095"/>
      <c r="Y705" s="1095"/>
      <c r="Z705" s="1095"/>
      <c r="AA705" s="1095"/>
      <c r="AB705" s="1095"/>
    </row>
    <row r="706">
      <c r="A706" s="1095"/>
      <c r="B706" s="1095"/>
      <c r="C706" s="1095"/>
      <c r="D706" s="1095"/>
      <c r="E706" s="1095"/>
      <c r="F706" s="1095"/>
      <c r="G706" s="1095"/>
      <c r="H706" s="1095"/>
      <c r="I706" s="1095"/>
      <c r="J706" s="1095"/>
      <c r="K706" s="1095"/>
      <c r="L706" s="1095"/>
      <c r="M706" s="1095"/>
      <c r="N706" s="1095"/>
      <c r="O706" s="1095"/>
      <c r="P706" s="1095"/>
      <c r="Q706" s="1095"/>
      <c r="R706" s="1095"/>
      <c r="S706" s="1095"/>
      <c r="T706" s="1095"/>
      <c r="U706" s="1095"/>
      <c r="V706" s="1095"/>
      <c r="W706" s="1095"/>
      <c r="X706" s="1095"/>
      <c r="Y706" s="1095"/>
      <c r="Z706" s="1095"/>
      <c r="AA706" s="1095"/>
      <c r="AB706" s="1095"/>
    </row>
    <row r="707">
      <c r="A707" s="1095"/>
      <c r="B707" s="1095"/>
      <c r="C707" s="1095"/>
      <c r="D707" s="1095"/>
      <c r="E707" s="1095"/>
      <c r="F707" s="1095"/>
      <c r="G707" s="1095"/>
      <c r="H707" s="1095"/>
      <c r="I707" s="1095"/>
      <c r="J707" s="1095"/>
      <c r="K707" s="1095"/>
      <c r="L707" s="1095"/>
      <c r="M707" s="1095"/>
      <c r="N707" s="1095"/>
      <c r="O707" s="1095"/>
      <c r="P707" s="1095"/>
      <c r="Q707" s="1095"/>
      <c r="R707" s="1095"/>
      <c r="S707" s="1095"/>
      <c r="T707" s="1095"/>
      <c r="U707" s="1095"/>
      <c r="V707" s="1095"/>
      <c r="W707" s="1095"/>
      <c r="X707" s="1095"/>
      <c r="Y707" s="1095"/>
      <c r="Z707" s="1095"/>
      <c r="AA707" s="1095"/>
      <c r="AB707" s="1095"/>
    </row>
    <row r="708">
      <c r="A708" s="1095"/>
      <c r="B708" s="1095"/>
      <c r="C708" s="1095"/>
      <c r="D708" s="1095"/>
      <c r="E708" s="1095"/>
      <c r="F708" s="1095"/>
      <c r="G708" s="1095"/>
      <c r="H708" s="1095"/>
      <c r="I708" s="1095"/>
      <c r="J708" s="1095"/>
      <c r="K708" s="1095"/>
      <c r="L708" s="1095"/>
      <c r="M708" s="1095"/>
      <c r="N708" s="1095"/>
      <c r="O708" s="1095"/>
      <c r="P708" s="1095"/>
      <c r="Q708" s="1095"/>
      <c r="R708" s="1095"/>
      <c r="S708" s="1095"/>
      <c r="T708" s="1095"/>
      <c r="U708" s="1095"/>
      <c r="V708" s="1095"/>
      <c r="W708" s="1095"/>
      <c r="X708" s="1095"/>
      <c r="Y708" s="1095"/>
      <c r="Z708" s="1095"/>
      <c r="AA708" s="1095"/>
      <c r="AB708" s="1095"/>
    </row>
    <row r="709">
      <c r="A709" s="1095"/>
      <c r="B709" s="1095"/>
      <c r="C709" s="1095"/>
      <c r="D709" s="1095"/>
      <c r="E709" s="1095"/>
      <c r="F709" s="1095"/>
      <c r="G709" s="1095"/>
      <c r="H709" s="1095"/>
      <c r="I709" s="1095"/>
      <c r="J709" s="1095"/>
      <c r="K709" s="1095"/>
      <c r="L709" s="1095"/>
      <c r="M709" s="1095"/>
      <c r="N709" s="1095"/>
      <c r="O709" s="1095"/>
      <c r="P709" s="1095"/>
      <c r="Q709" s="1095"/>
      <c r="R709" s="1095"/>
      <c r="S709" s="1095"/>
      <c r="T709" s="1095"/>
      <c r="U709" s="1095"/>
      <c r="V709" s="1095"/>
      <c r="W709" s="1095"/>
      <c r="X709" s="1095"/>
      <c r="Y709" s="1095"/>
      <c r="Z709" s="1095"/>
      <c r="AA709" s="1095"/>
      <c r="AB709" s="1095"/>
    </row>
    <row r="710">
      <c r="A710" s="1095"/>
      <c r="B710" s="1095"/>
      <c r="C710" s="1095"/>
      <c r="D710" s="1095"/>
      <c r="E710" s="1095"/>
      <c r="F710" s="1095"/>
      <c r="G710" s="1095"/>
      <c r="H710" s="1095"/>
      <c r="I710" s="1095"/>
      <c r="J710" s="1095"/>
      <c r="K710" s="1095"/>
      <c r="L710" s="1095"/>
      <c r="M710" s="1095"/>
      <c r="N710" s="1095"/>
      <c r="O710" s="1095"/>
      <c r="P710" s="1095"/>
      <c r="Q710" s="1095"/>
      <c r="R710" s="1095"/>
      <c r="S710" s="1095"/>
      <c r="T710" s="1095"/>
      <c r="U710" s="1095"/>
      <c r="V710" s="1095"/>
      <c r="W710" s="1095"/>
      <c r="X710" s="1095"/>
      <c r="Y710" s="1095"/>
      <c r="Z710" s="1095"/>
      <c r="AA710" s="1095"/>
      <c r="AB710" s="1095"/>
    </row>
    <row r="711">
      <c r="A711" s="1095"/>
      <c r="B711" s="1095"/>
      <c r="C711" s="1095"/>
      <c r="D711" s="1095"/>
      <c r="E711" s="1095"/>
      <c r="F711" s="1095"/>
      <c r="G711" s="1095"/>
      <c r="H711" s="1095"/>
      <c r="I711" s="1095"/>
      <c r="J711" s="1095"/>
      <c r="K711" s="1095"/>
      <c r="L711" s="1095"/>
      <c r="M711" s="1095"/>
      <c r="N711" s="1095"/>
      <c r="O711" s="1095"/>
      <c r="P711" s="1095"/>
      <c r="Q711" s="1095"/>
      <c r="R711" s="1095"/>
      <c r="S711" s="1095"/>
      <c r="T711" s="1095"/>
      <c r="U711" s="1095"/>
      <c r="V711" s="1095"/>
      <c r="W711" s="1095"/>
      <c r="X711" s="1095"/>
      <c r="Y711" s="1095"/>
      <c r="Z711" s="1095"/>
      <c r="AA711" s="1095"/>
      <c r="AB711" s="1095"/>
    </row>
    <row r="712">
      <c r="A712" s="1095"/>
      <c r="B712" s="1095"/>
      <c r="C712" s="1095"/>
      <c r="D712" s="1095"/>
      <c r="E712" s="1095"/>
      <c r="F712" s="1095"/>
      <c r="G712" s="1095"/>
      <c r="H712" s="1095"/>
      <c r="I712" s="1095"/>
      <c r="J712" s="1095"/>
      <c r="K712" s="1095"/>
      <c r="L712" s="1095"/>
      <c r="M712" s="1095"/>
      <c r="N712" s="1095"/>
      <c r="O712" s="1095"/>
      <c r="P712" s="1095"/>
      <c r="Q712" s="1095"/>
      <c r="R712" s="1095"/>
      <c r="S712" s="1095"/>
      <c r="T712" s="1095"/>
      <c r="U712" s="1095"/>
      <c r="V712" s="1095"/>
      <c r="W712" s="1095"/>
      <c r="X712" s="1095"/>
      <c r="Y712" s="1095"/>
      <c r="Z712" s="1095"/>
      <c r="AA712" s="1095"/>
      <c r="AB712" s="1095"/>
    </row>
    <row r="713">
      <c r="A713" s="1095"/>
      <c r="B713" s="1095"/>
      <c r="C713" s="1095"/>
      <c r="D713" s="1095"/>
      <c r="E713" s="1095"/>
      <c r="F713" s="1095"/>
      <c r="G713" s="1095"/>
      <c r="H713" s="1095"/>
      <c r="I713" s="1095"/>
      <c r="J713" s="1095"/>
      <c r="K713" s="1095"/>
      <c r="L713" s="1095"/>
      <c r="M713" s="1095"/>
      <c r="N713" s="1095"/>
      <c r="O713" s="1095"/>
      <c r="P713" s="1095"/>
      <c r="Q713" s="1095"/>
      <c r="R713" s="1095"/>
      <c r="S713" s="1095"/>
      <c r="T713" s="1095"/>
      <c r="U713" s="1095"/>
      <c r="V713" s="1095"/>
      <c r="W713" s="1095"/>
      <c r="X713" s="1095"/>
      <c r="Y713" s="1095"/>
      <c r="Z713" s="1095"/>
      <c r="AA713" s="1095"/>
      <c r="AB713" s="1095"/>
    </row>
    <row r="714">
      <c r="A714" s="1095"/>
      <c r="B714" s="1095"/>
      <c r="C714" s="1095"/>
      <c r="D714" s="1095"/>
      <c r="E714" s="1095"/>
      <c r="F714" s="1095"/>
      <c r="G714" s="1095"/>
      <c r="H714" s="1095"/>
      <c r="I714" s="1095"/>
      <c r="J714" s="1095"/>
      <c r="K714" s="1095"/>
      <c r="L714" s="1095"/>
      <c r="M714" s="1095"/>
      <c r="N714" s="1095"/>
      <c r="O714" s="1095"/>
      <c r="P714" s="1095"/>
      <c r="Q714" s="1095"/>
      <c r="R714" s="1095"/>
      <c r="S714" s="1095"/>
      <c r="T714" s="1095"/>
      <c r="U714" s="1095"/>
      <c r="V714" s="1095"/>
      <c r="W714" s="1095"/>
      <c r="X714" s="1095"/>
      <c r="Y714" s="1095"/>
      <c r="Z714" s="1095"/>
      <c r="AA714" s="1095"/>
      <c r="AB714" s="1095"/>
    </row>
    <row r="715">
      <c r="A715" s="1095"/>
      <c r="B715" s="1095"/>
      <c r="C715" s="1095"/>
      <c r="D715" s="1095"/>
      <c r="E715" s="1095"/>
      <c r="F715" s="1095"/>
      <c r="G715" s="1095"/>
      <c r="H715" s="1095"/>
      <c r="I715" s="1095"/>
      <c r="J715" s="1095"/>
      <c r="K715" s="1095"/>
      <c r="L715" s="1095"/>
      <c r="M715" s="1095"/>
      <c r="N715" s="1095"/>
      <c r="O715" s="1095"/>
      <c r="P715" s="1095"/>
      <c r="Q715" s="1095"/>
      <c r="R715" s="1095"/>
      <c r="S715" s="1095"/>
      <c r="T715" s="1095"/>
      <c r="U715" s="1095"/>
      <c r="V715" s="1095"/>
      <c r="W715" s="1095"/>
      <c r="X715" s="1095"/>
      <c r="Y715" s="1095"/>
      <c r="Z715" s="1095"/>
      <c r="AA715" s="1095"/>
      <c r="AB715" s="1095"/>
    </row>
    <row r="716">
      <c r="A716" s="1095"/>
      <c r="B716" s="1095"/>
      <c r="C716" s="1095"/>
      <c r="D716" s="1095"/>
      <c r="E716" s="1095"/>
      <c r="F716" s="1095"/>
      <c r="G716" s="1095"/>
      <c r="H716" s="1095"/>
      <c r="I716" s="1095"/>
      <c r="J716" s="1095"/>
      <c r="K716" s="1095"/>
      <c r="L716" s="1095"/>
      <c r="M716" s="1095"/>
      <c r="N716" s="1095"/>
      <c r="O716" s="1095"/>
      <c r="P716" s="1095"/>
      <c r="Q716" s="1095"/>
      <c r="R716" s="1095"/>
      <c r="S716" s="1095"/>
      <c r="T716" s="1095"/>
      <c r="U716" s="1095"/>
      <c r="V716" s="1095"/>
      <c r="W716" s="1095"/>
      <c r="X716" s="1095"/>
      <c r="Y716" s="1095"/>
      <c r="Z716" s="1095"/>
      <c r="AA716" s="1095"/>
      <c r="AB716" s="1095"/>
    </row>
    <row r="717">
      <c r="A717" s="1095"/>
      <c r="B717" s="1095"/>
      <c r="C717" s="1095"/>
      <c r="D717" s="1095"/>
      <c r="E717" s="1095"/>
      <c r="F717" s="1095"/>
      <c r="G717" s="1095"/>
      <c r="H717" s="1095"/>
      <c r="I717" s="1095"/>
      <c r="J717" s="1095"/>
      <c r="K717" s="1095"/>
      <c r="L717" s="1095"/>
      <c r="M717" s="1095"/>
      <c r="N717" s="1095"/>
      <c r="O717" s="1095"/>
      <c r="P717" s="1095"/>
      <c r="Q717" s="1095"/>
      <c r="R717" s="1095"/>
      <c r="S717" s="1095"/>
      <c r="T717" s="1095"/>
      <c r="U717" s="1095"/>
      <c r="V717" s="1095"/>
      <c r="W717" s="1095"/>
      <c r="X717" s="1095"/>
      <c r="Y717" s="1095"/>
      <c r="Z717" s="1095"/>
      <c r="AA717" s="1095"/>
      <c r="AB717" s="1095"/>
    </row>
    <row r="718">
      <c r="A718" s="1095"/>
      <c r="B718" s="1095"/>
      <c r="C718" s="1095"/>
      <c r="D718" s="1095"/>
      <c r="E718" s="1095"/>
      <c r="F718" s="1095"/>
      <c r="G718" s="1095"/>
      <c r="H718" s="1095"/>
      <c r="I718" s="1095"/>
      <c r="J718" s="1095"/>
      <c r="K718" s="1095"/>
      <c r="L718" s="1095"/>
      <c r="M718" s="1095"/>
      <c r="N718" s="1095"/>
      <c r="O718" s="1095"/>
      <c r="P718" s="1095"/>
      <c r="Q718" s="1095"/>
      <c r="R718" s="1095"/>
      <c r="S718" s="1095"/>
      <c r="T718" s="1095"/>
      <c r="U718" s="1095"/>
      <c r="V718" s="1095"/>
      <c r="W718" s="1095"/>
      <c r="X718" s="1095"/>
      <c r="Y718" s="1095"/>
      <c r="Z718" s="1095"/>
      <c r="AA718" s="1095"/>
      <c r="AB718" s="1095"/>
    </row>
    <row r="719">
      <c r="A719" s="1095"/>
      <c r="B719" s="1095"/>
      <c r="C719" s="1095"/>
      <c r="D719" s="1095"/>
      <c r="E719" s="1095"/>
      <c r="F719" s="1095"/>
      <c r="G719" s="1095"/>
      <c r="H719" s="1095"/>
      <c r="I719" s="1095"/>
      <c r="J719" s="1095"/>
      <c r="K719" s="1095"/>
      <c r="L719" s="1095"/>
      <c r="M719" s="1095"/>
      <c r="N719" s="1095"/>
      <c r="O719" s="1095"/>
      <c r="P719" s="1095"/>
      <c r="Q719" s="1095"/>
      <c r="R719" s="1095"/>
      <c r="S719" s="1095"/>
      <c r="T719" s="1095"/>
      <c r="U719" s="1095"/>
      <c r="V719" s="1095"/>
      <c r="W719" s="1095"/>
      <c r="X719" s="1095"/>
      <c r="Y719" s="1095"/>
      <c r="Z719" s="1095"/>
      <c r="AA719" s="1095"/>
      <c r="AB719" s="1095"/>
    </row>
    <row r="720">
      <c r="A720" s="1095"/>
      <c r="B720" s="1095"/>
      <c r="C720" s="1095"/>
      <c r="D720" s="1095"/>
      <c r="E720" s="1095"/>
      <c r="F720" s="1095"/>
      <c r="G720" s="1095"/>
      <c r="H720" s="1095"/>
      <c r="I720" s="1095"/>
      <c r="J720" s="1095"/>
      <c r="K720" s="1095"/>
      <c r="L720" s="1095"/>
      <c r="M720" s="1095"/>
      <c r="N720" s="1095"/>
      <c r="O720" s="1095"/>
      <c r="P720" s="1095"/>
      <c r="Q720" s="1095"/>
      <c r="R720" s="1095"/>
      <c r="S720" s="1095"/>
      <c r="T720" s="1095"/>
      <c r="U720" s="1095"/>
      <c r="V720" s="1095"/>
      <c r="W720" s="1095"/>
      <c r="X720" s="1095"/>
      <c r="Y720" s="1095"/>
      <c r="Z720" s="1095"/>
      <c r="AA720" s="1095"/>
      <c r="AB720" s="1095"/>
    </row>
    <row r="721">
      <c r="A721" s="1095"/>
      <c r="B721" s="1095"/>
      <c r="C721" s="1095"/>
      <c r="D721" s="1095"/>
      <c r="E721" s="1095"/>
      <c r="F721" s="1095"/>
      <c r="G721" s="1095"/>
      <c r="H721" s="1095"/>
      <c r="I721" s="1095"/>
      <c r="J721" s="1095"/>
      <c r="K721" s="1095"/>
      <c r="L721" s="1095"/>
      <c r="M721" s="1095"/>
      <c r="N721" s="1095"/>
      <c r="O721" s="1095"/>
      <c r="P721" s="1095"/>
      <c r="Q721" s="1095"/>
      <c r="R721" s="1095"/>
      <c r="S721" s="1095"/>
      <c r="T721" s="1095"/>
      <c r="U721" s="1095"/>
      <c r="V721" s="1095"/>
      <c r="W721" s="1095"/>
      <c r="X721" s="1095"/>
      <c r="Y721" s="1095"/>
      <c r="Z721" s="1095"/>
      <c r="AA721" s="1095"/>
      <c r="AB721" s="1095"/>
    </row>
    <row r="722">
      <c r="A722" s="1095"/>
      <c r="B722" s="1095"/>
      <c r="C722" s="1095"/>
      <c r="D722" s="1095"/>
      <c r="E722" s="1095"/>
      <c r="F722" s="1095"/>
      <c r="G722" s="1095"/>
      <c r="H722" s="1095"/>
      <c r="I722" s="1095"/>
      <c r="J722" s="1095"/>
      <c r="K722" s="1095"/>
      <c r="L722" s="1095"/>
      <c r="M722" s="1095"/>
      <c r="N722" s="1095"/>
      <c r="O722" s="1095"/>
      <c r="P722" s="1095"/>
      <c r="Q722" s="1095"/>
      <c r="R722" s="1095"/>
      <c r="S722" s="1095"/>
      <c r="T722" s="1095"/>
      <c r="U722" s="1095"/>
      <c r="V722" s="1095"/>
      <c r="W722" s="1095"/>
      <c r="X722" s="1095"/>
      <c r="Y722" s="1095"/>
      <c r="Z722" s="1095"/>
      <c r="AA722" s="1095"/>
      <c r="AB722" s="1095"/>
    </row>
    <row r="723">
      <c r="A723" s="1095"/>
      <c r="B723" s="1095"/>
      <c r="C723" s="1095"/>
      <c r="D723" s="1095"/>
      <c r="E723" s="1095"/>
      <c r="F723" s="1095"/>
      <c r="G723" s="1095"/>
      <c r="H723" s="1095"/>
      <c r="I723" s="1095"/>
      <c r="J723" s="1095"/>
      <c r="K723" s="1095"/>
      <c r="L723" s="1095"/>
      <c r="M723" s="1095"/>
      <c r="N723" s="1095"/>
      <c r="O723" s="1095"/>
      <c r="P723" s="1095"/>
      <c r="Q723" s="1095"/>
      <c r="R723" s="1095"/>
      <c r="S723" s="1095"/>
      <c r="T723" s="1095"/>
      <c r="U723" s="1095"/>
      <c r="V723" s="1095"/>
      <c r="W723" s="1095"/>
      <c r="X723" s="1095"/>
      <c r="Y723" s="1095"/>
      <c r="Z723" s="1095"/>
      <c r="AA723" s="1095"/>
      <c r="AB723" s="1095"/>
    </row>
    <row r="724">
      <c r="A724" s="1095"/>
      <c r="B724" s="1095"/>
      <c r="C724" s="1095"/>
      <c r="D724" s="1095"/>
      <c r="E724" s="1095"/>
      <c r="F724" s="1095"/>
      <c r="G724" s="1095"/>
      <c r="H724" s="1095"/>
      <c r="I724" s="1095"/>
      <c r="J724" s="1095"/>
      <c r="K724" s="1095"/>
      <c r="L724" s="1095"/>
      <c r="M724" s="1095"/>
      <c r="N724" s="1095"/>
      <c r="O724" s="1095"/>
      <c r="P724" s="1095"/>
      <c r="Q724" s="1095"/>
      <c r="R724" s="1095"/>
      <c r="S724" s="1095"/>
      <c r="T724" s="1095"/>
      <c r="U724" s="1095"/>
      <c r="V724" s="1095"/>
      <c r="W724" s="1095"/>
      <c r="X724" s="1095"/>
      <c r="Y724" s="1095"/>
      <c r="Z724" s="1095"/>
      <c r="AA724" s="1095"/>
      <c r="AB724" s="1095"/>
    </row>
    <row r="725">
      <c r="A725" s="1095"/>
      <c r="B725" s="1095"/>
      <c r="C725" s="1095"/>
      <c r="D725" s="1095"/>
      <c r="E725" s="1095"/>
      <c r="F725" s="1095"/>
      <c r="G725" s="1095"/>
      <c r="H725" s="1095"/>
      <c r="I725" s="1095"/>
      <c r="J725" s="1095"/>
      <c r="K725" s="1095"/>
      <c r="L725" s="1095"/>
      <c r="M725" s="1095"/>
      <c r="N725" s="1095"/>
      <c r="O725" s="1095"/>
      <c r="P725" s="1095"/>
      <c r="Q725" s="1095"/>
      <c r="R725" s="1095"/>
      <c r="S725" s="1095"/>
      <c r="T725" s="1095"/>
      <c r="U725" s="1095"/>
      <c r="V725" s="1095"/>
      <c r="W725" s="1095"/>
      <c r="X725" s="1095"/>
      <c r="Y725" s="1095"/>
      <c r="Z725" s="1095"/>
      <c r="AA725" s="1095"/>
      <c r="AB725" s="1095"/>
    </row>
    <row r="726">
      <c r="A726" s="1095"/>
      <c r="B726" s="1095"/>
      <c r="C726" s="1095"/>
      <c r="D726" s="1095"/>
      <c r="E726" s="1095"/>
      <c r="F726" s="1095"/>
      <c r="G726" s="1095"/>
      <c r="H726" s="1095"/>
      <c r="I726" s="1095"/>
      <c r="J726" s="1095"/>
      <c r="K726" s="1095"/>
      <c r="L726" s="1095"/>
      <c r="M726" s="1095"/>
      <c r="N726" s="1095"/>
      <c r="O726" s="1095"/>
      <c r="P726" s="1095"/>
      <c r="Q726" s="1095"/>
      <c r="R726" s="1095"/>
      <c r="S726" s="1095"/>
      <c r="T726" s="1095"/>
      <c r="U726" s="1095"/>
      <c r="V726" s="1095"/>
      <c r="W726" s="1095"/>
      <c r="X726" s="1095"/>
      <c r="Y726" s="1095"/>
      <c r="Z726" s="1095"/>
      <c r="AA726" s="1095"/>
      <c r="AB726" s="1095"/>
    </row>
    <row r="727">
      <c r="A727" s="1095"/>
      <c r="B727" s="1095"/>
      <c r="C727" s="1095"/>
      <c r="D727" s="1095"/>
      <c r="E727" s="1095"/>
      <c r="F727" s="1095"/>
      <c r="G727" s="1095"/>
      <c r="H727" s="1095"/>
      <c r="I727" s="1095"/>
      <c r="J727" s="1095"/>
      <c r="K727" s="1095"/>
      <c r="L727" s="1095"/>
      <c r="M727" s="1095"/>
      <c r="N727" s="1095"/>
      <c r="O727" s="1095"/>
      <c r="P727" s="1095"/>
      <c r="Q727" s="1095"/>
      <c r="R727" s="1095"/>
      <c r="S727" s="1095"/>
      <c r="T727" s="1095"/>
      <c r="U727" s="1095"/>
      <c r="V727" s="1095"/>
      <c r="W727" s="1095"/>
      <c r="X727" s="1095"/>
      <c r="Y727" s="1095"/>
      <c r="Z727" s="1095"/>
      <c r="AA727" s="1095"/>
      <c r="AB727" s="1095"/>
    </row>
    <row r="728">
      <c r="A728" s="1095"/>
      <c r="B728" s="1095"/>
      <c r="C728" s="1095"/>
      <c r="D728" s="1095"/>
      <c r="E728" s="1095"/>
      <c r="F728" s="1095"/>
      <c r="G728" s="1095"/>
      <c r="H728" s="1095"/>
      <c r="I728" s="1095"/>
      <c r="J728" s="1095"/>
      <c r="K728" s="1095"/>
      <c r="L728" s="1095"/>
      <c r="M728" s="1095"/>
      <c r="N728" s="1095"/>
      <c r="O728" s="1095"/>
      <c r="P728" s="1095"/>
      <c r="Q728" s="1095"/>
      <c r="R728" s="1095"/>
      <c r="S728" s="1095"/>
      <c r="T728" s="1095"/>
      <c r="U728" s="1095"/>
      <c r="V728" s="1095"/>
      <c r="W728" s="1095"/>
      <c r="X728" s="1095"/>
      <c r="Y728" s="1095"/>
      <c r="Z728" s="1095"/>
      <c r="AA728" s="1095"/>
      <c r="AB728" s="1095"/>
    </row>
    <row r="729">
      <c r="A729" s="1095"/>
      <c r="B729" s="1095"/>
      <c r="C729" s="1095"/>
      <c r="D729" s="1095"/>
      <c r="E729" s="1095"/>
      <c r="F729" s="1095"/>
      <c r="G729" s="1095"/>
      <c r="H729" s="1095"/>
      <c r="I729" s="1095"/>
      <c r="J729" s="1095"/>
      <c r="K729" s="1095"/>
      <c r="L729" s="1095"/>
      <c r="M729" s="1095"/>
      <c r="N729" s="1095"/>
      <c r="O729" s="1095"/>
      <c r="P729" s="1095"/>
      <c r="Q729" s="1095"/>
      <c r="R729" s="1095"/>
      <c r="S729" s="1095"/>
      <c r="T729" s="1095"/>
      <c r="U729" s="1095"/>
      <c r="V729" s="1095"/>
      <c r="W729" s="1095"/>
      <c r="X729" s="1095"/>
      <c r="Y729" s="1095"/>
      <c r="Z729" s="1095"/>
      <c r="AA729" s="1095"/>
      <c r="AB729" s="1095"/>
    </row>
    <row r="730">
      <c r="A730" s="1095"/>
      <c r="B730" s="1095"/>
      <c r="C730" s="1095"/>
      <c r="D730" s="1095"/>
      <c r="E730" s="1095"/>
      <c r="F730" s="1095"/>
      <c r="G730" s="1095"/>
      <c r="H730" s="1095"/>
      <c r="I730" s="1095"/>
      <c r="J730" s="1095"/>
      <c r="K730" s="1095"/>
      <c r="L730" s="1095"/>
      <c r="M730" s="1095"/>
      <c r="N730" s="1095"/>
      <c r="O730" s="1095"/>
      <c r="P730" s="1095"/>
      <c r="Q730" s="1095"/>
      <c r="R730" s="1095"/>
      <c r="S730" s="1095"/>
      <c r="T730" s="1095"/>
      <c r="U730" s="1095"/>
      <c r="V730" s="1095"/>
      <c r="W730" s="1095"/>
      <c r="X730" s="1095"/>
      <c r="Y730" s="1095"/>
      <c r="Z730" s="1095"/>
      <c r="AA730" s="1095"/>
      <c r="AB730" s="1095"/>
    </row>
    <row r="731">
      <c r="A731" s="1095"/>
      <c r="B731" s="1095"/>
      <c r="C731" s="1095"/>
      <c r="D731" s="1095"/>
      <c r="E731" s="1095"/>
      <c r="F731" s="1095"/>
      <c r="G731" s="1095"/>
      <c r="H731" s="1095"/>
      <c r="I731" s="1095"/>
      <c r="J731" s="1095"/>
      <c r="K731" s="1095"/>
      <c r="L731" s="1095"/>
      <c r="M731" s="1095"/>
      <c r="N731" s="1095"/>
      <c r="O731" s="1095"/>
      <c r="P731" s="1095"/>
      <c r="Q731" s="1095"/>
      <c r="R731" s="1095"/>
      <c r="S731" s="1095"/>
      <c r="T731" s="1095"/>
      <c r="U731" s="1095"/>
      <c r="V731" s="1095"/>
      <c r="W731" s="1095"/>
      <c r="X731" s="1095"/>
      <c r="Y731" s="1095"/>
      <c r="Z731" s="1095"/>
      <c r="AA731" s="1095"/>
      <c r="AB731" s="1095"/>
    </row>
    <row r="732">
      <c r="A732" s="1095"/>
      <c r="B732" s="1095"/>
      <c r="C732" s="1095"/>
      <c r="D732" s="1095"/>
      <c r="E732" s="1095"/>
      <c r="F732" s="1095"/>
      <c r="G732" s="1095"/>
      <c r="H732" s="1095"/>
      <c r="I732" s="1095"/>
      <c r="J732" s="1095"/>
      <c r="K732" s="1095"/>
      <c r="L732" s="1095"/>
      <c r="M732" s="1095"/>
      <c r="N732" s="1095"/>
      <c r="O732" s="1095"/>
      <c r="P732" s="1095"/>
      <c r="Q732" s="1095"/>
      <c r="R732" s="1095"/>
      <c r="S732" s="1095"/>
      <c r="T732" s="1095"/>
      <c r="U732" s="1095"/>
      <c r="V732" s="1095"/>
      <c r="W732" s="1095"/>
      <c r="X732" s="1095"/>
      <c r="Y732" s="1095"/>
      <c r="Z732" s="1095"/>
      <c r="AA732" s="1095"/>
      <c r="AB732" s="1095"/>
    </row>
    <row r="733">
      <c r="A733" s="1095"/>
      <c r="B733" s="1095"/>
      <c r="C733" s="1095"/>
      <c r="D733" s="1095"/>
      <c r="E733" s="1095"/>
      <c r="F733" s="1095"/>
      <c r="G733" s="1095"/>
      <c r="H733" s="1095"/>
      <c r="I733" s="1095"/>
      <c r="J733" s="1095"/>
      <c r="K733" s="1095"/>
      <c r="L733" s="1095"/>
      <c r="M733" s="1095"/>
      <c r="N733" s="1095"/>
      <c r="O733" s="1095"/>
      <c r="P733" s="1095"/>
      <c r="Q733" s="1095"/>
      <c r="R733" s="1095"/>
      <c r="S733" s="1095"/>
      <c r="T733" s="1095"/>
      <c r="U733" s="1095"/>
      <c r="V733" s="1095"/>
      <c r="W733" s="1095"/>
      <c r="X733" s="1095"/>
      <c r="Y733" s="1095"/>
      <c r="Z733" s="1095"/>
      <c r="AA733" s="1095"/>
      <c r="AB733" s="1095"/>
    </row>
    <row r="734">
      <c r="A734" s="1095"/>
      <c r="B734" s="1095"/>
      <c r="C734" s="1095"/>
      <c r="D734" s="1095"/>
      <c r="E734" s="1095"/>
      <c r="F734" s="1095"/>
      <c r="G734" s="1095"/>
      <c r="H734" s="1095"/>
      <c r="I734" s="1095"/>
      <c r="J734" s="1095"/>
      <c r="K734" s="1095"/>
      <c r="L734" s="1095"/>
      <c r="M734" s="1095"/>
      <c r="N734" s="1095"/>
      <c r="O734" s="1095"/>
      <c r="P734" s="1095"/>
      <c r="Q734" s="1095"/>
      <c r="R734" s="1095"/>
      <c r="S734" s="1095"/>
      <c r="T734" s="1095"/>
      <c r="U734" s="1095"/>
      <c r="V734" s="1095"/>
      <c r="W734" s="1095"/>
      <c r="X734" s="1095"/>
      <c r="Y734" s="1095"/>
      <c r="Z734" s="1095"/>
      <c r="AA734" s="1095"/>
      <c r="AB734" s="1095"/>
    </row>
    <row r="735">
      <c r="A735" s="1095"/>
      <c r="B735" s="1095"/>
      <c r="C735" s="1095"/>
      <c r="D735" s="1095"/>
      <c r="E735" s="1095"/>
      <c r="F735" s="1095"/>
      <c r="G735" s="1095"/>
      <c r="H735" s="1095"/>
      <c r="I735" s="1095"/>
      <c r="J735" s="1095"/>
      <c r="K735" s="1095"/>
      <c r="L735" s="1095"/>
      <c r="M735" s="1095"/>
      <c r="N735" s="1095"/>
      <c r="O735" s="1095"/>
      <c r="P735" s="1095"/>
      <c r="Q735" s="1095"/>
      <c r="R735" s="1095"/>
      <c r="S735" s="1095"/>
      <c r="T735" s="1095"/>
      <c r="U735" s="1095"/>
      <c r="V735" s="1095"/>
      <c r="W735" s="1095"/>
      <c r="X735" s="1095"/>
      <c r="Y735" s="1095"/>
      <c r="Z735" s="1095"/>
      <c r="AA735" s="1095"/>
      <c r="AB735" s="1095"/>
    </row>
    <row r="736">
      <c r="A736" s="1095"/>
      <c r="B736" s="1095"/>
      <c r="C736" s="1095"/>
      <c r="D736" s="1095"/>
      <c r="E736" s="1095"/>
      <c r="F736" s="1095"/>
      <c r="G736" s="1095"/>
      <c r="H736" s="1095"/>
      <c r="I736" s="1095"/>
      <c r="J736" s="1095"/>
      <c r="K736" s="1095"/>
      <c r="L736" s="1095"/>
      <c r="M736" s="1095"/>
      <c r="N736" s="1095"/>
      <c r="O736" s="1095"/>
      <c r="P736" s="1095"/>
      <c r="Q736" s="1095"/>
      <c r="R736" s="1095"/>
      <c r="S736" s="1095"/>
      <c r="T736" s="1095"/>
      <c r="U736" s="1095"/>
      <c r="V736" s="1095"/>
      <c r="W736" s="1095"/>
      <c r="X736" s="1095"/>
      <c r="Y736" s="1095"/>
      <c r="Z736" s="1095"/>
      <c r="AA736" s="1095"/>
      <c r="AB736" s="1095"/>
    </row>
    <row r="737">
      <c r="A737" s="1095"/>
      <c r="B737" s="1095"/>
      <c r="C737" s="1095"/>
      <c r="D737" s="1095"/>
      <c r="E737" s="1095"/>
      <c r="F737" s="1095"/>
      <c r="G737" s="1095"/>
      <c r="H737" s="1095"/>
      <c r="I737" s="1095"/>
      <c r="J737" s="1095"/>
      <c r="K737" s="1095"/>
      <c r="L737" s="1095"/>
      <c r="M737" s="1095"/>
      <c r="N737" s="1095"/>
      <c r="O737" s="1095"/>
      <c r="P737" s="1095"/>
      <c r="Q737" s="1095"/>
      <c r="R737" s="1095"/>
      <c r="S737" s="1095"/>
      <c r="T737" s="1095"/>
      <c r="U737" s="1095"/>
      <c r="V737" s="1095"/>
      <c r="W737" s="1095"/>
      <c r="X737" s="1095"/>
      <c r="Y737" s="1095"/>
      <c r="Z737" s="1095"/>
      <c r="AA737" s="1095"/>
      <c r="AB737" s="1095"/>
    </row>
    <row r="738">
      <c r="A738" s="1095"/>
      <c r="B738" s="1095"/>
      <c r="C738" s="1095"/>
      <c r="D738" s="1095"/>
      <c r="E738" s="1095"/>
      <c r="F738" s="1095"/>
      <c r="G738" s="1095"/>
      <c r="H738" s="1095"/>
      <c r="I738" s="1095"/>
      <c r="J738" s="1095"/>
      <c r="K738" s="1095"/>
      <c r="L738" s="1095"/>
      <c r="M738" s="1095"/>
      <c r="N738" s="1095"/>
      <c r="O738" s="1095"/>
      <c r="P738" s="1095"/>
      <c r="Q738" s="1095"/>
      <c r="R738" s="1095"/>
      <c r="S738" s="1095"/>
      <c r="T738" s="1095"/>
      <c r="U738" s="1095"/>
      <c r="V738" s="1095"/>
      <c r="W738" s="1095"/>
      <c r="X738" s="1095"/>
      <c r="Y738" s="1095"/>
      <c r="Z738" s="1095"/>
      <c r="AA738" s="1095"/>
      <c r="AB738" s="1095"/>
    </row>
    <row r="739">
      <c r="A739" s="1095"/>
      <c r="B739" s="1095"/>
      <c r="C739" s="1095"/>
      <c r="D739" s="1095"/>
      <c r="E739" s="1095"/>
      <c r="F739" s="1095"/>
      <c r="G739" s="1095"/>
      <c r="H739" s="1095"/>
      <c r="I739" s="1095"/>
      <c r="J739" s="1095"/>
      <c r="K739" s="1095"/>
      <c r="L739" s="1095"/>
      <c r="M739" s="1095"/>
      <c r="N739" s="1095"/>
      <c r="O739" s="1095"/>
      <c r="P739" s="1095"/>
      <c r="Q739" s="1095"/>
      <c r="R739" s="1095"/>
      <c r="S739" s="1095"/>
      <c r="T739" s="1095"/>
      <c r="U739" s="1095"/>
      <c r="V739" s="1095"/>
      <c r="W739" s="1095"/>
      <c r="X739" s="1095"/>
      <c r="Y739" s="1095"/>
      <c r="Z739" s="1095"/>
      <c r="AA739" s="1095"/>
      <c r="AB739" s="1095"/>
    </row>
    <row r="740">
      <c r="A740" s="1095"/>
      <c r="B740" s="1095"/>
      <c r="C740" s="1095"/>
      <c r="D740" s="1095"/>
      <c r="E740" s="1095"/>
      <c r="F740" s="1095"/>
      <c r="G740" s="1095"/>
      <c r="H740" s="1095"/>
      <c r="I740" s="1095"/>
      <c r="J740" s="1095"/>
      <c r="K740" s="1095"/>
      <c r="L740" s="1095"/>
      <c r="M740" s="1095"/>
      <c r="N740" s="1095"/>
      <c r="O740" s="1095"/>
      <c r="P740" s="1095"/>
      <c r="Q740" s="1095"/>
      <c r="R740" s="1095"/>
      <c r="S740" s="1095"/>
      <c r="T740" s="1095"/>
      <c r="U740" s="1095"/>
      <c r="V740" s="1095"/>
      <c r="W740" s="1095"/>
      <c r="X740" s="1095"/>
      <c r="Y740" s="1095"/>
      <c r="Z740" s="1095"/>
      <c r="AA740" s="1095"/>
      <c r="AB740" s="1095"/>
    </row>
    <row r="741">
      <c r="A741" s="1095"/>
      <c r="B741" s="1095"/>
      <c r="C741" s="1095"/>
      <c r="D741" s="1095"/>
      <c r="E741" s="1095"/>
      <c r="F741" s="1095"/>
      <c r="G741" s="1095"/>
      <c r="H741" s="1095"/>
      <c r="I741" s="1095"/>
      <c r="J741" s="1095"/>
      <c r="K741" s="1095"/>
      <c r="L741" s="1095"/>
      <c r="M741" s="1095"/>
      <c r="N741" s="1095"/>
      <c r="O741" s="1095"/>
      <c r="P741" s="1095"/>
      <c r="Q741" s="1095"/>
      <c r="R741" s="1095"/>
      <c r="S741" s="1095"/>
      <c r="T741" s="1095"/>
      <c r="U741" s="1095"/>
      <c r="V741" s="1095"/>
      <c r="W741" s="1095"/>
      <c r="X741" s="1095"/>
      <c r="Y741" s="1095"/>
      <c r="Z741" s="1095"/>
      <c r="AA741" s="1095"/>
      <c r="AB741" s="1095"/>
    </row>
    <row r="742">
      <c r="A742" s="1095"/>
      <c r="B742" s="1095"/>
      <c r="C742" s="1095"/>
      <c r="D742" s="1095"/>
      <c r="E742" s="1095"/>
      <c r="F742" s="1095"/>
      <c r="G742" s="1095"/>
      <c r="H742" s="1095"/>
      <c r="I742" s="1095"/>
      <c r="J742" s="1095"/>
      <c r="K742" s="1095"/>
      <c r="L742" s="1095"/>
      <c r="M742" s="1095"/>
      <c r="N742" s="1095"/>
      <c r="O742" s="1095"/>
      <c r="P742" s="1095"/>
      <c r="Q742" s="1095"/>
      <c r="R742" s="1095"/>
      <c r="S742" s="1095"/>
      <c r="T742" s="1095"/>
      <c r="U742" s="1095"/>
      <c r="V742" s="1095"/>
      <c r="W742" s="1095"/>
      <c r="X742" s="1095"/>
      <c r="Y742" s="1095"/>
      <c r="Z742" s="1095"/>
      <c r="AA742" s="1095"/>
      <c r="AB742" s="1095"/>
    </row>
    <row r="743">
      <c r="A743" s="1095"/>
      <c r="B743" s="1095"/>
      <c r="C743" s="1095"/>
      <c r="D743" s="1095"/>
      <c r="E743" s="1095"/>
      <c r="F743" s="1095"/>
      <c r="G743" s="1095"/>
      <c r="H743" s="1095"/>
      <c r="I743" s="1095"/>
      <c r="J743" s="1095"/>
      <c r="K743" s="1095"/>
      <c r="L743" s="1095"/>
      <c r="M743" s="1095"/>
      <c r="N743" s="1095"/>
      <c r="O743" s="1095"/>
      <c r="P743" s="1095"/>
      <c r="Q743" s="1095"/>
      <c r="R743" s="1095"/>
      <c r="S743" s="1095"/>
      <c r="T743" s="1095"/>
      <c r="U743" s="1095"/>
      <c r="V743" s="1095"/>
      <c r="W743" s="1095"/>
      <c r="X743" s="1095"/>
      <c r="Y743" s="1095"/>
      <c r="Z743" s="1095"/>
      <c r="AA743" s="1095"/>
      <c r="AB743" s="1095"/>
    </row>
    <row r="744">
      <c r="A744" s="1095"/>
      <c r="B744" s="1095"/>
      <c r="C744" s="1095"/>
      <c r="D744" s="1095"/>
      <c r="E744" s="1095"/>
      <c r="F744" s="1095"/>
      <c r="G744" s="1095"/>
      <c r="H744" s="1095"/>
      <c r="I744" s="1095"/>
      <c r="J744" s="1095"/>
      <c r="K744" s="1095"/>
      <c r="L744" s="1095"/>
      <c r="M744" s="1095"/>
      <c r="N744" s="1095"/>
      <c r="O744" s="1095"/>
      <c r="P744" s="1095"/>
      <c r="Q744" s="1095"/>
      <c r="R744" s="1095"/>
      <c r="S744" s="1095"/>
      <c r="T744" s="1095"/>
      <c r="U744" s="1095"/>
      <c r="V744" s="1095"/>
      <c r="W744" s="1095"/>
      <c r="X744" s="1095"/>
      <c r="Y744" s="1095"/>
      <c r="Z744" s="1095"/>
      <c r="AA744" s="1095"/>
      <c r="AB744" s="1095"/>
    </row>
    <row r="745">
      <c r="A745" s="1095"/>
      <c r="B745" s="1095"/>
      <c r="C745" s="1095"/>
      <c r="D745" s="1095"/>
      <c r="E745" s="1095"/>
      <c r="F745" s="1095"/>
      <c r="G745" s="1095"/>
      <c r="H745" s="1095"/>
      <c r="I745" s="1095"/>
      <c r="J745" s="1095"/>
      <c r="K745" s="1095"/>
      <c r="L745" s="1095"/>
      <c r="M745" s="1095"/>
      <c r="N745" s="1095"/>
      <c r="O745" s="1095"/>
      <c r="P745" s="1095"/>
      <c r="Q745" s="1095"/>
      <c r="R745" s="1095"/>
      <c r="S745" s="1095"/>
      <c r="T745" s="1095"/>
      <c r="U745" s="1095"/>
      <c r="V745" s="1095"/>
      <c r="W745" s="1095"/>
      <c r="X745" s="1095"/>
      <c r="Y745" s="1095"/>
      <c r="Z745" s="1095"/>
      <c r="AA745" s="1095"/>
      <c r="AB745" s="1095"/>
    </row>
    <row r="746">
      <c r="A746" s="1095"/>
      <c r="B746" s="1095"/>
      <c r="C746" s="1095"/>
      <c r="D746" s="1095"/>
      <c r="E746" s="1095"/>
      <c r="F746" s="1095"/>
      <c r="G746" s="1095"/>
      <c r="H746" s="1095"/>
      <c r="I746" s="1095"/>
      <c r="J746" s="1095"/>
      <c r="K746" s="1095"/>
      <c r="L746" s="1095"/>
      <c r="M746" s="1095"/>
      <c r="N746" s="1095"/>
      <c r="O746" s="1095"/>
      <c r="P746" s="1095"/>
      <c r="Q746" s="1095"/>
      <c r="R746" s="1095"/>
      <c r="S746" s="1095"/>
      <c r="T746" s="1095"/>
      <c r="U746" s="1095"/>
      <c r="V746" s="1095"/>
      <c r="W746" s="1095"/>
      <c r="X746" s="1095"/>
      <c r="Y746" s="1095"/>
      <c r="Z746" s="1095"/>
      <c r="AA746" s="1095"/>
      <c r="AB746" s="1095"/>
    </row>
    <row r="747">
      <c r="A747" s="1095"/>
      <c r="B747" s="1095"/>
      <c r="C747" s="1095"/>
      <c r="D747" s="1095"/>
      <c r="E747" s="1095"/>
      <c r="F747" s="1095"/>
      <c r="G747" s="1095"/>
      <c r="H747" s="1095"/>
      <c r="I747" s="1095"/>
      <c r="J747" s="1095"/>
      <c r="K747" s="1095"/>
      <c r="L747" s="1095"/>
      <c r="M747" s="1095"/>
      <c r="N747" s="1095"/>
      <c r="O747" s="1095"/>
      <c r="P747" s="1095"/>
      <c r="Q747" s="1095"/>
      <c r="R747" s="1095"/>
      <c r="S747" s="1095"/>
      <c r="T747" s="1095"/>
      <c r="U747" s="1095"/>
      <c r="V747" s="1095"/>
      <c r="W747" s="1095"/>
      <c r="X747" s="1095"/>
      <c r="Y747" s="1095"/>
      <c r="Z747" s="1095"/>
      <c r="AA747" s="1095"/>
      <c r="AB747" s="1095"/>
    </row>
    <row r="748">
      <c r="A748" s="1095"/>
      <c r="B748" s="1095"/>
      <c r="C748" s="1095"/>
      <c r="D748" s="1095"/>
      <c r="E748" s="1095"/>
      <c r="F748" s="1095"/>
      <c r="G748" s="1095"/>
      <c r="H748" s="1095"/>
      <c r="I748" s="1095"/>
      <c r="J748" s="1095"/>
      <c r="K748" s="1095"/>
      <c r="L748" s="1095"/>
      <c r="M748" s="1095"/>
      <c r="N748" s="1095"/>
      <c r="O748" s="1095"/>
      <c r="P748" s="1095"/>
      <c r="Q748" s="1095"/>
      <c r="R748" s="1095"/>
      <c r="S748" s="1095"/>
      <c r="T748" s="1095"/>
      <c r="U748" s="1095"/>
      <c r="V748" s="1095"/>
      <c r="W748" s="1095"/>
      <c r="X748" s="1095"/>
      <c r="Y748" s="1095"/>
      <c r="Z748" s="1095"/>
      <c r="AA748" s="1095"/>
      <c r="AB748" s="1095"/>
    </row>
    <row r="749">
      <c r="A749" s="1095"/>
      <c r="B749" s="1095"/>
      <c r="C749" s="1095"/>
      <c r="D749" s="1095"/>
      <c r="E749" s="1095"/>
      <c r="F749" s="1095"/>
      <c r="G749" s="1095"/>
      <c r="H749" s="1095"/>
      <c r="I749" s="1095"/>
      <c r="J749" s="1095"/>
      <c r="K749" s="1095"/>
      <c r="L749" s="1095"/>
      <c r="M749" s="1095"/>
      <c r="N749" s="1095"/>
      <c r="O749" s="1095"/>
      <c r="P749" s="1095"/>
      <c r="Q749" s="1095"/>
      <c r="R749" s="1095"/>
      <c r="S749" s="1095"/>
      <c r="T749" s="1095"/>
      <c r="U749" s="1095"/>
      <c r="V749" s="1095"/>
      <c r="W749" s="1095"/>
      <c r="X749" s="1095"/>
      <c r="Y749" s="1095"/>
      <c r="Z749" s="1095"/>
      <c r="AA749" s="1095"/>
      <c r="AB749" s="1095"/>
    </row>
    <row r="750">
      <c r="A750" s="1095"/>
      <c r="B750" s="1095"/>
      <c r="C750" s="1095"/>
      <c r="D750" s="1095"/>
      <c r="E750" s="1095"/>
      <c r="F750" s="1095"/>
      <c r="G750" s="1095"/>
      <c r="H750" s="1095"/>
      <c r="I750" s="1095"/>
      <c r="J750" s="1095"/>
      <c r="K750" s="1095"/>
      <c r="L750" s="1095"/>
      <c r="M750" s="1095"/>
      <c r="N750" s="1095"/>
      <c r="O750" s="1095"/>
      <c r="P750" s="1095"/>
      <c r="Q750" s="1095"/>
      <c r="R750" s="1095"/>
      <c r="S750" s="1095"/>
      <c r="T750" s="1095"/>
      <c r="U750" s="1095"/>
      <c r="V750" s="1095"/>
      <c r="W750" s="1095"/>
      <c r="X750" s="1095"/>
      <c r="Y750" s="1095"/>
      <c r="Z750" s="1095"/>
      <c r="AA750" s="1095"/>
      <c r="AB750" s="1095"/>
    </row>
    <row r="751">
      <c r="A751" s="1095"/>
      <c r="B751" s="1095"/>
      <c r="C751" s="1095"/>
      <c r="D751" s="1095"/>
      <c r="E751" s="1095"/>
      <c r="F751" s="1095"/>
      <c r="G751" s="1095"/>
      <c r="H751" s="1095"/>
      <c r="I751" s="1095"/>
      <c r="J751" s="1095"/>
      <c r="K751" s="1095"/>
      <c r="L751" s="1095"/>
      <c r="M751" s="1095"/>
      <c r="N751" s="1095"/>
      <c r="O751" s="1095"/>
      <c r="P751" s="1095"/>
      <c r="Q751" s="1095"/>
      <c r="R751" s="1095"/>
      <c r="S751" s="1095"/>
      <c r="T751" s="1095"/>
      <c r="U751" s="1095"/>
      <c r="V751" s="1095"/>
      <c r="W751" s="1095"/>
      <c r="X751" s="1095"/>
      <c r="Y751" s="1095"/>
      <c r="Z751" s="1095"/>
      <c r="AA751" s="1095"/>
      <c r="AB751" s="1095"/>
    </row>
    <row r="752">
      <c r="A752" s="1095"/>
      <c r="B752" s="1095"/>
      <c r="C752" s="1095"/>
      <c r="D752" s="1095"/>
      <c r="E752" s="1095"/>
      <c r="F752" s="1095"/>
      <c r="G752" s="1095"/>
      <c r="H752" s="1095"/>
      <c r="I752" s="1095"/>
      <c r="J752" s="1095"/>
      <c r="K752" s="1095"/>
      <c r="L752" s="1095"/>
      <c r="M752" s="1095"/>
      <c r="N752" s="1095"/>
      <c r="O752" s="1095"/>
      <c r="P752" s="1095"/>
      <c r="Q752" s="1095"/>
      <c r="R752" s="1095"/>
      <c r="S752" s="1095"/>
      <c r="T752" s="1095"/>
      <c r="U752" s="1095"/>
      <c r="V752" s="1095"/>
      <c r="W752" s="1095"/>
      <c r="X752" s="1095"/>
      <c r="Y752" s="1095"/>
      <c r="Z752" s="1095"/>
      <c r="AA752" s="1095"/>
      <c r="AB752" s="1095"/>
    </row>
    <row r="753">
      <c r="A753" s="1095"/>
      <c r="B753" s="1095"/>
      <c r="C753" s="1095"/>
      <c r="D753" s="1095"/>
      <c r="E753" s="1095"/>
      <c r="F753" s="1095"/>
      <c r="G753" s="1095"/>
      <c r="H753" s="1095"/>
      <c r="I753" s="1095"/>
      <c r="J753" s="1095"/>
      <c r="K753" s="1095"/>
      <c r="L753" s="1095"/>
      <c r="M753" s="1095"/>
      <c r="N753" s="1095"/>
      <c r="O753" s="1095"/>
      <c r="P753" s="1095"/>
      <c r="Q753" s="1095"/>
      <c r="R753" s="1095"/>
      <c r="S753" s="1095"/>
      <c r="T753" s="1095"/>
      <c r="U753" s="1095"/>
      <c r="V753" s="1095"/>
      <c r="W753" s="1095"/>
      <c r="X753" s="1095"/>
      <c r="Y753" s="1095"/>
      <c r="Z753" s="1095"/>
      <c r="AA753" s="1095"/>
      <c r="AB753" s="1095"/>
    </row>
    <row r="754">
      <c r="A754" s="1095"/>
      <c r="B754" s="1095"/>
      <c r="C754" s="1095"/>
      <c r="D754" s="1095"/>
      <c r="E754" s="1095"/>
      <c r="F754" s="1095"/>
      <c r="G754" s="1095"/>
      <c r="H754" s="1095"/>
      <c r="I754" s="1095"/>
      <c r="J754" s="1095"/>
      <c r="K754" s="1095"/>
      <c r="L754" s="1095"/>
      <c r="M754" s="1095"/>
      <c r="N754" s="1095"/>
      <c r="O754" s="1095"/>
      <c r="P754" s="1095"/>
      <c r="Q754" s="1095"/>
      <c r="R754" s="1095"/>
      <c r="S754" s="1095"/>
      <c r="T754" s="1095"/>
      <c r="U754" s="1095"/>
      <c r="V754" s="1095"/>
      <c r="W754" s="1095"/>
      <c r="X754" s="1095"/>
      <c r="Y754" s="1095"/>
      <c r="Z754" s="1095"/>
      <c r="AA754" s="1095"/>
      <c r="AB754" s="1095"/>
    </row>
    <row r="755">
      <c r="A755" s="1095"/>
      <c r="B755" s="1095"/>
      <c r="C755" s="1095"/>
      <c r="D755" s="1095"/>
      <c r="E755" s="1095"/>
      <c r="F755" s="1095"/>
      <c r="G755" s="1095"/>
      <c r="H755" s="1095"/>
      <c r="I755" s="1095"/>
      <c r="J755" s="1095"/>
      <c r="K755" s="1095"/>
      <c r="L755" s="1095"/>
      <c r="M755" s="1095"/>
      <c r="N755" s="1095"/>
      <c r="O755" s="1095"/>
      <c r="P755" s="1095"/>
      <c r="Q755" s="1095"/>
      <c r="R755" s="1095"/>
      <c r="S755" s="1095"/>
      <c r="T755" s="1095"/>
      <c r="U755" s="1095"/>
      <c r="V755" s="1095"/>
      <c r="W755" s="1095"/>
      <c r="X755" s="1095"/>
      <c r="Y755" s="1095"/>
      <c r="Z755" s="1095"/>
      <c r="AA755" s="1095"/>
      <c r="AB755" s="1095"/>
    </row>
    <row r="756">
      <c r="A756" s="1095"/>
      <c r="B756" s="1095"/>
      <c r="C756" s="1095"/>
      <c r="D756" s="1095"/>
      <c r="E756" s="1095"/>
      <c r="F756" s="1095"/>
      <c r="G756" s="1095"/>
      <c r="H756" s="1095"/>
      <c r="I756" s="1095"/>
      <c r="J756" s="1095"/>
      <c r="K756" s="1095"/>
      <c r="L756" s="1095"/>
      <c r="M756" s="1095"/>
      <c r="N756" s="1095"/>
      <c r="O756" s="1095"/>
      <c r="P756" s="1095"/>
      <c r="Q756" s="1095"/>
      <c r="R756" s="1095"/>
      <c r="S756" s="1095"/>
      <c r="T756" s="1095"/>
      <c r="U756" s="1095"/>
      <c r="V756" s="1095"/>
      <c r="W756" s="1095"/>
      <c r="X756" s="1095"/>
      <c r="Y756" s="1095"/>
      <c r="Z756" s="1095"/>
      <c r="AA756" s="1095"/>
      <c r="AB756" s="1095"/>
    </row>
    <row r="757">
      <c r="A757" s="1095"/>
      <c r="B757" s="1095"/>
      <c r="C757" s="1095"/>
      <c r="D757" s="1095"/>
      <c r="E757" s="1095"/>
      <c r="F757" s="1095"/>
      <c r="G757" s="1095"/>
      <c r="H757" s="1095"/>
      <c r="I757" s="1095"/>
      <c r="J757" s="1095"/>
      <c r="K757" s="1095"/>
      <c r="L757" s="1095"/>
      <c r="M757" s="1095"/>
      <c r="N757" s="1095"/>
      <c r="O757" s="1095"/>
      <c r="P757" s="1095"/>
      <c r="Q757" s="1095"/>
      <c r="R757" s="1095"/>
      <c r="S757" s="1095"/>
      <c r="T757" s="1095"/>
      <c r="U757" s="1095"/>
      <c r="V757" s="1095"/>
      <c r="W757" s="1095"/>
      <c r="X757" s="1095"/>
      <c r="Y757" s="1095"/>
      <c r="Z757" s="1095"/>
      <c r="AA757" s="1095"/>
      <c r="AB757" s="1095"/>
    </row>
    <row r="758">
      <c r="A758" s="1095"/>
      <c r="B758" s="1095"/>
      <c r="C758" s="1095"/>
      <c r="D758" s="1095"/>
      <c r="E758" s="1095"/>
      <c r="F758" s="1095"/>
      <c r="G758" s="1095"/>
      <c r="H758" s="1095"/>
      <c r="I758" s="1095"/>
      <c r="J758" s="1095"/>
      <c r="K758" s="1095"/>
      <c r="L758" s="1095"/>
      <c r="M758" s="1095"/>
      <c r="N758" s="1095"/>
      <c r="O758" s="1095"/>
      <c r="P758" s="1095"/>
      <c r="Q758" s="1095"/>
      <c r="R758" s="1095"/>
      <c r="S758" s="1095"/>
      <c r="T758" s="1095"/>
      <c r="U758" s="1095"/>
      <c r="V758" s="1095"/>
      <c r="W758" s="1095"/>
      <c r="X758" s="1095"/>
      <c r="Y758" s="1095"/>
      <c r="Z758" s="1095"/>
      <c r="AA758" s="1095"/>
      <c r="AB758" s="1095"/>
    </row>
    <row r="759">
      <c r="A759" s="1095"/>
      <c r="B759" s="1095"/>
      <c r="C759" s="1095"/>
      <c r="D759" s="1095"/>
      <c r="E759" s="1095"/>
      <c r="F759" s="1095"/>
      <c r="G759" s="1095"/>
      <c r="H759" s="1095"/>
      <c r="I759" s="1095"/>
      <c r="J759" s="1095"/>
      <c r="K759" s="1095"/>
      <c r="L759" s="1095"/>
      <c r="M759" s="1095"/>
      <c r="N759" s="1095"/>
      <c r="O759" s="1095"/>
      <c r="P759" s="1095"/>
      <c r="Q759" s="1095"/>
      <c r="R759" s="1095"/>
      <c r="S759" s="1095"/>
      <c r="T759" s="1095"/>
      <c r="U759" s="1095"/>
      <c r="V759" s="1095"/>
      <c r="W759" s="1095"/>
      <c r="X759" s="1095"/>
      <c r="Y759" s="1095"/>
      <c r="Z759" s="1095"/>
      <c r="AA759" s="1095"/>
      <c r="AB759" s="1095"/>
    </row>
    <row r="760">
      <c r="A760" s="1095"/>
      <c r="B760" s="1095"/>
      <c r="C760" s="1095"/>
      <c r="D760" s="1095"/>
      <c r="E760" s="1095"/>
      <c r="F760" s="1095"/>
      <c r="G760" s="1095"/>
      <c r="H760" s="1095"/>
      <c r="I760" s="1095"/>
      <c r="J760" s="1095"/>
      <c r="K760" s="1095"/>
      <c r="L760" s="1095"/>
      <c r="M760" s="1095"/>
      <c r="N760" s="1095"/>
      <c r="O760" s="1095"/>
      <c r="P760" s="1095"/>
      <c r="Q760" s="1095"/>
      <c r="R760" s="1095"/>
      <c r="S760" s="1095"/>
      <c r="T760" s="1095"/>
      <c r="U760" s="1095"/>
      <c r="V760" s="1095"/>
      <c r="W760" s="1095"/>
      <c r="X760" s="1095"/>
      <c r="Y760" s="1095"/>
      <c r="Z760" s="1095"/>
      <c r="AA760" s="1095"/>
      <c r="AB760" s="1095"/>
    </row>
    <row r="761">
      <c r="A761" s="1095"/>
      <c r="B761" s="1095"/>
      <c r="C761" s="1095"/>
      <c r="D761" s="1095"/>
      <c r="E761" s="1095"/>
      <c r="F761" s="1095"/>
      <c r="G761" s="1095"/>
      <c r="H761" s="1095"/>
      <c r="I761" s="1095"/>
      <c r="J761" s="1095"/>
      <c r="K761" s="1095"/>
      <c r="L761" s="1095"/>
      <c r="M761" s="1095"/>
      <c r="N761" s="1095"/>
      <c r="O761" s="1095"/>
      <c r="P761" s="1095"/>
      <c r="Q761" s="1095"/>
      <c r="R761" s="1095"/>
      <c r="S761" s="1095"/>
      <c r="T761" s="1095"/>
      <c r="U761" s="1095"/>
      <c r="V761" s="1095"/>
      <c r="W761" s="1095"/>
      <c r="X761" s="1095"/>
      <c r="Y761" s="1095"/>
      <c r="Z761" s="1095"/>
      <c r="AA761" s="1095"/>
      <c r="AB761" s="1095"/>
    </row>
    <row r="762">
      <c r="A762" s="1095"/>
      <c r="B762" s="1095"/>
      <c r="C762" s="1095"/>
      <c r="D762" s="1095"/>
      <c r="E762" s="1095"/>
      <c r="F762" s="1095"/>
      <c r="G762" s="1095"/>
      <c r="H762" s="1095"/>
      <c r="I762" s="1095"/>
      <c r="J762" s="1095"/>
      <c r="K762" s="1095"/>
      <c r="L762" s="1095"/>
      <c r="M762" s="1095"/>
      <c r="N762" s="1095"/>
      <c r="O762" s="1095"/>
      <c r="P762" s="1095"/>
      <c r="Q762" s="1095"/>
      <c r="R762" s="1095"/>
      <c r="S762" s="1095"/>
      <c r="T762" s="1095"/>
      <c r="U762" s="1095"/>
      <c r="V762" s="1095"/>
      <c r="W762" s="1095"/>
      <c r="X762" s="1095"/>
      <c r="Y762" s="1095"/>
      <c r="Z762" s="1095"/>
      <c r="AA762" s="1095"/>
      <c r="AB762" s="1095"/>
    </row>
    <row r="763">
      <c r="A763" s="1095"/>
      <c r="B763" s="1095"/>
      <c r="C763" s="1095"/>
      <c r="D763" s="1095"/>
      <c r="E763" s="1095"/>
      <c r="F763" s="1095"/>
      <c r="G763" s="1095"/>
      <c r="H763" s="1095"/>
      <c r="I763" s="1095"/>
      <c r="J763" s="1095"/>
      <c r="K763" s="1095"/>
      <c r="L763" s="1095"/>
      <c r="M763" s="1095"/>
      <c r="N763" s="1095"/>
      <c r="O763" s="1095"/>
      <c r="P763" s="1095"/>
      <c r="Q763" s="1095"/>
      <c r="R763" s="1095"/>
      <c r="S763" s="1095"/>
      <c r="T763" s="1095"/>
      <c r="U763" s="1095"/>
      <c r="V763" s="1095"/>
      <c r="W763" s="1095"/>
      <c r="X763" s="1095"/>
      <c r="Y763" s="1095"/>
      <c r="Z763" s="1095"/>
      <c r="AA763" s="1095"/>
      <c r="AB763" s="1095"/>
    </row>
    <row r="764">
      <c r="A764" s="1095"/>
      <c r="B764" s="1095"/>
      <c r="C764" s="1095"/>
      <c r="D764" s="1095"/>
      <c r="E764" s="1095"/>
      <c r="F764" s="1095"/>
      <c r="G764" s="1095"/>
      <c r="H764" s="1095"/>
      <c r="I764" s="1095"/>
      <c r="J764" s="1095"/>
      <c r="K764" s="1095"/>
      <c r="L764" s="1095"/>
      <c r="M764" s="1095"/>
      <c r="N764" s="1095"/>
      <c r="O764" s="1095"/>
      <c r="P764" s="1095"/>
      <c r="Q764" s="1095"/>
      <c r="R764" s="1095"/>
      <c r="S764" s="1095"/>
      <c r="T764" s="1095"/>
      <c r="U764" s="1095"/>
      <c r="V764" s="1095"/>
      <c r="W764" s="1095"/>
      <c r="X764" s="1095"/>
      <c r="Y764" s="1095"/>
      <c r="Z764" s="1095"/>
      <c r="AA764" s="1095"/>
      <c r="AB764" s="1095"/>
    </row>
    <row r="765">
      <c r="A765" s="1095"/>
      <c r="B765" s="1095"/>
      <c r="C765" s="1095"/>
      <c r="D765" s="1095"/>
      <c r="E765" s="1095"/>
      <c r="F765" s="1095"/>
      <c r="G765" s="1095"/>
      <c r="H765" s="1095"/>
      <c r="I765" s="1095"/>
      <c r="J765" s="1095"/>
      <c r="K765" s="1095"/>
      <c r="L765" s="1095"/>
      <c r="M765" s="1095"/>
      <c r="N765" s="1095"/>
      <c r="O765" s="1095"/>
      <c r="P765" s="1095"/>
      <c r="Q765" s="1095"/>
      <c r="R765" s="1095"/>
      <c r="S765" s="1095"/>
      <c r="T765" s="1095"/>
      <c r="U765" s="1095"/>
      <c r="V765" s="1095"/>
      <c r="W765" s="1095"/>
      <c r="X765" s="1095"/>
      <c r="Y765" s="1095"/>
      <c r="Z765" s="1095"/>
      <c r="AA765" s="1095"/>
      <c r="AB765" s="1095"/>
    </row>
    <row r="766">
      <c r="A766" s="1095"/>
      <c r="B766" s="1095"/>
      <c r="C766" s="1095"/>
      <c r="D766" s="1095"/>
      <c r="E766" s="1095"/>
      <c r="F766" s="1095"/>
      <c r="G766" s="1095"/>
      <c r="H766" s="1095"/>
      <c r="I766" s="1095"/>
      <c r="J766" s="1095"/>
      <c r="K766" s="1095"/>
      <c r="L766" s="1095"/>
      <c r="M766" s="1095"/>
      <c r="N766" s="1095"/>
      <c r="O766" s="1095"/>
      <c r="P766" s="1095"/>
      <c r="Q766" s="1095"/>
      <c r="R766" s="1095"/>
      <c r="S766" s="1095"/>
      <c r="T766" s="1095"/>
      <c r="U766" s="1095"/>
      <c r="V766" s="1095"/>
      <c r="W766" s="1095"/>
      <c r="X766" s="1095"/>
      <c r="Y766" s="1095"/>
      <c r="Z766" s="1095"/>
      <c r="AA766" s="1095"/>
      <c r="AB766" s="1095"/>
    </row>
    <row r="767">
      <c r="A767" s="1095"/>
      <c r="B767" s="1095"/>
      <c r="C767" s="1095"/>
      <c r="D767" s="1095"/>
      <c r="E767" s="1095"/>
      <c r="F767" s="1095"/>
      <c r="G767" s="1095"/>
      <c r="H767" s="1095"/>
      <c r="I767" s="1095"/>
      <c r="J767" s="1095"/>
      <c r="K767" s="1095"/>
      <c r="L767" s="1095"/>
      <c r="M767" s="1095"/>
      <c r="N767" s="1095"/>
      <c r="O767" s="1095"/>
      <c r="P767" s="1095"/>
      <c r="Q767" s="1095"/>
      <c r="R767" s="1095"/>
      <c r="S767" s="1095"/>
      <c r="T767" s="1095"/>
      <c r="U767" s="1095"/>
      <c r="V767" s="1095"/>
      <c r="W767" s="1095"/>
      <c r="X767" s="1095"/>
      <c r="Y767" s="1095"/>
      <c r="Z767" s="1095"/>
      <c r="AA767" s="1095"/>
      <c r="AB767" s="1095"/>
    </row>
    <row r="768">
      <c r="A768" s="1095"/>
      <c r="B768" s="1095"/>
      <c r="C768" s="1095"/>
      <c r="D768" s="1095"/>
      <c r="E768" s="1095"/>
      <c r="F768" s="1095"/>
      <c r="G768" s="1095"/>
      <c r="H768" s="1095"/>
      <c r="I768" s="1095"/>
      <c r="J768" s="1095"/>
      <c r="K768" s="1095"/>
      <c r="L768" s="1095"/>
      <c r="M768" s="1095"/>
      <c r="N768" s="1095"/>
      <c r="O768" s="1095"/>
      <c r="P768" s="1095"/>
      <c r="Q768" s="1095"/>
      <c r="R768" s="1095"/>
      <c r="S768" s="1095"/>
      <c r="T768" s="1095"/>
      <c r="U768" s="1095"/>
      <c r="V768" s="1095"/>
      <c r="W768" s="1095"/>
      <c r="X768" s="1095"/>
      <c r="Y768" s="1095"/>
      <c r="Z768" s="1095"/>
      <c r="AA768" s="1095"/>
      <c r="AB768" s="1095"/>
    </row>
    <row r="769">
      <c r="A769" s="1095"/>
      <c r="B769" s="1095"/>
      <c r="C769" s="1095"/>
      <c r="D769" s="1095"/>
      <c r="E769" s="1095"/>
      <c r="F769" s="1095"/>
      <c r="G769" s="1095"/>
      <c r="H769" s="1095"/>
      <c r="I769" s="1095"/>
      <c r="J769" s="1095"/>
      <c r="K769" s="1095"/>
      <c r="L769" s="1095"/>
      <c r="M769" s="1095"/>
      <c r="N769" s="1095"/>
      <c r="O769" s="1095"/>
      <c r="P769" s="1095"/>
      <c r="Q769" s="1095"/>
      <c r="R769" s="1095"/>
      <c r="S769" s="1095"/>
      <c r="T769" s="1095"/>
      <c r="U769" s="1095"/>
      <c r="V769" s="1095"/>
      <c r="W769" s="1095"/>
      <c r="X769" s="1095"/>
      <c r="Y769" s="1095"/>
      <c r="Z769" s="1095"/>
      <c r="AA769" s="1095"/>
      <c r="AB769" s="1095"/>
    </row>
    <row r="770">
      <c r="A770" s="1095"/>
      <c r="B770" s="1095"/>
      <c r="C770" s="1095"/>
      <c r="D770" s="1095"/>
      <c r="E770" s="1095"/>
      <c r="F770" s="1095"/>
      <c r="G770" s="1095"/>
      <c r="H770" s="1095"/>
      <c r="I770" s="1095"/>
      <c r="J770" s="1095"/>
      <c r="K770" s="1095"/>
      <c r="L770" s="1095"/>
      <c r="M770" s="1095"/>
      <c r="N770" s="1095"/>
      <c r="O770" s="1095"/>
      <c r="P770" s="1095"/>
      <c r="Q770" s="1095"/>
      <c r="R770" s="1095"/>
      <c r="S770" s="1095"/>
      <c r="T770" s="1095"/>
      <c r="U770" s="1095"/>
      <c r="V770" s="1095"/>
      <c r="W770" s="1095"/>
      <c r="X770" s="1095"/>
      <c r="Y770" s="1095"/>
      <c r="Z770" s="1095"/>
      <c r="AA770" s="1095"/>
      <c r="AB770" s="1095"/>
    </row>
    <row r="771">
      <c r="A771" s="1095"/>
      <c r="B771" s="1095"/>
      <c r="C771" s="1095"/>
      <c r="D771" s="1095"/>
      <c r="E771" s="1095"/>
      <c r="F771" s="1095"/>
      <c r="G771" s="1095"/>
      <c r="H771" s="1095"/>
      <c r="I771" s="1095"/>
      <c r="J771" s="1095"/>
      <c r="K771" s="1095"/>
      <c r="L771" s="1095"/>
      <c r="M771" s="1095"/>
      <c r="N771" s="1095"/>
      <c r="O771" s="1095"/>
      <c r="P771" s="1095"/>
      <c r="Q771" s="1095"/>
      <c r="R771" s="1095"/>
      <c r="S771" s="1095"/>
      <c r="T771" s="1095"/>
      <c r="U771" s="1095"/>
      <c r="V771" s="1095"/>
      <c r="W771" s="1095"/>
      <c r="X771" s="1095"/>
      <c r="Y771" s="1095"/>
      <c r="Z771" s="1095"/>
      <c r="AA771" s="1095"/>
      <c r="AB771" s="1095"/>
    </row>
    <row r="772">
      <c r="A772" s="1095"/>
      <c r="B772" s="1095"/>
      <c r="C772" s="1095"/>
      <c r="D772" s="1095"/>
      <c r="E772" s="1095"/>
      <c r="F772" s="1095"/>
      <c r="G772" s="1095"/>
      <c r="H772" s="1095"/>
      <c r="I772" s="1095"/>
      <c r="J772" s="1095"/>
      <c r="K772" s="1095"/>
      <c r="L772" s="1095"/>
      <c r="M772" s="1095"/>
      <c r="N772" s="1095"/>
      <c r="O772" s="1095"/>
      <c r="P772" s="1095"/>
      <c r="Q772" s="1095"/>
      <c r="R772" s="1095"/>
      <c r="S772" s="1095"/>
      <c r="T772" s="1095"/>
      <c r="U772" s="1095"/>
      <c r="V772" s="1095"/>
      <c r="W772" s="1095"/>
      <c r="X772" s="1095"/>
      <c r="Y772" s="1095"/>
      <c r="Z772" s="1095"/>
      <c r="AA772" s="1095"/>
      <c r="AB772" s="1095"/>
    </row>
    <row r="773">
      <c r="A773" s="1095"/>
      <c r="B773" s="1095"/>
      <c r="C773" s="1095"/>
      <c r="D773" s="1095"/>
      <c r="E773" s="1095"/>
      <c r="F773" s="1095"/>
      <c r="G773" s="1095"/>
      <c r="H773" s="1095"/>
      <c r="I773" s="1095"/>
      <c r="J773" s="1095"/>
      <c r="K773" s="1095"/>
      <c r="L773" s="1095"/>
      <c r="M773" s="1095"/>
      <c r="N773" s="1095"/>
      <c r="O773" s="1095"/>
      <c r="P773" s="1095"/>
      <c r="Q773" s="1095"/>
      <c r="R773" s="1095"/>
      <c r="S773" s="1095"/>
      <c r="T773" s="1095"/>
      <c r="U773" s="1095"/>
      <c r="V773" s="1095"/>
      <c r="W773" s="1095"/>
      <c r="X773" s="1095"/>
      <c r="Y773" s="1095"/>
      <c r="Z773" s="1095"/>
      <c r="AA773" s="1095"/>
      <c r="AB773" s="1095"/>
    </row>
    <row r="774">
      <c r="A774" s="1095"/>
      <c r="B774" s="1095"/>
      <c r="C774" s="1095"/>
      <c r="D774" s="1095"/>
      <c r="E774" s="1095"/>
      <c r="F774" s="1095"/>
      <c r="G774" s="1095"/>
      <c r="H774" s="1095"/>
      <c r="I774" s="1095"/>
      <c r="J774" s="1095"/>
      <c r="K774" s="1095"/>
      <c r="L774" s="1095"/>
      <c r="M774" s="1095"/>
      <c r="N774" s="1095"/>
      <c r="O774" s="1095"/>
      <c r="P774" s="1095"/>
      <c r="Q774" s="1095"/>
      <c r="R774" s="1095"/>
      <c r="S774" s="1095"/>
      <c r="T774" s="1095"/>
      <c r="U774" s="1095"/>
      <c r="V774" s="1095"/>
      <c r="W774" s="1095"/>
      <c r="X774" s="1095"/>
      <c r="Y774" s="1095"/>
      <c r="Z774" s="1095"/>
      <c r="AA774" s="1095"/>
      <c r="AB774" s="1095"/>
    </row>
    <row r="775">
      <c r="A775" s="1095"/>
      <c r="B775" s="1095"/>
      <c r="C775" s="1095"/>
      <c r="D775" s="1095"/>
      <c r="E775" s="1095"/>
      <c r="F775" s="1095"/>
      <c r="G775" s="1095"/>
      <c r="H775" s="1095"/>
      <c r="I775" s="1095"/>
      <c r="J775" s="1095"/>
      <c r="K775" s="1095"/>
      <c r="L775" s="1095"/>
      <c r="M775" s="1095"/>
      <c r="N775" s="1095"/>
      <c r="O775" s="1095"/>
      <c r="P775" s="1095"/>
      <c r="Q775" s="1095"/>
      <c r="R775" s="1095"/>
      <c r="S775" s="1095"/>
      <c r="T775" s="1095"/>
      <c r="U775" s="1095"/>
      <c r="V775" s="1095"/>
      <c r="W775" s="1095"/>
      <c r="X775" s="1095"/>
      <c r="Y775" s="1095"/>
      <c r="Z775" s="1095"/>
      <c r="AA775" s="1095"/>
      <c r="AB775" s="1095"/>
    </row>
    <row r="776">
      <c r="A776" s="1095"/>
      <c r="B776" s="1095"/>
      <c r="C776" s="1095"/>
      <c r="D776" s="1095"/>
      <c r="E776" s="1095"/>
      <c r="F776" s="1095"/>
      <c r="G776" s="1095"/>
      <c r="H776" s="1095"/>
      <c r="I776" s="1095"/>
      <c r="J776" s="1095"/>
      <c r="K776" s="1095"/>
      <c r="L776" s="1095"/>
      <c r="M776" s="1095"/>
      <c r="N776" s="1095"/>
      <c r="O776" s="1095"/>
      <c r="P776" s="1095"/>
      <c r="Q776" s="1095"/>
      <c r="R776" s="1095"/>
      <c r="S776" s="1095"/>
      <c r="T776" s="1095"/>
      <c r="U776" s="1095"/>
      <c r="V776" s="1095"/>
      <c r="W776" s="1095"/>
      <c r="X776" s="1095"/>
      <c r="Y776" s="1095"/>
      <c r="Z776" s="1095"/>
      <c r="AA776" s="1095"/>
      <c r="AB776" s="1095"/>
    </row>
    <row r="777">
      <c r="A777" s="1095"/>
      <c r="B777" s="1095"/>
      <c r="C777" s="1095"/>
      <c r="D777" s="1095"/>
      <c r="E777" s="1095"/>
      <c r="F777" s="1095"/>
      <c r="G777" s="1095"/>
      <c r="H777" s="1095"/>
      <c r="I777" s="1095"/>
      <c r="J777" s="1095"/>
      <c r="K777" s="1095"/>
      <c r="L777" s="1095"/>
      <c r="M777" s="1095"/>
      <c r="N777" s="1095"/>
      <c r="O777" s="1095"/>
      <c r="P777" s="1095"/>
      <c r="Q777" s="1095"/>
      <c r="R777" s="1095"/>
      <c r="S777" s="1095"/>
      <c r="T777" s="1095"/>
      <c r="U777" s="1095"/>
      <c r="V777" s="1095"/>
      <c r="W777" s="1095"/>
      <c r="X777" s="1095"/>
      <c r="Y777" s="1095"/>
      <c r="Z777" s="1095"/>
      <c r="AA777" s="1095"/>
      <c r="AB777" s="1095"/>
    </row>
    <row r="778">
      <c r="A778" s="1095"/>
      <c r="B778" s="1095"/>
      <c r="C778" s="1095"/>
      <c r="D778" s="1095"/>
      <c r="E778" s="1095"/>
      <c r="F778" s="1095"/>
      <c r="G778" s="1095"/>
      <c r="H778" s="1095"/>
      <c r="I778" s="1095"/>
      <c r="J778" s="1095"/>
      <c r="K778" s="1095"/>
      <c r="L778" s="1095"/>
      <c r="M778" s="1095"/>
      <c r="N778" s="1095"/>
      <c r="O778" s="1095"/>
      <c r="P778" s="1095"/>
      <c r="Q778" s="1095"/>
      <c r="R778" s="1095"/>
      <c r="S778" s="1095"/>
      <c r="T778" s="1095"/>
      <c r="U778" s="1095"/>
      <c r="V778" s="1095"/>
      <c r="W778" s="1095"/>
      <c r="X778" s="1095"/>
      <c r="Y778" s="1095"/>
      <c r="Z778" s="1095"/>
      <c r="AA778" s="1095"/>
      <c r="AB778" s="1095"/>
    </row>
    <row r="779">
      <c r="A779" s="1095"/>
      <c r="B779" s="1095"/>
      <c r="C779" s="1095"/>
      <c r="D779" s="1095"/>
      <c r="E779" s="1095"/>
      <c r="F779" s="1095"/>
      <c r="G779" s="1095"/>
      <c r="H779" s="1095"/>
      <c r="I779" s="1095"/>
      <c r="J779" s="1095"/>
      <c r="K779" s="1095"/>
      <c r="L779" s="1095"/>
      <c r="M779" s="1095"/>
      <c r="N779" s="1095"/>
      <c r="O779" s="1095"/>
      <c r="P779" s="1095"/>
      <c r="Q779" s="1095"/>
      <c r="R779" s="1095"/>
      <c r="S779" s="1095"/>
      <c r="T779" s="1095"/>
      <c r="U779" s="1095"/>
      <c r="V779" s="1095"/>
      <c r="W779" s="1095"/>
      <c r="X779" s="1095"/>
      <c r="Y779" s="1095"/>
      <c r="Z779" s="1095"/>
      <c r="AA779" s="1095"/>
      <c r="AB779" s="1095"/>
    </row>
    <row r="780">
      <c r="A780" s="1095"/>
      <c r="B780" s="1095"/>
      <c r="C780" s="1095"/>
      <c r="D780" s="1095"/>
      <c r="E780" s="1095"/>
      <c r="F780" s="1095"/>
      <c r="G780" s="1095"/>
      <c r="H780" s="1095"/>
      <c r="I780" s="1095"/>
      <c r="J780" s="1095"/>
      <c r="K780" s="1095"/>
      <c r="L780" s="1095"/>
      <c r="M780" s="1095"/>
      <c r="N780" s="1095"/>
      <c r="O780" s="1095"/>
      <c r="P780" s="1095"/>
      <c r="Q780" s="1095"/>
      <c r="R780" s="1095"/>
      <c r="S780" s="1095"/>
      <c r="T780" s="1095"/>
      <c r="U780" s="1095"/>
      <c r="V780" s="1095"/>
      <c r="W780" s="1095"/>
      <c r="X780" s="1095"/>
      <c r="Y780" s="1095"/>
      <c r="Z780" s="1095"/>
      <c r="AA780" s="1095"/>
      <c r="AB780" s="1095"/>
    </row>
    <row r="781">
      <c r="A781" s="1095"/>
      <c r="B781" s="1095"/>
      <c r="C781" s="1095"/>
      <c r="D781" s="1095"/>
      <c r="E781" s="1095"/>
      <c r="F781" s="1095"/>
      <c r="G781" s="1095"/>
      <c r="H781" s="1095"/>
      <c r="I781" s="1095"/>
      <c r="J781" s="1095"/>
      <c r="K781" s="1095"/>
      <c r="L781" s="1095"/>
      <c r="M781" s="1095"/>
      <c r="N781" s="1095"/>
      <c r="O781" s="1095"/>
      <c r="P781" s="1095"/>
      <c r="Q781" s="1095"/>
      <c r="R781" s="1095"/>
      <c r="S781" s="1095"/>
      <c r="T781" s="1095"/>
      <c r="U781" s="1095"/>
      <c r="V781" s="1095"/>
      <c r="W781" s="1095"/>
      <c r="X781" s="1095"/>
      <c r="Y781" s="1095"/>
      <c r="Z781" s="1095"/>
      <c r="AA781" s="1095"/>
      <c r="AB781" s="1095"/>
    </row>
    <row r="782">
      <c r="A782" s="1095"/>
      <c r="B782" s="1095"/>
      <c r="C782" s="1095"/>
      <c r="D782" s="1095"/>
      <c r="E782" s="1095"/>
      <c r="F782" s="1095"/>
      <c r="G782" s="1095"/>
      <c r="H782" s="1095"/>
      <c r="I782" s="1095"/>
      <c r="J782" s="1095"/>
      <c r="K782" s="1095"/>
      <c r="L782" s="1095"/>
      <c r="M782" s="1095"/>
      <c r="N782" s="1095"/>
      <c r="O782" s="1095"/>
      <c r="P782" s="1095"/>
      <c r="Q782" s="1095"/>
      <c r="R782" s="1095"/>
      <c r="S782" s="1095"/>
      <c r="T782" s="1095"/>
      <c r="U782" s="1095"/>
      <c r="V782" s="1095"/>
      <c r="W782" s="1095"/>
      <c r="X782" s="1095"/>
      <c r="Y782" s="1095"/>
      <c r="Z782" s="1095"/>
      <c r="AA782" s="1095"/>
      <c r="AB782" s="1095"/>
    </row>
    <row r="783">
      <c r="A783" s="1095"/>
      <c r="B783" s="1095"/>
      <c r="C783" s="1095"/>
      <c r="D783" s="1095"/>
      <c r="E783" s="1095"/>
      <c r="F783" s="1095"/>
      <c r="G783" s="1095"/>
      <c r="H783" s="1095"/>
      <c r="I783" s="1095"/>
      <c r="J783" s="1095"/>
      <c r="K783" s="1095"/>
      <c r="L783" s="1095"/>
      <c r="M783" s="1095"/>
      <c r="N783" s="1095"/>
      <c r="O783" s="1095"/>
      <c r="P783" s="1095"/>
      <c r="Q783" s="1095"/>
      <c r="R783" s="1095"/>
      <c r="S783" s="1095"/>
      <c r="T783" s="1095"/>
      <c r="U783" s="1095"/>
      <c r="V783" s="1095"/>
      <c r="W783" s="1095"/>
      <c r="X783" s="1095"/>
      <c r="Y783" s="1095"/>
      <c r="Z783" s="1095"/>
      <c r="AA783" s="1095"/>
      <c r="AB783" s="1095"/>
    </row>
    <row r="784">
      <c r="A784" s="1095"/>
      <c r="B784" s="1095"/>
      <c r="C784" s="1095"/>
      <c r="D784" s="1095"/>
      <c r="E784" s="1095"/>
      <c r="F784" s="1095"/>
      <c r="G784" s="1095"/>
      <c r="H784" s="1095"/>
      <c r="I784" s="1095"/>
      <c r="J784" s="1095"/>
      <c r="K784" s="1095"/>
      <c r="L784" s="1095"/>
      <c r="M784" s="1095"/>
      <c r="N784" s="1095"/>
      <c r="O784" s="1095"/>
      <c r="P784" s="1095"/>
      <c r="Q784" s="1095"/>
      <c r="R784" s="1095"/>
      <c r="S784" s="1095"/>
      <c r="T784" s="1095"/>
      <c r="U784" s="1095"/>
      <c r="V784" s="1095"/>
      <c r="W784" s="1095"/>
      <c r="X784" s="1095"/>
      <c r="Y784" s="1095"/>
      <c r="Z784" s="1095"/>
      <c r="AA784" s="1095"/>
      <c r="AB784" s="1095"/>
    </row>
    <row r="785">
      <c r="A785" s="1095"/>
      <c r="B785" s="1095"/>
      <c r="C785" s="1095"/>
      <c r="D785" s="1095"/>
      <c r="E785" s="1095"/>
      <c r="F785" s="1095"/>
      <c r="G785" s="1095"/>
      <c r="H785" s="1095"/>
      <c r="I785" s="1095"/>
      <c r="J785" s="1095"/>
      <c r="K785" s="1095"/>
      <c r="L785" s="1095"/>
      <c r="M785" s="1095"/>
      <c r="N785" s="1095"/>
      <c r="O785" s="1095"/>
      <c r="P785" s="1095"/>
      <c r="Q785" s="1095"/>
      <c r="R785" s="1095"/>
      <c r="S785" s="1095"/>
      <c r="T785" s="1095"/>
      <c r="U785" s="1095"/>
      <c r="V785" s="1095"/>
      <c r="W785" s="1095"/>
      <c r="X785" s="1095"/>
      <c r="Y785" s="1095"/>
      <c r="Z785" s="1095"/>
      <c r="AA785" s="1095"/>
      <c r="AB785" s="1095"/>
    </row>
    <row r="786">
      <c r="A786" s="1095"/>
      <c r="B786" s="1095"/>
      <c r="C786" s="1095"/>
      <c r="D786" s="1095"/>
      <c r="E786" s="1095"/>
      <c r="F786" s="1095"/>
      <c r="G786" s="1095"/>
      <c r="H786" s="1095"/>
      <c r="I786" s="1095"/>
      <c r="J786" s="1095"/>
      <c r="K786" s="1095"/>
      <c r="L786" s="1095"/>
      <c r="M786" s="1095"/>
      <c r="N786" s="1095"/>
      <c r="O786" s="1095"/>
      <c r="P786" s="1095"/>
      <c r="Q786" s="1095"/>
      <c r="R786" s="1095"/>
      <c r="S786" s="1095"/>
      <c r="T786" s="1095"/>
      <c r="U786" s="1095"/>
      <c r="V786" s="1095"/>
      <c r="W786" s="1095"/>
      <c r="X786" s="1095"/>
      <c r="Y786" s="1095"/>
      <c r="Z786" s="1095"/>
      <c r="AA786" s="1095"/>
      <c r="AB786" s="1095"/>
    </row>
    <row r="787">
      <c r="A787" s="1095"/>
      <c r="B787" s="1095"/>
      <c r="C787" s="1095"/>
      <c r="D787" s="1095"/>
      <c r="E787" s="1095"/>
      <c r="F787" s="1095"/>
      <c r="G787" s="1095"/>
      <c r="H787" s="1095"/>
      <c r="I787" s="1095"/>
      <c r="J787" s="1095"/>
      <c r="K787" s="1095"/>
      <c r="L787" s="1095"/>
      <c r="M787" s="1095"/>
      <c r="N787" s="1095"/>
      <c r="O787" s="1095"/>
      <c r="P787" s="1095"/>
      <c r="Q787" s="1095"/>
      <c r="R787" s="1095"/>
      <c r="S787" s="1095"/>
      <c r="T787" s="1095"/>
      <c r="U787" s="1095"/>
      <c r="V787" s="1095"/>
      <c r="W787" s="1095"/>
      <c r="X787" s="1095"/>
      <c r="Y787" s="1095"/>
      <c r="Z787" s="1095"/>
      <c r="AA787" s="1095"/>
      <c r="AB787" s="1095"/>
    </row>
    <row r="788">
      <c r="A788" s="1095"/>
      <c r="B788" s="1095"/>
      <c r="C788" s="1095"/>
      <c r="D788" s="1095"/>
      <c r="E788" s="1095"/>
      <c r="F788" s="1095"/>
      <c r="G788" s="1095"/>
      <c r="H788" s="1095"/>
      <c r="I788" s="1095"/>
      <c r="J788" s="1095"/>
      <c r="K788" s="1095"/>
      <c r="L788" s="1095"/>
      <c r="M788" s="1095"/>
      <c r="N788" s="1095"/>
      <c r="O788" s="1095"/>
      <c r="P788" s="1095"/>
      <c r="Q788" s="1095"/>
      <c r="R788" s="1095"/>
      <c r="S788" s="1095"/>
      <c r="T788" s="1095"/>
      <c r="U788" s="1095"/>
      <c r="V788" s="1095"/>
      <c r="W788" s="1095"/>
      <c r="X788" s="1095"/>
      <c r="Y788" s="1095"/>
      <c r="Z788" s="1095"/>
      <c r="AA788" s="1095"/>
      <c r="AB788" s="1095"/>
    </row>
    <row r="789">
      <c r="A789" s="1095"/>
      <c r="B789" s="1095"/>
      <c r="C789" s="1095"/>
      <c r="D789" s="1095"/>
      <c r="E789" s="1095"/>
      <c r="F789" s="1095"/>
      <c r="G789" s="1095"/>
      <c r="H789" s="1095"/>
      <c r="I789" s="1095"/>
      <c r="J789" s="1095"/>
      <c r="K789" s="1095"/>
      <c r="L789" s="1095"/>
      <c r="M789" s="1095"/>
      <c r="N789" s="1095"/>
      <c r="O789" s="1095"/>
      <c r="P789" s="1095"/>
      <c r="Q789" s="1095"/>
      <c r="R789" s="1095"/>
      <c r="S789" s="1095"/>
      <c r="T789" s="1095"/>
      <c r="U789" s="1095"/>
      <c r="V789" s="1095"/>
      <c r="W789" s="1095"/>
      <c r="X789" s="1095"/>
      <c r="Y789" s="1095"/>
      <c r="Z789" s="1095"/>
      <c r="AA789" s="1095"/>
      <c r="AB789" s="1095"/>
    </row>
    <row r="790">
      <c r="A790" s="1095"/>
      <c r="B790" s="1095"/>
      <c r="C790" s="1095"/>
      <c r="D790" s="1095"/>
      <c r="E790" s="1095"/>
      <c r="F790" s="1095"/>
      <c r="G790" s="1095"/>
      <c r="H790" s="1095"/>
      <c r="I790" s="1095"/>
      <c r="J790" s="1095"/>
      <c r="K790" s="1095"/>
      <c r="L790" s="1095"/>
      <c r="M790" s="1095"/>
      <c r="N790" s="1095"/>
      <c r="O790" s="1095"/>
      <c r="P790" s="1095"/>
      <c r="Q790" s="1095"/>
      <c r="R790" s="1095"/>
      <c r="S790" s="1095"/>
      <c r="T790" s="1095"/>
      <c r="U790" s="1095"/>
      <c r="V790" s="1095"/>
      <c r="W790" s="1095"/>
      <c r="X790" s="1095"/>
      <c r="Y790" s="1095"/>
      <c r="Z790" s="1095"/>
      <c r="AA790" s="1095"/>
      <c r="AB790" s="1095"/>
    </row>
    <row r="791">
      <c r="A791" s="1095"/>
      <c r="B791" s="1095"/>
      <c r="C791" s="1095"/>
      <c r="D791" s="1095"/>
      <c r="E791" s="1095"/>
      <c r="F791" s="1095"/>
      <c r="G791" s="1095"/>
      <c r="H791" s="1095"/>
      <c r="I791" s="1095"/>
      <c r="J791" s="1095"/>
      <c r="K791" s="1095"/>
      <c r="L791" s="1095"/>
      <c r="M791" s="1095"/>
      <c r="N791" s="1095"/>
      <c r="O791" s="1095"/>
      <c r="P791" s="1095"/>
      <c r="Q791" s="1095"/>
      <c r="R791" s="1095"/>
      <c r="S791" s="1095"/>
      <c r="T791" s="1095"/>
      <c r="U791" s="1095"/>
      <c r="V791" s="1095"/>
      <c r="W791" s="1095"/>
      <c r="X791" s="1095"/>
      <c r="Y791" s="1095"/>
      <c r="Z791" s="1095"/>
      <c r="AA791" s="1095"/>
      <c r="AB791" s="1095"/>
    </row>
    <row r="792">
      <c r="A792" s="1095"/>
      <c r="B792" s="1095"/>
      <c r="C792" s="1095"/>
      <c r="D792" s="1095"/>
      <c r="E792" s="1095"/>
      <c r="F792" s="1095"/>
      <c r="G792" s="1095"/>
      <c r="H792" s="1095"/>
      <c r="I792" s="1095"/>
      <c r="J792" s="1095"/>
      <c r="K792" s="1095"/>
      <c r="L792" s="1095"/>
      <c r="M792" s="1095"/>
      <c r="N792" s="1095"/>
      <c r="O792" s="1095"/>
      <c r="P792" s="1095"/>
      <c r="Q792" s="1095"/>
      <c r="R792" s="1095"/>
      <c r="S792" s="1095"/>
      <c r="T792" s="1095"/>
      <c r="U792" s="1095"/>
      <c r="V792" s="1095"/>
      <c r="W792" s="1095"/>
      <c r="X792" s="1095"/>
      <c r="Y792" s="1095"/>
      <c r="Z792" s="1095"/>
      <c r="AA792" s="1095"/>
      <c r="AB792" s="1095"/>
    </row>
    <row r="793">
      <c r="A793" s="1095"/>
      <c r="B793" s="1095"/>
      <c r="C793" s="1095"/>
      <c r="D793" s="1095"/>
      <c r="E793" s="1095"/>
      <c r="F793" s="1095"/>
      <c r="G793" s="1095"/>
      <c r="H793" s="1095"/>
      <c r="I793" s="1095"/>
      <c r="J793" s="1095"/>
      <c r="K793" s="1095"/>
      <c r="L793" s="1095"/>
      <c r="M793" s="1095"/>
      <c r="N793" s="1095"/>
      <c r="O793" s="1095"/>
      <c r="P793" s="1095"/>
      <c r="Q793" s="1095"/>
      <c r="R793" s="1095"/>
      <c r="S793" s="1095"/>
      <c r="T793" s="1095"/>
      <c r="U793" s="1095"/>
      <c r="V793" s="1095"/>
      <c r="W793" s="1095"/>
      <c r="X793" s="1095"/>
      <c r="Y793" s="1095"/>
      <c r="Z793" s="1095"/>
      <c r="AA793" s="1095"/>
      <c r="AB793" s="1095"/>
    </row>
    <row r="794">
      <c r="A794" s="1095"/>
      <c r="B794" s="1095"/>
      <c r="C794" s="1095"/>
      <c r="D794" s="1095"/>
      <c r="E794" s="1095"/>
      <c r="F794" s="1095"/>
      <c r="G794" s="1095"/>
      <c r="H794" s="1095"/>
      <c r="I794" s="1095"/>
      <c r="J794" s="1095"/>
      <c r="K794" s="1095"/>
      <c r="L794" s="1095"/>
      <c r="M794" s="1095"/>
      <c r="N794" s="1095"/>
      <c r="O794" s="1095"/>
      <c r="P794" s="1095"/>
      <c r="Q794" s="1095"/>
      <c r="R794" s="1095"/>
      <c r="S794" s="1095"/>
      <c r="T794" s="1095"/>
      <c r="U794" s="1095"/>
      <c r="V794" s="1095"/>
      <c r="W794" s="1095"/>
      <c r="X794" s="1095"/>
      <c r="Y794" s="1095"/>
      <c r="Z794" s="1095"/>
      <c r="AA794" s="1095"/>
      <c r="AB794" s="1095"/>
    </row>
    <row r="795">
      <c r="A795" s="1095"/>
      <c r="B795" s="1095"/>
      <c r="C795" s="1095"/>
      <c r="D795" s="1095"/>
      <c r="E795" s="1095"/>
      <c r="F795" s="1095"/>
      <c r="G795" s="1095"/>
      <c r="H795" s="1095"/>
      <c r="I795" s="1095"/>
      <c r="J795" s="1095"/>
      <c r="K795" s="1095"/>
      <c r="L795" s="1095"/>
      <c r="M795" s="1095"/>
      <c r="N795" s="1095"/>
      <c r="O795" s="1095"/>
      <c r="P795" s="1095"/>
      <c r="Q795" s="1095"/>
      <c r="R795" s="1095"/>
      <c r="S795" s="1095"/>
      <c r="T795" s="1095"/>
      <c r="U795" s="1095"/>
      <c r="V795" s="1095"/>
      <c r="W795" s="1095"/>
      <c r="X795" s="1095"/>
      <c r="Y795" s="1095"/>
      <c r="Z795" s="1095"/>
      <c r="AA795" s="1095"/>
      <c r="AB795" s="1095"/>
    </row>
    <row r="796">
      <c r="A796" s="1095"/>
      <c r="B796" s="1095"/>
      <c r="C796" s="1095"/>
      <c r="D796" s="1095"/>
      <c r="E796" s="1095"/>
      <c r="F796" s="1095"/>
      <c r="G796" s="1095"/>
      <c r="H796" s="1095"/>
      <c r="I796" s="1095"/>
      <c r="J796" s="1095"/>
      <c r="K796" s="1095"/>
      <c r="L796" s="1095"/>
      <c r="M796" s="1095"/>
      <c r="N796" s="1095"/>
      <c r="O796" s="1095"/>
      <c r="P796" s="1095"/>
      <c r="Q796" s="1095"/>
      <c r="R796" s="1095"/>
      <c r="S796" s="1095"/>
      <c r="T796" s="1095"/>
      <c r="U796" s="1095"/>
      <c r="V796" s="1095"/>
      <c r="W796" s="1095"/>
      <c r="X796" s="1095"/>
      <c r="Y796" s="1095"/>
      <c r="Z796" s="1095"/>
      <c r="AA796" s="1095"/>
      <c r="AB796" s="1095"/>
    </row>
    <row r="797">
      <c r="A797" s="1095"/>
      <c r="B797" s="1095"/>
      <c r="C797" s="1095"/>
      <c r="D797" s="1095"/>
      <c r="E797" s="1095"/>
      <c r="F797" s="1095"/>
      <c r="G797" s="1095"/>
      <c r="H797" s="1095"/>
      <c r="I797" s="1095"/>
      <c r="J797" s="1095"/>
      <c r="K797" s="1095"/>
      <c r="L797" s="1095"/>
      <c r="M797" s="1095"/>
      <c r="N797" s="1095"/>
      <c r="O797" s="1095"/>
      <c r="P797" s="1095"/>
      <c r="Q797" s="1095"/>
      <c r="R797" s="1095"/>
      <c r="S797" s="1095"/>
      <c r="T797" s="1095"/>
      <c r="U797" s="1095"/>
      <c r="V797" s="1095"/>
      <c r="W797" s="1095"/>
      <c r="X797" s="1095"/>
      <c r="Y797" s="1095"/>
      <c r="Z797" s="1095"/>
      <c r="AA797" s="1095"/>
      <c r="AB797" s="1095"/>
    </row>
    <row r="798">
      <c r="A798" s="1095"/>
      <c r="B798" s="1095"/>
      <c r="C798" s="1095"/>
      <c r="D798" s="1095"/>
      <c r="E798" s="1095"/>
      <c r="F798" s="1095"/>
      <c r="G798" s="1095"/>
      <c r="H798" s="1095"/>
      <c r="I798" s="1095"/>
      <c r="J798" s="1095"/>
      <c r="K798" s="1095"/>
      <c r="L798" s="1095"/>
      <c r="M798" s="1095"/>
      <c r="N798" s="1095"/>
      <c r="O798" s="1095"/>
      <c r="P798" s="1095"/>
      <c r="Q798" s="1095"/>
      <c r="R798" s="1095"/>
      <c r="S798" s="1095"/>
      <c r="T798" s="1095"/>
      <c r="U798" s="1095"/>
      <c r="V798" s="1095"/>
      <c r="W798" s="1095"/>
      <c r="X798" s="1095"/>
      <c r="Y798" s="1095"/>
      <c r="Z798" s="1095"/>
      <c r="AA798" s="1095"/>
      <c r="AB798" s="1095"/>
    </row>
    <row r="799">
      <c r="A799" s="1095"/>
      <c r="B799" s="1095"/>
      <c r="C799" s="1095"/>
      <c r="D799" s="1095"/>
      <c r="E799" s="1095"/>
      <c r="F799" s="1095"/>
      <c r="G799" s="1095"/>
      <c r="H799" s="1095"/>
      <c r="I799" s="1095"/>
      <c r="J799" s="1095"/>
      <c r="K799" s="1095"/>
      <c r="L799" s="1095"/>
      <c r="M799" s="1095"/>
      <c r="N799" s="1095"/>
      <c r="O799" s="1095"/>
      <c r="P799" s="1095"/>
      <c r="Q799" s="1095"/>
      <c r="R799" s="1095"/>
      <c r="S799" s="1095"/>
      <c r="T799" s="1095"/>
      <c r="U799" s="1095"/>
      <c r="V799" s="1095"/>
      <c r="W799" s="1095"/>
      <c r="X799" s="1095"/>
      <c r="Y799" s="1095"/>
      <c r="Z799" s="1095"/>
      <c r="AA799" s="1095"/>
      <c r="AB799" s="1095"/>
    </row>
    <row r="800">
      <c r="A800" s="1095"/>
      <c r="B800" s="1095"/>
      <c r="C800" s="1095"/>
      <c r="D800" s="1095"/>
      <c r="E800" s="1095"/>
      <c r="F800" s="1095"/>
      <c r="G800" s="1095"/>
      <c r="H800" s="1095"/>
      <c r="I800" s="1095"/>
      <c r="J800" s="1095"/>
      <c r="K800" s="1095"/>
      <c r="L800" s="1095"/>
      <c r="M800" s="1095"/>
      <c r="N800" s="1095"/>
      <c r="O800" s="1095"/>
      <c r="P800" s="1095"/>
      <c r="Q800" s="1095"/>
      <c r="R800" s="1095"/>
      <c r="S800" s="1095"/>
      <c r="T800" s="1095"/>
      <c r="U800" s="1095"/>
      <c r="V800" s="1095"/>
      <c r="W800" s="1095"/>
      <c r="X800" s="1095"/>
      <c r="Y800" s="1095"/>
      <c r="Z800" s="1095"/>
      <c r="AA800" s="1095"/>
      <c r="AB800" s="1095"/>
    </row>
    <row r="801">
      <c r="A801" s="1095"/>
      <c r="B801" s="1095"/>
      <c r="C801" s="1095"/>
      <c r="D801" s="1095"/>
      <c r="E801" s="1095"/>
      <c r="F801" s="1095"/>
      <c r="G801" s="1095"/>
      <c r="H801" s="1095"/>
      <c r="I801" s="1095"/>
      <c r="J801" s="1095"/>
      <c r="K801" s="1095"/>
      <c r="L801" s="1095"/>
      <c r="M801" s="1095"/>
      <c r="N801" s="1095"/>
      <c r="O801" s="1095"/>
      <c r="P801" s="1095"/>
      <c r="Q801" s="1095"/>
      <c r="R801" s="1095"/>
      <c r="S801" s="1095"/>
      <c r="T801" s="1095"/>
      <c r="U801" s="1095"/>
      <c r="V801" s="1095"/>
      <c r="W801" s="1095"/>
      <c r="X801" s="1095"/>
      <c r="Y801" s="1095"/>
      <c r="Z801" s="1095"/>
      <c r="AA801" s="1095"/>
      <c r="AB801" s="1095"/>
    </row>
    <row r="802">
      <c r="A802" s="1095"/>
      <c r="B802" s="1095"/>
      <c r="C802" s="1095"/>
      <c r="D802" s="1095"/>
      <c r="E802" s="1095"/>
      <c r="F802" s="1095"/>
      <c r="G802" s="1095"/>
      <c r="H802" s="1095"/>
      <c r="I802" s="1095"/>
      <c r="J802" s="1095"/>
      <c r="K802" s="1095"/>
      <c r="L802" s="1095"/>
      <c r="M802" s="1095"/>
      <c r="N802" s="1095"/>
      <c r="O802" s="1095"/>
      <c r="P802" s="1095"/>
      <c r="Q802" s="1095"/>
      <c r="R802" s="1095"/>
      <c r="S802" s="1095"/>
      <c r="T802" s="1095"/>
      <c r="U802" s="1095"/>
      <c r="V802" s="1095"/>
      <c r="W802" s="1095"/>
      <c r="X802" s="1095"/>
      <c r="Y802" s="1095"/>
      <c r="Z802" s="1095"/>
      <c r="AA802" s="1095"/>
      <c r="AB802" s="1095"/>
    </row>
    <row r="803">
      <c r="A803" s="1095"/>
      <c r="B803" s="1095"/>
      <c r="C803" s="1095"/>
      <c r="D803" s="1095"/>
      <c r="E803" s="1095"/>
      <c r="F803" s="1095"/>
      <c r="G803" s="1095"/>
      <c r="H803" s="1095"/>
      <c r="I803" s="1095"/>
      <c r="J803" s="1095"/>
      <c r="K803" s="1095"/>
      <c r="L803" s="1095"/>
      <c r="M803" s="1095"/>
      <c r="N803" s="1095"/>
      <c r="O803" s="1095"/>
      <c r="P803" s="1095"/>
      <c r="Q803" s="1095"/>
      <c r="R803" s="1095"/>
      <c r="S803" s="1095"/>
      <c r="T803" s="1095"/>
      <c r="U803" s="1095"/>
      <c r="V803" s="1095"/>
      <c r="W803" s="1095"/>
      <c r="X803" s="1095"/>
      <c r="Y803" s="1095"/>
      <c r="Z803" s="1095"/>
      <c r="AA803" s="1095"/>
      <c r="AB803" s="1095"/>
    </row>
    <row r="804">
      <c r="A804" s="1095"/>
      <c r="B804" s="1095"/>
      <c r="C804" s="1095"/>
      <c r="D804" s="1095"/>
      <c r="E804" s="1095"/>
      <c r="F804" s="1095"/>
      <c r="G804" s="1095"/>
      <c r="H804" s="1095"/>
      <c r="I804" s="1095"/>
      <c r="J804" s="1095"/>
      <c r="K804" s="1095"/>
      <c r="L804" s="1095"/>
      <c r="M804" s="1095"/>
      <c r="N804" s="1095"/>
      <c r="O804" s="1095"/>
      <c r="P804" s="1095"/>
      <c r="Q804" s="1095"/>
      <c r="R804" s="1095"/>
      <c r="S804" s="1095"/>
      <c r="T804" s="1095"/>
      <c r="U804" s="1095"/>
      <c r="V804" s="1095"/>
      <c r="W804" s="1095"/>
      <c r="X804" s="1095"/>
      <c r="Y804" s="1095"/>
      <c r="Z804" s="1095"/>
      <c r="AA804" s="1095"/>
      <c r="AB804" s="1095"/>
    </row>
    <row r="805">
      <c r="A805" s="1095"/>
      <c r="B805" s="1095"/>
      <c r="C805" s="1095"/>
      <c r="D805" s="1095"/>
      <c r="E805" s="1095"/>
      <c r="F805" s="1095"/>
      <c r="G805" s="1095"/>
      <c r="H805" s="1095"/>
      <c r="I805" s="1095"/>
      <c r="J805" s="1095"/>
      <c r="K805" s="1095"/>
      <c r="L805" s="1095"/>
      <c r="M805" s="1095"/>
      <c r="N805" s="1095"/>
      <c r="O805" s="1095"/>
      <c r="P805" s="1095"/>
      <c r="Q805" s="1095"/>
      <c r="R805" s="1095"/>
      <c r="S805" s="1095"/>
      <c r="T805" s="1095"/>
      <c r="U805" s="1095"/>
      <c r="V805" s="1095"/>
      <c r="W805" s="1095"/>
      <c r="X805" s="1095"/>
      <c r="Y805" s="1095"/>
      <c r="Z805" s="1095"/>
      <c r="AA805" s="1095"/>
      <c r="AB805" s="1095"/>
    </row>
    <row r="806">
      <c r="A806" s="1095"/>
      <c r="B806" s="1095"/>
      <c r="C806" s="1095"/>
      <c r="D806" s="1095"/>
      <c r="E806" s="1095"/>
      <c r="F806" s="1095"/>
      <c r="G806" s="1095"/>
      <c r="H806" s="1095"/>
      <c r="I806" s="1095"/>
      <c r="J806" s="1095"/>
      <c r="K806" s="1095"/>
      <c r="L806" s="1095"/>
      <c r="M806" s="1095"/>
      <c r="N806" s="1095"/>
      <c r="O806" s="1095"/>
      <c r="P806" s="1095"/>
      <c r="Q806" s="1095"/>
      <c r="R806" s="1095"/>
      <c r="S806" s="1095"/>
      <c r="T806" s="1095"/>
      <c r="U806" s="1095"/>
      <c r="V806" s="1095"/>
      <c r="W806" s="1095"/>
      <c r="X806" s="1095"/>
      <c r="Y806" s="1095"/>
      <c r="Z806" s="1095"/>
      <c r="AA806" s="1095"/>
      <c r="AB806" s="1095"/>
    </row>
    <row r="807">
      <c r="A807" s="1095"/>
      <c r="B807" s="1095"/>
      <c r="C807" s="1095"/>
      <c r="D807" s="1095"/>
      <c r="E807" s="1095"/>
      <c r="F807" s="1095"/>
      <c r="G807" s="1095"/>
      <c r="H807" s="1095"/>
      <c r="I807" s="1095"/>
      <c r="J807" s="1095"/>
      <c r="K807" s="1095"/>
      <c r="L807" s="1095"/>
      <c r="M807" s="1095"/>
      <c r="N807" s="1095"/>
      <c r="O807" s="1095"/>
      <c r="P807" s="1095"/>
      <c r="Q807" s="1095"/>
      <c r="R807" s="1095"/>
      <c r="S807" s="1095"/>
      <c r="T807" s="1095"/>
      <c r="U807" s="1095"/>
      <c r="V807" s="1095"/>
      <c r="W807" s="1095"/>
      <c r="X807" s="1095"/>
      <c r="Y807" s="1095"/>
      <c r="Z807" s="1095"/>
      <c r="AA807" s="1095"/>
      <c r="AB807" s="1095"/>
    </row>
    <row r="808">
      <c r="A808" s="1095"/>
      <c r="B808" s="1095"/>
      <c r="C808" s="1095"/>
      <c r="D808" s="1095"/>
      <c r="E808" s="1095"/>
      <c r="F808" s="1095"/>
      <c r="G808" s="1095"/>
      <c r="H808" s="1095"/>
      <c r="I808" s="1095"/>
      <c r="J808" s="1095"/>
      <c r="K808" s="1095"/>
      <c r="L808" s="1095"/>
      <c r="M808" s="1095"/>
      <c r="N808" s="1095"/>
      <c r="O808" s="1095"/>
      <c r="P808" s="1095"/>
      <c r="Q808" s="1095"/>
      <c r="R808" s="1095"/>
      <c r="S808" s="1095"/>
      <c r="T808" s="1095"/>
      <c r="U808" s="1095"/>
      <c r="V808" s="1095"/>
      <c r="W808" s="1095"/>
      <c r="X808" s="1095"/>
      <c r="Y808" s="1095"/>
      <c r="Z808" s="1095"/>
      <c r="AA808" s="1095"/>
      <c r="AB808" s="1095"/>
    </row>
    <row r="809">
      <c r="A809" s="1095"/>
      <c r="B809" s="1095"/>
      <c r="C809" s="1095"/>
      <c r="D809" s="1095"/>
      <c r="E809" s="1095"/>
      <c r="F809" s="1095"/>
      <c r="G809" s="1095"/>
      <c r="H809" s="1095"/>
      <c r="I809" s="1095"/>
      <c r="J809" s="1095"/>
      <c r="K809" s="1095"/>
      <c r="L809" s="1095"/>
      <c r="M809" s="1095"/>
      <c r="N809" s="1095"/>
      <c r="O809" s="1095"/>
      <c r="P809" s="1095"/>
      <c r="Q809" s="1095"/>
      <c r="R809" s="1095"/>
      <c r="S809" s="1095"/>
      <c r="T809" s="1095"/>
      <c r="U809" s="1095"/>
      <c r="V809" s="1095"/>
      <c r="W809" s="1095"/>
      <c r="X809" s="1095"/>
      <c r="Y809" s="1095"/>
      <c r="Z809" s="1095"/>
      <c r="AA809" s="1095"/>
      <c r="AB809" s="1095"/>
    </row>
    <row r="810">
      <c r="A810" s="1095"/>
      <c r="B810" s="1095"/>
      <c r="C810" s="1095"/>
      <c r="D810" s="1095"/>
      <c r="E810" s="1095"/>
      <c r="F810" s="1095"/>
      <c r="G810" s="1095"/>
      <c r="H810" s="1095"/>
      <c r="I810" s="1095"/>
      <c r="J810" s="1095"/>
      <c r="K810" s="1095"/>
      <c r="L810" s="1095"/>
      <c r="M810" s="1095"/>
      <c r="N810" s="1095"/>
      <c r="O810" s="1095"/>
      <c r="P810" s="1095"/>
      <c r="Q810" s="1095"/>
      <c r="R810" s="1095"/>
      <c r="S810" s="1095"/>
      <c r="T810" s="1095"/>
      <c r="U810" s="1095"/>
      <c r="V810" s="1095"/>
      <c r="W810" s="1095"/>
      <c r="X810" s="1095"/>
      <c r="Y810" s="1095"/>
      <c r="Z810" s="1095"/>
      <c r="AA810" s="1095"/>
      <c r="AB810" s="1095"/>
    </row>
    <row r="811">
      <c r="A811" s="1095"/>
      <c r="B811" s="1095"/>
      <c r="C811" s="1095"/>
      <c r="D811" s="1095"/>
      <c r="E811" s="1095"/>
      <c r="F811" s="1095"/>
      <c r="G811" s="1095"/>
      <c r="H811" s="1095"/>
      <c r="I811" s="1095"/>
      <c r="J811" s="1095"/>
      <c r="K811" s="1095"/>
      <c r="L811" s="1095"/>
      <c r="M811" s="1095"/>
      <c r="N811" s="1095"/>
      <c r="O811" s="1095"/>
      <c r="P811" s="1095"/>
      <c r="Q811" s="1095"/>
      <c r="R811" s="1095"/>
      <c r="S811" s="1095"/>
      <c r="T811" s="1095"/>
      <c r="U811" s="1095"/>
      <c r="V811" s="1095"/>
      <c r="W811" s="1095"/>
      <c r="X811" s="1095"/>
      <c r="Y811" s="1095"/>
      <c r="Z811" s="1095"/>
      <c r="AA811" s="1095"/>
      <c r="AB811" s="1095"/>
    </row>
    <row r="812">
      <c r="A812" s="1095"/>
      <c r="B812" s="1095"/>
      <c r="C812" s="1095"/>
      <c r="D812" s="1095"/>
      <c r="E812" s="1095"/>
      <c r="F812" s="1095"/>
      <c r="G812" s="1095"/>
      <c r="H812" s="1095"/>
      <c r="I812" s="1095"/>
      <c r="J812" s="1095"/>
      <c r="K812" s="1095"/>
      <c r="L812" s="1095"/>
      <c r="M812" s="1095"/>
      <c r="N812" s="1095"/>
      <c r="O812" s="1095"/>
      <c r="P812" s="1095"/>
      <c r="Q812" s="1095"/>
      <c r="R812" s="1095"/>
      <c r="S812" s="1095"/>
      <c r="T812" s="1095"/>
      <c r="U812" s="1095"/>
      <c r="V812" s="1095"/>
      <c r="W812" s="1095"/>
      <c r="X812" s="1095"/>
      <c r="Y812" s="1095"/>
      <c r="Z812" s="1095"/>
      <c r="AA812" s="1095"/>
      <c r="AB812" s="1095"/>
    </row>
    <row r="813">
      <c r="A813" s="1095"/>
      <c r="B813" s="1095"/>
      <c r="C813" s="1095"/>
      <c r="D813" s="1095"/>
      <c r="E813" s="1095"/>
      <c r="F813" s="1095"/>
      <c r="G813" s="1095"/>
      <c r="H813" s="1095"/>
      <c r="I813" s="1095"/>
      <c r="J813" s="1095"/>
      <c r="K813" s="1095"/>
      <c r="L813" s="1095"/>
      <c r="M813" s="1095"/>
      <c r="N813" s="1095"/>
      <c r="O813" s="1095"/>
      <c r="P813" s="1095"/>
      <c r="Q813" s="1095"/>
      <c r="R813" s="1095"/>
      <c r="S813" s="1095"/>
      <c r="T813" s="1095"/>
      <c r="U813" s="1095"/>
      <c r="V813" s="1095"/>
      <c r="W813" s="1095"/>
      <c r="X813" s="1095"/>
      <c r="Y813" s="1095"/>
      <c r="Z813" s="1095"/>
      <c r="AA813" s="1095"/>
      <c r="AB813" s="1095"/>
    </row>
    <row r="814">
      <c r="A814" s="1095"/>
      <c r="B814" s="1095"/>
      <c r="C814" s="1095"/>
      <c r="D814" s="1095"/>
      <c r="E814" s="1095"/>
      <c r="F814" s="1095"/>
      <c r="G814" s="1095"/>
      <c r="H814" s="1095"/>
      <c r="I814" s="1095"/>
      <c r="J814" s="1095"/>
      <c r="K814" s="1095"/>
      <c r="L814" s="1095"/>
      <c r="M814" s="1095"/>
      <c r="N814" s="1095"/>
      <c r="O814" s="1095"/>
      <c r="P814" s="1095"/>
      <c r="Q814" s="1095"/>
      <c r="R814" s="1095"/>
      <c r="S814" s="1095"/>
      <c r="T814" s="1095"/>
      <c r="U814" s="1095"/>
      <c r="V814" s="1095"/>
      <c r="W814" s="1095"/>
      <c r="X814" s="1095"/>
      <c r="Y814" s="1095"/>
      <c r="Z814" s="1095"/>
      <c r="AA814" s="1095"/>
      <c r="AB814" s="1095"/>
    </row>
    <row r="815">
      <c r="A815" s="1095"/>
      <c r="B815" s="1095"/>
      <c r="C815" s="1095"/>
      <c r="D815" s="1095"/>
      <c r="E815" s="1095"/>
      <c r="F815" s="1095"/>
      <c r="G815" s="1095"/>
      <c r="H815" s="1095"/>
      <c r="I815" s="1095"/>
      <c r="J815" s="1095"/>
      <c r="K815" s="1095"/>
      <c r="L815" s="1095"/>
      <c r="M815" s="1095"/>
      <c r="N815" s="1095"/>
      <c r="O815" s="1095"/>
      <c r="P815" s="1095"/>
      <c r="Q815" s="1095"/>
      <c r="R815" s="1095"/>
      <c r="S815" s="1095"/>
      <c r="T815" s="1095"/>
      <c r="U815" s="1095"/>
      <c r="V815" s="1095"/>
      <c r="W815" s="1095"/>
      <c r="X815" s="1095"/>
      <c r="Y815" s="1095"/>
      <c r="Z815" s="1095"/>
      <c r="AA815" s="1095"/>
      <c r="AB815" s="1095"/>
    </row>
    <row r="816">
      <c r="A816" s="1095"/>
      <c r="B816" s="1095"/>
      <c r="C816" s="1095"/>
      <c r="D816" s="1095"/>
      <c r="E816" s="1095"/>
      <c r="F816" s="1095"/>
      <c r="G816" s="1095"/>
      <c r="H816" s="1095"/>
      <c r="I816" s="1095"/>
      <c r="J816" s="1095"/>
      <c r="K816" s="1095"/>
      <c r="L816" s="1095"/>
      <c r="M816" s="1095"/>
      <c r="N816" s="1095"/>
      <c r="O816" s="1095"/>
      <c r="P816" s="1095"/>
      <c r="Q816" s="1095"/>
      <c r="R816" s="1095"/>
      <c r="S816" s="1095"/>
      <c r="T816" s="1095"/>
      <c r="U816" s="1095"/>
      <c r="V816" s="1095"/>
      <c r="W816" s="1095"/>
      <c r="X816" s="1095"/>
      <c r="Y816" s="1095"/>
      <c r="Z816" s="1095"/>
      <c r="AA816" s="1095"/>
      <c r="AB816" s="1095"/>
    </row>
    <row r="817">
      <c r="A817" s="1095"/>
      <c r="B817" s="1095"/>
      <c r="C817" s="1095"/>
      <c r="D817" s="1095"/>
      <c r="E817" s="1095"/>
      <c r="F817" s="1095"/>
      <c r="G817" s="1095"/>
      <c r="H817" s="1095"/>
      <c r="I817" s="1095"/>
      <c r="J817" s="1095"/>
      <c r="K817" s="1095"/>
      <c r="L817" s="1095"/>
      <c r="M817" s="1095"/>
      <c r="N817" s="1095"/>
      <c r="O817" s="1095"/>
      <c r="P817" s="1095"/>
      <c r="Q817" s="1095"/>
      <c r="R817" s="1095"/>
      <c r="S817" s="1095"/>
      <c r="T817" s="1095"/>
      <c r="U817" s="1095"/>
      <c r="V817" s="1095"/>
      <c r="W817" s="1095"/>
      <c r="X817" s="1095"/>
      <c r="Y817" s="1095"/>
      <c r="Z817" s="1095"/>
      <c r="AA817" s="1095"/>
      <c r="AB817" s="1095"/>
    </row>
    <row r="818">
      <c r="A818" s="1095"/>
      <c r="B818" s="1095"/>
      <c r="C818" s="1095"/>
      <c r="D818" s="1095"/>
      <c r="E818" s="1095"/>
      <c r="F818" s="1095"/>
      <c r="G818" s="1095"/>
      <c r="H818" s="1095"/>
      <c r="I818" s="1095"/>
      <c r="J818" s="1095"/>
      <c r="K818" s="1095"/>
      <c r="L818" s="1095"/>
      <c r="M818" s="1095"/>
      <c r="N818" s="1095"/>
      <c r="O818" s="1095"/>
      <c r="P818" s="1095"/>
      <c r="Q818" s="1095"/>
      <c r="R818" s="1095"/>
      <c r="S818" s="1095"/>
      <c r="T818" s="1095"/>
      <c r="U818" s="1095"/>
      <c r="V818" s="1095"/>
      <c r="W818" s="1095"/>
      <c r="X818" s="1095"/>
      <c r="Y818" s="1095"/>
      <c r="Z818" s="1095"/>
      <c r="AA818" s="1095"/>
      <c r="AB818" s="1095"/>
    </row>
    <row r="819">
      <c r="A819" s="1095"/>
      <c r="B819" s="1095"/>
      <c r="C819" s="1095"/>
      <c r="D819" s="1095"/>
      <c r="E819" s="1095"/>
      <c r="F819" s="1095"/>
      <c r="G819" s="1095"/>
      <c r="H819" s="1095"/>
      <c r="I819" s="1095"/>
      <c r="J819" s="1095"/>
      <c r="K819" s="1095"/>
      <c r="L819" s="1095"/>
      <c r="M819" s="1095"/>
      <c r="N819" s="1095"/>
      <c r="O819" s="1095"/>
      <c r="P819" s="1095"/>
      <c r="Q819" s="1095"/>
      <c r="R819" s="1095"/>
      <c r="S819" s="1095"/>
      <c r="T819" s="1095"/>
      <c r="U819" s="1095"/>
      <c r="V819" s="1095"/>
      <c r="W819" s="1095"/>
      <c r="X819" s="1095"/>
      <c r="Y819" s="1095"/>
      <c r="Z819" s="1095"/>
      <c r="AA819" s="1095"/>
      <c r="AB819" s="1095"/>
    </row>
    <row r="820">
      <c r="A820" s="1095"/>
      <c r="B820" s="1095"/>
      <c r="C820" s="1095"/>
      <c r="D820" s="1095"/>
      <c r="E820" s="1095"/>
      <c r="F820" s="1095"/>
      <c r="G820" s="1095"/>
      <c r="H820" s="1095"/>
      <c r="I820" s="1095"/>
      <c r="J820" s="1095"/>
      <c r="K820" s="1095"/>
      <c r="L820" s="1095"/>
      <c r="M820" s="1095"/>
      <c r="N820" s="1095"/>
      <c r="O820" s="1095"/>
      <c r="P820" s="1095"/>
      <c r="Q820" s="1095"/>
      <c r="R820" s="1095"/>
      <c r="S820" s="1095"/>
      <c r="T820" s="1095"/>
      <c r="U820" s="1095"/>
      <c r="V820" s="1095"/>
      <c r="W820" s="1095"/>
      <c r="X820" s="1095"/>
      <c r="Y820" s="1095"/>
      <c r="Z820" s="1095"/>
      <c r="AA820" s="1095"/>
      <c r="AB820" s="1095"/>
    </row>
    <row r="821">
      <c r="A821" s="1095"/>
      <c r="B821" s="1095"/>
      <c r="C821" s="1095"/>
      <c r="D821" s="1095"/>
      <c r="E821" s="1095"/>
      <c r="F821" s="1095"/>
      <c r="G821" s="1095"/>
      <c r="H821" s="1095"/>
      <c r="I821" s="1095"/>
      <c r="J821" s="1095"/>
      <c r="K821" s="1095"/>
      <c r="L821" s="1095"/>
      <c r="M821" s="1095"/>
      <c r="N821" s="1095"/>
      <c r="O821" s="1095"/>
      <c r="P821" s="1095"/>
      <c r="Q821" s="1095"/>
      <c r="R821" s="1095"/>
      <c r="S821" s="1095"/>
      <c r="T821" s="1095"/>
      <c r="U821" s="1095"/>
      <c r="V821" s="1095"/>
      <c r="W821" s="1095"/>
      <c r="X821" s="1095"/>
      <c r="Y821" s="1095"/>
      <c r="Z821" s="1095"/>
      <c r="AA821" s="1095"/>
      <c r="AB821" s="1095"/>
    </row>
    <row r="822">
      <c r="A822" s="1095"/>
      <c r="B822" s="1095"/>
      <c r="C822" s="1095"/>
      <c r="D822" s="1095"/>
      <c r="E822" s="1095"/>
      <c r="F822" s="1095"/>
      <c r="G822" s="1095"/>
      <c r="H822" s="1095"/>
      <c r="I822" s="1095"/>
      <c r="J822" s="1095"/>
      <c r="K822" s="1095"/>
      <c r="L822" s="1095"/>
      <c r="M822" s="1095"/>
      <c r="N822" s="1095"/>
      <c r="O822" s="1095"/>
      <c r="P822" s="1095"/>
      <c r="Q822" s="1095"/>
      <c r="R822" s="1095"/>
      <c r="S822" s="1095"/>
      <c r="T822" s="1095"/>
      <c r="U822" s="1095"/>
      <c r="V822" s="1095"/>
      <c r="W822" s="1095"/>
      <c r="X822" s="1095"/>
      <c r="Y822" s="1095"/>
      <c r="Z822" s="1095"/>
      <c r="AA822" s="1095"/>
      <c r="AB822" s="1095"/>
    </row>
    <row r="823">
      <c r="A823" s="1095"/>
      <c r="B823" s="1095"/>
      <c r="C823" s="1095"/>
      <c r="D823" s="1095"/>
      <c r="E823" s="1095"/>
      <c r="F823" s="1095"/>
      <c r="G823" s="1095"/>
      <c r="H823" s="1095"/>
      <c r="I823" s="1095"/>
      <c r="J823" s="1095"/>
      <c r="K823" s="1095"/>
      <c r="L823" s="1095"/>
      <c r="M823" s="1095"/>
      <c r="N823" s="1095"/>
      <c r="O823" s="1095"/>
      <c r="P823" s="1095"/>
      <c r="Q823" s="1095"/>
      <c r="R823" s="1095"/>
      <c r="S823" s="1095"/>
      <c r="T823" s="1095"/>
      <c r="U823" s="1095"/>
      <c r="V823" s="1095"/>
      <c r="W823" s="1095"/>
      <c r="X823" s="1095"/>
      <c r="Y823" s="1095"/>
      <c r="Z823" s="1095"/>
      <c r="AA823" s="1095"/>
      <c r="AB823" s="1095"/>
    </row>
    <row r="824">
      <c r="A824" s="1095"/>
      <c r="B824" s="1095"/>
      <c r="C824" s="1095"/>
      <c r="D824" s="1095"/>
      <c r="E824" s="1095"/>
      <c r="F824" s="1095"/>
      <c r="G824" s="1095"/>
      <c r="H824" s="1095"/>
      <c r="I824" s="1095"/>
      <c r="J824" s="1095"/>
      <c r="K824" s="1095"/>
      <c r="L824" s="1095"/>
      <c r="M824" s="1095"/>
      <c r="N824" s="1095"/>
      <c r="O824" s="1095"/>
      <c r="P824" s="1095"/>
      <c r="Q824" s="1095"/>
      <c r="R824" s="1095"/>
      <c r="S824" s="1095"/>
      <c r="T824" s="1095"/>
      <c r="U824" s="1095"/>
      <c r="V824" s="1095"/>
      <c r="W824" s="1095"/>
      <c r="X824" s="1095"/>
      <c r="Y824" s="1095"/>
      <c r="Z824" s="1095"/>
      <c r="AA824" s="1095"/>
      <c r="AB824" s="1095"/>
    </row>
    <row r="825">
      <c r="A825" s="1095"/>
      <c r="B825" s="1095"/>
      <c r="C825" s="1095"/>
      <c r="D825" s="1095"/>
      <c r="E825" s="1095"/>
      <c r="F825" s="1095"/>
      <c r="G825" s="1095"/>
      <c r="H825" s="1095"/>
      <c r="I825" s="1095"/>
      <c r="J825" s="1095"/>
      <c r="K825" s="1095"/>
      <c r="L825" s="1095"/>
      <c r="M825" s="1095"/>
      <c r="N825" s="1095"/>
      <c r="O825" s="1095"/>
      <c r="P825" s="1095"/>
      <c r="Q825" s="1095"/>
      <c r="R825" s="1095"/>
      <c r="S825" s="1095"/>
      <c r="T825" s="1095"/>
      <c r="U825" s="1095"/>
      <c r="V825" s="1095"/>
      <c r="W825" s="1095"/>
      <c r="X825" s="1095"/>
      <c r="Y825" s="1095"/>
      <c r="Z825" s="1095"/>
      <c r="AA825" s="1095"/>
      <c r="AB825" s="1095"/>
    </row>
    <row r="826">
      <c r="A826" s="1095"/>
      <c r="B826" s="1095"/>
      <c r="C826" s="1095"/>
      <c r="D826" s="1095"/>
      <c r="E826" s="1095"/>
      <c r="F826" s="1095"/>
      <c r="G826" s="1095"/>
      <c r="H826" s="1095"/>
      <c r="I826" s="1095"/>
      <c r="J826" s="1095"/>
      <c r="K826" s="1095"/>
      <c r="L826" s="1095"/>
      <c r="M826" s="1095"/>
      <c r="N826" s="1095"/>
      <c r="O826" s="1095"/>
      <c r="P826" s="1095"/>
      <c r="Q826" s="1095"/>
      <c r="R826" s="1095"/>
      <c r="S826" s="1095"/>
      <c r="T826" s="1095"/>
      <c r="U826" s="1095"/>
      <c r="V826" s="1095"/>
      <c r="W826" s="1095"/>
      <c r="X826" s="1095"/>
      <c r="Y826" s="1095"/>
      <c r="Z826" s="1095"/>
      <c r="AA826" s="1095"/>
      <c r="AB826" s="1095"/>
    </row>
    <row r="827">
      <c r="A827" s="1095"/>
      <c r="B827" s="1095"/>
      <c r="C827" s="1095"/>
      <c r="D827" s="1095"/>
      <c r="E827" s="1095"/>
      <c r="F827" s="1095"/>
      <c r="G827" s="1095"/>
      <c r="H827" s="1095"/>
      <c r="I827" s="1095"/>
      <c r="J827" s="1095"/>
      <c r="K827" s="1095"/>
      <c r="L827" s="1095"/>
      <c r="M827" s="1095"/>
      <c r="N827" s="1095"/>
      <c r="O827" s="1095"/>
      <c r="P827" s="1095"/>
      <c r="Q827" s="1095"/>
      <c r="R827" s="1095"/>
      <c r="S827" s="1095"/>
      <c r="T827" s="1095"/>
      <c r="U827" s="1095"/>
      <c r="V827" s="1095"/>
      <c r="W827" s="1095"/>
      <c r="X827" s="1095"/>
      <c r="Y827" s="1095"/>
      <c r="Z827" s="1095"/>
      <c r="AA827" s="1095"/>
      <c r="AB827" s="1095"/>
    </row>
    <row r="828">
      <c r="A828" s="1095"/>
      <c r="B828" s="1095"/>
      <c r="C828" s="1095"/>
      <c r="D828" s="1095"/>
      <c r="E828" s="1095"/>
      <c r="F828" s="1095"/>
      <c r="G828" s="1095"/>
      <c r="H828" s="1095"/>
      <c r="I828" s="1095"/>
      <c r="J828" s="1095"/>
      <c r="K828" s="1095"/>
      <c r="L828" s="1095"/>
      <c r="M828" s="1095"/>
      <c r="N828" s="1095"/>
      <c r="O828" s="1095"/>
      <c r="P828" s="1095"/>
      <c r="Q828" s="1095"/>
      <c r="R828" s="1095"/>
      <c r="S828" s="1095"/>
      <c r="T828" s="1095"/>
      <c r="U828" s="1095"/>
      <c r="V828" s="1095"/>
      <c r="W828" s="1095"/>
      <c r="X828" s="1095"/>
      <c r="Y828" s="1095"/>
      <c r="Z828" s="1095"/>
      <c r="AA828" s="1095"/>
      <c r="AB828" s="1095"/>
    </row>
    <row r="829">
      <c r="A829" s="1095"/>
      <c r="B829" s="1095"/>
      <c r="C829" s="1095"/>
      <c r="D829" s="1095"/>
      <c r="E829" s="1095"/>
      <c r="F829" s="1095"/>
      <c r="G829" s="1095"/>
      <c r="H829" s="1095"/>
      <c r="I829" s="1095"/>
      <c r="J829" s="1095"/>
      <c r="K829" s="1095"/>
      <c r="L829" s="1095"/>
      <c r="M829" s="1095"/>
      <c r="N829" s="1095"/>
      <c r="O829" s="1095"/>
      <c r="P829" s="1095"/>
      <c r="Q829" s="1095"/>
      <c r="R829" s="1095"/>
      <c r="S829" s="1095"/>
      <c r="T829" s="1095"/>
      <c r="U829" s="1095"/>
      <c r="V829" s="1095"/>
      <c r="W829" s="1095"/>
      <c r="X829" s="1095"/>
      <c r="Y829" s="1095"/>
      <c r="Z829" s="1095"/>
      <c r="AA829" s="1095"/>
      <c r="AB829" s="1095"/>
    </row>
    <row r="830">
      <c r="A830" s="1095"/>
      <c r="B830" s="1095"/>
      <c r="C830" s="1095"/>
      <c r="D830" s="1095"/>
      <c r="E830" s="1095"/>
      <c r="F830" s="1095"/>
      <c r="G830" s="1095"/>
      <c r="H830" s="1095"/>
      <c r="I830" s="1095"/>
      <c r="J830" s="1095"/>
      <c r="K830" s="1095"/>
      <c r="L830" s="1095"/>
      <c r="M830" s="1095"/>
      <c r="N830" s="1095"/>
      <c r="O830" s="1095"/>
      <c r="P830" s="1095"/>
      <c r="Q830" s="1095"/>
      <c r="R830" s="1095"/>
      <c r="S830" s="1095"/>
      <c r="T830" s="1095"/>
      <c r="U830" s="1095"/>
      <c r="V830" s="1095"/>
      <c r="W830" s="1095"/>
      <c r="X830" s="1095"/>
      <c r="Y830" s="1095"/>
      <c r="Z830" s="1095"/>
      <c r="AA830" s="1095"/>
      <c r="AB830" s="1095"/>
    </row>
    <row r="831">
      <c r="A831" s="1095"/>
      <c r="B831" s="1095"/>
      <c r="C831" s="1095"/>
      <c r="D831" s="1095"/>
      <c r="E831" s="1095"/>
      <c r="F831" s="1095"/>
      <c r="G831" s="1095"/>
      <c r="H831" s="1095"/>
      <c r="I831" s="1095"/>
      <c r="J831" s="1095"/>
      <c r="K831" s="1095"/>
      <c r="L831" s="1095"/>
      <c r="M831" s="1095"/>
      <c r="N831" s="1095"/>
      <c r="O831" s="1095"/>
      <c r="P831" s="1095"/>
      <c r="Q831" s="1095"/>
      <c r="R831" s="1095"/>
      <c r="S831" s="1095"/>
      <c r="T831" s="1095"/>
      <c r="U831" s="1095"/>
      <c r="V831" s="1095"/>
      <c r="W831" s="1095"/>
      <c r="X831" s="1095"/>
      <c r="Y831" s="1095"/>
      <c r="Z831" s="1095"/>
      <c r="AA831" s="1095"/>
      <c r="AB831" s="1095"/>
    </row>
    <row r="832">
      <c r="A832" s="1095"/>
      <c r="B832" s="1095"/>
      <c r="C832" s="1095"/>
      <c r="D832" s="1095"/>
      <c r="E832" s="1095"/>
      <c r="F832" s="1095"/>
      <c r="G832" s="1095"/>
      <c r="H832" s="1095"/>
      <c r="I832" s="1095"/>
      <c r="J832" s="1095"/>
      <c r="K832" s="1095"/>
      <c r="L832" s="1095"/>
      <c r="M832" s="1095"/>
      <c r="N832" s="1095"/>
      <c r="O832" s="1095"/>
      <c r="P832" s="1095"/>
      <c r="Q832" s="1095"/>
      <c r="R832" s="1095"/>
      <c r="S832" s="1095"/>
      <c r="T832" s="1095"/>
      <c r="U832" s="1095"/>
      <c r="V832" s="1095"/>
      <c r="W832" s="1095"/>
      <c r="X832" s="1095"/>
      <c r="Y832" s="1095"/>
      <c r="Z832" s="1095"/>
      <c r="AA832" s="1095"/>
      <c r="AB832" s="1095"/>
    </row>
    <row r="833">
      <c r="A833" s="1095"/>
      <c r="B833" s="1095"/>
      <c r="C833" s="1095"/>
      <c r="D833" s="1095"/>
      <c r="E833" s="1095"/>
      <c r="F833" s="1095"/>
      <c r="G833" s="1095"/>
      <c r="H833" s="1095"/>
      <c r="I833" s="1095"/>
      <c r="J833" s="1095"/>
      <c r="K833" s="1095"/>
      <c r="L833" s="1095"/>
      <c r="M833" s="1095"/>
      <c r="N833" s="1095"/>
      <c r="O833" s="1095"/>
      <c r="P833" s="1095"/>
      <c r="Q833" s="1095"/>
      <c r="R833" s="1095"/>
      <c r="S833" s="1095"/>
      <c r="T833" s="1095"/>
      <c r="U833" s="1095"/>
      <c r="V833" s="1095"/>
      <c r="W833" s="1095"/>
      <c r="X833" s="1095"/>
      <c r="Y833" s="1095"/>
      <c r="Z833" s="1095"/>
      <c r="AA833" s="1095"/>
      <c r="AB833" s="1095"/>
    </row>
    <row r="834">
      <c r="A834" s="1095"/>
      <c r="B834" s="1095"/>
      <c r="C834" s="1095"/>
      <c r="D834" s="1095"/>
      <c r="E834" s="1095"/>
      <c r="F834" s="1095"/>
      <c r="G834" s="1095"/>
      <c r="H834" s="1095"/>
      <c r="I834" s="1095"/>
      <c r="J834" s="1095"/>
      <c r="K834" s="1095"/>
      <c r="L834" s="1095"/>
      <c r="M834" s="1095"/>
      <c r="N834" s="1095"/>
      <c r="O834" s="1095"/>
      <c r="P834" s="1095"/>
      <c r="Q834" s="1095"/>
      <c r="R834" s="1095"/>
      <c r="S834" s="1095"/>
      <c r="T834" s="1095"/>
      <c r="U834" s="1095"/>
      <c r="V834" s="1095"/>
      <c r="W834" s="1095"/>
      <c r="X834" s="1095"/>
      <c r="Y834" s="1095"/>
      <c r="Z834" s="1095"/>
      <c r="AA834" s="1095"/>
      <c r="AB834" s="1095"/>
    </row>
    <row r="835">
      <c r="A835" s="1095"/>
      <c r="B835" s="1095"/>
      <c r="C835" s="1095"/>
      <c r="D835" s="1095"/>
      <c r="E835" s="1095"/>
      <c r="F835" s="1095"/>
      <c r="G835" s="1095"/>
      <c r="H835" s="1095"/>
      <c r="I835" s="1095"/>
      <c r="J835" s="1095"/>
      <c r="K835" s="1095"/>
      <c r="L835" s="1095"/>
      <c r="M835" s="1095"/>
      <c r="N835" s="1095"/>
      <c r="O835" s="1095"/>
      <c r="P835" s="1095"/>
      <c r="Q835" s="1095"/>
      <c r="R835" s="1095"/>
      <c r="S835" s="1095"/>
      <c r="T835" s="1095"/>
      <c r="U835" s="1095"/>
      <c r="V835" s="1095"/>
      <c r="W835" s="1095"/>
      <c r="X835" s="1095"/>
      <c r="Y835" s="1095"/>
      <c r="Z835" s="1095"/>
      <c r="AA835" s="1095"/>
      <c r="AB835" s="1095"/>
    </row>
    <row r="836">
      <c r="A836" s="1095"/>
      <c r="B836" s="1095"/>
      <c r="C836" s="1095"/>
      <c r="D836" s="1095"/>
      <c r="E836" s="1095"/>
      <c r="F836" s="1095"/>
      <c r="G836" s="1095"/>
      <c r="H836" s="1095"/>
      <c r="I836" s="1095"/>
      <c r="J836" s="1095"/>
      <c r="K836" s="1095"/>
      <c r="L836" s="1095"/>
      <c r="M836" s="1095"/>
      <c r="N836" s="1095"/>
      <c r="O836" s="1095"/>
      <c r="P836" s="1095"/>
      <c r="Q836" s="1095"/>
      <c r="R836" s="1095"/>
      <c r="S836" s="1095"/>
      <c r="T836" s="1095"/>
      <c r="U836" s="1095"/>
      <c r="V836" s="1095"/>
      <c r="W836" s="1095"/>
      <c r="X836" s="1095"/>
      <c r="Y836" s="1095"/>
      <c r="Z836" s="1095"/>
      <c r="AA836" s="1095"/>
      <c r="AB836" s="1095"/>
    </row>
    <row r="837">
      <c r="A837" s="1095"/>
      <c r="B837" s="1095"/>
      <c r="C837" s="1095"/>
      <c r="D837" s="1095"/>
      <c r="E837" s="1095"/>
      <c r="F837" s="1095"/>
      <c r="G837" s="1095"/>
      <c r="H837" s="1095"/>
      <c r="I837" s="1095"/>
      <c r="J837" s="1095"/>
      <c r="K837" s="1095"/>
      <c r="L837" s="1095"/>
      <c r="M837" s="1095"/>
      <c r="N837" s="1095"/>
      <c r="O837" s="1095"/>
      <c r="P837" s="1095"/>
      <c r="Q837" s="1095"/>
      <c r="R837" s="1095"/>
      <c r="S837" s="1095"/>
      <c r="T837" s="1095"/>
      <c r="U837" s="1095"/>
      <c r="V837" s="1095"/>
      <c r="W837" s="1095"/>
      <c r="X837" s="1095"/>
      <c r="Y837" s="1095"/>
      <c r="Z837" s="1095"/>
      <c r="AA837" s="1095"/>
      <c r="AB837" s="1095"/>
    </row>
    <row r="838">
      <c r="A838" s="1095"/>
      <c r="B838" s="1095"/>
      <c r="C838" s="1095"/>
      <c r="D838" s="1095"/>
      <c r="E838" s="1095"/>
      <c r="F838" s="1095"/>
      <c r="G838" s="1095"/>
      <c r="H838" s="1095"/>
      <c r="I838" s="1095"/>
      <c r="J838" s="1095"/>
      <c r="K838" s="1095"/>
      <c r="L838" s="1095"/>
      <c r="M838" s="1095"/>
      <c r="N838" s="1095"/>
      <c r="O838" s="1095"/>
      <c r="P838" s="1095"/>
      <c r="Q838" s="1095"/>
      <c r="R838" s="1095"/>
      <c r="S838" s="1095"/>
      <c r="T838" s="1095"/>
      <c r="U838" s="1095"/>
      <c r="V838" s="1095"/>
      <c r="W838" s="1095"/>
      <c r="X838" s="1095"/>
      <c r="Y838" s="1095"/>
      <c r="Z838" s="1095"/>
      <c r="AA838" s="1095"/>
      <c r="AB838" s="1095"/>
    </row>
    <row r="839">
      <c r="A839" s="1095"/>
      <c r="B839" s="1095"/>
      <c r="C839" s="1095"/>
      <c r="D839" s="1095"/>
      <c r="E839" s="1095"/>
      <c r="F839" s="1095"/>
      <c r="G839" s="1095"/>
      <c r="H839" s="1095"/>
      <c r="I839" s="1095"/>
      <c r="J839" s="1095"/>
      <c r="K839" s="1095"/>
      <c r="L839" s="1095"/>
      <c r="M839" s="1095"/>
      <c r="N839" s="1095"/>
      <c r="O839" s="1095"/>
      <c r="P839" s="1095"/>
      <c r="Q839" s="1095"/>
      <c r="R839" s="1095"/>
      <c r="S839" s="1095"/>
      <c r="T839" s="1095"/>
      <c r="U839" s="1095"/>
      <c r="V839" s="1095"/>
      <c r="W839" s="1095"/>
      <c r="X839" s="1095"/>
      <c r="Y839" s="1095"/>
      <c r="Z839" s="1095"/>
      <c r="AA839" s="1095"/>
      <c r="AB839" s="1095"/>
    </row>
    <row r="840">
      <c r="A840" s="1095"/>
      <c r="B840" s="1095"/>
      <c r="C840" s="1095"/>
      <c r="D840" s="1095"/>
      <c r="E840" s="1095"/>
      <c r="F840" s="1095"/>
      <c r="G840" s="1095"/>
      <c r="H840" s="1095"/>
      <c r="I840" s="1095"/>
      <c r="J840" s="1095"/>
      <c r="K840" s="1095"/>
      <c r="L840" s="1095"/>
      <c r="M840" s="1095"/>
      <c r="N840" s="1095"/>
      <c r="O840" s="1095"/>
      <c r="P840" s="1095"/>
      <c r="Q840" s="1095"/>
      <c r="R840" s="1095"/>
      <c r="S840" s="1095"/>
      <c r="T840" s="1095"/>
      <c r="U840" s="1095"/>
      <c r="V840" s="1095"/>
      <c r="W840" s="1095"/>
      <c r="X840" s="1095"/>
      <c r="Y840" s="1095"/>
      <c r="Z840" s="1095"/>
      <c r="AA840" s="1095"/>
      <c r="AB840" s="1095"/>
    </row>
    <row r="841">
      <c r="A841" s="1095"/>
      <c r="B841" s="1095"/>
      <c r="C841" s="1095"/>
      <c r="D841" s="1095"/>
      <c r="E841" s="1095"/>
      <c r="F841" s="1095"/>
      <c r="G841" s="1095"/>
      <c r="H841" s="1095"/>
      <c r="I841" s="1095"/>
      <c r="J841" s="1095"/>
      <c r="K841" s="1095"/>
      <c r="L841" s="1095"/>
      <c r="M841" s="1095"/>
      <c r="N841" s="1095"/>
      <c r="O841" s="1095"/>
      <c r="P841" s="1095"/>
      <c r="Q841" s="1095"/>
      <c r="R841" s="1095"/>
      <c r="S841" s="1095"/>
      <c r="T841" s="1095"/>
      <c r="U841" s="1095"/>
      <c r="V841" s="1095"/>
      <c r="W841" s="1095"/>
      <c r="X841" s="1095"/>
      <c r="Y841" s="1095"/>
      <c r="Z841" s="1095"/>
      <c r="AA841" s="1095"/>
      <c r="AB841" s="1095"/>
    </row>
    <row r="842">
      <c r="A842" s="1095"/>
      <c r="B842" s="1095"/>
      <c r="C842" s="1095"/>
      <c r="D842" s="1095"/>
      <c r="E842" s="1095"/>
      <c r="F842" s="1095"/>
      <c r="G842" s="1095"/>
      <c r="H842" s="1095"/>
      <c r="I842" s="1095"/>
      <c r="J842" s="1095"/>
      <c r="K842" s="1095"/>
      <c r="L842" s="1095"/>
      <c r="M842" s="1095"/>
      <c r="N842" s="1095"/>
      <c r="O842" s="1095"/>
      <c r="P842" s="1095"/>
      <c r="Q842" s="1095"/>
      <c r="R842" s="1095"/>
      <c r="S842" s="1095"/>
      <c r="T842" s="1095"/>
      <c r="U842" s="1095"/>
      <c r="V842" s="1095"/>
      <c r="W842" s="1095"/>
      <c r="X842" s="1095"/>
      <c r="Y842" s="1095"/>
      <c r="Z842" s="1095"/>
      <c r="AA842" s="1095"/>
      <c r="AB842" s="1095"/>
    </row>
    <row r="843">
      <c r="A843" s="1095"/>
      <c r="B843" s="1095"/>
      <c r="C843" s="1095"/>
      <c r="D843" s="1095"/>
      <c r="E843" s="1095"/>
      <c r="F843" s="1095"/>
      <c r="G843" s="1095"/>
      <c r="H843" s="1095"/>
      <c r="I843" s="1095"/>
      <c r="J843" s="1095"/>
      <c r="K843" s="1095"/>
      <c r="L843" s="1095"/>
      <c r="M843" s="1095"/>
      <c r="N843" s="1095"/>
      <c r="O843" s="1095"/>
      <c r="P843" s="1095"/>
      <c r="Q843" s="1095"/>
      <c r="R843" s="1095"/>
      <c r="S843" s="1095"/>
      <c r="T843" s="1095"/>
      <c r="U843" s="1095"/>
      <c r="V843" s="1095"/>
      <c r="W843" s="1095"/>
      <c r="X843" s="1095"/>
      <c r="Y843" s="1095"/>
      <c r="Z843" s="1095"/>
      <c r="AA843" s="1095"/>
      <c r="AB843" s="1095"/>
    </row>
    <row r="844">
      <c r="A844" s="1095"/>
      <c r="B844" s="1095"/>
      <c r="C844" s="1095"/>
      <c r="D844" s="1095"/>
      <c r="E844" s="1095"/>
      <c r="F844" s="1095"/>
      <c r="G844" s="1095"/>
      <c r="H844" s="1095"/>
      <c r="I844" s="1095"/>
      <c r="J844" s="1095"/>
      <c r="K844" s="1095"/>
      <c r="L844" s="1095"/>
      <c r="M844" s="1095"/>
      <c r="N844" s="1095"/>
      <c r="O844" s="1095"/>
      <c r="P844" s="1095"/>
      <c r="Q844" s="1095"/>
      <c r="R844" s="1095"/>
      <c r="S844" s="1095"/>
      <c r="T844" s="1095"/>
      <c r="U844" s="1095"/>
      <c r="V844" s="1095"/>
      <c r="W844" s="1095"/>
      <c r="X844" s="1095"/>
      <c r="Y844" s="1095"/>
      <c r="Z844" s="1095"/>
      <c r="AA844" s="1095"/>
      <c r="AB844" s="1095"/>
    </row>
    <row r="845">
      <c r="A845" s="1095"/>
      <c r="B845" s="1095"/>
      <c r="C845" s="1095"/>
      <c r="D845" s="1095"/>
      <c r="E845" s="1095"/>
      <c r="F845" s="1095"/>
      <c r="G845" s="1095"/>
      <c r="H845" s="1095"/>
      <c r="I845" s="1095"/>
      <c r="J845" s="1095"/>
      <c r="K845" s="1095"/>
      <c r="L845" s="1095"/>
      <c r="M845" s="1095"/>
      <c r="N845" s="1095"/>
      <c r="O845" s="1095"/>
      <c r="P845" s="1095"/>
      <c r="Q845" s="1095"/>
      <c r="R845" s="1095"/>
      <c r="S845" s="1095"/>
      <c r="T845" s="1095"/>
      <c r="U845" s="1095"/>
      <c r="V845" s="1095"/>
      <c r="W845" s="1095"/>
      <c r="X845" s="1095"/>
      <c r="Y845" s="1095"/>
      <c r="Z845" s="1095"/>
      <c r="AA845" s="1095"/>
      <c r="AB845" s="1095"/>
    </row>
    <row r="846">
      <c r="A846" s="1095"/>
      <c r="B846" s="1095"/>
      <c r="C846" s="1095"/>
      <c r="D846" s="1095"/>
      <c r="E846" s="1095"/>
      <c r="F846" s="1095"/>
      <c r="G846" s="1095"/>
      <c r="H846" s="1095"/>
      <c r="I846" s="1095"/>
      <c r="J846" s="1095"/>
      <c r="K846" s="1095"/>
      <c r="L846" s="1095"/>
      <c r="M846" s="1095"/>
      <c r="N846" s="1095"/>
      <c r="O846" s="1095"/>
      <c r="P846" s="1095"/>
      <c r="Q846" s="1095"/>
      <c r="R846" s="1095"/>
      <c r="S846" s="1095"/>
      <c r="T846" s="1095"/>
      <c r="U846" s="1095"/>
      <c r="V846" s="1095"/>
      <c r="W846" s="1095"/>
      <c r="X846" s="1095"/>
      <c r="Y846" s="1095"/>
      <c r="Z846" s="1095"/>
      <c r="AA846" s="1095"/>
      <c r="AB846" s="1095"/>
    </row>
    <row r="847">
      <c r="A847" s="1095"/>
      <c r="B847" s="1095"/>
      <c r="C847" s="1095"/>
      <c r="D847" s="1095"/>
      <c r="E847" s="1095"/>
      <c r="F847" s="1095"/>
      <c r="G847" s="1095"/>
      <c r="H847" s="1095"/>
      <c r="I847" s="1095"/>
      <c r="J847" s="1095"/>
      <c r="K847" s="1095"/>
      <c r="L847" s="1095"/>
      <c r="M847" s="1095"/>
      <c r="N847" s="1095"/>
      <c r="O847" s="1095"/>
      <c r="P847" s="1095"/>
      <c r="Q847" s="1095"/>
      <c r="R847" s="1095"/>
      <c r="S847" s="1095"/>
      <c r="T847" s="1095"/>
      <c r="U847" s="1095"/>
      <c r="V847" s="1095"/>
      <c r="W847" s="1095"/>
      <c r="X847" s="1095"/>
      <c r="Y847" s="1095"/>
      <c r="Z847" s="1095"/>
      <c r="AA847" s="1095"/>
      <c r="AB847" s="1095"/>
    </row>
    <row r="848">
      <c r="A848" s="1095"/>
      <c r="B848" s="1095"/>
      <c r="C848" s="1095"/>
      <c r="D848" s="1095"/>
      <c r="E848" s="1095"/>
      <c r="F848" s="1095"/>
      <c r="G848" s="1095"/>
      <c r="H848" s="1095"/>
      <c r="I848" s="1095"/>
      <c r="J848" s="1095"/>
      <c r="K848" s="1095"/>
      <c r="L848" s="1095"/>
      <c r="M848" s="1095"/>
      <c r="N848" s="1095"/>
      <c r="O848" s="1095"/>
      <c r="P848" s="1095"/>
      <c r="Q848" s="1095"/>
      <c r="R848" s="1095"/>
      <c r="S848" s="1095"/>
      <c r="T848" s="1095"/>
      <c r="U848" s="1095"/>
      <c r="V848" s="1095"/>
      <c r="W848" s="1095"/>
      <c r="X848" s="1095"/>
      <c r="Y848" s="1095"/>
      <c r="Z848" s="1095"/>
      <c r="AA848" s="1095"/>
      <c r="AB848" s="1095"/>
    </row>
    <row r="849">
      <c r="A849" s="1095"/>
      <c r="B849" s="1095"/>
      <c r="C849" s="1095"/>
      <c r="D849" s="1095"/>
      <c r="E849" s="1095"/>
      <c r="F849" s="1095"/>
      <c r="G849" s="1095"/>
      <c r="H849" s="1095"/>
      <c r="I849" s="1095"/>
      <c r="J849" s="1095"/>
      <c r="K849" s="1095"/>
      <c r="L849" s="1095"/>
      <c r="M849" s="1095"/>
      <c r="N849" s="1095"/>
      <c r="O849" s="1095"/>
      <c r="P849" s="1095"/>
      <c r="Q849" s="1095"/>
      <c r="R849" s="1095"/>
      <c r="S849" s="1095"/>
      <c r="T849" s="1095"/>
      <c r="U849" s="1095"/>
      <c r="V849" s="1095"/>
      <c r="W849" s="1095"/>
      <c r="X849" s="1095"/>
      <c r="Y849" s="1095"/>
      <c r="Z849" s="1095"/>
      <c r="AA849" s="1095"/>
      <c r="AB849" s="1095"/>
    </row>
    <row r="850">
      <c r="A850" s="1095"/>
      <c r="B850" s="1095"/>
      <c r="C850" s="1095"/>
      <c r="D850" s="1095"/>
      <c r="E850" s="1095"/>
      <c r="F850" s="1095"/>
      <c r="G850" s="1095"/>
      <c r="H850" s="1095"/>
      <c r="I850" s="1095"/>
      <c r="J850" s="1095"/>
      <c r="K850" s="1095"/>
      <c r="L850" s="1095"/>
      <c r="M850" s="1095"/>
      <c r="N850" s="1095"/>
      <c r="O850" s="1095"/>
      <c r="P850" s="1095"/>
      <c r="Q850" s="1095"/>
      <c r="R850" s="1095"/>
      <c r="S850" s="1095"/>
      <c r="T850" s="1095"/>
      <c r="U850" s="1095"/>
      <c r="V850" s="1095"/>
      <c r="W850" s="1095"/>
      <c r="X850" s="1095"/>
      <c r="Y850" s="1095"/>
      <c r="Z850" s="1095"/>
      <c r="AA850" s="1095"/>
      <c r="AB850" s="1095"/>
    </row>
    <row r="851">
      <c r="A851" s="1095"/>
      <c r="B851" s="1095"/>
      <c r="C851" s="1095"/>
      <c r="D851" s="1095"/>
      <c r="E851" s="1095"/>
      <c r="F851" s="1095"/>
      <c r="G851" s="1095"/>
      <c r="H851" s="1095"/>
      <c r="I851" s="1095"/>
      <c r="J851" s="1095"/>
      <c r="K851" s="1095"/>
      <c r="L851" s="1095"/>
      <c r="M851" s="1095"/>
      <c r="N851" s="1095"/>
      <c r="O851" s="1095"/>
      <c r="P851" s="1095"/>
      <c r="Q851" s="1095"/>
      <c r="R851" s="1095"/>
      <c r="S851" s="1095"/>
      <c r="T851" s="1095"/>
      <c r="U851" s="1095"/>
      <c r="V851" s="1095"/>
      <c r="W851" s="1095"/>
      <c r="X851" s="1095"/>
      <c r="Y851" s="1095"/>
      <c r="Z851" s="1095"/>
      <c r="AA851" s="1095"/>
      <c r="AB851" s="1095"/>
    </row>
    <row r="852">
      <c r="A852" s="1095"/>
      <c r="B852" s="1095"/>
      <c r="C852" s="1095"/>
      <c r="D852" s="1095"/>
      <c r="E852" s="1095"/>
      <c r="F852" s="1095"/>
      <c r="G852" s="1095"/>
      <c r="H852" s="1095"/>
      <c r="I852" s="1095"/>
      <c r="J852" s="1095"/>
      <c r="K852" s="1095"/>
      <c r="L852" s="1095"/>
      <c r="M852" s="1095"/>
      <c r="N852" s="1095"/>
      <c r="O852" s="1095"/>
      <c r="P852" s="1095"/>
      <c r="Q852" s="1095"/>
      <c r="R852" s="1095"/>
      <c r="S852" s="1095"/>
      <c r="T852" s="1095"/>
      <c r="U852" s="1095"/>
      <c r="V852" s="1095"/>
      <c r="W852" s="1095"/>
      <c r="X852" s="1095"/>
      <c r="Y852" s="1095"/>
      <c r="Z852" s="1095"/>
      <c r="AA852" s="1095"/>
      <c r="AB852" s="1095"/>
    </row>
    <row r="853">
      <c r="A853" s="1095"/>
      <c r="B853" s="1095"/>
      <c r="C853" s="1095"/>
      <c r="D853" s="1095"/>
      <c r="E853" s="1095"/>
      <c r="F853" s="1095"/>
      <c r="G853" s="1095"/>
      <c r="H853" s="1095"/>
      <c r="I853" s="1095"/>
      <c r="J853" s="1095"/>
      <c r="K853" s="1095"/>
      <c r="L853" s="1095"/>
      <c r="M853" s="1095"/>
      <c r="N853" s="1095"/>
      <c r="O853" s="1095"/>
      <c r="P853" s="1095"/>
      <c r="Q853" s="1095"/>
      <c r="R853" s="1095"/>
      <c r="S853" s="1095"/>
      <c r="T853" s="1095"/>
      <c r="U853" s="1095"/>
      <c r="V853" s="1095"/>
      <c r="W853" s="1095"/>
      <c r="X853" s="1095"/>
      <c r="Y853" s="1095"/>
      <c r="Z853" s="1095"/>
      <c r="AA853" s="1095"/>
      <c r="AB853" s="1095"/>
    </row>
    <row r="854">
      <c r="A854" s="1095"/>
      <c r="B854" s="1095"/>
      <c r="C854" s="1095"/>
      <c r="D854" s="1095"/>
      <c r="E854" s="1095"/>
      <c r="F854" s="1095"/>
      <c r="G854" s="1095"/>
      <c r="H854" s="1095"/>
      <c r="I854" s="1095"/>
      <c r="J854" s="1095"/>
      <c r="K854" s="1095"/>
      <c r="L854" s="1095"/>
      <c r="M854" s="1095"/>
      <c r="N854" s="1095"/>
      <c r="O854" s="1095"/>
      <c r="P854" s="1095"/>
      <c r="Q854" s="1095"/>
      <c r="R854" s="1095"/>
      <c r="S854" s="1095"/>
      <c r="T854" s="1095"/>
      <c r="U854" s="1095"/>
      <c r="V854" s="1095"/>
      <c r="W854" s="1095"/>
      <c r="X854" s="1095"/>
      <c r="Y854" s="1095"/>
      <c r="Z854" s="1095"/>
      <c r="AA854" s="1095"/>
      <c r="AB854" s="1095"/>
    </row>
    <row r="855">
      <c r="A855" s="1095"/>
      <c r="B855" s="1095"/>
      <c r="C855" s="1095"/>
      <c r="D855" s="1095"/>
      <c r="E855" s="1095"/>
      <c r="F855" s="1095"/>
      <c r="G855" s="1095"/>
      <c r="H855" s="1095"/>
      <c r="I855" s="1095"/>
      <c r="J855" s="1095"/>
      <c r="K855" s="1095"/>
      <c r="L855" s="1095"/>
      <c r="M855" s="1095"/>
      <c r="N855" s="1095"/>
      <c r="O855" s="1095"/>
      <c r="P855" s="1095"/>
      <c r="Q855" s="1095"/>
      <c r="R855" s="1095"/>
      <c r="S855" s="1095"/>
      <c r="T855" s="1095"/>
      <c r="U855" s="1095"/>
      <c r="V855" s="1095"/>
      <c r="W855" s="1095"/>
      <c r="X855" s="1095"/>
      <c r="Y855" s="1095"/>
      <c r="Z855" s="1095"/>
      <c r="AA855" s="1095"/>
      <c r="AB855" s="1095"/>
    </row>
    <row r="856">
      <c r="A856" s="1095"/>
      <c r="B856" s="1095"/>
      <c r="C856" s="1095"/>
      <c r="D856" s="1095"/>
      <c r="E856" s="1095"/>
      <c r="F856" s="1095"/>
      <c r="G856" s="1095"/>
      <c r="H856" s="1095"/>
      <c r="I856" s="1095"/>
      <c r="J856" s="1095"/>
      <c r="K856" s="1095"/>
      <c r="L856" s="1095"/>
      <c r="M856" s="1095"/>
      <c r="N856" s="1095"/>
      <c r="O856" s="1095"/>
      <c r="P856" s="1095"/>
      <c r="Q856" s="1095"/>
      <c r="R856" s="1095"/>
      <c r="S856" s="1095"/>
      <c r="T856" s="1095"/>
      <c r="U856" s="1095"/>
      <c r="V856" s="1095"/>
      <c r="W856" s="1095"/>
      <c r="X856" s="1095"/>
      <c r="Y856" s="1095"/>
      <c r="Z856" s="1095"/>
      <c r="AA856" s="1095"/>
      <c r="AB856" s="1095"/>
    </row>
    <row r="857">
      <c r="A857" s="1095"/>
      <c r="B857" s="1095"/>
      <c r="C857" s="1095"/>
      <c r="D857" s="1095"/>
      <c r="E857" s="1095"/>
      <c r="F857" s="1095"/>
      <c r="G857" s="1095"/>
      <c r="H857" s="1095"/>
      <c r="I857" s="1095"/>
      <c r="J857" s="1095"/>
      <c r="K857" s="1095"/>
      <c r="L857" s="1095"/>
      <c r="M857" s="1095"/>
      <c r="N857" s="1095"/>
      <c r="O857" s="1095"/>
      <c r="P857" s="1095"/>
      <c r="Q857" s="1095"/>
      <c r="R857" s="1095"/>
      <c r="S857" s="1095"/>
      <c r="T857" s="1095"/>
      <c r="U857" s="1095"/>
      <c r="V857" s="1095"/>
      <c r="W857" s="1095"/>
      <c r="X857" s="1095"/>
      <c r="Y857" s="1095"/>
      <c r="Z857" s="1095"/>
      <c r="AA857" s="1095"/>
      <c r="AB857" s="1095"/>
    </row>
    <row r="858">
      <c r="A858" s="1095"/>
      <c r="B858" s="1095"/>
      <c r="C858" s="1095"/>
      <c r="D858" s="1095"/>
      <c r="E858" s="1095"/>
      <c r="F858" s="1095"/>
      <c r="G858" s="1095"/>
      <c r="H858" s="1095"/>
      <c r="I858" s="1095"/>
      <c r="J858" s="1095"/>
      <c r="K858" s="1095"/>
      <c r="L858" s="1095"/>
      <c r="M858" s="1095"/>
      <c r="N858" s="1095"/>
      <c r="O858" s="1095"/>
      <c r="P858" s="1095"/>
      <c r="Q858" s="1095"/>
      <c r="R858" s="1095"/>
      <c r="S858" s="1095"/>
      <c r="T858" s="1095"/>
      <c r="U858" s="1095"/>
      <c r="V858" s="1095"/>
      <c r="W858" s="1095"/>
      <c r="X858" s="1095"/>
      <c r="Y858" s="1095"/>
      <c r="Z858" s="1095"/>
      <c r="AA858" s="1095"/>
      <c r="AB858" s="1095"/>
    </row>
    <row r="859">
      <c r="A859" s="1095"/>
      <c r="B859" s="1095"/>
      <c r="C859" s="1095"/>
      <c r="D859" s="1095"/>
      <c r="E859" s="1095"/>
      <c r="F859" s="1095"/>
      <c r="G859" s="1095"/>
      <c r="H859" s="1095"/>
      <c r="I859" s="1095"/>
      <c r="J859" s="1095"/>
      <c r="K859" s="1095"/>
      <c r="L859" s="1095"/>
      <c r="M859" s="1095"/>
      <c r="N859" s="1095"/>
      <c r="O859" s="1095"/>
      <c r="P859" s="1095"/>
      <c r="Q859" s="1095"/>
      <c r="R859" s="1095"/>
      <c r="S859" s="1095"/>
      <c r="T859" s="1095"/>
      <c r="U859" s="1095"/>
      <c r="V859" s="1095"/>
      <c r="W859" s="1095"/>
      <c r="X859" s="1095"/>
      <c r="Y859" s="1095"/>
      <c r="Z859" s="1095"/>
      <c r="AA859" s="1095"/>
      <c r="AB859" s="1095"/>
    </row>
    <row r="860">
      <c r="A860" s="1095"/>
      <c r="B860" s="1095"/>
      <c r="C860" s="1095"/>
      <c r="D860" s="1095"/>
      <c r="E860" s="1095"/>
      <c r="F860" s="1095"/>
      <c r="G860" s="1095"/>
      <c r="H860" s="1095"/>
      <c r="I860" s="1095"/>
      <c r="J860" s="1095"/>
      <c r="K860" s="1095"/>
      <c r="L860" s="1095"/>
      <c r="M860" s="1095"/>
      <c r="N860" s="1095"/>
      <c r="O860" s="1095"/>
      <c r="P860" s="1095"/>
      <c r="Q860" s="1095"/>
      <c r="R860" s="1095"/>
      <c r="S860" s="1095"/>
      <c r="T860" s="1095"/>
      <c r="U860" s="1095"/>
      <c r="V860" s="1095"/>
      <c r="W860" s="1095"/>
      <c r="X860" s="1095"/>
      <c r="Y860" s="1095"/>
      <c r="Z860" s="1095"/>
      <c r="AA860" s="1095"/>
      <c r="AB860" s="1095"/>
    </row>
    <row r="861">
      <c r="A861" s="1095"/>
      <c r="B861" s="1095"/>
      <c r="C861" s="1095"/>
      <c r="D861" s="1095"/>
      <c r="E861" s="1095"/>
      <c r="F861" s="1095"/>
      <c r="G861" s="1095"/>
      <c r="H861" s="1095"/>
      <c r="I861" s="1095"/>
      <c r="J861" s="1095"/>
      <c r="K861" s="1095"/>
      <c r="L861" s="1095"/>
      <c r="M861" s="1095"/>
      <c r="N861" s="1095"/>
      <c r="O861" s="1095"/>
      <c r="P861" s="1095"/>
      <c r="Q861" s="1095"/>
      <c r="R861" s="1095"/>
      <c r="S861" s="1095"/>
      <c r="T861" s="1095"/>
      <c r="U861" s="1095"/>
      <c r="V861" s="1095"/>
      <c r="W861" s="1095"/>
      <c r="X861" s="1095"/>
      <c r="Y861" s="1095"/>
      <c r="Z861" s="1095"/>
      <c r="AA861" s="1095"/>
      <c r="AB861" s="1095"/>
    </row>
    <row r="862">
      <c r="A862" s="1095"/>
      <c r="B862" s="1095"/>
      <c r="C862" s="1095"/>
      <c r="D862" s="1095"/>
      <c r="E862" s="1095"/>
      <c r="F862" s="1095"/>
      <c r="G862" s="1095"/>
      <c r="H862" s="1095"/>
      <c r="I862" s="1095"/>
      <c r="J862" s="1095"/>
      <c r="K862" s="1095"/>
      <c r="L862" s="1095"/>
      <c r="M862" s="1095"/>
      <c r="N862" s="1095"/>
      <c r="O862" s="1095"/>
      <c r="P862" s="1095"/>
      <c r="Q862" s="1095"/>
      <c r="R862" s="1095"/>
      <c r="S862" s="1095"/>
      <c r="T862" s="1095"/>
      <c r="U862" s="1095"/>
      <c r="V862" s="1095"/>
      <c r="W862" s="1095"/>
      <c r="X862" s="1095"/>
      <c r="Y862" s="1095"/>
      <c r="Z862" s="1095"/>
      <c r="AA862" s="1095"/>
      <c r="AB862" s="1095"/>
    </row>
    <row r="863">
      <c r="A863" s="1095"/>
      <c r="B863" s="1095"/>
      <c r="C863" s="1095"/>
      <c r="D863" s="1095"/>
      <c r="E863" s="1095"/>
      <c r="F863" s="1095"/>
      <c r="G863" s="1095"/>
      <c r="H863" s="1095"/>
      <c r="I863" s="1095"/>
      <c r="J863" s="1095"/>
      <c r="K863" s="1095"/>
      <c r="L863" s="1095"/>
      <c r="M863" s="1095"/>
      <c r="N863" s="1095"/>
      <c r="O863" s="1095"/>
      <c r="P863" s="1095"/>
      <c r="Q863" s="1095"/>
      <c r="R863" s="1095"/>
      <c r="S863" s="1095"/>
      <c r="T863" s="1095"/>
      <c r="U863" s="1095"/>
      <c r="V863" s="1095"/>
      <c r="W863" s="1095"/>
      <c r="X863" s="1095"/>
      <c r="Y863" s="1095"/>
      <c r="Z863" s="1095"/>
      <c r="AA863" s="1095"/>
      <c r="AB863" s="1095"/>
    </row>
    <row r="864">
      <c r="A864" s="1095"/>
      <c r="B864" s="1095"/>
      <c r="C864" s="1095"/>
      <c r="D864" s="1095"/>
      <c r="E864" s="1095"/>
      <c r="F864" s="1095"/>
      <c r="G864" s="1095"/>
      <c r="H864" s="1095"/>
      <c r="I864" s="1095"/>
      <c r="J864" s="1095"/>
      <c r="K864" s="1095"/>
      <c r="L864" s="1095"/>
      <c r="M864" s="1095"/>
      <c r="N864" s="1095"/>
      <c r="O864" s="1095"/>
      <c r="P864" s="1095"/>
      <c r="Q864" s="1095"/>
      <c r="R864" s="1095"/>
      <c r="S864" s="1095"/>
      <c r="T864" s="1095"/>
      <c r="U864" s="1095"/>
      <c r="V864" s="1095"/>
      <c r="W864" s="1095"/>
      <c r="X864" s="1095"/>
      <c r="Y864" s="1095"/>
      <c r="Z864" s="1095"/>
      <c r="AA864" s="1095"/>
      <c r="AB864" s="1095"/>
    </row>
    <row r="865">
      <c r="A865" s="1095"/>
      <c r="B865" s="1095"/>
      <c r="C865" s="1095"/>
      <c r="D865" s="1095"/>
      <c r="E865" s="1095"/>
      <c r="F865" s="1095"/>
      <c r="G865" s="1095"/>
      <c r="H865" s="1095"/>
      <c r="I865" s="1095"/>
      <c r="J865" s="1095"/>
      <c r="K865" s="1095"/>
      <c r="L865" s="1095"/>
      <c r="M865" s="1095"/>
      <c r="N865" s="1095"/>
      <c r="O865" s="1095"/>
      <c r="P865" s="1095"/>
      <c r="Q865" s="1095"/>
      <c r="R865" s="1095"/>
      <c r="S865" s="1095"/>
      <c r="T865" s="1095"/>
      <c r="U865" s="1095"/>
      <c r="V865" s="1095"/>
      <c r="W865" s="1095"/>
      <c r="X865" s="1095"/>
      <c r="Y865" s="1095"/>
      <c r="Z865" s="1095"/>
      <c r="AA865" s="1095"/>
      <c r="AB865" s="1095"/>
    </row>
    <row r="866">
      <c r="A866" s="1095"/>
      <c r="B866" s="1095"/>
      <c r="C866" s="1095"/>
      <c r="D866" s="1095"/>
      <c r="E866" s="1095"/>
      <c r="F866" s="1095"/>
      <c r="G866" s="1095"/>
      <c r="H866" s="1095"/>
      <c r="I866" s="1095"/>
      <c r="J866" s="1095"/>
      <c r="K866" s="1095"/>
      <c r="L866" s="1095"/>
      <c r="M866" s="1095"/>
      <c r="N866" s="1095"/>
      <c r="O866" s="1095"/>
      <c r="P866" s="1095"/>
      <c r="Q866" s="1095"/>
      <c r="R866" s="1095"/>
      <c r="S866" s="1095"/>
      <c r="T866" s="1095"/>
      <c r="U866" s="1095"/>
      <c r="V866" s="1095"/>
      <c r="W866" s="1095"/>
      <c r="X866" s="1095"/>
      <c r="Y866" s="1095"/>
      <c r="Z866" s="1095"/>
      <c r="AA866" s="1095"/>
      <c r="AB866" s="1095"/>
    </row>
    <row r="867">
      <c r="A867" s="1095"/>
      <c r="B867" s="1095"/>
      <c r="C867" s="1095"/>
      <c r="D867" s="1095"/>
      <c r="E867" s="1095"/>
      <c r="F867" s="1095"/>
      <c r="G867" s="1095"/>
      <c r="H867" s="1095"/>
      <c r="I867" s="1095"/>
      <c r="J867" s="1095"/>
      <c r="K867" s="1095"/>
      <c r="L867" s="1095"/>
      <c r="M867" s="1095"/>
      <c r="N867" s="1095"/>
      <c r="O867" s="1095"/>
      <c r="P867" s="1095"/>
      <c r="Q867" s="1095"/>
      <c r="R867" s="1095"/>
      <c r="S867" s="1095"/>
      <c r="T867" s="1095"/>
      <c r="U867" s="1095"/>
      <c r="V867" s="1095"/>
      <c r="W867" s="1095"/>
      <c r="X867" s="1095"/>
      <c r="Y867" s="1095"/>
      <c r="Z867" s="1095"/>
      <c r="AA867" s="1095"/>
      <c r="AB867" s="1095"/>
    </row>
    <row r="868">
      <c r="A868" s="1095"/>
      <c r="B868" s="1095"/>
      <c r="C868" s="1095"/>
      <c r="D868" s="1095"/>
      <c r="E868" s="1095"/>
      <c r="F868" s="1095"/>
      <c r="G868" s="1095"/>
      <c r="H868" s="1095"/>
      <c r="I868" s="1095"/>
      <c r="J868" s="1095"/>
      <c r="K868" s="1095"/>
      <c r="L868" s="1095"/>
      <c r="M868" s="1095"/>
      <c r="N868" s="1095"/>
      <c r="O868" s="1095"/>
      <c r="P868" s="1095"/>
      <c r="Q868" s="1095"/>
      <c r="R868" s="1095"/>
      <c r="S868" s="1095"/>
      <c r="T868" s="1095"/>
      <c r="U868" s="1095"/>
      <c r="V868" s="1095"/>
      <c r="W868" s="1095"/>
      <c r="X868" s="1095"/>
      <c r="Y868" s="1095"/>
      <c r="Z868" s="1095"/>
      <c r="AA868" s="1095"/>
      <c r="AB868" s="1095"/>
    </row>
    <row r="869">
      <c r="A869" s="1095"/>
      <c r="B869" s="1095"/>
      <c r="C869" s="1095"/>
      <c r="D869" s="1095"/>
      <c r="E869" s="1095"/>
      <c r="F869" s="1095"/>
      <c r="G869" s="1095"/>
      <c r="H869" s="1095"/>
      <c r="I869" s="1095"/>
      <c r="J869" s="1095"/>
      <c r="K869" s="1095"/>
      <c r="L869" s="1095"/>
      <c r="M869" s="1095"/>
      <c r="N869" s="1095"/>
      <c r="O869" s="1095"/>
      <c r="P869" s="1095"/>
      <c r="Q869" s="1095"/>
      <c r="R869" s="1095"/>
      <c r="S869" s="1095"/>
      <c r="T869" s="1095"/>
      <c r="U869" s="1095"/>
      <c r="V869" s="1095"/>
      <c r="W869" s="1095"/>
      <c r="X869" s="1095"/>
      <c r="Y869" s="1095"/>
      <c r="Z869" s="1095"/>
      <c r="AA869" s="1095"/>
      <c r="AB869" s="1095"/>
    </row>
    <row r="870">
      <c r="A870" s="1095"/>
      <c r="B870" s="1095"/>
      <c r="C870" s="1095"/>
      <c r="D870" s="1095"/>
      <c r="E870" s="1095"/>
      <c r="F870" s="1095"/>
      <c r="G870" s="1095"/>
      <c r="H870" s="1095"/>
      <c r="I870" s="1095"/>
      <c r="J870" s="1095"/>
      <c r="K870" s="1095"/>
      <c r="L870" s="1095"/>
      <c r="M870" s="1095"/>
      <c r="N870" s="1095"/>
      <c r="O870" s="1095"/>
      <c r="P870" s="1095"/>
      <c r="Q870" s="1095"/>
      <c r="R870" s="1095"/>
      <c r="S870" s="1095"/>
      <c r="T870" s="1095"/>
      <c r="U870" s="1095"/>
      <c r="V870" s="1095"/>
      <c r="W870" s="1095"/>
      <c r="X870" s="1095"/>
      <c r="Y870" s="1095"/>
      <c r="Z870" s="1095"/>
      <c r="AA870" s="1095"/>
      <c r="AB870" s="1095"/>
    </row>
    <row r="871">
      <c r="A871" s="1095"/>
      <c r="B871" s="1095"/>
      <c r="C871" s="1095"/>
      <c r="D871" s="1095"/>
      <c r="E871" s="1095"/>
      <c r="F871" s="1095"/>
      <c r="G871" s="1095"/>
      <c r="H871" s="1095"/>
      <c r="I871" s="1095"/>
      <c r="J871" s="1095"/>
      <c r="K871" s="1095"/>
      <c r="L871" s="1095"/>
      <c r="M871" s="1095"/>
      <c r="N871" s="1095"/>
      <c r="O871" s="1095"/>
      <c r="P871" s="1095"/>
      <c r="Q871" s="1095"/>
      <c r="R871" s="1095"/>
      <c r="S871" s="1095"/>
      <c r="T871" s="1095"/>
      <c r="U871" s="1095"/>
      <c r="V871" s="1095"/>
      <c r="W871" s="1095"/>
      <c r="X871" s="1095"/>
      <c r="Y871" s="1095"/>
      <c r="Z871" s="1095"/>
      <c r="AA871" s="1095"/>
      <c r="AB871" s="1095"/>
    </row>
    <row r="872">
      <c r="A872" s="1095"/>
      <c r="B872" s="1095"/>
      <c r="C872" s="1095"/>
      <c r="D872" s="1095"/>
      <c r="E872" s="1095"/>
      <c r="F872" s="1095"/>
      <c r="G872" s="1095"/>
      <c r="H872" s="1095"/>
      <c r="I872" s="1095"/>
      <c r="J872" s="1095"/>
      <c r="K872" s="1095"/>
      <c r="L872" s="1095"/>
      <c r="M872" s="1095"/>
      <c r="N872" s="1095"/>
      <c r="O872" s="1095"/>
      <c r="P872" s="1095"/>
      <c r="Q872" s="1095"/>
      <c r="R872" s="1095"/>
      <c r="S872" s="1095"/>
      <c r="T872" s="1095"/>
      <c r="U872" s="1095"/>
      <c r="V872" s="1095"/>
      <c r="W872" s="1095"/>
      <c r="X872" s="1095"/>
      <c r="Y872" s="1095"/>
      <c r="Z872" s="1095"/>
      <c r="AA872" s="1095"/>
      <c r="AB872" s="1095"/>
    </row>
    <row r="873">
      <c r="A873" s="1095"/>
      <c r="B873" s="1095"/>
      <c r="C873" s="1095"/>
      <c r="D873" s="1095"/>
      <c r="E873" s="1095"/>
      <c r="F873" s="1095"/>
      <c r="G873" s="1095"/>
      <c r="H873" s="1095"/>
      <c r="I873" s="1095"/>
      <c r="J873" s="1095"/>
      <c r="K873" s="1095"/>
      <c r="L873" s="1095"/>
      <c r="M873" s="1095"/>
      <c r="N873" s="1095"/>
      <c r="O873" s="1095"/>
      <c r="P873" s="1095"/>
      <c r="Q873" s="1095"/>
      <c r="R873" s="1095"/>
      <c r="S873" s="1095"/>
      <c r="T873" s="1095"/>
      <c r="U873" s="1095"/>
      <c r="V873" s="1095"/>
      <c r="W873" s="1095"/>
      <c r="X873" s="1095"/>
      <c r="Y873" s="1095"/>
      <c r="Z873" s="1095"/>
      <c r="AA873" s="1095"/>
      <c r="AB873" s="1095"/>
    </row>
    <row r="874">
      <c r="A874" s="1095"/>
      <c r="B874" s="1095"/>
      <c r="C874" s="1095"/>
      <c r="D874" s="1095"/>
      <c r="E874" s="1095"/>
      <c r="F874" s="1095"/>
      <c r="G874" s="1095"/>
      <c r="H874" s="1095"/>
      <c r="I874" s="1095"/>
      <c r="J874" s="1095"/>
      <c r="K874" s="1095"/>
      <c r="L874" s="1095"/>
      <c r="M874" s="1095"/>
      <c r="N874" s="1095"/>
      <c r="O874" s="1095"/>
      <c r="P874" s="1095"/>
      <c r="Q874" s="1095"/>
      <c r="R874" s="1095"/>
      <c r="S874" s="1095"/>
      <c r="T874" s="1095"/>
      <c r="U874" s="1095"/>
      <c r="V874" s="1095"/>
      <c r="W874" s="1095"/>
      <c r="X874" s="1095"/>
      <c r="Y874" s="1095"/>
      <c r="Z874" s="1095"/>
      <c r="AA874" s="1095"/>
      <c r="AB874" s="1095"/>
    </row>
    <row r="875">
      <c r="A875" s="1095"/>
      <c r="B875" s="1095"/>
      <c r="C875" s="1095"/>
      <c r="D875" s="1095"/>
      <c r="E875" s="1095"/>
      <c r="F875" s="1095"/>
      <c r="G875" s="1095"/>
      <c r="H875" s="1095"/>
      <c r="I875" s="1095"/>
      <c r="J875" s="1095"/>
      <c r="K875" s="1095"/>
      <c r="L875" s="1095"/>
      <c r="M875" s="1095"/>
      <c r="N875" s="1095"/>
      <c r="O875" s="1095"/>
      <c r="P875" s="1095"/>
      <c r="Q875" s="1095"/>
      <c r="R875" s="1095"/>
      <c r="S875" s="1095"/>
      <c r="T875" s="1095"/>
      <c r="U875" s="1095"/>
      <c r="V875" s="1095"/>
      <c r="W875" s="1095"/>
      <c r="X875" s="1095"/>
      <c r="Y875" s="1095"/>
      <c r="Z875" s="1095"/>
      <c r="AA875" s="1095"/>
      <c r="AB875" s="1095"/>
    </row>
    <row r="876">
      <c r="A876" s="1095"/>
      <c r="B876" s="1095"/>
      <c r="C876" s="1095"/>
      <c r="D876" s="1095"/>
      <c r="E876" s="1095"/>
      <c r="F876" s="1095"/>
      <c r="G876" s="1095"/>
      <c r="H876" s="1095"/>
      <c r="I876" s="1095"/>
      <c r="J876" s="1095"/>
      <c r="K876" s="1095"/>
      <c r="L876" s="1095"/>
      <c r="M876" s="1095"/>
      <c r="N876" s="1095"/>
      <c r="O876" s="1095"/>
      <c r="P876" s="1095"/>
      <c r="Q876" s="1095"/>
      <c r="R876" s="1095"/>
      <c r="S876" s="1095"/>
      <c r="T876" s="1095"/>
      <c r="U876" s="1095"/>
      <c r="V876" s="1095"/>
      <c r="W876" s="1095"/>
      <c r="X876" s="1095"/>
      <c r="Y876" s="1095"/>
      <c r="Z876" s="1095"/>
      <c r="AA876" s="1095"/>
      <c r="AB876" s="1095"/>
    </row>
    <row r="877">
      <c r="A877" s="1095"/>
      <c r="B877" s="1095"/>
      <c r="C877" s="1095"/>
      <c r="D877" s="1095"/>
      <c r="E877" s="1095"/>
      <c r="F877" s="1095"/>
      <c r="G877" s="1095"/>
      <c r="H877" s="1095"/>
      <c r="I877" s="1095"/>
      <c r="J877" s="1095"/>
      <c r="K877" s="1095"/>
      <c r="L877" s="1095"/>
      <c r="M877" s="1095"/>
      <c r="N877" s="1095"/>
      <c r="O877" s="1095"/>
      <c r="P877" s="1095"/>
      <c r="Q877" s="1095"/>
      <c r="R877" s="1095"/>
      <c r="S877" s="1095"/>
      <c r="T877" s="1095"/>
      <c r="U877" s="1095"/>
      <c r="V877" s="1095"/>
      <c r="W877" s="1095"/>
      <c r="X877" s="1095"/>
      <c r="Y877" s="1095"/>
      <c r="Z877" s="1095"/>
      <c r="AA877" s="1095"/>
      <c r="AB877" s="1095"/>
    </row>
    <row r="878">
      <c r="A878" s="1095"/>
      <c r="B878" s="1095"/>
      <c r="C878" s="1095"/>
      <c r="D878" s="1095"/>
      <c r="E878" s="1095"/>
      <c r="F878" s="1095"/>
      <c r="G878" s="1095"/>
      <c r="H878" s="1095"/>
      <c r="I878" s="1095"/>
      <c r="J878" s="1095"/>
      <c r="K878" s="1095"/>
      <c r="L878" s="1095"/>
      <c r="M878" s="1095"/>
      <c r="N878" s="1095"/>
      <c r="O878" s="1095"/>
      <c r="P878" s="1095"/>
      <c r="Q878" s="1095"/>
      <c r="R878" s="1095"/>
      <c r="S878" s="1095"/>
      <c r="T878" s="1095"/>
      <c r="U878" s="1095"/>
      <c r="V878" s="1095"/>
      <c r="W878" s="1095"/>
      <c r="X878" s="1095"/>
      <c r="Y878" s="1095"/>
      <c r="Z878" s="1095"/>
      <c r="AA878" s="1095"/>
      <c r="AB878" s="1095"/>
    </row>
    <row r="879">
      <c r="A879" s="1095"/>
      <c r="B879" s="1095"/>
      <c r="C879" s="1095"/>
      <c r="D879" s="1095"/>
      <c r="E879" s="1095"/>
      <c r="F879" s="1095"/>
      <c r="G879" s="1095"/>
      <c r="H879" s="1095"/>
      <c r="I879" s="1095"/>
      <c r="J879" s="1095"/>
      <c r="K879" s="1095"/>
      <c r="L879" s="1095"/>
      <c r="M879" s="1095"/>
      <c r="N879" s="1095"/>
      <c r="O879" s="1095"/>
      <c r="P879" s="1095"/>
      <c r="Q879" s="1095"/>
      <c r="R879" s="1095"/>
      <c r="S879" s="1095"/>
      <c r="T879" s="1095"/>
      <c r="U879" s="1095"/>
      <c r="V879" s="1095"/>
      <c r="W879" s="1095"/>
      <c r="X879" s="1095"/>
      <c r="Y879" s="1095"/>
      <c r="Z879" s="1095"/>
      <c r="AA879" s="1095"/>
      <c r="AB879" s="1095"/>
    </row>
    <row r="880">
      <c r="A880" s="1095"/>
      <c r="B880" s="1095"/>
      <c r="C880" s="1095"/>
      <c r="D880" s="1095"/>
      <c r="E880" s="1095"/>
      <c r="F880" s="1095"/>
      <c r="G880" s="1095"/>
      <c r="H880" s="1095"/>
      <c r="I880" s="1095"/>
      <c r="J880" s="1095"/>
      <c r="K880" s="1095"/>
      <c r="L880" s="1095"/>
      <c r="M880" s="1095"/>
      <c r="N880" s="1095"/>
      <c r="O880" s="1095"/>
      <c r="P880" s="1095"/>
      <c r="Q880" s="1095"/>
      <c r="R880" s="1095"/>
      <c r="S880" s="1095"/>
      <c r="T880" s="1095"/>
      <c r="U880" s="1095"/>
      <c r="V880" s="1095"/>
      <c r="W880" s="1095"/>
      <c r="X880" s="1095"/>
      <c r="Y880" s="1095"/>
      <c r="Z880" s="1095"/>
      <c r="AA880" s="1095"/>
      <c r="AB880" s="1095"/>
    </row>
    <row r="881">
      <c r="A881" s="1095"/>
      <c r="B881" s="1095"/>
      <c r="C881" s="1095"/>
      <c r="D881" s="1095"/>
      <c r="E881" s="1095"/>
      <c r="F881" s="1095"/>
      <c r="G881" s="1095"/>
      <c r="H881" s="1095"/>
      <c r="I881" s="1095"/>
      <c r="J881" s="1095"/>
      <c r="K881" s="1095"/>
      <c r="L881" s="1095"/>
      <c r="M881" s="1095"/>
      <c r="N881" s="1095"/>
      <c r="O881" s="1095"/>
      <c r="P881" s="1095"/>
      <c r="Q881" s="1095"/>
      <c r="R881" s="1095"/>
      <c r="S881" s="1095"/>
      <c r="T881" s="1095"/>
      <c r="U881" s="1095"/>
      <c r="V881" s="1095"/>
      <c r="W881" s="1095"/>
      <c r="X881" s="1095"/>
      <c r="Y881" s="1095"/>
      <c r="Z881" s="1095"/>
      <c r="AA881" s="1095"/>
      <c r="AB881" s="1095"/>
    </row>
    <row r="882">
      <c r="A882" s="1095"/>
      <c r="B882" s="1095"/>
      <c r="C882" s="1095"/>
      <c r="D882" s="1095"/>
      <c r="E882" s="1095"/>
      <c r="F882" s="1095"/>
      <c r="G882" s="1095"/>
      <c r="H882" s="1095"/>
      <c r="I882" s="1095"/>
      <c r="J882" s="1095"/>
      <c r="K882" s="1095"/>
      <c r="L882" s="1095"/>
      <c r="M882" s="1095"/>
      <c r="N882" s="1095"/>
      <c r="O882" s="1095"/>
      <c r="P882" s="1095"/>
      <c r="Q882" s="1095"/>
      <c r="R882" s="1095"/>
      <c r="S882" s="1095"/>
      <c r="T882" s="1095"/>
      <c r="U882" s="1095"/>
      <c r="V882" s="1095"/>
      <c r="W882" s="1095"/>
      <c r="X882" s="1095"/>
      <c r="Y882" s="1095"/>
      <c r="Z882" s="1095"/>
      <c r="AA882" s="1095"/>
      <c r="AB882" s="1095"/>
    </row>
    <row r="883">
      <c r="A883" s="1095"/>
      <c r="B883" s="1095"/>
      <c r="C883" s="1095"/>
      <c r="D883" s="1095"/>
      <c r="E883" s="1095"/>
      <c r="F883" s="1095"/>
      <c r="G883" s="1095"/>
      <c r="H883" s="1095"/>
      <c r="I883" s="1095"/>
      <c r="J883" s="1095"/>
      <c r="K883" s="1095"/>
      <c r="L883" s="1095"/>
      <c r="M883" s="1095"/>
      <c r="N883" s="1095"/>
      <c r="O883" s="1095"/>
      <c r="P883" s="1095"/>
      <c r="Q883" s="1095"/>
      <c r="R883" s="1095"/>
      <c r="S883" s="1095"/>
      <c r="T883" s="1095"/>
      <c r="U883" s="1095"/>
      <c r="V883" s="1095"/>
      <c r="W883" s="1095"/>
      <c r="X883" s="1095"/>
      <c r="Y883" s="1095"/>
      <c r="Z883" s="1095"/>
      <c r="AA883" s="1095"/>
      <c r="AB883" s="1095"/>
    </row>
    <row r="884">
      <c r="A884" s="1095"/>
      <c r="B884" s="1095"/>
      <c r="C884" s="1095"/>
      <c r="D884" s="1095"/>
      <c r="E884" s="1095"/>
      <c r="F884" s="1095"/>
      <c r="G884" s="1095"/>
      <c r="H884" s="1095"/>
      <c r="I884" s="1095"/>
      <c r="J884" s="1095"/>
      <c r="K884" s="1095"/>
      <c r="L884" s="1095"/>
      <c r="M884" s="1095"/>
      <c r="N884" s="1095"/>
      <c r="O884" s="1095"/>
      <c r="P884" s="1095"/>
      <c r="Q884" s="1095"/>
      <c r="R884" s="1095"/>
      <c r="S884" s="1095"/>
      <c r="T884" s="1095"/>
      <c r="U884" s="1095"/>
      <c r="V884" s="1095"/>
      <c r="W884" s="1095"/>
      <c r="X884" s="1095"/>
      <c r="Y884" s="1095"/>
      <c r="Z884" s="1095"/>
      <c r="AA884" s="1095"/>
      <c r="AB884" s="1095"/>
    </row>
    <row r="885">
      <c r="A885" s="1095"/>
      <c r="B885" s="1095"/>
      <c r="C885" s="1095"/>
      <c r="D885" s="1095"/>
      <c r="E885" s="1095"/>
      <c r="F885" s="1095"/>
      <c r="G885" s="1095"/>
      <c r="H885" s="1095"/>
      <c r="I885" s="1095"/>
      <c r="J885" s="1095"/>
      <c r="K885" s="1095"/>
      <c r="L885" s="1095"/>
      <c r="M885" s="1095"/>
      <c r="N885" s="1095"/>
      <c r="O885" s="1095"/>
      <c r="P885" s="1095"/>
      <c r="Q885" s="1095"/>
      <c r="R885" s="1095"/>
      <c r="S885" s="1095"/>
      <c r="T885" s="1095"/>
      <c r="U885" s="1095"/>
      <c r="V885" s="1095"/>
      <c r="W885" s="1095"/>
      <c r="X885" s="1095"/>
      <c r="Y885" s="1095"/>
      <c r="Z885" s="1095"/>
      <c r="AA885" s="1095"/>
      <c r="AB885" s="1095"/>
    </row>
    <row r="886">
      <c r="A886" s="1095"/>
      <c r="B886" s="1095"/>
      <c r="C886" s="1095"/>
      <c r="D886" s="1095"/>
      <c r="E886" s="1095"/>
      <c r="F886" s="1095"/>
      <c r="G886" s="1095"/>
      <c r="H886" s="1095"/>
      <c r="I886" s="1095"/>
      <c r="J886" s="1095"/>
      <c r="K886" s="1095"/>
      <c r="L886" s="1095"/>
      <c r="M886" s="1095"/>
      <c r="N886" s="1095"/>
      <c r="O886" s="1095"/>
      <c r="P886" s="1095"/>
      <c r="Q886" s="1095"/>
      <c r="R886" s="1095"/>
      <c r="S886" s="1095"/>
      <c r="T886" s="1095"/>
      <c r="U886" s="1095"/>
      <c r="V886" s="1095"/>
      <c r="W886" s="1095"/>
      <c r="X886" s="1095"/>
      <c r="Y886" s="1095"/>
      <c r="Z886" s="1095"/>
      <c r="AA886" s="1095"/>
      <c r="AB886" s="1095"/>
    </row>
    <row r="887">
      <c r="A887" s="1095"/>
      <c r="B887" s="1095"/>
      <c r="C887" s="1095"/>
      <c r="D887" s="1095"/>
      <c r="E887" s="1095"/>
      <c r="F887" s="1095"/>
      <c r="G887" s="1095"/>
      <c r="H887" s="1095"/>
      <c r="I887" s="1095"/>
      <c r="J887" s="1095"/>
      <c r="K887" s="1095"/>
      <c r="L887" s="1095"/>
      <c r="M887" s="1095"/>
      <c r="N887" s="1095"/>
      <c r="O887" s="1095"/>
      <c r="P887" s="1095"/>
      <c r="Q887" s="1095"/>
      <c r="R887" s="1095"/>
      <c r="S887" s="1095"/>
      <c r="T887" s="1095"/>
      <c r="U887" s="1095"/>
      <c r="V887" s="1095"/>
      <c r="W887" s="1095"/>
      <c r="X887" s="1095"/>
      <c r="Y887" s="1095"/>
      <c r="Z887" s="1095"/>
      <c r="AA887" s="1095"/>
      <c r="AB887" s="1095"/>
    </row>
    <row r="888">
      <c r="A888" s="1095"/>
      <c r="B888" s="1095"/>
      <c r="C888" s="1095"/>
      <c r="D888" s="1095"/>
      <c r="E888" s="1095"/>
      <c r="F888" s="1095"/>
      <c r="G888" s="1095"/>
      <c r="H888" s="1095"/>
      <c r="I888" s="1095"/>
      <c r="J888" s="1095"/>
      <c r="K888" s="1095"/>
      <c r="L888" s="1095"/>
      <c r="M888" s="1095"/>
      <c r="N888" s="1095"/>
      <c r="O888" s="1095"/>
      <c r="P888" s="1095"/>
      <c r="Q888" s="1095"/>
      <c r="R888" s="1095"/>
      <c r="S888" s="1095"/>
      <c r="T888" s="1095"/>
      <c r="U888" s="1095"/>
      <c r="V888" s="1095"/>
      <c r="W888" s="1095"/>
      <c r="X888" s="1095"/>
      <c r="Y888" s="1095"/>
      <c r="Z888" s="1095"/>
      <c r="AA888" s="1095"/>
      <c r="AB888" s="1095"/>
    </row>
    <row r="889">
      <c r="A889" s="1095"/>
      <c r="B889" s="1095"/>
      <c r="C889" s="1095"/>
      <c r="D889" s="1095"/>
      <c r="E889" s="1095"/>
      <c r="F889" s="1095"/>
      <c r="G889" s="1095"/>
      <c r="H889" s="1095"/>
      <c r="I889" s="1095"/>
      <c r="J889" s="1095"/>
      <c r="K889" s="1095"/>
      <c r="L889" s="1095"/>
      <c r="M889" s="1095"/>
      <c r="N889" s="1095"/>
      <c r="O889" s="1095"/>
      <c r="P889" s="1095"/>
      <c r="Q889" s="1095"/>
      <c r="R889" s="1095"/>
      <c r="S889" s="1095"/>
      <c r="T889" s="1095"/>
      <c r="U889" s="1095"/>
      <c r="V889" s="1095"/>
      <c r="W889" s="1095"/>
      <c r="X889" s="1095"/>
      <c r="Y889" s="1095"/>
      <c r="Z889" s="1095"/>
      <c r="AA889" s="1095"/>
      <c r="AB889" s="1095"/>
    </row>
    <row r="890">
      <c r="A890" s="1095"/>
      <c r="B890" s="1095"/>
      <c r="C890" s="1095"/>
      <c r="D890" s="1095"/>
      <c r="E890" s="1095"/>
      <c r="F890" s="1095"/>
      <c r="G890" s="1095"/>
      <c r="H890" s="1095"/>
      <c r="I890" s="1095"/>
      <c r="J890" s="1095"/>
      <c r="K890" s="1095"/>
      <c r="L890" s="1095"/>
      <c r="M890" s="1095"/>
      <c r="N890" s="1095"/>
      <c r="O890" s="1095"/>
      <c r="P890" s="1095"/>
      <c r="Q890" s="1095"/>
      <c r="R890" s="1095"/>
      <c r="S890" s="1095"/>
      <c r="T890" s="1095"/>
      <c r="U890" s="1095"/>
      <c r="V890" s="1095"/>
      <c r="W890" s="1095"/>
      <c r="X890" s="1095"/>
      <c r="Y890" s="1095"/>
      <c r="Z890" s="1095"/>
      <c r="AA890" s="1095"/>
      <c r="AB890" s="1095"/>
    </row>
    <row r="891">
      <c r="A891" s="1095"/>
      <c r="B891" s="1095"/>
      <c r="C891" s="1095"/>
      <c r="D891" s="1095"/>
      <c r="E891" s="1095"/>
      <c r="F891" s="1095"/>
      <c r="G891" s="1095"/>
      <c r="H891" s="1095"/>
      <c r="I891" s="1095"/>
      <c r="J891" s="1095"/>
      <c r="K891" s="1095"/>
      <c r="L891" s="1095"/>
      <c r="M891" s="1095"/>
      <c r="N891" s="1095"/>
      <c r="O891" s="1095"/>
      <c r="P891" s="1095"/>
      <c r="Q891" s="1095"/>
      <c r="R891" s="1095"/>
      <c r="S891" s="1095"/>
      <c r="T891" s="1095"/>
      <c r="U891" s="1095"/>
      <c r="V891" s="1095"/>
      <c r="W891" s="1095"/>
      <c r="X891" s="1095"/>
      <c r="Y891" s="1095"/>
      <c r="Z891" s="1095"/>
      <c r="AA891" s="1095"/>
      <c r="AB891" s="1095"/>
    </row>
    <row r="892">
      <c r="A892" s="1095"/>
      <c r="B892" s="1095"/>
      <c r="C892" s="1095"/>
      <c r="D892" s="1095"/>
      <c r="E892" s="1095"/>
      <c r="F892" s="1095"/>
      <c r="G892" s="1095"/>
      <c r="H892" s="1095"/>
      <c r="I892" s="1095"/>
      <c r="J892" s="1095"/>
      <c r="K892" s="1095"/>
      <c r="L892" s="1095"/>
      <c r="M892" s="1095"/>
      <c r="N892" s="1095"/>
      <c r="O892" s="1095"/>
      <c r="P892" s="1095"/>
      <c r="Q892" s="1095"/>
      <c r="R892" s="1095"/>
      <c r="S892" s="1095"/>
      <c r="T892" s="1095"/>
      <c r="U892" s="1095"/>
      <c r="V892" s="1095"/>
      <c r="W892" s="1095"/>
      <c r="X892" s="1095"/>
      <c r="Y892" s="1095"/>
      <c r="Z892" s="1095"/>
      <c r="AA892" s="1095"/>
      <c r="AB892" s="1095"/>
    </row>
    <row r="893">
      <c r="A893" s="1095"/>
      <c r="B893" s="1095"/>
      <c r="C893" s="1095"/>
      <c r="D893" s="1095"/>
      <c r="E893" s="1095"/>
      <c r="F893" s="1095"/>
      <c r="G893" s="1095"/>
      <c r="H893" s="1095"/>
      <c r="I893" s="1095"/>
      <c r="J893" s="1095"/>
      <c r="K893" s="1095"/>
      <c r="L893" s="1095"/>
      <c r="M893" s="1095"/>
      <c r="N893" s="1095"/>
      <c r="O893" s="1095"/>
      <c r="P893" s="1095"/>
      <c r="Q893" s="1095"/>
      <c r="R893" s="1095"/>
      <c r="S893" s="1095"/>
      <c r="T893" s="1095"/>
      <c r="U893" s="1095"/>
      <c r="V893" s="1095"/>
      <c r="W893" s="1095"/>
      <c r="X893" s="1095"/>
      <c r="Y893" s="1095"/>
      <c r="Z893" s="1095"/>
      <c r="AA893" s="1095"/>
      <c r="AB893" s="1095"/>
    </row>
    <row r="894">
      <c r="A894" s="1095"/>
      <c r="B894" s="1095"/>
      <c r="C894" s="1095"/>
      <c r="D894" s="1095"/>
      <c r="E894" s="1095"/>
      <c r="F894" s="1095"/>
      <c r="G894" s="1095"/>
      <c r="H894" s="1095"/>
      <c r="I894" s="1095"/>
      <c r="J894" s="1095"/>
      <c r="K894" s="1095"/>
      <c r="L894" s="1095"/>
      <c r="M894" s="1095"/>
      <c r="N894" s="1095"/>
      <c r="O894" s="1095"/>
      <c r="P894" s="1095"/>
      <c r="Q894" s="1095"/>
      <c r="R894" s="1095"/>
      <c r="S894" s="1095"/>
      <c r="T894" s="1095"/>
      <c r="U894" s="1095"/>
      <c r="V894" s="1095"/>
      <c r="W894" s="1095"/>
      <c r="X894" s="1095"/>
      <c r="Y894" s="1095"/>
      <c r="Z894" s="1095"/>
      <c r="AA894" s="1095"/>
      <c r="AB894" s="1095"/>
    </row>
    <row r="895">
      <c r="A895" s="1095"/>
      <c r="B895" s="1095"/>
      <c r="C895" s="1095"/>
      <c r="D895" s="1095"/>
      <c r="E895" s="1095"/>
      <c r="F895" s="1095"/>
      <c r="G895" s="1095"/>
      <c r="H895" s="1095"/>
      <c r="I895" s="1095"/>
      <c r="J895" s="1095"/>
      <c r="K895" s="1095"/>
      <c r="L895" s="1095"/>
      <c r="M895" s="1095"/>
      <c r="N895" s="1095"/>
      <c r="O895" s="1095"/>
      <c r="P895" s="1095"/>
      <c r="Q895" s="1095"/>
      <c r="R895" s="1095"/>
      <c r="S895" s="1095"/>
      <c r="T895" s="1095"/>
      <c r="U895" s="1095"/>
      <c r="V895" s="1095"/>
      <c r="W895" s="1095"/>
      <c r="X895" s="1095"/>
      <c r="Y895" s="1095"/>
      <c r="Z895" s="1095"/>
      <c r="AA895" s="1095"/>
      <c r="AB895" s="1095"/>
    </row>
    <row r="896">
      <c r="A896" s="1095"/>
      <c r="B896" s="1095"/>
      <c r="C896" s="1095"/>
      <c r="D896" s="1095"/>
      <c r="E896" s="1095"/>
      <c r="F896" s="1095"/>
      <c r="G896" s="1095"/>
      <c r="H896" s="1095"/>
      <c r="I896" s="1095"/>
      <c r="J896" s="1095"/>
      <c r="K896" s="1095"/>
      <c r="L896" s="1095"/>
      <c r="M896" s="1095"/>
      <c r="N896" s="1095"/>
      <c r="O896" s="1095"/>
      <c r="P896" s="1095"/>
      <c r="Q896" s="1095"/>
      <c r="R896" s="1095"/>
      <c r="S896" s="1095"/>
      <c r="T896" s="1095"/>
      <c r="U896" s="1095"/>
      <c r="V896" s="1095"/>
      <c r="W896" s="1095"/>
      <c r="X896" s="1095"/>
      <c r="Y896" s="1095"/>
      <c r="Z896" s="1095"/>
      <c r="AA896" s="1095"/>
      <c r="AB896" s="1095"/>
    </row>
    <row r="897">
      <c r="A897" s="1095"/>
      <c r="B897" s="1095"/>
      <c r="C897" s="1095"/>
      <c r="D897" s="1095"/>
      <c r="E897" s="1095"/>
      <c r="F897" s="1095"/>
      <c r="G897" s="1095"/>
      <c r="H897" s="1095"/>
      <c r="I897" s="1095"/>
      <c r="J897" s="1095"/>
      <c r="K897" s="1095"/>
      <c r="L897" s="1095"/>
      <c r="M897" s="1095"/>
      <c r="N897" s="1095"/>
      <c r="O897" s="1095"/>
      <c r="P897" s="1095"/>
      <c r="Q897" s="1095"/>
      <c r="R897" s="1095"/>
      <c r="S897" s="1095"/>
      <c r="T897" s="1095"/>
      <c r="U897" s="1095"/>
      <c r="V897" s="1095"/>
      <c r="W897" s="1095"/>
      <c r="X897" s="1095"/>
      <c r="Y897" s="1095"/>
      <c r="Z897" s="1095"/>
      <c r="AA897" s="1095"/>
      <c r="AB897" s="1095"/>
    </row>
    <row r="898">
      <c r="A898" s="1095"/>
      <c r="B898" s="1095"/>
      <c r="C898" s="1095"/>
      <c r="D898" s="1095"/>
      <c r="E898" s="1095"/>
      <c r="F898" s="1095"/>
      <c r="G898" s="1095"/>
      <c r="H898" s="1095"/>
      <c r="I898" s="1095"/>
      <c r="J898" s="1095"/>
      <c r="K898" s="1095"/>
      <c r="L898" s="1095"/>
      <c r="M898" s="1095"/>
      <c r="N898" s="1095"/>
      <c r="O898" s="1095"/>
      <c r="P898" s="1095"/>
      <c r="Q898" s="1095"/>
      <c r="R898" s="1095"/>
      <c r="S898" s="1095"/>
      <c r="T898" s="1095"/>
      <c r="U898" s="1095"/>
      <c r="V898" s="1095"/>
      <c r="W898" s="1095"/>
      <c r="X898" s="1095"/>
      <c r="Y898" s="1095"/>
      <c r="Z898" s="1095"/>
      <c r="AA898" s="1095"/>
      <c r="AB898" s="1095"/>
    </row>
    <row r="899">
      <c r="A899" s="1095"/>
      <c r="B899" s="1095"/>
      <c r="C899" s="1095"/>
      <c r="D899" s="1095"/>
      <c r="E899" s="1095"/>
      <c r="F899" s="1095"/>
      <c r="G899" s="1095"/>
      <c r="H899" s="1095"/>
      <c r="I899" s="1095"/>
      <c r="J899" s="1095"/>
      <c r="K899" s="1095"/>
      <c r="L899" s="1095"/>
      <c r="M899" s="1095"/>
      <c r="N899" s="1095"/>
      <c r="O899" s="1095"/>
      <c r="P899" s="1095"/>
      <c r="Q899" s="1095"/>
      <c r="R899" s="1095"/>
      <c r="S899" s="1095"/>
      <c r="T899" s="1095"/>
      <c r="U899" s="1095"/>
      <c r="V899" s="1095"/>
      <c r="W899" s="1095"/>
      <c r="X899" s="1095"/>
      <c r="Y899" s="1095"/>
      <c r="Z899" s="1095"/>
      <c r="AA899" s="1095"/>
      <c r="AB899" s="1095"/>
    </row>
    <row r="900">
      <c r="A900" s="1095"/>
      <c r="B900" s="1095"/>
      <c r="C900" s="1095"/>
      <c r="D900" s="1095"/>
      <c r="E900" s="1095"/>
      <c r="F900" s="1095"/>
      <c r="G900" s="1095"/>
      <c r="H900" s="1095"/>
      <c r="I900" s="1095"/>
      <c r="J900" s="1095"/>
      <c r="K900" s="1095"/>
      <c r="L900" s="1095"/>
      <c r="M900" s="1095"/>
      <c r="N900" s="1095"/>
      <c r="O900" s="1095"/>
      <c r="P900" s="1095"/>
      <c r="Q900" s="1095"/>
      <c r="R900" s="1095"/>
      <c r="S900" s="1095"/>
      <c r="T900" s="1095"/>
      <c r="U900" s="1095"/>
      <c r="V900" s="1095"/>
      <c r="W900" s="1095"/>
      <c r="X900" s="1095"/>
      <c r="Y900" s="1095"/>
      <c r="Z900" s="1095"/>
      <c r="AA900" s="1095"/>
      <c r="AB900" s="1095"/>
    </row>
    <row r="901">
      <c r="A901" s="1095"/>
      <c r="B901" s="1095"/>
      <c r="C901" s="1095"/>
      <c r="D901" s="1095"/>
      <c r="E901" s="1095"/>
      <c r="F901" s="1095"/>
      <c r="G901" s="1095"/>
      <c r="H901" s="1095"/>
      <c r="I901" s="1095"/>
      <c r="J901" s="1095"/>
      <c r="K901" s="1095"/>
      <c r="L901" s="1095"/>
      <c r="M901" s="1095"/>
      <c r="N901" s="1095"/>
      <c r="O901" s="1095"/>
      <c r="P901" s="1095"/>
      <c r="Q901" s="1095"/>
      <c r="R901" s="1095"/>
      <c r="S901" s="1095"/>
      <c r="T901" s="1095"/>
      <c r="U901" s="1095"/>
      <c r="V901" s="1095"/>
      <c r="W901" s="1095"/>
      <c r="X901" s="1095"/>
      <c r="Y901" s="1095"/>
      <c r="Z901" s="1095"/>
      <c r="AA901" s="1095"/>
      <c r="AB901" s="1095"/>
    </row>
    <row r="902">
      <c r="A902" s="1095"/>
      <c r="B902" s="1095"/>
      <c r="C902" s="1095"/>
      <c r="D902" s="1095"/>
      <c r="E902" s="1095"/>
      <c r="F902" s="1095"/>
      <c r="G902" s="1095"/>
      <c r="H902" s="1095"/>
      <c r="I902" s="1095"/>
      <c r="J902" s="1095"/>
      <c r="K902" s="1095"/>
      <c r="L902" s="1095"/>
      <c r="M902" s="1095"/>
      <c r="N902" s="1095"/>
      <c r="O902" s="1095"/>
      <c r="P902" s="1095"/>
      <c r="Q902" s="1095"/>
      <c r="R902" s="1095"/>
      <c r="S902" s="1095"/>
      <c r="T902" s="1095"/>
      <c r="U902" s="1095"/>
      <c r="V902" s="1095"/>
      <c r="W902" s="1095"/>
      <c r="X902" s="1095"/>
      <c r="Y902" s="1095"/>
      <c r="Z902" s="1095"/>
      <c r="AA902" s="1095"/>
      <c r="AB902" s="1095"/>
    </row>
    <row r="903">
      <c r="A903" s="1095"/>
      <c r="B903" s="1095"/>
      <c r="C903" s="1095"/>
      <c r="D903" s="1095"/>
      <c r="E903" s="1095"/>
      <c r="F903" s="1095"/>
      <c r="G903" s="1095"/>
      <c r="H903" s="1095"/>
      <c r="I903" s="1095"/>
      <c r="J903" s="1095"/>
      <c r="K903" s="1095"/>
      <c r="L903" s="1095"/>
      <c r="M903" s="1095"/>
      <c r="N903" s="1095"/>
      <c r="O903" s="1095"/>
      <c r="P903" s="1095"/>
      <c r="Q903" s="1095"/>
      <c r="R903" s="1095"/>
      <c r="S903" s="1095"/>
      <c r="T903" s="1095"/>
      <c r="U903" s="1095"/>
      <c r="V903" s="1095"/>
      <c r="W903" s="1095"/>
      <c r="X903" s="1095"/>
      <c r="Y903" s="1095"/>
      <c r="Z903" s="1095"/>
      <c r="AA903" s="1095"/>
      <c r="AB903" s="1095"/>
    </row>
    <row r="904">
      <c r="A904" s="1095"/>
      <c r="B904" s="1095"/>
      <c r="C904" s="1095"/>
      <c r="D904" s="1095"/>
      <c r="E904" s="1095"/>
      <c r="F904" s="1095"/>
      <c r="G904" s="1095"/>
      <c r="H904" s="1095"/>
      <c r="I904" s="1095"/>
      <c r="J904" s="1095"/>
      <c r="K904" s="1095"/>
      <c r="L904" s="1095"/>
      <c r="M904" s="1095"/>
      <c r="N904" s="1095"/>
      <c r="O904" s="1095"/>
      <c r="P904" s="1095"/>
      <c r="Q904" s="1095"/>
      <c r="R904" s="1095"/>
      <c r="S904" s="1095"/>
      <c r="T904" s="1095"/>
      <c r="U904" s="1095"/>
      <c r="V904" s="1095"/>
      <c r="W904" s="1095"/>
      <c r="X904" s="1095"/>
      <c r="Y904" s="1095"/>
      <c r="Z904" s="1095"/>
      <c r="AA904" s="1095"/>
      <c r="AB904" s="1095"/>
    </row>
    <row r="905">
      <c r="A905" s="1095"/>
      <c r="B905" s="1095"/>
      <c r="C905" s="1095"/>
      <c r="D905" s="1095"/>
      <c r="E905" s="1095"/>
      <c r="F905" s="1095"/>
      <c r="G905" s="1095"/>
      <c r="H905" s="1095"/>
      <c r="I905" s="1095"/>
      <c r="J905" s="1095"/>
      <c r="K905" s="1095"/>
      <c r="L905" s="1095"/>
      <c r="M905" s="1095"/>
      <c r="N905" s="1095"/>
      <c r="O905" s="1095"/>
      <c r="P905" s="1095"/>
      <c r="Q905" s="1095"/>
      <c r="R905" s="1095"/>
      <c r="S905" s="1095"/>
      <c r="T905" s="1095"/>
      <c r="U905" s="1095"/>
      <c r="V905" s="1095"/>
      <c r="W905" s="1095"/>
      <c r="X905" s="1095"/>
      <c r="Y905" s="1095"/>
      <c r="Z905" s="1095"/>
      <c r="AA905" s="1095"/>
      <c r="AB905" s="1095"/>
    </row>
    <row r="906">
      <c r="A906" s="1095"/>
      <c r="B906" s="1095"/>
      <c r="C906" s="1095"/>
      <c r="D906" s="1095"/>
      <c r="E906" s="1095"/>
      <c r="F906" s="1095"/>
      <c r="G906" s="1095"/>
      <c r="H906" s="1095"/>
      <c r="I906" s="1095"/>
      <c r="J906" s="1095"/>
      <c r="K906" s="1095"/>
      <c r="L906" s="1095"/>
      <c r="M906" s="1095"/>
      <c r="N906" s="1095"/>
      <c r="O906" s="1095"/>
      <c r="P906" s="1095"/>
      <c r="Q906" s="1095"/>
      <c r="R906" s="1095"/>
      <c r="S906" s="1095"/>
      <c r="T906" s="1095"/>
      <c r="U906" s="1095"/>
      <c r="V906" s="1095"/>
      <c r="W906" s="1095"/>
      <c r="X906" s="1095"/>
      <c r="Y906" s="1095"/>
      <c r="Z906" s="1095"/>
      <c r="AA906" s="1095"/>
      <c r="AB906" s="1095"/>
    </row>
    <row r="907">
      <c r="A907" s="1095"/>
      <c r="B907" s="1095"/>
      <c r="C907" s="1095"/>
      <c r="D907" s="1095"/>
      <c r="E907" s="1095"/>
      <c r="F907" s="1095"/>
      <c r="G907" s="1095"/>
      <c r="H907" s="1095"/>
      <c r="I907" s="1095"/>
      <c r="J907" s="1095"/>
      <c r="K907" s="1095"/>
      <c r="L907" s="1095"/>
      <c r="M907" s="1095"/>
      <c r="N907" s="1095"/>
      <c r="O907" s="1095"/>
      <c r="P907" s="1095"/>
      <c r="Q907" s="1095"/>
      <c r="R907" s="1095"/>
      <c r="S907" s="1095"/>
      <c r="T907" s="1095"/>
      <c r="U907" s="1095"/>
      <c r="V907" s="1095"/>
      <c r="W907" s="1095"/>
      <c r="X907" s="1095"/>
      <c r="Y907" s="1095"/>
      <c r="Z907" s="1095"/>
      <c r="AA907" s="1095"/>
      <c r="AB907" s="1095"/>
    </row>
    <row r="908">
      <c r="A908" s="1095"/>
      <c r="B908" s="1095"/>
      <c r="C908" s="1095"/>
      <c r="D908" s="1095"/>
      <c r="E908" s="1095"/>
      <c r="F908" s="1095"/>
      <c r="G908" s="1095"/>
      <c r="H908" s="1095"/>
      <c r="I908" s="1095"/>
      <c r="J908" s="1095"/>
      <c r="K908" s="1095"/>
      <c r="L908" s="1095"/>
      <c r="M908" s="1095"/>
      <c r="N908" s="1095"/>
      <c r="O908" s="1095"/>
      <c r="P908" s="1095"/>
      <c r="Q908" s="1095"/>
      <c r="R908" s="1095"/>
      <c r="S908" s="1095"/>
      <c r="T908" s="1095"/>
      <c r="U908" s="1095"/>
      <c r="V908" s="1095"/>
      <c r="W908" s="1095"/>
      <c r="X908" s="1095"/>
      <c r="Y908" s="1095"/>
      <c r="Z908" s="1095"/>
      <c r="AA908" s="1095"/>
      <c r="AB908" s="1095"/>
    </row>
    <row r="909">
      <c r="A909" s="1095"/>
      <c r="B909" s="1095"/>
      <c r="C909" s="1095"/>
      <c r="D909" s="1095"/>
      <c r="E909" s="1095"/>
      <c r="F909" s="1095"/>
      <c r="G909" s="1095"/>
      <c r="H909" s="1095"/>
      <c r="I909" s="1095"/>
      <c r="J909" s="1095"/>
      <c r="K909" s="1095"/>
      <c r="L909" s="1095"/>
      <c r="M909" s="1095"/>
      <c r="N909" s="1095"/>
      <c r="O909" s="1095"/>
      <c r="P909" s="1095"/>
      <c r="Q909" s="1095"/>
      <c r="R909" s="1095"/>
      <c r="S909" s="1095"/>
      <c r="T909" s="1095"/>
      <c r="U909" s="1095"/>
      <c r="V909" s="1095"/>
      <c r="W909" s="1095"/>
      <c r="X909" s="1095"/>
      <c r="Y909" s="1095"/>
      <c r="Z909" s="1095"/>
      <c r="AA909" s="1095"/>
      <c r="AB909" s="1095"/>
    </row>
    <row r="910">
      <c r="A910" s="1095"/>
      <c r="B910" s="1095"/>
      <c r="C910" s="1095"/>
      <c r="D910" s="1095"/>
      <c r="E910" s="1095"/>
      <c r="F910" s="1095"/>
      <c r="G910" s="1095"/>
      <c r="H910" s="1095"/>
      <c r="I910" s="1095"/>
      <c r="J910" s="1095"/>
      <c r="K910" s="1095"/>
      <c r="L910" s="1095"/>
      <c r="M910" s="1095"/>
      <c r="N910" s="1095"/>
      <c r="O910" s="1095"/>
      <c r="P910" s="1095"/>
      <c r="Q910" s="1095"/>
      <c r="R910" s="1095"/>
      <c r="S910" s="1095"/>
      <c r="T910" s="1095"/>
      <c r="U910" s="1095"/>
      <c r="V910" s="1095"/>
      <c r="W910" s="1095"/>
      <c r="X910" s="1095"/>
      <c r="Y910" s="1095"/>
      <c r="Z910" s="1095"/>
      <c r="AA910" s="1095"/>
      <c r="AB910" s="1095"/>
    </row>
    <row r="911">
      <c r="A911" s="1095"/>
      <c r="B911" s="1095"/>
      <c r="C911" s="1095"/>
      <c r="D911" s="1095"/>
      <c r="E911" s="1095"/>
      <c r="F911" s="1095"/>
      <c r="G911" s="1095"/>
      <c r="H911" s="1095"/>
      <c r="I911" s="1095"/>
      <c r="J911" s="1095"/>
      <c r="K911" s="1095"/>
      <c r="L911" s="1095"/>
      <c r="M911" s="1095"/>
      <c r="N911" s="1095"/>
      <c r="O911" s="1095"/>
      <c r="P911" s="1095"/>
      <c r="Q911" s="1095"/>
      <c r="R911" s="1095"/>
      <c r="S911" s="1095"/>
      <c r="T911" s="1095"/>
      <c r="U911" s="1095"/>
      <c r="V911" s="1095"/>
      <c r="W911" s="1095"/>
      <c r="X911" s="1095"/>
      <c r="Y911" s="1095"/>
      <c r="Z911" s="1095"/>
      <c r="AA911" s="1095"/>
      <c r="AB911" s="1095"/>
    </row>
    <row r="912">
      <c r="A912" s="1095"/>
      <c r="B912" s="1095"/>
      <c r="C912" s="1095"/>
      <c r="D912" s="1095"/>
      <c r="E912" s="1095"/>
      <c r="F912" s="1095"/>
      <c r="G912" s="1095"/>
      <c r="H912" s="1095"/>
      <c r="I912" s="1095"/>
      <c r="J912" s="1095"/>
      <c r="K912" s="1095"/>
      <c r="L912" s="1095"/>
      <c r="M912" s="1095"/>
      <c r="N912" s="1095"/>
      <c r="O912" s="1095"/>
      <c r="P912" s="1095"/>
      <c r="Q912" s="1095"/>
      <c r="R912" s="1095"/>
      <c r="S912" s="1095"/>
      <c r="T912" s="1095"/>
      <c r="U912" s="1095"/>
      <c r="V912" s="1095"/>
      <c r="W912" s="1095"/>
      <c r="X912" s="1095"/>
      <c r="Y912" s="1095"/>
      <c r="Z912" s="1095"/>
      <c r="AA912" s="1095"/>
      <c r="AB912" s="1095"/>
    </row>
    <row r="913">
      <c r="A913" s="1095"/>
      <c r="B913" s="1095"/>
      <c r="C913" s="1095"/>
      <c r="D913" s="1095"/>
      <c r="E913" s="1095"/>
      <c r="F913" s="1095"/>
      <c r="G913" s="1095"/>
      <c r="H913" s="1095"/>
      <c r="I913" s="1095"/>
      <c r="J913" s="1095"/>
      <c r="K913" s="1095"/>
      <c r="L913" s="1095"/>
      <c r="M913" s="1095"/>
      <c r="N913" s="1095"/>
      <c r="O913" s="1095"/>
      <c r="P913" s="1095"/>
      <c r="Q913" s="1095"/>
      <c r="R913" s="1095"/>
      <c r="S913" s="1095"/>
      <c r="T913" s="1095"/>
      <c r="U913" s="1095"/>
      <c r="V913" s="1095"/>
      <c r="W913" s="1095"/>
      <c r="X913" s="1095"/>
      <c r="Y913" s="1095"/>
      <c r="Z913" s="1095"/>
      <c r="AA913" s="1095"/>
      <c r="AB913" s="1095"/>
    </row>
    <row r="914">
      <c r="A914" s="1095"/>
      <c r="B914" s="1095"/>
      <c r="C914" s="1095"/>
      <c r="D914" s="1095"/>
      <c r="E914" s="1095"/>
      <c r="F914" s="1095"/>
      <c r="G914" s="1095"/>
      <c r="H914" s="1095"/>
      <c r="I914" s="1095"/>
      <c r="J914" s="1095"/>
      <c r="K914" s="1095"/>
      <c r="L914" s="1095"/>
      <c r="M914" s="1095"/>
      <c r="N914" s="1095"/>
      <c r="O914" s="1095"/>
      <c r="P914" s="1095"/>
      <c r="Q914" s="1095"/>
      <c r="R914" s="1095"/>
      <c r="S914" s="1095"/>
      <c r="T914" s="1095"/>
      <c r="U914" s="1095"/>
      <c r="V914" s="1095"/>
      <c r="W914" s="1095"/>
      <c r="X914" s="1095"/>
      <c r="Y914" s="1095"/>
      <c r="Z914" s="1095"/>
      <c r="AA914" s="1095"/>
      <c r="AB914" s="1095"/>
    </row>
    <row r="915">
      <c r="A915" s="1095"/>
      <c r="B915" s="1095"/>
      <c r="C915" s="1095"/>
      <c r="D915" s="1095"/>
      <c r="E915" s="1095"/>
      <c r="F915" s="1095"/>
      <c r="G915" s="1095"/>
      <c r="H915" s="1095"/>
      <c r="I915" s="1095"/>
      <c r="J915" s="1095"/>
      <c r="K915" s="1095"/>
      <c r="L915" s="1095"/>
      <c r="M915" s="1095"/>
      <c r="N915" s="1095"/>
      <c r="O915" s="1095"/>
      <c r="P915" s="1095"/>
      <c r="Q915" s="1095"/>
      <c r="R915" s="1095"/>
      <c r="S915" s="1095"/>
      <c r="T915" s="1095"/>
      <c r="U915" s="1095"/>
      <c r="V915" s="1095"/>
      <c r="W915" s="1095"/>
      <c r="X915" s="1095"/>
      <c r="Y915" s="1095"/>
      <c r="Z915" s="1095"/>
      <c r="AA915" s="1095"/>
      <c r="AB915" s="1095"/>
    </row>
    <row r="916">
      <c r="A916" s="1095"/>
      <c r="B916" s="1095"/>
      <c r="C916" s="1095"/>
      <c r="D916" s="1095"/>
      <c r="E916" s="1095"/>
      <c r="F916" s="1095"/>
      <c r="G916" s="1095"/>
      <c r="H916" s="1095"/>
      <c r="I916" s="1095"/>
      <c r="J916" s="1095"/>
      <c r="K916" s="1095"/>
      <c r="L916" s="1095"/>
      <c r="M916" s="1095"/>
      <c r="N916" s="1095"/>
      <c r="O916" s="1095"/>
      <c r="P916" s="1095"/>
      <c r="Q916" s="1095"/>
      <c r="R916" s="1095"/>
      <c r="S916" s="1095"/>
      <c r="T916" s="1095"/>
      <c r="U916" s="1095"/>
      <c r="V916" s="1095"/>
      <c r="W916" s="1095"/>
      <c r="X916" s="1095"/>
      <c r="Y916" s="1095"/>
      <c r="Z916" s="1095"/>
      <c r="AA916" s="1095"/>
      <c r="AB916" s="1095"/>
    </row>
    <row r="917">
      <c r="A917" s="1095"/>
      <c r="B917" s="1095"/>
      <c r="C917" s="1095"/>
      <c r="D917" s="1095"/>
      <c r="E917" s="1095"/>
      <c r="F917" s="1095"/>
      <c r="G917" s="1095"/>
      <c r="H917" s="1095"/>
      <c r="I917" s="1095"/>
      <c r="J917" s="1095"/>
      <c r="K917" s="1095"/>
      <c r="L917" s="1095"/>
      <c r="M917" s="1095"/>
      <c r="N917" s="1095"/>
      <c r="O917" s="1095"/>
      <c r="P917" s="1095"/>
      <c r="Q917" s="1095"/>
      <c r="R917" s="1095"/>
      <c r="S917" s="1095"/>
      <c r="T917" s="1095"/>
      <c r="U917" s="1095"/>
      <c r="V917" s="1095"/>
      <c r="W917" s="1095"/>
      <c r="X917" s="1095"/>
      <c r="Y917" s="1095"/>
      <c r="Z917" s="1095"/>
      <c r="AA917" s="1095"/>
      <c r="AB917" s="1095"/>
    </row>
    <row r="918">
      <c r="A918" s="1095"/>
      <c r="B918" s="1095"/>
      <c r="C918" s="1095"/>
      <c r="D918" s="1095"/>
      <c r="E918" s="1095"/>
      <c r="F918" s="1095"/>
      <c r="G918" s="1095"/>
      <c r="H918" s="1095"/>
      <c r="I918" s="1095"/>
      <c r="J918" s="1095"/>
      <c r="K918" s="1095"/>
      <c r="L918" s="1095"/>
      <c r="M918" s="1095"/>
      <c r="N918" s="1095"/>
      <c r="O918" s="1095"/>
      <c r="P918" s="1095"/>
      <c r="Q918" s="1095"/>
      <c r="R918" s="1095"/>
      <c r="S918" s="1095"/>
      <c r="T918" s="1095"/>
      <c r="U918" s="1095"/>
      <c r="V918" s="1095"/>
      <c r="W918" s="1095"/>
      <c r="X918" s="1095"/>
      <c r="Y918" s="1095"/>
      <c r="Z918" s="1095"/>
      <c r="AA918" s="1095"/>
      <c r="AB918" s="1095"/>
    </row>
    <row r="919">
      <c r="A919" s="1095"/>
      <c r="B919" s="1095"/>
      <c r="C919" s="1095"/>
      <c r="D919" s="1095"/>
      <c r="E919" s="1095"/>
      <c r="F919" s="1095"/>
      <c r="G919" s="1095"/>
      <c r="H919" s="1095"/>
      <c r="I919" s="1095"/>
      <c r="J919" s="1095"/>
      <c r="K919" s="1095"/>
      <c r="L919" s="1095"/>
      <c r="M919" s="1095"/>
      <c r="N919" s="1095"/>
      <c r="O919" s="1095"/>
      <c r="P919" s="1095"/>
      <c r="Q919" s="1095"/>
      <c r="R919" s="1095"/>
      <c r="S919" s="1095"/>
      <c r="T919" s="1095"/>
      <c r="U919" s="1095"/>
      <c r="V919" s="1095"/>
      <c r="W919" s="1095"/>
      <c r="X919" s="1095"/>
      <c r="Y919" s="1095"/>
      <c r="Z919" s="1095"/>
      <c r="AA919" s="1095"/>
      <c r="AB919" s="1095"/>
    </row>
    <row r="920">
      <c r="A920" s="1095"/>
      <c r="B920" s="1095"/>
      <c r="C920" s="1095"/>
      <c r="D920" s="1095"/>
      <c r="E920" s="1095"/>
      <c r="F920" s="1095"/>
      <c r="G920" s="1095"/>
      <c r="H920" s="1095"/>
      <c r="I920" s="1095"/>
      <c r="J920" s="1095"/>
      <c r="K920" s="1095"/>
      <c r="L920" s="1095"/>
      <c r="M920" s="1095"/>
      <c r="N920" s="1095"/>
      <c r="O920" s="1095"/>
      <c r="P920" s="1095"/>
      <c r="Q920" s="1095"/>
      <c r="R920" s="1095"/>
      <c r="S920" s="1095"/>
      <c r="T920" s="1095"/>
      <c r="U920" s="1095"/>
      <c r="V920" s="1095"/>
      <c r="W920" s="1095"/>
      <c r="X920" s="1095"/>
      <c r="Y920" s="1095"/>
      <c r="Z920" s="1095"/>
      <c r="AA920" s="1095"/>
      <c r="AB920" s="1095"/>
    </row>
    <row r="921">
      <c r="A921" s="1095"/>
      <c r="B921" s="1095"/>
      <c r="C921" s="1095"/>
      <c r="D921" s="1095"/>
      <c r="E921" s="1095"/>
      <c r="F921" s="1095"/>
      <c r="G921" s="1095"/>
      <c r="H921" s="1095"/>
      <c r="I921" s="1095"/>
      <c r="J921" s="1095"/>
      <c r="K921" s="1095"/>
      <c r="L921" s="1095"/>
      <c r="M921" s="1095"/>
      <c r="N921" s="1095"/>
      <c r="O921" s="1095"/>
      <c r="P921" s="1095"/>
      <c r="Q921" s="1095"/>
      <c r="R921" s="1095"/>
      <c r="S921" s="1095"/>
      <c r="T921" s="1095"/>
      <c r="U921" s="1095"/>
      <c r="V921" s="1095"/>
      <c r="W921" s="1095"/>
      <c r="X921" s="1095"/>
      <c r="Y921" s="1095"/>
      <c r="Z921" s="1095"/>
      <c r="AA921" s="1095"/>
      <c r="AB921" s="1095"/>
    </row>
    <row r="922">
      <c r="A922" s="1095"/>
      <c r="B922" s="1095"/>
      <c r="C922" s="1095"/>
      <c r="D922" s="1095"/>
      <c r="E922" s="1095"/>
      <c r="F922" s="1095"/>
      <c r="G922" s="1095"/>
      <c r="H922" s="1095"/>
      <c r="I922" s="1095"/>
      <c r="J922" s="1095"/>
      <c r="K922" s="1095"/>
      <c r="L922" s="1095"/>
      <c r="M922" s="1095"/>
      <c r="N922" s="1095"/>
      <c r="O922" s="1095"/>
      <c r="P922" s="1095"/>
      <c r="Q922" s="1095"/>
      <c r="R922" s="1095"/>
      <c r="S922" s="1095"/>
      <c r="T922" s="1095"/>
      <c r="U922" s="1095"/>
      <c r="V922" s="1095"/>
      <c r="W922" s="1095"/>
      <c r="X922" s="1095"/>
      <c r="Y922" s="1095"/>
      <c r="Z922" s="1095"/>
      <c r="AA922" s="1095"/>
      <c r="AB922" s="1095"/>
    </row>
    <row r="923">
      <c r="A923" s="1095"/>
      <c r="B923" s="1095"/>
      <c r="C923" s="1095"/>
      <c r="D923" s="1095"/>
      <c r="E923" s="1095"/>
      <c r="F923" s="1095"/>
      <c r="G923" s="1095"/>
      <c r="H923" s="1095"/>
      <c r="I923" s="1095"/>
      <c r="J923" s="1095"/>
      <c r="K923" s="1095"/>
      <c r="L923" s="1095"/>
      <c r="M923" s="1095"/>
      <c r="N923" s="1095"/>
      <c r="O923" s="1095"/>
      <c r="P923" s="1095"/>
      <c r="Q923" s="1095"/>
      <c r="R923" s="1095"/>
      <c r="S923" s="1095"/>
      <c r="T923" s="1095"/>
      <c r="U923" s="1095"/>
      <c r="V923" s="1095"/>
      <c r="W923" s="1095"/>
      <c r="X923" s="1095"/>
      <c r="Y923" s="1095"/>
      <c r="Z923" s="1095"/>
      <c r="AA923" s="1095"/>
      <c r="AB923" s="1095"/>
    </row>
    <row r="924">
      <c r="A924" s="1095"/>
      <c r="B924" s="1095"/>
      <c r="C924" s="1095"/>
      <c r="D924" s="1095"/>
      <c r="E924" s="1095"/>
      <c r="F924" s="1095"/>
      <c r="G924" s="1095"/>
      <c r="H924" s="1095"/>
      <c r="I924" s="1095"/>
      <c r="J924" s="1095"/>
      <c r="K924" s="1095"/>
      <c r="L924" s="1095"/>
      <c r="M924" s="1095"/>
      <c r="N924" s="1095"/>
      <c r="O924" s="1095"/>
      <c r="P924" s="1095"/>
      <c r="Q924" s="1095"/>
      <c r="R924" s="1095"/>
      <c r="S924" s="1095"/>
      <c r="T924" s="1095"/>
      <c r="U924" s="1095"/>
      <c r="V924" s="1095"/>
      <c r="W924" s="1095"/>
      <c r="X924" s="1095"/>
      <c r="Y924" s="1095"/>
      <c r="Z924" s="1095"/>
      <c r="AA924" s="1095"/>
      <c r="AB924" s="1095"/>
    </row>
    <row r="925">
      <c r="A925" s="1095"/>
      <c r="B925" s="1095"/>
      <c r="C925" s="1095"/>
      <c r="D925" s="1095"/>
      <c r="E925" s="1095"/>
      <c r="F925" s="1095"/>
      <c r="G925" s="1095"/>
      <c r="H925" s="1095"/>
      <c r="I925" s="1095"/>
      <c r="J925" s="1095"/>
      <c r="K925" s="1095"/>
      <c r="L925" s="1095"/>
      <c r="M925" s="1095"/>
      <c r="N925" s="1095"/>
      <c r="O925" s="1095"/>
      <c r="P925" s="1095"/>
      <c r="Q925" s="1095"/>
      <c r="R925" s="1095"/>
      <c r="S925" s="1095"/>
      <c r="T925" s="1095"/>
      <c r="U925" s="1095"/>
      <c r="V925" s="1095"/>
      <c r="W925" s="1095"/>
      <c r="X925" s="1095"/>
      <c r="Y925" s="1095"/>
      <c r="Z925" s="1095"/>
      <c r="AA925" s="1095"/>
      <c r="AB925" s="1095"/>
    </row>
    <row r="926">
      <c r="A926" s="1095"/>
      <c r="B926" s="1095"/>
      <c r="C926" s="1095"/>
      <c r="D926" s="1095"/>
      <c r="E926" s="1095"/>
      <c r="F926" s="1095"/>
      <c r="G926" s="1095"/>
      <c r="H926" s="1095"/>
      <c r="I926" s="1095"/>
      <c r="J926" s="1095"/>
      <c r="K926" s="1095"/>
      <c r="L926" s="1095"/>
      <c r="M926" s="1095"/>
      <c r="N926" s="1095"/>
      <c r="O926" s="1095"/>
      <c r="P926" s="1095"/>
      <c r="Q926" s="1095"/>
      <c r="R926" s="1095"/>
      <c r="S926" s="1095"/>
      <c r="T926" s="1095"/>
      <c r="U926" s="1095"/>
      <c r="V926" s="1095"/>
      <c r="W926" s="1095"/>
      <c r="X926" s="1095"/>
      <c r="Y926" s="1095"/>
      <c r="Z926" s="1095"/>
      <c r="AA926" s="1095"/>
      <c r="AB926" s="1095"/>
    </row>
    <row r="927">
      <c r="A927" s="1095"/>
      <c r="B927" s="1095"/>
      <c r="C927" s="1095"/>
      <c r="D927" s="1095"/>
      <c r="E927" s="1095"/>
      <c r="F927" s="1095"/>
      <c r="G927" s="1095"/>
      <c r="H927" s="1095"/>
      <c r="I927" s="1095"/>
      <c r="J927" s="1095"/>
      <c r="K927" s="1095"/>
      <c r="L927" s="1095"/>
      <c r="M927" s="1095"/>
      <c r="N927" s="1095"/>
      <c r="O927" s="1095"/>
      <c r="P927" s="1095"/>
      <c r="Q927" s="1095"/>
      <c r="R927" s="1095"/>
      <c r="S927" s="1095"/>
      <c r="T927" s="1095"/>
      <c r="U927" s="1095"/>
      <c r="V927" s="1095"/>
      <c r="W927" s="1095"/>
      <c r="X927" s="1095"/>
      <c r="Y927" s="1095"/>
      <c r="Z927" s="1095"/>
      <c r="AA927" s="1095"/>
      <c r="AB927" s="1095"/>
    </row>
    <row r="928">
      <c r="A928" s="1095"/>
      <c r="B928" s="1095"/>
      <c r="C928" s="1095"/>
      <c r="D928" s="1095"/>
      <c r="E928" s="1095"/>
      <c r="F928" s="1095"/>
      <c r="G928" s="1095"/>
      <c r="H928" s="1095"/>
      <c r="I928" s="1095"/>
      <c r="J928" s="1095"/>
      <c r="K928" s="1095"/>
      <c r="L928" s="1095"/>
      <c r="M928" s="1095"/>
      <c r="N928" s="1095"/>
      <c r="O928" s="1095"/>
      <c r="P928" s="1095"/>
      <c r="Q928" s="1095"/>
      <c r="R928" s="1095"/>
      <c r="S928" s="1095"/>
      <c r="T928" s="1095"/>
      <c r="U928" s="1095"/>
      <c r="V928" s="1095"/>
      <c r="W928" s="1095"/>
      <c r="X928" s="1095"/>
      <c r="Y928" s="1095"/>
      <c r="Z928" s="1095"/>
      <c r="AA928" s="1095"/>
      <c r="AB928" s="1095"/>
    </row>
    <row r="929">
      <c r="A929" s="1095"/>
      <c r="B929" s="1095"/>
      <c r="C929" s="1095"/>
      <c r="D929" s="1095"/>
      <c r="E929" s="1095"/>
      <c r="F929" s="1095"/>
      <c r="G929" s="1095"/>
      <c r="H929" s="1095"/>
      <c r="I929" s="1095"/>
      <c r="J929" s="1095"/>
      <c r="K929" s="1095"/>
      <c r="L929" s="1095"/>
      <c r="M929" s="1095"/>
      <c r="N929" s="1095"/>
      <c r="O929" s="1095"/>
      <c r="P929" s="1095"/>
      <c r="Q929" s="1095"/>
      <c r="R929" s="1095"/>
      <c r="S929" s="1095"/>
      <c r="T929" s="1095"/>
      <c r="U929" s="1095"/>
      <c r="V929" s="1095"/>
      <c r="W929" s="1095"/>
      <c r="X929" s="1095"/>
      <c r="Y929" s="1095"/>
      <c r="Z929" s="1095"/>
      <c r="AA929" s="1095"/>
      <c r="AB929" s="1095"/>
    </row>
    <row r="930">
      <c r="A930" s="1095"/>
      <c r="B930" s="1095"/>
      <c r="C930" s="1095"/>
      <c r="D930" s="1095"/>
      <c r="E930" s="1095"/>
      <c r="F930" s="1095"/>
      <c r="G930" s="1095"/>
      <c r="H930" s="1095"/>
      <c r="I930" s="1095"/>
      <c r="J930" s="1095"/>
      <c r="K930" s="1095"/>
      <c r="L930" s="1095"/>
      <c r="M930" s="1095"/>
      <c r="N930" s="1095"/>
      <c r="O930" s="1095"/>
      <c r="P930" s="1095"/>
      <c r="Q930" s="1095"/>
      <c r="R930" s="1095"/>
      <c r="S930" s="1095"/>
      <c r="T930" s="1095"/>
      <c r="U930" s="1095"/>
      <c r="V930" s="1095"/>
      <c r="W930" s="1095"/>
      <c r="X930" s="1095"/>
      <c r="Y930" s="1095"/>
      <c r="Z930" s="1095"/>
      <c r="AA930" s="1095"/>
      <c r="AB930" s="1095"/>
    </row>
    <row r="931">
      <c r="A931" s="1095"/>
      <c r="B931" s="1095"/>
      <c r="C931" s="1095"/>
      <c r="D931" s="1095"/>
      <c r="E931" s="1095"/>
      <c r="F931" s="1095"/>
      <c r="G931" s="1095"/>
      <c r="H931" s="1095"/>
      <c r="I931" s="1095"/>
      <c r="J931" s="1095"/>
      <c r="K931" s="1095"/>
      <c r="L931" s="1095"/>
      <c r="M931" s="1095"/>
      <c r="N931" s="1095"/>
      <c r="O931" s="1095"/>
      <c r="P931" s="1095"/>
      <c r="Q931" s="1095"/>
      <c r="R931" s="1095"/>
      <c r="S931" s="1095"/>
      <c r="T931" s="1095"/>
      <c r="U931" s="1095"/>
      <c r="V931" s="1095"/>
      <c r="W931" s="1095"/>
      <c r="X931" s="1095"/>
      <c r="Y931" s="1095"/>
      <c r="Z931" s="1095"/>
      <c r="AA931" s="1095"/>
      <c r="AB931" s="1095"/>
    </row>
    <row r="932">
      <c r="A932" s="1095"/>
      <c r="B932" s="1095"/>
      <c r="C932" s="1095"/>
      <c r="D932" s="1095"/>
      <c r="E932" s="1095"/>
      <c r="F932" s="1095"/>
      <c r="G932" s="1095"/>
      <c r="H932" s="1095"/>
      <c r="I932" s="1095"/>
      <c r="J932" s="1095"/>
      <c r="K932" s="1095"/>
      <c r="L932" s="1095"/>
      <c r="M932" s="1095"/>
      <c r="N932" s="1095"/>
      <c r="O932" s="1095"/>
      <c r="P932" s="1095"/>
      <c r="Q932" s="1095"/>
      <c r="R932" s="1095"/>
      <c r="S932" s="1095"/>
      <c r="T932" s="1095"/>
      <c r="U932" s="1095"/>
      <c r="V932" s="1095"/>
      <c r="W932" s="1095"/>
      <c r="X932" s="1095"/>
      <c r="Y932" s="1095"/>
      <c r="Z932" s="1095"/>
      <c r="AA932" s="1095"/>
      <c r="AB932" s="1095"/>
    </row>
    <row r="933">
      <c r="A933" s="1095"/>
      <c r="B933" s="1095"/>
      <c r="C933" s="1095"/>
      <c r="D933" s="1095"/>
      <c r="E933" s="1095"/>
      <c r="F933" s="1095"/>
      <c r="G933" s="1095"/>
      <c r="H933" s="1095"/>
      <c r="I933" s="1095"/>
      <c r="J933" s="1095"/>
      <c r="K933" s="1095"/>
      <c r="L933" s="1095"/>
      <c r="M933" s="1095"/>
      <c r="N933" s="1095"/>
      <c r="O933" s="1095"/>
      <c r="P933" s="1095"/>
      <c r="Q933" s="1095"/>
      <c r="R933" s="1095"/>
      <c r="S933" s="1095"/>
      <c r="T933" s="1095"/>
      <c r="U933" s="1095"/>
      <c r="V933" s="1095"/>
      <c r="W933" s="1095"/>
      <c r="X933" s="1095"/>
      <c r="Y933" s="1095"/>
      <c r="Z933" s="1095"/>
      <c r="AA933" s="1095"/>
      <c r="AB933" s="1095"/>
    </row>
    <row r="934">
      <c r="A934" s="1095"/>
      <c r="B934" s="1095"/>
      <c r="C934" s="1095"/>
      <c r="D934" s="1095"/>
      <c r="E934" s="1095"/>
      <c r="F934" s="1095"/>
      <c r="G934" s="1095"/>
      <c r="H934" s="1095"/>
      <c r="I934" s="1095"/>
      <c r="J934" s="1095"/>
      <c r="K934" s="1095"/>
      <c r="L934" s="1095"/>
      <c r="M934" s="1095"/>
      <c r="N934" s="1095"/>
      <c r="O934" s="1095"/>
      <c r="P934" s="1095"/>
      <c r="Q934" s="1095"/>
      <c r="R934" s="1095"/>
      <c r="S934" s="1095"/>
      <c r="T934" s="1095"/>
      <c r="U934" s="1095"/>
      <c r="V934" s="1095"/>
      <c r="W934" s="1095"/>
      <c r="X934" s="1095"/>
      <c r="Y934" s="1095"/>
      <c r="Z934" s="1095"/>
      <c r="AA934" s="1095"/>
      <c r="AB934" s="1095"/>
    </row>
    <row r="935">
      <c r="A935" s="1095"/>
      <c r="B935" s="1095"/>
      <c r="C935" s="1095"/>
      <c r="D935" s="1095"/>
      <c r="E935" s="1095"/>
      <c r="F935" s="1095"/>
      <c r="G935" s="1095"/>
      <c r="H935" s="1095"/>
      <c r="I935" s="1095"/>
      <c r="J935" s="1095"/>
      <c r="K935" s="1095"/>
      <c r="L935" s="1095"/>
      <c r="M935" s="1095"/>
      <c r="N935" s="1095"/>
      <c r="O935" s="1095"/>
      <c r="P935" s="1095"/>
      <c r="Q935" s="1095"/>
      <c r="R935" s="1095"/>
      <c r="S935" s="1095"/>
      <c r="T935" s="1095"/>
      <c r="U935" s="1095"/>
      <c r="V935" s="1095"/>
      <c r="W935" s="1095"/>
      <c r="X935" s="1095"/>
      <c r="Y935" s="1095"/>
      <c r="Z935" s="1095"/>
      <c r="AA935" s="1095"/>
      <c r="AB935" s="1095"/>
    </row>
    <row r="936">
      <c r="A936" s="1095"/>
      <c r="B936" s="1095"/>
      <c r="C936" s="1095"/>
      <c r="D936" s="1095"/>
      <c r="E936" s="1095"/>
      <c r="F936" s="1095"/>
      <c r="G936" s="1095"/>
      <c r="H936" s="1095"/>
      <c r="I936" s="1095"/>
      <c r="J936" s="1095"/>
      <c r="K936" s="1095"/>
      <c r="L936" s="1095"/>
      <c r="M936" s="1095"/>
      <c r="N936" s="1095"/>
      <c r="O936" s="1095"/>
      <c r="P936" s="1095"/>
      <c r="Q936" s="1095"/>
      <c r="R936" s="1095"/>
      <c r="S936" s="1095"/>
      <c r="T936" s="1095"/>
      <c r="U936" s="1095"/>
      <c r="V936" s="1095"/>
      <c r="W936" s="1095"/>
      <c r="X936" s="1095"/>
      <c r="Y936" s="1095"/>
      <c r="Z936" s="1095"/>
      <c r="AA936" s="1095"/>
      <c r="AB936" s="1095"/>
    </row>
    <row r="937">
      <c r="A937" s="1095"/>
      <c r="B937" s="1095"/>
      <c r="C937" s="1095"/>
      <c r="D937" s="1095"/>
      <c r="E937" s="1095"/>
      <c r="F937" s="1095"/>
      <c r="G937" s="1095"/>
      <c r="H937" s="1095"/>
      <c r="I937" s="1095"/>
      <c r="J937" s="1095"/>
      <c r="K937" s="1095"/>
      <c r="L937" s="1095"/>
      <c r="M937" s="1095"/>
      <c r="N937" s="1095"/>
      <c r="O937" s="1095"/>
      <c r="P937" s="1095"/>
      <c r="Q937" s="1095"/>
      <c r="R937" s="1095"/>
      <c r="S937" s="1095"/>
      <c r="T937" s="1095"/>
      <c r="U937" s="1095"/>
      <c r="V937" s="1095"/>
      <c r="W937" s="1095"/>
      <c r="X937" s="1095"/>
      <c r="Y937" s="1095"/>
      <c r="Z937" s="1095"/>
      <c r="AA937" s="1095"/>
      <c r="AB937" s="1095"/>
    </row>
    <row r="938">
      <c r="A938" s="1095"/>
      <c r="B938" s="1095"/>
      <c r="C938" s="1095"/>
      <c r="D938" s="1095"/>
      <c r="E938" s="1095"/>
      <c r="F938" s="1095"/>
      <c r="G938" s="1095"/>
      <c r="H938" s="1095"/>
      <c r="I938" s="1095"/>
      <c r="J938" s="1095"/>
      <c r="K938" s="1095"/>
      <c r="L938" s="1095"/>
      <c r="M938" s="1095"/>
      <c r="N938" s="1095"/>
      <c r="O938" s="1095"/>
      <c r="P938" s="1095"/>
      <c r="Q938" s="1095"/>
      <c r="R938" s="1095"/>
      <c r="S938" s="1095"/>
      <c r="T938" s="1095"/>
      <c r="U938" s="1095"/>
      <c r="V938" s="1095"/>
      <c r="W938" s="1095"/>
      <c r="X938" s="1095"/>
      <c r="Y938" s="1095"/>
      <c r="Z938" s="1095"/>
      <c r="AA938" s="1095"/>
      <c r="AB938" s="1095"/>
    </row>
    <row r="939">
      <c r="A939" s="1095"/>
      <c r="B939" s="1095"/>
      <c r="C939" s="1095"/>
      <c r="D939" s="1095"/>
      <c r="E939" s="1095"/>
      <c r="F939" s="1095"/>
      <c r="G939" s="1095"/>
      <c r="H939" s="1095"/>
      <c r="I939" s="1095"/>
      <c r="J939" s="1095"/>
      <c r="K939" s="1095"/>
      <c r="L939" s="1095"/>
      <c r="M939" s="1095"/>
      <c r="N939" s="1095"/>
      <c r="O939" s="1095"/>
      <c r="P939" s="1095"/>
      <c r="Q939" s="1095"/>
      <c r="R939" s="1095"/>
      <c r="S939" s="1095"/>
      <c r="T939" s="1095"/>
      <c r="U939" s="1095"/>
      <c r="V939" s="1095"/>
      <c r="W939" s="1095"/>
      <c r="X939" s="1095"/>
      <c r="Y939" s="1095"/>
      <c r="Z939" s="1095"/>
      <c r="AA939" s="1095"/>
      <c r="AB939" s="1095"/>
    </row>
    <row r="940">
      <c r="A940" s="1095"/>
      <c r="B940" s="1095"/>
      <c r="C940" s="1095"/>
      <c r="D940" s="1095"/>
      <c r="E940" s="1095"/>
      <c r="F940" s="1095"/>
      <c r="G940" s="1095"/>
      <c r="H940" s="1095"/>
      <c r="I940" s="1095"/>
      <c r="J940" s="1095"/>
      <c r="K940" s="1095"/>
      <c r="L940" s="1095"/>
      <c r="M940" s="1095"/>
      <c r="N940" s="1095"/>
      <c r="O940" s="1095"/>
      <c r="P940" s="1095"/>
      <c r="Q940" s="1095"/>
      <c r="R940" s="1095"/>
      <c r="S940" s="1095"/>
      <c r="T940" s="1095"/>
      <c r="U940" s="1095"/>
      <c r="V940" s="1095"/>
      <c r="W940" s="1095"/>
      <c r="X940" s="1095"/>
      <c r="Y940" s="1095"/>
      <c r="Z940" s="1095"/>
      <c r="AA940" s="1095"/>
      <c r="AB940" s="1095"/>
    </row>
    <row r="941">
      <c r="A941" s="1095"/>
      <c r="B941" s="1095"/>
      <c r="C941" s="1095"/>
      <c r="D941" s="1095"/>
      <c r="E941" s="1095"/>
      <c r="F941" s="1095"/>
      <c r="G941" s="1095"/>
      <c r="H941" s="1095"/>
      <c r="I941" s="1095"/>
      <c r="J941" s="1095"/>
      <c r="K941" s="1095"/>
      <c r="L941" s="1095"/>
      <c r="M941" s="1095"/>
      <c r="N941" s="1095"/>
      <c r="O941" s="1095"/>
      <c r="P941" s="1095"/>
      <c r="Q941" s="1095"/>
      <c r="R941" s="1095"/>
      <c r="S941" s="1095"/>
      <c r="T941" s="1095"/>
      <c r="U941" s="1095"/>
      <c r="V941" s="1095"/>
      <c r="W941" s="1095"/>
      <c r="X941" s="1095"/>
      <c r="Y941" s="1095"/>
      <c r="Z941" s="1095"/>
      <c r="AA941" s="1095"/>
      <c r="AB941" s="1095"/>
    </row>
    <row r="942">
      <c r="A942" s="1095"/>
      <c r="B942" s="1095"/>
      <c r="C942" s="1095"/>
      <c r="D942" s="1095"/>
      <c r="E942" s="1095"/>
      <c r="F942" s="1095"/>
      <c r="G942" s="1095"/>
      <c r="H942" s="1095"/>
      <c r="I942" s="1095"/>
      <c r="J942" s="1095"/>
      <c r="K942" s="1095"/>
      <c r="L942" s="1095"/>
      <c r="M942" s="1095"/>
      <c r="N942" s="1095"/>
      <c r="O942" s="1095"/>
      <c r="P942" s="1095"/>
      <c r="Q942" s="1095"/>
      <c r="R942" s="1095"/>
      <c r="S942" s="1095"/>
      <c r="T942" s="1095"/>
      <c r="U942" s="1095"/>
      <c r="V942" s="1095"/>
      <c r="W942" s="1095"/>
      <c r="X942" s="1095"/>
      <c r="Y942" s="1095"/>
      <c r="Z942" s="1095"/>
      <c r="AA942" s="1095"/>
      <c r="AB942" s="1095"/>
    </row>
    <row r="943">
      <c r="A943" s="1095"/>
      <c r="B943" s="1095"/>
      <c r="C943" s="1095"/>
      <c r="D943" s="1095"/>
      <c r="E943" s="1095"/>
      <c r="F943" s="1095"/>
      <c r="G943" s="1095"/>
      <c r="H943" s="1095"/>
      <c r="I943" s="1095"/>
      <c r="J943" s="1095"/>
      <c r="K943" s="1095"/>
      <c r="L943" s="1095"/>
      <c r="M943" s="1095"/>
      <c r="N943" s="1095"/>
      <c r="O943" s="1095"/>
      <c r="P943" s="1095"/>
      <c r="Q943" s="1095"/>
      <c r="R943" s="1095"/>
      <c r="S943" s="1095"/>
      <c r="T943" s="1095"/>
      <c r="U943" s="1095"/>
      <c r="V943" s="1095"/>
      <c r="W943" s="1095"/>
      <c r="X943" s="1095"/>
      <c r="Y943" s="1095"/>
      <c r="Z943" s="1095"/>
      <c r="AA943" s="1095"/>
      <c r="AB943" s="1095"/>
    </row>
    <row r="944">
      <c r="A944" s="1095"/>
      <c r="B944" s="1095"/>
      <c r="C944" s="1095"/>
      <c r="D944" s="1095"/>
      <c r="E944" s="1095"/>
      <c r="F944" s="1095"/>
      <c r="G944" s="1095"/>
      <c r="H944" s="1095"/>
      <c r="I944" s="1095"/>
      <c r="J944" s="1095"/>
      <c r="K944" s="1095"/>
      <c r="L944" s="1095"/>
      <c r="M944" s="1095"/>
      <c r="N944" s="1095"/>
      <c r="O944" s="1095"/>
      <c r="P944" s="1095"/>
      <c r="Q944" s="1095"/>
      <c r="R944" s="1095"/>
      <c r="S944" s="1095"/>
      <c r="T944" s="1095"/>
      <c r="U944" s="1095"/>
      <c r="V944" s="1095"/>
      <c r="W944" s="1095"/>
      <c r="X944" s="1095"/>
      <c r="Y944" s="1095"/>
      <c r="Z944" s="1095"/>
      <c r="AA944" s="1095"/>
      <c r="AB944" s="1095"/>
    </row>
    <row r="945">
      <c r="A945" s="1095"/>
      <c r="B945" s="1095"/>
      <c r="C945" s="1095"/>
      <c r="D945" s="1095"/>
      <c r="E945" s="1095"/>
      <c r="F945" s="1095"/>
      <c r="G945" s="1095"/>
      <c r="H945" s="1095"/>
      <c r="I945" s="1095"/>
      <c r="J945" s="1095"/>
      <c r="K945" s="1095"/>
      <c r="L945" s="1095"/>
      <c r="M945" s="1095"/>
      <c r="N945" s="1095"/>
      <c r="O945" s="1095"/>
      <c r="P945" s="1095"/>
      <c r="Q945" s="1095"/>
      <c r="R945" s="1095"/>
      <c r="S945" s="1095"/>
      <c r="T945" s="1095"/>
      <c r="U945" s="1095"/>
      <c r="V945" s="1095"/>
      <c r="W945" s="1095"/>
      <c r="X945" s="1095"/>
      <c r="Y945" s="1095"/>
      <c r="Z945" s="1095"/>
      <c r="AA945" s="1095"/>
      <c r="AB945" s="1095"/>
    </row>
    <row r="946">
      <c r="A946" s="1095"/>
      <c r="B946" s="1095"/>
      <c r="C946" s="1095"/>
      <c r="D946" s="1095"/>
      <c r="E946" s="1095"/>
      <c r="F946" s="1095"/>
      <c r="G946" s="1095"/>
      <c r="H946" s="1095"/>
      <c r="I946" s="1095"/>
      <c r="J946" s="1095"/>
      <c r="K946" s="1095"/>
      <c r="L946" s="1095"/>
      <c r="M946" s="1095"/>
      <c r="N946" s="1095"/>
      <c r="O946" s="1095"/>
      <c r="P946" s="1095"/>
      <c r="Q946" s="1095"/>
      <c r="R946" s="1095"/>
      <c r="S946" s="1095"/>
      <c r="T946" s="1095"/>
      <c r="U946" s="1095"/>
      <c r="V946" s="1095"/>
      <c r="W946" s="1095"/>
      <c r="X946" s="1095"/>
      <c r="Y946" s="1095"/>
      <c r="Z946" s="1095"/>
      <c r="AA946" s="1095"/>
      <c r="AB946" s="1095"/>
    </row>
    <row r="947">
      <c r="A947" s="1095"/>
      <c r="B947" s="1095"/>
      <c r="C947" s="1095"/>
      <c r="D947" s="1095"/>
      <c r="E947" s="1095"/>
      <c r="F947" s="1095"/>
      <c r="G947" s="1095"/>
      <c r="H947" s="1095"/>
      <c r="I947" s="1095"/>
      <c r="J947" s="1095"/>
      <c r="K947" s="1095"/>
      <c r="L947" s="1095"/>
      <c r="M947" s="1095"/>
      <c r="N947" s="1095"/>
      <c r="O947" s="1095"/>
      <c r="P947" s="1095"/>
      <c r="Q947" s="1095"/>
      <c r="R947" s="1095"/>
      <c r="S947" s="1095"/>
      <c r="T947" s="1095"/>
      <c r="U947" s="1095"/>
      <c r="V947" s="1095"/>
      <c r="W947" s="1095"/>
      <c r="X947" s="1095"/>
      <c r="Y947" s="1095"/>
      <c r="Z947" s="1095"/>
      <c r="AA947" s="1095"/>
      <c r="AB947" s="1095"/>
    </row>
    <row r="948">
      <c r="A948" s="1095"/>
      <c r="B948" s="1095"/>
      <c r="C948" s="1095"/>
      <c r="D948" s="1095"/>
      <c r="E948" s="1095"/>
      <c r="F948" s="1095"/>
      <c r="G948" s="1095"/>
      <c r="H948" s="1095"/>
      <c r="I948" s="1095"/>
      <c r="J948" s="1095"/>
      <c r="K948" s="1095"/>
      <c r="L948" s="1095"/>
      <c r="M948" s="1095"/>
      <c r="N948" s="1095"/>
      <c r="O948" s="1095"/>
      <c r="P948" s="1095"/>
      <c r="Q948" s="1095"/>
      <c r="R948" s="1095"/>
      <c r="S948" s="1095"/>
      <c r="T948" s="1095"/>
      <c r="U948" s="1095"/>
      <c r="V948" s="1095"/>
      <c r="W948" s="1095"/>
      <c r="X948" s="1095"/>
      <c r="Y948" s="1095"/>
      <c r="Z948" s="1095"/>
      <c r="AA948" s="1095"/>
      <c r="AB948" s="1095"/>
    </row>
    <row r="949">
      <c r="A949" s="1095"/>
      <c r="B949" s="1095"/>
      <c r="C949" s="1095"/>
      <c r="D949" s="1095"/>
      <c r="E949" s="1095"/>
      <c r="F949" s="1095"/>
      <c r="G949" s="1095"/>
      <c r="H949" s="1095"/>
      <c r="I949" s="1095"/>
      <c r="J949" s="1095"/>
      <c r="K949" s="1095"/>
      <c r="L949" s="1095"/>
      <c r="M949" s="1095"/>
      <c r="N949" s="1095"/>
      <c r="O949" s="1095"/>
      <c r="P949" s="1095"/>
      <c r="Q949" s="1095"/>
      <c r="R949" s="1095"/>
      <c r="S949" s="1095"/>
      <c r="T949" s="1095"/>
      <c r="U949" s="1095"/>
      <c r="V949" s="1095"/>
      <c r="W949" s="1095"/>
      <c r="X949" s="1095"/>
      <c r="Y949" s="1095"/>
      <c r="Z949" s="1095"/>
      <c r="AA949" s="1095"/>
      <c r="AB949" s="1095"/>
    </row>
    <row r="950">
      <c r="A950" s="1095"/>
      <c r="B950" s="1095"/>
      <c r="C950" s="1095"/>
      <c r="D950" s="1095"/>
      <c r="E950" s="1095"/>
      <c r="F950" s="1095"/>
      <c r="G950" s="1095"/>
      <c r="H950" s="1095"/>
      <c r="I950" s="1095"/>
      <c r="J950" s="1095"/>
      <c r="K950" s="1095"/>
      <c r="L950" s="1095"/>
      <c r="M950" s="1095"/>
      <c r="N950" s="1095"/>
      <c r="O950" s="1095"/>
      <c r="P950" s="1095"/>
      <c r="Q950" s="1095"/>
      <c r="R950" s="1095"/>
      <c r="S950" s="1095"/>
      <c r="T950" s="1095"/>
      <c r="U950" s="1095"/>
      <c r="V950" s="1095"/>
      <c r="W950" s="1095"/>
      <c r="X950" s="1095"/>
      <c r="Y950" s="1095"/>
      <c r="Z950" s="1095"/>
      <c r="AA950" s="1095"/>
      <c r="AB950" s="1095"/>
    </row>
    <row r="951">
      <c r="A951" s="1095"/>
      <c r="B951" s="1095"/>
      <c r="C951" s="1095"/>
      <c r="D951" s="1095"/>
      <c r="E951" s="1095"/>
      <c r="F951" s="1095"/>
      <c r="G951" s="1095"/>
      <c r="H951" s="1095"/>
      <c r="I951" s="1095"/>
      <c r="J951" s="1095"/>
      <c r="K951" s="1095"/>
      <c r="L951" s="1095"/>
      <c r="M951" s="1095"/>
      <c r="N951" s="1095"/>
      <c r="O951" s="1095"/>
      <c r="P951" s="1095"/>
      <c r="Q951" s="1095"/>
      <c r="R951" s="1095"/>
      <c r="S951" s="1095"/>
      <c r="T951" s="1095"/>
      <c r="U951" s="1095"/>
      <c r="V951" s="1095"/>
      <c r="W951" s="1095"/>
      <c r="X951" s="1095"/>
      <c r="Y951" s="1095"/>
      <c r="Z951" s="1095"/>
      <c r="AA951" s="1095"/>
      <c r="AB951" s="1095"/>
    </row>
    <row r="952">
      <c r="A952" s="1095"/>
      <c r="B952" s="1095"/>
      <c r="C952" s="1095"/>
      <c r="D952" s="1095"/>
      <c r="E952" s="1095"/>
      <c r="F952" s="1095"/>
      <c r="G952" s="1095"/>
      <c r="H952" s="1095"/>
      <c r="I952" s="1095"/>
      <c r="J952" s="1095"/>
      <c r="K952" s="1095"/>
      <c r="L952" s="1095"/>
      <c r="M952" s="1095"/>
      <c r="N952" s="1095"/>
      <c r="O952" s="1095"/>
      <c r="P952" s="1095"/>
      <c r="Q952" s="1095"/>
      <c r="R952" s="1095"/>
      <c r="S952" s="1095"/>
      <c r="T952" s="1095"/>
      <c r="U952" s="1095"/>
      <c r="V952" s="1095"/>
      <c r="W952" s="1095"/>
      <c r="X952" s="1095"/>
      <c r="Y952" s="1095"/>
      <c r="Z952" s="1095"/>
      <c r="AA952" s="1095"/>
      <c r="AB952" s="1095"/>
    </row>
    <row r="953">
      <c r="A953" s="1095"/>
      <c r="B953" s="1095"/>
      <c r="C953" s="1095"/>
      <c r="D953" s="1095"/>
      <c r="E953" s="1095"/>
      <c r="F953" s="1095"/>
      <c r="G953" s="1095"/>
      <c r="H953" s="1095"/>
      <c r="I953" s="1095"/>
      <c r="J953" s="1095"/>
      <c r="K953" s="1095"/>
      <c r="L953" s="1095"/>
      <c r="M953" s="1095"/>
      <c r="N953" s="1095"/>
      <c r="O953" s="1095"/>
      <c r="P953" s="1095"/>
      <c r="Q953" s="1095"/>
      <c r="R953" s="1095"/>
      <c r="S953" s="1095"/>
      <c r="T953" s="1095"/>
      <c r="U953" s="1095"/>
      <c r="V953" s="1095"/>
      <c r="W953" s="1095"/>
      <c r="X953" s="1095"/>
      <c r="Y953" s="1095"/>
      <c r="Z953" s="1095"/>
      <c r="AA953" s="1095"/>
      <c r="AB953" s="1095"/>
    </row>
    <row r="954">
      <c r="A954" s="1095"/>
      <c r="B954" s="1095"/>
      <c r="C954" s="1095"/>
      <c r="D954" s="1095"/>
      <c r="E954" s="1095"/>
      <c r="F954" s="1095"/>
      <c r="G954" s="1095"/>
      <c r="H954" s="1095"/>
      <c r="I954" s="1095"/>
      <c r="J954" s="1095"/>
      <c r="K954" s="1095"/>
      <c r="L954" s="1095"/>
      <c r="M954" s="1095"/>
      <c r="N954" s="1095"/>
      <c r="O954" s="1095"/>
      <c r="P954" s="1095"/>
      <c r="Q954" s="1095"/>
      <c r="R954" s="1095"/>
      <c r="S954" s="1095"/>
      <c r="T954" s="1095"/>
      <c r="U954" s="1095"/>
      <c r="V954" s="1095"/>
      <c r="W954" s="1095"/>
      <c r="X954" s="1095"/>
      <c r="Y954" s="1095"/>
      <c r="Z954" s="1095"/>
      <c r="AA954" s="1095"/>
      <c r="AB954" s="1095"/>
    </row>
    <row r="955">
      <c r="A955" s="1095"/>
      <c r="B955" s="1095"/>
      <c r="C955" s="1095"/>
      <c r="D955" s="1095"/>
      <c r="E955" s="1095"/>
      <c r="F955" s="1095"/>
      <c r="G955" s="1095"/>
      <c r="H955" s="1095"/>
      <c r="I955" s="1095"/>
      <c r="J955" s="1095"/>
      <c r="K955" s="1095"/>
      <c r="L955" s="1095"/>
      <c r="M955" s="1095"/>
      <c r="N955" s="1095"/>
      <c r="O955" s="1095"/>
      <c r="P955" s="1095"/>
      <c r="Q955" s="1095"/>
      <c r="R955" s="1095"/>
      <c r="S955" s="1095"/>
      <c r="T955" s="1095"/>
      <c r="U955" s="1095"/>
      <c r="V955" s="1095"/>
      <c r="W955" s="1095"/>
      <c r="X955" s="1095"/>
      <c r="Y955" s="1095"/>
      <c r="Z955" s="1095"/>
      <c r="AA955" s="1095"/>
      <c r="AB955" s="1095"/>
    </row>
    <row r="956">
      <c r="A956" s="1095"/>
      <c r="B956" s="1095"/>
      <c r="C956" s="1095"/>
      <c r="D956" s="1095"/>
      <c r="E956" s="1095"/>
      <c r="F956" s="1095"/>
      <c r="G956" s="1095"/>
      <c r="H956" s="1095"/>
      <c r="I956" s="1095"/>
      <c r="J956" s="1095"/>
      <c r="K956" s="1095"/>
      <c r="L956" s="1095"/>
      <c r="M956" s="1095"/>
      <c r="N956" s="1095"/>
      <c r="O956" s="1095"/>
      <c r="P956" s="1095"/>
      <c r="Q956" s="1095"/>
      <c r="R956" s="1095"/>
      <c r="S956" s="1095"/>
      <c r="T956" s="1095"/>
      <c r="U956" s="1095"/>
      <c r="V956" s="1095"/>
      <c r="W956" s="1095"/>
      <c r="X956" s="1095"/>
      <c r="Y956" s="1095"/>
      <c r="Z956" s="1095"/>
      <c r="AA956" s="1095"/>
      <c r="AB956" s="1095"/>
    </row>
    <row r="957">
      <c r="A957" s="1095"/>
      <c r="B957" s="1095"/>
      <c r="C957" s="1095"/>
      <c r="D957" s="1095"/>
      <c r="E957" s="1095"/>
      <c r="F957" s="1095"/>
      <c r="G957" s="1095"/>
      <c r="H957" s="1095"/>
      <c r="I957" s="1095"/>
      <c r="J957" s="1095"/>
      <c r="K957" s="1095"/>
      <c r="L957" s="1095"/>
      <c r="M957" s="1095"/>
      <c r="N957" s="1095"/>
      <c r="O957" s="1095"/>
      <c r="P957" s="1095"/>
      <c r="Q957" s="1095"/>
      <c r="R957" s="1095"/>
      <c r="S957" s="1095"/>
      <c r="T957" s="1095"/>
      <c r="U957" s="1095"/>
      <c r="V957" s="1095"/>
      <c r="W957" s="1095"/>
      <c r="X957" s="1095"/>
      <c r="Y957" s="1095"/>
      <c r="Z957" s="1095"/>
      <c r="AA957" s="1095"/>
      <c r="AB957" s="1095"/>
    </row>
    <row r="958">
      <c r="A958" s="1095"/>
      <c r="B958" s="1095"/>
      <c r="C958" s="1095"/>
      <c r="D958" s="1095"/>
      <c r="E958" s="1095"/>
      <c r="F958" s="1095"/>
      <c r="G958" s="1095"/>
      <c r="H958" s="1095"/>
      <c r="I958" s="1095"/>
      <c r="J958" s="1095"/>
      <c r="K958" s="1095"/>
      <c r="L958" s="1095"/>
      <c r="M958" s="1095"/>
      <c r="N958" s="1095"/>
      <c r="O958" s="1095"/>
      <c r="P958" s="1095"/>
      <c r="Q958" s="1095"/>
      <c r="R958" s="1095"/>
      <c r="S958" s="1095"/>
      <c r="T958" s="1095"/>
      <c r="U958" s="1095"/>
      <c r="V958" s="1095"/>
      <c r="W958" s="1095"/>
      <c r="X958" s="1095"/>
      <c r="Y958" s="1095"/>
      <c r="Z958" s="1095"/>
      <c r="AA958" s="1095"/>
      <c r="AB958" s="1095"/>
    </row>
    <row r="959">
      <c r="A959" s="1095"/>
      <c r="B959" s="1095"/>
      <c r="C959" s="1095"/>
      <c r="D959" s="1095"/>
      <c r="E959" s="1095"/>
      <c r="F959" s="1095"/>
      <c r="G959" s="1095"/>
      <c r="H959" s="1095"/>
      <c r="I959" s="1095"/>
      <c r="J959" s="1095"/>
      <c r="K959" s="1095"/>
      <c r="L959" s="1095"/>
      <c r="M959" s="1095"/>
      <c r="N959" s="1095"/>
      <c r="O959" s="1095"/>
      <c r="P959" s="1095"/>
      <c r="Q959" s="1095"/>
      <c r="R959" s="1095"/>
      <c r="S959" s="1095"/>
      <c r="T959" s="1095"/>
      <c r="U959" s="1095"/>
      <c r="V959" s="1095"/>
      <c r="W959" s="1095"/>
      <c r="X959" s="1095"/>
      <c r="Y959" s="1095"/>
      <c r="Z959" s="1095"/>
      <c r="AA959" s="1095"/>
      <c r="AB959" s="1095"/>
    </row>
    <row r="960">
      <c r="A960" s="1095"/>
      <c r="B960" s="1095"/>
      <c r="C960" s="1095"/>
      <c r="D960" s="1095"/>
      <c r="E960" s="1095"/>
      <c r="F960" s="1095"/>
      <c r="G960" s="1095"/>
      <c r="H960" s="1095"/>
      <c r="I960" s="1095"/>
      <c r="J960" s="1095"/>
      <c r="K960" s="1095"/>
      <c r="L960" s="1095"/>
      <c r="M960" s="1095"/>
      <c r="N960" s="1095"/>
      <c r="O960" s="1095"/>
      <c r="P960" s="1095"/>
      <c r="Q960" s="1095"/>
      <c r="R960" s="1095"/>
      <c r="S960" s="1095"/>
      <c r="T960" s="1095"/>
      <c r="U960" s="1095"/>
      <c r="V960" s="1095"/>
      <c r="W960" s="1095"/>
      <c r="X960" s="1095"/>
      <c r="Y960" s="1095"/>
      <c r="Z960" s="1095"/>
      <c r="AA960" s="1095"/>
      <c r="AB960" s="1095"/>
    </row>
    <row r="961">
      <c r="A961" s="1095"/>
      <c r="B961" s="1095"/>
      <c r="C961" s="1095"/>
      <c r="D961" s="1095"/>
      <c r="E961" s="1095"/>
      <c r="F961" s="1095"/>
      <c r="G961" s="1095"/>
      <c r="H961" s="1095"/>
      <c r="I961" s="1095"/>
      <c r="J961" s="1095"/>
      <c r="K961" s="1095"/>
      <c r="L961" s="1095"/>
      <c r="M961" s="1095"/>
      <c r="N961" s="1095"/>
      <c r="O961" s="1095"/>
      <c r="P961" s="1095"/>
      <c r="Q961" s="1095"/>
      <c r="R961" s="1095"/>
      <c r="S961" s="1095"/>
      <c r="T961" s="1095"/>
      <c r="U961" s="1095"/>
      <c r="V961" s="1095"/>
      <c r="W961" s="1095"/>
      <c r="X961" s="1095"/>
      <c r="Y961" s="1095"/>
      <c r="Z961" s="1095"/>
      <c r="AA961" s="1095"/>
      <c r="AB961" s="1095"/>
    </row>
    <row r="962">
      <c r="A962" s="1095"/>
      <c r="B962" s="1095"/>
      <c r="C962" s="1095"/>
      <c r="D962" s="1095"/>
      <c r="E962" s="1095"/>
      <c r="F962" s="1095"/>
      <c r="G962" s="1095"/>
      <c r="H962" s="1095"/>
      <c r="I962" s="1095"/>
      <c r="J962" s="1095"/>
      <c r="K962" s="1095"/>
      <c r="L962" s="1095"/>
      <c r="M962" s="1095"/>
      <c r="N962" s="1095"/>
      <c r="O962" s="1095"/>
      <c r="P962" s="1095"/>
      <c r="Q962" s="1095"/>
      <c r="R962" s="1095"/>
      <c r="S962" s="1095"/>
      <c r="T962" s="1095"/>
      <c r="U962" s="1095"/>
      <c r="V962" s="1095"/>
      <c r="W962" s="1095"/>
      <c r="X962" s="1095"/>
      <c r="Y962" s="1095"/>
      <c r="Z962" s="1095"/>
      <c r="AA962" s="1095"/>
      <c r="AB962" s="1095"/>
    </row>
    <row r="963">
      <c r="A963" s="1095"/>
      <c r="B963" s="1095"/>
      <c r="C963" s="1095"/>
      <c r="D963" s="1095"/>
      <c r="E963" s="1095"/>
      <c r="F963" s="1095"/>
      <c r="G963" s="1095"/>
      <c r="H963" s="1095"/>
      <c r="I963" s="1095"/>
      <c r="J963" s="1095"/>
      <c r="K963" s="1095"/>
      <c r="L963" s="1095"/>
      <c r="M963" s="1095"/>
      <c r="N963" s="1095"/>
      <c r="O963" s="1095"/>
      <c r="P963" s="1095"/>
      <c r="Q963" s="1095"/>
      <c r="R963" s="1095"/>
      <c r="S963" s="1095"/>
      <c r="T963" s="1095"/>
      <c r="U963" s="1095"/>
      <c r="V963" s="1095"/>
      <c r="W963" s="1095"/>
      <c r="X963" s="1095"/>
      <c r="Y963" s="1095"/>
      <c r="Z963" s="1095"/>
      <c r="AA963" s="1095"/>
      <c r="AB963" s="1095"/>
    </row>
    <row r="964">
      <c r="A964" s="1095"/>
      <c r="B964" s="1095"/>
      <c r="C964" s="1095"/>
      <c r="D964" s="1095"/>
      <c r="E964" s="1095"/>
      <c r="F964" s="1095"/>
      <c r="G964" s="1095"/>
      <c r="H964" s="1095"/>
      <c r="I964" s="1095"/>
      <c r="J964" s="1095"/>
      <c r="K964" s="1095"/>
      <c r="L964" s="1095"/>
      <c r="M964" s="1095"/>
      <c r="N964" s="1095"/>
      <c r="O964" s="1095"/>
      <c r="P964" s="1095"/>
      <c r="Q964" s="1095"/>
      <c r="R964" s="1095"/>
      <c r="S964" s="1095"/>
      <c r="T964" s="1095"/>
      <c r="U964" s="1095"/>
      <c r="V964" s="1095"/>
      <c r="W964" s="1095"/>
      <c r="X964" s="1095"/>
      <c r="Y964" s="1095"/>
      <c r="Z964" s="1095"/>
      <c r="AA964" s="1095"/>
      <c r="AB964" s="1095"/>
    </row>
    <row r="965">
      <c r="A965" s="1095"/>
      <c r="B965" s="1095"/>
      <c r="C965" s="1095"/>
      <c r="D965" s="1095"/>
      <c r="E965" s="1095"/>
      <c r="F965" s="1095"/>
      <c r="G965" s="1095"/>
      <c r="H965" s="1095"/>
      <c r="I965" s="1095"/>
      <c r="J965" s="1095"/>
      <c r="K965" s="1095"/>
      <c r="L965" s="1095"/>
      <c r="M965" s="1095"/>
      <c r="N965" s="1095"/>
      <c r="O965" s="1095"/>
      <c r="P965" s="1095"/>
      <c r="Q965" s="1095"/>
      <c r="R965" s="1095"/>
      <c r="S965" s="1095"/>
      <c r="T965" s="1095"/>
      <c r="U965" s="1095"/>
      <c r="V965" s="1095"/>
      <c r="W965" s="1095"/>
      <c r="X965" s="1095"/>
      <c r="Y965" s="1095"/>
      <c r="Z965" s="1095"/>
      <c r="AA965" s="1095"/>
      <c r="AB965" s="1095"/>
    </row>
    <row r="966">
      <c r="A966" s="1095"/>
      <c r="B966" s="1095"/>
      <c r="C966" s="1095"/>
      <c r="D966" s="1095"/>
      <c r="E966" s="1095"/>
      <c r="F966" s="1095"/>
      <c r="G966" s="1095"/>
      <c r="H966" s="1095"/>
      <c r="I966" s="1095"/>
      <c r="J966" s="1095"/>
      <c r="K966" s="1095"/>
      <c r="L966" s="1095"/>
      <c r="M966" s="1095"/>
      <c r="N966" s="1095"/>
      <c r="O966" s="1095"/>
      <c r="P966" s="1095"/>
      <c r="Q966" s="1095"/>
      <c r="R966" s="1095"/>
      <c r="S966" s="1095"/>
      <c r="T966" s="1095"/>
      <c r="U966" s="1095"/>
      <c r="V966" s="1095"/>
      <c r="W966" s="1095"/>
      <c r="X966" s="1095"/>
      <c r="Y966" s="1095"/>
      <c r="Z966" s="1095"/>
      <c r="AA966" s="1095"/>
      <c r="AB966" s="1095"/>
    </row>
    <row r="967">
      <c r="A967" s="1095"/>
      <c r="B967" s="1095"/>
      <c r="C967" s="1095"/>
      <c r="D967" s="1095"/>
      <c r="E967" s="1095"/>
      <c r="F967" s="1095"/>
      <c r="G967" s="1095"/>
      <c r="H967" s="1095"/>
      <c r="I967" s="1095"/>
      <c r="J967" s="1095"/>
      <c r="K967" s="1095"/>
      <c r="L967" s="1095"/>
      <c r="M967" s="1095"/>
      <c r="N967" s="1095"/>
      <c r="O967" s="1095"/>
      <c r="P967" s="1095"/>
      <c r="Q967" s="1095"/>
      <c r="R967" s="1095"/>
      <c r="S967" s="1095"/>
      <c r="T967" s="1095"/>
      <c r="U967" s="1095"/>
      <c r="V967" s="1095"/>
      <c r="W967" s="1095"/>
      <c r="X967" s="1095"/>
      <c r="Y967" s="1095"/>
      <c r="Z967" s="1095"/>
      <c r="AA967" s="1095"/>
      <c r="AB967" s="1095"/>
    </row>
    <row r="968">
      <c r="A968" s="1095"/>
      <c r="B968" s="1095"/>
      <c r="C968" s="1095"/>
      <c r="D968" s="1095"/>
      <c r="E968" s="1095"/>
      <c r="F968" s="1095"/>
      <c r="G968" s="1095"/>
      <c r="H968" s="1095"/>
      <c r="I968" s="1095"/>
      <c r="J968" s="1095"/>
      <c r="K968" s="1095"/>
      <c r="L968" s="1095"/>
      <c r="M968" s="1095"/>
      <c r="N968" s="1095"/>
      <c r="O968" s="1095"/>
      <c r="P968" s="1095"/>
      <c r="Q968" s="1095"/>
      <c r="R968" s="1095"/>
      <c r="S968" s="1095"/>
      <c r="T968" s="1095"/>
      <c r="U968" s="1095"/>
      <c r="V968" s="1095"/>
      <c r="W968" s="1095"/>
      <c r="X968" s="1095"/>
      <c r="Y968" s="1095"/>
      <c r="Z968" s="1095"/>
      <c r="AA968" s="1095"/>
      <c r="AB968" s="1095"/>
    </row>
    <row r="969">
      <c r="A969" s="1095"/>
      <c r="B969" s="1095"/>
      <c r="C969" s="1095"/>
      <c r="D969" s="1095"/>
      <c r="E969" s="1095"/>
      <c r="F969" s="1095"/>
      <c r="G969" s="1095"/>
      <c r="H969" s="1095"/>
      <c r="I969" s="1095"/>
      <c r="J969" s="1095"/>
      <c r="K969" s="1095"/>
      <c r="L969" s="1095"/>
      <c r="M969" s="1095"/>
      <c r="N969" s="1095"/>
      <c r="O969" s="1095"/>
      <c r="P969" s="1095"/>
      <c r="Q969" s="1095"/>
      <c r="R969" s="1095"/>
      <c r="S969" s="1095"/>
      <c r="T969" s="1095"/>
      <c r="U969" s="1095"/>
      <c r="V969" s="1095"/>
      <c r="W969" s="1095"/>
      <c r="X969" s="1095"/>
      <c r="Y969" s="1095"/>
      <c r="Z969" s="1095"/>
      <c r="AA969" s="1095"/>
      <c r="AB969" s="1095"/>
    </row>
    <row r="970">
      <c r="A970" s="1095"/>
      <c r="B970" s="1095"/>
      <c r="C970" s="1095"/>
      <c r="D970" s="1095"/>
      <c r="E970" s="1095"/>
      <c r="F970" s="1095"/>
      <c r="G970" s="1095"/>
      <c r="H970" s="1095"/>
      <c r="I970" s="1095"/>
      <c r="J970" s="1095"/>
      <c r="K970" s="1095"/>
      <c r="L970" s="1095"/>
      <c r="M970" s="1095"/>
      <c r="N970" s="1095"/>
      <c r="O970" s="1095"/>
      <c r="P970" s="1095"/>
      <c r="Q970" s="1095"/>
      <c r="R970" s="1095"/>
      <c r="S970" s="1095"/>
      <c r="T970" s="1095"/>
      <c r="U970" s="1095"/>
      <c r="V970" s="1095"/>
      <c r="W970" s="1095"/>
      <c r="X970" s="1095"/>
      <c r="Y970" s="1095"/>
      <c r="Z970" s="1095"/>
      <c r="AA970" s="1095"/>
      <c r="AB970" s="1095"/>
    </row>
    <row r="971">
      <c r="A971" s="1095"/>
      <c r="B971" s="1095"/>
      <c r="C971" s="1095"/>
      <c r="D971" s="1095"/>
      <c r="E971" s="1095"/>
      <c r="F971" s="1095"/>
      <c r="G971" s="1095"/>
      <c r="H971" s="1095"/>
      <c r="I971" s="1095"/>
      <c r="J971" s="1095"/>
      <c r="K971" s="1095"/>
      <c r="L971" s="1095"/>
      <c r="M971" s="1095"/>
      <c r="N971" s="1095"/>
      <c r="O971" s="1095"/>
      <c r="P971" s="1095"/>
      <c r="Q971" s="1095"/>
      <c r="R971" s="1095"/>
      <c r="S971" s="1095"/>
      <c r="T971" s="1095"/>
      <c r="U971" s="1095"/>
      <c r="V971" s="1095"/>
      <c r="W971" s="1095"/>
      <c r="X971" s="1095"/>
      <c r="Y971" s="1095"/>
      <c r="Z971" s="1095"/>
      <c r="AA971" s="1095"/>
      <c r="AB971" s="1095"/>
    </row>
    <row r="972">
      <c r="A972" s="1095"/>
      <c r="B972" s="1095"/>
      <c r="C972" s="1095"/>
      <c r="D972" s="1095"/>
      <c r="E972" s="1095"/>
      <c r="F972" s="1095"/>
      <c r="G972" s="1095"/>
      <c r="H972" s="1095"/>
      <c r="I972" s="1095"/>
      <c r="J972" s="1095"/>
      <c r="K972" s="1095"/>
      <c r="L972" s="1095"/>
      <c r="M972" s="1095"/>
      <c r="N972" s="1095"/>
      <c r="O972" s="1095"/>
      <c r="P972" s="1095"/>
      <c r="Q972" s="1095"/>
      <c r="R972" s="1095"/>
      <c r="S972" s="1095"/>
      <c r="T972" s="1095"/>
      <c r="U972" s="1095"/>
      <c r="V972" s="1095"/>
      <c r="W972" s="1095"/>
      <c r="X972" s="1095"/>
      <c r="Y972" s="1095"/>
      <c r="Z972" s="1095"/>
      <c r="AA972" s="1095"/>
      <c r="AB972" s="1095"/>
    </row>
    <row r="973">
      <c r="A973" s="1095"/>
      <c r="B973" s="1095"/>
      <c r="C973" s="1095"/>
      <c r="D973" s="1095"/>
      <c r="E973" s="1095"/>
      <c r="F973" s="1095"/>
      <c r="G973" s="1095"/>
      <c r="H973" s="1095"/>
      <c r="I973" s="1095"/>
      <c r="J973" s="1095"/>
      <c r="K973" s="1095"/>
      <c r="L973" s="1095"/>
      <c r="M973" s="1095"/>
      <c r="N973" s="1095"/>
      <c r="O973" s="1095"/>
      <c r="P973" s="1095"/>
      <c r="Q973" s="1095"/>
      <c r="R973" s="1095"/>
      <c r="S973" s="1095"/>
      <c r="T973" s="1095"/>
      <c r="U973" s="1095"/>
      <c r="V973" s="1095"/>
      <c r="W973" s="1095"/>
      <c r="X973" s="1095"/>
      <c r="Y973" s="1095"/>
      <c r="Z973" s="1095"/>
      <c r="AA973" s="1095"/>
      <c r="AB973" s="1095"/>
    </row>
    <row r="974">
      <c r="A974" s="1095"/>
      <c r="B974" s="1095"/>
      <c r="C974" s="1095"/>
      <c r="D974" s="1095"/>
      <c r="E974" s="1095"/>
      <c r="F974" s="1095"/>
      <c r="G974" s="1095"/>
      <c r="H974" s="1095"/>
      <c r="I974" s="1095"/>
      <c r="J974" s="1095"/>
      <c r="K974" s="1095"/>
      <c r="L974" s="1095"/>
      <c r="M974" s="1095"/>
      <c r="N974" s="1095"/>
      <c r="O974" s="1095"/>
      <c r="P974" s="1095"/>
      <c r="Q974" s="1095"/>
      <c r="R974" s="1095"/>
      <c r="S974" s="1095"/>
      <c r="T974" s="1095"/>
      <c r="U974" s="1095"/>
      <c r="V974" s="1095"/>
      <c r="W974" s="1095"/>
      <c r="X974" s="1095"/>
      <c r="Y974" s="1095"/>
      <c r="Z974" s="1095"/>
      <c r="AA974" s="1095"/>
      <c r="AB974" s="1095"/>
    </row>
    <row r="975">
      <c r="A975" s="1095"/>
      <c r="B975" s="1095"/>
      <c r="C975" s="1095"/>
      <c r="D975" s="1095"/>
      <c r="E975" s="1095"/>
      <c r="F975" s="1095"/>
      <c r="G975" s="1095"/>
      <c r="H975" s="1095"/>
      <c r="I975" s="1095"/>
      <c r="J975" s="1095"/>
      <c r="K975" s="1095"/>
      <c r="L975" s="1095"/>
      <c r="M975" s="1095"/>
      <c r="N975" s="1095"/>
      <c r="O975" s="1095"/>
      <c r="P975" s="1095"/>
      <c r="Q975" s="1095"/>
      <c r="R975" s="1095"/>
      <c r="S975" s="1095"/>
      <c r="T975" s="1095"/>
      <c r="U975" s="1095"/>
      <c r="V975" s="1095"/>
      <c r="W975" s="1095"/>
      <c r="X975" s="1095"/>
      <c r="Y975" s="1095"/>
      <c r="Z975" s="1095"/>
      <c r="AA975" s="1095"/>
      <c r="AB975" s="1095"/>
    </row>
    <row r="976">
      <c r="A976" s="1095"/>
      <c r="B976" s="1095"/>
      <c r="C976" s="1095"/>
      <c r="D976" s="1095"/>
      <c r="E976" s="1095"/>
      <c r="F976" s="1095"/>
      <c r="G976" s="1095"/>
      <c r="H976" s="1095"/>
      <c r="I976" s="1095"/>
      <c r="J976" s="1095"/>
      <c r="K976" s="1095"/>
      <c r="L976" s="1095"/>
      <c r="M976" s="1095"/>
      <c r="N976" s="1095"/>
      <c r="O976" s="1095"/>
      <c r="P976" s="1095"/>
      <c r="Q976" s="1095"/>
      <c r="R976" s="1095"/>
      <c r="S976" s="1095"/>
      <c r="T976" s="1095"/>
      <c r="U976" s="1095"/>
      <c r="V976" s="1095"/>
      <c r="W976" s="1095"/>
      <c r="X976" s="1095"/>
      <c r="Y976" s="1095"/>
      <c r="Z976" s="1095"/>
      <c r="AA976" s="1095"/>
      <c r="AB976" s="1095"/>
    </row>
    <row r="977">
      <c r="A977" s="1095"/>
      <c r="B977" s="1095"/>
      <c r="C977" s="1095"/>
      <c r="D977" s="1095"/>
      <c r="E977" s="1095"/>
      <c r="F977" s="1095"/>
      <c r="G977" s="1095"/>
      <c r="H977" s="1095"/>
      <c r="I977" s="1095"/>
      <c r="J977" s="1095"/>
      <c r="K977" s="1095"/>
      <c r="L977" s="1095"/>
      <c r="M977" s="1095"/>
      <c r="N977" s="1095"/>
      <c r="O977" s="1095"/>
      <c r="P977" s="1095"/>
      <c r="Q977" s="1095"/>
      <c r="R977" s="1095"/>
      <c r="S977" s="1095"/>
      <c r="T977" s="1095"/>
      <c r="U977" s="1095"/>
      <c r="V977" s="1095"/>
      <c r="W977" s="1095"/>
      <c r="X977" s="1095"/>
      <c r="Y977" s="1095"/>
      <c r="Z977" s="1095"/>
      <c r="AA977" s="1095"/>
      <c r="AB977" s="1095"/>
    </row>
    <row r="978">
      <c r="A978" s="1095"/>
      <c r="B978" s="1095"/>
      <c r="C978" s="1095"/>
      <c r="D978" s="1095"/>
      <c r="E978" s="1095"/>
      <c r="F978" s="1095"/>
      <c r="G978" s="1095"/>
      <c r="H978" s="1095"/>
      <c r="I978" s="1095"/>
      <c r="J978" s="1095"/>
      <c r="K978" s="1095"/>
      <c r="L978" s="1095"/>
      <c r="M978" s="1095"/>
      <c r="N978" s="1095"/>
      <c r="O978" s="1095"/>
      <c r="P978" s="1095"/>
      <c r="Q978" s="1095"/>
      <c r="R978" s="1095"/>
      <c r="S978" s="1095"/>
      <c r="T978" s="1095"/>
      <c r="U978" s="1095"/>
      <c r="V978" s="1095"/>
      <c r="W978" s="1095"/>
      <c r="X978" s="1095"/>
      <c r="Y978" s="1095"/>
      <c r="Z978" s="1095"/>
      <c r="AA978" s="1095"/>
      <c r="AB978" s="1095"/>
    </row>
    <row r="979">
      <c r="A979" s="1095"/>
      <c r="B979" s="1095"/>
      <c r="C979" s="1095"/>
      <c r="D979" s="1095"/>
      <c r="E979" s="1095"/>
      <c r="F979" s="1095"/>
      <c r="G979" s="1095"/>
      <c r="H979" s="1095"/>
      <c r="I979" s="1095"/>
      <c r="J979" s="1095"/>
      <c r="K979" s="1095"/>
      <c r="L979" s="1095"/>
      <c r="M979" s="1095"/>
      <c r="N979" s="1095"/>
      <c r="O979" s="1095"/>
      <c r="P979" s="1095"/>
      <c r="Q979" s="1095"/>
      <c r="R979" s="1095"/>
      <c r="S979" s="1095"/>
      <c r="T979" s="1095"/>
      <c r="U979" s="1095"/>
      <c r="V979" s="1095"/>
      <c r="W979" s="1095"/>
      <c r="X979" s="1095"/>
      <c r="Y979" s="1095"/>
      <c r="Z979" s="1095"/>
      <c r="AA979" s="1095"/>
      <c r="AB979" s="1095"/>
    </row>
    <row r="980">
      <c r="A980" s="1095"/>
      <c r="B980" s="1095"/>
      <c r="C980" s="1095"/>
      <c r="D980" s="1095"/>
      <c r="E980" s="1095"/>
      <c r="F980" s="1095"/>
      <c r="G980" s="1095"/>
      <c r="H980" s="1095"/>
      <c r="I980" s="1095"/>
      <c r="J980" s="1095"/>
      <c r="K980" s="1095"/>
      <c r="L980" s="1095"/>
      <c r="M980" s="1095"/>
      <c r="N980" s="1095"/>
      <c r="O980" s="1095"/>
      <c r="P980" s="1095"/>
      <c r="Q980" s="1095"/>
      <c r="R980" s="1095"/>
      <c r="S980" s="1095"/>
      <c r="T980" s="1095"/>
      <c r="U980" s="1095"/>
      <c r="V980" s="1095"/>
      <c r="W980" s="1095"/>
      <c r="X980" s="1095"/>
      <c r="Y980" s="1095"/>
      <c r="Z980" s="1095"/>
      <c r="AA980" s="1095"/>
      <c r="AB980" s="1095"/>
    </row>
    <row r="981">
      <c r="A981" s="1095"/>
      <c r="B981" s="1095"/>
      <c r="C981" s="1095"/>
      <c r="D981" s="1095"/>
      <c r="E981" s="1095"/>
      <c r="F981" s="1095"/>
      <c r="G981" s="1095"/>
      <c r="H981" s="1095"/>
      <c r="I981" s="1095"/>
      <c r="J981" s="1095"/>
      <c r="K981" s="1095"/>
      <c r="L981" s="1095"/>
      <c r="M981" s="1095"/>
      <c r="N981" s="1095"/>
      <c r="O981" s="1095"/>
      <c r="P981" s="1095"/>
      <c r="Q981" s="1095"/>
      <c r="R981" s="1095"/>
      <c r="S981" s="1095"/>
      <c r="T981" s="1095"/>
      <c r="U981" s="1095"/>
      <c r="V981" s="1095"/>
      <c r="W981" s="1095"/>
      <c r="X981" s="1095"/>
      <c r="Y981" s="1095"/>
      <c r="Z981" s="1095"/>
      <c r="AA981" s="1095"/>
      <c r="AB981" s="1095"/>
    </row>
    <row r="982">
      <c r="A982" s="1095"/>
      <c r="B982" s="1095"/>
      <c r="C982" s="1095"/>
      <c r="D982" s="1095"/>
      <c r="E982" s="1095"/>
      <c r="F982" s="1095"/>
      <c r="G982" s="1095"/>
      <c r="H982" s="1095"/>
      <c r="I982" s="1095"/>
      <c r="J982" s="1095"/>
      <c r="K982" s="1095"/>
      <c r="L982" s="1095"/>
      <c r="M982" s="1095"/>
      <c r="N982" s="1095"/>
      <c r="O982" s="1095"/>
      <c r="P982" s="1095"/>
      <c r="Q982" s="1095"/>
      <c r="R982" s="1095"/>
      <c r="S982" s="1095"/>
      <c r="T982" s="1095"/>
      <c r="U982" s="1095"/>
      <c r="V982" s="1095"/>
      <c r="W982" s="1095"/>
      <c r="X982" s="1095"/>
      <c r="Y982" s="1095"/>
      <c r="Z982" s="1095"/>
      <c r="AA982" s="1095"/>
      <c r="AB982" s="1095"/>
    </row>
    <row r="983">
      <c r="A983" s="1095"/>
      <c r="B983" s="1095"/>
      <c r="C983" s="1095"/>
      <c r="D983" s="1095"/>
      <c r="E983" s="1095"/>
      <c r="F983" s="1095"/>
      <c r="G983" s="1095"/>
      <c r="H983" s="1095"/>
      <c r="I983" s="1095"/>
      <c r="J983" s="1095"/>
      <c r="K983" s="1095"/>
      <c r="L983" s="1095"/>
      <c r="M983" s="1095"/>
      <c r="N983" s="1095"/>
      <c r="O983" s="1095"/>
      <c r="P983" s="1095"/>
      <c r="Q983" s="1095"/>
      <c r="R983" s="1095"/>
      <c r="S983" s="1095"/>
      <c r="T983" s="1095"/>
      <c r="U983" s="1095"/>
      <c r="V983" s="1095"/>
      <c r="W983" s="1095"/>
      <c r="X983" s="1095"/>
      <c r="Y983" s="1095"/>
      <c r="Z983" s="1095"/>
      <c r="AA983" s="1095"/>
      <c r="AB983" s="1095"/>
    </row>
    <row r="984">
      <c r="A984" s="1095"/>
      <c r="B984" s="1095"/>
      <c r="C984" s="1095"/>
      <c r="D984" s="1095"/>
      <c r="E984" s="1095"/>
      <c r="F984" s="1095"/>
      <c r="G984" s="1095"/>
      <c r="H984" s="1095"/>
      <c r="I984" s="1095"/>
      <c r="J984" s="1095"/>
      <c r="K984" s="1095"/>
      <c r="L984" s="1095"/>
      <c r="M984" s="1095"/>
      <c r="N984" s="1095"/>
      <c r="O984" s="1095"/>
      <c r="P984" s="1095"/>
      <c r="Q984" s="1095"/>
      <c r="R984" s="1095"/>
      <c r="S984" s="1095"/>
      <c r="T984" s="1095"/>
      <c r="U984" s="1095"/>
      <c r="V984" s="1095"/>
      <c r="W984" s="1095"/>
      <c r="X984" s="1095"/>
      <c r="Y984" s="1095"/>
      <c r="Z984" s="1095"/>
      <c r="AA984" s="1095"/>
      <c r="AB984" s="1095"/>
    </row>
    <row r="985">
      <c r="A985" s="1095"/>
      <c r="B985" s="1095"/>
      <c r="C985" s="1095"/>
      <c r="D985" s="1095"/>
      <c r="E985" s="1095"/>
      <c r="F985" s="1095"/>
      <c r="G985" s="1095"/>
      <c r="H985" s="1095"/>
      <c r="I985" s="1095"/>
      <c r="J985" s="1095"/>
      <c r="K985" s="1095"/>
      <c r="L985" s="1095"/>
      <c r="M985" s="1095"/>
      <c r="N985" s="1095"/>
      <c r="O985" s="1095"/>
      <c r="P985" s="1095"/>
      <c r="Q985" s="1095"/>
      <c r="R985" s="1095"/>
      <c r="S985" s="1095"/>
      <c r="T985" s="1095"/>
      <c r="U985" s="1095"/>
      <c r="V985" s="1095"/>
      <c r="W985" s="1095"/>
      <c r="X985" s="1095"/>
      <c r="Y985" s="1095"/>
      <c r="Z985" s="1095"/>
      <c r="AA985" s="1095"/>
      <c r="AB985" s="1095"/>
    </row>
    <row r="986">
      <c r="A986" s="1095"/>
      <c r="B986" s="1095"/>
      <c r="C986" s="1095"/>
      <c r="D986" s="1095"/>
      <c r="E986" s="1095"/>
      <c r="F986" s="1095"/>
      <c r="G986" s="1095"/>
      <c r="H986" s="1095"/>
      <c r="I986" s="1095"/>
      <c r="J986" s="1095"/>
      <c r="K986" s="1095"/>
      <c r="L986" s="1095"/>
      <c r="M986" s="1095"/>
      <c r="N986" s="1095"/>
      <c r="O986" s="1095"/>
      <c r="P986" s="1095"/>
      <c r="Q986" s="1095"/>
      <c r="R986" s="1095"/>
      <c r="S986" s="1095"/>
      <c r="T986" s="1095"/>
      <c r="U986" s="1095"/>
      <c r="V986" s="1095"/>
      <c r="W986" s="1095"/>
      <c r="X986" s="1095"/>
      <c r="Y986" s="1095"/>
      <c r="Z986" s="1095"/>
      <c r="AA986" s="1095"/>
      <c r="AB986" s="1095"/>
    </row>
    <row r="987">
      <c r="A987" s="1095"/>
      <c r="B987" s="1095"/>
      <c r="C987" s="1095"/>
      <c r="D987" s="1095"/>
      <c r="E987" s="1095"/>
      <c r="F987" s="1095"/>
      <c r="G987" s="1095"/>
      <c r="H987" s="1095"/>
      <c r="I987" s="1095"/>
      <c r="J987" s="1095"/>
      <c r="K987" s="1095"/>
      <c r="L987" s="1095"/>
      <c r="M987" s="1095"/>
      <c r="N987" s="1095"/>
      <c r="O987" s="1095"/>
      <c r="P987" s="1095"/>
      <c r="Q987" s="1095"/>
      <c r="R987" s="1095"/>
      <c r="S987" s="1095"/>
      <c r="T987" s="1095"/>
      <c r="U987" s="1095"/>
      <c r="V987" s="1095"/>
      <c r="W987" s="1095"/>
      <c r="X987" s="1095"/>
      <c r="Y987" s="1095"/>
      <c r="Z987" s="1095"/>
      <c r="AA987" s="1095"/>
      <c r="AB987" s="1095"/>
    </row>
    <row r="988">
      <c r="A988" s="1095"/>
      <c r="B988" s="1095"/>
      <c r="C988" s="1095"/>
      <c r="D988" s="1095"/>
      <c r="E988" s="1095"/>
      <c r="F988" s="1095"/>
      <c r="G988" s="1095"/>
      <c r="H988" s="1095"/>
      <c r="I988" s="1095"/>
      <c r="J988" s="1095"/>
      <c r="K988" s="1095"/>
      <c r="L988" s="1095"/>
      <c r="M988" s="1095"/>
      <c r="N988" s="1095"/>
      <c r="O988" s="1095"/>
      <c r="P988" s="1095"/>
      <c r="Q988" s="1095"/>
      <c r="R988" s="1095"/>
      <c r="S988" s="1095"/>
      <c r="T988" s="1095"/>
      <c r="U988" s="1095"/>
      <c r="V988" s="1095"/>
      <c r="W988" s="1095"/>
      <c r="X988" s="1095"/>
      <c r="Y988" s="1095"/>
      <c r="Z988" s="1095"/>
      <c r="AA988" s="1095"/>
      <c r="AB988" s="1095"/>
    </row>
    <row r="989">
      <c r="A989" s="1095"/>
      <c r="B989" s="1095"/>
      <c r="C989" s="1095"/>
      <c r="D989" s="1095"/>
      <c r="E989" s="1095"/>
      <c r="F989" s="1095"/>
      <c r="G989" s="1095"/>
      <c r="H989" s="1095"/>
      <c r="I989" s="1095"/>
      <c r="J989" s="1095"/>
      <c r="K989" s="1095"/>
      <c r="L989" s="1095"/>
      <c r="M989" s="1095"/>
      <c r="N989" s="1095"/>
      <c r="O989" s="1095"/>
      <c r="P989" s="1095"/>
      <c r="Q989" s="1095"/>
      <c r="R989" s="1095"/>
      <c r="S989" s="1095"/>
      <c r="T989" s="1095"/>
      <c r="U989" s="1095"/>
      <c r="V989" s="1095"/>
      <c r="W989" s="1095"/>
      <c r="X989" s="1095"/>
      <c r="Y989" s="1095"/>
      <c r="Z989" s="1095"/>
      <c r="AA989" s="1095"/>
      <c r="AB989" s="1095"/>
    </row>
    <row r="990">
      <c r="A990" s="1095"/>
      <c r="B990" s="1095"/>
      <c r="C990" s="1095"/>
      <c r="D990" s="1095"/>
      <c r="E990" s="1095"/>
      <c r="F990" s="1095"/>
      <c r="G990" s="1095"/>
      <c r="H990" s="1095"/>
      <c r="I990" s="1095"/>
      <c r="J990" s="1095"/>
      <c r="K990" s="1095"/>
      <c r="L990" s="1095"/>
      <c r="M990" s="1095"/>
      <c r="N990" s="1095"/>
      <c r="O990" s="1095"/>
      <c r="P990" s="1095"/>
      <c r="Q990" s="1095"/>
      <c r="R990" s="1095"/>
      <c r="S990" s="1095"/>
      <c r="T990" s="1095"/>
      <c r="U990" s="1095"/>
      <c r="V990" s="1095"/>
      <c r="W990" s="1095"/>
      <c r="X990" s="1095"/>
      <c r="Y990" s="1095"/>
      <c r="Z990" s="1095"/>
      <c r="AA990" s="1095"/>
      <c r="AB990" s="1095"/>
    </row>
    <row r="991">
      <c r="A991" s="1095"/>
      <c r="B991" s="1095"/>
      <c r="C991" s="1095"/>
      <c r="D991" s="1095"/>
      <c r="E991" s="1095"/>
      <c r="F991" s="1095"/>
      <c r="G991" s="1095"/>
      <c r="H991" s="1095"/>
      <c r="I991" s="1095"/>
      <c r="J991" s="1095"/>
      <c r="K991" s="1095"/>
      <c r="L991" s="1095"/>
      <c r="M991" s="1095"/>
      <c r="N991" s="1095"/>
      <c r="O991" s="1095"/>
      <c r="P991" s="1095"/>
      <c r="Q991" s="1095"/>
      <c r="R991" s="1095"/>
      <c r="S991" s="1095"/>
      <c r="T991" s="1095"/>
      <c r="U991" s="1095"/>
      <c r="V991" s="1095"/>
      <c r="W991" s="1095"/>
      <c r="X991" s="1095"/>
      <c r="Y991" s="1095"/>
      <c r="Z991" s="1095"/>
      <c r="AA991" s="1095"/>
      <c r="AB991" s="1095"/>
    </row>
    <row r="992">
      <c r="A992" s="1095"/>
      <c r="B992" s="1095"/>
      <c r="C992" s="1095"/>
      <c r="D992" s="1095"/>
      <c r="E992" s="1095"/>
      <c r="F992" s="1095"/>
      <c r="G992" s="1095"/>
      <c r="H992" s="1095"/>
      <c r="I992" s="1095"/>
      <c r="J992" s="1095"/>
      <c r="K992" s="1095"/>
      <c r="L992" s="1095"/>
      <c r="M992" s="1095"/>
      <c r="N992" s="1095"/>
      <c r="O992" s="1095"/>
      <c r="P992" s="1095"/>
      <c r="Q992" s="1095"/>
      <c r="R992" s="1095"/>
      <c r="S992" s="1095"/>
      <c r="T992" s="1095"/>
      <c r="U992" s="1095"/>
      <c r="V992" s="1095"/>
      <c r="W992" s="1095"/>
      <c r="X992" s="1095"/>
      <c r="Y992" s="1095"/>
      <c r="Z992" s="1095"/>
      <c r="AA992" s="1095"/>
      <c r="AB992" s="1095"/>
    </row>
    <row r="993">
      <c r="A993" s="1095"/>
      <c r="B993" s="1095"/>
      <c r="C993" s="1095"/>
      <c r="D993" s="1095"/>
      <c r="E993" s="1095"/>
      <c r="F993" s="1095"/>
      <c r="G993" s="1095"/>
      <c r="H993" s="1095"/>
      <c r="I993" s="1095"/>
      <c r="J993" s="1095"/>
      <c r="K993" s="1095"/>
      <c r="L993" s="1095"/>
      <c r="M993" s="1095"/>
      <c r="N993" s="1095"/>
      <c r="O993" s="1095"/>
      <c r="P993" s="1095"/>
      <c r="Q993" s="1095"/>
      <c r="R993" s="1095"/>
      <c r="S993" s="1095"/>
      <c r="T993" s="1095"/>
      <c r="U993" s="1095"/>
      <c r="V993" s="1095"/>
      <c r="W993" s="1095"/>
      <c r="X993" s="1095"/>
      <c r="Y993" s="1095"/>
      <c r="Z993" s="1095"/>
      <c r="AA993" s="1095"/>
      <c r="AB993" s="1095"/>
    </row>
    <row r="994">
      <c r="A994" s="1095"/>
      <c r="B994" s="1095"/>
      <c r="C994" s="1095"/>
      <c r="D994" s="1095"/>
      <c r="E994" s="1095"/>
      <c r="F994" s="1095"/>
      <c r="G994" s="1095"/>
      <c r="H994" s="1095"/>
      <c r="I994" s="1095"/>
      <c r="J994" s="1095"/>
      <c r="K994" s="1095"/>
      <c r="L994" s="1095"/>
      <c r="M994" s="1095"/>
      <c r="N994" s="1095"/>
      <c r="O994" s="1095"/>
      <c r="P994" s="1095"/>
      <c r="Q994" s="1095"/>
      <c r="R994" s="1095"/>
      <c r="S994" s="1095"/>
      <c r="T994" s="1095"/>
      <c r="U994" s="1095"/>
      <c r="V994" s="1095"/>
      <c r="W994" s="1095"/>
      <c r="X994" s="1095"/>
      <c r="Y994" s="1095"/>
      <c r="Z994" s="1095"/>
      <c r="AA994" s="1095"/>
      <c r="AB994" s="1095"/>
    </row>
    <row r="995">
      <c r="A995" s="1095"/>
      <c r="B995" s="1095"/>
      <c r="C995" s="1095"/>
      <c r="D995" s="1095"/>
      <c r="E995" s="1095"/>
      <c r="F995" s="1095"/>
      <c r="G995" s="1095"/>
      <c r="H995" s="1095"/>
      <c r="I995" s="1095"/>
      <c r="J995" s="1095"/>
      <c r="K995" s="1095"/>
      <c r="L995" s="1095"/>
      <c r="M995" s="1095"/>
      <c r="N995" s="1095"/>
      <c r="O995" s="1095"/>
      <c r="P995" s="1095"/>
      <c r="Q995" s="1095"/>
      <c r="R995" s="1095"/>
      <c r="S995" s="1095"/>
      <c r="T995" s="1095"/>
      <c r="U995" s="1095"/>
      <c r="V995" s="1095"/>
      <c r="W995" s="1095"/>
      <c r="X995" s="1095"/>
      <c r="Y995" s="1095"/>
      <c r="Z995" s="1095"/>
      <c r="AA995" s="1095"/>
      <c r="AB995" s="1095"/>
    </row>
    <row r="996">
      <c r="A996" s="1095"/>
      <c r="B996" s="1095"/>
      <c r="C996" s="1095"/>
      <c r="D996" s="1095"/>
      <c r="E996" s="1095"/>
      <c r="F996" s="1095"/>
      <c r="G996" s="1095"/>
      <c r="H996" s="1095"/>
      <c r="I996" s="1095"/>
      <c r="J996" s="1095"/>
      <c r="K996" s="1095"/>
      <c r="L996" s="1095"/>
      <c r="M996" s="1095"/>
      <c r="N996" s="1095"/>
      <c r="O996" s="1095"/>
      <c r="P996" s="1095"/>
      <c r="Q996" s="1095"/>
      <c r="R996" s="1095"/>
      <c r="S996" s="1095"/>
      <c r="T996" s="1095"/>
      <c r="U996" s="1095"/>
      <c r="V996" s="1095"/>
      <c r="W996" s="1095"/>
      <c r="X996" s="1095"/>
      <c r="Y996" s="1095"/>
      <c r="Z996" s="1095"/>
      <c r="AA996" s="1095"/>
      <c r="AB996" s="1095"/>
    </row>
    <row r="997">
      <c r="A997" s="1095"/>
      <c r="B997" s="1095"/>
      <c r="C997" s="1095"/>
      <c r="D997" s="1095"/>
      <c r="E997" s="1095"/>
      <c r="F997" s="1095"/>
      <c r="G997" s="1095"/>
      <c r="H997" s="1095"/>
      <c r="I997" s="1095"/>
      <c r="J997" s="1095"/>
      <c r="K997" s="1095"/>
      <c r="L997" s="1095"/>
      <c r="M997" s="1095"/>
      <c r="N997" s="1095"/>
      <c r="O997" s="1095"/>
      <c r="P997" s="1095"/>
      <c r="Q997" s="1095"/>
      <c r="R997" s="1095"/>
      <c r="S997" s="1095"/>
      <c r="T997" s="1095"/>
      <c r="U997" s="1095"/>
      <c r="V997" s="1095"/>
      <c r="W997" s="1095"/>
      <c r="X997" s="1095"/>
      <c r="Y997" s="1095"/>
      <c r="Z997" s="1095"/>
      <c r="AA997" s="1095"/>
      <c r="AB997" s="1095"/>
    </row>
    <row r="998">
      <c r="A998" s="1095"/>
      <c r="B998" s="1095"/>
      <c r="C998" s="1095"/>
      <c r="D998" s="1095"/>
      <c r="E998" s="1095"/>
      <c r="F998" s="1095"/>
      <c r="G998" s="1095"/>
      <c r="H998" s="1095"/>
      <c r="I998" s="1095"/>
      <c r="J998" s="1095"/>
      <c r="K998" s="1095"/>
      <c r="L998" s="1095"/>
      <c r="M998" s="1095"/>
      <c r="N998" s="1095"/>
      <c r="O998" s="1095"/>
      <c r="P998" s="1095"/>
      <c r="Q998" s="1095"/>
      <c r="R998" s="1095"/>
      <c r="S998" s="1095"/>
      <c r="T998" s="1095"/>
      <c r="U998" s="1095"/>
      <c r="V998" s="1095"/>
      <c r="W998" s="1095"/>
      <c r="X998" s="1095"/>
      <c r="Y998" s="1095"/>
      <c r="Z998" s="1095"/>
      <c r="AA998" s="1095"/>
      <c r="AB998" s="1095"/>
    </row>
    <row r="999">
      <c r="A999" s="1095"/>
      <c r="B999" s="1095"/>
      <c r="C999" s="1095"/>
      <c r="D999" s="1095"/>
      <c r="E999" s="1095"/>
      <c r="F999" s="1095"/>
      <c r="G999" s="1095"/>
      <c r="H999" s="1095"/>
      <c r="I999" s="1095"/>
      <c r="J999" s="1095"/>
      <c r="K999" s="1095"/>
      <c r="L999" s="1095"/>
      <c r="M999" s="1095"/>
      <c r="N999" s="1095"/>
      <c r="O999" s="1095"/>
      <c r="P999" s="1095"/>
      <c r="Q999" s="1095"/>
      <c r="R999" s="1095"/>
      <c r="S999" s="1095"/>
      <c r="T999" s="1095"/>
      <c r="U999" s="1095"/>
      <c r="V999" s="1095"/>
      <c r="W999" s="1095"/>
      <c r="X999" s="1095"/>
      <c r="Y999" s="1095"/>
      <c r="Z999" s="1095"/>
      <c r="AA999" s="1095"/>
      <c r="AB999" s="1095"/>
    </row>
    <row r="1000">
      <c r="A1000" s="1095"/>
      <c r="B1000" s="1095"/>
      <c r="C1000" s="1095"/>
      <c r="D1000" s="1095"/>
      <c r="E1000" s="1095"/>
      <c r="F1000" s="1095"/>
      <c r="G1000" s="1095"/>
      <c r="H1000" s="1095"/>
      <c r="I1000" s="1095"/>
      <c r="J1000" s="1095"/>
      <c r="K1000" s="1095"/>
      <c r="L1000" s="1095"/>
      <c r="M1000" s="1095"/>
      <c r="N1000" s="1095"/>
      <c r="O1000" s="1095"/>
      <c r="P1000" s="1095"/>
      <c r="Q1000" s="1095"/>
      <c r="R1000" s="1095"/>
      <c r="S1000" s="1095"/>
      <c r="T1000" s="1095"/>
      <c r="U1000" s="1095"/>
      <c r="V1000" s="1095"/>
      <c r="W1000" s="1095"/>
      <c r="X1000" s="1095"/>
      <c r="Y1000" s="1095"/>
      <c r="Z1000" s="1095"/>
      <c r="AA1000" s="1095"/>
      <c r="AB1000" s="1095"/>
    </row>
    <row r="1001">
      <c r="A1001" s="1095"/>
      <c r="B1001" s="1095"/>
      <c r="C1001" s="1095"/>
      <c r="D1001" s="1095"/>
      <c r="E1001" s="1095"/>
      <c r="F1001" s="1095"/>
      <c r="G1001" s="1095"/>
      <c r="H1001" s="1095"/>
      <c r="I1001" s="1095"/>
      <c r="J1001" s="1095"/>
      <c r="K1001" s="1095"/>
      <c r="L1001" s="1095"/>
      <c r="M1001" s="1095"/>
      <c r="N1001" s="1095"/>
      <c r="O1001" s="1095"/>
      <c r="P1001" s="1095"/>
      <c r="Q1001" s="1095"/>
      <c r="R1001" s="1095"/>
      <c r="S1001" s="1095"/>
      <c r="T1001" s="1095"/>
      <c r="U1001" s="1095"/>
      <c r="V1001" s="1095"/>
      <c r="W1001" s="1095"/>
      <c r="X1001" s="1095"/>
      <c r="Y1001" s="1095"/>
      <c r="Z1001" s="1095"/>
      <c r="AA1001" s="1095"/>
      <c r="AB1001" s="1095"/>
    </row>
  </sheetData>
  <conditionalFormatting sqref="A1:AB1001">
    <cfRule type="containsText" dxfId="13" priority="1" operator="containsText" text="확인">
      <formula>NOT(ISERROR(SEARCH(("확인"),(A1))))</formula>
    </cfRule>
  </conditionalFormatting>
  <dataValidations>
    <dataValidation type="list" allowBlank="1" showErrorMessage="1" sqref="B3:B1001">
      <formula1>"워너비,영동"</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17.25"/>
    <col customWidth="1" hidden="1" min="2" max="2" width="7.75"/>
    <col customWidth="1" min="3" max="3" width="17.25"/>
    <col customWidth="1" min="4" max="4" width="7.75"/>
    <col customWidth="1" min="5" max="5" width="17.25"/>
    <col customWidth="1" min="6" max="6" width="7.75"/>
    <col customWidth="1" min="7" max="7" width="17.25"/>
    <col customWidth="1" min="8" max="8" width="7.75"/>
    <col customWidth="1" min="9" max="9" width="17.38"/>
    <col customWidth="1" min="10" max="10" width="7.75"/>
    <col customWidth="1" min="11" max="11" width="17.38"/>
    <col customWidth="1" min="12" max="12" width="7.75"/>
    <col customWidth="1" min="13" max="13" width="17.38"/>
    <col customWidth="1" min="14" max="14" width="7.75"/>
    <col customWidth="1" min="15" max="15" width="17.38"/>
    <col customWidth="1" min="16" max="16" width="7.75"/>
    <col customWidth="1" min="17" max="17" width="17.38"/>
    <col customWidth="1" min="18" max="18" width="8.25"/>
    <col customWidth="1" min="19" max="19" width="17.25"/>
    <col customWidth="1" min="20" max="20" width="7.75"/>
    <col customWidth="1" min="21" max="21" width="17.38"/>
    <col customWidth="1" min="22" max="22" width="8.25"/>
    <col customWidth="1" min="23" max="23" width="17.25"/>
    <col customWidth="1" min="24" max="24" width="7.75"/>
    <col customWidth="1" min="25" max="25" width="17.38"/>
    <col customWidth="1" min="26" max="26" width="8.25"/>
    <col customWidth="1" min="27" max="31" width="23.0"/>
  </cols>
  <sheetData>
    <row r="1" ht="28.5" customHeight="1">
      <c r="A1" s="1111" t="str">
        <f>'지출-'!B4</f>
        <v>#REF!</v>
      </c>
      <c r="B1" s="1112"/>
      <c r="C1" s="1113" t="str">
        <f>'지출-'!B5</f>
        <v>#REF!</v>
      </c>
      <c r="D1" s="1114"/>
      <c r="E1" s="1115" t="str">
        <f>'지출-'!B6</f>
        <v>#REF!</v>
      </c>
      <c r="F1" s="1114"/>
      <c r="G1" s="1116" t="str">
        <f>'지출-'!B7</f>
        <v>#REF!</v>
      </c>
      <c r="H1" s="1114"/>
      <c r="I1" s="1113" t="str">
        <f>'지출-'!B8</f>
        <v>#REF!</v>
      </c>
      <c r="J1" s="1114"/>
      <c r="K1" s="1113" t="str">
        <f>'지출-'!B9</f>
        <v>#REF!</v>
      </c>
      <c r="L1" s="1114"/>
      <c r="M1" s="1113" t="str">
        <f>'지출-'!B10</f>
        <v>#REF!</v>
      </c>
      <c r="N1" s="1114"/>
      <c r="O1" s="1113" t="str">
        <f>'지출-'!B11</f>
        <v>#REF!</v>
      </c>
      <c r="P1" s="1114"/>
      <c r="Q1" s="1117" t="str">
        <f>'지출-'!B12</f>
        <v>#REF!</v>
      </c>
      <c r="R1" s="1114"/>
      <c r="S1" s="1118" t="str">
        <f>'지출-'!B13</f>
        <v>#REF!</v>
      </c>
      <c r="T1" s="1114"/>
      <c r="U1" s="1118" t="str">
        <f>'지출-'!B14</f>
        <v>#REF!</v>
      </c>
      <c r="V1" s="1114"/>
      <c r="W1" s="1119" t="str">
        <f>'지출-'!B15</f>
        <v>#REF!</v>
      </c>
      <c r="X1" s="1114"/>
      <c r="Y1" s="1120" t="str">
        <f>'지출-'!B16</f>
        <v>#REF!</v>
      </c>
      <c r="AA1" s="1121" t="s">
        <v>3239</v>
      </c>
      <c r="AB1" s="1122"/>
      <c r="AC1" s="1122"/>
      <c r="AD1" s="1122"/>
      <c r="AE1" s="1122"/>
    </row>
    <row r="2">
      <c r="A2" s="1123" t="s">
        <v>3240</v>
      </c>
      <c r="B2" s="1112"/>
      <c r="C2" s="1124" t="s">
        <v>3241</v>
      </c>
      <c r="D2" s="1114"/>
      <c r="E2" s="1123" t="s">
        <v>3242</v>
      </c>
      <c r="F2" s="1114"/>
      <c r="G2" s="1124" t="s">
        <v>3243</v>
      </c>
      <c r="H2" s="1114"/>
      <c r="I2" s="1124" t="s">
        <v>3244</v>
      </c>
      <c r="J2" s="1114"/>
      <c r="K2" s="1124" t="s">
        <v>1732</v>
      </c>
      <c r="L2" s="1114"/>
      <c r="M2" s="1124" t="s">
        <v>3245</v>
      </c>
      <c r="N2" s="1114"/>
      <c r="O2" s="1124" t="s">
        <v>3246</v>
      </c>
      <c r="P2" s="1114"/>
      <c r="Q2" s="1125" t="s">
        <v>3247</v>
      </c>
      <c r="R2" s="1114"/>
      <c r="S2" s="1126" t="s">
        <v>3248</v>
      </c>
      <c r="T2" s="1114"/>
      <c r="U2" s="1127" t="s">
        <v>3249</v>
      </c>
      <c r="V2" s="1114"/>
      <c r="W2" s="1127" t="s">
        <v>3250</v>
      </c>
      <c r="X2" s="1114"/>
      <c r="Y2" s="1127" t="s">
        <v>3251</v>
      </c>
      <c r="AA2" s="1128"/>
      <c r="AB2" s="1127"/>
      <c r="AC2" s="1127"/>
      <c r="AD2" s="1127"/>
      <c r="AE2" s="1127"/>
    </row>
    <row r="3">
      <c r="A3" s="1129">
        <f>$G$3</f>
        <v>1</v>
      </c>
      <c r="B3" s="1112"/>
      <c r="C3" s="1129">
        <f>$G$3</f>
        <v>1</v>
      </c>
      <c r="D3" s="1114"/>
      <c r="E3" s="1129">
        <f>$G$3</f>
        <v>1</v>
      </c>
      <c r="F3" s="1114"/>
      <c r="G3" s="1130">
        <v>1.0</v>
      </c>
      <c r="H3" s="1114"/>
      <c r="I3" s="1129">
        <f>$G$3</f>
        <v>1</v>
      </c>
      <c r="J3" s="1114"/>
      <c r="K3" s="1129">
        <f>$G$3</f>
        <v>1</v>
      </c>
      <c r="L3" s="1114"/>
      <c r="M3" s="1129">
        <f>$G$3</f>
        <v>1</v>
      </c>
      <c r="N3" s="1114"/>
      <c r="O3" s="1129">
        <f>$G$3</f>
        <v>1</v>
      </c>
      <c r="P3" s="1114"/>
      <c r="Q3" s="1129">
        <f>$G$3</f>
        <v>1</v>
      </c>
      <c r="R3" s="1114"/>
      <c r="S3" s="1129">
        <f>$G$3</f>
        <v>1</v>
      </c>
      <c r="T3" s="1114"/>
      <c r="U3" s="1129">
        <f>$G$3</f>
        <v>1</v>
      </c>
      <c r="V3" s="1114"/>
      <c r="W3" s="1129">
        <f>$G$3</f>
        <v>1</v>
      </c>
      <c r="X3" s="1114"/>
      <c r="Y3" s="1129">
        <f>$G$3</f>
        <v>1</v>
      </c>
      <c r="AA3" s="1131"/>
      <c r="AB3" s="1132"/>
      <c r="AC3" s="1132"/>
      <c r="AD3" s="1132"/>
      <c r="AE3" s="1132"/>
    </row>
    <row r="4">
      <c r="A4" s="1133" t="s">
        <v>3252</v>
      </c>
      <c r="B4" s="1134" t="s">
        <v>680</v>
      </c>
      <c r="C4" s="1133" t="s">
        <v>3252</v>
      </c>
      <c r="D4" s="1135" t="s">
        <v>680</v>
      </c>
      <c r="E4" s="1136" t="s">
        <v>3235</v>
      </c>
      <c r="F4" s="1135" t="s">
        <v>680</v>
      </c>
      <c r="G4" s="1136" t="s">
        <v>3235</v>
      </c>
      <c r="H4" s="1135" t="s">
        <v>680</v>
      </c>
      <c r="I4" s="1136" t="s">
        <v>3235</v>
      </c>
      <c r="J4" s="1135" t="s">
        <v>680</v>
      </c>
      <c r="K4" s="1136" t="s">
        <v>3235</v>
      </c>
      <c r="L4" s="1135" t="s">
        <v>680</v>
      </c>
      <c r="M4" s="1136" t="s">
        <v>3235</v>
      </c>
      <c r="N4" s="1135" t="s">
        <v>680</v>
      </c>
      <c r="O4" s="1136" t="s">
        <v>3235</v>
      </c>
      <c r="P4" s="1135" t="s">
        <v>680</v>
      </c>
      <c r="Q4" s="1136" t="s">
        <v>3235</v>
      </c>
      <c r="R4" s="1135" t="s">
        <v>680</v>
      </c>
      <c r="S4" s="1136" t="s">
        <v>3235</v>
      </c>
      <c r="T4" s="1135" t="s">
        <v>680</v>
      </c>
      <c r="U4" s="1136" t="s">
        <v>3235</v>
      </c>
      <c r="V4" s="1135" t="s">
        <v>680</v>
      </c>
      <c r="W4" s="1136" t="s">
        <v>3253</v>
      </c>
      <c r="X4" s="1135" t="s">
        <v>680</v>
      </c>
      <c r="Y4" s="1133" t="s">
        <v>3254</v>
      </c>
      <c r="Z4" s="1137" t="s">
        <v>680</v>
      </c>
      <c r="AA4" s="1138"/>
      <c r="AB4" s="1139"/>
      <c r="AC4" s="1139"/>
      <c r="AD4" s="1139"/>
      <c r="AE4" s="1139"/>
    </row>
    <row r="5">
      <c r="A5" s="1140" t="s">
        <v>3255</v>
      </c>
      <c r="B5" s="1141">
        <v>16070.0</v>
      </c>
      <c r="C5" s="1140" t="s">
        <v>3256</v>
      </c>
      <c r="D5" s="1142">
        <v>55220.0</v>
      </c>
      <c r="E5" s="1140" t="s">
        <v>3257</v>
      </c>
      <c r="F5" s="1142">
        <v>57030.0</v>
      </c>
      <c r="G5" s="1140" t="s">
        <v>3258</v>
      </c>
      <c r="H5" s="1142">
        <v>16370.0</v>
      </c>
      <c r="I5" s="1140" t="s">
        <v>3259</v>
      </c>
      <c r="J5" s="1142">
        <v>249800.0</v>
      </c>
      <c r="K5" s="1140" t="s">
        <v>3260</v>
      </c>
      <c r="L5" s="1142">
        <v>39480.0</v>
      </c>
      <c r="M5" s="1140" t="s">
        <v>3261</v>
      </c>
      <c r="N5" s="1142">
        <v>23330.0</v>
      </c>
      <c r="O5" s="1140" t="s">
        <v>3262</v>
      </c>
      <c r="P5" s="1142">
        <v>26400.0</v>
      </c>
      <c r="Q5" s="1140" t="s">
        <v>3263</v>
      </c>
      <c r="R5" s="1142">
        <v>41490.0</v>
      </c>
      <c r="S5" s="1140" t="s">
        <v>3264</v>
      </c>
      <c r="T5" s="1142">
        <v>41120.0</v>
      </c>
      <c r="U5" s="1140" t="s">
        <v>3265</v>
      </c>
      <c r="V5" s="1142">
        <v>25830.0</v>
      </c>
      <c r="W5" s="1140" t="s">
        <v>3266</v>
      </c>
      <c r="X5" s="1142">
        <v>49030.0</v>
      </c>
      <c r="Y5" s="1140" t="s">
        <v>3267</v>
      </c>
      <c r="Z5" s="1137">
        <v>13080.0</v>
      </c>
      <c r="AA5" s="1143">
        <f t="shared" ref="AA5:AA6" si="1">B5+D5+F5+H5+J5+L5+N5+P5+R5+T5+V5+X5+Z5</f>
        <v>654250</v>
      </c>
      <c r="AB5" s="1137"/>
      <c r="AC5" s="1137"/>
      <c r="AD5" s="1137"/>
      <c r="AE5" s="1137"/>
    </row>
    <row r="6">
      <c r="A6" s="1140" t="s">
        <v>3268</v>
      </c>
      <c r="B6" s="1141">
        <v>95630.0</v>
      </c>
      <c r="C6" s="1140" t="s">
        <v>3269</v>
      </c>
      <c r="D6" s="1142">
        <v>66330.0</v>
      </c>
      <c r="E6" s="1140" t="s">
        <v>3270</v>
      </c>
      <c r="F6" s="1142">
        <v>198870.0</v>
      </c>
      <c r="G6" s="1140" t="s">
        <v>3271</v>
      </c>
      <c r="H6" s="1142">
        <v>118660.0</v>
      </c>
      <c r="I6" s="1140" t="s">
        <v>3272</v>
      </c>
      <c r="J6" s="1142">
        <v>130860.0</v>
      </c>
      <c r="K6" s="1140" t="s">
        <v>3273</v>
      </c>
      <c r="L6" s="1142">
        <v>152820.0</v>
      </c>
      <c r="M6" s="1140" t="s">
        <v>3274</v>
      </c>
      <c r="N6" s="1142">
        <v>147730.0</v>
      </c>
      <c r="O6" s="1140" t="s">
        <v>3275</v>
      </c>
      <c r="P6" s="1142">
        <v>174570.0</v>
      </c>
      <c r="Q6" s="1140" t="s">
        <v>3276</v>
      </c>
      <c r="R6" s="1142">
        <v>150420.0</v>
      </c>
      <c r="S6" s="1140" t="s">
        <v>3277</v>
      </c>
      <c r="T6" s="1142">
        <v>148420.0</v>
      </c>
      <c r="U6" s="1140" t="s">
        <v>3278</v>
      </c>
      <c r="V6" s="1142">
        <v>51530.0</v>
      </c>
      <c r="W6" s="1140" t="s">
        <v>3279</v>
      </c>
      <c r="X6" s="1142">
        <v>99950.0</v>
      </c>
      <c r="Y6" s="1140" t="s">
        <v>3280</v>
      </c>
      <c r="Z6" s="1137">
        <v>175650.0</v>
      </c>
      <c r="AA6" s="1143">
        <f t="shared" si="1"/>
        <v>1711440</v>
      </c>
      <c r="AB6" s="1137"/>
      <c r="AC6" s="1137"/>
      <c r="AD6" s="1137"/>
      <c r="AE6" s="1137"/>
    </row>
    <row r="7">
      <c r="A7" s="1133" t="s">
        <v>3281</v>
      </c>
      <c r="B7" s="1134" t="s">
        <v>680</v>
      </c>
      <c r="C7" s="1133" t="s">
        <v>3281</v>
      </c>
      <c r="D7" s="1135" t="s">
        <v>680</v>
      </c>
      <c r="E7" s="1136" t="s">
        <v>3282</v>
      </c>
      <c r="F7" s="1135" t="s">
        <v>680</v>
      </c>
      <c r="G7" s="1136" t="s">
        <v>3283</v>
      </c>
      <c r="H7" s="1135" t="s">
        <v>680</v>
      </c>
      <c r="I7" s="1136" t="s">
        <v>3283</v>
      </c>
      <c r="J7" s="1135" t="s">
        <v>680</v>
      </c>
      <c r="K7" s="1136" t="s">
        <v>3284</v>
      </c>
      <c r="L7" s="1135" t="s">
        <v>680</v>
      </c>
      <c r="M7" s="1136" t="s">
        <v>3283</v>
      </c>
      <c r="N7" s="1135" t="s">
        <v>680</v>
      </c>
      <c r="O7" s="1136" t="s">
        <v>3285</v>
      </c>
      <c r="P7" s="1135" t="s">
        <v>680</v>
      </c>
      <c r="Q7" s="1136" t="s">
        <v>3286</v>
      </c>
      <c r="R7" s="1135" t="s">
        <v>680</v>
      </c>
      <c r="S7" s="1136" t="s">
        <v>3286</v>
      </c>
      <c r="T7" s="1135" t="s">
        <v>680</v>
      </c>
      <c r="U7" s="1136" t="s">
        <v>3287</v>
      </c>
      <c r="V7" s="1135" t="s">
        <v>680</v>
      </c>
      <c r="W7" s="1133" t="s">
        <v>3288</v>
      </c>
      <c r="X7" s="1142">
        <v>60000.0</v>
      </c>
      <c r="Y7" s="1133" t="s">
        <v>3289</v>
      </c>
      <c r="Z7" s="1139" t="s">
        <v>680</v>
      </c>
      <c r="AA7" s="1143"/>
      <c r="AB7" s="1137"/>
      <c r="AC7" s="1137"/>
      <c r="AD7" s="1137"/>
      <c r="AE7" s="1137"/>
    </row>
    <row r="8">
      <c r="A8" s="1144"/>
      <c r="B8" s="1134" t="str">
        <f>IF(A8="","", SUMPRODUCT(('공과금'!$E$1:$Y$1=A1)*('공과금'!$D$2:$D$85=$G$3&amp;LEFT(A8,3))*('공과금'!$E$2:$Y$85)))</f>
        <v/>
      </c>
      <c r="C8" s="1144"/>
      <c r="D8" s="1135" t="str">
        <f>IF(C8="","", SUMPRODUCT(('공과금'!$E$1:$Y$1=C1)*('공과금'!$D$2:$D$85=$G$3&amp;LEFT(C8,3))*('공과금'!$E$2:$Y$85)))</f>
        <v/>
      </c>
      <c r="E8" s="1144"/>
      <c r="F8" s="1135" t="str">
        <f>IF(E8="","", SUMPRODUCT(('공과금'!$E$1:$Y$1=E1)*('공과금'!$D$2:$D$85=$G$3&amp;LEFT(E8,3))*('공과금'!$E$2:$Y$85)))</f>
        <v/>
      </c>
      <c r="G8" s="1144"/>
      <c r="H8" s="1135" t="str">
        <f>IF(G8="","", SUMPRODUCT(('공과금'!$E$1:$Y$1=G1)*('공과금'!$D$2:$D$85=$G$3&amp;LEFT(G8,2))*('공과금'!$E$2:$Y$85)))</f>
        <v/>
      </c>
      <c r="I8" s="1144"/>
      <c r="J8" s="1135" t="str">
        <f>IF(I8="","", SUMPRODUCT(('공과금'!$E$1:$Y$1=I1)*('공과금'!$D$2:$D$85=$G$3&amp;LEFT(I8,3))*('공과금'!$E$2:$Y$85)))</f>
        <v/>
      </c>
      <c r="K8" s="1144"/>
      <c r="L8" s="1135" t="str">
        <f>IF(K8="","", SUMPRODUCT(('공과금'!$E$1:$Y$1=K1)*('공과금'!$D$2:$D$85=$G$3&amp;LEFT(K8,3))*('공과금'!$E$2:$Y$85)))</f>
        <v/>
      </c>
      <c r="M8" s="1144"/>
      <c r="N8" s="1135" t="str">
        <f>IF(M8="","", SUMPRODUCT(('공과금'!$E$1:$Y$1=M1)*('공과금'!$D$2:$D$85=$G$3&amp;LEFT(M8,3))*('공과금'!$E$2:$Y$85)))</f>
        <v/>
      </c>
      <c r="O8" s="1144"/>
      <c r="P8" s="1135" t="str">
        <f>IF(O8="","", SUMPRODUCT(('공과금'!$E$1:$Y$1=O1)*('공과금'!$D$2:$D$85=$G$3&amp;LEFT(O8,3))*('공과금'!$E$2:$Y$85)))</f>
        <v/>
      </c>
      <c r="Q8" s="1144"/>
      <c r="R8" s="1135" t="str">
        <f>IF(Q8="","", SUMPRODUCT(('공과금'!$E$1:$Y$1=Q1)*('공과금'!$D$2:$D$85=$G$3&amp;LEFT(Q8,3))*('공과금'!$E$2:$Y$85)))</f>
        <v/>
      </c>
      <c r="S8" s="1144"/>
      <c r="T8" s="1135" t="str">
        <f>IF(S8="","", SUMPRODUCT(('공과금'!$E$1:$Y$1=S1)*('공과금'!$D$2:$D$85=$G$3&amp;LEFT(S8,3))*('공과금'!$E$2:$Y$85)))</f>
        <v/>
      </c>
      <c r="U8" s="1144"/>
      <c r="V8" s="1135" t="str">
        <f>IF(U8="","", SUMPRODUCT(('공과금'!$E$1:$Y$1=U1)*('공과금'!$D$2:$D$85=$G$3&amp;LEFT(U8,3))*('공과금'!$E$2:$Y$85)))</f>
        <v/>
      </c>
      <c r="W8" s="1144"/>
      <c r="X8" s="1135" t="str">
        <f>IF(W8="","", SUMPRODUCT(('공과금'!$E$1:$Y$1=W1)*('공과금'!$D$2:$D$85=$G$3&amp;LEFT(W8,3))*('공과금'!$E$2:$Y$85)))</f>
        <v/>
      </c>
      <c r="Y8" s="1144"/>
      <c r="Z8" s="1139" t="str">
        <f>IF(Y8="","", SUMPRODUCT(('공과금'!$E$1:$Y$1=Y1)*('공과금'!$D$2:$D$85=$G$3&amp;LEFT(Y8,3))*('공과금'!$E$2:$Y$85)))</f>
        <v/>
      </c>
      <c r="AA8" s="1143"/>
      <c r="AB8" s="1137"/>
      <c r="AC8" s="1137"/>
      <c r="AD8" s="1137"/>
      <c r="AE8" s="1137"/>
    </row>
    <row r="9">
      <c r="A9" s="1145" t="s">
        <v>42</v>
      </c>
      <c r="B9" s="1146">
        <f>sum(B4:B8)</f>
        <v>111700</v>
      </c>
      <c r="C9" s="1147" t="s">
        <v>42</v>
      </c>
      <c r="D9" s="1148">
        <f>D5+D6</f>
        <v>121550</v>
      </c>
      <c r="E9" s="1147" t="s">
        <v>42</v>
      </c>
      <c r="F9" s="1148">
        <f>F5+F6</f>
        <v>255900</v>
      </c>
      <c r="G9" s="1147" t="s">
        <v>42</v>
      </c>
      <c r="H9" s="1148">
        <f>H5+H6</f>
        <v>135030</v>
      </c>
      <c r="I9" s="1147" t="s">
        <v>42</v>
      </c>
      <c r="J9" s="1148">
        <f>J5+J6</f>
        <v>380660</v>
      </c>
      <c r="K9" s="1147" t="s">
        <v>42</v>
      </c>
      <c r="L9" s="1148">
        <f>L5+L6</f>
        <v>192300</v>
      </c>
      <c r="M9" s="1147" t="s">
        <v>42</v>
      </c>
      <c r="N9" s="1148">
        <f>N5+N6</f>
        <v>171060</v>
      </c>
      <c r="O9" s="1147" t="s">
        <v>42</v>
      </c>
      <c r="P9" s="1148">
        <f>P5+P6</f>
        <v>200970</v>
      </c>
      <c r="Q9" s="1147" t="s">
        <v>42</v>
      </c>
      <c r="R9" s="1148">
        <f>R5+R6</f>
        <v>191910</v>
      </c>
      <c r="S9" s="1147" t="s">
        <v>42</v>
      </c>
      <c r="T9" s="1148">
        <f>T5+T6</f>
        <v>189540</v>
      </c>
      <c r="U9" s="1147" t="s">
        <v>42</v>
      </c>
      <c r="V9" s="1148">
        <f>V5+V6</f>
        <v>77360</v>
      </c>
      <c r="W9" s="1147" t="s">
        <v>42</v>
      </c>
      <c r="X9" s="1148">
        <f>X5+X6</f>
        <v>148980</v>
      </c>
      <c r="Y9" s="1147" t="s">
        <v>42</v>
      </c>
      <c r="Z9" s="1148">
        <f t="shared" ref="Z9:AA9" si="2">Z5+Z6</f>
        <v>188730</v>
      </c>
      <c r="AA9" s="1149">
        <f t="shared" si="2"/>
        <v>2365690</v>
      </c>
      <c r="AB9" s="1150"/>
      <c r="AC9" s="1150"/>
      <c r="AD9" s="1150"/>
      <c r="AE9" s="1150"/>
    </row>
    <row r="10">
      <c r="A10" s="1151">
        <v>2.0</v>
      </c>
      <c r="B10" s="1152">
        <f>B9/A10</f>
        <v>55850</v>
      </c>
      <c r="C10" s="1153" t="s">
        <v>3290</v>
      </c>
      <c r="D10" s="1154">
        <f>D9/3</f>
        <v>40516.66667</v>
      </c>
      <c r="E10" s="1155" t="s">
        <v>3290</v>
      </c>
      <c r="F10" s="1156">
        <f>F9/5</f>
        <v>51180</v>
      </c>
      <c r="G10" s="1157" t="s">
        <v>3290</v>
      </c>
      <c r="H10" s="1158">
        <f>H9/4</f>
        <v>33757.5</v>
      </c>
      <c r="I10" s="1155" t="s">
        <v>3290</v>
      </c>
      <c r="J10" s="1156">
        <f>J9/5</f>
        <v>76132</v>
      </c>
      <c r="K10" s="1155" t="s">
        <v>3290</v>
      </c>
      <c r="L10" s="1156">
        <f>L9/4</f>
        <v>48075</v>
      </c>
      <c r="M10" s="1155" t="s">
        <v>3290</v>
      </c>
      <c r="N10" s="1156"/>
      <c r="O10" s="1155" t="s">
        <v>3290</v>
      </c>
      <c r="P10" s="1156">
        <f>P9/4</f>
        <v>50242.5</v>
      </c>
      <c r="Q10" s="1159" t="s">
        <v>3290</v>
      </c>
      <c r="R10" s="1160">
        <f>R9/3</f>
        <v>63970</v>
      </c>
      <c r="S10" s="1161" t="s">
        <v>3290</v>
      </c>
      <c r="T10" s="1162">
        <f>T9/4</f>
        <v>47385</v>
      </c>
      <c r="U10" s="1161" t="s">
        <v>3290</v>
      </c>
      <c r="V10" s="1162">
        <f>V9/3</f>
        <v>25786.66667</v>
      </c>
      <c r="W10" s="1161" t="s">
        <v>3290</v>
      </c>
      <c r="X10" s="1162">
        <f>X9/2</f>
        <v>74490</v>
      </c>
      <c r="Y10" s="1163" t="s">
        <v>3290</v>
      </c>
      <c r="Z10" s="1164">
        <f>Z9/4</f>
        <v>47182.5</v>
      </c>
      <c r="AA10" s="1143"/>
      <c r="AB10" s="1137"/>
      <c r="AC10" s="1137"/>
      <c r="AD10" s="1137"/>
      <c r="AE10" s="1137"/>
    </row>
    <row r="11">
      <c r="A11" s="1129">
        <f>$G$11</f>
        <v>2</v>
      </c>
      <c r="C11" s="1129">
        <f>$G$11</f>
        <v>2</v>
      </c>
      <c r="E11" s="1129">
        <f>$G$11</f>
        <v>2</v>
      </c>
      <c r="G11" s="1130">
        <v>2.0</v>
      </c>
      <c r="I11" s="1129">
        <f>$G$11</f>
        <v>2</v>
      </c>
      <c r="K11" s="1129">
        <f>$G$11</f>
        <v>2</v>
      </c>
      <c r="M11" s="1129">
        <f>$G$11</f>
        <v>2</v>
      </c>
      <c r="O11" s="1129">
        <f>$G$11</f>
        <v>2</v>
      </c>
      <c r="Q11" s="1129">
        <f>$G$11</f>
        <v>2</v>
      </c>
      <c r="S11" s="1129">
        <f>$G$11</f>
        <v>2</v>
      </c>
      <c r="U11" s="1129">
        <f>$G$11</f>
        <v>2</v>
      </c>
      <c r="W11" s="1129">
        <f>$G$11</f>
        <v>2</v>
      </c>
      <c r="Y11" s="1129">
        <f>$G$11</f>
        <v>2</v>
      </c>
      <c r="AA11" s="1143"/>
      <c r="AB11" s="1137"/>
      <c r="AC11" s="1137"/>
      <c r="AD11" s="1137"/>
      <c r="AE11" s="1137"/>
    </row>
    <row r="12">
      <c r="A12" s="1136" t="s">
        <v>3235</v>
      </c>
      <c r="B12" s="1134" t="s">
        <v>680</v>
      </c>
      <c r="C12" s="1136" t="s">
        <v>3235</v>
      </c>
      <c r="D12" s="1135" t="s">
        <v>680</v>
      </c>
      <c r="E12" s="1136" t="s">
        <v>3235</v>
      </c>
      <c r="F12" s="1135" t="s">
        <v>680</v>
      </c>
      <c r="G12" s="1136" t="s">
        <v>3235</v>
      </c>
      <c r="H12" s="1135" t="s">
        <v>680</v>
      </c>
      <c r="I12" s="1136" t="s">
        <v>3235</v>
      </c>
      <c r="J12" s="1135" t="s">
        <v>680</v>
      </c>
      <c r="K12" s="1136" t="s">
        <v>3235</v>
      </c>
      <c r="L12" s="1135" t="s">
        <v>680</v>
      </c>
      <c r="M12" s="1136" t="s">
        <v>3235</v>
      </c>
      <c r="N12" s="1135" t="s">
        <v>680</v>
      </c>
      <c r="O12" s="1136" t="s">
        <v>3235</v>
      </c>
      <c r="P12" s="1135" t="s">
        <v>680</v>
      </c>
      <c r="Q12" s="1136" t="s">
        <v>3235</v>
      </c>
      <c r="R12" s="1135" t="s">
        <v>680</v>
      </c>
      <c r="S12" s="1136" t="s">
        <v>3235</v>
      </c>
      <c r="T12" s="1135" t="s">
        <v>680</v>
      </c>
      <c r="U12" s="1136" t="s">
        <v>3235</v>
      </c>
      <c r="V12" s="1135" t="s">
        <v>680</v>
      </c>
      <c r="W12" s="1136" t="s">
        <v>3253</v>
      </c>
      <c r="X12" s="1135" t="s">
        <v>680</v>
      </c>
      <c r="Y12" s="1133" t="s">
        <v>3254</v>
      </c>
      <c r="Z12" s="1139" t="s">
        <v>680</v>
      </c>
      <c r="AA12" s="1143"/>
      <c r="AB12" s="1137"/>
      <c r="AC12" s="1137"/>
      <c r="AD12" s="1137"/>
      <c r="AE12" s="1137"/>
    </row>
    <row r="13">
      <c r="A13" s="1140" t="s">
        <v>3255</v>
      </c>
      <c r="B13" s="1134"/>
      <c r="C13" s="1140" t="s">
        <v>3256</v>
      </c>
      <c r="D13" s="1142">
        <v>102220.0</v>
      </c>
      <c r="E13" s="1140" t="s">
        <v>3257</v>
      </c>
      <c r="F13" s="1142">
        <v>63980.0</v>
      </c>
      <c r="G13" s="1140" t="s">
        <v>3258</v>
      </c>
      <c r="H13" s="1142">
        <v>18160.0</v>
      </c>
      <c r="I13" s="1140" t="s">
        <v>3259</v>
      </c>
      <c r="J13" s="1142">
        <v>369240.0</v>
      </c>
      <c r="K13" s="1140" t="s">
        <v>3291</v>
      </c>
      <c r="L13" s="1142">
        <v>37240.0</v>
      </c>
      <c r="M13" s="1140" t="s">
        <v>3261</v>
      </c>
      <c r="N13" s="1142">
        <v>25630.0</v>
      </c>
      <c r="O13" s="1140" t="s">
        <v>3262</v>
      </c>
      <c r="P13" s="1142">
        <v>15920.0</v>
      </c>
      <c r="Q13" s="1140" t="s">
        <v>3263</v>
      </c>
      <c r="R13" s="1142">
        <v>32890.0</v>
      </c>
      <c r="S13" s="1140" t="s">
        <v>3264</v>
      </c>
      <c r="T13" s="1142">
        <v>30560.0</v>
      </c>
      <c r="U13" s="1140" t="s">
        <v>3265</v>
      </c>
      <c r="V13" s="1142">
        <v>16680.0</v>
      </c>
      <c r="W13" s="1140" t="s">
        <v>3266</v>
      </c>
      <c r="X13" s="1142">
        <v>112830.0</v>
      </c>
      <c r="Y13" s="1140" t="s">
        <v>3267</v>
      </c>
      <c r="Z13" s="1137">
        <v>10850.0</v>
      </c>
      <c r="AA13" s="1143">
        <f t="shared" ref="AA13:AA14" si="3">B13+D13+F13+H13+J13+L13+N13+P13+R13+T13+V13+X13+Z13</f>
        <v>836200</v>
      </c>
      <c r="AB13" s="1137"/>
      <c r="AC13" s="1137"/>
      <c r="AD13" s="1137"/>
      <c r="AE13" s="1137"/>
    </row>
    <row r="14">
      <c r="A14" s="1140" t="s">
        <v>3268</v>
      </c>
      <c r="B14" s="1134"/>
      <c r="C14" s="1140" t="s">
        <v>3269</v>
      </c>
      <c r="D14" s="1142">
        <v>62240.0</v>
      </c>
      <c r="E14" s="1140" t="s">
        <v>3270</v>
      </c>
      <c r="F14" s="1142">
        <v>86780.0</v>
      </c>
      <c r="G14" s="1140" t="s">
        <v>3271</v>
      </c>
      <c r="H14" s="1142">
        <v>114720.0</v>
      </c>
      <c r="I14" s="1140" t="s">
        <v>3272</v>
      </c>
      <c r="J14" s="1142">
        <v>74370.0</v>
      </c>
      <c r="K14" s="1140" t="s">
        <v>3273</v>
      </c>
      <c r="L14" s="1142">
        <v>152390.0</v>
      </c>
      <c r="M14" s="1140" t="s">
        <v>3274</v>
      </c>
      <c r="N14" s="1142">
        <v>126790.0</v>
      </c>
      <c r="O14" s="1140" t="s">
        <v>3275</v>
      </c>
      <c r="P14" s="1142">
        <v>146290.0</v>
      </c>
      <c r="Q14" s="1140" t="s">
        <v>3292</v>
      </c>
      <c r="R14" s="1142">
        <v>124550.0</v>
      </c>
      <c r="S14" s="1140" t="s">
        <v>3277</v>
      </c>
      <c r="T14" s="1142">
        <v>125190.0</v>
      </c>
      <c r="U14" s="1140" t="s">
        <v>3278</v>
      </c>
      <c r="V14" s="1142">
        <v>3780.0</v>
      </c>
      <c r="W14" s="1140" t="s">
        <v>3293</v>
      </c>
      <c r="X14" s="1142">
        <v>99210.0</v>
      </c>
      <c r="Y14" s="1140" t="s">
        <v>3280</v>
      </c>
      <c r="Z14" s="1137">
        <v>154330.0</v>
      </c>
      <c r="AA14" s="1143">
        <f t="shared" si="3"/>
        <v>1270640</v>
      </c>
      <c r="AB14" s="1137"/>
      <c r="AC14" s="1137"/>
      <c r="AD14" s="1137"/>
      <c r="AE14" s="1137"/>
    </row>
    <row r="15">
      <c r="A15" s="1136" t="s">
        <v>3283</v>
      </c>
      <c r="B15" s="1134" t="s">
        <v>680</v>
      </c>
      <c r="C15" s="1136" t="s">
        <v>3286</v>
      </c>
      <c r="D15" s="1135" t="s">
        <v>680</v>
      </c>
      <c r="E15" s="1136" t="s">
        <v>3282</v>
      </c>
      <c r="F15" s="1135" t="s">
        <v>680</v>
      </c>
      <c r="G15" s="1136" t="s">
        <v>3283</v>
      </c>
      <c r="H15" s="1135" t="s">
        <v>680</v>
      </c>
      <c r="I15" s="1136" t="s">
        <v>3283</v>
      </c>
      <c r="J15" s="1135" t="s">
        <v>680</v>
      </c>
      <c r="K15" s="1136" t="s">
        <v>3284</v>
      </c>
      <c r="L15" s="1135" t="s">
        <v>680</v>
      </c>
      <c r="M15" s="1136" t="s">
        <v>3283</v>
      </c>
      <c r="N15" s="1135" t="s">
        <v>680</v>
      </c>
      <c r="O15" s="1136" t="s">
        <v>3285</v>
      </c>
      <c r="P15" s="1135" t="s">
        <v>680</v>
      </c>
      <c r="Q15" s="1136" t="s">
        <v>3286</v>
      </c>
      <c r="R15" s="1135" t="s">
        <v>680</v>
      </c>
      <c r="S15" s="1136" t="s">
        <v>3286</v>
      </c>
      <c r="T15" s="1135" t="s">
        <v>680</v>
      </c>
      <c r="U15" s="1136" t="s">
        <v>3287</v>
      </c>
      <c r="V15" s="1135" t="s">
        <v>680</v>
      </c>
      <c r="W15" s="1136" t="s">
        <v>3294</v>
      </c>
      <c r="X15" s="1135" t="s">
        <v>680</v>
      </c>
      <c r="Y15" s="1133" t="s">
        <v>3289</v>
      </c>
      <c r="Z15" s="1137">
        <v>26288.0</v>
      </c>
      <c r="AA15" s="1143"/>
      <c r="AB15" s="1137"/>
      <c r="AC15" s="1137"/>
      <c r="AD15" s="1137"/>
      <c r="AE15" s="1137"/>
    </row>
    <row r="16">
      <c r="A16" s="1144"/>
      <c r="B16" s="1134" t="str">
        <f>IF(A16="","", SUMPRODUCT(('공과금'!$E$1:$Y$1=A9)*('공과금'!$D$2:$D$85=$G$3&amp;LEFT(A16,3))*('공과금'!$E$2:$Y$85)))</f>
        <v/>
      </c>
      <c r="C16" s="1144"/>
      <c r="D16" s="1135" t="str">
        <f>IF(C16="","", SUMPRODUCT(('공과금'!$E$1:$Y$1=C9)*('공과금'!$D$2:$D$85=$G$3&amp;LEFT(C16,3))*('공과금'!$E$2:$Y$85)))</f>
        <v/>
      </c>
      <c r="E16" s="1144"/>
      <c r="F16" s="1135" t="str">
        <f>IF(E16="","", SUMPRODUCT(('공과금'!$E$1:$Y$1=E9)*('공과금'!$D$2:$D$85=$G$3&amp;LEFT(E16,3))*('공과금'!$E$2:$Y$85)))</f>
        <v/>
      </c>
      <c r="G16" s="1144"/>
      <c r="H16" s="1135" t="str">
        <f>IF(G16="","", SUMPRODUCT(('공과금'!$E$1:$Y$1=G9)*('공과금'!$D$2:$D$85=$G$3&amp;LEFT(G16,2))*('공과금'!$E$2:$Y$85)))</f>
        <v/>
      </c>
      <c r="I16" s="1165" t="s">
        <v>3295</v>
      </c>
      <c r="J16" s="1142">
        <v>-100000.0</v>
      </c>
      <c r="K16" s="1144"/>
      <c r="L16" s="1135" t="str">
        <f>IF(K16="","", SUMPRODUCT(('공과금'!$E$1:$Y$1=K9)*('공과금'!$D$2:$D$85=$G$3&amp;LEFT(K16,3))*('공과금'!$E$2:$Y$85)))</f>
        <v/>
      </c>
      <c r="M16" s="1144"/>
      <c r="N16" s="1135" t="str">
        <f>IF(M16="","", SUMPRODUCT(('공과금'!$E$1:$Y$1=M9)*('공과금'!$D$2:$D$85=$G$3&amp;LEFT(M16,3))*('공과금'!$E$2:$Y$85)))</f>
        <v/>
      </c>
      <c r="O16" s="1144"/>
      <c r="P16" s="1135" t="str">
        <f>IF(O16="","", SUMPRODUCT(('공과금'!$E$1:$Y$1=O9)*('공과금'!$D$2:$D$85=$G$3&amp;LEFT(O16,3))*('공과금'!$E$2:$Y$85)))</f>
        <v/>
      </c>
      <c r="Q16" s="1144"/>
      <c r="R16" s="1135" t="str">
        <f>IF(Q16="","", SUMPRODUCT(('공과금'!$E$1:$Y$1=Q9)*('공과금'!$D$2:$D$85=$G$3&amp;LEFT(Q16,3))*('공과금'!$E$2:$Y$85)))</f>
        <v/>
      </c>
      <c r="S16" s="1144"/>
      <c r="T16" s="1135" t="str">
        <f>IF(S16="","", SUMPRODUCT(('공과금'!$E$1:$Y$1=S9)*('공과금'!$D$2:$D$85=$G$3&amp;LEFT(S16,3))*('공과금'!$E$2:$Y$85)))</f>
        <v/>
      </c>
      <c r="U16" s="1144"/>
      <c r="V16" s="1135" t="str">
        <f>IF(U16="","", SUMPRODUCT(('공과금'!$E$1:$Y$1=U9)*('공과금'!$D$2:$D$85=$G$3&amp;LEFT(U16,3))*('공과금'!$E$2:$Y$85)))</f>
        <v/>
      </c>
      <c r="W16" s="1144"/>
      <c r="X16" s="1135" t="str">
        <f>IF(W16="","", SUMPRODUCT(('공과금'!$E$1:$Y$1=W9)*('공과금'!$D$2:$D$85=$G$3&amp;LEFT(W16,3))*('공과금'!$E$2:$Y$85)))</f>
        <v/>
      </c>
      <c r="Y16" s="1144"/>
      <c r="Z16" s="1139" t="str">
        <f>IF(Y16="","", SUMPRODUCT(('공과금'!$E$1:$Y$1=Y9)*('공과금'!$D$2:$D$85=$G$3&amp;LEFT(Y16,3))*('공과금'!$E$2:$Y$85)))</f>
        <v/>
      </c>
      <c r="AA16" s="1143"/>
      <c r="AB16" s="1137"/>
      <c r="AC16" s="1137"/>
      <c r="AD16" s="1137"/>
      <c r="AE16" s="1137"/>
    </row>
    <row r="17">
      <c r="A17" s="1145" t="s">
        <v>42</v>
      </c>
      <c r="B17" s="1146">
        <f>sum(B12:B16)</f>
        <v>0</v>
      </c>
      <c r="C17" s="1145" t="s">
        <v>42</v>
      </c>
      <c r="D17" s="1146">
        <f>sum(D12:D16)</f>
        <v>164460</v>
      </c>
      <c r="E17" s="1147" t="s">
        <v>42</v>
      </c>
      <c r="F17" s="1148">
        <f>F13+F14</f>
        <v>150760</v>
      </c>
      <c r="G17" s="1147" t="s">
        <v>42</v>
      </c>
      <c r="H17" s="1148">
        <f>H13+H14</f>
        <v>132880</v>
      </c>
      <c r="I17" s="1147" t="s">
        <v>42</v>
      </c>
      <c r="J17" s="1148">
        <f>J13+J14</f>
        <v>443610</v>
      </c>
      <c r="K17" s="1147" t="s">
        <v>42</v>
      </c>
      <c r="L17" s="1148">
        <f>L13+L14</f>
        <v>189630</v>
      </c>
      <c r="M17" s="1147" t="s">
        <v>42</v>
      </c>
      <c r="N17" s="1148">
        <f>N13+N14</f>
        <v>152420</v>
      </c>
      <c r="O17" s="1147" t="s">
        <v>42</v>
      </c>
      <c r="P17" s="1148">
        <f>P13+P14</f>
        <v>162210</v>
      </c>
      <c r="Q17" s="1147" t="s">
        <v>42</v>
      </c>
      <c r="R17" s="1148">
        <f>R13+R14</f>
        <v>157440</v>
      </c>
      <c r="S17" s="1147" t="s">
        <v>42</v>
      </c>
      <c r="T17" s="1148">
        <f>T13+T14</f>
        <v>155750</v>
      </c>
      <c r="U17" s="1147" t="s">
        <v>42</v>
      </c>
      <c r="V17" s="1148">
        <f>V13+V14</f>
        <v>20460</v>
      </c>
      <c r="W17" s="1147" t="s">
        <v>42</v>
      </c>
      <c r="X17" s="1148">
        <f>X13+X14</f>
        <v>212040</v>
      </c>
      <c r="Y17" s="1147" t="s">
        <v>42</v>
      </c>
      <c r="Z17" s="1148">
        <f>Z13+Z14</f>
        <v>165180</v>
      </c>
      <c r="AA17" s="1147" t="s">
        <v>42</v>
      </c>
      <c r="AB17" s="1148">
        <f t="shared" ref="AB17:AC17" si="4">AB13+AB14</f>
        <v>0</v>
      </c>
      <c r="AC17" s="1149">
        <f t="shared" si="4"/>
        <v>0</v>
      </c>
      <c r="AD17" s="1150"/>
      <c r="AE17" s="1150"/>
    </row>
    <row r="18">
      <c r="A18" s="1151">
        <v>4.0</v>
      </c>
      <c r="B18" s="1152">
        <f>B17/A18</f>
        <v>0</v>
      </c>
      <c r="C18" s="1153" t="s">
        <v>3290</v>
      </c>
      <c r="D18" s="1154">
        <f>D17/3</f>
        <v>54820</v>
      </c>
      <c r="E18" s="1155" t="s">
        <v>3290</v>
      </c>
      <c r="F18" s="1156">
        <f>F17/4</f>
        <v>37690</v>
      </c>
      <c r="G18" s="1157" t="s">
        <v>3290</v>
      </c>
      <c r="H18" s="1158">
        <f>H17/3</f>
        <v>44293.33333</v>
      </c>
      <c r="I18" s="1155" t="s">
        <v>3290</v>
      </c>
      <c r="J18" s="1156">
        <f>J17/5</f>
        <v>88722</v>
      </c>
      <c r="K18" s="1155" t="s">
        <v>3290</v>
      </c>
      <c r="L18" s="1156">
        <f>L17/4</f>
        <v>47407.5</v>
      </c>
      <c r="M18" s="1155" t="s">
        <v>3290</v>
      </c>
      <c r="N18" s="1156">
        <f>N17/4</f>
        <v>38105</v>
      </c>
      <c r="O18" s="1155" t="s">
        <v>3290</v>
      </c>
      <c r="P18" s="1156">
        <f>P17/4</f>
        <v>40552.5</v>
      </c>
      <c r="Q18" s="1159" t="s">
        <v>3290</v>
      </c>
      <c r="R18" s="1160">
        <f>R17/2</f>
        <v>78720</v>
      </c>
      <c r="S18" s="1161" t="s">
        <v>3290</v>
      </c>
      <c r="T18" s="1162"/>
      <c r="U18" s="1161" t="s">
        <v>3290</v>
      </c>
      <c r="V18" s="1162">
        <f>V17/4</f>
        <v>5115</v>
      </c>
      <c r="W18" s="1161" t="s">
        <v>3290</v>
      </c>
      <c r="X18" s="1162">
        <f>X17/2</f>
        <v>106020</v>
      </c>
      <c r="Y18" s="1163" t="s">
        <v>3290</v>
      </c>
      <c r="Z18" s="1164">
        <f>Z17/3</f>
        <v>55060</v>
      </c>
      <c r="AA18" s="1143"/>
      <c r="AB18" s="1137"/>
      <c r="AC18" s="1137"/>
      <c r="AD18" s="1137"/>
      <c r="AE18" s="1137"/>
    </row>
    <row r="19">
      <c r="A19" s="1129">
        <f>$G$19</f>
        <v>3</v>
      </c>
      <c r="C19" s="1129">
        <f>$G$19</f>
        <v>3</v>
      </c>
      <c r="E19" s="1129">
        <f>$G$19</f>
        <v>3</v>
      </c>
      <c r="G19" s="1130">
        <v>3.0</v>
      </c>
      <c r="I19" s="1129">
        <f>$G$19</f>
        <v>3</v>
      </c>
      <c r="K19" s="1129">
        <f>$G$19</f>
        <v>3</v>
      </c>
      <c r="M19" s="1129">
        <f>$G$19</f>
        <v>3</v>
      </c>
      <c r="O19" s="1129">
        <f>$G$19</f>
        <v>3</v>
      </c>
      <c r="Q19" s="1129">
        <f>$G$19</f>
        <v>3</v>
      </c>
      <c r="S19" s="1129">
        <f>$G$19</f>
        <v>3</v>
      </c>
      <c r="U19" s="1129">
        <f>$G$19</f>
        <v>3</v>
      </c>
      <c r="W19" s="1129">
        <f>$G$19</f>
        <v>3</v>
      </c>
      <c r="Y19" s="1129">
        <f>$G$19</f>
        <v>3</v>
      </c>
      <c r="AA19" s="1143"/>
      <c r="AB19" s="1137"/>
      <c r="AC19" s="1137"/>
      <c r="AD19" s="1137"/>
      <c r="AE19" s="1137"/>
    </row>
    <row r="20">
      <c r="A20" s="1136" t="s">
        <v>3235</v>
      </c>
      <c r="B20" s="1134" t="s">
        <v>680</v>
      </c>
      <c r="C20" s="1136" t="s">
        <v>3235</v>
      </c>
      <c r="D20" s="1135" t="s">
        <v>680</v>
      </c>
      <c r="E20" s="1136" t="s">
        <v>3235</v>
      </c>
      <c r="F20" s="1135" t="s">
        <v>680</v>
      </c>
      <c r="G20" s="1136" t="s">
        <v>3235</v>
      </c>
      <c r="H20" s="1135" t="s">
        <v>680</v>
      </c>
      <c r="I20" s="1136" t="s">
        <v>3235</v>
      </c>
      <c r="J20" s="1135" t="s">
        <v>680</v>
      </c>
      <c r="K20" s="1136" t="s">
        <v>3235</v>
      </c>
      <c r="L20" s="1135" t="s">
        <v>680</v>
      </c>
      <c r="M20" s="1136" t="s">
        <v>3235</v>
      </c>
      <c r="N20" s="1135" t="s">
        <v>680</v>
      </c>
      <c r="O20" s="1136" t="s">
        <v>3235</v>
      </c>
      <c r="P20" s="1135" t="s">
        <v>680</v>
      </c>
      <c r="Q20" s="1136" t="s">
        <v>3235</v>
      </c>
      <c r="R20" s="1135" t="s">
        <v>680</v>
      </c>
      <c r="S20" s="1136" t="s">
        <v>3235</v>
      </c>
      <c r="T20" s="1135" t="s">
        <v>680</v>
      </c>
      <c r="U20" s="1136" t="s">
        <v>3235</v>
      </c>
      <c r="V20" s="1135" t="s">
        <v>680</v>
      </c>
      <c r="W20" s="1136" t="s">
        <v>3253</v>
      </c>
      <c r="X20" s="1135" t="s">
        <v>680</v>
      </c>
      <c r="Y20" s="1133" t="s">
        <v>3254</v>
      </c>
      <c r="Z20" s="1139" t="s">
        <v>680</v>
      </c>
      <c r="AA20" s="1143"/>
      <c r="AB20" s="1137"/>
      <c r="AC20" s="1137"/>
      <c r="AD20" s="1137"/>
      <c r="AE20" s="1137"/>
    </row>
    <row r="21">
      <c r="A21" s="1140" t="s">
        <v>3255</v>
      </c>
      <c r="B21" s="1134"/>
      <c r="C21" s="1140" t="s">
        <v>3256</v>
      </c>
      <c r="D21" s="1142">
        <v>85470.0</v>
      </c>
      <c r="E21" s="1140" t="s">
        <v>3257</v>
      </c>
      <c r="F21" s="1142">
        <v>45300.0</v>
      </c>
      <c r="G21" s="1140" t="s">
        <v>3258</v>
      </c>
      <c r="H21" s="1142">
        <v>13560.0</v>
      </c>
      <c r="I21" s="1140" t="s">
        <v>3259</v>
      </c>
      <c r="J21" s="1142">
        <v>222980.0</v>
      </c>
      <c r="K21" s="1140" t="s">
        <v>3291</v>
      </c>
      <c r="L21" s="1142">
        <v>28060.0</v>
      </c>
      <c r="M21" s="1140" t="s">
        <v>3261</v>
      </c>
      <c r="N21" s="1142">
        <v>19230.0</v>
      </c>
      <c r="O21" s="1140" t="s">
        <v>3262</v>
      </c>
      <c r="P21" s="1142">
        <v>14010.0</v>
      </c>
      <c r="Q21" s="1140" t="s">
        <v>3263</v>
      </c>
      <c r="R21" s="1142">
        <v>20730.0</v>
      </c>
      <c r="S21" s="1140" t="s">
        <v>3264</v>
      </c>
      <c r="T21" s="1142">
        <v>23440.0</v>
      </c>
      <c r="U21" s="1140" t="s">
        <v>3265</v>
      </c>
      <c r="V21" s="1142">
        <v>16030.0</v>
      </c>
      <c r="W21" s="1140" t="s">
        <v>3266</v>
      </c>
      <c r="X21" s="1142">
        <v>27680.0</v>
      </c>
      <c r="Y21" s="1140" t="s">
        <v>3267</v>
      </c>
      <c r="Z21" s="1137">
        <v>10760.0</v>
      </c>
      <c r="AA21" s="1143">
        <f t="shared" ref="AA21:AA22" si="5">B21+D21+F21+H21+J21+L21+N21+P21+R21+T21+V21+X21+Z21</f>
        <v>527250</v>
      </c>
      <c r="AB21" s="1137"/>
      <c r="AC21" s="1137"/>
      <c r="AD21" s="1137"/>
      <c r="AE21" s="1137"/>
    </row>
    <row r="22">
      <c r="A22" s="1140" t="s">
        <v>3268</v>
      </c>
      <c r="B22" s="1134"/>
      <c r="C22" s="1140" t="s">
        <v>3269</v>
      </c>
      <c r="D22" s="1142">
        <v>58890.0</v>
      </c>
      <c r="E22" s="1140" t="s">
        <v>3270</v>
      </c>
      <c r="F22" s="1142">
        <v>120770.0</v>
      </c>
      <c r="G22" s="1140" t="s">
        <v>3271</v>
      </c>
      <c r="H22" s="1142">
        <v>86490.0</v>
      </c>
      <c r="I22" s="1140" t="s">
        <v>3272</v>
      </c>
      <c r="J22" s="1142">
        <v>68320.0</v>
      </c>
      <c r="K22" s="1140" t="s">
        <v>3273</v>
      </c>
      <c r="L22" s="1142">
        <v>122200.0</v>
      </c>
      <c r="M22" s="1140" t="s">
        <v>3274</v>
      </c>
      <c r="N22" s="1142">
        <v>82330.0</v>
      </c>
      <c r="O22" s="1140" t="s">
        <v>3275</v>
      </c>
      <c r="P22" s="1142">
        <v>107310.0</v>
      </c>
      <c r="Q22" s="1140" t="s">
        <v>3292</v>
      </c>
      <c r="R22" s="1142">
        <v>62930.0</v>
      </c>
      <c r="S22" s="1140" t="s">
        <v>3277</v>
      </c>
      <c r="T22" s="1142">
        <v>95220.0</v>
      </c>
      <c r="U22" s="1140" t="s">
        <v>3278</v>
      </c>
      <c r="V22" s="1142">
        <v>3110.0</v>
      </c>
      <c r="W22" s="1140" t="s">
        <v>3293</v>
      </c>
      <c r="X22" s="1142">
        <v>97850.0</v>
      </c>
      <c r="Y22" s="1140" t="s">
        <v>3280</v>
      </c>
      <c r="Z22" s="1137">
        <v>109870.0</v>
      </c>
      <c r="AA22" s="1143">
        <f t="shared" si="5"/>
        <v>1015290</v>
      </c>
      <c r="AB22" s="1137"/>
      <c r="AC22" s="1137"/>
      <c r="AD22" s="1137"/>
      <c r="AE22" s="1137"/>
    </row>
    <row r="23">
      <c r="A23" s="1136" t="s">
        <v>3283</v>
      </c>
      <c r="B23" s="1134" t="s">
        <v>680</v>
      </c>
      <c r="C23" s="1136" t="s">
        <v>3286</v>
      </c>
      <c r="D23" s="1135" t="s">
        <v>680</v>
      </c>
      <c r="E23" s="1136" t="s">
        <v>3282</v>
      </c>
      <c r="F23" s="1135" t="s">
        <v>680</v>
      </c>
      <c r="G23" s="1136" t="s">
        <v>3283</v>
      </c>
      <c r="H23" s="1135" t="s">
        <v>680</v>
      </c>
      <c r="I23" s="1136" t="s">
        <v>3283</v>
      </c>
      <c r="J23" s="1135" t="s">
        <v>680</v>
      </c>
      <c r="K23" s="1136" t="s">
        <v>3284</v>
      </c>
      <c r="L23" s="1135" t="s">
        <v>680</v>
      </c>
      <c r="M23" s="1136" t="s">
        <v>3283</v>
      </c>
      <c r="N23" s="1135" t="s">
        <v>680</v>
      </c>
      <c r="O23" s="1136" t="s">
        <v>3285</v>
      </c>
      <c r="P23" s="1135" t="s">
        <v>680</v>
      </c>
      <c r="Q23" s="1136" t="s">
        <v>3286</v>
      </c>
      <c r="R23" s="1135" t="s">
        <v>680</v>
      </c>
      <c r="S23" s="1136" t="s">
        <v>3286</v>
      </c>
      <c r="T23" s="1135" t="s">
        <v>680</v>
      </c>
      <c r="U23" s="1136" t="s">
        <v>3287</v>
      </c>
      <c r="V23" s="1135" t="s">
        <v>680</v>
      </c>
      <c r="W23" s="1136" t="s">
        <v>3294</v>
      </c>
      <c r="X23" s="1142">
        <v>60000.0</v>
      </c>
      <c r="Y23" s="1133" t="s">
        <v>3289</v>
      </c>
      <c r="Z23" s="1139" t="s">
        <v>680</v>
      </c>
      <c r="AA23" s="1143"/>
      <c r="AB23" s="1137"/>
      <c r="AC23" s="1137"/>
      <c r="AD23" s="1137"/>
      <c r="AE23" s="1137"/>
    </row>
    <row r="24">
      <c r="A24" s="1144"/>
      <c r="B24" s="1134" t="str">
        <f>IF(A24="","", SUMPRODUCT(('공과금'!$E$1:$Y$1=A17)*('공과금'!$D$2:$D$85=$G$3&amp;LEFT(A24,3))*('공과금'!$E$2:$Y$85)))</f>
        <v/>
      </c>
      <c r="C24" s="1144"/>
      <c r="D24" s="1135" t="str">
        <f>IF(C24="","", SUMPRODUCT(('공과금'!$E$1:$Y$1=C17)*('공과금'!$D$2:$D$85=$G$3&amp;LEFT(C24,3))*('공과금'!$E$2:$Y$85)))</f>
        <v/>
      </c>
      <c r="E24" s="1144"/>
      <c r="F24" s="1135" t="str">
        <f>IF(E24="","", SUMPRODUCT(('공과금'!$E$1:$Y$1=E17)*('공과금'!$D$2:$D$85=$G$3&amp;LEFT(E24,3))*('공과금'!$E$2:$Y$85)))</f>
        <v/>
      </c>
      <c r="G24" s="1144"/>
      <c r="H24" s="1135" t="str">
        <f>IF(G24="","", SUMPRODUCT(('공과금'!$E$1:$Y$1=G17)*('공과금'!$D$2:$D$85=$G$3&amp;LEFT(G24,2))*('공과금'!$E$2:$Y$85)))</f>
        <v/>
      </c>
      <c r="I24" s="1144"/>
      <c r="J24" s="1135" t="str">
        <f>IF(I24="","", SUMPRODUCT(('공과금'!$E$1:$Y$1=I17)*('공과금'!$D$2:$D$85=$G$3&amp;LEFT(I24,3))*('공과금'!$E$2:$Y$85)))</f>
        <v/>
      </c>
      <c r="K24" s="1144"/>
      <c r="L24" s="1135" t="str">
        <f>IF(K24="","", SUMPRODUCT(('공과금'!$E$1:$Y$1=K17)*('공과금'!$D$2:$D$85=$G$3&amp;LEFT(K24,3))*('공과금'!$E$2:$Y$85)))</f>
        <v/>
      </c>
      <c r="M24" s="1144"/>
      <c r="N24" s="1135" t="str">
        <f>IF(M24="","", SUMPRODUCT(('공과금'!$E$1:$Y$1=M17)*('공과금'!$D$2:$D$85=$G$3&amp;LEFT(M24,3))*('공과금'!$E$2:$Y$85)))</f>
        <v/>
      </c>
      <c r="O24" s="1144"/>
      <c r="P24" s="1135" t="str">
        <f>IF(O24="","", SUMPRODUCT(('공과금'!$E$1:$Y$1=O17)*('공과금'!$D$2:$D$85=$G$3&amp;LEFT(O24,3))*('공과금'!$E$2:$Y$85)))</f>
        <v/>
      </c>
      <c r="Q24" s="1165" t="s">
        <v>3237</v>
      </c>
      <c r="R24" s="1142">
        <v>10000.0</v>
      </c>
      <c r="S24" s="1144"/>
      <c r="T24" s="1135" t="str">
        <f>IF(S24="","", SUMPRODUCT(('공과금'!$E$1:$Y$1=S17)*('공과금'!$D$2:$D$85=$G$3&amp;LEFT(S24,3))*('공과금'!$E$2:$Y$85)))</f>
        <v/>
      </c>
      <c r="U24" s="1144"/>
      <c r="V24" s="1135" t="str">
        <f>IF(U24="","", SUMPRODUCT(('공과금'!$E$1:$Y$1=U17)*('공과금'!$D$2:$D$85=$G$3&amp;LEFT(U24,3))*('공과금'!$E$2:$Y$85)))</f>
        <v/>
      </c>
      <c r="W24" s="1144"/>
      <c r="X24" s="1135" t="str">
        <f>IF(W24="","", SUMPRODUCT(('공과금'!$E$1:$Y$1=W17)*('공과금'!$D$2:$D$85=$G$3&amp;LEFT(W24,3))*('공과금'!$E$2:$Y$85)))</f>
        <v/>
      </c>
      <c r="Y24" s="1144"/>
      <c r="Z24" s="1139" t="str">
        <f>IF(Y24="","", SUMPRODUCT(('공과금'!$E$1:$Y$1=Y17)*('공과금'!$D$2:$D$85=$G$3&amp;LEFT(Y24,3))*('공과금'!$E$2:$Y$85)))</f>
        <v/>
      </c>
      <c r="AA24" s="1143"/>
      <c r="AB24" s="1137"/>
      <c r="AC24" s="1137"/>
      <c r="AD24" s="1137"/>
      <c r="AE24" s="1137"/>
    </row>
    <row r="25" ht="51.75" customHeight="1">
      <c r="A25" s="1145" t="s">
        <v>42</v>
      </c>
      <c r="B25" s="1146">
        <f>sum(B20:B24)</f>
        <v>0</v>
      </c>
      <c r="C25" s="1145" t="s">
        <v>42</v>
      </c>
      <c r="D25" s="1146">
        <f>sum(D20:D24)</f>
        <v>144360</v>
      </c>
      <c r="E25" s="1145" t="s">
        <v>42</v>
      </c>
      <c r="F25" s="1146">
        <f>sum(F20:F24)</f>
        <v>166070</v>
      </c>
      <c r="G25" s="1147" t="s">
        <v>42</v>
      </c>
      <c r="H25" s="1148">
        <f>H21+H22</f>
        <v>100050</v>
      </c>
      <c r="I25" s="1147" t="s">
        <v>42</v>
      </c>
      <c r="J25" s="1148">
        <f>J21+J22</f>
        <v>291300</v>
      </c>
      <c r="K25" s="1147" t="s">
        <v>42</v>
      </c>
      <c r="L25" s="1148">
        <f>L21+L22</f>
        <v>150260</v>
      </c>
      <c r="M25" s="1147" t="s">
        <v>42</v>
      </c>
      <c r="N25" s="1148">
        <f>N21+N22</f>
        <v>101560</v>
      </c>
      <c r="O25" s="1147" t="s">
        <v>42</v>
      </c>
      <c r="P25" s="1148">
        <f>P21+P22</f>
        <v>121320</v>
      </c>
      <c r="Q25" s="1147" t="s">
        <v>42</v>
      </c>
      <c r="R25" s="1148">
        <f>R21+R22</f>
        <v>83660</v>
      </c>
      <c r="S25" s="1147" t="s">
        <v>42</v>
      </c>
      <c r="T25" s="1148">
        <f>T21+T22</f>
        <v>118660</v>
      </c>
      <c r="U25" s="1147" t="s">
        <v>42</v>
      </c>
      <c r="V25" s="1148">
        <f>V21+V22</f>
        <v>19140</v>
      </c>
      <c r="W25" s="1147" t="s">
        <v>42</v>
      </c>
      <c r="X25" s="1148">
        <f>X21+X22</f>
        <v>125530</v>
      </c>
      <c r="Y25" s="1147" t="s">
        <v>42</v>
      </c>
      <c r="Z25" s="1148">
        <f>Z21+Z22</f>
        <v>120630</v>
      </c>
      <c r="AA25" s="1147" t="s">
        <v>42</v>
      </c>
      <c r="AB25" s="1148">
        <f>AB21+AB22</f>
        <v>0</v>
      </c>
      <c r="AC25" s="1147" t="s">
        <v>42</v>
      </c>
      <c r="AD25" s="1148">
        <f t="shared" ref="AD25:AE25" si="6">AD21+AD22</f>
        <v>0</v>
      </c>
      <c r="AE25" s="1149">
        <f t="shared" si="6"/>
        <v>0</v>
      </c>
    </row>
    <row r="26">
      <c r="A26" s="1151">
        <v>4.0</v>
      </c>
      <c r="B26" s="1152">
        <f>B25</f>
        <v>0</v>
      </c>
      <c r="C26" s="1166">
        <v>44565.0</v>
      </c>
      <c r="D26" s="1154">
        <f>D25/4</f>
        <v>36090</v>
      </c>
      <c r="E26" s="1167">
        <v>44565.0</v>
      </c>
      <c r="F26" s="1168">
        <v>33214.0</v>
      </c>
      <c r="G26" s="1169">
        <v>44565.0</v>
      </c>
      <c r="H26" s="1158">
        <f>H25/4</f>
        <v>25012.5</v>
      </c>
      <c r="I26" s="1167">
        <v>44566.0</v>
      </c>
      <c r="J26" s="1156">
        <f>J25/5</f>
        <v>58260</v>
      </c>
      <c r="K26" s="1167">
        <v>44565.0</v>
      </c>
      <c r="L26" s="1156">
        <f>L25/4</f>
        <v>37565</v>
      </c>
      <c r="M26" s="1167">
        <v>44563.0</v>
      </c>
      <c r="N26" s="1156">
        <f>N25/2</f>
        <v>50780</v>
      </c>
      <c r="O26" s="1167">
        <v>44565.0</v>
      </c>
      <c r="P26" s="1156">
        <f>P25/4</f>
        <v>30330</v>
      </c>
      <c r="Q26" s="1170">
        <v>44563.0</v>
      </c>
      <c r="R26" s="1160">
        <f>R25/2</f>
        <v>41830</v>
      </c>
      <c r="S26" s="1171">
        <v>44565.0</v>
      </c>
      <c r="T26" s="1162">
        <f>T25/4</f>
        <v>29665</v>
      </c>
      <c r="U26" s="1171">
        <v>44564.0</v>
      </c>
      <c r="V26" s="1162">
        <f>V25/3</f>
        <v>6380</v>
      </c>
      <c r="W26" s="1171">
        <v>44565.0</v>
      </c>
      <c r="X26" s="1162">
        <f>X25/4</f>
        <v>31382.5</v>
      </c>
      <c r="Y26" s="1172">
        <v>44565.0</v>
      </c>
      <c r="Z26" s="1164">
        <f>Z25/4</f>
        <v>30157.5</v>
      </c>
      <c r="AA26" s="1143"/>
      <c r="AB26" s="1137"/>
      <c r="AC26" s="1137"/>
      <c r="AD26" s="1137"/>
      <c r="AE26" s="1137"/>
    </row>
    <row r="27">
      <c r="A27" s="1129">
        <f>$G$27</f>
        <v>4</v>
      </c>
      <c r="C27" s="1129">
        <f>$G$27</f>
        <v>4</v>
      </c>
      <c r="E27" s="1129">
        <f>$G$27</f>
        <v>4</v>
      </c>
      <c r="G27" s="1130">
        <v>4.0</v>
      </c>
      <c r="I27" s="1129">
        <f>$G$27</f>
        <v>4</v>
      </c>
      <c r="K27" s="1129">
        <f>$G$27</f>
        <v>4</v>
      </c>
      <c r="M27" s="1129">
        <f>$G$27</f>
        <v>4</v>
      </c>
      <c r="O27" s="1129">
        <f>$G$27</f>
        <v>4</v>
      </c>
      <c r="Q27" s="1129">
        <f>$G$27</f>
        <v>4</v>
      </c>
      <c r="S27" s="1129">
        <f>$G$27</f>
        <v>4</v>
      </c>
      <c r="U27" s="1129">
        <f>$G$27</f>
        <v>4</v>
      </c>
      <c r="W27" s="1129">
        <f>$G$27</f>
        <v>4</v>
      </c>
      <c r="Y27" s="1129">
        <f>$G$27</f>
        <v>4</v>
      </c>
      <c r="AA27" s="1143"/>
      <c r="AB27" s="1137"/>
      <c r="AC27" s="1137"/>
      <c r="AD27" s="1137"/>
      <c r="AE27" s="1137"/>
    </row>
    <row r="28">
      <c r="A28" s="1136" t="s">
        <v>3235</v>
      </c>
      <c r="B28" s="1134" t="s">
        <v>680</v>
      </c>
      <c r="C28" s="1136" t="s">
        <v>3235</v>
      </c>
      <c r="D28" s="1135" t="s">
        <v>680</v>
      </c>
      <c r="E28" s="1136" t="s">
        <v>3235</v>
      </c>
      <c r="F28" s="1135" t="s">
        <v>680</v>
      </c>
      <c r="G28" s="1136" t="s">
        <v>3235</v>
      </c>
      <c r="H28" s="1135" t="s">
        <v>680</v>
      </c>
      <c r="I28" s="1136" t="s">
        <v>3235</v>
      </c>
      <c r="J28" s="1135" t="s">
        <v>680</v>
      </c>
      <c r="K28" s="1136" t="s">
        <v>3235</v>
      </c>
      <c r="L28" s="1135" t="s">
        <v>680</v>
      </c>
      <c r="M28" s="1136" t="s">
        <v>3235</v>
      </c>
      <c r="N28" s="1135" t="s">
        <v>680</v>
      </c>
      <c r="O28" s="1136" t="s">
        <v>3235</v>
      </c>
      <c r="P28" s="1135" t="s">
        <v>680</v>
      </c>
      <c r="Q28" s="1136" t="s">
        <v>3235</v>
      </c>
      <c r="R28" s="1135" t="s">
        <v>680</v>
      </c>
      <c r="S28" s="1136" t="s">
        <v>3235</v>
      </c>
      <c r="T28" s="1135" t="s">
        <v>680</v>
      </c>
      <c r="U28" s="1136" t="s">
        <v>3235</v>
      </c>
      <c r="V28" s="1135" t="s">
        <v>680</v>
      </c>
      <c r="W28" s="1136" t="s">
        <v>3253</v>
      </c>
      <c r="X28" s="1135" t="s">
        <v>680</v>
      </c>
      <c r="Y28" s="1133" t="s">
        <v>3254</v>
      </c>
      <c r="Z28" s="1139" t="s">
        <v>680</v>
      </c>
      <c r="AA28" s="1143"/>
      <c r="AB28" s="1137"/>
      <c r="AC28" s="1137"/>
      <c r="AD28" s="1137"/>
      <c r="AE28" s="1137"/>
    </row>
    <row r="29">
      <c r="A29" s="1140" t="s">
        <v>3255</v>
      </c>
      <c r="B29" s="1134"/>
      <c r="C29" s="1140" t="s">
        <v>3256</v>
      </c>
      <c r="D29" s="1142">
        <v>66580.0</v>
      </c>
      <c r="E29" s="1140" t="s">
        <v>3257</v>
      </c>
      <c r="F29" s="1142">
        <v>34170.0</v>
      </c>
      <c r="G29" s="1140" t="s">
        <v>3258</v>
      </c>
      <c r="H29" s="1142">
        <v>15340.0</v>
      </c>
      <c r="I29" s="1140" t="s">
        <v>3259</v>
      </c>
      <c r="J29" s="1142">
        <v>104080.0</v>
      </c>
      <c r="K29" s="1140" t="s">
        <v>3291</v>
      </c>
      <c r="L29" s="1142">
        <v>19570.0</v>
      </c>
      <c r="M29" s="1140" t="s">
        <v>3261</v>
      </c>
      <c r="N29" s="1142">
        <v>17540.0</v>
      </c>
      <c r="O29" s="1140" t="s">
        <v>3262</v>
      </c>
      <c r="P29" s="1142">
        <v>18560.0</v>
      </c>
      <c r="Q29" s="1140" t="s">
        <v>3263</v>
      </c>
      <c r="R29" s="1142">
        <v>17540.0</v>
      </c>
      <c r="S29" s="1140" t="s">
        <v>3264</v>
      </c>
      <c r="T29" s="1142">
        <v>42490.0</v>
      </c>
      <c r="U29" s="1140" t="s">
        <v>3265</v>
      </c>
      <c r="V29" s="1142">
        <v>14430.0</v>
      </c>
      <c r="W29" s="1140" t="s">
        <v>3266</v>
      </c>
      <c r="X29" s="1142">
        <v>12080.0</v>
      </c>
      <c r="Y29" s="1140" t="s">
        <v>3267</v>
      </c>
      <c r="Z29" s="1137">
        <v>11140.0</v>
      </c>
      <c r="AA29" s="1143">
        <f t="shared" ref="AA29:AA30" si="7">B29+D29+F29+H29+J29+L29+N29+P29+R29+T29+V29+X29+Z29</f>
        <v>373520</v>
      </c>
      <c r="AB29" s="1137"/>
      <c r="AC29" s="1137"/>
      <c r="AD29" s="1137"/>
      <c r="AE29" s="1137"/>
    </row>
    <row r="30">
      <c r="A30" s="1140" t="s">
        <v>3268</v>
      </c>
      <c r="B30" s="1134"/>
      <c r="C30" s="1140" t="s">
        <v>3269</v>
      </c>
      <c r="D30" s="1142">
        <v>41140.0</v>
      </c>
      <c r="E30" s="1140" t="s">
        <v>3270</v>
      </c>
      <c r="F30" s="1142">
        <v>82450.0</v>
      </c>
      <c r="G30" s="1140" t="s">
        <v>3271</v>
      </c>
      <c r="H30" s="1142">
        <v>80140.0</v>
      </c>
      <c r="I30" s="1140" t="s">
        <v>3272</v>
      </c>
      <c r="J30" s="1142">
        <v>22690.0</v>
      </c>
      <c r="K30" s="1140" t="s">
        <v>3273</v>
      </c>
      <c r="L30" s="1142">
        <v>52670.0</v>
      </c>
      <c r="M30" s="1140" t="s">
        <v>3274</v>
      </c>
      <c r="N30" s="1142">
        <v>50030.0</v>
      </c>
      <c r="O30" s="1140" t="s">
        <v>3275</v>
      </c>
      <c r="P30" s="1142">
        <v>59810.0</v>
      </c>
      <c r="Q30" s="1140" t="s">
        <v>3292</v>
      </c>
      <c r="R30" s="1142">
        <v>20060.0</v>
      </c>
      <c r="S30" s="1140" t="s">
        <v>3277</v>
      </c>
      <c r="T30" s="1142">
        <v>69560.0</v>
      </c>
      <c r="U30" s="1140" t="s">
        <v>3278</v>
      </c>
      <c r="V30" s="1142">
        <v>1100.0</v>
      </c>
      <c r="W30" s="1140" t="s">
        <v>3293</v>
      </c>
      <c r="X30" s="1142">
        <v>64280.0</v>
      </c>
      <c r="Y30" s="1140" t="s">
        <v>3280</v>
      </c>
      <c r="Z30" s="1137">
        <v>42170.0</v>
      </c>
      <c r="AA30" s="1143">
        <f t="shared" si="7"/>
        <v>586100</v>
      </c>
      <c r="AB30" s="1137"/>
      <c r="AC30" s="1137"/>
      <c r="AD30" s="1137"/>
      <c r="AE30" s="1137"/>
    </row>
    <row r="31">
      <c r="A31" s="1136" t="s">
        <v>3283</v>
      </c>
      <c r="B31" s="1134" t="s">
        <v>680</v>
      </c>
      <c r="C31" s="1136" t="s">
        <v>3286</v>
      </c>
      <c r="D31" s="1135" t="s">
        <v>680</v>
      </c>
      <c r="E31" s="1136" t="s">
        <v>3282</v>
      </c>
      <c r="F31" s="1135" t="s">
        <v>680</v>
      </c>
      <c r="G31" s="1136" t="s">
        <v>3283</v>
      </c>
      <c r="H31" s="1135" t="s">
        <v>680</v>
      </c>
      <c r="I31" s="1136" t="s">
        <v>3283</v>
      </c>
      <c r="J31" s="1135" t="s">
        <v>680</v>
      </c>
      <c r="K31" s="1136" t="s">
        <v>3284</v>
      </c>
      <c r="L31" s="1135" t="s">
        <v>680</v>
      </c>
      <c r="M31" s="1136" t="s">
        <v>3283</v>
      </c>
      <c r="N31" s="1135" t="s">
        <v>680</v>
      </c>
      <c r="O31" s="1136" t="s">
        <v>3285</v>
      </c>
      <c r="P31" s="1135" t="s">
        <v>680</v>
      </c>
      <c r="Q31" s="1136" t="s">
        <v>3286</v>
      </c>
      <c r="R31" s="1135" t="s">
        <v>680</v>
      </c>
      <c r="S31" s="1136" t="s">
        <v>3286</v>
      </c>
      <c r="T31" s="1135" t="s">
        <v>680</v>
      </c>
      <c r="U31" s="1136" t="s">
        <v>3287</v>
      </c>
      <c r="V31" s="1135" t="s">
        <v>680</v>
      </c>
      <c r="W31" s="1136" t="s">
        <v>3294</v>
      </c>
      <c r="X31" s="1135" t="s">
        <v>680</v>
      </c>
      <c r="Y31" s="1133" t="s">
        <v>3289</v>
      </c>
      <c r="Z31" s="1139" t="s">
        <v>680</v>
      </c>
      <c r="AA31" s="1143"/>
      <c r="AB31" s="1137"/>
      <c r="AC31" s="1137"/>
      <c r="AD31" s="1137"/>
      <c r="AE31" s="1137"/>
    </row>
    <row r="32">
      <c r="A32" s="1144"/>
      <c r="B32" s="1134" t="str">
        <f>IF(A32="","", SUMPRODUCT(('공과금'!$E$1:$Y$1=A25)*('공과금'!$D$2:$D$85=$G$3&amp;LEFT(A32,3))*('공과금'!$E$2:$Y$85)))</f>
        <v/>
      </c>
      <c r="C32" s="1144"/>
      <c r="D32" s="1135" t="str">
        <f>IF(C32="","", SUMPRODUCT(('공과금'!$E$1:$Y$1=C25)*('공과금'!$D$2:$D$85=$G$3&amp;LEFT(C32,3))*('공과금'!$E$2:$Y$85)))</f>
        <v/>
      </c>
      <c r="E32" s="1144"/>
      <c r="F32" s="1135" t="str">
        <f>IF(E32="","", SUMPRODUCT(('공과금'!$E$1:$Y$1=E25)*('공과금'!$D$2:$D$85=$G$3&amp;LEFT(E32,3))*('공과금'!$E$2:$Y$85)))</f>
        <v/>
      </c>
      <c r="G32" s="1144"/>
      <c r="H32" s="1135" t="str">
        <f>IF(G32="","", SUMPRODUCT(('공과금'!$E$1:$Y$1=G25)*('공과금'!$D$2:$D$85=$G$3&amp;LEFT(G32,2))*('공과금'!$E$2:$Y$85)))</f>
        <v/>
      </c>
      <c r="I32" s="1144"/>
      <c r="J32" s="1135" t="str">
        <f>IF(I32="","", SUMPRODUCT(('공과금'!$E$1:$Y$1=I25)*('공과금'!$D$2:$D$85=$G$3&amp;LEFT(I32,3))*('공과금'!$E$2:$Y$85)))</f>
        <v/>
      </c>
      <c r="K32" s="1144"/>
      <c r="L32" s="1135" t="str">
        <f>IF(K32="","", SUMPRODUCT(('공과금'!$E$1:$Y$1=K25)*('공과금'!$D$2:$D$85=$G$3&amp;LEFT(K32,3))*('공과금'!$E$2:$Y$85)))</f>
        <v/>
      </c>
      <c r="M32" s="1144"/>
      <c r="N32" s="1135" t="str">
        <f>IF(M32="","", SUMPRODUCT(('공과금'!$E$1:$Y$1=M25)*('공과금'!$D$2:$D$85=$G$3&amp;LEFT(M32,3))*('공과금'!$E$2:$Y$85)))</f>
        <v/>
      </c>
      <c r="O32" s="1144"/>
      <c r="P32" s="1135" t="str">
        <f>IF(O32="","", SUMPRODUCT(('공과금'!$E$1:$Y$1=O25)*('공과금'!$D$2:$D$85=$G$3&amp;LEFT(O32,3))*('공과금'!$E$2:$Y$85)))</f>
        <v/>
      </c>
      <c r="Q32" s="1165" t="s">
        <v>3237</v>
      </c>
      <c r="R32" s="1142">
        <v>15166.0</v>
      </c>
      <c r="S32" s="1144"/>
      <c r="T32" s="1135" t="str">
        <f>IF(S32="","", SUMPRODUCT(('공과금'!$E$1:$Y$1=S25)*('공과금'!$D$2:$D$85=$G$3&amp;LEFT(S32,3))*('공과금'!$E$2:$Y$85)))</f>
        <v/>
      </c>
      <c r="U32" s="1144"/>
      <c r="V32" s="1135" t="str">
        <f>IF(U32="","", SUMPRODUCT(('공과금'!$E$1:$Y$1=U25)*('공과금'!$D$2:$D$85=$G$3&amp;LEFT(U32,3))*('공과금'!$E$2:$Y$85)))</f>
        <v/>
      </c>
      <c r="W32" s="1144"/>
      <c r="X32" s="1135" t="str">
        <f>IF(W32="","", SUMPRODUCT(('공과금'!$E$1:$Y$1=W25)*('공과금'!$D$2:$D$85=$G$3&amp;LEFT(W32,3))*('공과금'!$E$2:$Y$85)))</f>
        <v/>
      </c>
      <c r="Y32" s="1144"/>
      <c r="Z32" s="1139" t="str">
        <f>IF(Y32="","", SUMPRODUCT(('공과금'!$E$1:$Y$1=Y25)*('공과금'!$D$2:$D$85=$G$3&amp;LEFT(Y32,3))*('공과금'!$E$2:$Y$85)))</f>
        <v/>
      </c>
      <c r="AA32" s="1143"/>
      <c r="AB32" s="1137"/>
      <c r="AC32" s="1137"/>
      <c r="AD32" s="1137"/>
      <c r="AE32" s="1137"/>
    </row>
    <row r="33">
      <c r="A33" s="1145" t="s">
        <v>42</v>
      </c>
      <c r="B33" s="1146">
        <f>sum(B28:B32)</f>
        <v>0</v>
      </c>
      <c r="C33" s="1147" t="s">
        <v>42</v>
      </c>
      <c r="D33" s="1148">
        <f>sum(D28:D32)</f>
        <v>107720</v>
      </c>
      <c r="E33" s="1147" t="s">
        <v>42</v>
      </c>
      <c r="F33" s="1148">
        <f>sum(F28:F32)</f>
        <v>116620</v>
      </c>
      <c r="G33" s="1147" t="s">
        <v>42</v>
      </c>
      <c r="H33" s="1148">
        <f>sum(H28:H32)</f>
        <v>95480</v>
      </c>
      <c r="I33" s="1147" t="s">
        <v>42</v>
      </c>
      <c r="J33" s="1148">
        <f>sum(J28:J32)</f>
        <v>126770</v>
      </c>
      <c r="K33" s="1147" t="s">
        <v>42</v>
      </c>
      <c r="L33" s="1148">
        <f>sum(L28:L32)</f>
        <v>72240</v>
      </c>
      <c r="M33" s="1147" t="s">
        <v>42</v>
      </c>
      <c r="N33" s="1148">
        <f>sum(N28:N32)</f>
        <v>67570</v>
      </c>
      <c r="O33" s="1147" t="s">
        <v>42</v>
      </c>
      <c r="P33" s="1148">
        <f>sum(P28:P32)</f>
        <v>78370</v>
      </c>
      <c r="Q33" s="1147" t="s">
        <v>42</v>
      </c>
      <c r="R33" s="1148">
        <f>sum(R28:R32)</f>
        <v>52766</v>
      </c>
      <c r="S33" s="1147" t="s">
        <v>42</v>
      </c>
      <c r="T33" s="1148">
        <f>sum(T28:T32)</f>
        <v>112050</v>
      </c>
      <c r="U33" s="1147" t="s">
        <v>42</v>
      </c>
      <c r="V33" s="1148">
        <f>sum(V28:V32)</f>
        <v>15530</v>
      </c>
      <c r="W33" s="1147" t="s">
        <v>42</v>
      </c>
      <c r="X33" s="1148">
        <f>sum(X28:X32)</f>
        <v>76360</v>
      </c>
      <c r="Y33" s="1147" t="s">
        <v>42</v>
      </c>
      <c r="Z33" s="1173">
        <f>sum(Z28:Z32)</f>
        <v>53310</v>
      </c>
      <c r="AA33" s="1143"/>
      <c r="AB33" s="1137"/>
      <c r="AC33" s="1137"/>
      <c r="AD33" s="1137"/>
      <c r="AE33" s="1137"/>
    </row>
    <row r="34">
      <c r="A34" s="1151">
        <v>4.0</v>
      </c>
      <c r="B34" s="1152">
        <f>B33</f>
        <v>0</v>
      </c>
      <c r="C34" s="1153" t="s">
        <v>3290</v>
      </c>
      <c r="D34" s="1154">
        <f>D33/4</f>
        <v>26930</v>
      </c>
      <c r="E34" s="1155" t="s">
        <v>3290</v>
      </c>
      <c r="F34" s="1156">
        <f>F33/4</f>
        <v>29155</v>
      </c>
      <c r="G34" s="1157" t="s">
        <v>3290</v>
      </c>
      <c r="H34" s="1158">
        <f>H33/4</f>
        <v>23870</v>
      </c>
      <c r="I34" s="1155" t="s">
        <v>3290</v>
      </c>
      <c r="J34" s="1156">
        <f>J33/5</f>
        <v>25354</v>
      </c>
      <c r="K34" s="1155" t="s">
        <v>3290</v>
      </c>
      <c r="L34" s="1156">
        <f>L33/4</f>
        <v>18060</v>
      </c>
      <c r="M34" s="1155" t="s">
        <v>3290</v>
      </c>
      <c r="N34" s="1156">
        <f>N33/2</f>
        <v>33785</v>
      </c>
      <c r="O34" s="1155" t="s">
        <v>3290</v>
      </c>
      <c r="P34" s="1156">
        <f>P33/4</f>
        <v>19592.5</v>
      </c>
      <c r="Q34" s="1159" t="s">
        <v>3290</v>
      </c>
      <c r="R34" s="1160">
        <f>R33/2</f>
        <v>26383</v>
      </c>
      <c r="S34" s="1161" t="s">
        <v>3290</v>
      </c>
      <c r="T34" s="1162">
        <f>T33/4</f>
        <v>28012.5</v>
      </c>
      <c r="U34" s="1161" t="s">
        <v>3290</v>
      </c>
      <c r="V34" s="1162">
        <f>V33/3</f>
        <v>5176.666667</v>
      </c>
      <c r="W34" s="1161" t="s">
        <v>3290</v>
      </c>
      <c r="X34" s="1162">
        <f>X33/4</f>
        <v>19090</v>
      </c>
      <c r="Y34" s="1163" t="s">
        <v>3290</v>
      </c>
      <c r="Z34" s="1164">
        <f>Z33/4</f>
        <v>13327.5</v>
      </c>
      <c r="AA34" s="1143"/>
      <c r="AB34" s="1137"/>
      <c r="AC34" s="1137"/>
      <c r="AD34" s="1137"/>
      <c r="AE34" s="1137"/>
    </row>
    <row r="35">
      <c r="A35" s="1129">
        <f>$G$35</f>
        <v>6</v>
      </c>
      <c r="C35" s="1129">
        <f>$G$43</f>
        <v>6</v>
      </c>
      <c r="E35" s="1129">
        <f>$G$43</f>
        <v>6</v>
      </c>
      <c r="G35" s="1129">
        <f>$G$43</f>
        <v>6</v>
      </c>
      <c r="I35" s="1129">
        <f>$G$43</f>
        <v>6</v>
      </c>
      <c r="K35" s="1129">
        <f>$G$43</f>
        <v>6</v>
      </c>
      <c r="M35" s="1129">
        <f>$G$43</f>
        <v>6</v>
      </c>
      <c r="O35" s="1129">
        <f>$G$43</f>
        <v>6</v>
      </c>
      <c r="Q35" s="1174" t="s">
        <v>3296</v>
      </c>
      <c r="S35" s="1129">
        <f>$G$43</f>
        <v>6</v>
      </c>
      <c r="U35" s="1129">
        <f>$G$43</f>
        <v>6</v>
      </c>
      <c r="W35" s="1129">
        <f>$G$43</f>
        <v>6</v>
      </c>
      <c r="Y35" s="1129">
        <f>$G$43</f>
        <v>6</v>
      </c>
      <c r="AA35" s="1143"/>
      <c r="AB35" s="1137"/>
      <c r="AC35" s="1137"/>
      <c r="AD35" s="1137"/>
      <c r="AE35" s="1137"/>
    </row>
    <row r="36">
      <c r="A36" s="1136" t="s">
        <v>3235</v>
      </c>
      <c r="B36" s="1134" t="s">
        <v>680</v>
      </c>
      <c r="C36" s="1136" t="s">
        <v>3235</v>
      </c>
      <c r="D36" s="1135" t="s">
        <v>680</v>
      </c>
      <c r="E36" s="1136" t="s">
        <v>3235</v>
      </c>
      <c r="F36" s="1135" t="s">
        <v>680</v>
      </c>
      <c r="G36" s="1136" t="s">
        <v>3235</v>
      </c>
      <c r="H36" s="1135" t="s">
        <v>680</v>
      </c>
      <c r="I36" s="1136" t="s">
        <v>3235</v>
      </c>
      <c r="J36" s="1135" t="s">
        <v>680</v>
      </c>
      <c r="K36" s="1136" t="s">
        <v>3235</v>
      </c>
      <c r="L36" s="1135" t="s">
        <v>680</v>
      </c>
      <c r="M36" s="1136" t="s">
        <v>3235</v>
      </c>
      <c r="N36" s="1135" t="s">
        <v>680</v>
      </c>
      <c r="O36" s="1136" t="s">
        <v>3235</v>
      </c>
      <c r="P36" s="1135" t="s">
        <v>680</v>
      </c>
      <c r="Q36" s="1136" t="s">
        <v>3235</v>
      </c>
      <c r="R36" s="1135" t="s">
        <v>680</v>
      </c>
      <c r="S36" s="1136" t="s">
        <v>3235</v>
      </c>
      <c r="T36" s="1135" t="s">
        <v>680</v>
      </c>
      <c r="U36" s="1136" t="s">
        <v>3235</v>
      </c>
      <c r="V36" s="1135" t="s">
        <v>680</v>
      </c>
      <c r="W36" s="1136" t="s">
        <v>3253</v>
      </c>
      <c r="X36" s="1135" t="s">
        <v>680</v>
      </c>
      <c r="Y36" s="1133" t="s">
        <v>3254</v>
      </c>
      <c r="Z36" s="1139" t="s">
        <v>680</v>
      </c>
      <c r="AA36" s="1143"/>
      <c r="AB36" s="1137"/>
      <c r="AC36" s="1137"/>
      <c r="AD36" s="1137"/>
      <c r="AE36" s="1137"/>
    </row>
    <row r="37">
      <c r="A37" s="1140" t="s">
        <v>3255</v>
      </c>
      <c r="B37" s="1134"/>
      <c r="C37" s="1140" t="s">
        <v>3256</v>
      </c>
      <c r="D37" s="1142">
        <v>36810.0</v>
      </c>
      <c r="E37" s="1140" t="s">
        <v>3257</v>
      </c>
      <c r="F37" s="1142">
        <v>46850.0</v>
      </c>
      <c r="G37" s="1140" t="s">
        <v>3258</v>
      </c>
      <c r="H37" s="1142">
        <v>15620.0</v>
      </c>
      <c r="I37" s="1140" t="s">
        <v>3259</v>
      </c>
      <c r="J37" s="1142">
        <v>56110.0</v>
      </c>
      <c r="K37" s="1140" t="s">
        <v>3291</v>
      </c>
      <c r="L37" s="1142">
        <v>15820.0</v>
      </c>
      <c r="M37" s="1140" t="s">
        <v>3261</v>
      </c>
      <c r="N37" s="1142">
        <v>19330.0</v>
      </c>
      <c r="O37" s="1140" t="s">
        <v>3262</v>
      </c>
      <c r="P37" s="1142">
        <v>14950.0</v>
      </c>
      <c r="Q37" s="1140" t="s">
        <v>3263</v>
      </c>
      <c r="R37" s="1142">
        <v>65330.0</v>
      </c>
      <c r="S37" s="1140" t="s">
        <v>3264</v>
      </c>
      <c r="T37" s="1142">
        <v>33450.0</v>
      </c>
      <c r="U37" s="1140" t="s">
        <v>3265</v>
      </c>
      <c r="V37" s="1142">
        <v>4220.0</v>
      </c>
      <c r="W37" s="1140" t="s">
        <v>3266</v>
      </c>
      <c r="X37" s="1142">
        <v>14740.0</v>
      </c>
      <c r="Y37" s="1140" t="s">
        <v>3267</v>
      </c>
      <c r="Z37" s="1137">
        <v>9730.0</v>
      </c>
      <c r="AA37" s="1143">
        <f t="shared" ref="AA37:AA63" si="8">B37+D37+F37+H37+J37+L37+N37+P37+R37+T37+V37+X37+Z37</f>
        <v>332960</v>
      </c>
      <c r="AB37" s="1137"/>
      <c r="AC37" s="1137"/>
      <c r="AD37" s="1137"/>
      <c r="AE37" s="1137"/>
    </row>
    <row r="38">
      <c r="A38" s="1140" t="s">
        <v>3268</v>
      </c>
      <c r="B38" s="1134"/>
      <c r="C38" s="1140" t="s">
        <v>3269</v>
      </c>
      <c r="D38" s="1142">
        <v>24170.0</v>
      </c>
      <c r="E38" s="1140" t="s">
        <v>3270</v>
      </c>
      <c r="F38" s="1142">
        <v>14740.0</v>
      </c>
      <c r="G38" s="1140" t="s">
        <v>3271</v>
      </c>
      <c r="H38" s="1142">
        <v>32120.0</v>
      </c>
      <c r="I38" s="1140" t="s">
        <v>3272</v>
      </c>
      <c r="J38" s="1142">
        <v>19700.0</v>
      </c>
      <c r="K38" s="1140" t="s">
        <v>3273</v>
      </c>
      <c r="L38" s="1142">
        <v>16720.0</v>
      </c>
      <c r="M38" s="1140" t="s">
        <v>3274</v>
      </c>
      <c r="N38" s="1142">
        <v>19700.0</v>
      </c>
      <c r="O38" s="1140" t="s">
        <v>3275</v>
      </c>
      <c r="P38" s="1142">
        <v>17470.0</v>
      </c>
      <c r="Q38" s="1140" t="s">
        <v>3292</v>
      </c>
      <c r="R38" s="1142">
        <v>15420.0</v>
      </c>
      <c r="S38" s="1140" t="s">
        <v>3277</v>
      </c>
      <c r="T38" s="1142">
        <v>28380.0</v>
      </c>
      <c r="U38" s="1140" t="s">
        <v>3278</v>
      </c>
      <c r="V38" s="1142">
        <v>64510.0</v>
      </c>
      <c r="W38" s="1140" t="s">
        <v>3293</v>
      </c>
      <c r="X38" s="1142">
        <v>24170.0</v>
      </c>
      <c r="Y38" s="1140" t="s">
        <v>3280</v>
      </c>
      <c r="Z38" s="1137">
        <v>17060.0</v>
      </c>
      <c r="AA38" s="1143">
        <f t="shared" si="8"/>
        <v>294160</v>
      </c>
      <c r="AB38" s="1137"/>
      <c r="AC38" s="1137"/>
      <c r="AD38" s="1137"/>
      <c r="AE38" s="1137"/>
    </row>
    <row r="39">
      <c r="A39" s="1136" t="s">
        <v>3283</v>
      </c>
      <c r="B39" s="1134" t="s">
        <v>680</v>
      </c>
      <c r="C39" s="1136" t="s">
        <v>3286</v>
      </c>
      <c r="D39" s="1135" t="s">
        <v>680</v>
      </c>
      <c r="E39" s="1136" t="s">
        <v>3282</v>
      </c>
      <c r="F39" s="1135" t="s">
        <v>680</v>
      </c>
      <c r="G39" s="1136" t="s">
        <v>3283</v>
      </c>
      <c r="H39" s="1135" t="s">
        <v>680</v>
      </c>
      <c r="I39" s="1136" t="s">
        <v>3283</v>
      </c>
      <c r="J39" s="1135" t="s">
        <v>680</v>
      </c>
      <c r="K39" s="1136" t="s">
        <v>3284</v>
      </c>
      <c r="L39" s="1135" t="s">
        <v>680</v>
      </c>
      <c r="M39" s="1136" t="s">
        <v>3283</v>
      </c>
      <c r="N39" s="1135" t="s">
        <v>680</v>
      </c>
      <c r="O39" s="1136" t="s">
        <v>3285</v>
      </c>
      <c r="P39" s="1135" t="s">
        <v>680</v>
      </c>
      <c r="Q39" s="1136" t="s">
        <v>3286</v>
      </c>
      <c r="R39" s="1135" t="s">
        <v>680</v>
      </c>
      <c r="S39" s="1136" t="s">
        <v>3286</v>
      </c>
      <c r="T39" s="1135" t="s">
        <v>680</v>
      </c>
      <c r="U39" s="1136" t="s">
        <v>3287</v>
      </c>
      <c r="V39" s="1135" t="s">
        <v>680</v>
      </c>
      <c r="W39" s="1136" t="s">
        <v>3294</v>
      </c>
      <c r="X39" s="1135" t="s">
        <v>680</v>
      </c>
      <c r="Y39" s="1133" t="s">
        <v>3289</v>
      </c>
      <c r="Z39" s="1139" t="s">
        <v>680</v>
      </c>
      <c r="AA39" s="1143" t="str">
        <f t="shared" si="8"/>
        <v>#VALUE!</v>
      </c>
      <c r="AB39" s="1137"/>
      <c r="AC39" s="1137"/>
      <c r="AD39" s="1137"/>
      <c r="AE39" s="1137"/>
    </row>
    <row r="40">
      <c r="A40" s="1144"/>
      <c r="B40" s="1134" t="str">
        <f>IF(A40="","", SUMPRODUCT(('공과금'!$E$1:$Y$1=A33)*('공과금'!$D$2:$D$85=$G$3&amp;LEFT(A40,3))*('공과금'!$E$2:$Y$85)))</f>
        <v/>
      </c>
      <c r="C40" s="1144"/>
      <c r="D40" s="1135" t="str">
        <f>IF(C40="","", SUMPRODUCT(('공과금'!$E$1:$Y$1=C33)*('공과금'!$D$2:$D$85=$G$3&amp;LEFT(C40,3))*('공과금'!$E$2:$Y$85)))</f>
        <v/>
      </c>
      <c r="E40" s="1144"/>
      <c r="F40" s="1135" t="str">
        <f>IF(E40="","", SUMPRODUCT(('공과금'!$E$1:$Y$1=E33)*('공과금'!$D$2:$D$85=$G$3&amp;LEFT(E40,3))*('공과금'!$E$2:$Y$85)))</f>
        <v/>
      </c>
      <c r="G40" s="1144"/>
      <c r="H40" s="1135" t="str">
        <f>IF(G40="","", SUMPRODUCT(('공과금'!$E$1:$Y$1=G33)*('공과금'!$D$2:$D$85=$G$3&amp;LEFT(G40,2))*('공과금'!$E$2:$Y$85)))</f>
        <v/>
      </c>
      <c r="I40" s="1144"/>
      <c r="J40" s="1135" t="str">
        <f>IF(I40="","", SUMPRODUCT(('공과금'!$E$1:$Y$1=I33)*('공과금'!$D$2:$D$85=$G$3&amp;LEFT(I40,3))*('공과금'!$E$2:$Y$85)))</f>
        <v/>
      </c>
      <c r="K40" s="1144"/>
      <c r="L40" s="1135" t="str">
        <f>IF(K40="","", SUMPRODUCT(('공과금'!$E$1:$Y$1=K33)*('공과금'!$D$2:$D$85=$G$3&amp;LEFT(K40,3))*('공과금'!$E$2:$Y$85)))</f>
        <v/>
      </c>
      <c r="M40" s="1144"/>
      <c r="N40" s="1135" t="str">
        <f>IF(M40="","", SUMPRODUCT(('공과금'!$E$1:$Y$1=M33)*('공과금'!$D$2:$D$85=$G$3&amp;LEFT(M40,3))*('공과금'!$E$2:$Y$85)))</f>
        <v/>
      </c>
      <c r="O40" s="1144"/>
      <c r="P40" s="1135" t="str">
        <f>IF(O40="","", SUMPRODUCT(('공과금'!$E$1:$Y$1=O33)*('공과금'!$D$2:$D$85=$G$3&amp;LEFT(O40,3))*('공과금'!$E$2:$Y$85)))</f>
        <v/>
      </c>
      <c r="Q40" s="1144"/>
      <c r="R40" s="1135" t="str">
        <f>IF(Q40="","", SUMPRODUCT(('공과금'!$E$1:$Y$1=Q33)*('공과금'!$D$2:$D$85=$G$3&amp;LEFT(Q40,3))*('공과금'!$E$2:$Y$85)))</f>
        <v/>
      </c>
      <c r="S40" s="1144"/>
      <c r="T40" s="1135" t="str">
        <f>IF(S40="","", SUMPRODUCT(('공과금'!$E$1:$Y$1=S33)*('공과금'!$D$2:$D$85=$G$3&amp;LEFT(S40,3))*('공과금'!$E$2:$Y$85)))</f>
        <v/>
      </c>
      <c r="U40" s="1144"/>
      <c r="V40" s="1135" t="str">
        <f>IF(U40="","", SUMPRODUCT(('공과금'!$E$1:$Y$1=U33)*('공과금'!$D$2:$D$85=$G$3&amp;LEFT(U40,3))*('공과금'!$E$2:$Y$85)))</f>
        <v/>
      </c>
      <c r="W40" s="1144"/>
      <c r="X40" s="1135" t="str">
        <f>IF(W40="","", SUMPRODUCT(('공과금'!$E$1:$Y$1=W33)*('공과금'!$D$2:$D$85=$G$3&amp;LEFT(W40,3))*('공과금'!$E$2:$Y$85)))</f>
        <v/>
      </c>
      <c r="Y40" s="1144"/>
      <c r="Z40" s="1139" t="str">
        <f>IF(Y40="","", SUMPRODUCT(('공과금'!$E$1:$Y$1=Y33)*('공과금'!$D$2:$D$85=$G$3&amp;LEFT(Y40,3))*('공과금'!$E$2:$Y$85)))</f>
        <v/>
      </c>
      <c r="AA40" s="1143">
        <f t="shared" si="8"/>
        <v>0</v>
      </c>
      <c r="AB40" s="1137"/>
      <c r="AC40" s="1137"/>
      <c r="AD40" s="1137"/>
      <c r="AE40" s="1137"/>
    </row>
    <row r="41">
      <c r="A41" s="1145" t="s">
        <v>42</v>
      </c>
      <c r="B41" s="1146">
        <f>sum(B36:B40)</f>
        <v>0</v>
      </c>
      <c r="C41" s="1147" t="s">
        <v>42</v>
      </c>
      <c r="D41" s="1148">
        <f>sum(D36:D40)</f>
        <v>60980</v>
      </c>
      <c r="E41" s="1147" t="s">
        <v>42</v>
      </c>
      <c r="F41" s="1148">
        <f>sum(F36:F40)</f>
        <v>61590</v>
      </c>
      <c r="G41" s="1147" t="s">
        <v>42</v>
      </c>
      <c r="H41" s="1148">
        <f>sum(H36:H40)</f>
        <v>47740</v>
      </c>
      <c r="I41" s="1147" t="s">
        <v>42</v>
      </c>
      <c r="J41" s="1148">
        <f>sum(J36:J40)</f>
        <v>75810</v>
      </c>
      <c r="K41" s="1147" t="s">
        <v>42</v>
      </c>
      <c r="L41" s="1148">
        <f>sum(L36:L40)</f>
        <v>32540</v>
      </c>
      <c r="M41" s="1147" t="s">
        <v>42</v>
      </c>
      <c r="N41" s="1148">
        <f>sum(N36:N40)</f>
        <v>39030</v>
      </c>
      <c r="O41" s="1147" t="s">
        <v>42</v>
      </c>
      <c r="P41" s="1148">
        <f>sum(P36:P40)</f>
        <v>32420</v>
      </c>
      <c r="Q41" s="1147" t="s">
        <v>42</v>
      </c>
      <c r="R41" s="1175">
        <f>sum(R36:R40)</f>
        <v>80750</v>
      </c>
      <c r="S41" s="1147" t="s">
        <v>42</v>
      </c>
      <c r="T41" s="1148">
        <f>sum(T36:T40)</f>
        <v>61830</v>
      </c>
      <c r="U41" s="1147" t="s">
        <v>42</v>
      </c>
      <c r="V41" s="1148">
        <f>sum(V36:V40)</f>
        <v>68730</v>
      </c>
      <c r="W41" s="1147" t="s">
        <v>42</v>
      </c>
      <c r="X41" s="1148">
        <f>sum(X36:X40)</f>
        <v>38910</v>
      </c>
      <c r="Y41" s="1147" t="s">
        <v>42</v>
      </c>
      <c r="Z41" s="1173">
        <f>sum(Z36:Z40)</f>
        <v>26790</v>
      </c>
      <c r="AA41" s="1176">
        <f t="shared" si="8"/>
        <v>627120</v>
      </c>
      <c r="AB41" s="1137"/>
      <c r="AC41" s="1137"/>
      <c r="AD41" s="1137"/>
      <c r="AE41" s="1137"/>
    </row>
    <row r="42">
      <c r="A42" s="1151">
        <v>4.0</v>
      </c>
      <c r="B42" s="1152">
        <f>B41</f>
        <v>0</v>
      </c>
      <c r="C42" s="1153" t="s">
        <v>3290</v>
      </c>
      <c r="D42" s="1154">
        <f>D41/4</f>
        <v>15245</v>
      </c>
      <c r="E42" s="1155" t="s">
        <v>3290</v>
      </c>
      <c r="F42" s="1156">
        <f>F41/4</f>
        <v>15397.5</v>
      </c>
      <c r="G42" s="1157" t="s">
        <v>3290</v>
      </c>
      <c r="H42" s="1158">
        <f>H41/4</f>
        <v>11935</v>
      </c>
      <c r="I42" s="1155" t="s">
        <v>3290</v>
      </c>
      <c r="J42" s="1168">
        <v>45043.0</v>
      </c>
      <c r="K42" s="1155" t="s">
        <v>3290</v>
      </c>
      <c r="L42" s="1168">
        <v>9625.0</v>
      </c>
      <c r="M42" s="1155" t="s">
        <v>3290</v>
      </c>
      <c r="N42" s="1168">
        <f>N41/2</f>
        <v>19515</v>
      </c>
      <c r="O42" s="1155" t="s">
        <v>3290</v>
      </c>
      <c r="P42" s="1156">
        <f>P41/4</f>
        <v>8105</v>
      </c>
      <c r="Q42" s="1159" t="s">
        <v>3290</v>
      </c>
      <c r="R42" s="1177">
        <v>9645.0</v>
      </c>
      <c r="S42" s="1161" t="s">
        <v>3290</v>
      </c>
      <c r="T42" s="1162">
        <f>T41/4</f>
        <v>15457.5</v>
      </c>
      <c r="U42" s="1161" t="s">
        <v>3290</v>
      </c>
      <c r="V42" s="1162">
        <f>V41/2</f>
        <v>34365</v>
      </c>
      <c r="W42" s="1161" t="s">
        <v>3290</v>
      </c>
      <c r="X42" s="1162">
        <f>X41/4</f>
        <v>9727.5</v>
      </c>
      <c r="Y42" s="1163" t="s">
        <v>3290</v>
      </c>
      <c r="Z42" s="1164">
        <f>Z41/3</f>
        <v>8930</v>
      </c>
      <c r="AA42" s="1176">
        <f t="shared" si="8"/>
        <v>202990.5</v>
      </c>
      <c r="AB42" s="1137"/>
      <c r="AC42" s="1137"/>
      <c r="AD42" s="1137"/>
      <c r="AE42" s="1137"/>
    </row>
    <row r="43">
      <c r="A43" s="1129">
        <f>$G$43</f>
        <v>6</v>
      </c>
      <c r="C43" s="1129">
        <f>$G$43</f>
        <v>6</v>
      </c>
      <c r="E43" s="1129">
        <f>$G$43</f>
        <v>6</v>
      </c>
      <c r="G43" s="1130">
        <v>6.0</v>
      </c>
      <c r="I43" s="1129">
        <f>$G$43</f>
        <v>6</v>
      </c>
      <c r="K43" s="1129">
        <f>$G$43</f>
        <v>6</v>
      </c>
      <c r="M43" s="1129">
        <f>$G$43</f>
        <v>6</v>
      </c>
      <c r="O43" s="1129">
        <f>$G$43</f>
        <v>6</v>
      </c>
      <c r="Q43" s="1129">
        <f>$G$43</f>
        <v>6</v>
      </c>
      <c r="S43" s="1129">
        <f>$G$43</f>
        <v>6</v>
      </c>
      <c r="U43" s="1129">
        <f>$G$43</f>
        <v>6</v>
      </c>
      <c r="W43" s="1129">
        <f>$G$43</f>
        <v>6</v>
      </c>
      <c r="Y43" s="1129">
        <f>$G$43</f>
        <v>6</v>
      </c>
      <c r="AA43" s="1143">
        <f t="shared" si="8"/>
        <v>0</v>
      </c>
      <c r="AB43" s="1137"/>
      <c r="AC43" s="1137"/>
      <c r="AD43" s="1137"/>
      <c r="AE43" s="1137"/>
    </row>
    <row r="44">
      <c r="A44" s="1136" t="s">
        <v>3235</v>
      </c>
      <c r="B44" s="1134" t="s">
        <v>680</v>
      </c>
      <c r="C44" s="1136" t="s">
        <v>3235</v>
      </c>
      <c r="D44" s="1135" t="s">
        <v>680</v>
      </c>
      <c r="E44" s="1136" t="s">
        <v>3235</v>
      </c>
      <c r="F44" s="1135" t="s">
        <v>680</v>
      </c>
      <c r="G44" s="1136" t="s">
        <v>3235</v>
      </c>
      <c r="H44" s="1135" t="s">
        <v>680</v>
      </c>
      <c r="I44" s="1136" t="s">
        <v>3235</v>
      </c>
      <c r="J44" s="1135" t="s">
        <v>680</v>
      </c>
      <c r="K44" s="1136" t="s">
        <v>3235</v>
      </c>
      <c r="L44" s="1135" t="s">
        <v>680</v>
      </c>
      <c r="M44" s="1136" t="s">
        <v>3235</v>
      </c>
      <c r="N44" s="1135" t="s">
        <v>680</v>
      </c>
      <c r="O44" s="1136" t="s">
        <v>3235</v>
      </c>
      <c r="P44" s="1135" t="s">
        <v>680</v>
      </c>
      <c r="Q44" s="1136" t="s">
        <v>3235</v>
      </c>
      <c r="R44" s="1135" t="s">
        <v>680</v>
      </c>
      <c r="S44" s="1136" t="s">
        <v>3235</v>
      </c>
      <c r="T44" s="1135" t="s">
        <v>680</v>
      </c>
      <c r="U44" s="1136" t="s">
        <v>3235</v>
      </c>
      <c r="V44" s="1135" t="s">
        <v>680</v>
      </c>
      <c r="W44" s="1136" t="s">
        <v>3253</v>
      </c>
      <c r="X44" s="1135" t="s">
        <v>680</v>
      </c>
      <c r="Y44" s="1133" t="s">
        <v>3254</v>
      </c>
      <c r="Z44" s="1139" t="s">
        <v>680</v>
      </c>
      <c r="AA44" s="1143" t="str">
        <f t="shared" si="8"/>
        <v>#VALUE!</v>
      </c>
      <c r="AB44" s="1137"/>
      <c r="AC44" s="1137"/>
      <c r="AD44" s="1137"/>
      <c r="AE44" s="1137"/>
    </row>
    <row r="45">
      <c r="A45" s="1140" t="s">
        <v>3255</v>
      </c>
      <c r="B45" s="1134"/>
      <c r="C45" s="1140" t="s">
        <v>3256</v>
      </c>
      <c r="D45" s="1135"/>
      <c r="E45" s="1140" t="s">
        <v>3257</v>
      </c>
      <c r="F45" s="1135"/>
      <c r="G45" s="1140" t="s">
        <v>3258</v>
      </c>
      <c r="H45" s="1135"/>
      <c r="I45" s="1140" t="s">
        <v>3259</v>
      </c>
      <c r="J45" s="1135"/>
      <c r="K45" s="1140" t="s">
        <v>3291</v>
      </c>
      <c r="L45" s="1135"/>
      <c r="M45" s="1140" t="s">
        <v>3261</v>
      </c>
      <c r="N45" s="1135"/>
      <c r="O45" s="1140" t="s">
        <v>3262</v>
      </c>
      <c r="P45" s="1135"/>
      <c r="Q45" s="1140" t="s">
        <v>3263</v>
      </c>
      <c r="R45" s="1135"/>
      <c r="S45" s="1140" t="s">
        <v>3264</v>
      </c>
      <c r="T45" s="1135"/>
      <c r="U45" s="1140" t="s">
        <v>3265</v>
      </c>
      <c r="V45" s="1135"/>
      <c r="W45" s="1140" t="s">
        <v>3266</v>
      </c>
      <c r="X45" s="1135"/>
      <c r="Y45" s="1140" t="s">
        <v>3267</v>
      </c>
      <c r="Z45" s="1139"/>
      <c r="AA45" s="1143">
        <f t="shared" si="8"/>
        <v>0</v>
      </c>
      <c r="AB45" s="1137"/>
      <c r="AC45" s="1137"/>
      <c r="AD45" s="1137"/>
      <c r="AE45" s="1137"/>
    </row>
    <row r="46">
      <c r="A46" s="1140" t="s">
        <v>3268</v>
      </c>
      <c r="B46" s="1134"/>
      <c r="C46" s="1140" t="s">
        <v>3269</v>
      </c>
      <c r="D46" s="1135"/>
      <c r="E46" s="1140" t="s">
        <v>3270</v>
      </c>
      <c r="F46" s="1135"/>
      <c r="G46" s="1140" t="s">
        <v>3271</v>
      </c>
      <c r="H46" s="1135"/>
      <c r="I46" s="1140" t="s">
        <v>3272</v>
      </c>
      <c r="J46" s="1135"/>
      <c r="K46" s="1140" t="s">
        <v>3273</v>
      </c>
      <c r="L46" s="1135"/>
      <c r="M46" s="1140" t="s">
        <v>3274</v>
      </c>
      <c r="N46" s="1135"/>
      <c r="O46" s="1140" t="s">
        <v>3275</v>
      </c>
      <c r="P46" s="1135"/>
      <c r="Q46" s="1140" t="s">
        <v>3292</v>
      </c>
      <c r="R46" s="1135"/>
      <c r="S46" s="1140" t="s">
        <v>3277</v>
      </c>
      <c r="T46" s="1135"/>
      <c r="U46" s="1140" t="s">
        <v>3278</v>
      </c>
      <c r="V46" s="1135"/>
      <c r="W46" s="1140" t="s">
        <v>3293</v>
      </c>
      <c r="X46" s="1135"/>
      <c r="Y46" s="1140" t="s">
        <v>3280</v>
      </c>
      <c r="Z46" s="1139"/>
      <c r="AA46" s="1143">
        <f t="shared" si="8"/>
        <v>0</v>
      </c>
      <c r="AB46" s="1137"/>
      <c r="AC46" s="1137"/>
      <c r="AD46" s="1137"/>
      <c r="AE46" s="1137"/>
    </row>
    <row r="47">
      <c r="A47" s="1136" t="s">
        <v>3283</v>
      </c>
      <c r="B47" s="1134" t="s">
        <v>680</v>
      </c>
      <c r="C47" s="1136" t="s">
        <v>3286</v>
      </c>
      <c r="D47" s="1135" t="s">
        <v>680</v>
      </c>
      <c r="E47" s="1136" t="s">
        <v>3282</v>
      </c>
      <c r="F47" s="1135" t="s">
        <v>680</v>
      </c>
      <c r="G47" s="1136" t="s">
        <v>3283</v>
      </c>
      <c r="H47" s="1135" t="s">
        <v>680</v>
      </c>
      <c r="I47" s="1136" t="s">
        <v>3283</v>
      </c>
      <c r="J47" s="1135" t="s">
        <v>680</v>
      </c>
      <c r="K47" s="1136" t="s">
        <v>3284</v>
      </c>
      <c r="L47" s="1135" t="s">
        <v>680</v>
      </c>
      <c r="M47" s="1136" t="s">
        <v>3283</v>
      </c>
      <c r="N47" s="1135" t="s">
        <v>680</v>
      </c>
      <c r="O47" s="1136" t="s">
        <v>3285</v>
      </c>
      <c r="P47" s="1135" t="s">
        <v>680</v>
      </c>
      <c r="Q47" s="1136" t="s">
        <v>3286</v>
      </c>
      <c r="R47" s="1135" t="s">
        <v>680</v>
      </c>
      <c r="S47" s="1136" t="s">
        <v>3286</v>
      </c>
      <c r="T47" s="1135" t="s">
        <v>680</v>
      </c>
      <c r="U47" s="1136" t="s">
        <v>3287</v>
      </c>
      <c r="V47" s="1135" t="s">
        <v>680</v>
      </c>
      <c r="W47" s="1136" t="s">
        <v>3294</v>
      </c>
      <c r="X47" s="1135" t="s">
        <v>680</v>
      </c>
      <c r="Y47" s="1133" t="s">
        <v>3289</v>
      </c>
      <c r="Z47" s="1139" t="s">
        <v>680</v>
      </c>
      <c r="AA47" s="1143" t="str">
        <f t="shared" si="8"/>
        <v>#VALUE!</v>
      </c>
      <c r="AB47" s="1137"/>
      <c r="AC47" s="1137"/>
      <c r="AD47" s="1137"/>
      <c r="AE47" s="1137"/>
    </row>
    <row r="48">
      <c r="A48" s="1144"/>
      <c r="B48" s="1134" t="str">
        <f>IF(A48="","", SUMPRODUCT(('공과금'!$E$1:$Y$1=A41)*('공과금'!$D$2:$D$85=$G$3&amp;LEFT(A48,3))*('공과금'!$E$2:$Y$85)))</f>
        <v/>
      </c>
      <c r="C48" s="1144"/>
      <c r="D48" s="1135" t="str">
        <f>IF(C48="","", SUMPRODUCT(('공과금'!$E$1:$Y$1=C41)*('공과금'!$D$2:$D$85=$G$3&amp;LEFT(C48,3))*('공과금'!$E$2:$Y$85)))</f>
        <v/>
      </c>
      <c r="E48" s="1144"/>
      <c r="F48" s="1135" t="str">
        <f>IF(E48="","", SUMPRODUCT(('공과금'!$E$1:$Y$1=E41)*('공과금'!$D$2:$D$85=$G$3&amp;LEFT(E48,3))*('공과금'!$E$2:$Y$85)))</f>
        <v/>
      </c>
      <c r="G48" s="1144"/>
      <c r="H48" s="1135" t="str">
        <f>IF(G48="","", SUMPRODUCT(('공과금'!$E$1:$Y$1=G41)*('공과금'!$D$2:$D$85=$G$3&amp;LEFT(G48,2))*('공과금'!$E$2:$Y$85)))</f>
        <v/>
      </c>
      <c r="I48" s="1144"/>
      <c r="J48" s="1135" t="str">
        <f>IF(I48="","", SUMPRODUCT(('공과금'!$E$1:$Y$1=I41)*('공과금'!$D$2:$D$85=$G$3&amp;LEFT(I48,3))*('공과금'!$E$2:$Y$85)))</f>
        <v/>
      </c>
      <c r="K48" s="1144"/>
      <c r="L48" s="1135" t="str">
        <f>IF(K48="","", SUMPRODUCT(('공과금'!$E$1:$Y$1=K41)*('공과금'!$D$2:$D$85=$G$3&amp;LEFT(K48,3))*('공과금'!$E$2:$Y$85)))</f>
        <v/>
      </c>
      <c r="M48" s="1144"/>
      <c r="N48" s="1135" t="str">
        <f>IF(M48="","", SUMPRODUCT(('공과금'!$E$1:$Y$1=M41)*('공과금'!$D$2:$D$85=$G$3&amp;LEFT(M48,3))*('공과금'!$E$2:$Y$85)))</f>
        <v/>
      </c>
      <c r="O48" s="1144"/>
      <c r="P48" s="1135" t="str">
        <f>IF(O48="","", SUMPRODUCT(('공과금'!$E$1:$Y$1=O41)*('공과금'!$D$2:$D$85=$G$3&amp;LEFT(O48,3))*('공과금'!$E$2:$Y$85)))</f>
        <v/>
      </c>
      <c r="Q48" s="1144"/>
      <c r="R48" s="1135" t="str">
        <f>IF(Q48="","", SUMPRODUCT(('공과금'!$E$1:$Y$1=Q41)*('공과금'!$D$2:$D$85=$G$3&amp;LEFT(Q48,3))*('공과금'!$E$2:$Y$85)))</f>
        <v/>
      </c>
      <c r="S48" s="1144"/>
      <c r="T48" s="1135" t="str">
        <f>IF(S48="","", SUMPRODUCT(('공과금'!$E$1:$Y$1=S41)*('공과금'!$D$2:$D$85=$G$3&amp;LEFT(S48,3))*('공과금'!$E$2:$Y$85)))</f>
        <v/>
      </c>
      <c r="U48" s="1144"/>
      <c r="V48" s="1135" t="str">
        <f>IF(U48="","", SUMPRODUCT(('공과금'!$E$1:$Y$1=U41)*('공과금'!$D$2:$D$85=$G$3&amp;LEFT(U48,3))*('공과금'!$E$2:$Y$85)))</f>
        <v/>
      </c>
      <c r="W48" s="1144"/>
      <c r="X48" s="1135" t="str">
        <f>IF(W48="","", SUMPRODUCT(('공과금'!$E$1:$Y$1=W41)*('공과금'!$D$2:$D$85=$G$3&amp;LEFT(W48,3))*('공과금'!$E$2:$Y$85)))</f>
        <v/>
      </c>
      <c r="Y48" s="1144"/>
      <c r="Z48" s="1139" t="str">
        <f>IF(Y48="","", SUMPRODUCT(('공과금'!$E$1:$Y$1=Y41)*('공과금'!$D$2:$D$85=$G$3&amp;LEFT(Y48,3))*('공과금'!$E$2:$Y$85)))</f>
        <v/>
      </c>
      <c r="AA48" s="1143">
        <f t="shared" si="8"/>
        <v>0</v>
      </c>
      <c r="AB48" s="1137"/>
      <c r="AC48" s="1137"/>
      <c r="AD48" s="1137"/>
      <c r="AE48" s="1137"/>
    </row>
    <row r="49">
      <c r="A49" s="1145" t="s">
        <v>42</v>
      </c>
      <c r="B49" s="1146">
        <f>sum(B44:B48)</f>
        <v>0</v>
      </c>
      <c r="C49" s="1147" t="s">
        <v>42</v>
      </c>
      <c r="D49" s="1148">
        <f>sum(D44:D48)</f>
        <v>0</v>
      </c>
      <c r="E49" s="1147" t="s">
        <v>42</v>
      </c>
      <c r="F49" s="1148">
        <f>sum(F44:F48)</f>
        <v>0</v>
      </c>
      <c r="G49" s="1147" t="s">
        <v>42</v>
      </c>
      <c r="H49" s="1148">
        <f>sum(H44:H48)</f>
        <v>0</v>
      </c>
      <c r="I49" s="1147" t="s">
        <v>42</v>
      </c>
      <c r="J49" s="1148">
        <f>sum(J44:J48)</f>
        <v>0</v>
      </c>
      <c r="K49" s="1147" t="s">
        <v>42</v>
      </c>
      <c r="L49" s="1148">
        <f>sum(L44:L48)</f>
        <v>0</v>
      </c>
      <c r="M49" s="1147" t="s">
        <v>42</v>
      </c>
      <c r="N49" s="1148">
        <f>sum(N44:N48)</f>
        <v>0</v>
      </c>
      <c r="O49" s="1147" t="s">
        <v>42</v>
      </c>
      <c r="P49" s="1148">
        <f>sum(P44:P48)</f>
        <v>0</v>
      </c>
      <c r="Q49" s="1147" t="s">
        <v>42</v>
      </c>
      <c r="R49" s="1148">
        <f>sum(R44:R48)</f>
        <v>0</v>
      </c>
      <c r="S49" s="1147" t="s">
        <v>42</v>
      </c>
      <c r="T49" s="1148">
        <f>sum(T44:T48)</f>
        <v>0</v>
      </c>
      <c r="U49" s="1147" t="s">
        <v>42</v>
      </c>
      <c r="V49" s="1148">
        <f>sum(V44:V48)</f>
        <v>0</v>
      </c>
      <c r="W49" s="1147" t="s">
        <v>42</v>
      </c>
      <c r="X49" s="1148">
        <f>sum(X44:X48)</f>
        <v>0</v>
      </c>
      <c r="Y49" s="1147" t="s">
        <v>42</v>
      </c>
      <c r="Z49" s="1173">
        <f>sum(Z44:Z48)</f>
        <v>0</v>
      </c>
      <c r="AA49" s="1176">
        <f t="shared" si="8"/>
        <v>0</v>
      </c>
      <c r="AB49" s="1137"/>
      <c r="AC49" s="1137"/>
      <c r="AD49" s="1137"/>
      <c r="AE49" s="1137"/>
    </row>
    <row r="50">
      <c r="A50" s="1151">
        <v>4.0</v>
      </c>
      <c r="B50" s="1152">
        <f>B49</f>
        <v>0</v>
      </c>
      <c r="C50" s="1153" t="s">
        <v>3290</v>
      </c>
      <c r="D50" s="1154">
        <f>D49/3</f>
        <v>0</v>
      </c>
      <c r="E50" s="1155" t="s">
        <v>3290</v>
      </c>
      <c r="F50" s="1156">
        <f>F49/5</f>
        <v>0</v>
      </c>
      <c r="G50" s="1157" t="s">
        <v>3290</v>
      </c>
      <c r="H50" s="1158">
        <f>H49/3</f>
        <v>0</v>
      </c>
      <c r="I50" s="1155" t="s">
        <v>3290</v>
      </c>
      <c r="J50" s="1168">
        <v>18953.0</v>
      </c>
      <c r="K50" s="1155" t="s">
        <v>3290</v>
      </c>
      <c r="L50" s="1168">
        <v>8135.0</v>
      </c>
      <c r="M50" s="1155" t="s">
        <v>3290</v>
      </c>
      <c r="N50" s="1168"/>
      <c r="O50" s="1155" t="s">
        <v>3290</v>
      </c>
      <c r="P50" s="1156">
        <f>P49/4</f>
        <v>0</v>
      </c>
      <c r="Q50" s="1159" t="s">
        <v>3290</v>
      </c>
      <c r="R50" s="1177">
        <v>20188.0</v>
      </c>
      <c r="S50" s="1161" t="s">
        <v>3290</v>
      </c>
      <c r="T50" s="1162">
        <f>T49/4</f>
        <v>0</v>
      </c>
      <c r="U50" s="1161" t="s">
        <v>3290</v>
      </c>
      <c r="V50" s="1162">
        <f>V49/4</f>
        <v>0</v>
      </c>
      <c r="W50" s="1161" t="s">
        <v>3290</v>
      </c>
      <c r="X50" s="1162">
        <f>X49/3</f>
        <v>0</v>
      </c>
      <c r="Y50" s="1163" t="s">
        <v>3290</v>
      </c>
      <c r="Z50" s="1164">
        <f>Z49/3</f>
        <v>0</v>
      </c>
      <c r="AA50" s="1176">
        <f t="shared" si="8"/>
        <v>47276</v>
      </c>
      <c r="AB50" s="1137"/>
      <c r="AC50" s="1137"/>
      <c r="AD50" s="1137"/>
      <c r="AE50" s="1137"/>
    </row>
    <row r="51">
      <c r="A51" s="1129">
        <f>$G$51</f>
        <v>7</v>
      </c>
      <c r="C51" s="1129">
        <f>$G$51</f>
        <v>7</v>
      </c>
      <c r="E51" s="1129">
        <f>$G$51</f>
        <v>7</v>
      </c>
      <c r="G51" s="1130">
        <v>7.0</v>
      </c>
      <c r="I51" s="1129">
        <f>$G$51</f>
        <v>7</v>
      </c>
      <c r="K51" s="1129">
        <f>$G$51</f>
        <v>7</v>
      </c>
      <c r="M51" s="1129">
        <f>$G$51</f>
        <v>7</v>
      </c>
      <c r="O51" s="1129">
        <f>$G$51</f>
        <v>7</v>
      </c>
      <c r="Q51" s="1129">
        <f>$G$51</f>
        <v>7</v>
      </c>
      <c r="S51" s="1129">
        <f>$G$51</f>
        <v>7</v>
      </c>
      <c r="U51" s="1129">
        <f>$G$51</f>
        <v>7</v>
      </c>
      <c r="W51" s="1129">
        <f>$G$51</f>
        <v>7</v>
      </c>
      <c r="Y51" s="1129">
        <f>$G$51</f>
        <v>7</v>
      </c>
      <c r="AA51" s="1143">
        <f t="shared" si="8"/>
        <v>0</v>
      </c>
      <c r="AB51" s="1137"/>
      <c r="AC51" s="1137"/>
      <c r="AD51" s="1137"/>
      <c r="AE51" s="1137"/>
    </row>
    <row r="52">
      <c r="A52" s="1136" t="s">
        <v>3235</v>
      </c>
      <c r="B52" s="1134" t="s">
        <v>680</v>
      </c>
      <c r="C52" s="1136" t="s">
        <v>3235</v>
      </c>
      <c r="D52" s="1135" t="s">
        <v>680</v>
      </c>
      <c r="E52" s="1136" t="s">
        <v>3235</v>
      </c>
      <c r="F52" s="1135" t="s">
        <v>680</v>
      </c>
      <c r="G52" s="1136" t="s">
        <v>3235</v>
      </c>
      <c r="H52" s="1135" t="s">
        <v>680</v>
      </c>
      <c r="I52" s="1136" t="s">
        <v>3235</v>
      </c>
      <c r="J52" s="1135" t="s">
        <v>680</v>
      </c>
      <c r="K52" s="1136" t="s">
        <v>3235</v>
      </c>
      <c r="L52" s="1135" t="s">
        <v>680</v>
      </c>
      <c r="M52" s="1136" t="s">
        <v>3235</v>
      </c>
      <c r="N52" s="1135" t="s">
        <v>680</v>
      </c>
      <c r="O52" s="1136" t="s">
        <v>3235</v>
      </c>
      <c r="P52" s="1135" t="s">
        <v>680</v>
      </c>
      <c r="Q52" s="1136" t="s">
        <v>3235</v>
      </c>
      <c r="R52" s="1135" t="s">
        <v>680</v>
      </c>
      <c r="S52" s="1136" t="s">
        <v>3235</v>
      </c>
      <c r="T52" s="1135" t="s">
        <v>680</v>
      </c>
      <c r="U52" s="1136" t="s">
        <v>3235</v>
      </c>
      <c r="V52" s="1135" t="s">
        <v>680</v>
      </c>
      <c r="W52" s="1136" t="s">
        <v>3253</v>
      </c>
      <c r="X52" s="1135" t="s">
        <v>680</v>
      </c>
      <c r="Y52" s="1133" t="s">
        <v>3254</v>
      </c>
      <c r="Z52" s="1139" t="s">
        <v>680</v>
      </c>
      <c r="AA52" s="1143" t="str">
        <f t="shared" si="8"/>
        <v>#VALUE!</v>
      </c>
      <c r="AB52" s="1137"/>
      <c r="AC52" s="1137"/>
      <c r="AD52" s="1137"/>
      <c r="AE52" s="1137"/>
    </row>
    <row r="53">
      <c r="A53" s="1140" t="s">
        <v>3255</v>
      </c>
      <c r="B53" s="1134"/>
      <c r="C53" s="1140" t="s">
        <v>3256</v>
      </c>
      <c r="D53" s="1142">
        <v>42230.0</v>
      </c>
      <c r="E53" s="1140" t="s">
        <v>3257</v>
      </c>
      <c r="F53" s="1142">
        <v>102150.0</v>
      </c>
      <c r="G53" s="1140" t="s">
        <v>3258</v>
      </c>
      <c r="H53" s="1142">
        <v>20110.0</v>
      </c>
      <c r="I53" s="1140" t="s">
        <v>3259</v>
      </c>
      <c r="J53" s="1142">
        <v>67870.0</v>
      </c>
      <c r="K53" s="1140" t="s">
        <v>3291</v>
      </c>
      <c r="L53" s="1142">
        <v>28420.0</v>
      </c>
      <c r="M53" s="1140" t="s">
        <v>3261</v>
      </c>
      <c r="N53" s="1142">
        <v>41160.0</v>
      </c>
      <c r="O53" s="1140" t="s">
        <v>3262</v>
      </c>
      <c r="P53" s="1142">
        <v>20770.0</v>
      </c>
      <c r="Q53" s="1140" t="s">
        <v>3263</v>
      </c>
      <c r="R53" s="1142">
        <v>112380.0</v>
      </c>
      <c r="S53" s="1140" t="s">
        <v>3264</v>
      </c>
      <c r="T53" s="1142">
        <v>48050.0</v>
      </c>
      <c r="U53" s="1140" t="s">
        <v>3265</v>
      </c>
      <c r="V53" s="1142">
        <v>13860.0</v>
      </c>
      <c r="W53" s="1140" t="s">
        <v>3266</v>
      </c>
      <c r="X53" s="1142">
        <v>23590.0</v>
      </c>
      <c r="Y53" s="1140" t="s">
        <v>3267</v>
      </c>
      <c r="Z53" s="1137">
        <v>14100.0</v>
      </c>
      <c r="AA53" s="1143">
        <f t="shared" si="8"/>
        <v>534690</v>
      </c>
      <c r="AB53" s="1137"/>
      <c r="AC53" s="1137"/>
      <c r="AD53" s="1137"/>
      <c r="AE53" s="1137"/>
    </row>
    <row r="54">
      <c r="A54" s="1140" t="s">
        <v>3268</v>
      </c>
      <c r="B54" s="1134"/>
      <c r="C54" s="1140" t="s">
        <v>3269</v>
      </c>
      <c r="D54" s="1142">
        <v>19930.0</v>
      </c>
      <c r="E54" s="1140" t="s">
        <v>3270</v>
      </c>
      <c r="F54" s="1142">
        <v>12990.0</v>
      </c>
      <c r="G54" s="1140" t="s">
        <v>3271</v>
      </c>
      <c r="H54" s="1142">
        <v>16670.0</v>
      </c>
      <c r="I54" s="1140" t="s">
        <v>3272</v>
      </c>
      <c r="J54" s="1142">
        <v>11870.0</v>
      </c>
      <c r="K54" s="1140" t="s">
        <v>3273</v>
      </c>
      <c r="L54" s="1142">
        <v>13130.0</v>
      </c>
      <c r="M54" s="1140" t="s">
        <v>3274</v>
      </c>
      <c r="N54" s="1142">
        <v>11340.0</v>
      </c>
      <c r="O54" s="1140" t="s">
        <v>3275</v>
      </c>
      <c r="P54" s="1142">
        <v>11060.0</v>
      </c>
      <c r="Q54" s="1140" t="s">
        <v>3292</v>
      </c>
      <c r="R54" s="1142">
        <v>20420.0</v>
      </c>
      <c r="S54" s="1140" t="s">
        <v>3277</v>
      </c>
      <c r="T54" s="1142">
        <v>30090.0</v>
      </c>
      <c r="U54" s="1140" t="s">
        <v>3278</v>
      </c>
      <c r="V54" s="1142">
        <v>72280.0</v>
      </c>
      <c r="W54" s="1140" t="s">
        <v>3293</v>
      </c>
      <c r="X54" s="1142">
        <v>13670.0</v>
      </c>
      <c r="Y54" s="1140" t="s">
        <v>3280</v>
      </c>
      <c r="Z54" s="1137">
        <v>15950.0</v>
      </c>
      <c r="AA54" s="1143">
        <f t="shared" si="8"/>
        <v>249400</v>
      </c>
      <c r="AB54" s="1137"/>
      <c r="AC54" s="1137"/>
      <c r="AD54" s="1137"/>
      <c r="AE54" s="1137"/>
    </row>
    <row r="55">
      <c r="A55" s="1136" t="s">
        <v>3283</v>
      </c>
      <c r="B55" s="1134" t="s">
        <v>680</v>
      </c>
      <c r="C55" s="1136" t="s">
        <v>3286</v>
      </c>
      <c r="D55" s="1135" t="s">
        <v>680</v>
      </c>
      <c r="E55" s="1136" t="s">
        <v>3282</v>
      </c>
      <c r="F55" s="1135" t="s">
        <v>680</v>
      </c>
      <c r="G55" s="1136" t="s">
        <v>3283</v>
      </c>
      <c r="H55" s="1135" t="s">
        <v>680</v>
      </c>
      <c r="I55" s="1136" t="s">
        <v>3283</v>
      </c>
      <c r="J55" s="1135" t="s">
        <v>680</v>
      </c>
      <c r="K55" s="1136" t="s">
        <v>3284</v>
      </c>
      <c r="L55" s="1135" t="s">
        <v>680</v>
      </c>
      <c r="M55" s="1136" t="s">
        <v>3283</v>
      </c>
      <c r="N55" s="1135" t="s">
        <v>680</v>
      </c>
      <c r="O55" s="1136" t="s">
        <v>3285</v>
      </c>
      <c r="P55" s="1135" t="s">
        <v>680</v>
      </c>
      <c r="Q55" s="1136" t="s">
        <v>3286</v>
      </c>
      <c r="R55" s="1135" t="s">
        <v>680</v>
      </c>
      <c r="S55" s="1136" t="s">
        <v>3286</v>
      </c>
      <c r="T55" s="1135" t="s">
        <v>680</v>
      </c>
      <c r="U55" s="1136" t="s">
        <v>3287</v>
      </c>
      <c r="V55" s="1135" t="s">
        <v>680</v>
      </c>
      <c r="W55" s="1136" t="s">
        <v>3294</v>
      </c>
      <c r="X55" s="1135" t="s">
        <v>680</v>
      </c>
      <c r="Y55" s="1133" t="s">
        <v>3289</v>
      </c>
      <c r="Z55" s="1139" t="s">
        <v>680</v>
      </c>
      <c r="AA55" s="1143" t="str">
        <f t="shared" si="8"/>
        <v>#VALUE!</v>
      </c>
      <c r="AB55" s="1137"/>
      <c r="AC55" s="1137"/>
      <c r="AD55" s="1137"/>
      <c r="AE55" s="1137"/>
    </row>
    <row r="56">
      <c r="A56" s="1144"/>
      <c r="B56" s="1134" t="str">
        <f>IF(A56="","", SUMPRODUCT(('공과금'!$E$1:$Y$1=A49)*('공과금'!$D$2:$D$85=$G$3&amp;LEFT(A56,3))*('공과금'!$E$2:$Y$85)))</f>
        <v/>
      </c>
      <c r="C56" s="1144"/>
      <c r="D56" s="1135" t="str">
        <f>IF(C56="","", SUMPRODUCT(('공과금'!$E$1:$Y$1=C49)*('공과금'!$D$2:$D$85=$G$3&amp;LEFT(C56,3))*('공과금'!$E$2:$Y$85)))</f>
        <v/>
      </c>
      <c r="E56" s="1144"/>
      <c r="F56" s="1135" t="str">
        <f>IF(E56="","", SUMPRODUCT(('공과금'!$E$1:$Y$1=E49)*('공과금'!$D$2:$D$85=$G$3&amp;LEFT(E56,3))*('공과금'!$E$2:$Y$85)))</f>
        <v/>
      </c>
      <c r="G56" s="1144"/>
      <c r="H56" s="1135" t="str">
        <f>IF(G56="","", SUMPRODUCT(('공과금'!$E$1:$Y$1=G49)*('공과금'!$D$2:$D$85=$G$3&amp;LEFT(G56,2))*('공과금'!$E$2:$Y$85)))</f>
        <v/>
      </c>
      <c r="I56" s="1144"/>
      <c r="J56" s="1135" t="str">
        <f>IF(I56="","", SUMPRODUCT(('공과금'!$E$1:$Y$1=I49)*('공과금'!$D$2:$D$85=$G$3&amp;LEFT(I56,3))*('공과금'!$E$2:$Y$85)))</f>
        <v/>
      </c>
      <c r="K56" s="1144"/>
      <c r="L56" s="1135" t="str">
        <f>IF(K56="","", SUMPRODUCT(('공과금'!$E$1:$Y$1=K49)*('공과금'!$D$2:$D$85=$G$3&amp;LEFT(K56,3))*('공과금'!$E$2:$Y$85)))</f>
        <v/>
      </c>
      <c r="M56" s="1144"/>
      <c r="N56" s="1135" t="str">
        <f>IF(M56="","", SUMPRODUCT(('공과금'!$E$1:$Y$1=M49)*('공과금'!$D$2:$D$85=$G$3&amp;LEFT(M56,3))*('공과금'!$E$2:$Y$85)))</f>
        <v/>
      </c>
      <c r="O56" s="1144"/>
      <c r="P56" s="1135" t="str">
        <f>IF(O56="","", SUMPRODUCT(('공과금'!$E$1:$Y$1=O49)*('공과금'!$D$2:$D$85=$G$3&amp;LEFT(O56,3))*('공과금'!$E$2:$Y$85)))</f>
        <v/>
      </c>
      <c r="Q56" s="1144"/>
      <c r="R56" s="1135" t="str">
        <f>IF(Q56="","", SUMPRODUCT(('공과금'!$E$1:$Y$1=Q49)*('공과금'!$D$2:$D$85=$G$3&amp;LEFT(Q56,3))*('공과금'!$E$2:$Y$85)))</f>
        <v/>
      </c>
      <c r="S56" s="1144"/>
      <c r="T56" s="1135" t="str">
        <f>IF(S56="","", SUMPRODUCT(('공과금'!$E$1:$Y$1=S49)*('공과금'!$D$2:$D$85=$G$3&amp;LEFT(S56,3))*('공과금'!$E$2:$Y$85)))</f>
        <v/>
      </c>
      <c r="U56" s="1144"/>
      <c r="V56" s="1135" t="str">
        <f>IF(U56="","", SUMPRODUCT(('공과금'!$E$1:$Y$1=U49)*('공과금'!$D$2:$D$85=$G$3&amp;LEFT(U56,3))*('공과금'!$E$2:$Y$85)))</f>
        <v/>
      </c>
      <c r="W56" s="1144"/>
      <c r="X56" s="1135" t="str">
        <f>IF(W56="","", SUMPRODUCT(('공과금'!$E$1:$Y$1=W49)*('공과금'!$D$2:$D$85=$G$3&amp;LEFT(W56,3))*('공과금'!$E$2:$Y$85)))</f>
        <v/>
      </c>
      <c r="Y56" s="1144"/>
      <c r="Z56" s="1139" t="str">
        <f>IF(Y56="","", SUMPRODUCT(('공과금'!$E$1:$Y$1=Y49)*('공과금'!$D$2:$D$85=$G$3&amp;LEFT(Y56,3))*('공과금'!$E$2:$Y$85)))</f>
        <v/>
      </c>
      <c r="AA56" s="1143">
        <f t="shared" si="8"/>
        <v>0</v>
      </c>
      <c r="AB56" s="1137"/>
      <c r="AC56" s="1137"/>
      <c r="AD56" s="1137"/>
      <c r="AE56" s="1137"/>
    </row>
    <row r="57">
      <c r="A57" s="1145" t="s">
        <v>42</v>
      </c>
      <c r="B57" s="1146">
        <f>sum(B52:B56)</f>
        <v>0</v>
      </c>
      <c r="C57" s="1147" t="s">
        <v>42</v>
      </c>
      <c r="D57" s="1148">
        <f>sum(D52:D56)</f>
        <v>62160</v>
      </c>
      <c r="E57" s="1147" t="s">
        <v>42</v>
      </c>
      <c r="F57" s="1148">
        <f>sum(F52:F56)</f>
        <v>115140</v>
      </c>
      <c r="G57" s="1147" t="s">
        <v>42</v>
      </c>
      <c r="H57" s="1148">
        <f>sum(H52:H56)</f>
        <v>36780</v>
      </c>
      <c r="I57" s="1147" t="s">
        <v>42</v>
      </c>
      <c r="J57" s="1148">
        <f>sum(J52:J56)</f>
        <v>79740</v>
      </c>
      <c r="K57" s="1147" t="s">
        <v>42</v>
      </c>
      <c r="L57" s="1148">
        <f>sum(L52:L56)</f>
        <v>41550</v>
      </c>
      <c r="M57" s="1147" t="s">
        <v>42</v>
      </c>
      <c r="N57" s="1148">
        <f>sum(N52:N56)</f>
        <v>52500</v>
      </c>
      <c r="O57" s="1147" t="s">
        <v>42</v>
      </c>
      <c r="P57" s="1148">
        <f>sum(P52:P56)</f>
        <v>31830</v>
      </c>
      <c r="Q57" s="1147" t="s">
        <v>42</v>
      </c>
      <c r="R57" s="1148">
        <f>sum(R52:R56)</f>
        <v>132800</v>
      </c>
      <c r="S57" s="1147" t="s">
        <v>42</v>
      </c>
      <c r="T57" s="1148">
        <f>sum(T52:T56)</f>
        <v>78140</v>
      </c>
      <c r="U57" s="1147" t="s">
        <v>42</v>
      </c>
      <c r="V57" s="1148">
        <f>sum(V52:V56)</f>
        <v>86140</v>
      </c>
      <c r="W57" s="1147" t="s">
        <v>42</v>
      </c>
      <c r="X57" s="1148">
        <f>sum(X52:X56)</f>
        <v>37260</v>
      </c>
      <c r="Y57" s="1147" t="s">
        <v>42</v>
      </c>
      <c r="Z57" s="1173">
        <f>sum(Z52:Z56)</f>
        <v>30050</v>
      </c>
      <c r="AA57" s="1176">
        <f t="shared" si="8"/>
        <v>784090</v>
      </c>
      <c r="AB57" s="1137"/>
      <c r="AC57" s="1137"/>
      <c r="AD57" s="1137"/>
      <c r="AE57" s="1137"/>
    </row>
    <row r="58">
      <c r="A58" s="1151">
        <v>4.0</v>
      </c>
      <c r="B58" s="1152">
        <f>B57</f>
        <v>0</v>
      </c>
      <c r="C58" s="1153" t="s">
        <v>3290</v>
      </c>
      <c r="D58" s="1154">
        <f>D57/4</f>
        <v>15540</v>
      </c>
      <c r="E58" s="1155" t="s">
        <v>3290</v>
      </c>
      <c r="F58" s="1156">
        <f>F57/4</f>
        <v>28785</v>
      </c>
      <c r="G58" s="1157" t="s">
        <v>3290</v>
      </c>
      <c r="H58" s="1158">
        <f>H57/3</f>
        <v>12260</v>
      </c>
      <c r="I58" s="1155" t="s">
        <v>3290</v>
      </c>
      <c r="J58" s="1156">
        <f>J57/4</f>
        <v>19935</v>
      </c>
      <c r="K58" s="1155" t="s">
        <v>3290</v>
      </c>
      <c r="L58" s="1156">
        <f>L57/4</f>
        <v>10387.5</v>
      </c>
      <c r="M58" s="1155" t="s">
        <v>3290</v>
      </c>
      <c r="N58" s="1156">
        <f>N57/2</f>
        <v>26250</v>
      </c>
      <c r="O58" s="1155" t="s">
        <v>3290</v>
      </c>
      <c r="P58" s="1156">
        <f>P57/4</f>
        <v>7957.5</v>
      </c>
      <c r="Q58" s="1159" t="s">
        <v>3290</v>
      </c>
      <c r="R58" s="1160">
        <f>R57/4</f>
        <v>33200</v>
      </c>
      <c r="S58" s="1161" t="s">
        <v>3290</v>
      </c>
      <c r="T58" s="1162">
        <f>T57/4</f>
        <v>19535</v>
      </c>
      <c r="U58" s="1161" t="s">
        <v>3290</v>
      </c>
      <c r="V58" s="1162">
        <f>V57/4</f>
        <v>21535</v>
      </c>
      <c r="W58" s="1161" t="s">
        <v>3290</v>
      </c>
      <c r="X58" s="1162">
        <f>X57/4</f>
        <v>9315</v>
      </c>
      <c r="Y58" s="1163" t="s">
        <v>3290</v>
      </c>
      <c r="Z58" s="1164">
        <f>Z57/3</f>
        <v>10016.66667</v>
      </c>
      <c r="AA58" s="1176">
        <f t="shared" si="8"/>
        <v>214716.6667</v>
      </c>
      <c r="AB58" s="1137"/>
      <c r="AC58" s="1137"/>
      <c r="AD58" s="1137"/>
      <c r="AE58" s="1137"/>
    </row>
    <row r="59">
      <c r="A59" s="1129">
        <f>$G$59</f>
        <v>8</v>
      </c>
      <c r="C59" s="1129">
        <f>$G$59</f>
        <v>8</v>
      </c>
      <c r="E59" s="1129">
        <f>$G$59</f>
        <v>8</v>
      </c>
      <c r="G59" s="1130">
        <v>8.0</v>
      </c>
      <c r="I59" s="1129">
        <f>$G$59</f>
        <v>8</v>
      </c>
      <c r="K59" s="1129">
        <f>$G$59</f>
        <v>8</v>
      </c>
      <c r="M59" s="1129">
        <f>$G$59</f>
        <v>8</v>
      </c>
      <c r="O59" s="1129">
        <f>$G$59</f>
        <v>8</v>
      </c>
      <c r="Q59" s="1129">
        <f>$G$59</f>
        <v>8</v>
      </c>
      <c r="S59" s="1129">
        <f>$G$59</f>
        <v>8</v>
      </c>
      <c r="U59" s="1129">
        <f>$G$59</f>
        <v>8</v>
      </c>
      <c r="W59" s="1129">
        <f>$G$59</f>
        <v>8</v>
      </c>
      <c r="Y59" s="1129">
        <f>$G$59</f>
        <v>8</v>
      </c>
      <c r="AA59" s="1143">
        <f t="shared" si="8"/>
        <v>0</v>
      </c>
      <c r="AB59" s="1137"/>
      <c r="AC59" s="1137"/>
      <c r="AD59" s="1137"/>
      <c r="AE59" s="1137"/>
    </row>
    <row r="60">
      <c r="A60" s="1136" t="s">
        <v>3235</v>
      </c>
      <c r="B60" s="1134" t="s">
        <v>680</v>
      </c>
      <c r="C60" s="1136" t="s">
        <v>3235</v>
      </c>
      <c r="D60" s="1135" t="s">
        <v>680</v>
      </c>
      <c r="E60" s="1136" t="s">
        <v>3235</v>
      </c>
      <c r="F60" s="1135" t="s">
        <v>680</v>
      </c>
      <c r="G60" s="1136" t="s">
        <v>3235</v>
      </c>
      <c r="H60" s="1135" t="s">
        <v>680</v>
      </c>
      <c r="I60" s="1136" t="s">
        <v>3235</v>
      </c>
      <c r="J60" s="1135" t="s">
        <v>680</v>
      </c>
      <c r="K60" s="1136" t="s">
        <v>3235</v>
      </c>
      <c r="L60" s="1135" t="s">
        <v>680</v>
      </c>
      <c r="M60" s="1136" t="s">
        <v>3235</v>
      </c>
      <c r="N60" s="1135" t="s">
        <v>680</v>
      </c>
      <c r="O60" s="1136" t="s">
        <v>3235</v>
      </c>
      <c r="P60" s="1135" t="s">
        <v>680</v>
      </c>
      <c r="Q60" s="1136" t="s">
        <v>3235</v>
      </c>
      <c r="R60" s="1135" t="s">
        <v>680</v>
      </c>
      <c r="S60" s="1136" t="s">
        <v>3235</v>
      </c>
      <c r="T60" s="1135" t="s">
        <v>680</v>
      </c>
      <c r="U60" s="1136" t="s">
        <v>3235</v>
      </c>
      <c r="V60" s="1135" t="s">
        <v>680</v>
      </c>
      <c r="W60" s="1136" t="s">
        <v>3253</v>
      </c>
      <c r="X60" s="1135" t="s">
        <v>680</v>
      </c>
      <c r="Y60" s="1133" t="s">
        <v>3254</v>
      </c>
      <c r="Z60" s="1139" t="s">
        <v>680</v>
      </c>
      <c r="AA60" s="1143" t="str">
        <f t="shared" si="8"/>
        <v>#VALUE!</v>
      </c>
      <c r="AB60" s="1137"/>
      <c r="AC60" s="1137"/>
      <c r="AD60" s="1137"/>
      <c r="AE60" s="1137"/>
    </row>
    <row r="61">
      <c r="A61" s="1140" t="s">
        <v>3255</v>
      </c>
      <c r="B61" s="1134"/>
      <c r="C61" s="1140" t="s">
        <v>3256</v>
      </c>
      <c r="D61" s="1142">
        <v>48510.0</v>
      </c>
      <c r="E61" s="1140" t="s">
        <v>3257</v>
      </c>
      <c r="F61" s="1142">
        <v>104810.0</v>
      </c>
      <c r="G61" s="1140" t="s">
        <v>3258</v>
      </c>
      <c r="H61" s="1142">
        <v>44980.0</v>
      </c>
      <c r="I61" s="1140" t="s">
        <v>3259</v>
      </c>
      <c r="J61" s="1142">
        <v>89340.0</v>
      </c>
      <c r="K61" s="1140" t="s">
        <v>3291</v>
      </c>
      <c r="L61" s="1142">
        <v>59260.0</v>
      </c>
      <c r="M61" s="1140" t="s">
        <v>3261</v>
      </c>
      <c r="N61" s="1142">
        <v>82630.0</v>
      </c>
      <c r="O61" s="1140" t="s">
        <v>3262</v>
      </c>
      <c r="P61" s="1142">
        <v>21080.0</v>
      </c>
      <c r="Q61" s="1140" t="s">
        <v>3263</v>
      </c>
      <c r="R61" s="1142">
        <v>136390.0</v>
      </c>
      <c r="S61" s="1140" t="s">
        <v>3264</v>
      </c>
      <c r="T61" s="1142">
        <v>52340.0</v>
      </c>
      <c r="U61" s="1140" t="s">
        <v>3265</v>
      </c>
      <c r="V61" s="1142">
        <v>98750.0</v>
      </c>
      <c r="W61" s="1140" t="s">
        <v>3266</v>
      </c>
      <c r="X61" s="1142">
        <v>48380.0</v>
      </c>
      <c r="Y61" s="1140" t="s">
        <v>3267</v>
      </c>
      <c r="Z61" s="1137">
        <v>36710.0</v>
      </c>
      <c r="AA61" s="1143">
        <f t="shared" si="8"/>
        <v>823180</v>
      </c>
      <c r="AB61" s="1137"/>
      <c r="AC61" s="1137"/>
      <c r="AD61" s="1137"/>
      <c r="AE61" s="1137"/>
    </row>
    <row r="62">
      <c r="A62" s="1140" t="s">
        <v>3268</v>
      </c>
      <c r="B62" s="1134"/>
      <c r="C62" s="1140" t="s">
        <v>3269</v>
      </c>
      <c r="D62" s="1142">
        <v>13870.0</v>
      </c>
      <c r="E62" s="1140" t="s">
        <v>3270</v>
      </c>
      <c r="F62" s="1142">
        <v>9600.0</v>
      </c>
      <c r="G62" s="1140" t="s">
        <v>3271</v>
      </c>
      <c r="H62" s="1142">
        <v>15490.0</v>
      </c>
      <c r="I62" s="1140" t="s">
        <v>3272</v>
      </c>
      <c r="J62" s="1142">
        <v>9090.0</v>
      </c>
      <c r="K62" s="1140" t="s">
        <v>3273</v>
      </c>
      <c r="L62" s="1142">
        <v>9880.0</v>
      </c>
      <c r="M62" s="1140" t="s">
        <v>3274</v>
      </c>
      <c r="N62" s="1142">
        <v>13070.0</v>
      </c>
      <c r="O62" s="1140" t="s">
        <v>3275</v>
      </c>
      <c r="P62" s="1142">
        <v>7490.0</v>
      </c>
      <c r="Q62" s="1140" t="s">
        <v>3292</v>
      </c>
      <c r="R62" s="1142">
        <v>18840.0</v>
      </c>
      <c r="S62" s="1140" t="s">
        <v>3277</v>
      </c>
      <c r="T62" s="1142">
        <v>13850.0</v>
      </c>
      <c r="U62" s="1140" t="s">
        <v>3278</v>
      </c>
      <c r="V62" s="1142">
        <v>76380.0</v>
      </c>
      <c r="W62" s="1140" t="s">
        <v>3293</v>
      </c>
      <c r="X62" s="1142">
        <v>15470.0</v>
      </c>
      <c r="Y62" s="1140" t="s">
        <v>3280</v>
      </c>
      <c r="Z62" s="1137">
        <v>16879.0</v>
      </c>
      <c r="AA62" s="1143">
        <f t="shared" si="8"/>
        <v>219909</v>
      </c>
      <c r="AB62" s="1137"/>
      <c r="AC62" s="1137"/>
      <c r="AD62" s="1137"/>
      <c r="AE62" s="1137"/>
    </row>
    <row r="63">
      <c r="A63" s="1136" t="s">
        <v>3283</v>
      </c>
      <c r="B63" s="1134" t="s">
        <v>680</v>
      </c>
      <c r="C63" s="1136" t="s">
        <v>3286</v>
      </c>
      <c r="D63" s="1135" t="s">
        <v>680</v>
      </c>
      <c r="E63" s="1136" t="s">
        <v>3282</v>
      </c>
      <c r="F63" s="1135" t="s">
        <v>680</v>
      </c>
      <c r="G63" s="1136" t="s">
        <v>3283</v>
      </c>
      <c r="H63" s="1135" t="s">
        <v>680</v>
      </c>
      <c r="I63" s="1136" t="s">
        <v>3283</v>
      </c>
      <c r="J63" s="1135" t="s">
        <v>680</v>
      </c>
      <c r="K63" s="1136" t="s">
        <v>3284</v>
      </c>
      <c r="L63" s="1135" t="s">
        <v>680</v>
      </c>
      <c r="M63" s="1136" t="s">
        <v>3283</v>
      </c>
      <c r="N63" s="1135" t="s">
        <v>680</v>
      </c>
      <c r="O63" s="1136" t="s">
        <v>3285</v>
      </c>
      <c r="P63" s="1135" t="s">
        <v>680</v>
      </c>
      <c r="Q63" s="1136" t="s">
        <v>3286</v>
      </c>
      <c r="R63" s="1135" t="s">
        <v>680</v>
      </c>
      <c r="S63" s="1136" t="s">
        <v>3286</v>
      </c>
      <c r="T63" s="1135" t="s">
        <v>680</v>
      </c>
      <c r="U63" s="1136" t="s">
        <v>3287</v>
      </c>
      <c r="V63" s="1135" t="s">
        <v>680</v>
      </c>
      <c r="W63" s="1136" t="s">
        <v>3294</v>
      </c>
      <c r="X63" s="1135" t="s">
        <v>680</v>
      </c>
      <c r="Y63" s="1133" t="s">
        <v>3289</v>
      </c>
      <c r="Z63" s="1139" t="s">
        <v>680</v>
      </c>
      <c r="AA63" s="1143" t="str">
        <f t="shared" si="8"/>
        <v>#VALUE!</v>
      </c>
      <c r="AB63" s="1137"/>
      <c r="AC63" s="1137"/>
      <c r="AD63" s="1137"/>
      <c r="AE63" s="1137"/>
    </row>
    <row r="64">
      <c r="A64" s="1144"/>
      <c r="B64" s="1134" t="str">
        <f>IF(A64="","", SUMPRODUCT(('공과금'!$E$1:$Y$1=A57)*('공과금'!$D$2:$D$85=$G$3&amp;LEFT(A64,3))*('공과금'!$E$2:$Y$85)))</f>
        <v/>
      </c>
      <c r="C64" s="1144"/>
      <c r="D64" s="1135" t="str">
        <f>IF(C64="","", SUMPRODUCT(('공과금'!$E$1:$Y$1=C57)*('공과금'!$D$2:$D$85=$G$3&amp;LEFT(C64,3))*('공과금'!$E$2:$Y$85)))</f>
        <v/>
      </c>
      <c r="E64" s="1144"/>
      <c r="F64" s="1135" t="str">
        <f>IF(E64="","", SUMPRODUCT(('공과금'!$E$1:$Y$1=E57)*('공과금'!$D$2:$D$85=$G$3&amp;LEFT(E64,3))*('공과금'!$E$2:$Y$85)))</f>
        <v/>
      </c>
      <c r="G64" s="1144"/>
      <c r="H64" s="1135" t="str">
        <f>IF(G64="","", SUMPRODUCT(('공과금'!$E$1:$Y$1=G57)*('공과금'!$D$2:$D$85=$G$3&amp;LEFT(G64,2))*('공과금'!$E$2:$Y$85)))</f>
        <v/>
      </c>
      <c r="I64" s="1144"/>
      <c r="J64" s="1135" t="str">
        <f>IF(I64="","", SUMPRODUCT(('공과금'!$E$1:$Y$1=I57)*('공과금'!$D$2:$D$85=$G$3&amp;LEFT(I64,3))*('공과금'!$E$2:$Y$85)))</f>
        <v/>
      </c>
      <c r="K64" s="1144"/>
      <c r="L64" s="1135" t="str">
        <f>IF(K64="","", SUMPRODUCT(('공과금'!$E$1:$Y$1=K57)*('공과금'!$D$2:$D$85=$G$3&amp;LEFT(K64,3))*('공과금'!$E$2:$Y$85)))</f>
        <v/>
      </c>
      <c r="M64" s="1144"/>
      <c r="N64" s="1135" t="s">
        <v>42</v>
      </c>
      <c r="O64" s="1144"/>
      <c r="P64" s="1135" t="str">
        <f>IF(O64="","", SUMPRODUCT(('공과금'!$E$1:$Y$1=O57)*('공과금'!$D$2:$D$85=$G$3&amp;LEFT(O64,3))*('공과금'!$E$2:$Y$85)))</f>
        <v/>
      </c>
      <c r="Q64" s="1144"/>
      <c r="R64" s="1135" t="str">
        <f>IF(Q64="","", SUMPRODUCT(('공과금'!$E$1:$Y$1=Q57)*('공과금'!$D$2:$D$85=$G$3&amp;LEFT(Q64,3))*('공과금'!$E$2:$Y$85)))</f>
        <v/>
      </c>
      <c r="S64" s="1144"/>
      <c r="T64" s="1135" t="str">
        <f>IF(S64="","", SUMPRODUCT(('공과금'!$E$1:$Y$1=S57)*('공과금'!$D$2:$D$85=$G$3&amp;LEFT(S64,3))*('공과금'!$E$2:$Y$85)))</f>
        <v/>
      </c>
      <c r="U64" s="1144"/>
      <c r="V64" s="1135" t="str">
        <f>IF(U64="","", SUMPRODUCT(('공과금'!$E$1:$Y$1=U57)*('공과금'!$D$2:$D$85=$G$3&amp;LEFT(U64,3))*('공과금'!$E$2:$Y$85)))</f>
        <v/>
      </c>
      <c r="W64" s="1144"/>
      <c r="X64" s="1135" t="str">
        <f>IF(W64="","", SUMPRODUCT(('공과금'!$E$1:$Y$1=W57)*('공과금'!$D$2:$D$85=$G$3&amp;LEFT(W64,3))*('공과금'!$E$2:$Y$85)))</f>
        <v/>
      </c>
      <c r="Y64" s="1144"/>
      <c r="Z64" s="1139" t="str">
        <f>IF(Y64="","", SUMPRODUCT(('공과금'!$E$1:$Y$1=Y57)*('공과금'!$D$2:$D$85=$G$3&amp;LEFT(Y64,3))*('공과금'!$E$2:$Y$85)))</f>
        <v/>
      </c>
      <c r="AA64" s="1143" t="str">
        <f>B64+D64+F64+H64+J64+L64+#REF!+P64+R64+T64+V64+X64+Z64</f>
        <v>#REF!</v>
      </c>
      <c r="AB64" s="1137"/>
      <c r="AC64" s="1137"/>
      <c r="AD64" s="1137"/>
      <c r="AE64" s="1137"/>
    </row>
    <row r="65">
      <c r="A65" s="1145" t="s">
        <v>42</v>
      </c>
      <c r="B65" s="1146">
        <f>sum(B60:B64)</f>
        <v>0</v>
      </c>
      <c r="C65" s="1147" t="s">
        <v>42</v>
      </c>
      <c r="D65" s="1148">
        <f>sum(D60:D64)</f>
        <v>62380</v>
      </c>
      <c r="E65" s="1147" t="s">
        <v>42</v>
      </c>
      <c r="F65" s="1148">
        <f>sum(F60:F64)</f>
        <v>114410</v>
      </c>
      <c r="G65" s="1147" t="s">
        <v>42</v>
      </c>
      <c r="H65" s="1148">
        <f>sum(H60:H64)</f>
        <v>60470</v>
      </c>
      <c r="I65" s="1147" t="s">
        <v>42</v>
      </c>
      <c r="J65" s="1148">
        <f>sum(J60:J64)</f>
        <v>98430</v>
      </c>
      <c r="K65" s="1147" t="s">
        <v>42</v>
      </c>
      <c r="L65" s="1148">
        <f>sum(L60:L64)</f>
        <v>69140</v>
      </c>
      <c r="M65" s="1147"/>
      <c r="N65" s="1148">
        <f>sum(N60:N64)</f>
        <v>95700</v>
      </c>
      <c r="O65" s="1147" t="s">
        <v>42</v>
      </c>
      <c r="P65" s="1148">
        <f>sum(P60:P64)</f>
        <v>28570</v>
      </c>
      <c r="Q65" s="1147" t="s">
        <v>42</v>
      </c>
      <c r="R65" s="1148">
        <f>sum(R60:R64)</f>
        <v>155230</v>
      </c>
      <c r="S65" s="1147" t="s">
        <v>42</v>
      </c>
      <c r="T65" s="1148">
        <f>sum(T60:T64)</f>
        <v>66190</v>
      </c>
      <c r="U65" s="1147" t="s">
        <v>42</v>
      </c>
      <c r="V65" s="1148">
        <f>sum(V60:V64)</f>
        <v>175130</v>
      </c>
      <c r="W65" s="1147" t="s">
        <v>42</v>
      </c>
      <c r="X65" s="1148">
        <f>sum(X60:X64)</f>
        <v>63850</v>
      </c>
      <c r="Y65" s="1147" t="s">
        <v>42</v>
      </c>
      <c r="Z65" s="1173">
        <f>sum(Z60:Z64)</f>
        <v>53589</v>
      </c>
      <c r="AA65" s="1176">
        <f t="shared" ref="AA65:AA94" si="9">B65+D65+F65+H65+J65+L65+N65+P65+R65+T65+V65+X65+Z65</f>
        <v>1043089</v>
      </c>
      <c r="AB65" s="1137"/>
      <c r="AC65" s="1137"/>
      <c r="AD65" s="1137"/>
      <c r="AE65" s="1137"/>
    </row>
    <row r="66">
      <c r="A66" s="1151">
        <v>4.0</v>
      </c>
      <c r="B66" s="1152">
        <f>B65</f>
        <v>0</v>
      </c>
      <c r="C66" s="1153" t="s">
        <v>3290</v>
      </c>
      <c r="D66" s="1154">
        <f>D65/4</f>
        <v>15595</v>
      </c>
      <c r="E66" s="1155" t="s">
        <v>3290</v>
      </c>
      <c r="F66" s="1156">
        <f>F65/4</f>
        <v>28602.5</v>
      </c>
      <c r="G66" s="1157" t="s">
        <v>3290</v>
      </c>
      <c r="H66" s="1158">
        <f>H65/4</f>
        <v>15117.5</v>
      </c>
      <c r="I66" s="1155" t="s">
        <v>3290</v>
      </c>
      <c r="J66" s="1156">
        <f>J65/4</f>
        <v>24607.5</v>
      </c>
      <c r="K66" s="1155" t="s">
        <v>3290</v>
      </c>
      <c r="L66" s="1156">
        <f>L65/4</f>
        <v>17285</v>
      </c>
      <c r="M66" s="1155" t="s">
        <v>3290</v>
      </c>
      <c r="N66" s="1156">
        <f>N65/2</f>
        <v>47850</v>
      </c>
      <c r="O66" s="1155" t="s">
        <v>3290</v>
      </c>
      <c r="P66" s="1156">
        <f>P65/4</f>
        <v>7142.5</v>
      </c>
      <c r="Q66" s="1159" t="s">
        <v>3290</v>
      </c>
      <c r="R66" s="1160">
        <f>R65/4</f>
        <v>38807.5</v>
      </c>
      <c r="S66" s="1161" t="s">
        <v>3290</v>
      </c>
      <c r="T66" s="1162">
        <f>T65/4</f>
        <v>16547.5</v>
      </c>
      <c r="U66" s="1161" t="s">
        <v>3290</v>
      </c>
      <c r="V66" s="1162">
        <f>V65/4</f>
        <v>43782.5</v>
      </c>
      <c r="W66" s="1161" t="s">
        <v>3290</v>
      </c>
      <c r="X66" s="1162">
        <f>X65/4</f>
        <v>15962.5</v>
      </c>
      <c r="Y66" s="1163" t="s">
        <v>3290</v>
      </c>
      <c r="Z66" s="1164">
        <f>Z65/2</f>
        <v>26794.5</v>
      </c>
      <c r="AA66" s="1176">
        <f t="shared" si="9"/>
        <v>298094.5</v>
      </c>
      <c r="AB66" s="1137"/>
      <c r="AC66" s="1137"/>
      <c r="AD66" s="1137"/>
      <c r="AE66" s="1137"/>
    </row>
    <row r="67">
      <c r="A67" s="1129">
        <f>$G$67</f>
        <v>9</v>
      </c>
      <c r="C67" s="1129">
        <f>$G$67</f>
        <v>9</v>
      </c>
      <c r="E67" s="1129">
        <f>$G$67</f>
        <v>9</v>
      </c>
      <c r="G67" s="1130">
        <v>9.0</v>
      </c>
      <c r="I67" s="1129">
        <f>$G$67</f>
        <v>9</v>
      </c>
      <c r="K67" s="1129">
        <f>$G$67</f>
        <v>9</v>
      </c>
      <c r="M67" s="1129">
        <f>$G$67</f>
        <v>9</v>
      </c>
      <c r="O67" s="1129">
        <f>$G$67</f>
        <v>9</v>
      </c>
      <c r="Q67" s="1129">
        <f>$G$67</f>
        <v>9</v>
      </c>
      <c r="S67" s="1129">
        <f>$G$67</f>
        <v>9</v>
      </c>
      <c r="U67" s="1129">
        <f>$G$67</f>
        <v>9</v>
      </c>
      <c r="W67" s="1129">
        <f>$G$67</f>
        <v>9</v>
      </c>
      <c r="Y67" s="1129">
        <f>$G$67</f>
        <v>9</v>
      </c>
      <c r="AA67" s="1143">
        <f t="shared" si="9"/>
        <v>0</v>
      </c>
      <c r="AB67" s="1137"/>
      <c r="AC67" s="1137"/>
      <c r="AD67" s="1137"/>
      <c r="AE67" s="1137"/>
    </row>
    <row r="68">
      <c r="A68" s="1136" t="s">
        <v>3235</v>
      </c>
      <c r="B68" s="1134" t="s">
        <v>680</v>
      </c>
      <c r="C68" s="1136" t="s">
        <v>3235</v>
      </c>
      <c r="D68" s="1135" t="s">
        <v>680</v>
      </c>
      <c r="E68" s="1136" t="s">
        <v>3235</v>
      </c>
      <c r="F68" s="1135" t="s">
        <v>680</v>
      </c>
      <c r="G68" s="1136" t="s">
        <v>3235</v>
      </c>
      <c r="H68" s="1135" t="s">
        <v>680</v>
      </c>
      <c r="I68" s="1136" t="s">
        <v>3235</v>
      </c>
      <c r="J68" s="1135" t="s">
        <v>680</v>
      </c>
      <c r="K68" s="1136" t="s">
        <v>3235</v>
      </c>
      <c r="L68" s="1135" t="s">
        <v>680</v>
      </c>
      <c r="M68" s="1136" t="s">
        <v>3235</v>
      </c>
      <c r="N68" s="1135" t="s">
        <v>680</v>
      </c>
      <c r="O68" s="1136" t="s">
        <v>3235</v>
      </c>
      <c r="P68" s="1135" t="s">
        <v>680</v>
      </c>
      <c r="Q68" s="1136" t="s">
        <v>3235</v>
      </c>
      <c r="R68" s="1135" t="s">
        <v>680</v>
      </c>
      <c r="S68" s="1136" t="s">
        <v>3235</v>
      </c>
      <c r="T68" s="1135" t="s">
        <v>680</v>
      </c>
      <c r="U68" s="1136" t="s">
        <v>3235</v>
      </c>
      <c r="V68" s="1135" t="s">
        <v>680</v>
      </c>
      <c r="W68" s="1136" t="s">
        <v>3253</v>
      </c>
      <c r="X68" s="1135" t="s">
        <v>680</v>
      </c>
      <c r="Y68" s="1133" t="s">
        <v>3254</v>
      </c>
      <c r="Z68" s="1139" t="s">
        <v>680</v>
      </c>
      <c r="AA68" s="1143" t="str">
        <f t="shared" si="9"/>
        <v>#VALUE!</v>
      </c>
      <c r="AB68" s="1137"/>
      <c r="AC68" s="1137"/>
      <c r="AD68" s="1137"/>
      <c r="AE68" s="1137"/>
    </row>
    <row r="69">
      <c r="A69" s="1140" t="s">
        <v>3255</v>
      </c>
      <c r="B69" s="1134"/>
      <c r="C69" s="1140" t="s">
        <v>3256</v>
      </c>
      <c r="D69" s="1142">
        <v>41170.0</v>
      </c>
      <c r="E69" s="1140" t="s">
        <v>3257</v>
      </c>
      <c r="F69" s="1142">
        <v>116680.0</v>
      </c>
      <c r="G69" s="1140" t="s">
        <v>3258</v>
      </c>
      <c r="H69" s="1142">
        <v>33190.0</v>
      </c>
      <c r="I69" s="1140" t="s">
        <v>3259</v>
      </c>
      <c r="J69" s="1142">
        <v>105620.0</v>
      </c>
      <c r="K69" s="1140" t="s">
        <v>3291</v>
      </c>
      <c r="L69" s="1142">
        <v>47710.0</v>
      </c>
      <c r="M69" s="1140" t="s">
        <v>3261</v>
      </c>
      <c r="N69" s="1142">
        <v>57380.0</v>
      </c>
      <c r="O69" s="1140" t="s">
        <v>3262</v>
      </c>
      <c r="P69" s="1142">
        <v>45150.0</v>
      </c>
      <c r="Q69" s="1140" t="s">
        <v>3263</v>
      </c>
      <c r="R69" s="1142">
        <v>106300.0</v>
      </c>
      <c r="S69" s="1140" t="s">
        <v>3264</v>
      </c>
      <c r="T69" s="1142">
        <v>44030.0</v>
      </c>
      <c r="U69" s="1140" t="s">
        <v>3265</v>
      </c>
      <c r="V69" s="1142">
        <v>63930.0</v>
      </c>
      <c r="W69" s="1140" t="s">
        <v>3266</v>
      </c>
      <c r="X69" s="1142">
        <v>38440.0</v>
      </c>
      <c r="Y69" s="1140" t="s">
        <v>3267</v>
      </c>
      <c r="Z69" s="1137">
        <v>22920.0</v>
      </c>
      <c r="AA69" s="1143">
        <f t="shared" si="9"/>
        <v>722520</v>
      </c>
      <c r="AB69" s="1137"/>
      <c r="AC69" s="1137"/>
      <c r="AD69" s="1137"/>
      <c r="AE69" s="1137"/>
    </row>
    <row r="70">
      <c r="A70" s="1140" t="s">
        <v>3268</v>
      </c>
      <c r="B70" s="1134"/>
      <c r="C70" s="1140" t="s">
        <v>3269</v>
      </c>
      <c r="D70" s="1142">
        <v>21820.0</v>
      </c>
      <c r="E70" s="1140" t="s">
        <v>3270</v>
      </c>
      <c r="F70" s="1142">
        <v>9070.0</v>
      </c>
      <c r="G70" s="1140" t="s">
        <v>3271</v>
      </c>
      <c r="H70" s="1142">
        <v>17060.0</v>
      </c>
      <c r="I70" s="1140" t="s">
        <v>3272</v>
      </c>
      <c r="J70" s="1142">
        <v>17030.0</v>
      </c>
      <c r="K70" s="1140" t="s">
        <v>3273</v>
      </c>
      <c r="L70" s="1142">
        <v>8270.0</v>
      </c>
      <c r="M70" s="1140" t="s">
        <v>3274</v>
      </c>
      <c r="N70" s="1142">
        <v>17030.0</v>
      </c>
      <c r="O70" s="1140" t="s">
        <v>3275</v>
      </c>
      <c r="P70" s="1142">
        <v>13840.0</v>
      </c>
      <c r="Q70" s="1140" t="s">
        <v>3292</v>
      </c>
      <c r="R70" s="1142">
        <v>15450.0</v>
      </c>
      <c r="S70" s="1140" t="s">
        <v>3277</v>
      </c>
      <c r="T70" s="1142">
        <v>18100.0</v>
      </c>
      <c r="U70" s="1140" t="s">
        <v>3278</v>
      </c>
      <c r="V70" s="1142">
        <v>81540.0</v>
      </c>
      <c r="W70" s="1140" t="s">
        <v>3293</v>
      </c>
      <c r="X70" s="1142">
        <v>21820.0</v>
      </c>
      <c r="Y70" s="1140" t="s">
        <v>3280</v>
      </c>
      <c r="Z70" s="1137">
        <v>14660.0</v>
      </c>
      <c r="AA70" s="1143">
        <f t="shared" si="9"/>
        <v>255690</v>
      </c>
      <c r="AB70" s="1137"/>
      <c r="AC70" s="1137"/>
      <c r="AD70" s="1137"/>
      <c r="AE70" s="1137"/>
    </row>
    <row r="71">
      <c r="A71" s="1136" t="s">
        <v>3283</v>
      </c>
      <c r="B71" s="1134" t="s">
        <v>680</v>
      </c>
      <c r="C71" s="1136" t="s">
        <v>3286</v>
      </c>
      <c r="D71" s="1135" t="s">
        <v>680</v>
      </c>
      <c r="E71" s="1136" t="s">
        <v>3282</v>
      </c>
      <c r="F71" s="1135" t="s">
        <v>680</v>
      </c>
      <c r="G71" s="1136" t="s">
        <v>3283</v>
      </c>
      <c r="H71" s="1135" t="s">
        <v>680</v>
      </c>
      <c r="I71" s="1136" t="s">
        <v>3283</v>
      </c>
      <c r="J71" s="1135" t="s">
        <v>680</v>
      </c>
      <c r="K71" s="1136" t="s">
        <v>3284</v>
      </c>
      <c r="L71" s="1135" t="s">
        <v>680</v>
      </c>
      <c r="M71" s="1136" t="s">
        <v>3283</v>
      </c>
      <c r="N71" s="1135" t="s">
        <v>680</v>
      </c>
      <c r="O71" s="1136" t="s">
        <v>3285</v>
      </c>
      <c r="P71" s="1135" t="s">
        <v>680</v>
      </c>
      <c r="Q71" s="1136" t="s">
        <v>3286</v>
      </c>
      <c r="R71" s="1135" t="s">
        <v>680</v>
      </c>
      <c r="S71" s="1136" t="s">
        <v>3286</v>
      </c>
      <c r="T71" s="1135" t="s">
        <v>680</v>
      </c>
      <c r="U71" s="1136" t="s">
        <v>3287</v>
      </c>
      <c r="V71" s="1135" t="s">
        <v>680</v>
      </c>
      <c r="W71" s="1136" t="s">
        <v>3294</v>
      </c>
      <c r="X71" s="1135" t="s">
        <v>680</v>
      </c>
      <c r="Y71" s="1133" t="s">
        <v>3289</v>
      </c>
      <c r="Z71" s="1139" t="s">
        <v>680</v>
      </c>
      <c r="AA71" s="1143" t="str">
        <f t="shared" si="9"/>
        <v>#VALUE!</v>
      </c>
      <c r="AB71" s="1137"/>
      <c r="AC71" s="1137"/>
      <c r="AD71" s="1137"/>
      <c r="AE71" s="1137"/>
    </row>
    <row r="72">
      <c r="A72" s="1144"/>
      <c r="B72" s="1134" t="str">
        <f>IF(A72="","", SUMPRODUCT(('공과금'!$E$1:$Y$1=A65)*('공과금'!$D$2:$D$85=$G$3&amp;LEFT(A72,3))*('공과금'!$E$2:$Y$85)))</f>
        <v/>
      </c>
      <c r="C72" s="1144"/>
      <c r="D72" s="1135" t="str">
        <f>IF(C72="","", SUMPRODUCT(('공과금'!$E$1:$Y$1=C65)*('공과금'!$D$2:$D$85=$G$3&amp;LEFT(C72,3))*('공과금'!$E$2:$Y$85)))</f>
        <v/>
      </c>
      <c r="E72" s="1144"/>
      <c r="F72" s="1135" t="str">
        <f>IF(E72="","", SUMPRODUCT(('공과금'!$E$1:$Y$1=E65)*('공과금'!$D$2:$D$85=$G$3&amp;LEFT(E72,3))*('공과금'!$E$2:$Y$85)))</f>
        <v/>
      </c>
      <c r="G72" s="1144"/>
      <c r="H72" s="1135" t="str">
        <f>IF(G72="","", SUMPRODUCT(('공과금'!$E$1:$Y$1=G65)*('공과금'!$D$2:$D$85=$G$3&amp;LEFT(G72,2))*('공과금'!$E$2:$Y$85)))</f>
        <v/>
      </c>
      <c r="I72" s="1144"/>
      <c r="J72" s="1135" t="str">
        <f>IF(I72="","", SUMPRODUCT(('공과금'!$E$1:$Y$1=I65)*('공과금'!$D$2:$D$85=$G$3&amp;LEFT(I72,3))*('공과금'!$E$2:$Y$85)))</f>
        <v/>
      </c>
      <c r="K72" s="1144"/>
      <c r="L72" s="1135" t="str">
        <f>IF(K72="","", SUMPRODUCT(('공과금'!$E$1:$Y$1=K65)*('공과금'!$D$2:$D$85=$G$3&amp;LEFT(K72,3))*('공과금'!$E$2:$Y$85)))</f>
        <v/>
      </c>
      <c r="M72" s="1144"/>
      <c r="N72" s="1135" t="str">
        <f>IF(M72="","", SUMPRODUCT(('공과금'!$E$1:$Y$1=N64)*('공과금'!$D$2:$D$85=$G$3&amp;LEFT(M72,3))*('공과금'!$E$2:$Y$85)))</f>
        <v/>
      </c>
      <c r="O72" s="1144"/>
      <c r="P72" s="1135" t="str">
        <f>IF(O72="","", SUMPRODUCT(('공과금'!$E$1:$Y$1=O65)*('공과금'!$D$2:$D$85=$G$3&amp;LEFT(O72,3))*('공과금'!$E$2:$Y$85)))</f>
        <v/>
      </c>
      <c r="Q72" s="1144"/>
      <c r="R72" s="1135" t="str">
        <f>IF(Q72="","", SUMPRODUCT(('공과금'!$E$1:$Y$1=Q65)*('공과금'!$D$2:$D$85=$G$3&amp;LEFT(Q72,3))*('공과금'!$E$2:$Y$85)))</f>
        <v/>
      </c>
      <c r="S72" s="1144"/>
      <c r="T72" s="1135" t="str">
        <f>IF(S72="","", SUMPRODUCT(('공과금'!$E$1:$Y$1=S65)*('공과금'!$D$2:$D$85=$G$3&amp;LEFT(S72,3))*('공과금'!$E$2:$Y$85)))</f>
        <v/>
      </c>
      <c r="U72" s="1144"/>
      <c r="V72" s="1135" t="str">
        <f>IF(U72="","", SUMPRODUCT(('공과금'!$E$1:$Y$1=U65)*('공과금'!$D$2:$D$85=$G$3&amp;LEFT(U72,3))*('공과금'!$E$2:$Y$85)))</f>
        <v/>
      </c>
      <c r="W72" s="1144"/>
      <c r="X72" s="1135" t="str">
        <f>IF(W72="","", SUMPRODUCT(('공과금'!$E$1:$Y$1=W65)*('공과금'!$D$2:$D$85=$G$3&amp;LEFT(W72,3))*('공과금'!$E$2:$Y$85)))</f>
        <v/>
      </c>
      <c r="Y72" s="1144"/>
      <c r="Z72" s="1139" t="str">
        <f>IF(Y72="","", SUMPRODUCT(('공과금'!$E$1:$Y$1=Y65)*('공과금'!$D$2:$D$85=$G$3&amp;LEFT(Y72,3))*('공과금'!$E$2:$Y$85)))</f>
        <v/>
      </c>
      <c r="AA72" s="1143">
        <f t="shared" si="9"/>
        <v>0</v>
      </c>
      <c r="AB72" s="1137"/>
      <c r="AC72" s="1137"/>
      <c r="AD72" s="1137"/>
      <c r="AE72" s="1137"/>
    </row>
    <row r="73">
      <c r="A73" s="1145" t="s">
        <v>42</v>
      </c>
      <c r="B73" s="1146">
        <f>sum(B68:B72)</f>
        <v>0</v>
      </c>
      <c r="C73" s="1147" t="s">
        <v>42</v>
      </c>
      <c r="D73" s="1148">
        <f>sum(D68:D72)</f>
        <v>62990</v>
      </c>
      <c r="E73" s="1147" t="s">
        <v>42</v>
      </c>
      <c r="F73" s="1148">
        <f>sum(F68:F72)</f>
        <v>125750</v>
      </c>
      <c r="G73" s="1147" t="s">
        <v>42</v>
      </c>
      <c r="H73" s="1148">
        <f>sum(H68:H72)</f>
        <v>50250</v>
      </c>
      <c r="I73" s="1147" t="s">
        <v>42</v>
      </c>
      <c r="J73" s="1148">
        <f>sum(J68:J72)</f>
        <v>122650</v>
      </c>
      <c r="K73" s="1147" t="s">
        <v>42</v>
      </c>
      <c r="L73" s="1148">
        <f>sum(L68:L72)</f>
        <v>55980</v>
      </c>
      <c r="M73" s="1147" t="s">
        <v>42</v>
      </c>
      <c r="N73" s="1148">
        <f>sum(N68:N72)</f>
        <v>74410</v>
      </c>
      <c r="O73" s="1147" t="s">
        <v>42</v>
      </c>
      <c r="P73" s="1148">
        <f>sum(P68:P72)</f>
        <v>58990</v>
      </c>
      <c r="Q73" s="1147" t="s">
        <v>42</v>
      </c>
      <c r="R73" s="1148">
        <f>sum(R68:R72)</f>
        <v>121750</v>
      </c>
      <c r="S73" s="1147" t="s">
        <v>42</v>
      </c>
      <c r="T73" s="1148">
        <f>sum(T68:T72)</f>
        <v>62130</v>
      </c>
      <c r="U73" s="1147" t="s">
        <v>42</v>
      </c>
      <c r="V73" s="1148">
        <f>sum(V68:V72)</f>
        <v>145470</v>
      </c>
      <c r="W73" s="1147" t="s">
        <v>42</v>
      </c>
      <c r="X73" s="1148">
        <f>sum(X68:X72)</f>
        <v>60260</v>
      </c>
      <c r="Y73" s="1147" t="s">
        <v>42</v>
      </c>
      <c r="Z73" s="1173">
        <f>sum(Z68:Z72)</f>
        <v>37580</v>
      </c>
      <c r="AA73" s="1176">
        <f t="shared" si="9"/>
        <v>978210</v>
      </c>
      <c r="AB73" s="1137"/>
      <c r="AC73" s="1137"/>
      <c r="AD73" s="1137"/>
      <c r="AE73" s="1137"/>
    </row>
    <row r="74">
      <c r="A74" s="1151">
        <v>4.0</v>
      </c>
      <c r="B74" s="1152">
        <f>B73</f>
        <v>0</v>
      </c>
      <c r="C74" s="1153" t="s">
        <v>3290</v>
      </c>
      <c r="D74" s="1154">
        <f>D73/5</f>
        <v>12598</v>
      </c>
      <c r="E74" s="1155" t="s">
        <v>3290</v>
      </c>
      <c r="F74" s="1156">
        <f>F73/3</f>
        <v>41916.66667</v>
      </c>
      <c r="G74" s="1157" t="s">
        <v>3290</v>
      </c>
      <c r="H74" s="1158">
        <f>H73/4</f>
        <v>12562.5</v>
      </c>
      <c r="I74" s="1155" t="s">
        <v>3290</v>
      </c>
      <c r="J74" s="1156">
        <f>J73/5</f>
        <v>24530</v>
      </c>
      <c r="K74" s="1155" t="s">
        <v>3290</v>
      </c>
      <c r="L74" s="1156">
        <f>L73/4</f>
        <v>13995</v>
      </c>
      <c r="M74" s="1155" t="s">
        <v>3290</v>
      </c>
      <c r="N74" s="1156">
        <f>N73/2</f>
        <v>37205</v>
      </c>
      <c r="O74" s="1155" t="s">
        <v>3290</v>
      </c>
      <c r="P74" s="1156">
        <f>P73/4</f>
        <v>14747.5</v>
      </c>
      <c r="Q74" s="1159" t="s">
        <v>3290</v>
      </c>
      <c r="R74" s="1160">
        <f>R73/4</f>
        <v>30437.5</v>
      </c>
      <c r="S74" s="1161" t="s">
        <v>3290</v>
      </c>
      <c r="T74" s="1162">
        <f>T73/4</f>
        <v>15532.5</v>
      </c>
      <c r="U74" s="1161" t="s">
        <v>3290</v>
      </c>
      <c r="V74" s="1162">
        <f>V73/4</f>
        <v>36367.5</v>
      </c>
      <c r="W74" s="1161" t="s">
        <v>3290</v>
      </c>
      <c r="X74" s="1162">
        <f>X73/4</f>
        <v>15065</v>
      </c>
      <c r="Y74" s="1163" t="s">
        <v>3290</v>
      </c>
      <c r="Z74" s="1164">
        <f>Z73/3</f>
        <v>12526.66667</v>
      </c>
      <c r="AA74" s="1176">
        <f t="shared" si="9"/>
        <v>267483.8333</v>
      </c>
      <c r="AB74" s="1137"/>
      <c r="AC74" s="1137"/>
      <c r="AD74" s="1137"/>
      <c r="AE74" s="1137"/>
    </row>
    <row r="75">
      <c r="A75" s="1129">
        <f>$G$75</f>
        <v>10</v>
      </c>
      <c r="C75" s="1129">
        <f>$G$75</f>
        <v>10</v>
      </c>
      <c r="E75" s="1129">
        <f>$G$75</f>
        <v>10</v>
      </c>
      <c r="G75" s="1129">
        <v>10.0</v>
      </c>
      <c r="I75" s="1129">
        <f>$G$75</f>
        <v>10</v>
      </c>
      <c r="K75" s="1129">
        <f>$G$75</f>
        <v>10</v>
      </c>
      <c r="M75" s="1129">
        <f>$G$75</f>
        <v>10</v>
      </c>
      <c r="O75" s="1129">
        <f>$G$75</f>
        <v>10</v>
      </c>
      <c r="Q75" s="1129">
        <f>$G$75</f>
        <v>10</v>
      </c>
      <c r="S75" s="1129">
        <f>$G$75</f>
        <v>10</v>
      </c>
      <c r="U75" s="1129">
        <f>$G$75</f>
        <v>10</v>
      </c>
      <c r="W75" s="1129">
        <f>$G$75</f>
        <v>10</v>
      </c>
      <c r="Y75" s="1129">
        <f>$G$75</f>
        <v>10</v>
      </c>
      <c r="AA75" s="1143">
        <f t="shared" si="9"/>
        <v>0</v>
      </c>
      <c r="AB75" s="1137"/>
      <c r="AC75" s="1137"/>
      <c r="AD75" s="1137"/>
      <c r="AE75" s="1137"/>
    </row>
    <row r="76">
      <c r="A76" s="1136" t="s">
        <v>3235</v>
      </c>
      <c r="B76" s="1134" t="s">
        <v>680</v>
      </c>
      <c r="C76" s="1136" t="s">
        <v>3235</v>
      </c>
      <c r="D76" s="1135" t="s">
        <v>680</v>
      </c>
      <c r="E76" s="1136" t="s">
        <v>3235</v>
      </c>
      <c r="F76" s="1135" t="s">
        <v>680</v>
      </c>
      <c r="G76" s="1136" t="s">
        <v>3235</v>
      </c>
      <c r="H76" s="1135" t="s">
        <v>680</v>
      </c>
      <c r="I76" s="1136" t="s">
        <v>3235</v>
      </c>
      <c r="J76" s="1135" t="s">
        <v>680</v>
      </c>
      <c r="K76" s="1136" t="s">
        <v>3235</v>
      </c>
      <c r="L76" s="1135" t="s">
        <v>680</v>
      </c>
      <c r="M76" s="1136" t="s">
        <v>3235</v>
      </c>
      <c r="N76" s="1135" t="s">
        <v>680</v>
      </c>
      <c r="O76" s="1136" t="s">
        <v>3235</v>
      </c>
      <c r="P76" s="1135" t="s">
        <v>680</v>
      </c>
      <c r="Q76" s="1136" t="s">
        <v>3235</v>
      </c>
      <c r="R76" s="1135" t="s">
        <v>680</v>
      </c>
      <c r="S76" s="1136" t="s">
        <v>3235</v>
      </c>
      <c r="T76" s="1135" t="s">
        <v>680</v>
      </c>
      <c r="U76" s="1136" t="s">
        <v>3235</v>
      </c>
      <c r="V76" s="1135" t="s">
        <v>680</v>
      </c>
      <c r="W76" s="1136" t="s">
        <v>3253</v>
      </c>
      <c r="X76" s="1135" t="s">
        <v>680</v>
      </c>
      <c r="Y76" s="1133" t="s">
        <v>3254</v>
      </c>
      <c r="Z76" s="1139" t="s">
        <v>680</v>
      </c>
      <c r="AA76" s="1143" t="str">
        <f t="shared" si="9"/>
        <v>#VALUE!</v>
      </c>
      <c r="AB76" s="1137"/>
      <c r="AC76" s="1137"/>
      <c r="AD76" s="1137"/>
      <c r="AE76" s="1137"/>
    </row>
    <row r="77">
      <c r="A77" s="1140" t="s">
        <v>3255</v>
      </c>
      <c r="B77" s="1134"/>
      <c r="C77" s="1140" t="s">
        <v>3256</v>
      </c>
      <c r="D77" s="1142">
        <v>52760.0</v>
      </c>
      <c r="E77" s="1140" t="s">
        <v>3257</v>
      </c>
      <c r="F77" s="1142">
        <v>69860.0</v>
      </c>
      <c r="G77" s="1140" t="s">
        <v>3258</v>
      </c>
      <c r="H77" s="1142">
        <v>19990.0</v>
      </c>
      <c r="I77" s="1140" t="s">
        <v>3259</v>
      </c>
      <c r="J77" s="1142">
        <v>68570.0</v>
      </c>
      <c r="K77" s="1140" t="s">
        <v>3291</v>
      </c>
      <c r="L77" s="1142">
        <v>24000.0</v>
      </c>
      <c r="M77" s="1140" t="s">
        <v>3261</v>
      </c>
      <c r="N77" s="1142">
        <v>47440.0</v>
      </c>
      <c r="O77" s="1140" t="s">
        <v>3262</v>
      </c>
      <c r="P77" s="1142">
        <v>91630.0</v>
      </c>
      <c r="Q77" s="1140" t="s">
        <v>3263</v>
      </c>
      <c r="R77" s="1142">
        <v>68070.0</v>
      </c>
      <c r="S77" s="1140" t="s">
        <v>3264</v>
      </c>
      <c r="T77" s="1142">
        <v>31500.0</v>
      </c>
      <c r="U77" s="1140" t="s">
        <v>3265</v>
      </c>
      <c r="V77" s="1142">
        <v>35050.0</v>
      </c>
      <c r="W77" s="1140" t="s">
        <v>3266</v>
      </c>
      <c r="X77" s="1142">
        <v>35920.0</v>
      </c>
      <c r="Y77" s="1140" t="s">
        <v>3267</v>
      </c>
      <c r="Z77" s="1137">
        <v>15990.0</v>
      </c>
      <c r="AA77" s="1143">
        <f t="shared" si="9"/>
        <v>560780</v>
      </c>
      <c r="AB77" s="1137"/>
      <c r="AC77" s="1137"/>
      <c r="AD77" s="1137"/>
      <c r="AE77" s="1137"/>
    </row>
    <row r="78">
      <c r="A78" s="1140" t="s">
        <v>3268</v>
      </c>
      <c r="B78" s="1134"/>
      <c r="C78" s="1140" t="s">
        <v>3269</v>
      </c>
      <c r="D78" s="1142">
        <v>40400.0</v>
      </c>
      <c r="E78" s="1140" t="s">
        <v>3270</v>
      </c>
      <c r="F78" s="1142">
        <v>10670.0</v>
      </c>
      <c r="G78" s="1140" t="s">
        <v>3271</v>
      </c>
      <c r="H78" s="1142">
        <v>25590.0</v>
      </c>
      <c r="I78" s="1140" t="s">
        <v>3272</v>
      </c>
      <c r="J78" s="1142">
        <v>22440.0</v>
      </c>
      <c r="K78" s="1140" t="s">
        <v>3273</v>
      </c>
      <c r="L78" s="1142">
        <v>7590.0</v>
      </c>
      <c r="M78" s="1140" t="s">
        <v>3274</v>
      </c>
      <c r="N78" s="1142">
        <v>49270.0</v>
      </c>
      <c r="O78" s="1140" t="s">
        <v>3275</v>
      </c>
      <c r="P78" s="1142">
        <v>34400.0</v>
      </c>
      <c r="Q78" s="1140" t="s">
        <v>3292</v>
      </c>
      <c r="R78" s="1142">
        <v>20220.0</v>
      </c>
      <c r="S78" s="1140" t="s">
        <v>3277</v>
      </c>
      <c r="T78" s="1142">
        <v>21810.0</v>
      </c>
      <c r="U78" s="1140" t="s">
        <v>3278</v>
      </c>
      <c r="V78" s="1142">
        <v>86310.0</v>
      </c>
      <c r="W78" s="1140" t="s">
        <v>3293</v>
      </c>
      <c r="X78" s="1142">
        <v>65650.0</v>
      </c>
      <c r="Y78" s="1140" t="s">
        <v>3280</v>
      </c>
      <c r="Z78" s="1137">
        <v>8260.0</v>
      </c>
      <c r="AA78" s="1143">
        <f t="shared" si="9"/>
        <v>392610</v>
      </c>
      <c r="AB78" s="1137"/>
      <c r="AC78" s="1137"/>
      <c r="AD78" s="1137"/>
      <c r="AE78" s="1137"/>
    </row>
    <row r="79">
      <c r="A79" s="1136" t="s">
        <v>3283</v>
      </c>
      <c r="B79" s="1134" t="s">
        <v>680</v>
      </c>
      <c r="C79" s="1136" t="s">
        <v>3286</v>
      </c>
      <c r="D79" s="1135" t="s">
        <v>680</v>
      </c>
      <c r="E79" s="1136" t="s">
        <v>3282</v>
      </c>
      <c r="F79" s="1135" t="s">
        <v>680</v>
      </c>
      <c r="G79" s="1136" t="s">
        <v>3283</v>
      </c>
      <c r="H79" s="1135" t="s">
        <v>680</v>
      </c>
      <c r="I79" s="1136" t="s">
        <v>3283</v>
      </c>
      <c r="J79" s="1135" t="s">
        <v>680</v>
      </c>
      <c r="K79" s="1136" t="s">
        <v>3284</v>
      </c>
      <c r="L79" s="1135" t="s">
        <v>680</v>
      </c>
      <c r="M79" s="1136" t="s">
        <v>3283</v>
      </c>
      <c r="N79" s="1135" t="s">
        <v>680</v>
      </c>
      <c r="O79" s="1136" t="s">
        <v>3285</v>
      </c>
      <c r="P79" s="1135" t="s">
        <v>680</v>
      </c>
      <c r="Q79" s="1136" t="s">
        <v>3286</v>
      </c>
      <c r="R79" s="1135" t="s">
        <v>680</v>
      </c>
      <c r="S79" s="1136" t="s">
        <v>3286</v>
      </c>
      <c r="T79" s="1135" t="s">
        <v>680</v>
      </c>
      <c r="U79" s="1136" t="s">
        <v>3287</v>
      </c>
      <c r="V79" s="1135" t="s">
        <v>680</v>
      </c>
      <c r="W79" s="1136" t="s">
        <v>3294</v>
      </c>
      <c r="X79" s="1135" t="s">
        <v>680</v>
      </c>
      <c r="Y79" s="1133" t="s">
        <v>3289</v>
      </c>
      <c r="Z79" s="1139" t="s">
        <v>680</v>
      </c>
      <c r="AA79" s="1143" t="str">
        <f t="shared" si="9"/>
        <v>#VALUE!</v>
      </c>
      <c r="AB79" s="1137"/>
      <c r="AC79" s="1137"/>
      <c r="AD79" s="1137"/>
      <c r="AE79" s="1137"/>
    </row>
    <row r="80">
      <c r="A80" s="1144"/>
      <c r="B80" s="1134" t="str">
        <f>IF(A80="","", SUMPRODUCT(('공과금'!$E$1:$Y$1=A73)*('공과금'!$D$2:$D$85=$G$3&amp;LEFT(A80,3))*('공과금'!$E$2:$Y$85)))</f>
        <v/>
      </c>
      <c r="C80" s="1144"/>
      <c r="D80" s="1135" t="str">
        <f>IF(C80="","", SUMPRODUCT(('공과금'!$E$1:$Y$1=C73)*('공과금'!$D$2:$D$85=$G$3&amp;LEFT(C80,3))*('공과금'!$E$2:$Y$85)))</f>
        <v/>
      </c>
      <c r="E80" s="1144"/>
      <c r="F80" s="1135" t="str">
        <f>IF(E80="","", SUMPRODUCT(('공과금'!$E$1:$Y$1=E73)*('공과금'!$D$2:$D$85=$G$3&amp;LEFT(E80,3))*('공과금'!$E$2:$Y$85)))</f>
        <v/>
      </c>
      <c r="G80" s="1144"/>
      <c r="H80" s="1135" t="str">
        <f>IF(G80="","", SUMPRODUCT(('공과금'!$E$1:$Y$1=G73)*('공과금'!$D$2:$D$85=$G$3&amp;LEFT(G80,2))*('공과금'!$E$2:$Y$85)))</f>
        <v/>
      </c>
      <c r="I80" s="1144"/>
      <c r="J80" s="1135" t="str">
        <f>IF(I80="","", SUMPRODUCT(('공과금'!$E$1:$Y$1=I73)*('공과금'!$D$2:$D$85=$G$3&amp;LEFT(I80,3))*('공과금'!$E$2:$Y$85)))</f>
        <v/>
      </c>
      <c r="K80" s="1144"/>
      <c r="L80" s="1135" t="str">
        <f>IF(K80="","", SUMPRODUCT(('공과금'!$E$1:$Y$1=K73)*('공과금'!$D$2:$D$85=$G$3&amp;LEFT(K80,3))*('공과금'!$E$2:$Y$85)))</f>
        <v/>
      </c>
      <c r="M80" s="1144"/>
      <c r="N80" s="1135" t="str">
        <f>IF(M80="","", SUMPRODUCT(('공과금'!$E$1:$Y$1=M73)*('공과금'!$D$2:$D$85=$G$3&amp;LEFT(M80,3))*('공과금'!$E$2:$Y$85)))</f>
        <v/>
      </c>
      <c r="O80" s="1144"/>
      <c r="P80" s="1135" t="str">
        <f>IF(O80="","", SUMPRODUCT(('공과금'!$E$1:$Y$1=O73)*('공과금'!$D$2:$D$85=$G$3&amp;LEFT(O80,3))*('공과금'!$E$2:$Y$85)))</f>
        <v/>
      </c>
      <c r="Q80" s="1144"/>
      <c r="R80" s="1135" t="str">
        <f>IF(Q80="","", SUMPRODUCT(('공과금'!$E$1:$Y$1=Q73)*('공과금'!$D$2:$D$85=$G$3&amp;LEFT(Q80,3))*('공과금'!$E$2:$Y$85)))</f>
        <v/>
      </c>
      <c r="S80" s="1144"/>
      <c r="T80" s="1135" t="str">
        <f>IF(S80="","", SUMPRODUCT(('공과금'!$E$1:$Y$1=S73)*('공과금'!$D$2:$D$85=$G$3&amp;LEFT(S80,3))*('공과금'!$E$2:$Y$85)))</f>
        <v/>
      </c>
      <c r="U80" s="1144"/>
      <c r="V80" s="1135" t="str">
        <f>IF(U80="","", SUMPRODUCT(('공과금'!$E$1:$Y$1=U73)*('공과금'!$D$2:$D$85=$G$3&amp;LEFT(U80,3))*('공과금'!$E$2:$Y$85)))</f>
        <v/>
      </c>
      <c r="W80" s="1144"/>
      <c r="X80" s="1135" t="str">
        <f>IF(W80="","", SUMPRODUCT(('공과금'!$E$1:$Y$1=W73)*('공과금'!$D$2:$D$85=$G$3&amp;LEFT(W80,3))*('공과금'!$E$2:$Y$85)))</f>
        <v/>
      </c>
      <c r="Y80" s="1144"/>
      <c r="Z80" s="1139" t="str">
        <f>IF(Y80="","", SUMPRODUCT(('공과금'!$E$1:$Y$1=Y73)*('공과금'!$D$2:$D$85=$G$3&amp;LEFT(Y80,3))*('공과금'!$E$2:$Y$85)))</f>
        <v/>
      </c>
      <c r="AA80" s="1143">
        <f t="shared" si="9"/>
        <v>0</v>
      </c>
      <c r="AB80" s="1137"/>
      <c r="AC80" s="1137"/>
      <c r="AD80" s="1137"/>
      <c r="AE80" s="1137"/>
    </row>
    <row r="81">
      <c r="A81" s="1145" t="s">
        <v>42</v>
      </c>
      <c r="B81" s="1146">
        <f>sum(B76:B80)</f>
        <v>0</v>
      </c>
      <c r="C81" s="1147" t="s">
        <v>42</v>
      </c>
      <c r="D81" s="1148">
        <f>sum(D76:D80)</f>
        <v>93160</v>
      </c>
      <c r="E81" s="1147" t="s">
        <v>42</v>
      </c>
      <c r="F81" s="1148">
        <f>sum(F76:F80)</f>
        <v>80530</v>
      </c>
      <c r="G81" s="1147" t="s">
        <v>42</v>
      </c>
      <c r="H81" s="1148">
        <f>sum(H76:H80)</f>
        <v>45580</v>
      </c>
      <c r="I81" s="1147" t="s">
        <v>42</v>
      </c>
      <c r="J81" s="1148">
        <f>sum(J76:J80)</f>
        <v>91010</v>
      </c>
      <c r="K81" s="1147" t="s">
        <v>42</v>
      </c>
      <c r="L81" s="1148">
        <f>sum(L76:L80)</f>
        <v>31590</v>
      </c>
      <c r="M81" s="1147" t="s">
        <v>42</v>
      </c>
      <c r="N81" s="1148">
        <f>sum(N76:N80)</f>
        <v>96710</v>
      </c>
      <c r="O81" s="1147" t="s">
        <v>42</v>
      </c>
      <c r="P81" s="1148">
        <f>sum(P76:P80)</f>
        <v>126030</v>
      </c>
      <c r="Q81" s="1147" t="s">
        <v>42</v>
      </c>
      <c r="R81" s="1148">
        <f>sum(R76:R80)</f>
        <v>88290</v>
      </c>
      <c r="S81" s="1147" t="s">
        <v>42</v>
      </c>
      <c r="T81" s="1148">
        <f>sum(T76:T80)</f>
        <v>53310</v>
      </c>
      <c r="U81" s="1147" t="s">
        <v>42</v>
      </c>
      <c r="V81" s="1148">
        <f>sum(V76:V80)</f>
        <v>121360</v>
      </c>
      <c r="W81" s="1147" t="s">
        <v>42</v>
      </c>
      <c r="X81" s="1148">
        <f>sum(X76:X80)</f>
        <v>101570</v>
      </c>
      <c r="Y81" s="1147" t="s">
        <v>42</v>
      </c>
      <c r="Z81" s="1173">
        <f>sum(Z76:Z80)</f>
        <v>24250</v>
      </c>
      <c r="AA81" s="1176">
        <f t="shared" si="9"/>
        <v>953390</v>
      </c>
      <c r="AB81" s="1137"/>
      <c r="AC81" s="1137"/>
      <c r="AD81" s="1137"/>
      <c r="AE81" s="1137"/>
    </row>
    <row r="82">
      <c r="A82" s="1151">
        <v>4.0</v>
      </c>
      <c r="B82" s="1152">
        <f>B81</f>
        <v>0</v>
      </c>
      <c r="C82" s="1153" t="s">
        <v>3290</v>
      </c>
      <c r="D82" s="1154">
        <f>D81/5</f>
        <v>18632</v>
      </c>
      <c r="E82" s="1155" t="s">
        <v>3290</v>
      </c>
      <c r="F82" s="1156">
        <f>F81/3</f>
        <v>26843.33333</v>
      </c>
      <c r="G82" s="1157" t="s">
        <v>3290</v>
      </c>
      <c r="H82" s="1158">
        <f>H81/4</f>
        <v>11395</v>
      </c>
      <c r="I82" s="1155" t="s">
        <v>3290</v>
      </c>
      <c r="J82" s="1156">
        <f>J81/5</f>
        <v>18202</v>
      </c>
      <c r="K82" s="1155" t="s">
        <v>3290</v>
      </c>
      <c r="L82" s="1156">
        <f>L81/4</f>
        <v>7897.5</v>
      </c>
      <c r="M82" s="1155" t="s">
        <v>3290</v>
      </c>
      <c r="N82" s="1156"/>
      <c r="O82" s="1155" t="s">
        <v>3290</v>
      </c>
      <c r="P82" s="1156">
        <f>P81/4</f>
        <v>31507.5</v>
      </c>
      <c r="Q82" s="1159" t="s">
        <v>3290</v>
      </c>
      <c r="R82" s="1160">
        <f>R81/2</f>
        <v>44145</v>
      </c>
      <c r="S82" s="1161" t="s">
        <v>3290</v>
      </c>
      <c r="T82" s="1162">
        <f>T81/4</f>
        <v>13327.5</v>
      </c>
      <c r="U82" s="1161" t="s">
        <v>3290</v>
      </c>
      <c r="V82" s="1162">
        <f>V81/4</f>
        <v>30340</v>
      </c>
      <c r="W82" s="1161" t="s">
        <v>3290</v>
      </c>
      <c r="X82" s="1162">
        <f>X81/4</f>
        <v>25392.5</v>
      </c>
      <c r="Y82" s="1163" t="s">
        <v>3290</v>
      </c>
      <c r="Z82" s="1164">
        <f>Z81/3</f>
        <v>8083.333333</v>
      </c>
      <c r="AA82" s="1176">
        <f t="shared" si="9"/>
        <v>235765.6667</v>
      </c>
      <c r="AB82" s="1137"/>
      <c r="AC82" s="1137"/>
      <c r="AD82" s="1137"/>
      <c r="AE82" s="1137"/>
    </row>
    <row r="83">
      <c r="A83" s="1129">
        <f>$G$83</f>
        <v>11</v>
      </c>
      <c r="C83" s="1129">
        <f>$G$83</f>
        <v>11</v>
      </c>
      <c r="E83" s="1129">
        <f>$G$83</f>
        <v>11</v>
      </c>
      <c r="G83" s="1130">
        <v>11.0</v>
      </c>
      <c r="I83" s="1129">
        <f>$G$83</f>
        <v>11</v>
      </c>
      <c r="K83" s="1129">
        <f>$G$83</f>
        <v>11</v>
      </c>
      <c r="M83" s="1129">
        <f>$G$83</f>
        <v>11</v>
      </c>
      <c r="O83" s="1129">
        <f>$G$83</f>
        <v>11</v>
      </c>
      <c r="Q83" s="1129">
        <f>$G$83</f>
        <v>11</v>
      </c>
      <c r="S83" s="1129">
        <f>$G$83</f>
        <v>11</v>
      </c>
      <c r="U83" s="1129">
        <f>$G$83</f>
        <v>11</v>
      </c>
      <c r="W83" s="1129">
        <f>$G$83</f>
        <v>11</v>
      </c>
      <c r="Y83" s="1129">
        <f>$G$83</f>
        <v>11</v>
      </c>
      <c r="AA83" s="1143">
        <f t="shared" si="9"/>
        <v>0</v>
      </c>
      <c r="AB83" s="1137"/>
      <c r="AC83" s="1137"/>
      <c r="AD83" s="1137"/>
      <c r="AE83" s="1137"/>
    </row>
    <row r="84">
      <c r="A84" s="1136" t="s">
        <v>3235</v>
      </c>
      <c r="B84" s="1134" t="s">
        <v>680</v>
      </c>
      <c r="C84" s="1136" t="s">
        <v>3235</v>
      </c>
      <c r="D84" s="1135" t="s">
        <v>680</v>
      </c>
      <c r="E84" s="1136" t="s">
        <v>3235</v>
      </c>
      <c r="F84" s="1135" t="s">
        <v>680</v>
      </c>
      <c r="G84" s="1136" t="s">
        <v>3235</v>
      </c>
      <c r="H84" s="1135" t="s">
        <v>680</v>
      </c>
      <c r="I84" s="1136" t="s">
        <v>3235</v>
      </c>
      <c r="J84" s="1135" t="s">
        <v>680</v>
      </c>
      <c r="K84" s="1136" t="s">
        <v>3235</v>
      </c>
      <c r="L84" s="1135" t="s">
        <v>680</v>
      </c>
      <c r="M84" s="1136" t="s">
        <v>3235</v>
      </c>
      <c r="N84" s="1135" t="s">
        <v>680</v>
      </c>
      <c r="O84" s="1136" t="s">
        <v>3235</v>
      </c>
      <c r="P84" s="1135" t="s">
        <v>680</v>
      </c>
      <c r="Q84" s="1136" t="s">
        <v>3235</v>
      </c>
      <c r="R84" s="1135" t="s">
        <v>680</v>
      </c>
      <c r="S84" s="1136" t="s">
        <v>3235</v>
      </c>
      <c r="T84" s="1135" t="s">
        <v>680</v>
      </c>
      <c r="U84" s="1136" t="s">
        <v>3235</v>
      </c>
      <c r="V84" s="1135" t="s">
        <v>680</v>
      </c>
      <c r="W84" s="1136" t="s">
        <v>3253</v>
      </c>
      <c r="X84" s="1135" t="s">
        <v>680</v>
      </c>
      <c r="Y84" s="1133" t="s">
        <v>3254</v>
      </c>
      <c r="Z84" s="1139" t="s">
        <v>680</v>
      </c>
      <c r="AA84" s="1143" t="str">
        <f t="shared" si="9"/>
        <v>#VALUE!</v>
      </c>
      <c r="AB84" s="1137"/>
      <c r="AC84" s="1137"/>
      <c r="AD84" s="1137"/>
      <c r="AE84" s="1137"/>
    </row>
    <row r="85">
      <c r="A85" s="1140" t="s">
        <v>3255</v>
      </c>
      <c r="B85" s="1134"/>
      <c r="C85" s="1140" t="s">
        <v>3256</v>
      </c>
      <c r="D85" s="1142">
        <v>44610.0</v>
      </c>
      <c r="E85" s="1140" t="s">
        <v>3257</v>
      </c>
      <c r="F85" s="1142">
        <v>31300.0</v>
      </c>
      <c r="G85" s="1140" t="s">
        <v>3258</v>
      </c>
      <c r="H85" s="1142">
        <v>26120.0</v>
      </c>
      <c r="I85" s="1140" t="s">
        <v>3259</v>
      </c>
      <c r="J85" s="1142">
        <v>140090.0</v>
      </c>
      <c r="K85" s="1140" t="s">
        <v>3291</v>
      </c>
      <c r="L85" s="1142">
        <v>20830.0</v>
      </c>
      <c r="M85" s="1140" t="s">
        <v>3261</v>
      </c>
      <c r="N85" s="1142">
        <v>31500.0</v>
      </c>
      <c r="O85" s="1140" t="s">
        <v>3262</v>
      </c>
      <c r="P85" s="1142">
        <v>70210.0</v>
      </c>
      <c r="Q85" s="1140" t="s">
        <v>3263</v>
      </c>
      <c r="R85" s="1142">
        <v>31080.0</v>
      </c>
      <c r="S85" s="1140" t="s">
        <v>3264</v>
      </c>
      <c r="T85" s="1142">
        <v>28020.0</v>
      </c>
      <c r="U85" s="1140" t="s">
        <v>3265</v>
      </c>
      <c r="V85" s="1142">
        <v>28020.0</v>
      </c>
      <c r="W85" s="1140" t="s">
        <v>3266</v>
      </c>
      <c r="X85" s="1142">
        <v>21620.0</v>
      </c>
      <c r="Y85" s="1140" t="s">
        <v>3267</v>
      </c>
      <c r="Z85" s="1137">
        <v>16380.0</v>
      </c>
      <c r="AA85" s="1143">
        <f t="shared" si="9"/>
        <v>489780</v>
      </c>
      <c r="AB85" s="1137"/>
      <c r="AC85" s="1137"/>
      <c r="AD85" s="1137"/>
      <c r="AE85" s="1137"/>
    </row>
    <row r="86">
      <c r="A86" s="1140" t="s">
        <v>3268</v>
      </c>
      <c r="B86" s="1134"/>
      <c r="C86" s="1140" t="s">
        <v>3269</v>
      </c>
      <c r="D86" s="1142">
        <v>79680.0</v>
      </c>
      <c r="E86" s="1140" t="s">
        <v>3270</v>
      </c>
      <c r="F86" s="1142">
        <v>57610.0</v>
      </c>
      <c r="G86" s="1140" t="s">
        <v>3271</v>
      </c>
      <c r="H86" s="1142">
        <v>120530.0</v>
      </c>
      <c r="I86" s="1140" t="s">
        <v>3272</v>
      </c>
      <c r="J86" s="1142">
        <v>30660.0</v>
      </c>
      <c r="K86" s="1140" t="s">
        <v>3273</v>
      </c>
      <c r="L86" s="1142">
        <v>22360.0</v>
      </c>
      <c r="M86" s="1140" t="s">
        <v>3274</v>
      </c>
      <c r="N86" s="1142">
        <v>70420.0</v>
      </c>
      <c r="O86" s="1140" t="s">
        <v>3275</v>
      </c>
      <c r="P86" s="1142">
        <v>148920.0</v>
      </c>
      <c r="Q86" s="1140" t="s">
        <v>3292</v>
      </c>
      <c r="R86" s="1142">
        <v>25310.0</v>
      </c>
      <c r="S86" s="1140" t="s">
        <v>3277</v>
      </c>
      <c r="T86" s="1142">
        <v>31540.0</v>
      </c>
      <c r="U86" s="1140" t="s">
        <v>3278</v>
      </c>
      <c r="V86" s="1142">
        <v>114560.0</v>
      </c>
      <c r="W86" s="1140" t="s">
        <v>3293</v>
      </c>
      <c r="X86" s="1142">
        <v>122220.0</v>
      </c>
      <c r="Y86" s="1140" t="s">
        <v>3280</v>
      </c>
      <c r="Z86" s="1137">
        <v>17390.0</v>
      </c>
      <c r="AA86" s="1143">
        <f t="shared" si="9"/>
        <v>841200</v>
      </c>
      <c r="AB86" s="1137"/>
      <c r="AC86" s="1137"/>
      <c r="AD86" s="1137"/>
      <c r="AE86" s="1137"/>
    </row>
    <row r="87">
      <c r="A87" s="1136" t="s">
        <v>3283</v>
      </c>
      <c r="B87" s="1134" t="s">
        <v>680</v>
      </c>
      <c r="C87" s="1136" t="s">
        <v>3286</v>
      </c>
      <c r="D87" s="1135" t="s">
        <v>680</v>
      </c>
      <c r="E87" s="1136" t="s">
        <v>3282</v>
      </c>
      <c r="F87" s="1135" t="s">
        <v>680</v>
      </c>
      <c r="G87" s="1136" t="s">
        <v>3283</v>
      </c>
      <c r="H87" s="1135" t="s">
        <v>680</v>
      </c>
      <c r="I87" s="1136" t="s">
        <v>3283</v>
      </c>
      <c r="J87" s="1135" t="s">
        <v>680</v>
      </c>
      <c r="K87" s="1136" t="s">
        <v>3284</v>
      </c>
      <c r="L87" s="1135" t="s">
        <v>680</v>
      </c>
      <c r="M87" s="1136" t="s">
        <v>3283</v>
      </c>
      <c r="N87" s="1135" t="s">
        <v>680</v>
      </c>
      <c r="O87" s="1136" t="s">
        <v>3285</v>
      </c>
      <c r="P87" s="1135" t="s">
        <v>680</v>
      </c>
      <c r="Q87" s="1136" t="s">
        <v>3286</v>
      </c>
      <c r="R87" s="1135" t="s">
        <v>680</v>
      </c>
      <c r="S87" s="1136" t="s">
        <v>3286</v>
      </c>
      <c r="T87" s="1135" t="s">
        <v>680</v>
      </c>
      <c r="U87" s="1136" t="s">
        <v>3287</v>
      </c>
      <c r="V87" s="1135" t="s">
        <v>680</v>
      </c>
      <c r="W87" s="1136" t="s">
        <v>3294</v>
      </c>
      <c r="X87" s="1135" t="s">
        <v>680</v>
      </c>
      <c r="Y87" s="1133" t="s">
        <v>3289</v>
      </c>
      <c r="Z87" s="1139" t="s">
        <v>680</v>
      </c>
      <c r="AA87" s="1143" t="str">
        <f t="shared" si="9"/>
        <v>#VALUE!</v>
      </c>
      <c r="AB87" s="1137"/>
      <c r="AC87" s="1137"/>
      <c r="AD87" s="1137"/>
      <c r="AE87" s="1137"/>
    </row>
    <row r="88">
      <c r="A88" s="1144"/>
      <c r="B88" s="1134" t="str">
        <f>IF(A88="","", SUMPRODUCT(('공과금'!$E$1:$Y$1=A81)*('공과금'!$D$2:$D$85=$G$3&amp;LEFT(A88,3))*('공과금'!$E$2:$Y$85)))</f>
        <v/>
      </c>
      <c r="C88" s="1144"/>
      <c r="D88" s="1135" t="str">
        <f>IF(C88="","", SUMPRODUCT(('공과금'!$E$1:$Y$1=C81)*('공과금'!$D$2:$D$85=$G$3&amp;LEFT(C88,3))*('공과금'!$E$2:$Y$85)))</f>
        <v/>
      </c>
      <c r="E88" s="1144"/>
      <c r="F88" s="1135" t="str">
        <f>IF(E88="","", SUMPRODUCT(('공과금'!$E$1:$Y$1=E81)*('공과금'!$D$2:$D$85=$G$3&amp;LEFT(E88,3))*('공과금'!$E$2:$Y$85)))</f>
        <v/>
      </c>
      <c r="G88" s="1144"/>
      <c r="H88" s="1135" t="str">
        <f>IF(G88="","", SUMPRODUCT(('공과금'!$E$1:$Y$1=G81)*('공과금'!$D$2:$D$85=$G$3&amp;LEFT(G88,2))*('공과금'!$E$2:$Y$85)))</f>
        <v/>
      </c>
      <c r="I88" s="1144"/>
      <c r="J88" s="1135" t="str">
        <f>IF(I88="","", SUMPRODUCT(('공과금'!$E$1:$Y$1=I81)*('공과금'!$D$2:$D$85=$G$3&amp;LEFT(I88,3))*('공과금'!$E$2:$Y$85)))</f>
        <v/>
      </c>
      <c r="K88" s="1144"/>
      <c r="L88" s="1135" t="str">
        <f>IF(K88="","", SUMPRODUCT(('공과금'!$E$1:$Y$1=K81)*('공과금'!$D$2:$D$85=$G$3&amp;LEFT(K88,3))*('공과금'!$E$2:$Y$85)))</f>
        <v/>
      </c>
      <c r="M88" s="1144"/>
      <c r="N88" s="1135" t="str">
        <f>IF(M88="","", SUMPRODUCT(('공과금'!$E$1:$Y$1=M81)*('공과금'!$D$2:$D$85=$G$3&amp;LEFT(M88,3))*('공과금'!$E$2:$Y$85)))</f>
        <v/>
      </c>
      <c r="O88" s="1144"/>
      <c r="P88" s="1135" t="str">
        <f>IF(O88="","", SUMPRODUCT(('공과금'!$E$1:$Y$1=O81)*('공과금'!$D$2:$D$85=$G$3&amp;LEFT(O88,3))*('공과금'!$E$2:$Y$85)))</f>
        <v/>
      </c>
      <c r="Q88" s="1144"/>
      <c r="R88" s="1135" t="str">
        <f>IF(Q88="","", SUMPRODUCT(('공과금'!$E$1:$Y$1=Q81)*('공과금'!$D$2:$D$85=$G$3&amp;LEFT(Q88,3))*('공과금'!$E$2:$Y$85)))</f>
        <v/>
      </c>
      <c r="S88" s="1144"/>
      <c r="T88" s="1135" t="str">
        <f>IF(S88="","", SUMPRODUCT(('공과금'!$E$1:$Y$1=S81)*('공과금'!$D$2:$D$85=$G$3&amp;LEFT(S88,3))*('공과금'!$E$2:$Y$85)))</f>
        <v/>
      </c>
      <c r="U88" s="1144"/>
      <c r="V88" s="1135" t="str">
        <f>IF(U88="","", SUMPRODUCT(('공과금'!$E$1:$Y$1=U81)*('공과금'!$D$2:$D$85=$G$3&amp;LEFT(U88,3))*('공과금'!$E$2:$Y$85)))</f>
        <v/>
      </c>
      <c r="W88" s="1144"/>
      <c r="X88" s="1135" t="str">
        <f>IF(W88="","", SUMPRODUCT(('공과금'!$E$1:$Y$1=W81)*('공과금'!$D$2:$D$85=$G$3&amp;LEFT(W88,3))*('공과금'!$E$2:$Y$85)))</f>
        <v/>
      </c>
      <c r="Y88" s="1144"/>
      <c r="Z88" s="1139" t="str">
        <f>IF(Y88="","", SUMPRODUCT(('공과금'!$E$1:$Y$1=Y81)*('공과금'!$D$2:$D$85=$G$3&amp;LEFT(Y88,3))*('공과금'!$E$2:$Y$85)))</f>
        <v/>
      </c>
      <c r="AA88" s="1143">
        <f t="shared" si="9"/>
        <v>0</v>
      </c>
      <c r="AB88" s="1137"/>
      <c r="AC88" s="1137"/>
      <c r="AD88" s="1137"/>
      <c r="AE88" s="1137"/>
    </row>
    <row r="89">
      <c r="A89" s="1145" t="s">
        <v>42</v>
      </c>
      <c r="B89" s="1146">
        <f>sum(B84:B88)</f>
        <v>0</v>
      </c>
      <c r="C89" s="1147" t="s">
        <v>42</v>
      </c>
      <c r="D89" s="1148">
        <f>sum(D84:D88)</f>
        <v>124290</v>
      </c>
      <c r="E89" s="1147" t="s">
        <v>42</v>
      </c>
      <c r="F89" s="1148">
        <f>sum(F84:F88)</f>
        <v>88910</v>
      </c>
      <c r="G89" s="1147" t="s">
        <v>42</v>
      </c>
      <c r="H89" s="1148">
        <f>sum(H84:H88)</f>
        <v>146650</v>
      </c>
      <c r="I89" s="1147" t="s">
        <v>42</v>
      </c>
      <c r="J89" s="1148">
        <f>sum(J84:J88)</f>
        <v>170750</v>
      </c>
      <c r="K89" s="1147" t="s">
        <v>42</v>
      </c>
      <c r="L89" s="1148">
        <f>sum(L84:L88)</f>
        <v>43190</v>
      </c>
      <c r="M89" s="1147" t="s">
        <v>42</v>
      </c>
      <c r="N89" s="1148">
        <f>sum(N84:N88)</f>
        <v>101920</v>
      </c>
      <c r="O89" s="1147" t="s">
        <v>42</v>
      </c>
      <c r="P89" s="1148">
        <f>sum(P84:P88)</f>
        <v>219130</v>
      </c>
      <c r="Q89" s="1147" t="s">
        <v>42</v>
      </c>
      <c r="R89" s="1148">
        <f>sum(R84:R88)</f>
        <v>56390</v>
      </c>
      <c r="S89" s="1147" t="s">
        <v>42</v>
      </c>
      <c r="T89" s="1148">
        <f>sum(T84:T88)</f>
        <v>59560</v>
      </c>
      <c r="U89" s="1147" t="s">
        <v>42</v>
      </c>
      <c r="V89" s="1148">
        <f>sum(V84:V88)</f>
        <v>142580</v>
      </c>
      <c r="W89" s="1147" t="s">
        <v>42</v>
      </c>
      <c r="X89" s="1148">
        <f>sum(X84:X88)</f>
        <v>143840</v>
      </c>
      <c r="Y89" s="1147" t="s">
        <v>42</v>
      </c>
      <c r="Z89" s="1173">
        <f>sum(Z84:Z88)</f>
        <v>33770</v>
      </c>
      <c r="AA89" s="1176">
        <f t="shared" si="9"/>
        <v>1330980</v>
      </c>
      <c r="AB89" s="1137"/>
      <c r="AC89" s="1137"/>
      <c r="AD89" s="1137"/>
      <c r="AE89" s="1137"/>
    </row>
    <row r="90">
      <c r="A90" s="1151">
        <v>4.0</v>
      </c>
      <c r="B90" s="1152">
        <f>B89</f>
        <v>0</v>
      </c>
      <c r="C90" s="1153" t="s">
        <v>3290</v>
      </c>
      <c r="D90" s="1154">
        <f>D89/5</f>
        <v>24858</v>
      </c>
      <c r="E90" s="1155" t="s">
        <v>3290</v>
      </c>
      <c r="F90" s="1156">
        <f>F89/2</f>
        <v>44455</v>
      </c>
      <c r="G90" s="1157" t="s">
        <v>3290</v>
      </c>
      <c r="H90" s="1158">
        <f>H89/4</f>
        <v>36662.5</v>
      </c>
      <c r="I90" s="1155" t="s">
        <v>3290</v>
      </c>
      <c r="J90" s="1156">
        <f>J89/5</f>
        <v>34150</v>
      </c>
      <c r="K90" s="1155" t="s">
        <v>3290</v>
      </c>
      <c r="L90" s="1156">
        <f>L89/4</f>
        <v>10797.5</v>
      </c>
      <c r="M90" s="1155" t="s">
        <v>3290</v>
      </c>
      <c r="N90" s="1156"/>
      <c r="O90" s="1155" t="s">
        <v>3290</v>
      </c>
      <c r="P90" s="1156">
        <f>P89/4</f>
        <v>54782.5</v>
      </c>
      <c r="Q90" s="1159" t="s">
        <v>3290</v>
      </c>
      <c r="R90" s="1160">
        <f>R89/2</f>
        <v>28195</v>
      </c>
      <c r="S90" s="1161" t="s">
        <v>3290</v>
      </c>
      <c r="T90" s="1162">
        <f>T89/4</f>
        <v>14890</v>
      </c>
      <c r="U90" s="1161" t="s">
        <v>3290</v>
      </c>
      <c r="V90" s="1162">
        <f>V89/2</f>
        <v>71290</v>
      </c>
      <c r="W90" s="1161" t="s">
        <v>3290</v>
      </c>
      <c r="X90" s="1162">
        <f>X89/4</f>
        <v>35960</v>
      </c>
      <c r="Y90" s="1163" t="s">
        <v>3290</v>
      </c>
      <c r="Z90" s="1164">
        <f>Z89/3</f>
        <v>11256.66667</v>
      </c>
      <c r="AA90" s="1176">
        <f t="shared" si="9"/>
        <v>367297.1667</v>
      </c>
      <c r="AB90" s="1137"/>
      <c r="AC90" s="1137"/>
      <c r="AD90" s="1137"/>
      <c r="AE90" s="1137"/>
    </row>
    <row r="91">
      <c r="A91" s="1129">
        <f>$G$91</f>
        <v>12</v>
      </c>
      <c r="C91" s="1129">
        <f>$G$91</f>
        <v>12</v>
      </c>
      <c r="E91" s="1129">
        <f>$G$91</f>
        <v>12</v>
      </c>
      <c r="G91" s="1130">
        <v>12.0</v>
      </c>
      <c r="I91" s="1129">
        <f>$G$91</f>
        <v>12</v>
      </c>
      <c r="K91" s="1129">
        <f>$G$91</f>
        <v>12</v>
      </c>
      <c r="M91" s="1129">
        <f>$G$91</f>
        <v>12</v>
      </c>
      <c r="O91" s="1129">
        <f>$G$91</f>
        <v>12</v>
      </c>
      <c r="Q91" s="1129">
        <f>$G$91</f>
        <v>12</v>
      </c>
      <c r="S91" s="1129">
        <f>$G$91</f>
        <v>12</v>
      </c>
      <c r="U91" s="1129">
        <f>$G$91</f>
        <v>12</v>
      </c>
      <c r="W91" s="1129">
        <f>$G$91</f>
        <v>12</v>
      </c>
      <c r="Y91" s="1129">
        <f>$G$91</f>
        <v>12</v>
      </c>
      <c r="AA91" s="1143">
        <f t="shared" si="9"/>
        <v>0</v>
      </c>
      <c r="AB91" s="1137"/>
      <c r="AC91" s="1137"/>
      <c r="AD91" s="1137"/>
      <c r="AE91" s="1137"/>
    </row>
    <row r="92">
      <c r="A92" s="1136" t="s">
        <v>3235</v>
      </c>
      <c r="B92" s="1134" t="s">
        <v>680</v>
      </c>
      <c r="C92" s="1136" t="s">
        <v>3235</v>
      </c>
      <c r="D92" s="1135" t="s">
        <v>680</v>
      </c>
      <c r="E92" s="1136" t="s">
        <v>3235</v>
      </c>
      <c r="F92" s="1135" t="s">
        <v>680</v>
      </c>
      <c r="G92" s="1136" t="s">
        <v>3235</v>
      </c>
      <c r="H92" s="1135" t="s">
        <v>680</v>
      </c>
      <c r="I92" s="1136" t="s">
        <v>3235</v>
      </c>
      <c r="J92" s="1135" t="s">
        <v>680</v>
      </c>
      <c r="K92" s="1136" t="s">
        <v>3235</v>
      </c>
      <c r="L92" s="1135" t="s">
        <v>680</v>
      </c>
      <c r="M92" s="1136" t="s">
        <v>3235</v>
      </c>
      <c r="N92" s="1135" t="s">
        <v>680</v>
      </c>
      <c r="O92" s="1136" t="s">
        <v>3235</v>
      </c>
      <c r="P92" s="1135" t="s">
        <v>680</v>
      </c>
      <c r="Q92" s="1136" t="s">
        <v>3235</v>
      </c>
      <c r="R92" s="1135" t="s">
        <v>680</v>
      </c>
      <c r="S92" s="1136" t="s">
        <v>3235</v>
      </c>
      <c r="T92" s="1135" t="s">
        <v>680</v>
      </c>
      <c r="U92" s="1136" t="s">
        <v>3235</v>
      </c>
      <c r="V92" s="1135" t="s">
        <v>680</v>
      </c>
      <c r="W92" s="1136" t="s">
        <v>3253</v>
      </c>
      <c r="X92" s="1135" t="s">
        <v>680</v>
      </c>
      <c r="Y92" s="1133" t="s">
        <v>3254</v>
      </c>
      <c r="Z92" s="1139" t="s">
        <v>680</v>
      </c>
      <c r="AA92" s="1143" t="str">
        <f t="shared" si="9"/>
        <v>#VALUE!</v>
      </c>
      <c r="AB92" s="1137"/>
      <c r="AC92" s="1137"/>
      <c r="AD92" s="1137"/>
      <c r="AE92" s="1137"/>
    </row>
    <row r="93">
      <c r="A93" s="1140" t="s">
        <v>3255</v>
      </c>
      <c r="B93" s="1134"/>
      <c r="C93" s="1140" t="s">
        <v>3256</v>
      </c>
      <c r="D93" s="1135"/>
      <c r="E93" s="1140" t="s">
        <v>3257</v>
      </c>
      <c r="F93" s="1135"/>
      <c r="G93" s="1140" t="s">
        <v>3258</v>
      </c>
      <c r="H93" s="1135"/>
      <c r="I93" s="1140" t="s">
        <v>3259</v>
      </c>
      <c r="J93" s="1135"/>
      <c r="K93" s="1140" t="s">
        <v>3291</v>
      </c>
      <c r="L93" s="1135"/>
      <c r="M93" s="1140" t="s">
        <v>3261</v>
      </c>
      <c r="N93" s="1135"/>
      <c r="O93" s="1140" t="s">
        <v>3262</v>
      </c>
      <c r="P93" s="1135"/>
      <c r="Q93" s="1140" t="s">
        <v>3263</v>
      </c>
      <c r="R93" s="1135"/>
      <c r="S93" s="1140" t="s">
        <v>3264</v>
      </c>
      <c r="T93" s="1135"/>
      <c r="U93" s="1140" t="s">
        <v>3265</v>
      </c>
      <c r="V93" s="1135"/>
      <c r="W93" s="1140" t="s">
        <v>3266</v>
      </c>
      <c r="X93" s="1135"/>
      <c r="Y93" s="1140" t="s">
        <v>3267</v>
      </c>
      <c r="Z93" s="1139"/>
      <c r="AA93" s="1143">
        <f t="shared" si="9"/>
        <v>0</v>
      </c>
      <c r="AB93" s="1137"/>
      <c r="AC93" s="1137"/>
      <c r="AD93" s="1137"/>
      <c r="AE93" s="1137"/>
    </row>
    <row r="94">
      <c r="A94" s="1140" t="s">
        <v>3268</v>
      </c>
      <c r="B94" s="1134"/>
      <c r="C94" s="1140" t="s">
        <v>3269</v>
      </c>
      <c r="D94" s="1135"/>
      <c r="E94" s="1140" t="s">
        <v>3270</v>
      </c>
      <c r="F94" s="1135"/>
      <c r="G94" s="1140" t="s">
        <v>3271</v>
      </c>
      <c r="H94" s="1135"/>
      <c r="I94" s="1140" t="s">
        <v>3272</v>
      </c>
      <c r="J94" s="1135"/>
      <c r="K94" s="1140" t="s">
        <v>3273</v>
      </c>
      <c r="L94" s="1135"/>
      <c r="M94" s="1140" t="s">
        <v>3274</v>
      </c>
      <c r="N94" s="1135"/>
      <c r="O94" s="1140" t="s">
        <v>3275</v>
      </c>
      <c r="P94" s="1135"/>
      <c r="Q94" s="1140" t="s">
        <v>3292</v>
      </c>
      <c r="R94" s="1135"/>
      <c r="S94" s="1140" t="s">
        <v>3277</v>
      </c>
      <c r="T94" s="1135"/>
      <c r="U94" s="1140" t="s">
        <v>3278</v>
      </c>
      <c r="V94" s="1135"/>
      <c r="W94" s="1140" t="s">
        <v>3293</v>
      </c>
      <c r="X94" s="1135"/>
      <c r="Y94" s="1140" t="s">
        <v>3280</v>
      </c>
      <c r="Z94" s="1139"/>
      <c r="AA94" s="1143">
        <f t="shared" si="9"/>
        <v>0</v>
      </c>
      <c r="AB94" s="1137"/>
      <c r="AC94" s="1137"/>
      <c r="AD94" s="1137"/>
      <c r="AE94" s="1137"/>
    </row>
    <row r="95">
      <c r="A95" s="1136" t="s">
        <v>3283</v>
      </c>
      <c r="B95" s="1134" t="s">
        <v>680</v>
      </c>
      <c r="C95" s="1136" t="s">
        <v>3286</v>
      </c>
      <c r="D95" s="1135" t="s">
        <v>680</v>
      </c>
      <c r="E95" s="1136" t="s">
        <v>3282</v>
      </c>
      <c r="F95" s="1135" t="s">
        <v>680</v>
      </c>
      <c r="G95" s="1136" t="s">
        <v>3283</v>
      </c>
      <c r="H95" s="1135" t="s">
        <v>680</v>
      </c>
      <c r="I95" s="1136" t="s">
        <v>3283</v>
      </c>
      <c r="J95" s="1135" t="s">
        <v>680</v>
      </c>
      <c r="K95" s="1136" t="s">
        <v>3284</v>
      </c>
      <c r="L95" s="1135" t="s">
        <v>680</v>
      </c>
      <c r="M95" s="1136" t="s">
        <v>3283</v>
      </c>
      <c r="N95" s="1135" t="s">
        <v>680</v>
      </c>
      <c r="O95" s="1136" t="s">
        <v>3285</v>
      </c>
      <c r="P95" s="1135" t="s">
        <v>680</v>
      </c>
      <c r="Q95" s="1136" t="s">
        <v>3286</v>
      </c>
      <c r="R95" s="1135" t="s">
        <v>680</v>
      </c>
      <c r="S95" s="1136" t="s">
        <v>3286</v>
      </c>
      <c r="T95" s="1135" t="s">
        <v>680</v>
      </c>
      <c r="U95" s="1136" t="s">
        <v>3287</v>
      </c>
      <c r="V95" s="1135" t="s">
        <v>680</v>
      </c>
      <c r="W95" s="1136" t="s">
        <v>3294</v>
      </c>
      <c r="X95" s="1135" t="s">
        <v>680</v>
      </c>
      <c r="Y95" s="1133" t="s">
        <v>3289</v>
      </c>
      <c r="Z95" s="1139" t="s">
        <v>680</v>
      </c>
      <c r="AA95" s="1138"/>
      <c r="AB95" s="1139"/>
      <c r="AC95" s="1139"/>
      <c r="AD95" s="1139"/>
      <c r="AE95" s="1139"/>
    </row>
    <row r="96">
      <c r="A96" s="1144"/>
      <c r="B96" s="1134" t="str">
        <f>IF(A96="","", SUMPRODUCT(('공과금'!$E$1:$Y$1=A89)*('공과금'!$D$2:$D$85=$G$3&amp;LEFT(A96,3))*('공과금'!$E$2:$Y$85)))</f>
        <v/>
      </c>
      <c r="C96" s="1144"/>
      <c r="D96" s="1135" t="str">
        <f>IF(C96="","", SUMPRODUCT(('공과금'!$E$1:$Y$1=C89)*('공과금'!$D$2:$D$85=$G$3&amp;LEFT(C96,3))*('공과금'!$E$2:$Y$85)))</f>
        <v/>
      </c>
      <c r="E96" s="1144"/>
      <c r="F96" s="1135" t="str">
        <f>IF(E96="","", SUMPRODUCT(('공과금'!$E$1:$Y$1=E89)*('공과금'!$D$2:$D$85=$G$3&amp;LEFT(E96,3))*('공과금'!$E$2:$Y$85)))</f>
        <v/>
      </c>
      <c r="G96" s="1144"/>
      <c r="H96" s="1135" t="str">
        <f>IF(G96="","", SUMPRODUCT(('공과금'!$E$1:$Y$1=G89)*('공과금'!$D$2:$D$85=$G$3&amp;LEFT(G96,2))*('공과금'!$E$2:$Y$85)))</f>
        <v/>
      </c>
      <c r="I96" s="1144"/>
      <c r="J96" s="1135" t="str">
        <f>IF(I96="","", SUMPRODUCT(('공과금'!$E$1:$Y$1=I89)*('공과금'!$D$2:$D$85=$G$3&amp;LEFT(I96,3))*('공과금'!$E$2:$Y$85)))</f>
        <v/>
      </c>
      <c r="K96" s="1144"/>
      <c r="L96" s="1135" t="str">
        <f>IF(K96="","", SUMPRODUCT(('공과금'!$E$1:$Y$1=K89)*('공과금'!$D$2:$D$85=$G$3&amp;LEFT(K96,3))*('공과금'!$E$2:$Y$85)))</f>
        <v/>
      </c>
      <c r="M96" s="1144"/>
      <c r="N96" s="1135" t="str">
        <f>IF(M96="","", SUMPRODUCT(('공과금'!$E$1:$Y$1=M89)*('공과금'!$D$2:$D$85=$G$3&amp;LEFT(M96,3))*('공과금'!$E$2:$Y$85)))</f>
        <v/>
      </c>
      <c r="O96" s="1144"/>
      <c r="P96" s="1135" t="str">
        <f>IF(O96="","", SUMPRODUCT(('공과금'!$E$1:$Y$1=O89)*('공과금'!$D$2:$D$85=$G$3&amp;LEFT(O96,3))*('공과금'!$E$2:$Y$85)))</f>
        <v/>
      </c>
      <c r="Q96" s="1144"/>
      <c r="R96" s="1135" t="str">
        <f>IF(Q96="","", SUMPRODUCT(('공과금'!$E$1:$Y$1=Q89)*('공과금'!$D$2:$D$85=$G$3&amp;LEFT(Q96,3))*('공과금'!$E$2:$Y$85)))</f>
        <v/>
      </c>
      <c r="S96" s="1144"/>
      <c r="T96" s="1135" t="str">
        <f>IF(S96="","", SUMPRODUCT(('공과금'!$E$1:$Y$1=S89)*('공과금'!$D$2:$D$85=$G$3&amp;LEFT(S96,3))*('공과금'!$E$2:$Y$85)))</f>
        <v/>
      </c>
      <c r="U96" s="1144"/>
      <c r="V96" s="1135" t="str">
        <f>IF(U96="","", SUMPRODUCT(('공과금'!$E$1:$Y$1=U89)*('공과금'!$D$2:$D$85=$G$3&amp;LEFT(U96,3))*('공과금'!$E$2:$Y$85)))</f>
        <v/>
      </c>
      <c r="W96" s="1144"/>
      <c r="X96" s="1135" t="str">
        <f>IF(W96="","", SUMPRODUCT(('공과금'!$E$1:$Y$1=W89)*('공과금'!$D$2:$D$85=$G$3&amp;LEFT(W96,3))*('공과금'!$E$2:$Y$85)))</f>
        <v/>
      </c>
      <c r="Y96" s="1144"/>
      <c r="Z96" s="1139" t="str">
        <f>IF(Y96="","", SUMPRODUCT(('공과금'!$E$1:$Y$1=Y89)*('공과금'!$D$2:$D$85=$G$3&amp;LEFT(Y96,3))*('공과금'!$E$2:$Y$85)))</f>
        <v/>
      </c>
      <c r="AA96" s="1138"/>
      <c r="AB96" s="1139"/>
      <c r="AC96" s="1139"/>
      <c r="AD96" s="1139"/>
      <c r="AE96" s="1139"/>
    </row>
    <row r="97">
      <c r="A97" s="1145" t="s">
        <v>42</v>
      </c>
      <c r="B97" s="1146">
        <f>sum(B92:B96)</f>
        <v>0</v>
      </c>
      <c r="C97" s="1147" t="s">
        <v>42</v>
      </c>
      <c r="D97" s="1148">
        <f>sum(D92:D96)</f>
        <v>0</v>
      </c>
      <c r="E97" s="1147" t="s">
        <v>42</v>
      </c>
      <c r="F97" s="1148">
        <f>sum(F92:F96)</f>
        <v>0</v>
      </c>
      <c r="G97" s="1147" t="s">
        <v>42</v>
      </c>
      <c r="H97" s="1148">
        <f>sum(H92:H96)</f>
        <v>0</v>
      </c>
      <c r="I97" s="1147" t="s">
        <v>42</v>
      </c>
      <c r="J97" s="1148">
        <f>sum(J92:J96)</f>
        <v>0</v>
      </c>
      <c r="K97" s="1147" t="s">
        <v>42</v>
      </c>
      <c r="L97" s="1148">
        <f>sum(L92:L96)</f>
        <v>0</v>
      </c>
      <c r="M97" s="1147" t="s">
        <v>42</v>
      </c>
      <c r="N97" s="1148">
        <f>sum(N92:N96)</f>
        <v>0</v>
      </c>
      <c r="O97" s="1147" t="s">
        <v>42</v>
      </c>
      <c r="P97" s="1148">
        <f>sum(P92:P96)</f>
        <v>0</v>
      </c>
      <c r="Q97" s="1147" t="s">
        <v>42</v>
      </c>
      <c r="R97" s="1148">
        <f>sum(R92:R96)</f>
        <v>0</v>
      </c>
      <c r="S97" s="1147" t="s">
        <v>42</v>
      </c>
      <c r="T97" s="1148">
        <f>sum(T92:T96)</f>
        <v>0</v>
      </c>
      <c r="U97" s="1147" t="s">
        <v>42</v>
      </c>
      <c r="V97" s="1148">
        <f>sum(V92:V96)</f>
        <v>0</v>
      </c>
      <c r="W97" s="1147" t="s">
        <v>42</v>
      </c>
      <c r="X97" s="1148">
        <f>sum(X92:X96)</f>
        <v>0</v>
      </c>
      <c r="Y97" s="1147" t="s">
        <v>42</v>
      </c>
      <c r="Z97" s="1173">
        <f>sum(Z92:Z96)</f>
        <v>0</v>
      </c>
      <c r="AA97" s="1178"/>
      <c r="AB97" s="1173"/>
      <c r="AC97" s="1173"/>
      <c r="AD97" s="1173"/>
      <c r="AE97" s="1173"/>
    </row>
    <row r="98">
      <c r="A98" s="1151">
        <v>4.0</v>
      </c>
      <c r="B98" s="1179">
        <f>B97</f>
        <v>0</v>
      </c>
      <c r="C98" s="1153" t="s">
        <v>3290</v>
      </c>
      <c r="D98" s="1180">
        <f>D97/3</f>
        <v>0</v>
      </c>
      <c r="E98" s="1155" t="s">
        <v>3290</v>
      </c>
      <c r="F98" s="1181">
        <f>F97/5</f>
        <v>0</v>
      </c>
      <c r="G98" s="1157" t="s">
        <v>3290</v>
      </c>
      <c r="H98" s="1182">
        <f>H97/3</f>
        <v>0</v>
      </c>
      <c r="I98" s="1155" t="s">
        <v>3290</v>
      </c>
      <c r="J98" s="1181">
        <f>J97/4</f>
        <v>0</v>
      </c>
      <c r="K98" s="1155" t="s">
        <v>3290</v>
      </c>
      <c r="L98" s="1181">
        <f>L97/4</f>
        <v>0</v>
      </c>
      <c r="M98" s="1155" t="s">
        <v>3290</v>
      </c>
      <c r="N98" s="1181"/>
      <c r="O98" s="1155" t="s">
        <v>3290</v>
      </c>
      <c r="P98" s="1181">
        <f>P97/4</f>
        <v>0</v>
      </c>
      <c r="Q98" s="1159" t="s">
        <v>3290</v>
      </c>
      <c r="R98" s="1183">
        <f>R97/4</f>
        <v>0</v>
      </c>
      <c r="S98" s="1161" t="s">
        <v>3290</v>
      </c>
      <c r="T98" s="1184">
        <f>T97/4</f>
        <v>0</v>
      </c>
      <c r="U98" s="1161" t="s">
        <v>3290</v>
      </c>
      <c r="V98" s="1184">
        <f>V97/4</f>
        <v>0</v>
      </c>
      <c r="W98" s="1161" t="s">
        <v>3290</v>
      </c>
      <c r="X98" s="1184">
        <f>X97/3</f>
        <v>0</v>
      </c>
      <c r="Y98" s="1163" t="s">
        <v>3290</v>
      </c>
      <c r="Z98" s="1164">
        <f>Z97/3</f>
        <v>0</v>
      </c>
      <c r="AA98" s="1185"/>
      <c r="AB98" s="1164"/>
      <c r="AC98" s="1164"/>
      <c r="AD98" s="1164"/>
      <c r="AE98" s="1164"/>
    </row>
    <row r="99">
      <c r="A99" s="1186"/>
      <c r="B99" s="1187"/>
      <c r="C99" s="1188"/>
      <c r="D99" s="1187"/>
      <c r="E99" s="1188"/>
      <c r="F99" s="1187"/>
      <c r="G99" s="1188"/>
      <c r="H99" s="1187"/>
      <c r="I99" s="1188"/>
      <c r="J99" s="1187"/>
      <c r="K99" s="1188"/>
      <c r="L99" s="1187"/>
      <c r="M99" s="1188"/>
      <c r="N99" s="1187"/>
      <c r="O99" s="1188"/>
      <c r="P99" s="1187"/>
      <c r="Q99" s="1188"/>
      <c r="R99" s="1187"/>
      <c r="S99" s="1188"/>
      <c r="T99" s="1187"/>
      <c r="U99" s="1188"/>
      <c r="V99" s="1187"/>
      <c r="W99" s="1188"/>
      <c r="X99" s="1187"/>
      <c r="Y99" s="1188"/>
      <c r="Z99" s="1187"/>
      <c r="AA99" s="1189"/>
      <c r="AB99" s="1187"/>
      <c r="AC99" s="1187"/>
      <c r="AD99" s="1187"/>
      <c r="AE99" s="1187"/>
    </row>
    <row r="100">
      <c r="A100" s="1186"/>
      <c r="B100" s="1187"/>
      <c r="C100" s="1188"/>
      <c r="D100" s="1187"/>
      <c r="E100" s="1188"/>
      <c r="F100" s="1187"/>
      <c r="G100" s="1188"/>
      <c r="H100" s="1187"/>
      <c r="I100" s="1188"/>
      <c r="J100" s="1187"/>
      <c r="K100" s="1188"/>
      <c r="L100" s="1187"/>
      <c r="M100" s="1188">
        <f>28195-18797</f>
        <v>9398</v>
      </c>
      <c r="N100" s="1187"/>
      <c r="O100" s="1188"/>
      <c r="P100" s="1187"/>
      <c r="Q100" s="1188"/>
      <c r="R100" s="1187"/>
      <c r="S100" s="1188"/>
      <c r="T100" s="1187"/>
      <c r="U100" s="1188"/>
      <c r="V100" s="1187"/>
      <c r="W100" s="1188"/>
      <c r="X100" s="1187"/>
      <c r="Y100" s="1188"/>
      <c r="Z100" s="1187"/>
      <c r="AA100" s="1189"/>
      <c r="AB100" s="1187"/>
      <c r="AC100" s="1187"/>
      <c r="AD100" s="1187"/>
      <c r="AE100" s="1187"/>
    </row>
    <row r="101">
      <c r="A101" s="1151" t="s">
        <v>2382</v>
      </c>
      <c r="B101" s="1179">
        <f>B10</f>
        <v>55850</v>
      </c>
      <c r="C101" s="1153" t="s">
        <v>2382</v>
      </c>
      <c r="D101" s="1180">
        <f>D10</f>
        <v>40516.66667</v>
      </c>
      <c r="E101" s="1155" t="s">
        <v>2382</v>
      </c>
      <c r="F101" s="1181">
        <f>F10</f>
        <v>51180</v>
      </c>
      <c r="G101" s="1157" t="s">
        <v>2382</v>
      </c>
      <c r="H101" s="1182">
        <f>H10</f>
        <v>33757.5</v>
      </c>
      <c r="I101" s="1155" t="s">
        <v>2382</v>
      </c>
      <c r="J101" s="1181">
        <f>J10</f>
        <v>76132</v>
      </c>
      <c r="K101" s="1155" t="s">
        <v>2382</v>
      </c>
      <c r="L101" s="1181">
        <f>L10</f>
        <v>48075</v>
      </c>
      <c r="M101" s="1155" t="s">
        <v>2382</v>
      </c>
      <c r="N101" s="1181" t="str">
        <f>N10</f>
        <v/>
      </c>
      <c r="O101" s="1155" t="s">
        <v>2382</v>
      </c>
      <c r="P101" s="1181">
        <f>P10</f>
        <v>50242.5</v>
      </c>
      <c r="Q101" s="1159" t="s">
        <v>2382</v>
      </c>
      <c r="R101" s="1183">
        <f>R10</f>
        <v>63970</v>
      </c>
      <c r="S101" s="1161" t="s">
        <v>2382</v>
      </c>
      <c r="T101" s="1184">
        <f>T10</f>
        <v>47385</v>
      </c>
      <c r="U101" s="1161" t="s">
        <v>2382</v>
      </c>
      <c r="V101" s="1184">
        <f>V10</f>
        <v>25786.66667</v>
      </c>
      <c r="W101" s="1161" t="s">
        <v>2382</v>
      </c>
      <c r="X101" s="1184">
        <f t="shared" ref="X101:Z101" si="10">X10</f>
        <v>74490</v>
      </c>
      <c r="Y101" s="1163" t="str">
        <f t="shared" si="10"/>
        <v>1/n</v>
      </c>
      <c r="Z101" s="1164">
        <f t="shared" si="10"/>
        <v>47182.5</v>
      </c>
      <c r="AA101" s="1185"/>
      <c r="AB101" s="1164"/>
      <c r="AC101" s="1164"/>
      <c r="AD101" s="1164"/>
      <c r="AE101" s="1164"/>
    </row>
    <row r="102">
      <c r="A102" s="1151" t="s">
        <v>2383</v>
      </c>
      <c r="B102" s="1179">
        <f>B18</f>
        <v>0</v>
      </c>
      <c r="C102" s="1153" t="s">
        <v>2383</v>
      </c>
      <c r="D102" s="1180">
        <f>D18</f>
        <v>54820</v>
      </c>
      <c r="E102" s="1155" t="s">
        <v>2383</v>
      </c>
      <c r="F102" s="1181">
        <f>F18</f>
        <v>37690</v>
      </c>
      <c r="G102" s="1157" t="s">
        <v>2383</v>
      </c>
      <c r="H102" s="1182">
        <f>H18</f>
        <v>44293.33333</v>
      </c>
      <c r="I102" s="1155" t="s">
        <v>2383</v>
      </c>
      <c r="J102" s="1181">
        <f>J18</f>
        <v>88722</v>
      </c>
      <c r="K102" s="1155" t="s">
        <v>2383</v>
      </c>
      <c r="L102" s="1181">
        <f>L18</f>
        <v>47407.5</v>
      </c>
      <c r="M102" s="1155" t="s">
        <v>2383</v>
      </c>
      <c r="N102" s="1181">
        <f>N18</f>
        <v>38105</v>
      </c>
      <c r="O102" s="1155" t="s">
        <v>2383</v>
      </c>
      <c r="P102" s="1181">
        <f>P18</f>
        <v>40552.5</v>
      </c>
      <c r="Q102" s="1159" t="s">
        <v>2383</v>
      </c>
      <c r="R102" s="1183">
        <f>R18</f>
        <v>78720</v>
      </c>
      <c r="S102" s="1161" t="s">
        <v>2383</v>
      </c>
      <c r="T102" s="1184" t="str">
        <f>T18</f>
        <v/>
      </c>
      <c r="U102" s="1161" t="s">
        <v>2383</v>
      </c>
      <c r="V102" s="1184">
        <f>V18</f>
        <v>5115</v>
      </c>
      <c r="W102" s="1161" t="s">
        <v>2383</v>
      </c>
      <c r="X102" s="1184">
        <f t="shared" ref="X102:Z102" si="11">X18</f>
        <v>106020</v>
      </c>
      <c r="Y102" s="1163" t="str">
        <f t="shared" si="11"/>
        <v>1/n</v>
      </c>
      <c r="Z102" s="1164">
        <f t="shared" si="11"/>
        <v>55060</v>
      </c>
      <c r="AA102" s="1185"/>
      <c r="AB102" s="1164"/>
      <c r="AC102" s="1164"/>
      <c r="AD102" s="1164"/>
      <c r="AE102" s="1164"/>
    </row>
    <row r="103">
      <c r="A103" s="1151" t="s">
        <v>2384</v>
      </c>
      <c r="B103" s="1179">
        <f>B26</f>
        <v>0</v>
      </c>
      <c r="C103" s="1153" t="s">
        <v>2384</v>
      </c>
      <c r="D103" s="1180">
        <f>D26</f>
        <v>36090</v>
      </c>
      <c r="E103" s="1155" t="s">
        <v>2384</v>
      </c>
      <c r="F103" s="1181">
        <f>F26</f>
        <v>33214</v>
      </c>
      <c r="G103" s="1157" t="s">
        <v>2384</v>
      </c>
      <c r="H103" s="1182">
        <f>H26</f>
        <v>25012.5</v>
      </c>
      <c r="I103" s="1155" t="s">
        <v>2384</v>
      </c>
      <c r="J103" s="1181">
        <f>J26</f>
        <v>58260</v>
      </c>
      <c r="K103" s="1155" t="s">
        <v>2384</v>
      </c>
      <c r="L103" s="1181">
        <f>L26</f>
        <v>37565</v>
      </c>
      <c r="M103" s="1155" t="s">
        <v>2384</v>
      </c>
      <c r="N103" s="1181">
        <f>N26</f>
        <v>50780</v>
      </c>
      <c r="O103" s="1155" t="s">
        <v>2384</v>
      </c>
      <c r="P103" s="1181">
        <f>P26</f>
        <v>30330</v>
      </c>
      <c r="Q103" s="1159" t="s">
        <v>2384</v>
      </c>
      <c r="R103" s="1183">
        <f>R26</f>
        <v>41830</v>
      </c>
      <c r="S103" s="1161" t="s">
        <v>2384</v>
      </c>
      <c r="T103" s="1184">
        <f>T26</f>
        <v>29665</v>
      </c>
      <c r="U103" s="1161" t="s">
        <v>2384</v>
      </c>
      <c r="V103" s="1184">
        <f>V26</f>
        <v>6380</v>
      </c>
      <c r="W103" s="1161" t="s">
        <v>2384</v>
      </c>
      <c r="X103" s="1184">
        <f t="shared" ref="X103:Z103" si="12">X26</f>
        <v>31382.5</v>
      </c>
      <c r="Y103" s="1190">
        <f t="shared" si="12"/>
        <v>44565</v>
      </c>
      <c r="Z103" s="1164">
        <f t="shared" si="12"/>
        <v>30157.5</v>
      </c>
      <c r="AA103" s="1185"/>
      <c r="AB103" s="1164"/>
      <c r="AC103" s="1164"/>
      <c r="AD103" s="1164"/>
      <c r="AE103" s="1164"/>
    </row>
    <row r="104">
      <c r="A104" s="1151" t="s">
        <v>2385</v>
      </c>
      <c r="B104" s="1179">
        <f>B34</f>
        <v>0</v>
      </c>
      <c r="C104" s="1153" t="s">
        <v>2385</v>
      </c>
      <c r="D104" s="1180">
        <f>D34</f>
        <v>26930</v>
      </c>
      <c r="E104" s="1155" t="s">
        <v>2385</v>
      </c>
      <c r="F104" s="1181">
        <f>F34</f>
        <v>29155</v>
      </c>
      <c r="G104" s="1157" t="s">
        <v>2385</v>
      </c>
      <c r="H104" s="1182">
        <f>H34</f>
        <v>23870</v>
      </c>
      <c r="I104" s="1155" t="s">
        <v>2385</v>
      </c>
      <c r="J104" s="1181">
        <f>J34</f>
        <v>25354</v>
      </c>
      <c r="K104" s="1155" t="s">
        <v>2385</v>
      </c>
      <c r="L104" s="1181">
        <f>L34</f>
        <v>18060</v>
      </c>
      <c r="M104" s="1155" t="s">
        <v>2385</v>
      </c>
      <c r="N104" s="1181">
        <f>N34</f>
        <v>33785</v>
      </c>
      <c r="O104" s="1155" t="s">
        <v>2385</v>
      </c>
      <c r="P104" s="1181">
        <f>P34</f>
        <v>19592.5</v>
      </c>
      <c r="Q104" s="1159" t="s">
        <v>2385</v>
      </c>
      <c r="R104" s="1183">
        <f>R34</f>
        <v>26383</v>
      </c>
      <c r="S104" s="1161" t="s">
        <v>2385</v>
      </c>
      <c r="T104" s="1184">
        <f>T34</f>
        <v>28012.5</v>
      </c>
      <c r="U104" s="1161" t="s">
        <v>2385</v>
      </c>
      <c r="V104" s="1184">
        <f>V34</f>
        <v>5176.666667</v>
      </c>
      <c r="W104" s="1161" t="s">
        <v>2385</v>
      </c>
      <c r="X104" s="1184">
        <f t="shared" ref="X104:Z104" si="13">X34</f>
        <v>19090</v>
      </c>
      <c r="Y104" s="1163" t="str">
        <f t="shared" si="13"/>
        <v>1/n</v>
      </c>
      <c r="Z104" s="1164">
        <f t="shared" si="13"/>
        <v>13327.5</v>
      </c>
      <c r="AA104" s="1185"/>
      <c r="AB104" s="1164"/>
      <c r="AC104" s="1164"/>
      <c r="AD104" s="1164"/>
      <c r="AE104" s="1164"/>
    </row>
    <row r="105">
      <c r="A105" s="1151" t="s">
        <v>2386</v>
      </c>
      <c r="B105" s="1179">
        <f>B42</f>
        <v>0</v>
      </c>
      <c r="C105" s="1153" t="s">
        <v>2386</v>
      </c>
      <c r="D105" s="1180">
        <f>D42</f>
        <v>15245</v>
      </c>
      <c r="E105" s="1155" t="s">
        <v>2386</v>
      </c>
      <c r="F105" s="1181">
        <f>F42</f>
        <v>15397.5</v>
      </c>
      <c r="G105" s="1157" t="s">
        <v>2386</v>
      </c>
      <c r="H105" s="1182">
        <f>H42</f>
        <v>11935</v>
      </c>
      <c r="I105" s="1155" t="s">
        <v>2386</v>
      </c>
      <c r="J105" s="1181">
        <f>J42</f>
        <v>45043</v>
      </c>
      <c r="K105" s="1155" t="s">
        <v>2386</v>
      </c>
      <c r="L105" s="1181">
        <f>L42</f>
        <v>9625</v>
      </c>
      <c r="M105" s="1155" t="s">
        <v>2386</v>
      </c>
      <c r="N105" s="1181">
        <f>N42</f>
        <v>19515</v>
      </c>
      <c r="O105" s="1155" t="s">
        <v>2386</v>
      </c>
      <c r="P105" s="1181">
        <f>P42</f>
        <v>8105</v>
      </c>
      <c r="Q105" s="1159" t="s">
        <v>2386</v>
      </c>
      <c r="R105" s="1183">
        <f>R42</f>
        <v>9645</v>
      </c>
      <c r="S105" s="1161" t="s">
        <v>2386</v>
      </c>
      <c r="T105" s="1184">
        <f>T42</f>
        <v>15457.5</v>
      </c>
      <c r="U105" s="1161" t="s">
        <v>2386</v>
      </c>
      <c r="V105" s="1184">
        <f>V42</f>
        <v>34365</v>
      </c>
      <c r="W105" s="1161" t="s">
        <v>2386</v>
      </c>
      <c r="X105" s="1184">
        <f t="shared" ref="X105:Z105" si="14">X42</f>
        <v>9727.5</v>
      </c>
      <c r="Y105" s="1163" t="str">
        <f t="shared" si="14"/>
        <v>1/n</v>
      </c>
      <c r="Z105" s="1164">
        <f t="shared" si="14"/>
        <v>8930</v>
      </c>
      <c r="AA105" s="1185"/>
      <c r="AB105" s="1164"/>
      <c r="AC105" s="1164"/>
      <c r="AD105" s="1164"/>
      <c r="AE105" s="1164"/>
    </row>
    <row r="106">
      <c r="A106" s="1151" t="s">
        <v>2387</v>
      </c>
      <c r="B106" s="1179">
        <f>B50</f>
        <v>0</v>
      </c>
      <c r="C106" s="1153" t="s">
        <v>2387</v>
      </c>
      <c r="D106" s="1180">
        <f>D50</f>
        <v>0</v>
      </c>
      <c r="E106" s="1155" t="s">
        <v>2387</v>
      </c>
      <c r="F106" s="1181">
        <f>F50</f>
        <v>0</v>
      </c>
      <c r="G106" s="1157" t="s">
        <v>2387</v>
      </c>
      <c r="H106" s="1182">
        <f>H50</f>
        <v>0</v>
      </c>
      <c r="I106" s="1155" t="s">
        <v>2387</v>
      </c>
      <c r="J106" s="1181">
        <f>J50</f>
        <v>18953</v>
      </c>
      <c r="K106" s="1155" t="s">
        <v>2387</v>
      </c>
      <c r="L106" s="1181">
        <f>L50</f>
        <v>8135</v>
      </c>
      <c r="M106" s="1155" t="s">
        <v>2387</v>
      </c>
      <c r="N106" s="1181" t="str">
        <f>N50</f>
        <v/>
      </c>
      <c r="O106" s="1155" t="s">
        <v>2387</v>
      </c>
      <c r="P106" s="1181">
        <f>P50</f>
        <v>0</v>
      </c>
      <c r="Q106" s="1159" t="s">
        <v>2387</v>
      </c>
      <c r="R106" s="1183">
        <f>R50</f>
        <v>20188</v>
      </c>
      <c r="S106" s="1161" t="s">
        <v>2387</v>
      </c>
      <c r="T106" s="1184">
        <f>T50</f>
        <v>0</v>
      </c>
      <c r="U106" s="1161" t="s">
        <v>2387</v>
      </c>
      <c r="V106" s="1184">
        <f>V50</f>
        <v>0</v>
      </c>
      <c r="W106" s="1161" t="s">
        <v>2387</v>
      </c>
      <c r="X106" s="1184">
        <f t="shared" ref="X106:Z106" si="15">X50</f>
        <v>0</v>
      </c>
      <c r="Y106" s="1163" t="str">
        <f t="shared" si="15"/>
        <v>1/n</v>
      </c>
      <c r="Z106" s="1164">
        <f t="shared" si="15"/>
        <v>0</v>
      </c>
      <c r="AA106" s="1185"/>
      <c r="AB106" s="1164"/>
      <c r="AC106" s="1164"/>
      <c r="AD106" s="1164"/>
      <c r="AE106" s="1164"/>
    </row>
    <row r="107">
      <c r="A107" s="1151" t="s">
        <v>2388</v>
      </c>
      <c r="B107" s="1179">
        <f>B58</f>
        <v>0</v>
      </c>
      <c r="C107" s="1153" t="s">
        <v>2388</v>
      </c>
      <c r="D107" s="1180">
        <f>D58</f>
        <v>15540</v>
      </c>
      <c r="E107" s="1155" t="s">
        <v>2388</v>
      </c>
      <c r="F107" s="1181">
        <f>F58</f>
        <v>28785</v>
      </c>
      <c r="G107" s="1157" t="s">
        <v>2388</v>
      </c>
      <c r="H107" s="1182">
        <f>H58</f>
        <v>12260</v>
      </c>
      <c r="I107" s="1155" t="s">
        <v>2388</v>
      </c>
      <c r="J107" s="1181">
        <f>J58</f>
        <v>19935</v>
      </c>
      <c r="K107" s="1155" t="s">
        <v>2388</v>
      </c>
      <c r="L107" s="1181">
        <f>L58</f>
        <v>10387.5</v>
      </c>
      <c r="M107" s="1155" t="s">
        <v>2388</v>
      </c>
      <c r="N107" s="1181">
        <f>N58</f>
        <v>26250</v>
      </c>
      <c r="O107" s="1155" t="s">
        <v>2388</v>
      </c>
      <c r="P107" s="1181">
        <f>P58</f>
        <v>7957.5</v>
      </c>
      <c r="Q107" s="1159" t="s">
        <v>2388</v>
      </c>
      <c r="R107" s="1183">
        <f>R58</f>
        <v>33200</v>
      </c>
      <c r="S107" s="1161" t="s">
        <v>2388</v>
      </c>
      <c r="T107" s="1184">
        <f>T58</f>
        <v>19535</v>
      </c>
      <c r="U107" s="1161" t="s">
        <v>2388</v>
      </c>
      <c r="V107" s="1184">
        <f>V58</f>
        <v>21535</v>
      </c>
      <c r="W107" s="1161" t="s">
        <v>2388</v>
      </c>
      <c r="X107" s="1184">
        <f t="shared" ref="X107:Z107" si="16">X58</f>
        <v>9315</v>
      </c>
      <c r="Y107" s="1163" t="str">
        <f t="shared" si="16"/>
        <v>1/n</v>
      </c>
      <c r="Z107" s="1164">
        <f t="shared" si="16"/>
        <v>10016.66667</v>
      </c>
      <c r="AA107" s="1185"/>
      <c r="AB107" s="1164"/>
      <c r="AC107" s="1164"/>
      <c r="AD107" s="1164"/>
      <c r="AE107" s="1164"/>
    </row>
    <row r="108">
      <c r="A108" s="1151" t="s">
        <v>2389</v>
      </c>
      <c r="B108" s="1179">
        <f>B66</f>
        <v>0</v>
      </c>
      <c r="C108" s="1153" t="s">
        <v>2389</v>
      </c>
      <c r="D108" s="1180">
        <f>D66</f>
        <v>15595</v>
      </c>
      <c r="E108" s="1155" t="s">
        <v>2389</v>
      </c>
      <c r="F108" s="1181">
        <f>F66</f>
        <v>28602.5</v>
      </c>
      <c r="G108" s="1157" t="s">
        <v>2389</v>
      </c>
      <c r="H108" s="1182">
        <f>H66</f>
        <v>15117.5</v>
      </c>
      <c r="I108" s="1155" t="s">
        <v>2389</v>
      </c>
      <c r="J108" s="1181">
        <f>J66</f>
        <v>24607.5</v>
      </c>
      <c r="K108" s="1155" t="s">
        <v>2389</v>
      </c>
      <c r="L108" s="1181">
        <f>L66</f>
        <v>17285</v>
      </c>
      <c r="M108" s="1155" t="s">
        <v>2389</v>
      </c>
      <c r="N108" s="1181">
        <f>N66</f>
        <v>47850</v>
      </c>
      <c r="O108" s="1155" t="s">
        <v>2389</v>
      </c>
      <c r="P108" s="1181">
        <f>P66</f>
        <v>7142.5</v>
      </c>
      <c r="Q108" s="1159" t="s">
        <v>2389</v>
      </c>
      <c r="R108" s="1183">
        <f>R66</f>
        <v>38807.5</v>
      </c>
      <c r="S108" s="1161" t="s">
        <v>2389</v>
      </c>
      <c r="T108" s="1184">
        <f>T66</f>
        <v>16547.5</v>
      </c>
      <c r="U108" s="1161" t="s">
        <v>2389</v>
      </c>
      <c r="V108" s="1184">
        <f>V66</f>
        <v>43782.5</v>
      </c>
      <c r="W108" s="1161" t="s">
        <v>2389</v>
      </c>
      <c r="X108" s="1184">
        <f t="shared" ref="X108:Z108" si="17">X66</f>
        <v>15962.5</v>
      </c>
      <c r="Y108" s="1163" t="str">
        <f t="shared" si="17"/>
        <v>1/n</v>
      </c>
      <c r="Z108" s="1164">
        <f t="shared" si="17"/>
        <v>26794.5</v>
      </c>
      <c r="AA108" s="1185"/>
      <c r="AB108" s="1164"/>
      <c r="AC108" s="1164"/>
      <c r="AD108" s="1164"/>
      <c r="AE108" s="1164"/>
    </row>
    <row r="109">
      <c r="A109" s="1151" t="s">
        <v>2390</v>
      </c>
      <c r="B109" s="1179">
        <f>B74</f>
        <v>0</v>
      </c>
      <c r="C109" s="1153" t="s">
        <v>2390</v>
      </c>
      <c r="D109" s="1180">
        <f>D74</f>
        <v>12598</v>
      </c>
      <c r="E109" s="1155" t="s">
        <v>2390</v>
      </c>
      <c r="F109" s="1181">
        <f>F74</f>
        <v>41916.66667</v>
      </c>
      <c r="G109" s="1157" t="s">
        <v>2390</v>
      </c>
      <c r="H109" s="1182">
        <f>H74</f>
        <v>12562.5</v>
      </c>
      <c r="I109" s="1155" t="s">
        <v>2390</v>
      </c>
      <c r="J109" s="1181">
        <f>J74</f>
        <v>24530</v>
      </c>
      <c r="K109" s="1155" t="s">
        <v>2390</v>
      </c>
      <c r="L109" s="1181">
        <f>L74</f>
        <v>13995</v>
      </c>
      <c r="M109" s="1155" t="s">
        <v>2390</v>
      </c>
      <c r="N109" s="1181">
        <f>N74</f>
        <v>37205</v>
      </c>
      <c r="O109" s="1155" t="s">
        <v>2390</v>
      </c>
      <c r="P109" s="1181">
        <f>P74</f>
        <v>14747.5</v>
      </c>
      <c r="Q109" s="1159" t="s">
        <v>2390</v>
      </c>
      <c r="R109" s="1183">
        <f>R74</f>
        <v>30437.5</v>
      </c>
      <c r="S109" s="1161" t="s">
        <v>2390</v>
      </c>
      <c r="T109" s="1184">
        <f>T74</f>
        <v>15532.5</v>
      </c>
      <c r="U109" s="1161" t="s">
        <v>2390</v>
      </c>
      <c r="V109" s="1184">
        <f>V74</f>
        <v>36367.5</v>
      </c>
      <c r="W109" s="1161" t="s">
        <v>2390</v>
      </c>
      <c r="X109" s="1184">
        <f t="shared" ref="X109:Z109" si="18">X74</f>
        <v>15065</v>
      </c>
      <c r="Y109" s="1163" t="str">
        <f t="shared" si="18"/>
        <v>1/n</v>
      </c>
      <c r="Z109" s="1164">
        <f t="shared" si="18"/>
        <v>12526.66667</v>
      </c>
      <c r="AA109" s="1185"/>
      <c r="AB109" s="1164"/>
      <c r="AC109" s="1164"/>
      <c r="AD109" s="1164"/>
      <c r="AE109" s="1164"/>
    </row>
    <row r="110">
      <c r="A110" s="1151" t="s">
        <v>2391</v>
      </c>
      <c r="B110" s="1179">
        <f>B82</f>
        <v>0</v>
      </c>
      <c r="C110" s="1153" t="s">
        <v>2391</v>
      </c>
      <c r="D110" s="1180">
        <f>D82</f>
        <v>18632</v>
      </c>
      <c r="E110" s="1155" t="s">
        <v>2391</v>
      </c>
      <c r="F110" s="1181">
        <f>F82</f>
        <v>26843.33333</v>
      </c>
      <c r="G110" s="1157" t="s">
        <v>2391</v>
      </c>
      <c r="H110" s="1182">
        <f>H82</f>
        <v>11395</v>
      </c>
      <c r="I110" s="1155" t="s">
        <v>2391</v>
      </c>
      <c r="J110" s="1181">
        <f>J82</f>
        <v>18202</v>
      </c>
      <c r="K110" s="1155" t="s">
        <v>2391</v>
      </c>
      <c r="L110" s="1181">
        <f>L82</f>
        <v>7897.5</v>
      </c>
      <c r="M110" s="1155" t="s">
        <v>2391</v>
      </c>
      <c r="N110" s="1181" t="str">
        <f>N82</f>
        <v/>
      </c>
      <c r="O110" s="1155" t="s">
        <v>2391</v>
      </c>
      <c r="P110" s="1181">
        <f>P82</f>
        <v>31507.5</v>
      </c>
      <c r="Q110" s="1159" t="s">
        <v>2391</v>
      </c>
      <c r="R110" s="1183">
        <f>R82</f>
        <v>44145</v>
      </c>
      <c r="S110" s="1161" t="s">
        <v>2391</v>
      </c>
      <c r="T110" s="1184">
        <f>T82</f>
        <v>13327.5</v>
      </c>
      <c r="U110" s="1161" t="s">
        <v>2391</v>
      </c>
      <c r="V110" s="1184">
        <f>V82</f>
        <v>30340</v>
      </c>
      <c r="W110" s="1161" t="s">
        <v>2391</v>
      </c>
      <c r="X110" s="1184">
        <f t="shared" ref="X110:Z110" si="19">X82</f>
        <v>25392.5</v>
      </c>
      <c r="Y110" s="1163" t="str">
        <f t="shared" si="19"/>
        <v>1/n</v>
      </c>
      <c r="Z110" s="1164">
        <f t="shared" si="19"/>
        <v>8083.333333</v>
      </c>
      <c r="AA110" s="1185"/>
      <c r="AB110" s="1164"/>
      <c r="AC110" s="1164"/>
      <c r="AD110" s="1164"/>
      <c r="AE110" s="1164"/>
    </row>
    <row r="111">
      <c r="A111" s="1151" t="s">
        <v>2392</v>
      </c>
      <c r="B111" s="1179">
        <f>B90</f>
        <v>0</v>
      </c>
      <c r="C111" s="1153" t="s">
        <v>2392</v>
      </c>
      <c r="D111" s="1180">
        <f>D90</f>
        <v>24858</v>
      </c>
      <c r="E111" s="1155" t="s">
        <v>2392</v>
      </c>
      <c r="F111" s="1181">
        <f>F90</f>
        <v>44455</v>
      </c>
      <c r="G111" s="1157" t="s">
        <v>2392</v>
      </c>
      <c r="H111" s="1182">
        <f>H90</f>
        <v>36662.5</v>
      </c>
      <c r="I111" s="1155" t="s">
        <v>2392</v>
      </c>
      <c r="J111" s="1181">
        <f>J90</f>
        <v>34150</v>
      </c>
      <c r="K111" s="1155" t="s">
        <v>2392</v>
      </c>
      <c r="L111" s="1181">
        <f>L90</f>
        <v>10797.5</v>
      </c>
      <c r="M111" s="1155" t="s">
        <v>2392</v>
      </c>
      <c r="N111" s="1181" t="str">
        <f>N90</f>
        <v/>
      </c>
      <c r="O111" s="1155" t="s">
        <v>2392</v>
      </c>
      <c r="P111" s="1181">
        <f>P90</f>
        <v>54782.5</v>
      </c>
      <c r="Q111" s="1159" t="s">
        <v>2392</v>
      </c>
      <c r="R111" s="1183">
        <f>R90</f>
        <v>28195</v>
      </c>
      <c r="S111" s="1161" t="s">
        <v>2392</v>
      </c>
      <c r="T111" s="1184">
        <f>T90</f>
        <v>14890</v>
      </c>
      <c r="U111" s="1161" t="s">
        <v>2392</v>
      </c>
      <c r="V111" s="1184">
        <f>V90</f>
        <v>71290</v>
      </c>
      <c r="W111" s="1161" t="s">
        <v>2392</v>
      </c>
      <c r="X111" s="1184">
        <f t="shared" ref="X111:Z111" si="20">X90</f>
        <v>35960</v>
      </c>
      <c r="Y111" s="1163" t="str">
        <f t="shared" si="20"/>
        <v>1/n</v>
      </c>
      <c r="Z111" s="1164">
        <f t="shared" si="20"/>
        <v>11256.66667</v>
      </c>
      <c r="AA111" s="1185"/>
      <c r="AB111" s="1164"/>
      <c r="AC111" s="1164"/>
      <c r="AD111" s="1164"/>
      <c r="AE111" s="1164"/>
    </row>
    <row r="112">
      <c r="A112" s="1151" t="s">
        <v>2393</v>
      </c>
      <c r="B112" s="1179">
        <f>B98</f>
        <v>0</v>
      </c>
      <c r="C112" s="1153" t="s">
        <v>2393</v>
      </c>
      <c r="D112" s="1180">
        <f>D98</f>
        <v>0</v>
      </c>
      <c r="E112" s="1155" t="s">
        <v>2393</v>
      </c>
      <c r="F112" s="1181">
        <f>F98</f>
        <v>0</v>
      </c>
      <c r="G112" s="1157" t="s">
        <v>2393</v>
      </c>
      <c r="H112" s="1182">
        <f>H98</f>
        <v>0</v>
      </c>
      <c r="I112" s="1155" t="s">
        <v>2393</v>
      </c>
      <c r="J112" s="1181">
        <f>J98</f>
        <v>0</v>
      </c>
      <c r="K112" s="1155" t="s">
        <v>2393</v>
      </c>
      <c r="L112" s="1181">
        <f>L98</f>
        <v>0</v>
      </c>
      <c r="M112" s="1155" t="s">
        <v>2393</v>
      </c>
      <c r="N112" s="1181" t="str">
        <f>N98</f>
        <v/>
      </c>
      <c r="O112" s="1155" t="s">
        <v>2393</v>
      </c>
      <c r="P112" s="1181">
        <f>P98</f>
        <v>0</v>
      </c>
      <c r="Q112" s="1159" t="s">
        <v>2393</v>
      </c>
      <c r="R112" s="1183">
        <f>R98</f>
        <v>0</v>
      </c>
      <c r="S112" s="1161" t="s">
        <v>2393</v>
      </c>
      <c r="T112" s="1184">
        <f>T98</f>
        <v>0</v>
      </c>
      <c r="U112" s="1161" t="s">
        <v>2393</v>
      </c>
      <c r="V112" s="1184">
        <f>V98</f>
        <v>0</v>
      </c>
      <c r="W112" s="1161" t="s">
        <v>2393</v>
      </c>
      <c r="X112" s="1184">
        <f t="shared" ref="X112:Z112" si="21">X98</f>
        <v>0</v>
      </c>
      <c r="Y112" s="1163" t="str">
        <f t="shared" si="21"/>
        <v>1/n</v>
      </c>
      <c r="Z112" s="1164">
        <f t="shared" si="21"/>
        <v>0</v>
      </c>
      <c r="AA112" s="1185"/>
      <c r="AB112" s="1164"/>
      <c r="AC112" s="1164"/>
      <c r="AD112" s="1164"/>
      <c r="AE112" s="1164"/>
    </row>
  </sheetData>
  <mergeCells count="182">
    <mergeCell ref="O67:P67"/>
    <mergeCell ref="Q67:R67"/>
    <mergeCell ref="S67:T67"/>
    <mergeCell ref="U67:V67"/>
    <mergeCell ref="W67:X67"/>
    <mergeCell ref="Y67:Z67"/>
    <mergeCell ref="A67:B67"/>
    <mergeCell ref="C67:D67"/>
    <mergeCell ref="E67:F67"/>
    <mergeCell ref="G67:H67"/>
    <mergeCell ref="I67:J67"/>
    <mergeCell ref="K67:L67"/>
    <mergeCell ref="M67:N67"/>
    <mergeCell ref="O75:P75"/>
    <mergeCell ref="Q75:R75"/>
    <mergeCell ref="S75:T75"/>
    <mergeCell ref="U75:V75"/>
    <mergeCell ref="W75:X75"/>
    <mergeCell ref="Y75:Z75"/>
    <mergeCell ref="A75:B75"/>
    <mergeCell ref="C75:D75"/>
    <mergeCell ref="E75:F75"/>
    <mergeCell ref="G75:H75"/>
    <mergeCell ref="I75:J75"/>
    <mergeCell ref="K75:L75"/>
    <mergeCell ref="M75:N75"/>
    <mergeCell ref="O83:P83"/>
    <mergeCell ref="Q83:R83"/>
    <mergeCell ref="S83:T83"/>
    <mergeCell ref="U83:V83"/>
    <mergeCell ref="W83:X83"/>
    <mergeCell ref="Y83:Z83"/>
    <mergeCell ref="A83:B83"/>
    <mergeCell ref="C83:D83"/>
    <mergeCell ref="E83:F83"/>
    <mergeCell ref="G83:H83"/>
    <mergeCell ref="I83:J83"/>
    <mergeCell ref="K83:L83"/>
    <mergeCell ref="M83:N83"/>
    <mergeCell ref="O1:P1"/>
    <mergeCell ref="Q1:R1"/>
    <mergeCell ref="S1:T1"/>
    <mergeCell ref="U1:V1"/>
    <mergeCell ref="W1:X1"/>
    <mergeCell ref="Y1:Z1"/>
    <mergeCell ref="A1:B1"/>
    <mergeCell ref="C1:D1"/>
    <mergeCell ref="E1:F1"/>
    <mergeCell ref="G1:H1"/>
    <mergeCell ref="I1:J1"/>
    <mergeCell ref="K1:L1"/>
    <mergeCell ref="M1:N1"/>
    <mergeCell ref="O2:P2"/>
    <mergeCell ref="Q2:R2"/>
    <mergeCell ref="S2:T2"/>
    <mergeCell ref="U2:V2"/>
    <mergeCell ref="W2:X2"/>
    <mergeCell ref="Y2:Z2"/>
    <mergeCell ref="A2:B2"/>
    <mergeCell ref="C2:D2"/>
    <mergeCell ref="E2:F2"/>
    <mergeCell ref="G2:H2"/>
    <mergeCell ref="I2:J2"/>
    <mergeCell ref="K2:L2"/>
    <mergeCell ref="M2:N2"/>
    <mergeCell ref="O3:P3"/>
    <mergeCell ref="Q3:R3"/>
    <mergeCell ref="S3:T3"/>
    <mergeCell ref="U3:V3"/>
    <mergeCell ref="W3:X3"/>
    <mergeCell ref="Y3:Z3"/>
    <mergeCell ref="A3:B3"/>
    <mergeCell ref="C3:D3"/>
    <mergeCell ref="E3:F3"/>
    <mergeCell ref="G3:H3"/>
    <mergeCell ref="I3:J3"/>
    <mergeCell ref="K3:L3"/>
    <mergeCell ref="M3:N3"/>
    <mergeCell ref="O91:P91"/>
    <mergeCell ref="Q91:R91"/>
    <mergeCell ref="S91:T91"/>
    <mergeCell ref="U91:V91"/>
    <mergeCell ref="W91:X91"/>
    <mergeCell ref="Y91:Z91"/>
    <mergeCell ref="A91:B91"/>
    <mergeCell ref="C91:D91"/>
    <mergeCell ref="E91:F91"/>
    <mergeCell ref="G91:H91"/>
    <mergeCell ref="I91:J91"/>
    <mergeCell ref="K91:L91"/>
    <mergeCell ref="M91:N91"/>
    <mergeCell ref="O11:P11"/>
    <mergeCell ref="Q11:R11"/>
    <mergeCell ref="S11:T11"/>
    <mergeCell ref="U11:V11"/>
    <mergeCell ref="W11:X11"/>
    <mergeCell ref="Y11:Z11"/>
    <mergeCell ref="A11:B11"/>
    <mergeCell ref="C11:D11"/>
    <mergeCell ref="E11:F11"/>
    <mergeCell ref="G11:H11"/>
    <mergeCell ref="I11:J11"/>
    <mergeCell ref="K11:L11"/>
    <mergeCell ref="M11:N11"/>
    <mergeCell ref="O19:P19"/>
    <mergeCell ref="Q19:R19"/>
    <mergeCell ref="S19:T19"/>
    <mergeCell ref="U19:V19"/>
    <mergeCell ref="W19:X19"/>
    <mergeCell ref="Y19:Z19"/>
    <mergeCell ref="A19:B19"/>
    <mergeCell ref="C19:D19"/>
    <mergeCell ref="E19:F19"/>
    <mergeCell ref="G19:H19"/>
    <mergeCell ref="I19:J19"/>
    <mergeCell ref="K19:L19"/>
    <mergeCell ref="M19:N19"/>
    <mergeCell ref="O27:P27"/>
    <mergeCell ref="Q27:R27"/>
    <mergeCell ref="S27:T27"/>
    <mergeCell ref="U27:V27"/>
    <mergeCell ref="W27:X27"/>
    <mergeCell ref="Y27:Z27"/>
    <mergeCell ref="A27:B27"/>
    <mergeCell ref="C27:D27"/>
    <mergeCell ref="E27:F27"/>
    <mergeCell ref="G27:H27"/>
    <mergeCell ref="I27:J27"/>
    <mergeCell ref="K27:L27"/>
    <mergeCell ref="M27:N27"/>
    <mergeCell ref="O35:P35"/>
    <mergeCell ref="Q35:R35"/>
    <mergeCell ref="S35:T35"/>
    <mergeCell ref="U35:V35"/>
    <mergeCell ref="W35:X35"/>
    <mergeCell ref="Y35:Z35"/>
    <mergeCell ref="A35:B35"/>
    <mergeCell ref="C35:D35"/>
    <mergeCell ref="E35:F35"/>
    <mergeCell ref="G35:H35"/>
    <mergeCell ref="I35:J35"/>
    <mergeCell ref="K35:L35"/>
    <mergeCell ref="M35:N35"/>
    <mergeCell ref="O43:P43"/>
    <mergeCell ref="Q43:R43"/>
    <mergeCell ref="S43:T43"/>
    <mergeCell ref="U43:V43"/>
    <mergeCell ref="W43:X43"/>
    <mergeCell ref="Y43:Z43"/>
    <mergeCell ref="A43:B43"/>
    <mergeCell ref="C43:D43"/>
    <mergeCell ref="E43:F43"/>
    <mergeCell ref="G43:H43"/>
    <mergeCell ref="I43:J43"/>
    <mergeCell ref="K43:L43"/>
    <mergeCell ref="M43:N43"/>
    <mergeCell ref="O51:P51"/>
    <mergeCell ref="Q51:R51"/>
    <mergeCell ref="S51:T51"/>
    <mergeCell ref="U51:V51"/>
    <mergeCell ref="W51:X51"/>
    <mergeCell ref="Y51:Z51"/>
    <mergeCell ref="A51:B51"/>
    <mergeCell ref="C51:D51"/>
    <mergeCell ref="E51:F51"/>
    <mergeCell ref="G51:H51"/>
    <mergeCell ref="I51:J51"/>
    <mergeCell ref="K51:L51"/>
    <mergeCell ref="M51:N51"/>
    <mergeCell ref="O59:P59"/>
    <mergeCell ref="Q59:R59"/>
    <mergeCell ref="S59:T59"/>
    <mergeCell ref="U59:V59"/>
    <mergeCell ref="W59:X59"/>
    <mergeCell ref="Y59:Z59"/>
    <mergeCell ref="A59:B59"/>
    <mergeCell ref="C59:D59"/>
    <mergeCell ref="E59:F59"/>
    <mergeCell ref="G59:H59"/>
    <mergeCell ref="I59:J59"/>
    <mergeCell ref="K59:L59"/>
    <mergeCell ref="M59:N59"/>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3" width="7.0"/>
    <col customWidth="1" min="4" max="4" width="6.0"/>
    <col customWidth="1" min="5" max="5" width="9.88"/>
    <col customWidth="1" min="8" max="8" width="32.63"/>
  </cols>
  <sheetData>
    <row r="2">
      <c r="B2" s="1191" t="s">
        <v>1</v>
      </c>
      <c r="C2" s="1191" t="s">
        <v>1233</v>
      </c>
      <c r="D2" s="1191" t="s">
        <v>0</v>
      </c>
      <c r="E2" s="1191" t="s">
        <v>3297</v>
      </c>
      <c r="H2" s="846" t="s">
        <v>3298</v>
      </c>
      <c r="I2" s="846" t="s">
        <v>3299</v>
      </c>
    </row>
    <row r="3">
      <c r="A3" s="1095"/>
      <c r="B3" s="1092" t="s">
        <v>1259</v>
      </c>
      <c r="C3" s="1192" t="s">
        <v>1249</v>
      </c>
      <c r="D3" s="1193" t="s">
        <v>27</v>
      </c>
      <c r="E3" s="1092" t="s">
        <v>33</v>
      </c>
      <c r="F3" s="1095"/>
      <c r="G3" s="1095"/>
      <c r="H3" s="1095"/>
      <c r="I3" s="1095"/>
      <c r="J3" s="1095"/>
      <c r="K3" s="1095"/>
      <c r="L3" s="1095"/>
      <c r="M3" s="1095"/>
      <c r="N3" s="1095"/>
      <c r="O3" s="1095"/>
      <c r="P3" s="1095"/>
      <c r="Q3" s="1095"/>
      <c r="R3" s="1095"/>
      <c r="S3" s="1095"/>
      <c r="T3" s="1095"/>
      <c r="U3" s="1095"/>
      <c r="V3" s="1095"/>
      <c r="W3" s="1095"/>
      <c r="X3" s="1095"/>
    </row>
    <row r="4">
      <c r="A4" s="1095"/>
      <c r="B4" s="1092" t="s">
        <v>3229</v>
      </c>
      <c r="C4" s="1192" t="s">
        <v>1387</v>
      </c>
      <c r="D4" s="1193" t="s">
        <v>58</v>
      </c>
      <c r="E4" s="1092" t="s">
        <v>216</v>
      </c>
      <c r="F4" s="1095"/>
      <c r="G4" s="1095"/>
      <c r="H4" s="1095"/>
      <c r="I4" s="1095"/>
      <c r="J4" s="1095"/>
      <c r="K4" s="1095"/>
      <c r="L4" s="1095"/>
      <c r="M4" s="1095"/>
      <c r="N4" s="1095"/>
      <c r="O4" s="1095"/>
      <c r="P4" s="1095"/>
      <c r="Q4" s="1095"/>
      <c r="R4" s="1095"/>
      <c r="S4" s="1095"/>
      <c r="T4" s="1095"/>
      <c r="U4" s="1095"/>
      <c r="V4" s="1095"/>
      <c r="W4" s="1095"/>
      <c r="X4" s="1095"/>
    </row>
    <row r="5">
      <c r="A5" s="1095"/>
      <c r="B5" s="1092" t="s">
        <v>3300</v>
      </c>
      <c r="C5" s="1192" t="s">
        <v>1466</v>
      </c>
      <c r="D5" s="1193" t="s">
        <v>97</v>
      </c>
      <c r="E5" s="1092" t="s">
        <v>828</v>
      </c>
      <c r="F5" s="1095"/>
      <c r="G5" s="1095"/>
      <c r="H5" s="1095"/>
      <c r="I5" s="1095"/>
      <c r="J5" s="1095"/>
      <c r="K5" s="1095"/>
      <c r="L5" s="1095"/>
      <c r="M5" s="1095"/>
      <c r="N5" s="1095"/>
      <c r="O5" s="1095"/>
      <c r="P5" s="1095"/>
      <c r="Q5" s="1095"/>
      <c r="R5" s="1095"/>
      <c r="S5" s="1095"/>
      <c r="T5" s="1095"/>
      <c r="U5" s="1095"/>
      <c r="V5" s="1095"/>
      <c r="W5" s="1095"/>
      <c r="X5" s="1095"/>
    </row>
    <row r="6">
      <c r="A6" s="1095"/>
      <c r="B6" s="1092"/>
      <c r="C6" s="1192" t="s">
        <v>1592</v>
      </c>
      <c r="D6" s="1193" t="s">
        <v>154</v>
      </c>
      <c r="E6" s="1092" t="s">
        <v>63</v>
      </c>
      <c r="F6" s="1095"/>
      <c r="G6" s="1095"/>
      <c r="H6" s="1095"/>
      <c r="I6" s="1095"/>
      <c r="J6" s="1095"/>
      <c r="K6" s="1095"/>
      <c r="L6" s="1095"/>
      <c r="M6" s="1095"/>
      <c r="N6" s="1095"/>
      <c r="O6" s="1095"/>
      <c r="P6" s="1095"/>
      <c r="Q6" s="1095"/>
      <c r="R6" s="1095"/>
      <c r="S6" s="1095"/>
      <c r="T6" s="1095"/>
      <c r="U6" s="1095"/>
      <c r="V6" s="1095"/>
      <c r="W6" s="1095"/>
      <c r="X6" s="1095"/>
    </row>
    <row r="7">
      <c r="A7" s="1095"/>
      <c r="B7" s="1092"/>
      <c r="C7" s="1192" t="s">
        <v>1628</v>
      </c>
      <c r="D7" s="1193" t="s">
        <v>210</v>
      </c>
      <c r="E7" s="1092" t="s">
        <v>268</v>
      </c>
      <c r="F7" s="1095"/>
      <c r="G7" s="1095"/>
      <c r="H7" s="1095"/>
      <c r="I7" s="1095"/>
      <c r="J7" s="1095"/>
      <c r="K7" s="1095"/>
      <c r="L7" s="1095"/>
      <c r="M7" s="1095"/>
      <c r="N7" s="1095"/>
      <c r="O7" s="1095"/>
      <c r="P7" s="1095"/>
      <c r="Q7" s="1095"/>
      <c r="R7" s="1095"/>
      <c r="S7" s="1095"/>
      <c r="T7" s="1095"/>
      <c r="U7" s="1095"/>
      <c r="V7" s="1095"/>
      <c r="W7" s="1095"/>
      <c r="X7" s="1095"/>
    </row>
    <row r="8">
      <c r="A8" s="1095"/>
      <c r="B8" s="1092"/>
      <c r="C8" s="1192" t="s">
        <v>1680</v>
      </c>
      <c r="D8" s="1193" t="s">
        <v>275</v>
      </c>
      <c r="E8" s="1092" t="s">
        <v>280</v>
      </c>
      <c r="F8" s="1095"/>
      <c r="G8" s="1095"/>
      <c r="H8" s="1095"/>
      <c r="I8" s="1095"/>
      <c r="J8" s="1095"/>
      <c r="K8" s="1095"/>
      <c r="L8" s="1095"/>
      <c r="M8" s="1095"/>
      <c r="N8" s="1095"/>
      <c r="O8" s="1095"/>
      <c r="P8" s="1095"/>
      <c r="Q8" s="1095"/>
      <c r="R8" s="1095"/>
      <c r="S8" s="1095"/>
      <c r="T8" s="1095"/>
      <c r="U8" s="1095"/>
      <c r="V8" s="1095"/>
      <c r="W8" s="1095"/>
      <c r="X8" s="1095"/>
    </row>
    <row r="9">
      <c r="A9" s="1095"/>
      <c r="B9" s="1092"/>
      <c r="C9" s="1192" t="s">
        <v>1434</v>
      </c>
      <c r="D9" s="1193" t="s">
        <v>305</v>
      </c>
      <c r="E9" s="1092" t="s">
        <v>310</v>
      </c>
      <c r="F9" s="1095"/>
      <c r="G9" s="1095"/>
      <c r="H9" s="1095"/>
      <c r="I9" s="1095"/>
      <c r="J9" s="1095"/>
      <c r="K9" s="1095"/>
      <c r="L9" s="1095"/>
      <c r="M9" s="1095"/>
      <c r="N9" s="1095"/>
      <c r="O9" s="1095"/>
      <c r="P9" s="1095"/>
      <c r="Q9" s="1095"/>
      <c r="R9" s="1095"/>
      <c r="S9" s="1095"/>
      <c r="T9" s="1095"/>
      <c r="U9" s="1095"/>
      <c r="V9" s="1095"/>
      <c r="W9" s="1095"/>
      <c r="X9" s="1095"/>
    </row>
    <row r="10">
      <c r="A10" s="1095"/>
      <c r="B10" s="1092"/>
      <c r="C10" s="1192" t="s">
        <v>1694</v>
      </c>
      <c r="D10" s="1193" t="s">
        <v>374</v>
      </c>
      <c r="E10" s="1092" t="s">
        <v>3301</v>
      </c>
      <c r="F10" s="1095"/>
      <c r="G10" s="1095"/>
      <c r="H10" s="1095"/>
      <c r="I10" s="1095"/>
      <c r="J10" s="1095"/>
      <c r="K10" s="1095"/>
      <c r="L10" s="1095"/>
      <c r="M10" s="1095"/>
      <c r="N10" s="1095"/>
      <c r="O10" s="1095"/>
      <c r="P10" s="1095"/>
      <c r="Q10" s="1095"/>
      <c r="R10" s="1095"/>
      <c r="S10" s="1095"/>
      <c r="T10" s="1095"/>
      <c r="U10" s="1095"/>
      <c r="V10" s="1095"/>
      <c r="W10" s="1095"/>
      <c r="X10" s="1095"/>
    </row>
    <row r="11">
      <c r="A11" s="1095"/>
      <c r="B11" s="1092"/>
      <c r="C11" s="1192" t="s">
        <v>1832</v>
      </c>
      <c r="D11" s="1193" t="s">
        <v>353</v>
      </c>
      <c r="E11" s="1092" t="s">
        <v>357</v>
      </c>
      <c r="F11" s="1095"/>
      <c r="G11" s="1095"/>
      <c r="H11" s="1095"/>
      <c r="I11" s="1095"/>
      <c r="J11" s="1095"/>
      <c r="K11" s="1095"/>
      <c r="L11" s="1095"/>
      <c r="M11" s="1095"/>
      <c r="N11" s="1095"/>
      <c r="O11" s="1095"/>
      <c r="P11" s="1095"/>
      <c r="Q11" s="1095"/>
      <c r="R11" s="1095"/>
      <c r="S11" s="1095"/>
      <c r="T11" s="1095"/>
      <c r="U11" s="1095"/>
      <c r="V11" s="1095"/>
      <c r="W11" s="1095"/>
      <c r="X11" s="1095"/>
    </row>
    <row r="12">
      <c r="A12" s="1095"/>
      <c r="B12" s="1092"/>
      <c r="C12" s="1192" t="s">
        <v>1938</v>
      </c>
      <c r="D12" s="1193" t="s">
        <v>415</v>
      </c>
      <c r="E12" s="1092" t="s">
        <v>953</v>
      </c>
      <c r="F12" s="1095"/>
      <c r="G12" s="1095"/>
      <c r="H12" s="1095"/>
      <c r="I12" s="1095"/>
      <c r="J12" s="1095"/>
      <c r="K12" s="1095"/>
      <c r="L12" s="1095"/>
      <c r="M12" s="1095"/>
      <c r="N12" s="1095"/>
      <c r="O12" s="1095"/>
      <c r="P12" s="1095"/>
      <c r="Q12" s="1095"/>
      <c r="R12" s="1095"/>
      <c r="S12" s="1095"/>
      <c r="T12" s="1095"/>
      <c r="U12" s="1095"/>
      <c r="V12" s="1095"/>
      <c r="W12" s="1095"/>
      <c r="X12" s="1095"/>
    </row>
    <row r="13">
      <c r="A13" s="1095"/>
      <c r="B13" s="1092"/>
      <c r="C13" s="1192" t="s">
        <v>1966</v>
      </c>
      <c r="D13" s="1193" t="s">
        <v>553</v>
      </c>
      <c r="E13" s="1092" t="s">
        <v>3302</v>
      </c>
      <c r="F13" s="1095"/>
      <c r="G13" s="1095"/>
      <c r="H13" s="1095"/>
      <c r="I13" s="1095"/>
      <c r="J13" s="1095"/>
      <c r="K13" s="1095"/>
      <c r="L13" s="1095"/>
      <c r="M13" s="1095"/>
      <c r="N13" s="1095"/>
      <c r="O13" s="1095"/>
      <c r="P13" s="1095"/>
      <c r="Q13" s="1095"/>
      <c r="R13" s="1095"/>
      <c r="S13" s="1095"/>
      <c r="T13" s="1095"/>
      <c r="U13" s="1095"/>
      <c r="V13" s="1095"/>
      <c r="W13" s="1095"/>
      <c r="X13" s="1095"/>
    </row>
    <row r="14">
      <c r="A14" s="1095"/>
      <c r="B14" s="1092"/>
      <c r="C14" s="1192"/>
      <c r="D14" s="1193" t="s">
        <v>474</v>
      </c>
      <c r="E14" s="1092" t="s">
        <v>645</v>
      </c>
      <c r="F14" s="1095"/>
      <c r="G14" s="1095"/>
      <c r="H14" s="1095"/>
      <c r="I14" s="1095"/>
      <c r="J14" s="1095"/>
      <c r="K14" s="1095"/>
      <c r="L14" s="1095"/>
      <c r="M14" s="1095"/>
      <c r="N14" s="1095"/>
      <c r="O14" s="1095"/>
      <c r="P14" s="1095"/>
      <c r="Q14" s="1095"/>
      <c r="R14" s="1095"/>
      <c r="S14" s="1095"/>
      <c r="T14" s="1095"/>
      <c r="U14" s="1095"/>
      <c r="V14" s="1095"/>
      <c r="W14" s="1095"/>
      <c r="X14" s="1095"/>
    </row>
    <row r="15">
      <c r="A15" s="1095"/>
      <c r="B15" s="1092"/>
      <c r="C15" s="1192"/>
      <c r="D15" s="1193" t="s">
        <v>448</v>
      </c>
      <c r="E15" s="1092"/>
      <c r="F15" s="1095"/>
      <c r="G15" s="1095"/>
      <c r="H15" s="1095"/>
      <c r="I15" s="1095"/>
      <c r="J15" s="1095"/>
      <c r="K15" s="1095"/>
      <c r="L15" s="1095"/>
      <c r="M15" s="1095"/>
      <c r="N15" s="1095"/>
      <c r="O15" s="1095"/>
      <c r="P15" s="1095"/>
      <c r="Q15" s="1095"/>
      <c r="R15" s="1095"/>
      <c r="S15" s="1095"/>
      <c r="T15" s="1095"/>
      <c r="U15" s="1095"/>
      <c r="V15" s="1095"/>
      <c r="W15" s="1095"/>
      <c r="X15" s="1095"/>
    </row>
    <row r="16">
      <c r="A16" s="1095"/>
      <c r="B16" s="1092"/>
      <c r="C16" s="1192"/>
      <c r="D16" s="1193" t="s">
        <v>505</v>
      </c>
      <c r="E16" s="1092"/>
      <c r="F16" s="1095"/>
      <c r="G16" s="1095"/>
      <c r="H16" s="1095"/>
      <c r="I16" s="1095"/>
      <c r="J16" s="1095"/>
      <c r="K16" s="1095"/>
      <c r="L16" s="1095"/>
      <c r="M16" s="1095"/>
      <c r="N16" s="1095"/>
      <c r="O16" s="1095"/>
      <c r="P16" s="1095"/>
      <c r="Q16" s="1095"/>
      <c r="R16" s="1095"/>
      <c r="S16" s="1095"/>
      <c r="T16" s="1095"/>
      <c r="U16" s="1095"/>
      <c r="V16" s="1095"/>
      <c r="W16" s="1095"/>
      <c r="X16" s="1095"/>
    </row>
    <row r="17">
      <c r="A17" s="1095"/>
      <c r="B17" s="1092"/>
      <c r="C17" s="1192"/>
      <c r="D17" s="1193" t="s">
        <v>577</v>
      </c>
      <c r="E17" s="1092"/>
      <c r="F17" s="1095"/>
      <c r="G17" s="1095"/>
      <c r="H17" s="1095"/>
      <c r="I17" s="1095"/>
      <c r="J17" s="1095"/>
      <c r="K17" s="1095"/>
      <c r="L17" s="1095"/>
      <c r="M17" s="1095"/>
      <c r="N17" s="1095"/>
      <c r="O17" s="1095"/>
      <c r="P17" s="1095"/>
      <c r="Q17" s="1095"/>
      <c r="R17" s="1095"/>
      <c r="S17" s="1095"/>
      <c r="T17" s="1095"/>
      <c r="U17" s="1095"/>
      <c r="V17" s="1095"/>
      <c r="W17" s="1095"/>
      <c r="X17" s="1095"/>
    </row>
    <row r="18">
      <c r="A18" s="1095"/>
      <c r="B18" s="1092"/>
      <c r="C18" s="1192"/>
      <c r="D18" s="1193" t="s">
        <v>629</v>
      </c>
      <c r="E18" s="1092"/>
      <c r="F18" s="1095"/>
      <c r="G18" s="1095"/>
      <c r="H18" s="1095"/>
      <c r="I18" s="1095"/>
      <c r="J18" s="1095"/>
      <c r="K18" s="1095"/>
      <c r="L18" s="1095"/>
      <c r="M18" s="1095"/>
      <c r="N18" s="1095"/>
      <c r="O18" s="1095"/>
      <c r="P18" s="1095"/>
      <c r="Q18" s="1095"/>
      <c r="R18" s="1095"/>
      <c r="S18" s="1095"/>
      <c r="T18" s="1095"/>
      <c r="U18" s="1095"/>
      <c r="V18" s="1095"/>
      <c r="W18" s="1095"/>
      <c r="X18" s="1095"/>
    </row>
    <row r="19">
      <c r="A19" s="1095"/>
      <c r="B19" s="1092"/>
      <c r="C19" s="1192"/>
      <c r="D19" s="1193" t="s">
        <v>610</v>
      </c>
      <c r="E19" s="1092"/>
      <c r="F19" s="1095"/>
      <c r="G19" s="1095"/>
      <c r="H19" s="1095"/>
      <c r="I19" s="1095"/>
      <c r="J19" s="1095"/>
      <c r="K19" s="1095"/>
      <c r="L19" s="1095"/>
      <c r="M19" s="1095"/>
      <c r="N19" s="1095"/>
      <c r="O19" s="1095"/>
      <c r="P19" s="1095"/>
      <c r="Q19" s="1095"/>
      <c r="R19" s="1095"/>
      <c r="S19" s="1095"/>
      <c r="T19" s="1095"/>
      <c r="U19" s="1095"/>
      <c r="V19" s="1095"/>
      <c r="W19" s="1095"/>
      <c r="X19" s="1095"/>
    </row>
    <row r="20">
      <c r="A20" s="1095"/>
      <c r="B20" s="1092"/>
      <c r="C20" s="1192"/>
      <c r="D20" s="1193" t="s">
        <v>643</v>
      </c>
      <c r="E20" s="1092"/>
      <c r="F20" s="1095"/>
      <c r="G20" s="1095"/>
      <c r="H20" s="1095"/>
      <c r="I20" s="1095"/>
      <c r="J20" s="1095"/>
      <c r="K20" s="1095"/>
      <c r="L20" s="1095"/>
      <c r="M20" s="1095"/>
      <c r="N20" s="1095"/>
      <c r="O20" s="1095"/>
      <c r="P20" s="1095"/>
      <c r="Q20" s="1095"/>
      <c r="R20" s="1095"/>
      <c r="S20" s="1095"/>
      <c r="T20" s="1095"/>
      <c r="U20" s="1095"/>
      <c r="V20" s="1095"/>
      <c r="W20" s="1095"/>
      <c r="X20" s="1095"/>
    </row>
    <row r="21">
      <c r="A21" s="1095"/>
      <c r="B21" s="1092"/>
      <c r="C21" s="1192"/>
      <c r="D21" s="1193" t="s">
        <v>666</v>
      </c>
      <c r="E21" s="1092"/>
      <c r="F21" s="1095"/>
      <c r="G21" s="1095"/>
      <c r="H21" s="1095"/>
      <c r="I21" s="1095"/>
      <c r="J21" s="1095"/>
      <c r="K21" s="1095"/>
      <c r="L21" s="1095"/>
      <c r="M21" s="1095"/>
      <c r="N21" s="1095"/>
      <c r="O21" s="1095"/>
      <c r="P21" s="1095"/>
      <c r="Q21" s="1095"/>
      <c r="R21" s="1095"/>
      <c r="S21" s="1095"/>
      <c r="T21" s="1095"/>
      <c r="U21" s="1095"/>
      <c r="V21" s="1095"/>
      <c r="W21" s="1095"/>
      <c r="X21" s="1095"/>
    </row>
    <row r="22">
      <c r="A22" s="1095"/>
      <c r="B22" s="1092"/>
      <c r="C22" s="1192"/>
      <c r="D22" s="1193" t="s">
        <v>3303</v>
      </c>
      <c r="E22" s="1092"/>
      <c r="F22" s="1095"/>
      <c r="G22" s="1095"/>
      <c r="H22" s="1095"/>
      <c r="I22" s="1095"/>
      <c r="J22" s="1095"/>
      <c r="K22" s="1095"/>
      <c r="L22" s="1095"/>
      <c r="M22" s="1095"/>
      <c r="N22" s="1095"/>
      <c r="O22" s="1095"/>
      <c r="P22" s="1095"/>
      <c r="Q22" s="1095"/>
      <c r="R22" s="1095"/>
      <c r="S22" s="1095"/>
      <c r="T22" s="1095"/>
      <c r="U22" s="1095"/>
      <c r="V22" s="1095"/>
      <c r="W22" s="1095"/>
      <c r="X22" s="1095"/>
    </row>
    <row r="23">
      <c r="A23" s="1095"/>
      <c r="B23" s="1092"/>
      <c r="C23" s="1192"/>
      <c r="D23" s="1193" t="s">
        <v>682</v>
      </c>
      <c r="E23" s="1092"/>
      <c r="F23" s="1095"/>
      <c r="G23" s="1095"/>
      <c r="H23" s="1095"/>
      <c r="I23" s="1095"/>
      <c r="J23" s="1095"/>
      <c r="K23" s="1095"/>
      <c r="L23" s="1095"/>
      <c r="M23" s="1095"/>
      <c r="N23" s="1095"/>
      <c r="O23" s="1095"/>
      <c r="P23" s="1095"/>
      <c r="Q23" s="1095"/>
      <c r="R23" s="1095"/>
      <c r="S23" s="1095"/>
      <c r="T23" s="1095"/>
      <c r="U23" s="1095"/>
      <c r="V23" s="1095"/>
      <c r="W23" s="1095"/>
      <c r="X23" s="1095"/>
    </row>
    <row r="24">
      <c r="A24" s="1095"/>
      <c r="B24" s="1092"/>
      <c r="C24" s="1192"/>
      <c r="D24" s="1193" t="s">
        <v>699</v>
      </c>
      <c r="E24" s="1092"/>
      <c r="F24" s="1095"/>
      <c r="G24" s="1095"/>
      <c r="H24" s="1095"/>
      <c r="I24" s="1095"/>
      <c r="J24" s="1095"/>
      <c r="K24" s="1095"/>
      <c r="L24" s="1095"/>
      <c r="M24" s="1095"/>
      <c r="N24" s="1095"/>
      <c r="O24" s="1095"/>
      <c r="P24" s="1095"/>
      <c r="Q24" s="1095"/>
      <c r="R24" s="1095"/>
      <c r="S24" s="1095"/>
      <c r="T24" s="1095"/>
      <c r="U24" s="1095"/>
      <c r="V24" s="1095"/>
      <c r="W24" s="1095"/>
      <c r="X24" s="1095"/>
    </row>
    <row r="25">
      <c r="A25" s="1095"/>
      <c r="B25" s="1092"/>
      <c r="C25" s="1192"/>
      <c r="D25" s="1193" t="s">
        <v>730</v>
      </c>
      <c r="E25" s="1092"/>
      <c r="F25" s="1095"/>
      <c r="G25" s="1095"/>
      <c r="H25" s="1095"/>
      <c r="I25" s="1095"/>
      <c r="J25" s="1095"/>
      <c r="K25" s="1095"/>
      <c r="L25" s="1095"/>
      <c r="M25" s="1095"/>
      <c r="N25" s="1095"/>
      <c r="O25" s="1095"/>
      <c r="P25" s="1095"/>
      <c r="Q25" s="1095"/>
      <c r="R25" s="1095"/>
      <c r="S25" s="1095"/>
      <c r="T25" s="1095"/>
      <c r="U25" s="1095"/>
      <c r="V25" s="1095"/>
      <c r="W25" s="1095"/>
      <c r="X25" s="1095"/>
    </row>
    <row r="26">
      <c r="A26" s="1095"/>
      <c r="B26" s="1092"/>
      <c r="C26" s="1192"/>
      <c r="D26" s="1193" t="s">
        <v>760</v>
      </c>
      <c r="E26" s="1092"/>
      <c r="F26" s="1095"/>
      <c r="G26" s="1095"/>
      <c r="H26" s="1095"/>
      <c r="I26" s="1095"/>
      <c r="J26" s="1095"/>
      <c r="K26" s="1095"/>
      <c r="L26" s="1095"/>
      <c r="M26" s="1095"/>
      <c r="N26" s="1095"/>
      <c r="O26" s="1095"/>
      <c r="P26" s="1095"/>
      <c r="Q26" s="1095"/>
      <c r="R26" s="1095"/>
      <c r="S26" s="1095"/>
      <c r="T26" s="1095"/>
      <c r="U26" s="1095"/>
      <c r="V26" s="1095"/>
      <c r="W26" s="1095"/>
      <c r="X26" s="1095"/>
    </row>
    <row r="27">
      <c r="A27" s="1095"/>
      <c r="B27" s="1092"/>
      <c r="C27" s="1192"/>
      <c r="D27" s="1193" t="s">
        <v>778</v>
      </c>
      <c r="E27" s="1092"/>
      <c r="F27" s="1095"/>
      <c r="G27" s="1095"/>
      <c r="H27" s="1095"/>
      <c r="I27" s="1095"/>
      <c r="J27" s="1095"/>
      <c r="K27" s="1095"/>
      <c r="L27" s="1095"/>
      <c r="M27" s="1095"/>
      <c r="N27" s="1095"/>
      <c r="O27" s="1095"/>
      <c r="P27" s="1095"/>
      <c r="Q27" s="1095"/>
      <c r="R27" s="1095"/>
      <c r="S27" s="1095"/>
      <c r="T27" s="1095"/>
      <c r="U27" s="1095"/>
      <c r="V27" s="1095"/>
      <c r="W27" s="1095"/>
      <c r="X27" s="1095"/>
    </row>
    <row r="28">
      <c r="A28" s="1095"/>
      <c r="B28" s="1092"/>
      <c r="C28" s="1192"/>
      <c r="D28" s="1193" t="s">
        <v>804</v>
      </c>
      <c r="E28" s="1092"/>
      <c r="F28" s="1095"/>
      <c r="G28" s="1095"/>
      <c r="H28" s="1095"/>
      <c r="I28" s="1095"/>
      <c r="J28" s="1095"/>
      <c r="K28" s="1095"/>
      <c r="L28" s="1095"/>
      <c r="M28" s="1095"/>
      <c r="N28" s="1095"/>
      <c r="O28" s="1095"/>
      <c r="P28" s="1095"/>
      <c r="Q28" s="1095"/>
      <c r="R28" s="1095"/>
      <c r="S28" s="1095"/>
      <c r="T28" s="1095"/>
      <c r="U28" s="1095"/>
      <c r="V28" s="1095"/>
      <c r="W28" s="1095"/>
      <c r="X28" s="1095"/>
    </row>
    <row r="29">
      <c r="A29" s="1095"/>
      <c r="B29" s="1092"/>
      <c r="C29" s="1192"/>
      <c r="D29" s="1193" t="s">
        <v>822</v>
      </c>
      <c r="E29" s="1092"/>
      <c r="F29" s="1095"/>
      <c r="G29" s="1095"/>
      <c r="H29" s="1095"/>
      <c r="I29" s="1095"/>
      <c r="J29" s="1095"/>
      <c r="K29" s="1095"/>
      <c r="L29" s="1095"/>
      <c r="M29" s="1095"/>
      <c r="N29" s="1095"/>
      <c r="O29" s="1095"/>
      <c r="P29" s="1095"/>
      <c r="Q29" s="1095"/>
      <c r="R29" s="1095"/>
      <c r="S29" s="1095"/>
      <c r="T29" s="1095"/>
      <c r="U29" s="1095"/>
      <c r="V29" s="1095"/>
      <c r="W29" s="1095"/>
      <c r="X29" s="1095"/>
    </row>
    <row r="30">
      <c r="A30" s="1095"/>
      <c r="B30" s="1092"/>
      <c r="C30" s="1192"/>
      <c r="D30" s="1193" t="s">
        <v>848</v>
      </c>
      <c r="E30" s="1092"/>
      <c r="F30" s="1095"/>
      <c r="G30" s="1095"/>
      <c r="H30" s="1095"/>
      <c r="I30" s="1095"/>
      <c r="J30" s="1095"/>
      <c r="K30" s="1095"/>
      <c r="L30" s="1095"/>
      <c r="M30" s="1095"/>
      <c r="N30" s="1095"/>
      <c r="O30" s="1095"/>
      <c r="P30" s="1095"/>
      <c r="Q30" s="1095"/>
      <c r="R30" s="1095"/>
      <c r="S30" s="1095"/>
      <c r="T30" s="1095"/>
      <c r="U30" s="1095"/>
      <c r="V30" s="1095"/>
      <c r="W30" s="1095"/>
      <c r="X30" s="1095"/>
    </row>
    <row r="31">
      <c r="A31" s="1095"/>
      <c r="B31" s="1092"/>
      <c r="C31" s="1192"/>
      <c r="D31" s="1193" t="s">
        <v>888</v>
      </c>
      <c r="E31" s="1092"/>
      <c r="F31" s="1095"/>
      <c r="G31" s="1095"/>
      <c r="H31" s="1095"/>
      <c r="I31" s="1095"/>
      <c r="J31" s="1095"/>
      <c r="K31" s="1095"/>
      <c r="L31" s="1095"/>
      <c r="M31" s="1095"/>
      <c r="N31" s="1095"/>
      <c r="O31" s="1095"/>
      <c r="P31" s="1095"/>
      <c r="Q31" s="1095"/>
      <c r="R31" s="1095"/>
      <c r="S31" s="1095"/>
      <c r="T31" s="1095"/>
      <c r="U31" s="1095"/>
      <c r="V31" s="1095"/>
      <c r="W31" s="1095"/>
      <c r="X31" s="1095"/>
    </row>
    <row r="32">
      <c r="A32" s="1095"/>
      <c r="B32" s="1092"/>
      <c r="C32" s="1192"/>
      <c r="D32" s="1193" t="s">
        <v>897</v>
      </c>
      <c r="E32" s="1092"/>
      <c r="F32" s="1095"/>
      <c r="G32" s="1095"/>
      <c r="H32" s="1095"/>
      <c r="I32" s="1095"/>
      <c r="J32" s="1095"/>
      <c r="K32" s="1095"/>
      <c r="L32" s="1095"/>
      <c r="M32" s="1095"/>
      <c r="N32" s="1095"/>
      <c r="O32" s="1095"/>
      <c r="P32" s="1095"/>
      <c r="Q32" s="1095"/>
      <c r="R32" s="1095"/>
      <c r="S32" s="1095"/>
      <c r="T32" s="1095"/>
      <c r="U32" s="1095"/>
      <c r="V32" s="1095"/>
      <c r="W32" s="1095"/>
      <c r="X32" s="1095"/>
    </row>
    <row r="33">
      <c r="A33" s="1095"/>
      <c r="B33" s="1092"/>
      <c r="C33" s="1192"/>
      <c r="D33" s="1193" t="s">
        <v>918</v>
      </c>
      <c r="E33" s="1092"/>
      <c r="F33" s="1095"/>
      <c r="G33" s="1095"/>
      <c r="H33" s="1095"/>
      <c r="I33" s="1095"/>
      <c r="J33" s="1095"/>
      <c r="K33" s="1095"/>
      <c r="L33" s="1095"/>
      <c r="M33" s="1095"/>
      <c r="N33" s="1095"/>
      <c r="O33" s="1095"/>
      <c r="P33" s="1095"/>
      <c r="Q33" s="1095"/>
      <c r="R33" s="1095"/>
      <c r="S33" s="1095"/>
      <c r="T33" s="1095"/>
      <c r="U33" s="1095"/>
      <c r="V33" s="1095"/>
      <c r="W33" s="1095"/>
      <c r="X33" s="1095"/>
    </row>
    <row r="34">
      <c r="A34" s="1095"/>
      <c r="B34" s="1092"/>
      <c r="C34" s="1192"/>
      <c r="D34" s="1193" t="s">
        <v>945</v>
      </c>
      <c r="E34" s="1092"/>
      <c r="F34" s="1095"/>
      <c r="G34" s="1095"/>
      <c r="H34" s="1095"/>
      <c r="I34" s="1095"/>
      <c r="J34" s="1095"/>
      <c r="K34" s="1095"/>
      <c r="L34" s="1095"/>
      <c r="M34" s="1095"/>
      <c r="N34" s="1095"/>
      <c r="O34" s="1095"/>
      <c r="P34" s="1095"/>
      <c r="Q34" s="1095"/>
      <c r="R34" s="1095"/>
      <c r="S34" s="1095"/>
      <c r="T34" s="1095"/>
      <c r="U34" s="1095"/>
      <c r="V34" s="1095"/>
      <c r="W34" s="1095"/>
      <c r="X34" s="1095"/>
    </row>
    <row r="35">
      <c r="A35" s="1095"/>
      <c r="B35" s="1092"/>
      <c r="C35" s="1192"/>
      <c r="D35" s="1193" t="s">
        <v>967</v>
      </c>
      <c r="E35" s="1092"/>
      <c r="F35" s="1095"/>
      <c r="G35" s="1095"/>
      <c r="H35" s="1095"/>
      <c r="I35" s="1095"/>
      <c r="J35" s="1095"/>
      <c r="K35" s="1095"/>
      <c r="L35" s="1095"/>
      <c r="M35" s="1095"/>
      <c r="N35" s="1095"/>
      <c r="O35" s="1095"/>
      <c r="P35" s="1095"/>
      <c r="Q35" s="1095"/>
      <c r="R35" s="1095"/>
      <c r="S35" s="1095"/>
      <c r="T35" s="1095"/>
      <c r="U35" s="1095"/>
      <c r="V35" s="1095"/>
      <c r="W35" s="1095"/>
      <c r="X35" s="1095"/>
    </row>
    <row r="36">
      <c r="A36" s="1095"/>
      <c r="B36" s="1092"/>
      <c r="C36" s="1192"/>
      <c r="D36" s="1193" t="s">
        <v>986</v>
      </c>
      <c r="E36" s="1092"/>
      <c r="F36" s="1095"/>
      <c r="G36" s="1095"/>
      <c r="H36" s="1095"/>
      <c r="I36" s="1095"/>
      <c r="J36" s="1095"/>
      <c r="K36" s="1095"/>
      <c r="L36" s="1095"/>
      <c r="M36" s="1095"/>
      <c r="N36" s="1095"/>
      <c r="O36" s="1095"/>
      <c r="P36" s="1095"/>
      <c r="Q36" s="1095"/>
      <c r="R36" s="1095"/>
      <c r="S36" s="1095"/>
      <c r="T36" s="1095"/>
      <c r="U36" s="1095"/>
      <c r="V36" s="1095"/>
      <c r="W36" s="1095"/>
      <c r="X36" s="1095"/>
    </row>
    <row r="37">
      <c r="A37" s="1095"/>
      <c r="B37" s="1092"/>
      <c r="C37" s="1192"/>
      <c r="D37" s="1193" t="s">
        <v>1006</v>
      </c>
      <c r="E37" s="1092"/>
      <c r="F37" s="1095"/>
      <c r="G37" s="1095"/>
      <c r="H37" s="1095"/>
      <c r="I37" s="1095"/>
      <c r="J37" s="1095"/>
      <c r="K37" s="1095"/>
      <c r="L37" s="1095"/>
      <c r="M37" s="1095"/>
      <c r="N37" s="1095"/>
      <c r="O37" s="1095"/>
      <c r="P37" s="1095"/>
      <c r="Q37" s="1095"/>
      <c r="R37" s="1095"/>
      <c r="S37" s="1095"/>
      <c r="T37" s="1095"/>
      <c r="U37" s="1095"/>
      <c r="V37" s="1095"/>
      <c r="W37" s="1095"/>
      <c r="X37" s="1095"/>
    </row>
    <row r="38">
      <c r="A38" s="1095"/>
      <c r="B38" s="1092"/>
      <c r="C38" s="1192"/>
      <c r="D38" s="1193" t="s">
        <v>1021</v>
      </c>
      <c r="E38" s="1092"/>
      <c r="F38" s="1095"/>
      <c r="G38" s="1095"/>
      <c r="H38" s="1095"/>
      <c r="I38" s="1095"/>
      <c r="J38" s="1095"/>
      <c r="K38" s="1095"/>
      <c r="L38" s="1095"/>
      <c r="M38" s="1095"/>
      <c r="N38" s="1095"/>
      <c r="O38" s="1095"/>
      <c r="P38" s="1095"/>
      <c r="Q38" s="1095"/>
      <c r="R38" s="1095"/>
      <c r="S38" s="1095"/>
      <c r="T38" s="1095"/>
      <c r="U38" s="1095"/>
      <c r="V38" s="1095"/>
      <c r="W38" s="1095"/>
      <c r="X38" s="1095"/>
    </row>
    <row r="39">
      <c r="A39" s="1095"/>
      <c r="B39" s="1092"/>
      <c r="C39" s="1192"/>
      <c r="D39" s="1193" t="s">
        <v>1055</v>
      </c>
      <c r="E39" s="1092"/>
      <c r="F39" s="1095"/>
      <c r="G39" s="1095"/>
      <c r="H39" s="1095"/>
      <c r="I39" s="1095"/>
      <c r="J39" s="1095"/>
      <c r="K39" s="1095"/>
      <c r="L39" s="1095"/>
      <c r="M39" s="1095"/>
      <c r="N39" s="1095"/>
      <c r="O39" s="1095"/>
      <c r="P39" s="1095"/>
      <c r="Q39" s="1095"/>
      <c r="R39" s="1095"/>
      <c r="S39" s="1095"/>
      <c r="T39" s="1095"/>
      <c r="U39" s="1095"/>
      <c r="V39" s="1095"/>
      <c r="W39" s="1095"/>
      <c r="X39" s="1095"/>
    </row>
    <row r="40">
      <c r="A40" s="1095"/>
      <c r="B40" s="1092"/>
      <c r="C40" s="1192"/>
      <c r="D40" s="1193" t="s">
        <v>1093</v>
      </c>
      <c r="E40" s="1092"/>
      <c r="F40" s="1095"/>
      <c r="G40" s="1095"/>
      <c r="H40" s="1095"/>
      <c r="I40" s="1095"/>
      <c r="J40" s="1095"/>
      <c r="K40" s="1095"/>
      <c r="L40" s="1095"/>
      <c r="M40" s="1095"/>
      <c r="N40" s="1095"/>
      <c r="O40" s="1095"/>
      <c r="P40" s="1095"/>
      <c r="Q40" s="1095"/>
      <c r="R40" s="1095"/>
      <c r="S40" s="1095"/>
      <c r="T40" s="1095"/>
      <c r="U40" s="1095"/>
      <c r="V40" s="1095"/>
      <c r="W40" s="1095"/>
      <c r="X40" s="1095"/>
    </row>
    <row r="41">
      <c r="A41" s="1095"/>
      <c r="B41" s="1092"/>
      <c r="C41" s="1192"/>
      <c r="D41" s="1193" t="s">
        <v>1122</v>
      </c>
      <c r="E41" s="1092"/>
      <c r="F41" s="1095"/>
      <c r="G41" s="1095"/>
      <c r="H41" s="1095"/>
      <c r="I41" s="1095"/>
      <c r="J41" s="1095"/>
      <c r="K41" s="1095"/>
      <c r="L41" s="1095"/>
      <c r="M41" s="1095"/>
      <c r="N41" s="1095"/>
      <c r="O41" s="1095"/>
      <c r="P41" s="1095"/>
      <c r="Q41" s="1095"/>
      <c r="R41" s="1095"/>
      <c r="S41" s="1095"/>
      <c r="T41" s="1095"/>
      <c r="U41" s="1095"/>
      <c r="V41" s="1095"/>
      <c r="W41" s="1095"/>
      <c r="X41" s="1095"/>
    </row>
    <row r="42">
      <c r="A42" s="1095"/>
      <c r="B42" s="1092"/>
      <c r="C42" s="1192"/>
      <c r="D42" s="1193" t="s">
        <v>1138</v>
      </c>
      <c r="E42" s="1092"/>
      <c r="F42" s="1095"/>
      <c r="G42" s="1095"/>
      <c r="H42" s="1095"/>
      <c r="I42" s="1095"/>
      <c r="J42" s="1095"/>
      <c r="K42" s="1095"/>
      <c r="L42" s="1095"/>
      <c r="M42" s="1095"/>
      <c r="N42" s="1095"/>
      <c r="O42" s="1095"/>
      <c r="P42" s="1095"/>
      <c r="Q42" s="1095"/>
      <c r="R42" s="1095"/>
      <c r="S42" s="1095"/>
      <c r="T42" s="1095"/>
      <c r="U42" s="1095"/>
      <c r="V42" s="1095"/>
      <c r="W42" s="1095"/>
      <c r="X42" s="1095"/>
    </row>
    <row r="43">
      <c r="A43" s="1095"/>
      <c r="B43" s="1092"/>
      <c r="C43" s="1192"/>
      <c r="D43" s="1193" t="s">
        <v>1165</v>
      </c>
      <c r="E43" s="1092"/>
      <c r="F43" s="1095"/>
      <c r="G43" s="1095"/>
      <c r="H43" s="1095"/>
      <c r="I43" s="1095"/>
      <c r="J43" s="1095"/>
      <c r="K43" s="1095"/>
      <c r="L43" s="1095"/>
      <c r="M43" s="1095"/>
      <c r="N43" s="1095"/>
      <c r="O43" s="1095"/>
      <c r="P43" s="1095"/>
      <c r="Q43" s="1095"/>
      <c r="R43" s="1095"/>
      <c r="S43" s="1095"/>
      <c r="T43" s="1095"/>
      <c r="U43" s="1095"/>
      <c r="V43" s="1095"/>
      <c r="W43" s="1095"/>
      <c r="X43" s="1095"/>
    </row>
    <row r="44">
      <c r="A44" s="1095"/>
      <c r="B44" s="1092"/>
      <c r="C44" s="1192"/>
      <c r="D44" s="1193" t="s">
        <v>1180</v>
      </c>
      <c r="E44" s="1092"/>
      <c r="F44" s="1095"/>
      <c r="G44" s="1095"/>
      <c r="H44" s="1095"/>
      <c r="I44" s="1095"/>
      <c r="J44" s="1095"/>
      <c r="K44" s="1095"/>
      <c r="L44" s="1095"/>
      <c r="M44" s="1095"/>
      <c r="N44" s="1095"/>
      <c r="O44" s="1095"/>
      <c r="P44" s="1095"/>
      <c r="Q44" s="1095"/>
      <c r="R44" s="1095"/>
      <c r="S44" s="1095"/>
      <c r="T44" s="1095"/>
      <c r="U44" s="1095"/>
      <c r="V44" s="1095"/>
      <c r="W44" s="1095"/>
      <c r="X44" s="1095"/>
    </row>
    <row r="45">
      <c r="A45" s="1095"/>
      <c r="B45" s="1092"/>
      <c r="C45" s="1192"/>
      <c r="D45" s="1194" t="s">
        <v>1089</v>
      </c>
      <c r="E45" s="1092"/>
      <c r="F45" s="1095"/>
      <c r="G45" s="1095"/>
      <c r="H45" s="1095"/>
      <c r="I45" s="1095"/>
      <c r="J45" s="1095"/>
      <c r="K45" s="1095"/>
      <c r="L45" s="1095"/>
      <c r="M45" s="1095"/>
      <c r="N45" s="1095"/>
      <c r="O45" s="1095"/>
      <c r="P45" s="1095"/>
      <c r="Q45" s="1095"/>
      <c r="R45" s="1095"/>
      <c r="S45" s="1095"/>
      <c r="T45" s="1095"/>
      <c r="U45" s="1095"/>
      <c r="V45" s="1095"/>
      <c r="W45" s="1095"/>
      <c r="X45" s="1095"/>
    </row>
    <row r="46">
      <c r="A46" s="1095"/>
      <c r="B46" s="1092"/>
      <c r="C46" s="1192"/>
      <c r="D46" s="1195" t="s">
        <v>1092</v>
      </c>
      <c r="E46" s="1092"/>
      <c r="F46" s="1095"/>
      <c r="G46" s="1095"/>
      <c r="H46" s="1095"/>
      <c r="I46" s="1095"/>
      <c r="J46" s="1095"/>
      <c r="K46" s="1095"/>
      <c r="L46" s="1095"/>
      <c r="M46" s="1095"/>
      <c r="N46" s="1095"/>
      <c r="O46" s="1095"/>
      <c r="P46" s="1095"/>
      <c r="Q46" s="1095"/>
      <c r="R46" s="1095"/>
      <c r="S46" s="1095"/>
      <c r="T46" s="1095"/>
      <c r="U46" s="1095"/>
      <c r="V46" s="1095"/>
      <c r="W46" s="1095"/>
      <c r="X46" s="1095"/>
    </row>
    <row r="47">
      <c r="A47" s="1095"/>
      <c r="B47" s="1092"/>
      <c r="C47" s="1192"/>
      <c r="D47" s="1192" t="s">
        <v>577</v>
      </c>
      <c r="E47" s="1092"/>
      <c r="F47" s="1095"/>
      <c r="G47" s="1095"/>
      <c r="H47" s="1095"/>
      <c r="I47" s="1095"/>
      <c r="J47" s="1095"/>
      <c r="K47" s="1095"/>
      <c r="L47" s="1095"/>
      <c r="M47" s="1095"/>
      <c r="N47" s="1095"/>
      <c r="O47" s="1095"/>
      <c r="P47" s="1095"/>
      <c r="Q47" s="1095"/>
      <c r="R47" s="1095"/>
      <c r="S47" s="1095"/>
      <c r="T47" s="1095"/>
      <c r="U47" s="1095"/>
      <c r="V47" s="1095"/>
      <c r="W47" s="1095"/>
      <c r="X47" s="1095"/>
    </row>
    <row r="48">
      <c r="A48" s="1095"/>
      <c r="B48" s="1092"/>
      <c r="C48" s="1192"/>
      <c r="D48" s="1192" t="s">
        <v>319</v>
      </c>
      <c r="E48" s="1092"/>
      <c r="F48" s="1095"/>
      <c r="G48" s="1095"/>
      <c r="H48" s="1095"/>
      <c r="I48" s="1095"/>
      <c r="J48" s="1095"/>
      <c r="K48" s="1095"/>
      <c r="L48" s="1095"/>
      <c r="M48" s="1095"/>
      <c r="N48" s="1095"/>
      <c r="O48" s="1095"/>
      <c r="P48" s="1095"/>
      <c r="Q48" s="1095"/>
      <c r="R48" s="1095"/>
      <c r="S48" s="1095"/>
      <c r="T48" s="1095"/>
      <c r="U48" s="1095"/>
      <c r="V48" s="1095"/>
      <c r="W48" s="1095"/>
      <c r="X48" s="1095"/>
    </row>
    <row r="49">
      <c r="A49" s="1095"/>
      <c r="B49" s="1092"/>
      <c r="C49" s="1192"/>
      <c r="D49" s="846" t="s">
        <v>328</v>
      </c>
      <c r="E49" s="1092"/>
      <c r="F49" s="1095"/>
      <c r="G49" s="1095"/>
      <c r="H49" s="1095"/>
      <c r="I49" s="1095"/>
      <c r="J49" s="1095"/>
      <c r="K49" s="1095"/>
      <c r="L49" s="1095"/>
      <c r="M49" s="1095"/>
      <c r="N49" s="1095"/>
      <c r="O49" s="1095"/>
      <c r="P49" s="1095"/>
      <c r="Q49" s="1095"/>
      <c r="R49" s="1095"/>
      <c r="S49" s="1095"/>
      <c r="T49" s="1095"/>
      <c r="U49" s="1095"/>
      <c r="V49" s="1095"/>
      <c r="W49" s="1095"/>
      <c r="X49" s="1095"/>
    </row>
    <row r="50">
      <c r="A50" s="1095"/>
      <c r="B50" s="1092"/>
      <c r="C50" s="1192"/>
      <c r="D50" s="846" t="s">
        <v>1041</v>
      </c>
      <c r="E50" s="1092"/>
      <c r="F50" s="1095"/>
      <c r="G50" s="1095"/>
      <c r="H50" s="1095"/>
      <c r="I50" s="1095"/>
      <c r="J50" s="1095"/>
      <c r="K50" s="1095"/>
      <c r="L50" s="1095"/>
      <c r="M50" s="1095"/>
      <c r="N50" s="1095"/>
      <c r="O50" s="1095"/>
      <c r="P50" s="1095"/>
      <c r="Q50" s="1095"/>
      <c r="R50" s="1095"/>
      <c r="S50" s="1095"/>
      <c r="T50" s="1095"/>
      <c r="U50" s="1095"/>
      <c r="V50" s="1095"/>
      <c r="W50" s="1095"/>
      <c r="X50" s="1095"/>
    </row>
    <row r="51">
      <c r="A51" s="1095"/>
      <c r="B51" s="1092"/>
      <c r="C51" s="1192"/>
      <c r="D51" s="846" t="s">
        <v>598</v>
      </c>
      <c r="E51" s="1092"/>
      <c r="F51" s="1095"/>
      <c r="G51" s="1095"/>
      <c r="H51" s="1095"/>
      <c r="I51" s="1095"/>
      <c r="J51" s="1095"/>
      <c r="K51" s="1095"/>
      <c r="L51" s="1095"/>
      <c r="M51" s="1095"/>
      <c r="N51" s="1095"/>
      <c r="O51" s="1095"/>
      <c r="P51" s="1095"/>
      <c r="Q51" s="1095"/>
      <c r="R51" s="1095"/>
      <c r="S51" s="1095"/>
      <c r="T51" s="1095"/>
      <c r="U51" s="1095"/>
      <c r="V51" s="1095"/>
      <c r="W51" s="1095"/>
      <c r="X51" s="1095"/>
    </row>
    <row r="52">
      <c r="A52" s="1095"/>
      <c r="B52" s="1092"/>
      <c r="C52" s="1192"/>
      <c r="D52" s="846" t="s">
        <v>266</v>
      </c>
      <c r="E52" s="1092"/>
      <c r="F52" s="1095"/>
      <c r="G52" s="1095"/>
      <c r="H52" s="1095"/>
      <c r="I52" s="1095"/>
      <c r="J52" s="1095"/>
      <c r="K52" s="1095"/>
      <c r="L52" s="1095"/>
      <c r="M52" s="1095"/>
      <c r="N52" s="1095"/>
      <c r="O52" s="1095"/>
      <c r="P52" s="1095"/>
      <c r="Q52" s="1095"/>
      <c r="R52" s="1095"/>
      <c r="S52" s="1095"/>
      <c r="T52" s="1095"/>
      <c r="U52" s="1095"/>
      <c r="V52" s="1095"/>
      <c r="W52" s="1095"/>
      <c r="X52" s="1095"/>
    </row>
    <row r="53">
      <c r="A53" s="1095"/>
      <c r="B53" s="1092"/>
      <c r="C53" s="1192"/>
      <c r="D53" s="846" t="s">
        <v>1955</v>
      </c>
      <c r="E53" s="1092"/>
      <c r="F53" s="1095"/>
      <c r="G53" s="1095"/>
      <c r="H53" s="1095"/>
      <c r="I53" s="1095"/>
      <c r="J53" s="1095"/>
      <c r="K53" s="1095"/>
      <c r="L53" s="1095"/>
      <c r="M53" s="1095"/>
      <c r="N53" s="1095"/>
      <c r="O53" s="1095"/>
      <c r="P53" s="1095"/>
      <c r="Q53" s="1095"/>
      <c r="R53" s="1095"/>
      <c r="S53" s="1095"/>
      <c r="T53" s="1095"/>
      <c r="U53" s="1095"/>
      <c r="V53" s="1095"/>
      <c r="W53" s="1095"/>
      <c r="X53" s="1095"/>
    </row>
    <row r="54">
      <c r="A54" s="1095"/>
      <c r="B54" s="1092"/>
      <c r="C54" s="1192"/>
      <c r="D54" s="846" t="s">
        <v>1650</v>
      </c>
      <c r="E54" s="1092"/>
      <c r="F54" s="1095"/>
      <c r="G54" s="1095"/>
      <c r="H54" s="1095"/>
      <c r="I54" s="1095"/>
      <c r="J54" s="1095"/>
      <c r="K54" s="1095"/>
      <c r="L54" s="1095"/>
      <c r="M54" s="1095"/>
      <c r="N54" s="1095"/>
      <c r="O54" s="1095"/>
      <c r="P54" s="1095"/>
      <c r="Q54" s="1095"/>
      <c r="R54" s="1095"/>
      <c r="S54" s="1095"/>
      <c r="T54" s="1095"/>
      <c r="U54" s="1095"/>
      <c r="V54" s="1095"/>
      <c r="W54" s="1095"/>
      <c r="X54" s="1095"/>
    </row>
    <row r="55">
      <c r="A55" s="1095"/>
      <c r="B55" s="1092"/>
      <c r="C55" s="1192"/>
      <c r="D55" s="846" t="s">
        <v>1813</v>
      </c>
      <c r="E55" s="1092"/>
      <c r="F55" s="1095"/>
      <c r="G55" s="1095"/>
      <c r="H55" s="1095"/>
      <c r="I55" s="1095"/>
      <c r="J55" s="1095"/>
      <c r="K55" s="1095"/>
      <c r="L55" s="1095"/>
      <c r="M55" s="1095"/>
      <c r="N55" s="1095"/>
      <c r="O55" s="1095"/>
      <c r="P55" s="1095"/>
      <c r="Q55" s="1095"/>
      <c r="R55" s="1095"/>
      <c r="S55" s="1095"/>
      <c r="T55" s="1095"/>
      <c r="U55" s="1095"/>
      <c r="V55" s="1095"/>
      <c r="W55" s="1095"/>
      <c r="X55" s="1095"/>
    </row>
    <row r="56">
      <c r="A56" s="1095"/>
      <c r="B56" s="1092"/>
      <c r="C56" s="1192"/>
      <c r="D56" s="1192" t="s">
        <v>1571</v>
      </c>
      <c r="E56" s="1092"/>
      <c r="F56" s="1095"/>
      <c r="G56" s="1095"/>
      <c r="H56" s="1095"/>
      <c r="I56" s="1095"/>
      <c r="J56" s="1095"/>
      <c r="K56" s="1095"/>
      <c r="L56" s="1095"/>
      <c r="M56" s="1095"/>
      <c r="N56" s="1095"/>
      <c r="O56" s="1095"/>
      <c r="P56" s="1095"/>
      <c r="Q56" s="1095"/>
      <c r="R56" s="1095"/>
      <c r="S56" s="1095"/>
      <c r="T56" s="1095"/>
      <c r="U56" s="1095"/>
      <c r="V56" s="1095"/>
      <c r="W56" s="1095"/>
      <c r="X56" s="1095"/>
    </row>
    <row r="57">
      <c r="A57" s="1095"/>
      <c r="B57" s="1092"/>
      <c r="C57" s="1192"/>
      <c r="D57" s="1192" t="s">
        <v>1667</v>
      </c>
      <c r="E57" s="1092"/>
      <c r="F57" s="1095"/>
      <c r="G57" s="1095"/>
      <c r="H57" s="1095"/>
      <c r="I57" s="1095"/>
      <c r="J57" s="1095"/>
      <c r="K57" s="1095"/>
      <c r="L57" s="1095"/>
      <c r="M57" s="1095"/>
      <c r="N57" s="1095"/>
      <c r="O57" s="1095"/>
      <c r="P57" s="1095"/>
      <c r="Q57" s="1095"/>
      <c r="R57" s="1095"/>
      <c r="S57" s="1095"/>
      <c r="T57" s="1095"/>
      <c r="U57" s="1095"/>
      <c r="V57" s="1095"/>
      <c r="W57" s="1095"/>
      <c r="X57" s="1095"/>
    </row>
    <row r="58">
      <c r="A58" s="1095"/>
      <c r="B58" s="1092"/>
      <c r="C58" s="1192"/>
      <c r="D58" s="1193"/>
      <c r="E58" s="1092"/>
      <c r="F58" s="1095"/>
      <c r="G58" s="1095"/>
      <c r="H58" s="1095"/>
      <c r="I58" s="1095"/>
      <c r="J58" s="1095"/>
      <c r="K58" s="1095"/>
      <c r="L58" s="1095"/>
      <c r="M58" s="1095"/>
      <c r="N58" s="1095"/>
      <c r="O58" s="1095"/>
      <c r="P58" s="1095"/>
      <c r="Q58" s="1095"/>
      <c r="R58" s="1095"/>
      <c r="S58" s="1095"/>
      <c r="T58" s="1095"/>
      <c r="U58" s="1095"/>
      <c r="V58" s="1095"/>
      <c r="W58" s="1095"/>
      <c r="X58" s="1095"/>
    </row>
    <row r="59">
      <c r="A59" s="1095"/>
      <c r="B59" s="1092"/>
      <c r="C59" s="1192"/>
      <c r="D59" s="1193"/>
      <c r="E59" s="1092"/>
      <c r="F59" s="1095"/>
      <c r="G59" s="1095"/>
      <c r="H59" s="1095"/>
      <c r="I59" s="1095"/>
      <c r="J59" s="1095"/>
      <c r="K59" s="1095"/>
      <c r="L59" s="1095"/>
      <c r="M59" s="1095"/>
      <c r="N59" s="1095"/>
      <c r="O59" s="1095"/>
      <c r="P59" s="1095"/>
      <c r="Q59" s="1095"/>
      <c r="R59" s="1095"/>
      <c r="S59" s="1095"/>
      <c r="T59" s="1095"/>
      <c r="U59" s="1095"/>
      <c r="V59" s="1095"/>
      <c r="W59" s="1095"/>
      <c r="X59" s="1095"/>
    </row>
    <row r="60">
      <c r="A60" s="1095"/>
      <c r="B60" s="1092"/>
      <c r="C60" s="1192"/>
      <c r="D60" s="1193"/>
      <c r="E60" s="1092"/>
      <c r="F60" s="1095"/>
      <c r="G60" s="1095"/>
      <c r="H60" s="1095"/>
      <c r="I60" s="1095"/>
      <c r="J60" s="1095"/>
      <c r="K60" s="1095"/>
      <c r="L60" s="1095"/>
      <c r="M60" s="1095"/>
      <c r="N60" s="1095"/>
      <c r="O60" s="1095"/>
      <c r="P60" s="1095"/>
      <c r="Q60" s="1095"/>
      <c r="R60" s="1095"/>
      <c r="S60" s="1095"/>
      <c r="T60" s="1095"/>
      <c r="U60" s="1095"/>
      <c r="V60" s="1095"/>
      <c r="W60" s="1095"/>
      <c r="X60" s="1095"/>
    </row>
    <row r="61">
      <c r="A61" s="1095"/>
      <c r="B61" s="1092"/>
      <c r="C61" s="1192"/>
      <c r="D61" s="1193"/>
      <c r="E61" s="1092"/>
      <c r="F61" s="1095"/>
      <c r="G61" s="1095"/>
      <c r="H61" s="1095"/>
      <c r="I61" s="1095"/>
      <c r="J61" s="1095"/>
      <c r="K61" s="1095"/>
      <c r="L61" s="1095"/>
      <c r="M61" s="1095"/>
      <c r="N61" s="1095"/>
      <c r="O61" s="1095"/>
      <c r="P61" s="1095"/>
      <c r="Q61" s="1095"/>
      <c r="R61" s="1095"/>
      <c r="S61" s="1095"/>
      <c r="T61" s="1095"/>
      <c r="U61" s="1095"/>
      <c r="V61" s="1095"/>
      <c r="W61" s="1095"/>
      <c r="X61" s="1095"/>
    </row>
    <row r="62">
      <c r="A62" s="1095"/>
      <c r="B62" s="1092"/>
      <c r="C62" s="1192"/>
      <c r="D62" s="1193"/>
      <c r="E62" s="1092"/>
      <c r="F62" s="1095"/>
      <c r="G62" s="1095"/>
      <c r="H62" s="1095"/>
      <c r="I62" s="1095"/>
      <c r="J62" s="1095"/>
      <c r="K62" s="1095"/>
      <c r="L62" s="1095"/>
      <c r="M62" s="1095"/>
      <c r="N62" s="1095"/>
      <c r="O62" s="1095"/>
      <c r="P62" s="1095"/>
      <c r="Q62" s="1095"/>
      <c r="R62" s="1095"/>
      <c r="S62" s="1095"/>
      <c r="T62" s="1095"/>
      <c r="U62" s="1095"/>
      <c r="V62" s="1095"/>
      <c r="W62" s="1095"/>
      <c r="X62" s="1095"/>
    </row>
    <row r="63">
      <c r="A63" s="1095"/>
      <c r="B63" s="1092"/>
      <c r="C63" s="1192"/>
      <c r="D63" s="1193"/>
      <c r="E63" s="1092"/>
      <c r="F63" s="1095"/>
      <c r="G63" s="1095"/>
      <c r="H63" s="1095"/>
      <c r="I63" s="1095"/>
      <c r="J63" s="1095"/>
      <c r="K63" s="1095"/>
      <c r="L63" s="1095"/>
      <c r="M63" s="1095"/>
      <c r="N63" s="1095"/>
      <c r="O63" s="1095"/>
      <c r="P63" s="1095"/>
      <c r="Q63" s="1095"/>
      <c r="R63" s="1095"/>
      <c r="S63" s="1095"/>
      <c r="T63" s="1095"/>
      <c r="U63" s="1095"/>
      <c r="V63" s="1095"/>
      <c r="W63" s="1095"/>
      <c r="X63" s="1095"/>
    </row>
    <row r="64">
      <c r="A64" s="1095"/>
      <c r="B64" s="1092"/>
      <c r="C64" s="1192"/>
      <c r="D64" s="1193"/>
      <c r="E64" s="1092"/>
      <c r="F64" s="1095"/>
      <c r="G64" s="1095"/>
      <c r="H64" s="1095"/>
      <c r="I64" s="1095"/>
      <c r="J64" s="1095"/>
      <c r="K64" s="1095"/>
      <c r="L64" s="1095"/>
      <c r="M64" s="1095"/>
      <c r="N64" s="1095"/>
      <c r="O64" s="1095"/>
      <c r="P64" s="1095"/>
      <c r="Q64" s="1095"/>
      <c r="R64" s="1095"/>
      <c r="S64" s="1095"/>
      <c r="T64" s="1095"/>
      <c r="U64" s="1095"/>
      <c r="V64" s="1095"/>
      <c r="W64" s="1095"/>
      <c r="X64" s="1095"/>
    </row>
    <row r="65">
      <c r="A65" s="1095"/>
      <c r="B65" s="1092"/>
      <c r="C65" s="1192"/>
      <c r="D65" s="1193"/>
      <c r="E65" s="1092"/>
      <c r="F65" s="1095"/>
      <c r="G65" s="1095"/>
      <c r="H65" s="1095"/>
      <c r="I65" s="1095"/>
      <c r="J65" s="1095"/>
      <c r="K65" s="1095"/>
      <c r="L65" s="1095"/>
      <c r="M65" s="1095"/>
      <c r="N65" s="1095"/>
      <c r="O65" s="1095"/>
      <c r="P65" s="1095"/>
      <c r="Q65" s="1095"/>
      <c r="R65" s="1095"/>
      <c r="S65" s="1095"/>
      <c r="T65" s="1095"/>
      <c r="U65" s="1095"/>
      <c r="V65" s="1095"/>
      <c r="W65" s="1095"/>
      <c r="X65" s="1095"/>
    </row>
    <row r="66">
      <c r="A66" s="1095"/>
      <c r="B66" s="1092"/>
      <c r="C66" s="1192"/>
      <c r="D66" s="1193"/>
      <c r="E66" s="1092"/>
      <c r="F66" s="1095"/>
      <c r="G66" s="1095"/>
      <c r="H66" s="1095"/>
      <c r="I66" s="1095"/>
      <c r="J66" s="1095"/>
      <c r="K66" s="1095"/>
      <c r="L66" s="1095"/>
      <c r="M66" s="1095"/>
      <c r="N66" s="1095"/>
      <c r="O66" s="1095"/>
      <c r="P66" s="1095"/>
      <c r="Q66" s="1095"/>
      <c r="R66" s="1095"/>
      <c r="S66" s="1095"/>
      <c r="T66" s="1095"/>
      <c r="U66" s="1095"/>
      <c r="V66" s="1095"/>
      <c r="W66" s="1095"/>
      <c r="X66" s="1095"/>
    </row>
    <row r="67">
      <c r="A67" s="1095"/>
      <c r="B67" s="1092"/>
      <c r="C67" s="1192"/>
      <c r="D67" s="1193"/>
      <c r="E67" s="1092"/>
      <c r="F67" s="1095"/>
      <c r="G67" s="1095"/>
      <c r="H67" s="1095"/>
      <c r="I67" s="1095"/>
      <c r="J67" s="1095"/>
      <c r="K67" s="1095"/>
      <c r="L67" s="1095"/>
      <c r="M67" s="1095"/>
      <c r="N67" s="1095"/>
      <c r="O67" s="1095"/>
      <c r="P67" s="1095"/>
      <c r="Q67" s="1095"/>
      <c r="R67" s="1095"/>
      <c r="S67" s="1095"/>
      <c r="T67" s="1095"/>
      <c r="U67" s="1095"/>
      <c r="V67" s="1095"/>
      <c r="W67" s="1095"/>
      <c r="X67" s="1095"/>
    </row>
    <row r="68">
      <c r="A68" s="1095"/>
      <c r="B68" s="1092"/>
      <c r="C68" s="1192"/>
      <c r="D68" s="1193"/>
      <c r="E68" s="1092"/>
      <c r="F68" s="1095"/>
      <c r="G68" s="1095"/>
      <c r="H68" s="1095"/>
      <c r="I68" s="1095"/>
      <c r="J68" s="1095"/>
      <c r="K68" s="1095"/>
      <c r="L68" s="1095"/>
      <c r="M68" s="1095"/>
      <c r="N68" s="1095"/>
      <c r="O68" s="1095"/>
      <c r="P68" s="1095"/>
      <c r="Q68" s="1095"/>
      <c r="R68" s="1095"/>
      <c r="S68" s="1095"/>
      <c r="T68" s="1095"/>
      <c r="U68" s="1095"/>
      <c r="V68" s="1095"/>
      <c r="W68" s="1095"/>
      <c r="X68" s="1095"/>
    </row>
    <row r="69">
      <c r="A69" s="1095"/>
      <c r="B69" s="1092"/>
      <c r="C69" s="1192"/>
      <c r="D69" s="1193"/>
      <c r="E69" s="1092"/>
      <c r="F69" s="1095"/>
      <c r="G69" s="1095"/>
      <c r="H69" s="1095"/>
      <c r="I69" s="1095"/>
      <c r="J69" s="1095"/>
      <c r="K69" s="1095"/>
      <c r="L69" s="1095"/>
      <c r="M69" s="1095"/>
      <c r="N69" s="1095"/>
      <c r="O69" s="1095"/>
      <c r="P69" s="1095"/>
      <c r="Q69" s="1095"/>
      <c r="R69" s="1095"/>
      <c r="S69" s="1095"/>
      <c r="T69" s="1095"/>
      <c r="U69" s="1095"/>
      <c r="V69" s="1095"/>
      <c r="W69" s="1095"/>
      <c r="X69" s="1095"/>
    </row>
    <row r="70">
      <c r="A70" s="1095"/>
      <c r="B70" s="1092"/>
      <c r="C70" s="1192"/>
      <c r="D70" s="1193"/>
      <c r="E70" s="1092"/>
      <c r="F70" s="1095"/>
      <c r="G70" s="1095"/>
      <c r="H70" s="1095"/>
      <c r="I70" s="1095"/>
      <c r="J70" s="1095"/>
      <c r="K70" s="1095"/>
      <c r="L70" s="1095"/>
      <c r="M70" s="1095"/>
      <c r="N70" s="1095"/>
      <c r="O70" s="1095"/>
      <c r="P70" s="1095"/>
      <c r="Q70" s="1095"/>
      <c r="R70" s="1095"/>
      <c r="S70" s="1095"/>
      <c r="T70" s="1095"/>
      <c r="U70" s="1095"/>
      <c r="V70" s="1095"/>
      <c r="W70" s="1095"/>
      <c r="X70" s="1095"/>
    </row>
    <row r="71">
      <c r="A71" s="1095"/>
      <c r="B71" s="1092"/>
      <c r="C71" s="1192"/>
      <c r="D71" s="1193"/>
      <c r="E71" s="1092"/>
      <c r="F71" s="1095"/>
      <c r="G71" s="1095"/>
      <c r="H71" s="1095"/>
      <c r="I71" s="1095"/>
      <c r="J71" s="1095"/>
      <c r="K71" s="1095"/>
      <c r="L71" s="1095"/>
      <c r="M71" s="1095"/>
      <c r="N71" s="1095"/>
      <c r="O71" s="1095"/>
      <c r="P71" s="1095"/>
      <c r="Q71" s="1095"/>
      <c r="R71" s="1095"/>
      <c r="S71" s="1095"/>
      <c r="T71" s="1095"/>
      <c r="U71" s="1095"/>
      <c r="V71" s="1095"/>
      <c r="W71" s="1095"/>
      <c r="X71" s="1095"/>
    </row>
    <row r="72">
      <c r="A72" s="1095"/>
      <c r="B72" s="1092"/>
      <c r="C72" s="1192"/>
      <c r="D72" s="1193"/>
      <c r="E72" s="1092"/>
      <c r="F72" s="1095"/>
      <c r="G72" s="1095"/>
      <c r="H72" s="1095"/>
      <c r="I72" s="1095"/>
      <c r="J72" s="1095"/>
      <c r="K72" s="1095"/>
      <c r="L72" s="1095"/>
      <c r="M72" s="1095"/>
      <c r="N72" s="1095"/>
      <c r="O72" s="1095"/>
      <c r="P72" s="1095"/>
      <c r="Q72" s="1095"/>
      <c r="R72" s="1095"/>
      <c r="S72" s="1095"/>
      <c r="T72" s="1095"/>
      <c r="U72" s="1095"/>
      <c r="V72" s="1095"/>
      <c r="W72" s="1095"/>
      <c r="X72" s="1095"/>
    </row>
    <row r="73">
      <c r="A73" s="1095"/>
      <c r="B73" s="1092"/>
      <c r="C73" s="1192"/>
      <c r="D73" s="1193"/>
      <c r="E73" s="1092"/>
      <c r="F73" s="1095"/>
      <c r="G73" s="1095"/>
      <c r="H73" s="1095"/>
      <c r="I73" s="1095"/>
      <c r="J73" s="1095"/>
      <c r="K73" s="1095"/>
      <c r="L73" s="1095"/>
      <c r="M73" s="1095"/>
      <c r="N73" s="1095"/>
      <c r="O73" s="1095"/>
      <c r="P73" s="1095"/>
      <c r="Q73" s="1095"/>
      <c r="R73" s="1095"/>
      <c r="S73" s="1095"/>
      <c r="T73" s="1095"/>
      <c r="U73" s="1095"/>
      <c r="V73" s="1095"/>
      <c r="W73" s="1095"/>
      <c r="X73" s="1095"/>
    </row>
    <row r="74">
      <c r="A74" s="1095"/>
      <c r="B74" s="1092"/>
      <c r="C74" s="1192"/>
      <c r="D74" s="1193"/>
      <c r="E74" s="1092"/>
      <c r="F74" s="1095"/>
      <c r="G74" s="1095"/>
      <c r="H74" s="1095"/>
      <c r="I74" s="1095"/>
      <c r="J74" s="1095"/>
      <c r="K74" s="1095"/>
      <c r="L74" s="1095"/>
      <c r="M74" s="1095"/>
      <c r="N74" s="1095"/>
      <c r="O74" s="1095"/>
      <c r="P74" s="1095"/>
      <c r="Q74" s="1095"/>
      <c r="R74" s="1095"/>
      <c r="S74" s="1095"/>
      <c r="T74" s="1095"/>
      <c r="U74" s="1095"/>
      <c r="V74" s="1095"/>
      <c r="W74" s="1095"/>
      <c r="X74" s="109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hidden="1" min="3" max="3" width="12.63"/>
    <col customWidth="1" min="4" max="4" width="13.0"/>
    <col customWidth="1" min="5" max="5" width="29.25"/>
    <col customWidth="1" hidden="1" min="6" max="6" width="8.63"/>
    <col customWidth="1" hidden="1" min="7" max="7" width="9.63"/>
    <col customWidth="1" hidden="1" min="8" max="8" width="10.0"/>
    <col customWidth="1" hidden="1" min="9" max="9" width="13.25"/>
    <col customWidth="1" hidden="1" min="10" max="11" width="11.88"/>
    <col customWidth="1" min="12" max="14" width="11.88"/>
    <col customWidth="1" min="15" max="15" width="36.88"/>
    <col customWidth="1" min="16" max="16" width="8.5"/>
    <col customWidth="1" min="17" max="17" width="21.75"/>
  </cols>
  <sheetData>
    <row r="1" ht="11.25" customHeight="1">
      <c r="E1" s="1196"/>
      <c r="F1" s="1197"/>
      <c r="H1" s="1046"/>
      <c r="I1" s="1198"/>
    </row>
    <row r="2" ht="25.5" customHeight="1">
      <c r="A2" s="1199" t="s">
        <v>3304</v>
      </c>
      <c r="B2" s="1199" t="s">
        <v>1</v>
      </c>
      <c r="C2" s="1199" t="s">
        <v>1233</v>
      </c>
      <c r="D2" s="1199" t="s">
        <v>0</v>
      </c>
      <c r="E2" s="1200" t="s">
        <v>1247</v>
      </c>
      <c r="F2" s="1201" t="s">
        <v>3305</v>
      </c>
      <c r="G2" s="1199" t="s">
        <v>1244</v>
      </c>
      <c r="H2" s="1202" t="s">
        <v>3306</v>
      </c>
      <c r="I2" s="1203" t="s">
        <v>3297</v>
      </c>
      <c r="J2" s="1204" t="s">
        <v>3307</v>
      </c>
      <c r="K2" s="1204" t="s">
        <v>3308</v>
      </c>
      <c r="L2" s="1204" t="s">
        <v>3235</v>
      </c>
      <c r="M2" s="1204" t="s">
        <v>3309</v>
      </c>
      <c r="N2" s="1205" t="s">
        <v>3310</v>
      </c>
      <c r="O2" s="1199" t="s">
        <v>2492</v>
      </c>
      <c r="P2" s="1206"/>
      <c r="Q2" s="1207" t="s">
        <v>3311</v>
      </c>
      <c r="R2" s="1208"/>
      <c r="S2" s="1208"/>
      <c r="T2" s="1208"/>
      <c r="U2" s="1208"/>
      <c r="V2" s="1208"/>
      <c r="W2" s="1208"/>
      <c r="X2" s="1208"/>
      <c r="Y2" s="1208"/>
      <c r="Z2" s="1208"/>
      <c r="AA2" s="1208"/>
      <c r="AB2" s="1208"/>
      <c r="AC2" s="1208"/>
    </row>
    <row r="3">
      <c r="A3" s="1209"/>
      <c r="B3" s="1210" t="s">
        <v>3229</v>
      </c>
      <c r="C3" s="1211" t="s">
        <v>1249</v>
      </c>
      <c r="D3" s="1212" t="s">
        <v>58</v>
      </c>
      <c r="E3" s="1213" t="s">
        <v>3312</v>
      </c>
      <c r="F3" s="1214"/>
      <c r="G3" s="1215"/>
      <c r="H3" s="1216"/>
      <c r="I3" s="1214"/>
      <c r="J3" s="1215"/>
      <c r="K3" s="1215"/>
      <c r="L3" s="1215"/>
      <c r="M3" s="1215"/>
      <c r="N3" s="1215"/>
      <c r="O3" s="1215"/>
      <c r="P3" s="1209"/>
      <c r="Q3" s="1217" t="s">
        <v>3313</v>
      </c>
      <c r="R3" s="1209"/>
      <c r="S3" s="1209"/>
      <c r="T3" s="1209"/>
      <c r="U3" s="1209"/>
      <c r="V3" s="1209"/>
      <c r="W3" s="1209"/>
      <c r="X3" s="1209"/>
      <c r="Y3" s="1209"/>
      <c r="Z3" s="1209"/>
      <c r="AA3" s="1209"/>
      <c r="AB3" s="1209"/>
      <c r="AC3" s="1209"/>
    </row>
    <row r="4">
      <c r="A4" s="1209"/>
      <c r="B4" s="1210" t="s">
        <v>3229</v>
      </c>
      <c r="C4" s="1211" t="s">
        <v>1249</v>
      </c>
      <c r="D4" s="1212" t="s">
        <v>97</v>
      </c>
      <c r="E4" s="1213" t="s">
        <v>3314</v>
      </c>
      <c r="F4" s="1214"/>
      <c r="G4" s="1215"/>
      <c r="H4" s="1216"/>
      <c r="I4" s="1214"/>
      <c r="J4" s="1215"/>
      <c r="K4" s="1215"/>
      <c r="L4" s="1215"/>
      <c r="M4" s="1215"/>
      <c r="N4" s="1215"/>
      <c r="O4" s="1215"/>
      <c r="P4" s="1209"/>
      <c r="Q4" s="1217" t="s">
        <v>3315</v>
      </c>
      <c r="R4" s="1209"/>
      <c r="S4" s="1209"/>
      <c r="T4" s="1209"/>
      <c r="U4" s="1209"/>
      <c r="V4" s="1209"/>
      <c r="W4" s="1209"/>
      <c r="X4" s="1209"/>
      <c r="Y4" s="1209"/>
      <c r="Z4" s="1209"/>
      <c r="AA4" s="1209"/>
      <c r="AB4" s="1209"/>
      <c r="AC4" s="1209"/>
    </row>
    <row r="5">
      <c r="A5" s="1209"/>
      <c r="B5" s="1210" t="s">
        <v>3229</v>
      </c>
      <c r="C5" s="1211" t="s">
        <v>1249</v>
      </c>
      <c r="D5" s="1212" t="s">
        <v>154</v>
      </c>
      <c r="E5" s="1213" t="s">
        <v>3316</v>
      </c>
      <c r="F5" s="1214"/>
      <c r="G5" s="1215"/>
      <c r="H5" s="1216"/>
      <c r="I5" s="1214"/>
      <c r="J5" s="1215"/>
      <c r="K5" s="1215"/>
      <c r="L5" s="1215"/>
      <c r="M5" s="1215"/>
      <c r="N5" s="1215"/>
      <c r="O5" s="1215"/>
      <c r="P5" s="1209"/>
      <c r="Q5" s="1217" t="s">
        <v>3317</v>
      </c>
      <c r="R5" s="1209"/>
      <c r="S5" s="1209"/>
      <c r="T5" s="1209"/>
      <c r="U5" s="1209"/>
      <c r="V5" s="1209"/>
      <c r="W5" s="1209"/>
      <c r="X5" s="1209"/>
      <c r="Y5" s="1209"/>
      <c r="Z5" s="1209"/>
      <c r="AA5" s="1209"/>
      <c r="AB5" s="1209"/>
      <c r="AC5" s="1209"/>
    </row>
    <row r="6">
      <c r="A6" s="1218" t="s">
        <v>3318</v>
      </c>
      <c r="B6" s="1210" t="s">
        <v>3229</v>
      </c>
      <c r="C6" s="1211" t="s">
        <v>1249</v>
      </c>
      <c r="D6" s="1212" t="s">
        <v>210</v>
      </c>
      <c r="E6" s="1213" t="s">
        <v>3319</v>
      </c>
      <c r="F6" s="1214"/>
      <c r="G6" s="1215"/>
      <c r="H6" s="1216"/>
      <c r="I6" s="1214"/>
      <c r="J6" s="1215"/>
      <c r="K6" s="1215"/>
      <c r="L6" s="1215"/>
      <c r="M6" s="1215"/>
      <c r="N6" s="1215"/>
      <c r="O6" s="1215"/>
      <c r="P6" s="1209"/>
      <c r="Q6" s="1217" t="s">
        <v>3320</v>
      </c>
      <c r="R6" s="1209"/>
      <c r="S6" s="1219" t="s">
        <v>3321</v>
      </c>
      <c r="T6" s="1209"/>
      <c r="U6" s="1209"/>
      <c r="V6" s="1209"/>
      <c r="W6" s="1209"/>
      <c r="X6" s="1209"/>
      <c r="Y6" s="1209"/>
      <c r="Z6" s="1209"/>
      <c r="AA6" s="1209"/>
      <c r="AB6" s="1209"/>
      <c r="AC6" s="1209"/>
    </row>
    <row r="7">
      <c r="A7" s="1220" t="s">
        <v>3322</v>
      </c>
      <c r="B7" s="1220" t="s">
        <v>3229</v>
      </c>
      <c r="C7" s="1221" t="s">
        <v>1387</v>
      </c>
      <c r="D7" s="1222" t="s">
        <v>275</v>
      </c>
      <c r="E7" s="1223" t="s">
        <v>3323</v>
      </c>
      <c r="F7" s="1214"/>
      <c r="G7" s="1215"/>
      <c r="H7" s="1216"/>
      <c r="I7" s="1214"/>
      <c r="J7" s="1215"/>
      <c r="K7" s="1215"/>
      <c r="L7" s="1215"/>
      <c r="M7" s="1215"/>
      <c r="N7" s="1215"/>
      <c r="O7" s="1215"/>
      <c r="P7" s="1209"/>
      <c r="Q7" s="1217" t="s">
        <v>3324</v>
      </c>
      <c r="R7" s="1209"/>
      <c r="S7" s="1209"/>
      <c r="T7" s="1209"/>
      <c r="U7" s="1209"/>
      <c r="V7" s="1209"/>
      <c r="W7" s="1209"/>
      <c r="X7" s="1209"/>
      <c r="Y7" s="1209"/>
      <c r="Z7" s="1209"/>
      <c r="AA7" s="1209"/>
      <c r="AB7" s="1209"/>
      <c r="AC7" s="1209"/>
    </row>
    <row r="8">
      <c r="A8" s="1220" t="s">
        <v>3322</v>
      </c>
      <c r="B8" s="1220" t="s">
        <v>3229</v>
      </c>
      <c r="C8" s="1221" t="s">
        <v>1387</v>
      </c>
      <c r="D8" s="1222" t="s">
        <v>305</v>
      </c>
      <c r="E8" s="1223" t="s">
        <v>3325</v>
      </c>
      <c r="F8" s="1214"/>
      <c r="G8" s="1215"/>
      <c r="H8" s="1216"/>
      <c r="I8" s="1214"/>
      <c r="J8" s="1215"/>
      <c r="K8" s="1215"/>
      <c r="L8" s="1215"/>
      <c r="M8" s="1215"/>
      <c r="N8" s="1215"/>
      <c r="O8" s="1215"/>
      <c r="P8" s="1209"/>
      <c r="Q8" s="1217" t="s">
        <v>3326</v>
      </c>
      <c r="R8" s="1209"/>
      <c r="S8" s="1209"/>
      <c r="T8" s="1209"/>
      <c r="U8" s="1209"/>
      <c r="V8" s="1209"/>
      <c r="W8" s="1209"/>
      <c r="X8" s="1209"/>
      <c r="Y8" s="1209"/>
      <c r="Z8" s="1209"/>
      <c r="AA8" s="1209"/>
      <c r="AB8" s="1209"/>
      <c r="AC8" s="1209"/>
    </row>
    <row r="9">
      <c r="A9" s="1218" t="s">
        <v>3322</v>
      </c>
      <c r="B9" s="1210" t="s">
        <v>3229</v>
      </c>
      <c r="C9" s="1224" t="s">
        <v>1387</v>
      </c>
      <c r="D9" s="1225" t="s">
        <v>319</v>
      </c>
      <c r="E9" s="1226" t="s">
        <v>3327</v>
      </c>
      <c r="F9" s="1214"/>
      <c r="G9" s="1215"/>
      <c r="H9" s="1216"/>
      <c r="I9" s="1214"/>
      <c r="J9" s="1215"/>
      <c r="K9" s="1215"/>
      <c r="L9" s="1215"/>
      <c r="M9" s="1215"/>
      <c r="N9" s="1215"/>
      <c r="O9" s="1215"/>
      <c r="P9" s="1209"/>
      <c r="Q9" s="1227"/>
      <c r="R9" s="1218"/>
      <c r="S9" s="1209"/>
      <c r="T9" s="1209"/>
      <c r="U9" s="1209"/>
      <c r="V9" s="1209"/>
      <c r="W9" s="1209"/>
      <c r="X9" s="1209"/>
      <c r="Y9" s="1209"/>
      <c r="Z9" s="1209"/>
      <c r="AA9" s="1209"/>
      <c r="AB9" s="1209"/>
      <c r="AC9" s="1209"/>
    </row>
    <row r="10">
      <c r="A10" s="1209"/>
      <c r="B10" s="1210" t="s">
        <v>3229</v>
      </c>
      <c r="C10" s="1211" t="s">
        <v>1434</v>
      </c>
      <c r="D10" s="1212" t="s">
        <v>374</v>
      </c>
      <c r="E10" s="1213" t="s">
        <v>3328</v>
      </c>
      <c r="F10" s="1214"/>
      <c r="G10" s="1215"/>
      <c r="H10" s="1216"/>
      <c r="I10" s="1214"/>
      <c r="J10" s="1215"/>
      <c r="K10" s="1215"/>
      <c r="L10" s="1215"/>
      <c r="M10" s="1215"/>
      <c r="N10" s="1215"/>
      <c r="O10" s="1215"/>
      <c r="P10" s="1209"/>
      <c r="Q10" s="1228" t="s">
        <v>3329</v>
      </c>
      <c r="R10" s="1218" t="s">
        <v>374</v>
      </c>
      <c r="S10" s="1209"/>
      <c r="T10" s="1209"/>
      <c r="U10" s="1209"/>
      <c r="V10" s="1209"/>
      <c r="W10" s="1209"/>
      <c r="X10" s="1209"/>
      <c r="Y10" s="1209"/>
      <c r="Z10" s="1209"/>
      <c r="AA10" s="1209"/>
      <c r="AB10" s="1209"/>
      <c r="AC10" s="1209"/>
    </row>
    <row r="11">
      <c r="A11" s="1209"/>
      <c r="B11" s="1210" t="s">
        <v>3229</v>
      </c>
      <c r="C11" s="1211" t="s">
        <v>1434</v>
      </c>
      <c r="D11" s="1212" t="s">
        <v>353</v>
      </c>
      <c r="E11" s="1213" t="s">
        <v>3330</v>
      </c>
      <c r="F11" s="1214"/>
      <c r="G11" s="1215"/>
      <c r="H11" s="1216"/>
      <c r="I11" s="1214"/>
      <c r="J11" s="1215"/>
      <c r="K11" s="1215"/>
      <c r="L11" s="1215"/>
      <c r="M11" s="1215"/>
      <c r="N11" s="1215"/>
      <c r="O11" s="1215"/>
      <c r="P11" s="1209"/>
      <c r="Q11" s="1229" t="s">
        <v>3331</v>
      </c>
      <c r="R11" s="1218" t="s">
        <v>353</v>
      </c>
      <c r="S11" s="1209"/>
      <c r="T11" s="1209"/>
      <c r="U11" s="1209"/>
      <c r="V11" s="1209"/>
      <c r="W11" s="1209"/>
      <c r="X11" s="1209"/>
      <c r="Y11" s="1209"/>
      <c r="Z11" s="1209"/>
      <c r="AA11" s="1209"/>
      <c r="AB11" s="1209"/>
      <c r="AC11" s="1209"/>
    </row>
    <row r="12">
      <c r="A12" s="1230"/>
      <c r="B12" s="1220" t="s">
        <v>3229</v>
      </c>
      <c r="C12" s="1221" t="s">
        <v>1434</v>
      </c>
      <c r="D12" s="1222" t="s">
        <v>415</v>
      </c>
      <c r="E12" s="1223" t="s">
        <v>3332</v>
      </c>
      <c r="F12" s="1214"/>
      <c r="G12" s="1215"/>
      <c r="H12" s="1216"/>
      <c r="I12" s="1214"/>
      <c r="J12" s="1215"/>
      <c r="K12" s="1215"/>
      <c r="L12" s="1215"/>
      <c r="M12" s="1215"/>
      <c r="N12" s="1215"/>
      <c r="O12" s="1215"/>
      <c r="P12" s="1209"/>
      <c r="Q12" s="1229" t="s">
        <v>3333</v>
      </c>
      <c r="R12" s="1209"/>
      <c r="S12" s="1209"/>
      <c r="T12" s="1209"/>
      <c r="U12" s="1209"/>
      <c r="V12" s="1209"/>
      <c r="W12" s="1209"/>
      <c r="X12" s="1209"/>
      <c r="Y12" s="1209"/>
      <c r="Z12" s="1209"/>
      <c r="AA12" s="1209"/>
      <c r="AB12" s="1209"/>
      <c r="AC12" s="1209"/>
    </row>
    <row r="13">
      <c r="A13" s="1209"/>
      <c r="B13" s="1210" t="s">
        <v>3229</v>
      </c>
      <c r="C13" s="1211" t="s">
        <v>1466</v>
      </c>
      <c r="D13" s="1212" t="s">
        <v>448</v>
      </c>
      <c r="E13" s="1213" t="s">
        <v>3334</v>
      </c>
      <c r="F13" s="1214"/>
      <c r="G13" s="1215"/>
      <c r="H13" s="1216"/>
      <c r="I13" s="1214"/>
      <c r="J13" s="1215"/>
      <c r="K13" s="1215"/>
      <c r="L13" s="1215"/>
      <c r="M13" s="1215"/>
      <c r="N13" s="1215"/>
      <c r="O13" s="1215"/>
      <c r="P13" s="1209"/>
      <c r="Q13" s="1217" t="s">
        <v>3335</v>
      </c>
      <c r="R13" s="1218" t="s">
        <v>3336</v>
      </c>
      <c r="S13" s="1209"/>
      <c r="T13" s="1209"/>
      <c r="U13" s="1209"/>
      <c r="V13" s="1209"/>
      <c r="W13" s="1209"/>
      <c r="X13" s="1209"/>
      <c r="Y13" s="1209"/>
      <c r="Z13" s="1209"/>
      <c r="AA13" s="1209"/>
      <c r="AB13" s="1209"/>
      <c r="AC13" s="1209"/>
    </row>
    <row r="14">
      <c r="A14" s="1218" t="s">
        <v>3337</v>
      </c>
      <c r="B14" s="1210" t="s">
        <v>3229</v>
      </c>
      <c r="C14" s="1211" t="s">
        <v>1466</v>
      </c>
      <c r="D14" s="1212" t="s">
        <v>505</v>
      </c>
      <c r="E14" s="1213" t="s">
        <v>3338</v>
      </c>
      <c r="F14" s="1214"/>
      <c r="G14" s="1215"/>
      <c r="H14" s="1216"/>
      <c r="I14" s="1214"/>
      <c r="J14" s="1215"/>
      <c r="K14" s="1215"/>
      <c r="L14" s="1215"/>
      <c r="M14" s="1215"/>
      <c r="N14" s="1215"/>
      <c r="O14" s="1215"/>
      <c r="P14" s="1209"/>
      <c r="Q14" s="1228" t="s">
        <v>3339</v>
      </c>
      <c r="R14" s="1218" t="s">
        <v>629</v>
      </c>
      <c r="S14" s="1209"/>
      <c r="T14" s="1209"/>
      <c r="U14" s="1209"/>
      <c r="V14" s="1209"/>
      <c r="W14" s="1209"/>
      <c r="X14" s="1209"/>
      <c r="Y14" s="1209"/>
      <c r="Z14" s="1209"/>
      <c r="AA14" s="1209"/>
      <c r="AB14" s="1209"/>
      <c r="AC14" s="1209"/>
    </row>
    <row r="15">
      <c r="A15" s="1209"/>
      <c r="B15" s="1210" t="s">
        <v>3229</v>
      </c>
      <c r="C15" s="1211" t="s">
        <v>1592</v>
      </c>
      <c r="D15" s="1212" t="s">
        <v>629</v>
      </c>
      <c r="E15" s="1213" t="s">
        <v>3340</v>
      </c>
      <c r="F15" s="1214"/>
      <c r="G15" s="1215"/>
      <c r="H15" s="1216"/>
      <c r="I15" s="1214"/>
      <c r="J15" s="1215"/>
      <c r="K15" s="1215"/>
      <c r="L15" s="1215"/>
      <c r="M15" s="1215"/>
      <c r="N15" s="1215"/>
      <c r="O15" s="1215"/>
      <c r="P15" s="1209"/>
      <c r="Q15" s="1231"/>
      <c r="R15" s="1209"/>
      <c r="S15" s="1209"/>
      <c r="T15" s="1209"/>
      <c r="U15" s="1209"/>
      <c r="V15" s="1209"/>
      <c r="W15" s="1209"/>
      <c r="X15" s="1209"/>
      <c r="Y15" s="1209"/>
      <c r="Z15" s="1209"/>
      <c r="AA15" s="1209"/>
      <c r="AB15" s="1209"/>
      <c r="AC15" s="1209"/>
    </row>
    <row r="16">
      <c r="A16" s="1218" t="s">
        <v>3341</v>
      </c>
      <c r="B16" s="1210" t="s">
        <v>3229</v>
      </c>
      <c r="C16" s="1211" t="s">
        <v>1592</v>
      </c>
      <c r="D16" s="1212" t="s">
        <v>610</v>
      </c>
      <c r="E16" s="1213" t="s">
        <v>3342</v>
      </c>
      <c r="F16" s="1214"/>
      <c r="G16" s="1215"/>
      <c r="H16" s="1216"/>
      <c r="I16" s="1214"/>
      <c r="J16" s="1215"/>
      <c r="K16" s="1215"/>
      <c r="L16" s="1215"/>
      <c r="M16" s="1215"/>
      <c r="N16" s="1215"/>
      <c r="O16" s="1215"/>
      <c r="P16" s="1209"/>
      <c r="Q16" s="1229" t="s">
        <v>3343</v>
      </c>
      <c r="R16" s="1209"/>
      <c r="S16" s="1209"/>
      <c r="T16" s="1209"/>
      <c r="U16" s="1209"/>
      <c r="V16" s="1209"/>
      <c r="W16" s="1209"/>
      <c r="X16" s="1209"/>
      <c r="Y16" s="1209"/>
      <c r="Z16" s="1209"/>
      <c r="AA16" s="1209"/>
      <c r="AB16" s="1209"/>
      <c r="AC16" s="1209"/>
    </row>
    <row r="17">
      <c r="A17" s="1209"/>
      <c r="B17" s="1210" t="s">
        <v>3229</v>
      </c>
      <c r="C17" s="1211" t="s">
        <v>1592</v>
      </c>
      <c r="D17" s="1212" t="s">
        <v>643</v>
      </c>
      <c r="E17" s="1213" t="s">
        <v>3344</v>
      </c>
      <c r="F17" s="1214"/>
      <c r="G17" s="1215"/>
      <c r="H17" s="1216"/>
      <c r="I17" s="1214"/>
      <c r="J17" s="1215"/>
      <c r="K17" s="1215"/>
      <c r="L17" s="1215"/>
      <c r="M17" s="1215"/>
      <c r="N17" s="1215"/>
      <c r="O17" s="1215"/>
      <c r="P17" s="1209"/>
      <c r="Q17" s="1229" t="s">
        <v>3345</v>
      </c>
      <c r="R17" s="1218"/>
      <c r="S17" s="1209"/>
      <c r="T17" s="1209"/>
      <c r="U17" s="1209"/>
      <c r="V17" s="1209"/>
      <c r="W17" s="1209"/>
      <c r="X17" s="1209"/>
      <c r="Y17" s="1209"/>
      <c r="Z17" s="1209"/>
      <c r="AA17" s="1209"/>
      <c r="AB17" s="1209"/>
      <c r="AC17" s="1209"/>
    </row>
    <row r="18">
      <c r="A18" s="1220" t="s">
        <v>3346</v>
      </c>
      <c r="B18" s="1220" t="s">
        <v>3229</v>
      </c>
      <c r="C18" s="1221" t="s">
        <v>1694</v>
      </c>
      <c r="D18" s="1222" t="s">
        <v>822</v>
      </c>
      <c r="E18" s="1223" t="s">
        <v>3347</v>
      </c>
      <c r="F18" s="1214"/>
      <c r="G18" s="1215"/>
      <c r="H18" s="1232"/>
      <c r="I18" s="1214"/>
      <c r="J18" s="1214"/>
      <c r="K18" s="1214"/>
      <c r="L18" s="1214"/>
      <c r="M18" s="1214"/>
      <c r="N18" s="1214"/>
      <c r="O18" s="1215"/>
      <c r="P18" s="1209"/>
      <c r="Q18" s="1229" t="s">
        <v>3348</v>
      </c>
      <c r="R18" s="1218"/>
      <c r="S18" s="1209"/>
      <c r="T18" s="1209"/>
      <c r="U18" s="1209"/>
      <c r="V18" s="1209"/>
      <c r="W18" s="1209"/>
      <c r="X18" s="1209"/>
      <c r="Y18" s="1209"/>
      <c r="Z18" s="1209"/>
      <c r="AA18" s="1209"/>
      <c r="AB18" s="1209"/>
      <c r="AC18" s="1209"/>
    </row>
    <row r="19">
      <c r="A19" s="1220" t="s">
        <v>3346</v>
      </c>
      <c r="B19" s="1220" t="s">
        <v>3229</v>
      </c>
      <c r="C19" s="1221" t="s">
        <v>1694</v>
      </c>
      <c r="D19" s="1222" t="s">
        <v>848</v>
      </c>
      <c r="E19" s="1223" t="s">
        <v>3349</v>
      </c>
      <c r="F19" s="1214"/>
      <c r="G19" s="1215"/>
      <c r="H19" s="1216"/>
      <c r="I19" s="1214"/>
      <c r="J19" s="1215"/>
      <c r="K19" s="1215"/>
      <c r="L19" s="1215"/>
      <c r="M19" s="1215"/>
      <c r="N19" s="1215"/>
      <c r="O19" s="1215"/>
      <c r="P19" s="1209"/>
      <c r="Q19" s="1229" t="s">
        <v>3350</v>
      </c>
      <c r="R19" s="1218"/>
      <c r="S19" s="1209"/>
      <c r="T19" s="1209"/>
      <c r="U19" s="1209"/>
      <c r="V19" s="1209"/>
      <c r="W19" s="1209"/>
      <c r="X19" s="1209"/>
      <c r="Y19" s="1209"/>
      <c r="Z19" s="1209"/>
      <c r="AA19" s="1209"/>
      <c r="AB19" s="1209"/>
      <c r="AC19" s="1209"/>
    </row>
    <row r="20">
      <c r="A20" s="1220" t="s">
        <v>3322</v>
      </c>
      <c r="B20" s="1220" t="s">
        <v>3229</v>
      </c>
      <c r="C20" s="1221" t="s">
        <v>1832</v>
      </c>
      <c r="D20" s="1222" t="s">
        <v>945</v>
      </c>
      <c r="E20" s="1223" t="s">
        <v>3351</v>
      </c>
      <c r="F20" s="1214"/>
      <c r="G20" s="1215"/>
      <c r="H20" s="1216"/>
      <c r="I20" s="1214"/>
      <c r="J20" s="1215"/>
      <c r="K20" s="1215"/>
      <c r="L20" s="1215"/>
      <c r="M20" s="1215"/>
      <c r="N20" s="1215"/>
      <c r="O20" s="1215"/>
      <c r="P20" s="1209"/>
      <c r="Q20" s="1229" t="s">
        <v>3352</v>
      </c>
      <c r="R20" s="1218"/>
      <c r="S20" s="1209"/>
      <c r="T20" s="1209"/>
      <c r="U20" s="1209"/>
      <c r="V20" s="1209"/>
      <c r="W20" s="1209"/>
      <c r="X20" s="1209"/>
      <c r="Y20" s="1209"/>
      <c r="Z20" s="1209"/>
      <c r="AA20" s="1209"/>
      <c r="AB20" s="1209"/>
      <c r="AC20" s="1209"/>
    </row>
    <row r="21">
      <c r="A21" s="1220" t="s">
        <v>3322</v>
      </c>
      <c r="B21" s="1220" t="s">
        <v>3229</v>
      </c>
      <c r="C21" s="1221" t="s">
        <v>1832</v>
      </c>
      <c r="D21" s="1233" t="s">
        <v>967</v>
      </c>
      <c r="E21" s="1223" t="s">
        <v>3353</v>
      </c>
      <c r="F21" s="1214"/>
      <c r="G21" s="1215"/>
      <c r="H21" s="1216"/>
      <c r="I21" s="1214"/>
      <c r="J21" s="1215"/>
      <c r="K21" s="1215"/>
      <c r="L21" s="1215"/>
      <c r="M21" s="1215"/>
      <c r="N21" s="1215"/>
      <c r="O21" s="1215"/>
      <c r="P21" s="1209"/>
      <c r="Q21" s="1229" t="s">
        <v>3354</v>
      </c>
      <c r="R21" s="1218"/>
      <c r="S21" s="1209"/>
      <c r="T21" s="1209"/>
      <c r="U21" s="1209"/>
      <c r="V21" s="1209"/>
      <c r="W21" s="1209"/>
      <c r="X21" s="1209"/>
      <c r="Y21" s="1209"/>
      <c r="Z21" s="1209"/>
      <c r="AA21" s="1209"/>
      <c r="AB21" s="1209"/>
      <c r="AC21" s="1209"/>
    </row>
    <row r="22">
      <c r="A22" s="1218" t="s">
        <v>3322</v>
      </c>
      <c r="B22" s="1210" t="s">
        <v>3229</v>
      </c>
      <c r="C22" s="1211" t="s">
        <v>1832</v>
      </c>
      <c r="D22" s="1212" t="s">
        <v>986</v>
      </c>
      <c r="E22" s="1213" t="s">
        <v>3355</v>
      </c>
      <c r="F22" s="1214"/>
      <c r="G22" s="1215"/>
      <c r="H22" s="1216"/>
      <c r="I22" s="1214"/>
      <c r="J22" s="1215"/>
      <c r="K22" s="1215"/>
      <c r="L22" s="1215"/>
      <c r="M22" s="1215"/>
      <c r="N22" s="1215"/>
      <c r="O22" s="1215"/>
      <c r="P22" s="1209"/>
      <c r="Q22" s="1234" t="s">
        <v>3356</v>
      </c>
      <c r="R22" s="1209"/>
      <c r="S22" s="1209"/>
      <c r="T22" s="1209"/>
      <c r="U22" s="1209"/>
      <c r="V22" s="1209"/>
      <c r="W22" s="1209"/>
      <c r="X22" s="1209"/>
      <c r="Y22" s="1209"/>
      <c r="Z22" s="1209"/>
      <c r="AA22" s="1209"/>
      <c r="AB22" s="1209"/>
      <c r="AC22" s="1209"/>
    </row>
    <row r="23">
      <c r="A23" s="1218" t="s">
        <v>3322</v>
      </c>
      <c r="B23" s="1210" t="s">
        <v>3229</v>
      </c>
      <c r="C23" s="1211" t="s">
        <v>1832</v>
      </c>
      <c r="D23" s="1212" t="s">
        <v>1006</v>
      </c>
      <c r="E23" s="1213" t="s">
        <v>3357</v>
      </c>
      <c r="F23" s="1214"/>
      <c r="G23" s="1215"/>
      <c r="H23" s="1216"/>
      <c r="I23" s="1235"/>
      <c r="J23" s="1215"/>
      <c r="K23" s="1215"/>
      <c r="L23" s="1215"/>
      <c r="M23" s="1215"/>
      <c r="N23" s="1215"/>
      <c r="O23" s="1215"/>
      <c r="P23" s="1209"/>
      <c r="Q23" s="1229" t="s">
        <v>3358</v>
      </c>
      <c r="R23" s="1218"/>
      <c r="S23" s="1209"/>
      <c r="T23" s="1209"/>
      <c r="U23" s="1209"/>
      <c r="V23" s="1209"/>
      <c r="W23" s="1209"/>
      <c r="X23" s="1209"/>
      <c r="Y23" s="1209"/>
      <c r="Z23" s="1209"/>
      <c r="AA23" s="1209"/>
      <c r="AB23" s="1209"/>
      <c r="AC23" s="1209"/>
    </row>
    <row r="24">
      <c r="A24" s="1209"/>
      <c r="B24" s="1210" t="s">
        <v>1259</v>
      </c>
      <c r="C24" s="1211" t="s">
        <v>1249</v>
      </c>
      <c r="D24" s="1212" t="s">
        <v>27</v>
      </c>
      <c r="E24" s="1213" t="s">
        <v>3359</v>
      </c>
      <c r="F24" s="1236">
        <v>950000.0</v>
      </c>
      <c r="G24" s="1215"/>
      <c r="H24" s="1216"/>
      <c r="I24" s="1214" t="s">
        <v>33</v>
      </c>
      <c r="J24" s="1215" t="s">
        <v>1257</v>
      </c>
      <c r="K24" s="1215" t="s">
        <v>3360</v>
      </c>
      <c r="L24" s="1210" t="s">
        <v>677</v>
      </c>
      <c r="M24" s="1215" t="s">
        <v>3361</v>
      </c>
      <c r="N24" s="1215"/>
      <c r="O24" s="1215"/>
      <c r="P24" s="1209"/>
      <c r="Q24" s="1217" t="s">
        <v>3362</v>
      </c>
      <c r="R24" s="1209"/>
      <c r="S24" s="1209"/>
      <c r="T24" s="1209"/>
      <c r="U24" s="1209"/>
      <c r="V24" s="1209"/>
      <c r="W24" s="1209"/>
      <c r="X24" s="1209"/>
      <c r="Y24" s="1209"/>
      <c r="Z24" s="1209"/>
      <c r="AA24" s="1209"/>
      <c r="AB24" s="1209"/>
      <c r="AC24" s="1209"/>
    </row>
    <row r="25">
      <c r="A25" s="1209"/>
      <c r="B25" s="1210" t="s">
        <v>1259</v>
      </c>
      <c r="C25" s="1211" t="s">
        <v>1628</v>
      </c>
      <c r="D25" s="1237" t="s">
        <v>666</v>
      </c>
      <c r="E25" s="1213" t="s">
        <v>3363</v>
      </c>
      <c r="F25" s="1236">
        <v>500000.0</v>
      </c>
      <c r="G25" s="1215"/>
      <c r="H25" s="1238"/>
      <c r="I25" s="1239" t="s">
        <v>33</v>
      </c>
      <c r="J25" s="1239" t="s">
        <v>1257</v>
      </c>
      <c r="K25" s="1239" t="s">
        <v>3360</v>
      </c>
      <c r="L25" s="1239" t="s">
        <v>3364</v>
      </c>
      <c r="M25" s="1240" t="s">
        <v>3365</v>
      </c>
      <c r="N25" s="1240"/>
      <c r="O25" s="1215"/>
      <c r="P25" s="1209"/>
      <c r="Q25" s="1241" t="s">
        <v>3366</v>
      </c>
      <c r="R25" s="1218"/>
      <c r="S25" s="1209"/>
      <c r="T25" s="1209"/>
      <c r="U25" s="1209"/>
      <c r="V25" s="1209"/>
      <c r="W25" s="1209"/>
      <c r="X25" s="1209"/>
      <c r="Y25" s="1209"/>
      <c r="Z25" s="1209"/>
      <c r="AA25" s="1209"/>
      <c r="AB25" s="1209"/>
      <c r="AC25" s="1209"/>
    </row>
    <row r="26">
      <c r="A26" s="1209"/>
      <c r="B26" s="1210" t="s">
        <v>1259</v>
      </c>
      <c r="C26" s="1211" t="s">
        <v>1680</v>
      </c>
      <c r="D26" s="1237" t="s">
        <v>682</v>
      </c>
      <c r="E26" s="1213" t="s">
        <v>3367</v>
      </c>
      <c r="F26" s="1236">
        <v>800000.0</v>
      </c>
      <c r="G26" s="1215"/>
      <c r="H26" s="1232"/>
      <c r="I26" s="1214" t="s">
        <v>33</v>
      </c>
      <c r="J26" s="1214" t="s">
        <v>1257</v>
      </c>
      <c r="K26" s="1214" t="s">
        <v>3360</v>
      </c>
      <c r="L26" s="1214" t="s">
        <v>3368</v>
      </c>
      <c r="M26" s="1214" t="s">
        <v>3369</v>
      </c>
      <c r="N26" s="1214"/>
      <c r="O26" s="1215"/>
      <c r="P26" s="1209"/>
      <c r="Q26" s="1229" t="s">
        <v>3370</v>
      </c>
      <c r="R26" s="1218"/>
      <c r="S26" s="1209"/>
      <c r="T26" s="1209"/>
      <c r="U26" s="1209"/>
      <c r="V26" s="1209"/>
      <c r="W26" s="1209"/>
      <c r="X26" s="1209"/>
      <c r="Y26" s="1209"/>
      <c r="Z26" s="1209"/>
      <c r="AA26" s="1209"/>
      <c r="AB26" s="1209"/>
      <c r="AC26" s="1209"/>
    </row>
    <row r="27">
      <c r="A27" s="1209"/>
      <c r="B27" s="1210" t="s">
        <v>1259</v>
      </c>
      <c r="C27" s="1211" t="s">
        <v>1694</v>
      </c>
      <c r="D27" s="1237" t="s">
        <v>699</v>
      </c>
      <c r="E27" s="1213" t="s">
        <v>3371</v>
      </c>
      <c r="F27" s="1236">
        <v>650000.0</v>
      </c>
      <c r="G27" s="1215"/>
      <c r="H27" s="1242"/>
      <c r="I27" s="1243" t="s">
        <v>3372</v>
      </c>
      <c r="J27" s="1239" t="s">
        <v>3373</v>
      </c>
      <c r="K27" s="1239" t="s">
        <v>3374</v>
      </c>
      <c r="L27" s="1239" t="s">
        <v>3375</v>
      </c>
      <c r="M27" s="1239"/>
      <c r="N27" s="1239"/>
      <c r="O27" s="1215"/>
      <c r="P27" s="1209"/>
      <c r="Q27" s="1228" t="s">
        <v>3376</v>
      </c>
      <c r="R27" s="1218"/>
      <c r="S27" s="1209"/>
      <c r="T27" s="1209"/>
      <c r="U27" s="1209"/>
      <c r="V27" s="1209"/>
      <c r="W27" s="1209"/>
      <c r="X27" s="1209"/>
      <c r="Y27" s="1209"/>
      <c r="Z27" s="1209"/>
      <c r="AA27" s="1209"/>
      <c r="AB27" s="1209"/>
      <c r="AC27" s="1209"/>
    </row>
    <row r="28">
      <c r="A28" s="1209"/>
      <c r="B28" s="1210" t="s">
        <v>1259</v>
      </c>
      <c r="C28" s="1211" t="s">
        <v>1694</v>
      </c>
      <c r="D28" s="1237" t="s">
        <v>730</v>
      </c>
      <c r="E28" s="1213" t="s">
        <v>3377</v>
      </c>
      <c r="F28" s="1236">
        <v>870000.0</v>
      </c>
      <c r="G28" s="1215"/>
      <c r="H28" s="1232"/>
      <c r="I28" s="1214" t="s">
        <v>33</v>
      </c>
      <c r="J28" s="1214">
        <v>1.092072588E9</v>
      </c>
      <c r="K28" s="1214" t="s">
        <v>3360</v>
      </c>
      <c r="L28" s="1214" t="s">
        <v>3364</v>
      </c>
      <c r="M28" s="1214" t="s">
        <v>3378</v>
      </c>
      <c r="N28" s="1214"/>
      <c r="O28" s="1215"/>
      <c r="P28" s="1209"/>
      <c r="Q28" s="1244" t="s">
        <v>3379</v>
      </c>
      <c r="R28" s="1218"/>
      <c r="S28" s="1209"/>
      <c r="T28" s="1209"/>
      <c r="U28" s="1209"/>
      <c r="V28" s="1209"/>
      <c r="W28" s="1209"/>
      <c r="X28" s="1209"/>
      <c r="Y28" s="1209"/>
      <c r="Z28" s="1209"/>
      <c r="AA28" s="1209"/>
      <c r="AB28" s="1209"/>
      <c r="AC28" s="1209"/>
    </row>
    <row r="29">
      <c r="A29" s="1209"/>
      <c r="B29" s="1210" t="s">
        <v>1259</v>
      </c>
      <c r="C29" s="1211" t="s">
        <v>1694</v>
      </c>
      <c r="D29" s="1237" t="s">
        <v>760</v>
      </c>
      <c r="E29" s="1213" t="s">
        <v>3380</v>
      </c>
      <c r="F29" s="1236">
        <v>1010000.0</v>
      </c>
      <c r="G29" s="1215"/>
      <c r="H29" s="1245">
        <v>16500.0</v>
      </c>
      <c r="I29" s="1246" t="s">
        <v>33</v>
      </c>
      <c r="J29" s="1239" t="s">
        <v>1257</v>
      </c>
      <c r="K29" s="1239" t="s">
        <v>3360</v>
      </c>
      <c r="L29" s="1239" t="s">
        <v>3375</v>
      </c>
      <c r="M29" s="1247" t="s">
        <v>3381</v>
      </c>
      <c r="N29" s="1247" t="s">
        <v>3382</v>
      </c>
      <c r="O29" s="1210" t="s">
        <v>3383</v>
      </c>
      <c r="P29" s="1209"/>
      <c r="Q29" s="1229" t="s">
        <v>3384</v>
      </c>
      <c r="R29" s="1218"/>
      <c r="S29" s="1209"/>
      <c r="T29" s="1209"/>
      <c r="U29" s="1209"/>
      <c r="V29" s="1209"/>
      <c r="W29" s="1209"/>
      <c r="X29" s="1209"/>
      <c r="Y29" s="1209"/>
      <c r="Z29" s="1209"/>
      <c r="AA29" s="1209"/>
      <c r="AB29" s="1209"/>
      <c r="AC29" s="1209"/>
    </row>
    <row r="30">
      <c r="A30" s="1209"/>
      <c r="B30" s="1210" t="s">
        <v>1259</v>
      </c>
      <c r="C30" s="1211" t="s">
        <v>1694</v>
      </c>
      <c r="D30" s="1211" t="s">
        <v>778</v>
      </c>
      <c r="E30" s="1213" t="s">
        <v>3385</v>
      </c>
      <c r="F30" s="1236">
        <v>800000.0</v>
      </c>
      <c r="G30" s="1215"/>
      <c r="H30" s="1248"/>
      <c r="I30" s="1249" t="s">
        <v>3301</v>
      </c>
      <c r="J30" s="1250" t="s">
        <v>3386</v>
      </c>
      <c r="K30" s="1249" t="s">
        <v>3387</v>
      </c>
      <c r="L30" s="1249" t="s">
        <v>3388</v>
      </c>
      <c r="M30" s="1250"/>
      <c r="N30" s="1247" t="s">
        <v>3382</v>
      </c>
      <c r="O30" s="1210" t="s">
        <v>3389</v>
      </c>
      <c r="P30" s="1209"/>
      <c r="Q30" s="1229" t="s">
        <v>3390</v>
      </c>
      <c r="R30" s="1218"/>
      <c r="S30" s="1209"/>
      <c r="T30" s="1209"/>
      <c r="U30" s="1209"/>
      <c r="V30" s="1209"/>
      <c r="W30" s="1209"/>
      <c r="X30" s="1209"/>
      <c r="Y30" s="1209"/>
      <c r="Z30" s="1209"/>
      <c r="AA30" s="1209"/>
      <c r="AB30" s="1209"/>
      <c r="AC30" s="1209"/>
    </row>
    <row r="31">
      <c r="A31" s="1209"/>
      <c r="B31" s="1210" t="s">
        <v>1259</v>
      </c>
      <c r="C31" s="1211" t="s">
        <v>1694</v>
      </c>
      <c r="D31" s="1237" t="s">
        <v>804</v>
      </c>
      <c r="E31" s="1213" t="s">
        <v>3391</v>
      </c>
      <c r="F31" s="1236">
        <v>700000.0</v>
      </c>
      <c r="G31" s="1215"/>
      <c r="H31" s="1238"/>
      <c r="I31" s="1239" t="s">
        <v>33</v>
      </c>
      <c r="J31" s="1239" t="s">
        <v>1257</v>
      </c>
      <c r="K31" s="1239" t="s">
        <v>3360</v>
      </c>
      <c r="L31" s="1239" t="s">
        <v>3368</v>
      </c>
      <c r="M31" s="1239" t="s">
        <v>3392</v>
      </c>
      <c r="N31" s="1239"/>
      <c r="O31" s="1215"/>
      <c r="P31" s="1209"/>
      <c r="Q31" s="1229" t="s">
        <v>3393</v>
      </c>
      <c r="R31" s="1218"/>
      <c r="S31" s="1209"/>
      <c r="T31" s="1209"/>
      <c r="U31" s="1209"/>
      <c r="V31" s="1209"/>
      <c r="W31" s="1209"/>
      <c r="X31" s="1209"/>
      <c r="Y31" s="1209"/>
      <c r="Z31" s="1209"/>
      <c r="AA31" s="1209"/>
      <c r="AB31" s="1209"/>
      <c r="AC31" s="1209"/>
    </row>
    <row r="32">
      <c r="A32" s="1209"/>
      <c r="B32" s="1210" t="s">
        <v>1259</v>
      </c>
      <c r="C32" s="1211" t="s">
        <v>1832</v>
      </c>
      <c r="D32" s="1237" t="s">
        <v>888</v>
      </c>
      <c r="E32" s="1213" t="s">
        <v>3394</v>
      </c>
      <c r="F32" s="1236">
        <v>500000.0</v>
      </c>
      <c r="G32" s="1215"/>
      <c r="H32" s="1238"/>
      <c r="I32" s="1239" t="s">
        <v>33</v>
      </c>
      <c r="J32" s="1239" t="s">
        <v>1257</v>
      </c>
      <c r="K32" s="1239" t="s">
        <v>3360</v>
      </c>
      <c r="L32" s="1239" t="s">
        <v>3395</v>
      </c>
      <c r="M32" s="1239" t="s">
        <v>3378</v>
      </c>
      <c r="N32" s="1239"/>
      <c r="O32" s="1215"/>
      <c r="P32" s="1209"/>
      <c r="Q32" s="1251" t="s">
        <v>3396</v>
      </c>
      <c r="R32" s="1218"/>
      <c r="S32" s="1209"/>
      <c r="T32" s="1209"/>
      <c r="U32" s="1209"/>
      <c r="V32" s="1209"/>
      <c r="W32" s="1209"/>
      <c r="X32" s="1209"/>
      <c r="Y32" s="1209"/>
      <c r="Z32" s="1209"/>
      <c r="AA32" s="1209"/>
      <c r="AB32" s="1209"/>
      <c r="AC32" s="1209"/>
    </row>
    <row r="33">
      <c r="A33" s="1209"/>
      <c r="B33" s="1210" t="s">
        <v>1259</v>
      </c>
      <c r="C33" s="1211" t="s">
        <v>1832</v>
      </c>
      <c r="D33" s="1237" t="s">
        <v>897</v>
      </c>
      <c r="E33" s="1213" t="s">
        <v>3397</v>
      </c>
      <c r="F33" s="1236">
        <v>1020000.0</v>
      </c>
      <c r="G33" s="1215"/>
      <c r="H33" s="1238"/>
      <c r="I33" s="1239" t="s">
        <v>33</v>
      </c>
      <c r="J33" s="1239" t="s">
        <v>1257</v>
      </c>
      <c r="K33" s="1239" t="s">
        <v>3360</v>
      </c>
      <c r="L33" s="1252" t="s">
        <v>3375</v>
      </c>
      <c r="M33" s="1253" t="s">
        <v>3398</v>
      </c>
      <c r="N33" s="1253"/>
      <c r="O33" s="1215"/>
      <c r="P33" s="1209"/>
      <c r="Q33" s="1229" t="s">
        <v>3399</v>
      </c>
      <c r="R33" s="1209"/>
      <c r="S33" s="1209"/>
      <c r="T33" s="1209"/>
      <c r="U33" s="1209"/>
      <c r="V33" s="1209"/>
      <c r="W33" s="1209"/>
      <c r="X33" s="1209"/>
      <c r="Y33" s="1209"/>
      <c r="Z33" s="1209"/>
      <c r="AA33" s="1209"/>
      <c r="AB33" s="1209"/>
      <c r="AC33" s="1209"/>
    </row>
    <row r="34">
      <c r="A34" s="1209"/>
      <c r="B34" s="1210" t="s">
        <v>1259</v>
      </c>
      <c r="C34" s="1211" t="s">
        <v>1832</v>
      </c>
      <c r="D34" s="1254" t="s">
        <v>918</v>
      </c>
      <c r="E34" s="1213" t="s">
        <v>3400</v>
      </c>
      <c r="F34" s="1236">
        <v>850000.0</v>
      </c>
      <c r="G34" s="1215"/>
      <c r="H34" s="1255"/>
      <c r="I34" s="1256" t="s">
        <v>33</v>
      </c>
      <c r="J34" s="1239" t="s">
        <v>1257</v>
      </c>
      <c r="K34" s="1239" t="s">
        <v>3374</v>
      </c>
      <c r="L34" s="1239" t="s">
        <v>3395</v>
      </c>
      <c r="M34" s="1239" t="s">
        <v>3401</v>
      </c>
      <c r="N34" s="1239"/>
      <c r="O34" s="1215"/>
      <c r="P34" s="1209"/>
      <c r="Q34" s="1229" t="s">
        <v>3402</v>
      </c>
      <c r="R34" s="1218"/>
      <c r="S34" s="1209"/>
      <c r="T34" s="1209"/>
      <c r="U34" s="1209"/>
      <c r="V34" s="1209"/>
      <c r="W34" s="1209"/>
      <c r="X34" s="1209"/>
      <c r="Y34" s="1209"/>
      <c r="Z34" s="1209"/>
      <c r="AA34" s="1209"/>
      <c r="AB34" s="1209"/>
      <c r="AC34" s="1209"/>
    </row>
    <row r="35">
      <c r="A35" s="1209"/>
      <c r="B35" s="1210" t="s">
        <v>1259</v>
      </c>
      <c r="C35" s="1211" t="s">
        <v>1938</v>
      </c>
      <c r="D35" s="1212" t="s">
        <v>1055</v>
      </c>
      <c r="E35" s="1213" t="s">
        <v>3403</v>
      </c>
      <c r="F35" s="1236">
        <v>910000.0</v>
      </c>
      <c r="G35" s="1215"/>
      <c r="H35" s="1238"/>
      <c r="I35" s="1239" t="s">
        <v>33</v>
      </c>
      <c r="J35" s="1239" t="s">
        <v>1257</v>
      </c>
      <c r="K35" s="1239" t="s">
        <v>3360</v>
      </c>
      <c r="L35" s="1239" t="s">
        <v>3368</v>
      </c>
      <c r="M35" s="1239" t="s">
        <v>3404</v>
      </c>
      <c r="N35" s="1252" t="s">
        <v>3405</v>
      </c>
      <c r="O35" s="1215"/>
      <c r="P35" s="1209"/>
      <c r="Q35" s="1257" t="s">
        <v>3406</v>
      </c>
      <c r="R35" s="1209"/>
      <c r="S35" s="1209"/>
      <c r="T35" s="1209"/>
      <c r="U35" s="1209"/>
      <c r="V35" s="1209"/>
      <c r="W35" s="1209"/>
      <c r="X35" s="1209"/>
      <c r="Y35" s="1209"/>
      <c r="Z35" s="1209"/>
      <c r="AA35" s="1209"/>
      <c r="AB35" s="1209"/>
      <c r="AC35" s="1209"/>
    </row>
    <row r="36">
      <c r="A36" s="1218" t="s">
        <v>3322</v>
      </c>
      <c r="B36" s="1210" t="s">
        <v>3300</v>
      </c>
      <c r="C36" s="1224" t="s">
        <v>1387</v>
      </c>
      <c r="D36" s="1224" t="s">
        <v>328</v>
      </c>
      <c r="E36" s="1226" t="s">
        <v>3407</v>
      </c>
      <c r="F36" s="1214"/>
      <c r="G36" s="1215"/>
      <c r="H36" s="1216"/>
      <c r="I36" s="1214"/>
      <c r="J36" s="1215"/>
      <c r="K36" s="1215"/>
      <c r="L36" s="1215"/>
      <c r="M36" s="1215"/>
      <c r="N36" s="1215"/>
      <c r="O36" s="1215"/>
      <c r="P36" s="1209"/>
      <c r="Q36" s="1227"/>
      <c r="R36" s="1218"/>
      <c r="S36" s="1209"/>
      <c r="T36" s="1209"/>
      <c r="U36" s="1209"/>
      <c r="V36" s="1209"/>
      <c r="W36" s="1209"/>
      <c r="X36" s="1209"/>
      <c r="Y36" s="1209"/>
      <c r="Z36" s="1209"/>
      <c r="AA36" s="1209"/>
      <c r="AB36" s="1209"/>
      <c r="AC36" s="1209"/>
    </row>
    <row r="37">
      <c r="A37" s="1209"/>
      <c r="B37" s="1210" t="s">
        <v>3229</v>
      </c>
      <c r="C37" s="1211" t="s">
        <v>1466</v>
      </c>
      <c r="D37" s="1225" t="s">
        <v>553</v>
      </c>
      <c r="E37" s="1226" t="s">
        <v>3408</v>
      </c>
      <c r="F37" s="1214"/>
      <c r="G37" s="1215"/>
      <c r="H37" s="1216"/>
      <c r="I37" s="1214"/>
      <c r="J37" s="1215"/>
      <c r="K37" s="1215"/>
      <c r="L37" s="1215"/>
      <c r="M37" s="1215"/>
      <c r="N37" s="1215"/>
      <c r="O37" s="1215"/>
      <c r="P37" s="1209"/>
      <c r="Q37" s="1229" t="s">
        <v>3409</v>
      </c>
      <c r="R37" s="1218" t="s">
        <v>448</v>
      </c>
      <c r="S37" s="1209"/>
      <c r="T37" s="1209"/>
      <c r="U37" s="1209"/>
      <c r="V37" s="1209"/>
      <c r="W37" s="1209"/>
      <c r="X37" s="1209"/>
      <c r="Y37" s="1209"/>
      <c r="Z37" s="1209"/>
      <c r="AA37" s="1209"/>
      <c r="AB37" s="1209"/>
      <c r="AC37" s="1209"/>
    </row>
    <row r="38">
      <c r="A38" s="1218" t="s">
        <v>3346</v>
      </c>
      <c r="B38" s="1210" t="s">
        <v>3300</v>
      </c>
      <c r="C38" s="1211" t="s">
        <v>1466</v>
      </c>
      <c r="D38" s="1225" t="s">
        <v>474</v>
      </c>
      <c r="E38" s="1226" t="s">
        <v>3410</v>
      </c>
      <c r="F38" s="1214"/>
      <c r="G38" s="1215"/>
      <c r="H38" s="1216"/>
      <c r="I38" s="1214"/>
      <c r="J38" s="1215"/>
      <c r="K38" s="1215"/>
      <c r="L38" s="1215"/>
      <c r="M38" s="1215"/>
      <c r="N38" s="1215"/>
      <c r="O38" s="1215"/>
      <c r="P38" s="1209"/>
      <c r="Q38" s="1229" t="s">
        <v>3411</v>
      </c>
      <c r="R38" s="1209"/>
      <c r="S38" s="1209"/>
      <c r="T38" s="1209"/>
      <c r="U38" s="1209"/>
      <c r="V38" s="1209"/>
      <c r="W38" s="1209"/>
      <c r="X38" s="1209"/>
      <c r="Y38" s="1209"/>
      <c r="Z38" s="1209"/>
      <c r="AA38" s="1209"/>
      <c r="AB38" s="1209"/>
      <c r="AC38" s="1209"/>
    </row>
    <row r="39">
      <c r="A39" s="1209"/>
      <c r="B39" s="1210" t="s">
        <v>3300</v>
      </c>
      <c r="C39" s="1211" t="s">
        <v>1466</v>
      </c>
      <c r="D39" s="1212" t="s">
        <v>577</v>
      </c>
      <c r="E39" s="1213" t="s">
        <v>3412</v>
      </c>
      <c r="F39" s="1214"/>
      <c r="G39" s="1215"/>
      <c r="H39" s="1216"/>
      <c r="I39" s="1214"/>
      <c r="J39" s="1215"/>
      <c r="K39" s="1215"/>
      <c r="L39" s="1215"/>
      <c r="M39" s="1215"/>
      <c r="N39" s="1215"/>
      <c r="O39" s="1215"/>
      <c r="P39" s="1209"/>
      <c r="Q39" s="1257" t="s">
        <v>3413</v>
      </c>
      <c r="R39" s="1209"/>
      <c r="S39" s="1209"/>
      <c r="T39" s="1209"/>
      <c r="U39" s="1209"/>
      <c r="V39" s="1209"/>
      <c r="W39" s="1209"/>
      <c r="X39" s="1209"/>
      <c r="Y39" s="1209"/>
      <c r="Z39" s="1209"/>
      <c r="AA39" s="1209"/>
      <c r="AB39" s="1209"/>
      <c r="AC39" s="1209"/>
    </row>
    <row r="40">
      <c r="A40" s="1218" t="s">
        <v>3322</v>
      </c>
      <c r="B40" s="1210" t="s">
        <v>3300</v>
      </c>
      <c r="C40" s="1211" t="s">
        <v>1832</v>
      </c>
      <c r="D40" s="1212" t="s">
        <v>1021</v>
      </c>
      <c r="E40" s="1226" t="s">
        <v>3414</v>
      </c>
      <c r="F40" s="1214"/>
      <c r="G40" s="1215"/>
      <c r="H40" s="1216"/>
      <c r="I40" s="1214"/>
      <c r="J40" s="1215"/>
      <c r="K40" s="1215"/>
      <c r="L40" s="1215"/>
      <c r="M40" s="1215"/>
      <c r="N40" s="1215"/>
      <c r="O40" s="1215"/>
      <c r="P40" s="1209"/>
      <c r="Q40" s="1258" t="s">
        <v>3415</v>
      </c>
      <c r="R40" s="1218"/>
      <c r="S40" s="1209"/>
      <c r="T40" s="1209"/>
      <c r="U40" s="1209"/>
      <c r="V40" s="1209"/>
      <c r="W40" s="1209"/>
      <c r="X40" s="1209"/>
      <c r="Y40" s="1209"/>
      <c r="Z40" s="1209"/>
      <c r="AA40" s="1209"/>
      <c r="AB40" s="1209"/>
      <c r="AC40" s="1209"/>
    </row>
    <row r="41">
      <c r="A41" s="1209"/>
      <c r="B41" s="1210" t="s">
        <v>3300</v>
      </c>
      <c r="C41" s="1211" t="s">
        <v>1938</v>
      </c>
      <c r="D41" s="1212" t="s">
        <v>1089</v>
      </c>
      <c r="E41" s="451" t="s">
        <v>3416</v>
      </c>
      <c r="F41" s="1214"/>
      <c r="G41" s="1215"/>
      <c r="H41" s="1216"/>
      <c r="I41" s="1214"/>
      <c r="J41" s="1215"/>
      <c r="K41" s="1215"/>
      <c r="L41" s="1215"/>
      <c r="M41" s="1215"/>
      <c r="N41" s="1215"/>
      <c r="O41" s="1215"/>
      <c r="P41" s="1209"/>
      <c r="Q41" s="457"/>
      <c r="R41" s="1209"/>
      <c r="S41" s="1209"/>
      <c r="T41" s="1209"/>
      <c r="U41" s="1209"/>
      <c r="V41" s="1209"/>
      <c r="W41" s="1209"/>
      <c r="X41" s="1209"/>
      <c r="Y41" s="1209"/>
      <c r="Z41" s="1209"/>
      <c r="AA41" s="1209"/>
      <c r="AB41" s="1209"/>
      <c r="AC41" s="1209"/>
    </row>
    <row r="42">
      <c r="A42" s="1209"/>
      <c r="B42" s="1210" t="s">
        <v>3300</v>
      </c>
      <c r="C42" s="1211" t="s">
        <v>1938</v>
      </c>
      <c r="D42" s="1212" t="s">
        <v>1092</v>
      </c>
      <c r="E42" s="451" t="s">
        <v>3417</v>
      </c>
      <c r="F42" s="1214"/>
      <c r="G42" s="1215"/>
      <c r="H42" s="1216"/>
      <c r="I42" s="1214"/>
      <c r="J42" s="1215"/>
      <c r="K42" s="1215"/>
      <c r="L42" s="1215"/>
      <c r="M42" s="1215"/>
      <c r="N42" s="1215"/>
      <c r="O42" s="1215"/>
      <c r="P42" s="1209"/>
      <c r="Q42" s="457"/>
      <c r="R42" s="1209"/>
      <c r="S42" s="1209"/>
      <c r="T42" s="1209"/>
      <c r="U42" s="1209"/>
      <c r="V42" s="1209"/>
      <c r="W42" s="1209"/>
      <c r="X42" s="1209"/>
      <c r="Y42" s="1209"/>
      <c r="Z42" s="1209"/>
      <c r="AA42" s="1209"/>
      <c r="AB42" s="1209"/>
      <c r="AC42" s="1209"/>
    </row>
    <row r="43">
      <c r="A43" s="1218" t="s">
        <v>3322</v>
      </c>
      <c r="B43" s="1210" t="s">
        <v>3300</v>
      </c>
      <c r="C43" s="1211" t="s">
        <v>1966</v>
      </c>
      <c r="D43" s="1212" t="s">
        <v>1093</v>
      </c>
      <c r="E43" s="451" t="s">
        <v>3418</v>
      </c>
      <c r="F43" s="1214"/>
      <c r="G43" s="1215"/>
      <c r="H43" s="1216"/>
      <c r="I43" s="1214"/>
      <c r="J43" s="1215"/>
      <c r="K43" s="1215"/>
      <c r="L43" s="1215"/>
      <c r="M43" s="1215"/>
      <c r="N43" s="1215"/>
      <c r="O43" s="1215"/>
      <c r="P43" s="1209"/>
      <c r="Q43" s="1234" t="s">
        <v>3419</v>
      </c>
      <c r="R43" s="1209"/>
      <c r="S43" s="1209"/>
      <c r="T43" s="1209"/>
      <c r="U43" s="1209"/>
      <c r="V43" s="1209"/>
      <c r="W43" s="1209"/>
      <c r="X43" s="1209"/>
      <c r="Y43" s="1209"/>
      <c r="Z43" s="1209"/>
      <c r="AA43" s="1209"/>
      <c r="AB43" s="1209"/>
      <c r="AC43" s="1209"/>
    </row>
    <row r="44">
      <c r="A44" s="1218" t="s">
        <v>3322</v>
      </c>
      <c r="B44" s="1210" t="s">
        <v>3300</v>
      </c>
      <c r="C44" s="1211" t="s">
        <v>1966</v>
      </c>
      <c r="D44" s="1212" t="s">
        <v>1122</v>
      </c>
      <c r="E44" s="451" t="s">
        <v>3420</v>
      </c>
      <c r="F44" s="1214"/>
      <c r="G44" s="1215"/>
      <c r="H44" s="1216"/>
      <c r="I44" s="1214"/>
      <c r="J44" s="1215"/>
      <c r="K44" s="1215"/>
      <c r="L44" s="1215"/>
      <c r="M44" s="1215"/>
      <c r="N44" s="1215"/>
      <c r="O44" s="1215"/>
      <c r="P44" s="1209"/>
      <c r="Q44" s="1257" t="s">
        <v>3421</v>
      </c>
      <c r="R44" s="1209"/>
      <c r="S44" s="1209"/>
      <c r="T44" s="1209"/>
      <c r="U44" s="1209"/>
      <c r="V44" s="1209"/>
      <c r="W44" s="1209"/>
      <c r="X44" s="1209"/>
      <c r="Y44" s="1209"/>
      <c r="Z44" s="1209"/>
      <c r="AA44" s="1209"/>
      <c r="AB44" s="1209"/>
      <c r="AC44" s="1209"/>
    </row>
    <row r="45">
      <c r="A45" s="1218" t="s">
        <v>3322</v>
      </c>
      <c r="B45" s="1210" t="s">
        <v>3300</v>
      </c>
      <c r="C45" s="1211" t="s">
        <v>1966</v>
      </c>
      <c r="D45" s="1212" t="s">
        <v>1138</v>
      </c>
      <c r="E45" s="451" t="s">
        <v>3422</v>
      </c>
      <c r="F45" s="1214"/>
      <c r="G45" s="1215"/>
      <c r="H45" s="1216"/>
      <c r="I45" s="1214"/>
      <c r="J45" s="1215"/>
      <c r="K45" s="1215"/>
      <c r="L45" s="1215"/>
      <c r="M45" s="1215"/>
      <c r="N45" s="1215"/>
      <c r="O45" s="1215"/>
      <c r="P45" s="1209"/>
      <c r="Q45" s="1257" t="s">
        <v>3423</v>
      </c>
      <c r="R45" s="1209"/>
      <c r="S45" s="1209"/>
      <c r="T45" s="1209"/>
      <c r="U45" s="1209"/>
      <c r="V45" s="1209"/>
      <c r="W45" s="1209"/>
      <c r="X45" s="1209"/>
      <c r="Y45" s="1209"/>
      <c r="Z45" s="1209"/>
      <c r="AA45" s="1209"/>
      <c r="AB45" s="1209"/>
      <c r="AC45" s="1209"/>
    </row>
    <row r="46">
      <c r="A46" s="1218" t="s">
        <v>3322</v>
      </c>
      <c r="B46" s="1210" t="s">
        <v>3300</v>
      </c>
      <c r="C46" s="1211" t="s">
        <v>1966</v>
      </c>
      <c r="D46" s="1212" t="s">
        <v>1165</v>
      </c>
      <c r="E46" s="451" t="s">
        <v>3424</v>
      </c>
      <c r="F46" s="1214"/>
      <c r="G46" s="1215"/>
      <c r="H46" s="1216"/>
      <c r="I46" s="1214"/>
      <c r="J46" s="1215"/>
      <c r="K46" s="1215"/>
      <c r="L46" s="1215"/>
      <c r="M46" s="1215"/>
      <c r="N46" s="1215"/>
      <c r="O46" s="1215"/>
      <c r="P46" s="1209"/>
      <c r="Q46" s="354"/>
      <c r="R46" s="1209"/>
      <c r="S46" s="1209"/>
      <c r="T46" s="1209"/>
      <c r="U46" s="1209"/>
      <c r="V46" s="1209"/>
      <c r="W46" s="1209"/>
      <c r="X46" s="1209"/>
      <c r="Y46" s="1209"/>
      <c r="Z46" s="1209"/>
      <c r="AA46" s="1209"/>
      <c r="AB46" s="1209"/>
      <c r="AC46" s="1209"/>
    </row>
    <row r="47">
      <c r="A47" s="1218" t="s">
        <v>3322</v>
      </c>
      <c r="B47" s="1210" t="s">
        <v>3300</v>
      </c>
      <c r="C47" s="1224" t="s">
        <v>1966</v>
      </c>
      <c r="D47" s="1212" t="s">
        <v>1180</v>
      </c>
      <c r="E47" s="1259" t="s">
        <v>3425</v>
      </c>
      <c r="F47" s="1214"/>
      <c r="G47" s="1215"/>
      <c r="H47" s="1216"/>
      <c r="I47" s="1214"/>
      <c r="J47" s="1215"/>
      <c r="K47" s="1215"/>
      <c r="L47" s="1215"/>
      <c r="M47" s="1215"/>
      <c r="N47" s="1215"/>
      <c r="O47" s="1215"/>
      <c r="P47" s="1209"/>
      <c r="Q47" s="354"/>
      <c r="R47" s="1209"/>
      <c r="S47" s="1209"/>
      <c r="T47" s="1209"/>
      <c r="U47" s="1209"/>
      <c r="V47" s="1209"/>
      <c r="W47" s="1209"/>
      <c r="X47" s="1209"/>
      <c r="Y47" s="1209"/>
      <c r="Z47" s="1209"/>
      <c r="AA47" s="1209"/>
      <c r="AB47" s="1209"/>
      <c r="AC47" s="1209"/>
    </row>
    <row r="48">
      <c r="A48" s="1218"/>
      <c r="B48" s="1210" t="s">
        <v>3300</v>
      </c>
      <c r="C48" s="1211" t="s">
        <v>1466</v>
      </c>
      <c r="D48" s="1211" t="s">
        <v>598</v>
      </c>
      <c r="E48" s="1260"/>
      <c r="F48" s="1232"/>
      <c r="G48" s="1215"/>
      <c r="H48" s="1216"/>
      <c r="I48" s="1214"/>
      <c r="J48" s="1215"/>
      <c r="K48" s="1215"/>
      <c r="L48" s="1215"/>
      <c r="M48" s="1215"/>
      <c r="N48" s="1215"/>
      <c r="O48" s="1215"/>
      <c r="P48" s="1209"/>
      <c r="Q48" s="1209"/>
      <c r="R48" s="1209"/>
      <c r="S48" s="1209"/>
      <c r="T48" s="1209"/>
      <c r="U48" s="1209"/>
      <c r="V48" s="1209"/>
      <c r="W48" s="1209"/>
      <c r="X48" s="1209"/>
      <c r="Y48" s="1209"/>
      <c r="Z48" s="1209"/>
      <c r="AA48" s="1209"/>
      <c r="AB48" s="1209"/>
      <c r="AC48" s="1209"/>
    </row>
    <row r="49">
      <c r="A49" s="1218"/>
      <c r="B49" s="1210" t="s">
        <v>3300</v>
      </c>
      <c r="C49" s="1211" t="s">
        <v>1466</v>
      </c>
      <c r="D49" s="1211" t="s">
        <v>1571</v>
      </c>
      <c r="E49" s="1260"/>
      <c r="F49" s="1232"/>
      <c r="G49" s="1215"/>
      <c r="H49" s="1216"/>
      <c r="I49" s="1214"/>
      <c r="J49" s="1215"/>
      <c r="K49" s="1215"/>
      <c r="L49" s="1215"/>
      <c r="M49" s="1215"/>
      <c r="N49" s="1215"/>
      <c r="O49" s="1215"/>
      <c r="P49" s="1209"/>
      <c r="Q49" s="1209"/>
      <c r="R49" s="1209"/>
      <c r="S49" s="1209"/>
      <c r="T49" s="1209"/>
      <c r="U49" s="1209"/>
      <c r="V49" s="1209"/>
      <c r="W49" s="1209"/>
      <c r="X49" s="1209"/>
      <c r="Y49" s="1209"/>
      <c r="Z49" s="1209"/>
      <c r="AA49" s="1209"/>
      <c r="AB49" s="1209"/>
      <c r="AC49" s="1209"/>
    </row>
  </sheetData>
  <dataValidations>
    <dataValidation type="list" allowBlank="1" showErrorMessage="1" sqref="D3:D48">
      <formula1>'데이터'!$D$3:$D$100</formula1>
    </dataValidation>
    <dataValidation type="list" allowBlank="1" showErrorMessage="1" sqref="C3:C49">
      <formula1>'데이터'!$C$3:$C$100</formula1>
    </dataValidation>
    <dataValidation type="list" allowBlank="1" showErrorMessage="1" sqref="B3:B49">
      <formula1>'데이터'!$B$3:$B$100</formula1>
    </dataValidation>
    <dataValidation type="list" allowBlank="1" showErrorMessage="1" sqref="D49">
      <formula1>'데이터'!$D$3:$D$100</formula1>
    </dataValidation>
  </dataValidations>
  <hyperlinks>
    <hyperlink r:id="rId2" ref="Q3"/>
    <hyperlink r:id="rId3" ref="Q4"/>
    <hyperlink r:id="rId4" ref="Q5"/>
    <hyperlink r:id="rId5" ref="Q6"/>
    <hyperlink r:id="rId6" ref="S6"/>
    <hyperlink r:id="rId7" ref="Q7"/>
    <hyperlink r:id="rId8" ref="Q8"/>
    <hyperlink r:id="rId9" ref="Q10"/>
    <hyperlink r:id="rId10" ref="Q11"/>
    <hyperlink r:id="rId11" ref="Q12"/>
    <hyperlink r:id="rId12" ref="Q13"/>
    <hyperlink r:id="rId13" ref="Q14"/>
    <hyperlink r:id="rId14" ref="Q16"/>
    <hyperlink r:id="rId15" ref="Q17"/>
    <hyperlink r:id="rId16" ref="Q18"/>
    <hyperlink r:id="rId17" ref="Q19"/>
    <hyperlink r:id="rId18" ref="Q20"/>
    <hyperlink r:id="rId19" ref="Q21"/>
    <hyperlink r:id="rId20" ref="Q22"/>
    <hyperlink r:id="rId21" ref="Q23"/>
    <hyperlink r:id="rId22" ref="Q24"/>
    <hyperlink r:id="rId23" ref="Q25"/>
    <hyperlink r:id="rId24" ref="Q26"/>
    <hyperlink r:id="rId25" ref="Q27"/>
    <hyperlink r:id="rId26" ref="Q28"/>
    <hyperlink r:id="rId27" ref="Q29"/>
    <hyperlink r:id="rId28" ref="Q30"/>
    <hyperlink r:id="rId29" ref="Q31"/>
    <hyperlink r:id="rId30" ref="Q32"/>
    <hyperlink r:id="rId31" ref="Q33"/>
    <hyperlink r:id="rId32" ref="Q34"/>
    <hyperlink r:id="rId33" ref="Q35"/>
    <hyperlink r:id="rId34" ref="Q37"/>
    <hyperlink r:id="rId35" ref="Q38"/>
    <hyperlink r:id="rId36" ref="Q39"/>
    <hyperlink r:id="rId37" ref="Q40"/>
    <hyperlink r:id="rId38" ref="Q43"/>
    <hyperlink r:id="rId39" ref="Q44"/>
    <hyperlink r:id="rId40" ref="Q45"/>
  </hyperlinks>
  <drawing r:id="rId41"/>
  <legacyDrawing r:id="rId42"/>
  <tableParts count="1">
    <tablePart r:id="rId44"/>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38"/>
    <col customWidth="1" min="2" max="2" width="17.25"/>
    <col customWidth="1" min="3" max="3" width="35.0"/>
    <col customWidth="1" min="4" max="15" width="11.13"/>
    <col customWidth="1" min="16" max="16" width="9.38"/>
    <col customWidth="1" min="17" max="17" width="27.5"/>
  </cols>
  <sheetData>
    <row r="1" ht="21.0" customHeight="1">
      <c r="A1" s="1261"/>
      <c r="B1" s="1261" t="s">
        <v>0</v>
      </c>
      <c r="C1" s="1261" t="s">
        <v>3230</v>
      </c>
      <c r="D1" s="1262" t="s">
        <v>2382</v>
      </c>
      <c r="E1" s="1262" t="s">
        <v>2383</v>
      </c>
      <c r="F1" s="1262" t="s">
        <v>2384</v>
      </c>
      <c r="G1" s="1262" t="s">
        <v>2385</v>
      </c>
      <c r="H1" s="1262" t="s">
        <v>2386</v>
      </c>
      <c r="I1" s="1262" t="s">
        <v>2387</v>
      </c>
      <c r="J1" s="1262" t="s">
        <v>2388</v>
      </c>
      <c r="K1" s="1262" t="s">
        <v>2389</v>
      </c>
      <c r="L1" s="1262" t="s">
        <v>2390</v>
      </c>
      <c r="M1" s="1262" t="s">
        <v>2391</v>
      </c>
      <c r="N1" s="1262" t="s">
        <v>2392</v>
      </c>
      <c r="O1" s="1262" t="s">
        <v>2393</v>
      </c>
      <c r="P1" s="1263"/>
      <c r="Q1" s="1264"/>
      <c r="R1" s="1264"/>
      <c r="S1" s="1264"/>
      <c r="T1" s="1264"/>
      <c r="U1" s="1264"/>
      <c r="V1" s="1264"/>
      <c r="W1" s="1264"/>
      <c r="X1" s="1264"/>
      <c r="Y1" s="1264"/>
      <c r="Z1" s="1264"/>
      <c r="AA1" s="1264"/>
      <c r="AB1" s="1264"/>
    </row>
    <row r="2">
      <c r="A2" s="1218" t="s">
        <v>3226</v>
      </c>
      <c r="B2" s="1218" t="s">
        <v>1255</v>
      </c>
      <c r="C2" s="1218" t="s">
        <v>3426</v>
      </c>
      <c r="D2" s="1265">
        <v>208910.0</v>
      </c>
      <c r="E2" s="1265">
        <v>180700.0</v>
      </c>
      <c r="F2" s="1265">
        <v>146530.0</v>
      </c>
      <c r="G2" s="1265">
        <v>114060.0</v>
      </c>
      <c r="H2" s="1265">
        <v>74870.0</v>
      </c>
      <c r="I2" s="1265">
        <v>42090.0</v>
      </c>
      <c r="J2" s="1265">
        <v>30640.0</v>
      </c>
      <c r="K2" s="1265">
        <v>24800.0</v>
      </c>
      <c r="L2" s="1265">
        <v>17930.0</v>
      </c>
      <c r="M2" s="1265">
        <v>31480.0</v>
      </c>
      <c r="N2" s="1265">
        <v>86990.0</v>
      </c>
      <c r="O2" s="1266">
        <v>152760.0</v>
      </c>
      <c r="P2" s="1265"/>
      <c r="Q2" s="1218" t="s">
        <v>3427</v>
      </c>
      <c r="R2" s="1218" t="s">
        <v>1259</v>
      </c>
      <c r="S2" s="1218" t="s">
        <v>3428</v>
      </c>
      <c r="T2" s="1209"/>
      <c r="U2" s="1209"/>
      <c r="V2" s="1209"/>
      <c r="W2" s="1209"/>
      <c r="X2" s="1209"/>
      <c r="Y2" s="1209"/>
      <c r="Z2" s="1209"/>
      <c r="AA2" s="1209"/>
      <c r="AB2" s="1209"/>
    </row>
    <row r="3">
      <c r="A3" s="1218" t="s">
        <v>3226</v>
      </c>
      <c r="B3" s="1218" t="s">
        <v>1255</v>
      </c>
      <c r="C3" s="1218" t="s">
        <v>3233</v>
      </c>
      <c r="D3" s="1265">
        <v>31000.0</v>
      </c>
      <c r="E3" s="1265">
        <v>36350.0</v>
      </c>
      <c r="F3" s="1265">
        <v>31560.0</v>
      </c>
      <c r="G3" s="1265">
        <v>32340.0</v>
      </c>
      <c r="H3" s="1265">
        <v>27570.0</v>
      </c>
      <c r="I3" s="1265">
        <v>38520.0</v>
      </c>
      <c r="J3" s="1265">
        <v>54730.0</v>
      </c>
      <c r="K3" s="1265">
        <v>75100.0</v>
      </c>
      <c r="L3" s="1265">
        <v>60710.0</v>
      </c>
      <c r="M3" s="1265">
        <v>55190.0</v>
      </c>
      <c r="N3" s="1265">
        <v>35430.0</v>
      </c>
      <c r="O3" s="1265">
        <v>28220.0</v>
      </c>
      <c r="P3" s="1267"/>
      <c r="Q3" s="1209"/>
      <c r="R3" s="1209"/>
      <c r="S3" s="1218" t="s">
        <v>3429</v>
      </c>
      <c r="T3" s="1209"/>
      <c r="U3" s="1209"/>
      <c r="V3" s="1209"/>
      <c r="W3" s="1209"/>
      <c r="X3" s="1209"/>
      <c r="Y3" s="1209"/>
      <c r="Z3" s="1209"/>
      <c r="AA3" s="1209"/>
      <c r="AB3" s="1209"/>
    </row>
    <row r="4">
      <c r="A4" s="1218" t="s">
        <v>3226</v>
      </c>
      <c r="B4" s="1218" t="s">
        <v>1255</v>
      </c>
      <c r="C4" s="1218" t="s">
        <v>3430</v>
      </c>
      <c r="D4" s="1265">
        <v>45000.0</v>
      </c>
      <c r="E4" s="1267"/>
      <c r="F4" s="1265">
        <v>48000.0</v>
      </c>
      <c r="G4" s="1267"/>
      <c r="H4" s="1265">
        <v>0.0</v>
      </c>
      <c r="I4" s="1265">
        <v>10000.0</v>
      </c>
      <c r="J4" s="1265">
        <v>49000.0</v>
      </c>
      <c r="K4" s="1267"/>
      <c r="L4" s="1265">
        <v>65000.0</v>
      </c>
      <c r="M4" s="1267"/>
      <c r="N4" s="1265">
        <v>62000.0</v>
      </c>
      <c r="O4" s="1267"/>
      <c r="P4" s="1267"/>
      <c r="Q4" s="1209"/>
      <c r="R4" s="1209"/>
      <c r="S4" s="1218" t="s">
        <v>3431</v>
      </c>
      <c r="T4" s="1209"/>
      <c r="U4" s="1209"/>
      <c r="V4" s="1209"/>
      <c r="W4" s="1209"/>
      <c r="X4" s="1209"/>
      <c r="Y4" s="1209"/>
      <c r="Z4" s="1209"/>
      <c r="AA4" s="1209"/>
      <c r="AB4" s="1209"/>
    </row>
    <row r="5">
      <c r="A5" s="1218" t="s">
        <v>3226</v>
      </c>
      <c r="B5" s="1218" t="s">
        <v>1255</v>
      </c>
      <c r="C5" s="1218" t="s">
        <v>3235</v>
      </c>
      <c r="D5" s="1265">
        <v>22000.0</v>
      </c>
      <c r="E5" s="1265">
        <v>22000.0</v>
      </c>
      <c r="F5" s="1265">
        <v>22000.0</v>
      </c>
      <c r="G5" s="1265">
        <v>22000.0</v>
      </c>
      <c r="H5" s="1265">
        <v>22000.0</v>
      </c>
      <c r="I5" s="1265">
        <v>22000.0</v>
      </c>
      <c r="J5" s="1265">
        <v>22000.0</v>
      </c>
      <c r="K5" s="1265">
        <v>22000.0</v>
      </c>
      <c r="L5" s="1265">
        <v>22000.0</v>
      </c>
      <c r="M5" s="1265">
        <v>22000.0</v>
      </c>
      <c r="N5" s="1265">
        <v>22000.0</v>
      </c>
      <c r="O5" s="1265">
        <v>22000.0</v>
      </c>
      <c r="P5" s="1267"/>
      <c r="Q5" s="1209"/>
      <c r="R5" s="1209"/>
      <c r="S5" s="1209"/>
      <c r="T5" s="1209"/>
      <c r="U5" s="1209"/>
      <c r="V5" s="1209"/>
      <c r="W5" s="1209"/>
      <c r="X5" s="1209"/>
      <c r="Y5" s="1209"/>
      <c r="Z5" s="1209"/>
      <c r="AA5" s="1209"/>
      <c r="AB5" s="1209"/>
    </row>
    <row r="6">
      <c r="A6" s="1218" t="s">
        <v>3226</v>
      </c>
      <c r="B6" s="1218" t="s">
        <v>1255</v>
      </c>
      <c r="C6" s="1218" t="s">
        <v>3237</v>
      </c>
      <c r="D6" s="1265">
        <v>11000.0</v>
      </c>
      <c r="E6" s="1265">
        <v>11000.0</v>
      </c>
      <c r="F6" s="1265">
        <v>11000.0</v>
      </c>
      <c r="G6" s="1265">
        <v>11000.0</v>
      </c>
      <c r="H6" s="1265">
        <v>11000.0</v>
      </c>
      <c r="I6" s="1265">
        <v>11000.0</v>
      </c>
      <c r="J6" s="1265">
        <v>11000.0</v>
      </c>
      <c r="K6" s="1265">
        <v>11000.0</v>
      </c>
      <c r="L6" s="1265">
        <v>11000.0</v>
      </c>
      <c r="M6" s="1265">
        <v>11000.0</v>
      </c>
      <c r="N6" s="1265">
        <v>11000.0</v>
      </c>
      <c r="O6" s="1265">
        <v>11000.0</v>
      </c>
      <c r="P6" s="1267"/>
      <c r="Q6" s="1209"/>
      <c r="R6" s="1209"/>
      <c r="S6" s="1209"/>
      <c r="T6" s="1209"/>
      <c r="U6" s="1209"/>
      <c r="V6" s="1209"/>
      <c r="W6" s="1209"/>
      <c r="X6" s="1209"/>
      <c r="Y6" s="1209"/>
      <c r="Z6" s="1209"/>
      <c r="AA6" s="1209"/>
      <c r="AB6" s="1209"/>
    </row>
    <row r="7">
      <c r="A7" s="1218" t="s">
        <v>3226</v>
      </c>
      <c r="B7" s="1268" t="s">
        <v>1255</v>
      </c>
      <c r="C7" s="1268" t="s">
        <v>3238</v>
      </c>
      <c r="D7" s="1269"/>
      <c r="E7" s="1269"/>
      <c r="F7" s="1269"/>
      <c r="G7" s="1269">
        <v>14800.0</v>
      </c>
      <c r="H7" s="1269">
        <v>132790.0</v>
      </c>
      <c r="I7" s="1269">
        <v>131400.0</v>
      </c>
      <c r="J7" s="1269">
        <v>35690.0</v>
      </c>
      <c r="K7" s="1269">
        <v>87540.0</v>
      </c>
      <c r="L7" s="1269">
        <v>10690.0</v>
      </c>
      <c r="M7" s="1269">
        <v>54510.0</v>
      </c>
      <c r="N7" s="1269">
        <v>68370.0</v>
      </c>
      <c r="O7" s="1269">
        <v>103460.0</v>
      </c>
      <c r="P7" s="1269">
        <f>SUM(J7:M7)</f>
        <v>188430</v>
      </c>
      <c r="R7" s="1270"/>
      <c r="S7" s="1270"/>
      <c r="T7" s="1270"/>
      <c r="U7" s="1270"/>
      <c r="V7" s="1270"/>
      <c r="W7" s="1270"/>
      <c r="X7" s="1270"/>
      <c r="Y7" s="1270"/>
      <c r="Z7" s="1270"/>
      <c r="AA7" s="1270"/>
      <c r="AB7" s="1270"/>
    </row>
    <row r="8">
      <c r="A8" s="1271" t="s">
        <v>3226</v>
      </c>
      <c r="B8" s="1271" t="s">
        <v>3432</v>
      </c>
      <c r="C8" s="1271" t="s">
        <v>3232</v>
      </c>
      <c r="D8" s="1272">
        <v>265870.0</v>
      </c>
      <c r="E8" s="1272">
        <v>293080.0</v>
      </c>
      <c r="F8" s="1272">
        <v>194650.0</v>
      </c>
      <c r="G8" s="1272">
        <v>76820.0</v>
      </c>
      <c r="H8" s="1272">
        <v>40970.0</v>
      </c>
      <c r="I8" s="1272">
        <v>19330.0</v>
      </c>
      <c r="J8" s="1272">
        <v>19680.0</v>
      </c>
      <c r="K8" s="1272">
        <v>11120.0</v>
      </c>
      <c r="L8" s="1272">
        <v>9140.0</v>
      </c>
      <c r="M8" s="1272">
        <v>8140.0</v>
      </c>
      <c r="N8" s="1272">
        <v>20800.0</v>
      </c>
      <c r="O8" s="1266">
        <v>217190.0</v>
      </c>
      <c r="P8" s="1265"/>
      <c r="Q8" s="1218" t="s">
        <v>3433</v>
      </c>
      <c r="R8" s="1218" t="s">
        <v>1259</v>
      </c>
      <c r="S8" s="1209"/>
      <c r="T8" s="1209"/>
      <c r="U8" s="1209"/>
      <c r="V8" s="1209"/>
      <c r="W8" s="1209"/>
      <c r="X8" s="1209"/>
      <c r="Y8" s="1209"/>
      <c r="Z8" s="1209"/>
      <c r="AA8" s="1209"/>
      <c r="AB8" s="1209"/>
    </row>
    <row r="9">
      <c r="A9" s="1271" t="s">
        <v>3226</v>
      </c>
      <c r="B9" s="1271" t="s">
        <v>3432</v>
      </c>
      <c r="C9" s="1271" t="s">
        <v>3434</v>
      </c>
      <c r="D9" s="1272">
        <v>19720.0</v>
      </c>
      <c r="E9" s="1272">
        <v>21620.0</v>
      </c>
      <c r="F9" s="1272">
        <v>18170.0</v>
      </c>
      <c r="G9" s="1272">
        <v>19610.0</v>
      </c>
      <c r="H9" s="1272">
        <v>18890.0</v>
      </c>
      <c r="I9" s="1272">
        <v>21350.0</v>
      </c>
      <c r="J9" s="1272">
        <v>30810.0</v>
      </c>
      <c r="K9" s="1272">
        <v>49450.0</v>
      </c>
      <c r="L9" s="1272">
        <v>54170.0</v>
      </c>
      <c r="M9" s="1272">
        <v>23050.0</v>
      </c>
      <c r="N9" s="1272">
        <v>11310.0</v>
      </c>
      <c r="O9" s="1272">
        <v>16650.0</v>
      </c>
      <c r="P9" s="1046"/>
      <c r="R9" s="1209"/>
      <c r="S9" s="1209"/>
      <c r="T9" s="1209"/>
      <c r="U9" s="1209"/>
      <c r="V9" s="1209"/>
      <c r="W9" s="1209"/>
      <c r="X9" s="1209"/>
      <c r="Y9" s="1209"/>
      <c r="Z9" s="1209"/>
      <c r="AA9" s="1209"/>
      <c r="AB9" s="1209"/>
    </row>
    <row r="10">
      <c r="A10" s="1271" t="s">
        <v>3226</v>
      </c>
      <c r="B10" s="1271" t="s">
        <v>3432</v>
      </c>
      <c r="C10" s="1271" t="s">
        <v>3430</v>
      </c>
      <c r="D10" s="1273"/>
      <c r="E10" s="1272">
        <v>31165.0</v>
      </c>
      <c r="F10" s="1273"/>
      <c r="G10" s="1272">
        <v>28000.0</v>
      </c>
      <c r="H10" s="1273"/>
      <c r="I10" s="1272">
        <v>31285.0</v>
      </c>
      <c r="J10" s="1273"/>
      <c r="K10" s="1272">
        <v>34831.0</v>
      </c>
      <c r="L10" s="1272"/>
      <c r="M10" s="1272">
        <v>38342.0</v>
      </c>
      <c r="N10" s="1272"/>
      <c r="O10" s="1272">
        <v>22345.0</v>
      </c>
      <c r="P10" s="1267"/>
      <c r="Q10" s="1209"/>
      <c r="R10" s="1209"/>
      <c r="S10" s="1209"/>
      <c r="T10" s="1209"/>
      <c r="U10" s="1209"/>
      <c r="V10" s="1209"/>
      <c r="W10" s="1209"/>
      <c r="X10" s="1209"/>
      <c r="Y10" s="1209"/>
      <c r="Z10" s="1209"/>
      <c r="AA10" s="1209"/>
      <c r="AB10" s="1209"/>
    </row>
    <row r="11">
      <c r="A11" s="1271" t="s">
        <v>3226</v>
      </c>
      <c r="B11" s="1271" t="s">
        <v>3432</v>
      </c>
      <c r="C11" s="1271" t="s">
        <v>3235</v>
      </c>
      <c r="D11" s="1272">
        <v>22000.0</v>
      </c>
      <c r="E11" s="1272">
        <v>22000.0</v>
      </c>
      <c r="F11" s="1272">
        <v>22000.0</v>
      </c>
      <c r="G11" s="1272">
        <v>22000.0</v>
      </c>
      <c r="H11" s="1272">
        <v>22000.0</v>
      </c>
      <c r="I11" s="1272">
        <v>22000.0</v>
      </c>
      <c r="J11" s="1272">
        <v>22000.0</v>
      </c>
      <c r="K11" s="1272">
        <v>22000.0</v>
      </c>
      <c r="L11" s="1272">
        <v>22000.0</v>
      </c>
      <c r="M11" s="1272">
        <v>22000.0</v>
      </c>
      <c r="N11" s="1272">
        <v>22000.0</v>
      </c>
      <c r="O11" s="1272">
        <v>22000.0</v>
      </c>
      <c r="P11" s="1267"/>
      <c r="Q11" s="1209"/>
      <c r="R11" s="1209"/>
      <c r="S11" s="1209"/>
      <c r="T11" s="1209"/>
      <c r="U11" s="1209"/>
      <c r="V11" s="1209"/>
      <c r="W11" s="1209"/>
      <c r="X11" s="1209"/>
      <c r="Y11" s="1209"/>
      <c r="Z11" s="1209"/>
      <c r="AA11" s="1209"/>
      <c r="AB11" s="1209"/>
    </row>
    <row r="12">
      <c r="A12" s="1271" t="s">
        <v>3226</v>
      </c>
      <c r="B12" s="1271" t="s">
        <v>3432</v>
      </c>
      <c r="C12" s="1271" t="s">
        <v>3237</v>
      </c>
      <c r="D12" s="1272">
        <v>11000.0</v>
      </c>
      <c r="E12" s="1272">
        <v>11000.0</v>
      </c>
      <c r="F12" s="1272">
        <v>11000.0</v>
      </c>
      <c r="G12" s="1272">
        <v>11000.0</v>
      </c>
      <c r="H12" s="1272">
        <v>11000.0</v>
      </c>
      <c r="I12" s="1272">
        <v>11000.0</v>
      </c>
      <c r="J12" s="1272">
        <v>11000.0</v>
      </c>
      <c r="K12" s="1272">
        <v>11000.0</v>
      </c>
      <c r="L12" s="1272">
        <v>11000.0</v>
      </c>
      <c r="M12" s="1272">
        <v>11000.0</v>
      </c>
      <c r="N12" s="1272">
        <v>11000.0</v>
      </c>
      <c r="O12" s="1272">
        <v>11000.0</v>
      </c>
      <c r="P12" s="1267"/>
      <c r="Q12" s="1209"/>
      <c r="R12" s="1209"/>
      <c r="S12" s="1209"/>
      <c r="T12" s="1209"/>
      <c r="U12" s="1209"/>
      <c r="V12" s="1209"/>
      <c r="W12" s="1209"/>
      <c r="X12" s="1209"/>
      <c r="Y12" s="1209"/>
      <c r="Z12" s="1209"/>
      <c r="AA12" s="1209"/>
      <c r="AB12" s="1209"/>
    </row>
    <row r="13">
      <c r="A13" s="1271" t="s">
        <v>3226</v>
      </c>
      <c r="B13" s="1271" t="s">
        <v>3432</v>
      </c>
      <c r="C13" s="1271" t="s">
        <v>3238</v>
      </c>
      <c r="D13" s="1272"/>
      <c r="E13" s="1272"/>
      <c r="F13" s="1272"/>
      <c r="G13" s="1272">
        <v>37260.0</v>
      </c>
      <c r="H13" s="1272">
        <v>81330.0</v>
      </c>
      <c r="I13" s="1272">
        <v>30000.0</v>
      </c>
      <c r="J13" s="1272">
        <v>81680.0</v>
      </c>
      <c r="K13" s="1272">
        <v>15640.0</v>
      </c>
      <c r="L13" s="1272"/>
      <c r="M13" s="1272">
        <v>23000.0</v>
      </c>
      <c r="N13" s="1272">
        <v>69880.0</v>
      </c>
      <c r="O13" s="1272">
        <v>35000.0</v>
      </c>
      <c r="P13" s="1269">
        <f>SUM(J13:M13)</f>
        <v>120320</v>
      </c>
      <c r="R13" s="1274"/>
      <c r="S13" s="1274"/>
      <c r="T13" s="1274"/>
      <c r="U13" s="1274"/>
      <c r="V13" s="1274"/>
      <c r="W13" s="1274"/>
      <c r="X13" s="1274"/>
      <c r="Y13" s="1274"/>
      <c r="Z13" s="1274"/>
      <c r="AA13" s="1274"/>
      <c r="AB13" s="1274"/>
    </row>
    <row r="14">
      <c r="A14" s="1218" t="s">
        <v>3226</v>
      </c>
      <c r="B14" s="1275" t="s">
        <v>1686</v>
      </c>
      <c r="C14" s="1218" t="s">
        <v>3435</v>
      </c>
      <c r="D14" s="1265">
        <v>203780.0</v>
      </c>
      <c r="E14" s="1265">
        <v>157290.0</v>
      </c>
      <c r="F14" s="1265">
        <v>116810.0</v>
      </c>
      <c r="G14" s="1265">
        <v>65950.0</v>
      </c>
      <c r="H14" s="1265">
        <v>49050.0</v>
      </c>
      <c r="I14" s="1265">
        <v>36170.0</v>
      </c>
      <c r="J14" s="1265">
        <v>33460.0</v>
      </c>
      <c r="K14" s="1265">
        <v>24720.0</v>
      </c>
      <c r="L14" s="1265">
        <v>29480.0</v>
      </c>
      <c r="M14" s="1265">
        <v>63540.0</v>
      </c>
      <c r="N14" s="1265">
        <v>206890.0</v>
      </c>
      <c r="O14" s="1266">
        <v>317120.0</v>
      </c>
      <c r="P14" s="1276"/>
      <c r="Q14" s="1277" t="s">
        <v>3436</v>
      </c>
      <c r="R14" s="1218" t="s">
        <v>1259</v>
      </c>
      <c r="S14" s="1218" t="s">
        <v>3437</v>
      </c>
      <c r="T14" s="1218">
        <v>1.016863814E9</v>
      </c>
      <c r="U14" s="1218" t="s">
        <v>33</v>
      </c>
      <c r="V14" s="1218"/>
      <c r="W14" s="1209"/>
      <c r="X14" s="1209"/>
      <c r="Y14" s="1209"/>
      <c r="Z14" s="1209"/>
      <c r="AA14" s="1209"/>
      <c r="AB14" s="1209"/>
    </row>
    <row r="15">
      <c r="A15" s="1218" t="s">
        <v>3226</v>
      </c>
      <c r="B15" s="1218" t="s">
        <v>1686</v>
      </c>
      <c r="C15" s="1218" t="s">
        <v>3438</v>
      </c>
      <c r="D15" s="1265">
        <v>22670.0</v>
      </c>
      <c r="E15" s="1265">
        <v>21530.0</v>
      </c>
      <c r="F15" s="1265">
        <v>19250.0</v>
      </c>
      <c r="G15" s="1265">
        <v>20550.0</v>
      </c>
      <c r="H15" s="1265">
        <v>21830.0</v>
      </c>
      <c r="I15" s="1265">
        <v>29140.0</v>
      </c>
      <c r="J15" s="1265">
        <v>68460.0</v>
      </c>
      <c r="K15" s="1265">
        <v>62260.0</v>
      </c>
      <c r="L15" s="1265">
        <v>53080.0</v>
      </c>
      <c r="M15" s="1265">
        <v>54310.0</v>
      </c>
      <c r="N15" s="1265">
        <v>24480.0</v>
      </c>
      <c r="O15" s="1265">
        <v>24940.0</v>
      </c>
      <c r="P15" s="1267"/>
      <c r="Q15" s="1209"/>
      <c r="R15" s="1209"/>
      <c r="S15" s="1209"/>
      <c r="T15" s="1209"/>
      <c r="U15" s="1209"/>
      <c r="V15" s="1209"/>
      <c r="W15" s="1209"/>
      <c r="X15" s="1209"/>
      <c r="Y15" s="1209"/>
      <c r="Z15" s="1209"/>
      <c r="AA15" s="1209"/>
      <c r="AB15" s="1209"/>
    </row>
    <row r="16">
      <c r="A16" s="1218" t="s">
        <v>3226</v>
      </c>
      <c r="B16" s="1218" t="s">
        <v>1686</v>
      </c>
      <c r="C16" s="1218" t="s">
        <v>3430</v>
      </c>
      <c r="D16" s="1265">
        <v>64000.0</v>
      </c>
      <c r="E16" s="1267"/>
      <c r="F16" s="1265">
        <v>64000.0</v>
      </c>
      <c r="G16" s="1267"/>
      <c r="H16" s="1265">
        <v>32000.0</v>
      </c>
      <c r="I16" s="1265">
        <v>32000.0</v>
      </c>
      <c r="J16" s="1265">
        <v>32000.0</v>
      </c>
      <c r="K16" s="1265">
        <v>32000.0</v>
      </c>
      <c r="L16" s="1265">
        <v>32000.0</v>
      </c>
      <c r="M16" s="1265">
        <v>32000.0</v>
      </c>
      <c r="N16" s="1265">
        <v>32000.0</v>
      </c>
      <c r="O16" s="1265">
        <v>32000.0</v>
      </c>
      <c r="P16" s="1267"/>
      <c r="Q16" s="1209"/>
      <c r="R16" s="1209"/>
      <c r="S16" s="1209"/>
      <c r="T16" s="1209"/>
      <c r="U16" s="1209"/>
      <c r="V16" s="1209"/>
      <c r="W16" s="1209"/>
      <c r="X16" s="1209"/>
      <c r="Y16" s="1209"/>
      <c r="Z16" s="1209"/>
      <c r="AA16" s="1209"/>
      <c r="AB16" s="1209"/>
    </row>
    <row r="17">
      <c r="A17" s="1218" t="s">
        <v>3226</v>
      </c>
      <c r="B17" s="1218" t="s">
        <v>1686</v>
      </c>
      <c r="C17" s="1218" t="s">
        <v>3235</v>
      </c>
      <c r="D17" s="1265">
        <v>22000.0</v>
      </c>
      <c r="E17" s="1265">
        <v>22000.0</v>
      </c>
      <c r="F17" s="1265">
        <v>22000.0</v>
      </c>
      <c r="G17" s="1265">
        <v>22000.0</v>
      </c>
      <c r="H17" s="1265">
        <v>22000.0</v>
      </c>
      <c r="I17" s="1265">
        <v>22000.0</v>
      </c>
      <c r="J17" s="1265">
        <v>22000.0</v>
      </c>
      <c r="K17" s="1265">
        <v>22000.0</v>
      </c>
      <c r="L17" s="1265">
        <v>22000.0</v>
      </c>
      <c r="M17" s="1265">
        <v>22000.0</v>
      </c>
      <c r="N17" s="1265">
        <v>22000.0</v>
      </c>
      <c r="O17" s="1265">
        <v>22000.0</v>
      </c>
      <c r="P17" s="1267"/>
      <c r="Q17" s="1209"/>
      <c r="R17" s="1209"/>
      <c r="S17" s="1209"/>
      <c r="T17" s="1209"/>
      <c r="U17" s="1209"/>
      <c r="V17" s="1209"/>
      <c r="W17" s="1209"/>
      <c r="X17" s="1209"/>
      <c r="Y17" s="1209"/>
      <c r="Z17" s="1209"/>
      <c r="AA17" s="1209"/>
      <c r="AB17" s="1209"/>
    </row>
    <row r="18">
      <c r="A18" s="1218" t="s">
        <v>3226</v>
      </c>
      <c r="B18" s="1218" t="s">
        <v>1686</v>
      </c>
      <c r="C18" s="1218" t="s">
        <v>3237</v>
      </c>
      <c r="D18" s="1265">
        <v>11000.0</v>
      </c>
      <c r="E18" s="1265">
        <v>11000.0</v>
      </c>
      <c r="F18" s="1265">
        <v>11000.0</v>
      </c>
      <c r="G18" s="1265">
        <v>11000.0</v>
      </c>
      <c r="H18" s="1265">
        <v>11000.0</v>
      </c>
      <c r="I18" s="1265">
        <v>11000.0</v>
      </c>
      <c r="J18" s="1265">
        <v>11000.0</v>
      </c>
      <c r="K18" s="1265">
        <v>11000.0</v>
      </c>
      <c r="L18" s="1265">
        <v>11000.0</v>
      </c>
      <c r="M18" s="1265">
        <v>11000.0</v>
      </c>
      <c r="N18" s="1265">
        <v>11000.0</v>
      </c>
      <c r="O18" s="1265">
        <v>11000.0</v>
      </c>
      <c r="P18" s="1267"/>
      <c r="Q18" s="1209"/>
      <c r="R18" s="1218"/>
      <c r="S18" s="1209"/>
      <c r="T18" s="1209"/>
      <c r="U18" s="1209"/>
      <c r="V18" s="1209"/>
      <c r="W18" s="1209"/>
      <c r="X18" s="1209"/>
      <c r="Y18" s="1209"/>
      <c r="Z18" s="1209"/>
      <c r="AA18" s="1209"/>
      <c r="AB18" s="1209"/>
    </row>
    <row r="19">
      <c r="A19" s="1268" t="s">
        <v>3226</v>
      </c>
      <c r="B19" s="1268" t="s">
        <v>1686</v>
      </c>
      <c r="C19" s="1268" t="s">
        <v>3238</v>
      </c>
      <c r="D19" s="1269"/>
      <c r="E19" s="1269"/>
      <c r="F19" s="1269"/>
      <c r="G19" s="1269">
        <v>36790.0</v>
      </c>
      <c r="H19" s="1269">
        <v>66000.0</v>
      </c>
      <c r="I19" s="1269">
        <v>69800.0</v>
      </c>
      <c r="J19" s="1269">
        <v>9800.0</v>
      </c>
      <c r="K19" s="1269">
        <v>43280.0</v>
      </c>
      <c r="L19" s="1269">
        <v>27200.0</v>
      </c>
      <c r="M19" s="1269">
        <v>0.0</v>
      </c>
      <c r="N19" s="1269">
        <v>83200.0</v>
      </c>
      <c r="O19" s="1269">
        <v>39800.0</v>
      </c>
      <c r="P19" s="1269">
        <f>SUM(J19:M19)</f>
        <v>80280</v>
      </c>
      <c r="R19" s="1270"/>
      <c r="S19" s="1270"/>
      <c r="T19" s="1270"/>
      <c r="U19" s="1270"/>
      <c r="V19" s="1270"/>
      <c r="W19" s="1270"/>
      <c r="X19" s="1270"/>
      <c r="Y19" s="1270"/>
      <c r="Z19" s="1270"/>
      <c r="AA19" s="1270"/>
      <c r="AB19" s="1270"/>
    </row>
    <row r="20">
      <c r="A20" s="1271" t="s">
        <v>3226</v>
      </c>
      <c r="B20" s="1271" t="s">
        <v>1699</v>
      </c>
      <c r="C20" s="1271" t="s">
        <v>3232</v>
      </c>
      <c r="D20" s="1272">
        <v>94070.0</v>
      </c>
      <c r="E20" s="1272">
        <v>91260.0</v>
      </c>
      <c r="F20" s="1272">
        <v>76110.0</v>
      </c>
      <c r="G20" s="1272">
        <v>52030.0</v>
      </c>
      <c r="H20" s="1272">
        <v>40540.0</v>
      </c>
      <c r="I20" s="1272">
        <v>35190.0</v>
      </c>
      <c r="J20" s="1272">
        <v>20790.0</v>
      </c>
      <c r="K20" s="1272">
        <v>9150.0</v>
      </c>
      <c r="L20" s="1272">
        <v>3310.0</v>
      </c>
      <c r="M20" s="1272">
        <v>9140.0</v>
      </c>
      <c r="N20" s="1272">
        <v>42610.0</v>
      </c>
      <c r="O20" s="1266">
        <v>49350.0</v>
      </c>
      <c r="P20" s="1276"/>
      <c r="Q20" s="1277" t="s">
        <v>3439</v>
      </c>
      <c r="R20" s="1218" t="s">
        <v>1259</v>
      </c>
      <c r="S20" s="1218" t="s">
        <v>3437</v>
      </c>
      <c r="T20" s="1218">
        <v>1.016815368E9</v>
      </c>
      <c r="U20" s="1218" t="s">
        <v>33</v>
      </c>
      <c r="V20" s="1209"/>
      <c r="W20" s="1209"/>
      <c r="X20" s="1209"/>
      <c r="Y20" s="1209"/>
      <c r="Z20" s="1209"/>
      <c r="AA20" s="1209"/>
      <c r="AB20" s="1209"/>
    </row>
    <row r="21">
      <c r="A21" s="1271" t="s">
        <v>3226</v>
      </c>
      <c r="B21" s="1271" t="s">
        <v>1699</v>
      </c>
      <c r="C21" s="1271" t="s">
        <v>3440</v>
      </c>
      <c r="D21" s="1272">
        <v>76720.0</v>
      </c>
      <c r="E21" s="1272">
        <v>91860.0</v>
      </c>
      <c r="F21" s="1272">
        <v>68910.0</v>
      </c>
      <c r="G21" s="1272">
        <v>102580.0</v>
      </c>
      <c r="H21" s="1272">
        <v>73370.0</v>
      </c>
      <c r="I21" s="1272">
        <v>70220.0</v>
      </c>
      <c r="J21" s="1272">
        <v>65770.0</v>
      </c>
      <c r="K21" s="1272">
        <v>56800.0</v>
      </c>
      <c r="L21" s="1272">
        <v>25080.0</v>
      </c>
      <c r="M21" s="1272">
        <v>26450.0</v>
      </c>
      <c r="N21" s="1272">
        <v>25850.0</v>
      </c>
      <c r="O21" s="1272">
        <v>23870.0</v>
      </c>
      <c r="P21" s="1267"/>
      <c r="Q21" s="1209"/>
      <c r="R21" s="1209"/>
      <c r="S21" s="1209"/>
      <c r="T21" s="1209"/>
      <c r="U21" s="1209"/>
      <c r="V21" s="1209"/>
      <c r="W21" s="1209"/>
      <c r="X21" s="1209"/>
      <c r="Y21" s="1209"/>
      <c r="Z21" s="1209"/>
      <c r="AA21" s="1209"/>
      <c r="AB21" s="1209"/>
    </row>
    <row r="22">
      <c r="A22" s="1271" t="s">
        <v>3226</v>
      </c>
      <c r="B22" s="1271" t="s">
        <v>1699</v>
      </c>
      <c r="C22" s="1271" t="s">
        <v>3430</v>
      </c>
      <c r="D22" s="1272">
        <v>41000.0</v>
      </c>
      <c r="E22" s="1273"/>
      <c r="F22" s="1272">
        <v>44000.0</v>
      </c>
      <c r="G22" s="1273"/>
      <c r="H22" s="1273"/>
      <c r="I22" s="1272">
        <v>45000.0</v>
      </c>
      <c r="J22" s="1273"/>
      <c r="K22" s="1272">
        <v>45000.0</v>
      </c>
      <c r="L22" s="1273"/>
      <c r="M22" s="1272">
        <v>30000.0</v>
      </c>
      <c r="N22" s="1273"/>
      <c r="O22" s="1273"/>
      <c r="P22" s="1267"/>
      <c r="Q22" s="1209"/>
      <c r="R22" s="1209"/>
      <c r="S22" s="1209"/>
      <c r="T22" s="1209"/>
      <c r="U22" s="1209"/>
      <c r="V22" s="1209"/>
      <c r="W22" s="1209"/>
      <c r="X22" s="1209"/>
      <c r="Y22" s="1209"/>
      <c r="Z22" s="1209"/>
      <c r="AA22" s="1209"/>
      <c r="AB22" s="1209"/>
    </row>
    <row r="23">
      <c r="A23" s="1271" t="s">
        <v>3226</v>
      </c>
      <c r="B23" s="1271" t="s">
        <v>1699</v>
      </c>
      <c r="C23" s="1271" t="s">
        <v>3235</v>
      </c>
      <c r="D23" s="1272">
        <v>22000.0</v>
      </c>
      <c r="E23" s="1272">
        <v>22000.0</v>
      </c>
      <c r="F23" s="1272">
        <v>22000.0</v>
      </c>
      <c r="G23" s="1272">
        <v>22000.0</v>
      </c>
      <c r="H23" s="1272">
        <v>22000.0</v>
      </c>
      <c r="I23" s="1272">
        <v>22000.0</v>
      </c>
      <c r="J23" s="1272">
        <v>22000.0</v>
      </c>
      <c r="K23" s="1272">
        <v>22000.0</v>
      </c>
      <c r="L23" s="1272">
        <v>22000.0</v>
      </c>
      <c r="M23" s="1272">
        <v>22000.0</v>
      </c>
      <c r="N23" s="1272">
        <v>22000.0</v>
      </c>
      <c r="O23" s="1272">
        <v>22000.0</v>
      </c>
      <c r="P23" s="1267"/>
      <c r="Q23" s="1209"/>
      <c r="R23" s="1209"/>
      <c r="S23" s="1209"/>
      <c r="T23" s="1209"/>
      <c r="U23" s="1209"/>
      <c r="V23" s="1209"/>
      <c r="W23" s="1209"/>
      <c r="X23" s="1209"/>
      <c r="Y23" s="1209"/>
      <c r="Z23" s="1209"/>
      <c r="AA23" s="1209"/>
      <c r="AB23" s="1209"/>
    </row>
    <row r="24">
      <c r="A24" s="1271" t="s">
        <v>3226</v>
      </c>
      <c r="B24" s="1271" t="s">
        <v>1699</v>
      </c>
      <c r="C24" s="1271" t="s">
        <v>3237</v>
      </c>
      <c r="D24" s="1272">
        <v>22000.0</v>
      </c>
      <c r="E24" s="1272">
        <v>11000.0</v>
      </c>
      <c r="F24" s="1272">
        <v>11000.0</v>
      </c>
      <c r="G24" s="1272">
        <v>11000.0</v>
      </c>
      <c r="H24" s="1272">
        <v>11000.0</v>
      </c>
      <c r="I24" s="1272">
        <v>11000.0</v>
      </c>
      <c r="J24" s="1272">
        <v>11000.0</v>
      </c>
      <c r="K24" s="1272">
        <v>11000.0</v>
      </c>
      <c r="L24" s="1272">
        <v>11000.0</v>
      </c>
      <c r="M24" s="1272">
        <v>11000.0</v>
      </c>
      <c r="N24" s="1272">
        <v>11000.0</v>
      </c>
      <c r="O24" s="1272">
        <v>11000.0</v>
      </c>
      <c r="P24" s="1267"/>
      <c r="Q24" s="1209"/>
      <c r="R24" s="1209"/>
      <c r="S24" s="1209"/>
      <c r="T24" s="1209"/>
      <c r="U24" s="1209"/>
      <c r="V24" s="1209"/>
      <c r="W24" s="1209"/>
      <c r="X24" s="1209"/>
      <c r="Y24" s="1209"/>
      <c r="Z24" s="1209"/>
      <c r="AA24" s="1209"/>
      <c r="AB24" s="1209"/>
    </row>
    <row r="25">
      <c r="A25" s="1278" t="s">
        <v>3226</v>
      </c>
      <c r="B25" s="1278" t="s">
        <v>1699</v>
      </c>
      <c r="C25" s="1278" t="s">
        <v>3238</v>
      </c>
      <c r="D25" s="1279"/>
      <c r="E25" s="1279"/>
      <c r="F25" s="1279"/>
      <c r="G25" s="1279">
        <v>51450.0</v>
      </c>
      <c r="H25" s="1279">
        <v>103980.0</v>
      </c>
      <c r="I25" s="1279">
        <v>34900.0</v>
      </c>
      <c r="J25" s="1279">
        <v>0.0</v>
      </c>
      <c r="K25" s="1279">
        <v>0.0</v>
      </c>
      <c r="L25" s="1279">
        <v>62450.0</v>
      </c>
      <c r="M25" s="1279">
        <v>0.0</v>
      </c>
      <c r="N25" s="1279">
        <v>15000.0</v>
      </c>
      <c r="O25" s="1279">
        <v>0.0</v>
      </c>
      <c r="P25" s="1269">
        <f>SUM(J25:M25)</f>
        <v>62450</v>
      </c>
      <c r="R25" s="1280"/>
      <c r="S25" s="1280"/>
      <c r="T25" s="1280"/>
      <c r="U25" s="1280"/>
      <c r="V25" s="1280"/>
      <c r="W25" s="1280"/>
      <c r="X25" s="1280"/>
      <c r="Y25" s="1280"/>
      <c r="Z25" s="1280"/>
      <c r="AA25" s="1280"/>
      <c r="AB25" s="1280"/>
    </row>
    <row r="26">
      <c r="A26" s="1218" t="s">
        <v>3226</v>
      </c>
      <c r="B26" s="1218" t="s">
        <v>1712</v>
      </c>
      <c r="C26" s="1218" t="s">
        <v>3232</v>
      </c>
      <c r="D26" s="1265">
        <v>39190.0</v>
      </c>
      <c r="E26" s="1265">
        <v>32680.0</v>
      </c>
      <c r="F26" s="1265">
        <v>46660.0</v>
      </c>
      <c r="G26" s="1265">
        <v>68420.0</v>
      </c>
      <c r="H26" s="1265">
        <v>34500.0</v>
      </c>
      <c r="I26" s="1265">
        <v>35050.0</v>
      </c>
      <c r="J26" s="1265">
        <v>19750.0</v>
      </c>
      <c r="K26" s="1265">
        <v>21790.0</v>
      </c>
      <c r="L26" s="1265">
        <v>18860.0</v>
      </c>
      <c r="M26" s="1265">
        <v>28500.0</v>
      </c>
      <c r="N26" s="1265">
        <v>66610.0</v>
      </c>
      <c r="O26" s="1266">
        <v>117160.0</v>
      </c>
      <c r="P26" s="1265"/>
      <c r="Q26" s="1218" t="s">
        <v>3441</v>
      </c>
      <c r="R26" s="1218" t="s">
        <v>1259</v>
      </c>
      <c r="S26" s="1218" t="s">
        <v>3437</v>
      </c>
      <c r="T26" s="1218">
        <v>1.00762785E9</v>
      </c>
      <c r="U26" s="1218" t="s">
        <v>33</v>
      </c>
      <c r="V26" s="1209"/>
      <c r="W26" s="1209"/>
      <c r="X26" s="1209"/>
      <c r="Y26" s="1209"/>
      <c r="Z26" s="1209"/>
      <c r="AA26" s="1209"/>
      <c r="AB26" s="1209"/>
    </row>
    <row r="27">
      <c r="A27" s="1218" t="s">
        <v>3226</v>
      </c>
      <c r="B27" s="1218" t="s">
        <v>1712</v>
      </c>
      <c r="C27" s="1218" t="s">
        <v>3442</v>
      </c>
      <c r="D27" s="1265">
        <v>131080.0</v>
      </c>
      <c r="E27" s="1265">
        <v>141890.0</v>
      </c>
      <c r="F27" s="1265">
        <v>235220.0</v>
      </c>
      <c r="G27" s="1265">
        <v>131920.0</v>
      </c>
      <c r="H27" s="1265">
        <v>70040.0</v>
      </c>
      <c r="I27" s="1265">
        <v>46880.0</v>
      </c>
      <c r="J27" s="1265">
        <v>55360.0</v>
      </c>
      <c r="K27" s="1265">
        <v>75260.0</v>
      </c>
      <c r="L27" s="1265">
        <v>73320.0</v>
      </c>
      <c r="M27" s="1265">
        <v>56910.0</v>
      </c>
      <c r="N27" s="1265">
        <v>42090.0</v>
      </c>
      <c r="O27" s="1265">
        <v>139780.0</v>
      </c>
      <c r="P27" s="1267"/>
      <c r="Q27" s="1209"/>
      <c r="R27" s="1209"/>
      <c r="S27" s="1209"/>
      <c r="T27" s="1209"/>
      <c r="U27" s="1209"/>
      <c r="V27" s="1209"/>
      <c r="W27" s="1209"/>
      <c r="X27" s="1209"/>
      <c r="Y27" s="1209"/>
      <c r="Z27" s="1209"/>
      <c r="AA27" s="1209"/>
      <c r="AB27" s="1209"/>
    </row>
    <row r="28">
      <c r="A28" s="1218" t="s">
        <v>3226</v>
      </c>
      <c r="B28" s="1218" t="s">
        <v>1712</v>
      </c>
      <c r="C28" s="1218" t="s">
        <v>802</v>
      </c>
      <c r="D28" s="1265">
        <v>36400.0</v>
      </c>
      <c r="E28" s="1267"/>
      <c r="F28" s="1265">
        <v>30240.0</v>
      </c>
      <c r="G28" s="1267"/>
      <c r="I28" s="1265">
        <v>47640.0</v>
      </c>
      <c r="J28" s="1267"/>
      <c r="K28" s="1265">
        <v>34680.0</v>
      </c>
      <c r="L28" s="1267"/>
      <c r="M28" s="1265">
        <v>27440.0</v>
      </c>
      <c r="N28" s="1265">
        <v>45720.0</v>
      </c>
      <c r="O28" s="1267"/>
      <c r="P28" s="1267"/>
      <c r="Q28" s="1209"/>
      <c r="R28" s="1209"/>
      <c r="S28" s="1218" t="s">
        <v>802</v>
      </c>
      <c r="T28" s="1218" t="s">
        <v>3443</v>
      </c>
      <c r="U28" s="1209"/>
      <c r="V28" s="1209"/>
      <c r="W28" s="1209"/>
      <c r="X28" s="1209"/>
      <c r="Y28" s="1209"/>
      <c r="Z28" s="1209"/>
      <c r="AA28" s="1209"/>
      <c r="AB28" s="1209"/>
    </row>
    <row r="29">
      <c r="A29" s="1218" t="s">
        <v>3226</v>
      </c>
      <c r="B29" s="1218" t="s">
        <v>1712</v>
      </c>
      <c r="C29" s="1218" t="s">
        <v>3235</v>
      </c>
      <c r="D29" s="1265">
        <v>22000.0</v>
      </c>
      <c r="E29" s="1265">
        <v>22000.0</v>
      </c>
      <c r="F29" s="1265">
        <v>22000.0</v>
      </c>
      <c r="G29" s="1265">
        <v>22000.0</v>
      </c>
      <c r="H29" s="1265">
        <v>22000.0</v>
      </c>
      <c r="I29" s="1265">
        <v>22000.0</v>
      </c>
      <c r="J29" s="1265">
        <v>22000.0</v>
      </c>
      <c r="K29" s="1265">
        <v>22000.0</v>
      </c>
      <c r="L29" s="1265">
        <v>22000.0</v>
      </c>
      <c r="M29" s="1265">
        <v>22000.0</v>
      </c>
      <c r="N29" s="1265">
        <v>22000.0</v>
      </c>
      <c r="O29" s="1265">
        <v>22000.0</v>
      </c>
      <c r="P29" s="1267"/>
      <c r="Q29" s="1209"/>
      <c r="R29" s="1209"/>
      <c r="S29" s="1209"/>
      <c r="T29" s="1209"/>
      <c r="U29" s="1209"/>
      <c r="V29" s="1209"/>
      <c r="W29" s="1209"/>
      <c r="X29" s="1209"/>
      <c r="Y29" s="1209"/>
      <c r="Z29" s="1209"/>
      <c r="AA29" s="1209"/>
      <c r="AB29" s="1209"/>
    </row>
    <row r="30">
      <c r="A30" s="1218" t="s">
        <v>3226</v>
      </c>
      <c r="B30" s="1218" t="s">
        <v>1712</v>
      </c>
      <c r="C30" s="1218" t="s">
        <v>3237</v>
      </c>
      <c r="D30" s="1265">
        <v>11000.0</v>
      </c>
      <c r="E30" s="1265">
        <v>11000.0</v>
      </c>
      <c r="F30" s="1265">
        <v>11000.0</v>
      </c>
      <c r="G30" s="1265">
        <v>11000.0</v>
      </c>
      <c r="H30" s="1265">
        <v>11000.0</v>
      </c>
      <c r="I30" s="1265">
        <v>11000.0</v>
      </c>
      <c r="J30" s="1265">
        <v>11000.0</v>
      </c>
      <c r="K30" s="1265">
        <v>11000.0</v>
      </c>
      <c r="L30" s="1265">
        <v>11000.0</v>
      </c>
      <c r="M30" s="1265">
        <v>11000.0</v>
      </c>
      <c r="N30" s="1265">
        <v>11000.0</v>
      </c>
      <c r="O30" s="1265">
        <v>11000.0</v>
      </c>
      <c r="P30" s="1267"/>
      <c r="Q30" s="1209"/>
      <c r="R30" s="1209"/>
      <c r="S30" s="1209"/>
      <c r="T30" s="1209"/>
      <c r="U30" s="1209"/>
      <c r="V30" s="1209"/>
      <c r="W30" s="1209"/>
      <c r="X30" s="1209"/>
      <c r="Y30" s="1209"/>
      <c r="Z30" s="1209"/>
      <c r="AA30" s="1209"/>
      <c r="AB30" s="1209"/>
    </row>
    <row r="31">
      <c r="A31" s="1268" t="s">
        <v>3226</v>
      </c>
      <c r="B31" s="1268" t="s">
        <v>1712</v>
      </c>
      <c r="C31" s="1268" t="s">
        <v>3238</v>
      </c>
      <c r="D31" s="1269"/>
      <c r="E31" s="1269"/>
      <c r="F31" s="1269"/>
      <c r="G31" s="1269">
        <v>9990.0</v>
      </c>
      <c r="H31" s="1269">
        <v>49900.0</v>
      </c>
      <c r="I31" s="1269">
        <v>52740.0</v>
      </c>
      <c r="J31" s="1269">
        <v>0.0</v>
      </c>
      <c r="K31" s="1269">
        <v>9800.0</v>
      </c>
      <c r="L31" s="1269">
        <v>47380.0</v>
      </c>
      <c r="M31" s="1269">
        <v>0.0</v>
      </c>
      <c r="N31" s="1269">
        <v>102370.0</v>
      </c>
      <c r="O31" s="1269">
        <v>63130.0</v>
      </c>
      <c r="P31" s="1269">
        <f>SUM(J31:M31)</f>
        <v>57180</v>
      </c>
      <c r="R31" s="1270"/>
      <c r="S31" s="1270"/>
      <c r="T31" s="1270"/>
      <c r="U31" s="1270"/>
      <c r="V31" s="1270"/>
      <c r="W31" s="1270"/>
      <c r="X31" s="1270"/>
      <c r="Y31" s="1270"/>
      <c r="Z31" s="1270"/>
      <c r="AA31" s="1270"/>
      <c r="AB31" s="1270"/>
    </row>
    <row r="32">
      <c r="A32" s="1271" t="s">
        <v>3226</v>
      </c>
      <c r="B32" s="1271" t="s">
        <v>1733</v>
      </c>
      <c r="C32" s="1271" t="s">
        <v>3232</v>
      </c>
      <c r="D32" s="1272">
        <v>167200.0</v>
      </c>
      <c r="E32" s="1272">
        <v>138630.0</v>
      </c>
      <c r="F32" s="1272">
        <v>117340.0</v>
      </c>
      <c r="G32" s="1272">
        <v>68410.0</v>
      </c>
      <c r="H32" s="1272">
        <v>36350.0</v>
      </c>
      <c r="I32" s="1272">
        <v>16390.0</v>
      </c>
      <c r="J32" s="1272">
        <v>14780.0</v>
      </c>
      <c r="K32" s="1272">
        <v>6240.0</v>
      </c>
      <c r="L32" s="1272">
        <v>10120.0</v>
      </c>
      <c r="M32" s="1272">
        <v>15890.0</v>
      </c>
      <c r="N32" s="1272">
        <v>40300.0</v>
      </c>
      <c r="O32" s="1266">
        <v>130710.0</v>
      </c>
      <c r="P32" s="1265"/>
      <c r="Q32" s="1218" t="s">
        <v>3444</v>
      </c>
      <c r="R32" s="1218" t="s">
        <v>1259</v>
      </c>
      <c r="S32" s="1218" t="s">
        <v>3437</v>
      </c>
      <c r="T32" s="1218">
        <v>1.016448053E9</v>
      </c>
      <c r="U32" s="1218" t="s">
        <v>33</v>
      </c>
      <c r="V32" s="1209"/>
      <c r="W32" s="1209"/>
      <c r="X32" s="1209"/>
      <c r="Y32" s="1209"/>
      <c r="Z32" s="1209"/>
      <c r="AA32" s="1209"/>
      <c r="AB32" s="1209"/>
    </row>
    <row r="33">
      <c r="A33" s="1271" t="s">
        <v>3226</v>
      </c>
      <c r="B33" s="1271" t="s">
        <v>1733</v>
      </c>
      <c r="C33" s="1271" t="s">
        <v>3445</v>
      </c>
      <c r="D33" s="1272">
        <v>23760.0</v>
      </c>
      <c r="E33" s="1272">
        <v>24170.0</v>
      </c>
      <c r="F33" s="1272">
        <v>19450.0</v>
      </c>
      <c r="G33" s="1272">
        <v>21040.0</v>
      </c>
      <c r="H33" s="1272">
        <v>16450.0</v>
      </c>
      <c r="I33" s="1272">
        <v>19250.0</v>
      </c>
      <c r="J33" s="1272">
        <v>34890.0</v>
      </c>
      <c r="K33" s="1272">
        <v>33400.0</v>
      </c>
      <c r="L33" s="1272">
        <v>56300.0</v>
      </c>
      <c r="M33" s="1272">
        <v>50770.0</v>
      </c>
      <c r="N33" s="1272">
        <v>22280.0</v>
      </c>
      <c r="O33" s="1272">
        <v>24260.0</v>
      </c>
      <c r="P33" s="1267"/>
      <c r="Q33" s="1209"/>
      <c r="R33" s="1209"/>
      <c r="S33" s="1209"/>
      <c r="T33" s="1209"/>
      <c r="U33" s="1209"/>
      <c r="V33" s="1209"/>
      <c r="W33" s="1209"/>
      <c r="X33" s="1209"/>
      <c r="Y33" s="1209"/>
      <c r="Z33" s="1209"/>
      <c r="AA33" s="1209"/>
      <c r="AB33" s="1209"/>
    </row>
    <row r="34">
      <c r="A34" s="1271" t="s">
        <v>3226</v>
      </c>
      <c r="B34" s="1271" t="s">
        <v>1733</v>
      </c>
      <c r="C34" s="1271" t="s">
        <v>3446</v>
      </c>
      <c r="D34" s="1272">
        <v>60000.0</v>
      </c>
      <c r="E34" s="1272">
        <v>60000.0</v>
      </c>
      <c r="F34" s="1272">
        <v>80000.0</v>
      </c>
      <c r="G34" s="1272">
        <v>80000.0</v>
      </c>
      <c r="H34" s="1272">
        <v>80000.0</v>
      </c>
      <c r="I34" s="1272">
        <v>80000.0</v>
      </c>
      <c r="J34" s="1272">
        <v>80000.0</v>
      </c>
      <c r="K34" s="1272">
        <v>80000.0</v>
      </c>
      <c r="L34" s="1272">
        <v>80000.0</v>
      </c>
      <c r="M34" s="1272">
        <v>80000.0</v>
      </c>
      <c r="N34" s="1272">
        <v>80000.0</v>
      </c>
      <c r="O34" s="1272">
        <v>80000.0</v>
      </c>
      <c r="P34" s="1267"/>
      <c r="Q34" s="1209"/>
      <c r="R34" s="1209"/>
      <c r="S34" s="1218" t="s">
        <v>802</v>
      </c>
      <c r="T34" s="1218" t="s">
        <v>3443</v>
      </c>
      <c r="U34" s="1209"/>
      <c r="V34" s="1209"/>
      <c r="W34" s="1209"/>
      <c r="X34" s="1209"/>
      <c r="Y34" s="1209"/>
      <c r="Z34" s="1209"/>
      <c r="AA34" s="1209"/>
      <c r="AB34" s="1209"/>
    </row>
    <row r="35">
      <c r="A35" s="1271" t="s">
        <v>3226</v>
      </c>
      <c r="B35" s="1271" t="s">
        <v>1733</v>
      </c>
      <c r="C35" s="1271" t="s">
        <v>3235</v>
      </c>
      <c r="D35" s="1272">
        <v>22000.0</v>
      </c>
      <c r="E35" s="1272">
        <v>22000.0</v>
      </c>
      <c r="F35" s="1272">
        <v>22000.0</v>
      </c>
      <c r="G35" s="1272">
        <v>22000.0</v>
      </c>
      <c r="H35" s="1272">
        <v>22000.0</v>
      </c>
      <c r="I35" s="1272">
        <v>22000.0</v>
      </c>
      <c r="J35" s="1272">
        <v>22000.0</v>
      </c>
      <c r="K35" s="1272">
        <v>22000.0</v>
      </c>
      <c r="L35" s="1272">
        <v>22000.0</v>
      </c>
      <c r="M35" s="1272">
        <v>22000.0</v>
      </c>
      <c r="N35" s="1272">
        <v>22000.0</v>
      </c>
      <c r="O35" s="1272">
        <v>22000.0</v>
      </c>
      <c r="P35" s="1267"/>
      <c r="Q35" s="1209"/>
      <c r="R35" s="1209"/>
      <c r="S35" s="1209"/>
      <c r="T35" s="1209"/>
      <c r="U35" s="1209"/>
      <c r="V35" s="1209"/>
      <c r="W35" s="1209"/>
      <c r="X35" s="1209"/>
      <c r="Y35" s="1209"/>
      <c r="Z35" s="1209"/>
      <c r="AA35" s="1209"/>
      <c r="AB35" s="1209"/>
    </row>
    <row r="36">
      <c r="A36" s="1271" t="s">
        <v>3226</v>
      </c>
      <c r="B36" s="1271" t="s">
        <v>1733</v>
      </c>
      <c r="C36" s="1271" t="s">
        <v>3237</v>
      </c>
      <c r="D36" s="1272">
        <v>11000.0</v>
      </c>
      <c r="E36" s="1272">
        <v>11000.0</v>
      </c>
      <c r="F36" s="1272">
        <v>11000.0</v>
      </c>
      <c r="G36" s="1272">
        <v>11000.0</v>
      </c>
      <c r="H36" s="1272">
        <v>11000.0</v>
      </c>
      <c r="I36" s="1272">
        <v>11000.0</v>
      </c>
      <c r="J36" s="1272">
        <v>11000.0</v>
      </c>
      <c r="K36" s="1272">
        <v>11000.0</v>
      </c>
      <c r="L36" s="1272">
        <v>11000.0</v>
      </c>
      <c r="M36" s="1272">
        <v>11000.0</v>
      </c>
      <c r="N36" s="1272">
        <v>11000.0</v>
      </c>
      <c r="O36" s="1272">
        <v>11000.0</v>
      </c>
      <c r="P36" s="1267"/>
      <c r="Q36" s="1209"/>
      <c r="R36" s="1209"/>
      <c r="S36" s="1209"/>
      <c r="T36" s="1209"/>
      <c r="U36" s="1209"/>
      <c r="V36" s="1209"/>
      <c r="W36" s="1209"/>
      <c r="X36" s="1209"/>
      <c r="Y36" s="1209"/>
      <c r="Z36" s="1209"/>
      <c r="AA36" s="1209"/>
      <c r="AB36" s="1209"/>
    </row>
    <row r="37">
      <c r="A37" s="1271" t="s">
        <v>3226</v>
      </c>
      <c r="B37" s="1271" t="s">
        <v>1733</v>
      </c>
      <c r="C37" s="1271" t="s">
        <v>3238</v>
      </c>
      <c r="D37" s="1272"/>
      <c r="E37" s="1272"/>
      <c r="F37" s="1272"/>
      <c r="G37" s="1272">
        <v>30000.0</v>
      </c>
      <c r="H37" s="1272">
        <v>58000.0</v>
      </c>
      <c r="I37" s="1272">
        <v>41600.0</v>
      </c>
      <c r="J37" s="1272">
        <v>0.0</v>
      </c>
      <c r="K37" s="1272">
        <v>8790.0</v>
      </c>
      <c r="L37" s="1272">
        <v>24900.0</v>
      </c>
      <c r="M37" s="1272">
        <v>11870.0</v>
      </c>
      <c r="N37" s="1272">
        <v>49900.0</v>
      </c>
      <c r="O37" s="1272">
        <v>34900.0</v>
      </c>
      <c r="P37" s="1269">
        <f>SUM(J37:M37)</f>
        <v>45560</v>
      </c>
      <c r="R37" s="1274"/>
      <c r="S37" s="1274"/>
      <c r="T37" s="1274"/>
      <c r="U37" s="1274"/>
      <c r="V37" s="1274"/>
      <c r="W37" s="1274"/>
      <c r="X37" s="1274"/>
      <c r="Y37" s="1274"/>
      <c r="Z37" s="1274"/>
      <c r="AA37" s="1274"/>
      <c r="AB37" s="1274"/>
    </row>
    <row r="38">
      <c r="A38" s="1218"/>
      <c r="B38" s="1218" t="s">
        <v>1748</v>
      </c>
      <c r="C38" s="1218" t="s">
        <v>3232</v>
      </c>
      <c r="D38" s="1265">
        <v>148930.0</v>
      </c>
      <c r="E38" s="1265">
        <v>168420.0</v>
      </c>
      <c r="F38" s="1265">
        <v>111280.0</v>
      </c>
      <c r="G38" s="1265">
        <v>56680.0</v>
      </c>
      <c r="H38" s="1265">
        <v>21780.0</v>
      </c>
      <c r="I38" s="1265">
        <v>18640.0</v>
      </c>
      <c r="J38" s="1265">
        <v>18870.0</v>
      </c>
      <c r="K38" s="1265">
        <v>25700.0</v>
      </c>
      <c r="L38" s="1265">
        <v>18820.0</v>
      </c>
      <c r="M38" s="1265">
        <v>35360.0</v>
      </c>
      <c r="N38" s="1265">
        <v>66890.0</v>
      </c>
      <c r="O38" s="1266">
        <v>148540.0</v>
      </c>
      <c r="P38" s="1265"/>
      <c r="Q38" s="1218" t="s">
        <v>3447</v>
      </c>
      <c r="R38" s="1218" t="s">
        <v>1259</v>
      </c>
      <c r="S38" s="1218" t="s">
        <v>3437</v>
      </c>
      <c r="T38" s="1218">
        <v>1.0167364E9</v>
      </c>
      <c r="U38" s="1218" t="s">
        <v>3448</v>
      </c>
      <c r="V38" s="1209"/>
      <c r="W38" s="1209"/>
      <c r="X38" s="1209"/>
      <c r="Y38" s="1209"/>
      <c r="Z38" s="1209"/>
      <c r="AA38" s="1209"/>
      <c r="AB38" s="1209"/>
    </row>
    <row r="39">
      <c r="A39" s="1218"/>
      <c r="B39" s="1218" t="s">
        <v>1748</v>
      </c>
      <c r="C39" s="1218" t="s">
        <v>3449</v>
      </c>
      <c r="D39" s="1265">
        <v>27450.0</v>
      </c>
      <c r="E39" s="1265">
        <v>31850.0</v>
      </c>
      <c r="F39" s="1265">
        <v>26570.0</v>
      </c>
      <c r="G39" s="1265">
        <v>30600.0</v>
      </c>
      <c r="H39" s="1265">
        <v>29300.0</v>
      </c>
      <c r="I39" s="1265">
        <v>51040.0</v>
      </c>
      <c r="J39" s="1265">
        <v>68850.0</v>
      </c>
      <c r="K39" s="1265">
        <v>74320.0</v>
      </c>
      <c r="L39" s="1265">
        <v>75070.0</v>
      </c>
      <c r="M39" s="1265">
        <v>48430.0</v>
      </c>
      <c r="N39" s="1265">
        <v>20300.0</v>
      </c>
      <c r="O39" s="1265">
        <v>11770.0</v>
      </c>
      <c r="P39" s="1267"/>
      <c r="Q39" s="1209"/>
      <c r="R39" s="1209"/>
      <c r="S39" s="1209"/>
      <c r="T39" s="1209"/>
      <c r="U39" s="1209"/>
      <c r="V39" s="1209"/>
      <c r="W39" s="1209"/>
      <c r="X39" s="1209"/>
      <c r="Y39" s="1209"/>
      <c r="Z39" s="1209"/>
      <c r="AA39" s="1209"/>
      <c r="AB39" s="1209"/>
    </row>
    <row r="40">
      <c r="A40" s="1218"/>
      <c r="B40" s="1218" t="s">
        <v>1748</v>
      </c>
      <c r="C40" s="1218" t="s">
        <v>3450</v>
      </c>
      <c r="D40" s="1265">
        <v>150000.0</v>
      </c>
      <c r="E40" s="1265">
        <v>150000.0</v>
      </c>
      <c r="F40" s="1265">
        <v>50000.0</v>
      </c>
      <c r="G40" s="1265">
        <v>50000.0</v>
      </c>
      <c r="H40" s="1265">
        <v>50000.0</v>
      </c>
      <c r="I40" s="1265">
        <v>50000.0</v>
      </c>
      <c r="J40" s="1265">
        <v>50000.0</v>
      </c>
      <c r="K40" s="1265">
        <v>50000.0</v>
      </c>
      <c r="L40" s="1265">
        <v>50000.0</v>
      </c>
      <c r="M40" s="1265">
        <v>50000.0</v>
      </c>
      <c r="N40" s="1265">
        <v>50000.0</v>
      </c>
      <c r="O40" s="1265">
        <v>50000.0</v>
      </c>
      <c r="P40" s="1265"/>
      <c r="Q40" s="1265"/>
      <c r="R40" s="1265">
        <v>50000.0</v>
      </c>
      <c r="S40" s="1218" t="s">
        <v>802</v>
      </c>
      <c r="T40" s="1218" t="s">
        <v>3443</v>
      </c>
      <c r="U40" s="1209"/>
      <c r="V40" s="1209"/>
      <c r="W40" s="1209"/>
      <c r="X40" s="1209"/>
      <c r="Y40" s="1209"/>
      <c r="Z40" s="1209"/>
      <c r="AA40" s="1209"/>
      <c r="AB40" s="1209"/>
    </row>
    <row r="41">
      <c r="A41" s="1218"/>
      <c r="B41" s="1218" t="s">
        <v>1748</v>
      </c>
      <c r="C41" s="1218" t="s">
        <v>3235</v>
      </c>
      <c r="D41" s="1265">
        <v>22000.0</v>
      </c>
      <c r="E41" s="1265">
        <v>22000.0</v>
      </c>
      <c r="F41" s="1265">
        <v>22000.0</v>
      </c>
      <c r="G41" s="1265">
        <v>22000.0</v>
      </c>
      <c r="H41" s="1265">
        <v>22000.0</v>
      </c>
      <c r="I41" s="1265">
        <v>22000.0</v>
      </c>
      <c r="J41" s="1265">
        <v>22000.0</v>
      </c>
      <c r="K41" s="1265">
        <v>22000.0</v>
      </c>
      <c r="L41" s="1265">
        <v>22000.0</v>
      </c>
      <c r="M41" s="1265">
        <v>22000.0</v>
      </c>
      <c r="N41" s="1265">
        <v>22000.0</v>
      </c>
      <c r="O41" s="1265">
        <v>22000.0</v>
      </c>
      <c r="P41" s="1267"/>
      <c r="Q41" s="1209"/>
      <c r="R41" s="1209"/>
      <c r="S41" s="1209"/>
      <c r="T41" s="1209"/>
      <c r="U41" s="1209"/>
      <c r="V41" s="1209"/>
      <c r="W41" s="1209"/>
      <c r="X41" s="1209"/>
      <c r="Y41" s="1209"/>
      <c r="Z41" s="1209"/>
      <c r="AA41" s="1209"/>
      <c r="AB41" s="1209"/>
    </row>
    <row r="42">
      <c r="A42" s="1218"/>
      <c r="B42" s="1218" t="s">
        <v>1748</v>
      </c>
      <c r="C42" s="1218" t="s">
        <v>3237</v>
      </c>
      <c r="D42" s="1265">
        <v>11000.0</v>
      </c>
      <c r="E42" s="1265">
        <v>11000.0</v>
      </c>
      <c r="F42" s="1265">
        <v>11000.0</v>
      </c>
      <c r="G42" s="1265">
        <v>11000.0</v>
      </c>
      <c r="H42" s="1265">
        <v>11000.0</v>
      </c>
      <c r="I42" s="1265">
        <v>11000.0</v>
      </c>
      <c r="J42" s="1265">
        <v>11000.0</v>
      </c>
      <c r="K42" s="1265">
        <v>11000.0</v>
      </c>
      <c r="L42" s="1265">
        <v>11000.0</v>
      </c>
      <c r="M42" s="1265">
        <v>11000.0</v>
      </c>
      <c r="N42" s="1265">
        <v>11000.0</v>
      </c>
      <c r="O42" s="1265">
        <v>11000.0</v>
      </c>
      <c r="P42" s="1269"/>
      <c r="R42" s="1209"/>
      <c r="S42" s="1209"/>
      <c r="T42" s="1209"/>
      <c r="U42" s="1209"/>
      <c r="V42" s="1209"/>
      <c r="W42" s="1209"/>
      <c r="X42" s="1209"/>
      <c r="Y42" s="1209"/>
      <c r="Z42" s="1209"/>
      <c r="AA42" s="1209"/>
      <c r="AB42" s="1209"/>
    </row>
    <row r="43">
      <c r="A43" s="1218"/>
      <c r="B43" s="1218" t="s">
        <v>1748</v>
      </c>
      <c r="C43" s="1218" t="s">
        <v>3238</v>
      </c>
      <c r="D43" s="1265"/>
      <c r="E43" s="1265"/>
      <c r="F43" s="1265"/>
      <c r="G43" s="1265"/>
      <c r="H43" s="1265"/>
      <c r="I43" s="1265"/>
      <c r="J43" s="1265"/>
      <c r="K43" s="1265"/>
      <c r="L43" s="1265"/>
      <c r="M43" s="1265"/>
      <c r="N43" s="1265">
        <v>146000.0</v>
      </c>
      <c r="O43" s="1265">
        <v>0.0</v>
      </c>
      <c r="P43" s="1269"/>
      <c r="R43" s="1209"/>
      <c r="S43" s="1209"/>
      <c r="T43" s="1209"/>
      <c r="U43" s="1209"/>
      <c r="V43" s="1209"/>
      <c r="W43" s="1209"/>
      <c r="X43" s="1209"/>
      <c r="Y43" s="1209"/>
      <c r="Z43" s="1209"/>
      <c r="AA43" s="1209"/>
      <c r="AB43" s="1209"/>
    </row>
    <row r="44">
      <c r="A44" s="1271" t="s">
        <v>3226</v>
      </c>
      <c r="B44" s="1271" t="s">
        <v>1759</v>
      </c>
      <c r="C44" s="1271" t="s">
        <v>3232</v>
      </c>
      <c r="D44" s="1272">
        <v>238030.0</v>
      </c>
      <c r="E44" s="1272">
        <v>43830.0</v>
      </c>
      <c r="F44" s="1272">
        <v>123820.0</v>
      </c>
      <c r="G44" s="1272">
        <v>44440.0</v>
      </c>
      <c r="H44" s="1272">
        <v>17790.0</v>
      </c>
      <c r="I44" s="1272">
        <v>13760.0</v>
      </c>
      <c r="J44" s="1272">
        <v>11940.0</v>
      </c>
      <c r="K44" s="1272">
        <v>8180.0</v>
      </c>
      <c r="L44" s="1272">
        <v>12060.0</v>
      </c>
      <c r="M44" s="1272">
        <v>13000.0</v>
      </c>
      <c r="N44" s="1272">
        <v>31560.0</v>
      </c>
      <c r="O44" s="1266">
        <v>80190.0</v>
      </c>
      <c r="P44" s="1265"/>
      <c r="Q44" s="1218" t="s">
        <v>3451</v>
      </c>
      <c r="R44" s="1218" t="s">
        <v>1259</v>
      </c>
      <c r="S44" s="1218" t="s">
        <v>3437</v>
      </c>
      <c r="T44" s="1218">
        <v>1.017070946E9</v>
      </c>
      <c r="U44" s="1218" t="s">
        <v>33</v>
      </c>
      <c r="V44" s="1209"/>
      <c r="W44" s="1209"/>
      <c r="X44" s="1209"/>
      <c r="Y44" s="1209"/>
      <c r="Z44" s="1209"/>
      <c r="AA44" s="1209"/>
      <c r="AB44" s="1209"/>
    </row>
    <row r="45">
      <c r="A45" s="1271" t="s">
        <v>3226</v>
      </c>
      <c r="B45" s="1271" t="s">
        <v>1759</v>
      </c>
      <c r="C45" s="1271" t="s">
        <v>3452</v>
      </c>
      <c r="D45" s="1272">
        <v>43620.0</v>
      </c>
      <c r="E45" s="1272">
        <v>13470.0</v>
      </c>
      <c r="F45" s="1272">
        <v>22650.0</v>
      </c>
      <c r="G45" s="1272">
        <v>24040.0</v>
      </c>
      <c r="H45" s="1272">
        <v>28180.0</v>
      </c>
      <c r="I45" s="1272">
        <v>29060.0</v>
      </c>
      <c r="J45" s="1272">
        <v>35310.0</v>
      </c>
      <c r="K45" s="1272">
        <v>28520.0</v>
      </c>
      <c r="L45" s="1272">
        <v>47970.0</v>
      </c>
      <c r="M45" s="1272">
        <v>24260.0</v>
      </c>
      <c r="N45" s="1272">
        <v>23800.0</v>
      </c>
      <c r="O45" s="1272">
        <v>27910.0</v>
      </c>
      <c r="P45" s="1267"/>
      <c r="Q45" s="1209"/>
      <c r="R45" s="1209"/>
      <c r="S45" s="1209"/>
      <c r="T45" s="1209"/>
      <c r="U45" s="1209"/>
      <c r="V45" s="1209"/>
      <c r="W45" s="1209"/>
      <c r="X45" s="1209"/>
      <c r="Y45" s="1209"/>
      <c r="Z45" s="1209"/>
      <c r="AA45" s="1209"/>
      <c r="AB45" s="1209"/>
    </row>
    <row r="46">
      <c r="A46" s="1271" t="s">
        <v>3226</v>
      </c>
      <c r="B46" s="1271" t="s">
        <v>1759</v>
      </c>
      <c r="C46" s="1271" t="s">
        <v>802</v>
      </c>
      <c r="D46" s="1273">
        <f>13000*2</f>
        <v>26000</v>
      </c>
      <c r="E46" s="1272">
        <v>26000.0</v>
      </c>
      <c r="F46" s="1272">
        <v>26000.0</v>
      </c>
      <c r="G46" s="1272">
        <v>26000.0</v>
      </c>
      <c r="H46" s="1272">
        <v>26000.0</v>
      </c>
      <c r="I46" s="1272">
        <v>26000.0</v>
      </c>
      <c r="J46" s="1272">
        <v>26000.0</v>
      </c>
      <c r="K46" s="1272">
        <v>26000.0</v>
      </c>
      <c r="L46" s="1272">
        <v>26000.0</v>
      </c>
      <c r="M46" s="1272">
        <v>26000.0</v>
      </c>
      <c r="N46" s="1272">
        <v>26000.0</v>
      </c>
      <c r="O46" s="1272">
        <v>26000.0</v>
      </c>
      <c r="P46" s="1267"/>
      <c r="Q46" s="1209"/>
      <c r="R46" s="1209"/>
      <c r="S46" s="1218" t="s">
        <v>802</v>
      </c>
      <c r="T46" s="1218" t="s">
        <v>3443</v>
      </c>
      <c r="U46" s="1209"/>
      <c r="V46" s="1209"/>
      <c r="W46" s="1209"/>
      <c r="X46" s="1209"/>
      <c r="Y46" s="1209"/>
      <c r="Z46" s="1209"/>
      <c r="AA46" s="1209"/>
      <c r="AB46" s="1209"/>
    </row>
    <row r="47">
      <c r="A47" s="1271" t="s">
        <v>3226</v>
      </c>
      <c r="B47" s="1271" t="s">
        <v>1759</v>
      </c>
      <c r="C47" s="1271" t="s">
        <v>3235</v>
      </c>
      <c r="D47" s="1272">
        <v>22000.0</v>
      </c>
      <c r="E47" s="1272">
        <v>22000.0</v>
      </c>
      <c r="F47" s="1272">
        <v>22000.0</v>
      </c>
      <c r="G47" s="1272">
        <v>22000.0</v>
      </c>
      <c r="H47" s="1272">
        <v>22000.0</v>
      </c>
      <c r="I47" s="1272">
        <v>22000.0</v>
      </c>
      <c r="J47" s="1272">
        <v>22000.0</v>
      </c>
      <c r="K47" s="1272">
        <v>22000.0</v>
      </c>
      <c r="L47" s="1272">
        <v>22000.0</v>
      </c>
      <c r="M47" s="1272">
        <v>22000.0</v>
      </c>
      <c r="N47" s="1272">
        <v>22000.0</v>
      </c>
      <c r="O47" s="1272">
        <v>22000.0</v>
      </c>
      <c r="P47" s="1267"/>
      <c r="Q47" s="1209"/>
      <c r="R47" s="1209"/>
      <c r="S47" s="1209"/>
      <c r="T47" s="1209"/>
      <c r="U47" s="1209"/>
      <c r="V47" s="1209"/>
      <c r="W47" s="1209"/>
      <c r="X47" s="1209"/>
      <c r="Y47" s="1209"/>
      <c r="Z47" s="1209"/>
      <c r="AA47" s="1209"/>
      <c r="AB47" s="1209"/>
    </row>
    <row r="48">
      <c r="A48" s="1271" t="s">
        <v>3226</v>
      </c>
      <c r="B48" s="1271" t="s">
        <v>1759</v>
      </c>
      <c r="C48" s="1271" t="s">
        <v>3237</v>
      </c>
      <c r="D48" s="1272">
        <v>11000.0</v>
      </c>
      <c r="E48" s="1272">
        <v>11000.0</v>
      </c>
      <c r="F48" s="1272">
        <v>11000.0</v>
      </c>
      <c r="G48" s="1272">
        <v>11000.0</v>
      </c>
      <c r="H48" s="1272">
        <v>11000.0</v>
      </c>
      <c r="I48" s="1272">
        <v>11000.0</v>
      </c>
      <c r="J48" s="1272">
        <v>11000.0</v>
      </c>
      <c r="K48" s="1272">
        <v>11000.0</v>
      </c>
      <c r="L48" s="1272">
        <v>11000.0</v>
      </c>
      <c r="M48" s="1272">
        <v>11000.0</v>
      </c>
      <c r="N48" s="1272">
        <v>11000.0</v>
      </c>
      <c r="O48" s="1272">
        <v>11000.0</v>
      </c>
      <c r="P48" s="1267"/>
      <c r="Q48" s="1209"/>
      <c r="R48" s="1209"/>
      <c r="S48" s="1209"/>
      <c r="T48" s="1209"/>
      <c r="U48" s="1209"/>
      <c r="V48" s="1209"/>
      <c r="W48" s="1209"/>
      <c r="X48" s="1209"/>
      <c r="Y48" s="1209"/>
      <c r="Z48" s="1209"/>
      <c r="AA48" s="1209"/>
      <c r="AB48" s="1209"/>
    </row>
    <row r="49">
      <c r="A49" s="1271" t="s">
        <v>3226</v>
      </c>
      <c r="B49" s="1271" t="s">
        <v>1759</v>
      </c>
      <c r="C49" s="1271" t="s">
        <v>3238</v>
      </c>
      <c r="D49" s="1272"/>
      <c r="E49" s="1272"/>
      <c r="F49" s="1272"/>
      <c r="G49" s="1272">
        <v>58800.0</v>
      </c>
      <c r="H49" s="1272">
        <v>130000.0</v>
      </c>
      <c r="I49" s="1272">
        <v>83500.0</v>
      </c>
      <c r="J49" s="1272">
        <v>0.0</v>
      </c>
      <c r="K49" s="1272">
        <v>12160.0</v>
      </c>
      <c r="L49" s="1272">
        <v>27000.0</v>
      </c>
      <c r="M49" s="1272">
        <v>23800.0</v>
      </c>
      <c r="N49" s="1272">
        <v>52600.0</v>
      </c>
      <c r="O49" s="1272">
        <v>73520.0</v>
      </c>
      <c r="P49" s="1269">
        <f>SUM(J49:M49)</f>
        <v>62960</v>
      </c>
      <c r="R49" s="1274"/>
      <c r="S49" s="1274"/>
      <c r="T49" s="1274"/>
      <c r="U49" s="1274"/>
      <c r="V49" s="1274"/>
      <c r="W49" s="1274"/>
      <c r="X49" s="1274"/>
      <c r="Y49" s="1274"/>
      <c r="Z49" s="1274"/>
      <c r="AA49" s="1274"/>
      <c r="AB49" s="1274"/>
    </row>
    <row r="50">
      <c r="A50" s="1218" t="s">
        <v>3226</v>
      </c>
      <c r="B50" s="1218" t="s">
        <v>1836</v>
      </c>
      <c r="C50" s="1218" t="s">
        <v>3232</v>
      </c>
      <c r="D50" s="1265">
        <v>148990.0</v>
      </c>
      <c r="E50" s="1265">
        <v>203160.0</v>
      </c>
      <c r="F50" s="1265">
        <v>126080.0</v>
      </c>
      <c r="G50" s="1265">
        <v>88310.0</v>
      </c>
      <c r="H50" s="1265">
        <v>68600.0</v>
      </c>
      <c r="I50" s="1265">
        <v>47550.0</v>
      </c>
      <c r="J50" s="1265">
        <v>24500.0</v>
      </c>
      <c r="K50" s="1265">
        <v>14900.0</v>
      </c>
      <c r="L50" s="1265">
        <v>14030.0</v>
      </c>
      <c r="M50" s="1265">
        <v>7190.0</v>
      </c>
      <c r="N50" s="1265">
        <v>6220.0</v>
      </c>
      <c r="O50" s="1265">
        <v>41300.0</v>
      </c>
      <c r="P50" s="1265"/>
      <c r="Q50" s="1218" t="s">
        <v>3453</v>
      </c>
      <c r="R50" s="1218" t="s">
        <v>1259</v>
      </c>
      <c r="S50" s="1209"/>
      <c r="T50" s="1209"/>
      <c r="U50" s="1209"/>
      <c r="V50" s="1209"/>
      <c r="W50" s="1209"/>
      <c r="X50" s="1209"/>
      <c r="Y50" s="1209"/>
      <c r="Z50" s="1209"/>
      <c r="AA50" s="1209"/>
      <c r="AB50" s="1209"/>
    </row>
    <row r="51">
      <c r="A51" s="1218" t="s">
        <v>3226</v>
      </c>
      <c r="B51" s="1218" t="s">
        <v>1836</v>
      </c>
      <c r="C51" s="1218" t="s">
        <v>3454</v>
      </c>
      <c r="D51" s="1265">
        <v>29360.0</v>
      </c>
      <c r="E51" s="1265">
        <v>18500.0</v>
      </c>
      <c r="F51" s="1265">
        <v>19260.0</v>
      </c>
      <c r="G51" s="1265">
        <v>31580.0</v>
      </c>
      <c r="H51" s="1265">
        <v>30660.0</v>
      </c>
      <c r="I51" s="1265">
        <v>59790.0</v>
      </c>
      <c r="J51" s="1265">
        <v>72680.0</v>
      </c>
      <c r="K51" s="1265">
        <v>83060.0</v>
      </c>
      <c r="L51" s="1265">
        <v>67320.0</v>
      </c>
      <c r="M51" s="1265">
        <v>32240.0</v>
      </c>
      <c r="N51" s="1265">
        <v>27670.0</v>
      </c>
      <c r="O51" s="1265">
        <v>27670.0</v>
      </c>
      <c r="P51" s="1267"/>
      <c r="Q51" s="1209"/>
      <c r="R51" s="1209"/>
      <c r="S51" s="1209"/>
      <c r="T51" s="1209"/>
      <c r="U51" s="1209"/>
      <c r="V51" s="1209"/>
      <c r="W51" s="1209"/>
      <c r="X51" s="1209"/>
      <c r="Y51" s="1209"/>
      <c r="Z51" s="1209"/>
      <c r="AA51" s="1209"/>
      <c r="AB51" s="1209"/>
    </row>
    <row r="52">
      <c r="A52" s="1218" t="s">
        <v>3226</v>
      </c>
      <c r="B52" s="1218" t="s">
        <v>1836</v>
      </c>
      <c r="C52" s="1218" t="s">
        <v>3450</v>
      </c>
      <c r="D52" s="1265">
        <v>25000.0</v>
      </c>
      <c r="E52" s="1265">
        <v>25000.0</v>
      </c>
      <c r="F52" s="1265">
        <v>25000.0</v>
      </c>
      <c r="G52" s="1265">
        <v>25000.0</v>
      </c>
      <c r="H52" s="1265">
        <v>25000.0</v>
      </c>
      <c r="I52" s="1265">
        <v>25000.0</v>
      </c>
      <c r="J52" s="1265">
        <v>25000.0</v>
      </c>
      <c r="K52" s="1265">
        <v>25000.0</v>
      </c>
      <c r="L52" s="1265">
        <v>25000.0</v>
      </c>
      <c r="M52" s="1265">
        <v>25000.0</v>
      </c>
      <c r="N52" s="1265">
        <v>25000.0</v>
      </c>
      <c r="O52" s="1265">
        <f>25000+86000</f>
        <v>111000</v>
      </c>
      <c r="P52" s="1267"/>
      <c r="Q52" s="1209"/>
      <c r="R52" s="1209"/>
      <c r="S52" s="1218" t="s">
        <v>802</v>
      </c>
      <c r="T52" s="1218" t="s">
        <v>3443</v>
      </c>
      <c r="U52" s="1209"/>
      <c r="V52" s="1209"/>
      <c r="W52" s="1209"/>
      <c r="X52" s="1209"/>
      <c r="Y52" s="1209"/>
      <c r="Z52" s="1209"/>
      <c r="AA52" s="1209"/>
      <c r="AB52" s="1209"/>
    </row>
    <row r="53">
      <c r="A53" s="1218" t="s">
        <v>3226</v>
      </c>
      <c r="B53" s="1218" t="s">
        <v>1836</v>
      </c>
      <c r="C53" s="1218" t="s">
        <v>3235</v>
      </c>
      <c r="D53" s="1265">
        <v>22000.0</v>
      </c>
      <c r="E53" s="1265">
        <v>22000.0</v>
      </c>
      <c r="F53" s="1265">
        <v>22000.0</v>
      </c>
      <c r="G53" s="1265">
        <v>22000.0</v>
      </c>
      <c r="H53" s="1265">
        <v>22000.0</v>
      </c>
      <c r="I53" s="1265">
        <v>22000.0</v>
      </c>
      <c r="J53" s="1265">
        <v>22000.0</v>
      </c>
      <c r="K53" s="1265">
        <v>22000.0</v>
      </c>
      <c r="L53" s="1265">
        <v>22000.0</v>
      </c>
      <c r="M53" s="1265">
        <v>22000.0</v>
      </c>
      <c r="N53" s="1265">
        <v>22000.0</v>
      </c>
      <c r="O53" s="1265">
        <v>22000.0</v>
      </c>
      <c r="P53" s="1267"/>
      <c r="Q53" s="1209"/>
      <c r="R53" s="1209"/>
      <c r="S53" s="1209"/>
      <c r="T53" s="1209"/>
      <c r="U53" s="1209"/>
      <c r="V53" s="1209"/>
      <c r="W53" s="1209"/>
      <c r="X53" s="1209"/>
      <c r="Y53" s="1209"/>
      <c r="Z53" s="1209"/>
      <c r="AA53" s="1209"/>
      <c r="AB53" s="1209"/>
    </row>
    <row r="54">
      <c r="A54" s="1218" t="s">
        <v>3226</v>
      </c>
      <c r="B54" s="1218" t="s">
        <v>1836</v>
      </c>
      <c r="C54" s="1218" t="s">
        <v>3237</v>
      </c>
      <c r="D54" s="1265">
        <v>11000.0</v>
      </c>
      <c r="E54" s="1265">
        <v>11000.0</v>
      </c>
      <c r="F54" s="1265">
        <v>11000.0</v>
      </c>
      <c r="G54" s="1265">
        <v>11000.0</v>
      </c>
      <c r="H54" s="1265">
        <v>11000.0</v>
      </c>
      <c r="I54" s="1265">
        <v>11000.0</v>
      </c>
      <c r="J54" s="1265">
        <v>11000.0</v>
      </c>
      <c r="K54" s="1265">
        <v>11000.0</v>
      </c>
      <c r="L54" s="1265">
        <v>11000.0</v>
      </c>
      <c r="M54" s="1265">
        <v>11000.0</v>
      </c>
      <c r="N54" s="1265">
        <v>11000.0</v>
      </c>
      <c r="O54" s="1265">
        <v>11000.0</v>
      </c>
      <c r="P54" s="1267"/>
      <c r="Q54" s="1209"/>
      <c r="R54" s="1209"/>
      <c r="S54" s="1209"/>
      <c r="T54" s="1209"/>
      <c r="U54" s="1209"/>
      <c r="V54" s="1209"/>
      <c r="W54" s="1209"/>
      <c r="X54" s="1209"/>
      <c r="Y54" s="1209"/>
      <c r="Z54" s="1209"/>
      <c r="AA54" s="1209"/>
      <c r="AB54" s="1209"/>
    </row>
    <row r="55">
      <c r="A55" s="1218" t="s">
        <v>3226</v>
      </c>
      <c r="B55" s="1218" t="s">
        <v>1836</v>
      </c>
      <c r="C55" s="1268" t="s">
        <v>3238</v>
      </c>
      <c r="D55" s="1269"/>
      <c r="E55" s="1269"/>
      <c r="F55" s="1269"/>
      <c r="G55" s="1269">
        <v>37890.0</v>
      </c>
      <c r="H55" s="1269">
        <v>34900.0</v>
      </c>
      <c r="I55" s="1269">
        <v>30000.0</v>
      </c>
      <c r="J55" s="1269">
        <v>0.0</v>
      </c>
      <c r="K55" s="1269">
        <v>30500.0</v>
      </c>
      <c r="L55" s="1269">
        <v>0.0</v>
      </c>
      <c r="M55" s="1269">
        <v>0.0</v>
      </c>
      <c r="N55" s="1281"/>
      <c r="O55" s="1269">
        <v>0.0</v>
      </c>
      <c r="P55" s="1269">
        <f>SUM(J55:M55)</f>
        <v>30500</v>
      </c>
      <c r="R55" s="1270"/>
      <c r="S55" s="1270"/>
      <c r="T55" s="1270"/>
      <c r="U55" s="1270"/>
      <c r="V55" s="1270"/>
      <c r="W55" s="1270"/>
      <c r="X55" s="1270"/>
      <c r="Y55" s="1270"/>
      <c r="Z55" s="1270"/>
      <c r="AA55" s="1270"/>
      <c r="AB55" s="1270"/>
    </row>
    <row r="56">
      <c r="A56" s="1271" t="s">
        <v>3226</v>
      </c>
      <c r="B56" s="1271" t="s">
        <v>3455</v>
      </c>
      <c r="C56" s="1271" t="s">
        <v>3232</v>
      </c>
      <c r="D56" s="1272">
        <v>100010.0</v>
      </c>
      <c r="E56" s="1272">
        <v>137060.0</v>
      </c>
      <c r="F56" s="1272">
        <v>158740.0</v>
      </c>
      <c r="G56" s="1272">
        <v>141140.0</v>
      </c>
      <c r="H56" s="1272">
        <v>100070.0</v>
      </c>
      <c r="I56" s="1272">
        <v>69940.0</v>
      </c>
      <c r="J56" s="1272">
        <v>25470.0</v>
      </c>
      <c r="K56" s="1272">
        <v>22710.0</v>
      </c>
      <c r="L56" s="1272">
        <v>28620.0</v>
      </c>
      <c r="M56" s="1272">
        <v>43060.0</v>
      </c>
      <c r="N56" s="1272">
        <v>48870.0</v>
      </c>
      <c r="O56" s="1266">
        <v>164070.0</v>
      </c>
      <c r="P56" s="1265"/>
      <c r="Q56" s="1218" t="s">
        <v>3456</v>
      </c>
      <c r="R56" s="1218" t="s">
        <v>1259</v>
      </c>
      <c r="S56" s="1209"/>
      <c r="T56" s="1209"/>
      <c r="U56" s="1209"/>
      <c r="V56" s="1209"/>
      <c r="W56" s="1209"/>
      <c r="X56" s="1209"/>
      <c r="Y56" s="1209"/>
      <c r="Z56" s="1209"/>
      <c r="AA56" s="1209"/>
      <c r="AB56" s="1209"/>
    </row>
    <row r="57">
      <c r="A57" s="1271" t="s">
        <v>3226</v>
      </c>
      <c r="B57" s="1271" t="s">
        <v>1843</v>
      </c>
      <c r="C57" s="1271" t="s">
        <v>3457</v>
      </c>
      <c r="D57" s="1272">
        <v>68640.0</v>
      </c>
      <c r="E57" s="1272">
        <v>33910.0</v>
      </c>
      <c r="F57" s="1272">
        <v>26560.0</v>
      </c>
      <c r="G57" s="1272">
        <v>37880.0</v>
      </c>
      <c r="H57" s="1272">
        <v>38570.0</v>
      </c>
      <c r="I57" s="1272">
        <v>62420.0</v>
      </c>
      <c r="J57" s="1272">
        <v>85780.0</v>
      </c>
      <c r="K57" s="1272">
        <v>120160.0</v>
      </c>
      <c r="L57" s="1272">
        <v>129370.0</v>
      </c>
      <c r="M57" s="1272">
        <v>59600.0</v>
      </c>
      <c r="N57" s="1272">
        <v>48170.0</v>
      </c>
      <c r="O57" s="1272">
        <v>54410.0</v>
      </c>
      <c r="P57" s="1282"/>
      <c r="Q57" s="1283" t="s">
        <v>3397</v>
      </c>
      <c r="R57" s="1209"/>
      <c r="S57" s="1209"/>
      <c r="T57" s="1209"/>
      <c r="U57" s="1209"/>
      <c r="V57" s="1209"/>
      <c r="W57" s="1209"/>
      <c r="X57" s="1209"/>
      <c r="Y57" s="1209"/>
      <c r="Z57" s="1209"/>
      <c r="AA57" s="1209"/>
      <c r="AB57" s="1209"/>
    </row>
    <row r="58">
      <c r="A58" s="1271" t="s">
        <v>3226</v>
      </c>
      <c r="B58" s="1271" t="s">
        <v>1843</v>
      </c>
      <c r="C58" s="1271" t="s">
        <v>3458</v>
      </c>
      <c r="D58" s="1273"/>
      <c r="E58" s="1273"/>
      <c r="F58" s="1273"/>
      <c r="G58" s="1273"/>
      <c r="H58" s="1273"/>
      <c r="I58" s="1273"/>
      <c r="J58" s="1273"/>
      <c r="K58" s="1273"/>
      <c r="L58" s="1272">
        <v>656070.0</v>
      </c>
      <c r="M58" s="1273"/>
      <c r="N58" s="1273"/>
      <c r="O58" s="1273"/>
      <c r="P58" s="1267"/>
      <c r="Q58" s="1209"/>
      <c r="R58" s="1209"/>
      <c r="S58" s="1209"/>
      <c r="T58" s="1209"/>
      <c r="U58" s="1209"/>
      <c r="V58" s="1209"/>
      <c r="W58" s="1209"/>
      <c r="X58" s="1209"/>
      <c r="Y58" s="1209"/>
      <c r="Z58" s="1209"/>
      <c r="AA58" s="1209"/>
      <c r="AB58" s="1209"/>
    </row>
    <row r="59">
      <c r="A59" s="1271" t="s">
        <v>3226</v>
      </c>
      <c r="B59" s="1271" t="s">
        <v>1843</v>
      </c>
      <c r="C59" s="1271" t="s">
        <v>3235</v>
      </c>
      <c r="D59" s="1272">
        <v>22000.0</v>
      </c>
      <c r="E59" s="1272">
        <v>22000.0</v>
      </c>
      <c r="F59" s="1272">
        <v>22000.0</v>
      </c>
      <c r="G59" s="1272">
        <v>22000.0</v>
      </c>
      <c r="H59" s="1272">
        <v>22000.0</v>
      </c>
      <c r="I59" s="1272">
        <v>22000.0</v>
      </c>
      <c r="J59" s="1272">
        <v>22000.0</v>
      </c>
      <c r="K59" s="1272">
        <v>22000.0</v>
      </c>
      <c r="L59" s="1272">
        <v>22000.0</v>
      </c>
      <c r="M59" s="1272">
        <v>22000.0</v>
      </c>
      <c r="N59" s="1272">
        <v>22000.0</v>
      </c>
      <c r="O59" s="1272">
        <v>22000.0</v>
      </c>
      <c r="P59" s="1267"/>
      <c r="Q59" s="1209"/>
      <c r="R59" s="1209"/>
      <c r="S59" s="1209"/>
      <c r="T59" s="1209"/>
      <c r="U59" s="1209"/>
      <c r="V59" s="1209"/>
      <c r="W59" s="1209"/>
      <c r="X59" s="1209"/>
      <c r="Y59" s="1209"/>
      <c r="Z59" s="1209"/>
      <c r="AA59" s="1209"/>
      <c r="AB59" s="1209"/>
    </row>
    <row r="60">
      <c r="A60" s="1271" t="s">
        <v>3226</v>
      </c>
      <c r="B60" s="1271" t="s">
        <v>1843</v>
      </c>
      <c r="C60" s="1271" t="s">
        <v>3237</v>
      </c>
      <c r="D60" s="1272">
        <v>11000.0</v>
      </c>
      <c r="E60" s="1272">
        <v>11000.0</v>
      </c>
      <c r="F60" s="1272">
        <v>11000.0</v>
      </c>
      <c r="G60" s="1272">
        <v>11000.0</v>
      </c>
      <c r="H60" s="1272">
        <v>11000.0</v>
      </c>
      <c r="I60" s="1272">
        <v>11000.0</v>
      </c>
      <c r="J60" s="1272">
        <v>11000.0</v>
      </c>
      <c r="K60" s="1272">
        <v>11000.0</v>
      </c>
      <c r="L60" s="1272">
        <v>11000.0</v>
      </c>
      <c r="M60" s="1272">
        <v>11000.0</v>
      </c>
      <c r="N60" s="1272">
        <v>11000.0</v>
      </c>
      <c r="O60" s="1272">
        <v>11000.0</v>
      </c>
      <c r="P60" s="1267"/>
      <c r="Q60" s="1209"/>
      <c r="R60" s="1209"/>
      <c r="S60" s="1209"/>
      <c r="T60" s="1209"/>
      <c r="U60" s="1209"/>
      <c r="V60" s="1209"/>
      <c r="W60" s="1209"/>
      <c r="X60" s="1209"/>
      <c r="Y60" s="1209"/>
      <c r="Z60" s="1209"/>
      <c r="AA60" s="1209"/>
      <c r="AB60" s="1209"/>
    </row>
    <row r="61">
      <c r="A61" s="1271" t="s">
        <v>3226</v>
      </c>
      <c r="B61" s="1271" t="s">
        <v>1843</v>
      </c>
      <c r="C61" s="1271" t="s">
        <v>3238</v>
      </c>
      <c r="D61" s="1272"/>
      <c r="E61" s="1272"/>
      <c r="F61" s="1272"/>
      <c r="G61" s="1272">
        <v>41000.0</v>
      </c>
      <c r="H61" s="1272">
        <v>119930.0</v>
      </c>
      <c r="I61" s="1272">
        <v>68310.0</v>
      </c>
      <c r="J61" s="1272">
        <v>20000.0</v>
      </c>
      <c r="K61" s="1272">
        <v>45570.0</v>
      </c>
      <c r="L61" s="1272">
        <v>132500.0</v>
      </c>
      <c r="M61" s="1272">
        <v>59190.0</v>
      </c>
      <c r="N61" s="1272">
        <v>132100.0</v>
      </c>
      <c r="O61" s="1272">
        <v>116260.0</v>
      </c>
      <c r="P61" s="1269">
        <f>SUM(J61:M61)</f>
        <v>257260</v>
      </c>
      <c r="R61" s="1274"/>
      <c r="S61" s="1274"/>
      <c r="T61" s="1274"/>
      <c r="U61" s="1274"/>
      <c r="V61" s="1274"/>
      <c r="W61" s="1274"/>
      <c r="X61" s="1274"/>
      <c r="Y61" s="1274"/>
      <c r="Z61" s="1274"/>
      <c r="AA61" s="1274"/>
      <c r="AB61" s="1274"/>
    </row>
    <row r="62">
      <c r="A62" s="1218" t="s">
        <v>3226</v>
      </c>
      <c r="B62" s="1218" t="s">
        <v>1856</v>
      </c>
      <c r="C62" s="1218" t="s">
        <v>3232</v>
      </c>
      <c r="D62" s="1265">
        <v>216430.0</v>
      </c>
      <c r="E62" s="1265">
        <v>271080.0</v>
      </c>
      <c r="F62" s="1265">
        <v>239900.0</v>
      </c>
      <c r="G62" s="1265">
        <v>158890.0</v>
      </c>
      <c r="H62" s="1265">
        <v>108310.0</v>
      </c>
      <c r="I62" s="1265">
        <v>45610.0</v>
      </c>
      <c r="J62" s="1265">
        <v>17670.0</v>
      </c>
      <c r="K62" s="1265">
        <v>15860.0</v>
      </c>
      <c r="L62" s="1265">
        <v>11110.0</v>
      </c>
      <c r="M62" s="1265">
        <v>2340.0</v>
      </c>
      <c r="N62" s="1265">
        <v>90530.0</v>
      </c>
      <c r="O62" s="1266">
        <v>223350.0</v>
      </c>
      <c r="P62" s="1265"/>
      <c r="Q62" s="1218" t="s">
        <v>3459</v>
      </c>
      <c r="R62" s="1218" t="s">
        <v>1259</v>
      </c>
      <c r="S62" s="1209"/>
      <c r="T62" s="1209"/>
      <c r="U62" s="1209"/>
      <c r="V62" s="1209"/>
      <c r="W62" s="1209"/>
      <c r="X62" s="1209"/>
      <c r="Y62" s="1209"/>
      <c r="Z62" s="1209"/>
      <c r="AA62" s="1209"/>
      <c r="AB62" s="1209"/>
    </row>
    <row r="63">
      <c r="A63" s="1218" t="s">
        <v>3226</v>
      </c>
      <c r="B63" s="1218" t="s">
        <v>1856</v>
      </c>
      <c r="C63" s="1218" t="s">
        <v>3460</v>
      </c>
      <c r="D63" s="1265">
        <v>56820.0</v>
      </c>
      <c r="E63" s="1265">
        <v>46510.0</v>
      </c>
      <c r="F63" s="1265">
        <v>38530.0</v>
      </c>
      <c r="G63" s="1265">
        <v>34810.0</v>
      </c>
      <c r="H63" s="1265">
        <v>35580.0</v>
      </c>
      <c r="I63" s="1265">
        <v>50160.0</v>
      </c>
      <c r="J63" s="1265">
        <v>64230.0</v>
      </c>
      <c r="K63" s="1265">
        <v>93490.0</v>
      </c>
      <c r="L63" s="1265">
        <v>85500.0</v>
      </c>
      <c r="M63" s="1265">
        <v>93810.0</v>
      </c>
      <c r="N63" s="1265">
        <v>49470.0</v>
      </c>
      <c r="O63" s="1265">
        <v>49210.0</v>
      </c>
      <c r="P63" s="1267"/>
      <c r="Q63" s="1209"/>
      <c r="R63" s="1209"/>
      <c r="S63" s="1209"/>
      <c r="T63" s="1209"/>
      <c r="U63" s="1209"/>
      <c r="V63" s="1209"/>
      <c r="W63" s="1209"/>
      <c r="X63" s="1209"/>
      <c r="Y63" s="1209"/>
      <c r="Z63" s="1209"/>
      <c r="AA63" s="1209"/>
      <c r="AB63" s="1209"/>
    </row>
    <row r="64">
      <c r="A64" s="1218" t="s">
        <v>3226</v>
      </c>
      <c r="B64" s="1218" t="s">
        <v>1856</v>
      </c>
      <c r="C64" s="1218" t="s">
        <v>3461</v>
      </c>
      <c r="D64" s="1265">
        <v>43110.0</v>
      </c>
      <c r="E64" s="1265">
        <v>0.0</v>
      </c>
      <c r="F64" s="1265">
        <v>28110.0</v>
      </c>
      <c r="G64" s="1267"/>
      <c r="H64" s="1265">
        <v>37610.0</v>
      </c>
      <c r="I64" s="1267"/>
      <c r="J64" s="1265">
        <v>42410.0</v>
      </c>
      <c r="K64" s="1267"/>
      <c r="L64" s="1265">
        <v>34160.0</v>
      </c>
      <c r="M64" s="1267"/>
      <c r="N64" s="1265">
        <v>47910.0</v>
      </c>
      <c r="O64" s="1267"/>
      <c r="P64" s="1267"/>
      <c r="Q64" s="1209"/>
      <c r="R64" s="1209"/>
      <c r="S64" s="1218" t="s">
        <v>3462</v>
      </c>
      <c r="T64" s="1284" t="s">
        <v>3463</v>
      </c>
      <c r="U64" s="1218" t="s">
        <v>3464</v>
      </c>
      <c r="V64" s="1209"/>
      <c r="W64" s="1209"/>
      <c r="X64" s="1209"/>
      <c r="Y64" s="1209"/>
      <c r="Z64" s="1209"/>
      <c r="AA64" s="1209"/>
      <c r="AB64" s="1209"/>
    </row>
    <row r="65">
      <c r="A65" s="1218" t="s">
        <v>3226</v>
      </c>
      <c r="B65" s="1218" t="s">
        <v>1856</v>
      </c>
      <c r="C65" s="1218" t="s">
        <v>3235</v>
      </c>
      <c r="D65" s="1265">
        <v>22000.0</v>
      </c>
      <c r="E65" s="1265">
        <v>22000.0</v>
      </c>
      <c r="F65" s="1265">
        <v>22000.0</v>
      </c>
      <c r="G65" s="1265">
        <v>22000.0</v>
      </c>
      <c r="H65" s="1265">
        <v>22000.0</v>
      </c>
      <c r="I65" s="1265">
        <v>22000.0</v>
      </c>
      <c r="J65" s="1265">
        <v>22000.0</v>
      </c>
      <c r="K65" s="1265">
        <v>22000.0</v>
      </c>
      <c r="L65" s="1265">
        <v>22000.0</v>
      </c>
      <c r="M65" s="1265">
        <v>22000.0</v>
      </c>
      <c r="N65" s="1265">
        <v>22000.0</v>
      </c>
      <c r="O65" s="1265">
        <v>22000.0</v>
      </c>
      <c r="P65" s="1267"/>
      <c r="Q65" s="1209"/>
      <c r="R65" s="1209"/>
      <c r="S65" s="1209"/>
      <c r="T65" s="1209"/>
      <c r="U65" s="1209"/>
      <c r="V65" s="1209"/>
      <c r="W65" s="1209"/>
      <c r="X65" s="1209"/>
      <c r="Y65" s="1209"/>
      <c r="Z65" s="1209"/>
      <c r="AA65" s="1209"/>
      <c r="AB65" s="1209"/>
    </row>
    <row r="66">
      <c r="A66" s="1218" t="s">
        <v>3226</v>
      </c>
      <c r="B66" s="1218" t="s">
        <v>1856</v>
      </c>
      <c r="C66" s="1218" t="s">
        <v>3237</v>
      </c>
      <c r="D66" s="1265">
        <v>11000.0</v>
      </c>
      <c r="E66" s="1265">
        <v>11000.0</v>
      </c>
      <c r="F66" s="1265">
        <v>11000.0</v>
      </c>
      <c r="G66" s="1265">
        <v>11000.0</v>
      </c>
      <c r="H66" s="1265">
        <v>11000.0</v>
      </c>
      <c r="I66" s="1265">
        <v>11000.0</v>
      </c>
      <c r="J66" s="1265">
        <v>11000.0</v>
      </c>
      <c r="K66" s="1265">
        <v>11000.0</v>
      </c>
      <c r="L66" s="1265">
        <v>11000.0</v>
      </c>
      <c r="M66" s="1265">
        <v>11000.0</v>
      </c>
      <c r="N66" s="1265">
        <v>11000.0</v>
      </c>
      <c r="O66" s="1265">
        <v>11000.0</v>
      </c>
      <c r="P66" s="1267"/>
      <c r="Q66" s="1209"/>
      <c r="R66" s="1209"/>
      <c r="S66" s="1209"/>
      <c r="T66" s="1209"/>
      <c r="U66" s="1209"/>
      <c r="V66" s="1209"/>
      <c r="W66" s="1209"/>
      <c r="X66" s="1209"/>
      <c r="Y66" s="1209"/>
      <c r="Z66" s="1209"/>
      <c r="AA66" s="1209"/>
      <c r="AB66" s="1209"/>
    </row>
    <row r="67">
      <c r="A67" s="1268" t="s">
        <v>3226</v>
      </c>
      <c r="B67" s="1268" t="s">
        <v>1856</v>
      </c>
      <c r="C67" s="1268" t="s">
        <v>3238</v>
      </c>
      <c r="D67" s="1269"/>
      <c r="E67" s="1269"/>
      <c r="F67" s="1269"/>
      <c r="G67" s="1269">
        <v>266900.0</v>
      </c>
      <c r="H67" s="1269">
        <v>50000.0</v>
      </c>
      <c r="I67" s="1269">
        <v>96180.0</v>
      </c>
      <c r="J67" s="1269">
        <v>107390.0</v>
      </c>
      <c r="K67" s="1269">
        <v>50890.0</v>
      </c>
      <c r="L67" s="1269">
        <v>0.0</v>
      </c>
      <c r="M67" s="1269">
        <v>6960.0</v>
      </c>
      <c r="N67" s="1269">
        <v>73920.0</v>
      </c>
      <c r="O67" s="1269">
        <v>156800.0</v>
      </c>
      <c r="P67" s="1269">
        <f>SUM(J67:M67)</f>
        <v>165240</v>
      </c>
      <c r="R67" s="1270"/>
      <c r="S67" s="1270"/>
      <c r="T67" s="1270"/>
      <c r="U67" s="1270"/>
      <c r="V67" s="1270"/>
      <c r="W67" s="1270"/>
      <c r="X67" s="1270"/>
      <c r="Y67" s="1270"/>
      <c r="Z67" s="1270"/>
      <c r="AA67" s="1270"/>
      <c r="AB67" s="1270"/>
    </row>
    <row r="68">
      <c r="A68" s="1271" t="s">
        <v>3226</v>
      </c>
      <c r="B68" s="1271" t="s">
        <v>3465</v>
      </c>
      <c r="C68" s="1271" t="s">
        <v>3232</v>
      </c>
      <c r="D68" s="1272">
        <v>234980.0</v>
      </c>
      <c r="E68" s="1272">
        <v>222740.0</v>
      </c>
      <c r="F68" s="1272">
        <v>130760.0</v>
      </c>
      <c r="G68" s="1272">
        <v>214410.0</v>
      </c>
      <c r="H68" s="1272">
        <v>137060.0</v>
      </c>
      <c r="I68" s="1272">
        <v>56910.0</v>
      </c>
      <c r="J68" s="1272">
        <v>24490.0</v>
      </c>
      <c r="K68" s="1272">
        <v>12960.0</v>
      </c>
      <c r="L68" s="1272">
        <v>8180.0</v>
      </c>
      <c r="M68" s="1272">
        <v>15910.0</v>
      </c>
      <c r="N68" s="1272">
        <v>47900.0</v>
      </c>
      <c r="O68" s="1266">
        <v>224470.0</v>
      </c>
      <c r="P68" s="1265"/>
      <c r="Q68" s="1218" t="s">
        <v>3466</v>
      </c>
      <c r="R68" s="1218" t="s">
        <v>1259</v>
      </c>
      <c r="S68" s="1209"/>
      <c r="T68" s="1209"/>
      <c r="U68" s="1209"/>
      <c r="V68" s="1209"/>
      <c r="W68" s="1209"/>
      <c r="X68" s="1209"/>
      <c r="Y68" s="1209"/>
      <c r="Z68" s="1209"/>
      <c r="AA68" s="1209"/>
      <c r="AB68" s="1209"/>
    </row>
    <row r="69">
      <c r="A69" s="1271" t="s">
        <v>3226</v>
      </c>
      <c r="B69" s="1271" t="s">
        <v>1943</v>
      </c>
      <c r="C69" s="1271" t="s">
        <v>3467</v>
      </c>
      <c r="D69" s="1272">
        <v>31420.0</v>
      </c>
      <c r="E69" s="1272">
        <v>25070.0</v>
      </c>
      <c r="F69" s="1272">
        <v>31120.0</v>
      </c>
      <c r="G69" s="1272">
        <v>43130.0</v>
      </c>
      <c r="H69" s="1272">
        <v>42310.0</v>
      </c>
      <c r="I69" s="1272">
        <v>80690.0</v>
      </c>
      <c r="J69" s="1272">
        <v>123940.0</v>
      </c>
      <c r="K69" s="1272">
        <v>155140.0</v>
      </c>
      <c r="L69" s="1272">
        <v>226480.0</v>
      </c>
      <c r="M69" s="1272">
        <v>119320.0</v>
      </c>
      <c r="N69" s="1272">
        <v>59240.0</v>
      </c>
      <c r="O69" s="1272">
        <v>59240.0</v>
      </c>
      <c r="P69" s="1267"/>
      <c r="Q69" s="1209"/>
      <c r="R69" s="1209"/>
      <c r="S69" s="1218" t="s">
        <v>3468</v>
      </c>
      <c r="U69" s="1209"/>
      <c r="V69" s="1209"/>
      <c r="W69" s="1209"/>
      <c r="X69" s="1209"/>
      <c r="Y69" s="1209"/>
      <c r="Z69" s="1209"/>
      <c r="AA69" s="1209"/>
      <c r="AB69" s="1209"/>
    </row>
    <row r="70">
      <c r="A70" s="1271" t="s">
        <v>3226</v>
      </c>
      <c r="B70" s="1271" t="s">
        <v>1943</v>
      </c>
      <c r="C70" s="1271" t="s">
        <v>3469</v>
      </c>
      <c r="D70" s="1272">
        <v>25060.0</v>
      </c>
      <c r="E70" s="1272">
        <v>0.0</v>
      </c>
      <c r="F70" s="1272">
        <v>26810.0</v>
      </c>
      <c r="G70" s="1273"/>
      <c r="H70" s="1272">
        <v>49060.0</v>
      </c>
      <c r="I70" s="1272">
        <v>15000.0</v>
      </c>
      <c r="J70" s="1272">
        <v>50200.0</v>
      </c>
      <c r="K70" s="1273"/>
      <c r="L70" s="1272">
        <v>22660.0</v>
      </c>
      <c r="M70" s="1273"/>
      <c r="N70" s="1272">
        <v>35310.0</v>
      </c>
      <c r="O70" s="1273"/>
      <c r="P70" s="1267"/>
      <c r="Q70" s="1209"/>
      <c r="R70" s="1209"/>
      <c r="S70" s="1218" t="s">
        <v>3470</v>
      </c>
      <c r="T70" s="1284" t="s">
        <v>3471</v>
      </c>
      <c r="U70" s="1218" t="s">
        <v>3472</v>
      </c>
      <c r="V70" s="1209"/>
      <c r="W70" s="1209"/>
      <c r="X70" s="1209"/>
      <c r="Y70" s="1209"/>
      <c r="Z70" s="1209"/>
      <c r="AA70" s="1209"/>
      <c r="AB70" s="1209"/>
    </row>
    <row r="71">
      <c r="A71" s="1271" t="s">
        <v>3226</v>
      </c>
      <c r="B71" s="1271" t="s">
        <v>1943</v>
      </c>
      <c r="C71" s="1271" t="s">
        <v>3235</v>
      </c>
      <c r="D71" s="1272">
        <v>22000.0</v>
      </c>
      <c r="E71" s="1272">
        <v>22000.0</v>
      </c>
      <c r="F71" s="1272">
        <v>22000.0</v>
      </c>
      <c r="G71" s="1272">
        <v>22000.0</v>
      </c>
      <c r="H71" s="1272">
        <v>22000.0</v>
      </c>
      <c r="I71" s="1272">
        <v>22000.0</v>
      </c>
      <c r="J71" s="1272">
        <v>22000.0</v>
      </c>
      <c r="K71" s="1272">
        <v>22000.0</v>
      </c>
      <c r="L71" s="1272">
        <v>22000.0</v>
      </c>
      <c r="M71" s="1272">
        <v>22000.0</v>
      </c>
      <c r="N71" s="1272">
        <v>22000.0</v>
      </c>
      <c r="O71" s="1272">
        <v>22000.0</v>
      </c>
      <c r="P71" s="1267"/>
      <c r="Q71" s="1209"/>
      <c r="R71" s="1209"/>
      <c r="S71" s="1209"/>
      <c r="T71" s="1209"/>
      <c r="U71" s="1209"/>
      <c r="V71" s="1209"/>
      <c r="W71" s="1209"/>
      <c r="X71" s="1209"/>
      <c r="Y71" s="1209"/>
      <c r="Z71" s="1209"/>
      <c r="AA71" s="1209"/>
      <c r="AB71" s="1209"/>
    </row>
    <row r="72">
      <c r="A72" s="1271" t="s">
        <v>3226</v>
      </c>
      <c r="B72" s="1271" t="s">
        <v>1943</v>
      </c>
      <c r="C72" s="1271" t="s">
        <v>3237</v>
      </c>
      <c r="D72" s="1272">
        <v>11000.0</v>
      </c>
      <c r="E72" s="1272">
        <v>11000.0</v>
      </c>
      <c r="F72" s="1272">
        <v>11000.0</v>
      </c>
      <c r="G72" s="1272">
        <v>11000.0</v>
      </c>
      <c r="H72" s="1272">
        <v>11000.0</v>
      </c>
      <c r="I72" s="1272">
        <v>11000.0</v>
      </c>
      <c r="J72" s="1272">
        <v>11000.0</v>
      </c>
      <c r="K72" s="1272">
        <v>11000.0</v>
      </c>
      <c r="L72" s="1272">
        <v>11000.0</v>
      </c>
      <c r="M72" s="1272">
        <v>11000.0</v>
      </c>
      <c r="N72" s="1272">
        <v>11000.0</v>
      </c>
      <c r="O72" s="1272">
        <v>11000.0</v>
      </c>
      <c r="P72" s="1267"/>
      <c r="Q72" s="1209"/>
      <c r="R72" s="1209"/>
      <c r="S72" s="1209"/>
      <c r="T72" s="1209"/>
      <c r="U72" s="1209"/>
      <c r="V72" s="1209"/>
      <c r="W72" s="1209"/>
      <c r="X72" s="1209"/>
      <c r="Y72" s="1209"/>
      <c r="Z72" s="1209"/>
      <c r="AA72" s="1209"/>
      <c r="AB72" s="1209"/>
    </row>
    <row r="73">
      <c r="A73" s="1271" t="s">
        <v>3226</v>
      </c>
      <c r="B73" s="1271" t="s">
        <v>1943</v>
      </c>
      <c r="C73" s="1271" t="s">
        <v>3238</v>
      </c>
      <c r="D73" s="1273"/>
      <c r="E73" s="1273"/>
      <c r="F73" s="1273"/>
      <c r="G73" s="1272">
        <v>55900.0</v>
      </c>
      <c r="H73" s="1272">
        <v>159220.0</v>
      </c>
      <c r="I73" s="1272">
        <v>49790.0</v>
      </c>
      <c r="J73" s="1272">
        <v>0.0</v>
      </c>
      <c r="K73" s="1272">
        <v>0.0</v>
      </c>
      <c r="L73" s="1272">
        <v>54530.0</v>
      </c>
      <c r="M73" s="1272">
        <v>53450.0</v>
      </c>
      <c r="N73" s="1272">
        <v>420720.0</v>
      </c>
      <c r="O73" s="1272">
        <v>131580.0</v>
      </c>
      <c r="P73" s="1269">
        <f>SUM(J73:M73)</f>
        <v>107980</v>
      </c>
      <c r="R73" s="1274"/>
      <c r="S73" s="1274"/>
      <c r="T73" s="1274"/>
      <c r="U73" s="1274"/>
      <c r="V73" s="1274"/>
      <c r="W73" s="1274"/>
      <c r="X73" s="1274"/>
      <c r="Y73" s="1274"/>
      <c r="Z73" s="1274"/>
      <c r="AA73" s="1274"/>
      <c r="AB73" s="1274"/>
    </row>
    <row r="74">
      <c r="A74" s="1218"/>
      <c r="B74" s="1218" t="s">
        <v>3473</v>
      </c>
      <c r="C74" s="1218" t="s">
        <v>802</v>
      </c>
      <c r="D74" s="1267"/>
      <c r="E74" s="1267"/>
      <c r="F74" s="1267"/>
      <c r="G74" s="1267"/>
      <c r="H74" s="1267"/>
      <c r="I74" s="1267"/>
      <c r="J74" s="1267"/>
      <c r="K74" s="1267"/>
      <c r="L74" s="1267"/>
      <c r="M74" s="1267"/>
      <c r="N74" s="1267"/>
      <c r="O74" s="1267"/>
      <c r="P74" s="1267"/>
      <c r="Q74" s="1209"/>
      <c r="R74" s="1209"/>
      <c r="S74" s="1209"/>
      <c r="T74" s="1209"/>
      <c r="U74" s="1209"/>
      <c r="V74" s="1209"/>
      <c r="W74" s="1209"/>
      <c r="X74" s="1209"/>
      <c r="Y74" s="1209"/>
      <c r="Z74" s="1209"/>
      <c r="AA74" s="1209"/>
      <c r="AB74" s="1209"/>
    </row>
    <row r="75">
      <c r="A75" s="1218"/>
      <c r="B75" s="1218" t="s">
        <v>3473</v>
      </c>
      <c r="C75" s="1218" t="s">
        <v>3474</v>
      </c>
      <c r="D75" s="1267"/>
      <c r="E75" s="1267"/>
      <c r="F75" s="1267"/>
      <c r="G75" s="1265">
        <v>1030710.0</v>
      </c>
      <c r="H75" s="1265">
        <v>591210.0</v>
      </c>
      <c r="I75" s="1265">
        <v>434640.0</v>
      </c>
      <c r="J75" s="1267"/>
      <c r="K75" s="1267"/>
      <c r="L75" s="1267"/>
      <c r="M75" s="1267"/>
      <c r="N75" s="1267"/>
      <c r="O75" s="1267"/>
      <c r="P75" s="1267"/>
      <c r="Q75" s="1209"/>
      <c r="R75" s="1209"/>
      <c r="S75" s="1209"/>
      <c r="T75" s="1209"/>
      <c r="U75" s="1209"/>
      <c r="V75" s="1209"/>
      <c r="W75" s="1209"/>
      <c r="X75" s="1209"/>
      <c r="Y75" s="1209"/>
      <c r="Z75" s="1209"/>
      <c r="AA75" s="1209"/>
      <c r="AB75" s="1209"/>
    </row>
    <row r="76">
      <c r="A76" s="1218"/>
      <c r="B76" s="1218" t="s">
        <v>3473</v>
      </c>
      <c r="C76" s="1218" t="s">
        <v>3235</v>
      </c>
      <c r="D76" s="1267"/>
      <c r="E76" s="1267"/>
      <c r="F76" s="1267"/>
      <c r="G76" s="1267"/>
      <c r="H76" s="1267"/>
      <c r="I76" s="1267"/>
      <c r="J76" s="1267"/>
      <c r="K76" s="1267"/>
      <c r="L76" s="1267"/>
      <c r="M76" s="1267"/>
      <c r="N76" s="1267"/>
      <c r="O76" s="1267"/>
      <c r="P76" s="1267"/>
      <c r="Q76" s="1209"/>
      <c r="R76" s="1209"/>
      <c r="S76" s="1209"/>
      <c r="T76" s="1209"/>
      <c r="U76" s="1209"/>
      <c r="V76" s="1209"/>
      <c r="W76" s="1209"/>
      <c r="X76" s="1209"/>
      <c r="Y76" s="1209"/>
      <c r="Z76" s="1209"/>
      <c r="AA76" s="1209"/>
      <c r="AB76" s="1209"/>
    </row>
    <row r="77">
      <c r="A77" s="1218"/>
      <c r="B77" s="1218" t="s">
        <v>3473</v>
      </c>
      <c r="C77" s="1218" t="s">
        <v>3237</v>
      </c>
      <c r="D77" s="1267"/>
      <c r="E77" s="1267"/>
      <c r="F77" s="1267"/>
      <c r="G77" s="1267"/>
      <c r="H77" s="1267"/>
      <c r="I77" s="1267"/>
      <c r="J77" s="1267"/>
      <c r="K77" s="1267"/>
      <c r="L77" s="1267"/>
      <c r="M77" s="1267"/>
      <c r="N77" s="1267"/>
      <c r="O77" s="1267"/>
      <c r="P77" s="1267"/>
      <c r="Q77" s="1209"/>
      <c r="R77" s="1209"/>
      <c r="S77" s="1209"/>
      <c r="T77" s="1209"/>
      <c r="U77" s="1209"/>
      <c r="V77" s="1209"/>
      <c r="W77" s="1209"/>
      <c r="X77" s="1209"/>
      <c r="Y77" s="1209"/>
      <c r="Z77" s="1209"/>
      <c r="AA77" s="1209"/>
      <c r="AB77" s="1209"/>
    </row>
    <row r="78">
      <c r="A78" s="1285"/>
      <c r="B78" s="1285" t="s">
        <v>1503</v>
      </c>
      <c r="C78" s="1285" t="s">
        <v>3475</v>
      </c>
      <c r="D78" s="1272">
        <v>269220.0</v>
      </c>
      <c r="E78" s="1272">
        <v>225030.0</v>
      </c>
      <c r="F78" s="1272">
        <v>231290.0</v>
      </c>
      <c r="G78" s="1272"/>
      <c r="H78" s="1272"/>
      <c r="I78" s="1272"/>
      <c r="J78" s="1272"/>
      <c r="K78" s="1272"/>
      <c r="L78" s="1272"/>
      <c r="M78" s="1272"/>
      <c r="N78" s="1272"/>
      <c r="O78" s="1272"/>
      <c r="P78" s="1276"/>
      <c r="Q78" s="1277" t="s">
        <v>3476</v>
      </c>
      <c r="R78" s="1209"/>
      <c r="S78" s="1218" t="s">
        <v>3437</v>
      </c>
      <c r="T78" s="1218">
        <v>1.016121737E9</v>
      </c>
      <c r="U78" s="1218" t="s">
        <v>216</v>
      </c>
      <c r="V78" s="1218" t="s">
        <v>3477</v>
      </c>
      <c r="W78" s="1209"/>
      <c r="X78" s="1209"/>
      <c r="Y78" s="1209"/>
      <c r="Z78" s="1209"/>
      <c r="AA78" s="1209"/>
      <c r="AB78" s="1209"/>
    </row>
    <row r="79">
      <c r="A79" s="1271"/>
      <c r="B79" s="1271" t="s">
        <v>1503</v>
      </c>
      <c r="C79" s="1271" t="s">
        <v>3478</v>
      </c>
      <c r="D79" s="1272">
        <v>289890.0</v>
      </c>
      <c r="E79" s="1272">
        <v>325520.0</v>
      </c>
      <c r="F79" s="1272">
        <v>152060.0</v>
      </c>
      <c r="G79" s="1272">
        <v>77030.0</v>
      </c>
      <c r="H79" s="1272">
        <v>50870.0</v>
      </c>
      <c r="I79" s="1272">
        <v>44930.0</v>
      </c>
      <c r="J79" s="1272">
        <v>32490.0</v>
      </c>
      <c r="K79" s="1272">
        <v>28610.0</v>
      </c>
      <c r="L79" s="1272">
        <v>23670.0</v>
      </c>
      <c r="M79" s="1272">
        <v>33420.0</v>
      </c>
      <c r="N79" s="1272">
        <v>86000.0</v>
      </c>
      <c r="O79" s="1272">
        <v>147750.0</v>
      </c>
      <c r="P79" s="1267"/>
      <c r="Q79" s="1209"/>
      <c r="R79" s="1209"/>
      <c r="S79" s="1209"/>
      <c r="T79" s="1209"/>
      <c r="U79" s="1209"/>
      <c r="V79" s="1209"/>
      <c r="W79" s="1209"/>
      <c r="X79" s="1209"/>
      <c r="Y79" s="1209"/>
      <c r="Z79" s="1209"/>
      <c r="AA79" s="1209"/>
      <c r="AB79" s="1209"/>
    </row>
    <row r="80">
      <c r="A80" s="1271"/>
      <c r="B80" s="1271" t="s">
        <v>1503</v>
      </c>
      <c r="C80" s="1271" t="s">
        <v>3235</v>
      </c>
      <c r="D80" s="1272">
        <v>18000.0</v>
      </c>
      <c r="E80" s="1272">
        <v>18000.0</v>
      </c>
      <c r="F80" s="1272">
        <v>18000.0</v>
      </c>
      <c r="G80" s="1272">
        <v>18000.0</v>
      </c>
      <c r="H80" s="1272">
        <v>18000.0</v>
      </c>
      <c r="I80" s="1272">
        <v>18000.0</v>
      </c>
      <c r="J80" s="1272">
        <v>18000.0</v>
      </c>
      <c r="K80" s="1272">
        <v>18000.0</v>
      </c>
      <c r="L80" s="1272">
        <v>18000.0</v>
      </c>
      <c r="M80" s="1272">
        <v>18000.0</v>
      </c>
      <c r="N80" s="1272">
        <v>18000.0</v>
      </c>
      <c r="O80" s="1272">
        <v>18000.0</v>
      </c>
      <c r="P80" s="1267"/>
      <c r="Q80" s="1209"/>
      <c r="R80" s="1209"/>
      <c r="S80" s="1209"/>
      <c r="T80" s="1209"/>
      <c r="U80" s="1209"/>
      <c r="V80" s="1209"/>
      <c r="W80" s="1209"/>
      <c r="X80" s="1209"/>
      <c r="Y80" s="1209"/>
      <c r="Z80" s="1209"/>
      <c r="AA80" s="1209"/>
      <c r="AB80" s="1209"/>
    </row>
    <row r="81">
      <c r="A81" s="1271"/>
      <c r="B81" s="1271" t="s">
        <v>1503</v>
      </c>
      <c r="C81" s="1271" t="s">
        <v>3237</v>
      </c>
      <c r="D81" s="1272">
        <v>11000.0</v>
      </c>
      <c r="E81" s="1272">
        <v>11000.0</v>
      </c>
      <c r="F81" s="1272">
        <v>11000.0</v>
      </c>
      <c r="G81" s="1272">
        <v>11000.0</v>
      </c>
      <c r="H81" s="1272">
        <v>11000.0</v>
      </c>
      <c r="I81" s="1272">
        <v>11000.0</v>
      </c>
      <c r="J81" s="1272">
        <v>11000.0</v>
      </c>
      <c r="K81" s="1272">
        <v>11000.0</v>
      </c>
      <c r="L81" s="1272">
        <v>11000.0</v>
      </c>
      <c r="M81" s="1272">
        <v>11000.0</v>
      </c>
      <c r="N81" s="1272">
        <v>11000.0</v>
      </c>
      <c r="O81" s="1272">
        <v>11000.0</v>
      </c>
      <c r="P81" s="1267"/>
      <c r="Q81" s="1209"/>
      <c r="R81" s="1209"/>
      <c r="S81" s="1209"/>
      <c r="T81" s="1209"/>
      <c r="U81" s="1209"/>
      <c r="V81" s="1209"/>
      <c r="W81" s="1209"/>
      <c r="X81" s="1209"/>
      <c r="Y81" s="1209"/>
      <c r="Z81" s="1209"/>
      <c r="AA81" s="1209"/>
      <c r="AB81" s="1209"/>
    </row>
    <row r="82">
      <c r="A82" s="1271"/>
      <c r="B82" s="1271" t="s">
        <v>1503</v>
      </c>
      <c r="C82" s="1271" t="s">
        <v>3479</v>
      </c>
      <c r="D82" s="1272">
        <v>22000.0</v>
      </c>
      <c r="E82" s="1272">
        <v>22000.0</v>
      </c>
      <c r="F82" s="1272">
        <v>22000.0</v>
      </c>
      <c r="G82" s="1272">
        <v>22000.0</v>
      </c>
      <c r="H82" s="1272">
        <v>22000.0</v>
      </c>
      <c r="I82" s="1272">
        <v>22000.0</v>
      </c>
      <c r="J82" s="1272">
        <v>22000.0</v>
      </c>
      <c r="K82" s="1272">
        <v>22000.0</v>
      </c>
      <c r="L82" s="1272">
        <v>22000.0</v>
      </c>
      <c r="M82" s="1272">
        <v>22000.0</v>
      </c>
      <c r="N82" s="1272">
        <v>22000.0</v>
      </c>
      <c r="O82" s="1272">
        <v>22000.0</v>
      </c>
      <c r="P82" s="1267"/>
      <c r="Q82" s="1209"/>
      <c r="R82" s="1218"/>
      <c r="S82" s="1209"/>
      <c r="T82" s="1209"/>
      <c r="U82" s="1209"/>
      <c r="V82" s="1209"/>
      <c r="W82" s="1209"/>
      <c r="X82" s="1209"/>
      <c r="Y82" s="1209"/>
      <c r="Z82" s="1209"/>
      <c r="AA82" s="1209"/>
      <c r="AB82" s="1209"/>
    </row>
    <row r="83">
      <c r="A83" s="1271"/>
      <c r="B83" s="1271" t="s">
        <v>1503</v>
      </c>
      <c r="C83" s="1271" t="s">
        <v>3480</v>
      </c>
      <c r="D83" s="1272">
        <v>11000.0</v>
      </c>
      <c r="E83" s="1272">
        <v>11000.0</v>
      </c>
      <c r="F83" s="1272">
        <v>11000.0</v>
      </c>
      <c r="G83" s="1272">
        <v>11000.0</v>
      </c>
      <c r="H83" s="1272">
        <v>11000.0</v>
      </c>
      <c r="I83" s="1272">
        <v>11000.0</v>
      </c>
      <c r="J83" s="1272">
        <v>11000.0</v>
      </c>
      <c r="K83" s="1272">
        <v>11000.0</v>
      </c>
      <c r="L83" s="1272">
        <v>11000.0</v>
      </c>
      <c r="M83" s="1272">
        <v>11000.0</v>
      </c>
      <c r="N83" s="1272">
        <v>11000.0</v>
      </c>
      <c r="O83" s="1272">
        <v>11000.0</v>
      </c>
      <c r="P83" s="1265"/>
      <c r="Q83" s="1218"/>
      <c r="R83" s="1218">
        <v>195700.0</v>
      </c>
      <c r="S83" s="1209"/>
      <c r="T83" s="1209"/>
      <c r="U83" s="1209"/>
      <c r="V83" s="1209"/>
      <c r="W83" s="1209"/>
      <c r="X83" s="1209"/>
      <c r="Y83" s="1209"/>
      <c r="Z83" s="1209"/>
      <c r="AA83" s="1209"/>
      <c r="AB83" s="1209"/>
    </row>
    <row r="84">
      <c r="A84" s="1271"/>
      <c r="B84" s="1271" t="s">
        <v>1503</v>
      </c>
      <c r="C84" s="1271" t="s">
        <v>3481</v>
      </c>
      <c r="D84" s="1272">
        <v>40000.0</v>
      </c>
      <c r="E84" s="1272">
        <v>40000.0</v>
      </c>
      <c r="F84" s="1272">
        <v>40000.0</v>
      </c>
      <c r="G84" s="1272">
        <v>40000.0</v>
      </c>
      <c r="H84" s="1272">
        <v>40000.0</v>
      </c>
      <c r="I84" s="1272">
        <v>40000.0</v>
      </c>
      <c r="J84" s="1272">
        <v>40000.0</v>
      </c>
      <c r="K84" s="1272">
        <v>40000.0</v>
      </c>
      <c r="L84" s="1272">
        <v>40000.0</v>
      </c>
      <c r="M84" s="1272">
        <v>40000.0</v>
      </c>
      <c r="N84" s="1272">
        <v>40000.0</v>
      </c>
      <c r="O84" s="1272">
        <v>40000.0</v>
      </c>
      <c r="P84" s="1265"/>
      <c r="Q84" s="1218"/>
      <c r="R84" s="1218">
        <v>97930.0</v>
      </c>
      <c r="S84" s="1209"/>
      <c r="T84" s="1209"/>
      <c r="U84" s="1209"/>
      <c r="V84" s="1209"/>
      <c r="W84" s="1209"/>
      <c r="X84" s="1209"/>
      <c r="Y84" s="1209"/>
      <c r="Z84" s="1209"/>
      <c r="AA84" s="1209"/>
      <c r="AB84" s="1209"/>
    </row>
    <row r="85">
      <c r="A85" s="1271"/>
      <c r="B85" s="1271" t="s">
        <v>1503</v>
      </c>
      <c r="C85" s="1271" t="s">
        <v>3238</v>
      </c>
      <c r="D85" s="1272"/>
      <c r="E85" s="1272"/>
      <c r="F85" s="1272"/>
      <c r="G85" s="1272">
        <v>26590.0</v>
      </c>
      <c r="H85" s="1272">
        <v>97980.0</v>
      </c>
      <c r="I85" s="1272">
        <v>58800.0</v>
      </c>
      <c r="J85" s="1272">
        <v>37820.0</v>
      </c>
      <c r="K85" s="1272">
        <v>0.0</v>
      </c>
      <c r="L85" s="1272">
        <v>71830.0</v>
      </c>
      <c r="M85" s="1272">
        <v>0.0</v>
      </c>
      <c r="N85" s="1272">
        <f>49490-N84</f>
        <v>9490</v>
      </c>
      <c r="O85" s="1272">
        <f>98640-O84</f>
        <v>58640</v>
      </c>
      <c r="P85" s="1269">
        <f>SUM(J85:M85)</f>
        <v>109650</v>
      </c>
      <c r="R85" s="1218">
        <v>216270.0</v>
      </c>
      <c r="S85" s="1209"/>
      <c r="T85" s="1209"/>
      <c r="U85" s="1209"/>
      <c r="V85" s="1209"/>
      <c r="W85" s="1209"/>
      <c r="X85" s="1209"/>
      <c r="Y85" s="1209"/>
      <c r="Z85" s="1209"/>
      <c r="AA85" s="1209"/>
      <c r="AB85" s="1209"/>
    </row>
    <row r="86">
      <c r="A86" s="1285"/>
      <c r="B86" s="1285" t="s">
        <v>1597</v>
      </c>
      <c r="C86" s="1285" t="s">
        <v>3482</v>
      </c>
      <c r="D86" s="1265">
        <v>215040.0</v>
      </c>
      <c r="E86" s="1265">
        <v>215400.0</v>
      </c>
      <c r="F86" s="1265">
        <v>210930.0</v>
      </c>
      <c r="G86" s="1265"/>
      <c r="H86" s="1267"/>
      <c r="I86" s="1267"/>
      <c r="J86" s="1267"/>
      <c r="K86" s="1267"/>
      <c r="L86" s="1267"/>
      <c r="M86" s="1267"/>
      <c r="N86" s="1267"/>
      <c r="O86" s="1267"/>
      <c r="P86" s="1265"/>
      <c r="Q86" s="1218"/>
      <c r="R86" s="1218">
        <v>141750.0</v>
      </c>
      <c r="S86" s="1209"/>
      <c r="T86" s="1209"/>
      <c r="U86" s="1209"/>
      <c r="V86" s="1209"/>
      <c r="W86" s="1209"/>
      <c r="X86" s="1209"/>
      <c r="Y86" s="1209"/>
      <c r="Z86" s="1209"/>
      <c r="AA86" s="1209"/>
      <c r="AB86" s="1209"/>
    </row>
    <row r="87">
      <c r="A87" s="1218"/>
      <c r="B87" s="1218" t="s">
        <v>1597</v>
      </c>
      <c r="C87" s="1218" t="s">
        <v>3483</v>
      </c>
      <c r="D87" s="1265">
        <v>372550.0</v>
      </c>
      <c r="E87" s="1265">
        <v>369570.0</v>
      </c>
      <c r="F87" s="1265">
        <v>235000.0</v>
      </c>
      <c r="H87" s="1267"/>
      <c r="I87" s="1267"/>
      <c r="J87" s="1267"/>
      <c r="K87" s="1267"/>
      <c r="L87" s="1267"/>
      <c r="M87" s="1267"/>
      <c r="N87" s="1267"/>
      <c r="O87" s="1267"/>
      <c r="P87" s="1265"/>
      <c r="Q87" s="1218"/>
      <c r="R87" s="1209"/>
      <c r="S87" s="1209"/>
      <c r="T87" s="1209"/>
      <c r="U87" s="1209"/>
      <c r="V87" s="1209"/>
      <c r="W87" s="1209"/>
      <c r="X87" s="1209"/>
      <c r="Y87" s="1209"/>
      <c r="Z87" s="1209"/>
      <c r="AA87" s="1209"/>
      <c r="AB87" s="1209"/>
    </row>
    <row r="88">
      <c r="A88" s="1218"/>
      <c r="B88" s="1218" t="s">
        <v>1597</v>
      </c>
      <c r="C88" s="1218" t="s">
        <v>3235</v>
      </c>
      <c r="D88" s="1265">
        <v>29900.0</v>
      </c>
      <c r="E88" s="1265">
        <v>29900.0</v>
      </c>
      <c r="F88" s="1265">
        <v>29900.0</v>
      </c>
      <c r="G88" s="1265">
        <v>29900.0</v>
      </c>
      <c r="H88" s="1265">
        <v>29900.0</v>
      </c>
      <c r="I88" s="1265">
        <v>29900.0</v>
      </c>
      <c r="J88" s="1265">
        <v>29900.0</v>
      </c>
      <c r="K88" s="1265">
        <v>29900.0</v>
      </c>
      <c r="L88" s="1265">
        <v>29900.0</v>
      </c>
      <c r="M88" s="1265">
        <v>29900.0</v>
      </c>
      <c r="N88" s="1265">
        <v>29900.0</v>
      </c>
      <c r="O88" s="1265">
        <v>29900.0</v>
      </c>
      <c r="P88" s="1265"/>
      <c r="Q88" s="1218"/>
      <c r="R88" s="1209"/>
      <c r="S88" s="1209"/>
      <c r="T88" s="1209"/>
      <c r="U88" s="1209"/>
      <c r="V88" s="1209"/>
      <c r="W88" s="1209"/>
      <c r="X88" s="1209"/>
      <c r="Y88" s="1209"/>
      <c r="Z88" s="1209"/>
      <c r="AA88" s="1209"/>
      <c r="AB88" s="1209"/>
    </row>
    <row r="89">
      <c r="A89" s="1218"/>
      <c r="B89" s="1218" t="s">
        <v>1597</v>
      </c>
      <c r="C89" s="1218" t="s">
        <v>3237</v>
      </c>
      <c r="D89" s="1265">
        <v>11000.0</v>
      </c>
      <c r="E89" s="1265">
        <v>11000.0</v>
      </c>
      <c r="F89" s="1265">
        <v>11000.0</v>
      </c>
      <c r="G89" s="1265">
        <v>11000.0</v>
      </c>
      <c r="H89" s="1265">
        <v>11000.0</v>
      </c>
      <c r="I89" s="1265">
        <v>11000.0</v>
      </c>
      <c r="J89" s="1265">
        <v>11000.0</v>
      </c>
      <c r="K89" s="1265">
        <v>11000.0</v>
      </c>
      <c r="L89" s="1265">
        <v>11000.0</v>
      </c>
      <c r="M89" s="1265">
        <v>11000.0</v>
      </c>
      <c r="N89" s="1265">
        <v>11000.0</v>
      </c>
      <c r="O89" s="1265">
        <v>11000.0</v>
      </c>
      <c r="P89" s="1267"/>
      <c r="Q89" s="1209"/>
      <c r="R89" s="1209"/>
      <c r="S89" s="1209"/>
      <c r="T89" s="1209"/>
      <c r="U89" s="1209"/>
      <c r="V89" s="1209"/>
      <c r="W89" s="1209"/>
      <c r="X89" s="1209"/>
      <c r="Y89" s="1209"/>
      <c r="Z89" s="1209"/>
      <c r="AA89" s="1209"/>
      <c r="AB89" s="1209"/>
    </row>
    <row r="90">
      <c r="A90" s="1218"/>
      <c r="B90" s="1218" t="s">
        <v>1597</v>
      </c>
      <c r="C90" s="1218" t="s">
        <v>2663</v>
      </c>
      <c r="D90" s="1265">
        <v>11000.0</v>
      </c>
      <c r="E90" s="1265">
        <v>11000.0</v>
      </c>
      <c r="F90" s="1265">
        <v>11000.0</v>
      </c>
      <c r="G90" s="1265">
        <v>11000.0</v>
      </c>
      <c r="H90" s="1265">
        <v>11000.0</v>
      </c>
      <c r="I90" s="1265">
        <v>11000.0</v>
      </c>
      <c r="J90" s="1265">
        <v>11000.0</v>
      </c>
      <c r="K90" s="1265">
        <v>11000.0</v>
      </c>
      <c r="L90" s="1265">
        <v>11000.0</v>
      </c>
      <c r="M90" s="1265">
        <v>11000.0</v>
      </c>
      <c r="N90" s="1265">
        <v>11000.0</v>
      </c>
      <c r="O90" s="1265">
        <v>11000.0</v>
      </c>
      <c r="P90" s="1267"/>
      <c r="Q90" s="1209"/>
      <c r="R90" s="1209"/>
      <c r="S90" s="1209"/>
      <c r="T90" s="1209"/>
      <c r="U90" s="1209"/>
      <c r="V90" s="1209"/>
      <c r="W90" s="1209"/>
      <c r="X90" s="1209"/>
      <c r="Y90" s="1209"/>
      <c r="Z90" s="1209"/>
      <c r="AA90" s="1209"/>
      <c r="AB90" s="1209"/>
    </row>
    <row r="91">
      <c r="A91" s="1218"/>
      <c r="B91" s="1218" t="s">
        <v>1597</v>
      </c>
      <c r="C91" s="1218" t="s">
        <v>3480</v>
      </c>
      <c r="D91" s="1265">
        <v>11000.0</v>
      </c>
      <c r="E91" s="1265">
        <v>11000.0</v>
      </c>
      <c r="F91" s="1265">
        <v>11000.0</v>
      </c>
      <c r="G91" s="1265">
        <v>11000.0</v>
      </c>
      <c r="H91" s="1265">
        <v>11000.0</v>
      </c>
      <c r="I91" s="1265">
        <v>11000.0</v>
      </c>
      <c r="J91" s="1265">
        <v>11000.0</v>
      </c>
      <c r="K91" s="1265">
        <v>11000.0</v>
      </c>
      <c r="L91" s="1265">
        <v>11000.0</v>
      </c>
      <c r="M91" s="1265">
        <v>11000.0</v>
      </c>
      <c r="N91" s="1265">
        <v>11000.0</v>
      </c>
      <c r="O91" s="1265">
        <v>11000.0</v>
      </c>
      <c r="P91" s="1267"/>
      <c r="Q91" s="1209"/>
      <c r="R91" s="1209"/>
      <c r="S91" s="1209"/>
      <c r="T91" s="1209"/>
      <c r="U91" s="1209"/>
      <c r="V91" s="1209"/>
      <c r="W91" s="1209"/>
      <c r="X91" s="1209"/>
      <c r="Y91" s="1209"/>
      <c r="Z91" s="1209"/>
      <c r="AA91" s="1209"/>
      <c r="AB91" s="1209"/>
    </row>
    <row r="92">
      <c r="A92" s="1218"/>
      <c r="B92" s="1218" t="s">
        <v>1597</v>
      </c>
      <c r="C92" s="1218" t="s">
        <v>3481</v>
      </c>
      <c r="D92" s="1265">
        <v>40000.0</v>
      </c>
      <c r="E92" s="1265">
        <v>40000.0</v>
      </c>
      <c r="F92" s="1265">
        <v>40000.0</v>
      </c>
      <c r="G92" s="1265">
        <v>40000.0</v>
      </c>
      <c r="H92" s="1265">
        <v>40000.0</v>
      </c>
      <c r="I92" s="1265">
        <v>40000.0</v>
      </c>
      <c r="J92" s="1265">
        <v>40000.0</v>
      </c>
      <c r="K92" s="1265">
        <v>40000.0</v>
      </c>
      <c r="L92" s="1265">
        <v>40000.0</v>
      </c>
      <c r="M92" s="1265">
        <v>40000.0</v>
      </c>
      <c r="N92" s="1265">
        <v>40000.0</v>
      </c>
      <c r="O92" s="1265">
        <v>40000.0</v>
      </c>
      <c r="P92" s="1267"/>
      <c r="Q92" s="1209"/>
      <c r="R92" s="1209"/>
      <c r="S92" s="1209"/>
      <c r="T92" s="1209"/>
      <c r="U92" s="1209"/>
      <c r="V92" s="1209"/>
      <c r="W92" s="1209"/>
      <c r="X92" s="1209"/>
      <c r="Y92" s="1209"/>
      <c r="Z92" s="1209"/>
      <c r="AA92" s="1209"/>
      <c r="AB92" s="1209"/>
    </row>
    <row r="93">
      <c r="A93" s="1218"/>
      <c r="B93" s="1218" t="s">
        <v>1597</v>
      </c>
      <c r="C93" s="1218" t="s">
        <v>3238</v>
      </c>
      <c r="D93" s="1265"/>
      <c r="E93" s="1265"/>
      <c r="F93" s="1265"/>
      <c r="G93" s="1265">
        <v>36870.0</v>
      </c>
      <c r="H93" s="1265">
        <v>62500.0</v>
      </c>
      <c r="I93" s="1265">
        <v>101170.0</v>
      </c>
      <c r="J93" s="1265">
        <v>60110.0</v>
      </c>
      <c r="K93" s="1265">
        <v>0.0</v>
      </c>
      <c r="L93" s="1265">
        <v>99700.0</v>
      </c>
      <c r="M93" s="1265">
        <v>36130.0</v>
      </c>
      <c r="N93" s="1265">
        <f>40000-N92</f>
        <v>0</v>
      </c>
      <c r="O93" s="1265">
        <f>163420-O92</f>
        <v>123420</v>
      </c>
      <c r="P93" s="1269">
        <f>SUM(J93:M93)</f>
        <v>195940</v>
      </c>
      <c r="R93" s="1209"/>
      <c r="S93" s="1209"/>
      <c r="T93" s="1209"/>
      <c r="U93" s="1209"/>
      <c r="V93" s="1209"/>
      <c r="W93" s="1209"/>
      <c r="X93" s="1209"/>
      <c r="Y93" s="1209"/>
      <c r="Z93" s="1209"/>
      <c r="AA93" s="1209"/>
      <c r="AB93" s="1209"/>
    </row>
    <row r="94">
      <c r="A94" s="1271"/>
      <c r="B94" s="1271" t="s">
        <v>1349</v>
      </c>
      <c r="C94" s="1271" t="s">
        <v>3304</v>
      </c>
      <c r="D94" s="1272">
        <v>100000.0</v>
      </c>
      <c r="E94" s="1272">
        <v>120000.0</v>
      </c>
      <c r="F94" s="1272">
        <v>200000.0</v>
      </c>
      <c r="G94" s="1272">
        <v>60000.0</v>
      </c>
      <c r="H94" s="1272">
        <v>70000.0</v>
      </c>
      <c r="I94" s="1272">
        <v>150000.0</v>
      </c>
      <c r="J94" s="1272"/>
      <c r="K94" s="1272"/>
      <c r="L94" s="1272"/>
      <c r="M94" s="1272"/>
      <c r="N94" s="1272"/>
      <c r="O94" s="1272"/>
      <c r="P94" s="1267"/>
      <c r="Q94" s="1209"/>
      <c r="R94" s="1209"/>
      <c r="S94" s="1209"/>
      <c r="T94" s="1209"/>
      <c r="U94" s="1209"/>
      <c r="V94" s="1209"/>
      <c r="W94" s="1209"/>
      <c r="X94" s="1209"/>
      <c r="Y94" s="1209"/>
      <c r="Z94" s="1209"/>
      <c r="AA94" s="1209"/>
      <c r="AB94" s="1209"/>
    </row>
    <row r="95">
      <c r="A95" s="1271"/>
      <c r="B95" s="1271" t="s">
        <v>1349</v>
      </c>
      <c r="C95" s="1271" t="s">
        <v>3484</v>
      </c>
      <c r="D95" s="1272">
        <v>358020.0</v>
      </c>
      <c r="E95" s="1272">
        <v>294630.0</v>
      </c>
      <c r="F95" s="1272">
        <v>149770.0</v>
      </c>
      <c r="G95" s="1272"/>
      <c r="H95" s="1272"/>
      <c r="I95" s="1272"/>
      <c r="J95" s="1272"/>
      <c r="K95" s="1272"/>
      <c r="L95" s="1272"/>
      <c r="M95" s="1272"/>
      <c r="N95" s="1272"/>
      <c r="O95" s="1272"/>
      <c r="P95" s="1267"/>
      <c r="Q95" s="1209"/>
      <c r="R95" s="1209"/>
      <c r="S95" s="1209"/>
      <c r="T95" s="1209"/>
      <c r="U95" s="1209"/>
      <c r="V95" s="1209"/>
      <c r="W95" s="1209"/>
      <c r="X95" s="1209"/>
      <c r="Y95" s="1209"/>
      <c r="Z95" s="1209"/>
      <c r="AA95" s="1209"/>
      <c r="AB95" s="1209"/>
    </row>
    <row r="96">
      <c r="A96" s="1271"/>
      <c r="B96" s="1271" t="s">
        <v>1349</v>
      </c>
      <c r="C96" s="1271" t="s">
        <v>802</v>
      </c>
      <c r="D96" s="1272" t="s">
        <v>373</v>
      </c>
      <c r="E96" s="1272"/>
      <c r="F96" s="1272"/>
      <c r="G96" s="1272"/>
      <c r="H96" s="1272"/>
      <c r="I96" s="1272"/>
      <c r="J96" s="1272"/>
      <c r="K96" s="1272"/>
      <c r="L96" s="1272"/>
      <c r="M96" s="1272"/>
      <c r="N96" s="1272"/>
      <c r="O96" s="1272"/>
      <c r="P96" s="1265"/>
      <c r="Q96" s="1218">
        <v>195700.0</v>
      </c>
      <c r="R96" s="1218">
        <v>79060.0</v>
      </c>
      <c r="S96" s="1218" t="s">
        <v>802</v>
      </c>
      <c r="T96" s="1218" t="s">
        <v>3443</v>
      </c>
      <c r="U96" s="1209"/>
      <c r="V96" s="1209"/>
      <c r="W96" s="1209"/>
      <c r="X96" s="1209"/>
      <c r="Y96" s="1209"/>
      <c r="Z96" s="1209"/>
      <c r="AA96" s="1209"/>
      <c r="AB96" s="1209"/>
    </row>
    <row r="97">
      <c r="A97" s="1271"/>
      <c r="B97" s="1271" t="s">
        <v>1349</v>
      </c>
      <c r="C97" s="1271" t="s">
        <v>3235</v>
      </c>
      <c r="D97" s="1272">
        <v>18000.0</v>
      </c>
      <c r="E97" s="1272">
        <v>18000.0</v>
      </c>
      <c r="F97" s="1272">
        <v>18000.0</v>
      </c>
      <c r="G97" s="1272">
        <v>18000.0</v>
      </c>
      <c r="H97" s="1272">
        <v>18000.0</v>
      </c>
      <c r="I97" s="1272">
        <v>18000.0</v>
      </c>
      <c r="J97" s="1272">
        <v>18000.0</v>
      </c>
      <c r="K97" s="1272">
        <v>18000.0</v>
      </c>
      <c r="L97" s="1272">
        <v>18000.0</v>
      </c>
      <c r="M97" s="1272">
        <v>18000.0</v>
      </c>
      <c r="N97" s="1272">
        <v>18000.0</v>
      </c>
      <c r="O97" s="1272">
        <v>18000.0</v>
      </c>
      <c r="P97" s="1265"/>
      <c r="Q97" s="1218">
        <v>97930.0</v>
      </c>
      <c r="R97" s="1218">
        <v>70710.0</v>
      </c>
      <c r="S97" s="1209"/>
      <c r="T97" s="1209"/>
      <c r="U97" s="1209"/>
      <c r="V97" s="1209"/>
      <c r="W97" s="1209"/>
      <c r="X97" s="1209"/>
      <c r="Y97" s="1209"/>
      <c r="Z97" s="1209"/>
      <c r="AA97" s="1209"/>
      <c r="AB97" s="1209"/>
    </row>
    <row r="98">
      <c r="A98" s="1271"/>
      <c r="B98" s="1271" t="s">
        <v>1349</v>
      </c>
      <c r="C98" s="1271" t="s">
        <v>3237</v>
      </c>
      <c r="D98" s="1272">
        <v>11000.0</v>
      </c>
      <c r="E98" s="1272">
        <v>11000.0</v>
      </c>
      <c r="F98" s="1272">
        <v>11000.0</v>
      </c>
      <c r="G98" s="1272">
        <v>11000.0</v>
      </c>
      <c r="H98" s="1272">
        <v>11000.0</v>
      </c>
      <c r="I98" s="1272">
        <v>11000.0</v>
      </c>
      <c r="J98" s="1272">
        <v>11000.0</v>
      </c>
      <c r="K98" s="1272">
        <v>11000.0</v>
      </c>
      <c r="L98" s="1272">
        <v>11000.0</v>
      </c>
      <c r="M98" s="1272">
        <v>11000.0</v>
      </c>
      <c r="N98" s="1272">
        <v>11000.0</v>
      </c>
      <c r="O98" s="1272">
        <v>11000.0</v>
      </c>
      <c r="P98" s="1267"/>
      <c r="Q98" s="1209"/>
      <c r="R98" s="1209"/>
      <c r="S98" s="1209"/>
      <c r="T98" s="1209"/>
      <c r="U98" s="1209"/>
      <c r="V98" s="1209"/>
      <c r="W98" s="1209"/>
      <c r="X98" s="1209"/>
      <c r="Y98" s="1209"/>
      <c r="Z98" s="1209"/>
      <c r="AA98" s="1209"/>
      <c r="AB98" s="1209"/>
    </row>
    <row r="99">
      <c r="A99" s="1271"/>
      <c r="B99" s="1271" t="s">
        <v>1349</v>
      </c>
      <c r="C99" s="1271" t="s">
        <v>2663</v>
      </c>
      <c r="D99" s="1272">
        <v>11000.0</v>
      </c>
      <c r="E99" s="1272">
        <v>11000.0</v>
      </c>
      <c r="F99" s="1272">
        <v>11000.0</v>
      </c>
      <c r="G99" s="1272">
        <v>11000.0</v>
      </c>
      <c r="H99" s="1272">
        <v>11000.0</v>
      </c>
      <c r="I99" s="1272">
        <v>11000.0</v>
      </c>
      <c r="J99" s="1272">
        <v>11000.0</v>
      </c>
      <c r="K99" s="1272">
        <v>11000.0</v>
      </c>
      <c r="L99" s="1272">
        <v>11000.0</v>
      </c>
      <c r="M99" s="1272">
        <v>11000.0</v>
      </c>
      <c r="N99" s="1272">
        <v>11000.0</v>
      </c>
      <c r="O99" s="1272">
        <v>11000.0</v>
      </c>
      <c r="P99" s="1267"/>
      <c r="Q99" s="1209"/>
      <c r="R99" s="1209"/>
      <c r="S99" s="1209"/>
      <c r="T99" s="1209"/>
      <c r="U99" s="1209"/>
      <c r="V99" s="1209"/>
      <c r="W99" s="1209"/>
      <c r="X99" s="1209"/>
      <c r="Y99" s="1209"/>
      <c r="Z99" s="1209"/>
      <c r="AA99" s="1209"/>
      <c r="AB99" s="1209"/>
    </row>
    <row r="100">
      <c r="A100" s="1271"/>
      <c r="B100" s="1271" t="s">
        <v>1349</v>
      </c>
      <c r="C100" s="1271" t="s">
        <v>3480</v>
      </c>
      <c r="D100" s="1272">
        <v>11000.0</v>
      </c>
      <c r="E100" s="1272">
        <v>11000.0</v>
      </c>
      <c r="F100" s="1272">
        <v>11000.0</v>
      </c>
      <c r="G100" s="1272">
        <v>11000.0</v>
      </c>
      <c r="H100" s="1272">
        <v>11000.0</v>
      </c>
      <c r="I100" s="1272">
        <v>11000.0</v>
      </c>
      <c r="J100" s="1272">
        <v>11000.0</v>
      </c>
      <c r="K100" s="1272">
        <v>11000.0</v>
      </c>
      <c r="L100" s="1272">
        <v>11000.0</v>
      </c>
      <c r="M100" s="1272">
        <v>11000.0</v>
      </c>
      <c r="N100" s="1272">
        <v>11000.0</v>
      </c>
      <c r="O100" s="1272">
        <v>11000.0</v>
      </c>
      <c r="P100" s="1267"/>
      <c r="Q100" s="1209"/>
      <c r="R100" s="1209"/>
      <c r="S100" s="1209"/>
      <c r="T100" s="1209"/>
      <c r="U100" s="1209"/>
      <c r="V100" s="1209"/>
      <c r="W100" s="1209"/>
      <c r="X100" s="1209"/>
      <c r="Y100" s="1209"/>
      <c r="Z100" s="1209"/>
      <c r="AA100" s="1209"/>
      <c r="AB100" s="1209"/>
    </row>
    <row r="101">
      <c r="A101" s="1271"/>
      <c r="B101" s="1271" t="s">
        <v>1349</v>
      </c>
      <c r="C101" s="1271" t="s">
        <v>3481</v>
      </c>
      <c r="D101" s="1272">
        <v>80000.0</v>
      </c>
      <c r="E101" s="1272">
        <v>80000.0</v>
      </c>
      <c r="F101" s="1272">
        <v>80000.0</v>
      </c>
      <c r="G101" s="1272">
        <v>80000.0</v>
      </c>
      <c r="H101" s="1272">
        <v>80000.0</v>
      </c>
      <c r="I101" s="1272">
        <v>80000.0</v>
      </c>
      <c r="J101" s="1272">
        <v>80000.0</v>
      </c>
      <c r="K101" s="1272">
        <v>80000.0</v>
      </c>
      <c r="L101" s="1272">
        <v>80000.0</v>
      </c>
      <c r="M101" s="1272">
        <v>80000.0</v>
      </c>
      <c r="N101" s="1272">
        <v>80000.0</v>
      </c>
      <c r="O101" s="1272">
        <v>80000.0</v>
      </c>
      <c r="P101" s="1267"/>
      <c r="Q101" s="1209"/>
      <c r="R101" s="1209"/>
      <c r="S101" s="1209"/>
      <c r="T101" s="1209"/>
      <c r="U101" s="1209"/>
      <c r="V101" s="1209"/>
      <c r="W101" s="1209"/>
      <c r="X101" s="1209"/>
      <c r="Y101" s="1209"/>
      <c r="Z101" s="1209"/>
      <c r="AA101" s="1209"/>
      <c r="AB101" s="1209"/>
    </row>
    <row r="102">
      <c r="A102" s="1271"/>
      <c r="B102" s="1271" t="s">
        <v>1349</v>
      </c>
      <c r="C102" s="1271" t="s">
        <v>3238</v>
      </c>
      <c r="D102" s="1272"/>
      <c r="E102" s="1272"/>
      <c r="F102" s="1272"/>
      <c r="G102" s="1272">
        <v>68880.0</v>
      </c>
      <c r="H102" s="1272">
        <v>165380.0</v>
      </c>
      <c r="I102" s="1272">
        <v>139090.0</v>
      </c>
      <c r="J102" s="1272">
        <v>39380.0</v>
      </c>
      <c r="K102" s="1272">
        <v>140319.0</v>
      </c>
      <c r="L102" s="1272">
        <v>49280.0</v>
      </c>
      <c r="M102" s="1272">
        <v>52000.0</v>
      </c>
      <c r="N102" s="1272">
        <f>411590-N101</f>
        <v>331590</v>
      </c>
      <c r="O102" s="1272">
        <v>380230.0</v>
      </c>
      <c r="P102" s="1269">
        <f>SUM(J102:M102)</f>
        <v>280979</v>
      </c>
      <c r="R102" s="1209"/>
      <c r="S102" s="1209"/>
      <c r="T102" s="1209"/>
      <c r="U102" s="1209"/>
      <c r="V102" s="1209"/>
      <c r="W102" s="1209"/>
      <c r="X102" s="1209"/>
      <c r="Y102" s="1209"/>
      <c r="Z102" s="1209"/>
      <c r="AA102" s="1209"/>
      <c r="AB102" s="1209"/>
    </row>
    <row r="103">
      <c r="A103" s="1218"/>
      <c r="B103" s="1218" t="s">
        <v>1893</v>
      </c>
      <c r="C103" s="1218" t="s">
        <v>3485</v>
      </c>
      <c r="D103" s="1265">
        <v>38060.0</v>
      </c>
      <c r="E103" s="1265">
        <v>33780.0</v>
      </c>
      <c r="F103" s="1265">
        <v>27910.0</v>
      </c>
      <c r="G103" s="1267"/>
      <c r="H103" s="1267"/>
      <c r="I103" s="1267"/>
      <c r="J103" s="1267"/>
      <c r="K103" s="1267"/>
      <c r="L103" s="1267"/>
      <c r="M103" s="1267"/>
      <c r="N103" s="1267"/>
      <c r="O103" s="1267"/>
      <c r="P103" s="1267"/>
      <c r="Q103" s="1209"/>
      <c r="R103" s="1209"/>
      <c r="S103" s="1209"/>
      <c r="T103" s="1209"/>
      <c r="U103" s="1209"/>
      <c r="V103" s="1209"/>
      <c r="W103" s="1209"/>
      <c r="X103" s="1209"/>
      <c r="Y103" s="1209"/>
      <c r="Z103" s="1209"/>
      <c r="AA103" s="1209"/>
      <c r="AB103" s="1209"/>
    </row>
    <row r="104">
      <c r="A104" s="1218"/>
      <c r="B104" s="1218" t="s">
        <v>1893</v>
      </c>
      <c r="C104" s="1218" t="s">
        <v>3486</v>
      </c>
      <c r="D104" s="1265">
        <v>223670.0</v>
      </c>
      <c r="E104" s="1265">
        <v>223110.0</v>
      </c>
      <c r="F104" s="1265">
        <v>203280.0</v>
      </c>
      <c r="G104" s="1265"/>
      <c r="H104" s="1267"/>
      <c r="I104" s="1267"/>
      <c r="J104" s="1267"/>
      <c r="K104" s="1267"/>
      <c r="L104" s="1267"/>
      <c r="M104" s="1267"/>
      <c r="N104" s="1267"/>
      <c r="O104" s="1267"/>
      <c r="P104" s="1267"/>
      <c r="Q104" s="1209"/>
      <c r="R104" s="1209"/>
      <c r="S104" s="1209"/>
      <c r="T104" s="1209"/>
      <c r="U104" s="1209"/>
      <c r="V104" s="1209"/>
      <c r="W104" s="1209"/>
      <c r="X104" s="1209"/>
      <c r="Y104" s="1209"/>
      <c r="Z104" s="1209"/>
      <c r="AA104" s="1209"/>
      <c r="AB104" s="1209"/>
    </row>
    <row r="105">
      <c r="A105" s="1218"/>
      <c r="B105" s="1218" t="s">
        <v>1893</v>
      </c>
      <c r="C105" s="1218" t="s">
        <v>3487</v>
      </c>
      <c r="D105" s="1265">
        <v>20000.0</v>
      </c>
      <c r="E105" s="1265">
        <v>20000.0</v>
      </c>
      <c r="F105" s="1265">
        <v>20000.0</v>
      </c>
      <c r="G105" s="1265">
        <v>20000.0</v>
      </c>
      <c r="H105" s="1265">
        <v>20000.0</v>
      </c>
      <c r="I105" s="1265">
        <v>20000.0</v>
      </c>
      <c r="J105" s="1265">
        <v>20000.0</v>
      </c>
      <c r="K105" s="1265">
        <v>20000.0</v>
      </c>
      <c r="L105" s="1265">
        <v>20000.0</v>
      </c>
      <c r="M105" s="1265">
        <v>20000.0</v>
      </c>
      <c r="N105" s="1265">
        <v>20000.0</v>
      </c>
      <c r="O105" s="1265">
        <v>20000.0</v>
      </c>
      <c r="P105" s="1267"/>
      <c r="Q105" s="1209"/>
      <c r="R105" s="1286"/>
      <c r="S105" s="1286"/>
      <c r="T105" s="1209"/>
      <c r="U105" s="1209"/>
      <c r="V105" s="1209"/>
      <c r="W105" s="1209"/>
      <c r="X105" s="1209"/>
      <c r="Y105" s="1209"/>
      <c r="Z105" s="1209"/>
      <c r="AA105" s="1209"/>
      <c r="AB105" s="1209"/>
    </row>
    <row r="106">
      <c r="A106" s="1218"/>
      <c r="B106" s="1218" t="s">
        <v>1893</v>
      </c>
      <c r="C106" s="1218" t="s">
        <v>3235</v>
      </c>
      <c r="D106" s="1265">
        <v>18000.0</v>
      </c>
      <c r="E106" s="1265">
        <v>18000.0</v>
      </c>
      <c r="F106" s="1265">
        <v>18000.0</v>
      </c>
      <c r="G106" s="1265">
        <v>18000.0</v>
      </c>
      <c r="H106" s="1265">
        <v>18000.0</v>
      </c>
      <c r="I106" s="1265">
        <v>18000.0</v>
      </c>
      <c r="J106" s="1265">
        <v>18000.0</v>
      </c>
      <c r="K106" s="1265">
        <v>18000.0</v>
      </c>
      <c r="L106" s="1265">
        <v>18000.0</v>
      </c>
      <c r="M106" s="1265">
        <v>18000.0</v>
      </c>
      <c r="N106" s="1265">
        <v>18000.0</v>
      </c>
      <c r="O106" s="1265">
        <v>18000.0</v>
      </c>
      <c r="P106" s="1267"/>
      <c r="Q106" s="1209"/>
      <c r="R106" s="1286"/>
      <c r="S106" s="1286"/>
      <c r="T106" s="1209"/>
      <c r="U106" s="1209"/>
      <c r="V106" s="1209"/>
      <c r="W106" s="1209"/>
      <c r="X106" s="1209"/>
      <c r="Y106" s="1209"/>
      <c r="Z106" s="1209"/>
      <c r="AA106" s="1209"/>
      <c r="AB106" s="1209"/>
    </row>
    <row r="107">
      <c r="A107" s="1218"/>
      <c r="B107" s="1218" t="s">
        <v>1893</v>
      </c>
      <c r="C107" s="1218" t="s">
        <v>3237</v>
      </c>
      <c r="D107" s="1265">
        <v>19900.0</v>
      </c>
      <c r="E107" s="1265">
        <v>19900.0</v>
      </c>
      <c r="F107" s="1265">
        <v>19900.0</v>
      </c>
      <c r="G107" s="1265">
        <v>19900.0</v>
      </c>
      <c r="H107" s="1265">
        <v>19900.0</v>
      </c>
      <c r="I107" s="1265">
        <v>19900.0</v>
      </c>
      <c r="J107" s="1265">
        <v>19900.0</v>
      </c>
      <c r="K107" s="1265">
        <v>19900.0</v>
      </c>
      <c r="L107" s="1265">
        <v>19900.0</v>
      </c>
      <c r="M107" s="1265">
        <v>19900.0</v>
      </c>
      <c r="N107" s="1265">
        <v>19900.0</v>
      </c>
      <c r="O107" s="1265">
        <v>19900.0</v>
      </c>
      <c r="P107" s="1267"/>
      <c r="Q107" s="1209"/>
      <c r="R107" s="1209"/>
      <c r="S107" s="1209"/>
      <c r="T107" s="1209"/>
      <c r="U107" s="1209"/>
      <c r="V107" s="1209"/>
      <c r="W107" s="1209"/>
      <c r="X107" s="1209"/>
      <c r="Y107" s="1209"/>
      <c r="Z107" s="1209"/>
      <c r="AA107" s="1209"/>
      <c r="AB107" s="1209"/>
    </row>
    <row r="108">
      <c r="A108" s="1218"/>
      <c r="B108" s="1218" t="s">
        <v>1893</v>
      </c>
      <c r="C108" s="1218" t="s">
        <v>3481</v>
      </c>
      <c r="D108" s="1265">
        <v>30000.0</v>
      </c>
      <c r="E108" s="1265">
        <v>30000.0</v>
      </c>
      <c r="F108" s="1265">
        <v>30000.0</v>
      </c>
      <c r="G108" s="1265">
        <v>30000.0</v>
      </c>
      <c r="H108" s="1265">
        <v>30000.0</v>
      </c>
      <c r="I108" s="1265">
        <v>30000.0</v>
      </c>
      <c r="J108" s="1265">
        <v>30000.0</v>
      </c>
      <c r="K108" s="1265">
        <v>30000.0</v>
      </c>
      <c r="L108" s="1265">
        <v>30000.0</v>
      </c>
      <c r="M108" s="1265">
        <v>30000.0</v>
      </c>
      <c r="N108" s="1265">
        <v>30000.0</v>
      </c>
      <c r="O108" s="1265">
        <v>30000.0</v>
      </c>
      <c r="P108" s="1267"/>
      <c r="Q108" s="1209"/>
      <c r="R108" s="1209"/>
      <c r="S108" s="1209"/>
      <c r="T108" s="1209"/>
      <c r="U108" s="1209"/>
      <c r="V108" s="1209"/>
      <c r="W108" s="1209"/>
      <c r="X108" s="1209"/>
      <c r="Y108" s="1209"/>
      <c r="Z108" s="1209"/>
      <c r="AA108" s="1209"/>
      <c r="AB108" s="1209"/>
    </row>
    <row r="109">
      <c r="A109" s="1218"/>
      <c r="B109" s="1218" t="s">
        <v>1893</v>
      </c>
      <c r="C109" s="1218" t="s">
        <v>3238</v>
      </c>
      <c r="D109" s="1265"/>
      <c r="E109" s="1265"/>
      <c r="F109" s="1265"/>
      <c r="G109" s="1265"/>
      <c r="H109" s="1265">
        <v>61890.0</v>
      </c>
      <c r="I109" s="1265">
        <v>30000.0</v>
      </c>
      <c r="J109" s="1265">
        <v>14590.0</v>
      </c>
      <c r="K109" s="1265">
        <v>46630.0</v>
      </c>
      <c r="L109" s="1265">
        <v>27980.0</v>
      </c>
      <c r="M109" s="1265">
        <v>50000.0</v>
      </c>
      <c r="N109" s="1265">
        <f>30000-N108</f>
        <v>0</v>
      </c>
      <c r="O109" s="1265">
        <f>32500-O108</f>
        <v>2500</v>
      </c>
      <c r="P109" s="1269">
        <f>SUM(J109:M109)</f>
        <v>139200</v>
      </c>
      <c r="R109" s="1209"/>
      <c r="S109" s="1209"/>
      <c r="T109" s="1209"/>
      <c r="U109" s="1209"/>
      <c r="V109" s="1209"/>
      <c r="W109" s="1209"/>
      <c r="X109" s="1209"/>
      <c r="Y109" s="1209"/>
      <c r="Z109" s="1209"/>
      <c r="AA109" s="1209"/>
      <c r="AB109" s="1209"/>
    </row>
    <row r="110">
      <c r="A110" s="1271"/>
      <c r="B110" s="1271" t="s">
        <v>1907</v>
      </c>
      <c r="C110" s="1271" t="s">
        <v>3488</v>
      </c>
      <c r="D110" s="1272">
        <v>33830.0</v>
      </c>
      <c r="E110" s="1272">
        <v>37820.0</v>
      </c>
      <c r="F110" s="1272">
        <v>30540.0</v>
      </c>
      <c r="G110" s="1272"/>
      <c r="H110" s="1272"/>
      <c r="I110" s="1272"/>
      <c r="J110" s="1272"/>
      <c r="K110" s="1272"/>
      <c r="L110" s="1272"/>
      <c r="M110" s="1272"/>
      <c r="N110" s="1272"/>
      <c r="O110" s="1272"/>
      <c r="P110" s="1267"/>
      <c r="Q110" s="1209"/>
      <c r="R110" s="1209"/>
      <c r="S110" s="1209"/>
      <c r="T110" s="1209"/>
      <c r="U110" s="1209"/>
      <c r="V110" s="1209"/>
      <c r="W110" s="1209"/>
      <c r="X110" s="1209"/>
      <c r="Y110" s="1209"/>
      <c r="Z110" s="1209"/>
      <c r="AA110" s="1209"/>
      <c r="AB110" s="1209"/>
    </row>
    <row r="111">
      <c r="A111" s="1271"/>
      <c r="B111" s="1271" t="s">
        <v>1907</v>
      </c>
      <c r="C111" s="1271" t="s">
        <v>3489</v>
      </c>
      <c r="D111" s="1272">
        <v>207840.0</v>
      </c>
      <c r="E111" s="1272">
        <v>203520.0</v>
      </c>
      <c r="F111" s="1272">
        <v>120740.0</v>
      </c>
      <c r="G111" s="1272"/>
      <c r="H111" s="1272"/>
      <c r="I111" s="1272"/>
      <c r="J111" s="1272"/>
      <c r="K111" s="1272"/>
      <c r="L111" s="1272"/>
      <c r="M111" s="1272"/>
      <c r="N111" s="1272"/>
      <c r="O111" s="1272"/>
      <c r="P111" s="1267"/>
      <c r="Q111" s="1209"/>
      <c r="R111" s="1209"/>
      <c r="S111" s="1209"/>
      <c r="T111" s="1209"/>
      <c r="U111" s="1209"/>
      <c r="V111" s="1209"/>
      <c r="W111" s="1209"/>
      <c r="X111" s="1209"/>
      <c r="Y111" s="1209"/>
      <c r="Z111" s="1209"/>
      <c r="AA111" s="1209"/>
      <c r="AB111" s="1209"/>
    </row>
    <row r="112">
      <c r="A112" s="1271"/>
      <c r="B112" s="1271" t="s">
        <v>1907</v>
      </c>
      <c r="C112" s="1271" t="s">
        <v>3487</v>
      </c>
      <c r="D112" s="1272">
        <v>20000.0</v>
      </c>
      <c r="E112" s="1272">
        <v>20000.0</v>
      </c>
      <c r="F112" s="1272">
        <v>20000.0</v>
      </c>
      <c r="G112" s="1272">
        <v>20000.0</v>
      </c>
      <c r="H112" s="1272">
        <v>20000.0</v>
      </c>
      <c r="I112" s="1272">
        <v>20000.0</v>
      </c>
      <c r="J112" s="1272">
        <v>20000.0</v>
      </c>
      <c r="K112" s="1272">
        <v>20000.0</v>
      </c>
      <c r="L112" s="1272">
        <v>20000.0</v>
      </c>
      <c r="M112" s="1272">
        <v>20000.0</v>
      </c>
      <c r="N112" s="1272">
        <v>20000.0</v>
      </c>
      <c r="O112" s="1272">
        <v>20000.0</v>
      </c>
      <c r="P112" s="1267"/>
      <c r="Q112" s="1209"/>
      <c r="R112" s="1209"/>
      <c r="S112" s="1209"/>
      <c r="T112" s="1209"/>
      <c r="U112" s="1209"/>
      <c r="V112" s="1209"/>
      <c r="W112" s="1209"/>
      <c r="X112" s="1209"/>
      <c r="Y112" s="1209"/>
      <c r="Z112" s="1209"/>
      <c r="AA112" s="1209"/>
      <c r="AB112" s="1209"/>
    </row>
    <row r="113">
      <c r="A113" s="1271"/>
      <c r="B113" s="1271" t="s">
        <v>1907</v>
      </c>
      <c r="C113" s="1271" t="s">
        <v>3235</v>
      </c>
      <c r="D113" s="1272">
        <v>18000.0</v>
      </c>
      <c r="E113" s="1272">
        <v>18000.0</v>
      </c>
      <c r="F113" s="1272">
        <v>18000.0</v>
      </c>
      <c r="G113" s="1272">
        <v>18000.0</v>
      </c>
      <c r="H113" s="1272">
        <v>18000.0</v>
      </c>
      <c r="I113" s="1272">
        <v>18000.0</v>
      </c>
      <c r="J113" s="1272">
        <v>18000.0</v>
      </c>
      <c r="K113" s="1272">
        <v>18000.0</v>
      </c>
      <c r="L113" s="1272">
        <v>18000.0</v>
      </c>
      <c r="M113" s="1272">
        <v>18000.0</v>
      </c>
      <c r="N113" s="1272">
        <v>18000.0</v>
      </c>
      <c r="O113" s="1272">
        <v>18000.0</v>
      </c>
      <c r="P113" s="1267"/>
      <c r="Q113" s="1209"/>
      <c r="R113" s="1209"/>
      <c r="S113" s="1209"/>
      <c r="T113" s="1209"/>
      <c r="U113" s="1209"/>
      <c r="V113" s="1209"/>
      <c r="W113" s="1209"/>
      <c r="X113" s="1209"/>
      <c r="Y113" s="1209"/>
      <c r="Z113" s="1209"/>
      <c r="AA113" s="1209"/>
      <c r="AB113" s="1209"/>
    </row>
    <row r="114">
      <c r="A114" s="1271"/>
      <c r="B114" s="1271" t="s">
        <v>1907</v>
      </c>
      <c r="C114" s="1271" t="s">
        <v>3237</v>
      </c>
      <c r="D114" s="1272">
        <v>19900.0</v>
      </c>
      <c r="E114" s="1272">
        <v>19900.0</v>
      </c>
      <c r="F114" s="1272">
        <v>19900.0</v>
      </c>
      <c r="G114" s="1272">
        <v>19900.0</v>
      </c>
      <c r="H114" s="1272">
        <v>19900.0</v>
      </c>
      <c r="I114" s="1272">
        <v>19900.0</v>
      </c>
      <c r="J114" s="1272">
        <v>19900.0</v>
      </c>
      <c r="K114" s="1272">
        <v>19900.0</v>
      </c>
      <c r="L114" s="1272">
        <v>19900.0</v>
      </c>
      <c r="M114" s="1272">
        <v>19900.0</v>
      </c>
      <c r="N114" s="1272">
        <v>19900.0</v>
      </c>
      <c r="O114" s="1272">
        <v>19900.0</v>
      </c>
      <c r="P114" s="1267"/>
      <c r="Q114" s="1209"/>
      <c r="R114" s="1209"/>
      <c r="S114" s="1209"/>
      <c r="T114" s="1209"/>
      <c r="U114" s="1209"/>
      <c r="V114" s="1209"/>
      <c r="W114" s="1209"/>
      <c r="X114" s="1209"/>
      <c r="Y114" s="1209"/>
      <c r="Z114" s="1209"/>
      <c r="AA114" s="1209"/>
      <c r="AB114" s="1209"/>
    </row>
    <row r="115">
      <c r="A115" s="1271"/>
      <c r="B115" s="1271" t="s">
        <v>1907</v>
      </c>
      <c r="C115" s="1271" t="s">
        <v>3481</v>
      </c>
      <c r="D115" s="1272">
        <v>30000.0</v>
      </c>
      <c r="E115" s="1272">
        <v>30000.0</v>
      </c>
      <c r="F115" s="1272">
        <v>30000.0</v>
      </c>
      <c r="G115" s="1272">
        <v>30000.0</v>
      </c>
      <c r="H115" s="1272">
        <v>30000.0</v>
      </c>
      <c r="I115" s="1272">
        <v>30000.0</v>
      </c>
      <c r="J115" s="1272">
        <v>30000.0</v>
      </c>
      <c r="K115" s="1272">
        <v>30000.0</v>
      </c>
      <c r="L115" s="1272">
        <v>30000.0</v>
      </c>
      <c r="M115" s="1272">
        <v>30000.0</v>
      </c>
      <c r="N115" s="1272">
        <v>30000.0</v>
      </c>
      <c r="O115" s="1272">
        <v>30000.0</v>
      </c>
      <c r="P115" s="1267"/>
      <c r="R115" s="1209"/>
      <c r="S115" s="1209"/>
      <c r="T115" s="1209"/>
      <c r="U115" s="1209"/>
      <c r="V115" s="1209"/>
      <c r="W115" s="1209"/>
      <c r="X115" s="1209"/>
      <c r="Y115" s="1209"/>
      <c r="Z115" s="1209"/>
      <c r="AA115" s="1209"/>
      <c r="AB115" s="1209"/>
    </row>
    <row r="116">
      <c r="A116" s="1271"/>
      <c r="B116" s="1271" t="s">
        <v>1907</v>
      </c>
      <c r="C116" s="1271" t="s">
        <v>3238</v>
      </c>
      <c r="D116" s="1272"/>
      <c r="E116" s="1272"/>
      <c r="F116" s="1272"/>
      <c r="G116" s="1272">
        <v>18500.0</v>
      </c>
      <c r="H116" s="1272">
        <v>30000.0</v>
      </c>
      <c r="I116" s="1272">
        <v>79540.0</v>
      </c>
      <c r="J116" s="1272">
        <v>31180.0</v>
      </c>
      <c r="K116" s="1272">
        <v>33470.0</v>
      </c>
      <c r="L116" s="1272">
        <v>0.0</v>
      </c>
      <c r="M116" s="1272">
        <v>44800.0</v>
      </c>
      <c r="N116" s="1272">
        <f t="shared" ref="N116:O116" si="1">30000-N115</f>
        <v>0</v>
      </c>
      <c r="O116" s="1272">
        <f t="shared" si="1"/>
        <v>0</v>
      </c>
      <c r="P116" s="1269">
        <f>SUM(J116:M116)</f>
        <v>109450</v>
      </c>
      <c r="R116" s="1209"/>
      <c r="S116" s="1209"/>
      <c r="T116" s="1209"/>
      <c r="U116" s="1209"/>
      <c r="V116" s="1209"/>
      <c r="W116" s="1209"/>
      <c r="X116" s="1209"/>
      <c r="Y116" s="1209"/>
      <c r="Z116" s="1209"/>
      <c r="AA116" s="1209"/>
      <c r="AB116" s="1209"/>
    </row>
    <row r="117">
      <c r="A117" s="1218"/>
      <c r="B117" s="1218" t="s">
        <v>3490</v>
      </c>
      <c r="C117" s="1218" t="s">
        <v>3491</v>
      </c>
      <c r="D117" s="1265">
        <v>17520.0</v>
      </c>
      <c r="E117" s="1265">
        <v>16990.0</v>
      </c>
      <c r="F117" s="1265">
        <v>18410.0</v>
      </c>
      <c r="G117" s="1267"/>
      <c r="H117" s="1267"/>
      <c r="I117" s="1267"/>
      <c r="J117" s="1267"/>
      <c r="K117" s="1267"/>
      <c r="L117" s="1267"/>
      <c r="M117" s="1267"/>
      <c r="N117" s="1267"/>
      <c r="O117" s="1267"/>
      <c r="P117" s="1267"/>
      <c r="R117" s="1209"/>
      <c r="S117" s="1209"/>
      <c r="T117" s="1209"/>
      <c r="U117" s="1209"/>
      <c r="V117" s="1209"/>
      <c r="W117" s="1209"/>
      <c r="X117" s="1209"/>
      <c r="Y117" s="1209"/>
      <c r="Z117" s="1209"/>
      <c r="AA117" s="1209"/>
      <c r="AB117" s="1209"/>
    </row>
    <row r="118">
      <c r="A118" s="1218"/>
      <c r="B118" s="1218" t="s">
        <v>3490</v>
      </c>
      <c r="C118" s="1218" t="s">
        <v>3492</v>
      </c>
      <c r="D118" s="1265">
        <v>419510.0</v>
      </c>
      <c r="E118" s="1265">
        <v>359190.0</v>
      </c>
      <c r="F118" s="1265">
        <v>299330.0</v>
      </c>
      <c r="G118" s="1267"/>
      <c r="H118" s="1267"/>
      <c r="I118" s="1267"/>
      <c r="J118" s="1267"/>
      <c r="K118" s="1267"/>
      <c r="L118" s="1267"/>
      <c r="M118" s="1267"/>
      <c r="N118" s="1267"/>
      <c r="O118" s="1267"/>
      <c r="P118" s="1267"/>
      <c r="R118" s="1209"/>
      <c r="S118" s="1209"/>
      <c r="T118" s="1209"/>
      <c r="U118" s="1209"/>
      <c r="V118" s="1209"/>
      <c r="W118" s="1209"/>
      <c r="X118" s="1209"/>
      <c r="Y118" s="1209"/>
      <c r="Z118" s="1209"/>
      <c r="AA118" s="1209"/>
      <c r="AB118" s="1209"/>
    </row>
    <row r="119">
      <c r="A119" s="1218"/>
      <c r="B119" s="1218" t="s">
        <v>3490</v>
      </c>
      <c r="C119" s="1218" t="s">
        <v>802</v>
      </c>
      <c r="D119" s="1265">
        <v>55400.0</v>
      </c>
      <c r="E119" s="1265">
        <v>0.0</v>
      </c>
      <c r="F119" s="1265">
        <v>59700.0</v>
      </c>
      <c r="G119" s="1267"/>
      <c r="H119" s="1267"/>
      <c r="I119" s="1267"/>
      <c r="J119" s="1267"/>
      <c r="K119" s="1267"/>
      <c r="L119" s="1267"/>
      <c r="M119" s="1267"/>
      <c r="N119" s="1267"/>
      <c r="O119" s="1267"/>
      <c r="P119" s="1267"/>
      <c r="R119" s="1209"/>
      <c r="S119" s="1209"/>
      <c r="T119" s="1209"/>
      <c r="U119" s="1209"/>
      <c r="V119" s="1209"/>
      <c r="W119" s="1209"/>
      <c r="X119" s="1209"/>
      <c r="Y119" s="1209"/>
      <c r="Z119" s="1209"/>
      <c r="AA119" s="1209"/>
      <c r="AB119" s="1209"/>
    </row>
    <row r="120">
      <c r="A120" s="1218"/>
      <c r="B120" s="1218" t="s">
        <v>3490</v>
      </c>
      <c r="C120" s="1218" t="s">
        <v>3235</v>
      </c>
      <c r="D120" s="1265">
        <v>23100.0</v>
      </c>
      <c r="E120" s="1265">
        <v>23100.0</v>
      </c>
      <c r="F120" s="1265">
        <v>23100.0</v>
      </c>
      <c r="G120" s="1265">
        <v>23100.0</v>
      </c>
      <c r="H120" s="1265">
        <v>23100.0</v>
      </c>
      <c r="I120" s="1265">
        <v>23100.0</v>
      </c>
      <c r="J120" s="1265">
        <v>23100.0</v>
      </c>
      <c r="K120" s="1265">
        <v>23100.0</v>
      </c>
      <c r="L120" s="1265">
        <v>23100.0</v>
      </c>
      <c r="M120" s="1265">
        <v>23100.0</v>
      </c>
      <c r="N120" s="1265">
        <v>23100.0</v>
      </c>
      <c r="O120" s="1265">
        <v>23100.0</v>
      </c>
      <c r="P120" s="1267"/>
      <c r="R120" s="1209"/>
      <c r="S120" s="1209"/>
      <c r="T120" s="1209"/>
      <c r="U120" s="1209"/>
      <c r="V120" s="1209"/>
      <c r="W120" s="1209"/>
      <c r="X120" s="1209"/>
      <c r="Y120" s="1209"/>
      <c r="Z120" s="1209"/>
      <c r="AA120" s="1209"/>
      <c r="AB120" s="1209"/>
    </row>
    <row r="121">
      <c r="A121" s="1218"/>
      <c r="B121" s="1218" t="s">
        <v>3490</v>
      </c>
      <c r="C121" s="1218" t="s">
        <v>3237</v>
      </c>
      <c r="D121" s="1265">
        <v>19900.0</v>
      </c>
      <c r="E121" s="1265">
        <v>19900.0</v>
      </c>
      <c r="F121" s="1265">
        <v>19900.0</v>
      </c>
      <c r="G121" s="1265">
        <v>19900.0</v>
      </c>
      <c r="H121" s="1265">
        <v>19900.0</v>
      </c>
      <c r="I121" s="1265">
        <v>19900.0</v>
      </c>
      <c r="J121" s="1265">
        <v>19900.0</v>
      </c>
      <c r="K121" s="1265">
        <v>19900.0</v>
      </c>
      <c r="L121" s="1265">
        <v>19900.0</v>
      </c>
      <c r="M121" s="1265">
        <v>19900.0</v>
      </c>
      <c r="N121" s="1265">
        <v>19900.0</v>
      </c>
      <c r="O121" s="1265">
        <v>19900.0</v>
      </c>
      <c r="P121" s="1267"/>
      <c r="R121" s="1209"/>
      <c r="S121" s="1209"/>
      <c r="T121" s="1209"/>
      <c r="U121" s="1209"/>
      <c r="V121" s="1209"/>
      <c r="W121" s="1209"/>
      <c r="X121" s="1209"/>
      <c r="Y121" s="1209"/>
      <c r="Z121" s="1209"/>
      <c r="AA121" s="1209"/>
      <c r="AB121" s="1209"/>
    </row>
    <row r="122">
      <c r="A122" s="1218"/>
      <c r="B122" s="1218" t="s">
        <v>3490</v>
      </c>
      <c r="C122" s="1218" t="s">
        <v>3481</v>
      </c>
      <c r="D122" s="1265">
        <v>30000.0</v>
      </c>
      <c r="E122" s="1265">
        <v>30000.0</v>
      </c>
      <c r="F122" s="1265">
        <v>30000.0</v>
      </c>
      <c r="G122" s="1265">
        <v>30000.0</v>
      </c>
      <c r="H122" s="1265">
        <v>30000.0</v>
      </c>
      <c r="I122" s="1265">
        <v>30000.0</v>
      </c>
      <c r="J122" s="1265">
        <v>30000.0</v>
      </c>
      <c r="K122" s="1265">
        <v>30000.0</v>
      </c>
      <c r="L122" s="1265">
        <v>30000.0</v>
      </c>
      <c r="M122" s="1265">
        <v>30000.0</v>
      </c>
      <c r="N122" s="1265">
        <v>30000.0</v>
      </c>
      <c r="O122" s="1265">
        <v>30000.0</v>
      </c>
      <c r="P122" s="1267"/>
      <c r="R122" s="1209"/>
      <c r="S122" s="1209"/>
      <c r="T122" s="1209"/>
      <c r="U122" s="1209"/>
      <c r="V122" s="1209"/>
      <c r="W122" s="1209"/>
      <c r="X122" s="1209"/>
      <c r="Y122" s="1209"/>
      <c r="Z122" s="1209"/>
      <c r="AA122" s="1209"/>
      <c r="AB122" s="1209"/>
    </row>
    <row r="123">
      <c r="A123" s="1218"/>
      <c r="B123" s="1218" t="s">
        <v>3490</v>
      </c>
      <c r="C123" s="1218" t="s">
        <v>3238</v>
      </c>
      <c r="D123" s="1265"/>
      <c r="E123" s="1265">
        <v>59930.0</v>
      </c>
      <c r="F123" s="1265">
        <v>31590.0</v>
      </c>
      <c r="G123" s="1265">
        <v>29200.0</v>
      </c>
      <c r="H123" s="1265">
        <v>30000.0</v>
      </c>
      <c r="I123" s="1265">
        <v>42180.0</v>
      </c>
      <c r="J123" s="1265">
        <v>7400.0</v>
      </c>
      <c r="K123" s="1265">
        <v>32000.0</v>
      </c>
      <c r="L123" s="1265">
        <v>29400.0</v>
      </c>
      <c r="M123" s="1265">
        <v>16590.0</v>
      </c>
      <c r="N123" s="1265"/>
      <c r="O123" s="1265">
        <v>0.0</v>
      </c>
      <c r="P123" s="1269">
        <f>SUM(J123:M123)</f>
        <v>85390</v>
      </c>
      <c r="R123" s="1209"/>
      <c r="S123" s="1209"/>
      <c r="T123" s="1209"/>
      <c r="U123" s="1209"/>
      <c r="V123" s="1209"/>
      <c r="W123" s="1209"/>
      <c r="X123" s="1209"/>
      <c r="Y123" s="1209"/>
      <c r="Z123" s="1209"/>
      <c r="AA123" s="1209"/>
      <c r="AB123" s="1209"/>
    </row>
    <row r="124">
      <c r="A124" s="1271"/>
      <c r="B124" s="1271" t="s">
        <v>3493</v>
      </c>
      <c r="C124" s="1271" t="s">
        <v>3494</v>
      </c>
      <c r="D124" s="1272">
        <v>24750.0</v>
      </c>
      <c r="E124" s="1272">
        <v>25010.0</v>
      </c>
      <c r="F124" s="1272">
        <v>22710.0</v>
      </c>
      <c r="G124" s="1272"/>
      <c r="H124" s="1272"/>
      <c r="I124" s="1272"/>
      <c r="J124" s="1272"/>
      <c r="K124" s="1272"/>
      <c r="L124" s="1272"/>
      <c r="M124" s="1272"/>
      <c r="N124" s="1272"/>
      <c r="O124" s="1272"/>
      <c r="P124" s="1267"/>
      <c r="R124" s="1209"/>
      <c r="S124" s="1209"/>
      <c r="T124" s="1209"/>
      <c r="U124" s="1209"/>
      <c r="V124" s="1209"/>
      <c r="W124" s="1209"/>
      <c r="X124" s="1209"/>
      <c r="Y124" s="1209"/>
      <c r="Z124" s="1209"/>
      <c r="AA124" s="1209"/>
      <c r="AB124" s="1209"/>
    </row>
    <row r="125">
      <c r="A125" s="1271"/>
      <c r="B125" s="1271" t="s">
        <v>3493</v>
      </c>
      <c r="C125" s="1271" t="s">
        <v>3492</v>
      </c>
      <c r="D125" s="1272">
        <v>242700.0</v>
      </c>
      <c r="E125" s="1272">
        <v>242620.0</v>
      </c>
      <c r="F125" s="1272">
        <v>246210.0</v>
      </c>
      <c r="G125" s="1272"/>
      <c r="H125" s="1272"/>
      <c r="I125" s="1272"/>
      <c r="J125" s="1272"/>
      <c r="K125" s="1272"/>
      <c r="L125" s="1272"/>
      <c r="M125" s="1272"/>
      <c r="N125" s="1272"/>
      <c r="O125" s="1272"/>
      <c r="P125" s="1267"/>
      <c r="Q125" s="1209"/>
      <c r="R125" s="1209"/>
      <c r="S125" s="1209"/>
      <c r="T125" s="1209"/>
      <c r="U125" s="1209"/>
      <c r="V125" s="1209"/>
      <c r="W125" s="1209"/>
      <c r="X125" s="1209"/>
      <c r="Y125" s="1209"/>
      <c r="Z125" s="1209"/>
      <c r="AA125" s="1209"/>
      <c r="AB125" s="1209"/>
    </row>
    <row r="126">
      <c r="A126" s="1271"/>
      <c r="B126" s="1271" t="s">
        <v>3493</v>
      </c>
      <c r="C126" s="1271" t="s">
        <v>802</v>
      </c>
      <c r="D126" s="1272" t="s">
        <v>3495</v>
      </c>
      <c r="E126" s="1272">
        <v>31800.0</v>
      </c>
      <c r="F126" s="1272" t="s">
        <v>3495</v>
      </c>
      <c r="G126" s="1272"/>
      <c r="H126" s="1272"/>
      <c r="I126" s="1272"/>
      <c r="J126" s="1272"/>
      <c r="K126" s="1272"/>
      <c r="L126" s="1272"/>
      <c r="M126" s="1272"/>
      <c r="N126" s="1272"/>
      <c r="O126" s="1272"/>
      <c r="P126" s="1267"/>
      <c r="Q126" s="1209"/>
      <c r="R126" s="1209"/>
      <c r="S126" s="1209"/>
      <c r="T126" s="1209"/>
      <c r="U126" s="1209"/>
      <c r="V126" s="1209"/>
      <c r="W126" s="1209"/>
      <c r="X126" s="1209"/>
      <c r="Y126" s="1209"/>
      <c r="Z126" s="1209"/>
      <c r="AA126" s="1209"/>
      <c r="AB126" s="1209"/>
    </row>
    <row r="127">
      <c r="A127" s="1271"/>
      <c r="B127" s="1271" t="s">
        <v>3493</v>
      </c>
      <c r="C127" s="1271" t="s">
        <v>3235</v>
      </c>
      <c r="D127" s="1272">
        <v>33000.0</v>
      </c>
      <c r="E127" s="1272">
        <v>33000.0</v>
      </c>
      <c r="F127" s="1272">
        <v>33000.0</v>
      </c>
      <c r="G127" s="1272">
        <v>33000.0</v>
      </c>
      <c r="H127" s="1272">
        <v>33000.0</v>
      </c>
      <c r="I127" s="1272">
        <v>33000.0</v>
      </c>
      <c r="J127" s="1272">
        <v>33000.0</v>
      </c>
      <c r="K127" s="1272">
        <v>33000.0</v>
      </c>
      <c r="L127" s="1272">
        <v>33000.0</v>
      </c>
      <c r="M127" s="1272">
        <v>33000.0</v>
      </c>
      <c r="N127" s="1272">
        <v>33000.0</v>
      </c>
      <c r="O127" s="1272">
        <v>33000.0</v>
      </c>
      <c r="P127" s="1265"/>
      <c r="Q127" s="1265"/>
      <c r="R127" s="1209"/>
      <c r="S127" s="1209"/>
      <c r="T127" s="1209"/>
      <c r="U127" s="1209"/>
      <c r="V127" s="1209"/>
      <c r="W127" s="1209"/>
      <c r="X127" s="1209"/>
      <c r="Y127" s="1209"/>
      <c r="Z127" s="1209"/>
      <c r="AA127" s="1209"/>
      <c r="AB127" s="1209"/>
    </row>
    <row r="128">
      <c r="A128" s="1271"/>
      <c r="B128" s="1271" t="s">
        <v>3493</v>
      </c>
      <c r="C128" s="1271" t="s">
        <v>3237</v>
      </c>
      <c r="D128" s="1272">
        <v>19900.0</v>
      </c>
      <c r="E128" s="1272">
        <v>19900.0</v>
      </c>
      <c r="F128" s="1272">
        <v>19900.0</v>
      </c>
      <c r="G128" s="1272">
        <v>19900.0</v>
      </c>
      <c r="H128" s="1272">
        <v>19900.0</v>
      </c>
      <c r="I128" s="1272">
        <v>19900.0</v>
      </c>
      <c r="J128" s="1272">
        <v>19900.0</v>
      </c>
      <c r="K128" s="1272">
        <v>19900.0</v>
      </c>
      <c r="L128" s="1272">
        <v>19900.0</v>
      </c>
      <c r="M128" s="1272">
        <v>19900.0</v>
      </c>
      <c r="N128" s="1272">
        <v>19900.0</v>
      </c>
      <c r="O128" s="1272">
        <v>19900.0</v>
      </c>
      <c r="P128" s="1265"/>
      <c r="Q128" s="1265"/>
      <c r="R128" s="1209"/>
      <c r="S128" s="1209"/>
      <c r="T128" s="1209"/>
      <c r="U128" s="1209"/>
      <c r="V128" s="1209"/>
      <c r="W128" s="1209"/>
      <c r="X128" s="1209"/>
      <c r="Y128" s="1209"/>
      <c r="Z128" s="1209"/>
      <c r="AA128" s="1209"/>
      <c r="AB128" s="1209"/>
    </row>
    <row r="129">
      <c r="A129" s="1271"/>
      <c r="B129" s="1271" t="s">
        <v>3493</v>
      </c>
      <c r="C129" s="1271" t="s">
        <v>3481</v>
      </c>
      <c r="D129" s="1272">
        <v>30000.0</v>
      </c>
      <c r="E129" s="1272">
        <v>30000.0</v>
      </c>
      <c r="F129" s="1272">
        <v>30000.0</v>
      </c>
      <c r="G129" s="1272">
        <v>30000.0</v>
      </c>
      <c r="H129" s="1272">
        <v>30000.0</v>
      </c>
      <c r="I129" s="1272">
        <v>30000.0</v>
      </c>
      <c r="J129" s="1272">
        <v>30000.0</v>
      </c>
      <c r="K129" s="1272">
        <v>30000.0</v>
      </c>
      <c r="L129" s="1272">
        <v>30000.0</v>
      </c>
      <c r="M129" s="1272">
        <v>30000.0</v>
      </c>
      <c r="N129" s="1272">
        <v>30000.0</v>
      </c>
      <c r="O129" s="1272">
        <v>30000.0</v>
      </c>
      <c r="P129" s="1267"/>
      <c r="Q129" s="1267"/>
      <c r="R129" s="1209"/>
      <c r="S129" s="1209"/>
      <c r="T129" s="1209"/>
      <c r="U129" s="1209"/>
      <c r="V129" s="1209"/>
      <c r="W129" s="1209"/>
      <c r="X129" s="1209"/>
      <c r="Y129" s="1209"/>
      <c r="Z129" s="1209"/>
      <c r="AA129" s="1209"/>
      <c r="AB129" s="1209"/>
    </row>
    <row r="130">
      <c r="A130" s="1271"/>
      <c r="B130" s="1271" t="s">
        <v>3493</v>
      </c>
      <c r="C130" s="1271" t="s">
        <v>3238</v>
      </c>
      <c r="D130" s="1272"/>
      <c r="E130" s="1272">
        <v>46780.0</v>
      </c>
      <c r="F130" s="1272"/>
      <c r="G130" s="1272"/>
      <c r="H130" s="1272">
        <v>40280.0</v>
      </c>
      <c r="I130" s="1272">
        <v>37400.0</v>
      </c>
      <c r="J130" s="1272">
        <v>16490.0</v>
      </c>
      <c r="K130" s="1272">
        <v>97440.0</v>
      </c>
      <c r="L130" s="1272">
        <v>56350.0</v>
      </c>
      <c r="M130" s="1272">
        <v>33280.0</v>
      </c>
      <c r="N130" s="1272">
        <f>50470-N129</f>
        <v>20470</v>
      </c>
      <c r="O130" s="1272">
        <f>101700-O129</f>
        <v>71700</v>
      </c>
      <c r="P130" s="1269">
        <f>SUM(J130:M130)</f>
        <v>203560</v>
      </c>
      <c r="R130" s="1209"/>
      <c r="S130" s="1209"/>
      <c r="T130" s="1209"/>
      <c r="U130" s="1209"/>
      <c r="V130" s="1209"/>
      <c r="W130" s="1209"/>
      <c r="X130" s="1209"/>
      <c r="Y130" s="1209"/>
      <c r="Z130" s="1209"/>
      <c r="AA130" s="1209"/>
      <c r="AB130" s="1209"/>
    </row>
    <row r="131">
      <c r="A131" s="1218"/>
      <c r="B131" s="1218" t="s">
        <v>3496</v>
      </c>
      <c r="C131" s="1218" t="s">
        <v>3304</v>
      </c>
      <c r="D131" s="1265">
        <v>28160.0</v>
      </c>
      <c r="E131" s="1265">
        <v>26160.0</v>
      </c>
      <c r="F131" s="1267"/>
      <c r="G131" s="1267"/>
      <c r="H131" s="1267"/>
      <c r="I131" s="1267"/>
      <c r="J131" s="1267"/>
      <c r="K131" s="1267"/>
      <c r="L131" s="1267"/>
      <c r="M131" s="1267"/>
      <c r="N131" s="1267"/>
      <c r="O131" s="1267"/>
      <c r="P131" s="1265"/>
      <c r="Q131" s="1218" t="s">
        <v>310</v>
      </c>
      <c r="R131" s="1209"/>
      <c r="S131" s="1209"/>
      <c r="T131" s="1209"/>
      <c r="U131" s="1209"/>
      <c r="V131" s="1209"/>
      <c r="W131" s="1209"/>
      <c r="X131" s="1209"/>
      <c r="Y131" s="1209"/>
      <c r="Z131" s="1209"/>
      <c r="AA131" s="1209"/>
      <c r="AB131" s="1209"/>
    </row>
    <row r="132">
      <c r="A132" s="1218"/>
      <c r="B132" s="1218" t="s">
        <v>3496</v>
      </c>
      <c r="C132" s="1218" t="s">
        <v>3232</v>
      </c>
      <c r="D132" s="1265">
        <v>155850.0</v>
      </c>
      <c r="E132" s="1265">
        <v>227930.0</v>
      </c>
      <c r="F132" s="1267"/>
      <c r="G132" s="1267"/>
      <c r="H132" s="1267"/>
      <c r="I132" s="1267"/>
      <c r="J132" s="1267"/>
      <c r="K132" s="1267"/>
      <c r="L132" s="1267"/>
      <c r="M132" s="1267"/>
      <c r="N132" s="1267"/>
      <c r="O132" s="1267"/>
      <c r="P132" s="1265"/>
      <c r="Q132" s="1218" t="s">
        <v>310</v>
      </c>
      <c r="R132" s="1209"/>
      <c r="S132" s="1209"/>
      <c r="T132" s="1209"/>
      <c r="U132" s="1209"/>
      <c r="V132" s="1209"/>
      <c r="W132" s="1209"/>
      <c r="X132" s="1209"/>
      <c r="Y132" s="1209"/>
      <c r="Z132" s="1209"/>
      <c r="AA132" s="1209"/>
      <c r="AB132" s="1209"/>
    </row>
    <row r="133">
      <c r="A133" s="1218"/>
      <c r="B133" s="1218" t="s">
        <v>3496</v>
      </c>
      <c r="C133" s="1218" t="s">
        <v>802</v>
      </c>
      <c r="D133" s="1265">
        <v>30000.0</v>
      </c>
      <c r="E133" s="1265">
        <v>30000.0</v>
      </c>
      <c r="F133" s="1267"/>
      <c r="G133" s="1267"/>
      <c r="H133" s="1267"/>
      <c r="I133" s="1267"/>
      <c r="J133" s="1267"/>
      <c r="K133" s="1267"/>
      <c r="L133" s="1267"/>
      <c r="M133" s="1267"/>
      <c r="N133" s="1267"/>
      <c r="O133" s="1267"/>
      <c r="P133" s="1265"/>
      <c r="Q133" s="1218" t="s">
        <v>310</v>
      </c>
      <c r="R133" s="1209"/>
      <c r="S133" s="1209"/>
      <c r="T133" s="1209"/>
      <c r="U133" s="1209"/>
      <c r="V133" s="1209"/>
      <c r="W133" s="1209"/>
      <c r="X133" s="1209"/>
      <c r="Y133" s="1209"/>
      <c r="Z133" s="1209"/>
      <c r="AA133" s="1209"/>
      <c r="AB133" s="1209"/>
    </row>
    <row r="134">
      <c r="A134" s="1218"/>
      <c r="B134" s="1218" t="s">
        <v>3496</v>
      </c>
      <c r="C134" s="1218" t="s">
        <v>3235</v>
      </c>
      <c r="D134" s="1265">
        <v>22000.0</v>
      </c>
      <c r="E134" s="1265">
        <v>22000.0</v>
      </c>
      <c r="F134" s="1265">
        <v>22000.0</v>
      </c>
      <c r="G134" s="1265">
        <v>22000.0</v>
      </c>
      <c r="H134" s="1265">
        <v>22000.0</v>
      </c>
      <c r="I134" s="1265">
        <v>22000.0</v>
      </c>
      <c r="J134" s="1265">
        <v>22000.0</v>
      </c>
      <c r="K134" s="1265">
        <v>22000.0</v>
      </c>
      <c r="L134" s="1265">
        <v>22000.0</v>
      </c>
      <c r="M134" s="1265">
        <v>22000.0</v>
      </c>
      <c r="N134" s="1265">
        <v>22000.0</v>
      </c>
      <c r="O134" s="1265">
        <v>22000.0</v>
      </c>
      <c r="P134" s="1265"/>
      <c r="Q134" s="1218" t="s">
        <v>310</v>
      </c>
      <c r="R134" s="1209"/>
      <c r="S134" s="1209"/>
      <c r="T134" s="1209"/>
      <c r="U134" s="1209"/>
      <c r="V134" s="1209"/>
      <c r="W134" s="1209"/>
      <c r="X134" s="1209"/>
      <c r="Y134" s="1209"/>
      <c r="Z134" s="1209"/>
      <c r="AA134" s="1209"/>
      <c r="AB134" s="1209"/>
    </row>
    <row r="135">
      <c r="A135" s="1218"/>
      <c r="B135" s="1218" t="s">
        <v>3496</v>
      </c>
      <c r="C135" s="1218" t="s">
        <v>3237</v>
      </c>
      <c r="D135" s="1265">
        <v>13900.0</v>
      </c>
      <c r="E135" s="1265">
        <v>13900.0</v>
      </c>
      <c r="F135" s="1265">
        <v>13900.0</v>
      </c>
      <c r="G135" s="1265">
        <v>13900.0</v>
      </c>
      <c r="H135" s="1265">
        <v>13900.0</v>
      </c>
      <c r="I135" s="1265">
        <v>13900.0</v>
      </c>
      <c r="J135" s="1265">
        <v>13900.0</v>
      </c>
      <c r="K135" s="1265">
        <v>13900.0</v>
      </c>
      <c r="L135" s="1265">
        <v>13900.0</v>
      </c>
      <c r="M135" s="1265">
        <v>13900.0</v>
      </c>
      <c r="N135" s="1265">
        <v>13900.0</v>
      </c>
      <c r="O135" s="1265">
        <v>13900.0</v>
      </c>
      <c r="P135" s="1265"/>
      <c r="Q135" s="1218" t="s">
        <v>310</v>
      </c>
      <c r="R135" s="1209"/>
      <c r="S135" s="1209"/>
      <c r="T135" s="1209"/>
      <c r="U135" s="1209"/>
      <c r="V135" s="1209"/>
      <c r="W135" s="1209"/>
      <c r="X135" s="1209"/>
      <c r="Y135" s="1209"/>
      <c r="Z135" s="1209"/>
      <c r="AA135" s="1209"/>
      <c r="AB135" s="1209"/>
    </row>
    <row r="136">
      <c r="A136" s="1218"/>
      <c r="B136" s="1218" t="s">
        <v>3496</v>
      </c>
      <c r="C136" s="1218" t="s">
        <v>3481</v>
      </c>
      <c r="D136" s="1265">
        <v>30000.0</v>
      </c>
      <c r="E136" s="1265">
        <v>30000.0</v>
      </c>
      <c r="F136" s="1265">
        <v>30000.0</v>
      </c>
      <c r="G136" s="1265">
        <v>30000.0</v>
      </c>
      <c r="H136" s="1265">
        <v>30000.0</v>
      </c>
      <c r="I136" s="1265">
        <v>30000.0</v>
      </c>
      <c r="J136" s="1265">
        <v>30000.0</v>
      </c>
      <c r="K136" s="1265">
        <v>30000.0</v>
      </c>
      <c r="L136" s="1265">
        <v>30000.0</v>
      </c>
      <c r="M136" s="1265">
        <v>30000.0</v>
      </c>
      <c r="N136" s="1265">
        <v>30000.0</v>
      </c>
      <c r="O136" s="1265">
        <v>30000.0</v>
      </c>
      <c r="P136" s="1265"/>
      <c r="Q136" s="1218" t="s">
        <v>310</v>
      </c>
      <c r="R136" s="1209"/>
      <c r="S136" s="1209"/>
      <c r="T136" s="1209"/>
      <c r="U136" s="1209"/>
      <c r="V136" s="1209"/>
      <c r="W136" s="1209"/>
      <c r="X136" s="1209"/>
      <c r="Y136" s="1209"/>
      <c r="Z136" s="1209"/>
      <c r="AA136" s="1209"/>
      <c r="AB136" s="1209"/>
    </row>
    <row r="137">
      <c r="A137" s="1218"/>
      <c r="B137" s="1218" t="s">
        <v>3496</v>
      </c>
      <c r="C137" s="1218" t="s">
        <v>3238</v>
      </c>
      <c r="D137" s="1265"/>
      <c r="E137" s="1265"/>
      <c r="F137" s="1265"/>
      <c r="G137" s="1265">
        <v>55700.0</v>
      </c>
      <c r="H137" s="1265">
        <v>50290.0</v>
      </c>
      <c r="I137" s="1265">
        <v>40000.0</v>
      </c>
      <c r="J137" s="1265">
        <v>41340.0</v>
      </c>
      <c r="K137" s="1265">
        <v>5000.0</v>
      </c>
      <c r="L137" s="1265"/>
      <c r="M137" s="1265"/>
      <c r="N137" s="1265"/>
      <c r="O137" s="1265">
        <v>0.0</v>
      </c>
      <c r="P137" s="1269">
        <f>SUM(J137:M137)</f>
        <v>46340</v>
      </c>
      <c r="R137" s="1209"/>
      <c r="S137" s="1209"/>
      <c r="T137" s="1209"/>
      <c r="U137" s="1209"/>
      <c r="V137" s="1209"/>
      <c r="W137" s="1209"/>
      <c r="X137" s="1209"/>
      <c r="Y137" s="1209"/>
      <c r="Z137" s="1209"/>
      <c r="AA137" s="1209"/>
      <c r="AB137" s="1209"/>
    </row>
    <row r="138">
      <c r="A138" s="1271"/>
      <c r="B138" s="1271" t="s">
        <v>1404</v>
      </c>
      <c r="C138" s="1271" t="s">
        <v>3304</v>
      </c>
      <c r="D138" s="1272">
        <v>23570.0</v>
      </c>
      <c r="E138" s="1272">
        <v>20850.0</v>
      </c>
      <c r="F138" s="1272"/>
      <c r="G138" s="1272"/>
      <c r="H138" s="1272"/>
      <c r="I138" s="1272"/>
      <c r="J138" s="1272"/>
      <c r="K138" s="1272"/>
      <c r="L138" s="1272"/>
      <c r="M138" s="1272"/>
      <c r="N138" s="1272"/>
      <c r="O138" s="1272"/>
      <c r="P138" s="1265"/>
      <c r="Q138" s="1218" t="s">
        <v>310</v>
      </c>
      <c r="R138" s="1209"/>
      <c r="S138" s="1209"/>
      <c r="T138" s="1209"/>
      <c r="U138" s="1209"/>
      <c r="V138" s="1209"/>
      <c r="W138" s="1209"/>
      <c r="X138" s="1209"/>
      <c r="Y138" s="1209"/>
      <c r="Z138" s="1209"/>
      <c r="AA138" s="1209"/>
      <c r="AB138" s="1209"/>
    </row>
    <row r="139">
      <c r="A139" s="1271"/>
      <c r="B139" s="1271" t="s">
        <v>1404</v>
      </c>
      <c r="C139" s="1271" t="s">
        <v>3232</v>
      </c>
      <c r="D139" s="1272">
        <v>309350.0</v>
      </c>
      <c r="E139" s="1272">
        <v>252029.0</v>
      </c>
      <c r="F139" s="1272"/>
      <c r="G139" s="1272"/>
      <c r="H139" s="1272"/>
      <c r="I139" s="1272"/>
      <c r="J139" s="1272"/>
      <c r="K139" s="1272"/>
      <c r="L139" s="1272"/>
      <c r="M139" s="1272"/>
      <c r="N139" s="1272"/>
      <c r="O139" s="1272"/>
      <c r="P139" s="1265"/>
      <c r="Q139" s="1218" t="s">
        <v>310</v>
      </c>
      <c r="R139" s="1209"/>
      <c r="S139" s="1209"/>
      <c r="T139" s="1209"/>
      <c r="U139" s="1209"/>
      <c r="V139" s="1209"/>
      <c r="W139" s="1209"/>
      <c r="X139" s="1209"/>
      <c r="Y139" s="1209"/>
      <c r="Z139" s="1209"/>
      <c r="AA139" s="1209"/>
      <c r="AB139" s="1209"/>
    </row>
    <row r="140">
      <c r="A140" s="1271"/>
      <c r="B140" s="1271" t="s">
        <v>1404</v>
      </c>
      <c r="C140" s="1271" t="s">
        <v>802</v>
      </c>
      <c r="D140" s="1272">
        <v>42804.0</v>
      </c>
      <c r="E140" s="1272" t="s">
        <v>3495</v>
      </c>
      <c r="F140" s="1272"/>
      <c r="G140" s="1272"/>
      <c r="H140" s="1272"/>
      <c r="I140" s="1272"/>
      <c r="J140" s="1272"/>
      <c r="K140" s="1272"/>
      <c r="L140" s="1272"/>
      <c r="M140" s="1272"/>
      <c r="N140" s="1272"/>
      <c r="O140" s="1272"/>
      <c r="P140" s="1265"/>
      <c r="Q140" s="1218" t="s">
        <v>310</v>
      </c>
      <c r="R140" s="1209"/>
      <c r="S140" s="1209"/>
      <c r="T140" s="1209"/>
      <c r="U140" s="1209"/>
      <c r="V140" s="1209"/>
      <c r="W140" s="1209"/>
      <c r="X140" s="1209"/>
      <c r="Y140" s="1209"/>
      <c r="Z140" s="1209"/>
      <c r="AA140" s="1209"/>
      <c r="AB140" s="1209"/>
    </row>
    <row r="141">
      <c r="A141" s="1271"/>
      <c r="B141" s="1271" t="s">
        <v>1404</v>
      </c>
      <c r="C141" s="1271" t="s">
        <v>3235</v>
      </c>
      <c r="D141" s="1272">
        <v>16500.0</v>
      </c>
      <c r="E141" s="1272">
        <v>16500.0</v>
      </c>
      <c r="F141" s="1272">
        <v>16500.0</v>
      </c>
      <c r="G141" s="1272">
        <v>16500.0</v>
      </c>
      <c r="H141" s="1272">
        <v>16500.0</v>
      </c>
      <c r="I141" s="1272">
        <v>16500.0</v>
      </c>
      <c r="J141" s="1272">
        <v>16500.0</v>
      </c>
      <c r="K141" s="1272">
        <v>16500.0</v>
      </c>
      <c r="L141" s="1272">
        <v>16500.0</v>
      </c>
      <c r="M141" s="1272">
        <v>16500.0</v>
      </c>
      <c r="N141" s="1272">
        <v>16500.0</v>
      </c>
      <c r="O141" s="1272">
        <v>16500.0</v>
      </c>
      <c r="P141" s="1265"/>
      <c r="Q141" s="1218" t="s">
        <v>310</v>
      </c>
      <c r="R141" s="1209"/>
      <c r="S141" s="1209"/>
      <c r="T141" s="1209"/>
      <c r="U141" s="1209"/>
      <c r="V141" s="1209"/>
      <c r="W141" s="1209"/>
      <c r="X141" s="1209"/>
      <c r="Y141" s="1209"/>
      <c r="Z141" s="1209"/>
      <c r="AA141" s="1209"/>
      <c r="AB141" s="1209"/>
    </row>
    <row r="142">
      <c r="A142" s="1271"/>
      <c r="B142" s="1271" t="s">
        <v>1404</v>
      </c>
      <c r="C142" s="1271" t="s">
        <v>3237</v>
      </c>
      <c r="D142" s="1272">
        <v>19900.0</v>
      </c>
      <c r="E142" s="1272">
        <v>19900.0</v>
      </c>
      <c r="F142" s="1272">
        <v>19900.0</v>
      </c>
      <c r="G142" s="1272">
        <v>19900.0</v>
      </c>
      <c r="H142" s="1272">
        <v>19900.0</v>
      </c>
      <c r="I142" s="1272">
        <v>19900.0</v>
      </c>
      <c r="J142" s="1272">
        <v>19900.0</v>
      </c>
      <c r="K142" s="1272">
        <v>19900.0</v>
      </c>
      <c r="L142" s="1272">
        <v>19900.0</v>
      </c>
      <c r="M142" s="1272">
        <v>19900.0</v>
      </c>
      <c r="N142" s="1272">
        <v>19900.0</v>
      </c>
      <c r="O142" s="1272">
        <v>19900.0</v>
      </c>
      <c r="P142" s="1265"/>
      <c r="Q142" s="1218" t="s">
        <v>310</v>
      </c>
      <c r="R142" s="1209"/>
      <c r="S142" s="1209"/>
      <c r="T142" s="1209"/>
      <c r="U142" s="1209"/>
      <c r="V142" s="1209"/>
      <c r="W142" s="1209"/>
      <c r="X142" s="1209"/>
      <c r="Y142" s="1209"/>
      <c r="Z142" s="1209"/>
      <c r="AA142" s="1209"/>
      <c r="AB142" s="1209"/>
    </row>
    <row r="143">
      <c r="A143" s="1271"/>
      <c r="B143" s="1271" t="s">
        <v>1404</v>
      </c>
      <c r="C143" s="1271" t="s">
        <v>3481</v>
      </c>
      <c r="D143" s="1272">
        <v>30000.0</v>
      </c>
      <c r="E143" s="1272">
        <v>30000.0</v>
      </c>
      <c r="F143" s="1272">
        <v>30000.0</v>
      </c>
      <c r="G143" s="1272">
        <v>30000.0</v>
      </c>
      <c r="H143" s="1272">
        <v>30000.0</v>
      </c>
      <c r="I143" s="1272">
        <v>30000.0</v>
      </c>
      <c r="J143" s="1272">
        <v>30000.0</v>
      </c>
      <c r="K143" s="1272">
        <v>30000.0</v>
      </c>
      <c r="L143" s="1272">
        <v>30000.0</v>
      </c>
      <c r="M143" s="1272">
        <v>30000.0</v>
      </c>
      <c r="N143" s="1272">
        <v>30000.0</v>
      </c>
      <c r="O143" s="1272">
        <v>30000.0</v>
      </c>
      <c r="P143" s="1265"/>
      <c r="Q143" s="1218" t="s">
        <v>310</v>
      </c>
      <c r="R143" s="1209"/>
      <c r="S143" s="1209"/>
      <c r="T143" s="1209"/>
      <c r="U143" s="1209"/>
      <c r="V143" s="1209"/>
      <c r="W143" s="1209"/>
      <c r="X143" s="1209"/>
      <c r="Y143" s="1209"/>
      <c r="Z143" s="1209"/>
      <c r="AA143" s="1209"/>
      <c r="AB143" s="1209"/>
    </row>
    <row r="144">
      <c r="A144" s="1271"/>
      <c r="B144" s="1271" t="s">
        <v>1404</v>
      </c>
      <c r="C144" s="1271" t="s">
        <v>3238</v>
      </c>
      <c r="D144" s="1272"/>
      <c r="E144" s="1272"/>
      <c r="F144" s="1272"/>
      <c r="G144" s="1272">
        <v>36980.0</v>
      </c>
      <c r="H144" s="1272">
        <v>30000.0</v>
      </c>
      <c r="I144" s="1272">
        <v>51890.0</v>
      </c>
      <c r="J144" s="1272">
        <v>0.0</v>
      </c>
      <c r="K144" s="1272">
        <v>3800.0</v>
      </c>
      <c r="L144" s="1272">
        <v>0.0</v>
      </c>
      <c r="M144" s="1272">
        <v>0.0</v>
      </c>
      <c r="N144" s="1272">
        <f>80000-N143</f>
        <v>50000</v>
      </c>
      <c r="O144" s="1272">
        <f>77740-O143</f>
        <v>47740</v>
      </c>
      <c r="P144" s="1269">
        <f>SUM(J144:M144)</f>
        <v>3800</v>
      </c>
      <c r="Q144" s="1269">
        <f>SUM(J144:M144)</f>
        <v>3800</v>
      </c>
      <c r="R144" s="1209"/>
      <c r="S144" s="1209"/>
      <c r="T144" s="1209"/>
      <c r="U144" s="1209"/>
      <c r="V144" s="1209"/>
      <c r="W144" s="1209"/>
      <c r="X144" s="1209"/>
      <c r="Y144" s="1209"/>
      <c r="Z144" s="1209"/>
      <c r="AA144" s="1209"/>
      <c r="AB144" s="1209"/>
    </row>
    <row r="145">
      <c r="A145" s="1218"/>
      <c r="B145" s="1218" t="s">
        <v>1614</v>
      </c>
      <c r="C145" s="1218" t="s">
        <v>1018</v>
      </c>
      <c r="D145" s="1265">
        <v>10000.0</v>
      </c>
      <c r="E145" s="1265">
        <v>10000.0</v>
      </c>
      <c r="F145" s="1265">
        <v>10000.0</v>
      </c>
      <c r="G145" s="1265">
        <v>10000.0</v>
      </c>
      <c r="H145" s="1265">
        <v>10000.0</v>
      </c>
      <c r="I145" s="1265">
        <v>10000.0</v>
      </c>
      <c r="J145" s="1265">
        <v>10000.0</v>
      </c>
      <c r="K145" s="1265">
        <v>10000.0</v>
      </c>
      <c r="L145" s="1265">
        <v>10000.0</v>
      </c>
      <c r="M145" s="1265">
        <v>10000.0</v>
      </c>
      <c r="N145" s="1265">
        <v>10000.0</v>
      </c>
      <c r="O145" s="1265">
        <v>10000.0</v>
      </c>
      <c r="P145" s="1267"/>
      <c r="Q145" s="1209"/>
      <c r="R145" s="1209"/>
      <c r="S145" s="1209"/>
      <c r="T145" s="1209"/>
      <c r="U145" s="1209"/>
      <c r="V145" s="1209"/>
      <c r="W145" s="1209"/>
      <c r="X145" s="1209"/>
      <c r="Y145" s="1209"/>
      <c r="Z145" s="1209"/>
      <c r="AA145" s="1209"/>
      <c r="AB145" s="1209"/>
    </row>
    <row r="146">
      <c r="A146" s="1218"/>
      <c r="B146" s="1218" t="s">
        <v>1614</v>
      </c>
      <c r="C146" s="1218" t="s">
        <v>3304</v>
      </c>
      <c r="D146" s="1265">
        <v>47000.0</v>
      </c>
      <c r="E146" s="1265">
        <v>61000.0</v>
      </c>
      <c r="F146" s="1265">
        <v>43000.0</v>
      </c>
      <c r="G146" s="1265"/>
      <c r="H146" s="1267"/>
      <c r="I146" s="1265"/>
      <c r="J146" s="1267"/>
      <c r="K146" s="1267"/>
      <c r="L146" s="1267"/>
      <c r="M146" s="1267"/>
      <c r="N146" s="1267"/>
      <c r="O146" s="1267"/>
      <c r="P146" s="1267"/>
      <c r="Q146" s="1209"/>
      <c r="R146" s="1209"/>
      <c r="S146" s="1209"/>
      <c r="T146" s="1209"/>
      <c r="U146" s="1209"/>
      <c r="V146" s="1209"/>
      <c r="W146" s="1209"/>
      <c r="X146" s="1209"/>
      <c r="Y146" s="1209"/>
      <c r="Z146" s="1209"/>
      <c r="AA146" s="1209"/>
      <c r="AB146" s="1209"/>
    </row>
    <row r="147">
      <c r="A147" s="1218"/>
      <c r="B147" s="1218" t="s">
        <v>1614</v>
      </c>
      <c r="C147" s="1218" t="s">
        <v>3232</v>
      </c>
      <c r="D147" s="1265">
        <v>188000.0</v>
      </c>
      <c r="E147" s="1265">
        <v>161500.0</v>
      </c>
      <c r="F147" s="1265">
        <v>166000.0</v>
      </c>
      <c r="G147" s="1265"/>
      <c r="H147" s="1267"/>
      <c r="I147" s="1265"/>
      <c r="J147" s="1267"/>
      <c r="K147" s="1267"/>
      <c r="L147" s="1267"/>
      <c r="M147" s="1267"/>
      <c r="N147" s="1267"/>
      <c r="O147" s="1267"/>
      <c r="P147" s="1267"/>
      <c r="Q147" s="1209"/>
      <c r="R147" s="1209"/>
      <c r="S147" s="1209"/>
      <c r="T147" s="1209"/>
      <c r="U147" s="1209"/>
      <c r="V147" s="1209"/>
      <c r="W147" s="1209"/>
      <c r="X147" s="1209"/>
      <c r="Y147" s="1209"/>
      <c r="Z147" s="1209"/>
      <c r="AA147" s="1209"/>
      <c r="AB147" s="1209"/>
    </row>
    <row r="148">
      <c r="A148" s="1218"/>
      <c r="B148" s="1218" t="s">
        <v>1614</v>
      </c>
      <c r="C148" s="1218" t="s">
        <v>802</v>
      </c>
      <c r="D148" s="1265">
        <v>22000.0</v>
      </c>
      <c r="E148" s="1265">
        <v>22000.0</v>
      </c>
      <c r="F148" s="1265">
        <v>22000.0</v>
      </c>
      <c r="G148" s="1267"/>
      <c r="H148" s="1267"/>
      <c r="I148" s="1267"/>
      <c r="J148" s="1267"/>
      <c r="K148" s="1267"/>
      <c r="L148" s="1267"/>
      <c r="M148" s="1267"/>
      <c r="N148" s="1267"/>
      <c r="O148" s="1267"/>
      <c r="P148" s="1267"/>
      <c r="Q148" s="1209"/>
      <c r="R148" s="1209"/>
      <c r="S148" s="1218" t="s">
        <v>802</v>
      </c>
      <c r="T148" s="1218" t="s">
        <v>3443</v>
      </c>
      <c r="U148" s="1209"/>
      <c r="V148" s="1209"/>
      <c r="W148" s="1209"/>
      <c r="X148" s="1209"/>
      <c r="Y148" s="1209"/>
      <c r="Z148" s="1209"/>
      <c r="AA148" s="1209"/>
      <c r="AB148" s="1209"/>
    </row>
    <row r="149">
      <c r="A149" s="1218"/>
      <c r="B149" s="1218" t="s">
        <v>1614</v>
      </c>
      <c r="C149" s="1218" t="s">
        <v>3235</v>
      </c>
      <c r="D149" s="1265">
        <v>30000.0</v>
      </c>
      <c r="E149" s="1265">
        <v>30000.0</v>
      </c>
      <c r="F149" s="1265">
        <v>30000.0</v>
      </c>
      <c r="G149" s="1265">
        <v>30000.0</v>
      </c>
      <c r="H149" s="1265">
        <v>30000.0</v>
      </c>
      <c r="I149" s="1265">
        <v>30000.0</v>
      </c>
      <c r="J149" s="1265">
        <v>30000.0</v>
      </c>
      <c r="K149" s="1265">
        <v>30000.0</v>
      </c>
      <c r="L149" s="1265">
        <v>30000.0</v>
      </c>
      <c r="M149" s="1265">
        <v>30000.0</v>
      </c>
      <c r="N149" s="1265">
        <v>30000.0</v>
      </c>
      <c r="O149" s="1265">
        <v>30000.0</v>
      </c>
      <c r="P149" s="1267"/>
      <c r="Q149" s="1209"/>
      <c r="R149" s="1209"/>
      <c r="S149" s="1209"/>
      <c r="T149" s="1209"/>
      <c r="U149" s="1209"/>
      <c r="V149" s="1209"/>
      <c r="W149" s="1209"/>
      <c r="X149" s="1209"/>
      <c r="Y149" s="1209"/>
      <c r="Z149" s="1209"/>
      <c r="AA149" s="1209"/>
      <c r="AB149" s="1209"/>
    </row>
    <row r="150">
      <c r="A150" s="1218"/>
      <c r="B150" s="1218" t="s">
        <v>1614</v>
      </c>
      <c r="C150" s="1218" t="s">
        <v>3237</v>
      </c>
      <c r="D150" s="1265">
        <v>20000.0</v>
      </c>
      <c r="E150" s="1265">
        <v>20000.0</v>
      </c>
      <c r="F150" s="1265">
        <v>20000.0</v>
      </c>
      <c r="G150" s="1265">
        <v>20000.0</v>
      </c>
      <c r="H150" s="1265">
        <v>20000.0</v>
      </c>
      <c r="I150" s="1265">
        <v>20000.0</v>
      </c>
      <c r="J150" s="1265">
        <v>20000.0</v>
      </c>
      <c r="K150" s="1265">
        <v>20000.0</v>
      </c>
      <c r="L150" s="1265">
        <v>20000.0</v>
      </c>
      <c r="M150" s="1265">
        <v>20000.0</v>
      </c>
      <c r="N150" s="1265">
        <v>20000.0</v>
      </c>
      <c r="O150" s="1265">
        <v>20000.0</v>
      </c>
      <c r="P150" s="1267"/>
      <c r="Q150" s="1209"/>
      <c r="R150" s="1209"/>
      <c r="S150" s="1209"/>
      <c r="T150" s="1209"/>
      <c r="U150" s="1209"/>
      <c r="V150" s="1209"/>
      <c r="W150" s="1209"/>
      <c r="X150" s="1209"/>
      <c r="Y150" s="1209"/>
      <c r="Z150" s="1209"/>
      <c r="AA150" s="1209"/>
      <c r="AB150" s="1209"/>
    </row>
    <row r="151">
      <c r="A151" s="1218"/>
      <c r="B151" s="1218" t="s">
        <v>1614</v>
      </c>
      <c r="C151" s="1218" t="s">
        <v>3481</v>
      </c>
      <c r="D151" s="1265">
        <v>30000.0</v>
      </c>
      <c r="E151" s="1265">
        <v>30000.0</v>
      </c>
      <c r="F151" s="1265">
        <v>30000.0</v>
      </c>
      <c r="G151" s="1265">
        <v>30000.0</v>
      </c>
      <c r="H151" s="1265">
        <v>30000.0</v>
      </c>
      <c r="I151" s="1265">
        <v>30000.0</v>
      </c>
      <c r="J151" s="1265">
        <v>30000.0</v>
      </c>
      <c r="K151" s="1265">
        <v>30000.0</v>
      </c>
      <c r="L151" s="1265">
        <v>30000.0</v>
      </c>
      <c r="M151" s="1265">
        <v>30000.0</v>
      </c>
      <c r="N151" s="1265">
        <v>30000.0</v>
      </c>
      <c r="O151" s="1265">
        <v>30000.0</v>
      </c>
      <c r="P151" s="1267"/>
      <c r="Q151" s="1209"/>
      <c r="R151" s="1209"/>
      <c r="S151" s="1209"/>
      <c r="T151" s="1209"/>
      <c r="U151" s="1209"/>
      <c r="V151" s="1209"/>
      <c r="W151" s="1209"/>
      <c r="X151" s="1209"/>
      <c r="Y151" s="1209"/>
      <c r="Z151" s="1209"/>
      <c r="AA151" s="1209"/>
      <c r="AB151" s="1209"/>
    </row>
    <row r="152">
      <c r="A152" s="1218"/>
      <c r="B152" s="1218" t="s">
        <v>1614</v>
      </c>
      <c r="C152" s="1218" t="s">
        <v>3238</v>
      </c>
      <c r="D152" s="1265"/>
      <c r="G152" s="1265"/>
      <c r="H152" s="1265">
        <v>95250.0</v>
      </c>
      <c r="I152" s="1265">
        <v>55000.0</v>
      </c>
      <c r="J152" s="1265">
        <v>15900.0</v>
      </c>
      <c r="K152" s="1265">
        <v>73190.0</v>
      </c>
      <c r="L152" s="1265">
        <v>209800.0</v>
      </c>
      <c r="M152" s="1265">
        <v>54440.0</v>
      </c>
      <c r="N152" s="1265">
        <f>74980-N151</f>
        <v>44980</v>
      </c>
      <c r="O152" s="1265">
        <f>70000-O151</f>
        <v>40000</v>
      </c>
      <c r="P152" s="1269">
        <f>SUM(J152:M152)</f>
        <v>353330</v>
      </c>
      <c r="Q152" s="1268"/>
      <c r="R152" s="1209"/>
      <c r="S152" s="1209"/>
      <c r="T152" s="1209"/>
      <c r="U152" s="1209"/>
      <c r="V152" s="1209"/>
      <c r="W152" s="1209"/>
      <c r="X152" s="1209"/>
      <c r="Y152" s="1209"/>
      <c r="Z152" s="1209"/>
      <c r="AA152" s="1209"/>
      <c r="AB152" s="1209"/>
    </row>
    <row r="153">
      <c r="A153" s="1271"/>
      <c r="B153" s="1271" t="s">
        <v>3497</v>
      </c>
      <c r="C153" s="1271" t="s">
        <v>3304</v>
      </c>
      <c r="D153" s="1272">
        <v>55390.0</v>
      </c>
      <c r="E153" s="1272">
        <v>52510.0</v>
      </c>
      <c r="F153" s="1272">
        <v>44750.0</v>
      </c>
      <c r="G153" s="1272"/>
      <c r="H153" s="1272"/>
      <c r="I153" s="1272"/>
      <c r="J153" s="1272"/>
      <c r="K153" s="1272"/>
      <c r="L153" s="1272"/>
      <c r="M153" s="1272"/>
      <c r="N153" s="1272"/>
      <c r="O153" s="1272"/>
      <c r="P153" s="1267"/>
      <c r="Q153" s="1209"/>
      <c r="R153" s="1209"/>
      <c r="S153" s="1209"/>
      <c r="T153" s="1209"/>
      <c r="U153" s="1209"/>
      <c r="V153" s="1209"/>
      <c r="W153" s="1209"/>
      <c r="X153" s="1209"/>
      <c r="Y153" s="1209"/>
      <c r="Z153" s="1209"/>
      <c r="AA153" s="1209"/>
      <c r="AB153" s="1209"/>
    </row>
    <row r="154">
      <c r="A154" s="1271"/>
      <c r="B154" s="1271" t="s">
        <v>3497</v>
      </c>
      <c r="C154" s="1271" t="s">
        <v>3232</v>
      </c>
      <c r="D154" s="1272">
        <v>188360.0</v>
      </c>
      <c r="E154" s="1272">
        <v>206840.0</v>
      </c>
      <c r="F154" s="1272">
        <v>189530.0</v>
      </c>
      <c r="G154" s="1272"/>
      <c r="H154" s="1272"/>
      <c r="I154" s="1272"/>
      <c r="J154" s="1272"/>
      <c r="K154" s="1272"/>
      <c r="L154" s="1272"/>
      <c r="M154" s="1272"/>
      <c r="N154" s="1272"/>
      <c r="O154" s="1272"/>
      <c r="P154" s="1267"/>
      <c r="Q154" s="1209"/>
      <c r="R154" s="1209"/>
      <c r="S154" s="1209"/>
      <c r="T154" s="1209"/>
      <c r="U154" s="1209"/>
      <c r="V154" s="1209"/>
      <c r="W154" s="1209"/>
      <c r="X154" s="1209"/>
      <c r="Y154" s="1209"/>
      <c r="Z154" s="1209"/>
      <c r="AA154" s="1209"/>
      <c r="AB154" s="1209"/>
    </row>
    <row r="155">
      <c r="A155" s="1271"/>
      <c r="B155" s="1271" t="s">
        <v>3497</v>
      </c>
      <c r="C155" s="1271" t="s">
        <v>802</v>
      </c>
      <c r="D155" s="1272" t="s">
        <v>3495</v>
      </c>
      <c r="E155" s="1272">
        <v>65255.0</v>
      </c>
      <c r="F155" s="1272" t="s">
        <v>3495</v>
      </c>
      <c r="G155" s="1272"/>
      <c r="H155" s="1272"/>
      <c r="I155" s="1272"/>
      <c r="J155" s="1272"/>
      <c r="K155" s="1272"/>
      <c r="L155" s="1272"/>
      <c r="M155" s="1272"/>
      <c r="N155" s="1272"/>
      <c r="O155" s="1272"/>
      <c r="P155" s="1267"/>
      <c r="Q155" s="1209"/>
      <c r="R155" s="1209"/>
      <c r="S155" s="1218" t="s">
        <v>802</v>
      </c>
      <c r="T155" s="1218" t="s">
        <v>3443</v>
      </c>
      <c r="U155" s="1209"/>
      <c r="V155" s="1209"/>
      <c r="W155" s="1209"/>
      <c r="X155" s="1209"/>
      <c r="Y155" s="1209"/>
      <c r="Z155" s="1209"/>
      <c r="AA155" s="1209"/>
      <c r="AB155" s="1209"/>
    </row>
    <row r="156">
      <c r="A156" s="1271"/>
      <c r="B156" s="1271" t="s">
        <v>3497</v>
      </c>
      <c r="C156" s="1271" t="s">
        <v>3235</v>
      </c>
      <c r="D156" s="1272">
        <v>34000.0</v>
      </c>
      <c r="E156" s="1272">
        <v>34000.0</v>
      </c>
      <c r="F156" s="1272">
        <v>34000.0</v>
      </c>
      <c r="G156" s="1272">
        <v>34000.0</v>
      </c>
      <c r="H156" s="1272">
        <v>34000.0</v>
      </c>
      <c r="I156" s="1272">
        <v>34000.0</v>
      </c>
      <c r="J156" s="1272">
        <v>34000.0</v>
      </c>
      <c r="K156" s="1272">
        <v>34000.0</v>
      </c>
      <c r="L156" s="1272">
        <v>34000.0</v>
      </c>
      <c r="M156" s="1272">
        <v>34000.0</v>
      </c>
      <c r="N156" s="1272">
        <v>34000.0</v>
      </c>
      <c r="O156" s="1272">
        <v>34000.0</v>
      </c>
      <c r="P156" s="1267"/>
      <c r="Q156" s="1209"/>
      <c r="R156" s="1209"/>
      <c r="S156" s="1209"/>
      <c r="T156" s="1209"/>
      <c r="U156" s="1209"/>
      <c r="V156" s="1209"/>
      <c r="W156" s="1209"/>
      <c r="X156" s="1209"/>
      <c r="Y156" s="1209"/>
      <c r="Z156" s="1209"/>
      <c r="AA156" s="1209"/>
      <c r="AB156" s="1209"/>
    </row>
    <row r="157">
      <c r="A157" s="1271"/>
      <c r="B157" s="1271" t="s">
        <v>3497</v>
      </c>
      <c r="C157" s="1271" t="s">
        <v>3237</v>
      </c>
      <c r="D157" s="1272">
        <v>15900.0</v>
      </c>
      <c r="E157" s="1272">
        <v>15900.0</v>
      </c>
      <c r="F157" s="1272">
        <v>15900.0</v>
      </c>
      <c r="G157" s="1272">
        <v>15900.0</v>
      </c>
      <c r="H157" s="1272">
        <v>15900.0</v>
      </c>
      <c r="I157" s="1272">
        <v>15900.0</v>
      </c>
      <c r="J157" s="1272">
        <v>15900.0</v>
      </c>
      <c r="K157" s="1272">
        <v>15900.0</v>
      </c>
      <c r="L157" s="1272">
        <v>15900.0</v>
      </c>
      <c r="M157" s="1272">
        <v>15900.0</v>
      </c>
      <c r="N157" s="1272">
        <v>15900.0</v>
      </c>
      <c r="O157" s="1272">
        <v>15900.0</v>
      </c>
      <c r="P157" s="1267"/>
      <c r="Q157" s="1209"/>
      <c r="R157" s="1209"/>
      <c r="S157" s="1209"/>
      <c r="T157" s="1209"/>
      <c r="U157" s="1209"/>
      <c r="V157" s="1209"/>
      <c r="W157" s="1209"/>
      <c r="X157" s="1209"/>
      <c r="Y157" s="1209"/>
      <c r="Z157" s="1209"/>
      <c r="AA157" s="1209"/>
      <c r="AB157" s="1209"/>
    </row>
    <row r="158">
      <c r="A158" s="1271"/>
      <c r="B158" s="1271" t="s">
        <v>3497</v>
      </c>
      <c r="C158" s="1271" t="s">
        <v>3481</v>
      </c>
      <c r="D158" s="1272">
        <v>30000.0</v>
      </c>
      <c r="E158" s="1272">
        <v>30000.0</v>
      </c>
      <c r="F158" s="1272">
        <v>30000.0</v>
      </c>
      <c r="G158" s="1272">
        <v>30000.0</v>
      </c>
      <c r="H158" s="1272">
        <v>30000.0</v>
      </c>
      <c r="I158" s="1272">
        <v>30000.0</v>
      </c>
      <c r="J158" s="1272">
        <v>30000.0</v>
      </c>
      <c r="K158" s="1272">
        <v>30000.0</v>
      </c>
      <c r="L158" s="1272">
        <v>30000.0</v>
      </c>
      <c r="M158" s="1272">
        <v>30000.0</v>
      </c>
      <c r="N158" s="1272">
        <v>30000.0</v>
      </c>
      <c r="O158" s="1272">
        <v>30000.0</v>
      </c>
      <c r="P158" s="1267"/>
      <c r="Q158" s="1209"/>
      <c r="R158" s="1209"/>
      <c r="S158" s="1209"/>
      <c r="T158" s="1209"/>
      <c r="U158" s="1209"/>
      <c r="V158" s="1209"/>
      <c r="W158" s="1209"/>
      <c r="X158" s="1209"/>
      <c r="Y158" s="1209"/>
      <c r="Z158" s="1209"/>
      <c r="AA158" s="1209"/>
      <c r="AB158" s="1209"/>
    </row>
    <row r="159">
      <c r="A159" s="1271"/>
      <c r="B159" s="1271" t="s">
        <v>3497</v>
      </c>
      <c r="C159" s="1271" t="s">
        <v>3238</v>
      </c>
      <c r="D159" s="1272"/>
      <c r="E159" s="1272"/>
      <c r="F159" s="1272"/>
      <c r="G159" s="1272">
        <v>10300.0</v>
      </c>
      <c r="H159" s="1272">
        <v>131880.0</v>
      </c>
      <c r="I159" s="1272">
        <v>113420.0</v>
      </c>
      <c r="J159" s="1272">
        <v>56250.0</v>
      </c>
      <c r="K159" s="1272">
        <v>60200.0</v>
      </c>
      <c r="L159" s="1272">
        <v>323990.0</v>
      </c>
      <c r="M159" s="1272">
        <v>124060.0</v>
      </c>
      <c r="N159" s="1272">
        <f>63860-N158</f>
        <v>33860</v>
      </c>
      <c r="O159" s="1272">
        <f>102690-O158</f>
        <v>72690</v>
      </c>
      <c r="P159" s="1269">
        <f>SUM(J159:M159)</f>
        <v>564500</v>
      </c>
      <c r="Q159" s="1268"/>
      <c r="R159" s="1209"/>
      <c r="S159" s="1209"/>
      <c r="T159" s="1209"/>
      <c r="U159" s="1209"/>
      <c r="V159" s="1209"/>
      <c r="W159" s="1209"/>
      <c r="X159" s="1209"/>
      <c r="Y159" s="1209"/>
      <c r="Z159" s="1209"/>
      <c r="AA159" s="1209"/>
      <c r="AB159" s="1209"/>
    </row>
    <row r="160">
      <c r="A160" s="1218"/>
      <c r="B160" s="1218" t="s">
        <v>3498</v>
      </c>
      <c r="C160" s="846" t="s">
        <v>3499</v>
      </c>
      <c r="D160" s="1265">
        <v>134000.0</v>
      </c>
      <c r="E160" s="1265">
        <v>143000.0</v>
      </c>
      <c r="F160" s="1265">
        <v>112000.0</v>
      </c>
      <c r="G160" s="1265"/>
      <c r="H160" s="1267"/>
      <c r="I160" s="1265"/>
      <c r="J160" s="1267"/>
      <c r="K160" s="1265"/>
      <c r="L160" s="1267"/>
      <c r="M160" s="1267"/>
      <c r="N160" s="1267"/>
      <c r="O160" s="1267"/>
      <c r="P160" s="1267"/>
      <c r="Q160" s="1209"/>
      <c r="R160" s="1209"/>
      <c r="S160" s="1209"/>
      <c r="T160" s="1209"/>
      <c r="U160" s="1209"/>
      <c r="V160" s="1209"/>
      <c r="W160" s="1209"/>
      <c r="X160" s="1209"/>
      <c r="Y160" s="1209"/>
      <c r="Z160" s="1209"/>
      <c r="AA160" s="1209"/>
      <c r="AB160" s="1209"/>
    </row>
    <row r="161">
      <c r="A161" s="1218"/>
      <c r="B161" s="1218" t="s">
        <v>3498</v>
      </c>
      <c r="C161" s="1218" t="s">
        <v>3304</v>
      </c>
      <c r="D161" s="1265" t="s">
        <v>680</v>
      </c>
      <c r="E161" s="1265" t="s">
        <v>680</v>
      </c>
      <c r="F161" s="1265" t="s">
        <v>680</v>
      </c>
      <c r="G161" s="1265"/>
      <c r="H161" s="1267"/>
      <c r="I161" s="1265"/>
      <c r="J161" s="1267"/>
      <c r="K161" s="1265"/>
      <c r="L161" s="1267"/>
      <c r="M161" s="1267"/>
      <c r="N161" s="1267"/>
      <c r="O161" s="1267"/>
      <c r="P161" s="1267"/>
      <c r="Q161" s="1209"/>
      <c r="R161" s="1209"/>
      <c r="S161" s="1209"/>
      <c r="T161" s="1209"/>
      <c r="U161" s="1209"/>
      <c r="V161" s="1209"/>
      <c r="W161" s="1209"/>
      <c r="X161" s="1209"/>
      <c r="Y161" s="1209"/>
      <c r="Z161" s="1209"/>
      <c r="AA161" s="1209"/>
      <c r="AB161" s="1209"/>
    </row>
    <row r="162">
      <c r="A162" s="1218"/>
      <c r="B162" s="1218" t="s">
        <v>3498</v>
      </c>
      <c r="C162" s="1218" t="s">
        <v>3232</v>
      </c>
      <c r="D162" s="1265">
        <v>66000.0</v>
      </c>
      <c r="E162" s="1265">
        <v>58000.0</v>
      </c>
      <c r="F162" s="1265">
        <v>83000.0</v>
      </c>
      <c r="G162" s="1267"/>
      <c r="H162" s="1267"/>
      <c r="I162" s="1267"/>
      <c r="J162" s="1265"/>
      <c r="K162" s="1267"/>
      <c r="L162" s="1267"/>
      <c r="M162" s="1267"/>
      <c r="N162" s="1267"/>
      <c r="O162" s="1267"/>
      <c r="P162" s="1267"/>
      <c r="Q162" s="1209"/>
      <c r="R162" s="1209"/>
      <c r="S162" s="1209"/>
      <c r="T162" s="1209"/>
      <c r="U162" s="1209"/>
      <c r="V162" s="1209"/>
      <c r="W162" s="1209"/>
      <c r="X162" s="1209"/>
      <c r="Y162" s="1209"/>
      <c r="Z162" s="1209"/>
      <c r="AA162" s="1209"/>
      <c r="AB162" s="1209"/>
    </row>
    <row r="163">
      <c r="A163" s="1218"/>
      <c r="B163" s="1218" t="s">
        <v>3498</v>
      </c>
      <c r="C163" s="1218" t="s">
        <v>802</v>
      </c>
      <c r="D163" s="1265" t="s">
        <v>680</v>
      </c>
      <c r="E163" s="1265" t="s">
        <v>680</v>
      </c>
      <c r="F163" s="1265" t="s">
        <v>680</v>
      </c>
      <c r="G163" s="1267"/>
      <c r="H163" s="1267"/>
      <c r="I163" s="1267"/>
      <c r="J163" s="1265"/>
      <c r="K163" s="1267"/>
      <c r="L163" s="1267"/>
      <c r="M163" s="1267"/>
      <c r="N163" s="1267"/>
      <c r="O163" s="1267"/>
      <c r="P163" s="1267"/>
      <c r="Q163" s="1209"/>
      <c r="R163" s="1209"/>
      <c r="S163" s="1209"/>
      <c r="T163" s="1209"/>
      <c r="U163" s="1209"/>
      <c r="V163" s="1209"/>
      <c r="W163" s="1209"/>
      <c r="X163" s="1209"/>
      <c r="Y163" s="1209"/>
      <c r="Z163" s="1209"/>
      <c r="AA163" s="1209"/>
      <c r="AB163" s="1209"/>
    </row>
    <row r="164">
      <c r="A164" s="1218"/>
      <c r="B164" s="1218" t="s">
        <v>3498</v>
      </c>
      <c r="C164" s="1218" t="s">
        <v>3235</v>
      </c>
      <c r="D164" s="1265">
        <v>30000.0</v>
      </c>
      <c r="E164" s="1265">
        <v>30000.0</v>
      </c>
      <c r="F164" s="1265">
        <v>30000.0</v>
      </c>
      <c r="G164" s="1265">
        <v>30000.0</v>
      </c>
      <c r="H164" s="1265">
        <v>30000.0</v>
      </c>
      <c r="I164" s="1265">
        <v>30000.0</v>
      </c>
      <c r="J164" s="1265">
        <v>30000.0</v>
      </c>
      <c r="K164" s="1265">
        <v>30000.0</v>
      </c>
      <c r="L164" s="1265">
        <v>30000.0</v>
      </c>
      <c r="M164" s="1265">
        <v>30000.0</v>
      </c>
      <c r="N164" s="1265">
        <v>30000.0</v>
      </c>
      <c r="O164" s="1265">
        <v>30000.0</v>
      </c>
      <c r="P164" s="1267"/>
      <c r="Q164" s="1209"/>
      <c r="R164" s="1209"/>
      <c r="S164" s="1209"/>
      <c r="T164" s="1209"/>
      <c r="U164" s="1209"/>
      <c r="V164" s="1209"/>
      <c r="W164" s="1209"/>
      <c r="X164" s="1209"/>
      <c r="Y164" s="1209"/>
      <c r="Z164" s="1209"/>
      <c r="AA164" s="1209"/>
      <c r="AB164" s="1209"/>
    </row>
    <row r="165">
      <c r="A165" s="1218"/>
      <c r="B165" s="1218" t="s">
        <v>3498</v>
      </c>
      <c r="C165" s="1218" t="s">
        <v>3237</v>
      </c>
      <c r="D165" s="1265">
        <v>20000.0</v>
      </c>
      <c r="E165" s="1265">
        <v>20000.0</v>
      </c>
      <c r="F165" s="1265">
        <v>20000.0</v>
      </c>
      <c r="G165" s="1265">
        <v>20000.0</v>
      </c>
      <c r="H165" s="1265">
        <v>20000.0</v>
      </c>
      <c r="I165" s="1265">
        <v>20000.0</v>
      </c>
      <c r="J165" s="1265">
        <v>20000.0</v>
      </c>
      <c r="K165" s="1265">
        <v>20000.0</v>
      </c>
      <c r="L165" s="1265">
        <v>20000.0</v>
      </c>
      <c r="M165" s="1265">
        <v>20000.0</v>
      </c>
      <c r="N165" s="1265">
        <v>20000.0</v>
      </c>
      <c r="O165" s="1265">
        <v>20000.0</v>
      </c>
      <c r="P165" s="1267"/>
      <c r="Q165" s="1209"/>
      <c r="R165" s="1209"/>
      <c r="S165" s="1209"/>
      <c r="T165" s="1209"/>
      <c r="U165" s="1209"/>
      <c r="V165" s="1209"/>
      <c r="W165" s="1209"/>
      <c r="X165" s="1209"/>
      <c r="Y165" s="1209"/>
      <c r="Z165" s="1209"/>
      <c r="AA165" s="1209"/>
      <c r="AB165" s="1209"/>
    </row>
    <row r="166">
      <c r="A166" s="1218"/>
      <c r="B166" s="1218" t="s">
        <v>3498</v>
      </c>
      <c r="C166" s="1218" t="s">
        <v>3481</v>
      </c>
      <c r="D166" s="1265">
        <v>30000.0</v>
      </c>
      <c r="E166" s="1265">
        <v>30000.0</v>
      </c>
      <c r="F166" s="1265">
        <v>30000.0</v>
      </c>
      <c r="G166" s="1265">
        <v>30000.0</v>
      </c>
      <c r="H166" s="1265">
        <v>30000.0</v>
      </c>
      <c r="I166" s="1265">
        <v>30000.0</v>
      </c>
      <c r="J166" s="1265">
        <v>30000.0</v>
      </c>
      <c r="K166" s="1265">
        <v>30000.0</v>
      </c>
      <c r="L166" s="1265">
        <v>30000.0</v>
      </c>
      <c r="M166" s="1265">
        <v>30000.0</v>
      </c>
      <c r="N166" s="1265">
        <v>30000.0</v>
      </c>
      <c r="O166" s="1265">
        <v>30000.0</v>
      </c>
      <c r="P166" s="1267"/>
      <c r="Q166" s="1209"/>
      <c r="R166" s="1209"/>
      <c r="S166" s="1209"/>
      <c r="T166" s="1209"/>
      <c r="U166" s="1209"/>
      <c r="V166" s="1209"/>
      <c r="W166" s="1209"/>
      <c r="X166" s="1209"/>
      <c r="Y166" s="1209"/>
      <c r="Z166" s="1209"/>
      <c r="AA166" s="1209"/>
      <c r="AB166" s="1209"/>
    </row>
    <row r="167">
      <c r="A167" s="1218"/>
      <c r="B167" s="1218" t="s">
        <v>3498</v>
      </c>
      <c r="C167" s="1218" t="s">
        <v>3238</v>
      </c>
      <c r="D167" s="1265"/>
      <c r="E167" s="1267"/>
      <c r="F167" s="1265"/>
      <c r="G167" s="1265">
        <v>24690.0</v>
      </c>
      <c r="H167" s="1265">
        <v>92780.0</v>
      </c>
      <c r="I167" s="1265">
        <v>124930.0</v>
      </c>
      <c r="J167" s="1265">
        <v>11490.0</v>
      </c>
      <c r="K167" s="1265">
        <v>6800.0</v>
      </c>
      <c r="L167" s="1265">
        <v>4900.0</v>
      </c>
      <c r="M167" s="1267"/>
      <c r="N167" s="1267"/>
      <c r="O167" s="1265">
        <f>55000-O166</f>
        <v>25000</v>
      </c>
      <c r="P167" s="1269">
        <f>SUM(J167:M167)</f>
        <v>23190</v>
      </c>
      <c r="Q167" s="1268"/>
      <c r="R167" s="1209"/>
      <c r="S167" s="1209"/>
      <c r="T167" s="1209"/>
      <c r="U167" s="1209"/>
      <c r="V167" s="1209"/>
      <c r="W167" s="1209"/>
      <c r="X167" s="1209"/>
      <c r="Y167" s="1209"/>
      <c r="Z167" s="1209"/>
      <c r="AA167" s="1209"/>
      <c r="AB167" s="1209"/>
    </row>
    <row r="168">
      <c r="A168" s="1271"/>
      <c r="B168" s="1271" t="s">
        <v>1297</v>
      </c>
      <c r="C168" s="1271" t="s">
        <v>3500</v>
      </c>
      <c r="D168" s="1272">
        <v>100000.0</v>
      </c>
      <c r="E168" s="1272">
        <v>100000.0</v>
      </c>
      <c r="F168" s="1272">
        <v>100000.0</v>
      </c>
      <c r="G168" s="1272">
        <v>100000.0</v>
      </c>
      <c r="H168" s="1272">
        <v>100000.0</v>
      </c>
      <c r="I168" s="1272">
        <v>100000.0</v>
      </c>
      <c r="J168" s="1272">
        <v>100000.0</v>
      </c>
      <c r="K168" s="1272">
        <v>100000.0</v>
      </c>
      <c r="L168" s="1272">
        <v>100000.0</v>
      </c>
      <c r="M168" s="1272">
        <v>100000.0</v>
      </c>
      <c r="N168" s="1272">
        <v>100000.0</v>
      </c>
      <c r="O168" s="1272">
        <v>100000.0</v>
      </c>
      <c r="P168" s="1267"/>
      <c r="Q168" s="1209"/>
      <c r="R168" s="1209"/>
      <c r="S168" s="1209"/>
      <c r="T168" s="1209"/>
      <c r="U168" s="1209"/>
      <c r="V168" s="1209"/>
      <c r="W168" s="1209"/>
      <c r="X168" s="1209"/>
      <c r="Y168" s="1209"/>
      <c r="Z168" s="1209"/>
      <c r="AA168" s="1209"/>
      <c r="AB168" s="1209"/>
    </row>
    <row r="169">
      <c r="A169" s="1271"/>
      <c r="B169" s="1271" t="s">
        <v>1297</v>
      </c>
      <c r="C169" s="1271" t="s">
        <v>3304</v>
      </c>
      <c r="D169" s="1272">
        <v>139160.0</v>
      </c>
      <c r="E169" s="1272">
        <v>129620.0</v>
      </c>
      <c r="F169" s="1272">
        <v>88310.0</v>
      </c>
      <c r="G169" s="1272"/>
      <c r="H169" s="1272"/>
      <c r="I169" s="1272"/>
      <c r="J169" s="1272"/>
      <c r="K169" s="1272"/>
      <c r="L169" s="1272"/>
      <c r="M169" s="1272"/>
      <c r="N169" s="1272"/>
      <c r="O169" s="1272"/>
      <c r="P169" s="1267"/>
      <c r="Q169" s="1209"/>
      <c r="R169" s="1209"/>
      <c r="S169" s="1209"/>
      <c r="T169" s="1209"/>
      <c r="U169" s="1209"/>
      <c r="V169" s="1209"/>
      <c r="W169" s="1209"/>
      <c r="X169" s="1209"/>
      <c r="Y169" s="1209"/>
      <c r="Z169" s="1209"/>
      <c r="AA169" s="1209"/>
      <c r="AB169" s="1209"/>
    </row>
    <row r="170">
      <c r="A170" s="1271"/>
      <c r="B170" s="1271" t="s">
        <v>1297</v>
      </c>
      <c r="C170" s="1271" t="s">
        <v>3232</v>
      </c>
      <c r="D170" s="1272">
        <v>581410.0</v>
      </c>
      <c r="E170" s="1272">
        <v>701310.0</v>
      </c>
      <c r="F170" s="1272">
        <v>413210.0</v>
      </c>
      <c r="G170" s="1272"/>
      <c r="H170" s="1272"/>
      <c r="I170" s="1272"/>
      <c r="J170" s="1272"/>
      <c r="K170" s="1272"/>
      <c r="L170" s="1272"/>
      <c r="M170" s="1272"/>
      <c r="N170" s="1272"/>
      <c r="O170" s="1272"/>
      <c r="P170" s="1267"/>
      <c r="Q170" s="1209"/>
      <c r="R170" s="1209"/>
      <c r="S170" s="1209"/>
      <c r="T170" s="1209"/>
      <c r="U170" s="1209"/>
      <c r="V170" s="1209"/>
      <c r="W170" s="1209"/>
      <c r="X170" s="1209"/>
      <c r="Y170" s="1209"/>
      <c r="Z170" s="1209"/>
      <c r="AA170" s="1209"/>
      <c r="AB170" s="1209"/>
    </row>
    <row r="171">
      <c r="A171" s="1271"/>
      <c r="B171" s="1271" t="s">
        <v>1297</v>
      </c>
      <c r="C171" s="1271" t="s">
        <v>3235</v>
      </c>
      <c r="D171" s="1272">
        <v>22000.0</v>
      </c>
      <c r="E171" s="1272">
        <v>22000.0</v>
      </c>
      <c r="F171" s="1272">
        <v>22000.0</v>
      </c>
      <c r="G171" s="1272">
        <v>22000.0</v>
      </c>
      <c r="H171" s="1272">
        <v>22000.0</v>
      </c>
      <c r="I171" s="1272">
        <v>22000.0</v>
      </c>
      <c r="J171" s="1272">
        <v>22000.0</v>
      </c>
      <c r="K171" s="1272">
        <v>22000.0</v>
      </c>
      <c r="L171" s="1272">
        <v>22000.0</v>
      </c>
      <c r="M171" s="1272">
        <v>22000.0</v>
      </c>
      <c r="N171" s="1272">
        <v>22000.0</v>
      </c>
      <c r="O171" s="1272">
        <v>22000.0</v>
      </c>
      <c r="P171" s="1267"/>
      <c r="Q171" s="1209"/>
      <c r="R171" s="1209"/>
      <c r="S171" s="1209"/>
      <c r="T171" s="1209"/>
      <c r="U171" s="1209"/>
      <c r="V171" s="1209"/>
      <c r="W171" s="1209"/>
      <c r="X171" s="1209"/>
      <c r="Y171" s="1209"/>
      <c r="Z171" s="1209"/>
      <c r="AA171" s="1209"/>
      <c r="AB171" s="1209"/>
    </row>
    <row r="172">
      <c r="A172" s="1271"/>
      <c r="B172" s="1271" t="s">
        <v>1297</v>
      </c>
      <c r="C172" s="1271" t="s">
        <v>3237</v>
      </c>
      <c r="D172" s="1272">
        <v>19900.0</v>
      </c>
      <c r="E172" s="1272">
        <v>19900.0</v>
      </c>
      <c r="F172" s="1272">
        <v>19900.0</v>
      </c>
      <c r="G172" s="1272">
        <v>19900.0</v>
      </c>
      <c r="H172" s="1272">
        <v>19900.0</v>
      </c>
      <c r="I172" s="1272">
        <v>19900.0</v>
      </c>
      <c r="J172" s="1272">
        <v>19900.0</v>
      </c>
      <c r="K172" s="1272">
        <v>19900.0</v>
      </c>
      <c r="L172" s="1272">
        <v>19900.0</v>
      </c>
      <c r="M172" s="1272">
        <v>19900.0</v>
      </c>
      <c r="N172" s="1272">
        <v>19900.0</v>
      </c>
      <c r="O172" s="1272">
        <v>19900.0</v>
      </c>
      <c r="P172" s="1267"/>
      <c r="Q172" s="1209"/>
      <c r="R172" s="1209"/>
      <c r="S172" s="1209"/>
      <c r="T172" s="1209"/>
      <c r="U172" s="1209"/>
      <c r="V172" s="1209"/>
      <c r="W172" s="1209"/>
      <c r="X172" s="1209"/>
      <c r="Y172" s="1209"/>
      <c r="Z172" s="1209"/>
      <c r="AA172" s="1209"/>
      <c r="AB172" s="1209"/>
    </row>
    <row r="173">
      <c r="A173" s="1271"/>
      <c r="B173" s="1271" t="s">
        <v>1297</v>
      </c>
      <c r="C173" s="1271" t="s">
        <v>3481</v>
      </c>
      <c r="D173" s="1272">
        <v>100000.0</v>
      </c>
      <c r="E173" s="1272">
        <v>100000.0</v>
      </c>
      <c r="F173" s="1272">
        <v>100000.0</v>
      </c>
      <c r="G173" s="1272">
        <v>100000.0</v>
      </c>
      <c r="H173" s="1272">
        <v>100000.0</v>
      </c>
      <c r="I173" s="1272">
        <v>100000.0</v>
      </c>
      <c r="J173" s="1272">
        <v>100000.0</v>
      </c>
      <c r="K173" s="1272">
        <v>100000.0</v>
      </c>
      <c r="L173" s="1272">
        <v>100000.0</v>
      </c>
      <c r="M173" s="1272">
        <v>100000.0</v>
      </c>
      <c r="N173" s="1272">
        <v>100000.0</v>
      </c>
      <c r="O173" s="1272">
        <v>100000.0</v>
      </c>
      <c r="P173" s="1267"/>
      <c r="Q173" s="1209"/>
      <c r="R173" s="1209"/>
      <c r="S173" s="1209"/>
      <c r="T173" s="1209"/>
      <c r="U173" s="1209"/>
      <c r="V173" s="1209"/>
      <c r="W173" s="1209"/>
      <c r="X173" s="1209"/>
      <c r="Y173" s="1209"/>
      <c r="Z173" s="1209"/>
      <c r="AA173" s="1209"/>
      <c r="AB173" s="1209"/>
    </row>
    <row r="174">
      <c r="A174" s="1271"/>
      <c r="B174" s="1271" t="s">
        <v>1297</v>
      </c>
      <c r="C174" s="1271" t="s">
        <v>3238</v>
      </c>
      <c r="D174" s="1272">
        <v>28980.0</v>
      </c>
      <c r="E174" s="1272"/>
      <c r="F174" s="1272"/>
      <c r="G174" s="1272">
        <v>40110.0</v>
      </c>
      <c r="H174" s="1272">
        <v>346545.0</v>
      </c>
      <c r="I174" s="1272">
        <v>288990.0</v>
      </c>
      <c r="J174" s="1272">
        <v>47280.0</v>
      </c>
      <c r="K174" s="1272">
        <v>77510.0</v>
      </c>
      <c r="L174" s="1272">
        <v>29240.0</v>
      </c>
      <c r="M174" s="1272">
        <v>50280.0</v>
      </c>
      <c r="N174" s="1272">
        <f>355320-N173</f>
        <v>255320</v>
      </c>
      <c r="O174" s="1272">
        <f>169660-O173</f>
        <v>69660</v>
      </c>
      <c r="P174" s="1269">
        <f>SUM(J174:M174)</f>
        <v>204310</v>
      </c>
      <c r="R174" s="1209"/>
      <c r="S174" s="1209"/>
      <c r="T174" s="1209"/>
      <c r="U174" s="1209"/>
      <c r="V174" s="1209"/>
      <c r="W174" s="1209"/>
      <c r="X174" s="1209"/>
      <c r="Y174" s="1209"/>
      <c r="Z174" s="1209"/>
      <c r="AA174" s="1209"/>
      <c r="AB174" s="1209"/>
    </row>
    <row r="175">
      <c r="A175" s="1218"/>
      <c r="B175" s="1218" t="s">
        <v>1322</v>
      </c>
      <c r="C175" s="846" t="s">
        <v>3500</v>
      </c>
      <c r="D175" s="1265">
        <v>100000.0</v>
      </c>
      <c r="E175" s="1265">
        <v>100000.0</v>
      </c>
      <c r="F175" s="1265">
        <v>100000.0</v>
      </c>
      <c r="G175" s="1265">
        <v>100000.0</v>
      </c>
      <c r="H175" s="1265">
        <v>100000.0</v>
      </c>
      <c r="I175" s="1265">
        <v>100000.0</v>
      </c>
      <c r="J175" s="1265">
        <v>100000.0</v>
      </c>
      <c r="K175" s="1265">
        <v>100000.0</v>
      </c>
      <c r="L175" s="1265">
        <v>100000.0</v>
      </c>
      <c r="M175" s="1265">
        <v>100000.0</v>
      </c>
      <c r="N175" s="1265">
        <v>100000.0</v>
      </c>
      <c r="O175" s="1265">
        <v>100000.0</v>
      </c>
      <c r="P175" s="1267"/>
      <c r="R175" s="1209"/>
      <c r="S175" s="1209"/>
      <c r="T175" s="1209"/>
      <c r="U175" s="1209"/>
      <c r="V175" s="1209"/>
      <c r="W175" s="1209"/>
      <c r="X175" s="1209"/>
      <c r="Y175" s="1209"/>
      <c r="Z175" s="1209"/>
      <c r="AA175" s="1209"/>
      <c r="AB175" s="1209"/>
    </row>
    <row r="176">
      <c r="A176" s="1218"/>
      <c r="B176" s="1218" t="s">
        <v>1322</v>
      </c>
      <c r="C176" s="1218" t="s">
        <v>3304</v>
      </c>
      <c r="D176" s="1265">
        <v>79760.0</v>
      </c>
      <c r="E176" s="1265">
        <v>79900.0</v>
      </c>
      <c r="F176" s="1265">
        <v>59400.0</v>
      </c>
      <c r="G176" s="1265"/>
      <c r="H176" s="1267"/>
      <c r="J176" s="1267"/>
      <c r="K176" s="1267"/>
      <c r="L176" s="1267"/>
      <c r="M176" s="1267"/>
      <c r="N176" s="1267"/>
      <c r="O176" s="1267"/>
      <c r="P176" s="1267"/>
      <c r="R176" s="1209"/>
      <c r="S176" s="1209"/>
      <c r="T176" s="1209"/>
      <c r="U176" s="1209"/>
      <c r="V176" s="1209"/>
      <c r="W176" s="1209"/>
      <c r="X176" s="1209"/>
      <c r="Y176" s="1209"/>
      <c r="Z176" s="1209"/>
      <c r="AA176" s="1209"/>
      <c r="AB176" s="1209"/>
    </row>
    <row r="177">
      <c r="A177" s="1218"/>
      <c r="B177" s="1218" t="s">
        <v>1322</v>
      </c>
      <c r="C177" s="1218" t="s">
        <v>3232</v>
      </c>
      <c r="D177" s="1265">
        <v>583210.0</v>
      </c>
      <c r="E177" s="1265">
        <v>565690.0</v>
      </c>
      <c r="F177" s="1265">
        <v>348340.0</v>
      </c>
      <c r="G177" s="1265"/>
      <c r="H177" s="1267"/>
      <c r="J177" s="1267"/>
      <c r="K177" s="1267"/>
      <c r="L177" s="1267"/>
      <c r="M177" s="1267"/>
      <c r="N177" s="1267"/>
      <c r="O177" s="1267"/>
      <c r="P177" s="1267"/>
      <c r="R177" s="1209"/>
      <c r="S177" s="1209"/>
      <c r="T177" s="1209"/>
      <c r="U177" s="1209"/>
      <c r="V177" s="1209"/>
      <c r="W177" s="1209"/>
      <c r="X177" s="1209"/>
      <c r="Y177" s="1209"/>
      <c r="Z177" s="1209"/>
      <c r="AA177" s="1209"/>
      <c r="AB177" s="1209"/>
    </row>
    <row r="178">
      <c r="A178" s="1218"/>
      <c r="B178" s="1218" t="s">
        <v>1322</v>
      </c>
      <c r="C178" s="1218" t="s">
        <v>3235</v>
      </c>
      <c r="D178" s="1265">
        <v>22000.0</v>
      </c>
      <c r="E178" s="1265">
        <v>22000.0</v>
      </c>
      <c r="F178" s="1265">
        <v>22000.0</v>
      </c>
      <c r="G178" s="1265">
        <v>22000.0</v>
      </c>
      <c r="H178" s="1265">
        <v>22000.0</v>
      </c>
      <c r="I178" s="1265">
        <v>22000.0</v>
      </c>
      <c r="J178" s="1265">
        <v>22000.0</v>
      </c>
      <c r="K178" s="1265">
        <v>22000.0</v>
      </c>
      <c r="L178" s="1265">
        <v>22000.0</v>
      </c>
      <c r="M178" s="1265">
        <v>22000.0</v>
      </c>
      <c r="N178" s="1265">
        <v>22000.0</v>
      </c>
      <c r="O178" s="1265">
        <v>22000.0</v>
      </c>
      <c r="P178" s="1267"/>
      <c r="R178" s="1209"/>
      <c r="S178" s="1209"/>
      <c r="T178" s="1209"/>
      <c r="U178" s="1209"/>
      <c r="V178" s="1209"/>
      <c r="W178" s="1209"/>
      <c r="X178" s="1209"/>
      <c r="Y178" s="1209"/>
      <c r="Z178" s="1209"/>
      <c r="AA178" s="1209"/>
      <c r="AB178" s="1209"/>
    </row>
    <row r="179">
      <c r="A179" s="1218"/>
      <c r="B179" s="1218" t="s">
        <v>1322</v>
      </c>
      <c r="C179" s="1218" t="s">
        <v>3237</v>
      </c>
      <c r="D179" s="1265">
        <v>19900.0</v>
      </c>
      <c r="E179" s="1265">
        <v>19900.0</v>
      </c>
      <c r="F179" s="1265">
        <v>19900.0</v>
      </c>
      <c r="G179" s="1265">
        <v>19900.0</v>
      </c>
      <c r="H179" s="1265">
        <v>19900.0</v>
      </c>
      <c r="I179" s="1265">
        <v>19900.0</v>
      </c>
      <c r="J179" s="1265">
        <v>19900.0</v>
      </c>
      <c r="K179" s="1265">
        <v>19900.0</v>
      </c>
      <c r="L179" s="1265">
        <v>19900.0</v>
      </c>
      <c r="M179" s="1265">
        <v>19900.0</v>
      </c>
      <c r="N179" s="1265">
        <v>19900.0</v>
      </c>
      <c r="O179" s="1265">
        <v>19900.0</v>
      </c>
      <c r="P179" s="1267"/>
      <c r="R179" s="1209"/>
      <c r="S179" s="1209"/>
      <c r="T179" s="1209"/>
      <c r="U179" s="1209"/>
      <c r="V179" s="1209"/>
      <c r="W179" s="1209"/>
      <c r="X179" s="1209"/>
      <c r="Y179" s="1209"/>
      <c r="Z179" s="1209"/>
      <c r="AA179" s="1209"/>
      <c r="AB179" s="1209"/>
    </row>
    <row r="180">
      <c r="A180" s="1218"/>
      <c r="B180" s="1218" t="s">
        <v>1322</v>
      </c>
      <c r="C180" s="1218" t="s">
        <v>3481</v>
      </c>
      <c r="D180" s="1265">
        <v>100000.0</v>
      </c>
      <c r="E180" s="1265">
        <v>100000.0</v>
      </c>
      <c r="F180" s="1265">
        <v>100000.0</v>
      </c>
      <c r="G180" s="1265">
        <v>100000.0</v>
      </c>
      <c r="H180" s="1265">
        <v>100000.0</v>
      </c>
      <c r="I180" s="1265">
        <v>100000.0</v>
      </c>
      <c r="J180" s="1265">
        <v>100000.0</v>
      </c>
      <c r="K180" s="1265">
        <v>100000.0</v>
      </c>
      <c r="L180" s="1265">
        <v>100000.0</v>
      </c>
      <c r="M180" s="1265">
        <v>100000.0</v>
      </c>
      <c r="N180" s="1265">
        <v>100000.0</v>
      </c>
      <c r="O180" s="1265">
        <v>100000.0</v>
      </c>
      <c r="P180" s="1267"/>
      <c r="R180" s="1209"/>
      <c r="S180" s="1209"/>
      <c r="T180" s="1209"/>
      <c r="U180" s="1209"/>
      <c r="V180" s="1209"/>
      <c r="W180" s="1209"/>
      <c r="X180" s="1209"/>
      <c r="Y180" s="1209"/>
      <c r="Z180" s="1209"/>
      <c r="AA180" s="1209"/>
      <c r="AB180" s="1209"/>
    </row>
    <row r="181">
      <c r="A181" s="1218"/>
      <c r="B181" s="1218" t="s">
        <v>1322</v>
      </c>
      <c r="C181" s="1218" t="s">
        <v>3238</v>
      </c>
      <c r="D181" s="1265"/>
      <c r="E181" s="1267"/>
      <c r="F181" s="1265"/>
      <c r="G181" s="1267"/>
      <c r="H181" s="1265">
        <v>155890.0</v>
      </c>
      <c r="I181" s="1265">
        <v>140000.0</v>
      </c>
      <c r="J181" s="1265">
        <v>25790.0</v>
      </c>
      <c r="K181" s="1265">
        <v>250000.0</v>
      </c>
      <c r="L181" s="1265">
        <v>18900.0</v>
      </c>
      <c r="M181" s="1265">
        <v>49760.0</v>
      </c>
      <c r="N181" s="1265">
        <f>165550-N180</f>
        <v>65550</v>
      </c>
      <c r="O181" s="1265">
        <f>192250-O180</f>
        <v>92250</v>
      </c>
      <c r="P181" s="1269">
        <f>SUM(J181:M181)</f>
        <v>344450</v>
      </c>
      <c r="R181" s="1209"/>
      <c r="S181" s="1209"/>
      <c r="T181" s="1209"/>
      <c r="U181" s="1209"/>
      <c r="V181" s="1209"/>
      <c r="W181" s="1209"/>
      <c r="X181" s="1209"/>
      <c r="Y181" s="1209"/>
      <c r="Z181" s="1209"/>
      <c r="AA181" s="1209"/>
      <c r="AB181" s="1209"/>
    </row>
    <row r="182">
      <c r="A182" s="1271"/>
      <c r="B182" s="1271" t="s">
        <v>1471</v>
      </c>
      <c r="C182" s="1271" t="s">
        <v>3304</v>
      </c>
      <c r="D182" s="1272">
        <v>40730.0</v>
      </c>
      <c r="E182" s="1272">
        <v>40010.0</v>
      </c>
      <c r="F182" s="1272">
        <v>32920.0</v>
      </c>
      <c r="G182" s="1272"/>
      <c r="H182" s="1272"/>
      <c r="I182" s="1272"/>
      <c r="J182" s="1272"/>
      <c r="K182" s="1272"/>
      <c r="L182" s="1272"/>
      <c r="M182" s="1272"/>
      <c r="N182" s="1272"/>
      <c r="O182" s="1272"/>
      <c r="P182" s="1265"/>
      <c r="Q182" s="1218" t="s">
        <v>3501</v>
      </c>
      <c r="R182" s="1209"/>
      <c r="S182" s="1209"/>
      <c r="T182" s="1209"/>
      <c r="U182" s="1209"/>
      <c r="V182" s="1209"/>
      <c r="W182" s="1209"/>
      <c r="X182" s="1209"/>
      <c r="Y182" s="1209"/>
      <c r="Z182" s="1209"/>
      <c r="AA182" s="1209"/>
      <c r="AB182" s="1209"/>
    </row>
    <row r="183">
      <c r="A183" s="1271"/>
      <c r="B183" s="1271" t="s">
        <v>1471</v>
      </c>
      <c r="C183" s="1271" t="s">
        <v>3232</v>
      </c>
      <c r="D183" s="1272">
        <v>461190.0</v>
      </c>
      <c r="E183" s="1272">
        <v>422060.0</v>
      </c>
      <c r="F183" s="1272">
        <v>282010.0</v>
      </c>
      <c r="G183" s="1272">
        <v>150640.0</v>
      </c>
      <c r="H183" s="1272">
        <v>83660.0</v>
      </c>
      <c r="I183" s="1272">
        <v>35480.0</v>
      </c>
      <c r="J183" s="1272">
        <v>28430.0</v>
      </c>
      <c r="K183" s="1272">
        <v>17920.0</v>
      </c>
      <c r="L183" s="1272">
        <v>14990.0</v>
      </c>
      <c r="M183" s="1272">
        <v>23630.0</v>
      </c>
      <c r="N183" s="1272">
        <v>108400.0</v>
      </c>
      <c r="O183" s="1272">
        <v>288250.0</v>
      </c>
      <c r="P183" s="1265"/>
      <c r="Q183" s="1218" t="s">
        <v>3502</v>
      </c>
      <c r="R183" s="1218" t="s">
        <v>3437</v>
      </c>
      <c r="S183" s="1218">
        <v>1.016722158E9</v>
      </c>
      <c r="T183" s="1218" t="s">
        <v>3503</v>
      </c>
      <c r="U183" s="1209"/>
      <c r="V183" s="1209"/>
      <c r="W183" s="1209"/>
      <c r="X183" s="1209"/>
      <c r="Y183" s="1209"/>
      <c r="Z183" s="1209"/>
      <c r="AA183" s="1209"/>
      <c r="AB183" s="1209"/>
    </row>
    <row r="184">
      <c r="A184" s="1271"/>
      <c r="B184" s="1271" t="s">
        <v>1471</v>
      </c>
      <c r="C184" s="1271" t="s">
        <v>802</v>
      </c>
      <c r="D184" s="1272">
        <v>33910.0</v>
      </c>
      <c r="E184" s="1272"/>
      <c r="F184" s="1272">
        <v>12710.0</v>
      </c>
      <c r="G184" s="1272"/>
      <c r="H184" s="1272"/>
      <c r="I184" s="1272"/>
      <c r="J184" s="1272"/>
      <c r="K184" s="1272"/>
      <c r="L184" s="1272"/>
      <c r="M184" s="1272"/>
      <c r="N184" s="1272"/>
      <c r="O184" s="1272"/>
      <c r="P184" s="1267"/>
      <c r="Q184" s="1209"/>
      <c r="R184" s="1209"/>
      <c r="S184" s="1209"/>
      <c r="T184" s="1209"/>
      <c r="U184" s="1209"/>
      <c r="V184" s="1209"/>
      <c r="W184" s="1209"/>
      <c r="X184" s="1209"/>
      <c r="Y184" s="1209"/>
      <c r="Z184" s="1209"/>
      <c r="AA184" s="1209"/>
      <c r="AB184" s="1209"/>
    </row>
    <row r="185">
      <c r="A185" s="1271"/>
      <c r="B185" s="1271" t="s">
        <v>1471</v>
      </c>
      <c r="C185" s="1271" t="s">
        <v>3235</v>
      </c>
      <c r="D185" s="1272">
        <v>22869.0</v>
      </c>
      <c r="E185" s="1272">
        <v>22869.0</v>
      </c>
      <c r="F185" s="1272">
        <v>22869.0</v>
      </c>
      <c r="G185" s="1272">
        <v>22869.0</v>
      </c>
      <c r="H185" s="1272">
        <v>22869.0</v>
      </c>
      <c r="I185" s="1272">
        <v>22869.0</v>
      </c>
      <c r="J185" s="1272">
        <v>22869.0</v>
      </c>
      <c r="K185" s="1272">
        <v>22869.0</v>
      </c>
      <c r="L185" s="1272">
        <v>22869.0</v>
      </c>
      <c r="M185" s="1272">
        <v>22869.0</v>
      </c>
      <c r="N185" s="1272">
        <v>22869.0</v>
      </c>
      <c r="O185" s="1272">
        <v>22869.0</v>
      </c>
      <c r="P185" s="1267"/>
      <c r="Q185" s="1209"/>
      <c r="R185" s="1209"/>
      <c r="S185" s="1209"/>
      <c r="T185" s="1209"/>
      <c r="U185" s="1209"/>
      <c r="V185" s="1209"/>
      <c r="W185" s="1209"/>
      <c r="X185" s="1209"/>
      <c r="Y185" s="1209"/>
      <c r="Z185" s="1209"/>
      <c r="AA185" s="1209"/>
      <c r="AB185" s="1209"/>
    </row>
    <row r="186">
      <c r="A186" s="1271"/>
      <c r="B186" s="1271" t="s">
        <v>1471</v>
      </c>
      <c r="C186" s="1271" t="s">
        <v>3237</v>
      </c>
      <c r="D186" s="1272">
        <v>19900.0</v>
      </c>
      <c r="E186" s="1272">
        <v>19900.0</v>
      </c>
      <c r="F186" s="1272">
        <v>19900.0</v>
      </c>
      <c r="G186" s="1272">
        <v>19900.0</v>
      </c>
      <c r="H186" s="1272">
        <v>19900.0</v>
      </c>
      <c r="I186" s="1272">
        <v>19900.0</v>
      </c>
      <c r="J186" s="1272">
        <v>19900.0</v>
      </c>
      <c r="K186" s="1272">
        <v>19900.0</v>
      </c>
      <c r="L186" s="1272">
        <v>19900.0</v>
      </c>
      <c r="M186" s="1272">
        <v>19900.0</v>
      </c>
      <c r="N186" s="1272">
        <v>19900.0</v>
      </c>
      <c r="O186" s="1272">
        <v>19900.0</v>
      </c>
      <c r="P186" s="1267"/>
      <c r="Q186" s="1209"/>
      <c r="R186" s="1209"/>
      <c r="S186" s="1209"/>
      <c r="T186" s="1209"/>
      <c r="U186" s="1209"/>
      <c r="V186" s="1209"/>
      <c r="W186" s="1209"/>
      <c r="X186" s="1209"/>
      <c r="Y186" s="1209"/>
      <c r="Z186" s="1209"/>
      <c r="AA186" s="1209"/>
      <c r="AB186" s="1209"/>
    </row>
    <row r="187">
      <c r="A187" s="1271"/>
      <c r="B187" s="1271" t="s">
        <v>1471</v>
      </c>
      <c r="C187" s="1271" t="s">
        <v>3481</v>
      </c>
      <c r="D187" s="1272">
        <v>50000.0</v>
      </c>
      <c r="E187" s="1272">
        <v>50000.0</v>
      </c>
      <c r="F187" s="1272">
        <v>50000.0</v>
      </c>
      <c r="G187" s="1272">
        <v>50000.0</v>
      </c>
      <c r="H187" s="1272">
        <v>50000.0</v>
      </c>
      <c r="I187" s="1272">
        <v>50000.0</v>
      </c>
      <c r="J187" s="1272">
        <v>50000.0</v>
      </c>
      <c r="K187" s="1272">
        <v>50000.0</v>
      </c>
      <c r="L187" s="1272">
        <v>50000.0</v>
      </c>
      <c r="M187" s="1272">
        <v>50000.0</v>
      </c>
      <c r="N187" s="1272">
        <v>50000.0</v>
      </c>
      <c r="O187" s="1272">
        <v>50000.0</v>
      </c>
      <c r="P187" s="1267"/>
      <c r="Q187" s="1209"/>
      <c r="R187" s="1209"/>
      <c r="S187" s="1209"/>
      <c r="T187" s="1209"/>
      <c r="U187" s="1209"/>
      <c r="V187" s="1209"/>
      <c r="W187" s="1209"/>
      <c r="X187" s="1209"/>
      <c r="Y187" s="1209"/>
      <c r="Z187" s="1209"/>
      <c r="AA187" s="1209"/>
      <c r="AB187" s="1209"/>
    </row>
    <row r="188">
      <c r="A188" s="1271"/>
      <c r="B188" s="1271" t="s">
        <v>1471</v>
      </c>
      <c r="C188" s="1271" t="s">
        <v>3238</v>
      </c>
      <c r="D188" s="1272"/>
      <c r="E188" s="1272"/>
      <c r="F188" s="1272"/>
      <c r="G188" s="1272">
        <v>100140.0</v>
      </c>
      <c r="H188" s="1272">
        <v>100200.0</v>
      </c>
      <c r="I188" s="1272">
        <v>75360.0</v>
      </c>
      <c r="J188" s="1272">
        <v>61470.0</v>
      </c>
      <c r="K188" s="1272">
        <v>98660.0</v>
      </c>
      <c r="L188" s="1272">
        <v>14700.0</v>
      </c>
      <c r="M188" s="1272">
        <v>32040.0</v>
      </c>
      <c r="N188" s="1272">
        <f>102580-N187</f>
        <v>52580</v>
      </c>
      <c r="O188" s="1272">
        <f>98320-O187</f>
        <v>48320</v>
      </c>
      <c r="P188" s="1269">
        <f>SUM(J188:M188)</f>
        <v>206870</v>
      </c>
      <c r="R188" s="1209"/>
      <c r="S188" s="1209"/>
      <c r="T188" s="1209"/>
      <c r="U188" s="1209"/>
      <c r="V188" s="1209"/>
      <c r="W188" s="1209"/>
      <c r="X188" s="1209"/>
      <c r="Y188" s="1209"/>
      <c r="Z188" s="1209"/>
      <c r="AA188" s="1209"/>
      <c r="AB188" s="1209"/>
    </row>
    <row r="189">
      <c r="A189" s="1218"/>
      <c r="B189" s="1218" t="s">
        <v>1439</v>
      </c>
      <c r="C189" s="846" t="s">
        <v>3504</v>
      </c>
      <c r="D189" s="1265">
        <v>10000.0</v>
      </c>
      <c r="E189" s="1265">
        <v>10000.0</v>
      </c>
      <c r="F189" s="1265">
        <v>10000.0</v>
      </c>
      <c r="G189" s="1265">
        <v>10000.0</v>
      </c>
      <c r="H189" s="1265">
        <v>10000.0</v>
      </c>
      <c r="I189" s="1265">
        <v>10000.0</v>
      </c>
      <c r="J189" s="1265">
        <v>10000.0</v>
      </c>
      <c r="K189" s="1265">
        <v>10000.0</v>
      </c>
      <c r="L189" s="1265">
        <v>10000.0</v>
      </c>
      <c r="M189" s="1265">
        <v>10000.0</v>
      </c>
      <c r="N189" s="1265">
        <v>10000.0</v>
      </c>
      <c r="O189" s="1265">
        <v>10000.0</v>
      </c>
      <c r="P189" s="1276"/>
      <c r="Q189" s="1277" t="s">
        <v>3505</v>
      </c>
      <c r="R189" s="1209"/>
      <c r="S189" s="1209"/>
      <c r="T189" s="1209"/>
      <c r="U189" s="1209"/>
      <c r="V189" s="1209"/>
      <c r="W189" s="1209"/>
      <c r="X189" s="1209"/>
      <c r="Y189" s="1209"/>
      <c r="Z189" s="1209"/>
      <c r="AA189" s="1209"/>
      <c r="AB189" s="1209"/>
    </row>
    <row r="190">
      <c r="A190" s="1218"/>
      <c r="B190" s="1218" t="s">
        <v>1439</v>
      </c>
      <c r="C190" s="1218" t="s">
        <v>3304</v>
      </c>
      <c r="D190" s="1265">
        <v>37330.0</v>
      </c>
      <c r="E190" s="1265">
        <v>41310.0</v>
      </c>
      <c r="F190" s="1265">
        <v>61610.0</v>
      </c>
      <c r="G190" s="1267"/>
      <c r="I190" s="1267"/>
      <c r="J190" s="1267"/>
      <c r="K190" s="1267"/>
      <c r="L190" s="1267"/>
      <c r="M190" s="1267"/>
      <c r="N190" s="1267"/>
      <c r="O190" s="1267"/>
      <c r="P190" s="1267"/>
      <c r="Q190" s="1209"/>
      <c r="R190" s="1209"/>
      <c r="S190" s="1209"/>
      <c r="T190" s="1209"/>
      <c r="U190" s="1209"/>
      <c r="V190" s="1209"/>
      <c r="W190" s="1209"/>
      <c r="X190" s="1209"/>
      <c r="Y190" s="1209"/>
      <c r="Z190" s="1209"/>
      <c r="AA190" s="1209"/>
      <c r="AB190" s="1209"/>
    </row>
    <row r="191">
      <c r="A191" s="1218"/>
      <c r="B191" s="1218" t="s">
        <v>3506</v>
      </c>
      <c r="C191" s="1218" t="s">
        <v>3232</v>
      </c>
      <c r="D191" s="1265">
        <v>917370.0</v>
      </c>
      <c r="E191" s="1265">
        <v>794100.0</v>
      </c>
      <c r="F191" s="1265">
        <v>708770.0</v>
      </c>
      <c r="G191" s="1265">
        <v>277030.0</v>
      </c>
      <c r="H191" s="1265">
        <v>98060.0</v>
      </c>
      <c r="I191" s="1265">
        <v>55770.0</v>
      </c>
      <c r="J191" s="1265"/>
      <c r="K191" s="1265">
        <v>22340.0</v>
      </c>
      <c r="L191" s="1265">
        <v>9810.0</v>
      </c>
      <c r="M191" s="1265">
        <v>14870.0</v>
      </c>
      <c r="N191" s="1265">
        <v>16200.0</v>
      </c>
      <c r="O191" s="1265">
        <v>102220.0</v>
      </c>
      <c r="P191" s="1265"/>
      <c r="Q191" s="1218" t="s">
        <v>37</v>
      </c>
      <c r="R191" s="1209"/>
      <c r="S191" s="1209"/>
      <c r="T191" s="1209"/>
      <c r="U191" s="1209"/>
      <c r="V191" s="1209"/>
      <c r="W191" s="1209"/>
      <c r="X191" s="1209"/>
      <c r="Y191" s="1209"/>
      <c r="Z191" s="1209"/>
      <c r="AA191" s="1209"/>
      <c r="AB191" s="1209"/>
    </row>
    <row r="192">
      <c r="A192" s="1218"/>
      <c r="B192" s="1218" t="s">
        <v>1439</v>
      </c>
      <c r="C192" s="1218" t="s">
        <v>802</v>
      </c>
      <c r="D192" s="1265">
        <v>98000.0</v>
      </c>
      <c r="E192" s="1265"/>
      <c r="F192" s="1265">
        <v>106000.0</v>
      </c>
      <c r="G192" s="1267"/>
      <c r="H192" s="1265"/>
      <c r="I192" s="1265"/>
      <c r="J192" s="1265"/>
      <c r="K192" s="1265"/>
      <c r="L192" s="1265"/>
      <c r="M192" s="1265"/>
      <c r="N192" s="1265"/>
      <c r="O192" s="1265"/>
      <c r="P192" s="1267"/>
      <c r="Q192" s="1209"/>
      <c r="R192" s="1209"/>
      <c r="S192" s="1218" t="s">
        <v>802</v>
      </c>
      <c r="T192" s="1218" t="s">
        <v>3443</v>
      </c>
      <c r="U192" s="1209"/>
      <c r="V192" s="1209"/>
      <c r="W192" s="1209"/>
      <c r="X192" s="1209"/>
      <c r="Y192" s="1209"/>
      <c r="Z192" s="1209"/>
      <c r="AA192" s="1209"/>
      <c r="AB192" s="1209"/>
    </row>
    <row r="193">
      <c r="A193" s="1218"/>
      <c r="B193" s="1218" t="s">
        <v>1439</v>
      </c>
      <c r="C193" s="1218" t="s">
        <v>3235</v>
      </c>
      <c r="D193" s="1265">
        <v>22869.0</v>
      </c>
      <c r="E193" s="1265">
        <v>22869.0</v>
      </c>
      <c r="F193" s="1265">
        <v>22869.0</v>
      </c>
      <c r="G193" s="1265">
        <v>22869.0</v>
      </c>
      <c r="H193" s="1265">
        <v>22869.0</v>
      </c>
      <c r="I193" s="1265">
        <v>22869.0</v>
      </c>
      <c r="J193" s="1265">
        <v>22869.0</v>
      </c>
      <c r="K193" s="1265">
        <v>22869.0</v>
      </c>
      <c r="L193" s="1265">
        <v>22869.0</v>
      </c>
      <c r="M193" s="1265">
        <v>22869.0</v>
      </c>
      <c r="N193" s="1265">
        <v>22869.0</v>
      </c>
      <c r="O193" s="1265">
        <v>22869.0</v>
      </c>
      <c r="P193" s="1267"/>
      <c r="Q193" s="1209"/>
      <c r="R193" s="1209"/>
      <c r="S193" s="1209"/>
      <c r="T193" s="1209"/>
      <c r="U193" s="1209"/>
      <c r="V193" s="1209"/>
      <c r="W193" s="1209"/>
      <c r="X193" s="1209"/>
      <c r="Y193" s="1209"/>
      <c r="Z193" s="1209"/>
      <c r="AA193" s="1209"/>
      <c r="AB193" s="1209"/>
    </row>
    <row r="194">
      <c r="A194" s="1218"/>
      <c r="B194" s="1218" t="s">
        <v>1439</v>
      </c>
      <c r="C194" s="1218" t="s">
        <v>3237</v>
      </c>
      <c r="D194" s="1265">
        <v>19900.0</v>
      </c>
      <c r="E194" s="1265">
        <v>19900.0</v>
      </c>
      <c r="F194" s="1265">
        <v>19900.0</v>
      </c>
      <c r="G194" s="1265">
        <v>19900.0</v>
      </c>
      <c r="H194" s="1265">
        <v>19900.0</v>
      </c>
      <c r="I194" s="1265">
        <v>19900.0</v>
      </c>
      <c r="J194" s="1265">
        <v>19900.0</v>
      </c>
      <c r="K194" s="1265">
        <v>19900.0</v>
      </c>
      <c r="L194" s="1265">
        <v>19900.0</v>
      </c>
      <c r="M194" s="1265">
        <v>19900.0</v>
      </c>
      <c r="N194" s="1265">
        <v>19900.0</v>
      </c>
      <c r="O194" s="1265">
        <v>19900.0</v>
      </c>
      <c r="P194" s="1267"/>
      <c r="Q194" s="1209"/>
      <c r="R194" s="1209"/>
      <c r="S194" s="1209"/>
      <c r="T194" s="1209"/>
      <c r="U194" s="1209"/>
      <c r="V194" s="1209"/>
      <c r="W194" s="1209"/>
      <c r="X194" s="1209"/>
      <c r="Y194" s="1209"/>
      <c r="Z194" s="1209"/>
      <c r="AA194" s="1209"/>
      <c r="AB194" s="1209"/>
    </row>
    <row r="195">
      <c r="A195" s="1218"/>
      <c r="B195" s="1218" t="s">
        <v>1439</v>
      </c>
      <c r="C195" s="1218" t="s">
        <v>3481</v>
      </c>
      <c r="D195" s="1265">
        <v>50000.0</v>
      </c>
      <c r="E195" s="1265">
        <v>50000.0</v>
      </c>
      <c r="F195" s="1265">
        <v>50000.0</v>
      </c>
      <c r="G195" s="1265">
        <v>50000.0</v>
      </c>
      <c r="H195" s="1265">
        <v>50000.0</v>
      </c>
      <c r="I195" s="1265">
        <v>50000.0</v>
      </c>
      <c r="J195" s="1265">
        <v>50000.0</v>
      </c>
      <c r="K195" s="1265">
        <v>50000.0</v>
      </c>
      <c r="L195" s="1265">
        <v>50000.0</v>
      </c>
      <c r="M195" s="1265">
        <v>50000.0</v>
      </c>
      <c r="N195" s="1265">
        <v>50000.0</v>
      </c>
      <c r="O195" s="1265">
        <v>50000.0</v>
      </c>
      <c r="P195" s="1267"/>
      <c r="Q195" s="1209"/>
      <c r="R195" s="1209"/>
      <c r="S195" s="1209"/>
      <c r="T195" s="1209"/>
      <c r="U195" s="1209"/>
      <c r="V195" s="1209"/>
      <c r="W195" s="1209"/>
      <c r="X195" s="1209"/>
      <c r="Y195" s="1209"/>
      <c r="Z195" s="1209"/>
      <c r="AA195" s="1209"/>
      <c r="AB195" s="1209"/>
    </row>
    <row r="196">
      <c r="A196" s="1218"/>
      <c r="B196" s="1218" t="s">
        <v>1439</v>
      </c>
      <c r="C196" s="1218" t="s">
        <v>3238</v>
      </c>
      <c r="D196" s="1265"/>
      <c r="E196" s="1267"/>
      <c r="F196" s="1265"/>
      <c r="G196" s="1265">
        <v>36980.0</v>
      </c>
      <c r="H196" s="1265">
        <v>54900.0</v>
      </c>
      <c r="I196" s="1265">
        <v>157380.0</v>
      </c>
      <c r="J196" s="1265">
        <v>34590.0</v>
      </c>
      <c r="K196" s="1265">
        <v>0.0</v>
      </c>
      <c r="L196" s="1265">
        <v>14900.0</v>
      </c>
      <c r="M196" s="1265">
        <v>24380.0</v>
      </c>
      <c r="N196" s="1265">
        <f>60300-N195</f>
        <v>10300</v>
      </c>
      <c r="O196" s="1265">
        <f>67820-O195</f>
        <v>17820</v>
      </c>
      <c r="P196" s="1269">
        <f>SUM(J196:M196)</f>
        <v>73870</v>
      </c>
      <c r="R196" s="1209"/>
      <c r="S196" s="1209"/>
      <c r="T196" s="1209"/>
      <c r="U196" s="1209"/>
      <c r="V196" s="1209"/>
      <c r="W196" s="1209"/>
      <c r="X196" s="1209"/>
      <c r="Y196" s="1209"/>
      <c r="Z196" s="1209"/>
      <c r="AA196" s="1209"/>
      <c r="AB196" s="1209"/>
    </row>
    <row r="197">
      <c r="A197" s="1271"/>
      <c r="B197" s="1271" t="s">
        <v>1278</v>
      </c>
      <c r="C197" s="1271" t="s">
        <v>3504</v>
      </c>
      <c r="D197" s="1272">
        <v>70000.0</v>
      </c>
      <c r="E197" s="1272">
        <v>70000.0</v>
      </c>
      <c r="F197" s="1272">
        <v>70000.0</v>
      </c>
      <c r="G197" s="1272">
        <v>70000.0</v>
      </c>
      <c r="H197" s="1272">
        <v>70000.0</v>
      </c>
      <c r="I197" s="1272">
        <v>70000.0</v>
      </c>
      <c r="J197" s="1272">
        <v>70000.0</v>
      </c>
      <c r="K197" s="1272">
        <v>70000.0</v>
      </c>
      <c r="L197" s="1272">
        <v>70000.0</v>
      </c>
      <c r="M197" s="1272">
        <v>70000.0</v>
      </c>
      <c r="N197" s="1272">
        <v>70000.0</v>
      </c>
      <c r="O197" s="1272">
        <v>70000.0</v>
      </c>
      <c r="P197" s="1267"/>
      <c r="Q197" s="1209"/>
      <c r="R197" s="1209"/>
      <c r="S197" s="1209"/>
      <c r="T197" s="1209"/>
      <c r="U197" s="1209"/>
      <c r="V197" s="1209"/>
      <c r="W197" s="1209"/>
      <c r="X197" s="1209"/>
      <c r="Y197" s="1209"/>
      <c r="Z197" s="1209"/>
      <c r="AA197" s="1209"/>
      <c r="AB197" s="1209"/>
    </row>
    <row r="198">
      <c r="A198" s="1271"/>
      <c r="B198" s="1271" t="s">
        <v>1278</v>
      </c>
      <c r="C198" s="1271" t="s">
        <v>3304</v>
      </c>
      <c r="D198" s="1272">
        <v>89990.0</v>
      </c>
      <c r="E198" s="1272">
        <v>99610.0</v>
      </c>
      <c r="F198" s="1272">
        <v>66110.0</v>
      </c>
      <c r="G198" s="1272"/>
      <c r="H198" s="1272"/>
      <c r="I198" s="1272"/>
      <c r="J198" s="1272"/>
      <c r="K198" s="1272"/>
      <c r="L198" s="1272"/>
      <c r="M198" s="1272"/>
      <c r="N198" s="1272"/>
      <c r="O198" s="1272"/>
      <c r="P198" s="1267"/>
      <c r="Q198" s="1209"/>
      <c r="R198" s="1209"/>
      <c r="S198" s="1209"/>
      <c r="T198" s="1209"/>
      <c r="U198" s="1209"/>
      <c r="V198" s="1209"/>
      <c r="W198" s="1209"/>
      <c r="X198" s="1209"/>
      <c r="Y198" s="1209"/>
      <c r="Z198" s="1209"/>
      <c r="AA198" s="1209"/>
      <c r="AB198" s="1209"/>
    </row>
    <row r="199">
      <c r="A199" s="1271"/>
      <c r="B199" s="1271" t="s">
        <v>1278</v>
      </c>
      <c r="C199" s="1271" t="s">
        <v>3232</v>
      </c>
      <c r="D199" s="1272">
        <v>455140.0</v>
      </c>
      <c r="E199" s="1272">
        <v>538150.0</v>
      </c>
      <c r="F199" s="1272">
        <v>327200.0</v>
      </c>
      <c r="G199" s="1272"/>
      <c r="H199" s="1272"/>
      <c r="I199" s="1272"/>
      <c r="J199" s="1272"/>
      <c r="K199" s="1272"/>
      <c r="L199" s="1272"/>
      <c r="M199" s="1272"/>
      <c r="N199" s="1272"/>
      <c r="O199" s="1272"/>
      <c r="P199" s="1267"/>
      <c r="Q199" s="1209"/>
      <c r="R199" s="1209"/>
      <c r="S199" s="1209"/>
      <c r="T199" s="1209"/>
      <c r="U199" s="1209"/>
      <c r="V199" s="1209"/>
      <c r="W199" s="1209"/>
      <c r="X199" s="1209"/>
      <c r="Y199" s="1209"/>
      <c r="Z199" s="1209"/>
      <c r="AA199" s="1209"/>
      <c r="AB199" s="1209"/>
    </row>
    <row r="200">
      <c r="A200" s="1271"/>
      <c r="B200" s="1271" t="s">
        <v>1278</v>
      </c>
      <c r="C200" s="1271" t="s">
        <v>802</v>
      </c>
      <c r="D200" s="1272">
        <v>71500.0</v>
      </c>
      <c r="E200" s="1272"/>
      <c r="F200" s="1272">
        <v>53900.0</v>
      </c>
      <c r="G200" s="1272"/>
      <c r="H200" s="1272"/>
      <c r="I200" s="1272"/>
      <c r="J200" s="1272"/>
      <c r="K200" s="1272"/>
      <c r="L200" s="1272"/>
      <c r="M200" s="1272"/>
      <c r="N200" s="1272"/>
      <c r="O200" s="1272"/>
      <c r="P200" s="1267"/>
      <c r="Q200" s="1209"/>
      <c r="R200" s="1209"/>
      <c r="S200" s="1218" t="s">
        <v>802</v>
      </c>
      <c r="T200" s="1218" t="s">
        <v>3443</v>
      </c>
      <c r="U200" s="1209"/>
      <c r="V200" s="1209"/>
      <c r="W200" s="1209"/>
      <c r="X200" s="1209"/>
      <c r="Y200" s="1209"/>
      <c r="Z200" s="1209"/>
      <c r="AA200" s="1209"/>
      <c r="AB200" s="1209"/>
    </row>
    <row r="201">
      <c r="A201" s="1271"/>
      <c r="B201" s="1271" t="s">
        <v>1278</v>
      </c>
      <c r="C201" s="1271" t="s">
        <v>3235</v>
      </c>
      <c r="D201" s="1272">
        <v>22000.0</v>
      </c>
      <c r="E201" s="1272">
        <v>22000.0</v>
      </c>
      <c r="F201" s="1272">
        <v>22000.0</v>
      </c>
      <c r="G201" s="1272">
        <v>22000.0</v>
      </c>
      <c r="H201" s="1272">
        <v>22000.0</v>
      </c>
      <c r="I201" s="1272">
        <v>22000.0</v>
      </c>
      <c r="J201" s="1272">
        <v>22000.0</v>
      </c>
      <c r="K201" s="1272">
        <v>22000.0</v>
      </c>
      <c r="L201" s="1272">
        <v>22000.0</v>
      </c>
      <c r="M201" s="1272">
        <v>22000.0</v>
      </c>
      <c r="N201" s="1272">
        <v>22000.0</v>
      </c>
      <c r="O201" s="1272">
        <v>22000.0</v>
      </c>
      <c r="P201" s="1267"/>
      <c r="Q201" s="1209"/>
      <c r="R201" s="1209"/>
      <c r="S201" s="1209"/>
      <c r="T201" s="1209"/>
      <c r="U201" s="1209"/>
      <c r="V201" s="1209"/>
      <c r="W201" s="1209"/>
      <c r="X201" s="1209"/>
      <c r="Y201" s="1209"/>
      <c r="Z201" s="1209"/>
      <c r="AA201" s="1209"/>
      <c r="AB201" s="1209"/>
    </row>
    <row r="202">
      <c r="A202" s="1271"/>
      <c r="B202" s="1271" t="s">
        <v>1278</v>
      </c>
      <c r="C202" s="1271" t="s">
        <v>3237</v>
      </c>
      <c r="D202" s="1272">
        <v>19900.0</v>
      </c>
      <c r="E202" s="1272">
        <v>19900.0</v>
      </c>
      <c r="F202" s="1272">
        <v>19900.0</v>
      </c>
      <c r="G202" s="1272">
        <v>19900.0</v>
      </c>
      <c r="H202" s="1272">
        <v>19900.0</v>
      </c>
      <c r="I202" s="1272">
        <v>19900.0</v>
      </c>
      <c r="J202" s="1272">
        <v>19900.0</v>
      </c>
      <c r="K202" s="1272">
        <v>19900.0</v>
      </c>
      <c r="L202" s="1272">
        <v>19900.0</v>
      </c>
      <c r="M202" s="1272">
        <v>19900.0</v>
      </c>
      <c r="N202" s="1272">
        <v>19900.0</v>
      </c>
      <c r="O202" s="1272">
        <v>19900.0</v>
      </c>
      <c r="P202" s="1267"/>
      <c r="Q202" s="1209"/>
      <c r="R202" s="1209"/>
      <c r="S202" s="1209"/>
      <c r="T202" s="1209"/>
      <c r="U202" s="1209"/>
      <c r="V202" s="1209"/>
      <c r="W202" s="1209"/>
      <c r="X202" s="1209"/>
      <c r="Y202" s="1209"/>
      <c r="Z202" s="1209"/>
      <c r="AA202" s="1209"/>
      <c r="AB202" s="1209"/>
    </row>
    <row r="203">
      <c r="A203" s="1271"/>
      <c r="B203" s="1271" t="s">
        <v>1278</v>
      </c>
      <c r="C203" s="1271" t="s">
        <v>3481</v>
      </c>
      <c r="D203" s="1272">
        <v>40000.0</v>
      </c>
      <c r="E203" s="1272">
        <v>40000.0</v>
      </c>
      <c r="F203" s="1272">
        <v>40000.0</v>
      </c>
      <c r="G203" s="1272">
        <v>40000.0</v>
      </c>
      <c r="H203" s="1272">
        <v>40000.0</v>
      </c>
      <c r="I203" s="1272">
        <v>40000.0</v>
      </c>
      <c r="J203" s="1272">
        <v>40000.0</v>
      </c>
      <c r="K203" s="1272">
        <v>40000.0</v>
      </c>
      <c r="L203" s="1272">
        <v>40000.0</v>
      </c>
      <c r="M203" s="1272">
        <v>40000.0</v>
      </c>
      <c r="N203" s="1272">
        <v>40000.0</v>
      </c>
      <c r="O203" s="1272">
        <v>40000.0</v>
      </c>
      <c r="P203" s="1267"/>
      <c r="Q203" s="1209"/>
      <c r="R203" s="1209"/>
      <c r="S203" s="1209"/>
      <c r="T203" s="1209"/>
      <c r="U203" s="1209"/>
      <c r="V203" s="1209"/>
      <c r="W203" s="1209"/>
      <c r="X203" s="1209"/>
      <c r="Y203" s="1209"/>
      <c r="Z203" s="1209"/>
      <c r="AA203" s="1209"/>
      <c r="AB203" s="1209"/>
    </row>
    <row r="204">
      <c r="A204" s="1271"/>
      <c r="B204" s="1271" t="s">
        <v>1278</v>
      </c>
      <c r="C204" s="1271" t="s">
        <v>3238</v>
      </c>
      <c r="D204" s="1272"/>
      <c r="E204" s="1272">
        <v>59000.0</v>
      </c>
      <c r="F204" s="1272">
        <v>90000.0</v>
      </c>
      <c r="G204" s="1272">
        <v>18300.0</v>
      </c>
      <c r="H204" s="1272">
        <v>196590.0</v>
      </c>
      <c r="I204" s="1272">
        <v>55000.0</v>
      </c>
      <c r="J204" s="1272">
        <v>47530.0</v>
      </c>
      <c r="K204" s="1272">
        <v>35840.0</v>
      </c>
      <c r="L204" s="1272">
        <v>49780.0</v>
      </c>
      <c r="M204" s="1272">
        <v>35710.0</v>
      </c>
      <c r="N204" s="1272">
        <f>78140-N203</f>
        <v>38140</v>
      </c>
      <c r="O204" s="1272">
        <f>135000-O203</f>
        <v>95000</v>
      </c>
      <c r="P204" s="1269">
        <f>SUM(J204:M204)</f>
        <v>168860</v>
      </c>
      <c r="R204" s="1209"/>
      <c r="S204" s="1209"/>
      <c r="T204" s="1209"/>
      <c r="U204" s="1209"/>
      <c r="V204" s="1209"/>
      <c r="W204" s="1209"/>
      <c r="X204" s="1209"/>
      <c r="Y204" s="1209"/>
      <c r="Z204" s="1209"/>
      <c r="AA204" s="1209"/>
      <c r="AB204" s="1209"/>
    </row>
    <row r="205">
      <c r="A205" s="1285"/>
      <c r="B205" s="1285" t="s">
        <v>3507</v>
      </c>
      <c r="C205" s="1287" t="s">
        <v>3508</v>
      </c>
      <c r="D205" s="1265">
        <v>225970.0</v>
      </c>
      <c r="E205" s="1265">
        <v>230640.0</v>
      </c>
      <c r="F205" s="1265">
        <v>223490.0</v>
      </c>
      <c r="H205" s="1267"/>
      <c r="J205" s="1267"/>
      <c r="K205" s="1267"/>
      <c r="L205" s="1267"/>
      <c r="M205" s="1267"/>
      <c r="N205" s="1267"/>
      <c r="O205" s="1267"/>
      <c r="P205" s="1267"/>
      <c r="R205" s="1209"/>
      <c r="S205" s="1209"/>
      <c r="T205" s="1209"/>
      <c r="U205" s="1209"/>
      <c r="V205" s="1209"/>
      <c r="W205" s="1209"/>
      <c r="X205" s="1209"/>
      <c r="Y205" s="1209"/>
      <c r="Z205" s="1209"/>
      <c r="AA205" s="1209"/>
      <c r="AB205" s="1209"/>
    </row>
    <row r="206">
      <c r="A206" s="1218"/>
      <c r="B206" s="1218" t="s">
        <v>3507</v>
      </c>
      <c r="C206" s="1218" t="s">
        <v>3304</v>
      </c>
      <c r="D206" s="1265" t="s">
        <v>680</v>
      </c>
      <c r="E206" s="1265" t="s">
        <v>680</v>
      </c>
      <c r="F206" s="1265" t="s">
        <v>680</v>
      </c>
      <c r="G206" s="1265" t="s">
        <v>680</v>
      </c>
      <c r="H206" s="1265" t="s">
        <v>680</v>
      </c>
      <c r="I206" s="1265" t="s">
        <v>680</v>
      </c>
      <c r="J206" s="1265" t="s">
        <v>680</v>
      </c>
      <c r="K206" s="1265" t="s">
        <v>680</v>
      </c>
      <c r="L206" s="1265" t="s">
        <v>680</v>
      </c>
      <c r="M206" s="1265" t="s">
        <v>680</v>
      </c>
      <c r="N206" s="1265" t="s">
        <v>680</v>
      </c>
      <c r="O206" s="1265" t="s">
        <v>680</v>
      </c>
      <c r="P206" s="1267"/>
      <c r="R206" s="1209"/>
      <c r="S206" s="1209"/>
      <c r="T206" s="1209"/>
      <c r="U206" s="1209"/>
      <c r="V206" s="1209"/>
      <c r="W206" s="1209"/>
      <c r="X206" s="1209"/>
      <c r="Y206" s="1209"/>
      <c r="Z206" s="1209"/>
      <c r="AA206" s="1209"/>
      <c r="AB206" s="1209"/>
    </row>
    <row r="207">
      <c r="A207" s="1218"/>
      <c r="B207" s="1218" t="s">
        <v>3507</v>
      </c>
      <c r="C207" s="1218" t="s">
        <v>3509</v>
      </c>
      <c r="D207" s="1265">
        <v>214880.0</v>
      </c>
      <c r="E207" s="1265">
        <v>241570.0</v>
      </c>
      <c r="F207" s="1265">
        <v>158290.0</v>
      </c>
      <c r="G207" s="1265"/>
      <c r="H207" s="1267"/>
      <c r="J207" s="1267"/>
      <c r="K207" s="1267"/>
      <c r="L207" s="1267"/>
      <c r="M207" s="1267"/>
      <c r="N207" s="1267"/>
      <c r="O207" s="1267"/>
      <c r="P207" s="1267"/>
      <c r="R207" s="1209"/>
      <c r="S207" s="1209"/>
      <c r="T207" s="1209"/>
      <c r="U207" s="1209"/>
      <c r="V207" s="1209"/>
      <c r="W207" s="1209"/>
      <c r="X207" s="1209"/>
      <c r="Y207" s="1209"/>
      <c r="Z207" s="1209"/>
      <c r="AA207" s="1209"/>
      <c r="AB207" s="1209"/>
    </row>
    <row r="208">
      <c r="A208" s="1218"/>
      <c r="B208" s="1218" t="s">
        <v>3507</v>
      </c>
      <c r="C208" s="1218" t="s">
        <v>802</v>
      </c>
      <c r="D208" s="1265" t="s">
        <v>680</v>
      </c>
      <c r="E208" s="1265" t="s">
        <v>680</v>
      </c>
      <c r="F208" s="1265" t="s">
        <v>680</v>
      </c>
      <c r="G208" s="1265" t="s">
        <v>680</v>
      </c>
      <c r="H208" s="1265" t="s">
        <v>680</v>
      </c>
      <c r="I208" s="1265" t="s">
        <v>680</v>
      </c>
      <c r="J208" s="1265" t="s">
        <v>680</v>
      </c>
      <c r="K208" s="1265" t="s">
        <v>680</v>
      </c>
      <c r="L208" s="1265" t="s">
        <v>680</v>
      </c>
      <c r="M208" s="1265" t="s">
        <v>680</v>
      </c>
      <c r="N208" s="1265" t="s">
        <v>680</v>
      </c>
      <c r="O208" s="1265" t="s">
        <v>680</v>
      </c>
      <c r="P208" s="1267"/>
      <c r="R208" s="1209"/>
      <c r="S208" s="1209"/>
      <c r="T208" s="1209"/>
      <c r="U208" s="1209"/>
      <c r="V208" s="1209"/>
      <c r="W208" s="1209"/>
      <c r="X208" s="1209"/>
      <c r="Y208" s="1209"/>
      <c r="Z208" s="1209"/>
      <c r="AA208" s="1209"/>
      <c r="AB208" s="1209"/>
    </row>
    <row r="209">
      <c r="A209" s="1218"/>
      <c r="B209" s="1218" t="s">
        <v>3507</v>
      </c>
      <c r="C209" s="1218" t="s">
        <v>3235</v>
      </c>
      <c r="D209" s="1265">
        <v>29900.0</v>
      </c>
      <c r="E209" s="1265">
        <v>29900.0</v>
      </c>
      <c r="F209" s="1265">
        <v>29900.0</v>
      </c>
      <c r="G209" s="1265">
        <v>29900.0</v>
      </c>
      <c r="H209" s="1265">
        <v>29900.0</v>
      </c>
      <c r="I209" s="1265">
        <v>29900.0</v>
      </c>
      <c r="J209" s="1265">
        <v>29900.0</v>
      </c>
      <c r="K209" s="1265">
        <v>29900.0</v>
      </c>
      <c r="L209" s="1265">
        <v>29900.0</v>
      </c>
      <c r="M209" s="1265">
        <v>29900.0</v>
      </c>
      <c r="N209" s="1265">
        <v>29900.0</v>
      </c>
      <c r="O209" s="1265">
        <v>29900.0</v>
      </c>
      <c r="P209" s="1267"/>
      <c r="R209" s="1209"/>
      <c r="S209" s="1209"/>
      <c r="T209" s="1209"/>
      <c r="U209" s="1209"/>
      <c r="V209" s="1209"/>
      <c r="W209" s="1209"/>
      <c r="X209" s="1209"/>
      <c r="Y209" s="1209"/>
      <c r="Z209" s="1209"/>
      <c r="AA209" s="1209"/>
      <c r="AB209" s="1209"/>
    </row>
    <row r="210">
      <c r="A210" s="1218"/>
      <c r="B210" s="1218" t="s">
        <v>3507</v>
      </c>
      <c r="C210" s="1218" t="s">
        <v>3237</v>
      </c>
      <c r="D210" s="1265">
        <v>11000.0</v>
      </c>
      <c r="E210" s="1265">
        <v>11000.0</v>
      </c>
      <c r="F210" s="1265">
        <v>11000.0</v>
      </c>
      <c r="G210" s="1265">
        <v>11000.0</v>
      </c>
      <c r="H210" s="1265">
        <v>11000.0</v>
      </c>
      <c r="I210" s="1265">
        <v>11000.0</v>
      </c>
      <c r="J210" s="1265">
        <v>11000.0</v>
      </c>
      <c r="K210" s="1265">
        <v>11000.0</v>
      </c>
      <c r="L210" s="1265">
        <v>11000.0</v>
      </c>
      <c r="M210" s="1265">
        <v>11000.0</v>
      </c>
      <c r="N210" s="1265">
        <v>11000.0</v>
      </c>
      <c r="O210" s="1265">
        <v>11000.0</v>
      </c>
      <c r="P210" s="1267"/>
      <c r="R210" s="1209"/>
      <c r="S210" s="1209"/>
      <c r="T210" s="1209"/>
      <c r="U210" s="1209"/>
      <c r="V210" s="1209"/>
      <c r="W210" s="1209"/>
      <c r="X210" s="1209"/>
      <c r="Y210" s="1209"/>
      <c r="Z210" s="1209"/>
      <c r="AA210" s="1209"/>
      <c r="AB210" s="1209"/>
    </row>
    <row r="211">
      <c r="A211" s="1218"/>
      <c r="B211" s="1218" t="s">
        <v>3507</v>
      </c>
      <c r="C211" s="1218" t="s">
        <v>2663</v>
      </c>
      <c r="D211" s="1265">
        <v>11000.0</v>
      </c>
      <c r="E211" s="1265">
        <v>11000.0</v>
      </c>
      <c r="F211" s="1265">
        <v>11000.0</v>
      </c>
      <c r="G211" s="1265">
        <v>11000.0</v>
      </c>
      <c r="H211" s="1265">
        <v>11000.0</v>
      </c>
      <c r="I211" s="1265">
        <v>11000.0</v>
      </c>
      <c r="J211" s="1265">
        <v>11000.0</v>
      </c>
      <c r="K211" s="1265">
        <v>11000.0</v>
      </c>
      <c r="L211" s="1265">
        <v>11000.0</v>
      </c>
      <c r="M211" s="1265">
        <v>11000.0</v>
      </c>
      <c r="N211" s="1265">
        <v>11000.0</v>
      </c>
      <c r="O211" s="1265">
        <v>11000.0</v>
      </c>
      <c r="P211" s="1267"/>
      <c r="R211" s="1209"/>
      <c r="S211" s="1209"/>
      <c r="T211" s="1209"/>
      <c r="U211" s="1209"/>
      <c r="V211" s="1209"/>
      <c r="W211" s="1209"/>
      <c r="X211" s="1209"/>
      <c r="Y211" s="1209"/>
      <c r="Z211" s="1209"/>
      <c r="AA211" s="1209"/>
      <c r="AB211" s="1209"/>
    </row>
    <row r="212">
      <c r="A212" s="1218"/>
      <c r="B212" s="1218" t="s">
        <v>3507</v>
      </c>
      <c r="C212" s="1218" t="s">
        <v>3238</v>
      </c>
      <c r="D212" s="1265"/>
      <c r="E212" s="1265"/>
      <c r="F212" s="1265"/>
      <c r="G212" s="1265"/>
      <c r="H212" s="1265">
        <v>73890.0</v>
      </c>
      <c r="I212" s="1265">
        <v>81580.0</v>
      </c>
      <c r="J212" s="1265"/>
      <c r="K212" s="1265"/>
      <c r="L212" s="1265"/>
      <c r="M212" s="1265"/>
      <c r="N212" s="1265"/>
      <c r="O212" s="1265"/>
      <c r="P212" s="1269">
        <f>SUM(J212:M212)</f>
        <v>0</v>
      </c>
      <c r="R212" s="1209"/>
      <c r="S212" s="1209"/>
      <c r="T212" s="1209"/>
      <c r="U212" s="1209"/>
      <c r="V212" s="1209"/>
      <c r="W212" s="1209"/>
      <c r="X212" s="1209"/>
      <c r="Y212" s="1209"/>
      <c r="Z212" s="1209"/>
      <c r="AA212" s="1209"/>
      <c r="AB212" s="1209"/>
    </row>
    <row r="213">
      <c r="A213" s="1271"/>
      <c r="B213" s="1271" t="s">
        <v>3510</v>
      </c>
      <c r="C213" s="1271" t="s">
        <v>3499</v>
      </c>
      <c r="D213" s="1272">
        <v>238650.0</v>
      </c>
      <c r="E213" s="1272">
        <v>312510.0</v>
      </c>
      <c r="F213" s="1272">
        <v>311680.0</v>
      </c>
      <c r="G213" s="1272"/>
      <c r="H213" s="1272"/>
      <c r="I213" s="1272"/>
      <c r="J213" s="1272"/>
      <c r="K213" s="1272"/>
      <c r="L213" s="1272"/>
      <c r="M213" s="1272"/>
      <c r="N213" s="1272"/>
      <c r="O213" s="1272"/>
      <c r="P213" s="1267"/>
      <c r="R213" s="1209"/>
      <c r="S213" s="1209"/>
      <c r="T213" s="1209"/>
      <c r="U213" s="1209"/>
      <c r="V213" s="1209"/>
      <c r="W213" s="1209"/>
      <c r="X213" s="1209"/>
      <c r="Y213" s="1209"/>
      <c r="Z213" s="1209"/>
      <c r="AA213" s="1209"/>
      <c r="AB213" s="1209"/>
    </row>
    <row r="214">
      <c r="A214" s="1271"/>
      <c r="B214" s="1271" t="s">
        <v>3510</v>
      </c>
      <c r="C214" s="1271" t="s">
        <v>3304</v>
      </c>
      <c r="D214" s="1272" t="s">
        <v>680</v>
      </c>
      <c r="E214" s="1272" t="s">
        <v>680</v>
      </c>
      <c r="F214" s="1272" t="s">
        <v>680</v>
      </c>
      <c r="G214" s="1272" t="s">
        <v>680</v>
      </c>
      <c r="H214" s="1272" t="s">
        <v>680</v>
      </c>
      <c r="I214" s="1272" t="s">
        <v>680</v>
      </c>
      <c r="J214" s="1272" t="s">
        <v>680</v>
      </c>
      <c r="K214" s="1272" t="s">
        <v>680</v>
      </c>
      <c r="L214" s="1272" t="s">
        <v>680</v>
      </c>
      <c r="M214" s="1272" t="s">
        <v>680</v>
      </c>
      <c r="N214" s="1272" t="s">
        <v>680</v>
      </c>
      <c r="O214" s="1272" t="s">
        <v>680</v>
      </c>
      <c r="P214" s="1267"/>
      <c r="R214" s="1209"/>
      <c r="S214" s="1209"/>
      <c r="T214" s="1209"/>
      <c r="U214" s="1209"/>
      <c r="V214" s="1209"/>
      <c r="W214" s="1209"/>
      <c r="X214" s="1209"/>
      <c r="Y214" s="1209"/>
      <c r="Z214" s="1209"/>
      <c r="AA214" s="1209"/>
      <c r="AB214" s="1209"/>
    </row>
    <row r="215">
      <c r="A215" s="1271"/>
      <c r="B215" s="1271" t="s">
        <v>3510</v>
      </c>
      <c r="C215" s="1271" t="s">
        <v>3232</v>
      </c>
      <c r="D215" s="1272">
        <v>348350.0</v>
      </c>
      <c r="E215" s="1272">
        <v>352780.0</v>
      </c>
      <c r="F215" s="1272">
        <v>276760.0</v>
      </c>
      <c r="G215" s="1272"/>
      <c r="H215" s="1272"/>
      <c r="I215" s="1272"/>
      <c r="J215" s="1272"/>
      <c r="K215" s="1272"/>
      <c r="L215" s="1272"/>
      <c r="M215" s="1272"/>
      <c r="N215" s="1272"/>
      <c r="O215" s="1272"/>
      <c r="P215" s="1267"/>
      <c r="R215" s="1209"/>
      <c r="S215" s="1209"/>
      <c r="T215" s="1209"/>
      <c r="U215" s="1209"/>
      <c r="V215" s="1209"/>
      <c r="W215" s="1209"/>
      <c r="X215" s="1209"/>
      <c r="Y215" s="1209"/>
      <c r="Z215" s="1209"/>
      <c r="AA215" s="1209"/>
      <c r="AB215" s="1209"/>
    </row>
    <row r="216">
      <c r="A216" s="1271"/>
      <c r="B216" s="1271" t="s">
        <v>3510</v>
      </c>
      <c r="C216" s="1271" t="s">
        <v>802</v>
      </c>
      <c r="D216" s="1272" t="s">
        <v>680</v>
      </c>
      <c r="E216" s="1272" t="s">
        <v>680</v>
      </c>
      <c r="F216" s="1272" t="s">
        <v>680</v>
      </c>
      <c r="G216" s="1272" t="s">
        <v>680</v>
      </c>
      <c r="H216" s="1272" t="s">
        <v>680</v>
      </c>
      <c r="I216" s="1272" t="s">
        <v>680</v>
      </c>
      <c r="J216" s="1272" t="s">
        <v>680</v>
      </c>
      <c r="K216" s="1272" t="s">
        <v>680</v>
      </c>
      <c r="L216" s="1272" t="s">
        <v>680</v>
      </c>
      <c r="M216" s="1272" t="s">
        <v>680</v>
      </c>
      <c r="N216" s="1272" t="s">
        <v>680</v>
      </c>
      <c r="O216" s="1272" t="s">
        <v>680</v>
      </c>
      <c r="P216" s="1267"/>
      <c r="R216" s="1209"/>
      <c r="S216" s="1209"/>
      <c r="T216" s="1209"/>
      <c r="U216" s="1209"/>
      <c r="V216" s="1209"/>
      <c r="W216" s="1209"/>
      <c r="X216" s="1209"/>
      <c r="Y216" s="1209"/>
      <c r="Z216" s="1209"/>
      <c r="AA216" s="1209"/>
      <c r="AB216" s="1209"/>
    </row>
    <row r="217">
      <c r="A217" s="1271"/>
      <c r="B217" s="1271" t="s">
        <v>3510</v>
      </c>
      <c r="C217" s="1271" t="s">
        <v>3235</v>
      </c>
      <c r="D217" s="1272">
        <v>23100.0</v>
      </c>
      <c r="E217" s="1272">
        <v>23100.0</v>
      </c>
      <c r="F217" s="1272">
        <v>23100.0</v>
      </c>
      <c r="G217" s="1272">
        <v>23100.0</v>
      </c>
      <c r="H217" s="1272">
        <v>23100.0</v>
      </c>
      <c r="I217" s="1272">
        <v>23100.0</v>
      </c>
      <c r="J217" s="1272">
        <v>23100.0</v>
      </c>
      <c r="K217" s="1272">
        <v>23100.0</v>
      </c>
      <c r="L217" s="1272">
        <v>23100.0</v>
      </c>
      <c r="M217" s="1272">
        <v>23100.0</v>
      </c>
      <c r="N217" s="1272">
        <v>23100.0</v>
      </c>
      <c r="O217" s="1272">
        <v>23100.0</v>
      </c>
      <c r="P217" s="1267"/>
      <c r="R217" s="1209"/>
      <c r="S217" s="1209"/>
      <c r="T217" s="1209"/>
      <c r="U217" s="1209"/>
      <c r="V217" s="1209"/>
      <c r="W217" s="1209"/>
      <c r="X217" s="1209"/>
      <c r="Y217" s="1209"/>
      <c r="Z217" s="1209"/>
      <c r="AA217" s="1209"/>
      <c r="AB217" s="1209"/>
    </row>
    <row r="218">
      <c r="A218" s="1271"/>
      <c r="B218" s="1271" t="s">
        <v>3510</v>
      </c>
      <c r="C218" s="1271" t="s">
        <v>3237</v>
      </c>
      <c r="D218" s="1272">
        <v>19900.0</v>
      </c>
      <c r="E218" s="1272">
        <v>19900.0</v>
      </c>
      <c r="F218" s="1272">
        <v>19900.0</v>
      </c>
      <c r="G218" s="1272">
        <v>19900.0</v>
      </c>
      <c r="H218" s="1272">
        <v>19900.0</v>
      </c>
      <c r="I218" s="1272">
        <v>19900.0</v>
      </c>
      <c r="J218" s="1272">
        <v>19900.0</v>
      </c>
      <c r="K218" s="1272">
        <v>19900.0</v>
      </c>
      <c r="L218" s="1272">
        <v>19900.0</v>
      </c>
      <c r="M218" s="1272">
        <v>19900.0</v>
      </c>
      <c r="N218" s="1272">
        <v>19900.0</v>
      </c>
      <c r="O218" s="1272">
        <v>19900.0</v>
      </c>
      <c r="P218" s="1267"/>
      <c r="R218" s="1209"/>
      <c r="S218" s="1209"/>
      <c r="T218" s="1209"/>
      <c r="U218" s="1209"/>
      <c r="V218" s="1209"/>
      <c r="W218" s="1209"/>
      <c r="X218" s="1209"/>
      <c r="Y218" s="1209"/>
      <c r="Z218" s="1209"/>
      <c r="AA218" s="1209"/>
      <c r="AB218" s="1209"/>
    </row>
    <row r="219">
      <c r="A219" s="1271"/>
      <c r="B219" s="1271" t="s">
        <v>3510</v>
      </c>
      <c r="C219" s="1271" t="s">
        <v>3511</v>
      </c>
      <c r="D219" s="1272">
        <v>10000.0</v>
      </c>
      <c r="E219" s="1272">
        <v>10000.0</v>
      </c>
      <c r="F219" s="1272">
        <v>10000.0</v>
      </c>
      <c r="G219" s="1272">
        <v>10000.0</v>
      </c>
      <c r="H219" s="1272">
        <v>10000.0</v>
      </c>
      <c r="I219" s="1272">
        <v>10000.0</v>
      </c>
      <c r="J219" s="1272">
        <v>10000.0</v>
      </c>
      <c r="K219" s="1272">
        <v>10000.0</v>
      </c>
      <c r="L219" s="1272">
        <v>10000.0</v>
      </c>
      <c r="M219" s="1272">
        <v>10000.0</v>
      </c>
      <c r="N219" s="1272">
        <v>10000.0</v>
      </c>
      <c r="O219" s="1272">
        <v>10000.0</v>
      </c>
      <c r="P219" s="1267"/>
      <c r="R219" s="1209"/>
      <c r="S219" s="1209"/>
      <c r="T219" s="1209"/>
      <c r="U219" s="1209"/>
      <c r="V219" s="1209"/>
      <c r="W219" s="1209"/>
      <c r="X219" s="1209"/>
      <c r="Y219" s="1209"/>
      <c r="Z219" s="1209"/>
      <c r="AA219" s="1209"/>
      <c r="AB219" s="1209"/>
    </row>
    <row r="220">
      <c r="A220" s="1271"/>
      <c r="B220" s="1271" t="s">
        <v>3510</v>
      </c>
      <c r="C220" s="1271" t="s">
        <v>3481</v>
      </c>
      <c r="D220" s="1272">
        <v>40000.0</v>
      </c>
      <c r="E220" s="1272">
        <v>40000.0</v>
      </c>
      <c r="F220" s="1272">
        <v>40000.0</v>
      </c>
      <c r="G220" s="1272">
        <v>40000.0</v>
      </c>
      <c r="H220" s="1272">
        <v>40000.0</v>
      </c>
      <c r="I220" s="1272">
        <v>40000.0</v>
      </c>
      <c r="J220" s="1272">
        <v>40000.0</v>
      </c>
      <c r="K220" s="1272">
        <v>40000.0</v>
      </c>
      <c r="L220" s="1272">
        <v>40000.0</v>
      </c>
      <c r="M220" s="1272">
        <v>40000.0</v>
      </c>
      <c r="N220" s="1272">
        <v>30000.0</v>
      </c>
      <c r="O220" s="1272">
        <v>30000.0</v>
      </c>
      <c r="P220" s="1267"/>
      <c r="R220" s="1209"/>
      <c r="S220" s="1209"/>
      <c r="T220" s="1209"/>
      <c r="U220" s="1209"/>
      <c r="V220" s="1209"/>
      <c r="W220" s="1209"/>
      <c r="X220" s="1209"/>
      <c r="Y220" s="1209"/>
      <c r="Z220" s="1209"/>
      <c r="AA220" s="1209"/>
      <c r="AB220" s="1209"/>
    </row>
    <row r="221">
      <c r="A221" s="1271"/>
      <c r="B221" s="1271" t="s">
        <v>3510</v>
      </c>
      <c r="C221" s="1271" t="s">
        <v>3238</v>
      </c>
      <c r="D221" s="1272">
        <v>17800.0</v>
      </c>
      <c r="E221" s="1272">
        <v>40790.0</v>
      </c>
      <c r="F221" s="1272">
        <v>21340.0</v>
      </c>
      <c r="G221" s="1272">
        <v>26000.0</v>
      </c>
      <c r="H221" s="1272">
        <v>110000.0</v>
      </c>
      <c r="I221" s="1272">
        <v>104900.0</v>
      </c>
      <c r="J221" s="1272">
        <v>46640.0</v>
      </c>
      <c r="K221" s="1272">
        <v>0.0</v>
      </c>
      <c r="L221" s="1272">
        <v>16900.0</v>
      </c>
      <c r="M221" s="1272">
        <v>0.0</v>
      </c>
      <c r="N221" s="1272">
        <f>39800-N220</f>
        <v>9800</v>
      </c>
      <c r="O221" s="1272">
        <f>69800-O220</f>
        <v>39800</v>
      </c>
      <c r="P221" s="1269">
        <f>SUM(J221:M221)</f>
        <v>63540</v>
      </c>
      <c r="R221" s="1209"/>
      <c r="S221" s="1209"/>
      <c r="T221" s="1209"/>
      <c r="U221" s="1209"/>
      <c r="V221" s="1209"/>
      <c r="W221" s="1209"/>
      <c r="X221" s="1209"/>
      <c r="Y221" s="1209"/>
      <c r="Z221" s="1209"/>
      <c r="AA221" s="1209"/>
      <c r="AB221" s="1209"/>
    </row>
    <row r="222">
      <c r="A222" s="1218"/>
      <c r="B222" s="1218" t="s">
        <v>3512</v>
      </c>
      <c r="C222" s="846" t="s">
        <v>3499</v>
      </c>
      <c r="D222" s="1265">
        <v>234630.0</v>
      </c>
      <c r="E222" s="1265">
        <v>240110.0</v>
      </c>
      <c r="F222" s="1265">
        <v>238170.0</v>
      </c>
      <c r="G222" s="1267"/>
      <c r="H222" s="1267"/>
      <c r="I222" s="1267"/>
      <c r="J222" s="1267"/>
      <c r="K222" s="1267"/>
      <c r="L222" s="1267"/>
      <c r="M222" s="1267"/>
      <c r="N222" s="1267"/>
      <c r="O222" s="1267"/>
      <c r="P222" s="1267"/>
      <c r="R222" s="1209"/>
      <c r="S222" s="1209"/>
      <c r="T222" s="1209"/>
      <c r="U222" s="1209"/>
      <c r="V222" s="1209"/>
      <c r="W222" s="1209"/>
      <c r="X222" s="1209"/>
      <c r="Y222" s="1209"/>
      <c r="Z222" s="1209"/>
      <c r="AA222" s="1209"/>
      <c r="AB222" s="1209"/>
    </row>
    <row r="223">
      <c r="A223" s="1218"/>
      <c r="B223" s="1218" t="s">
        <v>3512</v>
      </c>
      <c r="C223" s="1218" t="s">
        <v>3304</v>
      </c>
      <c r="D223" s="1265" t="s">
        <v>680</v>
      </c>
      <c r="E223" s="1265" t="s">
        <v>680</v>
      </c>
      <c r="F223" s="1265" t="s">
        <v>680</v>
      </c>
      <c r="G223" s="1265" t="s">
        <v>680</v>
      </c>
      <c r="H223" s="1265" t="s">
        <v>680</v>
      </c>
      <c r="I223" s="1265" t="s">
        <v>680</v>
      </c>
      <c r="J223" s="1265" t="s">
        <v>680</v>
      </c>
      <c r="K223" s="1265" t="s">
        <v>680</v>
      </c>
      <c r="L223" s="1265" t="s">
        <v>680</v>
      </c>
      <c r="M223" s="1265" t="s">
        <v>680</v>
      </c>
      <c r="N223" s="1265" t="s">
        <v>680</v>
      </c>
      <c r="O223" s="1265" t="s">
        <v>680</v>
      </c>
      <c r="P223" s="1267"/>
      <c r="R223" s="1209"/>
      <c r="S223" s="1209"/>
      <c r="T223" s="1209"/>
      <c r="U223" s="1209"/>
      <c r="V223" s="1209"/>
      <c r="W223" s="1209"/>
      <c r="X223" s="1209"/>
      <c r="Y223" s="1209"/>
      <c r="Z223" s="1209"/>
      <c r="AA223" s="1209"/>
      <c r="AB223" s="1209"/>
    </row>
    <row r="224">
      <c r="A224" s="1218"/>
      <c r="B224" s="1218" t="s">
        <v>3512</v>
      </c>
      <c r="C224" s="1218" t="s">
        <v>3232</v>
      </c>
      <c r="D224" s="1265">
        <v>208270.0</v>
      </c>
      <c r="E224" s="1265">
        <v>266030.0</v>
      </c>
      <c r="F224" s="1265">
        <v>107680.0</v>
      </c>
      <c r="G224" s="1267"/>
      <c r="H224" s="1267"/>
      <c r="I224" s="1267"/>
      <c r="J224" s="1267"/>
      <c r="K224" s="1267"/>
      <c r="L224" s="1267"/>
      <c r="M224" s="1267"/>
      <c r="N224" s="1267"/>
      <c r="O224" s="1267"/>
      <c r="P224" s="1267"/>
      <c r="Q224" s="1209"/>
      <c r="R224" s="1209"/>
      <c r="S224" s="1209"/>
      <c r="T224" s="1209"/>
      <c r="U224" s="1209"/>
      <c r="V224" s="1209"/>
      <c r="W224" s="1209"/>
      <c r="X224" s="1209"/>
      <c r="Y224" s="1209"/>
      <c r="Z224" s="1209"/>
      <c r="AA224" s="1209"/>
      <c r="AB224" s="1209"/>
    </row>
    <row r="225">
      <c r="A225" s="1218"/>
      <c r="B225" s="1218" t="s">
        <v>3512</v>
      </c>
      <c r="C225" s="1218" t="s">
        <v>802</v>
      </c>
      <c r="D225" s="1265" t="s">
        <v>680</v>
      </c>
      <c r="E225" s="1265" t="s">
        <v>680</v>
      </c>
      <c r="F225" s="1265" t="s">
        <v>680</v>
      </c>
      <c r="G225" s="1265" t="s">
        <v>680</v>
      </c>
      <c r="H225" s="1265" t="s">
        <v>680</v>
      </c>
      <c r="I225" s="1265" t="s">
        <v>680</v>
      </c>
      <c r="J225" s="1265" t="s">
        <v>680</v>
      </c>
      <c r="K225" s="1265" t="s">
        <v>680</v>
      </c>
      <c r="L225" s="1265" t="s">
        <v>680</v>
      </c>
      <c r="M225" s="1265" t="s">
        <v>680</v>
      </c>
      <c r="N225" s="1265" t="s">
        <v>680</v>
      </c>
      <c r="O225" s="1265" t="s">
        <v>680</v>
      </c>
      <c r="P225" s="1267"/>
      <c r="Q225" s="1209"/>
      <c r="R225" s="1209"/>
      <c r="S225" s="1209"/>
      <c r="T225" s="1209"/>
      <c r="U225" s="1209"/>
      <c r="V225" s="1209"/>
      <c r="W225" s="1209"/>
      <c r="X225" s="1209"/>
      <c r="Y225" s="1209"/>
      <c r="Z225" s="1209"/>
      <c r="AA225" s="1209"/>
      <c r="AB225" s="1209"/>
    </row>
    <row r="226">
      <c r="A226" s="1218"/>
      <c r="B226" s="1218" t="s">
        <v>3512</v>
      </c>
      <c r="C226" s="1218" t="s">
        <v>3235</v>
      </c>
      <c r="D226" s="1265">
        <v>23100.0</v>
      </c>
      <c r="E226" s="1265">
        <v>23100.0</v>
      </c>
      <c r="F226" s="1265">
        <v>23100.0</v>
      </c>
      <c r="G226" s="1265">
        <v>23100.0</v>
      </c>
      <c r="H226" s="1265">
        <v>23100.0</v>
      </c>
      <c r="I226" s="1265">
        <v>23100.0</v>
      </c>
      <c r="J226" s="1265">
        <v>23100.0</v>
      </c>
      <c r="K226" s="1265">
        <v>23100.0</v>
      </c>
      <c r="L226" s="1265">
        <v>23100.0</v>
      </c>
      <c r="M226" s="1265">
        <v>23100.0</v>
      </c>
      <c r="N226" s="1265">
        <v>23100.0</v>
      </c>
      <c r="O226" s="1265">
        <v>23100.0</v>
      </c>
      <c r="P226" s="1267"/>
      <c r="Q226" s="1209"/>
      <c r="R226" s="1209"/>
      <c r="S226" s="1209"/>
      <c r="T226" s="1209"/>
      <c r="U226" s="1209"/>
      <c r="V226" s="1209"/>
      <c r="W226" s="1209"/>
      <c r="X226" s="1209"/>
      <c r="Y226" s="1209"/>
      <c r="Z226" s="1209"/>
      <c r="AA226" s="1209"/>
      <c r="AB226" s="1209"/>
    </row>
    <row r="227">
      <c r="A227" s="1218"/>
      <c r="B227" s="1218" t="s">
        <v>3512</v>
      </c>
      <c r="C227" s="1218" t="s">
        <v>3237</v>
      </c>
      <c r="D227" s="1265">
        <v>19900.0</v>
      </c>
      <c r="E227" s="1265">
        <v>19900.0</v>
      </c>
      <c r="F227" s="1265">
        <v>19900.0</v>
      </c>
      <c r="G227" s="1265">
        <v>19900.0</v>
      </c>
      <c r="H227" s="1265">
        <v>19900.0</v>
      </c>
      <c r="I227" s="1265">
        <v>19900.0</v>
      </c>
      <c r="J227" s="1265">
        <v>19900.0</v>
      </c>
      <c r="K227" s="1265">
        <v>19900.0</v>
      </c>
      <c r="L227" s="1265">
        <v>19900.0</v>
      </c>
      <c r="M227" s="1265">
        <v>19900.0</v>
      </c>
      <c r="N227" s="1265">
        <v>19900.0</v>
      </c>
      <c r="O227" s="1265">
        <v>19900.0</v>
      </c>
      <c r="P227" s="1267"/>
      <c r="Q227" s="1209"/>
      <c r="R227" s="1209"/>
      <c r="S227" s="1209"/>
      <c r="T227" s="1209"/>
      <c r="U227" s="1209"/>
      <c r="V227" s="1209"/>
      <c r="W227" s="1209"/>
      <c r="X227" s="1209"/>
      <c r="Y227" s="1209"/>
      <c r="Z227" s="1209"/>
      <c r="AA227" s="1209"/>
      <c r="AB227" s="1209"/>
    </row>
    <row r="228">
      <c r="A228" s="1218"/>
      <c r="B228" s="1218" t="s">
        <v>3512</v>
      </c>
      <c r="C228" s="1218" t="s">
        <v>3511</v>
      </c>
      <c r="D228" s="1265">
        <v>10000.0</v>
      </c>
      <c r="E228" s="1265">
        <v>10000.0</v>
      </c>
      <c r="F228" s="1265">
        <v>10000.0</v>
      </c>
      <c r="G228" s="1265">
        <v>10000.0</v>
      </c>
      <c r="H228" s="1265">
        <v>10000.0</v>
      </c>
      <c r="I228" s="1265">
        <v>10000.0</v>
      </c>
      <c r="J228" s="1265">
        <v>10000.0</v>
      </c>
      <c r="K228" s="1265">
        <v>10000.0</v>
      </c>
      <c r="L228" s="1265">
        <v>10000.0</v>
      </c>
      <c r="M228" s="1265">
        <v>10000.0</v>
      </c>
      <c r="N228" s="1265">
        <v>10000.0</v>
      </c>
      <c r="O228" s="1265">
        <v>10000.0</v>
      </c>
      <c r="P228" s="1267"/>
      <c r="R228" s="1209"/>
      <c r="S228" s="1209"/>
      <c r="T228" s="1209"/>
      <c r="U228" s="1209"/>
      <c r="V228" s="1209"/>
      <c r="W228" s="1209"/>
      <c r="X228" s="1209"/>
      <c r="Y228" s="1209"/>
      <c r="Z228" s="1209"/>
      <c r="AA228" s="1209"/>
      <c r="AB228" s="1209"/>
    </row>
    <row r="229">
      <c r="A229" s="1218"/>
      <c r="B229" s="1218" t="s">
        <v>3512</v>
      </c>
      <c r="C229" s="1218" t="s">
        <v>3481</v>
      </c>
      <c r="D229" s="1265">
        <v>40000.0</v>
      </c>
      <c r="E229" s="1265">
        <v>40000.0</v>
      </c>
      <c r="F229" s="1265">
        <v>40000.0</v>
      </c>
      <c r="G229" s="1265">
        <v>40000.0</v>
      </c>
      <c r="H229" s="1265">
        <v>40000.0</v>
      </c>
      <c r="I229" s="1265">
        <v>40000.0</v>
      </c>
      <c r="J229" s="1265">
        <v>40000.0</v>
      </c>
      <c r="K229" s="1265">
        <v>40000.0</v>
      </c>
      <c r="L229" s="1265">
        <v>40000.0</v>
      </c>
      <c r="M229" s="1265">
        <v>40000.0</v>
      </c>
      <c r="N229" s="1265">
        <v>40000.0</v>
      </c>
      <c r="O229" s="1265">
        <v>40000.0</v>
      </c>
      <c r="P229" s="1267"/>
      <c r="R229" s="1209"/>
      <c r="S229" s="1209"/>
      <c r="T229" s="1209"/>
      <c r="U229" s="1209"/>
      <c r="V229" s="1209"/>
      <c r="W229" s="1209"/>
      <c r="X229" s="1209"/>
      <c r="Y229" s="1209"/>
      <c r="Z229" s="1209"/>
      <c r="AA229" s="1209"/>
      <c r="AB229" s="1209"/>
    </row>
    <row r="230">
      <c r="A230" s="1218"/>
      <c r="B230" s="1218" t="s">
        <v>3512</v>
      </c>
      <c r="C230" s="1218" t="s">
        <v>3238</v>
      </c>
      <c r="D230" s="1265"/>
      <c r="E230" s="1267"/>
      <c r="F230" s="1265">
        <v>111830.0</v>
      </c>
      <c r="G230" s="1267"/>
      <c r="H230" s="1265">
        <v>81180.0</v>
      </c>
      <c r="I230" s="1265">
        <v>54970.0</v>
      </c>
      <c r="J230" s="1265">
        <v>5000.0</v>
      </c>
      <c r="K230" s="1265">
        <v>200000.0</v>
      </c>
      <c r="L230" s="1267"/>
      <c r="M230" s="1267"/>
      <c r="N230" s="1267"/>
      <c r="O230" s="1265">
        <v>0.0</v>
      </c>
      <c r="P230" s="1269">
        <f>SUM(J230:M230)</f>
        <v>205000</v>
      </c>
      <c r="R230" s="1209"/>
      <c r="S230" s="1209"/>
      <c r="T230" s="1209"/>
      <c r="U230" s="1209"/>
      <c r="V230" s="1209"/>
      <c r="W230" s="1209"/>
      <c r="X230" s="1209"/>
      <c r="Y230" s="1209"/>
      <c r="Z230" s="1209"/>
      <c r="AA230" s="1209"/>
      <c r="AB230" s="1209"/>
    </row>
    <row r="231">
      <c r="A231" s="1271"/>
      <c r="B231" s="1271" t="s">
        <v>3513</v>
      </c>
      <c r="C231" s="1271" t="s">
        <v>3304</v>
      </c>
      <c r="D231" s="1272">
        <v>40470.0</v>
      </c>
      <c r="E231" s="1272">
        <v>53820.0</v>
      </c>
      <c r="F231" s="1272">
        <v>30980.0</v>
      </c>
      <c r="G231" s="1272"/>
      <c r="H231" s="1272"/>
      <c r="I231" s="1272"/>
      <c r="J231" s="1272"/>
      <c r="K231" s="1272"/>
      <c r="L231" s="1272"/>
      <c r="M231" s="1272"/>
      <c r="N231" s="1272"/>
      <c r="O231" s="1272"/>
      <c r="P231" s="1267"/>
      <c r="R231" s="1209"/>
      <c r="S231" s="1209"/>
      <c r="T231" s="1209"/>
      <c r="U231" s="1209"/>
      <c r="V231" s="1209"/>
      <c r="W231" s="1209"/>
      <c r="X231" s="1209"/>
      <c r="Y231" s="1209"/>
      <c r="Z231" s="1209"/>
      <c r="AA231" s="1209"/>
      <c r="AB231" s="1209"/>
    </row>
    <row r="232">
      <c r="A232" s="1271"/>
      <c r="B232" s="1271" t="s">
        <v>3513</v>
      </c>
      <c r="C232" s="1271" t="s">
        <v>3232</v>
      </c>
      <c r="D232" s="1272">
        <v>137030.0</v>
      </c>
      <c r="E232" s="1272">
        <v>205990.0</v>
      </c>
      <c r="F232" s="1272">
        <v>121740.0</v>
      </c>
      <c r="G232" s="1272"/>
      <c r="H232" s="1272"/>
      <c r="I232" s="1272"/>
      <c r="J232" s="1272"/>
      <c r="K232" s="1272"/>
      <c r="L232" s="1272"/>
      <c r="M232" s="1272"/>
      <c r="N232" s="1272"/>
      <c r="O232" s="1272"/>
      <c r="P232" s="1267"/>
      <c r="R232" s="1209"/>
      <c r="S232" s="1209"/>
      <c r="T232" s="1209"/>
      <c r="U232" s="1209"/>
      <c r="V232" s="1209"/>
      <c r="W232" s="1209"/>
      <c r="X232" s="1209"/>
      <c r="Y232" s="1209"/>
      <c r="Z232" s="1209"/>
      <c r="AA232" s="1209"/>
      <c r="AB232" s="1209"/>
    </row>
    <row r="233">
      <c r="A233" s="1271"/>
      <c r="B233" s="1271" t="s">
        <v>3513</v>
      </c>
      <c r="C233" s="1271" t="s">
        <v>802</v>
      </c>
      <c r="D233" s="1272">
        <v>10000.0</v>
      </c>
      <c r="E233" s="1272">
        <v>10000.0</v>
      </c>
      <c r="F233" s="1272">
        <v>10000.0</v>
      </c>
      <c r="G233" s="1272">
        <v>10000.0</v>
      </c>
      <c r="H233" s="1272">
        <v>10000.0</v>
      </c>
      <c r="I233" s="1272">
        <v>10000.0</v>
      </c>
      <c r="J233" s="1272">
        <v>10000.0</v>
      </c>
      <c r="K233" s="1272">
        <v>10000.0</v>
      </c>
      <c r="L233" s="1272">
        <v>10000.0</v>
      </c>
      <c r="M233" s="1272">
        <v>10000.0</v>
      </c>
      <c r="N233" s="1272">
        <v>10000.0</v>
      </c>
      <c r="O233" s="1272">
        <v>10000.0</v>
      </c>
      <c r="P233" s="1267"/>
      <c r="R233" s="1209"/>
      <c r="S233" s="1209"/>
      <c r="T233" s="1209"/>
      <c r="U233" s="1209"/>
      <c r="V233" s="1209"/>
      <c r="W233" s="1209"/>
      <c r="X233" s="1209"/>
      <c r="Y233" s="1209"/>
      <c r="Z233" s="1209"/>
      <c r="AA233" s="1209"/>
      <c r="AB233" s="1209"/>
    </row>
    <row r="234">
      <c r="A234" s="1271"/>
      <c r="B234" s="1271" t="s">
        <v>3513</v>
      </c>
      <c r="C234" s="1271" t="s">
        <v>3235</v>
      </c>
      <c r="D234" s="1272">
        <v>23100.0</v>
      </c>
      <c r="E234" s="1272">
        <v>23100.0</v>
      </c>
      <c r="F234" s="1272">
        <v>23100.0</v>
      </c>
      <c r="G234" s="1272">
        <v>23100.0</v>
      </c>
      <c r="H234" s="1272">
        <v>23100.0</v>
      </c>
      <c r="I234" s="1272">
        <v>23100.0</v>
      </c>
      <c r="J234" s="1272">
        <v>23100.0</v>
      </c>
      <c r="K234" s="1272">
        <v>23100.0</v>
      </c>
      <c r="L234" s="1272">
        <v>23100.0</v>
      </c>
      <c r="M234" s="1272">
        <v>23100.0</v>
      </c>
      <c r="N234" s="1272">
        <v>23100.0</v>
      </c>
      <c r="O234" s="1272">
        <v>23100.0</v>
      </c>
      <c r="P234" s="1267"/>
      <c r="R234" s="1209"/>
      <c r="S234" s="1209"/>
      <c r="T234" s="1209"/>
      <c r="U234" s="1209"/>
      <c r="V234" s="1209"/>
      <c r="W234" s="1209"/>
      <c r="X234" s="1209"/>
      <c r="Y234" s="1209"/>
      <c r="Z234" s="1209"/>
      <c r="AA234" s="1209"/>
      <c r="AB234" s="1209"/>
    </row>
    <row r="235">
      <c r="A235" s="1271"/>
      <c r="B235" s="1271" t="s">
        <v>3513</v>
      </c>
      <c r="C235" s="1271" t="s">
        <v>3237</v>
      </c>
      <c r="D235" s="1272">
        <v>19900.0</v>
      </c>
      <c r="E235" s="1272">
        <v>19900.0</v>
      </c>
      <c r="F235" s="1272">
        <v>19900.0</v>
      </c>
      <c r="G235" s="1272">
        <v>19900.0</v>
      </c>
      <c r="H235" s="1272">
        <v>19900.0</v>
      </c>
      <c r="I235" s="1272">
        <v>19900.0</v>
      </c>
      <c r="J235" s="1272">
        <v>19900.0</v>
      </c>
      <c r="K235" s="1272">
        <v>19900.0</v>
      </c>
      <c r="L235" s="1272">
        <v>19900.0</v>
      </c>
      <c r="M235" s="1272">
        <v>19900.0</v>
      </c>
      <c r="N235" s="1272">
        <v>19900.0</v>
      </c>
      <c r="O235" s="1272">
        <v>19900.0</v>
      </c>
      <c r="P235" s="1267"/>
      <c r="R235" s="1209"/>
      <c r="S235" s="1209"/>
      <c r="T235" s="1209"/>
      <c r="U235" s="1209"/>
      <c r="V235" s="1209"/>
      <c r="W235" s="1209"/>
      <c r="X235" s="1209"/>
      <c r="Y235" s="1209"/>
      <c r="Z235" s="1209"/>
      <c r="AA235" s="1209"/>
      <c r="AB235" s="1209"/>
    </row>
    <row r="236">
      <c r="A236" s="1271"/>
      <c r="B236" s="1271" t="s">
        <v>3513</v>
      </c>
      <c r="C236" s="1271" t="s">
        <v>3511</v>
      </c>
      <c r="D236" s="1272">
        <v>10000.0</v>
      </c>
      <c r="E236" s="1272">
        <v>10000.0</v>
      </c>
      <c r="F236" s="1272">
        <v>10000.0</v>
      </c>
      <c r="G236" s="1272">
        <v>10000.0</v>
      </c>
      <c r="H236" s="1272">
        <v>10000.0</v>
      </c>
      <c r="I236" s="1272">
        <v>10000.0</v>
      </c>
      <c r="J236" s="1272">
        <v>10000.0</v>
      </c>
      <c r="K236" s="1272">
        <v>10000.0</v>
      </c>
      <c r="L236" s="1272">
        <v>10000.0</v>
      </c>
      <c r="M236" s="1272">
        <v>10000.0</v>
      </c>
      <c r="N236" s="1272">
        <v>10000.0</v>
      </c>
      <c r="O236" s="1272">
        <v>10000.0</v>
      </c>
      <c r="P236" s="1267"/>
      <c r="R236" s="1209"/>
      <c r="S236" s="1209"/>
      <c r="T236" s="1209"/>
      <c r="U236" s="1209"/>
      <c r="V236" s="1209"/>
      <c r="W236" s="1209"/>
      <c r="X236" s="1209"/>
      <c r="Y236" s="1209"/>
      <c r="Z236" s="1209"/>
      <c r="AA236" s="1209"/>
      <c r="AB236" s="1209"/>
    </row>
    <row r="237">
      <c r="A237" s="1271"/>
      <c r="B237" s="1271" t="s">
        <v>3513</v>
      </c>
      <c r="C237" s="1271" t="s">
        <v>3481</v>
      </c>
      <c r="D237" s="1272">
        <v>30000.0</v>
      </c>
      <c r="E237" s="1272">
        <v>30000.0</v>
      </c>
      <c r="F237" s="1272">
        <v>30000.0</v>
      </c>
      <c r="G237" s="1272">
        <v>30000.0</v>
      </c>
      <c r="H237" s="1272">
        <v>30000.0</v>
      </c>
      <c r="I237" s="1272">
        <v>30000.0</v>
      </c>
      <c r="J237" s="1272">
        <v>30000.0</v>
      </c>
      <c r="K237" s="1272">
        <v>30000.0</v>
      </c>
      <c r="L237" s="1272">
        <v>30000.0</v>
      </c>
      <c r="M237" s="1272">
        <v>30000.0</v>
      </c>
      <c r="N237" s="1272">
        <v>30000.0</v>
      </c>
      <c r="O237" s="1272">
        <v>30000.0</v>
      </c>
      <c r="P237" s="1267"/>
      <c r="R237" s="1209"/>
      <c r="S237" s="1209"/>
      <c r="T237" s="1209"/>
      <c r="U237" s="1209"/>
      <c r="V237" s="1209"/>
      <c r="W237" s="1209"/>
      <c r="X237" s="1209"/>
      <c r="Y237" s="1209"/>
      <c r="Z237" s="1209"/>
      <c r="AA237" s="1209"/>
      <c r="AB237" s="1209"/>
    </row>
    <row r="238">
      <c r="A238" s="1271"/>
      <c r="B238" s="1271" t="s">
        <v>3513</v>
      </c>
      <c r="C238" s="1271" t="s">
        <v>3238</v>
      </c>
      <c r="D238" s="1272"/>
      <c r="E238" s="1272"/>
      <c r="F238" s="1272"/>
      <c r="G238" s="1272">
        <v>14800.0</v>
      </c>
      <c r="H238" s="1272">
        <v>110360.0</v>
      </c>
      <c r="I238" s="1272">
        <v>32500.0</v>
      </c>
      <c r="J238" s="1272">
        <v>4900.0</v>
      </c>
      <c r="K238" s="1272">
        <v>148360.0</v>
      </c>
      <c r="L238" s="1272">
        <v>0.0</v>
      </c>
      <c r="M238" s="1272">
        <v>0.0</v>
      </c>
      <c r="N238" s="1272"/>
      <c r="O238" s="1272">
        <v>0.0</v>
      </c>
      <c r="P238" s="1269">
        <f>SUM(J238:M238)</f>
        <v>153260</v>
      </c>
      <c r="R238" s="1209"/>
      <c r="S238" s="1209"/>
      <c r="T238" s="1209"/>
      <c r="U238" s="1209"/>
      <c r="V238" s="1209"/>
      <c r="W238" s="1209"/>
      <c r="X238" s="1209"/>
      <c r="Y238" s="1209"/>
      <c r="Z238" s="1209"/>
      <c r="AA238" s="1209"/>
      <c r="AB238" s="1209"/>
    </row>
    <row r="239">
      <c r="A239" s="1218"/>
      <c r="B239" s="1218" t="s">
        <v>3514</v>
      </c>
      <c r="C239" s="1218" t="s">
        <v>3304</v>
      </c>
      <c r="D239" s="1265">
        <v>24180.0</v>
      </c>
      <c r="E239" s="1265">
        <v>22860.0</v>
      </c>
      <c r="F239" s="1265">
        <v>22000.0</v>
      </c>
      <c r="G239" s="1267"/>
      <c r="H239" s="1267"/>
      <c r="I239" s="1267"/>
      <c r="J239" s="1267"/>
      <c r="K239" s="1267"/>
      <c r="L239" s="1267"/>
      <c r="M239" s="1267"/>
      <c r="N239" s="1267"/>
      <c r="O239" s="1267"/>
      <c r="P239" s="1267"/>
      <c r="R239" s="1209"/>
      <c r="S239" s="1209"/>
      <c r="T239" s="1209"/>
      <c r="U239" s="1209"/>
      <c r="V239" s="1209"/>
      <c r="W239" s="1209"/>
      <c r="X239" s="1209"/>
      <c r="Y239" s="1209"/>
      <c r="Z239" s="1209"/>
      <c r="AA239" s="1209"/>
      <c r="AB239" s="1209"/>
    </row>
    <row r="240">
      <c r="A240" s="1218"/>
      <c r="B240" s="1218" t="s">
        <v>3514</v>
      </c>
      <c r="C240" s="1218" t="s">
        <v>3232</v>
      </c>
      <c r="D240" s="1265">
        <v>179900.0</v>
      </c>
      <c r="E240" s="1265">
        <v>212850.0</v>
      </c>
      <c r="F240" s="1265">
        <v>190290.0</v>
      </c>
      <c r="G240" s="1267"/>
      <c r="H240" s="1267"/>
      <c r="I240" s="1267"/>
      <c r="J240" s="1267"/>
      <c r="K240" s="1267"/>
      <c r="L240" s="1267"/>
      <c r="M240" s="1267"/>
      <c r="N240" s="1267"/>
      <c r="O240" s="1267"/>
      <c r="P240" s="1267"/>
      <c r="R240" s="1209"/>
      <c r="S240" s="1209"/>
      <c r="T240" s="1209"/>
      <c r="U240" s="1209"/>
      <c r="V240" s="1209"/>
      <c r="W240" s="1209"/>
      <c r="X240" s="1209"/>
      <c r="Y240" s="1209"/>
      <c r="Z240" s="1209"/>
      <c r="AA240" s="1209"/>
      <c r="AB240" s="1209"/>
    </row>
    <row r="241">
      <c r="A241" s="1218"/>
      <c r="B241" s="1218" t="s">
        <v>3514</v>
      </c>
      <c r="C241" s="1218" t="s">
        <v>802</v>
      </c>
      <c r="D241" s="1265">
        <v>5000.0</v>
      </c>
      <c r="E241" s="1265">
        <v>5000.0</v>
      </c>
      <c r="F241" s="1265">
        <v>5000.0</v>
      </c>
      <c r="G241" s="1265">
        <v>5000.0</v>
      </c>
      <c r="H241" s="1265">
        <v>5000.0</v>
      </c>
      <c r="I241" s="1265">
        <v>5000.0</v>
      </c>
      <c r="J241" s="1265">
        <v>5000.0</v>
      </c>
      <c r="K241" s="1265">
        <v>5000.0</v>
      </c>
      <c r="L241" s="1265">
        <v>5000.0</v>
      </c>
      <c r="M241" s="1265">
        <v>5000.0</v>
      </c>
      <c r="N241" s="1265">
        <v>5000.0</v>
      </c>
      <c r="O241" s="1265">
        <v>5000.0</v>
      </c>
      <c r="P241" s="1267"/>
      <c r="R241" s="1209"/>
      <c r="S241" s="1209"/>
      <c r="T241" s="1209"/>
      <c r="U241" s="1209"/>
      <c r="V241" s="1209"/>
      <c r="W241" s="1209"/>
      <c r="X241" s="1209"/>
      <c r="Y241" s="1209"/>
      <c r="Z241" s="1209"/>
      <c r="AA241" s="1209"/>
      <c r="AB241" s="1209"/>
    </row>
    <row r="242">
      <c r="A242" s="1218"/>
      <c r="B242" s="1218" t="s">
        <v>3514</v>
      </c>
      <c r="C242" s="1218" t="s">
        <v>3235</v>
      </c>
      <c r="D242" s="1265">
        <v>23100.0</v>
      </c>
      <c r="E242" s="1265">
        <v>23100.0</v>
      </c>
      <c r="F242" s="1265">
        <v>23100.0</v>
      </c>
      <c r="G242" s="1265">
        <v>23100.0</v>
      </c>
      <c r="H242" s="1265">
        <v>23100.0</v>
      </c>
      <c r="I242" s="1265">
        <v>23100.0</v>
      </c>
      <c r="J242" s="1265">
        <v>23100.0</v>
      </c>
      <c r="K242" s="1265">
        <v>23100.0</v>
      </c>
      <c r="L242" s="1265">
        <v>23100.0</v>
      </c>
      <c r="M242" s="1265">
        <v>23100.0</v>
      </c>
      <c r="N242" s="1265">
        <v>23100.0</v>
      </c>
      <c r="O242" s="1265">
        <v>23100.0</v>
      </c>
      <c r="P242" s="1267"/>
      <c r="R242" s="1209"/>
      <c r="S242" s="1209"/>
      <c r="T242" s="1209"/>
      <c r="U242" s="1209"/>
      <c r="V242" s="1209"/>
      <c r="W242" s="1209"/>
      <c r="X242" s="1209"/>
      <c r="Y242" s="1209"/>
      <c r="Z242" s="1209"/>
      <c r="AA242" s="1209"/>
      <c r="AB242" s="1209"/>
    </row>
    <row r="243">
      <c r="A243" s="1218"/>
      <c r="B243" s="1218" t="s">
        <v>3514</v>
      </c>
      <c r="C243" s="1218" t="s">
        <v>3237</v>
      </c>
      <c r="D243" s="1265">
        <v>19900.0</v>
      </c>
      <c r="E243" s="1265">
        <v>19900.0</v>
      </c>
      <c r="F243" s="1265">
        <v>19900.0</v>
      </c>
      <c r="G243" s="1265">
        <v>19900.0</v>
      </c>
      <c r="H243" s="1265">
        <v>19900.0</v>
      </c>
      <c r="I243" s="1265">
        <v>19900.0</v>
      </c>
      <c r="J243" s="1265">
        <v>19900.0</v>
      </c>
      <c r="K243" s="1265">
        <v>19900.0</v>
      </c>
      <c r="L243" s="1265">
        <v>19900.0</v>
      </c>
      <c r="M243" s="1265">
        <v>19900.0</v>
      </c>
      <c r="N243" s="1265">
        <v>19900.0</v>
      </c>
      <c r="O243" s="1265">
        <v>19900.0</v>
      </c>
      <c r="P243" s="1267"/>
      <c r="R243" s="1209"/>
      <c r="S243" s="1209"/>
      <c r="T243" s="1209"/>
      <c r="U243" s="1209"/>
      <c r="V243" s="1209"/>
      <c r="W243" s="1209"/>
      <c r="X243" s="1209"/>
      <c r="Y243" s="1209"/>
      <c r="Z243" s="1209"/>
      <c r="AA243" s="1209"/>
      <c r="AB243" s="1209"/>
    </row>
    <row r="244">
      <c r="A244" s="1218"/>
      <c r="B244" s="1218" t="s">
        <v>3514</v>
      </c>
      <c r="C244" s="1218" t="s">
        <v>3511</v>
      </c>
      <c r="D244" s="1265">
        <v>10000.0</v>
      </c>
      <c r="E244" s="1265">
        <v>10000.0</v>
      </c>
      <c r="F244" s="1265">
        <v>10000.0</v>
      </c>
      <c r="G244" s="1265">
        <v>10000.0</v>
      </c>
      <c r="H244" s="1265">
        <v>10000.0</v>
      </c>
      <c r="I244" s="1265">
        <v>10000.0</v>
      </c>
      <c r="J244" s="1265">
        <v>10000.0</v>
      </c>
      <c r="K244" s="1265">
        <v>10000.0</v>
      </c>
      <c r="L244" s="1265">
        <v>10000.0</v>
      </c>
      <c r="M244" s="1265">
        <v>10000.0</v>
      </c>
      <c r="N244" s="1265">
        <v>10000.0</v>
      </c>
      <c r="O244" s="1265">
        <v>10000.0</v>
      </c>
      <c r="P244" s="1267"/>
      <c r="R244" s="1209"/>
      <c r="S244" s="1209"/>
      <c r="T244" s="1209"/>
      <c r="U244" s="1209"/>
      <c r="V244" s="1209"/>
      <c r="W244" s="1209"/>
      <c r="X244" s="1209"/>
      <c r="Y244" s="1209"/>
      <c r="Z244" s="1209"/>
      <c r="AA244" s="1209"/>
      <c r="AB244" s="1209"/>
    </row>
    <row r="245">
      <c r="A245" s="1218"/>
      <c r="B245" s="1218" t="s">
        <v>3514</v>
      </c>
      <c r="C245" s="1218" t="s">
        <v>3481</v>
      </c>
      <c r="D245" s="1265">
        <v>30000.0</v>
      </c>
      <c r="E245" s="1265">
        <v>30000.0</v>
      </c>
      <c r="F245" s="1265">
        <v>30000.0</v>
      </c>
      <c r="G245" s="1265">
        <v>30000.0</v>
      </c>
      <c r="H245" s="1265">
        <v>30000.0</v>
      </c>
      <c r="I245" s="1265">
        <v>30000.0</v>
      </c>
      <c r="J245" s="1265">
        <v>30000.0</v>
      </c>
      <c r="K245" s="1265">
        <v>30000.0</v>
      </c>
      <c r="L245" s="1265">
        <v>30000.0</v>
      </c>
      <c r="M245" s="1265">
        <v>30000.0</v>
      </c>
      <c r="N245" s="1265">
        <v>30000.0</v>
      </c>
      <c r="O245" s="1265">
        <v>30000.0</v>
      </c>
      <c r="P245" s="1267"/>
      <c r="R245" s="1209"/>
      <c r="S245" s="1209"/>
      <c r="T245" s="1209"/>
      <c r="U245" s="1209"/>
      <c r="V245" s="1209"/>
      <c r="W245" s="1209"/>
      <c r="X245" s="1209"/>
      <c r="Y245" s="1209"/>
      <c r="Z245" s="1209"/>
      <c r="AA245" s="1209"/>
      <c r="AB245" s="1209"/>
    </row>
    <row r="246">
      <c r="A246" s="1218"/>
      <c r="B246" s="1218" t="s">
        <v>3514</v>
      </c>
      <c r="C246" s="1218" t="s">
        <v>3238</v>
      </c>
      <c r="D246" s="1265"/>
      <c r="E246" s="1267"/>
      <c r="F246" s="1267"/>
      <c r="G246" s="1265">
        <v>8700.0</v>
      </c>
      <c r="H246" s="1265">
        <v>52675.0</v>
      </c>
      <c r="I246" s="1265">
        <v>30000.0</v>
      </c>
      <c r="J246" s="1265">
        <v>23480.0</v>
      </c>
      <c r="K246" s="1265">
        <v>0.0</v>
      </c>
      <c r="L246" s="1265">
        <v>0.0</v>
      </c>
      <c r="M246" s="1265">
        <v>0.0</v>
      </c>
      <c r="N246" s="1267"/>
      <c r="O246" s="1265">
        <v>0.0</v>
      </c>
      <c r="P246" s="1269">
        <f>SUM(J246:M246)</f>
        <v>23480</v>
      </c>
      <c r="R246" s="1209"/>
      <c r="S246" s="1209"/>
      <c r="T246" s="1209"/>
      <c r="U246" s="1209"/>
      <c r="V246" s="1209"/>
      <c r="W246" s="1209"/>
      <c r="X246" s="1209"/>
      <c r="Y246" s="1209"/>
      <c r="Z246" s="1209"/>
      <c r="AA246" s="1209"/>
      <c r="AB246" s="1209"/>
    </row>
    <row r="247">
      <c r="A247" s="1271"/>
      <c r="B247" s="1271" t="s">
        <v>1868</v>
      </c>
      <c r="C247" s="1271" t="s">
        <v>3304</v>
      </c>
      <c r="D247" s="1272">
        <v>46100.0</v>
      </c>
      <c r="E247" s="1272">
        <v>45570.0</v>
      </c>
      <c r="F247" s="1272">
        <v>39780.0</v>
      </c>
      <c r="G247" s="1272"/>
      <c r="H247" s="1272"/>
      <c r="I247" s="1272"/>
      <c r="J247" s="1272"/>
      <c r="K247" s="1272"/>
      <c r="L247" s="1272"/>
      <c r="M247" s="1272"/>
      <c r="N247" s="1272"/>
      <c r="O247" s="1272"/>
      <c r="P247" s="1267"/>
      <c r="R247" s="1209"/>
      <c r="S247" s="1209"/>
      <c r="T247" s="1209"/>
      <c r="U247" s="1209"/>
      <c r="V247" s="1209"/>
      <c r="W247" s="1209"/>
      <c r="X247" s="1209"/>
      <c r="Y247" s="1209"/>
      <c r="Z247" s="1209"/>
      <c r="AA247" s="1209"/>
      <c r="AB247" s="1209"/>
    </row>
    <row r="248">
      <c r="A248" s="1271"/>
      <c r="B248" s="1271" t="s">
        <v>1868</v>
      </c>
      <c r="C248" s="1271" t="s">
        <v>3232</v>
      </c>
      <c r="D248" s="1272">
        <v>207800.0</v>
      </c>
      <c r="E248" s="1272">
        <v>236170.0</v>
      </c>
      <c r="F248" s="1272">
        <v>143880.0</v>
      </c>
      <c r="G248" s="1272"/>
      <c r="H248" s="1272"/>
      <c r="I248" s="1272"/>
      <c r="J248" s="1272"/>
      <c r="K248" s="1272"/>
      <c r="L248" s="1272"/>
      <c r="M248" s="1272"/>
      <c r="N248" s="1272"/>
      <c r="O248" s="1272"/>
      <c r="P248" s="1267"/>
      <c r="R248" s="1209"/>
      <c r="S248" s="1209"/>
      <c r="T248" s="1209"/>
      <c r="U248" s="1209"/>
      <c r="V248" s="1209"/>
      <c r="W248" s="1209"/>
      <c r="X248" s="1209"/>
      <c r="Y248" s="1209"/>
      <c r="Z248" s="1209"/>
      <c r="AA248" s="1209"/>
      <c r="AB248" s="1209"/>
    </row>
    <row r="249">
      <c r="A249" s="1271"/>
      <c r="B249" s="1271" t="s">
        <v>1868</v>
      </c>
      <c r="C249" s="1271" t="s">
        <v>802</v>
      </c>
      <c r="D249" s="1272">
        <v>57000.0</v>
      </c>
      <c r="E249" s="1272" t="s">
        <v>3495</v>
      </c>
      <c r="F249" s="1272">
        <v>49500.0</v>
      </c>
      <c r="G249" s="1272"/>
      <c r="H249" s="1272"/>
      <c r="I249" s="1272"/>
      <c r="J249" s="1272"/>
      <c r="K249" s="1272"/>
      <c r="L249" s="1272"/>
      <c r="M249" s="1272"/>
      <c r="N249" s="1272"/>
      <c r="O249" s="1272"/>
      <c r="P249" s="1267"/>
      <c r="R249" s="1209"/>
      <c r="S249" s="1218" t="s">
        <v>802</v>
      </c>
      <c r="T249" s="1218" t="s">
        <v>3443</v>
      </c>
      <c r="U249" s="1209"/>
      <c r="V249" s="1209"/>
      <c r="W249" s="1209"/>
      <c r="X249" s="1209"/>
      <c r="Y249" s="1209"/>
      <c r="Z249" s="1209"/>
      <c r="AA249" s="1209"/>
      <c r="AB249" s="1209"/>
    </row>
    <row r="250">
      <c r="A250" s="1271"/>
      <c r="B250" s="1271" t="s">
        <v>1868</v>
      </c>
      <c r="C250" s="1271" t="s">
        <v>3235</v>
      </c>
      <c r="D250" s="1272">
        <v>27220.0</v>
      </c>
      <c r="E250" s="1272">
        <v>27220.0</v>
      </c>
      <c r="F250" s="1272">
        <v>27220.0</v>
      </c>
      <c r="G250" s="1272">
        <v>27220.0</v>
      </c>
      <c r="H250" s="1272">
        <v>27220.0</v>
      </c>
      <c r="I250" s="1272">
        <v>27220.0</v>
      </c>
      <c r="J250" s="1272">
        <v>27220.0</v>
      </c>
      <c r="K250" s="1272">
        <v>27220.0</v>
      </c>
      <c r="L250" s="1272">
        <v>27220.0</v>
      </c>
      <c r="M250" s="1272">
        <v>27220.0</v>
      </c>
      <c r="N250" s="1272">
        <v>27220.0</v>
      </c>
      <c r="O250" s="1272">
        <v>27220.0</v>
      </c>
      <c r="P250" s="1267"/>
      <c r="R250" s="1209"/>
      <c r="S250" s="1209"/>
      <c r="T250" s="1209"/>
      <c r="U250" s="1209"/>
      <c r="V250" s="1209"/>
      <c r="W250" s="1209"/>
      <c r="X250" s="1209"/>
      <c r="Y250" s="1209"/>
      <c r="Z250" s="1209"/>
      <c r="AA250" s="1209"/>
      <c r="AB250" s="1209"/>
    </row>
    <row r="251">
      <c r="A251" s="1271"/>
      <c r="B251" s="1271" t="s">
        <v>1868</v>
      </c>
      <c r="C251" s="1271" t="s">
        <v>3237</v>
      </c>
      <c r="D251" s="1272">
        <v>13900.0</v>
      </c>
      <c r="E251" s="1272">
        <v>13900.0</v>
      </c>
      <c r="F251" s="1272">
        <v>13900.0</v>
      </c>
      <c r="G251" s="1272">
        <v>13900.0</v>
      </c>
      <c r="H251" s="1272">
        <v>13900.0</v>
      </c>
      <c r="I251" s="1272">
        <v>13900.0</v>
      </c>
      <c r="J251" s="1272">
        <v>13900.0</v>
      </c>
      <c r="K251" s="1272">
        <v>13900.0</v>
      </c>
      <c r="L251" s="1272">
        <v>13900.0</v>
      </c>
      <c r="M251" s="1272">
        <v>13900.0</v>
      </c>
      <c r="N251" s="1272">
        <v>13900.0</v>
      </c>
      <c r="O251" s="1272">
        <v>13900.0</v>
      </c>
      <c r="P251" s="1267"/>
      <c r="R251" s="1209"/>
      <c r="S251" s="1209"/>
      <c r="T251" s="1209"/>
      <c r="U251" s="1209"/>
      <c r="V251" s="1209"/>
      <c r="W251" s="1209"/>
      <c r="X251" s="1209"/>
      <c r="Y251" s="1209"/>
      <c r="Z251" s="1209"/>
      <c r="AA251" s="1209"/>
      <c r="AB251" s="1209"/>
    </row>
    <row r="252">
      <c r="A252" s="1271"/>
      <c r="B252" s="1271" t="s">
        <v>1868</v>
      </c>
      <c r="C252" s="1271" t="s">
        <v>3481</v>
      </c>
      <c r="D252" s="1272">
        <v>30000.0</v>
      </c>
      <c r="E252" s="1272">
        <v>30000.0</v>
      </c>
      <c r="F252" s="1272">
        <v>30000.0</v>
      </c>
      <c r="G252" s="1272">
        <v>30000.0</v>
      </c>
      <c r="H252" s="1272">
        <v>30000.0</v>
      </c>
      <c r="I252" s="1272">
        <v>30000.0</v>
      </c>
      <c r="J252" s="1272">
        <v>30000.0</v>
      </c>
      <c r="K252" s="1272">
        <v>30000.0</v>
      </c>
      <c r="L252" s="1272">
        <v>30000.0</v>
      </c>
      <c r="M252" s="1272">
        <v>30000.0</v>
      </c>
      <c r="N252" s="1272">
        <v>30000.0</v>
      </c>
      <c r="O252" s="1272">
        <v>30000.0</v>
      </c>
      <c r="P252" s="1267"/>
      <c r="R252" s="1209"/>
      <c r="S252" s="1209"/>
      <c r="T252" s="1209"/>
      <c r="U252" s="1209"/>
      <c r="V252" s="1209"/>
      <c r="W252" s="1209"/>
      <c r="X252" s="1209"/>
      <c r="Y252" s="1209"/>
      <c r="Z252" s="1209"/>
      <c r="AA252" s="1209"/>
      <c r="AB252" s="1209"/>
    </row>
    <row r="253">
      <c r="A253" s="1271"/>
      <c r="B253" s="1271" t="s">
        <v>1868</v>
      </c>
      <c r="C253" s="1271" t="s">
        <v>3238</v>
      </c>
      <c r="D253" s="1272"/>
      <c r="E253" s="1272"/>
      <c r="F253" s="1272"/>
      <c r="G253" s="1272">
        <v>3000.0</v>
      </c>
      <c r="H253" s="1272">
        <v>40000.0</v>
      </c>
      <c r="I253" s="1272">
        <v>82180.0</v>
      </c>
      <c r="J253" s="1272">
        <v>12130.0</v>
      </c>
      <c r="K253" s="1272">
        <v>22000.0</v>
      </c>
      <c r="L253" s="1272">
        <v>35780.0</v>
      </c>
      <c r="M253" s="1272">
        <v>14990.0</v>
      </c>
      <c r="N253" s="1272">
        <f>59330-N252</f>
        <v>29330</v>
      </c>
      <c r="O253" s="1272">
        <v>53650.0</v>
      </c>
      <c r="P253" s="1269">
        <f>SUM(J253:M253)</f>
        <v>84900</v>
      </c>
      <c r="R253" s="1209"/>
      <c r="S253" s="1209"/>
      <c r="T253" s="1209"/>
      <c r="U253" s="1209"/>
      <c r="V253" s="1209"/>
      <c r="W253" s="1209"/>
      <c r="X253" s="1209"/>
      <c r="Y253" s="1209"/>
      <c r="Z253" s="1209"/>
      <c r="AA253" s="1209"/>
      <c r="AB253" s="1209"/>
    </row>
    <row r="254">
      <c r="A254" s="1218"/>
      <c r="B254" s="1218" t="s">
        <v>1883</v>
      </c>
      <c r="C254" s="1218" t="s">
        <v>3304</v>
      </c>
      <c r="D254" s="1265">
        <v>134830.0</v>
      </c>
      <c r="E254" s="1265">
        <v>74300.0</v>
      </c>
      <c r="F254" s="1265">
        <v>103270.0</v>
      </c>
      <c r="G254" s="1267"/>
      <c r="H254" s="1267"/>
      <c r="I254" s="1267"/>
      <c r="J254" s="1267"/>
      <c r="K254" s="1267"/>
      <c r="L254" s="1267"/>
      <c r="M254" s="1267"/>
      <c r="N254" s="1267"/>
      <c r="O254" s="1267"/>
      <c r="P254" s="1267"/>
      <c r="R254" s="1209"/>
      <c r="S254" s="1209"/>
      <c r="T254" s="1209"/>
      <c r="U254" s="1209"/>
      <c r="V254" s="1209"/>
      <c r="W254" s="1209"/>
      <c r="X254" s="1209"/>
      <c r="Y254" s="1209"/>
      <c r="Z254" s="1209"/>
      <c r="AA254" s="1209"/>
      <c r="AB254" s="1209"/>
    </row>
    <row r="255">
      <c r="A255" s="1218"/>
      <c r="B255" s="1218" t="s">
        <v>1883</v>
      </c>
      <c r="C255" s="1218" t="s">
        <v>3232</v>
      </c>
      <c r="D255" s="1265">
        <v>115670.0</v>
      </c>
      <c r="E255" s="1265">
        <v>130760.0</v>
      </c>
      <c r="F255" s="1265">
        <v>83620.0</v>
      </c>
      <c r="G255" s="1267"/>
      <c r="H255" s="1267"/>
      <c r="I255" s="1267"/>
      <c r="J255" s="1267"/>
      <c r="K255" s="1267"/>
      <c r="L255" s="1267"/>
      <c r="M255" s="1267"/>
      <c r="N255" s="1267"/>
      <c r="O255" s="1267"/>
      <c r="P255" s="1267"/>
      <c r="R255" s="1209"/>
      <c r="S255" s="1209"/>
      <c r="T255" s="1209"/>
      <c r="U255" s="1209"/>
      <c r="V255" s="1209"/>
      <c r="W255" s="1209"/>
      <c r="X255" s="1209"/>
      <c r="Y255" s="1209"/>
      <c r="Z255" s="1209"/>
      <c r="AA255" s="1209"/>
      <c r="AB255" s="1209"/>
    </row>
    <row r="256">
      <c r="A256" s="1218"/>
      <c r="B256" s="1218" t="s">
        <v>1883</v>
      </c>
      <c r="C256" s="1218" t="s">
        <v>802</v>
      </c>
      <c r="D256" s="1265">
        <v>57000.0</v>
      </c>
      <c r="E256" s="1265" t="s">
        <v>3495</v>
      </c>
      <c r="F256" s="1265">
        <v>49500.0</v>
      </c>
      <c r="G256" s="1267"/>
      <c r="H256" s="1267"/>
      <c r="I256" s="1267"/>
      <c r="J256" s="1267"/>
      <c r="K256" s="1267"/>
      <c r="L256" s="1267"/>
      <c r="M256" s="1267"/>
      <c r="N256" s="1267"/>
      <c r="O256" s="1267"/>
      <c r="P256" s="1267"/>
      <c r="Q256" s="1209"/>
      <c r="R256" s="1209"/>
      <c r="S256" s="1218" t="s">
        <v>802</v>
      </c>
      <c r="T256" s="1218" t="s">
        <v>3443</v>
      </c>
      <c r="U256" s="1209"/>
      <c r="V256" s="1209"/>
      <c r="W256" s="1209"/>
      <c r="X256" s="1209"/>
      <c r="Y256" s="1209"/>
      <c r="Z256" s="1209"/>
      <c r="AA256" s="1209"/>
      <c r="AB256" s="1209"/>
    </row>
    <row r="257">
      <c r="A257" s="1218"/>
      <c r="B257" s="1218" t="s">
        <v>1883</v>
      </c>
      <c r="C257" s="1218" t="s">
        <v>3235</v>
      </c>
      <c r="D257" s="1265">
        <v>27220.0</v>
      </c>
      <c r="E257" s="1265">
        <v>27220.0</v>
      </c>
      <c r="F257" s="1265">
        <v>27220.0</v>
      </c>
      <c r="G257" s="1265">
        <v>27220.0</v>
      </c>
      <c r="H257" s="1265">
        <v>27220.0</v>
      </c>
      <c r="I257" s="1265">
        <v>27220.0</v>
      </c>
      <c r="J257" s="1265">
        <v>27220.0</v>
      </c>
      <c r="K257" s="1265">
        <v>27220.0</v>
      </c>
      <c r="L257" s="1265">
        <v>27220.0</v>
      </c>
      <c r="M257" s="1265">
        <v>27220.0</v>
      </c>
      <c r="N257" s="1265">
        <v>27220.0</v>
      </c>
      <c r="O257" s="1265">
        <v>27220.0</v>
      </c>
      <c r="P257" s="1267"/>
      <c r="Q257" s="1209"/>
      <c r="R257" s="1209"/>
      <c r="S257" s="1209"/>
      <c r="T257" s="1209"/>
      <c r="U257" s="1209"/>
      <c r="V257" s="1209"/>
      <c r="W257" s="1209"/>
      <c r="X257" s="1209"/>
      <c r="Y257" s="1209"/>
      <c r="Z257" s="1209"/>
      <c r="AA257" s="1209"/>
      <c r="AB257" s="1209"/>
    </row>
    <row r="258">
      <c r="A258" s="1218"/>
      <c r="B258" s="1218" t="s">
        <v>1883</v>
      </c>
      <c r="C258" s="1218" t="s">
        <v>3237</v>
      </c>
      <c r="D258" s="1265">
        <v>19900.0</v>
      </c>
      <c r="E258" s="1265">
        <v>19900.0</v>
      </c>
      <c r="F258" s="1265">
        <v>19900.0</v>
      </c>
      <c r="G258" s="1265">
        <v>19900.0</v>
      </c>
      <c r="H258" s="1265">
        <v>19900.0</v>
      </c>
      <c r="I258" s="1265">
        <v>19900.0</v>
      </c>
      <c r="J258" s="1265">
        <v>19900.0</v>
      </c>
      <c r="K258" s="1265">
        <v>19900.0</v>
      </c>
      <c r="L258" s="1265">
        <v>19900.0</v>
      </c>
      <c r="M258" s="1265">
        <v>19900.0</v>
      </c>
      <c r="N258" s="1265">
        <v>19900.0</v>
      </c>
      <c r="O258" s="1265">
        <v>19900.0</v>
      </c>
      <c r="P258" s="1267"/>
      <c r="Q258" s="1209"/>
      <c r="R258" s="1209"/>
      <c r="S258" s="1209"/>
      <c r="T258" s="1209"/>
      <c r="U258" s="1209"/>
      <c r="V258" s="1209"/>
      <c r="W258" s="1209"/>
      <c r="X258" s="1209"/>
      <c r="Y258" s="1209"/>
      <c r="Z258" s="1209"/>
      <c r="AA258" s="1209"/>
      <c r="AB258" s="1209"/>
    </row>
    <row r="259">
      <c r="A259" s="1218"/>
      <c r="B259" s="1218" t="s">
        <v>1883</v>
      </c>
      <c r="C259" s="1218" t="s">
        <v>3481</v>
      </c>
      <c r="D259" s="1265">
        <v>30000.0</v>
      </c>
      <c r="E259" s="1265">
        <v>30000.0</v>
      </c>
      <c r="F259" s="1265">
        <v>30000.0</v>
      </c>
      <c r="G259" s="1265">
        <v>30000.0</v>
      </c>
      <c r="H259" s="1265">
        <v>30000.0</v>
      </c>
      <c r="I259" s="1265">
        <v>30000.0</v>
      </c>
      <c r="J259" s="1265">
        <v>30000.0</v>
      </c>
      <c r="K259" s="1265">
        <v>30000.0</v>
      </c>
      <c r="L259" s="1265">
        <v>30000.0</v>
      </c>
      <c r="M259" s="1265">
        <v>30000.0</v>
      </c>
      <c r="N259" s="1265">
        <v>30000.0</v>
      </c>
      <c r="O259" s="1265">
        <v>30000.0</v>
      </c>
      <c r="P259" s="1267"/>
      <c r="R259" s="1209"/>
      <c r="S259" s="1209"/>
      <c r="T259" s="1209"/>
      <c r="U259" s="1209"/>
      <c r="V259" s="1209"/>
      <c r="W259" s="1209"/>
      <c r="X259" s="1209"/>
      <c r="Y259" s="1209"/>
      <c r="Z259" s="1209"/>
      <c r="AA259" s="1209"/>
      <c r="AB259" s="1209"/>
    </row>
    <row r="260">
      <c r="A260" s="1218"/>
      <c r="B260" s="1218" t="s">
        <v>1883</v>
      </c>
      <c r="C260" s="1218" t="s">
        <v>3238</v>
      </c>
      <c r="D260" s="1265"/>
      <c r="E260" s="1265"/>
      <c r="F260" s="1265"/>
      <c r="G260" s="1265">
        <v>1000.0</v>
      </c>
      <c r="H260" s="1265">
        <v>35000.0</v>
      </c>
      <c r="I260" s="1265">
        <v>30000.0</v>
      </c>
      <c r="J260" s="1265">
        <v>0.0</v>
      </c>
      <c r="K260" s="1265">
        <v>113990.0</v>
      </c>
      <c r="L260" s="1265">
        <v>79250.0</v>
      </c>
      <c r="M260" s="1265">
        <v>3500.0</v>
      </c>
      <c r="N260" s="1265">
        <f>54400-N259</f>
        <v>24400</v>
      </c>
      <c r="O260" s="1265">
        <f>75000-O259</f>
        <v>45000</v>
      </c>
      <c r="P260" s="1269">
        <f>SUM(J260:M260)</f>
        <v>196740</v>
      </c>
      <c r="R260" s="1209"/>
      <c r="S260" s="1209"/>
      <c r="T260" s="1209"/>
      <c r="U260" s="1209"/>
      <c r="V260" s="1209"/>
      <c r="W260" s="1209"/>
      <c r="X260" s="1209"/>
      <c r="Y260" s="1209"/>
      <c r="Z260" s="1209"/>
      <c r="AA260" s="1209"/>
      <c r="AB260" s="1209"/>
    </row>
    <row r="261">
      <c r="A261" s="1271"/>
      <c r="B261" s="1271" t="s">
        <v>1796</v>
      </c>
      <c r="C261" s="1271" t="s">
        <v>3304</v>
      </c>
      <c r="D261" s="1272">
        <v>40930.0</v>
      </c>
      <c r="E261" s="1272">
        <v>37940.0</v>
      </c>
      <c r="F261" s="1272">
        <v>36940.0</v>
      </c>
      <c r="G261" s="1272"/>
      <c r="H261" s="1272"/>
      <c r="I261" s="1272"/>
      <c r="J261" s="1272"/>
      <c r="K261" s="1272"/>
      <c r="L261" s="1272"/>
      <c r="M261" s="1272"/>
      <c r="N261" s="1272"/>
      <c r="O261" s="1272"/>
      <c r="P261" s="1267"/>
      <c r="R261" s="1209"/>
      <c r="S261" s="1209"/>
      <c r="T261" s="1209"/>
      <c r="U261" s="1209"/>
      <c r="V261" s="1209"/>
      <c r="W261" s="1209"/>
      <c r="X261" s="1209"/>
      <c r="Y261" s="1209"/>
      <c r="Z261" s="1209"/>
      <c r="AA261" s="1209"/>
      <c r="AB261" s="1209"/>
    </row>
    <row r="262">
      <c r="A262" s="1271"/>
      <c r="B262" s="1271" t="s">
        <v>1796</v>
      </c>
      <c r="C262" s="1271" t="s">
        <v>3232</v>
      </c>
      <c r="D262" s="1272">
        <v>237390.0</v>
      </c>
      <c r="E262" s="1272">
        <v>222920.0</v>
      </c>
      <c r="F262" s="1272">
        <v>262790.0</v>
      </c>
      <c r="G262" s="1272"/>
      <c r="H262" s="1272"/>
      <c r="I262" s="1272"/>
      <c r="J262" s="1272"/>
      <c r="K262" s="1272"/>
      <c r="L262" s="1272"/>
      <c r="M262" s="1272"/>
      <c r="N262" s="1272"/>
      <c r="O262" s="1272"/>
      <c r="P262" s="1267"/>
      <c r="R262" s="1209"/>
      <c r="S262" s="1209"/>
      <c r="T262" s="1209"/>
      <c r="U262" s="1209"/>
      <c r="V262" s="1209"/>
      <c r="W262" s="1209"/>
      <c r="X262" s="1209"/>
      <c r="Y262" s="1209"/>
      <c r="Z262" s="1209"/>
      <c r="AA262" s="1209"/>
      <c r="AB262" s="1209"/>
    </row>
    <row r="263">
      <c r="A263" s="1271"/>
      <c r="B263" s="1271" t="s">
        <v>1796</v>
      </c>
      <c r="C263" s="1271" t="s">
        <v>802</v>
      </c>
      <c r="D263" s="1272" t="s">
        <v>3495</v>
      </c>
      <c r="E263" s="1272">
        <v>54780.0</v>
      </c>
      <c r="F263" s="1272" t="s">
        <v>3495</v>
      </c>
      <c r="G263" s="1272"/>
      <c r="H263" s="1272"/>
      <c r="I263" s="1272"/>
      <c r="J263" s="1272"/>
      <c r="K263" s="1272"/>
      <c r="L263" s="1272"/>
      <c r="M263" s="1272"/>
      <c r="N263" s="1272"/>
      <c r="O263" s="1272"/>
      <c r="P263" s="1267"/>
      <c r="R263" s="1209"/>
      <c r="S263" s="1218" t="s">
        <v>802</v>
      </c>
      <c r="T263" s="1218" t="s">
        <v>3443</v>
      </c>
      <c r="U263" s="1209"/>
      <c r="V263" s="1209"/>
      <c r="W263" s="1209"/>
      <c r="X263" s="1209"/>
      <c r="Y263" s="1209"/>
      <c r="Z263" s="1209"/>
      <c r="AA263" s="1209"/>
      <c r="AB263" s="1209"/>
    </row>
    <row r="264">
      <c r="A264" s="1271"/>
      <c r="B264" s="1271" t="s">
        <v>1796</v>
      </c>
      <c r="C264" s="1271" t="s">
        <v>3235</v>
      </c>
      <c r="D264" s="1272">
        <v>30000.0</v>
      </c>
      <c r="E264" s="1272">
        <v>30000.0</v>
      </c>
      <c r="F264" s="1272">
        <v>30000.0</v>
      </c>
      <c r="G264" s="1272">
        <v>30000.0</v>
      </c>
      <c r="H264" s="1272">
        <v>30000.0</v>
      </c>
      <c r="I264" s="1272">
        <v>30000.0</v>
      </c>
      <c r="J264" s="1272">
        <v>30000.0</v>
      </c>
      <c r="K264" s="1272">
        <v>30000.0</v>
      </c>
      <c r="L264" s="1272">
        <v>30000.0</v>
      </c>
      <c r="M264" s="1272">
        <v>30000.0</v>
      </c>
      <c r="N264" s="1272">
        <v>30000.0</v>
      </c>
      <c r="O264" s="1272">
        <v>30000.0</v>
      </c>
      <c r="P264" s="1267"/>
      <c r="R264" s="1209"/>
      <c r="S264" s="1209"/>
      <c r="T264" s="1209"/>
      <c r="U264" s="1209"/>
      <c r="V264" s="1209"/>
      <c r="W264" s="1209"/>
      <c r="X264" s="1209"/>
      <c r="Y264" s="1209"/>
      <c r="Z264" s="1209"/>
      <c r="AA264" s="1209"/>
      <c r="AB264" s="1209"/>
    </row>
    <row r="265">
      <c r="A265" s="1271"/>
      <c r="B265" s="1271" t="s">
        <v>1796</v>
      </c>
      <c r="C265" s="1271" t="s">
        <v>3237</v>
      </c>
      <c r="D265" s="1272">
        <v>20000.0</v>
      </c>
      <c r="E265" s="1272">
        <v>20000.0</v>
      </c>
      <c r="F265" s="1272">
        <v>20000.0</v>
      </c>
      <c r="G265" s="1272">
        <v>20000.0</v>
      </c>
      <c r="H265" s="1272">
        <v>20000.0</v>
      </c>
      <c r="I265" s="1272">
        <v>20000.0</v>
      </c>
      <c r="J265" s="1272">
        <v>20000.0</v>
      </c>
      <c r="K265" s="1272">
        <v>20000.0</v>
      </c>
      <c r="L265" s="1272">
        <v>20000.0</v>
      </c>
      <c r="M265" s="1272">
        <v>20000.0</v>
      </c>
      <c r="N265" s="1272">
        <v>20000.0</v>
      </c>
      <c r="O265" s="1272">
        <v>20000.0</v>
      </c>
      <c r="P265" s="1267"/>
      <c r="R265" s="1209"/>
      <c r="S265" s="1209"/>
      <c r="T265" s="1209"/>
      <c r="U265" s="1209"/>
      <c r="V265" s="1209"/>
      <c r="W265" s="1209"/>
      <c r="X265" s="1209"/>
      <c r="Y265" s="1209"/>
      <c r="Z265" s="1209"/>
      <c r="AA265" s="1209"/>
      <c r="AB265" s="1209"/>
    </row>
    <row r="266">
      <c r="A266" s="1271"/>
      <c r="B266" s="1271" t="s">
        <v>1796</v>
      </c>
      <c r="C266" s="1271" t="s">
        <v>3481</v>
      </c>
      <c r="D266" s="1272">
        <v>30000.0</v>
      </c>
      <c r="E266" s="1272">
        <v>30000.0</v>
      </c>
      <c r="F266" s="1272">
        <v>30000.0</v>
      </c>
      <c r="G266" s="1272">
        <v>30000.0</v>
      </c>
      <c r="H266" s="1272">
        <v>30000.0</v>
      </c>
      <c r="I266" s="1272">
        <v>30000.0</v>
      </c>
      <c r="J266" s="1272">
        <v>30000.0</v>
      </c>
      <c r="K266" s="1272">
        <v>30000.0</v>
      </c>
      <c r="L266" s="1272">
        <v>30000.0</v>
      </c>
      <c r="M266" s="1272">
        <v>30000.0</v>
      </c>
      <c r="N266" s="1272">
        <v>30000.0</v>
      </c>
      <c r="O266" s="1272">
        <v>30000.0</v>
      </c>
      <c r="P266" s="1267"/>
      <c r="R266" s="1209"/>
      <c r="S266" s="1209"/>
      <c r="T266" s="1209"/>
      <c r="U266" s="1209"/>
      <c r="V266" s="1209"/>
      <c r="W266" s="1209"/>
      <c r="X266" s="1209"/>
      <c r="Y266" s="1209"/>
      <c r="Z266" s="1209"/>
      <c r="AA266" s="1209"/>
      <c r="AB266" s="1209"/>
    </row>
    <row r="267">
      <c r="A267" s="1271"/>
      <c r="B267" s="1271" t="s">
        <v>1796</v>
      </c>
      <c r="C267" s="1271" t="s">
        <v>3238</v>
      </c>
      <c r="D267" s="1272"/>
      <c r="E267" s="1272"/>
      <c r="F267" s="1272"/>
      <c r="G267" s="1272">
        <v>35890.0</v>
      </c>
      <c r="H267" s="1272">
        <v>63660.0</v>
      </c>
      <c r="I267" s="1272">
        <v>30000.0</v>
      </c>
      <c r="J267" s="1272">
        <v>23400.0</v>
      </c>
      <c r="K267" s="1272">
        <v>30640.0</v>
      </c>
      <c r="L267" s="1272">
        <v>4900.0</v>
      </c>
      <c r="M267" s="1272">
        <v>0.0</v>
      </c>
      <c r="N267" s="1272">
        <f>118000-N266</f>
        <v>88000</v>
      </c>
      <c r="O267" s="1272">
        <f>51000-O266</f>
        <v>21000</v>
      </c>
      <c r="P267" s="1269">
        <f>SUM(J267:M267)</f>
        <v>58940</v>
      </c>
      <c r="R267" s="1209"/>
      <c r="S267" s="1209"/>
      <c r="T267" s="1209"/>
      <c r="U267" s="1209"/>
      <c r="V267" s="1209"/>
      <c r="W267" s="1209"/>
      <c r="X267" s="1209"/>
      <c r="Y267" s="1209"/>
      <c r="Z267" s="1209"/>
      <c r="AA267" s="1209"/>
      <c r="AB267" s="1209"/>
    </row>
    <row r="268">
      <c r="A268" s="1218"/>
      <c r="B268" s="1218" t="s">
        <v>1774</v>
      </c>
      <c r="C268" s="1218" t="s">
        <v>3304</v>
      </c>
      <c r="D268" s="1265">
        <v>36820.0</v>
      </c>
      <c r="E268" s="1265">
        <v>36800.0</v>
      </c>
      <c r="F268" s="1265">
        <v>36220.0</v>
      </c>
      <c r="G268" s="1267"/>
      <c r="H268" s="1267"/>
      <c r="I268" s="1267"/>
      <c r="J268" s="1267"/>
      <c r="K268" s="1267"/>
      <c r="L268" s="1267"/>
      <c r="M268" s="1267"/>
      <c r="N268" s="1267"/>
      <c r="O268" s="1267"/>
      <c r="P268" s="1267"/>
      <c r="R268" s="1209"/>
      <c r="S268" s="1209"/>
      <c r="T268" s="1209"/>
      <c r="U268" s="1209"/>
      <c r="V268" s="1209"/>
      <c r="W268" s="1209"/>
      <c r="X268" s="1209"/>
      <c r="Y268" s="1209"/>
      <c r="Z268" s="1209"/>
      <c r="AA268" s="1209"/>
      <c r="AB268" s="1209"/>
    </row>
    <row r="269">
      <c r="A269" s="1218"/>
      <c r="B269" s="1218" t="s">
        <v>1774</v>
      </c>
      <c r="C269" s="1218" t="s">
        <v>3232</v>
      </c>
      <c r="D269" s="1265">
        <v>250720.0</v>
      </c>
      <c r="E269" s="1265">
        <v>230640.0</v>
      </c>
      <c r="F269" s="1265">
        <v>230560.0</v>
      </c>
      <c r="G269" s="1267"/>
      <c r="H269" s="1267"/>
      <c r="I269" s="1267"/>
      <c r="J269" s="1267"/>
      <c r="K269" s="1267"/>
      <c r="L269" s="1267"/>
      <c r="M269" s="1267"/>
      <c r="N269" s="1267"/>
      <c r="O269" s="1267"/>
      <c r="P269" s="1267"/>
      <c r="R269" s="1209"/>
      <c r="S269" s="1209"/>
      <c r="T269" s="1209"/>
      <c r="U269" s="1209"/>
      <c r="V269" s="1209"/>
      <c r="W269" s="1209"/>
      <c r="X269" s="1209"/>
      <c r="Y269" s="1209"/>
      <c r="Z269" s="1209"/>
      <c r="AA269" s="1209"/>
      <c r="AB269" s="1209"/>
    </row>
    <row r="270">
      <c r="A270" s="1218"/>
      <c r="B270" s="1218" t="s">
        <v>1774</v>
      </c>
      <c r="C270" s="1218" t="s">
        <v>802</v>
      </c>
      <c r="D270" s="1265" t="s">
        <v>3495</v>
      </c>
      <c r="E270" s="1265">
        <v>60000.0</v>
      </c>
      <c r="F270" s="1265" t="s">
        <v>3495</v>
      </c>
      <c r="G270" s="1267"/>
      <c r="H270" s="1267"/>
      <c r="I270" s="1267"/>
      <c r="J270" s="1267"/>
      <c r="K270" s="1267"/>
      <c r="L270" s="1267"/>
      <c r="M270" s="1267"/>
      <c r="N270" s="1267"/>
      <c r="O270" s="1267"/>
      <c r="P270" s="1267"/>
      <c r="R270" s="1209"/>
      <c r="S270" s="1209"/>
      <c r="T270" s="1209"/>
      <c r="U270" s="1209"/>
      <c r="V270" s="1209"/>
      <c r="W270" s="1209"/>
      <c r="X270" s="1209"/>
      <c r="Y270" s="1209"/>
      <c r="Z270" s="1209"/>
      <c r="AA270" s="1209"/>
      <c r="AB270" s="1209"/>
    </row>
    <row r="271">
      <c r="A271" s="1218"/>
      <c r="B271" s="1218" t="s">
        <v>1774</v>
      </c>
      <c r="C271" s="1218" t="s">
        <v>3235</v>
      </c>
      <c r="D271" s="1265">
        <v>30000.0</v>
      </c>
      <c r="E271" s="1265">
        <v>30000.0</v>
      </c>
      <c r="F271" s="1265">
        <v>30000.0</v>
      </c>
      <c r="G271" s="1265">
        <v>30000.0</v>
      </c>
      <c r="H271" s="1265">
        <v>30000.0</v>
      </c>
      <c r="I271" s="1265">
        <v>30000.0</v>
      </c>
      <c r="J271" s="1265">
        <v>30000.0</v>
      </c>
      <c r="K271" s="1265">
        <v>30000.0</v>
      </c>
      <c r="L271" s="1265">
        <v>30000.0</v>
      </c>
      <c r="M271" s="1265">
        <v>30000.0</v>
      </c>
      <c r="N271" s="1265">
        <v>30000.0</v>
      </c>
      <c r="O271" s="1265">
        <v>30000.0</v>
      </c>
      <c r="P271" s="1267"/>
      <c r="R271" s="1209"/>
      <c r="S271" s="1209"/>
      <c r="T271" s="1209"/>
      <c r="U271" s="1209"/>
      <c r="V271" s="1209"/>
      <c r="W271" s="1209"/>
      <c r="X271" s="1209"/>
      <c r="Y271" s="1209"/>
      <c r="Z271" s="1209"/>
      <c r="AA271" s="1209"/>
      <c r="AB271" s="1209"/>
    </row>
    <row r="272">
      <c r="A272" s="1218"/>
      <c r="B272" s="1218" t="s">
        <v>1774</v>
      </c>
      <c r="C272" s="1218" t="s">
        <v>3237</v>
      </c>
      <c r="D272" s="1265">
        <v>20000.0</v>
      </c>
      <c r="E272" s="1265">
        <v>20000.0</v>
      </c>
      <c r="F272" s="1265">
        <v>20000.0</v>
      </c>
      <c r="G272" s="1265">
        <v>20000.0</v>
      </c>
      <c r="H272" s="1265">
        <v>20000.0</v>
      </c>
      <c r="I272" s="1265">
        <v>20000.0</v>
      </c>
      <c r="J272" s="1265">
        <v>20000.0</v>
      </c>
      <c r="K272" s="1265">
        <v>20000.0</v>
      </c>
      <c r="L272" s="1265">
        <v>20000.0</v>
      </c>
      <c r="M272" s="1265">
        <v>20000.0</v>
      </c>
      <c r="N272" s="1265">
        <v>20000.0</v>
      </c>
      <c r="O272" s="1265">
        <v>20000.0</v>
      </c>
      <c r="P272" s="1267"/>
      <c r="R272" s="1209"/>
      <c r="S272" s="1209"/>
      <c r="T272" s="1209"/>
      <c r="U272" s="1209"/>
      <c r="V272" s="1209"/>
      <c r="W272" s="1209"/>
      <c r="X272" s="1209"/>
      <c r="Y272" s="1209"/>
      <c r="Z272" s="1209"/>
      <c r="AA272" s="1209"/>
      <c r="AB272" s="1209"/>
    </row>
    <row r="273">
      <c r="A273" s="1218"/>
      <c r="B273" s="1218" t="s">
        <v>1774</v>
      </c>
      <c r="C273" s="1218" t="s">
        <v>3481</v>
      </c>
      <c r="D273" s="1265">
        <v>30000.0</v>
      </c>
      <c r="E273" s="1265">
        <v>30000.0</v>
      </c>
      <c r="F273" s="1265">
        <v>30000.0</v>
      </c>
      <c r="G273" s="1265">
        <v>30000.0</v>
      </c>
      <c r="H273" s="1265">
        <v>30000.0</v>
      </c>
      <c r="I273" s="1265">
        <v>30000.0</v>
      </c>
      <c r="J273" s="1265">
        <v>30000.0</v>
      </c>
      <c r="K273" s="1265">
        <v>30000.0</v>
      </c>
      <c r="L273" s="1265">
        <v>30000.0</v>
      </c>
      <c r="M273" s="1265">
        <v>30000.0</v>
      </c>
      <c r="N273" s="1265">
        <v>30000.0</v>
      </c>
      <c r="O273" s="1265">
        <v>30000.0</v>
      </c>
      <c r="P273" s="1267"/>
      <c r="R273" s="1209"/>
      <c r="S273" s="1209"/>
      <c r="T273" s="1209"/>
      <c r="U273" s="1209"/>
      <c r="V273" s="1209"/>
      <c r="W273" s="1209"/>
      <c r="X273" s="1209"/>
      <c r="Y273" s="1209"/>
      <c r="Z273" s="1209"/>
      <c r="AA273" s="1209"/>
      <c r="AB273" s="1209"/>
    </row>
    <row r="274">
      <c r="A274" s="1218"/>
      <c r="B274" s="1218" t="s">
        <v>1774</v>
      </c>
      <c r="C274" s="1218" t="s">
        <v>3238</v>
      </c>
      <c r="D274" s="1265"/>
      <c r="E274" s="1267"/>
      <c r="F274" s="1267"/>
      <c r="G274" s="1265">
        <v>18280.0</v>
      </c>
      <c r="H274" s="1265">
        <v>95890.0</v>
      </c>
      <c r="I274" s="1265">
        <v>69900.0</v>
      </c>
      <c r="J274" s="1265">
        <v>79650.0</v>
      </c>
      <c r="K274" s="1265">
        <v>10000.0</v>
      </c>
      <c r="L274" s="1265">
        <v>0.0</v>
      </c>
      <c r="M274" s="1265">
        <v>0.0</v>
      </c>
      <c r="N274" s="1265">
        <f>100060-N273</f>
        <v>70060</v>
      </c>
      <c r="O274" s="1265">
        <f>65600-O273</f>
        <v>35600</v>
      </c>
      <c r="P274" s="1269">
        <f>SUM(J274:M274)</f>
        <v>89650</v>
      </c>
      <c r="R274" s="1209"/>
      <c r="S274" s="1209"/>
      <c r="T274" s="1209"/>
      <c r="U274" s="1209"/>
      <c r="V274" s="1209"/>
      <c r="W274" s="1209"/>
      <c r="X274" s="1209"/>
      <c r="Y274" s="1209"/>
      <c r="Z274" s="1209"/>
      <c r="AA274" s="1209"/>
      <c r="AB274" s="1209"/>
    </row>
    <row r="275">
      <c r="A275" s="1209"/>
      <c r="B275" s="1209"/>
      <c r="C275" s="1209"/>
      <c r="D275" s="1267"/>
      <c r="E275" s="1267"/>
      <c r="F275" s="1267"/>
      <c r="G275" s="1267"/>
      <c r="H275" s="1267"/>
      <c r="I275" s="1267"/>
      <c r="J275" s="1267"/>
      <c r="K275" s="1267"/>
      <c r="L275" s="1267"/>
      <c r="M275" s="1267"/>
      <c r="N275" s="1267"/>
      <c r="O275" s="1267"/>
      <c r="P275" s="1267"/>
      <c r="R275" s="1209"/>
      <c r="S275" s="1209"/>
      <c r="T275" s="1209"/>
      <c r="U275" s="1209"/>
      <c r="V275" s="1209"/>
      <c r="W275" s="1209"/>
      <c r="X275" s="1209"/>
      <c r="Y275" s="1209"/>
      <c r="Z275" s="1209"/>
      <c r="AA275" s="1209"/>
      <c r="AB275" s="1209"/>
    </row>
    <row r="276">
      <c r="A276" s="1218"/>
      <c r="B276" s="1218" t="s">
        <v>3515</v>
      </c>
      <c r="C276" s="1218" t="s">
        <v>3516</v>
      </c>
      <c r="D276" s="1267"/>
      <c r="E276" s="1267"/>
      <c r="F276" s="1267"/>
      <c r="G276" s="1267"/>
      <c r="H276" s="1267"/>
      <c r="I276" s="1265">
        <v>47750.0</v>
      </c>
      <c r="J276" s="1265">
        <v>11490.0</v>
      </c>
      <c r="K276" s="1265">
        <v>10000.0</v>
      </c>
      <c r="L276" s="1265">
        <v>94690.0</v>
      </c>
      <c r="M276" s="1265">
        <v>0.0</v>
      </c>
      <c r="N276" s="1265">
        <v>70590.0</v>
      </c>
      <c r="O276" s="1265">
        <v>30000.0</v>
      </c>
      <c r="P276" s="1269">
        <f t="shared" ref="P276:P288" si="2">SUM(J276:M276)</f>
        <v>116180</v>
      </c>
      <c r="R276" s="1209"/>
      <c r="S276" s="1209"/>
      <c r="T276" s="1209"/>
      <c r="U276" s="1209"/>
      <c r="V276" s="1209"/>
      <c r="W276" s="1209"/>
      <c r="X276" s="1209"/>
      <c r="Y276" s="1209"/>
      <c r="Z276" s="1209"/>
      <c r="AA276" s="1209"/>
      <c r="AB276" s="1209"/>
    </row>
    <row r="277">
      <c r="A277" s="1218"/>
      <c r="B277" s="1218" t="s">
        <v>3517</v>
      </c>
      <c r="C277" s="1218" t="s">
        <v>3516</v>
      </c>
      <c r="D277" s="1267"/>
      <c r="E277" s="1267"/>
      <c r="F277" s="1267"/>
      <c r="G277" s="1267"/>
      <c r="H277" s="1267"/>
      <c r="I277" s="1265">
        <v>54900.0</v>
      </c>
      <c r="J277" s="1265">
        <v>4000.0</v>
      </c>
      <c r="K277" s="1265">
        <v>16490.0</v>
      </c>
      <c r="L277" s="1265">
        <v>31590.0</v>
      </c>
      <c r="M277" s="1265">
        <v>0.0</v>
      </c>
      <c r="N277" s="1265">
        <v>43000.0</v>
      </c>
      <c r="O277" s="1265">
        <v>73030.0</v>
      </c>
      <c r="P277" s="1269">
        <f t="shared" si="2"/>
        <v>52080</v>
      </c>
      <c r="R277" s="1209"/>
      <c r="S277" s="1209"/>
      <c r="T277" s="1209"/>
      <c r="U277" s="1209"/>
      <c r="V277" s="1209"/>
      <c r="W277" s="1209"/>
      <c r="X277" s="1209"/>
      <c r="Y277" s="1209"/>
      <c r="Z277" s="1209"/>
      <c r="AA277" s="1209"/>
      <c r="AB277" s="1209"/>
    </row>
    <row r="278">
      <c r="A278" s="1218"/>
      <c r="B278" s="1218" t="s">
        <v>3518</v>
      </c>
      <c r="C278" s="1218" t="s">
        <v>3516</v>
      </c>
      <c r="D278" s="1267"/>
      <c r="E278" s="1267"/>
      <c r="F278" s="1267"/>
      <c r="G278" s="1267"/>
      <c r="H278" s="1267"/>
      <c r="I278" s="1265">
        <v>87190.0</v>
      </c>
      <c r="J278" s="1265">
        <v>11490.0</v>
      </c>
      <c r="K278" s="1265">
        <v>15700.0</v>
      </c>
      <c r="L278" s="1265">
        <v>63980.0</v>
      </c>
      <c r="M278" s="1265">
        <v>0.0</v>
      </c>
      <c r="N278" s="1265">
        <v>30000.0</v>
      </c>
      <c r="O278" s="1265">
        <v>46220.0</v>
      </c>
      <c r="P278" s="1269">
        <f t="shared" si="2"/>
        <v>91170</v>
      </c>
      <c r="R278" s="1209"/>
      <c r="S278" s="1209"/>
      <c r="T278" s="1209"/>
      <c r="U278" s="1209"/>
      <c r="V278" s="1209"/>
      <c r="W278" s="1209"/>
      <c r="X278" s="1209"/>
      <c r="Y278" s="1209"/>
      <c r="Z278" s="1209"/>
      <c r="AA278" s="1209"/>
      <c r="AB278" s="1209"/>
    </row>
    <row r="279">
      <c r="A279" s="1218"/>
      <c r="B279" s="1218" t="s">
        <v>3519</v>
      </c>
      <c r="C279" s="1218" t="s">
        <v>3516</v>
      </c>
      <c r="D279" s="1267"/>
      <c r="E279" s="1267"/>
      <c r="F279" s="1267"/>
      <c r="G279" s="1267"/>
      <c r="H279" s="1267"/>
      <c r="I279" s="1265">
        <v>60000.0</v>
      </c>
      <c r="J279" s="1265">
        <v>0.0</v>
      </c>
      <c r="K279" s="1265">
        <v>0.0</v>
      </c>
      <c r="L279" s="1265">
        <v>64710.0</v>
      </c>
      <c r="M279" s="1265">
        <v>18450.0</v>
      </c>
      <c r="N279" s="1265">
        <v>78380.0</v>
      </c>
      <c r="O279" s="1265">
        <v>50000.0</v>
      </c>
      <c r="P279" s="1269">
        <f t="shared" si="2"/>
        <v>83160</v>
      </c>
      <c r="R279" s="1209"/>
      <c r="S279" s="1209"/>
      <c r="T279" s="1209"/>
      <c r="U279" s="1209"/>
      <c r="V279" s="1209"/>
      <c r="W279" s="1209"/>
      <c r="X279" s="1209"/>
      <c r="Y279" s="1209"/>
      <c r="Z279" s="1209"/>
      <c r="AA279" s="1209"/>
      <c r="AB279" s="1209"/>
    </row>
    <row r="280">
      <c r="A280" s="1218"/>
      <c r="B280" s="1218" t="s">
        <v>3520</v>
      </c>
      <c r="C280" s="1218" t="s">
        <v>3516</v>
      </c>
      <c r="D280" s="1267"/>
      <c r="E280" s="1267"/>
      <c r="F280" s="1267"/>
      <c r="G280" s="1267"/>
      <c r="H280" s="1267"/>
      <c r="I280" s="1265">
        <v>40000.0</v>
      </c>
      <c r="J280" s="1265">
        <v>0.0</v>
      </c>
      <c r="K280" s="1265">
        <v>6700.0</v>
      </c>
      <c r="L280" s="1265">
        <v>0.0</v>
      </c>
      <c r="M280" s="1265">
        <v>24880.0</v>
      </c>
      <c r="N280" s="1265">
        <v>35650.0</v>
      </c>
      <c r="O280" s="1265">
        <v>35990.0</v>
      </c>
      <c r="P280" s="1269">
        <f t="shared" si="2"/>
        <v>31580</v>
      </c>
      <c r="R280" s="1209"/>
      <c r="S280" s="1209"/>
      <c r="T280" s="1209"/>
      <c r="U280" s="1209"/>
      <c r="V280" s="1209"/>
      <c r="W280" s="1209"/>
      <c r="X280" s="1209"/>
      <c r="Y280" s="1209"/>
      <c r="Z280" s="1209"/>
      <c r="AA280" s="1209"/>
      <c r="AB280" s="1209"/>
    </row>
    <row r="281">
      <c r="A281" s="1218"/>
      <c r="B281" s="1218" t="s">
        <v>1917</v>
      </c>
      <c r="C281" s="1218" t="s">
        <v>3516</v>
      </c>
      <c r="D281" s="1267"/>
      <c r="E281" s="1267"/>
      <c r="F281" s="1267"/>
      <c r="G281" s="1267"/>
      <c r="H281" s="1267"/>
      <c r="I281" s="1265">
        <v>113770.0</v>
      </c>
      <c r="J281" s="1265">
        <v>20080.0</v>
      </c>
      <c r="K281" s="1265">
        <v>6700.0</v>
      </c>
      <c r="L281" s="1265">
        <v>64900.0</v>
      </c>
      <c r="M281" s="1265">
        <v>29770.0</v>
      </c>
      <c r="N281" s="1265">
        <v>224900.0</v>
      </c>
      <c r="O281" s="1265">
        <v>31900.0</v>
      </c>
      <c r="P281" s="1269">
        <f t="shared" si="2"/>
        <v>121450</v>
      </c>
      <c r="R281" s="1209"/>
      <c r="S281" s="1209"/>
      <c r="T281" s="1209"/>
      <c r="U281" s="1209"/>
      <c r="V281" s="1209"/>
      <c r="W281" s="1209"/>
      <c r="X281" s="1209"/>
      <c r="Y281" s="1209"/>
      <c r="Z281" s="1209"/>
      <c r="AA281" s="1209"/>
      <c r="AB281" s="1209"/>
    </row>
    <row r="282">
      <c r="A282" s="1218"/>
      <c r="B282" s="1218" t="s">
        <v>3521</v>
      </c>
      <c r="C282" s="1218" t="s">
        <v>3516</v>
      </c>
      <c r="D282" s="1267"/>
      <c r="E282" s="1267"/>
      <c r="F282" s="1267"/>
      <c r="G282" s="1267"/>
      <c r="H282" s="1267"/>
      <c r="I282" s="1265">
        <v>54790.0</v>
      </c>
      <c r="J282" s="1267"/>
      <c r="K282" s="1267"/>
      <c r="L282" s="1267"/>
      <c r="M282" s="1267"/>
      <c r="N282" s="1267"/>
      <c r="O282" s="1265">
        <v>0.0</v>
      </c>
      <c r="P282" s="1269">
        <f t="shared" si="2"/>
        <v>0</v>
      </c>
      <c r="R282" s="1209"/>
      <c r="S282" s="1209"/>
      <c r="T282" s="1209"/>
      <c r="U282" s="1209"/>
      <c r="V282" s="1209"/>
      <c r="W282" s="1209"/>
      <c r="X282" s="1209"/>
      <c r="Y282" s="1209"/>
      <c r="Z282" s="1209"/>
      <c r="AA282" s="1209"/>
      <c r="AB282" s="1209"/>
    </row>
    <row r="283">
      <c r="A283" s="1218"/>
      <c r="B283" s="1218" t="s">
        <v>1525</v>
      </c>
      <c r="C283" s="1218" t="s">
        <v>3516</v>
      </c>
      <c r="D283" s="1267"/>
      <c r="E283" s="1267"/>
      <c r="F283" s="1267"/>
      <c r="G283" s="1267"/>
      <c r="H283" s="1267"/>
      <c r="I283" s="1265">
        <v>255640.0</v>
      </c>
      <c r="J283" s="1265">
        <v>0.0</v>
      </c>
      <c r="K283" s="1265">
        <v>34450.0</v>
      </c>
      <c r="L283" s="1265">
        <v>115240.0</v>
      </c>
      <c r="M283" s="1265">
        <v>0.0</v>
      </c>
      <c r="N283" s="1265">
        <v>16530.0</v>
      </c>
      <c r="O283" s="1265">
        <v>0.0</v>
      </c>
      <c r="P283" s="1269">
        <f t="shared" si="2"/>
        <v>149690</v>
      </c>
      <c r="R283" s="1209"/>
      <c r="S283" s="1209"/>
      <c r="T283" s="1209"/>
      <c r="U283" s="1209"/>
      <c r="V283" s="1209"/>
      <c r="W283" s="1209"/>
      <c r="X283" s="1209"/>
      <c r="Y283" s="1209"/>
      <c r="Z283" s="1209"/>
      <c r="AA283" s="1209"/>
      <c r="AB283" s="1209"/>
    </row>
    <row r="284">
      <c r="A284" s="1218"/>
      <c r="B284" s="1218" t="s">
        <v>1488</v>
      </c>
      <c r="C284" s="1218" t="s">
        <v>3516</v>
      </c>
      <c r="D284" s="1267"/>
      <c r="E284" s="1267"/>
      <c r="F284" s="1267"/>
      <c r="G284" s="1267"/>
      <c r="H284" s="1267"/>
      <c r="I284" s="1265">
        <v>767920.0</v>
      </c>
      <c r="J284" s="1265">
        <v>256730.0</v>
      </c>
      <c r="K284" s="1265">
        <v>0.0</v>
      </c>
      <c r="L284" s="1265">
        <v>43310.0</v>
      </c>
      <c r="M284" s="1265">
        <v>5000.0</v>
      </c>
      <c r="N284" s="1265">
        <v>41000.0</v>
      </c>
      <c r="O284" s="1265">
        <v>84090.0</v>
      </c>
      <c r="P284" s="1269">
        <f t="shared" si="2"/>
        <v>305040</v>
      </c>
      <c r="R284" s="1209"/>
      <c r="S284" s="1209"/>
      <c r="T284" s="1209"/>
      <c r="U284" s="1209"/>
      <c r="V284" s="1209"/>
      <c r="W284" s="1209"/>
      <c r="X284" s="1209"/>
      <c r="Y284" s="1209"/>
      <c r="Z284" s="1209"/>
      <c r="AA284" s="1209"/>
      <c r="AB284" s="1209"/>
    </row>
    <row r="285">
      <c r="A285" s="1218"/>
      <c r="B285" s="1218" t="s">
        <v>3522</v>
      </c>
      <c r="C285" s="1218" t="s">
        <v>3516</v>
      </c>
      <c r="D285" s="1267"/>
      <c r="E285" s="1267"/>
      <c r="F285" s="1267"/>
      <c r="G285" s="1267"/>
      <c r="H285" s="1267"/>
      <c r="I285" s="1265">
        <v>122250.0</v>
      </c>
      <c r="J285" s="1267"/>
      <c r="K285" s="1267"/>
      <c r="L285" s="1267"/>
      <c r="M285" s="1267"/>
      <c r="N285" s="1267"/>
      <c r="O285" s="1265">
        <v>0.0</v>
      </c>
      <c r="P285" s="1269">
        <f t="shared" si="2"/>
        <v>0</v>
      </c>
      <c r="R285" s="1209"/>
      <c r="S285" s="1209"/>
      <c r="T285" s="1209"/>
      <c r="U285" s="1209"/>
      <c r="V285" s="1209"/>
      <c r="W285" s="1209"/>
      <c r="X285" s="1209"/>
      <c r="Y285" s="1209"/>
      <c r="Z285" s="1209"/>
      <c r="AA285" s="1209"/>
      <c r="AB285" s="1209"/>
    </row>
    <row r="286">
      <c r="A286" s="1218"/>
      <c r="B286" s="1218" t="s">
        <v>3523</v>
      </c>
      <c r="C286" s="1218" t="s">
        <v>3516</v>
      </c>
      <c r="D286" s="1267"/>
      <c r="E286" s="1267"/>
      <c r="F286" s="1267"/>
      <c r="G286" s="1267"/>
      <c r="H286" s="1267"/>
      <c r="I286" s="1267"/>
      <c r="J286" s="1267"/>
      <c r="K286" s="1267"/>
      <c r="L286" s="1265">
        <v>13900.0</v>
      </c>
      <c r="M286" s="1267"/>
      <c r="N286" s="1267"/>
      <c r="O286" s="1265">
        <v>30000.0</v>
      </c>
      <c r="P286" s="1269">
        <f t="shared" si="2"/>
        <v>13900</v>
      </c>
      <c r="R286" s="1209"/>
      <c r="S286" s="1209"/>
      <c r="T286" s="1209"/>
      <c r="U286" s="1209"/>
      <c r="V286" s="1209"/>
      <c r="W286" s="1209"/>
      <c r="X286" s="1209"/>
      <c r="Y286" s="1209"/>
      <c r="Z286" s="1209"/>
      <c r="AA286" s="1209"/>
      <c r="AB286" s="1209"/>
    </row>
    <row r="287">
      <c r="A287" s="1218"/>
      <c r="B287" s="1218" t="s">
        <v>1228</v>
      </c>
      <c r="C287" s="1218" t="s">
        <v>3516</v>
      </c>
      <c r="D287" s="1267"/>
      <c r="E287" s="1267"/>
      <c r="F287" s="1267"/>
      <c r="G287" s="1267"/>
      <c r="H287" s="1267"/>
      <c r="I287" s="1267"/>
      <c r="J287" s="1265">
        <v>531800.0</v>
      </c>
      <c r="K287" s="1267"/>
      <c r="L287" s="1267"/>
      <c r="M287" s="1267"/>
      <c r="N287" s="1267"/>
      <c r="O287" s="1265">
        <v>0.0</v>
      </c>
      <c r="P287" s="1269">
        <f t="shared" si="2"/>
        <v>531800</v>
      </c>
      <c r="R287" s="1209"/>
      <c r="S287" s="1209"/>
      <c r="T287" s="1209"/>
      <c r="U287" s="1209"/>
      <c r="V287" s="1209"/>
      <c r="W287" s="1209"/>
      <c r="X287" s="1209"/>
      <c r="Y287" s="1209"/>
      <c r="Z287" s="1209"/>
      <c r="AA287" s="1209"/>
      <c r="AB287" s="1209"/>
    </row>
    <row r="288">
      <c r="A288" s="1218"/>
      <c r="B288" s="1218" t="s">
        <v>3524</v>
      </c>
      <c r="C288" s="1209"/>
      <c r="D288" s="1267"/>
      <c r="E288" s="1267"/>
      <c r="F288" s="1267"/>
      <c r="G288" s="1267"/>
      <c r="H288" s="1267"/>
      <c r="I288" s="1267"/>
      <c r="J288" s="1265">
        <v>232250.0</v>
      </c>
      <c r="K288" s="1267"/>
      <c r="L288" s="1267"/>
      <c r="M288" s="1267"/>
      <c r="N288" s="1267"/>
      <c r="O288" s="1267"/>
      <c r="P288" s="1269">
        <f t="shared" si="2"/>
        <v>232250</v>
      </c>
      <c r="R288" s="1209"/>
      <c r="S288" s="1209"/>
      <c r="T288" s="1209"/>
      <c r="U288" s="1209"/>
      <c r="V288" s="1209"/>
      <c r="W288" s="1209"/>
      <c r="X288" s="1209"/>
      <c r="Y288" s="1209"/>
      <c r="Z288" s="1209"/>
      <c r="AA288" s="1209"/>
      <c r="AB288" s="1209"/>
    </row>
    <row r="289">
      <c r="A289" s="1209"/>
      <c r="B289" s="1209"/>
      <c r="C289" s="1209"/>
      <c r="D289" s="1267"/>
      <c r="E289" s="1267"/>
      <c r="F289" s="1267"/>
      <c r="G289" s="1267"/>
      <c r="H289" s="1267"/>
      <c r="I289" s="1267"/>
      <c r="J289" s="1267"/>
      <c r="K289" s="1267"/>
      <c r="L289" s="1267"/>
      <c r="M289" s="1267"/>
      <c r="N289" s="1267"/>
      <c r="O289" s="1267"/>
      <c r="P289" s="1267">
        <f>SUM(P2:P288)</f>
        <v>6895659</v>
      </c>
      <c r="R289" s="1209"/>
      <c r="S289" s="1209"/>
      <c r="T289" s="1209"/>
      <c r="U289" s="1209"/>
      <c r="V289" s="1209"/>
      <c r="W289" s="1209"/>
      <c r="X289" s="1209"/>
      <c r="Y289" s="1209"/>
      <c r="Z289" s="1209"/>
      <c r="AA289" s="1209"/>
      <c r="AB289" s="1209"/>
    </row>
    <row r="290">
      <c r="A290" s="1209"/>
      <c r="B290" s="1209"/>
      <c r="C290" s="1209"/>
      <c r="D290" s="1267"/>
      <c r="E290" s="1267"/>
      <c r="F290" s="1267"/>
      <c r="G290" s="1267"/>
      <c r="H290" s="1267"/>
      <c r="I290" s="1267"/>
      <c r="J290" s="1267"/>
      <c r="K290" s="1267"/>
      <c r="L290" s="1267"/>
      <c r="M290" s="1267"/>
      <c r="N290" s="1267"/>
      <c r="O290" s="1267"/>
      <c r="P290" s="1267">
        <f>P289-6895659</f>
        <v>0</v>
      </c>
      <c r="R290" s="1209"/>
      <c r="S290" s="1209"/>
      <c r="T290" s="1209"/>
      <c r="U290" s="1209"/>
      <c r="V290" s="1209"/>
      <c r="W290" s="1209"/>
      <c r="X290" s="1209"/>
      <c r="Y290" s="1209"/>
      <c r="Z290" s="1209"/>
      <c r="AA290" s="1209"/>
      <c r="AB290" s="1209"/>
    </row>
    <row r="291">
      <c r="A291" s="1209"/>
      <c r="B291" s="1209"/>
      <c r="C291" s="1209"/>
      <c r="D291" s="1267"/>
      <c r="E291" s="1267"/>
      <c r="F291" s="1267"/>
      <c r="G291" s="1267"/>
      <c r="H291" s="1267"/>
      <c r="I291" s="1267"/>
      <c r="J291" s="1267"/>
      <c r="K291" s="1267"/>
      <c r="L291" s="1267"/>
      <c r="M291" s="1267"/>
      <c r="N291" s="1267"/>
      <c r="O291" s="1267"/>
      <c r="P291" s="1267"/>
      <c r="R291" s="1209"/>
      <c r="S291" s="1209"/>
      <c r="T291" s="1209"/>
      <c r="U291" s="1209"/>
      <c r="V291" s="1209"/>
      <c r="W291" s="1209"/>
      <c r="X291" s="1209"/>
      <c r="Y291" s="1209"/>
      <c r="Z291" s="1209"/>
      <c r="AA291" s="1209"/>
      <c r="AB291" s="1209"/>
    </row>
    <row r="292">
      <c r="A292" s="1209"/>
      <c r="B292" s="1209"/>
      <c r="C292" s="1209"/>
      <c r="D292" s="1267"/>
      <c r="E292" s="1267"/>
      <c r="F292" s="1267"/>
      <c r="G292" s="1267"/>
      <c r="H292" s="1267"/>
      <c r="I292" s="1267"/>
      <c r="J292" s="1267"/>
      <c r="K292" s="1267"/>
      <c r="L292" s="1267"/>
      <c r="M292" s="1267"/>
      <c r="N292" s="1267"/>
      <c r="O292" s="1267"/>
      <c r="P292" s="1267"/>
      <c r="R292" s="1209"/>
      <c r="S292" s="1209"/>
      <c r="T292" s="1209"/>
      <c r="U292" s="1209"/>
      <c r="V292" s="1209"/>
      <c r="W292" s="1209"/>
      <c r="X292" s="1209"/>
      <c r="Y292" s="1209"/>
      <c r="Z292" s="1209"/>
      <c r="AA292" s="1209"/>
      <c r="AB292" s="1209"/>
    </row>
    <row r="293">
      <c r="A293" s="1209"/>
      <c r="B293" s="1209"/>
      <c r="C293" s="1209"/>
      <c r="D293" s="1267"/>
      <c r="E293" s="1267"/>
      <c r="F293" s="1267"/>
      <c r="G293" s="1267"/>
      <c r="H293" s="1267"/>
      <c r="I293" s="1267"/>
      <c r="J293" s="1267"/>
      <c r="K293" s="1267"/>
      <c r="L293" s="1267"/>
      <c r="M293" s="1267"/>
      <c r="N293" s="1267"/>
      <c r="O293" s="1267"/>
      <c r="P293" s="1267"/>
      <c r="Q293" s="1209"/>
      <c r="R293" s="1209"/>
      <c r="S293" s="1209"/>
      <c r="T293" s="1209"/>
      <c r="U293" s="1209"/>
      <c r="V293" s="1209"/>
      <c r="W293" s="1209"/>
      <c r="X293" s="1209"/>
      <c r="Y293" s="1209"/>
      <c r="Z293" s="1209"/>
      <c r="AA293" s="1209"/>
      <c r="AB293" s="1209"/>
    </row>
    <row r="294" ht="18.75" customHeight="1">
      <c r="A294" s="1288"/>
      <c r="B294" s="1288" t="s">
        <v>3525</v>
      </c>
      <c r="C294" s="1289"/>
      <c r="D294" s="1290">
        <f t="shared" ref="D294:M294" si="3">SUMIFS(D2:D293,$A2:$A293,"아")</f>
        <v>3191840</v>
      </c>
      <c r="E294" s="1290">
        <f t="shared" si="3"/>
        <v>2751555</v>
      </c>
      <c r="F294" s="1290">
        <f t="shared" si="3"/>
        <v>2743240</v>
      </c>
      <c r="G294" s="1290">
        <f t="shared" si="3"/>
        <v>2755140</v>
      </c>
      <c r="H294" s="1290">
        <f t="shared" si="3"/>
        <v>2710280</v>
      </c>
      <c r="I294" s="1290">
        <f t="shared" si="3"/>
        <v>2288615</v>
      </c>
      <c r="J294" s="1290">
        <f t="shared" si="3"/>
        <v>1857300</v>
      </c>
      <c r="K294" s="1290">
        <f t="shared" si="3"/>
        <v>1949751</v>
      </c>
      <c r="L294" s="1290">
        <f t="shared" si="3"/>
        <v>2732680</v>
      </c>
      <c r="M294" s="1290">
        <f t="shared" si="3"/>
        <v>1688662</v>
      </c>
      <c r="N294" s="1290">
        <f>SUMIFS(N2:N293,$A2:$A293,"아")-91890</f>
        <v>2752180</v>
      </c>
      <c r="O294" s="1290">
        <f>SUMIFS(O2:O293,$A2:$A293,"아")-212970</f>
        <v>3369655</v>
      </c>
      <c r="P294" s="1291">
        <f>sum(F294:O294)</f>
        <v>24847503</v>
      </c>
      <c r="Q294" s="1292"/>
      <c r="R294" s="1292"/>
      <c r="S294" s="1292"/>
      <c r="T294" s="1292"/>
      <c r="U294" s="1292"/>
      <c r="V294" s="1292"/>
      <c r="W294" s="1292"/>
      <c r="X294" s="1292"/>
      <c r="Y294" s="1292"/>
      <c r="Z294" s="1292"/>
      <c r="AA294" s="1292"/>
      <c r="AB294" s="1292"/>
    </row>
    <row r="295">
      <c r="A295" s="1209"/>
      <c r="B295" s="1209"/>
      <c r="C295" s="1209"/>
      <c r="D295" s="1267"/>
      <c r="E295" s="1267"/>
      <c r="F295" s="1267"/>
      <c r="G295" s="1267"/>
      <c r="H295" s="1267"/>
      <c r="I295" s="1267"/>
      <c r="J295" s="1267"/>
      <c r="K295" s="1267"/>
      <c r="L295" s="1267"/>
      <c r="M295" s="1267"/>
      <c r="N295" s="1267"/>
      <c r="O295" s="1267"/>
      <c r="P295" s="1267"/>
      <c r="Q295" s="1209"/>
      <c r="R295" s="1209"/>
      <c r="S295" s="1209"/>
      <c r="T295" s="1209"/>
      <c r="U295" s="1209"/>
      <c r="V295" s="1209"/>
      <c r="W295" s="1209"/>
      <c r="X295" s="1209"/>
      <c r="Y295" s="1209"/>
      <c r="Z295" s="1209"/>
      <c r="AA295" s="1209"/>
      <c r="AB295" s="1209"/>
    </row>
    <row r="296">
      <c r="A296" s="1209"/>
      <c r="B296" s="1209"/>
      <c r="C296" s="1209"/>
      <c r="D296" s="1267"/>
      <c r="E296" s="1267"/>
      <c r="F296" s="1267"/>
      <c r="G296" s="1293">
        <v>45398.0</v>
      </c>
      <c r="H296" s="1293">
        <v>45447.0</v>
      </c>
      <c r="I296" s="1293">
        <v>45447.0</v>
      </c>
      <c r="J296" s="1267"/>
      <c r="K296" s="1293">
        <v>45533.0</v>
      </c>
      <c r="L296" s="1267"/>
      <c r="M296" s="1293">
        <v>45587.0</v>
      </c>
      <c r="N296" s="1267"/>
      <c r="O296" s="1267"/>
      <c r="P296" s="1267"/>
      <c r="Q296" s="1209"/>
      <c r="R296" s="1209"/>
      <c r="S296" s="1209"/>
      <c r="T296" s="1209"/>
      <c r="U296" s="1209"/>
      <c r="V296" s="1209"/>
      <c r="W296" s="1209"/>
      <c r="X296" s="1209"/>
      <c r="Y296" s="1209"/>
      <c r="Z296" s="1209"/>
      <c r="AA296" s="1209"/>
      <c r="AB296" s="1209"/>
    </row>
    <row r="297">
      <c r="A297" s="1209"/>
      <c r="B297" s="1209"/>
      <c r="C297" s="1218"/>
      <c r="D297" s="1267"/>
      <c r="E297" s="1267"/>
      <c r="F297" s="1267"/>
      <c r="G297" s="1265">
        <v>2914090.0</v>
      </c>
      <c r="H297" s="1265">
        <v>2755780.0</v>
      </c>
      <c r="I297" s="1265">
        <v>2791520.0</v>
      </c>
      <c r="J297" s="1267"/>
      <c r="K297" s="1265">
        <v>5788876.0</v>
      </c>
      <c r="L297" s="1267"/>
      <c r="M297" s="1265">
        <v>1824111.0</v>
      </c>
      <c r="N297" s="1267"/>
      <c r="O297" s="1267"/>
      <c r="P297" s="1267">
        <f>sum(G297:M297)</f>
        <v>16074377</v>
      </c>
      <c r="Q297" s="1209"/>
      <c r="R297" s="1209"/>
      <c r="S297" s="1209"/>
      <c r="T297" s="1209"/>
      <c r="U297" s="1209"/>
      <c r="V297" s="1209"/>
      <c r="W297" s="1209"/>
      <c r="X297" s="1209"/>
      <c r="Y297" s="1209"/>
      <c r="Z297" s="1209"/>
      <c r="AA297" s="1209"/>
      <c r="AB297" s="1209"/>
    </row>
    <row r="298">
      <c r="A298" s="1209"/>
      <c r="B298" s="1209"/>
      <c r="C298" s="1218"/>
      <c r="D298" s="1267"/>
      <c r="E298" s="1267"/>
      <c r="F298" s="1267"/>
      <c r="G298" s="1265" t="s">
        <v>3526</v>
      </c>
      <c r="H298" s="1265" t="s">
        <v>3527</v>
      </c>
      <c r="I298" s="1265" t="s">
        <v>3528</v>
      </c>
      <c r="J298" s="1267"/>
      <c r="K298" s="1265" t="s">
        <v>3529</v>
      </c>
      <c r="L298" s="1267"/>
      <c r="M298" s="1265" t="s">
        <v>3530</v>
      </c>
      <c r="N298" s="1267"/>
      <c r="O298" s="1267"/>
      <c r="P298" s="1267"/>
      <c r="Q298" s="1209"/>
      <c r="R298" s="1209"/>
      <c r="S298" s="1209"/>
      <c r="T298" s="1209"/>
      <c r="U298" s="1209"/>
      <c r="V298" s="1209"/>
      <c r="W298" s="1209"/>
      <c r="X298" s="1209"/>
      <c r="Y298" s="1209"/>
      <c r="Z298" s="1209"/>
      <c r="AA298" s="1209"/>
      <c r="AB298" s="1209"/>
    </row>
    <row r="299">
      <c r="A299" s="1209"/>
      <c r="B299" s="1209"/>
      <c r="C299" s="1209"/>
      <c r="D299" s="1267"/>
      <c r="E299" s="1267"/>
      <c r="F299" s="1267"/>
      <c r="G299" s="1265" t="s">
        <v>3531</v>
      </c>
      <c r="H299" s="1265" t="s">
        <v>3531</v>
      </c>
      <c r="I299" s="1265" t="s">
        <v>3531</v>
      </c>
      <c r="J299" s="1267"/>
      <c r="K299" s="1267"/>
      <c r="L299" s="1267"/>
      <c r="M299" s="1267"/>
      <c r="N299" s="1267"/>
      <c r="O299" s="1267"/>
      <c r="P299" s="1294">
        <f>P294-P297</f>
        <v>8773126</v>
      </c>
      <c r="Q299" s="1209"/>
      <c r="R299" s="1209"/>
      <c r="S299" s="1209"/>
      <c r="T299" s="1209"/>
      <c r="U299" s="1209"/>
      <c r="V299" s="1209"/>
      <c r="W299" s="1209"/>
      <c r="X299" s="1209"/>
      <c r="Y299" s="1209"/>
      <c r="Z299" s="1209"/>
      <c r="AA299" s="1209"/>
      <c r="AB299" s="1209"/>
    </row>
    <row r="300">
      <c r="A300" s="1209"/>
      <c r="B300" s="1209"/>
      <c r="C300" s="1209"/>
      <c r="D300" s="1267"/>
      <c r="E300" s="1267"/>
      <c r="F300" s="1267"/>
      <c r="Q300" s="1209"/>
      <c r="R300" s="1209"/>
      <c r="S300" s="1209"/>
      <c r="T300" s="1209"/>
      <c r="U300" s="1209"/>
      <c r="V300" s="1209"/>
      <c r="W300" s="1209"/>
      <c r="X300" s="1209"/>
      <c r="Y300" s="1209"/>
      <c r="Z300" s="1209"/>
      <c r="AA300" s="1209"/>
      <c r="AB300" s="1209"/>
    </row>
    <row r="301">
      <c r="A301" s="1209"/>
      <c r="B301" s="1209"/>
      <c r="C301" s="1209"/>
      <c r="D301" s="1267"/>
      <c r="E301" s="1267"/>
      <c r="F301" s="1267"/>
      <c r="Q301" s="1209"/>
      <c r="R301" s="1209"/>
      <c r="S301" s="1209"/>
      <c r="T301" s="1209"/>
      <c r="U301" s="1209"/>
      <c r="V301" s="1209"/>
      <c r="W301" s="1209"/>
      <c r="X301" s="1209"/>
      <c r="Y301" s="1209"/>
      <c r="Z301" s="1209"/>
      <c r="AA301" s="1209"/>
      <c r="AB301" s="1209"/>
    </row>
    <row r="302">
      <c r="A302" s="1209"/>
      <c r="B302" s="1209"/>
      <c r="C302" s="1209"/>
      <c r="D302" s="1267"/>
      <c r="E302" s="1267"/>
      <c r="F302" s="1267"/>
      <c r="Q302" s="1209"/>
      <c r="R302" s="1209"/>
      <c r="S302" s="1209"/>
      <c r="T302" s="1209"/>
      <c r="U302" s="1209"/>
      <c r="V302" s="1209"/>
      <c r="W302" s="1209"/>
      <c r="X302" s="1209"/>
      <c r="Y302" s="1209"/>
      <c r="Z302" s="1209"/>
      <c r="AA302" s="1209"/>
      <c r="AB302" s="1209"/>
    </row>
    <row r="303">
      <c r="A303" s="1209"/>
      <c r="B303" s="1209"/>
      <c r="C303" s="1209"/>
      <c r="D303" s="1267"/>
      <c r="E303" s="1267"/>
      <c r="F303" s="1267"/>
      <c r="G303" s="1267"/>
      <c r="I303" s="1267"/>
      <c r="J303" s="1267"/>
      <c r="K303" s="1267"/>
      <c r="L303" s="1267"/>
      <c r="M303" s="1267"/>
      <c r="N303" s="1267"/>
      <c r="O303" s="1267"/>
      <c r="P303" s="1267"/>
      <c r="Q303" s="1209"/>
      <c r="R303" s="1209"/>
      <c r="S303" s="1209"/>
      <c r="T303" s="1209"/>
      <c r="U303" s="1209"/>
      <c r="V303" s="1209"/>
      <c r="W303" s="1209"/>
      <c r="X303" s="1209"/>
      <c r="Y303" s="1209"/>
      <c r="Z303" s="1209"/>
      <c r="AA303" s="1209"/>
      <c r="AB303" s="1209"/>
    </row>
    <row r="304">
      <c r="A304" s="1209"/>
      <c r="B304" s="1209"/>
      <c r="C304" s="1209"/>
      <c r="D304" s="1267"/>
      <c r="E304" s="1267"/>
      <c r="F304" s="1267"/>
      <c r="G304" s="1267"/>
      <c r="I304" s="1267"/>
      <c r="J304" s="1267"/>
      <c r="K304" s="1267"/>
      <c r="L304" s="1267"/>
      <c r="M304" s="1267"/>
      <c r="N304" s="1267"/>
      <c r="O304" s="1267"/>
      <c r="P304" s="1267"/>
      <c r="Q304" s="1209"/>
      <c r="R304" s="1209"/>
      <c r="S304" s="1209"/>
      <c r="T304" s="1209"/>
      <c r="U304" s="1209"/>
      <c r="V304" s="1209"/>
      <c r="W304" s="1209"/>
      <c r="X304" s="1209"/>
      <c r="Y304" s="1209"/>
      <c r="Z304" s="1209"/>
      <c r="AA304" s="1209"/>
      <c r="AB304" s="1209"/>
    </row>
    <row r="305">
      <c r="A305" s="1209"/>
      <c r="B305" s="1209"/>
      <c r="C305" s="1209"/>
      <c r="D305" s="1267"/>
      <c r="E305" s="1267"/>
      <c r="F305" s="1267"/>
      <c r="G305" s="1267"/>
      <c r="I305" s="1267"/>
      <c r="J305" s="1267"/>
      <c r="K305" s="1267"/>
      <c r="L305" s="1267"/>
      <c r="M305" s="1267"/>
      <c r="N305" s="1267"/>
      <c r="O305" s="1267"/>
      <c r="P305" s="1267"/>
      <c r="Q305" s="1209"/>
      <c r="R305" s="1209"/>
      <c r="S305" s="1209"/>
      <c r="T305" s="1209"/>
      <c r="U305" s="1209"/>
      <c r="V305" s="1209"/>
      <c r="W305" s="1209"/>
      <c r="X305" s="1209"/>
      <c r="Y305" s="1209"/>
      <c r="Z305" s="1209"/>
      <c r="AA305" s="1209"/>
      <c r="AB305" s="1209"/>
    </row>
    <row r="306">
      <c r="A306" s="1209"/>
      <c r="B306" s="1209"/>
      <c r="C306" s="1209"/>
      <c r="D306" s="1267"/>
      <c r="E306" s="1267"/>
      <c r="F306" s="1267"/>
      <c r="G306" s="1267"/>
      <c r="H306" s="1267"/>
      <c r="I306" s="1267"/>
      <c r="J306" s="1267"/>
      <c r="K306" s="1267"/>
      <c r="L306" s="1267"/>
      <c r="M306" s="1267"/>
      <c r="N306" s="1267"/>
      <c r="O306" s="1267"/>
      <c r="P306" s="1267"/>
      <c r="Q306" s="1209"/>
      <c r="R306" s="1209"/>
      <c r="S306" s="1209"/>
      <c r="T306" s="1209"/>
      <c r="U306" s="1209"/>
      <c r="V306" s="1209"/>
      <c r="W306" s="1209"/>
      <c r="X306" s="1209"/>
      <c r="Y306" s="1209"/>
      <c r="Z306" s="1209"/>
      <c r="AA306" s="1209"/>
      <c r="AB306" s="1209"/>
    </row>
    <row r="307">
      <c r="A307" s="1209"/>
      <c r="B307" s="1209"/>
      <c r="C307" s="1209"/>
      <c r="D307" s="1267"/>
      <c r="E307" s="1267"/>
      <c r="F307" s="1267"/>
      <c r="G307" s="1267"/>
      <c r="H307" s="1267"/>
      <c r="I307" s="1267"/>
      <c r="J307" s="1267"/>
      <c r="K307" s="1267"/>
      <c r="L307" s="1267"/>
      <c r="M307" s="1267"/>
      <c r="N307" s="1267"/>
      <c r="O307" s="1267"/>
      <c r="P307" s="1267"/>
      <c r="Q307" s="1209"/>
      <c r="R307" s="1209"/>
      <c r="S307" s="1209"/>
      <c r="T307" s="1209"/>
      <c r="U307" s="1209"/>
      <c r="V307" s="1209"/>
      <c r="W307" s="1209"/>
      <c r="X307" s="1209"/>
      <c r="Y307" s="1209"/>
      <c r="Z307" s="1209"/>
      <c r="AA307" s="1209"/>
      <c r="AB307" s="1209"/>
    </row>
    <row r="308">
      <c r="A308" s="1209"/>
      <c r="B308" s="1209"/>
      <c r="C308" s="1209"/>
      <c r="D308" s="1267"/>
      <c r="E308" s="1267"/>
      <c r="F308" s="1267"/>
      <c r="G308" s="1267"/>
      <c r="H308" s="1267"/>
      <c r="I308" s="1267"/>
      <c r="J308" s="1267"/>
      <c r="K308" s="1267"/>
      <c r="L308" s="1267"/>
      <c r="M308" s="1267"/>
      <c r="N308" s="1267"/>
      <c r="O308" s="1267"/>
      <c r="P308" s="1267"/>
      <c r="Q308" s="1209"/>
      <c r="R308" s="1209"/>
      <c r="S308" s="1209"/>
      <c r="T308" s="1209"/>
      <c r="U308" s="1209"/>
      <c r="V308" s="1209"/>
      <c r="W308" s="1209"/>
      <c r="X308" s="1209"/>
      <c r="Y308" s="1209"/>
      <c r="Z308" s="1209"/>
      <c r="AA308" s="1209"/>
      <c r="AB308" s="1209"/>
    </row>
    <row r="309">
      <c r="A309" s="1209"/>
      <c r="B309" s="1209"/>
      <c r="C309" s="1209"/>
      <c r="D309" s="1267"/>
      <c r="E309" s="1267"/>
      <c r="F309" s="1267"/>
      <c r="G309" s="1267"/>
      <c r="H309" s="1267"/>
      <c r="I309" s="1267"/>
      <c r="J309" s="1267"/>
      <c r="K309" s="1267"/>
      <c r="L309" s="1267"/>
      <c r="M309" s="1267"/>
      <c r="N309" s="1267"/>
      <c r="O309" s="1267"/>
      <c r="P309" s="1267"/>
      <c r="Q309" s="1209"/>
      <c r="R309" s="1209"/>
      <c r="S309" s="1209"/>
      <c r="T309" s="1209"/>
      <c r="U309" s="1209"/>
      <c r="V309" s="1209"/>
      <c r="W309" s="1209"/>
      <c r="X309" s="1209"/>
      <c r="Y309" s="1209"/>
      <c r="Z309" s="1209"/>
      <c r="AA309" s="1209"/>
      <c r="AB309" s="1209"/>
    </row>
    <row r="310">
      <c r="A310" s="1209"/>
      <c r="B310" s="1209"/>
      <c r="C310" s="1209"/>
      <c r="D310" s="1267"/>
      <c r="E310" s="1267"/>
      <c r="F310" s="1267"/>
      <c r="G310" s="1267"/>
      <c r="H310" s="1267"/>
      <c r="I310" s="1267"/>
      <c r="J310" s="1267"/>
      <c r="K310" s="1267"/>
      <c r="L310" s="1267"/>
      <c r="M310" s="1267"/>
      <c r="N310" s="1267"/>
      <c r="O310" s="1267"/>
      <c r="P310" s="1267"/>
      <c r="Q310" s="1209"/>
      <c r="R310" s="1209"/>
      <c r="S310" s="1209"/>
      <c r="T310" s="1209"/>
      <c r="U310" s="1209"/>
      <c r="V310" s="1209"/>
      <c r="W310" s="1209"/>
      <c r="X310" s="1209"/>
      <c r="Y310" s="1209"/>
      <c r="Z310" s="1209"/>
      <c r="AA310" s="1209"/>
      <c r="AB310" s="1209"/>
    </row>
    <row r="311">
      <c r="A311" s="1209"/>
      <c r="B311" s="1209"/>
      <c r="C311" s="1209"/>
      <c r="D311" s="1267"/>
      <c r="E311" s="1267"/>
      <c r="F311" s="1267"/>
      <c r="G311" s="1267"/>
      <c r="H311" s="1267"/>
      <c r="I311" s="1267"/>
      <c r="J311" s="1267"/>
      <c r="K311" s="1267"/>
      <c r="L311" s="1267"/>
      <c r="M311" s="1267"/>
      <c r="N311" s="1267"/>
      <c r="O311" s="1267"/>
      <c r="P311" s="1267"/>
      <c r="Q311" s="1209"/>
      <c r="R311" s="1209"/>
      <c r="S311" s="1209"/>
      <c r="T311" s="1209"/>
      <c r="U311" s="1209"/>
      <c r="V311" s="1209"/>
      <c r="W311" s="1209"/>
      <c r="X311" s="1209"/>
      <c r="Y311" s="1209"/>
      <c r="Z311" s="1209"/>
      <c r="AA311" s="1209"/>
      <c r="AB311" s="1209"/>
    </row>
    <row r="312">
      <c r="A312" s="1209"/>
      <c r="B312" s="1209"/>
      <c r="C312" s="1209"/>
      <c r="D312" s="1267"/>
      <c r="E312" s="1267"/>
      <c r="F312" s="1267"/>
      <c r="G312" s="1267"/>
      <c r="H312" s="1267"/>
      <c r="I312" s="1267"/>
      <c r="J312" s="1267"/>
      <c r="K312" s="1267"/>
      <c r="L312" s="1267"/>
      <c r="M312" s="1267"/>
      <c r="N312" s="1267"/>
      <c r="O312" s="1267"/>
      <c r="P312" s="1267"/>
      <c r="Q312" s="1209"/>
      <c r="R312" s="1209"/>
      <c r="S312" s="1209"/>
      <c r="T312" s="1209"/>
      <c r="U312" s="1209"/>
      <c r="V312" s="1209"/>
      <c r="W312" s="1209"/>
      <c r="X312" s="1209"/>
      <c r="Y312" s="1209"/>
      <c r="Z312" s="1209"/>
      <c r="AA312" s="1209"/>
      <c r="AB312" s="1209"/>
    </row>
    <row r="313">
      <c r="A313" s="1209"/>
      <c r="B313" s="1209"/>
      <c r="C313" s="1209"/>
      <c r="D313" s="1267"/>
      <c r="E313" s="1267"/>
      <c r="F313" s="1267"/>
      <c r="G313" s="1267"/>
      <c r="H313" s="1267"/>
      <c r="I313" s="1267"/>
      <c r="J313" s="1267"/>
      <c r="K313" s="1267"/>
      <c r="L313" s="1267"/>
      <c r="M313" s="1267"/>
      <c r="N313" s="1267"/>
      <c r="O313" s="1267"/>
      <c r="P313" s="1267"/>
      <c r="Q313" s="1209"/>
      <c r="R313" s="1209"/>
      <c r="S313" s="1209"/>
      <c r="T313" s="1209"/>
      <c r="U313" s="1209"/>
      <c r="V313" s="1209"/>
      <c r="W313" s="1209"/>
      <c r="X313" s="1209"/>
      <c r="Y313" s="1209"/>
      <c r="Z313" s="1209"/>
      <c r="AA313" s="1209"/>
      <c r="AB313" s="1209"/>
    </row>
    <row r="314">
      <c r="A314" s="1209"/>
      <c r="B314" s="1209"/>
      <c r="C314" s="1209"/>
      <c r="D314" s="1267"/>
      <c r="E314" s="1267"/>
      <c r="F314" s="1267"/>
      <c r="G314" s="1267"/>
      <c r="H314" s="1267"/>
      <c r="I314" s="1267"/>
      <c r="J314" s="1267"/>
      <c r="K314" s="1267"/>
      <c r="L314" s="1267"/>
      <c r="M314" s="1267"/>
      <c r="N314" s="1267"/>
      <c r="O314" s="1267"/>
      <c r="P314" s="1267"/>
      <c r="Q314" s="1209"/>
      <c r="R314" s="1209"/>
      <c r="S314" s="1209"/>
      <c r="T314" s="1209"/>
      <c r="U314" s="1209"/>
      <c r="V314" s="1209"/>
      <c r="W314" s="1209"/>
      <c r="X314" s="1209"/>
      <c r="Y314" s="1209"/>
      <c r="Z314" s="1209"/>
      <c r="AA314" s="1209"/>
      <c r="AB314" s="1209"/>
    </row>
    <row r="315">
      <c r="A315" s="1209"/>
      <c r="B315" s="1209"/>
      <c r="C315" s="1209"/>
      <c r="D315" s="1267"/>
      <c r="E315" s="1267"/>
      <c r="F315" s="1267"/>
      <c r="G315" s="1267"/>
      <c r="H315" s="1267"/>
      <c r="I315" s="1267"/>
      <c r="J315" s="1267"/>
      <c r="K315" s="1267"/>
      <c r="L315" s="1267"/>
      <c r="M315" s="1267"/>
      <c r="N315" s="1267"/>
      <c r="O315" s="1267"/>
      <c r="P315" s="1267"/>
      <c r="Q315" s="1209"/>
      <c r="R315" s="1209"/>
      <c r="S315" s="1209"/>
      <c r="T315" s="1209"/>
      <c r="U315" s="1209"/>
      <c r="V315" s="1209"/>
      <c r="W315" s="1209"/>
      <c r="X315" s="1209"/>
      <c r="Y315" s="1209"/>
      <c r="Z315" s="1209"/>
      <c r="AA315" s="1209"/>
      <c r="AB315" s="1209"/>
    </row>
    <row r="316">
      <c r="A316" s="1209"/>
      <c r="B316" s="1209"/>
      <c r="C316" s="1209"/>
      <c r="D316" s="1267"/>
      <c r="E316" s="1267"/>
      <c r="F316" s="1267"/>
      <c r="G316" s="1267"/>
      <c r="H316" s="1267"/>
      <c r="I316" s="1267"/>
      <c r="J316" s="1267"/>
      <c r="K316" s="1267"/>
      <c r="L316" s="1267"/>
      <c r="M316" s="1267"/>
      <c r="N316" s="1267"/>
      <c r="O316" s="1267"/>
      <c r="P316" s="1267"/>
      <c r="Q316" s="1209"/>
      <c r="R316" s="1209"/>
      <c r="S316" s="1209"/>
      <c r="T316" s="1209"/>
      <c r="U316" s="1209"/>
      <c r="V316" s="1209"/>
      <c r="W316" s="1209"/>
      <c r="X316" s="1209"/>
      <c r="Y316" s="1209"/>
      <c r="Z316" s="1209"/>
      <c r="AA316" s="1209"/>
      <c r="AB316" s="1209"/>
    </row>
    <row r="317">
      <c r="A317" s="1209"/>
      <c r="B317" s="1209"/>
      <c r="C317" s="1209"/>
      <c r="D317" s="1267"/>
      <c r="E317" s="1267"/>
      <c r="F317" s="1267"/>
      <c r="G317" s="1267"/>
      <c r="H317" s="1267"/>
      <c r="I317" s="1267"/>
      <c r="J317" s="1267"/>
      <c r="K317" s="1267"/>
      <c r="L317" s="1267"/>
      <c r="M317" s="1267"/>
      <c r="N317" s="1267"/>
      <c r="O317" s="1267"/>
      <c r="P317" s="1267"/>
      <c r="Q317" s="1209"/>
      <c r="R317" s="1209"/>
      <c r="S317" s="1209"/>
      <c r="T317" s="1209"/>
      <c r="U317" s="1209"/>
      <c r="V317" s="1209"/>
      <c r="W317" s="1209"/>
      <c r="X317" s="1209"/>
      <c r="Y317" s="1209"/>
      <c r="Z317" s="1209"/>
      <c r="AA317" s="1209"/>
      <c r="AB317" s="1209"/>
    </row>
    <row r="318">
      <c r="A318" s="1209"/>
      <c r="B318" s="1209"/>
      <c r="C318" s="1209"/>
      <c r="D318" s="1267"/>
      <c r="E318" s="1267"/>
      <c r="F318" s="1267"/>
      <c r="G318" s="1267"/>
      <c r="H318" s="1267"/>
      <c r="I318" s="1267"/>
      <c r="J318" s="1267"/>
      <c r="K318" s="1267"/>
      <c r="L318" s="1267"/>
      <c r="M318" s="1267"/>
      <c r="N318" s="1267"/>
      <c r="O318" s="1267"/>
      <c r="P318" s="1267"/>
      <c r="Q318" s="1209"/>
      <c r="R318" s="1209"/>
      <c r="S318" s="1209"/>
      <c r="T318" s="1209"/>
      <c r="U318" s="1209"/>
      <c r="V318" s="1209"/>
      <c r="W318" s="1209"/>
      <c r="X318" s="1209"/>
      <c r="Y318" s="1209"/>
      <c r="Z318" s="1209"/>
      <c r="AA318" s="1209"/>
      <c r="AB318" s="1209"/>
    </row>
    <row r="319">
      <c r="A319" s="1209"/>
      <c r="B319" s="1209"/>
      <c r="C319" s="1209"/>
      <c r="D319" s="1267"/>
      <c r="E319" s="1267"/>
      <c r="F319" s="1267"/>
      <c r="G319" s="1267"/>
      <c r="H319" s="1267"/>
      <c r="I319" s="1267"/>
      <c r="J319" s="1267"/>
      <c r="K319" s="1267"/>
      <c r="L319" s="1267"/>
      <c r="M319" s="1267"/>
      <c r="N319" s="1267"/>
      <c r="O319" s="1267"/>
      <c r="P319" s="1267"/>
      <c r="Q319" s="1209"/>
      <c r="R319" s="1209"/>
      <c r="S319" s="1209"/>
      <c r="T319" s="1209"/>
      <c r="U319" s="1209"/>
      <c r="V319" s="1209"/>
      <c r="W319" s="1209"/>
      <c r="X319" s="1209"/>
      <c r="Y319" s="1209"/>
      <c r="Z319" s="1209"/>
      <c r="AA319" s="1209"/>
      <c r="AB319" s="1209"/>
    </row>
    <row r="320">
      <c r="A320" s="1209"/>
      <c r="B320" s="1209"/>
      <c r="C320" s="1209"/>
      <c r="D320" s="1267"/>
      <c r="E320" s="1267"/>
      <c r="F320" s="1267"/>
      <c r="G320" s="1267"/>
      <c r="H320" s="1267"/>
      <c r="I320" s="1267"/>
      <c r="J320" s="1267"/>
      <c r="K320" s="1267"/>
      <c r="L320" s="1267"/>
      <c r="M320" s="1267"/>
      <c r="N320" s="1267"/>
      <c r="O320" s="1267"/>
      <c r="P320" s="1267"/>
      <c r="Q320" s="1209"/>
      <c r="R320" s="1209"/>
      <c r="S320" s="1209"/>
      <c r="T320" s="1209"/>
      <c r="U320" s="1209"/>
      <c r="V320" s="1209"/>
      <c r="W320" s="1209"/>
      <c r="X320" s="1209"/>
      <c r="Y320" s="1209"/>
      <c r="Z320" s="1209"/>
      <c r="AA320" s="1209"/>
      <c r="AB320" s="1209"/>
    </row>
    <row r="321">
      <c r="A321" s="1209"/>
      <c r="B321" s="1209"/>
      <c r="C321" s="1209"/>
      <c r="D321" s="1267"/>
      <c r="E321" s="1267"/>
      <c r="F321" s="1267"/>
      <c r="G321" s="1267"/>
      <c r="H321" s="1267"/>
      <c r="I321" s="1267"/>
      <c r="J321" s="1267"/>
      <c r="K321" s="1267"/>
      <c r="L321" s="1267"/>
      <c r="M321" s="1267"/>
      <c r="N321" s="1267"/>
      <c r="O321" s="1267"/>
      <c r="P321" s="1267"/>
      <c r="Q321" s="1209"/>
      <c r="R321" s="1209"/>
      <c r="S321" s="1209"/>
      <c r="T321" s="1209"/>
      <c r="U321" s="1209"/>
      <c r="V321" s="1209"/>
      <c r="W321" s="1209"/>
      <c r="X321" s="1209"/>
      <c r="Y321" s="1209"/>
      <c r="Z321" s="1209"/>
      <c r="AA321" s="1209"/>
      <c r="AB321" s="1209"/>
    </row>
    <row r="322">
      <c r="A322" s="1209"/>
      <c r="B322" s="1209"/>
      <c r="C322" s="1209"/>
      <c r="D322" s="1267"/>
      <c r="E322" s="1267"/>
      <c r="F322" s="1267"/>
      <c r="G322" s="1267"/>
      <c r="H322" s="1267"/>
      <c r="I322" s="1267"/>
      <c r="J322" s="1267"/>
      <c r="K322" s="1267"/>
      <c r="L322" s="1267"/>
      <c r="M322" s="1267"/>
      <c r="N322" s="1267"/>
      <c r="O322" s="1267"/>
      <c r="P322" s="1267"/>
      <c r="Q322" s="1209"/>
      <c r="R322" s="1209"/>
      <c r="S322" s="1209"/>
      <c r="T322" s="1209"/>
      <c r="U322" s="1209"/>
      <c r="V322" s="1209"/>
      <c r="W322" s="1209"/>
      <c r="X322" s="1209"/>
      <c r="Y322" s="1209"/>
      <c r="Z322" s="1209"/>
      <c r="AA322" s="1209"/>
      <c r="AB322" s="1209"/>
    </row>
    <row r="323">
      <c r="A323" s="1209"/>
      <c r="B323" s="1209"/>
      <c r="C323" s="1209"/>
      <c r="D323" s="1267"/>
      <c r="E323" s="1267"/>
      <c r="F323" s="1267"/>
      <c r="G323" s="1267"/>
      <c r="H323" s="1267"/>
      <c r="I323" s="1267"/>
      <c r="J323" s="1267"/>
      <c r="K323" s="1267"/>
      <c r="L323" s="1267"/>
      <c r="M323" s="1267"/>
      <c r="N323" s="1267"/>
      <c r="O323" s="1267"/>
      <c r="P323" s="1267"/>
      <c r="Q323" s="1209"/>
      <c r="R323" s="1209"/>
      <c r="S323" s="1209"/>
      <c r="T323" s="1209"/>
      <c r="U323" s="1209"/>
      <c r="V323" s="1209"/>
      <c r="W323" s="1209"/>
      <c r="X323" s="1209"/>
      <c r="Y323" s="1209"/>
      <c r="Z323" s="1209"/>
      <c r="AA323" s="1209"/>
      <c r="AB323" s="1209"/>
    </row>
    <row r="324">
      <c r="A324" s="1209"/>
      <c r="B324" s="1209"/>
      <c r="C324" s="1209"/>
      <c r="D324" s="1267"/>
      <c r="E324" s="1267"/>
      <c r="F324" s="1267"/>
      <c r="G324" s="1267"/>
      <c r="H324" s="1267"/>
      <c r="I324" s="1267"/>
      <c r="J324" s="1267"/>
      <c r="K324" s="1267"/>
      <c r="L324" s="1267"/>
      <c r="M324" s="1267"/>
      <c r="N324" s="1267"/>
      <c r="O324" s="1267"/>
      <c r="P324" s="1267"/>
      <c r="Q324" s="1209"/>
      <c r="R324" s="1209"/>
      <c r="S324" s="1209"/>
      <c r="T324" s="1209"/>
      <c r="U324" s="1209"/>
      <c r="V324" s="1209"/>
      <c r="W324" s="1209"/>
      <c r="X324" s="1209"/>
      <c r="Y324" s="1209"/>
      <c r="Z324" s="1209"/>
      <c r="AA324" s="1209"/>
      <c r="AB324" s="1209"/>
    </row>
    <row r="325">
      <c r="A325" s="1209"/>
      <c r="B325" s="1209"/>
      <c r="C325" s="1209"/>
      <c r="D325" s="1267"/>
      <c r="E325" s="1267"/>
      <c r="F325" s="1267"/>
      <c r="G325" s="1267"/>
      <c r="H325" s="1267"/>
      <c r="I325" s="1267"/>
      <c r="J325" s="1267"/>
      <c r="K325" s="1267"/>
      <c r="L325" s="1267"/>
      <c r="M325" s="1267"/>
      <c r="N325" s="1267"/>
      <c r="O325" s="1267"/>
      <c r="P325" s="1267"/>
      <c r="Q325" s="1209"/>
      <c r="R325" s="1209"/>
      <c r="S325" s="1209"/>
      <c r="T325" s="1209"/>
      <c r="U325" s="1209"/>
      <c r="V325" s="1209"/>
      <c r="W325" s="1209"/>
      <c r="X325" s="1209"/>
      <c r="Y325" s="1209"/>
      <c r="Z325" s="1209"/>
      <c r="AA325" s="1209"/>
      <c r="AB325" s="1209"/>
    </row>
    <row r="326">
      <c r="A326" s="1209"/>
      <c r="B326" s="1209"/>
      <c r="C326" s="1209"/>
      <c r="D326" s="1267"/>
      <c r="E326" s="1267"/>
      <c r="F326" s="1267"/>
      <c r="G326" s="1267"/>
      <c r="H326" s="1267"/>
      <c r="I326" s="1267"/>
      <c r="J326" s="1267"/>
      <c r="K326" s="1267"/>
      <c r="L326" s="1267"/>
      <c r="M326" s="1267"/>
      <c r="N326" s="1267"/>
      <c r="O326" s="1267"/>
      <c r="P326" s="1267"/>
      <c r="Q326" s="1209"/>
      <c r="R326" s="1209"/>
      <c r="S326" s="1209"/>
      <c r="T326" s="1209"/>
      <c r="U326" s="1209"/>
      <c r="V326" s="1209"/>
      <c r="W326" s="1209"/>
      <c r="X326" s="1209"/>
      <c r="Y326" s="1209"/>
      <c r="Z326" s="1209"/>
      <c r="AA326" s="1209"/>
      <c r="AB326" s="1209"/>
    </row>
    <row r="327">
      <c r="A327" s="1209"/>
      <c r="B327" s="1209"/>
      <c r="C327" s="1209"/>
      <c r="D327" s="1267"/>
      <c r="E327" s="1267"/>
      <c r="F327" s="1267"/>
      <c r="G327" s="1267"/>
      <c r="H327" s="1267"/>
      <c r="I327" s="1267"/>
      <c r="J327" s="1267"/>
      <c r="K327" s="1267"/>
      <c r="L327" s="1267"/>
      <c r="M327" s="1267"/>
      <c r="N327" s="1267"/>
      <c r="O327" s="1267"/>
      <c r="P327" s="1267"/>
      <c r="Q327" s="1209"/>
      <c r="R327" s="1209"/>
      <c r="S327" s="1209"/>
      <c r="T327" s="1209"/>
      <c r="U327" s="1209"/>
      <c r="V327" s="1209"/>
      <c r="W327" s="1209"/>
      <c r="X327" s="1209"/>
      <c r="Y327" s="1209"/>
      <c r="Z327" s="1209"/>
      <c r="AA327" s="1209"/>
      <c r="AB327" s="1209"/>
    </row>
    <row r="328">
      <c r="A328" s="1209"/>
      <c r="B328" s="1209"/>
      <c r="C328" s="1209"/>
      <c r="D328" s="1267"/>
      <c r="E328" s="1267"/>
      <c r="F328" s="1267"/>
      <c r="G328" s="1267"/>
      <c r="H328" s="1267"/>
      <c r="I328" s="1267"/>
      <c r="J328" s="1267"/>
      <c r="K328" s="1267"/>
      <c r="L328" s="1267"/>
      <c r="M328" s="1267"/>
      <c r="N328" s="1267"/>
      <c r="O328" s="1267"/>
      <c r="P328" s="1267"/>
      <c r="Q328" s="1209"/>
      <c r="R328" s="1209"/>
      <c r="S328" s="1209"/>
      <c r="T328" s="1209"/>
      <c r="U328" s="1209"/>
      <c r="V328" s="1209"/>
      <c r="W328" s="1209"/>
      <c r="X328" s="1209"/>
      <c r="Y328" s="1209"/>
      <c r="Z328" s="1209"/>
      <c r="AA328" s="1209"/>
      <c r="AB328" s="1209"/>
    </row>
    <row r="329">
      <c r="A329" s="1209"/>
      <c r="B329" s="1209"/>
      <c r="C329" s="1209"/>
      <c r="D329" s="1267"/>
      <c r="E329" s="1267"/>
      <c r="F329" s="1267"/>
      <c r="G329" s="1267"/>
      <c r="H329" s="1267"/>
      <c r="I329" s="1267"/>
      <c r="J329" s="1267"/>
      <c r="K329" s="1267"/>
      <c r="L329" s="1267"/>
      <c r="M329" s="1267"/>
      <c r="N329" s="1267"/>
      <c r="O329" s="1267"/>
      <c r="P329" s="1267"/>
      <c r="Q329" s="1209"/>
      <c r="R329" s="1209"/>
      <c r="S329" s="1209"/>
      <c r="T329" s="1209"/>
      <c r="U329" s="1209"/>
      <c r="V329" s="1209"/>
      <c r="W329" s="1209"/>
      <c r="X329" s="1209"/>
      <c r="Y329" s="1209"/>
      <c r="Z329" s="1209"/>
      <c r="AA329" s="1209"/>
      <c r="AB329" s="1209"/>
    </row>
    <row r="330">
      <c r="A330" s="1209"/>
      <c r="B330" s="1209"/>
      <c r="C330" s="1209"/>
      <c r="D330" s="1267"/>
      <c r="E330" s="1267"/>
      <c r="F330" s="1267"/>
      <c r="G330" s="1267"/>
      <c r="H330" s="1267"/>
      <c r="I330" s="1267"/>
      <c r="J330" s="1267"/>
      <c r="K330" s="1267"/>
      <c r="L330" s="1267"/>
      <c r="M330" s="1267"/>
      <c r="N330" s="1267"/>
      <c r="O330" s="1267"/>
      <c r="P330" s="1267"/>
      <c r="Q330" s="1209"/>
      <c r="R330" s="1209"/>
      <c r="S330" s="1209"/>
      <c r="T330" s="1209"/>
      <c r="U330" s="1209"/>
      <c r="V330" s="1209"/>
      <c r="W330" s="1209"/>
      <c r="X330" s="1209"/>
      <c r="Y330" s="1209"/>
      <c r="Z330" s="1209"/>
      <c r="AA330" s="1209"/>
      <c r="AB330" s="1209"/>
    </row>
    <row r="331">
      <c r="A331" s="1209"/>
      <c r="B331" s="1209"/>
      <c r="C331" s="1209"/>
      <c r="D331" s="1267"/>
      <c r="E331" s="1267"/>
      <c r="F331" s="1267"/>
      <c r="G331" s="1267"/>
      <c r="H331" s="1267"/>
      <c r="I331" s="1267"/>
      <c r="J331" s="1267"/>
      <c r="K331" s="1267"/>
      <c r="L331" s="1267"/>
      <c r="M331" s="1267"/>
      <c r="N331" s="1267"/>
      <c r="O331" s="1267"/>
      <c r="P331" s="1267"/>
      <c r="Q331" s="1209"/>
      <c r="R331" s="1209"/>
      <c r="S331" s="1209"/>
      <c r="T331" s="1209"/>
      <c r="U331" s="1209"/>
      <c r="V331" s="1209"/>
      <c r="W331" s="1209"/>
      <c r="X331" s="1209"/>
      <c r="Y331" s="1209"/>
      <c r="Z331" s="1209"/>
      <c r="AA331" s="1209"/>
      <c r="AB331" s="1209"/>
    </row>
    <row r="332">
      <c r="A332" s="1209"/>
      <c r="B332" s="1209"/>
      <c r="C332" s="1209"/>
      <c r="D332" s="1267"/>
      <c r="E332" s="1267"/>
      <c r="F332" s="1267"/>
      <c r="G332" s="1267"/>
      <c r="H332" s="1267"/>
      <c r="I332" s="1267"/>
      <c r="J332" s="1267"/>
      <c r="K332" s="1267"/>
      <c r="L332" s="1267"/>
      <c r="M332" s="1267"/>
      <c r="N332" s="1267"/>
      <c r="O332" s="1267"/>
      <c r="P332" s="1267"/>
      <c r="Q332" s="1209"/>
      <c r="R332" s="1209"/>
      <c r="S332" s="1209"/>
      <c r="T332" s="1209"/>
      <c r="U332" s="1209"/>
      <c r="V332" s="1209"/>
      <c r="W332" s="1209"/>
      <c r="X332" s="1209"/>
      <c r="Y332" s="1209"/>
      <c r="Z332" s="1209"/>
      <c r="AA332" s="1209"/>
      <c r="AB332" s="1209"/>
    </row>
    <row r="333">
      <c r="A333" s="1209"/>
      <c r="B333" s="1209"/>
      <c r="C333" s="1209"/>
      <c r="D333" s="1267"/>
      <c r="E333" s="1267"/>
      <c r="F333" s="1267"/>
      <c r="G333" s="1267"/>
      <c r="H333" s="1267"/>
      <c r="I333" s="1267"/>
      <c r="J333" s="1267"/>
      <c r="K333" s="1267"/>
      <c r="L333" s="1267"/>
      <c r="M333" s="1267"/>
      <c r="N333" s="1267"/>
      <c r="O333" s="1267"/>
      <c r="P333" s="1267"/>
      <c r="Q333" s="1209"/>
      <c r="R333" s="1209"/>
      <c r="S333" s="1209"/>
      <c r="T333" s="1209"/>
      <c r="U333" s="1209"/>
      <c r="V333" s="1209"/>
      <c r="W333" s="1209"/>
      <c r="X333" s="1209"/>
      <c r="Y333" s="1209"/>
      <c r="Z333" s="1209"/>
      <c r="AA333" s="1209"/>
      <c r="AB333" s="1209"/>
    </row>
    <row r="334">
      <c r="A334" s="1209"/>
      <c r="B334" s="1209"/>
      <c r="C334" s="1209"/>
      <c r="D334" s="1267"/>
      <c r="E334" s="1267"/>
      <c r="F334" s="1267"/>
      <c r="G334" s="1267"/>
      <c r="H334" s="1267"/>
      <c r="I334" s="1267"/>
      <c r="J334" s="1267"/>
      <c r="K334" s="1267"/>
      <c r="L334" s="1267"/>
      <c r="M334" s="1267"/>
      <c r="N334" s="1267"/>
      <c r="O334" s="1267"/>
      <c r="P334" s="1267"/>
      <c r="Q334" s="1209"/>
      <c r="R334" s="1209"/>
      <c r="S334" s="1209"/>
      <c r="T334" s="1209"/>
      <c r="U334" s="1209"/>
      <c r="V334" s="1209"/>
      <c r="W334" s="1209"/>
      <c r="X334" s="1209"/>
      <c r="Y334" s="1209"/>
      <c r="Z334" s="1209"/>
      <c r="AA334" s="1209"/>
      <c r="AB334" s="1209"/>
    </row>
    <row r="335">
      <c r="A335" s="1209"/>
      <c r="B335" s="1209"/>
      <c r="C335" s="1209"/>
      <c r="D335" s="1267"/>
      <c r="E335" s="1267"/>
      <c r="F335" s="1267"/>
      <c r="G335" s="1267"/>
      <c r="H335" s="1267"/>
      <c r="I335" s="1267"/>
      <c r="J335" s="1267"/>
      <c r="K335" s="1267"/>
      <c r="L335" s="1267"/>
      <c r="M335" s="1267"/>
      <c r="N335" s="1267"/>
      <c r="O335" s="1267"/>
      <c r="P335" s="1267"/>
      <c r="Q335" s="1209"/>
      <c r="R335" s="1209"/>
      <c r="S335" s="1209"/>
      <c r="T335" s="1209"/>
      <c r="U335" s="1209"/>
      <c r="V335" s="1209"/>
      <c r="W335" s="1209"/>
      <c r="X335" s="1209"/>
      <c r="Y335" s="1209"/>
      <c r="Z335" s="1209"/>
      <c r="AA335" s="1209"/>
      <c r="AB335" s="1209"/>
    </row>
    <row r="336">
      <c r="A336" s="1209"/>
      <c r="B336" s="1209"/>
      <c r="C336" s="1209"/>
      <c r="D336" s="1267"/>
      <c r="E336" s="1267"/>
      <c r="F336" s="1267"/>
      <c r="G336" s="1267"/>
      <c r="H336" s="1267"/>
      <c r="I336" s="1267"/>
      <c r="J336" s="1267"/>
      <c r="K336" s="1267"/>
      <c r="L336" s="1267"/>
      <c r="M336" s="1267"/>
      <c r="N336" s="1267"/>
      <c r="O336" s="1267"/>
      <c r="P336" s="1267"/>
      <c r="Q336" s="1209"/>
      <c r="R336" s="1209"/>
      <c r="S336" s="1209"/>
      <c r="T336" s="1209"/>
      <c r="U336" s="1209"/>
      <c r="V336" s="1209"/>
      <c r="W336" s="1209"/>
      <c r="X336" s="1209"/>
      <c r="Y336" s="1209"/>
      <c r="Z336" s="1209"/>
      <c r="AA336" s="1209"/>
      <c r="AB336" s="1209"/>
    </row>
    <row r="337">
      <c r="A337" s="1209"/>
      <c r="B337" s="1209"/>
      <c r="C337" s="1209"/>
      <c r="D337" s="1267"/>
      <c r="E337" s="1267"/>
      <c r="F337" s="1267"/>
      <c r="G337" s="1267"/>
      <c r="H337" s="1267"/>
      <c r="I337" s="1267"/>
      <c r="J337" s="1267"/>
      <c r="K337" s="1267"/>
      <c r="L337" s="1267"/>
      <c r="M337" s="1267"/>
      <c r="N337" s="1267"/>
      <c r="O337" s="1267"/>
      <c r="P337" s="1267"/>
      <c r="Q337" s="1209"/>
      <c r="R337" s="1209"/>
      <c r="S337" s="1209"/>
      <c r="T337" s="1209"/>
      <c r="U337" s="1209"/>
      <c r="V337" s="1209"/>
      <c r="W337" s="1209"/>
      <c r="X337" s="1209"/>
      <c r="Y337" s="1209"/>
      <c r="Z337" s="1209"/>
      <c r="AA337" s="1209"/>
      <c r="AB337" s="1209"/>
    </row>
    <row r="338">
      <c r="A338" s="1209"/>
      <c r="B338" s="1209"/>
      <c r="C338" s="1209"/>
      <c r="D338" s="1267"/>
      <c r="E338" s="1267"/>
      <c r="F338" s="1267"/>
      <c r="G338" s="1267"/>
      <c r="H338" s="1267"/>
      <c r="I338" s="1267"/>
      <c r="J338" s="1267"/>
      <c r="K338" s="1267"/>
      <c r="L338" s="1267"/>
      <c r="M338" s="1267"/>
      <c r="N338" s="1267"/>
      <c r="O338" s="1267"/>
      <c r="P338" s="1267"/>
      <c r="Q338" s="1209"/>
      <c r="R338" s="1209"/>
      <c r="S338" s="1209"/>
      <c r="T338" s="1209"/>
      <c r="U338" s="1209"/>
      <c r="V338" s="1209"/>
      <c r="W338" s="1209"/>
      <c r="X338" s="1209"/>
      <c r="Y338" s="1209"/>
      <c r="Z338" s="1209"/>
      <c r="AA338" s="1209"/>
      <c r="AB338" s="1209"/>
    </row>
    <row r="339">
      <c r="A339" s="1209"/>
      <c r="B339" s="1209"/>
      <c r="C339" s="1209"/>
      <c r="D339" s="1267"/>
      <c r="E339" s="1267"/>
      <c r="F339" s="1267"/>
      <c r="G339" s="1267"/>
      <c r="H339" s="1267"/>
      <c r="I339" s="1267"/>
      <c r="J339" s="1267"/>
      <c r="K339" s="1267"/>
      <c r="L339" s="1267"/>
      <c r="M339" s="1267"/>
      <c r="N339" s="1267"/>
      <c r="O339" s="1267"/>
      <c r="P339" s="1267"/>
      <c r="Q339" s="1209"/>
      <c r="R339" s="1209"/>
      <c r="S339" s="1209"/>
      <c r="T339" s="1209"/>
      <c r="U339" s="1209"/>
      <c r="V339" s="1209"/>
      <c r="W339" s="1209"/>
      <c r="X339" s="1209"/>
      <c r="Y339" s="1209"/>
      <c r="Z339" s="1209"/>
      <c r="AA339" s="1209"/>
      <c r="AB339" s="1209"/>
    </row>
    <row r="340">
      <c r="A340" s="1209"/>
      <c r="B340" s="1209"/>
      <c r="C340" s="1209"/>
      <c r="D340" s="1267"/>
      <c r="E340" s="1267"/>
      <c r="F340" s="1267"/>
      <c r="G340" s="1267"/>
      <c r="H340" s="1267"/>
      <c r="I340" s="1267"/>
      <c r="J340" s="1267"/>
      <c r="K340" s="1267"/>
      <c r="L340" s="1267"/>
      <c r="M340" s="1267"/>
      <c r="N340" s="1267"/>
      <c r="O340" s="1267"/>
      <c r="P340" s="1267"/>
      <c r="Q340" s="1209"/>
      <c r="R340" s="1209"/>
      <c r="S340" s="1209"/>
      <c r="T340" s="1209"/>
      <c r="U340" s="1209"/>
      <c r="V340" s="1209"/>
      <c r="W340" s="1209"/>
      <c r="X340" s="1209"/>
      <c r="Y340" s="1209"/>
      <c r="Z340" s="1209"/>
      <c r="AA340" s="1209"/>
      <c r="AB340" s="1209"/>
    </row>
    <row r="341">
      <c r="A341" s="1209"/>
      <c r="B341" s="1209"/>
      <c r="C341" s="1209"/>
      <c r="D341" s="1267"/>
      <c r="E341" s="1267"/>
      <c r="F341" s="1267"/>
      <c r="G341" s="1267"/>
      <c r="H341" s="1267"/>
      <c r="I341" s="1267"/>
      <c r="J341" s="1267"/>
      <c r="K341" s="1267"/>
      <c r="L341" s="1267"/>
      <c r="M341" s="1267"/>
      <c r="N341" s="1267"/>
      <c r="O341" s="1267"/>
      <c r="P341" s="1267"/>
      <c r="Q341" s="1209"/>
      <c r="R341" s="1209"/>
      <c r="S341" s="1209"/>
      <c r="T341" s="1209"/>
      <c r="U341" s="1209"/>
      <c r="V341" s="1209"/>
      <c r="W341" s="1209"/>
      <c r="X341" s="1209"/>
      <c r="Y341" s="1209"/>
      <c r="Z341" s="1209"/>
      <c r="AA341" s="1209"/>
      <c r="AB341" s="1209"/>
    </row>
    <row r="342">
      <c r="A342" s="1209"/>
      <c r="B342" s="1209"/>
      <c r="C342" s="1209"/>
      <c r="D342" s="1267"/>
      <c r="E342" s="1267"/>
      <c r="F342" s="1267"/>
      <c r="G342" s="1267"/>
      <c r="H342" s="1267"/>
      <c r="I342" s="1267"/>
      <c r="J342" s="1267"/>
      <c r="K342" s="1267"/>
      <c r="L342" s="1267"/>
      <c r="M342" s="1267"/>
      <c r="N342" s="1267"/>
      <c r="O342" s="1267"/>
      <c r="P342" s="1267"/>
      <c r="Q342" s="1209"/>
      <c r="R342" s="1209"/>
      <c r="S342" s="1209"/>
      <c r="T342" s="1209"/>
      <c r="U342" s="1209"/>
      <c r="V342" s="1209"/>
      <c r="W342" s="1209"/>
      <c r="X342" s="1209"/>
      <c r="Y342" s="1209"/>
      <c r="Z342" s="1209"/>
      <c r="AA342" s="1209"/>
      <c r="AB342" s="1209"/>
    </row>
    <row r="343">
      <c r="A343" s="1209"/>
      <c r="B343" s="1209"/>
      <c r="C343" s="1209"/>
      <c r="D343" s="1267"/>
      <c r="E343" s="1267"/>
      <c r="F343" s="1267"/>
      <c r="G343" s="1267"/>
      <c r="H343" s="1267"/>
      <c r="I343" s="1267"/>
      <c r="J343" s="1267"/>
      <c r="K343" s="1267"/>
      <c r="L343" s="1267"/>
      <c r="M343" s="1267"/>
      <c r="N343" s="1267"/>
      <c r="O343" s="1267"/>
      <c r="P343" s="1267"/>
      <c r="Q343" s="1209"/>
      <c r="R343" s="1209"/>
      <c r="S343" s="1209"/>
      <c r="T343" s="1209"/>
      <c r="U343" s="1209"/>
      <c r="V343" s="1209"/>
      <c r="W343" s="1209"/>
      <c r="X343" s="1209"/>
      <c r="Y343" s="1209"/>
      <c r="Z343" s="1209"/>
      <c r="AA343" s="1209"/>
      <c r="AB343" s="1209"/>
    </row>
    <row r="344">
      <c r="A344" s="1209"/>
      <c r="B344" s="1209"/>
      <c r="C344" s="1209"/>
      <c r="D344" s="1267"/>
      <c r="E344" s="1267"/>
      <c r="F344" s="1267"/>
      <c r="G344" s="1267"/>
      <c r="H344" s="1267"/>
      <c r="I344" s="1267"/>
      <c r="J344" s="1267"/>
      <c r="K344" s="1267"/>
      <c r="L344" s="1267"/>
      <c r="M344" s="1267"/>
      <c r="N344" s="1267"/>
      <c r="O344" s="1267"/>
      <c r="P344" s="1267"/>
      <c r="Q344" s="1209"/>
      <c r="R344" s="1209"/>
      <c r="S344" s="1209"/>
      <c r="T344" s="1209"/>
      <c r="U344" s="1209"/>
      <c r="V344" s="1209"/>
      <c r="W344" s="1209"/>
      <c r="X344" s="1209"/>
      <c r="Y344" s="1209"/>
      <c r="Z344" s="1209"/>
      <c r="AA344" s="1209"/>
      <c r="AB344" s="1209"/>
    </row>
    <row r="345">
      <c r="A345" s="1209"/>
      <c r="B345" s="1209"/>
      <c r="C345" s="1209"/>
      <c r="D345" s="1267"/>
      <c r="E345" s="1267"/>
      <c r="F345" s="1267"/>
      <c r="G345" s="1267"/>
      <c r="H345" s="1267"/>
      <c r="I345" s="1267"/>
      <c r="J345" s="1267"/>
      <c r="K345" s="1267"/>
      <c r="L345" s="1267"/>
      <c r="M345" s="1267"/>
      <c r="N345" s="1267"/>
      <c r="O345" s="1267"/>
      <c r="P345" s="1267"/>
      <c r="Q345" s="1209"/>
      <c r="R345" s="1209"/>
      <c r="S345" s="1209"/>
      <c r="T345" s="1209"/>
      <c r="U345" s="1209"/>
      <c r="V345" s="1209"/>
      <c r="W345" s="1209"/>
      <c r="X345" s="1209"/>
      <c r="Y345" s="1209"/>
      <c r="Z345" s="1209"/>
      <c r="AA345" s="1209"/>
      <c r="AB345" s="1209"/>
    </row>
    <row r="346">
      <c r="A346" s="1209"/>
      <c r="B346" s="1209"/>
      <c r="C346" s="1209"/>
      <c r="D346" s="1267"/>
      <c r="E346" s="1267"/>
      <c r="F346" s="1267"/>
      <c r="G346" s="1267"/>
      <c r="H346" s="1267"/>
      <c r="I346" s="1267"/>
      <c r="J346" s="1267"/>
      <c r="K346" s="1267"/>
      <c r="L346" s="1267"/>
      <c r="M346" s="1267"/>
      <c r="N346" s="1267"/>
      <c r="O346" s="1267"/>
      <c r="P346" s="1267"/>
      <c r="Q346" s="1209"/>
      <c r="R346" s="1209"/>
      <c r="S346" s="1209"/>
      <c r="T346" s="1209"/>
      <c r="U346" s="1209"/>
      <c r="V346" s="1209"/>
      <c r="W346" s="1209"/>
      <c r="X346" s="1209"/>
      <c r="Y346" s="1209"/>
      <c r="Z346" s="1209"/>
      <c r="AA346" s="1209"/>
      <c r="AB346" s="1209"/>
    </row>
    <row r="347">
      <c r="A347" s="1209"/>
      <c r="B347" s="1209"/>
      <c r="C347" s="1209"/>
      <c r="D347" s="1267"/>
      <c r="E347" s="1267"/>
      <c r="F347" s="1267"/>
      <c r="G347" s="1267"/>
      <c r="H347" s="1267"/>
      <c r="I347" s="1267"/>
      <c r="J347" s="1267"/>
      <c r="K347" s="1267"/>
      <c r="L347" s="1267"/>
      <c r="M347" s="1267"/>
      <c r="N347" s="1267"/>
      <c r="O347" s="1267"/>
      <c r="P347" s="1267"/>
      <c r="Q347" s="1209"/>
      <c r="R347" s="1209"/>
      <c r="S347" s="1209"/>
      <c r="T347" s="1209"/>
      <c r="U347" s="1209"/>
      <c r="V347" s="1209"/>
      <c r="W347" s="1209"/>
      <c r="X347" s="1209"/>
      <c r="Y347" s="1209"/>
      <c r="Z347" s="1209"/>
      <c r="AA347" s="1209"/>
      <c r="AB347" s="1209"/>
    </row>
    <row r="348">
      <c r="A348" s="1209"/>
      <c r="B348" s="1209"/>
      <c r="C348" s="1209"/>
      <c r="D348" s="1267"/>
      <c r="E348" s="1267"/>
      <c r="F348" s="1267"/>
      <c r="G348" s="1267"/>
      <c r="H348" s="1267"/>
      <c r="I348" s="1267"/>
      <c r="J348" s="1267"/>
      <c r="K348" s="1267"/>
      <c r="L348" s="1267"/>
      <c r="M348" s="1267"/>
      <c r="N348" s="1267"/>
      <c r="O348" s="1267"/>
      <c r="P348" s="1267"/>
      <c r="Q348" s="1209"/>
      <c r="R348" s="1209"/>
      <c r="S348" s="1209"/>
      <c r="T348" s="1209"/>
      <c r="U348" s="1209"/>
      <c r="V348" s="1209"/>
      <c r="W348" s="1209"/>
      <c r="X348" s="1209"/>
      <c r="Y348" s="1209"/>
      <c r="Z348" s="1209"/>
      <c r="AA348" s="1209"/>
      <c r="AB348" s="1209"/>
    </row>
    <row r="349">
      <c r="A349" s="1209"/>
      <c r="B349" s="1209"/>
      <c r="C349" s="1209"/>
      <c r="D349" s="1267"/>
      <c r="E349" s="1267"/>
      <c r="F349" s="1267"/>
      <c r="G349" s="1267"/>
      <c r="H349" s="1267"/>
      <c r="I349" s="1267"/>
      <c r="J349" s="1267"/>
      <c r="K349" s="1267"/>
      <c r="L349" s="1267"/>
      <c r="M349" s="1267"/>
      <c r="N349" s="1267"/>
      <c r="O349" s="1267"/>
      <c r="P349" s="1267"/>
      <c r="Q349" s="1209"/>
      <c r="R349" s="1209"/>
      <c r="S349" s="1209"/>
      <c r="T349" s="1209"/>
      <c r="U349" s="1209"/>
      <c r="V349" s="1209"/>
      <c r="W349" s="1209"/>
      <c r="X349" s="1209"/>
      <c r="Y349" s="1209"/>
      <c r="Z349" s="1209"/>
      <c r="AA349" s="1209"/>
      <c r="AB349" s="1209"/>
    </row>
    <row r="350">
      <c r="A350" s="1209"/>
      <c r="B350" s="1209"/>
      <c r="C350" s="1209"/>
      <c r="D350" s="1267"/>
      <c r="E350" s="1267"/>
      <c r="F350" s="1267"/>
      <c r="G350" s="1267"/>
      <c r="H350" s="1267"/>
      <c r="I350" s="1267"/>
      <c r="J350" s="1267"/>
      <c r="K350" s="1267"/>
      <c r="L350" s="1267"/>
      <c r="M350" s="1267"/>
      <c r="N350" s="1267"/>
      <c r="O350" s="1267"/>
      <c r="P350" s="1267"/>
      <c r="Q350" s="1209"/>
      <c r="R350" s="1209"/>
      <c r="S350" s="1209"/>
      <c r="T350" s="1209"/>
      <c r="U350" s="1209"/>
      <c r="V350" s="1209"/>
      <c r="W350" s="1209"/>
      <c r="X350" s="1209"/>
      <c r="Y350" s="1209"/>
      <c r="Z350" s="1209"/>
      <c r="AA350" s="1209"/>
      <c r="AB350" s="1209"/>
    </row>
    <row r="351">
      <c r="A351" s="1209"/>
      <c r="B351" s="1209"/>
      <c r="C351" s="1209"/>
      <c r="D351" s="1267"/>
      <c r="E351" s="1267"/>
      <c r="F351" s="1267"/>
      <c r="G351" s="1267"/>
      <c r="H351" s="1267"/>
      <c r="I351" s="1267"/>
      <c r="J351" s="1267"/>
      <c r="K351" s="1267"/>
      <c r="L351" s="1267"/>
      <c r="M351" s="1267"/>
      <c r="N351" s="1267"/>
      <c r="O351" s="1267"/>
      <c r="P351" s="1267"/>
      <c r="Q351" s="1209"/>
      <c r="R351" s="1209"/>
      <c r="S351" s="1209"/>
      <c r="T351" s="1209"/>
      <c r="U351" s="1209"/>
      <c r="V351" s="1209"/>
      <c r="W351" s="1209"/>
      <c r="X351" s="1209"/>
      <c r="Y351" s="1209"/>
      <c r="Z351" s="1209"/>
      <c r="AA351" s="1209"/>
      <c r="AB351" s="1209"/>
    </row>
    <row r="352">
      <c r="A352" s="1209"/>
      <c r="B352" s="1209"/>
      <c r="C352" s="1209"/>
      <c r="D352" s="1267"/>
      <c r="E352" s="1267"/>
      <c r="F352" s="1267"/>
      <c r="G352" s="1267"/>
      <c r="H352" s="1267"/>
      <c r="I352" s="1267"/>
      <c r="J352" s="1267"/>
      <c r="K352" s="1267"/>
      <c r="L352" s="1267"/>
      <c r="M352" s="1267"/>
      <c r="N352" s="1267"/>
      <c r="O352" s="1267"/>
      <c r="P352" s="1267"/>
      <c r="Q352" s="1209"/>
      <c r="R352" s="1209"/>
      <c r="S352" s="1209"/>
      <c r="T352" s="1209"/>
      <c r="U352" s="1209"/>
      <c r="V352" s="1209"/>
      <c r="W352" s="1209"/>
      <c r="X352" s="1209"/>
      <c r="Y352" s="1209"/>
      <c r="Z352" s="1209"/>
      <c r="AA352" s="1209"/>
      <c r="AB352" s="1209"/>
    </row>
    <row r="353">
      <c r="A353" s="1209"/>
      <c r="B353" s="1209"/>
      <c r="C353" s="1209"/>
      <c r="D353" s="1267"/>
      <c r="E353" s="1267"/>
      <c r="F353" s="1267"/>
      <c r="G353" s="1267"/>
      <c r="H353" s="1267"/>
      <c r="I353" s="1267"/>
      <c r="J353" s="1267"/>
      <c r="K353" s="1267"/>
      <c r="L353" s="1267"/>
      <c r="M353" s="1267"/>
      <c r="N353" s="1267"/>
      <c r="O353" s="1267"/>
      <c r="P353" s="1267"/>
      <c r="Q353" s="1209"/>
      <c r="R353" s="1209"/>
      <c r="S353" s="1209"/>
      <c r="T353" s="1209"/>
      <c r="U353" s="1209"/>
      <c r="V353" s="1209"/>
      <c r="W353" s="1209"/>
      <c r="X353" s="1209"/>
      <c r="Y353" s="1209"/>
      <c r="Z353" s="1209"/>
      <c r="AA353" s="1209"/>
      <c r="AB353" s="1209"/>
    </row>
    <row r="354">
      <c r="A354" s="1209"/>
      <c r="B354" s="1209"/>
      <c r="C354" s="1209"/>
      <c r="D354" s="1267"/>
      <c r="E354" s="1267"/>
      <c r="F354" s="1267"/>
      <c r="G354" s="1267"/>
      <c r="H354" s="1267"/>
      <c r="I354" s="1267"/>
      <c r="J354" s="1267"/>
      <c r="K354" s="1267"/>
      <c r="L354" s="1267"/>
      <c r="M354" s="1267"/>
      <c r="N354" s="1267"/>
      <c r="O354" s="1267"/>
      <c r="P354" s="1267"/>
      <c r="Q354" s="1209"/>
      <c r="R354" s="1209"/>
      <c r="S354" s="1209"/>
      <c r="T354" s="1209"/>
      <c r="U354" s="1209"/>
      <c r="V354" s="1209"/>
      <c r="W354" s="1209"/>
      <c r="X354" s="1209"/>
      <c r="Y354" s="1209"/>
      <c r="Z354" s="1209"/>
      <c r="AA354" s="1209"/>
      <c r="AB354" s="1209"/>
    </row>
    <row r="355">
      <c r="A355" s="1209"/>
      <c r="B355" s="1209"/>
      <c r="C355" s="1209"/>
      <c r="D355" s="1267"/>
      <c r="E355" s="1267"/>
      <c r="F355" s="1267"/>
      <c r="G355" s="1267"/>
      <c r="H355" s="1267"/>
      <c r="I355" s="1267"/>
      <c r="J355" s="1267"/>
      <c r="K355" s="1267"/>
      <c r="L355" s="1267"/>
      <c r="M355" s="1267"/>
      <c r="N355" s="1267"/>
      <c r="O355" s="1267"/>
      <c r="P355" s="1267"/>
      <c r="Q355" s="1209"/>
      <c r="R355" s="1209"/>
      <c r="S355" s="1209"/>
      <c r="T355" s="1209"/>
      <c r="U355" s="1209"/>
      <c r="V355" s="1209"/>
      <c r="W355" s="1209"/>
      <c r="X355" s="1209"/>
      <c r="Y355" s="1209"/>
      <c r="Z355" s="1209"/>
      <c r="AA355" s="1209"/>
      <c r="AB355" s="1209"/>
    </row>
    <row r="356">
      <c r="A356" s="1209"/>
      <c r="B356" s="1209"/>
      <c r="C356" s="1209"/>
      <c r="D356" s="1267"/>
      <c r="E356" s="1267"/>
      <c r="F356" s="1267"/>
      <c r="G356" s="1267"/>
      <c r="H356" s="1267"/>
      <c r="I356" s="1267"/>
      <c r="J356" s="1267"/>
      <c r="K356" s="1267"/>
      <c r="L356" s="1267"/>
      <c r="M356" s="1267"/>
      <c r="N356" s="1267"/>
      <c r="O356" s="1267"/>
      <c r="P356" s="1267"/>
      <c r="Q356" s="1209"/>
      <c r="R356" s="1209"/>
      <c r="S356" s="1209"/>
      <c r="T356" s="1209"/>
      <c r="U356" s="1209"/>
      <c r="V356" s="1209"/>
      <c r="W356" s="1209"/>
      <c r="X356" s="1209"/>
      <c r="Y356" s="1209"/>
      <c r="Z356" s="1209"/>
      <c r="AA356" s="1209"/>
      <c r="AB356" s="1209"/>
    </row>
    <row r="357">
      <c r="A357" s="1209"/>
      <c r="B357" s="1209"/>
      <c r="C357" s="1209"/>
      <c r="D357" s="1267"/>
      <c r="E357" s="1267"/>
      <c r="F357" s="1267"/>
      <c r="G357" s="1267"/>
      <c r="H357" s="1267"/>
      <c r="I357" s="1267"/>
      <c r="J357" s="1267"/>
      <c r="K357" s="1267"/>
      <c r="L357" s="1267"/>
      <c r="M357" s="1267"/>
      <c r="N357" s="1267"/>
      <c r="O357" s="1267"/>
      <c r="P357" s="1267"/>
      <c r="Q357" s="1209"/>
      <c r="R357" s="1209"/>
      <c r="S357" s="1209"/>
      <c r="T357" s="1209"/>
      <c r="U357" s="1209"/>
      <c r="V357" s="1209"/>
      <c r="W357" s="1209"/>
      <c r="X357" s="1209"/>
      <c r="Y357" s="1209"/>
      <c r="Z357" s="1209"/>
      <c r="AA357" s="1209"/>
      <c r="AB357" s="1209"/>
    </row>
    <row r="358">
      <c r="A358" s="1209"/>
      <c r="B358" s="1209"/>
      <c r="C358" s="1209"/>
      <c r="D358" s="1267"/>
      <c r="E358" s="1267"/>
      <c r="F358" s="1267"/>
      <c r="G358" s="1267"/>
      <c r="H358" s="1267"/>
      <c r="I358" s="1267"/>
      <c r="J358" s="1267"/>
      <c r="K358" s="1267"/>
      <c r="L358" s="1267"/>
      <c r="M358" s="1267"/>
      <c r="N358" s="1267"/>
      <c r="O358" s="1267"/>
      <c r="P358" s="1267"/>
      <c r="Q358" s="1209"/>
      <c r="R358" s="1209"/>
      <c r="S358" s="1209"/>
      <c r="T358" s="1209"/>
      <c r="U358" s="1209"/>
      <c r="V358" s="1209"/>
      <c r="W358" s="1209"/>
      <c r="X358" s="1209"/>
      <c r="Y358" s="1209"/>
      <c r="Z358" s="1209"/>
      <c r="AA358" s="1209"/>
      <c r="AB358" s="1209"/>
    </row>
    <row r="359">
      <c r="A359" s="1209"/>
      <c r="B359" s="1209"/>
      <c r="C359" s="1209"/>
      <c r="D359" s="1267"/>
      <c r="E359" s="1267"/>
      <c r="F359" s="1267"/>
      <c r="G359" s="1267"/>
      <c r="H359" s="1267"/>
      <c r="I359" s="1267"/>
      <c r="J359" s="1267"/>
      <c r="K359" s="1267"/>
      <c r="L359" s="1267"/>
      <c r="M359" s="1267"/>
      <c r="N359" s="1267"/>
      <c r="O359" s="1267"/>
      <c r="P359" s="1267"/>
      <c r="Q359" s="1209"/>
      <c r="R359" s="1209"/>
      <c r="S359" s="1209"/>
      <c r="T359" s="1209"/>
      <c r="U359" s="1209"/>
      <c r="V359" s="1209"/>
      <c r="W359" s="1209"/>
      <c r="X359" s="1209"/>
      <c r="Y359" s="1209"/>
      <c r="Z359" s="1209"/>
      <c r="AA359" s="1209"/>
      <c r="AB359" s="1209"/>
    </row>
    <row r="360">
      <c r="A360" s="1209"/>
      <c r="B360" s="1209"/>
      <c r="C360" s="1209"/>
      <c r="D360" s="1267"/>
      <c r="E360" s="1267"/>
      <c r="F360" s="1267"/>
      <c r="G360" s="1267"/>
      <c r="H360" s="1267"/>
      <c r="I360" s="1267"/>
      <c r="J360" s="1267"/>
      <c r="K360" s="1267"/>
      <c r="L360" s="1267"/>
      <c r="M360" s="1267"/>
      <c r="N360" s="1267"/>
      <c r="O360" s="1267"/>
      <c r="P360" s="1267"/>
      <c r="Q360" s="1209"/>
      <c r="R360" s="1209"/>
      <c r="S360" s="1209"/>
      <c r="T360" s="1209"/>
      <c r="U360" s="1209"/>
      <c r="V360" s="1209"/>
      <c r="W360" s="1209"/>
      <c r="X360" s="1209"/>
      <c r="Y360" s="1209"/>
      <c r="Z360" s="1209"/>
      <c r="AA360" s="1209"/>
      <c r="AB360" s="1209"/>
    </row>
    <row r="361">
      <c r="A361" s="1209"/>
      <c r="B361" s="1209"/>
      <c r="C361" s="1209"/>
      <c r="D361" s="1267"/>
      <c r="E361" s="1267"/>
      <c r="F361" s="1267"/>
      <c r="G361" s="1267"/>
      <c r="H361" s="1267"/>
      <c r="I361" s="1267"/>
      <c r="J361" s="1267"/>
      <c r="K361" s="1267"/>
      <c r="L361" s="1267"/>
      <c r="M361" s="1267"/>
      <c r="N361" s="1267"/>
      <c r="O361" s="1267"/>
      <c r="P361" s="1267"/>
      <c r="Q361" s="1209"/>
      <c r="R361" s="1209"/>
      <c r="S361" s="1209"/>
      <c r="T361" s="1209"/>
      <c r="U361" s="1209"/>
      <c r="V361" s="1209"/>
      <c r="W361" s="1209"/>
      <c r="X361" s="1209"/>
      <c r="Y361" s="1209"/>
      <c r="Z361" s="1209"/>
      <c r="AA361" s="1209"/>
      <c r="AB361" s="1209"/>
    </row>
    <row r="362">
      <c r="A362" s="1209"/>
      <c r="B362" s="1209"/>
      <c r="C362" s="1209"/>
      <c r="D362" s="1267"/>
      <c r="E362" s="1267"/>
      <c r="F362" s="1267"/>
      <c r="G362" s="1267"/>
      <c r="H362" s="1267"/>
      <c r="I362" s="1267"/>
      <c r="J362" s="1267"/>
      <c r="K362" s="1267"/>
      <c r="L362" s="1267"/>
      <c r="M362" s="1267"/>
      <c r="N362" s="1267"/>
      <c r="O362" s="1267"/>
      <c r="P362" s="1267"/>
      <c r="Q362" s="1209"/>
      <c r="R362" s="1209"/>
      <c r="S362" s="1209"/>
      <c r="T362" s="1209"/>
      <c r="U362" s="1209"/>
      <c r="V362" s="1209"/>
      <c r="W362" s="1209"/>
      <c r="X362" s="1209"/>
      <c r="Y362" s="1209"/>
      <c r="Z362" s="1209"/>
      <c r="AA362" s="1209"/>
      <c r="AB362" s="1209"/>
    </row>
    <row r="363">
      <c r="A363" s="1209"/>
      <c r="B363" s="1209"/>
      <c r="C363" s="1209"/>
      <c r="D363" s="1267"/>
      <c r="E363" s="1267"/>
      <c r="F363" s="1267"/>
      <c r="G363" s="1267"/>
      <c r="H363" s="1267"/>
      <c r="I363" s="1267"/>
      <c r="J363" s="1267"/>
      <c r="K363" s="1267"/>
      <c r="L363" s="1267"/>
      <c r="M363" s="1267"/>
      <c r="N363" s="1267"/>
      <c r="O363" s="1267"/>
      <c r="P363" s="1267"/>
      <c r="Q363" s="1209"/>
      <c r="R363" s="1209"/>
      <c r="S363" s="1209"/>
      <c r="T363" s="1209"/>
      <c r="U363" s="1209"/>
      <c r="V363" s="1209"/>
      <c r="W363" s="1209"/>
      <c r="X363" s="1209"/>
      <c r="Y363" s="1209"/>
      <c r="Z363" s="1209"/>
      <c r="AA363" s="1209"/>
      <c r="AB363" s="1209"/>
    </row>
    <row r="364">
      <c r="A364" s="1209"/>
      <c r="B364" s="1209"/>
      <c r="C364" s="1209"/>
      <c r="D364" s="1267"/>
      <c r="E364" s="1267"/>
      <c r="F364" s="1267"/>
      <c r="G364" s="1267"/>
      <c r="H364" s="1267"/>
      <c r="I364" s="1267"/>
      <c r="J364" s="1267"/>
      <c r="K364" s="1267"/>
      <c r="L364" s="1267"/>
      <c r="M364" s="1267"/>
      <c r="N364" s="1267"/>
      <c r="O364" s="1267"/>
      <c r="P364" s="1267"/>
      <c r="Q364" s="1209"/>
      <c r="R364" s="1209"/>
      <c r="S364" s="1209"/>
      <c r="T364" s="1209"/>
      <c r="U364" s="1209"/>
      <c r="V364" s="1209"/>
      <c r="W364" s="1209"/>
      <c r="X364" s="1209"/>
      <c r="Y364" s="1209"/>
      <c r="Z364" s="1209"/>
      <c r="AA364" s="1209"/>
      <c r="AB364" s="1209"/>
    </row>
    <row r="365">
      <c r="A365" s="1209"/>
      <c r="B365" s="1209"/>
      <c r="C365" s="1209"/>
      <c r="D365" s="1267"/>
      <c r="E365" s="1267"/>
      <c r="F365" s="1267"/>
      <c r="G365" s="1267"/>
      <c r="H365" s="1267"/>
      <c r="I365" s="1267"/>
      <c r="J365" s="1267"/>
      <c r="K365" s="1267"/>
      <c r="L365" s="1267"/>
      <c r="M365" s="1267"/>
      <c r="N365" s="1267"/>
      <c r="O365" s="1267"/>
      <c r="P365" s="1267"/>
      <c r="Q365" s="1209"/>
      <c r="R365" s="1209"/>
      <c r="S365" s="1209"/>
      <c r="T365" s="1209"/>
      <c r="U365" s="1209"/>
      <c r="V365" s="1209"/>
      <c r="W365" s="1209"/>
      <c r="X365" s="1209"/>
      <c r="Y365" s="1209"/>
      <c r="Z365" s="1209"/>
      <c r="AA365" s="1209"/>
      <c r="AB365" s="1209"/>
    </row>
    <row r="366">
      <c r="A366" s="1209"/>
      <c r="B366" s="1209"/>
      <c r="C366" s="1209"/>
      <c r="D366" s="1267"/>
      <c r="E366" s="1267"/>
      <c r="F366" s="1267"/>
      <c r="G366" s="1267"/>
      <c r="H366" s="1267"/>
      <c r="I366" s="1267"/>
      <c r="J366" s="1267"/>
      <c r="K366" s="1267"/>
      <c r="L366" s="1267"/>
      <c r="M366" s="1267"/>
      <c r="N366" s="1267"/>
      <c r="O366" s="1267"/>
      <c r="P366" s="1267"/>
      <c r="Q366" s="1209"/>
      <c r="R366" s="1209"/>
      <c r="S366" s="1209"/>
      <c r="T366" s="1209"/>
      <c r="U366" s="1209"/>
      <c r="V366" s="1209"/>
      <c r="W366" s="1209"/>
      <c r="X366" s="1209"/>
      <c r="Y366" s="1209"/>
      <c r="Z366" s="1209"/>
      <c r="AA366" s="1209"/>
      <c r="AB366" s="1209"/>
    </row>
    <row r="367">
      <c r="A367" s="1209"/>
      <c r="B367" s="1209"/>
      <c r="C367" s="1209"/>
      <c r="D367" s="1267"/>
      <c r="E367" s="1267"/>
      <c r="F367" s="1267"/>
      <c r="G367" s="1267"/>
      <c r="H367" s="1267"/>
      <c r="I367" s="1267"/>
      <c r="J367" s="1267"/>
      <c r="K367" s="1267"/>
      <c r="L367" s="1267"/>
      <c r="M367" s="1267"/>
      <c r="N367" s="1267"/>
      <c r="O367" s="1267"/>
      <c r="P367" s="1267"/>
      <c r="Q367" s="1209"/>
      <c r="R367" s="1209"/>
      <c r="S367" s="1209"/>
      <c r="T367" s="1209"/>
      <c r="U367" s="1209"/>
      <c r="V367" s="1209"/>
      <c r="W367" s="1209"/>
      <c r="X367" s="1209"/>
      <c r="Y367" s="1209"/>
      <c r="Z367" s="1209"/>
      <c r="AA367" s="1209"/>
      <c r="AB367" s="1209"/>
    </row>
    <row r="368">
      <c r="A368" s="1209"/>
      <c r="B368" s="1209"/>
      <c r="C368" s="1209"/>
      <c r="D368" s="1267"/>
      <c r="E368" s="1267"/>
      <c r="F368" s="1267"/>
      <c r="G368" s="1267"/>
      <c r="H368" s="1267"/>
      <c r="I368" s="1267"/>
      <c r="J368" s="1267"/>
      <c r="K368" s="1267"/>
      <c r="L368" s="1267"/>
      <c r="M368" s="1267"/>
      <c r="N368" s="1267"/>
      <c r="O368" s="1267"/>
      <c r="P368" s="1267"/>
      <c r="Q368" s="1209"/>
      <c r="R368" s="1209"/>
      <c r="S368" s="1209"/>
      <c r="T368" s="1209"/>
      <c r="U368" s="1209"/>
      <c r="V368" s="1209"/>
      <c r="W368" s="1209"/>
      <c r="X368" s="1209"/>
      <c r="Y368" s="1209"/>
      <c r="Z368" s="1209"/>
      <c r="AA368" s="1209"/>
      <c r="AB368" s="1209"/>
    </row>
    <row r="369">
      <c r="A369" s="1209"/>
      <c r="B369" s="1209"/>
      <c r="C369" s="1209"/>
      <c r="D369" s="1267"/>
      <c r="E369" s="1267"/>
      <c r="F369" s="1267"/>
      <c r="G369" s="1267"/>
      <c r="H369" s="1267"/>
      <c r="I369" s="1267"/>
      <c r="J369" s="1267"/>
      <c r="K369" s="1267"/>
      <c r="L369" s="1267"/>
      <c r="M369" s="1267"/>
      <c r="N369" s="1267"/>
      <c r="O369" s="1267"/>
      <c r="P369" s="1267"/>
      <c r="Q369" s="1209"/>
      <c r="R369" s="1209"/>
      <c r="S369" s="1209"/>
      <c r="T369" s="1209"/>
      <c r="U369" s="1209"/>
      <c r="V369" s="1209"/>
      <c r="W369" s="1209"/>
      <c r="X369" s="1209"/>
      <c r="Y369" s="1209"/>
      <c r="Z369" s="1209"/>
      <c r="AA369" s="1209"/>
      <c r="AB369" s="1209"/>
    </row>
    <row r="370">
      <c r="A370" s="1209"/>
      <c r="B370" s="1209"/>
      <c r="C370" s="1209"/>
      <c r="D370" s="1267"/>
      <c r="E370" s="1267"/>
      <c r="F370" s="1267"/>
      <c r="G370" s="1267"/>
      <c r="H370" s="1267"/>
      <c r="I370" s="1267"/>
      <c r="J370" s="1267"/>
      <c r="K370" s="1267"/>
      <c r="L370" s="1267"/>
      <c r="M370" s="1267"/>
      <c r="N370" s="1267"/>
      <c r="O370" s="1267"/>
      <c r="P370" s="1267"/>
      <c r="Q370" s="1209"/>
      <c r="R370" s="1209"/>
      <c r="S370" s="1209"/>
      <c r="T370" s="1209"/>
      <c r="U370" s="1209"/>
      <c r="V370" s="1209"/>
      <c r="W370" s="1209"/>
      <c r="X370" s="1209"/>
      <c r="Y370" s="1209"/>
      <c r="Z370" s="1209"/>
      <c r="AA370" s="1209"/>
      <c r="AB370" s="1209"/>
    </row>
    <row r="371">
      <c r="A371" s="1209"/>
      <c r="B371" s="1209"/>
      <c r="C371" s="1209"/>
      <c r="D371" s="1267"/>
      <c r="E371" s="1267"/>
      <c r="F371" s="1267"/>
      <c r="G371" s="1267"/>
      <c r="H371" s="1267"/>
      <c r="I371" s="1267"/>
      <c r="J371" s="1267"/>
      <c r="K371" s="1267"/>
      <c r="L371" s="1267"/>
      <c r="M371" s="1267"/>
      <c r="N371" s="1267"/>
      <c r="O371" s="1267"/>
      <c r="P371" s="1267"/>
      <c r="Q371" s="1209"/>
      <c r="R371" s="1209"/>
      <c r="S371" s="1209"/>
      <c r="T371" s="1209"/>
      <c r="U371" s="1209"/>
      <c r="V371" s="1209"/>
      <c r="W371" s="1209"/>
      <c r="X371" s="1209"/>
      <c r="Y371" s="1209"/>
      <c r="Z371" s="1209"/>
      <c r="AA371" s="1209"/>
      <c r="AB371" s="1209"/>
    </row>
    <row r="372">
      <c r="A372" s="1209"/>
      <c r="B372" s="1209"/>
      <c r="C372" s="1209"/>
      <c r="D372" s="1267"/>
      <c r="E372" s="1267"/>
      <c r="F372" s="1267"/>
      <c r="G372" s="1267"/>
      <c r="H372" s="1267"/>
      <c r="I372" s="1267"/>
      <c r="J372" s="1267"/>
      <c r="K372" s="1267"/>
      <c r="L372" s="1267"/>
      <c r="M372" s="1267"/>
      <c r="N372" s="1267"/>
      <c r="O372" s="1267"/>
      <c r="P372" s="1267"/>
      <c r="Q372" s="1209"/>
      <c r="R372" s="1209"/>
      <c r="S372" s="1209"/>
      <c r="T372" s="1209"/>
      <c r="U372" s="1209"/>
      <c r="V372" s="1209"/>
      <c r="W372" s="1209"/>
      <c r="X372" s="1209"/>
      <c r="Y372" s="1209"/>
      <c r="Z372" s="1209"/>
      <c r="AA372" s="1209"/>
      <c r="AB372" s="1209"/>
    </row>
    <row r="373">
      <c r="A373" s="1209"/>
      <c r="B373" s="1209"/>
      <c r="C373" s="1209"/>
      <c r="D373" s="1267"/>
      <c r="E373" s="1267"/>
      <c r="F373" s="1267"/>
      <c r="G373" s="1267"/>
      <c r="H373" s="1267"/>
      <c r="I373" s="1267"/>
      <c r="J373" s="1267"/>
      <c r="K373" s="1267"/>
      <c r="L373" s="1267"/>
      <c r="M373" s="1267"/>
      <c r="N373" s="1267"/>
      <c r="O373" s="1267"/>
      <c r="P373" s="1267"/>
      <c r="Q373" s="1209"/>
      <c r="R373" s="1209"/>
      <c r="S373" s="1209"/>
      <c r="T373" s="1209"/>
      <c r="U373" s="1209"/>
      <c r="V373" s="1209"/>
      <c r="W373" s="1209"/>
      <c r="X373" s="1209"/>
      <c r="Y373" s="1209"/>
      <c r="Z373" s="1209"/>
      <c r="AA373" s="1209"/>
      <c r="AB373" s="1209"/>
    </row>
    <row r="374">
      <c r="A374" s="1209"/>
      <c r="B374" s="1209"/>
      <c r="C374" s="1209"/>
      <c r="D374" s="1267"/>
      <c r="E374" s="1267"/>
      <c r="F374" s="1267"/>
      <c r="G374" s="1267"/>
      <c r="H374" s="1267"/>
      <c r="I374" s="1267"/>
      <c r="J374" s="1267"/>
      <c r="K374" s="1267"/>
      <c r="L374" s="1267"/>
      <c r="M374" s="1267"/>
      <c r="N374" s="1267"/>
      <c r="O374" s="1267"/>
      <c r="P374" s="1267"/>
      <c r="Q374" s="1209"/>
      <c r="R374" s="1209"/>
      <c r="S374" s="1209"/>
      <c r="T374" s="1209"/>
      <c r="U374" s="1209"/>
      <c r="V374" s="1209"/>
      <c r="W374" s="1209"/>
      <c r="X374" s="1209"/>
      <c r="Y374" s="1209"/>
      <c r="Z374" s="1209"/>
      <c r="AA374" s="1209"/>
      <c r="AB374" s="1209"/>
    </row>
    <row r="375">
      <c r="A375" s="1209"/>
      <c r="B375" s="1209"/>
      <c r="C375" s="1209"/>
      <c r="D375" s="1267"/>
      <c r="E375" s="1267"/>
      <c r="F375" s="1267"/>
      <c r="G375" s="1267"/>
      <c r="H375" s="1267"/>
      <c r="I375" s="1267"/>
      <c r="J375" s="1267"/>
      <c r="K375" s="1267"/>
      <c r="L375" s="1267"/>
      <c r="M375" s="1267"/>
      <c r="N375" s="1267"/>
      <c r="O375" s="1267"/>
      <c r="P375" s="1267"/>
      <c r="Q375" s="1209"/>
      <c r="R375" s="1209"/>
      <c r="S375" s="1209"/>
      <c r="T375" s="1209"/>
      <c r="U375" s="1209"/>
      <c r="V375" s="1209"/>
      <c r="W375" s="1209"/>
      <c r="X375" s="1209"/>
      <c r="Y375" s="1209"/>
      <c r="Z375" s="1209"/>
      <c r="AA375" s="1209"/>
      <c r="AB375" s="1209"/>
    </row>
    <row r="376">
      <c r="A376" s="1209"/>
      <c r="B376" s="1209"/>
      <c r="C376" s="1209"/>
      <c r="D376" s="1267"/>
      <c r="E376" s="1267"/>
      <c r="F376" s="1267"/>
      <c r="G376" s="1267"/>
      <c r="H376" s="1267"/>
      <c r="I376" s="1267"/>
      <c r="J376" s="1267"/>
      <c r="K376" s="1267"/>
      <c r="L376" s="1267"/>
      <c r="M376" s="1267"/>
      <c r="N376" s="1267"/>
      <c r="O376" s="1267"/>
      <c r="P376" s="1267"/>
      <c r="Q376" s="1209"/>
      <c r="R376" s="1209"/>
      <c r="S376" s="1209"/>
      <c r="T376" s="1209"/>
      <c r="U376" s="1209"/>
      <c r="V376" s="1209"/>
      <c r="W376" s="1209"/>
      <c r="X376" s="1209"/>
      <c r="Y376" s="1209"/>
      <c r="Z376" s="1209"/>
      <c r="AA376" s="1209"/>
      <c r="AB376" s="1209"/>
    </row>
    <row r="377">
      <c r="A377" s="1209"/>
      <c r="B377" s="1209"/>
      <c r="C377" s="1209"/>
      <c r="D377" s="1267"/>
      <c r="E377" s="1267"/>
      <c r="F377" s="1267"/>
      <c r="G377" s="1267"/>
      <c r="H377" s="1267"/>
      <c r="I377" s="1267"/>
      <c r="J377" s="1267"/>
      <c r="K377" s="1267"/>
      <c r="L377" s="1267"/>
      <c r="M377" s="1267"/>
      <c r="N377" s="1267"/>
      <c r="O377" s="1267"/>
      <c r="P377" s="1267"/>
      <c r="Q377" s="1209"/>
      <c r="R377" s="1209"/>
      <c r="S377" s="1209"/>
      <c r="T377" s="1209"/>
      <c r="U377" s="1209"/>
      <c r="V377" s="1209"/>
      <c r="W377" s="1209"/>
      <c r="X377" s="1209"/>
      <c r="Y377" s="1209"/>
      <c r="Z377" s="1209"/>
      <c r="AA377" s="1209"/>
      <c r="AB377" s="1209"/>
    </row>
    <row r="378">
      <c r="A378" s="1209"/>
      <c r="B378" s="1209"/>
      <c r="C378" s="1209"/>
      <c r="D378" s="1267"/>
      <c r="E378" s="1267"/>
      <c r="F378" s="1267"/>
      <c r="G378" s="1267"/>
      <c r="H378" s="1267"/>
      <c r="I378" s="1267"/>
      <c r="J378" s="1267"/>
      <c r="K378" s="1267"/>
      <c r="L378" s="1267"/>
      <c r="M378" s="1267"/>
      <c r="N378" s="1267"/>
      <c r="O378" s="1267"/>
      <c r="P378" s="1267"/>
      <c r="Q378" s="1209"/>
      <c r="R378" s="1209"/>
      <c r="S378" s="1209"/>
      <c r="T378" s="1209"/>
      <c r="U378" s="1209"/>
      <c r="V378" s="1209"/>
      <c r="W378" s="1209"/>
      <c r="X378" s="1209"/>
      <c r="Y378" s="1209"/>
      <c r="Z378" s="1209"/>
      <c r="AA378" s="1209"/>
      <c r="AB378" s="1209"/>
    </row>
    <row r="379">
      <c r="A379" s="1209"/>
      <c r="B379" s="1209"/>
      <c r="C379" s="1209"/>
      <c r="D379" s="1267"/>
      <c r="E379" s="1267"/>
      <c r="F379" s="1267"/>
      <c r="G379" s="1267"/>
      <c r="H379" s="1267"/>
      <c r="I379" s="1267"/>
      <c r="J379" s="1267"/>
      <c r="K379" s="1267"/>
      <c r="L379" s="1267"/>
      <c r="M379" s="1267"/>
      <c r="N379" s="1267"/>
      <c r="O379" s="1267"/>
      <c r="P379" s="1267"/>
      <c r="Q379" s="1209"/>
      <c r="R379" s="1209"/>
      <c r="S379" s="1209"/>
      <c r="T379" s="1209"/>
      <c r="U379" s="1209"/>
      <c r="V379" s="1209"/>
      <c r="W379" s="1209"/>
      <c r="X379" s="1209"/>
      <c r="Y379" s="1209"/>
      <c r="Z379" s="1209"/>
      <c r="AA379" s="1209"/>
      <c r="AB379" s="1209"/>
    </row>
    <row r="380">
      <c r="A380" s="1209"/>
      <c r="B380" s="1209"/>
      <c r="C380" s="1209"/>
      <c r="D380" s="1267"/>
      <c r="E380" s="1267"/>
      <c r="F380" s="1267"/>
      <c r="G380" s="1267"/>
      <c r="H380" s="1267"/>
      <c r="I380" s="1267"/>
      <c r="J380" s="1267"/>
      <c r="K380" s="1267"/>
      <c r="L380" s="1267"/>
      <c r="M380" s="1267"/>
      <c r="N380" s="1267"/>
      <c r="O380" s="1267"/>
      <c r="P380" s="1267"/>
      <c r="Q380" s="1209"/>
      <c r="R380" s="1209"/>
      <c r="S380" s="1209"/>
      <c r="T380" s="1209"/>
      <c r="U380" s="1209"/>
      <c r="V380" s="1209"/>
      <c r="W380" s="1209"/>
      <c r="X380" s="1209"/>
      <c r="Y380" s="1209"/>
      <c r="Z380" s="1209"/>
      <c r="AA380" s="1209"/>
      <c r="AB380" s="1209"/>
    </row>
    <row r="381">
      <c r="A381" s="1209"/>
      <c r="B381" s="1209"/>
      <c r="C381" s="1209"/>
      <c r="D381" s="1267"/>
      <c r="E381" s="1267"/>
      <c r="F381" s="1267"/>
      <c r="G381" s="1267"/>
      <c r="H381" s="1267"/>
      <c r="I381" s="1267"/>
      <c r="J381" s="1267"/>
      <c r="K381" s="1267"/>
      <c r="L381" s="1267"/>
      <c r="M381" s="1267"/>
      <c r="N381" s="1267"/>
      <c r="O381" s="1267"/>
      <c r="P381" s="1267"/>
      <c r="Q381" s="1209"/>
      <c r="R381" s="1209"/>
      <c r="S381" s="1209"/>
      <c r="T381" s="1209"/>
      <c r="U381" s="1209"/>
      <c r="V381" s="1209"/>
      <c r="W381" s="1209"/>
      <c r="X381" s="1209"/>
      <c r="Y381" s="1209"/>
      <c r="Z381" s="1209"/>
      <c r="AA381" s="1209"/>
      <c r="AB381" s="1209"/>
    </row>
    <row r="382">
      <c r="A382" s="1209"/>
      <c r="B382" s="1209"/>
      <c r="C382" s="1209"/>
      <c r="D382" s="1267"/>
      <c r="E382" s="1267"/>
      <c r="F382" s="1267"/>
      <c r="G382" s="1267"/>
      <c r="H382" s="1267"/>
      <c r="I382" s="1267"/>
      <c r="J382" s="1267"/>
      <c r="K382" s="1267"/>
      <c r="L382" s="1267"/>
      <c r="M382" s="1267"/>
      <c r="N382" s="1267"/>
      <c r="O382" s="1267"/>
      <c r="P382" s="1267"/>
      <c r="Q382" s="1209"/>
      <c r="R382" s="1209"/>
      <c r="S382" s="1209"/>
      <c r="T382" s="1209"/>
      <c r="U382" s="1209"/>
      <c r="V382" s="1209"/>
      <c r="W382" s="1209"/>
      <c r="X382" s="1209"/>
      <c r="Y382" s="1209"/>
      <c r="Z382" s="1209"/>
      <c r="AA382" s="1209"/>
      <c r="AB382" s="1209"/>
    </row>
    <row r="383">
      <c r="A383" s="1209"/>
      <c r="B383" s="1209"/>
      <c r="C383" s="1209"/>
      <c r="D383" s="1267"/>
      <c r="E383" s="1267"/>
      <c r="F383" s="1267"/>
      <c r="G383" s="1267"/>
      <c r="H383" s="1267"/>
      <c r="I383" s="1267"/>
      <c r="J383" s="1267"/>
      <c r="K383" s="1267"/>
      <c r="L383" s="1267"/>
      <c r="M383" s="1267"/>
      <c r="N383" s="1267"/>
      <c r="O383" s="1267"/>
      <c r="P383" s="1267"/>
      <c r="Q383" s="1209"/>
      <c r="R383" s="1209"/>
      <c r="S383" s="1209"/>
      <c r="T383" s="1209"/>
      <c r="U383" s="1209"/>
      <c r="V383" s="1209"/>
      <c r="W383" s="1209"/>
      <c r="X383" s="1209"/>
      <c r="Y383" s="1209"/>
      <c r="Z383" s="1209"/>
      <c r="AA383" s="1209"/>
      <c r="AB383" s="1209"/>
    </row>
    <row r="384">
      <c r="A384" s="1209"/>
      <c r="B384" s="1209"/>
      <c r="C384" s="1209"/>
      <c r="D384" s="1267"/>
      <c r="E384" s="1267"/>
      <c r="F384" s="1267"/>
      <c r="G384" s="1267"/>
      <c r="H384" s="1267"/>
      <c r="I384" s="1267"/>
      <c r="J384" s="1267"/>
      <c r="K384" s="1267"/>
      <c r="L384" s="1267"/>
      <c r="M384" s="1267"/>
      <c r="N384" s="1267"/>
      <c r="O384" s="1267"/>
      <c r="P384" s="1267"/>
      <c r="Q384" s="1209"/>
      <c r="R384" s="1209"/>
      <c r="S384" s="1209"/>
      <c r="T384" s="1209"/>
      <c r="U384" s="1209"/>
      <c r="V384" s="1209"/>
      <c r="W384" s="1209"/>
      <c r="X384" s="1209"/>
      <c r="Y384" s="1209"/>
      <c r="Z384" s="1209"/>
      <c r="AA384" s="1209"/>
      <c r="AB384" s="1209"/>
    </row>
    <row r="385">
      <c r="A385" s="1209"/>
      <c r="B385" s="1209"/>
      <c r="C385" s="1209"/>
      <c r="D385" s="1267"/>
      <c r="E385" s="1267"/>
      <c r="F385" s="1267"/>
      <c r="G385" s="1267"/>
      <c r="H385" s="1267"/>
      <c r="I385" s="1267"/>
      <c r="J385" s="1267"/>
      <c r="K385" s="1267"/>
      <c r="L385" s="1267"/>
      <c r="M385" s="1267"/>
      <c r="N385" s="1267"/>
      <c r="O385" s="1267"/>
      <c r="P385" s="1267"/>
      <c r="Q385" s="1209"/>
      <c r="R385" s="1209"/>
      <c r="S385" s="1209"/>
      <c r="T385" s="1209"/>
      <c r="U385" s="1209"/>
      <c r="V385" s="1209"/>
      <c r="W385" s="1209"/>
      <c r="X385" s="1209"/>
      <c r="Y385" s="1209"/>
      <c r="Z385" s="1209"/>
      <c r="AA385" s="1209"/>
      <c r="AB385" s="1209"/>
    </row>
    <row r="386">
      <c r="A386" s="1209"/>
      <c r="B386" s="1209"/>
      <c r="C386" s="1209"/>
      <c r="D386" s="1267"/>
      <c r="E386" s="1267"/>
      <c r="F386" s="1267"/>
      <c r="G386" s="1267"/>
      <c r="H386" s="1267"/>
      <c r="I386" s="1267"/>
      <c r="J386" s="1267"/>
      <c r="K386" s="1267"/>
      <c r="L386" s="1267"/>
      <c r="M386" s="1267"/>
      <c r="N386" s="1267"/>
      <c r="O386" s="1267"/>
      <c r="P386" s="1267"/>
      <c r="Q386" s="1209"/>
      <c r="R386" s="1209"/>
      <c r="S386" s="1209"/>
      <c r="T386" s="1209"/>
      <c r="U386" s="1209"/>
      <c r="V386" s="1209"/>
      <c r="W386" s="1209"/>
      <c r="X386" s="1209"/>
      <c r="Y386" s="1209"/>
      <c r="Z386" s="1209"/>
      <c r="AA386" s="1209"/>
      <c r="AB386" s="1209"/>
    </row>
    <row r="387">
      <c r="A387" s="1209"/>
      <c r="B387" s="1209"/>
      <c r="C387" s="1209"/>
      <c r="D387" s="1267"/>
      <c r="E387" s="1267"/>
      <c r="F387" s="1267"/>
      <c r="G387" s="1267"/>
      <c r="H387" s="1267"/>
      <c r="I387" s="1267"/>
      <c r="J387" s="1267"/>
      <c r="K387" s="1267"/>
      <c r="L387" s="1267"/>
      <c r="M387" s="1267"/>
      <c r="N387" s="1267"/>
      <c r="O387" s="1267"/>
      <c r="P387" s="1267"/>
      <c r="Q387" s="1209"/>
      <c r="R387" s="1209"/>
      <c r="S387" s="1209"/>
      <c r="T387" s="1209"/>
      <c r="U387" s="1209"/>
      <c r="V387" s="1209"/>
      <c r="W387" s="1209"/>
      <c r="X387" s="1209"/>
      <c r="Y387" s="1209"/>
      <c r="Z387" s="1209"/>
      <c r="AA387" s="1209"/>
      <c r="AB387" s="1209"/>
    </row>
    <row r="388">
      <c r="A388" s="1209"/>
      <c r="B388" s="1209"/>
      <c r="C388" s="1209"/>
      <c r="D388" s="1267"/>
      <c r="E388" s="1267"/>
      <c r="F388" s="1267"/>
      <c r="G388" s="1267"/>
      <c r="H388" s="1267"/>
      <c r="I388" s="1267"/>
      <c r="J388" s="1267"/>
      <c r="K388" s="1267"/>
      <c r="L388" s="1267"/>
      <c r="M388" s="1267"/>
      <c r="N388" s="1267"/>
      <c r="O388" s="1267"/>
      <c r="P388" s="1267"/>
      <c r="Q388" s="1209"/>
      <c r="R388" s="1209"/>
      <c r="S388" s="1209"/>
      <c r="T388" s="1209"/>
      <c r="U388" s="1209"/>
      <c r="V388" s="1209"/>
      <c r="W388" s="1209"/>
      <c r="X388" s="1209"/>
      <c r="Y388" s="1209"/>
      <c r="Z388" s="1209"/>
      <c r="AA388" s="1209"/>
      <c r="AB388" s="1209"/>
    </row>
    <row r="389">
      <c r="A389" s="1209"/>
      <c r="B389" s="1209"/>
      <c r="C389" s="1209"/>
      <c r="D389" s="1267"/>
      <c r="E389" s="1267"/>
      <c r="F389" s="1267"/>
      <c r="G389" s="1267"/>
      <c r="H389" s="1267"/>
      <c r="I389" s="1267"/>
      <c r="J389" s="1267"/>
      <c r="K389" s="1267"/>
      <c r="L389" s="1267"/>
      <c r="M389" s="1267"/>
      <c r="N389" s="1267"/>
      <c r="O389" s="1267"/>
      <c r="P389" s="1267"/>
      <c r="Q389" s="1209"/>
      <c r="R389" s="1209"/>
      <c r="S389" s="1209"/>
      <c r="T389" s="1209"/>
      <c r="U389" s="1209"/>
      <c r="V389" s="1209"/>
      <c r="W389" s="1209"/>
      <c r="X389" s="1209"/>
      <c r="Y389" s="1209"/>
      <c r="Z389" s="1209"/>
      <c r="AA389" s="1209"/>
      <c r="AB389" s="1209"/>
    </row>
    <row r="390">
      <c r="A390" s="1209"/>
      <c r="B390" s="1209"/>
      <c r="C390" s="1209"/>
      <c r="D390" s="1267"/>
      <c r="E390" s="1267"/>
      <c r="F390" s="1267"/>
      <c r="G390" s="1267"/>
      <c r="H390" s="1267"/>
      <c r="I390" s="1267"/>
      <c r="J390" s="1267"/>
      <c r="K390" s="1267"/>
      <c r="L390" s="1267"/>
      <c r="M390" s="1267"/>
      <c r="N390" s="1267"/>
      <c r="O390" s="1267"/>
      <c r="P390" s="1267"/>
      <c r="Q390" s="1209"/>
      <c r="R390" s="1209"/>
      <c r="S390" s="1209"/>
      <c r="T390" s="1209"/>
      <c r="U390" s="1209"/>
      <c r="V390" s="1209"/>
      <c r="W390" s="1209"/>
      <c r="X390" s="1209"/>
      <c r="Y390" s="1209"/>
      <c r="Z390" s="1209"/>
      <c r="AA390" s="1209"/>
      <c r="AB390" s="1209"/>
    </row>
    <row r="391">
      <c r="A391" s="1209"/>
      <c r="B391" s="1209"/>
      <c r="C391" s="1209"/>
      <c r="D391" s="1267"/>
      <c r="E391" s="1267"/>
      <c r="F391" s="1267"/>
      <c r="G391" s="1267"/>
      <c r="H391" s="1267"/>
      <c r="I391" s="1267"/>
      <c r="J391" s="1267"/>
      <c r="K391" s="1267"/>
      <c r="L391" s="1267"/>
      <c r="M391" s="1267"/>
      <c r="N391" s="1267"/>
      <c r="O391" s="1267"/>
      <c r="P391" s="1267"/>
      <c r="Q391" s="1209"/>
      <c r="R391" s="1209"/>
      <c r="S391" s="1209"/>
      <c r="T391" s="1209"/>
      <c r="U391" s="1209"/>
      <c r="V391" s="1209"/>
      <c r="W391" s="1209"/>
      <c r="X391" s="1209"/>
      <c r="Y391" s="1209"/>
      <c r="Z391" s="1209"/>
      <c r="AA391" s="1209"/>
      <c r="AB391" s="1209"/>
    </row>
    <row r="392">
      <c r="A392" s="1209"/>
      <c r="B392" s="1209"/>
      <c r="C392" s="1209"/>
      <c r="D392" s="1267"/>
      <c r="E392" s="1267"/>
      <c r="F392" s="1267"/>
      <c r="G392" s="1267"/>
      <c r="H392" s="1267"/>
      <c r="I392" s="1267"/>
      <c r="J392" s="1267"/>
      <c r="K392" s="1267"/>
      <c r="L392" s="1267"/>
      <c r="M392" s="1267"/>
      <c r="N392" s="1267"/>
      <c r="O392" s="1267"/>
      <c r="P392" s="1267"/>
      <c r="Q392" s="1209"/>
      <c r="R392" s="1209"/>
      <c r="S392" s="1209"/>
      <c r="T392" s="1209"/>
      <c r="U392" s="1209"/>
      <c r="V392" s="1209"/>
      <c r="W392" s="1209"/>
      <c r="X392" s="1209"/>
      <c r="Y392" s="1209"/>
      <c r="Z392" s="1209"/>
      <c r="AA392" s="1209"/>
      <c r="AB392" s="1209"/>
    </row>
    <row r="393">
      <c r="A393" s="1209"/>
      <c r="B393" s="1209"/>
      <c r="C393" s="1209"/>
      <c r="D393" s="1267"/>
      <c r="E393" s="1267"/>
      <c r="F393" s="1267"/>
      <c r="G393" s="1267"/>
      <c r="H393" s="1267"/>
      <c r="I393" s="1267"/>
      <c r="J393" s="1267"/>
      <c r="K393" s="1267"/>
      <c r="L393" s="1267"/>
      <c r="M393" s="1267"/>
      <c r="N393" s="1267"/>
      <c r="O393" s="1267"/>
      <c r="P393" s="1267"/>
      <c r="Q393" s="1209"/>
      <c r="R393" s="1209"/>
      <c r="S393" s="1209"/>
      <c r="T393" s="1209"/>
      <c r="U393" s="1209"/>
      <c r="V393" s="1209"/>
      <c r="W393" s="1209"/>
      <c r="X393" s="1209"/>
      <c r="Y393" s="1209"/>
      <c r="Z393" s="1209"/>
      <c r="AA393" s="1209"/>
      <c r="AB393" s="1209"/>
    </row>
    <row r="394">
      <c r="A394" s="1209"/>
      <c r="B394" s="1209"/>
      <c r="C394" s="1209"/>
      <c r="D394" s="1267"/>
      <c r="E394" s="1267"/>
      <c r="F394" s="1267"/>
      <c r="G394" s="1267"/>
      <c r="H394" s="1267"/>
      <c r="I394" s="1267"/>
      <c r="J394" s="1267"/>
      <c r="K394" s="1267"/>
      <c r="L394" s="1267"/>
      <c r="M394" s="1267"/>
      <c r="N394" s="1267"/>
      <c r="O394" s="1267"/>
      <c r="P394" s="1267"/>
      <c r="Q394" s="1209"/>
      <c r="R394" s="1209"/>
      <c r="S394" s="1209"/>
      <c r="T394" s="1209"/>
      <c r="U394" s="1209"/>
      <c r="V394" s="1209"/>
      <c r="W394" s="1209"/>
      <c r="X394" s="1209"/>
      <c r="Y394" s="1209"/>
      <c r="Z394" s="1209"/>
      <c r="AA394" s="1209"/>
      <c r="AB394" s="1209"/>
    </row>
    <row r="395">
      <c r="A395" s="1209"/>
      <c r="B395" s="1209"/>
      <c r="C395" s="1209"/>
      <c r="D395" s="1267"/>
      <c r="E395" s="1267"/>
      <c r="F395" s="1267"/>
      <c r="G395" s="1267"/>
      <c r="H395" s="1267"/>
      <c r="I395" s="1267"/>
      <c r="J395" s="1267"/>
      <c r="K395" s="1267"/>
      <c r="L395" s="1267"/>
      <c r="M395" s="1267"/>
      <c r="N395" s="1267"/>
      <c r="O395" s="1267"/>
      <c r="P395" s="1267"/>
      <c r="Q395" s="1209"/>
      <c r="R395" s="1209"/>
      <c r="S395" s="1209"/>
      <c r="T395" s="1209"/>
      <c r="U395" s="1209"/>
      <c r="V395" s="1209"/>
      <c r="W395" s="1209"/>
      <c r="X395" s="1209"/>
      <c r="Y395" s="1209"/>
      <c r="Z395" s="1209"/>
      <c r="AA395" s="1209"/>
      <c r="AB395" s="1209"/>
    </row>
    <row r="396">
      <c r="A396" s="1209"/>
      <c r="B396" s="1209"/>
      <c r="C396" s="1209"/>
      <c r="D396" s="1267"/>
      <c r="E396" s="1267"/>
      <c r="F396" s="1267"/>
      <c r="G396" s="1267"/>
      <c r="H396" s="1267"/>
      <c r="I396" s="1267"/>
      <c r="J396" s="1267"/>
      <c r="K396" s="1267"/>
      <c r="L396" s="1267"/>
      <c r="M396" s="1267"/>
      <c r="N396" s="1267"/>
      <c r="O396" s="1267"/>
      <c r="P396" s="1267"/>
      <c r="Q396" s="1209"/>
      <c r="R396" s="1209"/>
      <c r="S396" s="1209"/>
      <c r="T396" s="1209"/>
      <c r="U396" s="1209"/>
      <c r="V396" s="1209"/>
      <c r="W396" s="1209"/>
      <c r="X396" s="1209"/>
      <c r="Y396" s="1209"/>
      <c r="Z396" s="1209"/>
      <c r="AA396" s="1209"/>
      <c r="AB396" s="1209"/>
    </row>
    <row r="397">
      <c r="A397" s="1209"/>
      <c r="B397" s="1209"/>
      <c r="C397" s="1209"/>
      <c r="D397" s="1267"/>
      <c r="E397" s="1267"/>
      <c r="F397" s="1267"/>
      <c r="G397" s="1267"/>
      <c r="H397" s="1267"/>
      <c r="I397" s="1267"/>
      <c r="J397" s="1267"/>
      <c r="K397" s="1267"/>
      <c r="L397" s="1267"/>
      <c r="M397" s="1267"/>
      <c r="N397" s="1267"/>
      <c r="O397" s="1267"/>
      <c r="P397" s="1267"/>
      <c r="Q397" s="1209"/>
      <c r="R397" s="1209"/>
      <c r="S397" s="1209"/>
      <c r="T397" s="1209"/>
      <c r="U397" s="1209"/>
      <c r="V397" s="1209"/>
      <c r="W397" s="1209"/>
      <c r="X397" s="1209"/>
      <c r="Y397" s="1209"/>
      <c r="Z397" s="1209"/>
      <c r="AA397" s="1209"/>
      <c r="AB397" s="1209"/>
    </row>
    <row r="398">
      <c r="A398" s="1209"/>
      <c r="B398" s="1209"/>
      <c r="C398" s="1209"/>
      <c r="D398" s="1267"/>
      <c r="E398" s="1267"/>
      <c r="F398" s="1267"/>
      <c r="G398" s="1267"/>
      <c r="H398" s="1267"/>
      <c r="I398" s="1267"/>
      <c r="J398" s="1267"/>
      <c r="K398" s="1267"/>
      <c r="L398" s="1267"/>
      <c r="M398" s="1267"/>
      <c r="N398" s="1267"/>
      <c r="O398" s="1267"/>
      <c r="P398" s="1267"/>
      <c r="Q398" s="1209"/>
      <c r="R398" s="1209"/>
      <c r="S398" s="1209"/>
      <c r="T398" s="1209"/>
      <c r="U398" s="1209"/>
      <c r="V398" s="1209"/>
      <c r="W398" s="1209"/>
      <c r="X398" s="1209"/>
      <c r="Y398" s="1209"/>
      <c r="Z398" s="1209"/>
      <c r="AA398" s="1209"/>
      <c r="AB398" s="1209"/>
    </row>
    <row r="399">
      <c r="A399" s="1209"/>
      <c r="B399" s="1209"/>
      <c r="C399" s="1209"/>
      <c r="D399" s="1267"/>
      <c r="E399" s="1267"/>
      <c r="F399" s="1267"/>
      <c r="G399" s="1267"/>
      <c r="H399" s="1267"/>
      <c r="I399" s="1267"/>
      <c r="J399" s="1267"/>
      <c r="K399" s="1267"/>
      <c r="L399" s="1267"/>
      <c r="M399" s="1267"/>
      <c r="N399" s="1267"/>
      <c r="O399" s="1267"/>
      <c r="P399" s="1267"/>
      <c r="Q399" s="1209"/>
      <c r="R399" s="1209"/>
      <c r="S399" s="1209"/>
      <c r="T399" s="1209"/>
      <c r="U399" s="1209"/>
      <c r="V399" s="1209"/>
      <c r="W399" s="1209"/>
      <c r="X399" s="1209"/>
      <c r="Y399" s="1209"/>
      <c r="Z399" s="1209"/>
      <c r="AA399" s="1209"/>
      <c r="AB399" s="1209"/>
    </row>
    <row r="400">
      <c r="A400" s="1209"/>
      <c r="B400" s="1209"/>
      <c r="C400" s="1209"/>
      <c r="D400" s="1267"/>
      <c r="E400" s="1267"/>
      <c r="F400" s="1267"/>
      <c r="G400" s="1267"/>
      <c r="H400" s="1267"/>
      <c r="I400" s="1267"/>
      <c r="J400" s="1267"/>
      <c r="K400" s="1267"/>
      <c r="L400" s="1267"/>
      <c r="M400" s="1267"/>
      <c r="N400" s="1267"/>
      <c r="O400" s="1267"/>
      <c r="P400" s="1267"/>
      <c r="Q400" s="1209"/>
      <c r="R400" s="1209"/>
      <c r="S400" s="1209"/>
      <c r="T400" s="1209"/>
      <c r="U400" s="1209"/>
      <c r="V400" s="1209"/>
      <c r="W400" s="1209"/>
      <c r="X400" s="1209"/>
      <c r="Y400" s="1209"/>
      <c r="Z400" s="1209"/>
      <c r="AA400" s="1209"/>
      <c r="AB400" s="1209"/>
    </row>
    <row r="401">
      <c r="A401" s="1209"/>
      <c r="B401" s="1209"/>
      <c r="C401" s="1209"/>
      <c r="D401" s="1267"/>
      <c r="E401" s="1267"/>
      <c r="F401" s="1267"/>
      <c r="G401" s="1267"/>
      <c r="H401" s="1267"/>
      <c r="I401" s="1267"/>
      <c r="J401" s="1267"/>
      <c r="K401" s="1267"/>
      <c r="L401" s="1267"/>
      <c r="M401" s="1267"/>
      <c r="N401" s="1267"/>
      <c r="O401" s="1267"/>
      <c r="P401" s="1267"/>
      <c r="Q401" s="1209"/>
      <c r="R401" s="1209"/>
      <c r="S401" s="1209"/>
      <c r="T401" s="1209"/>
      <c r="U401" s="1209"/>
      <c r="V401" s="1209"/>
      <c r="W401" s="1209"/>
      <c r="X401" s="1209"/>
      <c r="Y401" s="1209"/>
      <c r="Z401" s="1209"/>
      <c r="AA401" s="1209"/>
      <c r="AB401" s="1209"/>
    </row>
    <row r="402">
      <c r="A402" s="1209"/>
      <c r="B402" s="1209"/>
      <c r="C402" s="1209"/>
      <c r="D402" s="1267"/>
      <c r="E402" s="1267"/>
      <c r="F402" s="1267"/>
      <c r="G402" s="1267"/>
      <c r="H402" s="1267"/>
      <c r="I402" s="1267"/>
      <c r="J402" s="1267"/>
      <c r="K402" s="1267"/>
      <c r="L402" s="1267"/>
      <c r="M402" s="1267"/>
      <c r="N402" s="1267"/>
      <c r="O402" s="1267"/>
      <c r="P402" s="1267"/>
      <c r="Q402" s="1209"/>
      <c r="R402" s="1209"/>
      <c r="S402" s="1209"/>
      <c r="T402" s="1209"/>
      <c r="U402" s="1209"/>
      <c r="V402" s="1209"/>
      <c r="W402" s="1209"/>
      <c r="X402" s="1209"/>
      <c r="Y402" s="1209"/>
      <c r="Z402" s="1209"/>
      <c r="AA402" s="1209"/>
      <c r="AB402" s="1209"/>
    </row>
    <row r="403">
      <c r="A403" s="1209"/>
      <c r="B403" s="1209"/>
      <c r="C403" s="1209"/>
      <c r="D403" s="1267"/>
      <c r="E403" s="1267"/>
      <c r="F403" s="1267"/>
      <c r="G403" s="1267"/>
      <c r="H403" s="1267"/>
      <c r="I403" s="1267"/>
      <c r="J403" s="1267"/>
      <c r="K403" s="1267"/>
      <c r="L403" s="1267"/>
      <c r="M403" s="1267"/>
      <c r="N403" s="1267"/>
      <c r="O403" s="1267"/>
      <c r="P403" s="1267"/>
      <c r="Q403" s="1209"/>
      <c r="R403" s="1209"/>
      <c r="S403" s="1209"/>
      <c r="T403" s="1209"/>
      <c r="U403" s="1209"/>
      <c r="V403" s="1209"/>
      <c r="W403" s="1209"/>
      <c r="X403" s="1209"/>
      <c r="Y403" s="1209"/>
      <c r="Z403" s="1209"/>
      <c r="AA403" s="1209"/>
      <c r="AB403" s="1209"/>
    </row>
    <row r="404">
      <c r="A404" s="1209"/>
      <c r="B404" s="1209"/>
      <c r="C404" s="1209"/>
      <c r="D404" s="1267"/>
      <c r="E404" s="1267"/>
      <c r="F404" s="1267"/>
      <c r="G404" s="1267"/>
      <c r="H404" s="1267"/>
      <c r="I404" s="1267"/>
      <c r="J404" s="1267"/>
      <c r="K404" s="1267"/>
      <c r="L404" s="1267"/>
      <c r="M404" s="1267"/>
      <c r="N404" s="1267"/>
      <c r="O404" s="1267"/>
      <c r="P404" s="1267"/>
      <c r="Q404" s="1209"/>
      <c r="R404" s="1209"/>
      <c r="S404" s="1209"/>
      <c r="T404" s="1209"/>
      <c r="U404" s="1209"/>
      <c r="V404" s="1209"/>
      <c r="W404" s="1209"/>
      <c r="X404" s="1209"/>
      <c r="Y404" s="1209"/>
      <c r="Z404" s="1209"/>
      <c r="AA404" s="1209"/>
      <c r="AB404" s="1209"/>
    </row>
    <row r="405">
      <c r="A405" s="1209"/>
      <c r="B405" s="1209"/>
      <c r="C405" s="1209"/>
      <c r="D405" s="1267"/>
      <c r="E405" s="1267"/>
      <c r="F405" s="1267"/>
      <c r="G405" s="1267"/>
      <c r="H405" s="1267"/>
      <c r="I405" s="1267"/>
      <c r="J405" s="1267"/>
      <c r="K405" s="1267"/>
      <c r="L405" s="1267"/>
      <c r="M405" s="1267"/>
      <c r="N405" s="1267"/>
      <c r="O405" s="1267"/>
      <c r="P405" s="1267"/>
      <c r="Q405" s="1209"/>
      <c r="R405" s="1209"/>
      <c r="S405" s="1209"/>
      <c r="T405" s="1209"/>
      <c r="U405" s="1209"/>
      <c r="V405" s="1209"/>
      <c r="W405" s="1209"/>
      <c r="X405" s="1209"/>
      <c r="Y405" s="1209"/>
      <c r="Z405" s="1209"/>
      <c r="AA405" s="1209"/>
      <c r="AB405" s="1209"/>
    </row>
    <row r="406">
      <c r="A406" s="1209"/>
      <c r="B406" s="1209"/>
      <c r="C406" s="1209"/>
      <c r="D406" s="1267"/>
      <c r="E406" s="1267"/>
      <c r="F406" s="1267"/>
      <c r="G406" s="1267"/>
      <c r="H406" s="1267"/>
      <c r="I406" s="1267"/>
      <c r="J406" s="1267"/>
      <c r="K406" s="1267"/>
      <c r="L406" s="1267"/>
      <c r="M406" s="1267"/>
      <c r="N406" s="1267"/>
      <c r="O406" s="1267"/>
      <c r="P406" s="1267"/>
      <c r="Q406" s="1209"/>
      <c r="R406" s="1209"/>
      <c r="S406" s="1209"/>
      <c r="T406" s="1209"/>
      <c r="U406" s="1209"/>
      <c r="V406" s="1209"/>
      <c r="W406" s="1209"/>
      <c r="X406" s="1209"/>
      <c r="Y406" s="1209"/>
      <c r="Z406" s="1209"/>
      <c r="AA406" s="1209"/>
      <c r="AB406" s="1209"/>
    </row>
    <row r="407">
      <c r="A407" s="1209"/>
      <c r="B407" s="1209"/>
      <c r="C407" s="1209"/>
      <c r="D407" s="1267"/>
      <c r="E407" s="1267"/>
      <c r="F407" s="1267"/>
      <c r="G407" s="1267"/>
      <c r="H407" s="1267"/>
      <c r="I407" s="1267"/>
      <c r="J407" s="1267"/>
      <c r="K407" s="1267"/>
      <c r="L407" s="1267"/>
      <c r="M407" s="1267"/>
      <c r="N407" s="1267"/>
      <c r="O407" s="1267"/>
      <c r="P407" s="1267"/>
      <c r="Q407" s="1209"/>
      <c r="R407" s="1209"/>
      <c r="S407" s="1209"/>
      <c r="T407" s="1209"/>
      <c r="U407" s="1209"/>
      <c r="V407" s="1209"/>
      <c r="W407" s="1209"/>
      <c r="X407" s="1209"/>
      <c r="Y407" s="1209"/>
      <c r="Z407" s="1209"/>
      <c r="AA407" s="1209"/>
      <c r="AB407" s="1209"/>
    </row>
    <row r="408">
      <c r="A408" s="1209"/>
      <c r="B408" s="1209"/>
      <c r="C408" s="1209"/>
      <c r="D408" s="1267"/>
      <c r="E408" s="1267"/>
      <c r="F408" s="1267"/>
      <c r="G408" s="1267"/>
      <c r="H408" s="1267"/>
      <c r="I408" s="1267"/>
      <c r="J408" s="1267"/>
      <c r="K408" s="1267"/>
      <c r="L408" s="1267"/>
      <c r="M408" s="1267"/>
      <c r="N408" s="1267"/>
      <c r="O408" s="1267"/>
      <c r="P408" s="1267"/>
      <c r="Q408" s="1209"/>
      <c r="R408" s="1209"/>
      <c r="S408" s="1209"/>
      <c r="T408" s="1209"/>
      <c r="U408" s="1209"/>
      <c r="V408" s="1209"/>
      <c r="W408" s="1209"/>
      <c r="X408" s="1209"/>
      <c r="Y408" s="1209"/>
      <c r="Z408" s="1209"/>
      <c r="AA408" s="1209"/>
      <c r="AB408" s="1209"/>
    </row>
    <row r="409">
      <c r="A409" s="1209"/>
      <c r="B409" s="1209"/>
      <c r="C409" s="1209"/>
      <c r="D409" s="1267"/>
      <c r="E409" s="1267"/>
      <c r="F409" s="1267"/>
      <c r="G409" s="1267"/>
      <c r="H409" s="1267"/>
      <c r="I409" s="1267"/>
      <c r="J409" s="1267"/>
      <c r="K409" s="1267"/>
      <c r="L409" s="1267"/>
      <c r="M409" s="1267"/>
      <c r="N409" s="1267"/>
      <c r="O409" s="1267"/>
      <c r="P409" s="1267"/>
      <c r="Q409" s="1209"/>
      <c r="R409" s="1209"/>
      <c r="S409" s="1209"/>
      <c r="T409" s="1209"/>
      <c r="U409" s="1209"/>
      <c r="V409" s="1209"/>
      <c r="W409" s="1209"/>
      <c r="X409" s="1209"/>
      <c r="Y409" s="1209"/>
      <c r="Z409" s="1209"/>
      <c r="AA409" s="1209"/>
      <c r="AB409" s="1209"/>
    </row>
    <row r="410">
      <c r="A410" s="1209"/>
      <c r="B410" s="1209"/>
      <c r="C410" s="1209"/>
      <c r="D410" s="1267"/>
      <c r="E410" s="1267"/>
      <c r="F410" s="1267"/>
      <c r="G410" s="1267"/>
      <c r="H410" s="1267"/>
      <c r="I410" s="1267"/>
      <c r="J410" s="1267"/>
      <c r="K410" s="1267"/>
      <c r="L410" s="1267"/>
      <c r="M410" s="1267"/>
      <c r="N410" s="1267"/>
      <c r="O410" s="1267"/>
      <c r="P410" s="1267"/>
      <c r="Q410" s="1209"/>
      <c r="R410" s="1209"/>
      <c r="S410" s="1209"/>
      <c r="T410" s="1209"/>
      <c r="U410" s="1209"/>
      <c r="V410" s="1209"/>
      <c r="W410" s="1209"/>
      <c r="X410" s="1209"/>
      <c r="Y410" s="1209"/>
      <c r="Z410" s="1209"/>
      <c r="AA410" s="1209"/>
      <c r="AB410" s="1209"/>
    </row>
    <row r="411">
      <c r="A411" s="1209"/>
      <c r="B411" s="1209"/>
      <c r="C411" s="1209"/>
      <c r="D411" s="1267"/>
      <c r="E411" s="1267"/>
      <c r="F411" s="1267"/>
      <c r="G411" s="1267"/>
      <c r="H411" s="1267"/>
      <c r="I411" s="1267"/>
      <c r="J411" s="1267"/>
      <c r="K411" s="1267"/>
      <c r="L411" s="1267"/>
      <c r="M411" s="1267"/>
      <c r="N411" s="1267"/>
      <c r="O411" s="1267"/>
      <c r="P411" s="1267"/>
      <c r="Q411" s="1209"/>
      <c r="R411" s="1209"/>
      <c r="S411" s="1209"/>
      <c r="T411" s="1209"/>
      <c r="U411" s="1209"/>
      <c r="V411" s="1209"/>
      <c r="W411" s="1209"/>
      <c r="X411" s="1209"/>
      <c r="Y411" s="1209"/>
      <c r="Z411" s="1209"/>
      <c r="AA411" s="1209"/>
      <c r="AB411" s="1209"/>
    </row>
    <row r="412">
      <c r="A412" s="1209"/>
      <c r="B412" s="1209"/>
      <c r="C412" s="1209"/>
      <c r="D412" s="1267"/>
      <c r="E412" s="1267"/>
      <c r="F412" s="1267"/>
      <c r="G412" s="1267"/>
      <c r="H412" s="1267"/>
      <c r="I412" s="1267"/>
      <c r="J412" s="1267"/>
      <c r="K412" s="1267"/>
      <c r="L412" s="1267"/>
      <c r="M412" s="1267"/>
      <c r="N412" s="1267"/>
      <c r="O412" s="1267"/>
      <c r="P412" s="1267"/>
      <c r="Q412" s="1209"/>
      <c r="R412" s="1209"/>
      <c r="S412" s="1209"/>
      <c r="T412" s="1209"/>
      <c r="U412" s="1209"/>
      <c r="V412" s="1209"/>
      <c r="W412" s="1209"/>
      <c r="X412" s="1209"/>
      <c r="Y412" s="1209"/>
      <c r="Z412" s="1209"/>
      <c r="AA412" s="1209"/>
      <c r="AB412" s="1209"/>
    </row>
    <row r="413">
      <c r="A413" s="1209"/>
      <c r="B413" s="1209"/>
      <c r="C413" s="1209"/>
      <c r="D413" s="1267"/>
      <c r="E413" s="1267"/>
      <c r="F413" s="1267"/>
      <c r="G413" s="1267"/>
      <c r="H413" s="1267"/>
      <c r="I413" s="1267"/>
      <c r="J413" s="1267"/>
      <c r="K413" s="1267"/>
      <c r="L413" s="1267"/>
      <c r="M413" s="1267"/>
      <c r="N413" s="1267"/>
      <c r="O413" s="1267"/>
      <c r="P413" s="1267"/>
      <c r="Q413" s="1209"/>
      <c r="R413" s="1209"/>
      <c r="S413" s="1209"/>
      <c r="T413" s="1209"/>
      <c r="U413" s="1209"/>
      <c r="V413" s="1209"/>
      <c r="W413" s="1209"/>
      <c r="X413" s="1209"/>
      <c r="Y413" s="1209"/>
      <c r="Z413" s="1209"/>
      <c r="AA413" s="1209"/>
      <c r="AB413" s="1209"/>
    </row>
    <row r="414">
      <c r="A414" s="1209"/>
      <c r="B414" s="1209"/>
      <c r="C414" s="1209"/>
      <c r="D414" s="1267"/>
      <c r="E414" s="1267"/>
      <c r="F414" s="1267"/>
      <c r="G414" s="1267"/>
      <c r="H414" s="1267"/>
      <c r="I414" s="1267"/>
      <c r="J414" s="1267"/>
      <c r="K414" s="1267"/>
      <c r="L414" s="1267"/>
      <c r="M414" s="1267"/>
      <c r="N414" s="1267"/>
      <c r="O414" s="1267"/>
      <c r="P414" s="1267"/>
      <c r="Q414" s="1209"/>
      <c r="R414" s="1209"/>
      <c r="S414" s="1209"/>
      <c r="T414" s="1209"/>
      <c r="U414" s="1209"/>
      <c r="V414" s="1209"/>
      <c r="W414" s="1209"/>
      <c r="X414" s="1209"/>
      <c r="Y414" s="1209"/>
      <c r="Z414" s="1209"/>
      <c r="AA414" s="1209"/>
      <c r="AB414" s="1209"/>
    </row>
    <row r="415">
      <c r="A415" s="1209"/>
      <c r="B415" s="1209"/>
      <c r="C415" s="1209"/>
      <c r="D415" s="1267"/>
      <c r="E415" s="1267"/>
      <c r="F415" s="1267"/>
      <c r="G415" s="1267"/>
      <c r="H415" s="1267"/>
      <c r="I415" s="1267"/>
      <c r="J415" s="1267"/>
      <c r="K415" s="1267"/>
      <c r="L415" s="1267"/>
      <c r="M415" s="1267"/>
      <c r="N415" s="1267"/>
      <c r="O415" s="1267"/>
      <c r="P415" s="1267"/>
      <c r="Q415" s="1209"/>
      <c r="R415" s="1209"/>
      <c r="S415" s="1209"/>
      <c r="T415" s="1209"/>
      <c r="U415" s="1209"/>
      <c r="V415" s="1209"/>
      <c r="W415" s="1209"/>
      <c r="X415" s="1209"/>
      <c r="Y415" s="1209"/>
      <c r="Z415" s="1209"/>
      <c r="AA415" s="1209"/>
      <c r="AB415" s="1209"/>
    </row>
    <row r="416">
      <c r="A416" s="1209"/>
      <c r="B416" s="1209"/>
      <c r="C416" s="1209"/>
      <c r="D416" s="1267"/>
      <c r="E416" s="1267"/>
      <c r="F416" s="1267"/>
      <c r="G416" s="1267"/>
      <c r="H416" s="1267"/>
      <c r="I416" s="1267"/>
      <c r="J416" s="1267"/>
      <c r="K416" s="1267"/>
      <c r="L416" s="1267"/>
      <c r="M416" s="1267"/>
      <c r="N416" s="1267"/>
      <c r="O416" s="1267"/>
      <c r="P416" s="1267"/>
      <c r="Q416" s="1209"/>
      <c r="R416" s="1209"/>
      <c r="S416" s="1209"/>
      <c r="T416" s="1209"/>
      <c r="U416" s="1209"/>
      <c r="V416" s="1209"/>
      <c r="W416" s="1209"/>
      <c r="X416" s="1209"/>
      <c r="Y416" s="1209"/>
      <c r="Z416" s="1209"/>
      <c r="AA416" s="1209"/>
      <c r="AB416" s="1209"/>
    </row>
    <row r="417">
      <c r="A417" s="1209"/>
      <c r="B417" s="1209"/>
      <c r="C417" s="1209"/>
      <c r="D417" s="1267"/>
      <c r="E417" s="1267"/>
      <c r="F417" s="1267"/>
      <c r="G417" s="1267"/>
      <c r="H417" s="1267"/>
      <c r="I417" s="1267"/>
      <c r="J417" s="1267"/>
      <c r="K417" s="1267"/>
      <c r="L417" s="1267"/>
      <c r="M417" s="1267"/>
      <c r="N417" s="1267"/>
      <c r="O417" s="1267"/>
      <c r="P417" s="1267"/>
      <c r="Q417" s="1209"/>
      <c r="R417" s="1209"/>
      <c r="S417" s="1209"/>
      <c r="T417" s="1209"/>
      <c r="U417" s="1209"/>
      <c r="V417" s="1209"/>
      <c r="W417" s="1209"/>
      <c r="X417" s="1209"/>
      <c r="Y417" s="1209"/>
      <c r="Z417" s="1209"/>
      <c r="AA417" s="1209"/>
      <c r="AB417" s="1209"/>
    </row>
    <row r="418">
      <c r="A418" s="1209"/>
      <c r="B418" s="1209"/>
      <c r="C418" s="1209"/>
      <c r="D418" s="1267"/>
      <c r="E418" s="1267"/>
      <c r="F418" s="1267"/>
      <c r="G418" s="1267"/>
      <c r="H418" s="1267"/>
      <c r="I418" s="1267"/>
      <c r="J418" s="1267"/>
      <c r="K418" s="1267"/>
      <c r="L418" s="1267"/>
      <c r="M418" s="1267"/>
      <c r="N418" s="1267"/>
      <c r="O418" s="1267"/>
      <c r="P418" s="1267"/>
      <c r="Q418" s="1209"/>
      <c r="R418" s="1209"/>
      <c r="S418" s="1209"/>
      <c r="T418" s="1209"/>
      <c r="U418" s="1209"/>
      <c r="V418" s="1209"/>
      <c r="W418" s="1209"/>
      <c r="X418" s="1209"/>
      <c r="Y418" s="1209"/>
      <c r="Z418" s="1209"/>
      <c r="AA418" s="1209"/>
      <c r="AB418" s="1209"/>
    </row>
    <row r="419">
      <c r="A419" s="1209"/>
      <c r="B419" s="1209"/>
      <c r="C419" s="1209"/>
      <c r="D419" s="1267"/>
      <c r="E419" s="1267"/>
      <c r="F419" s="1267"/>
      <c r="G419" s="1267"/>
      <c r="H419" s="1267"/>
      <c r="I419" s="1267"/>
      <c r="J419" s="1267"/>
      <c r="K419" s="1267"/>
      <c r="L419" s="1267"/>
      <c r="M419" s="1267"/>
      <c r="N419" s="1267"/>
      <c r="O419" s="1267"/>
      <c r="P419" s="1267"/>
      <c r="Q419" s="1209"/>
      <c r="R419" s="1209"/>
      <c r="S419" s="1209"/>
      <c r="T419" s="1209"/>
      <c r="U419" s="1209"/>
      <c r="V419" s="1209"/>
      <c r="W419" s="1209"/>
      <c r="X419" s="1209"/>
      <c r="Y419" s="1209"/>
      <c r="Z419" s="1209"/>
      <c r="AA419" s="1209"/>
      <c r="AB419" s="1209"/>
    </row>
    <row r="420">
      <c r="A420" s="1209"/>
      <c r="B420" s="1209"/>
      <c r="C420" s="1209"/>
      <c r="D420" s="1267"/>
      <c r="E420" s="1267"/>
      <c r="F420" s="1267"/>
      <c r="G420" s="1267"/>
      <c r="H420" s="1267"/>
      <c r="I420" s="1267"/>
      <c r="J420" s="1267"/>
      <c r="K420" s="1267"/>
      <c r="L420" s="1267"/>
      <c r="M420" s="1267"/>
      <c r="N420" s="1267"/>
      <c r="O420" s="1267"/>
      <c r="P420" s="1267"/>
      <c r="Q420" s="1209"/>
      <c r="R420" s="1209"/>
      <c r="S420" s="1209"/>
      <c r="T420" s="1209"/>
      <c r="U420" s="1209"/>
      <c r="V420" s="1209"/>
      <c r="W420" s="1209"/>
      <c r="X420" s="1209"/>
      <c r="Y420" s="1209"/>
      <c r="Z420" s="1209"/>
      <c r="AA420" s="1209"/>
      <c r="AB420" s="1209"/>
    </row>
    <row r="421">
      <c r="A421" s="1209"/>
      <c r="B421" s="1209"/>
      <c r="C421" s="1209"/>
      <c r="D421" s="1267"/>
      <c r="E421" s="1267"/>
      <c r="F421" s="1267"/>
      <c r="G421" s="1267"/>
      <c r="H421" s="1267"/>
      <c r="I421" s="1267"/>
      <c r="J421" s="1267"/>
      <c r="K421" s="1267"/>
      <c r="L421" s="1267"/>
      <c r="M421" s="1267"/>
      <c r="N421" s="1267"/>
      <c r="O421" s="1267"/>
      <c r="P421" s="1267"/>
      <c r="Q421" s="1209"/>
      <c r="R421" s="1209"/>
      <c r="S421" s="1209"/>
      <c r="T421" s="1209"/>
      <c r="U421" s="1209"/>
      <c r="V421" s="1209"/>
      <c r="W421" s="1209"/>
      <c r="X421" s="1209"/>
      <c r="Y421" s="1209"/>
      <c r="Z421" s="1209"/>
      <c r="AA421" s="1209"/>
      <c r="AB421" s="1209"/>
    </row>
    <row r="422">
      <c r="A422" s="1209"/>
      <c r="B422" s="1209"/>
      <c r="C422" s="1209"/>
      <c r="D422" s="1267"/>
      <c r="E422" s="1267"/>
      <c r="F422" s="1267"/>
      <c r="G422" s="1267"/>
      <c r="H422" s="1267"/>
      <c r="I422" s="1267"/>
      <c r="J422" s="1267"/>
      <c r="K422" s="1267"/>
      <c r="L422" s="1267"/>
      <c r="M422" s="1267"/>
      <c r="N422" s="1267"/>
      <c r="O422" s="1267"/>
      <c r="P422" s="1267"/>
      <c r="Q422" s="1209"/>
      <c r="R422" s="1209"/>
      <c r="S422" s="1209"/>
      <c r="T422" s="1209"/>
      <c r="U422" s="1209"/>
      <c r="V422" s="1209"/>
      <c r="W422" s="1209"/>
      <c r="X422" s="1209"/>
      <c r="Y422" s="1209"/>
      <c r="Z422" s="1209"/>
      <c r="AA422" s="1209"/>
      <c r="AB422" s="1209"/>
    </row>
    <row r="423">
      <c r="A423" s="1209"/>
      <c r="B423" s="1209"/>
      <c r="C423" s="1209"/>
      <c r="D423" s="1267"/>
      <c r="E423" s="1267"/>
      <c r="F423" s="1267"/>
      <c r="G423" s="1267"/>
      <c r="H423" s="1267"/>
      <c r="I423" s="1267"/>
      <c r="J423" s="1267"/>
      <c r="K423" s="1267"/>
      <c r="L423" s="1267"/>
      <c r="M423" s="1267"/>
      <c r="N423" s="1267"/>
      <c r="O423" s="1267"/>
      <c r="P423" s="1267"/>
      <c r="Q423" s="1209"/>
      <c r="R423" s="1209"/>
      <c r="S423" s="1209"/>
      <c r="T423" s="1209"/>
      <c r="U423" s="1209"/>
      <c r="V423" s="1209"/>
      <c r="W423" s="1209"/>
      <c r="X423" s="1209"/>
      <c r="Y423" s="1209"/>
      <c r="Z423" s="1209"/>
      <c r="AA423" s="1209"/>
      <c r="AB423" s="1209"/>
    </row>
    <row r="424">
      <c r="A424" s="1209"/>
      <c r="B424" s="1209"/>
      <c r="C424" s="1209"/>
      <c r="D424" s="1267"/>
      <c r="E424" s="1267"/>
      <c r="F424" s="1267"/>
      <c r="G424" s="1267"/>
      <c r="H424" s="1267"/>
      <c r="I424" s="1267"/>
      <c r="J424" s="1267"/>
      <c r="K424" s="1267"/>
      <c r="L424" s="1267"/>
      <c r="M424" s="1267"/>
      <c r="N424" s="1267"/>
      <c r="O424" s="1267"/>
      <c r="P424" s="1267"/>
      <c r="Q424" s="1209"/>
      <c r="R424" s="1209"/>
      <c r="S424" s="1209"/>
      <c r="T424" s="1209"/>
      <c r="U424" s="1209"/>
      <c r="V424" s="1209"/>
      <c r="W424" s="1209"/>
      <c r="X424" s="1209"/>
      <c r="Y424" s="1209"/>
      <c r="Z424" s="1209"/>
      <c r="AA424" s="1209"/>
      <c r="AB424" s="1209"/>
    </row>
    <row r="425">
      <c r="A425" s="1209"/>
      <c r="B425" s="1209"/>
      <c r="C425" s="1209"/>
      <c r="D425" s="1267"/>
      <c r="E425" s="1267"/>
      <c r="F425" s="1267"/>
      <c r="G425" s="1267"/>
      <c r="H425" s="1267"/>
      <c r="I425" s="1267"/>
      <c r="J425" s="1267"/>
      <c r="K425" s="1267"/>
      <c r="L425" s="1267"/>
      <c r="M425" s="1267"/>
      <c r="N425" s="1267"/>
      <c r="O425" s="1267"/>
      <c r="P425" s="1267"/>
      <c r="Q425" s="1209"/>
      <c r="R425" s="1209"/>
      <c r="S425" s="1209"/>
      <c r="T425" s="1209"/>
      <c r="U425" s="1209"/>
      <c r="V425" s="1209"/>
      <c r="W425" s="1209"/>
      <c r="X425" s="1209"/>
      <c r="Y425" s="1209"/>
      <c r="Z425" s="1209"/>
      <c r="AA425" s="1209"/>
      <c r="AB425" s="1209"/>
    </row>
    <row r="426">
      <c r="A426" s="1209"/>
      <c r="B426" s="1209"/>
      <c r="C426" s="1209"/>
      <c r="D426" s="1267"/>
      <c r="E426" s="1267"/>
      <c r="F426" s="1267"/>
      <c r="G426" s="1267"/>
      <c r="H426" s="1267"/>
      <c r="I426" s="1267"/>
      <c r="J426" s="1267"/>
      <c r="K426" s="1267"/>
      <c r="L426" s="1267"/>
      <c r="M426" s="1267"/>
      <c r="N426" s="1267"/>
      <c r="O426" s="1267"/>
      <c r="P426" s="1267"/>
      <c r="Q426" s="1209"/>
      <c r="R426" s="1209"/>
      <c r="S426" s="1209"/>
      <c r="T426" s="1209"/>
      <c r="U426" s="1209"/>
      <c r="V426" s="1209"/>
      <c r="W426" s="1209"/>
      <c r="X426" s="1209"/>
      <c r="Y426" s="1209"/>
      <c r="Z426" s="1209"/>
      <c r="AA426" s="1209"/>
      <c r="AB426" s="1209"/>
    </row>
    <row r="427">
      <c r="A427" s="1209"/>
      <c r="B427" s="1209"/>
      <c r="C427" s="1209"/>
      <c r="D427" s="1267"/>
      <c r="E427" s="1267"/>
      <c r="F427" s="1267"/>
      <c r="G427" s="1267"/>
      <c r="H427" s="1267"/>
      <c r="I427" s="1267"/>
      <c r="J427" s="1267"/>
      <c r="K427" s="1267"/>
      <c r="L427" s="1267"/>
      <c r="M427" s="1267"/>
      <c r="N427" s="1267"/>
      <c r="O427" s="1267"/>
      <c r="P427" s="1267"/>
      <c r="Q427" s="1209"/>
      <c r="R427" s="1209"/>
      <c r="S427" s="1209"/>
      <c r="T427" s="1209"/>
      <c r="U427" s="1209"/>
      <c r="V427" s="1209"/>
      <c r="W427" s="1209"/>
      <c r="X427" s="1209"/>
      <c r="Y427" s="1209"/>
      <c r="Z427" s="1209"/>
      <c r="AA427" s="1209"/>
      <c r="AB427" s="1209"/>
    </row>
    <row r="428">
      <c r="A428" s="1209"/>
      <c r="B428" s="1209"/>
      <c r="C428" s="1209"/>
      <c r="D428" s="1267"/>
      <c r="E428" s="1267"/>
      <c r="F428" s="1267"/>
      <c r="G428" s="1267"/>
      <c r="H428" s="1267"/>
      <c r="I428" s="1267"/>
      <c r="J428" s="1267"/>
      <c r="K428" s="1267"/>
      <c r="L428" s="1267"/>
      <c r="M428" s="1267"/>
      <c r="N428" s="1267"/>
      <c r="O428" s="1267"/>
      <c r="P428" s="1267"/>
      <c r="Q428" s="1209"/>
      <c r="R428" s="1209"/>
      <c r="S428" s="1209"/>
      <c r="T428" s="1209"/>
      <c r="U428" s="1209"/>
      <c r="V428" s="1209"/>
      <c r="W428" s="1209"/>
      <c r="X428" s="1209"/>
      <c r="Y428" s="1209"/>
      <c r="Z428" s="1209"/>
      <c r="AA428" s="1209"/>
      <c r="AB428" s="1209"/>
    </row>
    <row r="429">
      <c r="A429" s="1209"/>
      <c r="B429" s="1209"/>
      <c r="C429" s="1209"/>
      <c r="D429" s="1267"/>
      <c r="E429" s="1267"/>
      <c r="F429" s="1267"/>
      <c r="G429" s="1267"/>
      <c r="H429" s="1267"/>
      <c r="I429" s="1267"/>
      <c r="J429" s="1267"/>
      <c r="K429" s="1267"/>
      <c r="L429" s="1267"/>
      <c r="M429" s="1267"/>
      <c r="N429" s="1267"/>
      <c r="O429" s="1267"/>
      <c r="P429" s="1267"/>
      <c r="Q429" s="1209"/>
      <c r="R429" s="1209"/>
      <c r="S429" s="1209"/>
      <c r="T429" s="1209"/>
      <c r="U429" s="1209"/>
      <c r="V429" s="1209"/>
      <c r="W429" s="1209"/>
      <c r="X429" s="1209"/>
      <c r="Y429" s="1209"/>
      <c r="Z429" s="1209"/>
      <c r="AA429" s="1209"/>
      <c r="AB429" s="1209"/>
    </row>
    <row r="430">
      <c r="A430" s="1209"/>
      <c r="B430" s="1209"/>
      <c r="C430" s="1209"/>
      <c r="D430" s="1267"/>
      <c r="E430" s="1267"/>
      <c r="F430" s="1267"/>
      <c r="G430" s="1267"/>
      <c r="H430" s="1267"/>
      <c r="I430" s="1267"/>
      <c r="J430" s="1267"/>
      <c r="K430" s="1267"/>
      <c r="L430" s="1267"/>
      <c r="M430" s="1267"/>
      <c r="N430" s="1267"/>
      <c r="O430" s="1267"/>
      <c r="P430" s="1267"/>
      <c r="Q430" s="1209"/>
      <c r="R430" s="1209"/>
      <c r="S430" s="1209"/>
      <c r="T430" s="1209"/>
      <c r="U430" s="1209"/>
      <c r="V430" s="1209"/>
      <c r="W430" s="1209"/>
      <c r="X430" s="1209"/>
      <c r="Y430" s="1209"/>
      <c r="Z430" s="1209"/>
      <c r="AA430" s="1209"/>
      <c r="AB430" s="1209"/>
    </row>
    <row r="431">
      <c r="A431" s="1209"/>
      <c r="B431" s="1209"/>
      <c r="C431" s="1209"/>
      <c r="D431" s="1267"/>
      <c r="E431" s="1267"/>
      <c r="F431" s="1267"/>
      <c r="G431" s="1267"/>
      <c r="H431" s="1267"/>
      <c r="I431" s="1267"/>
      <c r="J431" s="1267"/>
      <c r="K431" s="1267"/>
      <c r="L431" s="1267"/>
      <c r="M431" s="1267"/>
      <c r="N431" s="1267"/>
      <c r="O431" s="1267"/>
      <c r="P431" s="1267"/>
      <c r="Q431" s="1209"/>
      <c r="R431" s="1209"/>
      <c r="S431" s="1209"/>
      <c r="T431" s="1209"/>
      <c r="U431" s="1209"/>
      <c r="V431" s="1209"/>
      <c r="W431" s="1209"/>
      <c r="X431" s="1209"/>
      <c r="Y431" s="1209"/>
      <c r="Z431" s="1209"/>
      <c r="AA431" s="1209"/>
      <c r="AB431" s="1209"/>
    </row>
    <row r="432">
      <c r="A432" s="1209"/>
      <c r="B432" s="1209"/>
      <c r="C432" s="1209"/>
      <c r="D432" s="1267"/>
      <c r="E432" s="1267"/>
      <c r="F432" s="1267"/>
      <c r="G432" s="1267"/>
      <c r="H432" s="1267"/>
      <c r="I432" s="1267"/>
      <c r="J432" s="1267"/>
      <c r="K432" s="1267"/>
      <c r="L432" s="1267"/>
      <c r="M432" s="1267"/>
      <c r="N432" s="1267"/>
      <c r="O432" s="1267"/>
      <c r="P432" s="1267"/>
      <c r="Q432" s="1209"/>
      <c r="R432" s="1209"/>
      <c r="S432" s="1209"/>
      <c r="T432" s="1209"/>
      <c r="U432" s="1209"/>
      <c r="V432" s="1209"/>
      <c r="W432" s="1209"/>
      <c r="X432" s="1209"/>
      <c r="Y432" s="1209"/>
      <c r="Z432" s="1209"/>
      <c r="AA432" s="1209"/>
      <c r="AB432" s="1209"/>
    </row>
    <row r="433">
      <c r="A433" s="1209"/>
      <c r="B433" s="1209"/>
      <c r="C433" s="1209"/>
      <c r="D433" s="1267"/>
      <c r="E433" s="1267"/>
      <c r="F433" s="1267"/>
      <c r="G433" s="1267"/>
      <c r="H433" s="1267"/>
      <c r="I433" s="1267"/>
      <c r="J433" s="1267"/>
      <c r="K433" s="1267"/>
      <c r="L433" s="1267"/>
      <c r="M433" s="1267"/>
      <c r="N433" s="1267"/>
      <c r="O433" s="1267"/>
      <c r="P433" s="1267"/>
      <c r="Q433" s="1209"/>
      <c r="R433" s="1209"/>
      <c r="S433" s="1209"/>
      <c r="T433" s="1209"/>
      <c r="U433" s="1209"/>
      <c r="V433" s="1209"/>
      <c r="W433" s="1209"/>
      <c r="X433" s="1209"/>
      <c r="Y433" s="1209"/>
      <c r="Z433" s="1209"/>
      <c r="AA433" s="1209"/>
      <c r="AB433" s="1209"/>
    </row>
    <row r="434">
      <c r="A434" s="1209"/>
      <c r="B434" s="1209"/>
      <c r="C434" s="1209"/>
      <c r="D434" s="1267"/>
      <c r="E434" s="1267"/>
      <c r="F434" s="1267"/>
      <c r="G434" s="1267"/>
      <c r="H434" s="1267"/>
      <c r="I434" s="1267"/>
      <c r="J434" s="1267"/>
      <c r="K434" s="1267"/>
      <c r="L434" s="1267"/>
      <c r="M434" s="1267"/>
      <c r="N434" s="1267"/>
      <c r="O434" s="1267"/>
      <c r="P434" s="1267"/>
      <c r="Q434" s="1209"/>
      <c r="R434" s="1209"/>
      <c r="S434" s="1209"/>
      <c r="T434" s="1209"/>
      <c r="U434" s="1209"/>
      <c r="V434" s="1209"/>
      <c r="W434" s="1209"/>
      <c r="X434" s="1209"/>
      <c r="Y434" s="1209"/>
      <c r="Z434" s="1209"/>
      <c r="AA434" s="1209"/>
      <c r="AB434" s="1209"/>
    </row>
    <row r="435">
      <c r="A435" s="1209"/>
      <c r="B435" s="1209"/>
      <c r="C435" s="1209"/>
      <c r="D435" s="1267"/>
      <c r="E435" s="1267"/>
      <c r="F435" s="1267"/>
      <c r="G435" s="1267"/>
      <c r="H435" s="1267"/>
      <c r="I435" s="1267"/>
      <c r="J435" s="1267"/>
      <c r="K435" s="1267"/>
      <c r="L435" s="1267"/>
      <c r="M435" s="1267"/>
      <c r="N435" s="1267"/>
      <c r="O435" s="1267"/>
      <c r="P435" s="1267"/>
      <c r="Q435" s="1209"/>
      <c r="R435" s="1209"/>
      <c r="S435" s="1209"/>
      <c r="T435" s="1209"/>
      <c r="U435" s="1209"/>
      <c r="V435" s="1209"/>
      <c r="W435" s="1209"/>
      <c r="X435" s="1209"/>
      <c r="Y435" s="1209"/>
      <c r="Z435" s="1209"/>
      <c r="AA435" s="1209"/>
      <c r="AB435" s="1209"/>
    </row>
    <row r="436">
      <c r="A436" s="1209"/>
      <c r="B436" s="1209"/>
      <c r="C436" s="1209"/>
      <c r="D436" s="1267"/>
      <c r="E436" s="1267"/>
      <c r="F436" s="1267"/>
      <c r="G436" s="1267"/>
      <c r="H436" s="1267"/>
      <c r="I436" s="1267"/>
      <c r="J436" s="1267"/>
      <c r="K436" s="1267"/>
      <c r="L436" s="1267"/>
      <c r="M436" s="1267"/>
      <c r="N436" s="1267"/>
      <c r="O436" s="1267"/>
      <c r="P436" s="1267"/>
      <c r="Q436" s="1209"/>
      <c r="R436" s="1209"/>
      <c r="S436" s="1209"/>
      <c r="T436" s="1209"/>
      <c r="U436" s="1209"/>
      <c r="V436" s="1209"/>
      <c r="W436" s="1209"/>
      <c r="X436" s="1209"/>
      <c r="Y436" s="1209"/>
      <c r="Z436" s="1209"/>
      <c r="AA436" s="1209"/>
      <c r="AB436" s="1209"/>
    </row>
    <row r="437">
      <c r="A437" s="1209"/>
      <c r="B437" s="1209"/>
      <c r="C437" s="1209"/>
      <c r="D437" s="1267"/>
      <c r="E437" s="1267"/>
      <c r="F437" s="1267"/>
      <c r="G437" s="1267"/>
      <c r="H437" s="1267"/>
      <c r="I437" s="1267"/>
      <c r="J437" s="1267"/>
      <c r="K437" s="1267"/>
      <c r="L437" s="1267"/>
      <c r="M437" s="1267"/>
      <c r="N437" s="1267"/>
      <c r="O437" s="1267"/>
      <c r="P437" s="1267"/>
      <c r="Q437" s="1209"/>
      <c r="R437" s="1209"/>
      <c r="S437" s="1209"/>
      <c r="T437" s="1209"/>
      <c r="U437" s="1209"/>
      <c r="V437" s="1209"/>
      <c r="W437" s="1209"/>
      <c r="X437" s="1209"/>
      <c r="Y437" s="1209"/>
      <c r="Z437" s="1209"/>
      <c r="AA437" s="1209"/>
      <c r="AB437" s="1209"/>
    </row>
    <row r="438">
      <c r="A438" s="1209"/>
      <c r="B438" s="1209"/>
      <c r="C438" s="1209"/>
      <c r="D438" s="1267"/>
      <c r="E438" s="1267"/>
      <c r="F438" s="1267"/>
      <c r="G438" s="1267"/>
      <c r="H438" s="1267"/>
      <c r="I438" s="1267"/>
      <c r="J438" s="1267"/>
      <c r="K438" s="1267"/>
      <c r="L438" s="1267"/>
      <c r="M438" s="1267"/>
      <c r="N438" s="1267"/>
      <c r="O438" s="1267"/>
      <c r="P438" s="1267"/>
      <c r="Q438" s="1209"/>
      <c r="R438" s="1209"/>
      <c r="S438" s="1209"/>
      <c r="T438" s="1209"/>
      <c r="U438" s="1209"/>
      <c r="V438" s="1209"/>
      <c r="W438" s="1209"/>
      <c r="X438" s="1209"/>
      <c r="Y438" s="1209"/>
      <c r="Z438" s="1209"/>
      <c r="AA438" s="1209"/>
      <c r="AB438" s="1209"/>
    </row>
    <row r="439">
      <c r="A439" s="1209"/>
      <c r="B439" s="1209"/>
      <c r="C439" s="1209"/>
      <c r="D439" s="1267"/>
      <c r="E439" s="1267"/>
      <c r="F439" s="1267"/>
      <c r="G439" s="1267"/>
      <c r="H439" s="1267"/>
      <c r="I439" s="1267"/>
      <c r="J439" s="1267"/>
      <c r="K439" s="1267"/>
      <c r="L439" s="1267"/>
      <c r="M439" s="1267"/>
      <c r="N439" s="1267"/>
      <c r="O439" s="1267"/>
      <c r="P439" s="1267"/>
      <c r="Q439" s="1209"/>
      <c r="R439" s="1209"/>
      <c r="S439" s="1209"/>
      <c r="T439" s="1209"/>
      <c r="U439" s="1209"/>
      <c r="V439" s="1209"/>
      <c r="W439" s="1209"/>
      <c r="X439" s="1209"/>
      <c r="Y439" s="1209"/>
      <c r="Z439" s="1209"/>
      <c r="AA439" s="1209"/>
      <c r="AB439" s="1209"/>
    </row>
    <row r="440">
      <c r="A440" s="1209"/>
      <c r="B440" s="1209"/>
      <c r="C440" s="1209"/>
      <c r="D440" s="1267"/>
      <c r="E440" s="1267"/>
      <c r="F440" s="1267"/>
      <c r="G440" s="1267"/>
      <c r="H440" s="1267"/>
      <c r="I440" s="1267"/>
      <c r="J440" s="1267"/>
      <c r="K440" s="1267"/>
      <c r="L440" s="1267"/>
      <c r="M440" s="1267"/>
      <c r="N440" s="1267"/>
      <c r="O440" s="1267"/>
      <c r="P440" s="1267"/>
      <c r="Q440" s="1209"/>
      <c r="R440" s="1209"/>
      <c r="S440" s="1209"/>
      <c r="T440" s="1209"/>
      <c r="U440" s="1209"/>
      <c r="V440" s="1209"/>
      <c r="W440" s="1209"/>
      <c r="X440" s="1209"/>
      <c r="Y440" s="1209"/>
      <c r="Z440" s="1209"/>
      <c r="AA440" s="1209"/>
      <c r="AB440" s="1209"/>
    </row>
    <row r="441">
      <c r="A441" s="1209"/>
      <c r="B441" s="1209"/>
      <c r="C441" s="1209"/>
      <c r="D441" s="1267"/>
      <c r="E441" s="1267"/>
      <c r="F441" s="1267"/>
      <c r="G441" s="1267"/>
      <c r="H441" s="1267"/>
      <c r="I441" s="1267"/>
      <c r="J441" s="1267"/>
      <c r="K441" s="1267"/>
      <c r="L441" s="1267"/>
      <c r="M441" s="1267"/>
      <c r="N441" s="1267"/>
      <c r="O441" s="1267"/>
      <c r="P441" s="1267"/>
      <c r="Q441" s="1209"/>
      <c r="R441" s="1209"/>
      <c r="S441" s="1209"/>
      <c r="T441" s="1209"/>
      <c r="U441" s="1209"/>
      <c r="V441" s="1209"/>
      <c r="W441" s="1209"/>
      <c r="X441" s="1209"/>
      <c r="Y441" s="1209"/>
      <c r="Z441" s="1209"/>
      <c r="AA441" s="1209"/>
      <c r="AB441" s="1209"/>
    </row>
    <row r="442">
      <c r="A442" s="1209"/>
      <c r="B442" s="1209"/>
      <c r="C442" s="1209"/>
      <c r="D442" s="1267"/>
      <c r="E442" s="1267"/>
      <c r="F442" s="1267"/>
      <c r="G442" s="1267"/>
      <c r="H442" s="1267"/>
      <c r="I442" s="1267"/>
      <c r="J442" s="1267"/>
      <c r="K442" s="1267"/>
      <c r="L442" s="1267"/>
      <c r="M442" s="1267"/>
      <c r="N442" s="1267"/>
      <c r="O442" s="1267"/>
      <c r="P442" s="1267"/>
      <c r="Q442" s="1209"/>
      <c r="R442" s="1209"/>
      <c r="S442" s="1209"/>
      <c r="T442" s="1209"/>
      <c r="U442" s="1209"/>
      <c r="V442" s="1209"/>
      <c r="W442" s="1209"/>
      <c r="X442" s="1209"/>
      <c r="Y442" s="1209"/>
      <c r="Z442" s="1209"/>
      <c r="AA442" s="1209"/>
      <c r="AB442" s="1209"/>
    </row>
    <row r="443">
      <c r="A443" s="1209"/>
      <c r="B443" s="1209"/>
      <c r="C443" s="1209"/>
      <c r="D443" s="1267"/>
      <c r="E443" s="1267"/>
      <c r="F443" s="1267"/>
      <c r="G443" s="1267"/>
      <c r="H443" s="1267"/>
      <c r="I443" s="1267"/>
      <c r="J443" s="1267"/>
      <c r="K443" s="1267"/>
      <c r="L443" s="1267"/>
      <c r="M443" s="1267"/>
      <c r="N443" s="1267"/>
      <c r="O443" s="1267"/>
      <c r="P443" s="1267"/>
      <c r="Q443" s="1209"/>
      <c r="R443" s="1209"/>
      <c r="S443" s="1209"/>
      <c r="T443" s="1209"/>
      <c r="U443" s="1209"/>
      <c r="V443" s="1209"/>
      <c r="W443" s="1209"/>
      <c r="X443" s="1209"/>
      <c r="Y443" s="1209"/>
      <c r="Z443" s="1209"/>
      <c r="AA443" s="1209"/>
      <c r="AB443" s="1209"/>
    </row>
    <row r="444">
      <c r="A444" s="1209"/>
      <c r="B444" s="1209"/>
      <c r="C444" s="1209"/>
      <c r="D444" s="1267"/>
      <c r="E444" s="1267"/>
      <c r="F444" s="1267"/>
      <c r="G444" s="1267"/>
      <c r="H444" s="1267"/>
      <c r="I444" s="1267"/>
      <c r="J444" s="1267"/>
      <c r="K444" s="1267"/>
      <c r="L444" s="1267"/>
      <c r="M444" s="1267"/>
      <c r="N444" s="1267"/>
      <c r="O444" s="1267"/>
      <c r="P444" s="1267"/>
      <c r="Q444" s="1209"/>
      <c r="R444" s="1209"/>
      <c r="S444" s="1209"/>
      <c r="T444" s="1209"/>
      <c r="U444" s="1209"/>
      <c r="V444" s="1209"/>
      <c r="W444" s="1209"/>
      <c r="X444" s="1209"/>
      <c r="Y444" s="1209"/>
      <c r="Z444" s="1209"/>
      <c r="AA444" s="1209"/>
      <c r="AB444" s="1209"/>
    </row>
    <row r="445">
      <c r="A445" s="1209"/>
      <c r="B445" s="1209"/>
      <c r="C445" s="1209"/>
      <c r="D445" s="1267"/>
      <c r="E445" s="1267"/>
      <c r="F445" s="1267"/>
      <c r="G445" s="1267"/>
      <c r="H445" s="1267"/>
      <c r="I445" s="1267"/>
      <c r="J445" s="1267"/>
      <c r="K445" s="1267"/>
      <c r="L445" s="1267"/>
      <c r="M445" s="1267"/>
      <c r="N445" s="1267"/>
      <c r="O445" s="1267"/>
      <c r="P445" s="1267"/>
      <c r="Q445" s="1209"/>
      <c r="R445" s="1209"/>
      <c r="S445" s="1209"/>
      <c r="T445" s="1209"/>
      <c r="U445" s="1209"/>
      <c r="V445" s="1209"/>
      <c r="W445" s="1209"/>
      <c r="X445" s="1209"/>
      <c r="Y445" s="1209"/>
      <c r="Z445" s="1209"/>
      <c r="AA445" s="1209"/>
      <c r="AB445" s="1209"/>
    </row>
    <row r="446">
      <c r="A446" s="1209"/>
      <c r="B446" s="1209"/>
      <c r="C446" s="1209"/>
      <c r="D446" s="1267"/>
      <c r="E446" s="1267"/>
      <c r="F446" s="1267"/>
      <c r="G446" s="1267"/>
      <c r="H446" s="1267"/>
      <c r="I446" s="1267"/>
      <c r="J446" s="1267"/>
      <c r="K446" s="1267"/>
      <c r="L446" s="1267"/>
      <c r="M446" s="1267"/>
      <c r="N446" s="1267"/>
      <c r="O446" s="1267"/>
      <c r="P446" s="1267"/>
      <c r="Q446" s="1209"/>
      <c r="R446" s="1209"/>
      <c r="S446" s="1209"/>
      <c r="T446" s="1209"/>
      <c r="U446" s="1209"/>
      <c r="V446" s="1209"/>
      <c r="W446" s="1209"/>
      <c r="X446" s="1209"/>
      <c r="Y446" s="1209"/>
      <c r="Z446" s="1209"/>
      <c r="AA446" s="1209"/>
      <c r="AB446" s="1209"/>
    </row>
    <row r="447">
      <c r="A447" s="1209"/>
      <c r="B447" s="1209"/>
      <c r="C447" s="1209"/>
      <c r="D447" s="1267"/>
      <c r="E447" s="1267"/>
      <c r="F447" s="1267"/>
      <c r="G447" s="1267"/>
      <c r="H447" s="1267"/>
      <c r="I447" s="1267"/>
      <c r="J447" s="1267"/>
      <c r="K447" s="1267"/>
      <c r="L447" s="1267"/>
      <c r="M447" s="1267"/>
      <c r="N447" s="1267"/>
      <c r="O447" s="1267"/>
      <c r="P447" s="1267"/>
      <c r="Q447" s="1209"/>
      <c r="R447" s="1209"/>
      <c r="S447" s="1209"/>
      <c r="T447" s="1209"/>
      <c r="U447" s="1209"/>
      <c r="V447" s="1209"/>
      <c r="W447" s="1209"/>
      <c r="X447" s="1209"/>
      <c r="Y447" s="1209"/>
      <c r="Z447" s="1209"/>
      <c r="AA447" s="1209"/>
      <c r="AB447" s="1209"/>
    </row>
    <row r="448">
      <c r="A448" s="1209"/>
      <c r="B448" s="1209"/>
      <c r="C448" s="1209"/>
      <c r="D448" s="1267"/>
      <c r="E448" s="1267"/>
      <c r="F448" s="1267"/>
      <c r="G448" s="1267"/>
      <c r="H448" s="1267"/>
      <c r="I448" s="1267"/>
      <c r="J448" s="1267"/>
      <c r="K448" s="1267"/>
      <c r="L448" s="1267"/>
      <c r="M448" s="1267"/>
      <c r="N448" s="1267"/>
      <c r="O448" s="1267"/>
      <c r="P448" s="1267"/>
      <c r="Q448" s="1209"/>
      <c r="R448" s="1209"/>
      <c r="S448" s="1209"/>
      <c r="T448" s="1209"/>
      <c r="U448" s="1209"/>
      <c r="V448" s="1209"/>
      <c r="W448" s="1209"/>
      <c r="X448" s="1209"/>
      <c r="Y448" s="1209"/>
      <c r="Z448" s="1209"/>
      <c r="AA448" s="1209"/>
      <c r="AB448" s="1209"/>
    </row>
    <row r="449">
      <c r="A449" s="1209"/>
      <c r="B449" s="1209"/>
      <c r="C449" s="1209"/>
      <c r="D449" s="1267"/>
      <c r="E449" s="1267"/>
      <c r="F449" s="1267"/>
      <c r="G449" s="1267"/>
      <c r="H449" s="1267"/>
      <c r="I449" s="1267"/>
      <c r="J449" s="1267"/>
      <c r="K449" s="1267"/>
      <c r="L449" s="1267"/>
      <c r="M449" s="1267"/>
      <c r="N449" s="1267"/>
      <c r="O449" s="1267"/>
      <c r="P449" s="1267"/>
      <c r="Q449" s="1209"/>
      <c r="R449" s="1209"/>
      <c r="S449" s="1209"/>
      <c r="T449" s="1209"/>
      <c r="U449" s="1209"/>
      <c r="V449" s="1209"/>
      <c r="W449" s="1209"/>
      <c r="X449" s="1209"/>
      <c r="Y449" s="1209"/>
      <c r="Z449" s="1209"/>
      <c r="AA449" s="1209"/>
      <c r="AB449" s="1209"/>
    </row>
    <row r="450">
      <c r="A450" s="1209"/>
      <c r="B450" s="1209"/>
      <c r="C450" s="1209"/>
      <c r="D450" s="1267"/>
      <c r="E450" s="1267"/>
      <c r="F450" s="1267"/>
      <c r="G450" s="1267"/>
      <c r="H450" s="1267"/>
      <c r="I450" s="1267"/>
      <c r="J450" s="1267"/>
      <c r="K450" s="1267"/>
      <c r="L450" s="1267"/>
      <c r="M450" s="1267"/>
      <c r="N450" s="1267"/>
      <c r="O450" s="1267"/>
      <c r="P450" s="1267"/>
      <c r="Q450" s="1209"/>
      <c r="R450" s="1209"/>
      <c r="S450" s="1209"/>
      <c r="T450" s="1209"/>
      <c r="U450" s="1209"/>
      <c r="V450" s="1209"/>
      <c r="W450" s="1209"/>
      <c r="X450" s="1209"/>
      <c r="Y450" s="1209"/>
      <c r="Z450" s="1209"/>
      <c r="AA450" s="1209"/>
      <c r="AB450" s="1209"/>
    </row>
    <row r="451">
      <c r="A451" s="1209"/>
      <c r="B451" s="1209"/>
      <c r="C451" s="1209"/>
      <c r="D451" s="1267"/>
      <c r="E451" s="1267"/>
      <c r="F451" s="1267"/>
      <c r="G451" s="1267"/>
      <c r="H451" s="1267"/>
      <c r="I451" s="1267"/>
      <c r="J451" s="1267"/>
      <c r="K451" s="1267"/>
      <c r="L451" s="1267"/>
      <c r="M451" s="1267"/>
      <c r="N451" s="1267"/>
      <c r="O451" s="1267"/>
      <c r="P451" s="1267"/>
      <c r="Q451" s="1209"/>
      <c r="R451" s="1209"/>
      <c r="S451" s="1209"/>
      <c r="T451" s="1209"/>
      <c r="U451" s="1209"/>
      <c r="V451" s="1209"/>
      <c r="W451" s="1209"/>
      <c r="X451" s="1209"/>
      <c r="Y451" s="1209"/>
      <c r="Z451" s="1209"/>
      <c r="AA451" s="1209"/>
      <c r="AB451" s="1209"/>
    </row>
    <row r="452">
      <c r="A452" s="1209"/>
      <c r="B452" s="1209"/>
      <c r="C452" s="1209"/>
      <c r="D452" s="1267"/>
      <c r="E452" s="1267"/>
      <c r="F452" s="1267"/>
      <c r="G452" s="1267"/>
      <c r="H452" s="1267"/>
      <c r="I452" s="1267"/>
      <c r="J452" s="1267"/>
      <c r="K452" s="1267"/>
      <c r="L452" s="1267"/>
      <c r="M452" s="1267"/>
      <c r="N452" s="1267"/>
      <c r="O452" s="1267"/>
      <c r="P452" s="1267"/>
      <c r="Q452" s="1209"/>
      <c r="R452" s="1209"/>
      <c r="S452" s="1209"/>
      <c r="T452" s="1209"/>
      <c r="U452" s="1209"/>
      <c r="V452" s="1209"/>
      <c r="W452" s="1209"/>
      <c r="X452" s="1209"/>
      <c r="Y452" s="1209"/>
      <c r="Z452" s="1209"/>
      <c r="AA452" s="1209"/>
      <c r="AB452" s="1209"/>
    </row>
    <row r="453">
      <c r="A453" s="1209"/>
      <c r="B453" s="1209"/>
      <c r="C453" s="1209"/>
      <c r="D453" s="1267"/>
      <c r="E453" s="1267"/>
      <c r="F453" s="1267"/>
      <c r="G453" s="1267"/>
      <c r="H453" s="1267"/>
      <c r="I453" s="1267"/>
      <c r="J453" s="1267"/>
      <c r="K453" s="1267"/>
      <c r="L453" s="1267"/>
      <c r="M453" s="1267"/>
      <c r="N453" s="1267"/>
      <c r="O453" s="1267"/>
      <c r="P453" s="1267"/>
      <c r="Q453" s="1209"/>
      <c r="R453" s="1209"/>
      <c r="S453" s="1209"/>
      <c r="T453" s="1209"/>
      <c r="U453" s="1209"/>
      <c r="V453" s="1209"/>
      <c r="W453" s="1209"/>
      <c r="X453" s="1209"/>
      <c r="Y453" s="1209"/>
      <c r="Z453" s="1209"/>
      <c r="AA453" s="1209"/>
      <c r="AB453" s="1209"/>
    </row>
    <row r="454">
      <c r="A454" s="1209"/>
      <c r="B454" s="1209"/>
      <c r="C454" s="1209"/>
      <c r="D454" s="1267"/>
      <c r="E454" s="1267"/>
      <c r="F454" s="1267"/>
      <c r="G454" s="1267"/>
      <c r="H454" s="1267"/>
      <c r="I454" s="1267"/>
      <c r="J454" s="1267"/>
      <c r="K454" s="1267"/>
      <c r="L454" s="1267"/>
      <c r="M454" s="1267"/>
      <c r="N454" s="1267"/>
      <c r="O454" s="1267"/>
      <c r="P454" s="1267"/>
      <c r="Q454" s="1209"/>
      <c r="R454" s="1209"/>
      <c r="S454" s="1209"/>
      <c r="T454" s="1209"/>
      <c r="U454" s="1209"/>
      <c r="V454" s="1209"/>
      <c r="W454" s="1209"/>
      <c r="X454" s="1209"/>
      <c r="Y454" s="1209"/>
      <c r="Z454" s="1209"/>
      <c r="AA454" s="1209"/>
      <c r="AB454" s="1209"/>
    </row>
    <row r="455">
      <c r="A455" s="1209"/>
      <c r="B455" s="1209"/>
      <c r="C455" s="1209"/>
      <c r="D455" s="1267"/>
      <c r="E455" s="1267"/>
      <c r="F455" s="1267"/>
      <c r="G455" s="1267"/>
      <c r="H455" s="1267"/>
      <c r="I455" s="1267"/>
      <c r="J455" s="1267"/>
      <c r="K455" s="1267"/>
      <c r="L455" s="1267"/>
      <c r="M455" s="1267"/>
      <c r="N455" s="1267"/>
      <c r="O455" s="1267"/>
      <c r="P455" s="1267"/>
      <c r="Q455" s="1209"/>
      <c r="R455" s="1209"/>
      <c r="S455" s="1209"/>
      <c r="T455" s="1209"/>
      <c r="U455" s="1209"/>
      <c r="V455" s="1209"/>
      <c r="W455" s="1209"/>
      <c r="X455" s="1209"/>
      <c r="Y455" s="1209"/>
      <c r="Z455" s="1209"/>
      <c r="AA455" s="1209"/>
      <c r="AB455" s="1209"/>
    </row>
    <row r="456">
      <c r="A456" s="1209"/>
      <c r="B456" s="1209"/>
      <c r="C456" s="1209"/>
      <c r="D456" s="1267"/>
      <c r="E456" s="1267"/>
      <c r="F456" s="1267"/>
      <c r="G456" s="1267"/>
      <c r="H456" s="1267"/>
      <c r="I456" s="1267"/>
      <c r="J456" s="1267"/>
      <c r="K456" s="1267"/>
      <c r="L456" s="1267"/>
      <c r="M456" s="1267"/>
      <c r="N456" s="1267"/>
      <c r="O456" s="1267"/>
      <c r="P456" s="1267"/>
      <c r="Q456" s="1209"/>
      <c r="R456" s="1209"/>
      <c r="S456" s="1209"/>
      <c r="T456" s="1209"/>
      <c r="U456" s="1209"/>
      <c r="V456" s="1209"/>
      <c r="W456" s="1209"/>
      <c r="X456" s="1209"/>
      <c r="Y456" s="1209"/>
      <c r="Z456" s="1209"/>
      <c r="AA456" s="1209"/>
      <c r="AB456" s="1209"/>
    </row>
    <row r="457">
      <c r="A457" s="1209"/>
      <c r="B457" s="1209"/>
      <c r="C457" s="1209"/>
      <c r="D457" s="1267"/>
      <c r="E457" s="1267"/>
      <c r="F457" s="1267"/>
      <c r="G457" s="1267"/>
      <c r="H457" s="1267"/>
      <c r="I457" s="1267"/>
      <c r="J457" s="1267"/>
      <c r="K457" s="1267"/>
      <c r="L457" s="1267"/>
      <c r="M457" s="1267"/>
      <c r="N457" s="1267"/>
      <c r="O457" s="1267"/>
      <c r="P457" s="1267"/>
      <c r="Q457" s="1209"/>
      <c r="R457" s="1209"/>
      <c r="S457" s="1209"/>
      <c r="T457" s="1209"/>
      <c r="U457" s="1209"/>
      <c r="V457" s="1209"/>
      <c r="W457" s="1209"/>
      <c r="X457" s="1209"/>
      <c r="Y457" s="1209"/>
      <c r="Z457" s="1209"/>
      <c r="AA457" s="1209"/>
      <c r="AB457" s="1209"/>
    </row>
    <row r="458">
      <c r="A458" s="1209"/>
      <c r="B458" s="1209"/>
      <c r="C458" s="1209"/>
      <c r="D458" s="1267"/>
      <c r="E458" s="1267"/>
      <c r="F458" s="1267"/>
      <c r="G458" s="1267"/>
      <c r="H458" s="1267"/>
      <c r="I458" s="1267"/>
      <c r="J458" s="1267"/>
      <c r="K458" s="1267"/>
      <c r="L458" s="1267"/>
      <c r="M458" s="1267"/>
      <c r="N458" s="1267"/>
      <c r="O458" s="1267"/>
      <c r="P458" s="1267"/>
      <c r="Q458" s="1209"/>
      <c r="R458" s="1209"/>
      <c r="S458" s="1209"/>
      <c r="T458" s="1209"/>
      <c r="U458" s="1209"/>
      <c r="V458" s="1209"/>
      <c r="W458" s="1209"/>
      <c r="X458" s="1209"/>
      <c r="Y458" s="1209"/>
      <c r="Z458" s="1209"/>
      <c r="AA458" s="1209"/>
      <c r="AB458" s="1209"/>
    </row>
    <row r="459">
      <c r="A459" s="1209"/>
      <c r="B459" s="1209"/>
      <c r="C459" s="1209"/>
      <c r="D459" s="1267"/>
      <c r="E459" s="1267"/>
      <c r="F459" s="1267"/>
      <c r="G459" s="1267"/>
      <c r="H459" s="1267"/>
      <c r="I459" s="1267"/>
      <c r="J459" s="1267"/>
      <c r="K459" s="1267"/>
      <c r="L459" s="1267"/>
      <c r="M459" s="1267"/>
      <c r="N459" s="1267"/>
      <c r="O459" s="1267"/>
      <c r="P459" s="1267"/>
      <c r="Q459" s="1209"/>
      <c r="R459" s="1209"/>
      <c r="S459" s="1209"/>
      <c r="T459" s="1209"/>
      <c r="U459" s="1209"/>
      <c r="V459" s="1209"/>
      <c r="W459" s="1209"/>
      <c r="X459" s="1209"/>
      <c r="Y459" s="1209"/>
      <c r="Z459" s="1209"/>
      <c r="AA459" s="1209"/>
      <c r="AB459" s="1209"/>
    </row>
    <row r="460">
      <c r="A460" s="1209"/>
      <c r="B460" s="1209"/>
      <c r="C460" s="1209"/>
      <c r="D460" s="1267"/>
      <c r="E460" s="1267"/>
      <c r="F460" s="1267"/>
      <c r="G460" s="1267"/>
      <c r="H460" s="1267"/>
      <c r="I460" s="1267"/>
      <c r="J460" s="1267"/>
      <c r="K460" s="1267"/>
      <c r="L460" s="1267"/>
      <c r="M460" s="1267"/>
      <c r="N460" s="1267"/>
      <c r="O460" s="1267"/>
      <c r="P460" s="1267"/>
      <c r="Q460" s="1209"/>
      <c r="R460" s="1209"/>
      <c r="S460" s="1209"/>
      <c r="T460" s="1209"/>
      <c r="U460" s="1209"/>
      <c r="V460" s="1209"/>
      <c r="W460" s="1209"/>
      <c r="X460" s="1209"/>
      <c r="Y460" s="1209"/>
      <c r="Z460" s="1209"/>
      <c r="AA460" s="1209"/>
      <c r="AB460" s="1209"/>
    </row>
    <row r="461">
      <c r="A461" s="1209"/>
      <c r="B461" s="1209"/>
      <c r="C461" s="1209"/>
      <c r="D461" s="1267"/>
      <c r="E461" s="1267"/>
      <c r="F461" s="1267"/>
      <c r="G461" s="1267"/>
      <c r="H461" s="1267"/>
      <c r="I461" s="1267"/>
      <c r="J461" s="1267"/>
      <c r="K461" s="1267"/>
      <c r="L461" s="1267"/>
      <c r="M461" s="1267"/>
      <c r="N461" s="1267"/>
      <c r="O461" s="1267"/>
      <c r="P461" s="1267"/>
      <c r="Q461" s="1209"/>
      <c r="R461" s="1209"/>
      <c r="S461" s="1209"/>
      <c r="T461" s="1209"/>
      <c r="U461" s="1209"/>
      <c r="V461" s="1209"/>
      <c r="W461" s="1209"/>
      <c r="X461" s="1209"/>
      <c r="Y461" s="1209"/>
      <c r="Z461" s="1209"/>
      <c r="AA461" s="1209"/>
      <c r="AB461" s="1209"/>
    </row>
    <row r="462">
      <c r="A462" s="1209"/>
      <c r="B462" s="1209"/>
      <c r="C462" s="1209"/>
      <c r="D462" s="1267"/>
      <c r="E462" s="1267"/>
      <c r="F462" s="1267"/>
      <c r="G462" s="1267"/>
      <c r="H462" s="1267"/>
      <c r="I462" s="1267"/>
      <c r="J462" s="1267"/>
      <c r="K462" s="1267"/>
      <c r="L462" s="1267"/>
      <c r="M462" s="1267"/>
      <c r="N462" s="1267"/>
      <c r="O462" s="1267"/>
      <c r="P462" s="1267"/>
      <c r="Q462" s="1209"/>
      <c r="R462" s="1209"/>
      <c r="S462" s="1209"/>
      <c r="T462" s="1209"/>
      <c r="U462" s="1209"/>
      <c r="V462" s="1209"/>
      <c r="W462" s="1209"/>
      <c r="X462" s="1209"/>
      <c r="Y462" s="1209"/>
      <c r="Z462" s="1209"/>
      <c r="AA462" s="1209"/>
      <c r="AB462" s="1209"/>
    </row>
    <row r="463">
      <c r="A463" s="1209"/>
      <c r="B463" s="1209"/>
      <c r="C463" s="1209"/>
      <c r="D463" s="1267"/>
      <c r="E463" s="1267"/>
      <c r="F463" s="1267"/>
      <c r="G463" s="1267"/>
      <c r="H463" s="1267"/>
      <c r="I463" s="1267"/>
      <c r="J463" s="1267"/>
      <c r="K463" s="1267"/>
      <c r="L463" s="1267"/>
      <c r="M463" s="1267"/>
      <c r="N463" s="1267"/>
      <c r="O463" s="1267"/>
      <c r="P463" s="1267"/>
      <c r="Q463" s="1209"/>
      <c r="R463" s="1209"/>
      <c r="S463" s="1209"/>
      <c r="T463" s="1209"/>
      <c r="U463" s="1209"/>
      <c r="V463" s="1209"/>
      <c r="W463" s="1209"/>
      <c r="X463" s="1209"/>
      <c r="Y463" s="1209"/>
      <c r="Z463" s="1209"/>
      <c r="AA463" s="1209"/>
      <c r="AB463" s="1209"/>
    </row>
    <row r="464">
      <c r="A464" s="1209"/>
      <c r="B464" s="1209"/>
      <c r="C464" s="1209"/>
      <c r="D464" s="1267"/>
      <c r="E464" s="1267"/>
      <c r="F464" s="1267"/>
      <c r="G464" s="1267"/>
      <c r="H464" s="1267"/>
      <c r="I464" s="1267"/>
      <c r="J464" s="1267"/>
      <c r="K464" s="1267"/>
      <c r="L464" s="1267"/>
      <c r="M464" s="1267"/>
      <c r="N464" s="1267"/>
      <c r="O464" s="1267"/>
      <c r="P464" s="1267"/>
      <c r="Q464" s="1209"/>
      <c r="R464" s="1209"/>
      <c r="S464" s="1209"/>
      <c r="T464" s="1209"/>
      <c r="U464" s="1209"/>
      <c r="V464" s="1209"/>
      <c r="W464" s="1209"/>
      <c r="X464" s="1209"/>
      <c r="Y464" s="1209"/>
      <c r="Z464" s="1209"/>
      <c r="AA464" s="1209"/>
      <c r="AB464" s="1209"/>
    </row>
    <row r="465">
      <c r="A465" s="1209"/>
      <c r="B465" s="1209"/>
      <c r="C465" s="1209"/>
      <c r="D465" s="1267"/>
      <c r="E465" s="1267"/>
      <c r="F465" s="1267"/>
      <c r="G465" s="1267"/>
      <c r="H465" s="1267"/>
      <c r="I465" s="1267"/>
      <c r="J465" s="1267"/>
      <c r="K465" s="1267"/>
      <c r="L465" s="1267"/>
      <c r="M465" s="1267"/>
      <c r="N465" s="1267"/>
      <c r="O465" s="1267"/>
      <c r="P465" s="1267"/>
      <c r="Q465" s="1209"/>
      <c r="R465" s="1209"/>
      <c r="S465" s="1209"/>
      <c r="T465" s="1209"/>
      <c r="U465" s="1209"/>
      <c r="V465" s="1209"/>
      <c r="W465" s="1209"/>
      <c r="X465" s="1209"/>
      <c r="Y465" s="1209"/>
      <c r="Z465" s="1209"/>
      <c r="AA465" s="1209"/>
      <c r="AB465" s="1209"/>
    </row>
    <row r="466">
      <c r="A466" s="1209"/>
      <c r="B466" s="1209"/>
      <c r="C466" s="1209"/>
      <c r="D466" s="1267"/>
      <c r="E466" s="1267"/>
      <c r="F466" s="1267"/>
      <c r="G466" s="1267"/>
      <c r="H466" s="1267"/>
      <c r="I466" s="1267"/>
      <c r="J466" s="1267"/>
      <c r="K466" s="1267"/>
      <c r="L466" s="1267"/>
      <c r="M466" s="1267"/>
      <c r="N466" s="1267"/>
      <c r="O466" s="1267"/>
      <c r="P466" s="1267"/>
      <c r="Q466" s="1209"/>
      <c r="R466" s="1209"/>
      <c r="S466" s="1209"/>
      <c r="T466" s="1209"/>
      <c r="U466" s="1209"/>
      <c r="V466" s="1209"/>
      <c r="W466" s="1209"/>
      <c r="X466" s="1209"/>
      <c r="Y466" s="1209"/>
      <c r="Z466" s="1209"/>
      <c r="AA466" s="1209"/>
      <c r="AB466" s="1209"/>
    </row>
    <row r="467">
      <c r="A467" s="1209"/>
      <c r="B467" s="1209"/>
      <c r="C467" s="1209"/>
      <c r="D467" s="1267"/>
      <c r="E467" s="1267"/>
      <c r="F467" s="1267"/>
      <c r="G467" s="1267"/>
      <c r="H467" s="1267"/>
      <c r="I467" s="1267"/>
      <c r="J467" s="1267"/>
      <c r="K467" s="1267"/>
      <c r="L467" s="1267"/>
      <c r="M467" s="1267"/>
      <c r="N467" s="1267"/>
      <c r="O467" s="1267"/>
      <c r="P467" s="1267"/>
      <c r="Q467" s="1209"/>
      <c r="R467" s="1209"/>
      <c r="S467" s="1209"/>
      <c r="T467" s="1209"/>
      <c r="U467" s="1209"/>
      <c r="V467" s="1209"/>
      <c r="W467" s="1209"/>
      <c r="X467" s="1209"/>
      <c r="Y467" s="1209"/>
      <c r="Z467" s="1209"/>
      <c r="AA467" s="1209"/>
      <c r="AB467" s="1209"/>
    </row>
    <row r="468">
      <c r="A468" s="1209"/>
      <c r="B468" s="1209"/>
      <c r="C468" s="1209"/>
      <c r="D468" s="1267"/>
      <c r="E468" s="1267"/>
      <c r="F468" s="1267"/>
      <c r="G468" s="1267"/>
      <c r="H468" s="1267"/>
      <c r="I468" s="1267"/>
      <c r="J468" s="1267"/>
      <c r="K468" s="1267"/>
      <c r="L468" s="1267"/>
      <c r="M468" s="1267"/>
      <c r="N468" s="1267"/>
      <c r="O468" s="1267"/>
      <c r="P468" s="1267"/>
      <c r="Q468" s="1209"/>
      <c r="R468" s="1209"/>
      <c r="S468" s="1209"/>
      <c r="T468" s="1209"/>
      <c r="U468" s="1209"/>
      <c r="V468" s="1209"/>
      <c r="W468" s="1209"/>
      <c r="X468" s="1209"/>
      <c r="Y468" s="1209"/>
      <c r="Z468" s="1209"/>
      <c r="AA468" s="1209"/>
      <c r="AB468" s="1209"/>
    </row>
    <row r="469">
      <c r="A469" s="1209"/>
      <c r="B469" s="1209"/>
      <c r="C469" s="1209"/>
      <c r="D469" s="1267"/>
      <c r="E469" s="1267"/>
      <c r="F469" s="1267"/>
      <c r="G469" s="1267"/>
      <c r="H469" s="1267"/>
      <c r="I469" s="1267"/>
      <c r="J469" s="1267"/>
      <c r="K469" s="1267"/>
      <c r="L469" s="1267"/>
      <c r="M469" s="1267"/>
      <c r="N469" s="1267"/>
      <c r="O469" s="1267"/>
      <c r="P469" s="1267"/>
      <c r="Q469" s="1209"/>
      <c r="R469" s="1209"/>
      <c r="S469" s="1209"/>
      <c r="T469" s="1209"/>
      <c r="U469" s="1209"/>
      <c r="V469" s="1209"/>
      <c r="W469" s="1209"/>
      <c r="X469" s="1209"/>
      <c r="Y469" s="1209"/>
      <c r="Z469" s="1209"/>
      <c r="AA469" s="1209"/>
      <c r="AB469" s="1209"/>
    </row>
    <row r="470">
      <c r="A470" s="1209"/>
      <c r="B470" s="1209"/>
      <c r="C470" s="1209"/>
      <c r="D470" s="1267"/>
      <c r="E470" s="1267"/>
      <c r="F470" s="1267"/>
      <c r="G470" s="1267"/>
      <c r="H470" s="1267"/>
      <c r="I470" s="1267"/>
      <c r="J470" s="1267"/>
      <c r="K470" s="1267"/>
      <c r="L470" s="1267"/>
      <c r="M470" s="1267"/>
      <c r="N470" s="1267"/>
      <c r="O470" s="1267"/>
      <c r="P470" s="1267"/>
      <c r="Q470" s="1209"/>
      <c r="R470" s="1209"/>
      <c r="S470" s="1209"/>
      <c r="T470" s="1209"/>
      <c r="U470" s="1209"/>
      <c r="V470" s="1209"/>
      <c r="W470" s="1209"/>
      <c r="X470" s="1209"/>
      <c r="Y470" s="1209"/>
      <c r="Z470" s="1209"/>
      <c r="AA470" s="1209"/>
      <c r="AB470" s="1209"/>
    </row>
    <row r="471">
      <c r="A471" s="1209"/>
      <c r="B471" s="1209"/>
      <c r="C471" s="1209"/>
      <c r="D471" s="1267"/>
      <c r="E471" s="1267"/>
      <c r="F471" s="1267"/>
      <c r="G471" s="1267"/>
      <c r="H471" s="1267"/>
      <c r="I471" s="1267"/>
      <c r="J471" s="1267"/>
      <c r="K471" s="1267"/>
      <c r="L471" s="1267"/>
      <c r="M471" s="1267"/>
      <c r="N471" s="1267"/>
      <c r="O471" s="1267"/>
      <c r="P471" s="1267"/>
      <c r="Q471" s="1209"/>
      <c r="R471" s="1209"/>
      <c r="S471" s="1209"/>
      <c r="T471" s="1209"/>
      <c r="U471" s="1209"/>
      <c r="V471" s="1209"/>
      <c r="W471" s="1209"/>
      <c r="X471" s="1209"/>
      <c r="Y471" s="1209"/>
      <c r="Z471" s="1209"/>
      <c r="AA471" s="1209"/>
      <c r="AB471" s="1209"/>
    </row>
    <row r="472">
      <c r="A472" s="1209"/>
      <c r="B472" s="1209"/>
      <c r="C472" s="1209"/>
      <c r="D472" s="1267"/>
      <c r="E472" s="1267"/>
      <c r="F472" s="1267"/>
      <c r="G472" s="1267"/>
      <c r="H472" s="1267"/>
      <c r="I472" s="1267"/>
      <c r="J472" s="1267"/>
      <c r="K472" s="1267"/>
      <c r="L472" s="1267"/>
      <c r="M472" s="1267"/>
      <c r="N472" s="1267"/>
      <c r="O472" s="1267"/>
      <c r="P472" s="1267"/>
      <c r="Q472" s="1209"/>
      <c r="R472" s="1209"/>
      <c r="S472" s="1209"/>
      <c r="T472" s="1209"/>
      <c r="U472" s="1209"/>
      <c r="V472" s="1209"/>
      <c r="W472" s="1209"/>
      <c r="X472" s="1209"/>
      <c r="Y472" s="1209"/>
      <c r="Z472" s="1209"/>
      <c r="AA472" s="1209"/>
      <c r="AB472" s="1209"/>
    </row>
    <row r="473">
      <c r="A473" s="1209"/>
      <c r="B473" s="1209"/>
      <c r="C473" s="1209"/>
      <c r="D473" s="1267"/>
      <c r="E473" s="1267"/>
      <c r="F473" s="1267"/>
      <c r="G473" s="1267"/>
      <c r="H473" s="1267"/>
      <c r="I473" s="1267"/>
      <c r="J473" s="1267"/>
      <c r="K473" s="1267"/>
      <c r="L473" s="1267"/>
      <c r="M473" s="1267"/>
      <c r="N473" s="1267"/>
      <c r="O473" s="1267"/>
      <c r="P473" s="1267"/>
      <c r="Q473" s="1209"/>
      <c r="R473" s="1209"/>
      <c r="S473" s="1209"/>
      <c r="T473" s="1209"/>
      <c r="U473" s="1209"/>
      <c r="V473" s="1209"/>
      <c r="W473" s="1209"/>
      <c r="X473" s="1209"/>
      <c r="Y473" s="1209"/>
      <c r="Z473" s="1209"/>
      <c r="AA473" s="1209"/>
      <c r="AB473" s="1209"/>
    </row>
    <row r="474">
      <c r="A474" s="1209"/>
      <c r="B474" s="1209"/>
      <c r="C474" s="1209"/>
      <c r="D474" s="1267"/>
      <c r="E474" s="1267"/>
      <c r="F474" s="1267"/>
      <c r="G474" s="1267"/>
      <c r="H474" s="1267"/>
      <c r="I474" s="1267"/>
      <c r="J474" s="1267"/>
      <c r="K474" s="1267"/>
      <c r="L474" s="1267"/>
      <c r="M474" s="1267"/>
      <c r="N474" s="1267"/>
      <c r="O474" s="1267"/>
      <c r="P474" s="1267"/>
      <c r="Q474" s="1209"/>
      <c r="R474" s="1209"/>
      <c r="S474" s="1209"/>
      <c r="T474" s="1209"/>
      <c r="U474" s="1209"/>
      <c r="V474" s="1209"/>
      <c r="W474" s="1209"/>
      <c r="X474" s="1209"/>
      <c r="Y474" s="1209"/>
      <c r="Z474" s="1209"/>
      <c r="AA474" s="1209"/>
      <c r="AB474" s="1209"/>
    </row>
    <row r="475">
      <c r="A475" s="1209"/>
      <c r="B475" s="1209"/>
      <c r="C475" s="1209"/>
      <c r="D475" s="1267"/>
      <c r="E475" s="1267"/>
      <c r="F475" s="1267"/>
      <c r="G475" s="1267"/>
      <c r="H475" s="1267"/>
      <c r="I475" s="1267"/>
      <c r="J475" s="1267"/>
      <c r="K475" s="1267"/>
      <c r="L475" s="1267"/>
      <c r="M475" s="1267"/>
      <c r="N475" s="1267"/>
      <c r="O475" s="1267"/>
      <c r="P475" s="1267"/>
      <c r="Q475" s="1209"/>
      <c r="R475" s="1209"/>
      <c r="S475" s="1209"/>
      <c r="T475" s="1209"/>
      <c r="U475" s="1209"/>
      <c r="V475" s="1209"/>
      <c r="W475" s="1209"/>
      <c r="X475" s="1209"/>
      <c r="Y475" s="1209"/>
      <c r="Z475" s="1209"/>
      <c r="AA475" s="1209"/>
      <c r="AB475" s="1209"/>
    </row>
    <row r="476">
      <c r="A476" s="1209"/>
      <c r="B476" s="1209"/>
      <c r="C476" s="1209"/>
      <c r="D476" s="1267"/>
      <c r="E476" s="1267"/>
      <c r="F476" s="1267"/>
      <c r="G476" s="1267"/>
      <c r="H476" s="1267"/>
      <c r="I476" s="1267"/>
      <c r="J476" s="1267"/>
      <c r="K476" s="1267"/>
      <c r="L476" s="1267"/>
      <c r="M476" s="1267"/>
      <c r="N476" s="1267"/>
      <c r="O476" s="1267"/>
      <c r="P476" s="1267"/>
      <c r="Q476" s="1209"/>
      <c r="R476" s="1209"/>
      <c r="S476" s="1209"/>
      <c r="T476" s="1209"/>
      <c r="U476" s="1209"/>
      <c r="V476" s="1209"/>
      <c r="W476" s="1209"/>
      <c r="X476" s="1209"/>
      <c r="Y476" s="1209"/>
      <c r="Z476" s="1209"/>
      <c r="AA476" s="1209"/>
      <c r="AB476" s="1209"/>
    </row>
    <row r="477">
      <c r="A477" s="1209"/>
      <c r="B477" s="1209"/>
      <c r="C477" s="1209"/>
      <c r="D477" s="1267"/>
      <c r="E477" s="1267"/>
      <c r="F477" s="1267"/>
      <c r="G477" s="1267"/>
      <c r="H477" s="1267"/>
      <c r="I477" s="1267"/>
      <c r="J477" s="1267"/>
      <c r="K477" s="1267"/>
      <c r="L477" s="1267"/>
      <c r="M477" s="1267"/>
      <c r="N477" s="1267"/>
      <c r="O477" s="1267"/>
      <c r="P477" s="1267"/>
      <c r="Q477" s="1209"/>
      <c r="R477" s="1209"/>
      <c r="S477" s="1209"/>
      <c r="T477" s="1209"/>
      <c r="U477" s="1209"/>
      <c r="V477" s="1209"/>
      <c r="W477" s="1209"/>
      <c r="X477" s="1209"/>
      <c r="Y477" s="1209"/>
      <c r="Z477" s="1209"/>
      <c r="AA477" s="1209"/>
      <c r="AB477" s="1209"/>
    </row>
    <row r="478">
      <c r="A478" s="1209"/>
      <c r="B478" s="1209"/>
      <c r="C478" s="1209"/>
      <c r="D478" s="1267"/>
      <c r="E478" s="1267"/>
      <c r="F478" s="1267"/>
      <c r="G478" s="1267"/>
      <c r="H478" s="1267"/>
      <c r="I478" s="1267"/>
      <c r="J478" s="1267"/>
      <c r="K478" s="1267"/>
      <c r="L478" s="1267"/>
      <c r="M478" s="1267"/>
      <c r="N478" s="1267"/>
      <c r="O478" s="1267"/>
      <c r="P478" s="1267"/>
      <c r="Q478" s="1209"/>
      <c r="R478" s="1209"/>
      <c r="S478" s="1209"/>
      <c r="T478" s="1209"/>
      <c r="U478" s="1209"/>
      <c r="V478" s="1209"/>
      <c r="W478" s="1209"/>
      <c r="X478" s="1209"/>
      <c r="Y478" s="1209"/>
      <c r="Z478" s="1209"/>
      <c r="AA478" s="1209"/>
      <c r="AB478" s="1209"/>
    </row>
    <row r="479">
      <c r="A479" s="1209"/>
      <c r="B479" s="1209"/>
      <c r="C479" s="1209"/>
      <c r="D479" s="1267"/>
      <c r="E479" s="1267"/>
      <c r="F479" s="1267"/>
      <c r="G479" s="1267"/>
      <c r="H479" s="1267"/>
      <c r="I479" s="1267"/>
      <c r="J479" s="1267"/>
      <c r="K479" s="1267"/>
      <c r="L479" s="1267"/>
      <c r="M479" s="1267"/>
      <c r="N479" s="1267"/>
      <c r="O479" s="1267"/>
      <c r="P479" s="1267"/>
      <c r="Q479" s="1209"/>
      <c r="R479" s="1209"/>
      <c r="S479" s="1209"/>
      <c r="T479" s="1209"/>
      <c r="U479" s="1209"/>
      <c r="V479" s="1209"/>
      <c r="W479" s="1209"/>
      <c r="X479" s="1209"/>
      <c r="Y479" s="1209"/>
      <c r="Z479" s="1209"/>
      <c r="AA479" s="1209"/>
      <c r="AB479" s="1209"/>
    </row>
    <row r="480">
      <c r="A480" s="1209"/>
      <c r="B480" s="1209"/>
      <c r="C480" s="1209"/>
      <c r="D480" s="1267"/>
      <c r="E480" s="1267"/>
      <c r="F480" s="1267"/>
      <c r="G480" s="1267"/>
      <c r="H480" s="1267"/>
      <c r="I480" s="1267"/>
      <c r="J480" s="1267"/>
      <c r="K480" s="1267"/>
      <c r="L480" s="1267"/>
      <c r="M480" s="1267"/>
      <c r="N480" s="1267"/>
      <c r="O480" s="1267"/>
      <c r="P480" s="1267"/>
      <c r="Q480" s="1209"/>
      <c r="R480" s="1209"/>
      <c r="S480" s="1209"/>
      <c r="T480" s="1209"/>
      <c r="U480" s="1209"/>
      <c r="V480" s="1209"/>
      <c r="W480" s="1209"/>
      <c r="X480" s="1209"/>
      <c r="Y480" s="1209"/>
      <c r="Z480" s="1209"/>
      <c r="AA480" s="1209"/>
      <c r="AB480" s="1209"/>
    </row>
    <row r="481">
      <c r="A481" s="1209"/>
      <c r="B481" s="1209"/>
      <c r="C481" s="1209"/>
      <c r="D481" s="1267"/>
      <c r="E481" s="1267"/>
      <c r="F481" s="1267"/>
      <c r="G481" s="1267"/>
      <c r="H481" s="1267"/>
      <c r="I481" s="1267"/>
      <c r="J481" s="1267"/>
      <c r="K481" s="1267"/>
      <c r="L481" s="1267"/>
      <c r="M481" s="1267"/>
      <c r="N481" s="1267"/>
      <c r="O481" s="1267"/>
      <c r="P481" s="1267"/>
      <c r="Q481" s="1209"/>
      <c r="R481" s="1209"/>
      <c r="S481" s="1209"/>
      <c r="T481" s="1209"/>
      <c r="U481" s="1209"/>
      <c r="V481" s="1209"/>
      <c r="W481" s="1209"/>
      <c r="X481" s="1209"/>
      <c r="Y481" s="1209"/>
      <c r="Z481" s="1209"/>
      <c r="AA481" s="1209"/>
      <c r="AB481" s="1209"/>
    </row>
    <row r="482">
      <c r="A482" s="1209"/>
      <c r="B482" s="1209"/>
      <c r="C482" s="1209"/>
      <c r="D482" s="1267"/>
      <c r="E482" s="1267"/>
      <c r="F482" s="1267"/>
      <c r="G482" s="1267"/>
      <c r="H482" s="1267"/>
      <c r="I482" s="1267"/>
      <c r="J482" s="1267"/>
      <c r="K482" s="1267"/>
      <c r="L482" s="1267"/>
      <c r="M482" s="1267"/>
      <c r="N482" s="1267"/>
      <c r="O482" s="1267"/>
      <c r="P482" s="1267"/>
      <c r="Q482" s="1209"/>
      <c r="R482" s="1209"/>
      <c r="S482" s="1209"/>
      <c r="T482" s="1209"/>
      <c r="U482" s="1209"/>
      <c r="V482" s="1209"/>
      <c r="W482" s="1209"/>
      <c r="X482" s="1209"/>
      <c r="Y482" s="1209"/>
      <c r="Z482" s="1209"/>
      <c r="AA482" s="1209"/>
      <c r="AB482" s="1209"/>
    </row>
    <row r="483">
      <c r="A483" s="1209"/>
      <c r="B483" s="1209"/>
      <c r="C483" s="1209"/>
      <c r="D483" s="1267"/>
      <c r="E483" s="1267"/>
      <c r="F483" s="1267"/>
      <c r="G483" s="1267"/>
      <c r="H483" s="1267"/>
      <c r="I483" s="1267"/>
      <c r="J483" s="1267"/>
      <c r="K483" s="1267"/>
      <c r="L483" s="1267"/>
      <c r="M483" s="1267"/>
      <c r="N483" s="1267"/>
      <c r="O483" s="1267"/>
      <c r="P483" s="1267"/>
      <c r="Q483" s="1209"/>
      <c r="R483" s="1209"/>
      <c r="S483" s="1209"/>
      <c r="T483" s="1209"/>
      <c r="U483" s="1209"/>
      <c r="V483" s="1209"/>
      <c r="W483" s="1209"/>
      <c r="X483" s="1209"/>
      <c r="Y483" s="1209"/>
      <c r="Z483" s="1209"/>
      <c r="AA483" s="1209"/>
      <c r="AB483" s="1209"/>
    </row>
    <row r="484">
      <c r="A484" s="1209"/>
      <c r="B484" s="1209"/>
      <c r="C484" s="1209"/>
      <c r="D484" s="1267"/>
      <c r="E484" s="1267"/>
      <c r="F484" s="1267"/>
      <c r="G484" s="1267"/>
      <c r="H484" s="1267"/>
      <c r="I484" s="1267"/>
      <c r="J484" s="1267"/>
      <c r="K484" s="1267"/>
      <c r="L484" s="1267"/>
      <c r="M484" s="1267"/>
      <c r="N484" s="1267"/>
      <c r="O484" s="1267"/>
      <c r="P484" s="1267"/>
      <c r="Q484" s="1209"/>
      <c r="R484" s="1209"/>
      <c r="S484" s="1209"/>
      <c r="T484" s="1209"/>
      <c r="U484" s="1209"/>
      <c r="V484" s="1209"/>
      <c r="W484" s="1209"/>
      <c r="X484" s="1209"/>
      <c r="Y484" s="1209"/>
      <c r="Z484" s="1209"/>
      <c r="AA484" s="1209"/>
      <c r="AB484" s="1209"/>
    </row>
    <row r="485">
      <c r="A485" s="1209"/>
      <c r="B485" s="1209"/>
      <c r="C485" s="1209"/>
      <c r="D485" s="1267"/>
      <c r="E485" s="1267"/>
      <c r="F485" s="1267"/>
      <c r="G485" s="1267"/>
      <c r="H485" s="1267"/>
      <c r="I485" s="1267"/>
      <c r="J485" s="1267"/>
      <c r="K485" s="1267"/>
      <c r="L485" s="1267"/>
      <c r="M485" s="1267"/>
      <c r="N485" s="1267"/>
      <c r="O485" s="1267"/>
      <c r="P485" s="1267"/>
      <c r="Q485" s="1209"/>
      <c r="R485" s="1209"/>
      <c r="S485" s="1209"/>
      <c r="T485" s="1209"/>
      <c r="U485" s="1209"/>
      <c r="V485" s="1209"/>
      <c r="W485" s="1209"/>
      <c r="X485" s="1209"/>
      <c r="Y485" s="1209"/>
      <c r="Z485" s="1209"/>
      <c r="AA485" s="1209"/>
      <c r="AB485" s="1209"/>
    </row>
    <row r="486">
      <c r="A486" s="1209"/>
      <c r="B486" s="1209"/>
      <c r="C486" s="1209"/>
      <c r="D486" s="1267"/>
      <c r="E486" s="1267"/>
      <c r="F486" s="1267"/>
      <c r="G486" s="1267"/>
      <c r="H486" s="1267"/>
      <c r="I486" s="1267"/>
      <c r="J486" s="1267"/>
      <c r="K486" s="1267"/>
      <c r="L486" s="1267"/>
      <c r="M486" s="1267"/>
      <c r="N486" s="1267"/>
      <c r="O486" s="1267"/>
      <c r="P486" s="1267"/>
      <c r="Q486" s="1209"/>
      <c r="R486" s="1209"/>
      <c r="S486" s="1209"/>
      <c r="T486" s="1209"/>
      <c r="U486" s="1209"/>
      <c r="V486" s="1209"/>
      <c r="W486" s="1209"/>
      <c r="X486" s="1209"/>
      <c r="Y486" s="1209"/>
      <c r="Z486" s="1209"/>
      <c r="AA486" s="1209"/>
      <c r="AB486" s="1209"/>
    </row>
    <row r="487">
      <c r="A487" s="1209"/>
      <c r="B487" s="1209"/>
      <c r="C487" s="1209"/>
      <c r="D487" s="1267"/>
      <c r="E487" s="1267"/>
      <c r="F487" s="1267"/>
      <c r="G487" s="1267"/>
      <c r="H487" s="1267"/>
      <c r="I487" s="1267"/>
      <c r="J487" s="1267"/>
      <c r="K487" s="1267"/>
      <c r="L487" s="1267"/>
      <c r="M487" s="1267"/>
      <c r="N487" s="1267"/>
      <c r="O487" s="1267"/>
      <c r="P487" s="1267"/>
      <c r="Q487" s="1209"/>
      <c r="R487" s="1209"/>
      <c r="S487" s="1209"/>
      <c r="T487" s="1209"/>
      <c r="U487" s="1209"/>
      <c r="V487" s="1209"/>
      <c r="W487" s="1209"/>
      <c r="X487" s="1209"/>
      <c r="Y487" s="1209"/>
      <c r="Z487" s="1209"/>
      <c r="AA487" s="1209"/>
      <c r="AB487" s="1209"/>
    </row>
    <row r="488">
      <c r="A488" s="1209"/>
      <c r="B488" s="1209"/>
      <c r="C488" s="1209"/>
      <c r="D488" s="1267"/>
      <c r="E488" s="1267"/>
      <c r="F488" s="1267"/>
      <c r="G488" s="1267"/>
      <c r="H488" s="1267"/>
      <c r="I488" s="1267"/>
      <c r="J488" s="1267"/>
      <c r="K488" s="1267"/>
      <c r="L488" s="1267"/>
      <c r="M488" s="1267"/>
      <c r="N488" s="1267"/>
      <c r="O488" s="1267"/>
      <c r="P488" s="1267"/>
      <c r="Q488" s="1209"/>
      <c r="R488" s="1209"/>
      <c r="S488" s="1209"/>
      <c r="T488" s="1209"/>
      <c r="U488" s="1209"/>
      <c r="V488" s="1209"/>
      <c r="W488" s="1209"/>
      <c r="X488" s="1209"/>
      <c r="Y488" s="1209"/>
      <c r="Z488" s="1209"/>
      <c r="AA488" s="1209"/>
      <c r="AB488" s="1209"/>
    </row>
    <row r="489">
      <c r="A489" s="1209"/>
      <c r="B489" s="1209"/>
      <c r="C489" s="1209"/>
      <c r="D489" s="1267"/>
      <c r="E489" s="1267"/>
      <c r="F489" s="1267"/>
      <c r="G489" s="1267"/>
      <c r="H489" s="1267"/>
      <c r="I489" s="1267"/>
      <c r="J489" s="1267"/>
      <c r="K489" s="1267"/>
      <c r="L489" s="1267"/>
      <c r="M489" s="1267"/>
      <c r="N489" s="1267"/>
      <c r="O489" s="1267"/>
      <c r="P489" s="1267"/>
      <c r="Q489" s="1209"/>
      <c r="R489" s="1209"/>
      <c r="S489" s="1209"/>
      <c r="T489" s="1209"/>
      <c r="U489" s="1209"/>
      <c r="V489" s="1209"/>
      <c r="W489" s="1209"/>
      <c r="X489" s="1209"/>
      <c r="Y489" s="1209"/>
      <c r="Z489" s="1209"/>
      <c r="AA489" s="1209"/>
      <c r="AB489" s="1209"/>
    </row>
    <row r="490">
      <c r="A490" s="1209"/>
      <c r="B490" s="1209"/>
      <c r="C490" s="1209"/>
      <c r="D490" s="1267"/>
      <c r="E490" s="1267"/>
      <c r="F490" s="1267"/>
      <c r="G490" s="1267"/>
      <c r="H490" s="1267"/>
      <c r="I490" s="1267"/>
      <c r="J490" s="1267"/>
      <c r="K490" s="1267"/>
      <c r="L490" s="1267"/>
      <c r="M490" s="1267"/>
      <c r="N490" s="1267"/>
      <c r="O490" s="1267"/>
      <c r="P490" s="1267"/>
      <c r="Q490" s="1209"/>
      <c r="R490" s="1209"/>
      <c r="S490" s="1209"/>
      <c r="T490" s="1209"/>
      <c r="U490" s="1209"/>
      <c r="V490" s="1209"/>
      <c r="W490" s="1209"/>
      <c r="X490" s="1209"/>
      <c r="Y490" s="1209"/>
      <c r="Z490" s="1209"/>
      <c r="AA490" s="1209"/>
      <c r="AB490" s="1209"/>
    </row>
    <row r="491">
      <c r="A491" s="1209"/>
      <c r="B491" s="1209"/>
      <c r="C491" s="1209"/>
      <c r="D491" s="1267"/>
      <c r="E491" s="1267"/>
      <c r="F491" s="1267"/>
      <c r="G491" s="1267"/>
      <c r="H491" s="1267"/>
      <c r="I491" s="1267"/>
      <c r="J491" s="1267"/>
      <c r="K491" s="1267"/>
      <c r="L491" s="1267"/>
      <c r="M491" s="1267"/>
      <c r="N491" s="1267"/>
      <c r="O491" s="1267"/>
      <c r="P491" s="1267"/>
      <c r="Q491" s="1209"/>
      <c r="R491" s="1209"/>
      <c r="S491" s="1209"/>
      <c r="T491" s="1209"/>
      <c r="U491" s="1209"/>
      <c r="V491" s="1209"/>
      <c r="W491" s="1209"/>
      <c r="X491" s="1209"/>
      <c r="Y491" s="1209"/>
      <c r="Z491" s="1209"/>
      <c r="AA491" s="1209"/>
      <c r="AB491" s="1209"/>
    </row>
    <row r="492">
      <c r="A492" s="1209"/>
      <c r="B492" s="1209"/>
      <c r="C492" s="1209"/>
      <c r="D492" s="1267"/>
      <c r="E492" s="1267"/>
      <c r="F492" s="1267"/>
      <c r="G492" s="1267"/>
      <c r="H492" s="1267"/>
      <c r="I492" s="1267"/>
      <c r="J492" s="1267"/>
      <c r="K492" s="1267"/>
      <c r="L492" s="1267"/>
      <c r="M492" s="1267"/>
      <c r="N492" s="1267"/>
      <c r="O492" s="1267"/>
      <c r="P492" s="1267"/>
      <c r="Q492" s="1209"/>
      <c r="R492" s="1209"/>
      <c r="S492" s="1209"/>
      <c r="T492" s="1209"/>
      <c r="U492" s="1209"/>
      <c r="V492" s="1209"/>
      <c r="W492" s="1209"/>
      <c r="X492" s="1209"/>
      <c r="Y492" s="1209"/>
      <c r="Z492" s="1209"/>
      <c r="AA492" s="1209"/>
      <c r="AB492" s="1209"/>
    </row>
    <row r="493">
      <c r="A493" s="1209"/>
      <c r="B493" s="1209"/>
      <c r="C493" s="1209"/>
      <c r="D493" s="1267"/>
      <c r="E493" s="1267"/>
      <c r="F493" s="1267"/>
      <c r="G493" s="1267"/>
      <c r="H493" s="1267"/>
      <c r="I493" s="1267"/>
      <c r="J493" s="1267"/>
      <c r="K493" s="1267"/>
      <c r="L493" s="1267"/>
      <c r="M493" s="1267"/>
      <c r="N493" s="1267"/>
      <c r="O493" s="1267"/>
      <c r="P493" s="1267"/>
      <c r="Q493" s="1209"/>
      <c r="R493" s="1209"/>
      <c r="S493" s="1209"/>
      <c r="T493" s="1209"/>
      <c r="U493" s="1209"/>
      <c r="V493" s="1209"/>
      <c r="W493" s="1209"/>
      <c r="X493" s="1209"/>
      <c r="Y493" s="1209"/>
      <c r="Z493" s="1209"/>
      <c r="AA493" s="1209"/>
      <c r="AB493" s="1209"/>
    </row>
    <row r="494">
      <c r="A494" s="1209"/>
      <c r="B494" s="1209"/>
      <c r="C494" s="1209"/>
      <c r="D494" s="1267"/>
      <c r="E494" s="1267"/>
      <c r="F494" s="1267"/>
      <c r="G494" s="1267"/>
      <c r="H494" s="1267"/>
      <c r="I494" s="1267"/>
      <c r="J494" s="1267"/>
      <c r="K494" s="1267"/>
      <c r="L494" s="1267"/>
      <c r="M494" s="1267"/>
      <c r="N494" s="1267"/>
      <c r="O494" s="1267"/>
      <c r="P494" s="1267"/>
      <c r="Q494" s="1209"/>
      <c r="R494" s="1209"/>
      <c r="S494" s="1209"/>
      <c r="T494" s="1209"/>
      <c r="U494" s="1209"/>
      <c r="V494" s="1209"/>
      <c r="W494" s="1209"/>
      <c r="X494" s="1209"/>
      <c r="Y494" s="1209"/>
      <c r="Z494" s="1209"/>
      <c r="AA494" s="1209"/>
      <c r="AB494" s="1209"/>
    </row>
    <row r="495">
      <c r="A495" s="1209"/>
      <c r="B495" s="1209"/>
      <c r="C495" s="1209"/>
      <c r="D495" s="1267"/>
      <c r="E495" s="1267"/>
      <c r="F495" s="1267"/>
      <c r="G495" s="1267"/>
      <c r="H495" s="1267"/>
      <c r="I495" s="1267"/>
      <c r="J495" s="1267"/>
      <c r="K495" s="1267"/>
      <c r="L495" s="1267"/>
      <c r="M495" s="1267"/>
      <c r="N495" s="1267"/>
      <c r="O495" s="1267"/>
      <c r="P495" s="1267"/>
      <c r="Q495" s="1209"/>
      <c r="R495" s="1209"/>
      <c r="S495" s="1209"/>
      <c r="T495" s="1209"/>
      <c r="U495" s="1209"/>
      <c r="V495" s="1209"/>
      <c r="W495" s="1209"/>
      <c r="X495" s="1209"/>
      <c r="Y495" s="1209"/>
      <c r="Z495" s="1209"/>
      <c r="AA495" s="1209"/>
      <c r="AB495" s="1209"/>
    </row>
    <row r="496">
      <c r="A496" s="1209"/>
      <c r="B496" s="1209"/>
      <c r="C496" s="1209"/>
      <c r="D496" s="1267"/>
      <c r="E496" s="1267"/>
      <c r="F496" s="1267"/>
      <c r="G496" s="1267"/>
      <c r="H496" s="1267"/>
      <c r="I496" s="1267"/>
      <c r="J496" s="1267"/>
      <c r="K496" s="1267"/>
      <c r="L496" s="1267"/>
      <c r="M496" s="1267"/>
      <c r="N496" s="1267"/>
      <c r="O496" s="1267"/>
      <c r="P496" s="1267"/>
      <c r="Q496" s="1209"/>
      <c r="R496" s="1209"/>
      <c r="S496" s="1209"/>
      <c r="T496" s="1209"/>
      <c r="U496" s="1209"/>
      <c r="V496" s="1209"/>
      <c r="W496" s="1209"/>
      <c r="X496" s="1209"/>
      <c r="Y496" s="1209"/>
      <c r="Z496" s="1209"/>
      <c r="AA496" s="1209"/>
      <c r="AB496" s="1209"/>
    </row>
    <row r="497">
      <c r="A497" s="1209"/>
      <c r="B497" s="1209"/>
      <c r="C497" s="1209"/>
      <c r="D497" s="1267"/>
      <c r="E497" s="1267"/>
      <c r="F497" s="1267"/>
      <c r="G497" s="1267"/>
      <c r="H497" s="1267"/>
      <c r="I497" s="1267"/>
      <c r="J497" s="1267"/>
      <c r="K497" s="1267"/>
      <c r="L497" s="1267"/>
      <c r="M497" s="1267"/>
      <c r="N497" s="1267"/>
      <c r="O497" s="1267"/>
      <c r="P497" s="1267"/>
      <c r="Q497" s="1209"/>
      <c r="R497" s="1209"/>
      <c r="S497" s="1209"/>
      <c r="T497" s="1209"/>
      <c r="U497" s="1209"/>
      <c r="V497" s="1209"/>
      <c r="W497" s="1209"/>
      <c r="X497" s="1209"/>
      <c r="Y497" s="1209"/>
      <c r="Z497" s="1209"/>
      <c r="AA497" s="1209"/>
      <c r="AB497" s="1209"/>
    </row>
    <row r="498">
      <c r="A498" s="1209"/>
      <c r="B498" s="1209"/>
      <c r="C498" s="1209"/>
      <c r="D498" s="1267"/>
      <c r="E498" s="1267"/>
      <c r="F498" s="1267"/>
      <c r="G498" s="1267"/>
      <c r="H498" s="1267"/>
      <c r="I498" s="1267"/>
      <c r="J498" s="1267"/>
      <c r="K498" s="1267"/>
      <c r="L498" s="1267"/>
      <c r="M498" s="1267"/>
      <c r="N498" s="1267"/>
      <c r="O498" s="1267"/>
      <c r="P498" s="1267"/>
      <c r="Q498" s="1209"/>
      <c r="R498" s="1209"/>
      <c r="S498" s="1209"/>
      <c r="T498" s="1209"/>
      <c r="U498" s="1209"/>
      <c r="V498" s="1209"/>
      <c r="W498" s="1209"/>
      <c r="X498" s="1209"/>
      <c r="Y498" s="1209"/>
      <c r="Z498" s="1209"/>
      <c r="AA498" s="1209"/>
      <c r="AB498" s="1209"/>
    </row>
    <row r="499">
      <c r="A499" s="1209"/>
      <c r="B499" s="1209"/>
      <c r="C499" s="1209"/>
      <c r="D499" s="1267"/>
      <c r="E499" s="1267"/>
      <c r="F499" s="1267"/>
      <c r="G499" s="1267"/>
      <c r="H499" s="1267"/>
      <c r="I499" s="1267"/>
      <c r="J499" s="1267"/>
      <c r="K499" s="1267"/>
      <c r="L499" s="1267"/>
      <c r="M499" s="1267"/>
      <c r="N499" s="1267"/>
      <c r="O499" s="1267"/>
      <c r="P499" s="1267"/>
      <c r="Q499" s="1209"/>
      <c r="R499" s="1209"/>
      <c r="S499" s="1209"/>
      <c r="T499" s="1209"/>
      <c r="U499" s="1209"/>
      <c r="V499" s="1209"/>
      <c r="W499" s="1209"/>
      <c r="X499" s="1209"/>
      <c r="Y499" s="1209"/>
      <c r="Z499" s="1209"/>
      <c r="AA499" s="1209"/>
      <c r="AB499" s="1209"/>
    </row>
    <row r="500">
      <c r="A500" s="1209"/>
      <c r="B500" s="1209"/>
      <c r="C500" s="1209"/>
      <c r="D500" s="1267"/>
      <c r="E500" s="1267"/>
      <c r="F500" s="1267"/>
      <c r="G500" s="1267"/>
      <c r="H500" s="1267"/>
      <c r="I500" s="1267"/>
      <c r="J500" s="1267"/>
      <c r="K500" s="1267"/>
      <c r="L500" s="1267"/>
      <c r="M500" s="1267"/>
      <c r="N500" s="1267"/>
      <c r="O500" s="1267"/>
      <c r="P500" s="1267"/>
      <c r="Q500" s="1209"/>
      <c r="R500" s="1209"/>
      <c r="S500" s="1209"/>
      <c r="T500" s="1209"/>
      <c r="U500" s="1209"/>
      <c r="V500" s="1209"/>
      <c r="W500" s="1209"/>
      <c r="X500" s="1209"/>
      <c r="Y500" s="1209"/>
      <c r="Z500" s="1209"/>
      <c r="AA500" s="1209"/>
      <c r="AB500" s="1209"/>
    </row>
    <row r="501">
      <c r="A501" s="1209"/>
      <c r="B501" s="1209"/>
      <c r="C501" s="1209"/>
      <c r="D501" s="1267"/>
      <c r="E501" s="1267"/>
      <c r="F501" s="1267"/>
      <c r="G501" s="1267"/>
      <c r="H501" s="1267"/>
      <c r="I501" s="1267"/>
      <c r="J501" s="1267"/>
      <c r="K501" s="1267"/>
      <c r="L501" s="1267"/>
      <c r="M501" s="1267"/>
      <c r="N501" s="1267"/>
      <c r="O501" s="1267"/>
      <c r="P501" s="1267"/>
      <c r="Q501" s="1209"/>
      <c r="R501" s="1209"/>
      <c r="S501" s="1209"/>
      <c r="T501" s="1209"/>
      <c r="U501" s="1209"/>
      <c r="V501" s="1209"/>
      <c r="W501" s="1209"/>
      <c r="X501" s="1209"/>
      <c r="Y501" s="1209"/>
      <c r="Z501" s="1209"/>
      <c r="AA501" s="1209"/>
      <c r="AB501" s="1209"/>
    </row>
    <row r="502">
      <c r="A502" s="1209"/>
      <c r="B502" s="1209"/>
      <c r="C502" s="1209"/>
      <c r="D502" s="1267"/>
      <c r="E502" s="1267"/>
      <c r="F502" s="1267"/>
      <c r="G502" s="1267"/>
      <c r="H502" s="1267"/>
      <c r="I502" s="1267"/>
      <c r="J502" s="1267"/>
      <c r="K502" s="1267"/>
      <c r="L502" s="1267"/>
      <c r="M502" s="1267"/>
      <c r="N502" s="1267"/>
      <c r="O502" s="1267"/>
      <c r="P502" s="1267"/>
      <c r="Q502" s="1209"/>
      <c r="R502" s="1209"/>
      <c r="S502" s="1209"/>
      <c r="T502" s="1209"/>
      <c r="U502" s="1209"/>
      <c r="V502" s="1209"/>
      <c r="W502" s="1209"/>
      <c r="X502" s="1209"/>
      <c r="Y502" s="1209"/>
      <c r="Z502" s="1209"/>
      <c r="AA502" s="1209"/>
      <c r="AB502" s="1209"/>
    </row>
    <row r="503">
      <c r="A503" s="1209"/>
      <c r="B503" s="1209"/>
      <c r="C503" s="1209"/>
      <c r="D503" s="1267"/>
      <c r="E503" s="1267"/>
      <c r="F503" s="1267"/>
      <c r="G503" s="1267"/>
      <c r="H503" s="1267"/>
      <c r="I503" s="1267"/>
      <c r="J503" s="1267"/>
      <c r="K503" s="1267"/>
      <c r="L503" s="1267"/>
      <c r="M503" s="1267"/>
      <c r="N503" s="1267"/>
      <c r="O503" s="1267"/>
      <c r="P503" s="1267"/>
      <c r="Q503" s="1209"/>
      <c r="R503" s="1209"/>
      <c r="S503" s="1209"/>
      <c r="T503" s="1209"/>
      <c r="U503" s="1209"/>
      <c r="V503" s="1209"/>
      <c r="W503" s="1209"/>
      <c r="X503" s="1209"/>
      <c r="Y503" s="1209"/>
      <c r="Z503" s="1209"/>
      <c r="AA503" s="1209"/>
      <c r="AB503" s="1209"/>
    </row>
    <row r="504">
      <c r="A504" s="1209"/>
      <c r="B504" s="1209"/>
      <c r="C504" s="1209"/>
      <c r="D504" s="1267"/>
      <c r="E504" s="1267"/>
      <c r="F504" s="1267"/>
      <c r="G504" s="1267"/>
      <c r="H504" s="1267"/>
      <c r="I504" s="1267"/>
      <c r="J504" s="1267"/>
      <c r="K504" s="1267"/>
      <c r="L504" s="1267"/>
      <c r="M504" s="1267"/>
      <c r="N504" s="1267"/>
      <c r="O504" s="1267"/>
      <c r="P504" s="1267"/>
      <c r="Q504" s="1209"/>
      <c r="R504" s="1209"/>
      <c r="S504" s="1209"/>
      <c r="T504" s="1209"/>
      <c r="U504" s="1209"/>
      <c r="V504" s="1209"/>
      <c r="W504" s="1209"/>
      <c r="X504" s="1209"/>
      <c r="Y504" s="1209"/>
      <c r="Z504" s="1209"/>
      <c r="AA504" s="1209"/>
      <c r="AB504" s="1209"/>
    </row>
    <row r="505">
      <c r="A505" s="1209"/>
      <c r="B505" s="1209"/>
      <c r="C505" s="1209"/>
      <c r="D505" s="1267"/>
      <c r="E505" s="1267"/>
      <c r="F505" s="1267"/>
      <c r="G505" s="1267"/>
      <c r="H505" s="1267"/>
      <c r="I505" s="1267"/>
      <c r="J505" s="1267"/>
      <c r="K505" s="1267"/>
      <c r="L505" s="1267"/>
      <c r="M505" s="1267"/>
      <c r="N505" s="1267"/>
      <c r="O505" s="1267"/>
      <c r="P505" s="1267"/>
      <c r="Q505" s="1209"/>
      <c r="R505" s="1209"/>
      <c r="S505" s="1209"/>
      <c r="T505" s="1209"/>
      <c r="U505" s="1209"/>
      <c r="V505" s="1209"/>
      <c r="W505" s="1209"/>
      <c r="X505" s="1209"/>
      <c r="Y505" s="1209"/>
      <c r="Z505" s="1209"/>
      <c r="AA505" s="1209"/>
      <c r="AB505" s="1209"/>
    </row>
    <row r="506">
      <c r="A506" s="1209"/>
      <c r="B506" s="1209"/>
      <c r="C506" s="1209"/>
      <c r="D506" s="1267"/>
      <c r="E506" s="1267"/>
      <c r="F506" s="1267"/>
      <c r="G506" s="1267"/>
      <c r="H506" s="1267"/>
      <c r="I506" s="1267"/>
      <c r="J506" s="1267"/>
      <c r="K506" s="1267"/>
      <c r="L506" s="1267"/>
      <c r="M506" s="1267"/>
      <c r="N506" s="1267"/>
      <c r="O506" s="1267"/>
      <c r="P506" s="1267"/>
      <c r="Q506" s="1209"/>
      <c r="R506" s="1209"/>
      <c r="S506" s="1209"/>
      <c r="T506" s="1209"/>
      <c r="U506" s="1209"/>
      <c r="V506" s="1209"/>
      <c r="W506" s="1209"/>
      <c r="X506" s="1209"/>
      <c r="Y506" s="1209"/>
      <c r="Z506" s="1209"/>
      <c r="AA506" s="1209"/>
      <c r="AB506" s="1209"/>
    </row>
    <row r="507">
      <c r="A507" s="1209"/>
      <c r="B507" s="1209"/>
      <c r="C507" s="1209"/>
      <c r="D507" s="1267"/>
      <c r="E507" s="1267"/>
      <c r="F507" s="1267"/>
      <c r="G507" s="1267"/>
      <c r="H507" s="1267"/>
      <c r="I507" s="1267"/>
      <c r="J507" s="1267"/>
      <c r="K507" s="1267"/>
      <c r="L507" s="1267"/>
      <c r="M507" s="1267"/>
      <c r="N507" s="1267"/>
      <c r="O507" s="1267"/>
      <c r="P507" s="1267"/>
      <c r="Q507" s="1209"/>
      <c r="R507" s="1209"/>
      <c r="S507" s="1209"/>
      <c r="T507" s="1209"/>
      <c r="U507" s="1209"/>
      <c r="V507" s="1209"/>
      <c r="W507" s="1209"/>
      <c r="X507" s="1209"/>
      <c r="Y507" s="1209"/>
      <c r="Z507" s="1209"/>
      <c r="AA507" s="1209"/>
      <c r="AB507" s="1209"/>
    </row>
    <row r="508">
      <c r="A508" s="1209"/>
      <c r="B508" s="1209"/>
      <c r="C508" s="1209"/>
      <c r="D508" s="1267"/>
      <c r="E508" s="1267"/>
      <c r="F508" s="1267"/>
      <c r="G508" s="1267"/>
      <c r="H508" s="1267"/>
      <c r="I508" s="1267"/>
      <c r="J508" s="1267"/>
      <c r="K508" s="1267"/>
      <c r="L508" s="1267"/>
      <c r="M508" s="1267"/>
      <c r="N508" s="1267"/>
      <c r="O508" s="1267"/>
      <c r="P508" s="1267"/>
      <c r="Q508" s="1209"/>
      <c r="R508" s="1209"/>
      <c r="S508" s="1209"/>
      <c r="T508" s="1209"/>
      <c r="U508" s="1209"/>
      <c r="V508" s="1209"/>
      <c r="W508" s="1209"/>
      <c r="X508" s="1209"/>
      <c r="Y508" s="1209"/>
      <c r="Z508" s="1209"/>
      <c r="AA508" s="1209"/>
      <c r="AB508" s="1209"/>
    </row>
    <row r="509">
      <c r="A509" s="1209"/>
      <c r="B509" s="1209"/>
      <c r="C509" s="1209"/>
      <c r="D509" s="1267"/>
      <c r="E509" s="1267"/>
      <c r="F509" s="1267"/>
      <c r="G509" s="1267"/>
      <c r="H509" s="1267"/>
      <c r="I509" s="1267"/>
      <c r="J509" s="1267"/>
      <c r="K509" s="1267"/>
      <c r="L509" s="1267"/>
      <c r="M509" s="1267"/>
      <c r="N509" s="1267"/>
      <c r="O509" s="1267"/>
      <c r="P509" s="1267"/>
      <c r="Q509" s="1209"/>
      <c r="R509" s="1209"/>
      <c r="S509" s="1209"/>
      <c r="T509" s="1209"/>
      <c r="U509" s="1209"/>
      <c r="V509" s="1209"/>
      <c r="W509" s="1209"/>
      <c r="X509" s="1209"/>
      <c r="Y509" s="1209"/>
      <c r="Z509" s="1209"/>
      <c r="AA509" s="1209"/>
      <c r="AB509" s="1209"/>
    </row>
    <row r="510">
      <c r="A510" s="1209"/>
      <c r="B510" s="1209"/>
      <c r="C510" s="1209"/>
      <c r="D510" s="1267"/>
      <c r="E510" s="1267"/>
      <c r="F510" s="1267"/>
      <c r="G510" s="1267"/>
      <c r="H510" s="1267"/>
      <c r="I510" s="1267"/>
      <c r="J510" s="1267"/>
      <c r="K510" s="1267"/>
      <c r="L510" s="1267"/>
      <c r="M510" s="1267"/>
      <c r="N510" s="1267"/>
      <c r="O510" s="1267"/>
      <c r="P510" s="1267"/>
      <c r="Q510" s="1209"/>
      <c r="R510" s="1209"/>
      <c r="S510" s="1209"/>
      <c r="T510" s="1209"/>
      <c r="U510" s="1209"/>
      <c r="V510" s="1209"/>
      <c r="W510" s="1209"/>
      <c r="X510" s="1209"/>
      <c r="Y510" s="1209"/>
      <c r="Z510" s="1209"/>
      <c r="AA510" s="1209"/>
      <c r="AB510" s="1209"/>
    </row>
    <row r="511">
      <c r="A511" s="1209"/>
      <c r="B511" s="1209"/>
      <c r="C511" s="1209"/>
      <c r="D511" s="1267"/>
      <c r="E511" s="1267"/>
      <c r="F511" s="1267"/>
      <c r="G511" s="1267"/>
      <c r="H511" s="1267"/>
      <c r="I511" s="1267"/>
      <c r="J511" s="1267"/>
      <c r="K511" s="1267"/>
      <c r="L511" s="1267"/>
      <c r="M511" s="1267"/>
      <c r="N511" s="1267"/>
      <c r="O511" s="1267"/>
      <c r="P511" s="1267"/>
      <c r="Q511" s="1209"/>
      <c r="R511" s="1209"/>
      <c r="S511" s="1209"/>
      <c r="T511" s="1209"/>
      <c r="U511" s="1209"/>
      <c r="V511" s="1209"/>
      <c r="W511" s="1209"/>
      <c r="X511" s="1209"/>
      <c r="Y511" s="1209"/>
      <c r="Z511" s="1209"/>
      <c r="AA511" s="1209"/>
      <c r="AB511" s="1209"/>
    </row>
    <row r="512">
      <c r="A512" s="1209"/>
      <c r="B512" s="1209"/>
      <c r="C512" s="1209"/>
      <c r="D512" s="1267"/>
      <c r="E512" s="1267"/>
      <c r="F512" s="1267"/>
      <c r="G512" s="1267"/>
      <c r="H512" s="1267"/>
      <c r="I512" s="1267"/>
      <c r="J512" s="1267"/>
      <c r="K512" s="1267"/>
      <c r="L512" s="1267"/>
      <c r="M512" s="1267"/>
      <c r="N512" s="1267"/>
      <c r="O512" s="1267"/>
      <c r="P512" s="1267"/>
      <c r="Q512" s="1209"/>
      <c r="R512" s="1209"/>
      <c r="S512" s="1209"/>
      <c r="T512" s="1209"/>
      <c r="U512" s="1209"/>
      <c r="V512" s="1209"/>
      <c r="W512" s="1209"/>
      <c r="X512" s="1209"/>
      <c r="Y512" s="1209"/>
      <c r="Z512" s="1209"/>
      <c r="AA512" s="1209"/>
      <c r="AB512" s="1209"/>
    </row>
    <row r="513">
      <c r="A513" s="1209"/>
      <c r="B513" s="1209"/>
      <c r="C513" s="1209"/>
      <c r="D513" s="1267"/>
      <c r="E513" s="1267"/>
      <c r="F513" s="1267"/>
      <c r="G513" s="1267"/>
      <c r="H513" s="1267"/>
      <c r="I513" s="1267"/>
      <c r="J513" s="1267"/>
      <c r="K513" s="1267"/>
      <c r="L513" s="1267"/>
      <c r="M513" s="1267"/>
      <c r="N513" s="1267"/>
      <c r="O513" s="1267"/>
      <c r="P513" s="1267"/>
      <c r="Q513" s="1209"/>
      <c r="R513" s="1209"/>
      <c r="S513" s="1209"/>
      <c r="T513" s="1209"/>
      <c r="U513" s="1209"/>
      <c r="V513" s="1209"/>
      <c r="W513" s="1209"/>
      <c r="X513" s="1209"/>
      <c r="Y513" s="1209"/>
      <c r="Z513" s="1209"/>
      <c r="AA513" s="1209"/>
      <c r="AB513" s="1209"/>
    </row>
    <row r="514">
      <c r="A514" s="1209"/>
      <c r="B514" s="1209"/>
      <c r="C514" s="1209"/>
      <c r="D514" s="1267"/>
      <c r="E514" s="1267"/>
      <c r="F514" s="1267"/>
      <c r="G514" s="1267"/>
      <c r="H514" s="1267"/>
      <c r="I514" s="1267"/>
      <c r="J514" s="1267"/>
      <c r="K514" s="1267"/>
      <c r="L514" s="1267"/>
      <c r="M514" s="1267"/>
      <c r="N514" s="1267"/>
      <c r="O514" s="1267"/>
      <c r="P514" s="1267"/>
      <c r="Q514" s="1209"/>
      <c r="R514" s="1209"/>
      <c r="S514" s="1209"/>
      <c r="T514" s="1209"/>
      <c r="U514" s="1209"/>
      <c r="V514" s="1209"/>
      <c r="W514" s="1209"/>
      <c r="X514" s="1209"/>
      <c r="Y514" s="1209"/>
      <c r="Z514" s="1209"/>
      <c r="AA514" s="1209"/>
      <c r="AB514" s="1209"/>
    </row>
    <row r="515">
      <c r="A515" s="1209"/>
      <c r="B515" s="1209"/>
      <c r="C515" s="1209"/>
      <c r="D515" s="1267"/>
      <c r="E515" s="1267"/>
      <c r="F515" s="1267"/>
      <c r="G515" s="1267"/>
      <c r="H515" s="1267"/>
      <c r="I515" s="1267"/>
      <c r="J515" s="1267"/>
      <c r="K515" s="1267"/>
      <c r="L515" s="1267"/>
      <c r="M515" s="1267"/>
      <c r="N515" s="1267"/>
      <c r="O515" s="1267"/>
      <c r="P515" s="1267"/>
      <c r="Q515" s="1209"/>
      <c r="R515" s="1209"/>
      <c r="S515" s="1209"/>
      <c r="T515" s="1209"/>
      <c r="U515" s="1209"/>
      <c r="V515" s="1209"/>
      <c r="W515" s="1209"/>
      <c r="X515" s="1209"/>
      <c r="Y515" s="1209"/>
      <c r="Z515" s="1209"/>
      <c r="AA515" s="1209"/>
      <c r="AB515" s="1209"/>
    </row>
    <row r="516">
      <c r="A516" s="1209"/>
      <c r="B516" s="1209"/>
      <c r="C516" s="1209"/>
      <c r="D516" s="1267"/>
      <c r="E516" s="1267"/>
      <c r="F516" s="1267"/>
      <c r="G516" s="1267"/>
      <c r="H516" s="1267"/>
      <c r="I516" s="1267"/>
      <c r="J516" s="1267"/>
      <c r="K516" s="1267"/>
      <c r="L516" s="1267"/>
      <c r="M516" s="1267"/>
      <c r="N516" s="1267"/>
      <c r="O516" s="1267"/>
      <c r="P516" s="1267"/>
      <c r="Q516" s="1209"/>
      <c r="R516" s="1209"/>
      <c r="S516" s="1209"/>
      <c r="T516" s="1209"/>
      <c r="U516" s="1209"/>
      <c r="V516" s="1209"/>
      <c r="W516" s="1209"/>
      <c r="X516" s="1209"/>
      <c r="Y516" s="1209"/>
      <c r="Z516" s="1209"/>
      <c r="AA516" s="1209"/>
      <c r="AB516" s="1209"/>
    </row>
    <row r="517">
      <c r="A517" s="1209"/>
      <c r="B517" s="1209"/>
      <c r="C517" s="1209"/>
      <c r="D517" s="1267"/>
      <c r="E517" s="1267"/>
      <c r="F517" s="1267"/>
      <c r="G517" s="1267"/>
      <c r="H517" s="1267"/>
      <c r="I517" s="1267"/>
      <c r="J517" s="1267"/>
      <c r="K517" s="1267"/>
      <c r="L517" s="1267"/>
      <c r="M517" s="1267"/>
      <c r="N517" s="1267"/>
      <c r="O517" s="1267"/>
      <c r="P517" s="1267"/>
      <c r="Q517" s="1209"/>
      <c r="R517" s="1209"/>
      <c r="S517" s="1209"/>
      <c r="T517" s="1209"/>
      <c r="U517" s="1209"/>
      <c r="V517" s="1209"/>
      <c r="W517" s="1209"/>
      <c r="X517" s="1209"/>
      <c r="Y517" s="1209"/>
      <c r="Z517" s="1209"/>
      <c r="AA517" s="1209"/>
      <c r="AB517" s="1209"/>
    </row>
    <row r="518">
      <c r="A518" s="1209"/>
      <c r="B518" s="1209"/>
      <c r="C518" s="1209"/>
      <c r="D518" s="1267"/>
      <c r="E518" s="1267"/>
      <c r="F518" s="1267"/>
      <c r="G518" s="1267"/>
      <c r="H518" s="1267"/>
      <c r="I518" s="1267"/>
      <c r="J518" s="1267"/>
      <c r="K518" s="1267"/>
      <c r="L518" s="1267"/>
      <c r="M518" s="1267"/>
      <c r="N518" s="1267"/>
      <c r="O518" s="1267"/>
      <c r="P518" s="1267"/>
      <c r="Q518" s="1209"/>
      <c r="R518" s="1209"/>
      <c r="S518" s="1209"/>
      <c r="T518" s="1209"/>
      <c r="U518" s="1209"/>
      <c r="V518" s="1209"/>
      <c r="W518" s="1209"/>
      <c r="X518" s="1209"/>
      <c r="Y518" s="1209"/>
      <c r="Z518" s="1209"/>
      <c r="AA518" s="1209"/>
      <c r="AB518" s="1209"/>
    </row>
    <row r="519">
      <c r="A519" s="1209"/>
      <c r="B519" s="1209"/>
      <c r="C519" s="1209"/>
      <c r="D519" s="1267"/>
      <c r="E519" s="1267"/>
      <c r="F519" s="1267"/>
      <c r="G519" s="1267"/>
      <c r="H519" s="1267"/>
      <c r="I519" s="1267"/>
      <c r="J519" s="1267"/>
      <c r="K519" s="1267"/>
      <c r="L519" s="1267"/>
      <c r="M519" s="1267"/>
      <c r="N519" s="1267"/>
      <c r="O519" s="1267"/>
      <c r="P519" s="1267"/>
      <c r="Q519" s="1209"/>
      <c r="R519" s="1209"/>
      <c r="S519" s="1209"/>
      <c r="T519" s="1209"/>
      <c r="U519" s="1209"/>
      <c r="V519" s="1209"/>
      <c r="W519" s="1209"/>
      <c r="X519" s="1209"/>
      <c r="Y519" s="1209"/>
      <c r="Z519" s="1209"/>
      <c r="AA519" s="1209"/>
      <c r="AB519" s="1209"/>
    </row>
    <row r="520">
      <c r="A520" s="1209"/>
      <c r="B520" s="1209"/>
      <c r="C520" s="1209"/>
      <c r="D520" s="1267"/>
      <c r="E520" s="1267"/>
      <c r="F520" s="1267"/>
      <c r="G520" s="1267"/>
      <c r="H520" s="1267"/>
      <c r="I520" s="1267"/>
      <c r="J520" s="1267"/>
      <c r="K520" s="1267"/>
      <c r="L520" s="1267"/>
      <c r="M520" s="1267"/>
      <c r="N520" s="1267"/>
      <c r="O520" s="1267"/>
      <c r="P520" s="1267"/>
      <c r="Q520" s="1209"/>
      <c r="R520" s="1209"/>
      <c r="S520" s="1209"/>
      <c r="T520" s="1209"/>
      <c r="U520" s="1209"/>
      <c r="V520" s="1209"/>
      <c r="W520" s="1209"/>
      <c r="X520" s="1209"/>
      <c r="Y520" s="1209"/>
      <c r="Z520" s="1209"/>
      <c r="AA520" s="1209"/>
      <c r="AB520" s="1209"/>
    </row>
    <row r="521">
      <c r="A521" s="1209"/>
      <c r="B521" s="1209"/>
      <c r="C521" s="1209"/>
      <c r="D521" s="1267"/>
      <c r="E521" s="1267"/>
      <c r="F521" s="1267"/>
      <c r="G521" s="1267"/>
      <c r="H521" s="1267"/>
      <c r="I521" s="1267"/>
      <c r="J521" s="1267"/>
      <c r="K521" s="1267"/>
      <c r="L521" s="1267"/>
      <c r="M521" s="1267"/>
      <c r="N521" s="1267"/>
      <c r="O521" s="1267"/>
      <c r="P521" s="1267"/>
      <c r="Q521" s="1209"/>
      <c r="R521" s="1209"/>
      <c r="S521" s="1209"/>
      <c r="T521" s="1209"/>
      <c r="U521" s="1209"/>
      <c r="V521" s="1209"/>
      <c r="W521" s="1209"/>
      <c r="X521" s="1209"/>
      <c r="Y521" s="1209"/>
      <c r="Z521" s="1209"/>
      <c r="AA521" s="1209"/>
      <c r="AB521" s="1209"/>
    </row>
    <row r="522">
      <c r="A522" s="1209"/>
      <c r="B522" s="1209"/>
      <c r="C522" s="1209"/>
      <c r="D522" s="1267"/>
      <c r="E522" s="1267"/>
      <c r="F522" s="1267"/>
      <c r="G522" s="1267"/>
      <c r="H522" s="1267"/>
      <c r="I522" s="1267"/>
      <c r="J522" s="1267"/>
      <c r="K522" s="1267"/>
      <c r="L522" s="1267"/>
      <c r="M522" s="1267"/>
      <c r="N522" s="1267"/>
      <c r="O522" s="1267"/>
      <c r="P522" s="1267"/>
      <c r="Q522" s="1209"/>
      <c r="R522" s="1209"/>
      <c r="S522" s="1209"/>
      <c r="T522" s="1209"/>
      <c r="U522" s="1209"/>
      <c r="V522" s="1209"/>
      <c r="W522" s="1209"/>
      <c r="X522" s="1209"/>
      <c r="Y522" s="1209"/>
      <c r="Z522" s="1209"/>
      <c r="AA522" s="1209"/>
      <c r="AB522" s="1209"/>
    </row>
    <row r="523">
      <c r="A523" s="1209"/>
      <c r="B523" s="1209"/>
      <c r="C523" s="1209"/>
      <c r="D523" s="1267"/>
      <c r="E523" s="1267"/>
      <c r="F523" s="1267"/>
      <c r="G523" s="1267"/>
      <c r="H523" s="1267"/>
      <c r="I523" s="1267"/>
      <c r="J523" s="1267"/>
      <c r="K523" s="1267"/>
      <c r="L523" s="1267"/>
      <c r="M523" s="1267"/>
      <c r="N523" s="1267"/>
      <c r="O523" s="1267"/>
      <c r="P523" s="1267"/>
      <c r="Q523" s="1209"/>
      <c r="R523" s="1209"/>
      <c r="S523" s="1209"/>
      <c r="T523" s="1209"/>
      <c r="U523" s="1209"/>
      <c r="V523" s="1209"/>
      <c r="W523" s="1209"/>
      <c r="X523" s="1209"/>
      <c r="Y523" s="1209"/>
      <c r="Z523" s="1209"/>
      <c r="AA523" s="1209"/>
      <c r="AB523" s="1209"/>
    </row>
    <row r="524">
      <c r="A524" s="1209"/>
      <c r="B524" s="1209"/>
      <c r="C524" s="1209"/>
      <c r="D524" s="1267"/>
      <c r="E524" s="1267"/>
      <c r="F524" s="1267"/>
      <c r="G524" s="1267"/>
      <c r="H524" s="1267"/>
      <c r="I524" s="1267"/>
      <c r="J524" s="1267"/>
      <c r="K524" s="1267"/>
      <c r="L524" s="1267"/>
      <c r="M524" s="1267"/>
      <c r="N524" s="1267"/>
      <c r="O524" s="1267"/>
      <c r="P524" s="1267"/>
      <c r="Q524" s="1209"/>
      <c r="R524" s="1209"/>
      <c r="S524" s="1209"/>
      <c r="T524" s="1209"/>
      <c r="U524" s="1209"/>
      <c r="V524" s="1209"/>
      <c r="W524" s="1209"/>
      <c r="X524" s="1209"/>
      <c r="Y524" s="1209"/>
      <c r="Z524" s="1209"/>
      <c r="AA524" s="1209"/>
      <c r="AB524" s="1209"/>
    </row>
    <row r="525">
      <c r="A525" s="1209"/>
      <c r="B525" s="1209"/>
      <c r="C525" s="1209"/>
      <c r="D525" s="1267"/>
      <c r="E525" s="1267"/>
      <c r="F525" s="1267"/>
      <c r="G525" s="1267"/>
      <c r="H525" s="1267"/>
      <c r="I525" s="1267"/>
      <c r="J525" s="1267"/>
      <c r="K525" s="1267"/>
      <c r="L525" s="1267"/>
      <c r="M525" s="1267"/>
      <c r="N525" s="1267"/>
      <c r="O525" s="1267"/>
      <c r="P525" s="1267"/>
      <c r="Q525" s="1209"/>
      <c r="R525" s="1209"/>
      <c r="S525" s="1209"/>
      <c r="T525" s="1209"/>
      <c r="U525" s="1209"/>
      <c r="V525" s="1209"/>
      <c r="W525" s="1209"/>
      <c r="X525" s="1209"/>
      <c r="Y525" s="1209"/>
      <c r="Z525" s="1209"/>
      <c r="AA525" s="1209"/>
      <c r="AB525" s="1209"/>
    </row>
    <row r="526">
      <c r="A526" s="1209"/>
      <c r="B526" s="1209"/>
      <c r="C526" s="1209"/>
      <c r="D526" s="1267"/>
      <c r="E526" s="1267"/>
      <c r="F526" s="1267"/>
      <c r="G526" s="1267"/>
      <c r="H526" s="1267"/>
      <c r="I526" s="1267"/>
      <c r="J526" s="1267"/>
      <c r="K526" s="1267"/>
      <c r="L526" s="1267"/>
      <c r="M526" s="1267"/>
      <c r="N526" s="1267"/>
      <c r="O526" s="1267"/>
      <c r="P526" s="1267"/>
      <c r="Q526" s="1209"/>
      <c r="R526" s="1209"/>
      <c r="S526" s="1209"/>
      <c r="T526" s="1209"/>
      <c r="U526" s="1209"/>
      <c r="V526" s="1209"/>
      <c r="W526" s="1209"/>
      <c r="X526" s="1209"/>
      <c r="Y526" s="1209"/>
      <c r="Z526" s="1209"/>
      <c r="AA526" s="1209"/>
      <c r="AB526" s="1209"/>
    </row>
    <row r="527">
      <c r="A527" s="1209"/>
      <c r="B527" s="1209"/>
      <c r="C527" s="1209"/>
      <c r="D527" s="1267"/>
      <c r="E527" s="1267"/>
      <c r="F527" s="1267"/>
      <c r="G527" s="1267"/>
      <c r="H527" s="1267"/>
      <c r="I527" s="1267"/>
      <c r="J527" s="1267"/>
      <c r="K527" s="1267"/>
      <c r="L527" s="1267"/>
      <c r="M527" s="1267"/>
      <c r="N527" s="1267"/>
      <c r="O527" s="1267"/>
      <c r="P527" s="1267"/>
      <c r="Q527" s="1209"/>
      <c r="R527" s="1209"/>
      <c r="S527" s="1209"/>
      <c r="T527" s="1209"/>
      <c r="U527" s="1209"/>
      <c r="V527" s="1209"/>
      <c r="W527" s="1209"/>
      <c r="X527" s="1209"/>
      <c r="Y527" s="1209"/>
      <c r="Z527" s="1209"/>
      <c r="AA527" s="1209"/>
      <c r="AB527" s="1209"/>
    </row>
    <row r="528">
      <c r="A528" s="1209"/>
      <c r="B528" s="1209"/>
      <c r="C528" s="1209"/>
      <c r="D528" s="1267"/>
      <c r="E528" s="1267"/>
      <c r="F528" s="1267"/>
      <c r="G528" s="1267"/>
      <c r="H528" s="1267"/>
      <c r="I528" s="1267"/>
      <c r="J528" s="1267"/>
      <c r="K528" s="1267"/>
      <c r="L528" s="1267"/>
      <c r="M528" s="1267"/>
      <c r="N528" s="1267"/>
      <c r="O528" s="1267"/>
      <c r="P528" s="1267"/>
      <c r="Q528" s="1209"/>
      <c r="R528" s="1209"/>
      <c r="S528" s="1209"/>
      <c r="T528" s="1209"/>
      <c r="U528" s="1209"/>
      <c r="V528" s="1209"/>
      <c r="W528" s="1209"/>
      <c r="X528" s="1209"/>
      <c r="Y528" s="1209"/>
      <c r="Z528" s="1209"/>
      <c r="AA528" s="1209"/>
      <c r="AB528" s="1209"/>
    </row>
    <row r="529">
      <c r="A529" s="1209"/>
      <c r="B529" s="1209"/>
      <c r="C529" s="1209"/>
      <c r="D529" s="1267"/>
      <c r="E529" s="1267"/>
      <c r="F529" s="1267"/>
      <c r="G529" s="1267"/>
      <c r="H529" s="1267"/>
      <c r="I529" s="1267"/>
      <c r="J529" s="1267"/>
      <c r="K529" s="1267"/>
      <c r="L529" s="1267"/>
      <c r="M529" s="1267"/>
      <c r="N529" s="1267"/>
      <c r="O529" s="1267"/>
      <c r="P529" s="1267"/>
      <c r="Q529" s="1209"/>
      <c r="R529" s="1209"/>
      <c r="S529" s="1209"/>
      <c r="T529" s="1209"/>
      <c r="U529" s="1209"/>
      <c r="V529" s="1209"/>
      <c r="W529" s="1209"/>
      <c r="X529" s="1209"/>
      <c r="Y529" s="1209"/>
      <c r="Z529" s="1209"/>
      <c r="AA529" s="1209"/>
      <c r="AB529" s="1209"/>
    </row>
    <row r="530">
      <c r="A530" s="1209"/>
      <c r="B530" s="1209"/>
      <c r="C530" s="1209"/>
      <c r="D530" s="1267"/>
      <c r="E530" s="1267"/>
      <c r="F530" s="1267"/>
      <c r="G530" s="1267"/>
      <c r="H530" s="1267"/>
      <c r="I530" s="1267"/>
      <c r="J530" s="1267"/>
      <c r="K530" s="1267"/>
      <c r="L530" s="1267"/>
      <c r="M530" s="1267"/>
      <c r="N530" s="1267"/>
      <c r="O530" s="1267"/>
      <c r="P530" s="1267"/>
      <c r="Q530" s="1209"/>
      <c r="R530" s="1209"/>
      <c r="S530" s="1209"/>
      <c r="T530" s="1209"/>
      <c r="U530" s="1209"/>
      <c r="V530" s="1209"/>
      <c r="W530" s="1209"/>
      <c r="X530" s="1209"/>
      <c r="Y530" s="1209"/>
      <c r="Z530" s="1209"/>
      <c r="AA530" s="1209"/>
      <c r="AB530" s="1209"/>
    </row>
    <row r="531">
      <c r="A531" s="1209"/>
      <c r="B531" s="1209"/>
      <c r="C531" s="1209"/>
      <c r="D531" s="1267"/>
      <c r="E531" s="1267"/>
      <c r="F531" s="1267"/>
      <c r="G531" s="1267"/>
      <c r="H531" s="1267"/>
      <c r="I531" s="1267"/>
      <c r="J531" s="1267"/>
      <c r="K531" s="1267"/>
      <c r="L531" s="1267"/>
      <c r="M531" s="1267"/>
      <c r="N531" s="1267"/>
      <c r="O531" s="1267"/>
      <c r="P531" s="1267"/>
      <c r="Q531" s="1209"/>
      <c r="R531" s="1209"/>
      <c r="S531" s="1209"/>
      <c r="T531" s="1209"/>
      <c r="U531" s="1209"/>
      <c r="V531" s="1209"/>
      <c r="W531" s="1209"/>
      <c r="X531" s="1209"/>
      <c r="Y531" s="1209"/>
      <c r="Z531" s="1209"/>
      <c r="AA531" s="1209"/>
      <c r="AB531" s="1209"/>
    </row>
    <row r="532">
      <c r="A532" s="1209"/>
      <c r="B532" s="1209"/>
      <c r="C532" s="1209"/>
      <c r="D532" s="1267"/>
      <c r="E532" s="1267"/>
      <c r="F532" s="1267"/>
      <c r="G532" s="1267"/>
      <c r="H532" s="1267"/>
      <c r="I532" s="1267"/>
      <c r="J532" s="1267"/>
      <c r="K532" s="1267"/>
      <c r="L532" s="1267"/>
      <c r="M532" s="1267"/>
      <c r="N532" s="1267"/>
      <c r="O532" s="1267"/>
      <c r="P532" s="1267"/>
      <c r="Q532" s="1209"/>
      <c r="R532" s="1209"/>
      <c r="S532" s="1209"/>
      <c r="T532" s="1209"/>
      <c r="U532" s="1209"/>
      <c r="V532" s="1209"/>
      <c r="W532" s="1209"/>
      <c r="X532" s="1209"/>
      <c r="Y532" s="1209"/>
      <c r="Z532" s="1209"/>
      <c r="AA532" s="1209"/>
      <c r="AB532" s="1209"/>
    </row>
    <row r="533">
      <c r="A533" s="1209"/>
      <c r="B533" s="1209"/>
      <c r="C533" s="1209"/>
      <c r="D533" s="1267"/>
      <c r="E533" s="1267"/>
      <c r="F533" s="1267"/>
      <c r="G533" s="1267"/>
      <c r="H533" s="1267"/>
      <c r="I533" s="1267"/>
      <c r="J533" s="1267"/>
      <c r="K533" s="1267"/>
      <c r="L533" s="1267"/>
      <c r="M533" s="1267"/>
      <c r="N533" s="1267"/>
      <c r="O533" s="1267"/>
      <c r="P533" s="1267"/>
      <c r="Q533" s="1209"/>
      <c r="R533" s="1209"/>
      <c r="S533" s="1209"/>
      <c r="T533" s="1209"/>
      <c r="U533" s="1209"/>
      <c r="V533" s="1209"/>
      <c r="W533" s="1209"/>
      <c r="X533" s="1209"/>
      <c r="Y533" s="1209"/>
      <c r="Z533" s="1209"/>
      <c r="AA533" s="1209"/>
      <c r="AB533" s="1209"/>
    </row>
    <row r="534">
      <c r="A534" s="1209"/>
      <c r="B534" s="1209"/>
      <c r="C534" s="1209"/>
      <c r="D534" s="1267"/>
      <c r="E534" s="1267"/>
      <c r="F534" s="1267"/>
      <c r="G534" s="1267"/>
      <c r="H534" s="1267"/>
      <c r="I534" s="1267"/>
      <c r="J534" s="1267"/>
      <c r="K534" s="1267"/>
      <c r="L534" s="1267"/>
      <c r="M534" s="1267"/>
      <c r="N534" s="1267"/>
      <c r="O534" s="1267"/>
      <c r="P534" s="1267"/>
      <c r="Q534" s="1209"/>
      <c r="R534" s="1209"/>
      <c r="S534" s="1209"/>
      <c r="T534" s="1209"/>
      <c r="U534" s="1209"/>
      <c r="V534" s="1209"/>
      <c r="W534" s="1209"/>
      <c r="X534" s="1209"/>
      <c r="Y534" s="1209"/>
      <c r="Z534" s="1209"/>
      <c r="AA534" s="1209"/>
      <c r="AB534" s="1209"/>
    </row>
    <row r="535">
      <c r="A535" s="1209"/>
      <c r="B535" s="1209"/>
      <c r="C535" s="1209"/>
      <c r="D535" s="1267"/>
      <c r="E535" s="1267"/>
      <c r="F535" s="1267"/>
      <c r="G535" s="1267"/>
      <c r="H535" s="1267"/>
      <c r="I535" s="1267"/>
      <c r="J535" s="1267"/>
      <c r="K535" s="1267"/>
      <c r="L535" s="1267"/>
      <c r="M535" s="1267"/>
      <c r="N535" s="1267"/>
      <c r="O535" s="1267"/>
      <c r="P535" s="1267"/>
      <c r="Q535" s="1209"/>
      <c r="R535" s="1209"/>
      <c r="S535" s="1209"/>
      <c r="T535" s="1209"/>
      <c r="U535" s="1209"/>
      <c r="V535" s="1209"/>
      <c r="W535" s="1209"/>
      <c r="X535" s="1209"/>
      <c r="Y535" s="1209"/>
      <c r="Z535" s="1209"/>
      <c r="AA535" s="1209"/>
      <c r="AB535" s="1209"/>
    </row>
    <row r="536">
      <c r="A536" s="1209"/>
      <c r="B536" s="1209"/>
      <c r="C536" s="1209"/>
      <c r="D536" s="1267"/>
      <c r="E536" s="1267"/>
      <c r="F536" s="1267"/>
      <c r="G536" s="1267"/>
      <c r="H536" s="1267"/>
      <c r="I536" s="1267"/>
      <c r="J536" s="1267"/>
      <c r="K536" s="1267"/>
      <c r="L536" s="1267"/>
      <c r="M536" s="1267"/>
      <c r="N536" s="1267"/>
      <c r="O536" s="1267"/>
      <c r="P536" s="1267"/>
      <c r="Q536" s="1209"/>
      <c r="R536" s="1209"/>
      <c r="S536" s="1209"/>
      <c r="T536" s="1209"/>
      <c r="U536" s="1209"/>
      <c r="V536" s="1209"/>
      <c r="W536" s="1209"/>
      <c r="X536" s="1209"/>
      <c r="Y536" s="1209"/>
      <c r="Z536" s="1209"/>
      <c r="AA536" s="1209"/>
      <c r="AB536" s="1209"/>
    </row>
    <row r="537">
      <c r="A537" s="1209"/>
      <c r="B537" s="1209"/>
      <c r="C537" s="1209"/>
      <c r="D537" s="1267"/>
      <c r="E537" s="1267"/>
      <c r="F537" s="1267"/>
      <c r="G537" s="1267"/>
      <c r="H537" s="1267"/>
      <c r="I537" s="1267"/>
      <c r="J537" s="1267"/>
      <c r="K537" s="1267"/>
      <c r="L537" s="1267"/>
      <c r="M537" s="1267"/>
      <c r="N537" s="1267"/>
      <c r="O537" s="1267"/>
      <c r="P537" s="1267"/>
      <c r="Q537" s="1209"/>
      <c r="R537" s="1209"/>
      <c r="S537" s="1209"/>
      <c r="T537" s="1209"/>
      <c r="U537" s="1209"/>
      <c r="V537" s="1209"/>
      <c r="W537" s="1209"/>
      <c r="X537" s="1209"/>
      <c r="Y537" s="1209"/>
      <c r="Z537" s="1209"/>
      <c r="AA537" s="1209"/>
      <c r="AB537" s="1209"/>
    </row>
    <row r="538">
      <c r="A538" s="1209"/>
      <c r="B538" s="1209"/>
      <c r="C538" s="1209"/>
      <c r="D538" s="1267"/>
      <c r="E538" s="1267"/>
      <c r="F538" s="1267"/>
      <c r="G538" s="1267"/>
      <c r="H538" s="1267"/>
      <c r="I538" s="1267"/>
      <c r="J538" s="1267"/>
      <c r="K538" s="1267"/>
      <c r="L538" s="1267"/>
      <c r="M538" s="1267"/>
      <c r="N538" s="1267"/>
      <c r="O538" s="1267"/>
      <c r="P538" s="1267"/>
      <c r="Q538" s="1209"/>
      <c r="R538" s="1209"/>
      <c r="S538" s="1209"/>
      <c r="T538" s="1209"/>
      <c r="U538" s="1209"/>
      <c r="V538" s="1209"/>
      <c r="W538" s="1209"/>
      <c r="X538" s="1209"/>
      <c r="Y538" s="1209"/>
      <c r="Z538" s="1209"/>
      <c r="AA538" s="1209"/>
      <c r="AB538" s="1209"/>
    </row>
    <row r="539">
      <c r="A539" s="1209"/>
      <c r="B539" s="1209"/>
      <c r="C539" s="1209"/>
      <c r="D539" s="1267"/>
      <c r="E539" s="1267"/>
      <c r="F539" s="1267"/>
      <c r="G539" s="1267"/>
      <c r="H539" s="1267"/>
      <c r="I539" s="1267"/>
      <c r="J539" s="1267"/>
      <c r="K539" s="1267"/>
      <c r="L539" s="1267"/>
      <c r="M539" s="1267"/>
      <c r="N539" s="1267"/>
      <c r="O539" s="1267"/>
      <c r="P539" s="1267"/>
      <c r="Q539" s="1209"/>
      <c r="R539" s="1209"/>
      <c r="S539" s="1209"/>
      <c r="T539" s="1209"/>
      <c r="U539" s="1209"/>
      <c r="V539" s="1209"/>
      <c r="W539" s="1209"/>
      <c r="X539" s="1209"/>
      <c r="Y539" s="1209"/>
      <c r="Z539" s="1209"/>
      <c r="AA539" s="1209"/>
      <c r="AB539" s="1209"/>
    </row>
    <row r="540">
      <c r="A540" s="1209"/>
      <c r="B540" s="1209"/>
      <c r="C540" s="1209"/>
      <c r="D540" s="1267"/>
      <c r="E540" s="1267"/>
      <c r="F540" s="1267"/>
      <c r="G540" s="1267"/>
      <c r="H540" s="1267"/>
      <c r="I540" s="1267"/>
      <c r="J540" s="1267"/>
      <c r="K540" s="1267"/>
      <c r="L540" s="1267"/>
      <c r="M540" s="1267"/>
      <c r="N540" s="1267"/>
      <c r="O540" s="1267"/>
      <c r="P540" s="1267"/>
      <c r="Q540" s="1209"/>
      <c r="R540" s="1209"/>
      <c r="S540" s="1209"/>
      <c r="T540" s="1209"/>
      <c r="U540" s="1209"/>
      <c r="V540" s="1209"/>
      <c r="W540" s="1209"/>
      <c r="X540" s="1209"/>
      <c r="Y540" s="1209"/>
      <c r="Z540" s="1209"/>
      <c r="AA540" s="1209"/>
      <c r="AB540" s="1209"/>
    </row>
    <row r="541">
      <c r="A541" s="1209"/>
      <c r="B541" s="1209"/>
      <c r="C541" s="1209"/>
      <c r="D541" s="1267"/>
      <c r="E541" s="1267"/>
      <c r="F541" s="1267"/>
      <c r="G541" s="1267"/>
      <c r="H541" s="1267"/>
      <c r="I541" s="1267"/>
      <c r="J541" s="1267"/>
      <c r="K541" s="1267"/>
      <c r="L541" s="1267"/>
      <c r="M541" s="1267"/>
      <c r="N541" s="1267"/>
      <c r="O541" s="1267"/>
      <c r="P541" s="1267"/>
      <c r="Q541" s="1209"/>
      <c r="R541" s="1209"/>
      <c r="S541" s="1209"/>
      <c r="T541" s="1209"/>
      <c r="U541" s="1209"/>
      <c r="V541" s="1209"/>
      <c r="W541" s="1209"/>
      <c r="X541" s="1209"/>
      <c r="Y541" s="1209"/>
      <c r="Z541" s="1209"/>
      <c r="AA541" s="1209"/>
      <c r="AB541" s="1209"/>
    </row>
    <row r="542">
      <c r="A542" s="1209"/>
      <c r="B542" s="1209"/>
      <c r="C542" s="1209"/>
      <c r="D542" s="1267"/>
      <c r="E542" s="1267"/>
      <c r="F542" s="1267"/>
      <c r="G542" s="1267"/>
      <c r="H542" s="1267"/>
      <c r="I542" s="1267"/>
      <c r="J542" s="1267"/>
      <c r="K542" s="1267"/>
      <c r="L542" s="1267"/>
      <c r="M542" s="1267"/>
      <c r="N542" s="1267"/>
      <c r="O542" s="1267"/>
      <c r="P542" s="1267"/>
      <c r="Q542" s="1209"/>
      <c r="R542" s="1209"/>
      <c r="S542" s="1209"/>
      <c r="T542" s="1209"/>
      <c r="U542" s="1209"/>
      <c r="V542" s="1209"/>
      <c r="W542" s="1209"/>
      <c r="X542" s="1209"/>
      <c r="Y542" s="1209"/>
      <c r="Z542" s="1209"/>
      <c r="AA542" s="1209"/>
      <c r="AB542" s="1209"/>
    </row>
    <row r="543">
      <c r="A543" s="1209"/>
      <c r="B543" s="1209"/>
      <c r="C543" s="1209"/>
      <c r="D543" s="1267"/>
      <c r="E543" s="1267"/>
      <c r="F543" s="1267"/>
      <c r="G543" s="1267"/>
      <c r="H543" s="1267"/>
      <c r="I543" s="1267"/>
      <c r="J543" s="1267"/>
      <c r="K543" s="1267"/>
      <c r="L543" s="1267"/>
      <c r="M543" s="1267"/>
      <c r="N543" s="1267"/>
      <c r="O543" s="1267"/>
      <c r="P543" s="1267"/>
      <c r="Q543" s="1209"/>
      <c r="R543" s="1209"/>
      <c r="S543" s="1209"/>
      <c r="T543" s="1209"/>
      <c r="U543" s="1209"/>
      <c r="V543" s="1209"/>
      <c r="W543" s="1209"/>
      <c r="X543" s="1209"/>
      <c r="Y543" s="1209"/>
      <c r="Z543" s="1209"/>
      <c r="AA543" s="1209"/>
      <c r="AB543" s="1209"/>
    </row>
    <row r="544">
      <c r="A544" s="1209"/>
      <c r="B544" s="1209"/>
      <c r="C544" s="1209"/>
      <c r="D544" s="1267"/>
      <c r="E544" s="1267"/>
      <c r="F544" s="1267"/>
      <c r="G544" s="1267"/>
      <c r="H544" s="1267"/>
      <c r="I544" s="1267"/>
      <c r="J544" s="1267"/>
      <c r="K544" s="1267"/>
      <c r="L544" s="1267"/>
      <c r="M544" s="1267"/>
      <c r="N544" s="1267"/>
      <c r="O544" s="1267"/>
      <c r="P544" s="1267"/>
      <c r="Q544" s="1209"/>
      <c r="R544" s="1209"/>
      <c r="S544" s="1209"/>
      <c r="T544" s="1209"/>
      <c r="U544" s="1209"/>
      <c r="V544" s="1209"/>
      <c r="W544" s="1209"/>
      <c r="X544" s="1209"/>
      <c r="Y544" s="1209"/>
      <c r="Z544" s="1209"/>
      <c r="AA544" s="1209"/>
      <c r="AB544" s="1209"/>
    </row>
    <row r="545">
      <c r="A545" s="1209"/>
      <c r="B545" s="1209"/>
      <c r="C545" s="1209"/>
      <c r="D545" s="1267"/>
      <c r="E545" s="1267"/>
      <c r="F545" s="1267"/>
      <c r="G545" s="1267"/>
      <c r="H545" s="1267"/>
      <c r="I545" s="1267"/>
      <c r="J545" s="1267"/>
      <c r="K545" s="1267"/>
      <c r="L545" s="1267"/>
      <c r="M545" s="1267"/>
      <c r="N545" s="1267"/>
      <c r="O545" s="1267"/>
      <c r="P545" s="1267"/>
      <c r="Q545" s="1209"/>
      <c r="R545" s="1209"/>
      <c r="S545" s="1209"/>
      <c r="T545" s="1209"/>
      <c r="U545" s="1209"/>
      <c r="V545" s="1209"/>
      <c r="W545" s="1209"/>
      <c r="X545" s="1209"/>
      <c r="Y545" s="1209"/>
      <c r="Z545" s="1209"/>
      <c r="AA545" s="1209"/>
      <c r="AB545" s="1209"/>
    </row>
    <row r="546">
      <c r="A546" s="1209"/>
      <c r="B546" s="1209"/>
      <c r="C546" s="1209"/>
      <c r="D546" s="1267"/>
      <c r="E546" s="1267"/>
      <c r="F546" s="1267"/>
      <c r="G546" s="1267"/>
      <c r="H546" s="1267"/>
      <c r="I546" s="1267"/>
      <c r="J546" s="1267"/>
      <c r="K546" s="1267"/>
      <c r="L546" s="1267"/>
      <c r="M546" s="1267"/>
      <c r="N546" s="1267"/>
      <c r="O546" s="1267"/>
      <c r="P546" s="1267"/>
      <c r="Q546" s="1209"/>
      <c r="R546" s="1209"/>
      <c r="S546" s="1209"/>
      <c r="T546" s="1209"/>
      <c r="U546" s="1209"/>
      <c r="V546" s="1209"/>
      <c r="W546" s="1209"/>
      <c r="X546" s="1209"/>
      <c r="Y546" s="1209"/>
      <c r="Z546" s="1209"/>
      <c r="AA546" s="1209"/>
      <c r="AB546" s="1209"/>
    </row>
    <row r="547">
      <c r="A547" s="1209"/>
      <c r="B547" s="1209"/>
      <c r="C547" s="1209"/>
      <c r="D547" s="1267"/>
      <c r="E547" s="1267"/>
      <c r="F547" s="1267"/>
      <c r="G547" s="1267"/>
      <c r="H547" s="1267"/>
      <c r="I547" s="1267"/>
      <c r="J547" s="1267"/>
      <c r="K547" s="1267"/>
      <c r="L547" s="1267"/>
      <c r="M547" s="1267"/>
      <c r="N547" s="1267"/>
      <c r="O547" s="1267"/>
      <c r="P547" s="1267"/>
      <c r="Q547" s="1209"/>
      <c r="R547" s="1209"/>
      <c r="S547" s="1209"/>
      <c r="T547" s="1209"/>
      <c r="U547" s="1209"/>
      <c r="V547" s="1209"/>
      <c r="W547" s="1209"/>
      <c r="X547" s="1209"/>
      <c r="Y547" s="1209"/>
      <c r="Z547" s="1209"/>
      <c r="AA547" s="1209"/>
      <c r="AB547" s="1209"/>
    </row>
    <row r="548">
      <c r="A548" s="1209"/>
      <c r="B548" s="1209"/>
      <c r="C548" s="1209"/>
      <c r="D548" s="1267"/>
      <c r="E548" s="1267"/>
      <c r="F548" s="1267"/>
      <c r="G548" s="1267"/>
      <c r="H548" s="1267"/>
      <c r="I548" s="1267"/>
      <c r="J548" s="1267"/>
      <c r="K548" s="1267"/>
      <c r="L548" s="1267"/>
      <c r="M548" s="1267"/>
      <c r="N548" s="1267"/>
      <c r="O548" s="1267"/>
      <c r="P548" s="1267"/>
      <c r="Q548" s="1209"/>
      <c r="R548" s="1209"/>
      <c r="S548" s="1209"/>
      <c r="T548" s="1209"/>
      <c r="U548" s="1209"/>
      <c r="V548" s="1209"/>
      <c r="W548" s="1209"/>
      <c r="X548" s="1209"/>
      <c r="Y548" s="1209"/>
      <c r="Z548" s="1209"/>
      <c r="AA548" s="1209"/>
      <c r="AB548" s="1209"/>
    </row>
    <row r="549">
      <c r="A549" s="1209"/>
      <c r="B549" s="1209"/>
      <c r="C549" s="1209"/>
      <c r="D549" s="1267"/>
      <c r="E549" s="1267"/>
      <c r="F549" s="1267"/>
      <c r="G549" s="1267"/>
      <c r="H549" s="1267"/>
      <c r="I549" s="1267"/>
      <c r="J549" s="1267"/>
      <c r="K549" s="1267"/>
      <c r="L549" s="1267"/>
      <c r="M549" s="1267"/>
      <c r="N549" s="1267"/>
      <c r="O549" s="1267"/>
      <c r="P549" s="1267"/>
      <c r="Q549" s="1209"/>
      <c r="R549" s="1209"/>
      <c r="S549" s="1209"/>
      <c r="T549" s="1209"/>
      <c r="U549" s="1209"/>
      <c r="V549" s="1209"/>
      <c r="W549" s="1209"/>
      <c r="X549" s="1209"/>
      <c r="Y549" s="1209"/>
      <c r="Z549" s="1209"/>
      <c r="AA549" s="1209"/>
      <c r="AB549" s="1209"/>
    </row>
    <row r="550">
      <c r="A550" s="1209"/>
      <c r="B550" s="1209"/>
      <c r="C550" s="1209"/>
      <c r="D550" s="1267"/>
      <c r="E550" s="1267"/>
      <c r="F550" s="1267"/>
      <c r="G550" s="1267"/>
      <c r="H550" s="1267"/>
      <c r="I550" s="1267"/>
      <c r="J550" s="1267"/>
      <c r="K550" s="1267"/>
      <c r="L550" s="1267"/>
      <c r="M550" s="1267"/>
      <c r="N550" s="1267"/>
      <c r="O550" s="1267"/>
      <c r="P550" s="1267"/>
      <c r="Q550" s="1209"/>
      <c r="R550" s="1209"/>
      <c r="S550" s="1209"/>
      <c r="T550" s="1209"/>
      <c r="U550" s="1209"/>
      <c r="V550" s="1209"/>
      <c r="W550" s="1209"/>
      <c r="X550" s="1209"/>
      <c r="Y550" s="1209"/>
      <c r="Z550" s="1209"/>
      <c r="AA550" s="1209"/>
      <c r="AB550" s="1209"/>
    </row>
    <row r="551">
      <c r="A551" s="1209"/>
      <c r="B551" s="1209"/>
      <c r="C551" s="1209"/>
      <c r="D551" s="1267"/>
      <c r="E551" s="1267"/>
      <c r="F551" s="1267"/>
      <c r="G551" s="1267"/>
      <c r="H551" s="1267"/>
      <c r="I551" s="1267"/>
      <c r="J551" s="1267"/>
      <c r="K551" s="1267"/>
      <c r="L551" s="1267"/>
      <c r="M551" s="1267"/>
      <c r="N551" s="1267"/>
      <c r="O551" s="1267"/>
      <c r="P551" s="1267"/>
      <c r="Q551" s="1209"/>
      <c r="R551" s="1209"/>
      <c r="S551" s="1209"/>
      <c r="T551" s="1209"/>
      <c r="U551" s="1209"/>
      <c r="V551" s="1209"/>
      <c r="W551" s="1209"/>
      <c r="X551" s="1209"/>
      <c r="Y551" s="1209"/>
      <c r="Z551" s="1209"/>
      <c r="AA551" s="1209"/>
      <c r="AB551" s="1209"/>
    </row>
    <row r="552">
      <c r="A552" s="1209"/>
      <c r="B552" s="1209"/>
      <c r="C552" s="1209"/>
      <c r="D552" s="1267"/>
      <c r="E552" s="1267"/>
      <c r="F552" s="1267"/>
      <c r="G552" s="1267"/>
      <c r="H552" s="1267"/>
      <c r="I552" s="1267"/>
      <c r="J552" s="1267"/>
      <c r="K552" s="1267"/>
      <c r="L552" s="1267"/>
      <c r="M552" s="1267"/>
      <c r="N552" s="1267"/>
      <c r="O552" s="1267"/>
      <c r="P552" s="1267"/>
      <c r="Q552" s="1209"/>
      <c r="R552" s="1209"/>
      <c r="S552" s="1209"/>
      <c r="T552" s="1209"/>
      <c r="U552" s="1209"/>
      <c r="V552" s="1209"/>
      <c r="W552" s="1209"/>
      <c r="X552" s="1209"/>
      <c r="Y552" s="1209"/>
      <c r="Z552" s="1209"/>
      <c r="AA552" s="1209"/>
      <c r="AB552" s="1209"/>
    </row>
    <row r="553">
      <c r="A553" s="1209"/>
      <c r="B553" s="1209"/>
      <c r="C553" s="1209"/>
      <c r="D553" s="1267"/>
      <c r="E553" s="1267"/>
      <c r="F553" s="1267"/>
      <c r="G553" s="1267"/>
      <c r="H553" s="1267"/>
      <c r="I553" s="1267"/>
      <c r="J553" s="1267"/>
      <c r="K553" s="1267"/>
      <c r="L553" s="1267"/>
      <c r="M553" s="1267"/>
      <c r="N553" s="1267"/>
      <c r="O553" s="1267"/>
      <c r="P553" s="1267"/>
      <c r="Q553" s="1209"/>
      <c r="R553" s="1209"/>
      <c r="S553" s="1209"/>
      <c r="T553" s="1209"/>
      <c r="U553" s="1209"/>
      <c r="V553" s="1209"/>
      <c r="W553" s="1209"/>
      <c r="X553" s="1209"/>
      <c r="Y553" s="1209"/>
      <c r="Z553" s="1209"/>
      <c r="AA553" s="1209"/>
      <c r="AB553" s="1209"/>
    </row>
    <row r="554">
      <c r="A554" s="1209"/>
      <c r="B554" s="1209"/>
      <c r="C554" s="1209"/>
      <c r="D554" s="1267"/>
      <c r="E554" s="1267"/>
      <c r="F554" s="1267"/>
      <c r="G554" s="1267"/>
      <c r="H554" s="1267"/>
      <c r="I554" s="1267"/>
      <c r="J554" s="1267"/>
      <c r="K554" s="1267"/>
      <c r="L554" s="1267"/>
      <c r="M554" s="1267"/>
      <c r="N554" s="1267"/>
      <c r="O554" s="1267"/>
      <c r="P554" s="1267"/>
      <c r="Q554" s="1209"/>
      <c r="R554" s="1209"/>
      <c r="S554" s="1209"/>
      <c r="T554" s="1209"/>
      <c r="U554" s="1209"/>
      <c r="V554" s="1209"/>
      <c r="W554" s="1209"/>
      <c r="X554" s="1209"/>
      <c r="Y554" s="1209"/>
      <c r="Z554" s="1209"/>
      <c r="AA554" s="1209"/>
      <c r="AB554" s="1209"/>
    </row>
    <row r="555">
      <c r="A555" s="1209"/>
      <c r="B555" s="1209"/>
      <c r="C555" s="1209"/>
      <c r="D555" s="1267"/>
      <c r="E555" s="1267"/>
      <c r="F555" s="1267"/>
      <c r="G555" s="1267"/>
      <c r="H555" s="1267"/>
      <c r="I555" s="1267"/>
      <c r="J555" s="1267"/>
      <c r="K555" s="1267"/>
      <c r="L555" s="1267"/>
      <c r="M555" s="1267"/>
      <c r="N555" s="1267"/>
      <c r="O555" s="1267"/>
      <c r="P555" s="1267"/>
      <c r="Q555" s="1209"/>
      <c r="R555" s="1209"/>
      <c r="S555" s="1209"/>
      <c r="T555" s="1209"/>
      <c r="U555" s="1209"/>
      <c r="V555" s="1209"/>
      <c r="W555" s="1209"/>
      <c r="X555" s="1209"/>
      <c r="Y555" s="1209"/>
      <c r="Z555" s="1209"/>
      <c r="AA555" s="1209"/>
      <c r="AB555" s="1209"/>
    </row>
    <row r="556">
      <c r="A556" s="1209"/>
      <c r="B556" s="1209"/>
      <c r="C556" s="1209"/>
      <c r="D556" s="1267"/>
      <c r="E556" s="1267"/>
      <c r="F556" s="1267"/>
      <c r="G556" s="1267"/>
      <c r="H556" s="1267"/>
      <c r="I556" s="1267"/>
      <c r="J556" s="1267"/>
      <c r="K556" s="1267"/>
      <c r="L556" s="1267"/>
      <c r="M556" s="1267"/>
      <c r="N556" s="1267"/>
      <c r="O556" s="1267"/>
      <c r="P556" s="1267"/>
      <c r="Q556" s="1209"/>
      <c r="R556" s="1209"/>
      <c r="S556" s="1209"/>
      <c r="T556" s="1209"/>
      <c r="U556" s="1209"/>
      <c r="V556" s="1209"/>
      <c r="W556" s="1209"/>
      <c r="X556" s="1209"/>
      <c r="Y556" s="1209"/>
      <c r="Z556" s="1209"/>
      <c r="AA556" s="1209"/>
      <c r="AB556" s="1209"/>
    </row>
    <row r="557">
      <c r="A557" s="1209"/>
      <c r="B557" s="1209"/>
      <c r="C557" s="1209"/>
      <c r="D557" s="1267"/>
      <c r="E557" s="1267"/>
      <c r="F557" s="1267"/>
      <c r="G557" s="1267"/>
      <c r="H557" s="1267"/>
      <c r="I557" s="1267"/>
      <c r="J557" s="1267"/>
      <c r="K557" s="1267"/>
      <c r="L557" s="1267"/>
      <c r="M557" s="1267"/>
      <c r="N557" s="1267"/>
      <c r="O557" s="1267"/>
      <c r="P557" s="1267"/>
      <c r="Q557" s="1209"/>
      <c r="R557" s="1209"/>
      <c r="S557" s="1209"/>
      <c r="T557" s="1209"/>
      <c r="U557" s="1209"/>
      <c r="V557" s="1209"/>
      <c r="W557" s="1209"/>
      <c r="X557" s="1209"/>
      <c r="Y557" s="1209"/>
      <c r="Z557" s="1209"/>
      <c r="AA557" s="1209"/>
      <c r="AB557" s="1209"/>
    </row>
    <row r="558">
      <c r="A558" s="1209"/>
      <c r="B558" s="1209"/>
      <c r="C558" s="1209"/>
      <c r="D558" s="1267"/>
      <c r="E558" s="1267"/>
      <c r="F558" s="1267"/>
      <c r="G558" s="1267"/>
      <c r="H558" s="1267"/>
      <c r="I558" s="1267"/>
      <c r="J558" s="1267"/>
      <c r="K558" s="1267"/>
      <c r="L558" s="1267"/>
      <c r="M558" s="1267"/>
      <c r="N558" s="1267"/>
      <c r="O558" s="1267"/>
      <c r="P558" s="1267"/>
      <c r="Q558" s="1209"/>
      <c r="R558" s="1209"/>
      <c r="S558" s="1209"/>
      <c r="T558" s="1209"/>
      <c r="U558" s="1209"/>
      <c r="V558" s="1209"/>
      <c r="W558" s="1209"/>
      <c r="X558" s="1209"/>
      <c r="Y558" s="1209"/>
      <c r="Z558" s="1209"/>
      <c r="AA558" s="1209"/>
      <c r="AB558" s="1209"/>
    </row>
    <row r="559">
      <c r="A559" s="1209"/>
      <c r="B559" s="1209"/>
      <c r="C559" s="1209"/>
      <c r="D559" s="1267"/>
      <c r="E559" s="1267"/>
      <c r="F559" s="1267"/>
      <c r="G559" s="1267"/>
      <c r="H559" s="1267"/>
      <c r="I559" s="1267"/>
      <c r="J559" s="1267"/>
      <c r="K559" s="1267"/>
      <c r="L559" s="1267"/>
      <c r="M559" s="1267"/>
      <c r="N559" s="1267"/>
      <c r="O559" s="1267"/>
      <c r="P559" s="1267"/>
      <c r="Q559" s="1209"/>
      <c r="R559" s="1209"/>
      <c r="S559" s="1209"/>
      <c r="T559" s="1209"/>
      <c r="U559" s="1209"/>
      <c r="V559" s="1209"/>
      <c r="W559" s="1209"/>
      <c r="X559" s="1209"/>
      <c r="Y559" s="1209"/>
      <c r="Z559" s="1209"/>
      <c r="AA559" s="1209"/>
      <c r="AB559" s="1209"/>
    </row>
    <row r="560">
      <c r="A560" s="1209"/>
      <c r="B560" s="1209"/>
      <c r="C560" s="1209"/>
      <c r="D560" s="1267"/>
      <c r="E560" s="1267"/>
      <c r="F560" s="1267"/>
      <c r="G560" s="1267"/>
      <c r="H560" s="1267"/>
      <c r="I560" s="1267"/>
      <c r="J560" s="1267"/>
      <c r="K560" s="1267"/>
      <c r="L560" s="1267"/>
      <c r="M560" s="1267"/>
      <c r="N560" s="1267"/>
      <c r="O560" s="1267"/>
      <c r="P560" s="1267"/>
      <c r="Q560" s="1209"/>
      <c r="R560" s="1209"/>
      <c r="S560" s="1209"/>
      <c r="T560" s="1209"/>
      <c r="U560" s="1209"/>
      <c r="V560" s="1209"/>
      <c r="W560" s="1209"/>
      <c r="X560" s="1209"/>
      <c r="Y560" s="1209"/>
      <c r="Z560" s="1209"/>
      <c r="AA560" s="1209"/>
      <c r="AB560" s="1209"/>
    </row>
    <row r="561">
      <c r="A561" s="1209"/>
      <c r="B561" s="1209"/>
      <c r="C561" s="1209"/>
      <c r="D561" s="1267"/>
      <c r="E561" s="1267"/>
      <c r="F561" s="1267"/>
      <c r="G561" s="1267"/>
      <c r="H561" s="1267"/>
      <c r="I561" s="1267"/>
      <c r="J561" s="1267"/>
      <c r="K561" s="1267"/>
      <c r="L561" s="1267"/>
      <c r="M561" s="1267"/>
      <c r="N561" s="1267"/>
      <c r="O561" s="1267"/>
      <c r="P561" s="1267"/>
      <c r="Q561" s="1209"/>
      <c r="R561" s="1209"/>
      <c r="S561" s="1209"/>
      <c r="T561" s="1209"/>
      <c r="U561" s="1209"/>
      <c r="V561" s="1209"/>
      <c r="W561" s="1209"/>
      <c r="X561" s="1209"/>
      <c r="Y561" s="1209"/>
      <c r="Z561" s="1209"/>
      <c r="AA561" s="1209"/>
      <c r="AB561" s="1209"/>
    </row>
    <row r="562">
      <c r="A562" s="1209"/>
      <c r="B562" s="1209"/>
      <c r="C562" s="1209"/>
      <c r="D562" s="1267"/>
      <c r="E562" s="1267"/>
      <c r="F562" s="1267"/>
      <c r="G562" s="1267"/>
      <c r="H562" s="1267"/>
      <c r="I562" s="1267"/>
      <c r="J562" s="1267"/>
      <c r="K562" s="1267"/>
      <c r="L562" s="1267"/>
      <c r="M562" s="1267"/>
      <c r="N562" s="1267"/>
      <c r="O562" s="1267"/>
      <c r="P562" s="1267"/>
      <c r="Q562" s="1209"/>
      <c r="R562" s="1209"/>
      <c r="S562" s="1209"/>
      <c r="T562" s="1209"/>
      <c r="U562" s="1209"/>
      <c r="V562" s="1209"/>
      <c r="W562" s="1209"/>
      <c r="X562" s="1209"/>
      <c r="Y562" s="1209"/>
      <c r="Z562" s="1209"/>
      <c r="AA562" s="1209"/>
      <c r="AB562" s="1209"/>
    </row>
    <row r="563">
      <c r="A563" s="1209"/>
      <c r="B563" s="1209"/>
      <c r="C563" s="1209"/>
      <c r="D563" s="1267"/>
      <c r="E563" s="1267"/>
      <c r="F563" s="1267"/>
      <c r="G563" s="1267"/>
      <c r="H563" s="1267"/>
      <c r="I563" s="1267"/>
      <c r="J563" s="1267"/>
      <c r="K563" s="1267"/>
      <c r="L563" s="1267"/>
      <c r="M563" s="1267"/>
      <c r="N563" s="1267"/>
      <c r="O563" s="1267"/>
      <c r="P563" s="1267"/>
      <c r="Q563" s="1209"/>
      <c r="R563" s="1209"/>
      <c r="S563" s="1209"/>
      <c r="T563" s="1209"/>
      <c r="U563" s="1209"/>
      <c r="V563" s="1209"/>
      <c r="W563" s="1209"/>
      <c r="X563" s="1209"/>
      <c r="Y563" s="1209"/>
      <c r="Z563" s="1209"/>
      <c r="AA563" s="1209"/>
      <c r="AB563" s="1209"/>
    </row>
    <row r="564">
      <c r="A564" s="1209"/>
      <c r="B564" s="1209"/>
      <c r="C564" s="1209"/>
      <c r="D564" s="1267"/>
      <c r="E564" s="1267"/>
      <c r="F564" s="1267"/>
      <c r="G564" s="1267"/>
      <c r="H564" s="1267"/>
      <c r="I564" s="1267"/>
      <c r="J564" s="1267"/>
      <c r="K564" s="1267"/>
      <c r="L564" s="1267"/>
      <c r="M564" s="1267"/>
      <c r="N564" s="1267"/>
      <c r="O564" s="1267"/>
      <c r="P564" s="1267"/>
      <c r="Q564" s="1209"/>
      <c r="R564" s="1209"/>
      <c r="S564" s="1209"/>
      <c r="T564" s="1209"/>
      <c r="U564" s="1209"/>
      <c r="V564" s="1209"/>
      <c r="W564" s="1209"/>
      <c r="X564" s="1209"/>
      <c r="Y564" s="1209"/>
      <c r="Z564" s="1209"/>
      <c r="AA564" s="1209"/>
      <c r="AB564" s="1209"/>
    </row>
    <row r="565">
      <c r="A565" s="1209"/>
      <c r="B565" s="1209"/>
      <c r="C565" s="1209"/>
      <c r="D565" s="1267"/>
      <c r="E565" s="1267"/>
      <c r="F565" s="1267"/>
      <c r="G565" s="1267"/>
      <c r="H565" s="1267"/>
      <c r="I565" s="1267"/>
      <c r="J565" s="1267"/>
      <c r="K565" s="1267"/>
      <c r="L565" s="1267"/>
      <c r="M565" s="1267"/>
      <c r="N565" s="1267"/>
      <c r="O565" s="1267"/>
      <c r="P565" s="1267"/>
      <c r="Q565" s="1209"/>
      <c r="R565" s="1209"/>
      <c r="S565" s="1209"/>
      <c r="T565" s="1209"/>
      <c r="U565" s="1209"/>
      <c r="V565" s="1209"/>
      <c r="W565" s="1209"/>
      <c r="X565" s="1209"/>
      <c r="Y565" s="1209"/>
      <c r="Z565" s="1209"/>
      <c r="AA565" s="1209"/>
      <c r="AB565" s="1209"/>
    </row>
    <row r="566">
      <c r="A566" s="1209"/>
      <c r="B566" s="1209"/>
      <c r="C566" s="1209"/>
      <c r="D566" s="1267"/>
      <c r="E566" s="1267"/>
      <c r="F566" s="1267"/>
      <c r="G566" s="1267"/>
      <c r="H566" s="1267"/>
      <c r="I566" s="1267"/>
      <c r="J566" s="1267"/>
      <c r="K566" s="1267"/>
      <c r="L566" s="1267"/>
      <c r="M566" s="1267"/>
      <c r="N566" s="1267"/>
      <c r="O566" s="1267"/>
      <c r="P566" s="1267"/>
      <c r="Q566" s="1209"/>
      <c r="R566" s="1209"/>
      <c r="S566" s="1209"/>
      <c r="T566" s="1209"/>
      <c r="U566" s="1209"/>
      <c r="V566" s="1209"/>
      <c r="W566" s="1209"/>
      <c r="X566" s="1209"/>
      <c r="Y566" s="1209"/>
      <c r="Z566" s="1209"/>
      <c r="AA566" s="1209"/>
      <c r="AB566" s="1209"/>
    </row>
    <row r="567">
      <c r="A567" s="1209"/>
      <c r="B567" s="1209"/>
      <c r="C567" s="1209"/>
      <c r="D567" s="1267"/>
      <c r="E567" s="1267"/>
      <c r="F567" s="1267"/>
      <c r="G567" s="1267"/>
      <c r="H567" s="1267"/>
      <c r="I567" s="1267"/>
      <c r="J567" s="1267"/>
      <c r="K567" s="1267"/>
      <c r="L567" s="1267"/>
      <c r="M567" s="1267"/>
      <c r="N567" s="1267"/>
      <c r="O567" s="1267"/>
      <c r="P567" s="1267"/>
      <c r="Q567" s="1209"/>
      <c r="R567" s="1209"/>
      <c r="S567" s="1209"/>
      <c r="T567" s="1209"/>
      <c r="U567" s="1209"/>
      <c r="V567" s="1209"/>
      <c r="W567" s="1209"/>
      <c r="X567" s="1209"/>
      <c r="Y567" s="1209"/>
      <c r="Z567" s="1209"/>
      <c r="AA567" s="1209"/>
      <c r="AB567" s="1209"/>
    </row>
    <row r="568">
      <c r="A568" s="1209"/>
      <c r="B568" s="1209"/>
      <c r="C568" s="1209"/>
      <c r="D568" s="1267"/>
      <c r="E568" s="1267"/>
      <c r="F568" s="1267"/>
      <c r="G568" s="1267"/>
      <c r="H568" s="1267"/>
      <c r="I568" s="1267"/>
      <c r="J568" s="1267"/>
      <c r="K568" s="1267"/>
      <c r="L568" s="1267"/>
      <c r="M568" s="1267"/>
      <c r="N568" s="1267"/>
      <c r="O568" s="1267"/>
      <c r="P568" s="1267"/>
      <c r="Q568" s="1209"/>
      <c r="R568" s="1209"/>
      <c r="S568" s="1209"/>
      <c r="T568" s="1209"/>
      <c r="U568" s="1209"/>
      <c r="V568" s="1209"/>
      <c r="W568" s="1209"/>
      <c r="X568" s="1209"/>
      <c r="Y568" s="1209"/>
      <c r="Z568" s="1209"/>
      <c r="AA568" s="1209"/>
      <c r="AB568" s="1209"/>
    </row>
    <row r="569">
      <c r="A569" s="1209"/>
      <c r="B569" s="1209"/>
      <c r="C569" s="1209"/>
      <c r="D569" s="1267"/>
      <c r="E569" s="1267"/>
      <c r="F569" s="1267"/>
      <c r="G569" s="1267"/>
      <c r="H569" s="1267"/>
      <c r="I569" s="1267"/>
      <c r="J569" s="1267"/>
      <c r="K569" s="1267"/>
      <c r="L569" s="1267"/>
      <c r="M569" s="1267"/>
      <c r="N569" s="1267"/>
      <c r="O569" s="1267"/>
      <c r="P569" s="1267"/>
      <c r="Q569" s="1209"/>
      <c r="R569" s="1209"/>
      <c r="S569" s="1209"/>
      <c r="T569" s="1209"/>
      <c r="U569" s="1209"/>
      <c r="V569" s="1209"/>
      <c r="W569" s="1209"/>
      <c r="X569" s="1209"/>
      <c r="Y569" s="1209"/>
      <c r="Z569" s="1209"/>
      <c r="AA569" s="1209"/>
      <c r="AB569" s="1209"/>
    </row>
    <row r="570">
      <c r="A570" s="1209"/>
      <c r="B570" s="1209"/>
      <c r="C570" s="1209"/>
      <c r="D570" s="1267"/>
      <c r="E570" s="1267"/>
      <c r="F570" s="1267"/>
      <c r="G570" s="1267"/>
      <c r="H570" s="1267"/>
      <c r="I570" s="1267"/>
      <c r="J570" s="1267"/>
      <c r="K570" s="1267"/>
      <c r="L570" s="1267"/>
      <c r="M570" s="1267"/>
      <c r="N570" s="1267"/>
      <c r="O570" s="1267"/>
      <c r="P570" s="1267"/>
      <c r="Q570" s="1209"/>
      <c r="R570" s="1209"/>
      <c r="S570" s="1209"/>
      <c r="T570" s="1209"/>
      <c r="U570" s="1209"/>
      <c r="V570" s="1209"/>
      <c r="W570" s="1209"/>
      <c r="X570" s="1209"/>
      <c r="Y570" s="1209"/>
      <c r="Z570" s="1209"/>
      <c r="AA570" s="1209"/>
      <c r="AB570" s="1209"/>
    </row>
    <row r="571">
      <c r="A571" s="1209"/>
      <c r="B571" s="1209"/>
      <c r="C571" s="1209"/>
      <c r="D571" s="1267"/>
      <c r="E571" s="1267"/>
      <c r="F571" s="1267"/>
      <c r="G571" s="1267"/>
      <c r="H571" s="1267"/>
      <c r="I571" s="1267"/>
      <c r="J571" s="1267"/>
      <c r="K571" s="1267"/>
      <c r="L571" s="1267"/>
      <c r="M571" s="1267"/>
      <c r="N571" s="1267"/>
      <c r="O571" s="1267"/>
      <c r="P571" s="1267"/>
      <c r="Q571" s="1209"/>
      <c r="R571" s="1209"/>
      <c r="S571" s="1209"/>
      <c r="T571" s="1209"/>
      <c r="U571" s="1209"/>
      <c r="V571" s="1209"/>
      <c r="W571" s="1209"/>
      <c r="X571" s="1209"/>
      <c r="Y571" s="1209"/>
      <c r="Z571" s="1209"/>
      <c r="AA571" s="1209"/>
      <c r="AB571" s="1209"/>
    </row>
    <row r="572">
      <c r="A572" s="1209"/>
      <c r="B572" s="1209"/>
      <c r="C572" s="1209"/>
      <c r="D572" s="1267"/>
      <c r="E572" s="1267"/>
      <c r="F572" s="1267"/>
      <c r="G572" s="1267"/>
      <c r="H572" s="1267"/>
      <c r="I572" s="1267"/>
      <c r="J572" s="1267"/>
      <c r="K572" s="1267"/>
      <c r="L572" s="1267"/>
      <c r="M572" s="1267"/>
      <c r="N572" s="1267"/>
      <c r="O572" s="1267"/>
      <c r="P572" s="1267"/>
      <c r="Q572" s="1209"/>
      <c r="R572" s="1209"/>
      <c r="S572" s="1209"/>
      <c r="T572" s="1209"/>
      <c r="U572" s="1209"/>
      <c r="V572" s="1209"/>
      <c r="W572" s="1209"/>
      <c r="X572" s="1209"/>
      <c r="Y572" s="1209"/>
      <c r="Z572" s="1209"/>
      <c r="AA572" s="1209"/>
      <c r="AB572" s="1209"/>
    </row>
    <row r="573">
      <c r="A573" s="1209"/>
      <c r="B573" s="1209"/>
      <c r="C573" s="1209"/>
      <c r="D573" s="1267"/>
      <c r="E573" s="1267"/>
      <c r="F573" s="1267"/>
      <c r="G573" s="1267"/>
      <c r="H573" s="1267"/>
      <c r="I573" s="1267"/>
      <c r="J573" s="1267"/>
      <c r="K573" s="1267"/>
      <c r="L573" s="1267"/>
      <c r="M573" s="1267"/>
      <c r="N573" s="1267"/>
      <c r="O573" s="1267"/>
      <c r="P573" s="1267"/>
      <c r="Q573" s="1209"/>
      <c r="R573" s="1209"/>
      <c r="S573" s="1209"/>
      <c r="T573" s="1209"/>
      <c r="U573" s="1209"/>
      <c r="V573" s="1209"/>
      <c r="W573" s="1209"/>
      <c r="X573" s="1209"/>
      <c r="Y573" s="1209"/>
      <c r="Z573" s="1209"/>
      <c r="AA573" s="1209"/>
      <c r="AB573" s="1209"/>
    </row>
    <row r="574">
      <c r="A574" s="1209"/>
      <c r="B574" s="1209"/>
      <c r="C574" s="1209"/>
      <c r="D574" s="1267"/>
      <c r="E574" s="1267"/>
      <c r="F574" s="1267"/>
      <c r="G574" s="1267"/>
      <c r="H574" s="1267"/>
      <c r="I574" s="1267"/>
      <c r="J574" s="1267"/>
      <c r="K574" s="1267"/>
      <c r="L574" s="1267"/>
      <c r="M574" s="1267"/>
      <c r="N574" s="1267"/>
      <c r="O574" s="1267"/>
      <c r="P574" s="1267"/>
      <c r="Q574" s="1209"/>
      <c r="R574" s="1209"/>
      <c r="S574" s="1209"/>
      <c r="T574" s="1209"/>
      <c r="U574" s="1209"/>
      <c r="V574" s="1209"/>
      <c r="W574" s="1209"/>
      <c r="X574" s="1209"/>
      <c r="Y574" s="1209"/>
      <c r="Z574" s="1209"/>
      <c r="AA574" s="1209"/>
      <c r="AB574" s="1209"/>
    </row>
    <row r="575">
      <c r="A575" s="1209"/>
      <c r="B575" s="1209"/>
      <c r="C575" s="1209"/>
      <c r="D575" s="1267"/>
      <c r="E575" s="1267"/>
      <c r="F575" s="1267"/>
      <c r="G575" s="1267"/>
      <c r="H575" s="1267"/>
      <c r="I575" s="1267"/>
      <c r="J575" s="1267"/>
      <c r="K575" s="1267"/>
      <c r="L575" s="1267"/>
      <c r="M575" s="1267"/>
      <c r="N575" s="1267"/>
      <c r="O575" s="1267"/>
      <c r="P575" s="1267"/>
      <c r="Q575" s="1209"/>
      <c r="R575" s="1209"/>
      <c r="S575" s="1209"/>
      <c r="T575" s="1209"/>
      <c r="U575" s="1209"/>
      <c r="V575" s="1209"/>
      <c r="W575" s="1209"/>
      <c r="X575" s="1209"/>
      <c r="Y575" s="1209"/>
      <c r="Z575" s="1209"/>
      <c r="AA575" s="1209"/>
      <c r="AB575" s="1209"/>
    </row>
    <row r="576">
      <c r="A576" s="1209"/>
      <c r="B576" s="1209"/>
      <c r="C576" s="1209"/>
      <c r="D576" s="1267"/>
      <c r="E576" s="1267"/>
      <c r="F576" s="1267"/>
      <c r="G576" s="1267"/>
      <c r="H576" s="1267"/>
      <c r="I576" s="1267"/>
      <c r="J576" s="1267"/>
      <c r="K576" s="1267"/>
      <c r="L576" s="1267"/>
      <c r="M576" s="1267"/>
      <c r="N576" s="1267"/>
      <c r="O576" s="1267"/>
      <c r="P576" s="1267"/>
      <c r="Q576" s="1209"/>
      <c r="R576" s="1209"/>
      <c r="S576" s="1209"/>
      <c r="T576" s="1209"/>
      <c r="U576" s="1209"/>
      <c r="V576" s="1209"/>
      <c r="W576" s="1209"/>
      <c r="X576" s="1209"/>
      <c r="Y576" s="1209"/>
      <c r="Z576" s="1209"/>
      <c r="AA576" s="1209"/>
      <c r="AB576" s="1209"/>
    </row>
    <row r="577">
      <c r="A577" s="1209"/>
      <c r="B577" s="1209"/>
      <c r="C577" s="1209"/>
      <c r="D577" s="1267"/>
      <c r="E577" s="1267"/>
      <c r="F577" s="1267"/>
      <c r="G577" s="1267"/>
      <c r="H577" s="1267"/>
      <c r="I577" s="1267"/>
      <c r="J577" s="1267"/>
      <c r="K577" s="1267"/>
      <c r="L577" s="1267"/>
      <c r="M577" s="1267"/>
      <c r="N577" s="1267"/>
      <c r="O577" s="1267"/>
      <c r="P577" s="1267"/>
      <c r="Q577" s="1209"/>
      <c r="R577" s="1209"/>
      <c r="S577" s="1209"/>
      <c r="T577" s="1209"/>
      <c r="U577" s="1209"/>
      <c r="V577" s="1209"/>
      <c r="W577" s="1209"/>
      <c r="X577" s="1209"/>
      <c r="Y577" s="1209"/>
      <c r="Z577" s="1209"/>
      <c r="AA577" s="1209"/>
      <c r="AB577" s="1209"/>
    </row>
    <row r="578">
      <c r="A578" s="1209"/>
      <c r="B578" s="1209"/>
      <c r="C578" s="1209"/>
      <c r="D578" s="1267"/>
      <c r="E578" s="1267"/>
      <c r="F578" s="1267"/>
      <c r="G578" s="1267"/>
      <c r="H578" s="1267"/>
      <c r="I578" s="1267"/>
      <c r="J578" s="1267"/>
      <c r="K578" s="1267"/>
      <c r="L578" s="1267"/>
      <c r="M578" s="1267"/>
      <c r="N578" s="1267"/>
      <c r="O578" s="1267"/>
      <c r="P578" s="1267"/>
      <c r="Q578" s="1209"/>
      <c r="R578" s="1209"/>
      <c r="S578" s="1209"/>
      <c r="T578" s="1209"/>
      <c r="U578" s="1209"/>
      <c r="V578" s="1209"/>
      <c r="W578" s="1209"/>
      <c r="X578" s="1209"/>
      <c r="Y578" s="1209"/>
      <c r="Z578" s="1209"/>
      <c r="AA578" s="1209"/>
      <c r="AB578" s="1209"/>
    </row>
    <row r="579">
      <c r="A579" s="1209"/>
      <c r="B579" s="1209"/>
      <c r="C579" s="1209"/>
      <c r="D579" s="1267"/>
      <c r="E579" s="1267"/>
      <c r="F579" s="1267"/>
      <c r="G579" s="1267"/>
      <c r="H579" s="1267"/>
      <c r="I579" s="1267"/>
      <c r="J579" s="1267"/>
      <c r="K579" s="1267"/>
      <c r="L579" s="1267"/>
      <c r="M579" s="1267"/>
      <c r="N579" s="1267"/>
      <c r="O579" s="1267"/>
      <c r="P579" s="1267"/>
      <c r="Q579" s="1209"/>
      <c r="R579" s="1209"/>
      <c r="S579" s="1209"/>
      <c r="T579" s="1209"/>
      <c r="U579" s="1209"/>
      <c r="V579" s="1209"/>
      <c r="W579" s="1209"/>
      <c r="X579" s="1209"/>
      <c r="Y579" s="1209"/>
      <c r="Z579" s="1209"/>
      <c r="AA579" s="1209"/>
      <c r="AB579" s="1209"/>
    </row>
    <row r="580">
      <c r="A580" s="1209"/>
      <c r="B580" s="1209"/>
      <c r="C580" s="1209"/>
      <c r="D580" s="1267"/>
      <c r="E580" s="1267"/>
      <c r="F580" s="1267"/>
      <c r="G580" s="1267"/>
      <c r="H580" s="1267"/>
      <c r="I580" s="1267"/>
      <c r="J580" s="1267"/>
      <c r="K580" s="1267"/>
      <c r="L580" s="1267"/>
      <c r="M580" s="1267"/>
      <c r="N580" s="1267"/>
      <c r="O580" s="1267"/>
      <c r="P580" s="1267"/>
      <c r="Q580" s="1209"/>
      <c r="R580" s="1209"/>
      <c r="S580" s="1209"/>
      <c r="T580" s="1209"/>
      <c r="U580" s="1209"/>
      <c r="V580" s="1209"/>
      <c r="W580" s="1209"/>
      <c r="X580" s="1209"/>
      <c r="Y580" s="1209"/>
      <c r="Z580" s="1209"/>
      <c r="AA580" s="1209"/>
      <c r="AB580" s="1209"/>
    </row>
    <row r="581">
      <c r="A581" s="1209"/>
      <c r="B581" s="1209"/>
      <c r="C581" s="1209"/>
      <c r="D581" s="1267"/>
      <c r="E581" s="1267"/>
      <c r="F581" s="1267"/>
      <c r="G581" s="1267"/>
      <c r="H581" s="1267"/>
      <c r="I581" s="1267"/>
      <c r="J581" s="1267"/>
      <c r="K581" s="1267"/>
      <c r="L581" s="1267"/>
      <c r="M581" s="1267"/>
      <c r="N581" s="1267"/>
      <c r="O581" s="1267"/>
      <c r="P581" s="1267"/>
      <c r="Q581" s="1209"/>
      <c r="R581" s="1209"/>
      <c r="S581" s="1209"/>
      <c r="T581" s="1209"/>
      <c r="U581" s="1209"/>
      <c r="V581" s="1209"/>
      <c r="W581" s="1209"/>
      <c r="X581" s="1209"/>
      <c r="Y581" s="1209"/>
      <c r="Z581" s="1209"/>
      <c r="AA581" s="1209"/>
      <c r="AB581" s="1209"/>
    </row>
    <row r="582">
      <c r="A582" s="1209"/>
      <c r="B582" s="1209"/>
      <c r="C582" s="1209"/>
      <c r="D582" s="1267"/>
      <c r="E582" s="1267"/>
      <c r="F582" s="1267"/>
      <c r="G582" s="1267"/>
      <c r="H582" s="1267"/>
      <c r="I582" s="1267"/>
      <c r="J582" s="1267"/>
      <c r="K582" s="1267"/>
      <c r="L582" s="1267"/>
      <c r="M582" s="1267"/>
      <c r="N582" s="1267"/>
      <c r="O582" s="1267"/>
      <c r="P582" s="1267"/>
      <c r="Q582" s="1209"/>
      <c r="R582" s="1209"/>
      <c r="S582" s="1209"/>
      <c r="T582" s="1209"/>
      <c r="U582" s="1209"/>
      <c r="V582" s="1209"/>
      <c r="W582" s="1209"/>
      <c r="X582" s="1209"/>
      <c r="Y582" s="1209"/>
      <c r="Z582" s="1209"/>
      <c r="AA582" s="1209"/>
      <c r="AB582" s="1209"/>
    </row>
    <row r="583">
      <c r="A583" s="1209"/>
      <c r="B583" s="1209"/>
      <c r="C583" s="1209"/>
      <c r="D583" s="1267"/>
      <c r="E583" s="1267"/>
      <c r="F583" s="1267"/>
      <c r="G583" s="1267"/>
      <c r="H583" s="1267"/>
      <c r="I583" s="1267"/>
      <c r="J583" s="1267"/>
      <c r="K583" s="1267"/>
      <c r="L583" s="1267"/>
      <c r="M583" s="1267"/>
      <c r="N583" s="1267"/>
      <c r="O583" s="1267"/>
      <c r="P583" s="1267"/>
      <c r="Q583" s="1209"/>
      <c r="R583" s="1209"/>
      <c r="S583" s="1209"/>
      <c r="T583" s="1209"/>
      <c r="U583" s="1209"/>
      <c r="V583" s="1209"/>
      <c r="W583" s="1209"/>
      <c r="X583" s="1209"/>
      <c r="Y583" s="1209"/>
      <c r="Z583" s="1209"/>
      <c r="AA583" s="1209"/>
      <c r="AB583" s="1209"/>
    </row>
    <row r="584">
      <c r="A584" s="1209"/>
      <c r="B584" s="1209"/>
      <c r="C584" s="1209"/>
      <c r="D584" s="1267"/>
      <c r="E584" s="1267"/>
      <c r="F584" s="1267"/>
      <c r="G584" s="1267"/>
      <c r="H584" s="1267"/>
      <c r="I584" s="1267"/>
      <c r="J584" s="1267"/>
      <c r="K584" s="1267"/>
      <c r="L584" s="1267"/>
      <c r="M584" s="1267"/>
      <c r="N584" s="1267"/>
      <c r="O584" s="1267"/>
      <c r="P584" s="1267"/>
      <c r="Q584" s="1209"/>
      <c r="R584" s="1209"/>
      <c r="S584" s="1209"/>
      <c r="T584" s="1209"/>
      <c r="U584" s="1209"/>
      <c r="V584" s="1209"/>
      <c r="W584" s="1209"/>
      <c r="X584" s="1209"/>
      <c r="Y584" s="1209"/>
      <c r="Z584" s="1209"/>
      <c r="AA584" s="1209"/>
      <c r="AB584" s="1209"/>
    </row>
    <row r="585">
      <c r="A585" s="1209"/>
      <c r="B585" s="1209"/>
      <c r="C585" s="1209"/>
      <c r="D585" s="1267"/>
      <c r="E585" s="1267"/>
      <c r="F585" s="1267"/>
      <c r="G585" s="1267"/>
      <c r="H585" s="1267"/>
      <c r="I585" s="1267"/>
      <c r="J585" s="1267"/>
      <c r="K585" s="1267"/>
      <c r="L585" s="1267"/>
      <c r="M585" s="1267"/>
      <c r="N585" s="1267"/>
      <c r="O585" s="1267"/>
      <c r="P585" s="1267"/>
      <c r="Q585" s="1209"/>
      <c r="R585" s="1209"/>
      <c r="S585" s="1209"/>
      <c r="T585" s="1209"/>
      <c r="U585" s="1209"/>
      <c r="V585" s="1209"/>
      <c r="W585" s="1209"/>
      <c r="X585" s="1209"/>
      <c r="Y585" s="1209"/>
      <c r="Z585" s="1209"/>
      <c r="AA585" s="1209"/>
      <c r="AB585" s="1209"/>
    </row>
    <row r="586">
      <c r="A586" s="1209"/>
      <c r="B586" s="1209"/>
      <c r="C586" s="1209"/>
      <c r="D586" s="1267"/>
      <c r="E586" s="1267"/>
      <c r="F586" s="1267"/>
      <c r="G586" s="1267"/>
      <c r="H586" s="1267"/>
      <c r="I586" s="1267"/>
      <c r="J586" s="1267"/>
      <c r="K586" s="1267"/>
      <c r="L586" s="1267"/>
      <c r="M586" s="1267"/>
      <c r="N586" s="1267"/>
      <c r="O586" s="1267"/>
      <c r="P586" s="1267"/>
      <c r="Q586" s="1209"/>
      <c r="R586" s="1209"/>
      <c r="S586" s="1209"/>
      <c r="T586" s="1209"/>
      <c r="U586" s="1209"/>
      <c r="V586" s="1209"/>
      <c r="W586" s="1209"/>
      <c r="X586" s="1209"/>
      <c r="Y586" s="1209"/>
      <c r="Z586" s="1209"/>
      <c r="AA586" s="1209"/>
      <c r="AB586" s="1209"/>
    </row>
    <row r="587">
      <c r="A587" s="1209"/>
      <c r="B587" s="1209"/>
      <c r="C587" s="1209"/>
      <c r="D587" s="1267"/>
      <c r="E587" s="1267"/>
      <c r="F587" s="1267"/>
      <c r="G587" s="1267"/>
      <c r="H587" s="1267"/>
      <c r="I587" s="1267"/>
      <c r="J587" s="1267"/>
      <c r="K587" s="1267"/>
      <c r="L587" s="1267"/>
      <c r="M587" s="1267"/>
      <c r="N587" s="1267"/>
      <c r="O587" s="1267"/>
      <c r="P587" s="1267"/>
      <c r="Q587" s="1209"/>
      <c r="R587" s="1209"/>
      <c r="S587" s="1209"/>
      <c r="T587" s="1209"/>
      <c r="U587" s="1209"/>
      <c r="V587" s="1209"/>
      <c r="W587" s="1209"/>
      <c r="X587" s="1209"/>
      <c r="Y587" s="1209"/>
      <c r="Z587" s="1209"/>
      <c r="AA587" s="1209"/>
      <c r="AB587" s="1209"/>
    </row>
    <row r="588">
      <c r="A588" s="1209"/>
      <c r="B588" s="1209"/>
      <c r="C588" s="1209"/>
      <c r="D588" s="1267"/>
      <c r="E588" s="1267"/>
      <c r="F588" s="1267"/>
      <c r="G588" s="1267"/>
      <c r="H588" s="1267"/>
      <c r="I588" s="1267"/>
      <c r="J588" s="1267"/>
      <c r="K588" s="1267"/>
      <c r="L588" s="1267"/>
      <c r="M588" s="1267"/>
      <c r="N588" s="1267"/>
      <c r="O588" s="1267"/>
      <c r="P588" s="1267"/>
      <c r="Q588" s="1209"/>
      <c r="R588" s="1209"/>
      <c r="S588" s="1209"/>
      <c r="T588" s="1209"/>
      <c r="U588" s="1209"/>
      <c r="V588" s="1209"/>
      <c r="W588" s="1209"/>
      <c r="X588" s="1209"/>
      <c r="Y588" s="1209"/>
      <c r="Z588" s="1209"/>
      <c r="AA588" s="1209"/>
      <c r="AB588" s="1209"/>
    </row>
    <row r="589">
      <c r="A589" s="1209"/>
      <c r="B589" s="1209"/>
      <c r="C589" s="1209"/>
      <c r="D589" s="1267"/>
      <c r="E589" s="1267"/>
      <c r="F589" s="1267"/>
      <c r="G589" s="1267"/>
      <c r="H589" s="1267"/>
      <c r="I589" s="1267"/>
      <c r="J589" s="1267"/>
      <c r="K589" s="1267"/>
      <c r="L589" s="1267"/>
      <c r="M589" s="1267"/>
      <c r="N589" s="1267"/>
      <c r="O589" s="1267"/>
      <c r="P589" s="1267"/>
      <c r="Q589" s="1209"/>
      <c r="R589" s="1209"/>
      <c r="S589" s="1209"/>
      <c r="T589" s="1209"/>
      <c r="U589" s="1209"/>
      <c r="V589" s="1209"/>
      <c r="W589" s="1209"/>
      <c r="X589" s="1209"/>
      <c r="Y589" s="1209"/>
      <c r="Z589" s="1209"/>
      <c r="AA589" s="1209"/>
      <c r="AB589" s="1209"/>
    </row>
    <row r="590">
      <c r="A590" s="1209"/>
      <c r="B590" s="1209"/>
      <c r="C590" s="1209"/>
      <c r="D590" s="1267"/>
      <c r="E590" s="1267"/>
      <c r="F590" s="1267"/>
      <c r="G590" s="1267"/>
      <c r="H590" s="1267"/>
      <c r="I590" s="1267"/>
      <c r="J590" s="1267"/>
      <c r="K590" s="1267"/>
      <c r="L590" s="1267"/>
      <c r="M590" s="1267"/>
      <c r="N590" s="1267"/>
      <c r="O590" s="1267"/>
      <c r="P590" s="1267"/>
      <c r="Q590" s="1209"/>
      <c r="R590" s="1209"/>
      <c r="S590" s="1209"/>
      <c r="T590" s="1209"/>
      <c r="U590" s="1209"/>
      <c r="V590" s="1209"/>
      <c r="W590" s="1209"/>
      <c r="X590" s="1209"/>
      <c r="Y590" s="1209"/>
      <c r="Z590" s="1209"/>
      <c r="AA590" s="1209"/>
      <c r="AB590" s="1209"/>
    </row>
    <row r="591">
      <c r="A591" s="1209"/>
      <c r="B591" s="1209"/>
      <c r="C591" s="1209"/>
      <c r="D591" s="1267"/>
      <c r="E591" s="1267"/>
      <c r="F591" s="1267"/>
      <c r="G591" s="1267"/>
      <c r="H591" s="1267"/>
      <c r="I591" s="1267"/>
      <c r="J591" s="1267"/>
      <c r="K591" s="1267"/>
      <c r="L591" s="1267"/>
      <c r="M591" s="1267"/>
      <c r="N591" s="1267"/>
      <c r="O591" s="1267"/>
      <c r="P591" s="1267"/>
      <c r="Q591" s="1209"/>
      <c r="R591" s="1209"/>
      <c r="S591" s="1209"/>
      <c r="T591" s="1209"/>
      <c r="U591" s="1209"/>
      <c r="V591" s="1209"/>
      <c r="W591" s="1209"/>
      <c r="X591" s="1209"/>
      <c r="Y591" s="1209"/>
      <c r="Z591" s="1209"/>
      <c r="AA591" s="1209"/>
      <c r="AB591" s="1209"/>
    </row>
    <row r="592">
      <c r="A592" s="1209"/>
      <c r="B592" s="1209"/>
      <c r="C592" s="1209"/>
      <c r="D592" s="1267"/>
      <c r="E592" s="1267"/>
      <c r="F592" s="1267"/>
      <c r="G592" s="1267"/>
      <c r="H592" s="1267"/>
      <c r="I592" s="1267"/>
      <c r="J592" s="1267"/>
      <c r="K592" s="1267"/>
      <c r="L592" s="1267"/>
      <c r="M592" s="1267"/>
      <c r="N592" s="1267"/>
      <c r="O592" s="1267"/>
      <c r="P592" s="1267"/>
      <c r="Q592" s="1209"/>
      <c r="R592" s="1209"/>
      <c r="S592" s="1209"/>
      <c r="T592" s="1209"/>
      <c r="U592" s="1209"/>
      <c r="V592" s="1209"/>
      <c r="W592" s="1209"/>
      <c r="X592" s="1209"/>
      <c r="Y592" s="1209"/>
      <c r="Z592" s="1209"/>
      <c r="AA592" s="1209"/>
      <c r="AB592" s="1209"/>
    </row>
    <row r="593">
      <c r="A593" s="1209"/>
      <c r="B593" s="1209"/>
      <c r="C593" s="1209"/>
      <c r="D593" s="1267"/>
      <c r="E593" s="1267"/>
      <c r="F593" s="1267"/>
      <c r="G593" s="1267"/>
      <c r="H593" s="1267"/>
      <c r="I593" s="1267"/>
      <c r="J593" s="1267"/>
      <c r="K593" s="1267"/>
      <c r="L593" s="1267"/>
      <c r="M593" s="1267"/>
      <c r="N593" s="1267"/>
      <c r="O593" s="1267"/>
      <c r="P593" s="1267"/>
      <c r="Q593" s="1209"/>
      <c r="R593" s="1209"/>
      <c r="S593" s="1209"/>
      <c r="T593" s="1209"/>
      <c r="U593" s="1209"/>
      <c r="V593" s="1209"/>
      <c r="W593" s="1209"/>
      <c r="X593" s="1209"/>
      <c r="Y593" s="1209"/>
      <c r="Z593" s="1209"/>
      <c r="AA593" s="1209"/>
      <c r="AB593" s="1209"/>
    </row>
    <row r="594">
      <c r="A594" s="1209"/>
      <c r="B594" s="1209"/>
      <c r="C594" s="1209"/>
      <c r="D594" s="1267"/>
      <c r="E594" s="1267"/>
      <c r="F594" s="1267"/>
      <c r="G594" s="1267"/>
      <c r="H594" s="1267"/>
      <c r="I594" s="1267"/>
      <c r="J594" s="1267"/>
      <c r="K594" s="1267"/>
      <c r="L594" s="1267"/>
      <c r="M594" s="1267"/>
      <c r="N594" s="1267"/>
      <c r="O594" s="1267"/>
      <c r="P594" s="1267"/>
      <c r="Q594" s="1209"/>
      <c r="R594" s="1209"/>
      <c r="S594" s="1209"/>
      <c r="T594" s="1209"/>
      <c r="U594" s="1209"/>
      <c r="V594" s="1209"/>
      <c r="W594" s="1209"/>
      <c r="X594" s="1209"/>
      <c r="Y594" s="1209"/>
      <c r="Z594" s="1209"/>
      <c r="AA594" s="1209"/>
      <c r="AB594" s="1209"/>
    </row>
    <row r="595">
      <c r="A595" s="1209"/>
      <c r="B595" s="1209"/>
      <c r="C595" s="1209"/>
      <c r="D595" s="1267"/>
      <c r="E595" s="1267"/>
      <c r="F595" s="1267"/>
      <c r="G595" s="1267"/>
      <c r="H595" s="1267"/>
      <c r="I595" s="1267"/>
      <c r="J595" s="1267"/>
      <c r="K595" s="1267"/>
      <c r="L595" s="1267"/>
      <c r="M595" s="1267"/>
      <c r="N595" s="1267"/>
      <c r="O595" s="1267"/>
      <c r="P595" s="1267"/>
      <c r="Q595" s="1209"/>
      <c r="R595" s="1209"/>
      <c r="S595" s="1209"/>
      <c r="T595" s="1209"/>
      <c r="U595" s="1209"/>
      <c r="V595" s="1209"/>
      <c r="W595" s="1209"/>
      <c r="X595" s="1209"/>
      <c r="Y595" s="1209"/>
      <c r="Z595" s="1209"/>
      <c r="AA595" s="1209"/>
      <c r="AB595" s="1209"/>
    </row>
    <row r="596">
      <c r="A596" s="1209"/>
      <c r="B596" s="1209"/>
      <c r="C596" s="1209"/>
      <c r="D596" s="1267"/>
      <c r="E596" s="1267"/>
      <c r="F596" s="1267"/>
      <c r="G596" s="1267"/>
      <c r="H596" s="1267"/>
      <c r="I596" s="1267"/>
      <c r="J596" s="1267"/>
      <c r="K596" s="1267"/>
      <c r="L596" s="1267"/>
      <c r="M596" s="1267"/>
      <c r="N596" s="1267"/>
      <c r="O596" s="1267"/>
      <c r="P596" s="1267"/>
      <c r="Q596" s="1209"/>
      <c r="R596" s="1209"/>
      <c r="S596" s="1209"/>
      <c r="T596" s="1209"/>
      <c r="U596" s="1209"/>
      <c r="V596" s="1209"/>
      <c r="W596" s="1209"/>
      <c r="X596" s="1209"/>
      <c r="Y596" s="1209"/>
      <c r="Z596" s="1209"/>
      <c r="AA596" s="1209"/>
      <c r="AB596" s="1209"/>
    </row>
    <row r="597">
      <c r="A597" s="1209"/>
      <c r="B597" s="1209"/>
      <c r="C597" s="1209"/>
      <c r="D597" s="1267"/>
      <c r="E597" s="1267"/>
      <c r="F597" s="1267"/>
      <c r="G597" s="1267"/>
      <c r="H597" s="1267"/>
      <c r="I597" s="1267"/>
      <c r="J597" s="1267"/>
      <c r="K597" s="1267"/>
      <c r="L597" s="1267"/>
      <c r="M597" s="1267"/>
      <c r="N597" s="1267"/>
      <c r="O597" s="1267"/>
      <c r="P597" s="1267"/>
      <c r="Q597" s="1209"/>
      <c r="R597" s="1209"/>
      <c r="S597" s="1209"/>
      <c r="T597" s="1209"/>
      <c r="U597" s="1209"/>
      <c r="V597" s="1209"/>
      <c r="W597" s="1209"/>
      <c r="X597" s="1209"/>
      <c r="Y597" s="1209"/>
      <c r="Z597" s="1209"/>
      <c r="AA597" s="1209"/>
      <c r="AB597" s="1209"/>
    </row>
    <row r="598">
      <c r="A598" s="1209"/>
      <c r="B598" s="1209"/>
      <c r="C598" s="1209"/>
      <c r="D598" s="1267"/>
      <c r="E598" s="1267"/>
      <c r="F598" s="1267"/>
      <c r="G598" s="1267"/>
      <c r="H598" s="1267"/>
      <c r="I598" s="1267"/>
      <c r="J598" s="1267"/>
      <c r="K598" s="1267"/>
      <c r="L598" s="1267"/>
      <c r="M598" s="1267"/>
      <c r="N598" s="1267"/>
      <c r="O598" s="1267"/>
      <c r="P598" s="1267"/>
      <c r="Q598" s="1209"/>
      <c r="R598" s="1209"/>
      <c r="S598" s="1209"/>
      <c r="T598" s="1209"/>
      <c r="U598" s="1209"/>
      <c r="V598" s="1209"/>
      <c r="W598" s="1209"/>
      <c r="X598" s="1209"/>
      <c r="Y598" s="1209"/>
      <c r="Z598" s="1209"/>
      <c r="AA598" s="1209"/>
      <c r="AB598" s="1209"/>
    </row>
    <row r="599">
      <c r="A599" s="1209"/>
      <c r="B599" s="1209"/>
      <c r="C599" s="1209"/>
      <c r="D599" s="1267"/>
      <c r="E599" s="1267"/>
      <c r="F599" s="1267"/>
      <c r="G599" s="1267"/>
      <c r="H599" s="1267"/>
      <c r="I599" s="1267"/>
      <c r="J599" s="1267"/>
      <c r="K599" s="1267"/>
      <c r="L599" s="1267"/>
      <c r="M599" s="1267"/>
      <c r="N599" s="1267"/>
      <c r="O599" s="1267"/>
      <c r="P599" s="1267"/>
      <c r="Q599" s="1209"/>
      <c r="R599" s="1209"/>
      <c r="S599" s="1209"/>
      <c r="T599" s="1209"/>
      <c r="U599" s="1209"/>
      <c r="V599" s="1209"/>
      <c r="W599" s="1209"/>
      <c r="X599" s="1209"/>
      <c r="Y599" s="1209"/>
      <c r="Z599" s="1209"/>
      <c r="AA599" s="1209"/>
      <c r="AB599" s="1209"/>
    </row>
    <row r="600">
      <c r="A600" s="1209"/>
      <c r="B600" s="1209"/>
      <c r="C600" s="1209"/>
      <c r="D600" s="1267"/>
      <c r="E600" s="1267"/>
      <c r="F600" s="1267"/>
      <c r="G600" s="1267"/>
      <c r="H600" s="1267"/>
      <c r="I600" s="1267"/>
      <c r="J600" s="1267"/>
      <c r="K600" s="1267"/>
      <c r="L600" s="1267"/>
      <c r="M600" s="1267"/>
      <c r="N600" s="1267"/>
      <c r="O600" s="1267"/>
      <c r="P600" s="1267"/>
      <c r="Q600" s="1209"/>
      <c r="R600" s="1209"/>
      <c r="S600" s="1209"/>
      <c r="T600" s="1209"/>
      <c r="U600" s="1209"/>
      <c r="V600" s="1209"/>
      <c r="W600" s="1209"/>
      <c r="X600" s="1209"/>
      <c r="Y600" s="1209"/>
      <c r="Z600" s="1209"/>
      <c r="AA600" s="1209"/>
      <c r="AB600" s="1209"/>
    </row>
    <row r="601">
      <c r="A601" s="1209"/>
      <c r="B601" s="1209"/>
      <c r="C601" s="1209"/>
      <c r="D601" s="1267"/>
      <c r="E601" s="1267"/>
      <c r="F601" s="1267"/>
      <c r="G601" s="1267"/>
      <c r="H601" s="1267"/>
      <c r="I601" s="1267"/>
      <c r="J601" s="1267"/>
      <c r="K601" s="1267"/>
      <c r="L601" s="1267"/>
      <c r="M601" s="1267"/>
      <c r="N601" s="1267"/>
      <c r="O601" s="1267"/>
      <c r="P601" s="1267"/>
      <c r="Q601" s="1209"/>
      <c r="R601" s="1209"/>
      <c r="S601" s="1209"/>
      <c r="T601" s="1209"/>
      <c r="U601" s="1209"/>
      <c r="V601" s="1209"/>
      <c r="W601" s="1209"/>
      <c r="X601" s="1209"/>
      <c r="Y601" s="1209"/>
      <c r="Z601" s="1209"/>
      <c r="AA601" s="1209"/>
      <c r="AB601" s="1209"/>
    </row>
    <row r="602">
      <c r="A602" s="1209"/>
      <c r="B602" s="1209"/>
      <c r="C602" s="1209"/>
      <c r="D602" s="1267"/>
      <c r="E602" s="1267"/>
      <c r="F602" s="1267"/>
      <c r="G602" s="1267"/>
      <c r="H602" s="1267"/>
      <c r="I602" s="1267"/>
      <c r="J602" s="1267"/>
      <c r="K602" s="1267"/>
      <c r="L602" s="1267"/>
      <c r="M602" s="1267"/>
      <c r="N602" s="1267"/>
      <c r="O602" s="1267"/>
      <c r="P602" s="1267"/>
      <c r="Q602" s="1209"/>
      <c r="R602" s="1209"/>
      <c r="S602" s="1209"/>
      <c r="T602" s="1209"/>
      <c r="U602" s="1209"/>
      <c r="V602" s="1209"/>
      <c r="W602" s="1209"/>
      <c r="X602" s="1209"/>
      <c r="Y602" s="1209"/>
      <c r="Z602" s="1209"/>
      <c r="AA602" s="1209"/>
      <c r="AB602" s="1209"/>
    </row>
    <row r="603">
      <c r="A603" s="1209"/>
      <c r="B603" s="1209"/>
      <c r="C603" s="1209"/>
      <c r="D603" s="1267"/>
      <c r="E603" s="1267"/>
      <c r="F603" s="1267"/>
      <c r="G603" s="1267"/>
      <c r="H603" s="1267"/>
      <c r="I603" s="1267"/>
      <c r="J603" s="1267"/>
      <c r="K603" s="1267"/>
      <c r="L603" s="1267"/>
      <c r="M603" s="1267"/>
      <c r="N603" s="1267"/>
      <c r="O603" s="1267"/>
      <c r="P603" s="1267"/>
      <c r="Q603" s="1209"/>
      <c r="R603" s="1209"/>
      <c r="S603" s="1209"/>
      <c r="T603" s="1209"/>
      <c r="U603" s="1209"/>
      <c r="V603" s="1209"/>
      <c r="W603" s="1209"/>
      <c r="X603" s="1209"/>
      <c r="Y603" s="1209"/>
      <c r="Z603" s="1209"/>
      <c r="AA603" s="1209"/>
      <c r="AB603" s="1209"/>
    </row>
    <row r="604">
      <c r="A604" s="1209"/>
      <c r="B604" s="1209"/>
      <c r="C604" s="1209"/>
      <c r="D604" s="1267"/>
      <c r="E604" s="1267"/>
      <c r="F604" s="1267"/>
      <c r="G604" s="1267"/>
      <c r="H604" s="1267"/>
      <c r="I604" s="1267"/>
      <c r="J604" s="1267"/>
      <c r="K604" s="1267"/>
      <c r="L604" s="1267"/>
      <c r="M604" s="1267"/>
      <c r="N604" s="1267"/>
      <c r="O604" s="1267"/>
      <c r="P604" s="1267"/>
      <c r="Q604" s="1209"/>
      <c r="R604" s="1209"/>
      <c r="S604" s="1209"/>
      <c r="T604" s="1209"/>
      <c r="U604" s="1209"/>
      <c r="V604" s="1209"/>
      <c r="W604" s="1209"/>
      <c r="X604" s="1209"/>
      <c r="Y604" s="1209"/>
      <c r="Z604" s="1209"/>
      <c r="AA604" s="1209"/>
      <c r="AB604" s="1209"/>
    </row>
    <row r="605">
      <c r="A605" s="1209"/>
      <c r="B605" s="1209"/>
      <c r="C605" s="1209"/>
      <c r="D605" s="1267"/>
      <c r="E605" s="1267"/>
      <c r="F605" s="1267"/>
      <c r="G605" s="1267"/>
      <c r="H605" s="1267"/>
      <c r="I605" s="1267"/>
      <c r="J605" s="1267"/>
      <c r="K605" s="1267"/>
      <c r="L605" s="1267"/>
      <c r="M605" s="1267"/>
      <c r="N605" s="1267"/>
      <c r="O605" s="1267"/>
      <c r="P605" s="1267"/>
      <c r="Q605" s="1209"/>
      <c r="R605" s="1209"/>
      <c r="S605" s="1209"/>
      <c r="T605" s="1209"/>
      <c r="U605" s="1209"/>
      <c r="V605" s="1209"/>
      <c r="W605" s="1209"/>
      <c r="X605" s="1209"/>
      <c r="Y605" s="1209"/>
      <c r="Z605" s="1209"/>
      <c r="AA605" s="1209"/>
      <c r="AB605" s="1209"/>
    </row>
    <row r="606">
      <c r="A606" s="1209"/>
      <c r="B606" s="1209"/>
      <c r="C606" s="1209"/>
      <c r="D606" s="1267"/>
      <c r="E606" s="1267"/>
      <c r="F606" s="1267"/>
      <c r="G606" s="1267"/>
      <c r="H606" s="1267"/>
      <c r="I606" s="1267"/>
      <c r="J606" s="1267"/>
      <c r="K606" s="1267"/>
      <c r="L606" s="1267"/>
      <c r="M606" s="1267"/>
      <c r="N606" s="1267"/>
      <c r="O606" s="1267"/>
      <c r="P606" s="1267"/>
      <c r="Q606" s="1209"/>
      <c r="R606" s="1209"/>
      <c r="S606" s="1209"/>
      <c r="T606" s="1209"/>
      <c r="U606" s="1209"/>
      <c r="V606" s="1209"/>
      <c r="W606" s="1209"/>
      <c r="X606" s="1209"/>
      <c r="Y606" s="1209"/>
      <c r="Z606" s="1209"/>
      <c r="AA606" s="1209"/>
      <c r="AB606" s="1209"/>
    </row>
    <row r="607">
      <c r="A607" s="1209"/>
      <c r="B607" s="1209"/>
      <c r="C607" s="1209"/>
      <c r="D607" s="1267"/>
      <c r="E607" s="1267"/>
      <c r="F607" s="1267"/>
      <c r="G607" s="1267"/>
      <c r="H607" s="1267"/>
      <c r="I607" s="1267"/>
      <c r="J607" s="1267"/>
      <c r="K607" s="1267"/>
      <c r="L607" s="1267"/>
      <c r="M607" s="1267"/>
      <c r="N607" s="1267"/>
      <c r="O607" s="1267"/>
      <c r="P607" s="1267"/>
      <c r="Q607" s="1209"/>
      <c r="R607" s="1209"/>
      <c r="S607" s="1209"/>
      <c r="T607" s="1209"/>
      <c r="U607" s="1209"/>
      <c r="V607" s="1209"/>
      <c r="W607" s="1209"/>
      <c r="X607" s="1209"/>
      <c r="Y607" s="1209"/>
      <c r="Z607" s="1209"/>
      <c r="AA607" s="1209"/>
      <c r="AB607" s="1209"/>
    </row>
    <row r="608">
      <c r="A608" s="1209"/>
      <c r="B608" s="1209"/>
      <c r="C608" s="1209"/>
      <c r="D608" s="1267"/>
      <c r="E608" s="1267"/>
      <c r="F608" s="1267"/>
      <c r="G608" s="1267"/>
      <c r="H608" s="1267"/>
      <c r="I608" s="1267"/>
      <c r="J608" s="1267"/>
      <c r="K608" s="1267"/>
      <c r="L608" s="1267"/>
      <c r="M608" s="1267"/>
      <c r="N608" s="1267"/>
      <c r="O608" s="1267"/>
      <c r="P608" s="1267"/>
      <c r="Q608" s="1209"/>
      <c r="R608" s="1209"/>
      <c r="S608" s="1209"/>
      <c r="T608" s="1209"/>
      <c r="U608" s="1209"/>
      <c r="V608" s="1209"/>
      <c r="W608" s="1209"/>
      <c r="X608" s="1209"/>
      <c r="Y608" s="1209"/>
      <c r="Z608" s="1209"/>
      <c r="AA608" s="1209"/>
      <c r="AB608" s="1209"/>
    </row>
    <row r="609">
      <c r="A609" s="1209"/>
      <c r="B609" s="1209"/>
      <c r="C609" s="1209"/>
      <c r="D609" s="1267"/>
      <c r="E609" s="1267"/>
      <c r="F609" s="1267"/>
      <c r="G609" s="1267"/>
      <c r="H609" s="1267"/>
      <c r="I609" s="1267"/>
      <c r="J609" s="1267"/>
      <c r="K609" s="1267"/>
      <c r="L609" s="1267"/>
      <c r="M609" s="1267"/>
      <c r="N609" s="1267"/>
      <c r="O609" s="1267"/>
      <c r="P609" s="1267"/>
      <c r="Q609" s="1209"/>
      <c r="R609" s="1209"/>
      <c r="S609" s="1209"/>
      <c r="T609" s="1209"/>
      <c r="U609" s="1209"/>
      <c r="V609" s="1209"/>
      <c r="W609" s="1209"/>
      <c r="X609" s="1209"/>
      <c r="Y609" s="1209"/>
      <c r="Z609" s="1209"/>
      <c r="AA609" s="1209"/>
      <c r="AB609" s="1209"/>
    </row>
    <row r="610">
      <c r="A610" s="1209"/>
      <c r="B610" s="1209"/>
      <c r="C610" s="1209"/>
      <c r="D610" s="1267"/>
      <c r="E610" s="1267"/>
      <c r="F610" s="1267"/>
      <c r="G610" s="1267"/>
      <c r="H610" s="1267"/>
      <c r="I610" s="1267"/>
      <c r="J610" s="1267"/>
      <c r="K610" s="1267"/>
      <c r="L610" s="1267"/>
      <c r="M610" s="1267"/>
      <c r="N610" s="1267"/>
      <c r="O610" s="1267"/>
      <c r="P610" s="1267"/>
      <c r="Q610" s="1209"/>
      <c r="R610" s="1209"/>
      <c r="S610" s="1209"/>
      <c r="T610" s="1209"/>
      <c r="U610" s="1209"/>
      <c r="V610" s="1209"/>
      <c r="W610" s="1209"/>
      <c r="X610" s="1209"/>
      <c r="Y610" s="1209"/>
      <c r="Z610" s="1209"/>
      <c r="AA610" s="1209"/>
      <c r="AB610" s="1209"/>
    </row>
    <row r="611">
      <c r="A611" s="1209"/>
      <c r="B611" s="1209"/>
      <c r="C611" s="1209"/>
      <c r="D611" s="1267"/>
      <c r="E611" s="1267"/>
      <c r="F611" s="1267"/>
      <c r="G611" s="1267"/>
      <c r="H611" s="1267"/>
      <c r="I611" s="1267"/>
      <c r="J611" s="1267"/>
      <c r="K611" s="1267"/>
      <c r="L611" s="1267"/>
      <c r="M611" s="1267"/>
      <c r="N611" s="1267"/>
      <c r="O611" s="1267"/>
      <c r="P611" s="1267"/>
      <c r="Q611" s="1209"/>
      <c r="R611" s="1209"/>
      <c r="S611" s="1209"/>
      <c r="T611" s="1209"/>
      <c r="U611" s="1209"/>
      <c r="V611" s="1209"/>
      <c r="W611" s="1209"/>
      <c r="X611" s="1209"/>
      <c r="Y611" s="1209"/>
      <c r="Z611" s="1209"/>
      <c r="AA611" s="1209"/>
      <c r="AB611" s="1209"/>
    </row>
    <row r="612">
      <c r="A612" s="1209"/>
      <c r="B612" s="1209"/>
      <c r="C612" s="1209"/>
      <c r="D612" s="1267"/>
      <c r="E612" s="1267"/>
      <c r="F612" s="1267"/>
      <c r="G612" s="1267"/>
      <c r="H612" s="1267"/>
      <c r="I612" s="1267"/>
      <c r="J612" s="1267"/>
      <c r="K612" s="1267"/>
      <c r="L612" s="1267"/>
      <c r="M612" s="1267"/>
      <c r="N612" s="1267"/>
      <c r="O612" s="1267"/>
      <c r="P612" s="1267"/>
      <c r="Q612" s="1209"/>
      <c r="R612" s="1209"/>
      <c r="S612" s="1209"/>
      <c r="T612" s="1209"/>
      <c r="U612" s="1209"/>
      <c r="V612" s="1209"/>
      <c r="W612" s="1209"/>
      <c r="X612" s="1209"/>
      <c r="Y612" s="1209"/>
      <c r="Z612" s="1209"/>
      <c r="AA612" s="1209"/>
      <c r="AB612" s="1209"/>
    </row>
    <row r="613">
      <c r="A613" s="1209"/>
      <c r="B613" s="1209"/>
      <c r="C613" s="1209"/>
      <c r="D613" s="1267"/>
      <c r="E613" s="1267"/>
      <c r="F613" s="1267"/>
      <c r="G613" s="1267"/>
      <c r="H613" s="1267"/>
      <c r="I613" s="1267"/>
      <c r="J613" s="1267"/>
      <c r="K613" s="1267"/>
      <c r="L613" s="1267"/>
      <c r="M613" s="1267"/>
      <c r="N613" s="1267"/>
      <c r="O613" s="1267"/>
      <c r="P613" s="1267"/>
      <c r="Q613" s="1209"/>
      <c r="R613" s="1209"/>
      <c r="S613" s="1209"/>
      <c r="T613" s="1209"/>
      <c r="U613" s="1209"/>
      <c r="V613" s="1209"/>
      <c r="W613" s="1209"/>
      <c r="X613" s="1209"/>
      <c r="Y613" s="1209"/>
      <c r="Z613" s="1209"/>
      <c r="AA613" s="1209"/>
      <c r="AB613" s="1209"/>
    </row>
    <row r="614">
      <c r="A614" s="1209"/>
      <c r="B614" s="1209"/>
      <c r="C614" s="1209"/>
      <c r="D614" s="1267"/>
      <c r="E614" s="1267"/>
      <c r="F614" s="1267"/>
      <c r="G614" s="1267"/>
      <c r="H614" s="1267"/>
      <c r="I614" s="1267"/>
      <c r="J614" s="1267"/>
      <c r="K614" s="1267"/>
      <c r="L614" s="1267"/>
      <c r="M614" s="1267"/>
      <c r="N614" s="1267"/>
      <c r="O614" s="1267"/>
      <c r="P614" s="1267"/>
      <c r="Q614" s="1209"/>
      <c r="R614" s="1209"/>
      <c r="S614" s="1209"/>
      <c r="T614" s="1209"/>
      <c r="U614" s="1209"/>
      <c r="V614" s="1209"/>
      <c r="W614" s="1209"/>
      <c r="X614" s="1209"/>
      <c r="Y614" s="1209"/>
      <c r="Z614" s="1209"/>
      <c r="AA614" s="1209"/>
      <c r="AB614" s="1209"/>
    </row>
    <row r="615">
      <c r="A615" s="1209"/>
      <c r="B615" s="1209"/>
      <c r="C615" s="1209"/>
      <c r="D615" s="1267"/>
      <c r="E615" s="1267"/>
      <c r="F615" s="1267"/>
      <c r="G615" s="1267"/>
      <c r="H615" s="1267"/>
      <c r="I615" s="1267"/>
      <c r="J615" s="1267"/>
      <c r="K615" s="1267"/>
      <c r="L615" s="1267"/>
      <c r="M615" s="1267"/>
      <c r="N615" s="1267"/>
      <c r="O615" s="1267"/>
      <c r="P615" s="1267"/>
      <c r="Q615" s="1209"/>
      <c r="R615" s="1209"/>
      <c r="S615" s="1209"/>
      <c r="T615" s="1209"/>
      <c r="U615" s="1209"/>
      <c r="V615" s="1209"/>
      <c r="W615" s="1209"/>
      <c r="X615" s="1209"/>
      <c r="Y615" s="1209"/>
      <c r="Z615" s="1209"/>
      <c r="AA615" s="1209"/>
      <c r="AB615" s="1209"/>
    </row>
    <row r="616">
      <c r="A616" s="1209"/>
      <c r="B616" s="1209"/>
      <c r="C616" s="1209"/>
      <c r="D616" s="1267"/>
      <c r="E616" s="1267"/>
      <c r="F616" s="1267"/>
      <c r="G616" s="1267"/>
      <c r="H616" s="1267"/>
      <c r="I616" s="1267"/>
      <c r="J616" s="1267"/>
      <c r="K616" s="1267"/>
      <c r="L616" s="1267"/>
      <c r="M616" s="1267"/>
      <c r="N616" s="1267"/>
      <c r="O616" s="1267"/>
      <c r="P616" s="1267"/>
      <c r="Q616" s="1209"/>
      <c r="R616" s="1209"/>
      <c r="S616" s="1209"/>
      <c r="T616" s="1209"/>
      <c r="U616" s="1209"/>
      <c r="V616" s="1209"/>
      <c r="W616" s="1209"/>
      <c r="X616" s="1209"/>
      <c r="Y616" s="1209"/>
      <c r="Z616" s="1209"/>
      <c r="AA616" s="1209"/>
      <c r="AB616" s="1209"/>
    </row>
    <row r="617">
      <c r="A617" s="1209"/>
      <c r="B617" s="1209"/>
      <c r="C617" s="1209"/>
      <c r="D617" s="1267"/>
      <c r="E617" s="1267"/>
      <c r="F617" s="1267"/>
      <c r="G617" s="1267"/>
      <c r="H617" s="1267"/>
      <c r="I617" s="1267"/>
      <c r="J617" s="1267"/>
      <c r="K617" s="1267"/>
      <c r="L617" s="1267"/>
      <c r="M617" s="1267"/>
      <c r="N617" s="1267"/>
      <c r="O617" s="1267"/>
      <c r="P617" s="1267"/>
      <c r="Q617" s="1209"/>
      <c r="R617" s="1209"/>
      <c r="S617" s="1209"/>
      <c r="T617" s="1209"/>
      <c r="U617" s="1209"/>
      <c r="V617" s="1209"/>
      <c r="W617" s="1209"/>
      <c r="X617" s="1209"/>
      <c r="Y617" s="1209"/>
      <c r="Z617" s="1209"/>
      <c r="AA617" s="1209"/>
      <c r="AB617" s="1209"/>
    </row>
    <row r="618">
      <c r="A618" s="1209"/>
      <c r="B618" s="1209"/>
      <c r="C618" s="1209"/>
      <c r="D618" s="1267"/>
      <c r="E618" s="1267"/>
      <c r="F618" s="1267"/>
      <c r="G618" s="1267"/>
      <c r="H618" s="1267"/>
      <c r="I618" s="1267"/>
      <c r="J618" s="1267"/>
      <c r="K618" s="1267"/>
      <c r="L618" s="1267"/>
      <c r="M618" s="1267"/>
      <c r="N618" s="1267"/>
      <c r="O618" s="1267"/>
      <c r="P618" s="1267"/>
      <c r="Q618" s="1209"/>
      <c r="R618" s="1209"/>
      <c r="S618" s="1209"/>
      <c r="T618" s="1209"/>
      <c r="U618" s="1209"/>
      <c r="V618" s="1209"/>
      <c r="W618" s="1209"/>
      <c r="X618" s="1209"/>
      <c r="Y618" s="1209"/>
      <c r="Z618" s="1209"/>
      <c r="AA618" s="1209"/>
      <c r="AB618" s="1209"/>
    </row>
    <row r="619">
      <c r="A619" s="1209"/>
      <c r="B619" s="1209"/>
      <c r="C619" s="1209"/>
      <c r="D619" s="1267"/>
      <c r="E619" s="1267"/>
      <c r="F619" s="1267"/>
      <c r="G619" s="1267"/>
      <c r="H619" s="1267"/>
      <c r="I619" s="1267"/>
      <c r="J619" s="1267"/>
      <c r="K619" s="1267"/>
      <c r="L619" s="1267"/>
      <c r="M619" s="1267"/>
      <c r="N619" s="1267"/>
      <c r="O619" s="1267"/>
      <c r="P619" s="1267"/>
      <c r="Q619" s="1209"/>
      <c r="R619" s="1209"/>
      <c r="S619" s="1209"/>
      <c r="T619" s="1209"/>
      <c r="U619" s="1209"/>
      <c r="V619" s="1209"/>
      <c r="W619" s="1209"/>
      <c r="X619" s="1209"/>
      <c r="Y619" s="1209"/>
      <c r="Z619" s="1209"/>
      <c r="AA619" s="1209"/>
      <c r="AB619" s="1209"/>
    </row>
    <row r="620">
      <c r="A620" s="1209"/>
      <c r="B620" s="1209"/>
      <c r="C620" s="1209"/>
      <c r="D620" s="1267"/>
      <c r="E620" s="1267"/>
      <c r="F620" s="1267"/>
      <c r="G620" s="1267"/>
      <c r="H620" s="1267"/>
      <c r="I620" s="1267"/>
      <c r="J620" s="1267"/>
      <c r="K620" s="1267"/>
      <c r="L620" s="1267"/>
      <c r="M620" s="1267"/>
      <c r="N620" s="1267"/>
      <c r="O620" s="1267"/>
      <c r="P620" s="1267"/>
      <c r="Q620" s="1209"/>
      <c r="R620" s="1209"/>
      <c r="S620" s="1209"/>
      <c r="T620" s="1209"/>
      <c r="U620" s="1209"/>
      <c r="V620" s="1209"/>
      <c r="W620" s="1209"/>
      <c r="X620" s="1209"/>
      <c r="Y620" s="1209"/>
      <c r="Z620" s="1209"/>
      <c r="AA620" s="1209"/>
      <c r="AB620" s="1209"/>
    </row>
    <row r="621">
      <c r="A621" s="1209"/>
      <c r="B621" s="1209"/>
      <c r="C621" s="1209"/>
      <c r="D621" s="1267"/>
      <c r="E621" s="1267"/>
      <c r="F621" s="1267"/>
      <c r="G621" s="1267"/>
      <c r="H621" s="1267"/>
      <c r="I621" s="1267"/>
      <c r="J621" s="1267"/>
      <c r="K621" s="1267"/>
      <c r="L621" s="1267"/>
      <c r="M621" s="1267"/>
      <c r="N621" s="1267"/>
      <c r="O621" s="1267"/>
      <c r="P621" s="1267"/>
      <c r="Q621" s="1209"/>
      <c r="R621" s="1209"/>
      <c r="S621" s="1209"/>
      <c r="T621" s="1209"/>
      <c r="U621" s="1209"/>
      <c r="V621" s="1209"/>
      <c r="W621" s="1209"/>
      <c r="X621" s="1209"/>
      <c r="Y621" s="1209"/>
      <c r="Z621" s="1209"/>
      <c r="AA621" s="1209"/>
      <c r="AB621" s="1209"/>
    </row>
    <row r="622">
      <c r="A622" s="1209"/>
      <c r="B622" s="1209"/>
      <c r="C622" s="1209"/>
      <c r="D622" s="1267"/>
      <c r="E622" s="1267"/>
      <c r="F622" s="1267"/>
      <c r="G622" s="1267"/>
      <c r="H622" s="1267"/>
      <c r="I622" s="1267"/>
      <c r="J622" s="1267"/>
      <c r="K622" s="1267"/>
      <c r="L622" s="1267"/>
      <c r="M622" s="1267"/>
      <c r="N622" s="1267"/>
      <c r="O622" s="1267"/>
      <c r="P622" s="1267"/>
      <c r="Q622" s="1209"/>
      <c r="R622" s="1209"/>
      <c r="S622" s="1209"/>
      <c r="T622" s="1209"/>
      <c r="U622" s="1209"/>
      <c r="V622" s="1209"/>
      <c r="W622" s="1209"/>
      <c r="X622" s="1209"/>
      <c r="Y622" s="1209"/>
      <c r="Z622" s="1209"/>
      <c r="AA622" s="1209"/>
      <c r="AB622" s="1209"/>
    </row>
    <row r="623">
      <c r="A623" s="1209"/>
      <c r="B623" s="1209"/>
      <c r="C623" s="1209"/>
      <c r="D623" s="1267"/>
      <c r="E623" s="1267"/>
      <c r="F623" s="1267"/>
      <c r="G623" s="1267"/>
      <c r="H623" s="1267"/>
      <c r="I623" s="1267"/>
      <c r="J623" s="1267"/>
      <c r="K623" s="1267"/>
      <c r="L623" s="1267"/>
      <c r="M623" s="1267"/>
      <c r="N623" s="1267"/>
      <c r="O623" s="1267"/>
      <c r="P623" s="1267"/>
      <c r="Q623" s="1209"/>
      <c r="R623" s="1209"/>
      <c r="S623" s="1209"/>
      <c r="T623" s="1209"/>
      <c r="U623" s="1209"/>
      <c r="V623" s="1209"/>
      <c r="W623" s="1209"/>
      <c r="X623" s="1209"/>
      <c r="Y623" s="1209"/>
      <c r="Z623" s="1209"/>
      <c r="AA623" s="1209"/>
      <c r="AB623" s="1209"/>
    </row>
    <row r="624">
      <c r="A624" s="1209"/>
      <c r="B624" s="1209"/>
      <c r="C624" s="1209"/>
      <c r="D624" s="1267"/>
      <c r="E624" s="1267"/>
      <c r="F624" s="1267"/>
      <c r="G624" s="1267"/>
      <c r="H624" s="1267"/>
      <c r="I624" s="1267"/>
      <c r="J624" s="1267"/>
      <c r="K624" s="1267"/>
      <c r="L624" s="1267"/>
      <c r="M624" s="1267"/>
      <c r="N624" s="1267"/>
      <c r="O624" s="1267"/>
      <c r="P624" s="1267"/>
      <c r="Q624" s="1209"/>
      <c r="R624" s="1209"/>
      <c r="S624" s="1209"/>
      <c r="T624" s="1209"/>
      <c r="U624" s="1209"/>
      <c r="V624" s="1209"/>
      <c r="W624" s="1209"/>
      <c r="X624" s="1209"/>
      <c r="Y624" s="1209"/>
      <c r="Z624" s="1209"/>
      <c r="AA624" s="1209"/>
      <c r="AB624" s="1209"/>
    </row>
    <row r="625">
      <c r="A625" s="1209"/>
      <c r="B625" s="1209"/>
      <c r="C625" s="1209"/>
      <c r="D625" s="1267"/>
      <c r="E625" s="1267"/>
      <c r="F625" s="1267"/>
      <c r="G625" s="1267"/>
      <c r="H625" s="1267"/>
      <c r="I625" s="1267"/>
      <c r="J625" s="1267"/>
      <c r="K625" s="1267"/>
      <c r="L625" s="1267"/>
      <c r="M625" s="1267"/>
      <c r="N625" s="1267"/>
      <c r="O625" s="1267"/>
      <c r="P625" s="1267"/>
      <c r="Q625" s="1209"/>
      <c r="R625" s="1209"/>
      <c r="S625" s="1209"/>
      <c r="T625" s="1209"/>
      <c r="U625" s="1209"/>
      <c r="V625" s="1209"/>
      <c r="W625" s="1209"/>
      <c r="X625" s="1209"/>
      <c r="Y625" s="1209"/>
      <c r="Z625" s="1209"/>
      <c r="AA625" s="1209"/>
      <c r="AB625" s="1209"/>
    </row>
    <row r="626">
      <c r="A626" s="1209"/>
      <c r="B626" s="1209"/>
      <c r="C626" s="1209"/>
      <c r="D626" s="1267"/>
      <c r="E626" s="1267"/>
      <c r="F626" s="1267"/>
      <c r="G626" s="1267"/>
      <c r="H626" s="1267"/>
      <c r="I626" s="1267"/>
      <c r="J626" s="1267"/>
      <c r="K626" s="1267"/>
      <c r="L626" s="1267"/>
      <c r="M626" s="1267"/>
      <c r="N626" s="1267"/>
      <c r="O626" s="1267"/>
      <c r="P626" s="1267"/>
      <c r="Q626" s="1209"/>
      <c r="R626" s="1209"/>
      <c r="S626" s="1209"/>
      <c r="T626" s="1209"/>
      <c r="U626" s="1209"/>
      <c r="V626" s="1209"/>
      <c r="W626" s="1209"/>
      <c r="X626" s="1209"/>
      <c r="Y626" s="1209"/>
      <c r="Z626" s="1209"/>
      <c r="AA626" s="1209"/>
      <c r="AB626" s="1209"/>
    </row>
    <row r="627">
      <c r="A627" s="1209"/>
      <c r="B627" s="1209"/>
      <c r="C627" s="1209"/>
      <c r="D627" s="1267"/>
      <c r="E627" s="1267"/>
      <c r="F627" s="1267"/>
      <c r="G627" s="1267"/>
      <c r="H627" s="1267"/>
      <c r="I627" s="1267"/>
      <c r="J627" s="1267"/>
      <c r="K627" s="1267"/>
      <c r="L627" s="1267"/>
      <c r="M627" s="1267"/>
      <c r="N627" s="1267"/>
      <c r="O627" s="1267"/>
      <c r="P627" s="1267"/>
      <c r="Q627" s="1209"/>
      <c r="R627" s="1209"/>
      <c r="S627" s="1209"/>
      <c r="T627" s="1209"/>
      <c r="U627" s="1209"/>
      <c r="V627" s="1209"/>
      <c r="W627" s="1209"/>
      <c r="X627" s="1209"/>
      <c r="Y627" s="1209"/>
      <c r="Z627" s="1209"/>
      <c r="AA627" s="1209"/>
      <c r="AB627" s="1209"/>
    </row>
    <row r="628">
      <c r="A628" s="1209"/>
      <c r="B628" s="1209"/>
      <c r="C628" s="1209"/>
      <c r="D628" s="1267"/>
      <c r="E628" s="1267"/>
      <c r="F628" s="1267"/>
      <c r="G628" s="1267"/>
      <c r="H628" s="1267"/>
      <c r="I628" s="1267"/>
      <c r="J628" s="1267"/>
      <c r="K628" s="1267"/>
      <c r="L628" s="1267"/>
      <c r="M628" s="1267"/>
      <c r="N628" s="1267"/>
      <c r="O628" s="1267"/>
      <c r="P628" s="1267"/>
      <c r="Q628" s="1209"/>
      <c r="R628" s="1209"/>
      <c r="S628" s="1209"/>
      <c r="T628" s="1209"/>
      <c r="U628" s="1209"/>
      <c r="V628" s="1209"/>
      <c r="W628" s="1209"/>
      <c r="X628" s="1209"/>
      <c r="Y628" s="1209"/>
      <c r="Z628" s="1209"/>
      <c r="AA628" s="1209"/>
      <c r="AB628" s="1209"/>
    </row>
    <row r="629">
      <c r="A629" s="1209"/>
      <c r="B629" s="1209"/>
      <c r="C629" s="1209"/>
      <c r="D629" s="1267"/>
      <c r="E629" s="1267"/>
      <c r="F629" s="1267"/>
      <c r="G629" s="1267"/>
      <c r="H629" s="1267"/>
      <c r="I629" s="1267"/>
      <c r="J629" s="1267"/>
      <c r="K629" s="1267"/>
      <c r="L629" s="1267"/>
      <c r="M629" s="1267"/>
      <c r="N629" s="1267"/>
      <c r="O629" s="1267"/>
      <c r="P629" s="1267"/>
      <c r="Q629" s="1209"/>
      <c r="R629" s="1209"/>
      <c r="S629" s="1209"/>
      <c r="T629" s="1209"/>
      <c r="U629" s="1209"/>
      <c r="V629" s="1209"/>
      <c r="W629" s="1209"/>
      <c r="X629" s="1209"/>
      <c r="Y629" s="1209"/>
      <c r="Z629" s="1209"/>
      <c r="AA629" s="1209"/>
      <c r="AB629" s="1209"/>
    </row>
    <row r="630">
      <c r="A630" s="1209"/>
      <c r="B630" s="1209"/>
      <c r="C630" s="1209"/>
      <c r="D630" s="1267"/>
      <c r="E630" s="1267"/>
      <c r="F630" s="1267"/>
      <c r="G630" s="1267"/>
      <c r="H630" s="1267"/>
      <c r="I630" s="1267"/>
      <c r="J630" s="1267"/>
      <c r="K630" s="1267"/>
      <c r="L630" s="1267"/>
      <c r="M630" s="1267"/>
      <c r="N630" s="1267"/>
      <c r="O630" s="1267"/>
      <c r="P630" s="1267"/>
      <c r="Q630" s="1209"/>
      <c r="R630" s="1209"/>
      <c r="S630" s="1209"/>
      <c r="T630" s="1209"/>
      <c r="U630" s="1209"/>
      <c r="V630" s="1209"/>
      <c r="W630" s="1209"/>
      <c r="X630" s="1209"/>
      <c r="Y630" s="1209"/>
      <c r="Z630" s="1209"/>
      <c r="AA630" s="1209"/>
      <c r="AB630" s="1209"/>
    </row>
    <row r="631">
      <c r="A631" s="1209"/>
      <c r="B631" s="1209"/>
      <c r="C631" s="1209"/>
      <c r="D631" s="1267"/>
      <c r="E631" s="1267"/>
      <c r="F631" s="1267"/>
      <c r="G631" s="1267"/>
      <c r="H631" s="1267"/>
      <c r="I631" s="1267"/>
      <c r="J631" s="1267"/>
      <c r="K631" s="1267"/>
      <c r="L631" s="1267"/>
      <c r="M631" s="1267"/>
      <c r="N631" s="1267"/>
      <c r="O631" s="1267"/>
      <c r="P631" s="1267"/>
      <c r="Q631" s="1209"/>
      <c r="R631" s="1209"/>
      <c r="S631" s="1209"/>
      <c r="T631" s="1209"/>
      <c r="U631" s="1209"/>
      <c r="V631" s="1209"/>
      <c r="W631" s="1209"/>
      <c r="X631" s="1209"/>
      <c r="Y631" s="1209"/>
      <c r="Z631" s="1209"/>
      <c r="AA631" s="1209"/>
      <c r="AB631" s="1209"/>
    </row>
    <row r="632">
      <c r="A632" s="1209"/>
      <c r="B632" s="1209"/>
      <c r="C632" s="1209"/>
      <c r="D632" s="1267"/>
      <c r="E632" s="1267"/>
      <c r="F632" s="1267"/>
      <c r="G632" s="1267"/>
      <c r="H632" s="1267"/>
      <c r="I632" s="1267"/>
      <c r="J632" s="1267"/>
      <c r="K632" s="1267"/>
      <c r="L632" s="1267"/>
      <c r="M632" s="1267"/>
      <c r="N632" s="1267"/>
      <c r="O632" s="1267"/>
      <c r="P632" s="1267"/>
      <c r="Q632" s="1209"/>
      <c r="R632" s="1209"/>
      <c r="S632" s="1209"/>
      <c r="T632" s="1209"/>
      <c r="U632" s="1209"/>
      <c r="V632" s="1209"/>
      <c r="W632" s="1209"/>
      <c r="X632" s="1209"/>
      <c r="Y632" s="1209"/>
      <c r="Z632" s="1209"/>
      <c r="AA632" s="1209"/>
      <c r="AB632" s="1209"/>
    </row>
    <row r="633">
      <c r="A633" s="1209"/>
      <c r="B633" s="1209"/>
      <c r="C633" s="1209"/>
      <c r="D633" s="1267"/>
      <c r="E633" s="1267"/>
      <c r="F633" s="1267"/>
      <c r="G633" s="1267"/>
      <c r="H633" s="1267"/>
      <c r="I633" s="1267"/>
      <c r="J633" s="1267"/>
      <c r="K633" s="1267"/>
      <c r="L633" s="1267"/>
      <c r="M633" s="1267"/>
      <c r="N633" s="1267"/>
      <c r="O633" s="1267"/>
      <c r="P633" s="1267"/>
      <c r="Q633" s="1209"/>
      <c r="R633" s="1209"/>
      <c r="S633" s="1209"/>
      <c r="T633" s="1209"/>
      <c r="U633" s="1209"/>
      <c r="V633" s="1209"/>
      <c r="W633" s="1209"/>
      <c r="X633" s="1209"/>
      <c r="Y633" s="1209"/>
      <c r="Z633" s="1209"/>
      <c r="AA633" s="1209"/>
      <c r="AB633" s="1209"/>
    </row>
    <row r="634">
      <c r="A634" s="1209"/>
      <c r="B634" s="1209"/>
      <c r="C634" s="1209"/>
      <c r="D634" s="1267"/>
      <c r="E634" s="1267"/>
      <c r="F634" s="1267"/>
      <c r="G634" s="1267"/>
      <c r="H634" s="1267"/>
      <c r="I634" s="1267"/>
      <c r="J634" s="1267"/>
      <c r="K634" s="1267"/>
      <c r="L634" s="1267"/>
      <c r="M634" s="1267"/>
      <c r="N634" s="1267"/>
      <c r="O634" s="1267"/>
      <c r="P634" s="1267"/>
      <c r="Q634" s="1209"/>
      <c r="R634" s="1209"/>
      <c r="S634" s="1209"/>
      <c r="T634" s="1209"/>
      <c r="U634" s="1209"/>
      <c r="V634" s="1209"/>
      <c r="W634" s="1209"/>
      <c r="X634" s="1209"/>
      <c r="Y634" s="1209"/>
      <c r="Z634" s="1209"/>
      <c r="AA634" s="1209"/>
      <c r="AB634" s="1209"/>
    </row>
    <row r="635">
      <c r="A635" s="1209"/>
      <c r="B635" s="1209"/>
      <c r="C635" s="1209"/>
      <c r="D635" s="1267"/>
      <c r="E635" s="1267"/>
      <c r="F635" s="1267"/>
      <c r="G635" s="1267"/>
      <c r="H635" s="1267"/>
      <c r="I635" s="1267"/>
      <c r="J635" s="1267"/>
      <c r="K635" s="1267"/>
      <c r="L635" s="1267"/>
      <c r="M635" s="1267"/>
      <c r="N635" s="1267"/>
      <c r="O635" s="1267"/>
      <c r="P635" s="1267"/>
      <c r="Q635" s="1209"/>
      <c r="R635" s="1209"/>
      <c r="S635" s="1209"/>
      <c r="T635" s="1209"/>
      <c r="U635" s="1209"/>
      <c r="V635" s="1209"/>
      <c r="W635" s="1209"/>
      <c r="X635" s="1209"/>
      <c r="Y635" s="1209"/>
      <c r="Z635" s="1209"/>
      <c r="AA635" s="1209"/>
      <c r="AB635" s="1209"/>
    </row>
    <row r="636">
      <c r="A636" s="1209"/>
      <c r="B636" s="1209"/>
      <c r="C636" s="1209"/>
      <c r="D636" s="1267"/>
      <c r="E636" s="1267"/>
      <c r="F636" s="1267"/>
      <c r="G636" s="1267"/>
      <c r="H636" s="1267"/>
      <c r="I636" s="1267"/>
      <c r="J636" s="1267"/>
      <c r="K636" s="1267"/>
      <c r="L636" s="1267"/>
      <c r="M636" s="1267"/>
      <c r="N636" s="1267"/>
      <c r="O636" s="1267"/>
      <c r="P636" s="1267"/>
      <c r="Q636" s="1209"/>
      <c r="R636" s="1209"/>
      <c r="S636" s="1209"/>
      <c r="T636" s="1209"/>
      <c r="U636" s="1209"/>
      <c r="V636" s="1209"/>
      <c r="W636" s="1209"/>
      <c r="X636" s="1209"/>
      <c r="Y636" s="1209"/>
      <c r="Z636" s="1209"/>
      <c r="AA636" s="1209"/>
      <c r="AB636" s="1209"/>
    </row>
    <row r="637">
      <c r="A637" s="1209"/>
      <c r="B637" s="1209"/>
      <c r="C637" s="1209"/>
      <c r="D637" s="1267"/>
      <c r="E637" s="1267"/>
      <c r="F637" s="1267"/>
      <c r="G637" s="1267"/>
      <c r="H637" s="1267"/>
      <c r="I637" s="1267"/>
      <c r="J637" s="1267"/>
      <c r="K637" s="1267"/>
      <c r="L637" s="1267"/>
      <c r="M637" s="1267"/>
      <c r="N637" s="1267"/>
      <c r="O637" s="1267"/>
      <c r="P637" s="1267"/>
      <c r="Q637" s="1209"/>
      <c r="R637" s="1209"/>
      <c r="S637" s="1209"/>
      <c r="T637" s="1209"/>
      <c r="U637" s="1209"/>
      <c r="V637" s="1209"/>
      <c r="W637" s="1209"/>
      <c r="X637" s="1209"/>
      <c r="Y637" s="1209"/>
      <c r="Z637" s="1209"/>
      <c r="AA637" s="1209"/>
      <c r="AB637" s="1209"/>
    </row>
    <row r="638">
      <c r="A638" s="1209"/>
      <c r="B638" s="1209"/>
      <c r="C638" s="1209"/>
      <c r="D638" s="1267"/>
      <c r="E638" s="1267"/>
      <c r="F638" s="1267"/>
      <c r="G638" s="1267"/>
      <c r="H638" s="1267"/>
      <c r="I638" s="1267"/>
      <c r="J638" s="1267"/>
      <c r="K638" s="1267"/>
      <c r="L638" s="1267"/>
      <c r="M638" s="1267"/>
      <c r="N638" s="1267"/>
      <c r="O638" s="1267"/>
      <c r="P638" s="1267"/>
      <c r="Q638" s="1209"/>
      <c r="R638" s="1209"/>
      <c r="S638" s="1209"/>
      <c r="T638" s="1209"/>
      <c r="U638" s="1209"/>
      <c r="V638" s="1209"/>
      <c r="W638" s="1209"/>
      <c r="X638" s="1209"/>
      <c r="Y638" s="1209"/>
      <c r="Z638" s="1209"/>
      <c r="AA638" s="1209"/>
      <c r="AB638" s="1209"/>
    </row>
    <row r="639">
      <c r="A639" s="1209"/>
      <c r="B639" s="1209"/>
      <c r="C639" s="1209"/>
      <c r="D639" s="1267"/>
      <c r="E639" s="1267"/>
      <c r="F639" s="1267"/>
      <c r="G639" s="1267"/>
      <c r="H639" s="1267"/>
      <c r="I639" s="1267"/>
      <c r="J639" s="1267"/>
      <c r="K639" s="1267"/>
      <c r="L639" s="1267"/>
      <c r="M639" s="1267"/>
      <c r="N639" s="1267"/>
      <c r="O639" s="1267"/>
      <c r="P639" s="1267"/>
      <c r="Q639" s="1209"/>
      <c r="R639" s="1209"/>
      <c r="S639" s="1209"/>
      <c r="T639" s="1209"/>
      <c r="U639" s="1209"/>
      <c r="V639" s="1209"/>
      <c r="W639" s="1209"/>
      <c r="X639" s="1209"/>
      <c r="Y639" s="1209"/>
      <c r="Z639" s="1209"/>
      <c r="AA639" s="1209"/>
      <c r="AB639" s="1209"/>
    </row>
    <row r="640">
      <c r="A640" s="1209"/>
      <c r="B640" s="1209"/>
      <c r="C640" s="1209"/>
      <c r="D640" s="1267"/>
      <c r="E640" s="1267"/>
      <c r="F640" s="1267"/>
      <c r="G640" s="1267"/>
      <c r="H640" s="1267"/>
      <c r="I640" s="1267"/>
      <c r="J640" s="1267"/>
      <c r="K640" s="1267"/>
      <c r="L640" s="1267"/>
      <c r="M640" s="1267"/>
      <c r="N640" s="1267"/>
      <c r="O640" s="1267"/>
      <c r="P640" s="1267"/>
      <c r="Q640" s="1209"/>
      <c r="R640" s="1209"/>
      <c r="S640" s="1209"/>
      <c r="T640" s="1209"/>
      <c r="U640" s="1209"/>
      <c r="V640" s="1209"/>
      <c r="W640" s="1209"/>
      <c r="X640" s="1209"/>
      <c r="Y640" s="1209"/>
      <c r="Z640" s="1209"/>
      <c r="AA640" s="1209"/>
      <c r="AB640" s="1209"/>
    </row>
    <row r="641">
      <c r="A641" s="1209"/>
      <c r="B641" s="1209"/>
      <c r="C641" s="1209"/>
      <c r="D641" s="1267"/>
      <c r="E641" s="1267"/>
      <c r="F641" s="1267"/>
      <c r="G641" s="1267"/>
      <c r="H641" s="1267"/>
      <c r="I641" s="1267"/>
      <c r="J641" s="1267"/>
      <c r="K641" s="1267"/>
      <c r="L641" s="1267"/>
      <c r="M641" s="1267"/>
      <c r="N641" s="1267"/>
      <c r="O641" s="1267"/>
      <c r="P641" s="1267"/>
      <c r="Q641" s="1209"/>
      <c r="R641" s="1209"/>
      <c r="S641" s="1209"/>
      <c r="T641" s="1209"/>
      <c r="U641" s="1209"/>
      <c r="V641" s="1209"/>
      <c r="W641" s="1209"/>
      <c r="X641" s="1209"/>
      <c r="Y641" s="1209"/>
      <c r="Z641" s="1209"/>
      <c r="AA641" s="1209"/>
      <c r="AB641" s="1209"/>
    </row>
    <row r="642">
      <c r="A642" s="1209"/>
      <c r="B642" s="1209"/>
      <c r="C642" s="1209"/>
      <c r="D642" s="1267"/>
      <c r="E642" s="1267"/>
      <c r="F642" s="1267"/>
      <c r="G642" s="1267"/>
      <c r="H642" s="1267"/>
      <c r="I642" s="1267"/>
      <c r="J642" s="1267"/>
      <c r="K642" s="1267"/>
      <c r="L642" s="1267"/>
      <c r="M642" s="1267"/>
      <c r="N642" s="1267"/>
      <c r="O642" s="1267"/>
      <c r="P642" s="1267"/>
      <c r="Q642" s="1209"/>
      <c r="R642" s="1209"/>
      <c r="S642" s="1209"/>
      <c r="T642" s="1209"/>
      <c r="U642" s="1209"/>
      <c r="V642" s="1209"/>
      <c r="W642" s="1209"/>
      <c r="X642" s="1209"/>
      <c r="Y642" s="1209"/>
      <c r="Z642" s="1209"/>
      <c r="AA642" s="1209"/>
      <c r="AB642" s="1209"/>
    </row>
    <row r="643">
      <c r="A643" s="1209"/>
      <c r="B643" s="1209"/>
      <c r="C643" s="1209"/>
      <c r="D643" s="1267"/>
      <c r="E643" s="1267"/>
      <c r="F643" s="1267"/>
      <c r="G643" s="1267"/>
      <c r="H643" s="1267"/>
      <c r="I643" s="1267"/>
      <c r="J643" s="1267"/>
      <c r="K643" s="1267"/>
      <c r="L643" s="1267"/>
      <c r="M643" s="1267"/>
      <c r="N643" s="1267"/>
      <c r="O643" s="1267"/>
      <c r="P643" s="1267"/>
      <c r="Q643" s="1209"/>
      <c r="R643" s="1209"/>
      <c r="S643" s="1209"/>
      <c r="T643" s="1209"/>
      <c r="U643" s="1209"/>
      <c r="V643" s="1209"/>
      <c r="W643" s="1209"/>
      <c r="X643" s="1209"/>
      <c r="Y643" s="1209"/>
      <c r="Z643" s="1209"/>
      <c r="AA643" s="1209"/>
      <c r="AB643" s="1209"/>
    </row>
    <row r="644">
      <c r="A644" s="1209"/>
      <c r="B644" s="1209"/>
      <c r="C644" s="1209"/>
      <c r="D644" s="1267"/>
      <c r="E644" s="1267"/>
      <c r="F644" s="1267"/>
      <c r="G644" s="1267"/>
      <c r="H644" s="1267"/>
      <c r="I644" s="1267"/>
      <c r="J644" s="1267"/>
      <c r="K644" s="1267"/>
      <c r="L644" s="1267"/>
      <c r="M644" s="1267"/>
      <c r="N644" s="1267"/>
      <c r="O644" s="1267"/>
      <c r="P644" s="1267"/>
      <c r="Q644" s="1209"/>
      <c r="R644" s="1209"/>
      <c r="S644" s="1209"/>
      <c r="T644" s="1209"/>
      <c r="U644" s="1209"/>
      <c r="V644" s="1209"/>
      <c r="W644" s="1209"/>
      <c r="X644" s="1209"/>
      <c r="Y644" s="1209"/>
      <c r="Z644" s="1209"/>
      <c r="AA644" s="1209"/>
      <c r="AB644" s="1209"/>
    </row>
    <row r="645">
      <c r="A645" s="1209"/>
      <c r="B645" s="1209"/>
      <c r="C645" s="1209"/>
      <c r="D645" s="1267"/>
      <c r="E645" s="1267"/>
      <c r="F645" s="1267"/>
      <c r="G645" s="1267"/>
      <c r="H645" s="1267"/>
      <c r="I645" s="1267"/>
      <c r="J645" s="1267"/>
      <c r="K645" s="1267"/>
      <c r="L645" s="1267"/>
      <c r="M645" s="1267"/>
      <c r="N645" s="1267"/>
      <c r="O645" s="1267"/>
      <c r="P645" s="1267"/>
      <c r="Q645" s="1209"/>
      <c r="R645" s="1209"/>
      <c r="S645" s="1209"/>
      <c r="T645" s="1209"/>
      <c r="U645" s="1209"/>
      <c r="V645" s="1209"/>
      <c r="W645" s="1209"/>
      <c r="X645" s="1209"/>
      <c r="Y645" s="1209"/>
      <c r="Z645" s="1209"/>
      <c r="AA645" s="1209"/>
      <c r="AB645" s="1209"/>
    </row>
    <row r="646">
      <c r="A646" s="1209"/>
      <c r="B646" s="1209"/>
      <c r="C646" s="1209"/>
      <c r="D646" s="1267"/>
      <c r="E646" s="1267"/>
      <c r="F646" s="1267"/>
      <c r="G646" s="1267"/>
      <c r="H646" s="1267"/>
      <c r="I646" s="1267"/>
      <c r="J646" s="1267"/>
      <c r="K646" s="1267"/>
      <c r="L646" s="1267"/>
      <c r="M646" s="1267"/>
      <c r="N646" s="1267"/>
      <c r="O646" s="1267"/>
      <c r="P646" s="1267"/>
      <c r="Q646" s="1209"/>
      <c r="R646" s="1209"/>
      <c r="S646" s="1209"/>
      <c r="T646" s="1209"/>
      <c r="U646" s="1209"/>
      <c r="V646" s="1209"/>
      <c r="W646" s="1209"/>
      <c r="X646" s="1209"/>
      <c r="Y646" s="1209"/>
      <c r="Z646" s="1209"/>
      <c r="AA646" s="1209"/>
      <c r="AB646" s="1209"/>
    </row>
    <row r="647">
      <c r="A647" s="1209"/>
      <c r="B647" s="1209"/>
      <c r="C647" s="1209"/>
      <c r="D647" s="1267"/>
      <c r="E647" s="1267"/>
      <c r="F647" s="1267"/>
      <c r="G647" s="1267"/>
      <c r="H647" s="1267"/>
      <c r="I647" s="1267"/>
      <c r="J647" s="1267"/>
      <c r="K647" s="1267"/>
      <c r="L647" s="1267"/>
      <c r="M647" s="1267"/>
      <c r="N647" s="1267"/>
      <c r="O647" s="1267"/>
      <c r="P647" s="1267"/>
      <c r="Q647" s="1209"/>
      <c r="R647" s="1209"/>
      <c r="S647" s="1209"/>
      <c r="T647" s="1209"/>
      <c r="U647" s="1209"/>
      <c r="V647" s="1209"/>
      <c r="W647" s="1209"/>
      <c r="X647" s="1209"/>
      <c r="Y647" s="1209"/>
      <c r="Z647" s="1209"/>
      <c r="AA647" s="1209"/>
      <c r="AB647" s="1209"/>
    </row>
    <row r="648">
      <c r="A648" s="1209"/>
      <c r="B648" s="1209"/>
      <c r="C648" s="1209"/>
      <c r="D648" s="1267"/>
      <c r="E648" s="1267"/>
      <c r="F648" s="1267"/>
      <c r="G648" s="1267"/>
      <c r="H648" s="1267"/>
      <c r="I648" s="1267"/>
      <c r="J648" s="1267"/>
      <c r="K648" s="1267"/>
      <c r="L648" s="1267"/>
      <c r="M648" s="1267"/>
      <c r="N648" s="1267"/>
      <c r="O648" s="1267"/>
      <c r="P648" s="1267"/>
      <c r="Q648" s="1209"/>
      <c r="R648" s="1209"/>
      <c r="S648" s="1209"/>
      <c r="T648" s="1209"/>
      <c r="U648" s="1209"/>
      <c r="V648" s="1209"/>
      <c r="W648" s="1209"/>
      <c r="X648" s="1209"/>
      <c r="Y648" s="1209"/>
      <c r="Z648" s="1209"/>
      <c r="AA648" s="1209"/>
      <c r="AB648" s="1209"/>
    </row>
    <row r="649">
      <c r="A649" s="1209"/>
      <c r="B649" s="1209"/>
      <c r="C649" s="1209"/>
      <c r="D649" s="1267"/>
      <c r="E649" s="1267"/>
      <c r="F649" s="1267"/>
      <c r="G649" s="1267"/>
      <c r="H649" s="1267"/>
      <c r="I649" s="1267"/>
      <c r="J649" s="1267"/>
      <c r="K649" s="1267"/>
      <c r="L649" s="1267"/>
      <c r="M649" s="1267"/>
      <c r="N649" s="1267"/>
      <c r="O649" s="1267"/>
      <c r="P649" s="1267"/>
      <c r="Q649" s="1209"/>
      <c r="R649" s="1209"/>
      <c r="S649" s="1209"/>
      <c r="T649" s="1209"/>
      <c r="U649" s="1209"/>
      <c r="V649" s="1209"/>
      <c r="W649" s="1209"/>
      <c r="X649" s="1209"/>
      <c r="Y649" s="1209"/>
      <c r="Z649" s="1209"/>
      <c r="AA649" s="1209"/>
      <c r="AB649" s="1209"/>
    </row>
    <row r="650">
      <c r="A650" s="1209"/>
      <c r="B650" s="1209"/>
      <c r="C650" s="1209"/>
      <c r="D650" s="1267"/>
      <c r="E650" s="1267"/>
      <c r="F650" s="1267"/>
      <c r="G650" s="1267"/>
      <c r="H650" s="1267"/>
      <c r="I650" s="1267"/>
      <c r="J650" s="1267"/>
      <c r="K650" s="1267"/>
      <c r="L650" s="1267"/>
      <c r="M650" s="1267"/>
      <c r="N650" s="1267"/>
      <c r="O650" s="1267"/>
      <c r="P650" s="1267"/>
      <c r="Q650" s="1209"/>
      <c r="R650" s="1209"/>
      <c r="S650" s="1209"/>
      <c r="T650" s="1209"/>
      <c r="U650" s="1209"/>
      <c r="V650" s="1209"/>
      <c r="W650" s="1209"/>
      <c r="X650" s="1209"/>
      <c r="Y650" s="1209"/>
      <c r="Z650" s="1209"/>
      <c r="AA650" s="1209"/>
      <c r="AB650" s="1209"/>
    </row>
    <row r="651">
      <c r="A651" s="1209"/>
      <c r="B651" s="1209"/>
      <c r="C651" s="1209"/>
      <c r="D651" s="1267"/>
      <c r="E651" s="1267"/>
      <c r="F651" s="1267"/>
      <c r="G651" s="1267"/>
      <c r="H651" s="1267"/>
      <c r="I651" s="1267"/>
      <c r="J651" s="1267"/>
      <c r="K651" s="1267"/>
      <c r="L651" s="1267"/>
      <c r="M651" s="1267"/>
      <c r="N651" s="1267"/>
      <c r="O651" s="1267"/>
      <c r="P651" s="1267"/>
      <c r="Q651" s="1209"/>
      <c r="R651" s="1209"/>
      <c r="S651" s="1209"/>
      <c r="T651" s="1209"/>
      <c r="U651" s="1209"/>
      <c r="V651" s="1209"/>
      <c r="W651" s="1209"/>
      <c r="X651" s="1209"/>
      <c r="Y651" s="1209"/>
      <c r="Z651" s="1209"/>
      <c r="AA651" s="1209"/>
      <c r="AB651" s="1209"/>
    </row>
    <row r="652">
      <c r="A652" s="1209"/>
      <c r="B652" s="1209"/>
      <c r="C652" s="1209"/>
      <c r="D652" s="1267"/>
      <c r="E652" s="1267"/>
      <c r="F652" s="1267"/>
      <c r="G652" s="1267"/>
      <c r="H652" s="1267"/>
      <c r="I652" s="1267"/>
      <c r="J652" s="1267"/>
      <c r="K652" s="1267"/>
      <c r="L652" s="1267"/>
      <c r="M652" s="1267"/>
      <c r="N652" s="1267"/>
      <c r="O652" s="1267"/>
      <c r="P652" s="1267"/>
      <c r="Q652" s="1209"/>
      <c r="R652" s="1209"/>
      <c r="S652" s="1209"/>
      <c r="T652" s="1209"/>
      <c r="U652" s="1209"/>
      <c r="V652" s="1209"/>
      <c r="W652" s="1209"/>
      <c r="X652" s="1209"/>
      <c r="Y652" s="1209"/>
      <c r="Z652" s="1209"/>
      <c r="AA652" s="1209"/>
      <c r="AB652" s="1209"/>
    </row>
    <row r="653">
      <c r="A653" s="1209"/>
      <c r="B653" s="1209"/>
      <c r="C653" s="1209"/>
      <c r="D653" s="1267"/>
      <c r="E653" s="1267"/>
      <c r="F653" s="1267"/>
      <c r="G653" s="1267"/>
      <c r="H653" s="1267"/>
      <c r="I653" s="1267"/>
      <c r="J653" s="1267"/>
      <c r="K653" s="1267"/>
      <c r="L653" s="1267"/>
      <c r="M653" s="1267"/>
      <c r="N653" s="1267"/>
      <c r="O653" s="1267"/>
      <c r="P653" s="1267"/>
      <c r="Q653" s="1209"/>
      <c r="R653" s="1209"/>
      <c r="S653" s="1209"/>
      <c r="T653" s="1209"/>
      <c r="U653" s="1209"/>
      <c r="V653" s="1209"/>
      <c r="W653" s="1209"/>
      <c r="X653" s="1209"/>
      <c r="Y653" s="1209"/>
      <c r="Z653" s="1209"/>
      <c r="AA653" s="1209"/>
      <c r="AB653" s="1209"/>
    </row>
    <row r="654">
      <c r="A654" s="1209"/>
      <c r="B654" s="1209"/>
      <c r="C654" s="1209"/>
      <c r="D654" s="1267"/>
      <c r="E654" s="1267"/>
      <c r="F654" s="1267"/>
      <c r="G654" s="1267"/>
      <c r="H654" s="1267"/>
      <c r="I654" s="1267"/>
      <c r="J654" s="1267"/>
      <c r="K654" s="1267"/>
      <c r="L654" s="1267"/>
      <c r="M654" s="1267"/>
      <c r="N654" s="1267"/>
      <c r="O654" s="1267"/>
      <c r="P654" s="1267"/>
      <c r="Q654" s="1209"/>
      <c r="R654" s="1209"/>
      <c r="S654" s="1209"/>
      <c r="T654" s="1209"/>
      <c r="U654" s="1209"/>
      <c r="V654" s="1209"/>
      <c r="W654" s="1209"/>
      <c r="X654" s="1209"/>
      <c r="Y654" s="1209"/>
      <c r="Z654" s="1209"/>
      <c r="AA654" s="1209"/>
      <c r="AB654" s="1209"/>
    </row>
    <row r="655">
      <c r="A655" s="1209"/>
      <c r="B655" s="1209"/>
      <c r="C655" s="1209"/>
      <c r="D655" s="1267"/>
      <c r="E655" s="1267"/>
      <c r="F655" s="1267"/>
      <c r="G655" s="1267"/>
      <c r="H655" s="1267"/>
      <c r="I655" s="1267"/>
      <c r="J655" s="1267"/>
      <c r="K655" s="1267"/>
      <c r="L655" s="1267"/>
      <c r="M655" s="1267"/>
      <c r="N655" s="1267"/>
      <c r="O655" s="1267"/>
      <c r="P655" s="1267"/>
      <c r="Q655" s="1209"/>
      <c r="R655" s="1209"/>
      <c r="S655" s="1209"/>
      <c r="T655" s="1209"/>
      <c r="U655" s="1209"/>
      <c r="V655" s="1209"/>
      <c r="W655" s="1209"/>
      <c r="X655" s="1209"/>
      <c r="Y655" s="1209"/>
      <c r="Z655" s="1209"/>
      <c r="AA655" s="1209"/>
      <c r="AB655" s="1209"/>
    </row>
    <row r="656">
      <c r="A656" s="1209"/>
      <c r="B656" s="1209"/>
      <c r="C656" s="1209"/>
      <c r="D656" s="1267"/>
      <c r="E656" s="1267"/>
      <c r="F656" s="1267"/>
      <c r="G656" s="1267"/>
      <c r="H656" s="1267"/>
      <c r="I656" s="1267"/>
      <c r="J656" s="1267"/>
      <c r="K656" s="1267"/>
      <c r="L656" s="1267"/>
      <c r="M656" s="1267"/>
      <c r="N656" s="1267"/>
      <c r="O656" s="1267"/>
      <c r="P656" s="1267"/>
      <c r="Q656" s="1209"/>
      <c r="R656" s="1209"/>
      <c r="S656" s="1209"/>
      <c r="T656" s="1209"/>
      <c r="U656" s="1209"/>
      <c r="V656" s="1209"/>
      <c r="W656" s="1209"/>
      <c r="X656" s="1209"/>
      <c r="Y656" s="1209"/>
      <c r="Z656" s="1209"/>
      <c r="AA656" s="1209"/>
      <c r="AB656" s="1209"/>
    </row>
    <row r="657">
      <c r="A657" s="1209"/>
      <c r="B657" s="1209"/>
      <c r="C657" s="1209"/>
      <c r="D657" s="1267"/>
      <c r="E657" s="1267"/>
      <c r="F657" s="1267"/>
      <c r="G657" s="1267"/>
      <c r="H657" s="1267"/>
      <c r="I657" s="1267"/>
      <c r="J657" s="1267"/>
      <c r="K657" s="1267"/>
      <c r="L657" s="1267"/>
      <c r="M657" s="1267"/>
      <c r="N657" s="1267"/>
      <c r="O657" s="1267"/>
      <c r="P657" s="1267"/>
      <c r="Q657" s="1209"/>
      <c r="R657" s="1209"/>
      <c r="S657" s="1209"/>
      <c r="T657" s="1209"/>
      <c r="U657" s="1209"/>
      <c r="V657" s="1209"/>
      <c r="W657" s="1209"/>
      <c r="X657" s="1209"/>
      <c r="Y657" s="1209"/>
      <c r="Z657" s="1209"/>
      <c r="AA657" s="1209"/>
      <c r="AB657" s="1209"/>
    </row>
    <row r="658">
      <c r="A658" s="1209"/>
      <c r="B658" s="1209"/>
      <c r="C658" s="1209"/>
      <c r="D658" s="1267"/>
      <c r="E658" s="1267"/>
      <c r="F658" s="1267"/>
      <c r="G658" s="1267"/>
      <c r="H658" s="1267"/>
      <c r="I658" s="1267"/>
      <c r="J658" s="1267"/>
      <c r="K658" s="1267"/>
      <c r="L658" s="1267"/>
      <c r="M658" s="1267"/>
      <c r="N658" s="1267"/>
      <c r="O658" s="1267"/>
      <c r="P658" s="1267"/>
      <c r="Q658" s="1209"/>
      <c r="R658" s="1209"/>
      <c r="S658" s="1209"/>
      <c r="T658" s="1209"/>
      <c r="U658" s="1209"/>
      <c r="V658" s="1209"/>
      <c r="W658" s="1209"/>
      <c r="X658" s="1209"/>
      <c r="Y658" s="1209"/>
      <c r="Z658" s="1209"/>
      <c r="AA658" s="1209"/>
      <c r="AB658" s="1209"/>
    </row>
    <row r="659">
      <c r="A659" s="1209"/>
      <c r="B659" s="1209"/>
      <c r="C659" s="1209"/>
      <c r="D659" s="1267"/>
      <c r="E659" s="1267"/>
      <c r="F659" s="1267"/>
      <c r="G659" s="1267"/>
      <c r="H659" s="1267"/>
      <c r="I659" s="1267"/>
      <c r="J659" s="1267"/>
      <c r="K659" s="1267"/>
      <c r="L659" s="1267"/>
      <c r="M659" s="1267"/>
      <c r="N659" s="1267"/>
      <c r="O659" s="1267"/>
      <c r="P659" s="1267"/>
      <c r="Q659" s="1209"/>
      <c r="R659" s="1209"/>
      <c r="S659" s="1209"/>
      <c r="T659" s="1209"/>
      <c r="U659" s="1209"/>
      <c r="V659" s="1209"/>
      <c r="W659" s="1209"/>
      <c r="X659" s="1209"/>
      <c r="Y659" s="1209"/>
      <c r="Z659" s="1209"/>
      <c r="AA659" s="1209"/>
      <c r="AB659" s="1209"/>
    </row>
    <row r="660">
      <c r="A660" s="1209"/>
      <c r="B660" s="1209"/>
      <c r="C660" s="1209"/>
      <c r="D660" s="1267"/>
      <c r="E660" s="1267"/>
      <c r="F660" s="1267"/>
      <c r="G660" s="1267"/>
      <c r="H660" s="1267"/>
      <c r="I660" s="1267"/>
      <c r="J660" s="1267"/>
      <c r="K660" s="1267"/>
      <c r="L660" s="1267"/>
      <c r="M660" s="1267"/>
      <c r="N660" s="1267"/>
      <c r="O660" s="1267"/>
      <c r="P660" s="1267"/>
      <c r="Q660" s="1209"/>
      <c r="R660" s="1209"/>
      <c r="S660" s="1209"/>
      <c r="T660" s="1209"/>
      <c r="U660" s="1209"/>
      <c r="V660" s="1209"/>
      <c r="W660" s="1209"/>
      <c r="X660" s="1209"/>
      <c r="Y660" s="1209"/>
      <c r="Z660" s="1209"/>
      <c r="AA660" s="1209"/>
      <c r="AB660" s="1209"/>
    </row>
    <row r="661">
      <c r="A661" s="1209"/>
      <c r="B661" s="1209"/>
      <c r="C661" s="1209"/>
      <c r="D661" s="1267"/>
      <c r="E661" s="1267"/>
      <c r="F661" s="1267"/>
      <c r="G661" s="1267"/>
      <c r="H661" s="1267"/>
      <c r="I661" s="1267"/>
      <c r="J661" s="1267"/>
      <c r="K661" s="1267"/>
      <c r="L661" s="1267"/>
      <c r="M661" s="1267"/>
      <c r="N661" s="1267"/>
      <c r="O661" s="1267"/>
      <c r="P661" s="1267"/>
      <c r="Q661" s="1209"/>
      <c r="R661" s="1209"/>
      <c r="S661" s="1209"/>
      <c r="T661" s="1209"/>
      <c r="U661" s="1209"/>
      <c r="V661" s="1209"/>
      <c r="W661" s="1209"/>
      <c r="X661" s="1209"/>
      <c r="Y661" s="1209"/>
      <c r="Z661" s="1209"/>
      <c r="AA661" s="1209"/>
      <c r="AB661" s="1209"/>
    </row>
    <row r="662">
      <c r="A662" s="1209"/>
      <c r="B662" s="1209"/>
      <c r="C662" s="1209"/>
      <c r="D662" s="1267"/>
      <c r="E662" s="1267"/>
      <c r="F662" s="1267"/>
      <c r="G662" s="1267"/>
      <c r="H662" s="1267"/>
      <c r="I662" s="1267"/>
      <c r="J662" s="1267"/>
      <c r="K662" s="1267"/>
      <c r="L662" s="1267"/>
      <c r="M662" s="1267"/>
      <c r="N662" s="1267"/>
      <c r="O662" s="1267"/>
      <c r="P662" s="1267"/>
      <c r="Q662" s="1209"/>
      <c r="R662" s="1209"/>
      <c r="S662" s="1209"/>
      <c r="T662" s="1209"/>
      <c r="U662" s="1209"/>
      <c r="V662" s="1209"/>
      <c r="W662" s="1209"/>
      <c r="X662" s="1209"/>
      <c r="Y662" s="1209"/>
      <c r="Z662" s="1209"/>
      <c r="AA662" s="1209"/>
      <c r="AB662" s="1209"/>
    </row>
    <row r="663">
      <c r="A663" s="1209"/>
      <c r="B663" s="1209"/>
      <c r="C663" s="1209"/>
      <c r="D663" s="1267"/>
      <c r="E663" s="1267"/>
      <c r="F663" s="1267"/>
      <c r="G663" s="1267"/>
      <c r="H663" s="1267"/>
      <c r="I663" s="1267"/>
      <c r="J663" s="1267"/>
      <c r="K663" s="1267"/>
      <c r="L663" s="1267"/>
      <c r="M663" s="1267"/>
      <c r="N663" s="1267"/>
      <c r="O663" s="1267"/>
      <c r="P663" s="1267"/>
      <c r="Q663" s="1209"/>
      <c r="R663" s="1209"/>
      <c r="S663" s="1209"/>
      <c r="T663" s="1209"/>
      <c r="U663" s="1209"/>
      <c r="V663" s="1209"/>
      <c r="W663" s="1209"/>
      <c r="X663" s="1209"/>
      <c r="Y663" s="1209"/>
      <c r="Z663" s="1209"/>
      <c r="AA663" s="1209"/>
      <c r="AB663" s="1209"/>
    </row>
    <row r="664">
      <c r="A664" s="1209"/>
      <c r="B664" s="1209"/>
      <c r="C664" s="1209"/>
      <c r="D664" s="1267"/>
      <c r="E664" s="1267"/>
      <c r="F664" s="1267"/>
      <c r="G664" s="1267"/>
      <c r="H664" s="1267"/>
      <c r="I664" s="1267"/>
      <c r="J664" s="1267"/>
      <c r="K664" s="1267"/>
      <c r="L664" s="1267"/>
      <c r="M664" s="1267"/>
      <c r="N664" s="1267"/>
      <c r="O664" s="1267"/>
      <c r="P664" s="1267"/>
      <c r="Q664" s="1209"/>
      <c r="R664" s="1209"/>
      <c r="S664" s="1209"/>
      <c r="T664" s="1209"/>
      <c r="U664" s="1209"/>
      <c r="V664" s="1209"/>
      <c r="W664" s="1209"/>
      <c r="X664" s="1209"/>
      <c r="Y664" s="1209"/>
      <c r="Z664" s="1209"/>
      <c r="AA664" s="1209"/>
      <c r="AB664" s="1209"/>
    </row>
    <row r="665">
      <c r="A665" s="1209"/>
      <c r="B665" s="1209"/>
      <c r="C665" s="1209"/>
      <c r="D665" s="1267"/>
      <c r="E665" s="1267"/>
      <c r="F665" s="1267"/>
      <c r="G665" s="1267"/>
      <c r="H665" s="1267"/>
      <c r="I665" s="1267"/>
      <c r="J665" s="1267"/>
      <c r="K665" s="1267"/>
      <c r="L665" s="1267"/>
      <c r="M665" s="1267"/>
      <c r="N665" s="1267"/>
      <c r="O665" s="1267"/>
      <c r="P665" s="1267"/>
      <c r="Q665" s="1209"/>
      <c r="R665" s="1209"/>
      <c r="S665" s="1209"/>
      <c r="T665" s="1209"/>
      <c r="U665" s="1209"/>
      <c r="V665" s="1209"/>
      <c r="W665" s="1209"/>
      <c r="X665" s="1209"/>
      <c r="Y665" s="1209"/>
      <c r="Z665" s="1209"/>
      <c r="AA665" s="1209"/>
      <c r="AB665" s="1209"/>
    </row>
    <row r="666">
      <c r="A666" s="1209"/>
      <c r="B666" s="1209"/>
      <c r="C666" s="1209"/>
      <c r="D666" s="1267"/>
      <c r="E666" s="1267"/>
      <c r="F666" s="1267"/>
      <c r="G666" s="1267"/>
      <c r="H666" s="1267"/>
      <c r="I666" s="1267"/>
      <c r="J666" s="1267"/>
      <c r="K666" s="1267"/>
      <c r="L666" s="1267"/>
      <c r="M666" s="1267"/>
      <c r="N666" s="1267"/>
      <c r="O666" s="1267"/>
      <c r="P666" s="1267"/>
      <c r="Q666" s="1209"/>
      <c r="R666" s="1209"/>
      <c r="S666" s="1209"/>
      <c r="T666" s="1209"/>
      <c r="U666" s="1209"/>
      <c r="V666" s="1209"/>
      <c r="W666" s="1209"/>
      <c r="X666" s="1209"/>
      <c r="Y666" s="1209"/>
      <c r="Z666" s="1209"/>
      <c r="AA666" s="1209"/>
      <c r="AB666" s="1209"/>
    </row>
    <row r="667">
      <c r="A667" s="1209"/>
      <c r="B667" s="1209"/>
      <c r="C667" s="1209"/>
      <c r="D667" s="1267"/>
      <c r="E667" s="1267"/>
      <c r="F667" s="1267"/>
      <c r="G667" s="1267"/>
      <c r="H667" s="1267"/>
      <c r="I667" s="1267"/>
      <c r="J667" s="1267"/>
      <c r="K667" s="1267"/>
      <c r="L667" s="1267"/>
      <c r="M667" s="1267"/>
      <c r="N667" s="1267"/>
      <c r="O667" s="1267"/>
      <c r="P667" s="1267"/>
      <c r="Q667" s="1209"/>
      <c r="R667" s="1209"/>
      <c r="S667" s="1209"/>
      <c r="T667" s="1209"/>
      <c r="U667" s="1209"/>
      <c r="V667" s="1209"/>
      <c r="W667" s="1209"/>
      <c r="X667" s="1209"/>
      <c r="Y667" s="1209"/>
      <c r="Z667" s="1209"/>
      <c r="AA667" s="1209"/>
      <c r="AB667" s="1209"/>
    </row>
    <row r="668">
      <c r="A668" s="1209"/>
      <c r="B668" s="1209"/>
      <c r="C668" s="1209"/>
      <c r="D668" s="1267"/>
      <c r="E668" s="1267"/>
      <c r="F668" s="1267"/>
      <c r="G668" s="1267"/>
      <c r="H668" s="1267"/>
      <c r="I668" s="1267"/>
      <c r="J668" s="1267"/>
      <c r="K668" s="1267"/>
      <c r="L668" s="1267"/>
      <c r="M668" s="1267"/>
      <c r="N668" s="1267"/>
      <c r="O668" s="1267"/>
      <c r="P668" s="1267"/>
      <c r="Q668" s="1209"/>
      <c r="R668" s="1209"/>
      <c r="S668" s="1209"/>
      <c r="T668" s="1209"/>
      <c r="U668" s="1209"/>
      <c r="V668" s="1209"/>
      <c r="W668" s="1209"/>
      <c r="X668" s="1209"/>
      <c r="Y668" s="1209"/>
      <c r="Z668" s="1209"/>
      <c r="AA668" s="1209"/>
      <c r="AB668" s="1209"/>
    </row>
    <row r="669">
      <c r="A669" s="1209"/>
      <c r="B669" s="1209"/>
      <c r="C669" s="1209"/>
      <c r="D669" s="1267"/>
      <c r="E669" s="1267"/>
      <c r="F669" s="1267"/>
      <c r="G669" s="1267"/>
      <c r="H669" s="1267"/>
      <c r="I669" s="1267"/>
      <c r="J669" s="1267"/>
      <c r="K669" s="1267"/>
      <c r="L669" s="1267"/>
      <c r="M669" s="1267"/>
      <c r="N669" s="1267"/>
      <c r="O669" s="1267"/>
      <c r="P669" s="1267"/>
      <c r="Q669" s="1209"/>
      <c r="R669" s="1209"/>
      <c r="S669" s="1209"/>
      <c r="T669" s="1209"/>
      <c r="U669" s="1209"/>
      <c r="V669" s="1209"/>
      <c r="W669" s="1209"/>
      <c r="X669" s="1209"/>
      <c r="Y669" s="1209"/>
      <c r="Z669" s="1209"/>
      <c r="AA669" s="1209"/>
      <c r="AB669" s="1209"/>
    </row>
    <row r="670">
      <c r="A670" s="1209"/>
      <c r="B670" s="1209"/>
      <c r="C670" s="1209"/>
      <c r="D670" s="1267"/>
      <c r="E670" s="1267"/>
      <c r="F670" s="1267"/>
      <c r="G670" s="1267"/>
      <c r="H670" s="1267"/>
      <c r="I670" s="1267"/>
      <c r="J670" s="1267"/>
      <c r="K670" s="1267"/>
      <c r="L670" s="1267"/>
      <c r="M670" s="1267"/>
      <c r="N670" s="1267"/>
      <c r="O670" s="1267"/>
      <c r="P670" s="1267"/>
      <c r="Q670" s="1209"/>
      <c r="R670" s="1209"/>
      <c r="S670" s="1209"/>
      <c r="T670" s="1209"/>
      <c r="U670" s="1209"/>
      <c r="V670" s="1209"/>
      <c r="W670" s="1209"/>
      <c r="X670" s="1209"/>
      <c r="Y670" s="1209"/>
      <c r="Z670" s="1209"/>
      <c r="AA670" s="1209"/>
      <c r="AB670" s="1209"/>
    </row>
    <row r="671">
      <c r="A671" s="1209"/>
      <c r="B671" s="1209"/>
      <c r="C671" s="1209"/>
      <c r="D671" s="1267"/>
      <c r="E671" s="1267"/>
      <c r="F671" s="1267"/>
      <c r="G671" s="1267"/>
      <c r="H671" s="1267"/>
      <c r="I671" s="1267"/>
      <c r="J671" s="1267"/>
      <c r="K671" s="1267"/>
      <c r="L671" s="1267"/>
      <c r="M671" s="1267"/>
      <c r="N671" s="1267"/>
      <c r="O671" s="1267"/>
      <c r="P671" s="1267"/>
      <c r="Q671" s="1209"/>
      <c r="R671" s="1209"/>
      <c r="S671" s="1209"/>
      <c r="T671" s="1209"/>
      <c r="U671" s="1209"/>
      <c r="V671" s="1209"/>
      <c r="W671" s="1209"/>
      <c r="X671" s="1209"/>
      <c r="Y671" s="1209"/>
      <c r="Z671" s="1209"/>
      <c r="AA671" s="1209"/>
      <c r="AB671" s="1209"/>
    </row>
    <row r="672">
      <c r="A672" s="1209"/>
      <c r="B672" s="1209"/>
      <c r="C672" s="1209"/>
      <c r="D672" s="1267"/>
      <c r="E672" s="1267"/>
      <c r="F672" s="1267"/>
      <c r="G672" s="1267"/>
      <c r="H672" s="1267"/>
      <c r="I672" s="1267"/>
      <c r="J672" s="1267"/>
      <c r="K672" s="1267"/>
      <c r="L672" s="1267"/>
      <c r="M672" s="1267"/>
      <c r="N672" s="1267"/>
      <c r="O672" s="1267"/>
      <c r="P672" s="1267"/>
      <c r="Q672" s="1209"/>
      <c r="R672" s="1209"/>
      <c r="S672" s="1209"/>
      <c r="T672" s="1209"/>
      <c r="U672" s="1209"/>
      <c r="V672" s="1209"/>
      <c r="W672" s="1209"/>
      <c r="X672" s="1209"/>
      <c r="Y672" s="1209"/>
      <c r="Z672" s="1209"/>
      <c r="AA672" s="1209"/>
      <c r="AB672" s="1209"/>
    </row>
    <row r="673">
      <c r="A673" s="1209"/>
      <c r="B673" s="1209"/>
      <c r="C673" s="1209"/>
      <c r="D673" s="1267"/>
      <c r="E673" s="1267"/>
      <c r="F673" s="1267"/>
      <c r="G673" s="1267"/>
      <c r="H673" s="1267"/>
      <c r="I673" s="1267"/>
      <c r="J673" s="1267"/>
      <c r="K673" s="1267"/>
      <c r="L673" s="1267"/>
      <c r="M673" s="1267"/>
      <c r="N673" s="1267"/>
      <c r="O673" s="1267"/>
      <c r="P673" s="1267"/>
      <c r="Q673" s="1209"/>
      <c r="R673" s="1209"/>
      <c r="S673" s="1209"/>
      <c r="T673" s="1209"/>
      <c r="U673" s="1209"/>
      <c r="V673" s="1209"/>
      <c r="W673" s="1209"/>
      <c r="X673" s="1209"/>
      <c r="Y673" s="1209"/>
      <c r="Z673" s="1209"/>
      <c r="AA673" s="1209"/>
      <c r="AB673" s="1209"/>
    </row>
    <row r="674">
      <c r="A674" s="1209"/>
      <c r="B674" s="1209"/>
      <c r="C674" s="1209"/>
      <c r="D674" s="1267"/>
      <c r="E674" s="1267"/>
      <c r="F674" s="1267"/>
      <c r="G674" s="1267"/>
      <c r="H674" s="1267"/>
      <c r="I674" s="1267"/>
      <c r="J674" s="1267"/>
      <c r="K674" s="1267"/>
      <c r="L674" s="1267"/>
      <c r="M674" s="1267"/>
      <c r="N674" s="1267"/>
      <c r="O674" s="1267"/>
      <c r="P674" s="1267"/>
      <c r="Q674" s="1209"/>
      <c r="R674" s="1209"/>
      <c r="S674" s="1209"/>
      <c r="T674" s="1209"/>
      <c r="U674" s="1209"/>
      <c r="V674" s="1209"/>
      <c r="W674" s="1209"/>
      <c r="X674" s="1209"/>
      <c r="Y674" s="1209"/>
      <c r="Z674" s="1209"/>
      <c r="AA674" s="1209"/>
      <c r="AB674" s="1209"/>
    </row>
    <row r="675">
      <c r="A675" s="1209"/>
      <c r="B675" s="1209"/>
      <c r="C675" s="1209"/>
      <c r="D675" s="1267"/>
      <c r="E675" s="1267"/>
      <c r="F675" s="1267"/>
      <c r="G675" s="1267"/>
      <c r="H675" s="1267"/>
      <c r="I675" s="1267"/>
      <c r="J675" s="1267"/>
      <c r="K675" s="1267"/>
      <c r="L675" s="1267"/>
      <c r="M675" s="1267"/>
      <c r="N675" s="1267"/>
      <c r="O675" s="1267"/>
      <c r="P675" s="1267"/>
      <c r="Q675" s="1209"/>
      <c r="R675" s="1209"/>
      <c r="S675" s="1209"/>
      <c r="T675" s="1209"/>
      <c r="U675" s="1209"/>
      <c r="V675" s="1209"/>
      <c r="W675" s="1209"/>
      <c r="X675" s="1209"/>
      <c r="Y675" s="1209"/>
      <c r="Z675" s="1209"/>
      <c r="AA675" s="1209"/>
      <c r="AB675" s="1209"/>
    </row>
    <row r="676">
      <c r="A676" s="1209"/>
      <c r="B676" s="1209"/>
      <c r="C676" s="1209"/>
      <c r="D676" s="1267"/>
      <c r="E676" s="1267"/>
      <c r="F676" s="1267"/>
      <c r="G676" s="1267"/>
      <c r="H676" s="1267"/>
      <c r="I676" s="1267"/>
      <c r="J676" s="1267"/>
      <c r="K676" s="1267"/>
      <c r="L676" s="1267"/>
      <c r="M676" s="1267"/>
      <c r="N676" s="1267"/>
      <c r="O676" s="1267"/>
      <c r="P676" s="1267"/>
      <c r="Q676" s="1209"/>
      <c r="R676" s="1209"/>
      <c r="S676" s="1209"/>
      <c r="T676" s="1209"/>
      <c r="U676" s="1209"/>
      <c r="V676" s="1209"/>
      <c r="W676" s="1209"/>
      <c r="X676" s="1209"/>
      <c r="Y676" s="1209"/>
      <c r="Z676" s="1209"/>
      <c r="AA676" s="1209"/>
      <c r="AB676" s="1209"/>
    </row>
    <row r="677">
      <c r="A677" s="1209"/>
      <c r="B677" s="1209"/>
      <c r="C677" s="1209"/>
      <c r="D677" s="1267"/>
      <c r="E677" s="1267"/>
      <c r="F677" s="1267"/>
      <c r="G677" s="1267"/>
      <c r="H677" s="1267"/>
      <c r="I677" s="1267"/>
      <c r="J677" s="1267"/>
      <c r="K677" s="1267"/>
      <c r="L677" s="1267"/>
      <c r="M677" s="1267"/>
      <c r="N677" s="1267"/>
      <c r="O677" s="1267"/>
      <c r="P677" s="1267"/>
      <c r="Q677" s="1209"/>
      <c r="R677" s="1209"/>
      <c r="S677" s="1209"/>
      <c r="T677" s="1209"/>
      <c r="U677" s="1209"/>
      <c r="V677" s="1209"/>
      <c r="W677" s="1209"/>
      <c r="X677" s="1209"/>
      <c r="Y677" s="1209"/>
      <c r="Z677" s="1209"/>
      <c r="AA677" s="1209"/>
      <c r="AB677" s="1209"/>
    </row>
    <row r="678">
      <c r="A678" s="1209"/>
      <c r="B678" s="1209"/>
      <c r="C678" s="1209"/>
      <c r="D678" s="1267"/>
      <c r="E678" s="1267"/>
      <c r="F678" s="1267"/>
      <c r="G678" s="1267"/>
      <c r="H678" s="1267"/>
      <c r="I678" s="1267"/>
      <c r="J678" s="1267"/>
      <c r="K678" s="1267"/>
      <c r="L678" s="1267"/>
      <c r="M678" s="1267"/>
      <c r="N678" s="1267"/>
      <c r="O678" s="1267"/>
      <c r="P678" s="1267"/>
      <c r="Q678" s="1209"/>
      <c r="R678" s="1209"/>
      <c r="S678" s="1209"/>
      <c r="T678" s="1209"/>
      <c r="U678" s="1209"/>
      <c r="V678" s="1209"/>
      <c r="W678" s="1209"/>
      <c r="X678" s="1209"/>
      <c r="Y678" s="1209"/>
      <c r="Z678" s="1209"/>
      <c r="AA678" s="1209"/>
      <c r="AB678" s="1209"/>
    </row>
    <row r="679">
      <c r="A679" s="1209"/>
      <c r="B679" s="1209"/>
      <c r="C679" s="1209"/>
      <c r="D679" s="1267"/>
      <c r="E679" s="1267"/>
      <c r="F679" s="1267"/>
      <c r="G679" s="1267"/>
      <c r="H679" s="1267"/>
      <c r="I679" s="1267"/>
      <c r="J679" s="1267"/>
      <c r="K679" s="1267"/>
      <c r="L679" s="1267"/>
      <c r="M679" s="1267"/>
      <c r="N679" s="1267"/>
      <c r="O679" s="1267"/>
      <c r="P679" s="1267"/>
      <c r="Q679" s="1209"/>
      <c r="R679" s="1209"/>
      <c r="S679" s="1209"/>
      <c r="T679" s="1209"/>
      <c r="U679" s="1209"/>
      <c r="V679" s="1209"/>
      <c r="W679" s="1209"/>
      <c r="X679" s="1209"/>
      <c r="Y679" s="1209"/>
      <c r="Z679" s="1209"/>
      <c r="AA679" s="1209"/>
      <c r="AB679" s="1209"/>
    </row>
    <row r="680">
      <c r="A680" s="1209"/>
      <c r="B680" s="1209"/>
      <c r="C680" s="1209"/>
      <c r="D680" s="1267"/>
      <c r="E680" s="1267"/>
      <c r="F680" s="1267"/>
      <c r="G680" s="1267"/>
      <c r="H680" s="1267"/>
      <c r="I680" s="1267"/>
      <c r="J680" s="1267"/>
      <c r="K680" s="1267"/>
      <c r="L680" s="1267"/>
      <c r="M680" s="1267"/>
      <c r="N680" s="1267"/>
      <c r="O680" s="1267"/>
      <c r="P680" s="1267"/>
      <c r="Q680" s="1209"/>
      <c r="R680" s="1209"/>
      <c r="S680" s="1209"/>
      <c r="T680" s="1209"/>
      <c r="U680" s="1209"/>
      <c r="V680" s="1209"/>
      <c r="W680" s="1209"/>
      <c r="X680" s="1209"/>
      <c r="Y680" s="1209"/>
      <c r="Z680" s="1209"/>
      <c r="AA680" s="1209"/>
      <c r="AB680" s="1209"/>
    </row>
    <row r="681">
      <c r="A681" s="1209"/>
      <c r="B681" s="1209"/>
      <c r="C681" s="1209"/>
      <c r="D681" s="1267"/>
      <c r="E681" s="1267"/>
      <c r="F681" s="1267"/>
      <c r="G681" s="1267"/>
      <c r="H681" s="1267"/>
      <c r="I681" s="1267"/>
      <c r="J681" s="1267"/>
      <c r="K681" s="1267"/>
      <c r="L681" s="1267"/>
      <c r="M681" s="1267"/>
      <c r="N681" s="1267"/>
      <c r="O681" s="1267"/>
      <c r="P681" s="1267"/>
      <c r="Q681" s="1209"/>
      <c r="R681" s="1209"/>
      <c r="S681" s="1209"/>
      <c r="T681" s="1209"/>
      <c r="U681" s="1209"/>
      <c r="V681" s="1209"/>
      <c r="W681" s="1209"/>
      <c r="X681" s="1209"/>
      <c r="Y681" s="1209"/>
      <c r="Z681" s="1209"/>
      <c r="AA681" s="1209"/>
      <c r="AB681" s="1209"/>
    </row>
    <row r="682">
      <c r="A682" s="1209"/>
      <c r="B682" s="1209"/>
      <c r="C682" s="1209"/>
      <c r="D682" s="1267"/>
      <c r="E682" s="1267"/>
      <c r="F682" s="1267"/>
      <c r="G682" s="1267"/>
      <c r="H682" s="1267"/>
      <c r="I682" s="1267"/>
      <c r="J682" s="1267"/>
      <c r="K682" s="1267"/>
      <c r="L682" s="1267"/>
      <c r="M682" s="1267"/>
      <c r="N682" s="1267"/>
      <c r="O682" s="1267"/>
      <c r="P682" s="1267"/>
      <c r="Q682" s="1209"/>
      <c r="R682" s="1209"/>
      <c r="S682" s="1209"/>
      <c r="T682" s="1209"/>
      <c r="U682" s="1209"/>
      <c r="V682" s="1209"/>
      <c r="W682" s="1209"/>
      <c r="X682" s="1209"/>
      <c r="Y682" s="1209"/>
      <c r="Z682" s="1209"/>
      <c r="AA682" s="1209"/>
      <c r="AB682" s="1209"/>
    </row>
    <row r="683">
      <c r="A683" s="1209"/>
      <c r="B683" s="1209"/>
      <c r="C683" s="1209"/>
      <c r="D683" s="1267"/>
      <c r="E683" s="1267"/>
      <c r="F683" s="1267"/>
      <c r="G683" s="1267"/>
      <c r="H683" s="1267"/>
      <c r="I683" s="1267"/>
      <c r="J683" s="1267"/>
      <c r="K683" s="1267"/>
      <c r="L683" s="1267"/>
      <c r="M683" s="1267"/>
      <c r="N683" s="1267"/>
      <c r="O683" s="1267"/>
      <c r="P683" s="1267"/>
      <c r="Q683" s="1209"/>
      <c r="R683" s="1209"/>
      <c r="S683" s="1209"/>
      <c r="T683" s="1209"/>
      <c r="U683" s="1209"/>
      <c r="V683" s="1209"/>
      <c r="W683" s="1209"/>
      <c r="X683" s="1209"/>
      <c r="Y683" s="1209"/>
      <c r="Z683" s="1209"/>
      <c r="AA683" s="1209"/>
      <c r="AB683" s="1209"/>
    </row>
    <row r="684">
      <c r="A684" s="1209"/>
      <c r="B684" s="1209"/>
      <c r="C684" s="1209"/>
      <c r="D684" s="1267"/>
      <c r="E684" s="1267"/>
      <c r="F684" s="1267"/>
      <c r="G684" s="1267"/>
      <c r="H684" s="1267"/>
      <c r="I684" s="1267"/>
      <c r="J684" s="1267"/>
      <c r="K684" s="1267"/>
      <c r="L684" s="1267"/>
      <c r="M684" s="1267"/>
      <c r="N684" s="1267"/>
      <c r="O684" s="1267"/>
      <c r="P684" s="1267"/>
      <c r="Q684" s="1209"/>
      <c r="R684" s="1209"/>
      <c r="S684" s="1209"/>
      <c r="T684" s="1209"/>
      <c r="U684" s="1209"/>
      <c r="V684" s="1209"/>
      <c r="W684" s="1209"/>
      <c r="X684" s="1209"/>
      <c r="Y684" s="1209"/>
      <c r="Z684" s="1209"/>
      <c r="AA684" s="1209"/>
      <c r="AB684" s="1209"/>
    </row>
    <row r="685">
      <c r="A685" s="1209"/>
      <c r="B685" s="1209"/>
      <c r="C685" s="1209"/>
      <c r="D685" s="1267"/>
      <c r="E685" s="1267"/>
      <c r="F685" s="1267"/>
      <c r="G685" s="1267"/>
      <c r="H685" s="1267"/>
      <c r="I685" s="1267"/>
      <c r="J685" s="1267"/>
      <c r="K685" s="1267"/>
      <c r="L685" s="1267"/>
      <c r="M685" s="1267"/>
      <c r="N685" s="1267"/>
      <c r="O685" s="1267"/>
      <c r="P685" s="1267"/>
      <c r="Q685" s="1209"/>
      <c r="R685" s="1209"/>
      <c r="S685" s="1209"/>
      <c r="T685" s="1209"/>
      <c r="U685" s="1209"/>
      <c r="V685" s="1209"/>
      <c r="W685" s="1209"/>
      <c r="X685" s="1209"/>
      <c r="Y685" s="1209"/>
      <c r="Z685" s="1209"/>
      <c r="AA685" s="1209"/>
      <c r="AB685" s="1209"/>
    </row>
    <row r="686">
      <c r="A686" s="1209"/>
      <c r="B686" s="1209"/>
      <c r="C686" s="1209"/>
      <c r="D686" s="1267"/>
      <c r="E686" s="1267"/>
      <c r="F686" s="1267"/>
      <c r="G686" s="1267"/>
      <c r="H686" s="1267"/>
      <c r="I686" s="1267"/>
      <c r="J686" s="1267"/>
      <c r="K686" s="1267"/>
      <c r="L686" s="1267"/>
      <c r="M686" s="1267"/>
      <c r="N686" s="1267"/>
      <c r="O686" s="1267"/>
      <c r="P686" s="1267"/>
      <c r="Q686" s="1209"/>
      <c r="R686" s="1209"/>
      <c r="S686" s="1209"/>
      <c r="T686" s="1209"/>
      <c r="U686" s="1209"/>
      <c r="V686" s="1209"/>
      <c r="W686" s="1209"/>
      <c r="X686" s="1209"/>
      <c r="Y686" s="1209"/>
      <c r="Z686" s="1209"/>
      <c r="AA686" s="1209"/>
      <c r="AB686" s="1209"/>
    </row>
    <row r="687">
      <c r="A687" s="1209"/>
      <c r="B687" s="1209"/>
      <c r="C687" s="1209"/>
      <c r="D687" s="1267"/>
      <c r="E687" s="1267"/>
      <c r="F687" s="1267"/>
      <c r="G687" s="1267"/>
      <c r="H687" s="1267"/>
      <c r="I687" s="1267"/>
      <c r="J687" s="1267"/>
      <c r="K687" s="1267"/>
      <c r="L687" s="1267"/>
      <c r="M687" s="1267"/>
      <c r="N687" s="1267"/>
      <c r="O687" s="1267"/>
      <c r="P687" s="1267"/>
      <c r="Q687" s="1209"/>
      <c r="R687" s="1209"/>
      <c r="S687" s="1209"/>
      <c r="T687" s="1209"/>
      <c r="U687" s="1209"/>
      <c r="V687" s="1209"/>
      <c r="W687" s="1209"/>
      <c r="X687" s="1209"/>
      <c r="Y687" s="1209"/>
      <c r="Z687" s="1209"/>
      <c r="AA687" s="1209"/>
      <c r="AB687" s="1209"/>
    </row>
    <row r="688">
      <c r="A688" s="1209"/>
      <c r="B688" s="1209"/>
      <c r="C688" s="1209"/>
      <c r="D688" s="1267"/>
      <c r="E688" s="1267"/>
      <c r="F688" s="1267"/>
      <c r="G688" s="1267"/>
      <c r="H688" s="1267"/>
      <c r="I688" s="1267"/>
      <c r="J688" s="1267"/>
      <c r="K688" s="1267"/>
      <c r="L688" s="1267"/>
      <c r="M688" s="1267"/>
      <c r="N688" s="1267"/>
      <c r="O688" s="1267"/>
      <c r="P688" s="1267"/>
      <c r="Q688" s="1209"/>
      <c r="R688" s="1209"/>
      <c r="S688" s="1209"/>
      <c r="T688" s="1209"/>
      <c r="U688" s="1209"/>
      <c r="V688" s="1209"/>
      <c r="W688" s="1209"/>
      <c r="X688" s="1209"/>
      <c r="Y688" s="1209"/>
      <c r="Z688" s="1209"/>
      <c r="AA688" s="1209"/>
      <c r="AB688" s="1209"/>
    </row>
    <row r="689">
      <c r="A689" s="1209"/>
      <c r="B689" s="1209"/>
      <c r="C689" s="1209"/>
      <c r="D689" s="1267"/>
      <c r="E689" s="1267"/>
      <c r="F689" s="1267"/>
      <c r="G689" s="1267"/>
      <c r="H689" s="1267"/>
      <c r="I689" s="1267"/>
      <c r="J689" s="1267"/>
      <c r="K689" s="1267"/>
      <c r="L689" s="1267"/>
      <c r="M689" s="1267"/>
      <c r="N689" s="1267"/>
      <c r="O689" s="1267"/>
      <c r="P689" s="1267"/>
      <c r="Q689" s="1209"/>
      <c r="R689" s="1209"/>
      <c r="S689" s="1209"/>
      <c r="T689" s="1209"/>
      <c r="U689" s="1209"/>
      <c r="V689" s="1209"/>
      <c r="W689" s="1209"/>
      <c r="X689" s="1209"/>
      <c r="Y689" s="1209"/>
      <c r="Z689" s="1209"/>
      <c r="AA689" s="1209"/>
      <c r="AB689" s="1209"/>
    </row>
    <row r="690">
      <c r="A690" s="1209"/>
      <c r="B690" s="1209"/>
      <c r="C690" s="1209"/>
      <c r="D690" s="1267"/>
      <c r="E690" s="1267"/>
      <c r="F690" s="1267"/>
      <c r="G690" s="1267"/>
      <c r="H690" s="1267"/>
      <c r="I690" s="1267"/>
      <c r="J690" s="1267"/>
      <c r="K690" s="1267"/>
      <c r="L690" s="1267"/>
      <c r="M690" s="1267"/>
      <c r="N690" s="1267"/>
      <c r="O690" s="1267"/>
      <c r="P690" s="1267"/>
      <c r="Q690" s="1209"/>
      <c r="R690" s="1209"/>
      <c r="S690" s="1209"/>
      <c r="T690" s="1209"/>
      <c r="U690" s="1209"/>
      <c r="V690" s="1209"/>
      <c r="W690" s="1209"/>
      <c r="X690" s="1209"/>
      <c r="Y690" s="1209"/>
      <c r="Z690" s="1209"/>
      <c r="AA690" s="1209"/>
      <c r="AB690" s="1209"/>
    </row>
    <row r="691">
      <c r="A691" s="1209"/>
      <c r="B691" s="1209"/>
      <c r="C691" s="1209"/>
      <c r="D691" s="1267"/>
      <c r="E691" s="1267"/>
      <c r="F691" s="1267"/>
      <c r="G691" s="1267"/>
      <c r="H691" s="1267"/>
      <c r="I691" s="1267"/>
      <c r="J691" s="1267"/>
      <c r="K691" s="1267"/>
      <c r="L691" s="1267"/>
      <c r="M691" s="1267"/>
      <c r="N691" s="1267"/>
      <c r="O691" s="1267"/>
      <c r="P691" s="1267"/>
      <c r="Q691" s="1209"/>
      <c r="R691" s="1209"/>
      <c r="S691" s="1209"/>
      <c r="T691" s="1209"/>
      <c r="U691" s="1209"/>
      <c r="V691" s="1209"/>
      <c r="W691" s="1209"/>
      <c r="X691" s="1209"/>
      <c r="Y691" s="1209"/>
      <c r="Z691" s="1209"/>
      <c r="AA691" s="1209"/>
      <c r="AB691" s="1209"/>
    </row>
    <row r="692">
      <c r="A692" s="1209"/>
      <c r="B692" s="1209"/>
      <c r="C692" s="1209"/>
      <c r="D692" s="1267"/>
      <c r="E692" s="1267"/>
      <c r="F692" s="1267"/>
      <c r="G692" s="1267"/>
      <c r="H692" s="1267"/>
      <c r="I692" s="1267"/>
      <c r="J692" s="1267"/>
      <c r="K692" s="1267"/>
      <c r="L692" s="1267"/>
      <c r="M692" s="1267"/>
      <c r="N692" s="1267"/>
      <c r="O692" s="1267"/>
      <c r="P692" s="1267"/>
      <c r="Q692" s="1209"/>
      <c r="R692" s="1209"/>
      <c r="S692" s="1209"/>
      <c r="T692" s="1209"/>
      <c r="U692" s="1209"/>
      <c r="V692" s="1209"/>
      <c r="W692" s="1209"/>
      <c r="X692" s="1209"/>
      <c r="Y692" s="1209"/>
      <c r="Z692" s="1209"/>
      <c r="AA692" s="1209"/>
      <c r="AB692" s="1209"/>
    </row>
    <row r="693">
      <c r="A693" s="1209"/>
      <c r="B693" s="1209"/>
      <c r="C693" s="1209"/>
      <c r="D693" s="1267"/>
      <c r="E693" s="1267"/>
      <c r="F693" s="1267"/>
      <c r="G693" s="1267"/>
      <c r="H693" s="1267"/>
      <c r="I693" s="1267"/>
      <c r="J693" s="1267"/>
      <c r="K693" s="1267"/>
      <c r="L693" s="1267"/>
      <c r="M693" s="1267"/>
      <c r="N693" s="1267"/>
      <c r="O693" s="1267"/>
      <c r="P693" s="1267"/>
      <c r="Q693" s="1209"/>
      <c r="R693" s="1209"/>
      <c r="S693" s="1209"/>
      <c r="T693" s="1209"/>
      <c r="U693" s="1209"/>
      <c r="V693" s="1209"/>
      <c r="W693" s="1209"/>
      <c r="X693" s="1209"/>
      <c r="Y693" s="1209"/>
      <c r="Z693" s="1209"/>
      <c r="AA693" s="1209"/>
      <c r="AB693" s="1209"/>
    </row>
    <row r="694">
      <c r="A694" s="1209"/>
      <c r="B694" s="1209"/>
      <c r="C694" s="1209"/>
      <c r="D694" s="1267"/>
      <c r="E694" s="1267"/>
      <c r="F694" s="1267"/>
      <c r="G694" s="1267"/>
      <c r="H694" s="1267"/>
      <c r="I694" s="1267"/>
      <c r="J694" s="1267"/>
      <c r="K694" s="1267"/>
      <c r="L694" s="1267"/>
      <c r="M694" s="1267"/>
      <c r="N694" s="1267"/>
      <c r="O694" s="1267"/>
      <c r="P694" s="1267"/>
      <c r="Q694" s="1209"/>
      <c r="R694" s="1209"/>
      <c r="S694" s="1209"/>
      <c r="T694" s="1209"/>
      <c r="U694" s="1209"/>
      <c r="V694" s="1209"/>
      <c r="W694" s="1209"/>
      <c r="X694" s="1209"/>
      <c r="Y694" s="1209"/>
      <c r="Z694" s="1209"/>
      <c r="AA694" s="1209"/>
      <c r="AB694" s="1209"/>
    </row>
    <row r="695">
      <c r="A695" s="1209"/>
      <c r="B695" s="1209"/>
      <c r="C695" s="1209"/>
      <c r="D695" s="1267"/>
      <c r="E695" s="1267"/>
      <c r="F695" s="1267"/>
      <c r="G695" s="1267"/>
      <c r="H695" s="1267"/>
      <c r="I695" s="1267"/>
      <c r="J695" s="1267"/>
      <c r="K695" s="1267"/>
      <c r="L695" s="1267"/>
      <c r="M695" s="1267"/>
      <c r="N695" s="1267"/>
      <c r="O695" s="1267"/>
      <c r="P695" s="1267"/>
      <c r="Q695" s="1209"/>
      <c r="R695" s="1209"/>
      <c r="S695" s="1209"/>
      <c r="T695" s="1209"/>
      <c r="U695" s="1209"/>
      <c r="V695" s="1209"/>
      <c r="W695" s="1209"/>
      <c r="X695" s="1209"/>
      <c r="Y695" s="1209"/>
      <c r="Z695" s="1209"/>
      <c r="AA695" s="1209"/>
      <c r="AB695" s="1209"/>
    </row>
    <row r="696">
      <c r="A696" s="1209"/>
      <c r="B696" s="1209"/>
      <c r="C696" s="1209"/>
      <c r="D696" s="1267"/>
      <c r="E696" s="1267"/>
      <c r="F696" s="1267"/>
      <c r="G696" s="1267"/>
      <c r="H696" s="1267"/>
      <c r="I696" s="1267"/>
      <c r="J696" s="1267"/>
      <c r="K696" s="1267"/>
      <c r="L696" s="1267"/>
      <c r="M696" s="1267"/>
      <c r="N696" s="1267"/>
      <c r="O696" s="1267"/>
      <c r="P696" s="1267"/>
      <c r="Q696" s="1209"/>
      <c r="R696" s="1209"/>
      <c r="S696" s="1209"/>
      <c r="T696" s="1209"/>
      <c r="U696" s="1209"/>
      <c r="V696" s="1209"/>
      <c r="W696" s="1209"/>
      <c r="X696" s="1209"/>
      <c r="Y696" s="1209"/>
      <c r="Z696" s="1209"/>
      <c r="AA696" s="1209"/>
      <c r="AB696" s="1209"/>
    </row>
    <row r="697">
      <c r="A697" s="1209"/>
      <c r="B697" s="1209"/>
      <c r="C697" s="1209"/>
      <c r="D697" s="1267"/>
      <c r="E697" s="1267"/>
      <c r="F697" s="1267"/>
      <c r="G697" s="1267"/>
      <c r="H697" s="1267"/>
      <c r="I697" s="1267"/>
      <c r="J697" s="1267"/>
      <c r="K697" s="1267"/>
      <c r="L697" s="1267"/>
      <c r="M697" s="1267"/>
      <c r="N697" s="1267"/>
      <c r="O697" s="1267"/>
      <c r="P697" s="1267"/>
      <c r="Q697" s="1209"/>
      <c r="R697" s="1209"/>
      <c r="S697" s="1209"/>
      <c r="T697" s="1209"/>
      <c r="U697" s="1209"/>
      <c r="V697" s="1209"/>
      <c r="W697" s="1209"/>
      <c r="X697" s="1209"/>
      <c r="Y697" s="1209"/>
      <c r="Z697" s="1209"/>
      <c r="AA697" s="1209"/>
      <c r="AB697" s="1209"/>
    </row>
    <row r="698">
      <c r="A698" s="1209"/>
      <c r="B698" s="1209"/>
      <c r="C698" s="1209"/>
      <c r="D698" s="1267"/>
      <c r="E698" s="1267"/>
      <c r="F698" s="1267"/>
      <c r="G698" s="1267"/>
      <c r="H698" s="1267"/>
      <c r="I698" s="1267"/>
      <c r="J698" s="1267"/>
      <c r="K698" s="1267"/>
      <c r="L698" s="1267"/>
      <c r="M698" s="1267"/>
      <c r="N698" s="1267"/>
      <c r="O698" s="1267"/>
      <c r="P698" s="1267"/>
      <c r="Q698" s="1209"/>
      <c r="R698" s="1209"/>
      <c r="S698" s="1209"/>
      <c r="T698" s="1209"/>
      <c r="U698" s="1209"/>
      <c r="V698" s="1209"/>
      <c r="W698" s="1209"/>
      <c r="X698" s="1209"/>
      <c r="Y698" s="1209"/>
      <c r="Z698" s="1209"/>
      <c r="AA698" s="1209"/>
      <c r="AB698" s="1209"/>
    </row>
    <row r="699">
      <c r="A699" s="1209"/>
      <c r="B699" s="1209"/>
      <c r="C699" s="1209"/>
      <c r="D699" s="1267"/>
      <c r="E699" s="1267"/>
      <c r="F699" s="1267"/>
      <c r="G699" s="1267"/>
      <c r="H699" s="1267"/>
      <c r="I699" s="1267"/>
      <c r="J699" s="1267"/>
      <c r="K699" s="1267"/>
      <c r="L699" s="1267"/>
      <c r="M699" s="1267"/>
      <c r="N699" s="1267"/>
      <c r="O699" s="1267"/>
      <c r="P699" s="1267"/>
      <c r="Q699" s="1209"/>
      <c r="R699" s="1209"/>
      <c r="S699" s="1209"/>
      <c r="T699" s="1209"/>
      <c r="U699" s="1209"/>
      <c r="V699" s="1209"/>
      <c r="W699" s="1209"/>
      <c r="X699" s="1209"/>
      <c r="Y699" s="1209"/>
      <c r="Z699" s="1209"/>
      <c r="AA699" s="1209"/>
      <c r="AB699" s="1209"/>
    </row>
    <row r="700">
      <c r="A700" s="1209"/>
      <c r="B700" s="1209"/>
      <c r="C700" s="1209"/>
      <c r="D700" s="1267"/>
      <c r="E700" s="1267"/>
      <c r="F700" s="1267"/>
      <c r="G700" s="1267"/>
      <c r="H700" s="1267"/>
      <c r="I700" s="1267"/>
      <c r="J700" s="1267"/>
      <c r="K700" s="1267"/>
      <c r="L700" s="1267"/>
      <c r="M700" s="1267"/>
      <c r="N700" s="1267"/>
      <c r="O700" s="1267"/>
      <c r="P700" s="1267"/>
      <c r="Q700" s="1209"/>
      <c r="R700" s="1209"/>
      <c r="S700" s="1209"/>
      <c r="T700" s="1209"/>
      <c r="U700" s="1209"/>
      <c r="V700" s="1209"/>
      <c r="W700" s="1209"/>
      <c r="X700" s="1209"/>
      <c r="Y700" s="1209"/>
      <c r="Z700" s="1209"/>
      <c r="AA700" s="1209"/>
      <c r="AB700" s="1209"/>
    </row>
    <row r="701">
      <c r="A701" s="1209"/>
      <c r="B701" s="1209"/>
      <c r="C701" s="1209"/>
      <c r="D701" s="1267"/>
      <c r="E701" s="1267"/>
      <c r="F701" s="1267"/>
      <c r="G701" s="1267"/>
      <c r="H701" s="1267"/>
      <c r="I701" s="1267"/>
      <c r="J701" s="1267"/>
      <c r="K701" s="1267"/>
      <c r="L701" s="1267"/>
      <c r="M701" s="1267"/>
      <c r="N701" s="1267"/>
      <c r="O701" s="1267"/>
      <c r="P701" s="1267"/>
      <c r="Q701" s="1209"/>
      <c r="R701" s="1209"/>
      <c r="S701" s="1209"/>
      <c r="T701" s="1209"/>
      <c r="U701" s="1209"/>
      <c r="V701" s="1209"/>
      <c r="W701" s="1209"/>
      <c r="X701" s="1209"/>
      <c r="Y701" s="1209"/>
      <c r="Z701" s="1209"/>
      <c r="AA701" s="1209"/>
      <c r="AB701" s="1209"/>
    </row>
    <row r="702">
      <c r="A702" s="1209"/>
      <c r="B702" s="1209"/>
      <c r="C702" s="1209"/>
      <c r="D702" s="1267"/>
      <c r="E702" s="1267"/>
      <c r="F702" s="1267"/>
      <c r="G702" s="1267"/>
      <c r="H702" s="1267"/>
      <c r="I702" s="1267"/>
      <c r="J702" s="1267"/>
      <c r="K702" s="1267"/>
      <c r="L702" s="1267"/>
      <c r="M702" s="1267"/>
      <c r="N702" s="1267"/>
      <c r="O702" s="1267"/>
      <c r="P702" s="1267"/>
      <c r="Q702" s="1209"/>
      <c r="R702" s="1209"/>
      <c r="S702" s="1209"/>
      <c r="T702" s="1209"/>
      <c r="U702" s="1209"/>
      <c r="V702" s="1209"/>
      <c r="W702" s="1209"/>
      <c r="X702" s="1209"/>
      <c r="Y702" s="1209"/>
      <c r="Z702" s="1209"/>
      <c r="AA702" s="1209"/>
      <c r="AB702" s="1209"/>
    </row>
    <row r="703">
      <c r="A703" s="1209"/>
      <c r="B703" s="1209"/>
      <c r="C703" s="1209"/>
      <c r="D703" s="1267"/>
      <c r="E703" s="1267"/>
      <c r="F703" s="1267"/>
      <c r="G703" s="1267"/>
      <c r="H703" s="1267"/>
      <c r="I703" s="1267"/>
      <c r="J703" s="1267"/>
      <c r="K703" s="1267"/>
      <c r="L703" s="1267"/>
      <c r="M703" s="1267"/>
      <c r="N703" s="1267"/>
      <c r="O703" s="1267"/>
      <c r="P703" s="1267"/>
      <c r="Q703" s="1209"/>
      <c r="R703" s="1209"/>
      <c r="S703" s="1209"/>
      <c r="T703" s="1209"/>
      <c r="U703" s="1209"/>
      <c r="V703" s="1209"/>
      <c r="W703" s="1209"/>
      <c r="X703" s="1209"/>
      <c r="Y703" s="1209"/>
      <c r="Z703" s="1209"/>
      <c r="AA703" s="1209"/>
      <c r="AB703" s="1209"/>
    </row>
    <row r="704">
      <c r="A704" s="1209"/>
      <c r="B704" s="1209"/>
      <c r="C704" s="1209"/>
      <c r="D704" s="1267"/>
      <c r="E704" s="1267"/>
      <c r="F704" s="1267"/>
      <c r="G704" s="1267"/>
      <c r="H704" s="1267"/>
      <c r="I704" s="1267"/>
      <c r="J704" s="1267"/>
      <c r="K704" s="1267"/>
      <c r="L704" s="1267"/>
      <c r="M704" s="1267"/>
      <c r="N704" s="1267"/>
      <c r="O704" s="1267"/>
      <c r="P704" s="1267"/>
      <c r="Q704" s="1209"/>
      <c r="R704" s="1209"/>
      <c r="S704" s="1209"/>
      <c r="T704" s="1209"/>
      <c r="U704" s="1209"/>
      <c r="V704" s="1209"/>
      <c r="W704" s="1209"/>
      <c r="X704" s="1209"/>
      <c r="Y704" s="1209"/>
      <c r="Z704" s="1209"/>
      <c r="AA704" s="1209"/>
      <c r="AB704" s="1209"/>
    </row>
    <row r="705">
      <c r="A705" s="1209"/>
      <c r="B705" s="1209"/>
      <c r="C705" s="1209"/>
      <c r="D705" s="1267"/>
      <c r="E705" s="1267"/>
      <c r="F705" s="1267"/>
      <c r="G705" s="1267"/>
      <c r="H705" s="1267"/>
      <c r="I705" s="1267"/>
      <c r="J705" s="1267"/>
      <c r="K705" s="1267"/>
      <c r="L705" s="1267"/>
      <c r="M705" s="1267"/>
      <c r="N705" s="1267"/>
      <c r="O705" s="1267"/>
      <c r="P705" s="1267"/>
      <c r="Q705" s="1209"/>
      <c r="R705" s="1209"/>
      <c r="S705" s="1209"/>
      <c r="T705" s="1209"/>
      <c r="U705" s="1209"/>
      <c r="V705" s="1209"/>
      <c r="W705" s="1209"/>
      <c r="X705" s="1209"/>
      <c r="Y705" s="1209"/>
      <c r="Z705" s="1209"/>
      <c r="AA705" s="1209"/>
      <c r="AB705" s="1209"/>
    </row>
    <row r="706">
      <c r="A706" s="1209"/>
      <c r="B706" s="1209"/>
      <c r="C706" s="1209"/>
      <c r="D706" s="1267"/>
      <c r="E706" s="1267"/>
      <c r="F706" s="1267"/>
      <c r="G706" s="1267"/>
      <c r="H706" s="1267"/>
      <c r="I706" s="1267"/>
      <c r="J706" s="1267"/>
      <c r="K706" s="1267"/>
      <c r="L706" s="1267"/>
      <c r="M706" s="1267"/>
      <c r="N706" s="1267"/>
      <c r="O706" s="1267"/>
      <c r="P706" s="1267"/>
      <c r="Q706" s="1209"/>
      <c r="R706" s="1209"/>
      <c r="S706" s="1209"/>
      <c r="T706" s="1209"/>
      <c r="U706" s="1209"/>
      <c r="V706" s="1209"/>
      <c r="W706" s="1209"/>
      <c r="X706" s="1209"/>
      <c r="Y706" s="1209"/>
      <c r="Z706" s="1209"/>
      <c r="AA706" s="1209"/>
      <c r="AB706" s="1209"/>
    </row>
    <row r="707">
      <c r="A707" s="1209"/>
      <c r="B707" s="1209"/>
      <c r="C707" s="1209"/>
      <c r="D707" s="1267"/>
      <c r="E707" s="1267"/>
      <c r="F707" s="1267"/>
      <c r="G707" s="1267"/>
      <c r="H707" s="1267"/>
      <c r="I707" s="1267"/>
      <c r="J707" s="1267"/>
      <c r="K707" s="1267"/>
      <c r="L707" s="1267"/>
      <c r="M707" s="1267"/>
      <c r="N707" s="1267"/>
      <c r="O707" s="1267"/>
      <c r="P707" s="1267"/>
      <c r="Q707" s="1209"/>
      <c r="R707" s="1209"/>
      <c r="S707" s="1209"/>
      <c r="T707" s="1209"/>
      <c r="U707" s="1209"/>
      <c r="V707" s="1209"/>
      <c r="W707" s="1209"/>
      <c r="X707" s="1209"/>
      <c r="Y707" s="1209"/>
      <c r="Z707" s="1209"/>
      <c r="AA707" s="1209"/>
      <c r="AB707" s="1209"/>
    </row>
    <row r="708">
      <c r="A708" s="1209"/>
      <c r="B708" s="1209"/>
      <c r="C708" s="1209"/>
      <c r="D708" s="1267"/>
      <c r="E708" s="1267"/>
      <c r="F708" s="1267"/>
      <c r="G708" s="1267"/>
      <c r="H708" s="1267"/>
      <c r="I708" s="1267"/>
      <c r="J708" s="1267"/>
      <c r="K708" s="1267"/>
      <c r="L708" s="1267"/>
      <c r="M708" s="1267"/>
      <c r="N708" s="1267"/>
      <c r="O708" s="1267"/>
      <c r="P708" s="1267"/>
      <c r="Q708" s="1209"/>
      <c r="R708" s="1209"/>
      <c r="S708" s="1209"/>
      <c r="T708" s="1209"/>
      <c r="U708" s="1209"/>
      <c r="V708" s="1209"/>
      <c r="W708" s="1209"/>
      <c r="X708" s="1209"/>
      <c r="Y708" s="1209"/>
      <c r="Z708" s="1209"/>
      <c r="AA708" s="1209"/>
      <c r="AB708" s="1209"/>
    </row>
    <row r="709">
      <c r="A709" s="1209"/>
      <c r="B709" s="1209"/>
      <c r="C709" s="1209"/>
      <c r="D709" s="1267"/>
      <c r="E709" s="1267"/>
      <c r="F709" s="1267"/>
      <c r="G709" s="1267"/>
      <c r="H709" s="1267"/>
      <c r="I709" s="1267"/>
      <c r="J709" s="1267"/>
      <c r="K709" s="1267"/>
      <c r="L709" s="1267"/>
      <c r="M709" s="1267"/>
      <c r="N709" s="1267"/>
      <c r="O709" s="1267"/>
      <c r="P709" s="1267"/>
      <c r="Q709" s="1209"/>
      <c r="R709" s="1209"/>
      <c r="S709" s="1209"/>
      <c r="T709" s="1209"/>
      <c r="U709" s="1209"/>
      <c r="V709" s="1209"/>
      <c r="W709" s="1209"/>
      <c r="X709" s="1209"/>
      <c r="Y709" s="1209"/>
      <c r="Z709" s="1209"/>
      <c r="AA709" s="1209"/>
      <c r="AB709" s="1209"/>
    </row>
    <row r="710">
      <c r="A710" s="1209"/>
      <c r="B710" s="1209"/>
      <c r="C710" s="1209"/>
      <c r="D710" s="1267"/>
      <c r="E710" s="1267"/>
      <c r="F710" s="1267"/>
      <c r="G710" s="1267"/>
      <c r="H710" s="1267"/>
      <c r="I710" s="1267"/>
      <c r="J710" s="1267"/>
      <c r="K710" s="1267"/>
      <c r="L710" s="1267"/>
      <c r="M710" s="1267"/>
      <c r="N710" s="1267"/>
      <c r="O710" s="1267"/>
      <c r="P710" s="1267"/>
      <c r="Q710" s="1209"/>
      <c r="R710" s="1209"/>
      <c r="S710" s="1209"/>
      <c r="T710" s="1209"/>
      <c r="U710" s="1209"/>
      <c r="V710" s="1209"/>
      <c r="W710" s="1209"/>
      <c r="X710" s="1209"/>
      <c r="Y710" s="1209"/>
      <c r="Z710" s="1209"/>
      <c r="AA710" s="1209"/>
      <c r="AB710" s="1209"/>
    </row>
    <row r="711">
      <c r="A711" s="1209"/>
      <c r="B711" s="1209"/>
      <c r="C711" s="1209"/>
      <c r="D711" s="1267"/>
      <c r="E711" s="1267"/>
      <c r="F711" s="1267"/>
      <c r="G711" s="1267"/>
      <c r="H711" s="1267"/>
      <c r="I711" s="1267"/>
      <c r="J711" s="1267"/>
      <c r="K711" s="1267"/>
      <c r="L711" s="1267"/>
      <c r="M711" s="1267"/>
      <c r="N711" s="1267"/>
      <c r="O711" s="1267"/>
      <c r="P711" s="1267"/>
      <c r="Q711" s="1209"/>
      <c r="R711" s="1209"/>
      <c r="S711" s="1209"/>
      <c r="T711" s="1209"/>
      <c r="U711" s="1209"/>
      <c r="V711" s="1209"/>
      <c r="W711" s="1209"/>
      <c r="X711" s="1209"/>
      <c r="Y711" s="1209"/>
      <c r="Z711" s="1209"/>
      <c r="AA711" s="1209"/>
      <c r="AB711" s="1209"/>
    </row>
    <row r="712">
      <c r="A712" s="1209"/>
      <c r="B712" s="1209"/>
      <c r="C712" s="1209"/>
      <c r="D712" s="1267"/>
      <c r="E712" s="1267"/>
      <c r="F712" s="1267"/>
      <c r="G712" s="1267"/>
      <c r="H712" s="1267"/>
      <c r="I712" s="1267"/>
      <c r="J712" s="1267"/>
      <c r="K712" s="1267"/>
      <c r="L712" s="1267"/>
      <c r="M712" s="1267"/>
      <c r="N712" s="1267"/>
      <c r="O712" s="1267"/>
      <c r="P712" s="1267"/>
      <c r="Q712" s="1209"/>
      <c r="R712" s="1209"/>
      <c r="S712" s="1209"/>
      <c r="T712" s="1209"/>
      <c r="U712" s="1209"/>
      <c r="V712" s="1209"/>
      <c r="W712" s="1209"/>
      <c r="X712" s="1209"/>
      <c r="Y712" s="1209"/>
      <c r="Z712" s="1209"/>
      <c r="AA712" s="1209"/>
      <c r="AB712" s="1209"/>
    </row>
    <row r="713">
      <c r="A713" s="1209"/>
      <c r="B713" s="1209"/>
      <c r="C713" s="1209"/>
      <c r="D713" s="1267"/>
      <c r="E713" s="1267"/>
      <c r="F713" s="1267"/>
      <c r="G713" s="1267"/>
      <c r="H713" s="1267"/>
      <c r="I713" s="1267"/>
      <c r="J713" s="1267"/>
      <c r="K713" s="1267"/>
      <c r="L713" s="1267"/>
      <c r="M713" s="1267"/>
      <c r="N713" s="1267"/>
      <c r="O713" s="1267"/>
      <c r="P713" s="1267"/>
      <c r="Q713" s="1209"/>
      <c r="R713" s="1209"/>
      <c r="S713" s="1209"/>
      <c r="T713" s="1209"/>
      <c r="U713" s="1209"/>
      <c r="V713" s="1209"/>
      <c r="W713" s="1209"/>
      <c r="X713" s="1209"/>
      <c r="Y713" s="1209"/>
      <c r="Z713" s="1209"/>
      <c r="AA713" s="1209"/>
      <c r="AB713" s="1209"/>
    </row>
    <row r="714">
      <c r="A714" s="1209"/>
      <c r="B714" s="1209"/>
      <c r="C714" s="1209"/>
      <c r="D714" s="1267"/>
      <c r="E714" s="1267"/>
      <c r="F714" s="1267"/>
      <c r="G714" s="1267"/>
      <c r="H714" s="1267"/>
      <c r="I714" s="1267"/>
      <c r="J714" s="1267"/>
      <c r="K714" s="1267"/>
      <c r="L714" s="1267"/>
      <c r="M714" s="1267"/>
      <c r="N714" s="1267"/>
      <c r="O714" s="1267"/>
      <c r="P714" s="1267"/>
      <c r="Q714" s="1209"/>
      <c r="R714" s="1209"/>
      <c r="S714" s="1209"/>
      <c r="T714" s="1209"/>
      <c r="U714" s="1209"/>
      <c r="V714" s="1209"/>
      <c r="W714" s="1209"/>
      <c r="X714" s="1209"/>
      <c r="Y714" s="1209"/>
      <c r="Z714" s="1209"/>
      <c r="AA714" s="1209"/>
      <c r="AB714" s="1209"/>
    </row>
    <row r="715">
      <c r="A715" s="1209"/>
      <c r="B715" s="1209"/>
      <c r="C715" s="1209"/>
      <c r="D715" s="1267"/>
      <c r="E715" s="1267"/>
      <c r="F715" s="1267"/>
      <c r="G715" s="1267"/>
      <c r="H715" s="1267"/>
      <c r="I715" s="1267"/>
      <c r="J715" s="1267"/>
      <c r="K715" s="1267"/>
      <c r="L715" s="1267"/>
      <c r="M715" s="1267"/>
      <c r="N715" s="1267"/>
      <c r="O715" s="1267"/>
      <c r="P715" s="1267"/>
      <c r="Q715" s="1209"/>
      <c r="R715" s="1209"/>
      <c r="S715" s="1209"/>
      <c r="T715" s="1209"/>
      <c r="U715" s="1209"/>
      <c r="V715" s="1209"/>
      <c r="W715" s="1209"/>
      <c r="X715" s="1209"/>
      <c r="Y715" s="1209"/>
      <c r="Z715" s="1209"/>
      <c r="AA715" s="1209"/>
      <c r="AB715" s="1209"/>
    </row>
    <row r="716">
      <c r="A716" s="1209"/>
      <c r="B716" s="1209"/>
      <c r="C716" s="1209"/>
      <c r="D716" s="1267"/>
      <c r="E716" s="1267"/>
      <c r="F716" s="1267"/>
      <c r="G716" s="1267"/>
      <c r="H716" s="1267"/>
      <c r="I716" s="1267"/>
      <c r="J716" s="1267"/>
      <c r="K716" s="1267"/>
      <c r="L716" s="1267"/>
      <c r="M716" s="1267"/>
      <c r="N716" s="1267"/>
      <c r="O716" s="1267"/>
      <c r="P716" s="1267"/>
      <c r="Q716" s="1209"/>
      <c r="R716" s="1209"/>
      <c r="S716" s="1209"/>
      <c r="T716" s="1209"/>
      <c r="U716" s="1209"/>
      <c r="V716" s="1209"/>
      <c r="W716" s="1209"/>
      <c r="X716" s="1209"/>
      <c r="Y716" s="1209"/>
      <c r="Z716" s="1209"/>
      <c r="AA716" s="1209"/>
      <c r="AB716" s="1209"/>
    </row>
    <row r="717">
      <c r="A717" s="1209"/>
      <c r="B717" s="1209"/>
      <c r="C717" s="1209"/>
      <c r="D717" s="1267"/>
      <c r="E717" s="1267"/>
      <c r="F717" s="1267"/>
      <c r="G717" s="1267"/>
      <c r="H717" s="1267"/>
      <c r="I717" s="1267"/>
      <c r="J717" s="1267"/>
      <c r="K717" s="1267"/>
      <c r="L717" s="1267"/>
      <c r="M717" s="1267"/>
      <c r="N717" s="1267"/>
      <c r="O717" s="1267"/>
      <c r="P717" s="1267"/>
      <c r="Q717" s="1209"/>
      <c r="R717" s="1209"/>
      <c r="S717" s="1209"/>
      <c r="T717" s="1209"/>
      <c r="U717" s="1209"/>
      <c r="V717" s="1209"/>
      <c r="W717" s="1209"/>
      <c r="X717" s="1209"/>
      <c r="Y717" s="1209"/>
      <c r="Z717" s="1209"/>
      <c r="AA717" s="1209"/>
      <c r="AB717" s="1209"/>
    </row>
    <row r="718">
      <c r="A718" s="1209"/>
      <c r="B718" s="1209"/>
      <c r="C718" s="1209"/>
      <c r="D718" s="1267"/>
      <c r="E718" s="1267"/>
      <c r="F718" s="1267"/>
      <c r="G718" s="1267"/>
      <c r="H718" s="1267"/>
      <c r="I718" s="1267"/>
      <c r="J718" s="1267"/>
      <c r="K718" s="1267"/>
      <c r="L718" s="1267"/>
      <c r="M718" s="1267"/>
      <c r="N718" s="1267"/>
      <c r="O718" s="1267"/>
      <c r="P718" s="1267"/>
      <c r="Q718" s="1209"/>
      <c r="R718" s="1209"/>
      <c r="S718" s="1209"/>
      <c r="T718" s="1209"/>
      <c r="U718" s="1209"/>
      <c r="V718" s="1209"/>
      <c r="W718" s="1209"/>
      <c r="X718" s="1209"/>
      <c r="Y718" s="1209"/>
      <c r="Z718" s="1209"/>
      <c r="AA718" s="1209"/>
      <c r="AB718" s="1209"/>
    </row>
    <row r="719">
      <c r="A719" s="1209"/>
      <c r="B719" s="1209"/>
      <c r="C719" s="1209"/>
      <c r="D719" s="1267"/>
      <c r="E719" s="1267"/>
      <c r="F719" s="1267"/>
      <c r="G719" s="1267"/>
      <c r="H719" s="1267"/>
      <c r="I719" s="1267"/>
      <c r="J719" s="1267"/>
      <c r="K719" s="1267"/>
      <c r="L719" s="1267"/>
      <c r="M719" s="1267"/>
      <c r="N719" s="1267"/>
      <c r="O719" s="1267"/>
      <c r="P719" s="1267"/>
      <c r="Q719" s="1209"/>
      <c r="R719" s="1209"/>
      <c r="S719" s="1209"/>
      <c r="T719" s="1209"/>
      <c r="U719" s="1209"/>
      <c r="V719" s="1209"/>
      <c r="W719" s="1209"/>
      <c r="X719" s="1209"/>
      <c r="Y719" s="1209"/>
      <c r="Z719" s="1209"/>
      <c r="AA719" s="1209"/>
      <c r="AB719" s="1209"/>
    </row>
    <row r="720">
      <c r="A720" s="1209"/>
      <c r="B720" s="1209"/>
      <c r="C720" s="1209"/>
      <c r="D720" s="1267"/>
      <c r="E720" s="1267"/>
      <c r="F720" s="1267"/>
      <c r="G720" s="1267"/>
      <c r="H720" s="1267"/>
      <c r="I720" s="1267"/>
      <c r="J720" s="1267"/>
      <c r="K720" s="1267"/>
      <c r="L720" s="1267"/>
      <c r="M720" s="1267"/>
      <c r="N720" s="1267"/>
      <c r="O720" s="1267"/>
      <c r="P720" s="1267"/>
      <c r="Q720" s="1209"/>
      <c r="R720" s="1209"/>
      <c r="S720" s="1209"/>
      <c r="T720" s="1209"/>
      <c r="U720" s="1209"/>
      <c r="V720" s="1209"/>
      <c r="W720" s="1209"/>
      <c r="X720" s="1209"/>
      <c r="Y720" s="1209"/>
      <c r="Z720" s="1209"/>
      <c r="AA720" s="1209"/>
      <c r="AB720" s="1209"/>
    </row>
    <row r="721">
      <c r="A721" s="1209"/>
      <c r="B721" s="1209"/>
      <c r="C721" s="1209"/>
      <c r="D721" s="1267"/>
      <c r="E721" s="1267"/>
      <c r="F721" s="1267"/>
      <c r="G721" s="1267"/>
      <c r="H721" s="1267"/>
      <c r="I721" s="1267"/>
      <c r="J721" s="1267"/>
      <c r="K721" s="1267"/>
      <c r="L721" s="1267"/>
      <c r="M721" s="1267"/>
      <c r="N721" s="1267"/>
      <c r="O721" s="1267"/>
      <c r="P721" s="1267"/>
      <c r="Q721" s="1209"/>
      <c r="R721" s="1209"/>
      <c r="S721" s="1209"/>
      <c r="T721" s="1209"/>
      <c r="U721" s="1209"/>
      <c r="V721" s="1209"/>
      <c r="W721" s="1209"/>
      <c r="X721" s="1209"/>
      <c r="Y721" s="1209"/>
      <c r="Z721" s="1209"/>
      <c r="AA721" s="1209"/>
      <c r="AB721" s="1209"/>
    </row>
    <row r="722">
      <c r="A722" s="1209"/>
      <c r="B722" s="1209"/>
      <c r="C722" s="1209"/>
      <c r="D722" s="1267"/>
      <c r="E722" s="1267"/>
      <c r="F722" s="1267"/>
      <c r="G722" s="1267"/>
      <c r="H722" s="1267"/>
      <c r="I722" s="1267"/>
      <c r="J722" s="1267"/>
      <c r="K722" s="1267"/>
      <c r="L722" s="1267"/>
      <c r="M722" s="1267"/>
      <c r="N722" s="1267"/>
      <c r="O722" s="1267"/>
      <c r="P722" s="1267"/>
      <c r="Q722" s="1209"/>
      <c r="R722" s="1209"/>
      <c r="S722" s="1209"/>
      <c r="T722" s="1209"/>
      <c r="U722" s="1209"/>
      <c r="V722" s="1209"/>
      <c r="W722" s="1209"/>
      <c r="X722" s="1209"/>
      <c r="Y722" s="1209"/>
      <c r="Z722" s="1209"/>
      <c r="AA722" s="1209"/>
      <c r="AB722" s="1209"/>
    </row>
    <row r="723">
      <c r="A723" s="1209"/>
      <c r="B723" s="1209"/>
      <c r="C723" s="1209"/>
      <c r="D723" s="1267"/>
      <c r="E723" s="1267"/>
      <c r="F723" s="1267"/>
      <c r="G723" s="1267"/>
      <c r="H723" s="1267"/>
      <c r="I723" s="1267"/>
      <c r="J723" s="1267"/>
      <c r="K723" s="1267"/>
      <c r="L723" s="1267"/>
      <c r="M723" s="1267"/>
      <c r="N723" s="1267"/>
      <c r="O723" s="1267"/>
      <c r="P723" s="1267"/>
      <c r="Q723" s="1209"/>
      <c r="R723" s="1209"/>
      <c r="S723" s="1209"/>
      <c r="T723" s="1209"/>
      <c r="U723" s="1209"/>
      <c r="V723" s="1209"/>
      <c r="W723" s="1209"/>
      <c r="X723" s="1209"/>
      <c r="Y723" s="1209"/>
      <c r="Z723" s="1209"/>
      <c r="AA723" s="1209"/>
      <c r="AB723" s="1209"/>
    </row>
    <row r="724">
      <c r="A724" s="1209"/>
      <c r="B724" s="1209"/>
      <c r="C724" s="1209"/>
      <c r="D724" s="1267"/>
      <c r="E724" s="1267"/>
      <c r="F724" s="1267"/>
      <c r="G724" s="1267"/>
      <c r="H724" s="1267"/>
      <c r="I724" s="1267"/>
      <c r="J724" s="1267"/>
      <c r="K724" s="1267"/>
      <c r="L724" s="1267"/>
      <c r="M724" s="1267"/>
      <c r="N724" s="1267"/>
      <c r="O724" s="1267"/>
      <c r="P724" s="1267"/>
      <c r="Q724" s="1209"/>
      <c r="R724" s="1209"/>
      <c r="S724" s="1209"/>
      <c r="T724" s="1209"/>
      <c r="U724" s="1209"/>
      <c r="V724" s="1209"/>
      <c r="W724" s="1209"/>
      <c r="X724" s="1209"/>
      <c r="Y724" s="1209"/>
      <c r="Z724" s="1209"/>
      <c r="AA724" s="1209"/>
      <c r="AB724" s="1209"/>
    </row>
    <row r="725">
      <c r="A725" s="1209"/>
      <c r="B725" s="1209"/>
      <c r="C725" s="1209"/>
      <c r="D725" s="1267"/>
      <c r="E725" s="1267"/>
      <c r="F725" s="1267"/>
      <c r="G725" s="1267"/>
      <c r="H725" s="1267"/>
      <c r="I725" s="1267"/>
      <c r="J725" s="1267"/>
      <c r="K725" s="1267"/>
      <c r="L725" s="1267"/>
      <c r="M725" s="1267"/>
      <c r="N725" s="1267"/>
      <c r="O725" s="1267"/>
      <c r="P725" s="1267"/>
      <c r="Q725" s="1209"/>
      <c r="R725" s="1209"/>
      <c r="S725" s="1209"/>
      <c r="T725" s="1209"/>
      <c r="U725" s="1209"/>
      <c r="V725" s="1209"/>
      <c r="W725" s="1209"/>
      <c r="X725" s="1209"/>
      <c r="Y725" s="1209"/>
      <c r="Z725" s="1209"/>
      <c r="AA725" s="1209"/>
      <c r="AB725" s="1209"/>
    </row>
    <row r="726">
      <c r="A726" s="1209"/>
      <c r="B726" s="1209"/>
      <c r="C726" s="1209"/>
      <c r="D726" s="1267"/>
      <c r="E726" s="1267"/>
      <c r="F726" s="1267"/>
      <c r="G726" s="1267"/>
      <c r="H726" s="1267"/>
      <c r="I726" s="1267"/>
      <c r="J726" s="1267"/>
      <c r="K726" s="1267"/>
      <c r="L726" s="1267"/>
      <c r="M726" s="1267"/>
      <c r="N726" s="1267"/>
      <c r="O726" s="1267"/>
      <c r="P726" s="1267"/>
      <c r="Q726" s="1209"/>
      <c r="R726" s="1209"/>
      <c r="S726" s="1209"/>
      <c r="T726" s="1209"/>
      <c r="U726" s="1209"/>
      <c r="V726" s="1209"/>
      <c r="W726" s="1209"/>
      <c r="X726" s="1209"/>
      <c r="Y726" s="1209"/>
      <c r="Z726" s="1209"/>
      <c r="AA726" s="1209"/>
      <c r="AB726" s="1209"/>
    </row>
    <row r="727">
      <c r="A727" s="1209"/>
      <c r="B727" s="1209"/>
      <c r="C727" s="1209"/>
      <c r="D727" s="1267"/>
      <c r="E727" s="1267"/>
      <c r="F727" s="1267"/>
      <c r="G727" s="1267"/>
      <c r="H727" s="1267"/>
      <c r="I727" s="1267"/>
      <c r="J727" s="1267"/>
      <c r="K727" s="1267"/>
      <c r="L727" s="1267"/>
      <c r="M727" s="1267"/>
      <c r="N727" s="1267"/>
      <c r="O727" s="1267"/>
      <c r="P727" s="1267"/>
      <c r="Q727" s="1209"/>
      <c r="R727" s="1209"/>
      <c r="S727" s="1209"/>
      <c r="T727" s="1209"/>
      <c r="U727" s="1209"/>
      <c r="V727" s="1209"/>
      <c r="W727" s="1209"/>
      <c r="X727" s="1209"/>
      <c r="Y727" s="1209"/>
      <c r="Z727" s="1209"/>
      <c r="AA727" s="1209"/>
      <c r="AB727" s="1209"/>
    </row>
    <row r="728">
      <c r="A728" s="1209"/>
      <c r="B728" s="1209"/>
      <c r="C728" s="1209"/>
      <c r="D728" s="1267"/>
      <c r="E728" s="1267"/>
      <c r="F728" s="1267"/>
      <c r="G728" s="1267"/>
      <c r="H728" s="1267"/>
      <c r="I728" s="1267"/>
      <c r="J728" s="1267"/>
      <c r="K728" s="1267"/>
      <c r="L728" s="1267"/>
      <c r="M728" s="1267"/>
      <c r="N728" s="1267"/>
      <c r="O728" s="1267"/>
      <c r="P728" s="1267"/>
      <c r="Q728" s="1209"/>
      <c r="R728" s="1209"/>
      <c r="S728" s="1209"/>
      <c r="T728" s="1209"/>
      <c r="U728" s="1209"/>
      <c r="V728" s="1209"/>
      <c r="W728" s="1209"/>
      <c r="X728" s="1209"/>
      <c r="Y728" s="1209"/>
      <c r="Z728" s="1209"/>
      <c r="AA728" s="1209"/>
      <c r="AB728" s="1209"/>
    </row>
    <row r="729">
      <c r="A729" s="1209"/>
      <c r="B729" s="1209"/>
      <c r="C729" s="1209"/>
      <c r="D729" s="1267"/>
      <c r="E729" s="1267"/>
      <c r="F729" s="1267"/>
      <c r="G729" s="1267"/>
      <c r="H729" s="1267"/>
      <c r="I729" s="1267"/>
      <c r="J729" s="1267"/>
      <c r="K729" s="1267"/>
      <c r="L729" s="1267"/>
      <c r="M729" s="1267"/>
      <c r="N729" s="1267"/>
      <c r="O729" s="1267"/>
      <c r="P729" s="1267"/>
      <c r="Q729" s="1209"/>
      <c r="R729" s="1209"/>
      <c r="S729" s="1209"/>
      <c r="T729" s="1209"/>
      <c r="U729" s="1209"/>
      <c r="V729" s="1209"/>
      <c r="W729" s="1209"/>
      <c r="X729" s="1209"/>
      <c r="Y729" s="1209"/>
      <c r="Z729" s="1209"/>
      <c r="AA729" s="1209"/>
      <c r="AB729" s="1209"/>
    </row>
    <row r="730">
      <c r="A730" s="1209"/>
      <c r="B730" s="1209"/>
      <c r="C730" s="1209"/>
      <c r="D730" s="1267"/>
      <c r="E730" s="1267"/>
      <c r="F730" s="1267"/>
      <c r="G730" s="1267"/>
      <c r="H730" s="1267"/>
      <c r="I730" s="1267"/>
      <c r="J730" s="1267"/>
      <c r="K730" s="1267"/>
      <c r="L730" s="1267"/>
      <c r="M730" s="1267"/>
      <c r="N730" s="1267"/>
      <c r="O730" s="1267"/>
      <c r="P730" s="1267"/>
      <c r="Q730" s="1209"/>
      <c r="R730" s="1209"/>
      <c r="S730" s="1209"/>
      <c r="T730" s="1209"/>
      <c r="U730" s="1209"/>
      <c r="V730" s="1209"/>
      <c r="W730" s="1209"/>
      <c r="X730" s="1209"/>
      <c r="Y730" s="1209"/>
      <c r="Z730" s="1209"/>
      <c r="AA730" s="1209"/>
      <c r="AB730" s="1209"/>
    </row>
    <row r="731">
      <c r="A731" s="1209"/>
      <c r="B731" s="1209"/>
      <c r="C731" s="1209"/>
      <c r="D731" s="1267"/>
      <c r="E731" s="1267"/>
      <c r="F731" s="1267"/>
      <c r="G731" s="1267"/>
      <c r="H731" s="1267"/>
      <c r="I731" s="1267"/>
      <c r="J731" s="1267"/>
      <c r="K731" s="1267"/>
      <c r="L731" s="1267"/>
      <c r="M731" s="1267"/>
      <c r="N731" s="1267"/>
      <c r="O731" s="1267"/>
      <c r="P731" s="1267"/>
      <c r="Q731" s="1209"/>
      <c r="R731" s="1209"/>
      <c r="S731" s="1209"/>
      <c r="T731" s="1209"/>
      <c r="U731" s="1209"/>
      <c r="V731" s="1209"/>
      <c r="W731" s="1209"/>
      <c r="X731" s="1209"/>
      <c r="Y731" s="1209"/>
      <c r="Z731" s="1209"/>
      <c r="AA731" s="1209"/>
      <c r="AB731" s="1209"/>
    </row>
    <row r="732">
      <c r="A732" s="1209"/>
      <c r="B732" s="1209"/>
      <c r="C732" s="1209"/>
      <c r="D732" s="1267"/>
      <c r="E732" s="1267"/>
      <c r="F732" s="1267"/>
      <c r="G732" s="1267"/>
      <c r="H732" s="1267"/>
      <c r="I732" s="1267"/>
      <c r="J732" s="1267"/>
      <c r="K732" s="1267"/>
      <c r="L732" s="1267"/>
      <c r="M732" s="1267"/>
      <c r="N732" s="1267"/>
      <c r="O732" s="1267"/>
      <c r="P732" s="1267"/>
      <c r="Q732" s="1209"/>
      <c r="R732" s="1209"/>
      <c r="S732" s="1209"/>
      <c r="T732" s="1209"/>
      <c r="U732" s="1209"/>
      <c r="V732" s="1209"/>
      <c r="W732" s="1209"/>
      <c r="X732" s="1209"/>
      <c r="Y732" s="1209"/>
      <c r="Z732" s="1209"/>
      <c r="AA732" s="1209"/>
      <c r="AB732" s="1209"/>
    </row>
    <row r="733">
      <c r="A733" s="1209"/>
      <c r="B733" s="1209"/>
      <c r="C733" s="1209"/>
      <c r="D733" s="1267"/>
      <c r="E733" s="1267"/>
      <c r="F733" s="1267"/>
      <c r="G733" s="1267"/>
      <c r="H733" s="1267"/>
      <c r="I733" s="1267"/>
      <c r="J733" s="1267"/>
      <c r="K733" s="1267"/>
      <c r="L733" s="1267"/>
      <c r="M733" s="1267"/>
      <c r="N733" s="1267"/>
      <c r="O733" s="1267"/>
      <c r="P733" s="1267"/>
      <c r="Q733" s="1209"/>
      <c r="R733" s="1209"/>
      <c r="S733" s="1209"/>
      <c r="T733" s="1209"/>
      <c r="U733" s="1209"/>
      <c r="V733" s="1209"/>
      <c r="W733" s="1209"/>
      <c r="X733" s="1209"/>
      <c r="Y733" s="1209"/>
      <c r="Z733" s="1209"/>
      <c r="AA733" s="1209"/>
      <c r="AB733" s="1209"/>
    </row>
    <row r="734">
      <c r="A734" s="1209"/>
      <c r="B734" s="1209"/>
      <c r="C734" s="1209"/>
      <c r="D734" s="1267"/>
      <c r="E734" s="1267"/>
      <c r="F734" s="1267"/>
      <c r="G734" s="1267"/>
      <c r="H734" s="1267"/>
      <c r="I734" s="1267"/>
      <c r="J734" s="1267"/>
      <c r="K734" s="1267"/>
      <c r="L734" s="1267"/>
      <c r="M734" s="1267"/>
      <c r="N734" s="1267"/>
      <c r="O734" s="1267"/>
      <c r="P734" s="1267"/>
      <c r="Q734" s="1209"/>
      <c r="R734" s="1209"/>
      <c r="S734" s="1209"/>
      <c r="T734" s="1209"/>
      <c r="U734" s="1209"/>
      <c r="V734" s="1209"/>
      <c r="W734" s="1209"/>
      <c r="X734" s="1209"/>
      <c r="Y734" s="1209"/>
      <c r="Z734" s="1209"/>
      <c r="AA734" s="1209"/>
      <c r="AB734" s="1209"/>
    </row>
    <row r="735">
      <c r="A735" s="1209"/>
      <c r="B735" s="1209"/>
      <c r="C735" s="1209"/>
      <c r="D735" s="1267"/>
      <c r="E735" s="1267"/>
      <c r="F735" s="1267"/>
      <c r="G735" s="1267"/>
      <c r="H735" s="1267"/>
      <c r="I735" s="1267"/>
      <c r="J735" s="1267"/>
      <c r="K735" s="1267"/>
      <c r="L735" s="1267"/>
      <c r="M735" s="1267"/>
      <c r="N735" s="1267"/>
      <c r="O735" s="1267"/>
      <c r="P735" s="1267"/>
      <c r="Q735" s="1209"/>
      <c r="R735" s="1209"/>
      <c r="S735" s="1209"/>
      <c r="T735" s="1209"/>
      <c r="U735" s="1209"/>
      <c r="V735" s="1209"/>
      <c r="W735" s="1209"/>
      <c r="X735" s="1209"/>
      <c r="Y735" s="1209"/>
      <c r="Z735" s="1209"/>
      <c r="AA735" s="1209"/>
      <c r="AB735" s="1209"/>
    </row>
    <row r="736">
      <c r="A736" s="1209"/>
      <c r="B736" s="1209"/>
      <c r="C736" s="1209"/>
      <c r="D736" s="1267"/>
      <c r="E736" s="1267"/>
      <c r="F736" s="1267"/>
      <c r="G736" s="1267"/>
      <c r="H736" s="1267"/>
      <c r="I736" s="1267"/>
      <c r="J736" s="1267"/>
      <c r="K736" s="1267"/>
      <c r="L736" s="1267"/>
      <c r="M736" s="1267"/>
      <c r="N736" s="1267"/>
      <c r="O736" s="1267"/>
      <c r="P736" s="1267"/>
      <c r="Q736" s="1209"/>
      <c r="R736" s="1209"/>
      <c r="S736" s="1209"/>
      <c r="T736" s="1209"/>
      <c r="U736" s="1209"/>
      <c r="V736" s="1209"/>
      <c r="W736" s="1209"/>
      <c r="X736" s="1209"/>
      <c r="Y736" s="1209"/>
      <c r="Z736" s="1209"/>
      <c r="AA736" s="1209"/>
      <c r="AB736" s="1209"/>
    </row>
    <row r="737">
      <c r="A737" s="1209"/>
      <c r="B737" s="1209"/>
      <c r="C737" s="1209"/>
      <c r="D737" s="1267"/>
      <c r="E737" s="1267"/>
      <c r="F737" s="1267"/>
      <c r="G737" s="1267"/>
      <c r="H737" s="1267"/>
      <c r="I737" s="1267"/>
      <c r="J737" s="1267"/>
      <c r="K737" s="1267"/>
      <c r="L737" s="1267"/>
      <c r="M737" s="1267"/>
      <c r="N737" s="1267"/>
      <c r="O737" s="1267"/>
      <c r="P737" s="1267"/>
      <c r="Q737" s="1209"/>
      <c r="R737" s="1209"/>
      <c r="S737" s="1209"/>
      <c r="T737" s="1209"/>
      <c r="U737" s="1209"/>
      <c r="V737" s="1209"/>
      <c r="W737" s="1209"/>
      <c r="X737" s="1209"/>
      <c r="Y737" s="1209"/>
      <c r="Z737" s="1209"/>
      <c r="AA737" s="1209"/>
      <c r="AB737" s="1209"/>
    </row>
    <row r="738">
      <c r="A738" s="1209"/>
      <c r="B738" s="1209"/>
      <c r="C738" s="1209"/>
      <c r="D738" s="1267"/>
      <c r="E738" s="1267"/>
      <c r="F738" s="1267"/>
      <c r="G738" s="1267"/>
      <c r="H738" s="1267"/>
      <c r="I738" s="1267"/>
      <c r="J738" s="1267"/>
      <c r="K738" s="1267"/>
      <c r="L738" s="1267"/>
      <c r="M738" s="1267"/>
      <c r="N738" s="1267"/>
      <c r="O738" s="1267"/>
      <c r="P738" s="1267"/>
      <c r="Q738" s="1209"/>
      <c r="R738" s="1209"/>
      <c r="S738" s="1209"/>
      <c r="T738" s="1209"/>
      <c r="U738" s="1209"/>
      <c r="V738" s="1209"/>
      <c r="W738" s="1209"/>
      <c r="X738" s="1209"/>
      <c r="Y738" s="1209"/>
      <c r="Z738" s="1209"/>
      <c r="AA738" s="1209"/>
      <c r="AB738" s="1209"/>
    </row>
    <row r="739">
      <c r="A739" s="1209"/>
      <c r="B739" s="1209"/>
      <c r="C739" s="1209"/>
      <c r="D739" s="1267"/>
      <c r="E739" s="1267"/>
      <c r="F739" s="1267"/>
      <c r="G739" s="1267"/>
      <c r="H739" s="1267"/>
      <c r="I739" s="1267"/>
      <c r="J739" s="1267"/>
      <c r="K739" s="1267"/>
      <c r="L739" s="1267"/>
      <c r="M739" s="1267"/>
      <c r="N739" s="1267"/>
      <c r="O739" s="1267"/>
      <c r="P739" s="1267"/>
      <c r="Q739" s="1209"/>
      <c r="R739" s="1209"/>
      <c r="S739" s="1209"/>
      <c r="T739" s="1209"/>
      <c r="U739" s="1209"/>
      <c r="V739" s="1209"/>
      <c r="W739" s="1209"/>
      <c r="X739" s="1209"/>
      <c r="Y739" s="1209"/>
      <c r="Z739" s="1209"/>
      <c r="AA739" s="1209"/>
      <c r="AB739" s="1209"/>
    </row>
    <row r="740">
      <c r="A740" s="1209"/>
      <c r="B740" s="1209"/>
      <c r="C740" s="1209"/>
      <c r="D740" s="1267"/>
      <c r="E740" s="1267"/>
      <c r="F740" s="1267"/>
      <c r="G740" s="1267"/>
      <c r="H740" s="1267"/>
      <c r="I740" s="1267"/>
      <c r="J740" s="1267"/>
      <c r="K740" s="1267"/>
      <c r="L740" s="1267"/>
      <c r="M740" s="1267"/>
      <c r="N740" s="1267"/>
      <c r="O740" s="1267"/>
      <c r="P740" s="1267"/>
      <c r="Q740" s="1209"/>
      <c r="R740" s="1209"/>
      <c r="S740" s="1209"/>
      <c r="T740" s="1209"/>
      <c r="U740" s="1209"/>
      <c r="V740" s="1209"/>
      <c r="W740" s="1209"/>
      <c r="X740" s="1209"/>
      <c r="Y740" s="1209"/>
      <c r="Z740" s="1209"/>
      <c r="AA740" s="1209"/>
      <c r="AB740" s="1209"/>
    </row>
    <row r="741">
      <c r="A741" s="1209"/>
      <c r="B741" s="1209"/>
      <c r="C741" s="1209"/>
      <c r="D741" s="1267"/>
      <c r="E741" s="1267"/>
      <c r="F741" s="1267"/>
      <c r="G741" s="1267"/>
      <c r="H741" s="1267"/>
      <c r="I741" s="1267"/>
      <c r="J741" s="1267"/>
      <c r="K741" s="1267"/>
      <c r="L741" s="1267"/>
      <c r="M741" s="1267"/>
      <c r="N741" s="1267"/>
      <c r="O741" s="1267"/>
      <c r="P741" s="1267"/>
      <c r="Q741" s="1209"/>
      <c r="R741" s="1209"/>
      <c r="S741" s="1209"/>
      <c r="T741" s="1209"/>
      <c r="U741" s="1209"/>
      <c r="V741" s="1209"/>
      <c r="W741" s="1209"/>
      <c r="X741" s="1209"/>
      <c r="Y741" s="1209"/>
      <c r="Z741" s="1209"/>
      <c r="AA741" s="1209"/>
      <c r="AB741" s="1209"/>
    </row>
    <row r="742">
      <c r="A742" s="1209"/>
      <c r="B742" s="1209"/>
      <c r="C742" s="1209"/>
      <c r="D742" s="1267"/>
      <c r="E742" s="1267"/>
      <c r="F742" s="1267"/>
      <c r="G742" s="1267"/>
      <c r="H742" s="1267"/>
      <c r="I742" s="1267"/>
      <c r="J742" s="1267"/>
      <c r="K742" s="1267"/>
      <c r="L742" s="1267"/>
      <c r="M742" s="1267"/>
      <c r="N742" s="1267"/>
      <c r="O742" s="1267"/>
      <c r="P742" s="1267"/>
      <c r="Q742" s="1209"/>
      <c r="R742" s="1209"/>
      <c r="S742" s="1209"/>
      <c r="T742" s="1209"/>
      <c r="U742" s="1209"/>
      <c r="V742" s="1209"/>
      <c r="W742" s="1209"/>
      <c r="X742" s="1209"/>
      <c r="Y742" s="1209"/>
      <c r="Z742" s="1209"/>
      <c r="AA742" s="1209"/>
      <c r="AB742" s="1209"/>
    </row>
    <row r="743">
      <c r="A743" s="1209"/>
      <c r="B743" s="1209"/>
      <c r="C743" s="1209"/>
      <c r="D743" s="1267"/>
      <c r="E743" s="1267"/>
      <c r="F743" s="1267"/>
      <c r="G743" s="1267"/>
      <c r="H743" s="1267"/>
      <c r="I743" s="1267"/>
      <c r="J743" s="1267"/>
      <c r="K743" s="1267"/>
      <c r="L743" s="1267"/>
      <c r="M743" s="1267"/>
      <c r="N743" s="1267"/>
      <c r="O743" s="1267"/>
      <c r="P743" s="1267"/>
      <c r="Q743" s="1209"/>
      <c r="R743" s="1209"/>
      <c r="S743" s="1209"/>
      <c r="T743" s="1209"/>
      <c r="U743" s="1209"/>
      <c r="V743" s="1209"/>
      <c r="W743" s="1209"/>
      <c r="X743" s="1209"/>
      <c r="Y743" s="1209"/>
      <c r="Z743" s="1209"/>
      <c r="AA743" s="1209"/>
      <c r="AB743" s="1209"/>
    </row>
    <row r="744">
      <c r="A744" s="1209"/>
      <c r="B744" s="1209"/>
      <c r="C744" s="1209"/>
      <c r="D744" s="1267"/>
      <c r="E744" s="1267"/>
      <c r="F744" s="1267"/>
      <c r="G744" s="1267"/>
      <c r="H744" s="1267"/>
      <c r="I744" s="1267"/>
      <c r="J744" s="1267"/>
      <c r="K744" s="1267"/>
      <c r="L744" s="1267"/>
      <c r="M744" s="1267"/>
      <c r="N744" s="1267"/>
      <c r="O744" s="1267"/>
      <c r="P744" s="1267"/>
      <c r="Q744" s="1209"/>
      <c r="R744" s="1209"/>
      <c r="S744" s="1209"/>
      <c r="T744" s="1209"/>
      <c r="U744" s="1209"/>
      <c r="V744" s="1209"/>
      <c r="W744" s="1209"/>
      <c r="X744" s="1209"/>
      <c r="Y744" s="1209"/>
      <c r="Z744" s="1209"/>
      <c r="AA744" s="1209"/>
      <c r="AB744" s="1209"/>
    </row>
    <row r="745">
      <c r="A745" s="1209"/>
      <c r="B745" s="1209"/>
      <c r="C745" s="1209"/>
      <c r="D745" s="1267"/>
      <c r="E745" s="1267"/>
      <c r="F745" s="1267"/>
      <c r="G745" s="1267"/>
      <c r="H745" s="1267"/>
      <c r="I745" s="1267"/>
      <c r="J745" s="1267"/>
      <c r="K745" s="1267"/>
      <c r="L745" s="1267"/>
      <c r="M745" s="1267"/>
      <c r="N745" s="1267"/>
      <c r="O745" s="1267"/>
      <c r="P745" s="1267"/>
      <c r="Q745" s="1209"/>
      <c r="R745" s="1209"/>
      <c r="S745" s="1209"/>
      <c r="T745" s="1209"/>
      <c r="U745" s="1209"/>
      <c r="V745" s="1209"/>
      <c r="W745" s="1209"/>
      <c r="X745" s="1209"/>
      <c r="Y745" s="1209"/>
      <c r="Z745" s="1209"/>
      <c r="AA745" s="1209"/>
      <c r="AB745" s="1209"/>
    </row>
    <row r="746">
      <c r="A746" s="1209"/>
      <c r="B746" s="1209"/>
      <c r="C746" s="1209"/>
      <c r="D746" s="1267"/>
      <c r="E746" s="1267"/>
      <c r="F746" s="1267"/>
      <c r="G746" s="1267"/>
      <c r="H746" s="1267"/>
      <c r="I746" s="1267"/>
      <c r="J746" s="1267"/>
      <c r="K746" s="1267"/>
      <c r="L746" s="1267"/>
      <c r="M746" s="1267"/>
      <c r="N746" s="1267"/>
      <c r="O746" s="1267"/>
      <c r="P746" s="1267"/>
      <c r="Q746" s="1209"/>
      <c r="R746" s="1209"/>
      <c r="S746" s="1209"/>
      <c r="T746" s="1209"/>
      <c r="U746" s="1209"/>
      <c r="V746" s="1209"/>
      <c r="W746" s="1209"/>
      <c r="X746" s="1209"/>
      <c r="Y746" s="1209"/>
      <c r="Z746" s="1209"/>
      <c r="AA746" s="1209"/>
      <c r="AB746" s="1209"/>
    </row>
    <row r="747">
      <c r="A747" s="1209"/>
      <c r="B747" s="1209"/>
      <c r="C747" s="1209"/>
      <c r="D747" s="1267"/>
      <c r="E747" s="1267"/>
      <c r="F747" s="1267"/>
      <c r="G747" s="1267"/>
      <c r="H747" s="1267"/>
      <c r="I747" s="1267"/>
      <c r="J747" s="1267"/>
      <c r="K747" s="1267"/>
      <c r="L747" s="1267"/>
      <c r="M747" s="1267"/>
      <c r="N747" s="1267"/>
      <c r="O747" s="1267"/>
      <c r="P747" s="1267"/>
      <c r="Q747" s="1209"/>
      <c r="R747" s="1209"/>
      <c r="S747" s="1209"/>
      <c r="T747" s="1209"/>
      <c r="U747" s="1209"/>
      <c r="V747" s="1209"/>
      <c r="W747" s="1209"/>
      <c r="X747" s="1209"/>
      <c r="Y747" s="1209"/>
      <c r="Z747" s="1209"/>
      <c r="AA747" s="1209"/>
      <c r="AB747" s="1209"/>
    </row>
    <row r="748">
      <c r="A748" s="1209"/>
      <c r="B748" s="1209"/>
      <c r="C748" s="1209"/>
      <c r="D748" s="1267"/>
      <c r="E748" s="1267"/>
      <c r="F748" s="1267"/>
      <c r="G748" s="1267"/>
      <c r="H748" s="1267"/>
      <c r="I748" s="1267"/>
      <c r="J748" s="1267"/>
      <c r="K748" s="1267"/>
      <c r="L748" s="1267"/>
      <c r="M748" s="1267"/>
      <c r="N748" s="1267"/>
      <c r="O748" s="1267"/>
      <c r="P748" s="1267"/>
      <c r="Q748" s="1209"/>
      <c r="R748" s="1209"/>
      <c r="S748" s="1209"/>
      <c r="T748" s="1209"/>
      <c r="U748" s="1209"/>
      <c r="V748" s="1209"/>
      <c r="W748" s="1209"/>
      <c r="X748" s="1209"/>
      <c r="Y748" s="1209"/>
      <c r="Z748" s="1209"/>
      <c r="AA748" s="1209"/>
      <c r="AB748" s="1209"/>
    </row>
    <row r="749">
      <c r="A749" s="1209"/>
      <c r="B749" s="1209"/>
      <c r="C749" s="1209"/>
      <c r="D749" s="1267"/>
      <c r="E749" s="1267"/>
      <c r="F749" s="1267"/>
      <c r="G749" s="1267"/>
      <c r="H749" s="1267"/>
      <c r="I749" s="1267"/>
      <c r="J749" s="1267"/>
      <c r="K749" s="1267"/>
      <c r="L749" s="1267"/>
      <c r="M749" s="1267"/>
      <c r="N749" s="1267"/>
      <c r="O749" s="1267"/>
      <c r="P749" s="1267"/>
      <c r="Q749" s="1209"/>
      <c r="R749" s="1209"/>
      <c r="S749" s="1209"/>
      <c r="T749" s="1209"/>
      <c r="U749" s="1209"/>
      <c r="V749" s="1209"/>
      <c r="W749" s="1209"/>
      <c r="X749" s="1209"/>
      <c r="Y749" s="1209"/>
      <c r="Z749" s="1209"/>
      <c r="AA749" s="1209"/>
      <c r="AB749" s="1209"/>
    </row>
    <row r="750">
      <c r="A750" s="1209"/>
      <c r="B750" s="1209"/>
      <c r="C750" s="1209"/>
      <c r="D750" s="1267"/>
      <c r="E750" s="1267"/>
      <c r="F750" s="1267"/>
      <c r="G750" s="1267"/>
      <c r="H750" s="1267"/>
      <c r="I750" s="1267"/>
      <c r="J750" s="1267"/>
      <c r="K750" s="1267"/>
      <c r="L750" s="1267"/>
      <c r="M750" s="1267"/>
      <c r="N750" s="1267"/>
      <c r="O750" s="1267"/>
      <c r="P750" s="1267"/>
      <c r="Q750" s="1209"/>
      <c r="R750" s="1209"/>
      <c r="S750" s="1209"/>
      <c r="T750" s="1209"/>
      <c r="U750" s="1209"/>
      <c r="V750" s="1209"/>
      <c r="W750" s="1209"/>
      <c r="X750" s="1209"/>
      <c r="Y750" s="1209"/>
      <c r="Z750" s="1209"/>
      <c r="AA750" s="1209"/>
      <c r="AB750" s="1209"/>
    </row>
    <row r="751">
      <c r="A751" s="1209"/>
      <c r="B751" s="1209"/>
      <c r="C751" s="1209"/>
      <c r="D751" s="1267"/>
      <c r="E751" s="1267"/>
      <c r="F751" s="1267"/>
      <c r="G751" s="1267"/>
      <c r="H751" s="1267"/>
      <c r="I751" s="1267"/>
      <c r="J751" s="1267"/>
      <c r="K751" s="1267"/>
      <c r="L751" s="1267"/>
      <c r="M751" s="1267"/>
      <c r="N751" s="1267"/>
      <c r="O751" s="1267"/>
      <c r="P751" s="1267"/>
      <c r="Q751" s="1209"/>
      <c r="R751" s="1209"/>
      <c r="S751" s="1209"/>
      <c r="T751" s="1209"/>
      <c r="U751" s="1209"/>
      <c r="V751" s="1209"/>
      <c r="W751" s="1209"/>
      <c r="X751" s="1209"/>
      <c r="Y751" s="1209"/>
      <c r="Z751" s="1209"/>
      <c r="AA751" s="1209"/>
      <c r="AB751" s="1209"/>
    </row>
    <row r="752">
      <c r="A752" s="1209"/>
      <c r="B752" s="1209"/>
      <c r="C752" s="1209"/>
      <c r="D752" s="1267"/>
      <c r="E752" s="1267"/>
      <c r="F752" s="1267"/>
      <c r="G752" s="1267"/>
      <c r="H752" s="1267"/>
      <c r="I752" s="1267"/>
      <c r="J752" s="1267"/>
      <c r="K752" s="1267"/>
      <c r="L752" s="1267"/>
      <c r="M752" s="1267"/>
      <c r="N752" s="1267"/>
      <c r="O752" s="1267"/>
      <c r="P752" s="1267"/>
      <c r="Q752" s="1209"/>
      <c r="R752" s="1209"/>
      <c r="S752" s="1209"/>
      <c r="T752" s="1209"/>
      <c r="U752" s="1209"/>
      <c r="V752" s="1209"/>
      <c r="W752" s="1209"/>
      <c r="X752" s="1209"/>
      <c r="Y752" s="1209"/>
      <c r="Z752" s="1209"/>
      <c r="AA752" s="1209"/>
      <c r="AB752" s="1209"/>
    </row>
    <row r="753">
      <c r="A753" s="1209"/>
      <c r="B753" s="1209"/>
      <c r="C753" s="1209"/>
      <c r="D753" s="1267"/>
      <c r="E753" s="1267"/>
      <c r="F753" s="1267"/>
      <c r="G753" s="1267"/>
      <c r="H753" s="1267"/>
      <c r="I753" s="1267"/>
      <c r="J753" s="1267"/>
      <c r="K753" s="1267"/>
      <c r="L753" s="1267"/>
      <c r="M753" s="1267"/>
      <c r="N753" s="1267"/>
      <c r="O753" s="1267"/>
      <c r="P753" s="1267"/>
      <c r="Q753" s="1209"/>
      <c r="R753" s="1209"/>
      <c r="S753" s="1209"/>
      <c r="T753" s="1209"/>
      <c r="U753" s="1209"/>
      <c r="V753" s="1209"/>
      <c r="W753" s="1209"/>
      <c r="X753" s="1209"/>
      <c r="Y753" s="1209"/>
      <c r="Z753" s="1209"/>
      <c r="AA753" s="1209"/>
      <c r="AB753" s="1209"/>
    </row>
    <row r="754">
      <c r="A754" s="1209"/>
      <c r="B754" s="1209"/>
      <c r="C754" s="1209"/>
      <c r="D754" s="1267"/>
      <c r="E754" s="1267"/>
      <c r="F754" s="1267"/>
      <c r="G754" s="1267"/>
      <c r="H754" s="1267"/>
      <c r="I754" s="1267"/>
      <c r="J754" s="1267"/>
      <c r="K754" s="1267"/>
      <c r="L754" s="1267"/>
      <c r="M754" s="1267"/>
      <c r="N754" s="1267"/>
      <c r="O754" s="1267"/>
      <c r="P754" s="1267"/>
      <c r="Q754" s="1209"/>
      <c r="R754" s="1209"/>
      <c r="S754" s="1209"/>
      <c r="T754" s="1209"/>
      <c r="U754" s="1209"/>
      <c r="V754" s="1209"/>
      <c r="W754" s="1209"/>
      <c r="X754" s="1209"/>
      <c r="Y754" s="1209"/>
      <c r="Z754" s="1209"/>
      <c r="AA754" s="1209"/>
      <c r="AB754" s="1209"/>
    </row>
    <row r="755">
      <c r="A755" s="1209"/>
      <c r="B755" s="1209"/>
      <c r="C755" s="1209"/>
      <c r="D755" s="1267"/>
      <c r="E755" s="1267"/>
      <c r="F755" s="1267"/>
      <c r="G755" s="1267"/>
      <c r="H755" s="1267"/>
      <c r="I755" s="1267"/>
      <c r="J755" s="1267"/>
      <c r="K755" s="1267"/>
      <c r="L755" s="1267"/>
      <c r="M755" s="1267"/>
      <c r="N755" s="1267"/>
      <c r="O755" s="1267"/>
      <c r="P755" s="1267"/>
      <c r="Q755" s="1209"/>
      <c r="R755" s="1209"/>
      <c r="S755" s="1209"/>
      <c r="T755" s="1209"/>
      <c r="U755" s="1209"/>
      <c r="V755" s="1209"/>
      <c r="W755" s="1209"/>
      <c r="X755" s="1209"/>
      <c r="Y755" s="1209"/>
      <c r="Z755" s="1209"/>
      <c r="AA755" s="1209"/>
      <c r="AB755" s="1209"/>
    </row>
    <row r="756">
      <c r="A756" s="1209"/>
      <c r="B756" s="1209"/>
      <c r="C756" s="1209"/>
      <c r="D756" s="1267"/>
      <c r="E756" s="1267"/>
      <c r="F756" s="1267"/>
      <c r="G756" s="1267"/>
      <c r="H756" s="1267"/>
      <c r="I756" s="1267"/>
      <c r="J756" s="1267"/>
      <c r="K756" s="1267"/>
      <c r="L756" s="1267"/>
      <c r="M756" s="1267"/>
      <c r="N756" s="1267"/>
      <c r="O756" s="1267"/>
      <c r="P756" s="1267"/>
      <c r="Q756" s="1209"/>
      <c r="R756" s="1209"/>
      <c r="S756" s="1209"/>
      <c r="T756" s="1209"/>
      <c r="U756" s="1209"/>
      <c r="V756" s="1209"/>
      <c r="W756" s="1209"/>
      <c r="X756" s="1209"/>
      <c r="Y756" s="1209"/>
      <c r="Z756" s="1209"/>
      <c r="AA756" s="1209"/>
      <c r="AB756" s="1209"/>
    </row>
    <row r="757">
      <c r="A757" s="1209"/>
      <c r="B757" s="1209"/>
      <c r="C757" s="1209"/>
      <c r="D757" s="1267"/>
      <c r="E757" s="1267"/>
      <c r="F757" s="1267"/>
      <c r="G757" s="1267"/>
      <c r="H757" s="1267"/>
      <c r="I757" s="1267"/>
      <c r="J757" s="1267"/>
      <c r="K757" s="1267"/>
      <c r="L757" s="1267"/>
      <c r="M757" s="1267"/>
      <c r="N757" s="1267"/>
      <c r="O757" s="1267"/>
      <c r="P757" s="1267"/>
      <c r="Q757" s="1209"/>
      <c r="R757" s="1209"/>
      <c r="S757" s="1209"/>
      <c r="T757" s="1209"/>
      <c r="U757" s="1209"/>
      <c r="V757" s="1209"/>
      <c r="W757" s="1209"/>
      <c r="X757" s="1209"/>
      <c r="Y757" s="1209"/>
      <c r="Z757" s="1209"/>
      <c r="AA757" s="1209"/>
      <c r="AB757" s="1209"/>
    </row>
    <row r="758">
      <c r="A758" s="1209"/>
      <c r="B758" s="1209"/>
      <c r="C758" s="1209"/>
      <c r="D758" s="1267"/>
      <c r="E758" s="1267"/>
      <c r="F758" s="1267"/>
      <c r="G758" s="1267"/>
      <c r="H758" s="1267"/>
      <c r="I758" s="1267"/>
      <c r="J758" s="1267"/>
      <c r="K758" s="1267"/>
      <c r="L758" s="1267"/>
      <c r="M758" s="1267"/>
      <c r="N758" s="1267"/>
      <c r="O758" s="1267"/>
      <c r="P758" s="1267"/>
      <c r="Q758" s="1209"/>
      <c r="R758" s="1209"/>
      <c r="S758" s="1209"/>
      <c r="T758" s="1209"/>
      <c r="U758" s="1209"/>
      <c r="V758" s="1209"/>
      <c r="W758" s="1209"/>
      <c r="X758" s="1209"/>
      <c r="Y758" s="1209"/>
      <c r="Z758" s="1209"/>
      <c r="AA758" s="1209"/>
      <c r="AB758" s="1209"/>
    </row>
    <row r="759">
      <c r="A759" s="1209"/>
      <c r="B759" s="1209"/>
      <c r="C759" s="1209"/>
      <c r="D759" s="1267"/>
      <c r="E759" s="1267"/>
      <c r="F759" s="1267"/>
      <c r="G759" s="1267"/>
      <c r="H759" s="1267"/>
      <c r="I759" s="1267"/>
      <c r="J759" s="1267"/>
      <c r="K759" s="1267"/>
      <c r="L759" s="1267"/>
      <c r="M759" s="1267"/>
      <c r="N759" s="1267"/>
      <c r="O759" s="1267"/>
      <c r="P759" s="1267"/>
      <c r="Q759" s="1209"/>
      <c r="R759" s="1209"/>
      <c r="S759" s="1209"/>
      <c r="T759" s="1209"/>
      <c r="U759" s="1209"/>
      <c r="V759" s="1209"/>
      <c r="W759" s="1209"/>
      <c r="X759" s="1209"/>
      <c r="Y759" s="1209"/>
      <c r="Z759" s="1209"/>
      <c r="AA759" s="1209"/>
      <c r="AB759" s="1209"/>
    </row>
    <row r="760">
      <c r="A760" s="1209"/>
      <c r="B760" s="1209"/>
      <c r="C760" s="1209"/>
      <c r="D760" s="1267"/>
      <c r="E760" s="1267"/>
      <c r="F760" s="1267"/>
      <c r="G760" s="1267"/>
      <c r="H760" s="1267"/>
      <c r="I760" s="1267"/>
      <c r="J760" s="1267"/>
      <c r="K760" s="1267"/>
      <c r="L760" s="1267"/>
      <c r="M760" s="1267"/>
      <c r="N760" s="1267"/>
      <c r="O760" s="1267"/>
      <c r="P760" s="1267"/>
      <c r="Q760" s="1209"/>
      <c r="R760" s="1209"/>
      <c r="S760" s="1209"/>
      <c r="T760" s="1209"/>
      <c r="U760" s="1209"/>
      <c r="V760" s="1209"/>
      <c r="W760" s="1209"/>
      <c r="X760" s="1209"/>
      <c r="Y760" s="1209"/>
      <c r="Z760" s="1209"/>
      <c r="AA760" s="1209"/>
      <c r="AB760" s="1209"/>
    </row>
    <row r="761">
      <c r="A761" s="1209"/>
      <c r="B761" s="1209"/>
      <c r="C761" s="1209"/>
      <c r="D761" s="1267"/>
      <c r="E761" s="1267"/>
      <c r="F761" s="1267"/>
      <c r="G761" s="1267"/>
      <c r="H761" s="1267"/>
      <c r="I761" s="1267"/>
      <c r="J761" s="1267"/>
      <c r="K761" s="1267"/>
      <c r="L761" s="1267"/>
      <c r="M761" s="1267"/>
      <c r="N761" s="1267"/>
      <c r="O761" s="1267"/>
      <c r="P761" s="1267"/>
      <c r="Q761" s="1209"/>
      <c r="R761" s="1209"/>
      <c r="S761" s="1209"/>
      <c r="T761" s="1209"/>
      <c r="U761" s="1209"/>
      <c r="V761" s="1209"/>
      <c r="W761" s="1209"/>
      <c r="X761" s="1209"/>
      <c r="Y761" s="1209"/>
      <c r="Z761" s="1209"/>
      <c r="AA761" s="1209"/>
      <c r="AB761" s="1209"/>
    </row>
    <row r="762">
      <c r="A762" s="1209"/>
      <c r="B762" s="1209"/>
      <c r="C762" s="1209"/>
      <c r="D762" s="1267"/>
      <c r="E762" s="1267"/>
      <c r="F762" s="1267"/>
      <c r="G762" s="1267"/>
      <c r="H762" s="1267"/>
      <c r="I762" s="1267"/>
      <c r="J762" s="1267"/>
      <c r="K762" s="1267"/>
      <c r="L762" s="1267"/>
      <c r="M762" s="1267"/>
      <c r="N762" s="1267"/>
      <c r="O762" s="1267"/>
      <c r="P762" s="1267"/>
      <c r="Q762" s="1209"/>
      <c r="R762" s="1209"/>
      <c r="S762" s="1209"/>
      <c r="T762" s="1209"/>
      <c r="U762" s="1209"/>
      <c r="V762" s="1209"/>
      <c r="W762" s="1209"/>
      <c r="X762" s="1209"/>
      <c r="Y762" s="1209"/>
      <c r="Z762" s="1209"/>
      <c r="AA762" s="1209"/>
      <c r="AB762" s="1209"/>
    </row>
    <row r="763">
      <c r="A763" s="1209"/>
      <c r="B763" s="1209"/>
      <c r="C763" s="1209"/>
      <c r="D763" s="1267"/>
      <c r="E763" s="1267"/>
      <c r="F763" s="1267"/>
      <c r="G763" s="1267"/>
      <c r="H763" s="1267"/>
      <c r="I763" s="1267"/>
      <c r="J763" s="1267"/>
      <c r="K763" s="1267"/>
      <c r="L763" s="1267"/>
      <c r="M763" s="1267"/>
      <c r="N763" s="1267"/>
      <c r="O763" s="1267"/>
      <c r="P763" s="1267"/>
      <c r="Q763" s="1209"/>
      <c r="R763" s="1209"/>
      <c r="S763" s="1209"/>
      <c r="T763" s="1209"/>
      <c r="U763" s="1209"/>
      <c r="V763" s="1209"/>
      <c r="W763" s="1209"/>
      <c r="X763" s="1209"/>
      <c r="Y763" s="1209"/>
      <c r="Z763" s="1209"/>
      <c r="AA763" s="1209"/>
      <c r="AB763" s="1209"/>
    </row>
    <row r="764">
      <c r="A764" s="1209"/>
      <c r="B764" s="1209"/>
      <c r="C764" s="1209"/>
      <c r="D764" s="1267"/>
      <c r="E764" s="1267"/>
      <c r="F764" s="1267"/>
      <c r="G764" s="1267"/>
      <c r="H764" s="1267"/>
      <c r="I764" s="1267"/>
      <c r="J764" s="1267"/>
      <c r="K764" s="1267"/>
      <c r="L764" s="1267"/>
      <c r="M764" s="1267"/>
      <c r="N764" s="1267"/>
      <c r="O764" s="1267"/>
      <c r="P764" s="1267"/>
      <c r="Q764" s="1209"/>
      <c r="R764" s="1209"/>
      <c r="S764" s="1209"/>
      <c r="T764" s="1209"/>
      <c r="U764" s="1209"/>
      <c r="V764" s="1209"/>
      <c r="W764" s="1209"/>
      <c r="X764" s="1209"/>
      <c r="Y764" s="1209"/>
      <c r="Z764" s="1209"/>
      <c r="AA764" s="1209"/>
      <c r="AB764" s="1209"/>
    </row>
    <row r="765">
      <c r="A765" s="1209"/>
      <c r="B765" s="1209"/>
      <c r="C765" s="1209"/>
      <c r="D765" s="1267"/>
      <c r="E765" s="1267"/>
      <c r="F765" s="1267"/>
      <c r="G765" s="1267"/>
      <c r="H765" s="1267"/>
      <c r="I765" s="1267"/>
      <c r="J765" s="1267"/>
      <c r="K765" s="1267"/>
      <c r="L765" s="1267"/>
      <c r="M765" s="1267"/>
      <c r="N765" s="1267"/>
      <c r="O765" s="1267"/>
      <c r="P765" s="1267"/>
      <c r="Q765" s="1209"/>
      <c r="R765" s="1209"/>
      <c r="S765" s="1209"/>
      <c r="T765" s="1209"/>
      <c r="U765" s="1209"/>
      <c r="V765" s="1209"/>
      <c r="W765" s="1209"/>
      <c r="X765" s="1209"/>
      <c r="Y765" s="1209"/>
      <c r="Z765" s="1209"/>
      <c r="AA765" s="1209"/>
      <c r="AB765" s="1209"/>
    </row>
    <row r="766">
      <c r="A766" s="1209"/>
      <c r="B766" s="1209"/>
      <c r="C766" s="1209"/>
      <c r="D766" s="1267"/>
      <c r="E766" s="1267"/>
      <c r="F766" s="1267"/>
      <c r="G766" s="1267"/>
      <c r="H766" s="1267"/>
      <c r="I766" s="1267"/>
      <c r="J766" s="1267"/>
      <c r="K766" s="1267"/>
      <c r="L766" s="1267"/>
      <c r="M766" s="1267"/>
      <c r="N766" s="1267"/>
      <c r="O766" s="1267"/>
      <c r="P766" s="1267"/>
      <c r="Q766" s="1209"/>
      <c r="R766" s="1209"/>
      <c r="S766" s="1209"/>
      <c r="T766" s="1209"/>
      <c r="U766" s="1209"/>
      <c r="V766" s="1209"/>
      <c r="W766" s="1209"/>
      <c r="X766" s="1209"/>
      <c r="Y766" s="1209"/>
      <c r="Z766" s="1209"/>
      <c r="AA766" s="1209"/>
      <c r="AB766" s="1209"/>
    </row>
    <row r="767">
      <c r="A767" s="1209"/>
      <c r="B767" s="1209"/>
      <c r="C767" s="1209"/>
      <c r="D767" s="1267"/>
      <c r="E767" s="1267"/>
      <c r="F767" s="1267"/>
      <c r="G767" s="1267"/>
      <c r="H767" s="1267"/>
      <c r="I767" s="1267"/>
      <c r="J767" s="1267"/>
      <c r="K767" s="1267"/>
      <c r="L767" s="1267"/>
      <c r="M767" s="1267"/>
      <c r="N767" s="1267"/>
      <c r="O767" s="1267"/>
      <c r="P767" s="1267"/>
      <c r="Q767" s="1209"/>
      <c r="R767" s="1209"/>
      <c r="S767" s="1209"/>
      <c r="T767" s="1209"/>
      <c r="U767" s="1209"/>
      <c r="V767" s="1209"/>
      <c r="W767" s="1209"/>
      <c r="X767" s="1209"/>
      <c r="Y767" s="1209"/>
      <c r="Z767" s="1209"/>
      <c r="AA767" s="1209"/>
      <c r="AB767" s="1209"/>
    </row>
    <row r="768">
      <c r="A768" s="1209"/>
      <c r="B768" s="1209"/>
      <c r="C768" s="1209"/>
      <c r="D768" s="1267"/>
      <c r="E768" s="1267"/>
      <c r="F768" s="1267"/>
      <c r="G768" s="1267"/>
      <c r="H768" s="1267"/>
      <c r="I768" s="1267"/>
      <c r="J768" s="1267"/>
      <c r="K768" s="1267"/>
      <c r="L768" s="1267"/>
      <c r="M768" s="1267"/>
      <c r="N768" s="1267"/>
      <c r="O768" s="1267"/>
      <c r="P768" s="1267"/>
      <c r="Q768" s="1209"/>
      <c r="R768" s="1209"/>
      <c r="S768" s="1209"/>
      <c r="T768" s="1209"/>
      <c r="U768" s="1209"/>
      <c r="V768" s="1209"/>
      <c r="W768" s="1209"/>
      <c r="X768" s="1209"/>
      <c r="Y768" s="1209"/>
      <c r="Z768" s="1209"/>
      <c r="AA768" s="1209"/>
      <c r="AB768" s="1209"/>
    </row>
    <row r="769">
      <c r="A769" s="1209"/>
      <c r="B769" s="1209"/>
      <c r="C769" s="1209"/>
      <c r="D769" s="1267"/>
      <c r="E769" s="1267"/>
      <c r="F769" s="1267"/>
      <c r="G769" s="1267"/>
      <c r="H769" s="1267"/>
      <c r="I769" s="1267"/>
      <c r="J769" s="1267"/>
      <c r="K769" s="1267"/>
      <c r="L769" s="1267"/>
      <c r="M769" s="1267"/>
      <c r="N769" s="1267"/>
      <c r="O769" s="1267"/>
      <c r="P769" s="1267"/>
      <c r="Q769" s="1209"/>
      <c r="R769" s="1209"/>
      <c r="S769" s="1209"/>
      <c r="T769" s="1209"/>
      <c r="U769" s="1209"/>
      <c r="V769" s="1209"/>
      <c r="W769" s="1209"/>
      <c r="X769" s="1209"/>
      <c r="Y769" s="1209"/>
      <c r="Z769" s="1209"/>
      <c r="AA769" s="1209"/>
      <c r="AB769" s="1209"/>
    </row>
    <row r="770">
      <c r="A770" s="1209"/>
      <c r="B770" s="1209"/>
      <c r="C770" s="1209"/>
      <c r="D770" s="1267"/>
      <c r="E770" s="1267"/>
      <c r="F770" s="1267"/>
      <c r="G770" s="1267"/>
      <c r="H770" s="1267"/>
      <c r="I770" s="1267"/>
      <c r="J770" s="1267"/>
      <c r="K770" s="1267"/>
      <c r="L770" s="1267"/>
      <c r="M770" s="1267"/>
      <c r="N770" s="1267"/>
      <c r="O770" s="1267"/>
      <c r="P770" s="1267"/>
      <c r="Q770" s="1209"/>
      <c r="R770" s="1209"/>
      <c r="S770" s="1209"/>
      <c r="T770" s="1209"/>
      <c r="U770" s="1209"/>
      <c r="V770" s="1209"/>
      <c r="W770" s="1209"/>
      <c r="X770" s="1209"/>
      <c r="Y770" s="1209"/>
      <c r="Z770" s="1209"/>
      <c r="AA770" s="1209"/>
      <c r="AB770" s="1209"/>
    </row>
    <row r="771">
      <c r="A771" s="1209"/>
      <c r="B771" s="1209"/>
      <c r="C771" s="1209"/>
      <c r="D771" s="1267"/>
      <c r="E771" s="1267"/>
      <c r="F771" s="1267"/>
      <c r="G771" s="1267"/>
      <c r="H771" s="1267"/>
      <c r="I771" s="1267"/>
      <c r="J771" s="1267"/>
      <c r="K771" s="1267"/>
      <c r="L771" s="1267"/>
      <c r="M771" s="1267"/>
      <c r="N771" s="1267"/>
      <c r="O771" s="1267"/>
      <c r="P771" s="1267"/>
      <c r="Q771" s="1209"/>
      <c r="R771" s="1209"/>
      <c r="S771" s="1209"/>
      <c r="T771" s="1209"/>
      <c r="U771" s="1209"/>
      <c r="V771" s="1209"/>
      <c r="W771" s="1209"/>
      <c r="X771" s="1209"/>
      <c r="Y771" s="1209"/>
      <c r="Z771" s="1209"/>
      <c r="AA771" s="1209"/>
      <c r="AB771" s="1209"/>
    </row>
    <row r="772">
      <c r="A772" s="1209"/>
      <c r="B772" s="1209"/>
      <c r="C772" s="1209"/>
      <c r="D772" s="1267"/>
      <c r="E772" s="1267"/>
      <c r="F772" s="1267"/>
      <c r="G772" s="1267"/>
      <c r="H772" s="1267"/>
      <c r="I772" s="1267"/>
      <c r="J772" s="1267"/>
      <c r="K772" s="1267"/>
      <c r="L772" s="1267"/>
      <c r="M772" s="1267"/>
      <c r="N772" s="1267"/>
      <c r="O772" s="1267"/>
      <c r="P772" s="1267"/>
      <c r="Q772" s="1209"/>
      <c r="R772" s="1209"/>
      <c r="S772" s="1209"/>
      <c r="T772" s="1209"/>
      <c r="U772" s="1209"/>
      <c r="V772" s="1209"/>
      <c r="W772" s="1209"/>
      <c r="X772" s="1209"/>
      <c r="Y772" s="1209"/>
      <c r="Z772" s="1209"/>
      <c r="AA772" s="1209"/>
      <c r="AB772" s="1209"/>
    </row>
    <row r="773">
      <c r="A773" s="1209"/>
      <c r="B773" s="1209"/>
      <c r="C773" s="1209"/>
      <c r="D773" s="1267"/>
      <c r="E773" s="1267"/>
      <c r="F773" s="1267"/>
      <c r="G773" s="1267"/>
      <c r="H773" s="1267"/>
      <c r="I773" s="1267"/>
      <c r="J773" s="1267"/>
      <c r="K773" s="1267"/>
      <c r="L773" s="1267"/>
      <c r="M773" s="1267"/>
      <c r="N773" s="1267"/>
      <c r="O773" s="1267"/>
      <c r="P773" s="1267"/>
      <c r="Q773" s="1209"/>
      <c r="R773" s="1209"/>
      <c r="S773" s="1209"/>
      <c r="T773" s="1209"/>
      <c r="U773" s="1209"/>
      <c r="V773" s="1209"/>
      <c r="W773" s="1209"/>
      <c r="X773" s="1209"/>
      <c r="Y773" s="1209"/>
      <c r="Z773" s="1209"/>
      <c r="AA773" s="1209"/>
      <c r="AB773" s="1209"/>
    </row>
    <row r="774">
      <c r="A774" s="1209"/>
      <c r="B774" s="1209"/>
      <c r="C774" s="1209"/>
      <c r="D774" s="1267"/>
      <c r="E774" s="1267"/>
      <c r="F774" s="1267"/>
      <c r="G774" s="1267"/>
      <c r="H774" s="1267"/>
      <c r="I774" s="1267"/>
      <c r="J774" s="1267"/>
      <c r="K774" s="1267"/>
      <c r="L774" s="1267"/>
      <c r="M774" s="1267"/>
      <c r="N774" s="1267"/>
      <c r="O774" s="1267"/>
      <c r="P774" s="1267"/>
      <c r="Q774" s="1209"/>
      <c r="R774" s="1209"/>
      <c r="S774" s="1209"/>
      <c r="T774" s="1209"/>
      <c r="U774" s="1209"/>
      <c r="V774" s="1209"/>
      <c r="W774" s="1209"/>
      <c r="X774" s="1209"/>
      <c r="Y774" s="1209"/>
      <c r="Z774" s="1209"/>
      <c r="AA774" s="1209"/>
      <c r="AB774" s="1209"/>
    </row>
    <row r="775">
      <c r="A775" s="1209"/>
      <c r="B775" s="1209"/>
      <c r="C775" s="1209"/>
      <c r="D775" s="1267"/>
      <c r="E775" s="1267"/>
      <c r="F775" s="1267"/>
      <c r="G775" s="1267"/>
      <c r="H775" s="1267"/>
      <c r="I775" s="1267"/>
      <c r="J775" s="1267"/>
      <c r="K775" s="1267"/>
      <c r="L775" s="1267"/>
      <c r="M775" s="1267"/>
      <c r="N775" s="1267"/>
      <c r="O775" s="1267"/>
      <c r="P775" s="1267"/>
      <c r="Q775" s="1209"/>
      <c r="R775" s="1209"/>
      <c r="S775" s="1209"/>
      <c r="T775" s="1209"/>
      <c r="U775" s="1209"/>
      <c r="V775" s="1209"/>
      <c r="W775" s="1209"/>
      <c r="X775" s="1209"/>
      <c r="Y775" s="1209"/>
      <c r="Z775" s="1209"/>
      <c r="AA775" s="1209"/>
      <c r="AB775" s="1209"/>
    </row>
    <row r="776">
      <c r="A776" s="1209"/>
      <c r="B776" s="1209"/>
      <c r="C776" s="1209"/>
      <c r="D776" s="1267"/>
      <c r="E776" s="1267"/>
      <c r="F776" s="1267"/>
      <c r="G776" s="1267"/>
      <c r="H776" s="1267"/>
      <c r="I776" s="1267"/>
      <c r="J776" s="1267"/>
      <c r="K776" s="1267"/>
      <c r="L776" s="1267"/>
      <c r="M776" s="1267"/>
      <c r="N776" s="1267"/>
      <c r="O776" s="1267"/>
      <c r="P776" s="1267"/>
      <c r="Q776" s="1209"/>
      <c r="R776" s="1209"/>
      <c r="S776" s="1209"/>
      <c r="T776" s="1209"/>
      <c r="U776" s="1209"/>
      <c r="V776" s="1209"/>
      <c r="W776" s="1209"/>
      <c r="X776" s="1209"/>
      <c r="Y776" s="1209"/>
      <c r="Z776" s="1209"/>
      <c r="AA776" s="1209"/>
      <c r="AB776" s="1209"/>
    </row>
    <row r="777">
      <c r="A777" s="1209"/>
      <c r="B777" s="1209"/>
      <c r="C777" s="1209"/>
      <c r="D777" s="1267"/>
      <c r="E777" s="1267"/>
      <c r="F777" s="1267"/>
      <c r="G777" s="1267"/>
      <c r="H777" s="1267"/>
      <c r="I777" s="1267"/>
      <c r="J777" s="1267"/>
      <c r="K777" s="1267"/>
      <c r="L777" s="1267"/>
      <c r="M777" s="1267"/>
      <c r="N777" s="1267"/>
      <c r="O777" s="1267"/>
      <c r="P777" s="1267"/>
      <c r="Q777" s="1209"/>
      <c r="R777" s="1209"/>
      <c r="S777" s="1209"/>
      <c r="T777" s="1209"/>
      <c r="U777" s="1209"/>
      <c r="V777" s="1209"/>
      <c r="W777" s="1209"/>
      <c r="X777" s="1209"/>
      <c r="Y777" s="1209"/>
      <c r="Z777" s="1209"/>
      <c r="AA777" s="1209"/>
      <c r="AB777" s="1209"/>
    </row>
    <row r="778">
      <c r="A778" s="1209"/>
      <c r="B778" s="1209"/>
      <c r="C778" s="1209"/>
      <c r="D778" s="1267"/>
      <c r="E778" s="1267"/>
      <c r="F778" s="1267"/>
      <c r="G778" s="1267"/>
      <c r="H778" s="1267"/>
      <c r="I778" s="1267"/>
      <c r="J778" s="1267"/>
      <c r="K778" s="1267"/>
      <c r="L778" s="1267"/>
      <c r="M778" s="1267"/>
      <c r="N778" s="1267"/>
      <c r="O778" s="1267"/>
      <c r="P778" s="1267"/>
      <c r="Q778" s="1209"/>
      <c r="R778" s="1209"/>
      <c r="S778" s="1209"/>
      <c r="T778" s="1209"/>
      <c r="U778" s="1209"/>
      <c r="V778" s="1209"/>
      <c r="W778" s="1209"/>
      <c r="X778" s="1209"/>
      <c r="Y778" s="1209"/>
      <c r="Z778" s="1209"/>
      <c r="AA778" s="1209"/>
      <c r="AB778" s="1209"/>
    </row>
    <row r="779">
      <c r="A779" s="1209"/>
      <c r="B779" s="1209"/>
      <c r="C779" s="1209"/>
      <c r="D779" s="1267"/>
      <c r="E779" s="1267"/>
      <c r="F779" s="1267"/>
      <c r="G779" s="1267"/>
      <c r="H779" s="1267"/>
      <c r="I779" s="1267"/>
      <c r="J779" s="1267"/>
      <c r="K779" s="1267"/>
      <c r="L779" s="1267"/>
      <c r="M779" s="1267"/>
      <c r="N779" s="1267"/>
      <c r="O779" s="1267"/>
      <c r="P779" s="1267"/>
      <c r="Q779" s="1209"/>
      <c r="R779" s="1209"/>
      <c r="S779" s="1209"/>
      <c r="T779" s="1209"/>
      <c r="U779" s="1209"/>
      <c r="V779" s="1209"/>
      <c r="W779" s="1209"/>
      <c r="X779" s="1209"/>
      <c r="Y779" s="1209"/>
      <c r="Z779" s="1209"/>
      <c r="AA779" s="1209"/>
      <c r="AB779" s="1209"/>
    </row>
    <row r="780">
      <c r="A780" s="1209"/>
      <c r="B780" s="1209"/>
      <c r="C780" s="1209"/>
      <c r="D780" s="1267"/>
      <c r="E780" s="1267"/>
      <c r="F780" s="1267"/>
      <c r="G780" s="1267"/>
      <c r="H780" s="1267"/>
      <c r="I780" s="1267"/>
      <c r="J780" s="1267"/>
      <c r="K780" s="1267"/>
      <c r="L780" s="1267"/>
      <c r="M780" s="1267"/>
      <c r="N780" s="1267"/>
      <c r="O780" s="1267"/>
      <c r="P780" s="1267"/>
      <c r="Q780" s="1209"/>
      <c r="R780" s="1209"/>
      <c r="S780" s="1209"/>
      <c r="T780" s="1209"/>
      <c r="U780" s="1209"/>
      <c r="V780" s="1209"/>
      <c r="W780" s="1209"/>
      <c r="X780" s="1209"/>
      <c r="Y780" s="1209"/>
      <c r="Z780" s="1209"/>
      <c r="AA780" s="1209"/>
      <c r="AB780" s="1209"/>
    </row>
    <row r="781">
      <c r="A781" s="1209"/>
      <c r="B781" s="1209"/>
      <c r="C781" s="1209"/>
      <c r="D781" s="1267"/>
      <c r="E781" s="1267"/>
      <c r="F781" s="1267"/>
      <c r="G781" s="1267"/>
      <c r="H781" s="1267"/>
      <c r="I781" s="1267"/>
      <c r="J781" s="1267"/>
      <c r="K781" s="1267"/>
      <c r="L781" s="1267"/>
      <c r="M781" s="1267"/>
      <c r="N781" s="1267"/>
      <c r="O781" s="1267"/>
      <c r="P781" s="1267"/>
      <c r="Q781" s="1209"/>
      <c r="R781" s="1209"/>
      <c r="S781" s="1209"/>
      <c r="T781" s="1209"/>
      <c r="U781" s="1209"/>
      <c r="V781" s="1209"/>
      <c r="W781" s="1209"/>
      <c r="X781" s="1209"/>
      <c r="Y781" s="1209"/>
      <c r="Z781" s="1209"/>
      <c r="AA781" s="1209"/>
      <c r="AB781" s="1209"/>
    </row>
    <row r="782">
      <c r="A782" s="1209"/>
      <c r="B782" s="1209"/>
      <c r="C782" s="1209"/>
      <c r="D782" s="1267"/>
      <c r="E782" s="1267"/>
      <c r="F782" s="1267"/>
      <c r="G782" s="1267"/>
      <c r="H782" s="1267"/>
      <c r="I782" s="1267"/>
      <c r="J782" s="1267"/>
      <c r="K782" s="1267"/>
      <c r="L782" s="1267"/>
      <c r="M782" s="1267"/>
      <c r="N782" s="1267"/>
      <c r="O782" s="1267"/>
      <c r="P782" s="1267"/>
      <c r="Q782" s="1209"/>
      <c r="R782" s="1209"/>
      <c r="S782" s="1209"/>
      <c r="T782" s="1209"/>
      <c r="U782" s="1209"/>
      <c r="V782" s="1209"/>
      <c r="W782" s="1209"/>
      <c r="X782" s="1209"/>
      <c r="Y782" s="1209"/>
      <c r="Z782" s="1209"/>
      <c r="AA782" s="1209"/>
      <c r="AB782" s="1209"/>
    </row>
    <row r="783">
      <c r="A783" s="1209"/>
      <c r="B783" s="1209"/>
      <c r="C783" s="1209"/>
      <c r="D783" s="1267"/>
      <c r="E783" s="1267"/>
      <c r="F783" s="1267"/>
      <c r="G783" s="1267"/>
      <c r="H783" s="1267"/>
      <c r="I783" s="1267"/>
      <c r="J783" s="1267"/>
      <c r="K783" s="1267"/>
      <c r="L783" s="1267"/>
      <c r="M783" s="1267"/>
      <c r="N783" s="1267"/>
      <c r="O783" s="1267"/>
      <c r="P783" s="1267"/>
      <c r="Q783" s="1209"/>
      <c r="R783" s="1209"/>
      <c r="S783" s="1209"/>
      <c r="T783" s="1209"/>
      <c r="U783" s="1209"/>
      <c r="V783" s="1209"/>
      <c r="W783" s="1209"/>
      <c r="X783" s="1209"/>
      <c r="Y783" s="1209"/>
      <c r="Z783" s="1209"/>
      <c r="AA783" s="1209"/>
      <c r="AB783" s="1209"/>
    </row>
    <row r="784">
      <c r="A784" s="1209"/>
      <c r="B784" s="1209"/>
      <c r="C784" s="1209"/>
      <c r="D784" s="1267"/>
      <c r="E784" s="1267"/>
      <c r="F784" s="1267"/>
      <c r="G784" s="1267"/>
      <c r="H784" s="1267"/>
      <c r="I784" s="1267"/>
      <c r="J784" s="1267"/>
      <c r="K784" s="1267"/>
      <c r="L784" s="1267"/>
      <c r="M784" s="1267"/>
      <c r="N784" s="1267"/>
      <c r="O784" s="1267"/>
      <c r="P784" s="1267"/>
      <c r="Q784" s="1209"/>
      <c r="R784" s="1209"/>
      <c r="S784" s="1209"/>
      <c r="T784" s="1209"/>
      <c r="U784" s="1209"/>
      <c r="V784" s="1209"/>
      <c r="W784" s="1209"/>
      <c r="X784" s="1209"/>
      <c r="Y784" s="1209"/>
      <c r="Z784" s="1209"/>
      <c r="AA784" s="1209"/>
      <c r="AB784" s="1209"/>
    </row>
    <row r="785">
      <c r="A785" s="1209"/>
      <c r="B785" s="1209"/>
      <c r="C785" s="1209"/>
      <c r="D785" s="1267"/>
      <c r="E785" s="1267"/>
      <c r="F785" s="1267"/>
      <c r="G785" s="1267"/>
      <c r="H785" s="1267"/>
      <c r="I785" s="1267"/>
      <c r="J785" s="1267"/>
      <c r="K785" s="1267"/>
      <c r="L785" s="1267"/>
      <c r="M785" s="1267"/>
      <c r="N785" s="1267"/>
      <c r="O785" s="1267"/>
      <c r="P785" s="1267"/>
      <c r="Q785" s="1209"/>
      <c r="R785" s="1209"/>
      <c r="S785" s="1209"/>
      <c r="T785" s="1209"/>
      <c r="U785" s="1209"/>
      <c r="V785" s="1209"/>
      <c r="W785" s="1209"/>
      <c r="X785" s="1209"/>
      <c r="Y785" s="1209"/>
      <c r="Z785" s="1209"/>
      <c r="AA785" s="1209"/>
      <c r="AB785" s="1209"/>
    </row>
    <row r="786">
      <c r="A786" s="1209"/>
      <c r="B786" s="1209"/>
      <c r="C786" s="1209"/>
      <c r="D786" s="1267"/>
      <c r="E786" s="1267"/>
      <c r="F786" s="1267"/>
      <c r="G786" s="1267"/>
      <c r="H786" s="1267"/>
      <c r="I786" s="1267"/>
      <c r="J786" s="1267"/>
      <c r="K786" s="1267"/>
      <c r="L786" s="1267"/>
      <c r="M786" s="1267"/>
      <c r="N786" s="1267"/>
      <c r="O786" s="1267"/>
      <c r="P786" s="1267"/>
      <c r="Q786" s="1209"/>
      <c r="R786" s="1209"/>
      <c r="S786" s="1209"/>
      <c r="T786" s="1209"/>
      <c r="U786" s="1209"/>
      <c r="V786" s="1209"/>
      <c r="W786" s="1209"/>
      <c r="X786" s="1209"/>
      <c r="Y786" s="1209"/>
      <c r="Z786" s="1209"/>
      <c r="AA786" s="1209"/>
      <c r="AB786" s="1209"/>
    </row>
    <row r="787">
      <c r="A787" s="1209"/>
      <c r="B787" s="1209"/>
      <c r="C787" s="1209"/>
      <c r="D787" s="1267"/>
      <c r="E787" s="1267"/>
      <c r="F787" s="1267"/>
      <c r="G787" s="1267"/>
      <c r="H787" s="1267"/>
      <c r="I787" s="1267"/>
      <c r="J787" s="1267"/>
      <c r="K787" s="1267"/>
      <c r="L787" s="1267"/>
      <c r="M787" s="1267"/>
      <c r="N787" s="1267"/>
      <c r="O787" s="1267"/>
      <c r="P787" s="1267"/>
      <c r="Q787" s="1209"/>
      <c r="R787" s="1209"/>
      <c r="S787" s="1209"/>
      <c r="T787" s="1209"/>
      <c r="U787" s="1209"/>
      <c r="V787" s="1209"/>
      <c r="W787" s="1209"/>
      <c r="X787" s="1209"/>
      <c r="Y787" s="1209"/>
      <c r="Z787" s="1209"/>
      <c r="AA787" s="1209"/>
      <c r="AB787" s="1209"/>
    </row>
    <row r="788">
      <c r="A788" s="1209"/>
      <c r="B788" s="1209"/>
      <c r="C788" s="1209"/>
      <c r="D788" s="1267"/>
      <c r="E788" s="1267"/>
      <c r="F788" s="1267"/>
      <c r="G788" s="1267"/>
      <c r="H788" s="1267"/>
      <c r="I788" s="1267"/>
      <c r="J788" s="1267"/>
      <c r="K788" s="1267"/>
      <c r="L788" s="1267"/>
      <c r="M788" s="1267"/>
      <c r="N788" s="1267"/>
      <c r="O788" s="1267"/>
      <c r="P788" s="1267"/>
      <c r="Q788" s="1209"/>
      <c r="R788" s="1209"/>
      <c r="S788" s="1209"/>
      <c r="T788" s="1209"/>
      <c r="U788" s="1209"/>
      <c r="V788" s="1209"/>
      <c r="W788" s="1209"/>
      <c r="X788" s="1209"/>
      <c r="Y788" s="1209"/>
      <c r="Z788" s="1209"/>
      <c r="AA788" s="1209"/>
      <c r="AB788" s="1209"/>
    </row>
    <row r="789">
      <c r="A789" s="1209"/>
      <c r="B789" s="1209"/>
      <c r="C789" s="1209"/>
      <c r="D789" s="1267"/>
      <c r="E789" s="1267"/>
      <c r="F789" s="1267"/>
      <c r="G789" s="1267"/>
      <c r="H789" s="1267"/>
      <c r="I789" s="1267"/>
      <c r="J789" s="1267"/>
      <c r="K789" s="1267"/>
      <c r="L789" s="1267"/>
      <c r="M789" s="1267"/>
      <c r="N789" s="1267"/>
      <c r="O789" s="1267"/>
      <c r="P789" s="1267"/>
      <c r="Q789" s="1209"/>
      <c r="R789" s="1209"/>
      <c r="S789" s="1209"/>
      <c r="T789" s="1209"/>
      <c r="U789" s="1209"/>
      <c r="V789" s="1209"/>
      <c r="W789" s="1209"/>
      <c r="X789" s="1209"/>
      <c r="Y789" s="1209"/>
      <c r="Z789" s="1209"/>
      <c r="AA789" s="1209"/>
      <c r="AB789" s="1209"/>
    </row>
    <row r="790">
      <c r="A790" s="1209"/>
      <c r="B790" s="1209"/>
      <c r="C790" s="1209"/>
      <c r="D790" s="1267"/>
      <c r="E790" s="1267"/>
      <c r="F790" s="1267"/>
      <c r="G790" s="1267"/>
      <c r="H790" s="1267"/>
      <c r="I790" s="1267"/>
      <c r="J790" s="1267"/>
      <c r="K790" s="1267"/>
      <c r="L790" s="1267"/>
      <c r="M790" s="1267"/>
      <c r="N790" s="1267"/>
      <c r="O790" s="1267"/>
      <c r="P790" s="1267"/>
      <c r="Q790" s="1209"/>
      <c r="R790" s="1209"/>
      <c r="S790" s="1209"/>
      <c r="T790" s="1209"/>
      <c r="U790" s="1209"/>
      <c r="V790" s="1209"/>
      <c r="W790" s="1209"/>
      <c r="X790" s="1209"/>
      <c r="Y790" s="1209"/>
      <c r="Z790" s="1209"/>
      <c r="AA790" s="1209"/>
      <c r="AB790" s="1209"/>
    </row>
    <row r="791">
      <c r="A791" s="1209"/>
      <c r="B791" s="1209"/>
      <c r="C791" s="1209"/>
      <c r="D791" s="1267"/>
      <c r="E791" s="1267"/>
      <c r="F791" s="1267"/>
      <c r="G791" s="1267"/>
      <c r="H791" s="1267"/>
      <c r="I791" s="1267"/>
      <c r="J791" s="1267"/>
      <c r="K791" s="1267"/>
      <c r="L791" s="1267"/>
      <c r="M791" s="1267"/>
      <c r="N791" s="1267"/>
      <c r="O791" s="1267"/>
      <c r="P791" s="1267"/>
      <c r="Q791" s="1209"/>
      <c r="R791" s="1209"/>
      <c r="S791" s="1209"/>
      <c r="T791" s="1209"/>
      <c r="U791" s="1209"/>
      <c r="V791" s="1209"/>
      <c r="W791" s="1209"/>
      <c r="X791" s="1209"/>
      <c r="Y791" s="1209"/>
      <c r="Z791" s="1209"/>
      <c r="AA791" s="1209"/>
      <c r="AB791" s="1209"/>
    </row>
    <row r="792">
      <c r="A792" s="1209"/>
      <c r="B792" s="1209"/>
      <c r="C792" s="1209"/>
      <c r="D792" s="1267"/>
      <c r="E792" s="1267"/>
      <c r="F792" s="1267"/>
      <c r="G792" s="1267"/>
      <c r="H792" s="1267"/>
      <c r="I792" s="1267"/>
      <c r="J792" s="1267"/>
      <c r="K792" s="1267"/>
      <c r="L792" s="1267"/>
      <c r="M792" s="1267"/>
      <c r="N792" s="1267"/>
      <c r="O792" s="1267"/>
      <c r="P792" s="1267"/>
      <c r="Q792" s="1209"/>
      <c r="R792" s="1209"/>
      <c r="S792" s="1209"/>
      <c r="T792" s="1209"/>
      <c r="U792" s="1209"/>
      <c r="V792" s="1209"/>
      <c r="W792" s="1209"/>
      <c r="X792" s="1209"/>
      <c r="Y792" s="1209"/>
      <c r="Z792" s="1209"/>
      <c r="AA792" s="1209"/>
      <c r="AB792" s="1209"/>
    </row>
    <row r="793">
      <c r="A793" s="1209"/>
      <c r="B793" s="1209"/>
      <c r="C793" s="1209"/>
      <c r="D793" s="1267"/>
      <c r="E793" s="1267"/>
      <c r="F793" s="1267"/>
      <c r="G793" s="1267"/>
      <c r="H793" s="1267"/>
      <c r="I793" s="1267"/>
      <c r="J793" s="1267"/>
      <c r="K793" s="1267"/>
      <c r="L793" s="1267"/>
      <c r="M793" s="1267"/>
      <c r="N793" s="1267"/>
      <c r="O793" s="1267"/>
      <c r="P793" s="1267"/>
      <c r="Q793" s="1209"/>
      <c r="R793" s="1209"/>
      <c r="S793" s="1209"/>
      <c r="T793" s="1209"/>
      <c r="U793" s="1209"/>
      <c r="V793" s="1209"/>
      <c r="W793" s="1209"/>
      <c r="X793" s="1209"/>
      <c r="Y793" s="1209"/>
      <c r="Z793" s="1209"/>
      <c r="AA793" s="1209"/>
      <c r="AB793" s="1209"/>
    </row>
    <row r="794">
      <c r="A794" s="1209"/>
      <c r="B794" s="1209"/>
      <c r="C794" s="1209"/>
      <c r="D794" s="1267"/>
      <c r="E794" s="1267"/>
      <c r="F794" s="1267"/>
      <c r="G794" s="1267"/>
      <c r="H794" s="1267"/>
      <c r="I794" s="1267"/>
      <c r="J794" s="1267"/>
      <c r="K794" s="1267"/>
      <c r="L794" s="1267"/>
      <c r="M794" s="1267"/>
      <c r="N794" s="1267"/>
      <c r="O794" s="1267"/>
      <c r="P794" s="1267"/>
      <c r="Q794" s="1209"/>
      <c r="R794" s="1209"/>
      <c r="S794" s="1209"/>
      <c r="T794" s="1209"/>
      <c r="U794" s="1209"/>
      <c r="V794" s="1209"/>
      <c r="W794" s="1209"/>
      <c r="X794" s="1209"/>
      <c r="Y794" s="1209"/>
      <c r="Z794" s="1209"/>
      <c r="AA794" s="1209"/>
      <c r="AB794" s="1209"/>
    </row>
    <row r="795">
      <c r="A795" s="1209"/>
      <c r="B795" s="1209"/>
      <c r="C795" s="1209"/>
      <c r="D795" s="1267"/>
      <c r="E795" s="1267"/>
      <c r="F795" s="1267"/>
      <c r="G795" s="1267"/>
      <c r="H795" s="1267"/>
      <c r="I795" s="1267"/>
      <c r="J795" s="1267"/>
      <c r="K795" s="1267"/>
      <c r="L795" s="1267"/>
      <c r="M795" s="1267"/>
      <c r="N795" s="1267"/>
      <c r="O795" s="1267"/>
      <c r="P795" s="1267"/>
      <c r="Q795" s="1209"/>
      <c r="R795" s="1209"/>
      <c r="S795" s="1209"/>
      <c r="T795" s="1209"/>
      <c r="U795" s="1209"/>
      <c r="V795" s="1209"/>
      <c r="W795" s="1209"/>
      <c r="X795" s="1209"/>
      <c r="Y795" s="1209"/>
      <c r="Z795" s="1209"/>
      <c r="AA795" s="1209"/>
      <c r="AB795" s="1209"/>
    </row>
    <row r="796">
      <c r="A796" s="1209"/>
      <c r="B796" s="1209"/>
      <c r="C796" s="1209"/>
      <c r="D796" s="1267"/>
      <c r="E796" s="1267"/>
      <c r="F796" s="1267"/>
      <c r="G796" s="1267"/>
      <c r="H796" s="1267"/>
      <c r="I796" s="1267"/>
      <c r="J796" s="1267"/>
      <c r="K796" s="1267"/>
      <c r="L796" s="1267"/>
      <c r="M796" s="1267"/>
      <c r="N796" s="1267"/>
      <c r="O796" s="1267"/>
      <c r="P796" s="1267"/>
      <c r="Q796" s="1209"/>
      <c r="R796" s="1209"/>
      <c r="S796" s="1209"/>
      <c r="T796" s="1209"/>
      <c r="U796" s="1209"/>
      <c r="V796" s="1209"/>
      <c r="W796" s="1209"/>
      <c r="X796" s="1209"/>
      <c r="Y796" s="1209"/>
      <c r="Z796" s="1209"/>
      <c r="AA796" s="1209"/>
      <c r="AB796" s="1209"/>
    </row>
    <row r="797">
      <c r="A797" s="1209"/>
      <c r="B797" s="1209"/>
      <c r="C797" s="1209"/>
      <c r="D797" s="1267"/>
      <c r="E797" s="1267"/>
      <c r="F797" s="1267"/>
      <c r="G797" s="1267"/>
      <c r="H797" s="1267"/>
      <c r="I797" s="1267"/>
      <c r="J797" s="1267"/>
      <c r="K797" s="1267"/>
      <c r="L797" s="1267"/>
      <c r="M797" s="1267"/>
      <c r="N797" s="1267"/>
      <c r="O797" s="1267"/>
      <c r="P797" s="1267"/>
      <c r="Q797" s="1209"/>
      <c r="R797" s="1209"/>
      <c r="S797" s="1209"/>
      <c r="T797" s="1209"/>
      <c r="U797" s="1209"/>
      <c r="V797" s="1209"/>
      <c r="W797" s="1209"/>
      <c r="X797" s="1209"/>
      <c r="Y797" s="1209"/>
      <c r="Z797" s="1209"/>
      <c r="AA797" s="1209"/>
      <c r="AB797" s="1209"/>
    </row>
    <row r="798">
      <c r="A798" s="1209"/>
      <c r="B798" s="1209"/>
      <c r="C798" s="1209"/>
      <c r="D798" s="1267"/>
      <c r="E798" s="1267"/>
      <c r="F798" s="1267"/>
      <c r="G798" s="1267"/>
      <c r="H798" s="1267"/>
      <c r="I798" s="1267"/>
      <c r="J798" s="1267"/>
      <c r="K798" s="1267"/>
      <c r="L798" s="1267"/>
      <c r="M798" s="1267"/>
      <c r="N798" s="1267"/>
      <c r="O798" s="1267"/>
      <c r="P798" s="1267"/>
      <c r="Q798" s="1209"/>
      <c r="R798" s="1209"/>
      <c r="S798" s="1209"/>
      <c r="T798" s="1209"/>
      <c r="U798" s="1209"/>
      <c r="V798" s="1209"/>
      <c r="W798" s="1209"/>
      <c r="X798" s="1209"/>
      <c r="Y798" s="1209"/>
      <c r="Z798" s="1209"/>
      <c r="AA798" s="1209"/>
      <c r="AB798" s="1209"/>
    </row>
    <row r="799">
      <c r="A799" s="1209"/>
      <c r="B799" s="1209"/>
      <c r="C799" s="1209"/>
      <c r="D799" s="1267"/>
      <c r="E799" s="1267"/>
      <c r="F799" s="1267"/>
      <c r="G799" s="1267"/>
      <c r="H799" s="1267"/>
      <c r="I799" s="1267"/>
      <c r="J799" s="1267"/>
      <c r="K799" s="1267"/>
      <c r="L799" s="1267"/>
      <c r="M799" s="1267"/>
      <c r="N799" s="1267"/>
      <c r="O799" s="1267"/>
      <c r="P799" s="1267"/>
      <c r="Q799" s="1209"/>
      <c r="R799" s="1209"/>
      <c r="S799" s="1209"/>
      <c r="T799" s="1209"/>
      <c r="U799" s="1209"/>
      <c r="V799" s="1209"/>
      <c r="W799" s="1209"/>
      <c r="X799" s="1209"/>
      <c r="Y799" s="1209"/>
      <c r="Z799" s="1209"/>
      <c r="AA799" s="1209"/>
      <c r="AB799" s="1209"/>
    </row>
    <row r="800">
      <c r="A800" s="1209"/>
      <c r="B800" s="1209"/>
      <c r="C800" s="1209"/>
      <c r="D800" s="1267"/>
      <c r="E800" s="1267"/>
      <c r="F800" s="1267"/>
      <c r="G800" s="1267"/>
      <c r="H800" s="1267"/>
      <c r="I800" s="1267"/>
      <c r="J800" s="1267"/>
      <c r="K800" s="1267"/>
      <c r="L800" s="1267"/>
      <c r="M800" s="1267"/>
      <c r="N800" s="1267"/>
      <c r="O800" s="1267"/>
      <c r="P800" s="1267"/>
      <c r="Q800" s="1209"/>
      <c r="R800" s="1209"/>
      <c r="S800" s="1209"/>
      <c r="T800" s="1209"/>
      <c r="U800" s="1209"/>
      <c r="V800" s="1209"/>
      <c r="W800" s="1209"/>
      <c r="X800" s="1209"/>
      <c r="Y800" s="1209"/>
      <c r="Z800" s="1209"/>
      <c r="AA800" s="1209"/>
      <c r="AB800" s="1209"/>
    </row>
    <row r="801">
      <c r="A801" s="1209"/>
      <c r="B801" s="1209"/>
      <c r="C801" s="1209"/>
      <c r="D801" s="1267"/>
      <c r="E801" s="1267"/>
      <c r="F801" s="1267"/>
      <c r="G801" s="1267"/>
      <c r="H801" s="1267"/>
      <c r="I801" s="1267"/>
      <c r="J801" s="1267"/>
      <c r="K801" s="1267"/>
      <c r="L801" s="1267"/>
      <c r="M801" s="1267"/>
      <c r="N801" s="1267"/>
      <c r="O801" s="1267"/>
      <c r="P801" s="1267"/>
      <c r="Q801" s="1209"/>
      <c r="R801" s="1209"/>
      <c r="S801" s="1209"/>
      <c r="T801" s="1209"/>
      <c r="U801" s="1209"/>
      <c r="V801" s="1209"/>
      <c r="W801" s="1209"/>
      <c r="X801" s="1209"/>
      <c r="Y801" s="1209"/>
      <c r="Z801" s="1209"/>
      <c r="AA801" s="1209"/>
      <c r="AB801" s="1209"/>
    </row>
    <row r="802">
      <c r="A802" s="1209"/>
      <c r="B802" s="1209"/>
      <c r="C802" s="1209"/>
      <c r="D802" s="1267"/>
      <c r="E802" s="1267"/>
      <c r="F802" s="1267"/>
      <c r="G802" s="1267"/>
      <c r="H802" s="1267"/>
      <c r="I802" s="1267"/>
      <c r="J802" s="1267"/>
      <c r="K802" s="1267"/>
      <c r="L802" s="1267"/>
      <c r="M802" s="1267"/>
      <c r="N802" s="1267"/>
      <c r="O802" s="1267"/>
      <c r="P802" s="1267"/>
      <c r="Q802" s="1209"/>
      <c r="R802" s="1209"/>
      <c r="S802" s="1209"/>
      <c r="T802" s="1209"/>
      <c r="U802" s="1209"/>
      <c r="V802" s="1209"/>
      <c r="W802" s="1209"/>
      <c r="X802" s="1209"/>
      <c r="Y802" s="1209"/>
      <c r="Z802" s="1209"/>
      <c r="AA802" s="1209"/>
      <c r="AB802" s="1209"/>
    </row>
    <row r="803">
      <c r="A803" s="1209"/>
      <c r="B803" s="1209"/>
      <c r="C803" s="1209"/>
      <c r="D803" s="1267"/>
      <c r="E803" s="1267"/>
      <c r="F803" s="1267"/>
      <c r="G803" s="1267"/>
      <c r="H803" s="1267"/>
      <c r="I803" s="1267"/>
      <c r="J803" s="1267"/>
      <c r="K803" s="1267"/>
      <c r="L803" s="1267"/>
      <c r="M803" s="1267"/>
      <c r="N803" s="1267"/>
      <c r="O803" s="1267"/>
      <c r="P803" s="1267"/>
      <c r="Q803" s="1209"/>
      <c r="R803" s="1209"/>
      <c r="S803" s="1209"/>
      <c r="T803" s="1209"/>
      <c r="U803" s="1209"/>
      <c r="V803" s="1209"/>
      <c r="W803" s="1209"/>
      <c r="X803" s="1209"/>
      <c r="Y803" s="1209"/>
      <c r="Z803" s="1209"/>
      <c r="AA803" s="1209"/>
      <c r="AB803" s="1209"/>
    </row>
    <row r="804">
      <c r="A804" s="1209"/>
      <c r="B804" s="1209"/>
      <c r="C804" s="1209"/>
      <c r="D804" s="1267"/>
      <c r="E804" s="1267"/>
      <c r="F804" s="1267"/>
      <c r="G804" s="1267"/>
      <c r="H804" s="1267"/>
      <c r="I804" s="1267"/>
      <c r="J804" s="1267"/>
      <c r="K804" s="1267"/>
      <c r="L804" s="1267"/>
      <c r="M804" s="1267"/>
      <c r="N804" s="1267"/>
      <c r="O804" s="1267"/>
      <c r="P804" s="1267"/>
      <c r="Q804" s="1209"/>
      <c r="R804" s="1209"/>
      <c r="S804" s="1209"/>
      <c r="T804" s="1209"/>
      <c r="U804" s="1209"/>
      <c r="V804" s="1209"/>
      <c r="W804" s="1209"/>
      <c r="X804" s="1209"/>
      <c r="Y804" s="1209"/>
      <c r="Z804" s="1209"/>
      <c r="AA804" s="1209"/>
      <c r="AB804" s="1209"/>
    </row>
    <row r="805">
      <c r="A805" s="1209"/>
      <c r="B805" s="1209"/>
      <c r="C805" s="1209"/>
      <c r="D805" s="1267"/>
      <c r="E805" s="1267"/>
      <c r="F805" s="1267"/>
      <c r="G805" s="1267"/>
      <c r="H805" s="1267"/>
      <c r="I805" s="1267"/>
      <c r="J805" s="1267"/>
      <c r="K805" s="1267"/>
      <c r="L805" s="1267"/>
      <c r="M805" s="1267"/>
      <c r="N805" s="1267"/>
      <c r="O805" s="1267"/>
      <c r="P805" s="1267"/>
      <c r="Q805" s="1209"/>
      <c r="R805" s="1209"/>
      <c r="S805" s="1209"/>
      <c r="T805" s="1209"/>
      <c r="U805" s="1209"/>
      <c r="V805" s="1209"/>
      <c r="W805" s="1209"/>
      <c r="X805" s="1209"/>
      <c r="Y805" s="1209"/>
      <c r="Z805" s="1209"/>
      <c r="AA805" s="1209"/>
      <c r="AB805" s="1209"/>
    </row>
    <row r="806">
      <c r="A806" s="1209"/>
      <c r="B806" s="1209"/>
      <c r="C806" s="1209"/>
      <c r="D806" s="1267"/>
      <c r="E806" s="1267"/>
      <c r="F806" s="1267"/>
      <c r="G806" s="1267"/>
      <c r="H806" s="1267"/>
      <c r="I806" s="1267"/>
      <c r="J806" s="1267"/>
      <c r="K806" s="1267"/>
      <c r="L806" s="1267"/>
      <c r="M806" s="1267"/>
      <c r="N806" s="1267"/>
      <c r="O806" s="1267"/>
      <c r="P806" s="1267"/>
      <c r="Q806" s="1209"/>
      <c r="R806" s="1209"/>
      <c r="S806" s="1209"/>
      <c r="T806" s="1209"/>
      <c r="U806" s="1209"/>
      <c r="V806" s="1209"/>
      <c r="W806" s="1209"/>
      <c r="X806" s="1209"/>
      <c r="Y806" s="1209"/>
      <c r="Z806" s="1209"/>
      <c r="AA806" s="1209"/>
      <c r="AB806" s="1209"/>
    </row>
    <row r="807">
      <c r="A807" s="1209"/>
      <c r="B807" s="1209"/>
      <c r="C807" s="1209"/>
      <c r="D807" s="1267"/>
      <c r="E807" s="1267"/>
      <c r="F807" s="1267"/>
      <c r="G807" s="1267"/>
      <c r="H807" s="1267"/>
      <c r="I807" s="1267"/>
      <c r="J807" s="1267"/>
      <c r="K807" s="1267"/>
      <c r="L807" s="1267"/>
      <c r="M807" s="1267"/>
      <c r="N807" s="1267"/>
      <c r="O807" s="1267"/>
      <c r="P807" s="1267"/>
      <c r="Q807" s="1209"/>
      <c r="R807" s="1209"/>
      <c r="S807" s="1209"/>
      <c r="T807" s="1209"/>
      <c r="U807" s="1209"/>
      <c r="V807" s="1209"/>
      <c r="W807" s="1209"/>
      <c r="X807" s="1209"/>
      <c r="Y807" s="1209"/>
      <c r="Z807" s="1209"/>
      <c r="AA807" s="1209"/>
      <c r="AB807" s="1209"/>
    </row>
    <row r="808">
      <c r="A808" s="1209"/>
      <c r="B808" s="1209"/>
      <c r="C808" s="1209"/>
      <c r="D808" s="1267"/>
      <c r="E808" s="1267"/>
      <c r="F808" s="1267"/>
      <c r="G808" s="1267"/>
      <c r="H808" s="1267"/>
      <c r="I808" s="1267"/>
      <c r="J808" s="1267"/>
      <c r="K808" s="1267"/>
      <c r="L808" s="1267"/>
      <c r="M808" s="1267"/>
      <c r="N808" s="1267"/>
      <c r="O808" s="1267"/>
      <c r="P808" s="1267"/>
      <c r="Q808" s="1209"/>
      <c r="R808" s="1209"/>
      <c r="S808" s="1209"/>
      <c r="T808" s="1209"/>
      <c r="U808" s="1209"/>
      <c r="V808" s="1209"/>
      <c r="W808" s="1209"/>
      <c r="X808" s="1209"/>
      <c r="Y808" s="1209"/>
      <c r="Z808" s="1209"/>
      <c r="AA808" s="1209"/>
      <c r="AB808" s="1209"/>
    </row>
    <row r="809">
      <c r="A809" s="1209"/>
      <c r="B809" s="1209"/>
      <c r="C809" s="1209"/>
      <c r="D809" s="1267"/>
      <c r="E809" s="1267"/>
      <c r="F809" s="1267"/>
      <c r="G809" s="1267"/>
      <c r="H809" s="1267"/>
      <c r="I809" s="1267"/>
      <c r="J809" s="1267"/>
      <c r="K809" s="1267"/>
      <c r="L809" s="1267"/>
      <c r="M809" s="1267"/>
      <c r="N809" s="1267"/>
      <c r="O809" s="1267"/>
      <c r="P809" s="1267"/>
      <c r="Q809" s="1209"/>
      <c r="R809" s="1209"/>
      <c r="S809" s="1209"/>
      <c r="T809" s="1209"/>
      <c r="U809" s="1209"/>
      <c r="V809" s="1209"/>
      <c r="W809" s="1209"/>
      <c r="X809" s="1209"/>
      <c r="Y809" s="1209"/>
      <c r="Z809" s="1209"/>
      <c r="AA809" s="1209"/>
      <c r="AB809" s="1209"/>
    </row>
    <row r="810">
      <c r="A810" s="1209"/>
      <c r="B810" s="1209"/>
      <c r="C810" s="1209"/>
      <c r="D810" s="1267"/>
      <c r="E810" s="1267"/>
      <c r="F810" s="1267"/>
      <c r="G810" s="1267"/>
      <c r="H810" s="1267"/>
      <c r="I810" s="1267"/>
      <c r="J810" s="1267"/>
      <c r="K810" s="1267"/>
      <c r="L810" s="1267"/>
      <c r="M810" s="1267"/>
      <c r="N810" s="1267"/>
      <c r="O810" s="1267"/>
      <c r="P810" s="1267"/>
      <c r="Q810" s="1209"/>
      <c r="R810" s="1209"/>
      <c r="S810" s="1209"/>
      <c r="T810" s="1209"/>
      <c r="U810" s="1209"/>
      <c r="V810" s="1209"/>
      <c r="W810" s="1209"/>
      <c r="X810" s="1209"/>
      <c r="Y810" s="1209"/>
      <c r="Z810" s="1209"/>
      <c r="AA810" s="1209"/>
      <c r="AB810" s="1209"/>
    </row>
    <row r="811">
      <c r="A811" s="1209"/>
      <c r="B811" s="1209"/>
      <c r="C811" s="1209"/>
      <c r="D811" s="1267"/>
      <c r="E811" s="1267"/>
      <c r="F811" s="1267"/>
      <c r="G811" s="1267"/>
      <c r="H811" s="1267"/>
      <c r="I811" s="1267"/>
      <c r="J811" s="1267"/>
      <c r="K811" s="1267"/>
      <c r="L811" s="1267"/>
      <c r="M811" s="1267"/>
      <c r="N811" s="1267"/>
      <c r="O811" s="1267"/>
      <c r="P811" s="1267"/>
      <c r="Q811" s="1209"/>
      <c r="R811" s="1209"/>
      <c r="S811" s="1209"/>
      <c r="T811" s="1209"/>
      <c r="U811" s="1209"/>
      <c r="V811" s="1209"/>
      <c r="W811" s="1209"/>
      <c r="X811" s="1209"/>
      <c r="Y811" s="1209"/>
      <c r="Z811" s="1209"/>
      <c r="AA811" s="1209"/>
      <c r="AB811" s="1209"/>
    </row>
    <row r="812">
      <c r="A812" s="1209"/>
      <c r="B812" s="1209"/>
      <c r="C812" s="1209"/>
      <c r="D812" s="1267"/>
      <c r="E812" s="1267"/>
      <c r="F812" s="1267"/>
      <c r="G812" s="1267"/>
      <c r="H812" s="1267"/>
      <c r="I812" s="1267"/>
      <c r="J812" s="1267"/>
      <c r="K812" s="1267"/>
      <c r="L812" s="1267"/>
      <c r="M812" s="1267"/>
      <c r="N812" s="1267"/>
      <c r="O812" s="1267"/>
      <c r="P812" s="1267"/>
      <c r="Q812" s="1209"/>
      <c r="R812" s="1209"/>
      <c r="S812" s="1209"/>
      <c r="T812" s="1209"/>
      <c r="U812" s="1209"/>
      <c r="V812" s="1209"/>
      <c r="W812" s="1209"/>
      <c r="X812" s="1209"/>
      <c r="Y812" s="1209"/>
      <c r="Z812" s="1209"/>
      <c r="AA812" s="1209"/>
      <c r="AB812" s="1209"/>
    </row>
    <row r="813">
      <c r="A813" s="1209"/>
      <c r="B813" s="1209"/>
      <c r="C813" s="1209"/>
      <c r="D813" s="1267"/>
      <c r="E813" s="1267"/>
      <c r="F813" s="1267"/>
      <c r="G813" s="1267"/>
      <c r="H813" s="1267"/>
      <c r="I813" s="1267"/>
      <c r="J813" s="1267"/>
      <c r="K813" s="1267"/>
      <c r="L813" s="1267"/>
      <c r="M813" s="1267"/>
      <c r="N813" s="1267"/>
      <c r="O813" s="1267"/>
      <c r="P813" s="1267"/>
      <c r="Q813" s="1209"/>
      <c r="R813" s="1209"/>
      <c r="S813" s="1209"/>
      <c r="T813" s="1209"/>
      <c r="U813" s="1209"/>
      <c r="V813" s="1209"/>
      <c r="W813" s="1209"/>
      <c r="X813" s="1209"/>
      <c r="Y813" s="1209"/>
      <c r="Z813" s="1209"/>
      <c r="AA813" s="1209"/>
      <c r="AB813" s="1209"/>
    </row>
    <row r="814">
      <c r="A814" s="1209"/>
      <c r="B814" s="1209"/>
      <c r="C814" s="1209"/>
      <c r="D814" s="1267"/>
      <c r="E814" s="1267"/>
      <c r="F814" s="1267"/>
      <c r="G814" s="1267"/>
      <c r="H814" s="1267"/>
      <c r="I814" s="1267"/>
      <c r="J814" s="1267"/>
      <c r="K814" s="1267"/>
      <c r="L814" s="1267"/>
      <c r="M814" s="1267"/>
      <c r="N814" s="1267"/>
      <c r="O814" s="1267"/>
      <c r="P814" s="1267"/>
      <c r="Q814" s="1209"/>
      <c r="R814" s="1209"/>
      <c r="S814" s="1209"/>
      <c r="T814" s="1209"/>
      <c r="U814" s="1209"/>
      <c r="V814" s="1209"/>
      <c r="W814" s="1209"/>
      <c r="X814" s="1209"/>
      <c r="Y814" s="1209"/>
      <c r="Z814" s="1209"/>
      <c r="AA814" s="1209"/>
      <c r="AB814" s="1209"/>
    </row>
    <row r="815">
      <c r="A815" s="1209"/>
      <c r="B815" s="1209"/>
      <c r="C815" s="1209"/>
      <c r="D815" s="1267"/>
      <c r="E815" s="1267"/>
      <c r="F815" s="1267"/>
      <c r="G815" s="1267"/>
      <c r="H815" s="1267"/>
      <c r="I815" s="1267"/>
      <c r="J815" s="1267"/>
      <c r="K815" s="1267"/>
      <c r="L815" s="1267"/>
      <c r="M815" s="1267"/>
      <c r="N815" s="1267"/>
      <c r="O815" s="1267"/>
      <c r="P815" s="1267"/>
      <c r="Q815" s="1209"/>
      <c r="R815" s="1209"/>
      <c r="S815" s="1209"/>
      <c r="T815" s="1209"/>
      <c r="U815" s="1209"/>
      <c r="V815" s="1209"/>
      <c r="W815" s="1209"/>
      <c r="X815" s="1209"/>
      <c r="Y815" s="1209"/>
      <c r="Z815" s="1209"/>
      <c r="AA815" s="1209"/>
      <c r="AB815" s="1209"/>
    </row>
    <row r="816">
      <c r="A816" s="1209"/>
      <c r="B816" s="1209"/>
      <c r="C816" s="1209"/>
      <c r="D816" s="1267"/>
      <c r="E816" s="1267"/>
      <c r="F816" s="1267"/>
      <c r="G816" s="1267"/>
      <c r="H816" s="1267"/>
      <c r="I816" s="1267"/>
      <c r="J816" s="1267"/>
      <c r="K816" s="1267"/>
      <c r="L816" s="1267"/>
      <c r="M816" s="1267"/>
      <c r="N816" s="1267"/>
      <c r="O816" s="1267"/>
      <c r="P816" s="1267"/>
      <c r="Q816" s="1209"/>
      <c r="R816" s="1209"/>
      <c r="S816" s="1209"/>
      <c r="T816" s="1209"/>
      <c r="U816" s="1209"/>
      <c r="V816" s="1209"/>
      <c r="W816" s="1209"/>
      <c r="X816" s="1209"/>
      <c r="Y816" s="1209"/>
      <c r="Z816" s="1209"/>
      <c r="AA816" s="1209"/>
      <c r="AB816" s="1209"/>
    </row>
    <row r="817">
      <c r="A817" s="1209"/>
      <c r="B817" s="1209"/>
      <c r="C817" s="1209"/>
      <c r="D817" s="1267"/>
      <c r="E817" s="1267"/>
      <c r="F817" s="1267"/>
      <c r="G817" s="1267"/>
      <c r="H817" s="1267"/>
      <c r="I817" s="1267"/>
      <c r="J817" s="1267"/>
      <c r="K817" s="1267"/>
      <c r="L817" s="1267"/>
      <c r="M817" s="1267"/>
      <c r="N817" s="1267"/>
      <c r="O817" s="1267"/>
      <c r="P817" s="1267"/>
      <c r="Q817" s="1209"/>
      <c r="R817" s="1209"/>
      <c r="S817" s="1209"/>
      <c r="T817" s="1209"/>
      <c r="U817" s="1209"/>
      <c r="V817" s="1209"/>
      <c r="W817" s="1209"/>
      <c r="X817" s="1209"/>
      <c r="Y817" s="1209"/>
      <c r="Z817" s="1209"/>
      <c r="AA817" s="1209"/>
      <c r="AB817" s="1209"/>
    </row>
    <row r="818">
      <c r="A818" s="1209"/>
      <c r="B818" s="1209"/>
      <c r="C818" s="1209"/>
      <c r="D818" s="1267"/>
      <c r="E818" s="1267"/>
      <c r="F818" s="1267"/>
      <c r="G818" s="1267"/>
      <c r="H818" s="1267"/>
      <c r="I818" s="1267"/>
      <c r="J818" s="1267"/>
      <c r="K818" s="1267"/>
      <c r="L818" s="1267"/>
      <c r="M818" s="1267"/>
      <c r="N818" s="1267"/>
      <c r="O818" s="1267"/>
      <c r="P818" s="1267"/>
      <c r="Q818" s="1209"/>
      <c r="R818" s="1209"/>
      <c r="S818" s="1209"/>
      <c r="T818" s="1209"/>
      <c r="U818" s="1209"/>
      <c r="V818" s="1209"/>
      <c r="W818" s="1209"/>
      <c r="X818" s="1209"/>
      <c r="Y818" s="1209"/>
      <c r="Z818" s="1209"/>
      <c r="AA818" s="1209"/>
      <c r="AB818" s="1209"/>
    </row>
    <row r="819">
      <c r="A819" s="1209"/>
      <c r="B819" s="1209"/>
      <c r="C819" s="1209"/>
      <c r="D819" s="1267"/>
      <c r="E819" s="1267"/>
      <c r="F819" s="1267"/>
      <c r="G819" s="1267"/>
      <c r="H819" s="1267"/>
      <c r="I819" s="1267"/>
      <c r="J819" s="1267"/>
      <c r="K819" s="1267"/>
      <c r="L819" s="1267"/>
      <c r="M819" s="1267"/>
      <c r="N819" s="1267"/>
      <c r="O819" s="1267"/>
      <c r="P819" s="1267"/>
      <c r="Q819" s="1209"/>
      <c r="R819" s="1209"/>
      <c r="S819" s="1209"/>
      <c r="T819" s="1209"/>
      <c r="U819" s="1209"/>
      <c r="V819" s="1209"/>
      <c r="W819" s="1209"/>
      <c r="X819" s="1209"/>
      <c r="Y819" s="1209"/>
      <c r="Z819" s="1209"/>
      <c r="AA819" s="1209"/>
      <c r="AB819" s="1209"/>
    </row>
    <row r="820">
      <c r="A820" s="1209"/>
      <c r="B820" s="1209"/>
      <c r="C820" s="1209"/>
      <c r="D820" s="1267"/>
      <c r="E820" s="1267"/>
      <c r="F820" s="1267"/>
      <c r="G820" s="1267"/>
      <c r="H820" s="1267"/>
      <c r="I820" s="1267"/>
      <c r="J820" s="1267"/>
      <c r="K820" s="1267"/>
      <c r="L820" s="1267"/>
      <c r="M820" s="1267"/>
      <c r="N820" s="1267"/>
      <c r="O820" s="1267"/>
      <c r="P820" s="1267"/>
      <c r="Q820" s="1209"/>
      <c r="R820" s="1209"/>
      <c r="S820" s="1209"/>
      <c r="T820" s="1209"/>
      <c r="U820" s="1209"/>
      <c r="V820" s="1209"/>
      <c r="W820" s="1209"/>
      <c r="X820" s="1209"/>
      <c r="Y820" s="1209"/>
      <c r="Z820" s="1209"/>
      <c r="AA820" s="1209"/>
      <c r="AB820" s="1209"/>
    </row>
    <row r="821">
      <c r="A821" s="1209"/>
      <c r="B821" s="1209"/>
      <c r="C821" s="1209"/>
      <c r="D821" s="1267"/>
      <c r="E821" s="1267"/>
      <c r="F821" s="1267"/>
      <c r="G821" s="1267"/>
      <c r="H821" s="1267"/>
      <c r="I821" s="1267"/>
      <c r="J821" s="1267"/>
      <c r="K821" s="1267"/>
      <c r="L821" s="1267"/>
      <c r="M821" s="1267"/>
      <c r="N821" s="1267"/>
      <c r="O821" s="1267"/>
      <c r="P821" s="1267"/>
      <c r="Q821" s="1209"/>
      <c r="R821" s="1209"/>
      <c r="S821" s="1209"/>
      <c r="T821" s="1209"/>
      <c r="U821" s="1209"/>
      <c r="V821" s="1209"/>
      <c r="W821" s="1209"/>
      <c r="X821" s="1209"/>
      <c r="Y821" s="1209"/>
      <c r="Z821" s="1209"/>
      <c r="AA821" s="1209"/>
      <c r="AB821" s="1209"/>
    </row>
    <row r="822">
      <c r="A822" s="1209"/>
      <c r="B822" s="1209"/>
      <c r="C822" s="1209"/>
      <c r="D822" s="1267"/>
      <c r="E822" s="1267"/>
      <c r="F822" s="1267"/>
      <c r="G822" s="1267"/>
      <c r="H822" s="1267"/>
      <c r="I822" s="1267"/>
      <c r="J822" s="1267"/>
      <c r="K822" s="1267"/>
      <c r="L822" s="1267"/>
      <c r="M822" s="1267"/>
      <c r="N822" s="1267"/>
      <c r="O822" s="1267"/>
      <c r="P822" s="1267"/>
      <c r="Q822" s="1209"/>
      <c r="R822" s="1209"/>
      <c r="S822" s="1209"/>
      <c r="T822" s="1209"/>
      <c r="U822" s="1209"/>
      <c r="V822" s="1209"/>
      <c r="W822" s="1209"/>
      <c r="X822" s="1209"/>
      <c r="Y822" s="1209"/>
      <c r="Z822" s="1209"/>
      <c r="AA822" s="1209"/>
      <c r="AB822" s="1209"/>
    </row>
    <row r="823">
      <c r="A823" s="1209"/>
      <c r="B823" s="1209"/>
      <c r="C823" s="1209"/>
      <c r="D823" s="1267"/>
      <c r="E823" s="1267"/>
      <c r="F823" s="1267"/>
      <c r="G823" s="1267"/>
      <c r="H823" s="1267"/>
      <c r="I823" s="1267"/>
      <c r="J823" s="1267"/>
      <c r="K823" s="1267"/>
      <c r="L823" s="1267"/>
      <c r="M823" s="1267"/>
      <c r="N823" s="1267"/>
      <c r="O823" s="1267"/>
      <c r="P823" s="1267"/>
      <c r="Q823" s="1209"/>
      <c r="R823" s="1209"/>
      <c r="S823" s="1209"/>
      <c r="T823" s="1209"/>
      <c r="U823" s="1209"/>
      <c r="V823" s="1209"/>
      <c r="W823" s="1209"/>
      <c r="X823" s="1209"/>
      <c r="Y823" s="1209"/>
      <c r="Z823" s="1209"/>
      <c r="AA823" s="1209"/>
      <c r="AB823" s="1209"/>
    </row>
    <row r="824">
      <c r="A824" s="1209"/>
      <c r="B824" s="1209"/>
      <c r="C824" s="1209"/>
      <c r="D824" s="1267"/>
      <c r="E824" s="1267"/>
      <c r="F824" s="1267"/>
      <c r="G824" s="1267"/>
      <c r="H824" s="1267"/>
      <c r="I824" s="1267"/>
      <c r="J824" s="1267"/>
      <c r="K824" s="1267"/>
      <c r="L824" s="1267"/>
      <c r="M824" s="1267"/>
      <c r="N824" s="1267"/>
      <c r="O824" s="1267"/>
      <c r="P824" s="1267"/>
      <c r="Q824" s="1209"/>
      <c r="R824" s="1209"/>
      <c r="S824" s="1209"/>
      <c r="T824" s="1209"/>
      <c r="U824" s="1209"/>
      <c r="V824" s="1209"/>
      <c r="W824" s="1209"/>
      <c r="X824" s="1209"/>
      <c r="Y824" s="1209"/>
      <c r="Z824" s="1209"/>
      <c r="AA824" s="1209"/>
      <c r="AB824" s="1209"/>
    </row>
    <row r="825">
      <c r="A825" s="1209"/>
      <c r="B825" s="1209"/>
      <c r="C825" s="1209"/>
      <c r="D825" s="1267"/>
      <c r="E825" s="1267"/>
      <c r="F825" s="1267"/>
      <c r="G825" s="1267"/>
      <c r="H825" s="1267"/>
      <c r="I825" s="1267"/>
      <c r="J825" s="1267"/>
      <c r="K825" s="1267"/>
      <c r="L825" s="1267"/>
      <c r="M825" s="1267"/>
      <c r="N825" s="1267"/>
      <c r="O825" s="1267"/>
      <c r="P825" s="1267"/>
      <c r="Q825" s="1209"/>
      <c r="R825" s="1209"/>
      <c r="S825" s="1209"/>
      <c r="T825" s="1209"/>
      <c r="U825" s="1209"/>
      <c r="V825" s="1209"/>
      <c r="W825" s="1209"/>
      <c r="X825" s="1209"/>
      <c r="Y825" s="1209"/>
      <c r="Z825" s="1209"/>
      <c r="AA825" s="1209"/>
      <c r="AB825" s="1209"/>
    </row>
    <row r="826">
      <c r="A826" s="1209"/>
      <c r="B826" s="1209"/>
      <c r="C826" s="1209"/>
      <c r="D826" s="1267"/>
      <c r="E826" s="1267"/>
      <c r="F826" s="1267"/>
      <c r="G826" s="1267"/>
      <c r="H826" s="1267"/>
      <c r="I826" s="1267"/>
      <c r="J826" s="1267"/>
      <c r="K826" s="1267"/>
      <c r="L826" s="1267"/>
      <c r="M826" s="1267"/>
      <c r="N826" s="1267"/>
      <c r="O826" s="1267"/>
      <c r="P826" s="1267"/>
      <c r="Q826" s="1209"/>
      <c r="R826" s="1209"/>
      <c r="S826" s="1209"/>
      <c r="T826" s="1209"/>
      <c r="U826" s="1209"/>
      <c r="V826" s="1209"/>
      <c r="W826" s="1209"/>
      <c r="X826" s="1209"/>
      <c r="Y826" s="1209"/>
      <c r="Z826" s="1209"/>
      <c r="AA826" s="1209"/>
      <c r="AB826" s="1209"/>
    </row>
    <row r="827">
      <c r="A827" s="1209"/>
      <c r="B827" s="1209"/>
      <c r="C827" s="1209"/>
      <c r="D827" s="1267"/>
      <c r="E827" s="1267"/>
      <c r="F827" s="1267"/>
      <c r="G827" s="1267"/>
      <c r="H827" s="1267"/>
      <c r="I827" s="1267"/>
      <c r="J827" s="1267"/>
      <c r="K827" s="1267"/>
      <c r="L827" s="1267"/>
      <c r="M827" s="1267"/>
      <c r="N827" s="1267"/>
      <c r="O827" s="1267"/>
      <c r="P827" s="1267"/>
      <c r="Q827" s="1209"/>
      <c r="R827" s="1209"/>
      <c r="S827" s="1209"/>
      <c r="T827" s="1209"/>
      <c r="U827" s="1209"/>
      <c r="V827" s="1209"/>
      <c r="W827" s="1209"/>
      <c r="X827" s="1209"/>
      <c r="Y827" s="1209"/>
      <c r="Z827" s="1209"/>
      <c r="AA827" s="1209"/>
      <c r="AB827" s="1209"/>
    </row>
    <row r="828">
      <c r="A828" s="1209"/>
      <c r="B828" s="1209"/>
      <c r="C828" s="1209"/>
      <c r="D828" s="1267"/>
      <c r="E828" s="1267"/>
      <c r="F828" s="1267"/>
      <c r="G828" s="1267"/>
      <c r="H828" s="1267"/>
      <c r="I828" s="1267"/>
      <c r="J828" s="1267"/>
      <c r="K828" s="1267"/>
      <c r="L828" s="1267"/>
      <c r="M828" s="1267"/>
      <c r="N828" s="1267"/>
      <c r="O828" s="1267"/>
      <c r="P828" s="1267"/>
      <c r="Q828" s="1209"/>
      <c r="R828" s="1209"/>
      <c r="S828" s="1209"/>
      <c r="T828" s="1209"/>
      <c r="U828" s="1209"/>
      <c r="V828" s="1209"/>
      <c r="W828" s="1209"/>
      <c r="X828" s="1209"/>
      <c r="Y828" s="1209"/>
      <c r="Z828" s="1209"/>
      <c r="AA828" s="1209"/>
      <c r="AB828" s="1209"/>
    </row>
    <row r="829">
      <c r="A829" s="1209"/>
      <c r="B829" s="1209"/>
      <c r="C829" s="1209"/>
      <c r="D829" s="1267"/>
      <c r="E829" s="1267"/>
      <c r="F829" s="1267"/>
      <c r="G829" s="1267"/>
      <c r="H829" s="1267"/>
      <c r="I829" s="1267"/>
      <c r="J829" s="1267"/>
      <c r="K829" s="1267"/>
      <c r="L829" s="1267"/>
      <c r="M829" s="1267"/>
      <c r="N829" s="1267"/>
      <c r="O829" s="1267"/>
      <c r="P829" s="1267"/>
      <c r="Q829" s="1209"/>
      <c r="R829" s="1209"/>
      <c r="S829" s="1209"/>
      <c r="T829" s="1209"/>
      <c r="U829" s="1209"/>
      <c r="V829" s="1209"/>
      <c r="W829" s="1209"/>
      <c r="X829" s="1209"/>
      <c r="Y829" s="1209"/>
      <c r="Z829" s="1209"/>
      <c r="AA829" s="1209"/>
      <c r="AB829" s="1209"/>
    </row>
    <row r="830">
      <c r="A830" s="1209"/>
      <c r="B830" s="1209"/>
      <c r="C830" s="1209"/>
      <c r="D830" s="1267"/>
      <c r="E830" s="1267"/>
      <c r="F830" s="1267"/>
      <c r="G830" s="1267"/>
      <c r="H830" s="1267"/>
      <c r="I830" s="1267"/>
      <c r="J830" s="1267"/>
      <c r="K830" s="1267"/>
      <c r="L830" s="1267"/>
      <c r="M830" s="1267"/>
      <c r="N830" s="1267"/>
      <c r="O830" s="1267"/>
      <c r="P830" s="1267"/>
      <c r="Q830" s="1209"/>
      <c r="R830" s="1209"/>
      <c r="S830" s="1209"/>
      <c r="T830" s="1209"/>
      <c r="U830" s="1209"/>
      <c r="V830" s="1209"/>
      <c r="W830" s="1209"/>
      <c r="X830" s="1209"/>
      <c r="Y830" s="1209"/>
      <c r="Z830" s="1209"/>
      <c r="AA830" s="1209"/>
      <c r="AB830" s="1209"/>
    </row>
    <row r="831">
      <c r="A831" s="1209"/>
      <c r="B831" s="1209"/>
      <c r="C831" s="1209"/>
      <c r="D831" s="1267"/>
      <c r="E831" s="1267"/>
      <c r="F831" s="1267"/>
      <c r="G831" s="1267"/>
      <c r="H831" s="1267"/>
      <c r="I831" s="1267"/>
      <c r="J831" s="1267"/>
      <c r="K831" s="1267"/>
      <c r="L831" s="1267"/>
      <c r="M831" s="1267"/>
      <c r="N831" s="1267"/>
      <c r="O831" s="1267"/>
      <c r="P831" s="1267"/>
      <c r="Q831" s="1209"/>
      <c r="R831" s="1209"/>
      <c r="S831" s="1209"/>
      <c r="T831" s="1209"/>
      <c r="U831" s="1209"/>
      <c r="V831" s="1209"/>
      <c r="W831" s="1209"/>
      <c r="X831" s="1209"/>
      <c r="Y831" s="1209"/>
      <c r="Z831" s="1209"/>
      <c r="AA831" s="1209"/>
      <c r="AB831" s="1209"/>
    </row>
    <row r="832">
      <c r="A832" s="1209"/>
      <c r="B832" s="1209"/>
      <c r="C832" s="1209"/>
      <c r="D832" s="1267"/>
      <c r="E832" s="1267"/>
      <c r="F832" s="1267"/>
      <c r="G832" s="1267"/>
      <c r="H832" s="1267"/>
      <c r="I832" s="1267"/>
      <c r="J832" s="1267"/>
      <c r="K832" s="1267"/>
      <c r="L832" s="1267"/>
      <c r="M832" s="1267"/>
      <c r="N832" s="1267"/>
      <c r="O832" s="1267"/>
      <c r="P832" s="1267"/>
      <c r="Q832" s="1209"/>
      <c r="R832" s="1209"/>
      <c r="S832" s="1209"/>
      <c r="T832" s="1209"/>
      <c r="U832" s="1209"/>
      <c r="V832" s="1209"/>
      <c r="W832" s="1209"/>
      <c r="X832" s="1209"/>
      <c r="Y832" s="1209"/>
      <c r="Z832" s="1209"/>
      <c r="AA832" s="1209"/>
      <c r="AB832" s="1209"/>
    </row>
    <row r="833">
      <c r="A833" s="1209"/>
      <c r="B833" s="1209"/>
      <c r="C833" s="1209"/>
      <c r="D833" s="1267"/>
      <c r="E833" s="1267"/>
      <c r="F833" s="1267"/>
      <c r="G833" s="1267"/>
      <c r="H833" s="1267"/>
      <c r="I833" s="1267"/>
      <c r="J833" s="1267"/>
      <c r="K833" s="1267"/>
      <c r="L833" s="1267"/>
      <c r="M833" s="1267"/>
      <c r="N833" s="1267"/>
      <c r="O833" s="1267"/>
      <c r="P833" s="1267"/>
      <c r="Q833" s="1209"/>
      <c r="R833" s="1209"/>
      <c r="S833" s="1209"/>
      <c r="T833" s="1209"/>
      <c r="U833" s="1209"/>
      <c r="V833" s="1209"/>
      <c r="W833" s="1209"/>
      <c r="X833" s="1209"/>
      <c r="Y833" s="1209"/>
      <c r="Z833" s="1209"/>
      <c r="AA833" s="1209"/>
      <c r="AB833" s="1209"/>
    </row>
    <row r="834">
      <c r="A834" s="1209"/>
      <c r="B834" s="1209"/>
      <c r="C834" s="1209"/>
      <c r="D834" s="1267"/>
      <c r="E834" s="1267"/>
      <c r="F834" s="1267"/>
      <c r="G834" s="1267"/>
      <c r="H834" s="1267"/>
      <c r="I834" s="1267"/>
      <c r="J834" s="1267"/>
      <c r="K834" s="1267"/>
      <c r="L834" s="1267"/>
      <c r="M834" s="1267"/>
      <c r="N834" s="1267"/>
      <c r="O834" s="1267"/>
      <c r="P834" s="1267"/>
      <c r="Q834" s="1209"/>
      <c r="R834" s="1209"/>
      <c r="S834" s="1209"/>
      <c r="T834" s="1209"/>
      <c r="U834" s="1209"/>
      <c r="V834" s="1209"/>
      <c r="W834" s="1209"/>
      <c r="X834" s="1209"/>
      <c r="Y834" s="1209"/>
      <c r="Z834" s="1209"/>
      <c r="AA834" s="1209"/>
      <c r="AB834" s="1209"/>
    </row>
    <row r="835">
      <c r="A835" s="1209"/>
      <c r="B835" s="1209"/>
      <c r="C835" s="1209"/>
      <c r="D835" s="1267"/>
      <c r="E835" s="1267"/>
      <c r="F835" s="1267"/>
      <c r="G835" s="1267"/>
      <c r="H835" s="1267"/>
      <c r="I835" s="1267"/>
      <c r="J835" s="1267"/>
      <c r="K835" s="1267"/>
      <c r="L835" s="1267"/>
      <c r="M835" s="1267"/>
      <c r="N835" s="1267"/>
      <c r="O835" s="1267"/>
      <c r="P835" s="1267"/>
      <c r="Q835" s="1209"/>
      <c r="R835" s="1209"/>
      <c r="S835" s="1209"/>
      <c r="T835" s="1209"/>
      <c r="U835" s="1209"/>
      <c r="V835" s="1209"/>
      <c r="W835" s="1209"/>
      <c r="X835" s="1209"/>
      <c r="Y835" s="1209"/>
      <c r="Z835" s="1209"/>
      <c r="AA835" s="1209"/>
      <c r="AB835" s="1209"/>
    </row>
    <row r="836">
      <c r="A836" s="1209"/>
      <c r="B836" s="1209"/>
      <c r="C836" s="1209"/>
      <c r="D836" s="1267"/>
      <c r="E836" s="1267"/>
      <c r="F836" s="1267"/>
      <c r="G836" s="1267"/>
      <c r="H836" s="1267"/>
      <c r="I836" s="1267"/>
      <c r="J836" s="1267"/>
      <c r="K836" s="1267"/>
      <c r="L836" s="1267"/>
      <c r="M836" s="1267"/>
      <c r="N836" s="1267"/>
      <c r="O836" s="1267"/>
      <c r="P836" s="1267"/>
      <c r="Q836" s="1209"/>
      <c r="R836" s="1209"/>
      <c r="S836" s="1209"/>
      <c r="T836" s="1209"/>
      <c r="U836" s="1209"/>
      <c r="V836" s="1209"/>
      <c r="W836" s="1209"/>
      <c r="X836" s="1209"/>
      <c r="Y836" s="1209"/>
      <c r="Z836" s="1209"/>
      <c r="AA836" s="1209"/>
      <c r="AB836" s="1209"/>
    </row>
    <row r="837">
      <c r="A837" s="1209"/>
      <c r="B837" s="1209"/>
      <c r="C837" s="1209"/>
      <c r="D837" s="1267"/>
      <c r="E837" s="1267"/>
      <c r="F837" s="1267"/>
      <c r="G837" s="1267"/>
      <c r="H837" s="1267"/>
      <c r="I837" s="1267"/>
      <c r="J837" s="1267"/>
      <c r="K837" s="1267"/>
      <c r="L837" s="1267"/>
      <c r="M837" s="1267"/>
      <c r="N837" s="1267"/>
      <c r="O837" s="1267"/>
      <c r="P837" s="1267"/>
      <c r="Q837" s="1209"/>
      <c r="R837" s="1209"/>
      <c r="S837" s="1209"/>
      <c r="T837" s="1209"/>
      <c r="U837" s="1209"/>
      <c r="V837" s="1209"/>
      <c r="W837" s="1209"/>
      <c r="X837" s="1209"/>
      <c r="Y837" s="1209"/>
      <c r="Z837" s="1209"/>
      <c r="AA837" s="1209"/>
      <c r="AB837" s="1209"/>
    </row>
    <row r="838">
      <c r="A838" s="1209"/>
      <c r="B838" s="1209"/>
      <c r="C838" s="1209"/>
      <c r="D838" s="1267"/>
      <c r="E838" s="1267"/>
      <c r="F838" s="1267"/>
      <c r="G838" s="1267"/>
      <c r="H838" s="1267"/>
      <c r="I838" s="1267"/>
      <c r="J838" s="1267"/>
      <c r="K838" s="1267"/>
      <c r="L838" s="1267"/>
      <c r="M838" s="1267"/>
      <c r="N838" s="1267"/>
      <c r="O838" s="1267"/>
      <c r="P838" s="1267"/>
      <c r="Q838" s="1209"/>
      <c r="R838" s="1209"/>
      <c r="S838" s="1209"/>
      <c r="T838" s="1209"/>
      <c r="U838" s="1209"/>
      <c r="V838" s="1209"/>
      <c r="W838" s="1209"/>
      <c r="X838" s="1209"/>
      <c r="Y838" s="1209"/>
      <c r="Z838" s="1209"/>
      <c r="AA838" s="1209"/>
      <c r="AB838" s="1209"/>
    </row>
    <row r="839">
      <c r="A839" s="1209"/>
      <c r="B839" s="1209"/>
      <c r="C839" s="1209"/>
      <c r="D839" s="1267"/>
      <c r="E839" s="1267"/>
      <c r="F839" s="1267"/>
      <c r="G839" s="1267"/>
      <c r="H839" s="1267"/>
      <c r="I839" s="1267"/>
      <c r="J839" s="1267"/>
      <c r="K839" s="1267"/>
      <c r="L839" s="1267"/>
      <c r="M839" s="1267"/>
      <c r="N839" s="1267"/>
      <c r="O839" s="1267"/>
      <c r="P839" s="1267"/>
      <c r="Q839" s="1209"/>
      <c r="R839" s="1209"/>
      <c r="S839" s="1209"/>
      <c r="T839" s="1209"/>
      <c r="U839" s="1209"/>
      <c r="V839" s="1209"/>
      <c r="W839" s="1209"/>
      <c r="X839" s="1209"/>
      <c r="Y839" s="1209"/>
      <c r="Z839" s="1209"/>
      <c r="AA839" s="1209"/>
      <c r="AB839" s="1209"/>
    </row>
    <row r="840">
      <c r="A840" s="1209"/>
      <c r="B840" s="1209"/>
      <c r="C840" s="1209"/>
      <c r="D840" s="1267"/>
      <c r="E840" s="1267"/>
      <c r="F840" s="1267"/>
      <c r="G840" s="1267"/>
      <c r="H840" s="1267"/>
      <c r="I840" s="1267"/>
      <c r="J840" s="1267"/>
      <c r="K840" s="1267"/>
      <c r="L840" s="1267"/>
      <c r="M840" s="1267"/>
      <c r="N840" s="1267"/>
      <c r="O840" s="1267"/>
      <c r="P840" s="1267"/>
      <c r="Q840" s="1209"/>
      <c r="R840" s="1209"/>
      <c r="S840" s="1209"/>
      <c r="T840" s="1209"/>
      <c r="U840" s="1209"/>
      <c r="V840" s="1209"/>
      <c r="W840" s="1209"/>
      <c r="X840" s="1209"/>
      <c r="Y840" s="1209"/>
      <c r="Z840" s="1209"/>
      <c r="AA840" s="1209"/>
      <c r="AB840" s="1209"/>
    </row>
    <row r="841">
      <c r="A841" s="1209"/>
      <c r="B841" s="1209"/>
      <c r="C841" s="1209"/>
      <c r="D841" s="1267"/>
      <c r="E841" s="1267"/>
      <c r="F841" s="1267"/>
      <c r="G841" s="1267"/>
      <c r="H841" s="1267"/>
      <c r="I841" s="1267"/>
      <c r="J841" s="1267"/>
      <c r="K841" s="1267"/>
      <c r="L841" s="1267"/>
      <c r="M841" s="1267"/>
      <c r="N841" s="1267"/>
      <c r="O841" s="1267"/>
      <c r="P841" s="1267"/>
      <c r="Q841" s="1209"/>
      <c r="R841" s="1209"/>
      <c r="S841" s="1209"/>
      <c r="T841" s="1209"/>
      <c r="U841" s="1209"/>
      <c r="V841" s="1209"/>
      <c r="W841" s="1209"/>
      <c r="X841" s="1209"/>
      <c r="Y841" s="1209"/>
      <c r="Z841" s="1209"/>
      <c r="AA841" s="1209"/>
      <c r="AB841" s="1209"/>
    </row>
    <row r="842">
      <c r="A842" s="1209"/>
      <c r="B842" s="1209"/>
      <c r="C842" s="1209"/>
      <c r="D842" s="1267"/>
      <c r="E842" s="1267"/>
      <c r="F842" s="1267"/>
      <c r="G842" s="1267"/>
      <c r="H842" s="1267"/>
      <c r="I842" s="1267"/>
      <c r="J842" s="1267"/>
      <c r="K842" s="1267"/>
      <c r="L842" s="1267"/>
      <c r="M842" s="1267"/>
      <c r="N842" s="1267"/>
      <c r="O842" s="1267"/>
      <c r="P842" s="1267"/>
      <c r="Q842" s="1209"/>
      <c r="R842" s="1209"/>
      <c r="S842" s="1209"/>
      <c r="T842" s="1209"/>
      <c r="U842" s="1209"/>
      <c r="V842" s="1209"/>
      <c r="W842" s="1209"/>
      <c r="X842" s="1209"/>
      <c r="Y842" s="1209"/>
      <c r="Z842" s="1209"/>
      <c r="AA842" s="1209"/>
      <c r="AB842" s="1209"/>
    </row>
    <row r="843">
      <c r="A843" s="1209"/>
      <c r="B843" s="1209"/>
      <c r="C843" s="1209"/>
      <c r="D843" s="1267"/>
      <c r="E843" s="1267"/>
      <c r="F843" s="1267"/>
      <c r="G843" s="1267"/>
      <c r="H843" s="1267"/>
      <c r="I843" s="1267"/>
      <c r="J843" s="1267"/>
      <c r="K843" s="1267"/>
      <c r="L843" s="1267"/>
      <c r="M843" s="1267"/>
      <c r="N843" s="1267"/>
      <c r="O843" s="1267"/>
      <c r="P843" s="1267"/>
      <c r="Q843" s="1209"/>
      <c r="R843" s="1209"/>
      <c r="S843" s="1209"/>
      <c r="T843" s="1209"/>
      <c r="U843" s="1209"/>
      <c r="V843" s="1209"/>
      <c r="W843" s="1209"/>
      <c r="X843" s="1209"/>
      <c r="Y843" s="1209"/>
      <c r="Z843" s="1209"/>
      <c r="AA843" s="1209"/>
      <c r="AB843" s="1209"/>
    </row>
    <row r="844">
      <c r="A844" s="1209"/>
      <c r="B844" s="1209"/>
      <c r="C844" s="1209"/>
      <c r="D844" s="1267"/>
      <c r="E844" s="1267"/>
      <c r="F844" s="1267"/>
      <c r="G844" s="1267"/>
      <c r="H844" s="1267"/>
      <c r="I844" s="1267"/>
      <c r="J844" s="1267"/>
      <c r="K844" s="1267"/>
      <c r="L844" s="1267"/>
      <c r="M844" s="1267"/>
      <c r="N844" s="1267"/>
      <c r="O844" s="1267"/>
      <c r="P844" s="1267"/>
      <c r="Q844" s="1209"/>
      <c r="R844" s="1209"/>
      <c r="S844" s="1209"/>
      <c r="T844" s="1209"/>
      <c r="U844" s="1209"/>
      <c r="V844" s="1209"/>
      <c r="W844" s="1209"/>
      <c r="X844" s="1209"/>
      <c r="Y844" s="1209"/>
      <c r="Z844" s="1209"/>
      <c r="AA844" s="1209"/>
      <c r="AB844" s="1209"/>
    </row>
    <row r="845">
      <c r="A845" s="1209"/>
      <c r="B845" s="1209"/>
      <c r="C845" s="1209"/>
      <c r="D845" s="1267"/>
      <c r="E845" s="1267"/>
      <c r="F845" s="1267"/>
      <c r="G845" s="1267"/>
      <c r="H845" s="1267"/>
      <c r="I845" s="1267"/>
      <c r="J845" s="1267"/>
      <c r="K845" s="1267"/>
      <c r="L845" s="1267"/>
      <c r="M845" s="1267"/>
      <c r="N845" s="1267"/>
      <c r="O845" s="1267"/>
      <c r="P845" s="1267"/>
      <c r="Q845" s="1209"/>
      <c r="R845" s="1209"/>
      <c r="S845" s="1209"/>
      <c r="T845" s="1209"/>
      <c r="U845" s="1209"/>
      <c r="V845" s="1209"/>
      <c r="W845" s="1209"/>
      <c r="X845" s="1209"/>
      <c r="Y845" s="1209"/>
      <c r="Z845" s="1209"/>
      <c r="AA845" s="1209"/>
      <c r="AB845" s="1209"/>
    </row>
    <row r="846">
      <c r="A846" s="1209"/>
      <c r="B846" s="1209"/>
      <c r="C846" s="1209"/>
      <c r="D846" s="1267"/>
      <c r="E846" s="1267"/>
      <c r="F846" s="1267"/>
      <c r="G846" s="1267"/>
      <c r="H846" s="1267"/>
      <c r="I846" s="1267"/>
      <c r="J846" s="1267"/>
      <c r="K846" s="1267"/>
      <c r="L846" s="1267"/>
      <c r="M846" s="1267"/>
      <c r="N846" s="1267"/>
      <c r="O846" s="1267"/>
      <c r="P846" s="1267"/>
      <c r="Q846" s="1209"/>
      <c r="R846" s="1209"/>
      <c r="S846" s="1209"/>
      <c r="T846" s="1209"/>
      <c r="U846" s="1209"/>
      <c r="V846" s="1209"/>
      <c r="W846" s="1209"/>
      <c r="X846" s="1209"/>
      <c r="Y846" s="1209"/>
      <c r="Z846" s="1209"/>
      <c r="AA846" s="1209"/>
      <c r="AB846" s="1209"/>
    </row>
    <row r="847">
      <c r="A847" s="1209"/>
      <c r="B847" s="1209"/>
      <c r="C847" s="1209"/>
      <c r="D847" s="1267"/>
      <c r="E847" s="1267"/>
      <c r="F847" s="1267"/>
      <c r="G847" s="1267"/>
      <c r="H847" s="1267"/>
      <c r="I847" s="1267"/>
      <c r="J847" s="1267"/>
      <c r="K847" s="1267"/>
      <c r="L847" s="1267"/>
      <c r="M847" s="1267"/>
      <c r="N847" s="1267"/>
      <c r="O847" s="1267"/>
      <c r="P847" s="1267"/>
      <c r="Q847" s="1209"/>
      <c r="R847" s="1209"/>
      <c r="S847" s="1209"/>
      <c r="T847" s="1209"/>
      <c r="U847" s="1209"/>
      <c r="V847" s="1209"/>
      <c r="W847" s="1209"/>
      <c r="X847" s="1209"/>
      <c r="Y847" s="1209"/>
      <c r="Z847" s="1209"/>
      <c r="AA847" s="1209"/>
      <c r="AB847" s="1209"/>
    </row>
    <row r="848">
      <c r="A848" s="1209"/>
      <c r="B848" s="1209"/>
      <c r="C848" s="1209"/>
      <c r="D848" s="1267"/>
      <c r="E848" s="1267"/>
      <c r="F848" s="1267"/>
      <c r="G848" s="1267"/>
      <c r="H848" s="1267"/>
      <c r="I848" s="1267"/>
      <c r="J848" s="1267"/>
      <c r="K848" s="1267"/>
      <c r="L848" s="1267"/>
      <c r="M848" s="1267"/>
      <c r="N848" s="1267"/>
      <c r="O848" s="1267"/>
      <c r="P848" s="1267"/>
      <c r="Q848" s="1209"/>
      <c r="R848" s="1209"/>
      <c r="S848" s="1209"/>
      <c r="T848" s="1209"/>
      <c r="U848" s="1209"/>
      <c r="V848" s="1209"/>
      <c r="W848" s="1209"/>
      <c r="X848" s="1209"/>
      <c r="Y848" s="1209"/>
      <c r="Z848" s="1209"/>
      <c r="AA848" s="1209"/>
      <c r="AB848" s="1209"/>
    </row>
    <row r="849">
      <c r="A849" s="1209"/>
      <c r="B849" s="1209"/>
      <c r="C849" s="1209"/>
      <c r="D849" s="1267"/>
      <c r="E849" s="1267"/>
      <c r="F849" s="1267"/>
      <c r="G849" s="1267"/>
      <c r="H849" s="1267"/>
      <c r="I849" s="1267"/>
      <c r="J849" s="1267"/>
      <c r="K849" s="1267"/>
      <c r="L849" s="1267"/>
      <c r="M849" s="1267"/>
      <c r="N849" s="1267"/>
      <c r="O849" s="1267"/>
      <c r="P849" s="1267"/>
      <c r="Q849" s="1209"/>
      <c r="R849" s="1209"/>
      <c r="S849" s="1209"/>
      <c r="T849" s="1209"/>
      <c r="U849" s="1209"/>
      <c r="V849" s="1209"/>
      <c r="W849" s="1209"/>
      <c r="X849" s="1209"/>
      <c r="Y849" s="1209"/>
      <c r="Z849" s="1209"/>
      <c r="AA849" s="1209"/>
      <c r="AB849" s="1209"/>
    </row>
    <row r="850">
      <c r="A850" s="1209"/>
      <c r="B850" s="1209"/>
      <c r="C850" s="1209"/>
      <c r="D850" s="1267"/>
      <c r="E850" s="1267"/>
      <c r="F850" s="1267"/>
      <c r="G850" s="1267"/>
      <c r="H850" s="1267"/>
      <c r="I850" s="1267"/>
      <c r="J850" s="1267"/>
      <c r="K850" s="1267"/>
      <c r="L850" s="1267"/>
      <c r="M850" s="1267"/>
      <c r="N850" s="1267"/>
      <c r="O850" s="1267"/>
      <c r="P850" s="1267"/>
      <c r="Q850" s="1209"/>
      <c r="R850" s="1209"/>
      <c r="S850" s="1209"/>
      <c r="T850" s="1209"/>
      <c r="U850" s="1209"/>
      <c r="V850" s="1209"/>
      <c r="W850" s="1209"/>
      <c r="X850" s="1209"/>
      <c r="Y850" s="1209"/>
      <c r="Z850" s="1209"/>
      <c r="AA850" s="1209"/>
      <c r="AB850" s="1209"/>
    </row>
    <row r="851">
      <c r="A851" s="1209"/>
      <c r="B851" s="1209"/>
      <c r="C851" s="1209"/>
      <c r="D851" s="1267"/>
      <c r="E851" s="1267"/>
      <c r="F851" s="1267"/>
      <c r="G851" s="1267"/>
      <c r="H851" s="1267"/>
      <c r="I851" s="1267"/>
      <c r="J851" s="1267"/>
      <c r="K851" s="1267"/>
      <c r="L851" s="1267"/>
      <c r="M851" s="1267"/>
      <c r="N851" s="1267"/>
      <c r="O851" s="1267"/>
      <c r="P851" s="1267"/>
      <c r="Q851" s="1209"/>
      <c r="R851" s="1209"/>
      <c r="S851" s="1209"/>
      <c r="T851" s="1209"/>
      <c r="U851" s="1209"/>
      <c r="V851" s="1209"/>
      <c r="W851" s="1209"/>
      <c r="X851" s="1209"/>
      <c r="Y851" s="1209"/>
      <c r="Z851" s="1209"/>
      <c r="AA851" s="1209"/>
      <c r="AB851" s="1209"/>
    </row>
    <row r="852">
      <c r="A852" s="1209"/>
      <c r="B852" s="1209"/>
      <c r="C852" s="1209"/>
      <c r="D852" s="1267"/>
      <c r="E852" s="1267"/>
      <c r="F852" s="1267"/>
      <c r="G852" s="1267"/>
      <c r="H852" s="1267"/>
      <c r="I852" s="1267"/>
      <c r="J852" s="1267"/>
      <c r="K852" s="1267"/>
      <c r="L852" s="1267"/>
      <c r="M852" s="1267"/>
      <c r="N852" s="1267"/>
      <c r="O852" s="1267"/>
      <c r="P852" s="1267"/>
      <c r="Q852" s="1209"/>
      <c r="R852" s="1209"/>
      <c r="S852" s="1209"/>
      <c r="T852" s="1209"/>
      <c r="U852" s="1209"/>
      <c r="V852" s="1209"/>
      <c r="W852" s="1209"/>
      <c r="X852" s="1209"/>
      <c r="Y852" s="1209"/>
      <c r="Z852" s="1209"/>
      <c r="AA852" s="1209"/>
      <c r="AB852" s="1209"/>
    </row>
    <row r="853">
      <c r="A853" s="1209"/>
      <c r="B853" s="1209"/>
      <c r="C853" s="1209"/>
      <c r="D853" s="1267"/>
      <c r="E853" s="1267"/>
      <c r="F853" s="1267"/>
      <c r="G853" s="1267"/>
      <c r="H853" s="1267"/>
      <c r="I853" s="1267"/>
      <c r="J853" s="1267"/>
      <c r="K853" s="1267"/>
      <c r="L853" s="1267"/>
      <c r="M853" s="1267"/>
      <c r="N853" s="1267"/>
      <c r="O853" s="1267"/>
      <c r="P853" s="1267"/>
      <c r="Q853" s="1209"/>
      <c r="R853" s="1209"/>
      <c r="S853" s="1209"/>
      <c r="T853" s="1209"/>
      <c r="U853" s="1209"/>
      <c r="V853" s="1209"/>
      <c r="W853" s="1209"/>
      <c r="X853" s="1209"/>
      <c r="Y853" s="1209"/>
      <c r="Z853" s="1209"/>
      <c r="AA853" s="1209"/>
      <c r="AB853" s="1209"/>
    </row>
    <row r="854">
      <c r="A854" s="1209"/>
      <c r="B854" s="1209"/>
      <c r="C854" s="1209"/>
      <c r="D854" s="1267"/>
      <c r="E854" s="1267"/>
      <c r="F854" s="1267"/>
      <c r="G854" s="1267"/>
      <c r="H854" s="1267"/>
      <c r="I854" s="1267"/>
      <c r="J854" s="1267"/>
      <c r="K854" s="1267"/>
      <c r="L854" s="1267"/>
      <c r="M854" s="1267"/>
      <c r="N854" s="1267"/>
      <c r="O854" s="1267"/>
      <c r="P854" s="1267"/>
      <c r="Q854" s="1209"/>
      <c r="R854" s="1209"/>
      <c r="S854" s="1209"/>
      <c r="T854" s="1209"/>
      <c r="U854" s="1209"/>
      <c r="V854" s="1209"/>
      <c r="W854" s="1209"/>
      <c r="X854" s="1209"/>
      <c r="Y854" s="1209"/>
      <c r="Z854" s="1209"/>
      <c r="AA854" s="1209"/>
      <c r="AB854" s="1209"/>
    </row>
    <row r="855">
      <c r="A855" s="1209"/>
      <c r="B855" s="1209"/>
      <c r="C855" s="1209"/>
      <c r="D855" s="1267"/>
      <c r="E855" s="1267"/>
      <c r="F855" s="1267"/>
      <c r="G855" s="1267"/>
      <c r="H855" s="1267"/>
      <c r="I855" s="1267"/>
      <c r="J855" s="1267"/>
      <c r="K855" s="1267"/>
      <c r="L855" s="1267"/>
      <c r="M855" s="1267"/>
      <c r="N855" s="1267"/>
      <c r="O855" s="1267"/>
      <c r="P855" s="1267"/>
      <c r="Q855" s="1209"/>
      <c r="R855" s="1209"/>
      <c r="S855" s="1209"/>
      <c r="T855" s="1209"/>
      <c r="U855" s="1209"/>
      <c r="V855" s="1209"/>
      <c r="W855" s="1209"/>
      <c r="X855" s="1209"/>
      <c r="Y855" s="1209"/>
      <c r="Z855" s="1209"/>
      <c r="AA855" s="1209"/>
      <c r="AB855" s="1209"/>
    </row>
    <row r="856">
      <c r="A856" s="1209"/>
      <c r="B856" s="1209"/>
      <c r="C856" s="1209"/>
      <c r="D856" s="1267"/>
      <c r="E856" s="1267"/>
      <c r="F856" s="1267"/>
      <c r="G856" s="1267"/>
      <c r="H856" s="1267"/>
      <c r="I856" s="1267"/>
      <c r="J856" s="1267"/>
      <c r="K856" s="1267"/>
      <c r="L856" s="1267"/>
      <c r="M856" s="1267"/>
      <c r="N856" s="1267"/>
      <c r="O856" s="1267"/>
      <c r="P856" s="1267"/>
      <c r="Q856" s="1209"/>
      <c r="R856" s="1209"/>
      <c r="S856" s="1209"/>
      <c r="T856" s="1209"/>
      <c r="U856" s="1209"/>
      <c r="V856" s="1209"/>
      <c r="W856" s="1209"/>
      <c r="X856" s="1209"/>
      <c r="Y856" s="1209"/>
      <c r="Z856" s="1209"/>
      <c r="AA856" s="1209"/>
      <c r="AB856" s="1209"/>
    </row>
    <row r="857">
      <c r="A857" s="1209"/>
      <c r="B857" s="1209"/>
      <c r="C857" s="1209"/>
      <c r="D857" s="1267"/>
      <c r="E857" s="1267"/>
      <c r="F857" s="1267"/>
      <c r="G857" s="1267"/>
      <c r="H857" s="1267"/>
      <c r="I857" s="1267"/>
      <c r="J857" s="1267"/>
      <c r="K857" s="1267"/>
      <c r="L857" s="1267"/>
      <c r="M857" s="1267"/>
      <c r="N857" s="1267"/>
      <c r="O857" s="1267"/>
      <c r="P857" s="1267"/>
      <c r="Q857" s="1209"/>
      <c r="R857" s="1209"/>
      <c r="S857" s="1209"/>
      <c r="T857" s="1209"/>
      <c r="U857" s="1209"/>
      <c r="V857" s="1209"/>
      <c r="W857" s="1209"/>
      <c r="X857" s="1209"/>
      <c r="Y857" s="1209"/>
      <c r="Z857" s="1209"/>
      <c r="AA857" s="1209"/>
      <c r="AB857" s="1209"/>
    </row>
    <row r="858">
      <c r="A858" s="1209"/>
      <c r="B858" s="1209"/>
      <c r="C858" s="1209"/>
      <c r="D858" s="1267"/>
      <c r="E858" s="1267"/>
      <c r="F858" s="1267"/>
      <c r="G858" s="1267"/>
      <c r="H858" s="1267"/>
      <c r="I858" s="1267"/>
      <c r="J858" s="1267"/>
      <c r="K858" s="1267"/>
      <c r="L858" s="1267"/>
      <c r="M858" s="1267"/>
      <c r="N858" s="1267"/>
      <c r="O858" s="1267"/>
      <c r="P858" s="1267"/>
      <c r="Q858" s="1209"/>
      <c r="R858" s="1209"/>
      <c r="S858" s="1209"/>
      <c r="T858" s="1209"/>
      <c r="U858" s="1209"/>
      <c r="V858" s="1209"/>
      <c r="W858" s="1209"/>
      <c r="X858" s="1209"/>
      <c r="Y858" s="1209"/>
      <c r="Z858" s="1209"/>
      <c r="AA858" s="1209"/>
      <c r="AB858" s="1209"/>
    </row>
    <row r="859">
      <c r="A859" s="1209"/>
      <c r="B859" s="1209"/>
      <c r="C859" s="1209"/>
      <c r="D859" s="1267"/>
      <c r="E859" s="1267"/>
      <c r="F859" s="1267"/>
      <c r="G859" s="1267"/>
      <c r="H859" s="1267"/>
      <c r="I859" s="1267"/>
      <c r="J859" s="1267"/>
      <c r="K859" s="1267"/>
      <c r="L859" s="1267"/>
      <c r="M859" s="1267"/>
      <c r="N859" s="1267"/>
      <c r="O859" s="1267"/>
      <c r="P859" s="1267"/>
      <c r="Q859" s="1209"/>
      <c r="R859" s="1209"/>
      <c r="S859" s="1209"/>
      <c r="T859" s="1209"/>
      <c r="U859" s="1209"/>
      <c r="V859" s="1209"/>
      <c r="W859" s="1209"/>
      <c r="X859" s="1209"/>
      <c r="Y859" s="1209"/>
      <c r="Z859" s="1209"/>
      <c r="AA859" s="1209"/>
      <c r="AB859" s="1209"/>
    </row>
    <row r="860">
      <c r="A860" s="1209"/>
      <c r="B860" s="1209"/>
      <c r="C860" s="1209"/>
      <c r="D860" s="1267"/>
      <c r="E860" s="1267"/>
      <c r="F860" s="1267"/>
      <c r="G860" s="1267"/>
      <c r="H860" s="1267"/>
      <c r="I860" s="1267"/>
      <c r="J860" s="1267"/>
      <c r="K860" s="1267"/>
      <c r="L860" s="1267"/>
      <c r="M860" s="1267"/>
      <c r="N860" s="1267"/>
      <c r="O860" s="1267"/>
      <c r="P860" s="1267"/>
      <c r="Q860" s="1209"/>
      <c r="R860" s="1209"/>
      <c r="S860" s="1209"/>
      <c r="T860" s="1209"/>
      <c r="U860" s="1209"/>
      <c r="V860" s="1209"/>
      <c r="W860" s="1209"/>
      <c r="X860" s="1209"/>
      <c r="Y860" s="1209"/>
      <c r="Z860" s="1209"/>
      <c r="AA860" s="1209"/>
      <c r="AB860" s="1209"/>
    </row>
    <row r="861">
      <c r="A861" s="1209"/>
      <c r="B861" s="1209"/>
      <c r="C861" s="1209"/>
      <c r="D861" s="1267"/>
      <c r="E861" s="1267"/>
      <c r="F861" s="1267"/>
      <c r="G861" s="1267"/>
      <c r="H861" s="1267"/>
      <c r="I861" s="1267"/>
      <c r="J861" s="1267"/>
      <c r="K861" s="1267"/>
      <c r="L861" s="1267"/>
      <c r="M861" s="1267"/>
      <c r="N861" s="1267"/>
      <c r="O861" s="1267"/>
      <c r="P861" s="1267"/>
      <c r="Q861" s="1209"/>
      <c r="R861" s="1209"/>
      <c r="S861" s="1209"/>
      <c r="T861" s="1209"/>
      <c r="U861" s="1209"/>
      <c r="V861" s="1209"/>
      <c r="W861" s="1209"/>
      <c r="X861" s="1209"/>
      <c r="Y861" s="1209"/>
      <c r="Z861" s="1209"/>
      <c r="AA861" s="1209"/>
      <c r="AB861" s="1209"/>
    </row>
    <row r="862">
      <c r="A862" s="1209"/>
      <c r="B862" s="1209"/>
      <c r="C862" s="1209"/>
      <c r="D862" s="1267"/>
      <c r="E862" s="1267"/>
      <c r="F862" s="1267"/>
      <c r="G862" s="1267"/>
      <c r="H862" s="1267"/>
      <c r="I862" s="1267"/>
      <c r="J862" s="1267"/>
      <c r="K862" s="1267"/>
      <c r="L862" s="1267"/>
      <c r="M862" s="1267"/>
      <c r="N862" s="1267"/>
      <c r="O862" s="1267"/>
      <c r="P862" s="1267"/>
      <c r="Q862" s="1209"/>
      <c r="R862" s="1209"/>
      <c r="S862" s="1209"/>
      <c r="T862" s="1209"/>
      <c r="U862" s="1209"/>
      <c r="V862" s="1209"/>
      <c r="W862" s="1209"/>
      <c r="X862" s="1209"/>
      <c r="Y862" s="1209"/>
      <c r="Z862" s="1209"/>
      <c r="AA862" s="1209"/>
      <c r="AB862" s="1209"/>
    </row>
    <row r="863">
      <c r="A863" s="1209"/>
      <c r="B863" s="1209"/>
      <c r="C863" s="1209"/>
      <c r="D863" s="1267"/>
      <c r="E863" s="1267"/>
      <c r="F863" s="1267"/>
      <c r="G863" s="1267"/>
      <c r="H863" s="1267"/>
      <c r="I863" s="1267"/>
      <c r="J863" s="1267"/>
      <c r="K863" s="1267"/>
      <c r="L863" s="1267"/>
      <c r="M863" s="1267"/>
      <c r="N863" s="1267"/>
      <c r="O863" s="1267"/>
      <c r="P863" s="1267"/>
      <c r="Q863" s="1209"/>
      <c r="R863" s="1209"/>
      <c r="S863" s="1209"/>
      <c r="T863" s="1209"/>
      <c r="U863" s="1209"/>
      <c r="V863" s="1209"/>
      <c r="W863" s="1209"/>
      <c r="X863" s="1209"/>
      <c r="Y863" s="1209"/>
      <c r="Z863" s="1209"/>
      <c r="AA863" s="1209"/>
      <c r="AB863" s="1209"/>
    </row>
    <row r="864">
      <c r="A864" s="1209"/>
      <c r="B864" s="1209"/>
      <c r="C864" s="1209"/>
      <c r="D864" s="1267"/>
      <c r="E864" s="1267"/>
      <c r="F864" s="1267"/>
      <c r="G864" s="1267"/>
      <c r="H864" s="1267"/>
      <c r="I864" s="1267"/>
      <c r="J864" s="1267"/>
      <c r="K864" s="1267"/>
      <c r="L864" s="1267"/>
      <c r="M864" s="1267"/>
      <c r="N864" s="1267"/>
      <c r="O864" s="1267"/>
      <c r="P864" s="1267"/>
      <c r="Q864" s="1209"/>
      <c r="R864" s="1209"/>
      <c r="S864" s="1209"/>
      <c r="T864" s="1209"/>
      <c r="U864" s="1209"/>
      <c r="V864" s="1209"/>
      <c r="W864" s="1209"/>
      <c r="X864" s="1209"/>
      <c r="Y864" s="1209"/>
      <c r="Z864" s="1209"/>
      <c r="AA864" s="1209"/>
      <c r="AB864" s="1209"/>
    </row>
    <row r="865">
      <c r="A865" s="1209"/>
      <c r="B865" s="1209"/>
      <c r="C865" s="1209"/>
      <c r="D865" s="1267"/>
      <c r="E865" s="1267"/>
      <c r="F865" s="1267"/>
      <c r="G865" s="1267"/>
      <c r="H865" s="1267"/>
      <c r="I865" s="1267"/>
      <c r="J865" s="1267"/>
      <c r="K865" s="1267"/>
      <c r="L865" s="1267"/>
      <c r="M865" s="1267"/>
      <c r="N865" s="1267"/>
      <c r="O865" s="1267"/>
      <c r="P865" s="1267"/>
      <c r="Q865" s="1209"/>
      <c r="R865" s="1209"/>
      <c r="S865" s="1209"/>
      <c r="T865" s="1209"/>
      <c r="U865" s="1209"/>
      <c r="V865" s="1209"/>
      <c r="W865" s="1209"/>
      <c r="X865" s="1209"/>
      <c r="Y865" s="1209"/>
      <c r="Z865" s="1209"/>
      <c r="AA865" s="1209"/>
      <c r="AB865" s="1209"/>
    </row>
    <row r="866">
      <c r="A866" s="1209"/>
      <c r="B866" s="1209"/>
      <c r="C866" s="1209"/>
      <c r="D866" s="1267"/>
      <c r="E866" s="1267"/>
      <c r="F866" s="1267"/>
      <c r="G866" s="1267"/>
      <c r="H866" s="1267"/>
      <c r="I866" s="1267"/>
      <c r="J866" s="1267"/>
      <c r="K866" s="1267"/>
      <c r="L866" s="1267"/>
      <c r="M866" s="1267"/>
      <c r="N866" s="1267"/>
      <c r="O866" s="1267"/>
      <c r="P866" s="1267"/>
      <c r="Q866" s="1209"/>
      <c r="R866" s="1209"/>
      <c r="S866" s="1209"/>
      <c r="T866" s="1209"/>
      <c r="U866" s="1209"/>
      <c r="V866" s="1209"/>
      <c r="W866" s="1209"/>
      <c r="X866" s="1209"/>
      <c r="Y866" s="1209"/>
      <c r="Z866" s="1209"/>
      <c r="AA866" s="1209"/>
      <c r="AB866" s="1209"/>
    </row>
    <row r="867">
      <c r="A867" s="1209"/>
      <c r="B867" s="1209"/>
      <c r="C867" s="1209"/>
      <c r="D867" s="1267"/>
      <c r="E867" s="1267"/>
      <c r="F867" s="1267"/>
      <c r="G867" s="1267"/>
      <c r="H867" s="1267"/>
      <c r="I867" s="1267"/>
      <c r="J867" s="1267"/>
      <c r="K867" s="1267"/>
      <c r="L867" s="1267"/>
      <c r="M867" s="1267"/>
      <c r="N867" s="1267"/>
      <c r="O867" s="1267"/>
      <c r="P867" s="1267"/>
      <c r="Q867" s="1209"/>
      <c r="R867" s="1209"/>
      <c r="S867" s="1209"/>
      <c r="T867" s="1209"/>
      <c r="U867" s="1209"/>
      <c r="V867" s="1209"/>
      <c r="W867" s="1209"/>
      <c r="X867" s="1209"/>
      <c r="Y867" s="1209"/>
      <c r="Z867" s="1209"/>
      <c r="AA867" s="1209"/>
      <c r="AB867" s="1209"/>
    </row>
    <row r="868">
      <c r="A868" s="1209"/>
      <c r="B868" s="1209"/>
      <c r="C868" s="1209"/>
      <c r="D868" s="1267"/>
      <c r="E868" s="1267"/>
      <c r="F868" s="1267"/>
      <c r="G868" s="1267"/>
      <c r="H868" s="1267"/>
      <c r="I868" s="1267"/>
      <c r="J868" s="1267"/>
      <c r="K868" s="1267"/>
      <c r="L868" s="1267"/>
      <c r="M868" s="1267"/>
      <c r="N868" s="1267"/>
      <c r="O868" s="1267"/>
      <c r="P868" s="1267"/>
      <c r="Q868" s="1209"/>
      <c r="R868" s="1209"/>
      <c r="S868" s="1209"/>
      <c r="T868" s="1209"/>
      <c r="U868" s="1209"/>
      <c r="V868" s="1209"/>
      <c r="W868" s="1209"/>
      <c r="X868" s="1209"/>
      <c r="Y868" s="1209"/>
      <c r="Z868" s="1209"/>
      <c r="AA868" s="1209"/>
      <c r="AB868" s="1209"/>
    </row>
    <row r="869">
      <c r="A869" s="1209"/>
      <c r="B869" s="1209"/>
      <c r="C869" s="1209"/>
      <c r="D869" s="1267"/>
      <c r="E869" s="1267"/>
      <c r="F869" s="1267"/>
      <c r="G869" s="1267"/>
      <c r="H869" s="1267"/>
      <c r="I869" s="1267"/>
      <c r="J869" s="1267"/>
      <c r="K869" s="1267"/>
      <c r="L869" s="1267"/>
      <c r="M869" s="1267"/>
      <c r="N869" s="1267"/>
      <c r="O869" s="1267"/>
      <c r="P869" s="1267"/>
      <c r="Q869" s="1209"/>
      <c r="R869" s="1209"/>
      <c r="S869" s="1209"/>
      <c r="T869" s="1209"/>
      <c r="U869" s="1209"/>
      <c r="V869" s="1209"/>
      <c r="W869" s="1209"/>
      <c r="X869" s="1209"/>
      <c r="Y869" s="1209"/>
      <c r="Z869" s="1209"/>
      <c r="AA869" s="1209"/>
      <c r="AB869" s="1209"/>
    </row>
    <row r="870">
      <c r="A870" s="1209"/>
      <c r="B870" s="1209"/>
      <c r="C870" s="1209"/>
      <c r="D870" s="1267"/>
      <c r="E870" s="1267"/>
      <c r="F870" s="1267"/>
      <c r="G870" s="1267"/>
      <c r="H870" s="1267"/>
      <c r="I870" s="1267"/>
      <c r="J870" s="1267"/>
      <c r="K870" s="1267"/>
      <c r="L870" s="1267"/>
      <c r="M870" s="1267"/>
      <c r="N870" s="1267"/>
      <c r="O870" s="1267"/>
      <c r="P870" s="1267"/>
      <c r="Q870" s="1209"/>
      <c r="R870" s="1209"/>
      <c r="S870" s="1209"/>
      <c r="T870" s="1209"/>
      <c r="U870" s="1209"/>
      <c r="V870" s="1209"/>
      <c r="W870" s="1209"/>
      <c r="X870" s="1209"/>
      <c r="Y870" s="1209"/>
      <c r="Z870" s="1209"/>
      <c r="AA870" s="1209"/>
      <c r="AB870" s="1209"/>
    </row>
    <row r="871">
      <c r="A871" s="1209"/>
      <c r="B871" s="1209"/>
      <c r="C871" s="1209"/>
      <c r="D871" s="1267"/>
      <c r="E871" s="1267"/>
      <c r="F871" s="1267"/>
      <c r="G871" s="1267"/>
      <c r="H871" s="1267"/>
      <c r="I871" s="1267"/>
      <c r="J871" s="1267"/>
      <c r="K871" s="1267"/>
      <c r="L871" s="1267"/>
      <c r="M871" s="1267"/>
      <c r="N871" s="1267"/>
      <c r="O871" s="1267"/>
      <c r="P871" s="1267"/>
      <c r="Q871" s="1209"/>
      <c r="R871" s="1209"/>
      <c r="S871" s="1209"/>
      <c r="T871" s="1209"/>
      <c r="U871" s="1209"/>
      <c r="V871" s="1209"/>
      <c r="W871" s="1209"/>
      <c r="X871" s="1209"/>
      <c r="Y871" s="1209"/>
      <c r="Z871" s="1209"/>
      <c r="AA871" s="1209"/>
      <c r="AB871" s="1209"/>
    </row>
    <row r="872">
      <c r="A872" s="1209"/>
      <c r="B872" s="1209"/>
      <c r="C872" s="1209"/>
      <c r="D872" s="1267"/>
      <c r="E872" s="1267"/>
      <c r="F872" s="1267"/>
      <c r="G872" s="1267"/>
      <c r="H872" s="1267"/>
      <c r="I872" s="1267"/>
      <c r="J872" s="1267"/>
      <c r="K872" s="1267"/>
      <c r="L872" s="1267"/>
      <c r="M872" s="1267"/>
      <c r="N872" s="1267"/>
      <c r="O872" s="1267"/>
      <c r="P872" s="1267"/>
      <c r="Q872" s="1209"/>
      <c r="R872" s="1209"/>
      <c r="S872" s="1209"/>
      <c r="T872" s="1209"/>
      <c r="U872" s="1209"/>
      <c r="V872" s="1209"/>
      <c r="W872" s="1209"/>
      <c r="X872" s="1209"/>
      <c r="Y872" s="1209"/>
      <c r="Z872" s="1209"/>
      <c r="AA872" s="1209"/>
      <c r="AB872" s="1209"/>
    </row>
    <row r="873">
      <c r="A873" s="1209"/>
      <c r="B873" s="1209"/>
      <c r="C873" s="1209"/>
      <c r="D873" s="1267"/>
      <c r="E873" s="1267"/>
      <c r="F873" s="1267"/>
      <c r="G873" s="1267"/>
      <c r="H873" s="1267"/>
      <c r="I873" s="1267"/>
      <c r="J873" s="1267"/>
      <c r="K873" s="1267"/>
      <c r="L873" s="1267"/>
      <c r="M873" s="1267"/>
      <c r="N873" s="1267"/>
      <c r="O873" s="1267"/>
      <c r="P873" s="1267"/>
      <c r="Q873" s="1209"/>
      <c r="R873" s="1209"/>
      <c r="S873" s="1209"/>
      <c r="T873" s="1209"/>
      <c r="U873" s="1209"/>
      <c r="V873" s="1209"/>
      <c r="W873" s="1209"/>
      <c r="X873" s="1209"/>
      <c r="Y873" s="1209"/>
      <c r="Z873" s="1209"/>
      <c r="AA873" s="1209"/>
      <c r="AB873" s="1209"/>
    </row>
    <row r="874">
      <c r="A874" s="1209"/>
      <c r="B874" s="1209"/>
      <c r="C874" s="1209"/>
      <c r="D874" s="1267"/>
      <c r="E874" s="1267"/>
      <c r="F874" s="1267"/>
      <c r="G874" s="1267"/>
      <c r="H874" s="1267"/>
      <c r="I874" s="1267"/>
      <c r="J874" s="1267"/>
      <c r="K874" s="1267"/>
      <c r="L874" s="1267"/>
      <c r="M874" s="1267"/>
      <c r="N874" s="1267"/>
      <c r="O874" s="1267"/>
      <c r="P874" s="1267"/>
      <c r="Q874" s="1209"/>
      <c r="R874" s="1209"/>
      <c r="S874" s="1209"/>
      <c r="T874" s="1209"/>
      <c r="U874" s="1209"/>
      <c r="V874" s="1209"/>
      <c r="W874" s="1209"/>
      <c r="X874" s="1209"/>
      <c r="Y874" s="1209"/>
      <c r="Z874" s="1209"/>
      <c r="AA874" s="1209"/>
      <c r="AB874" s="1209"/>
    </row>
    <row r="875">
      <c r="A875" s="1209"/>
      <c r="B875" s="1209"/>
      <c r="C875" s="1209"/>
      <c r="D875" s="1267"/>
      <c r="E875" s="1267"/>
      <c r="F875" s="1267"/>
      <c r="G875" s="1267"/>
      <c r="H875" s="1267"/>
      <c r="I875" s="1267"/>
      <c r="J875" s="1267"/>
      <c r="K875" s="1267"/>
      <c r="L875" s="1267"/>
      <c r="M875" s="1267"/>
      <c r="N875" s="1267"/>
      <c r="O875" s="1267"/>
      <c r="P875" s="1267"/>
      <c r="Q875" s="1209"/>
      <c r="R875" s="1209"/>
      <c r="S875" s="1209"/>
      <c r="T875" s="1209"/>
      <c r="U875" s="1209"/>
      <c r="V875" s="1209"/>
      <c r="W875" s="1209"/>
      <c r="X875" s="1209"/>
      <c r="Y875" s="1209"/>
      <c r="Z875" s="1209"/>
      <c r="AA875" s="1209"/>
      <c r="AB875" s="1209"/>
    </row>
    <row r="876">
      <c r="A876" s="1209"/>
      <c r="B876" s="1209"/>
      <c r="C876" s="1209"/>
      <c r="D876" s="1267"/>
      <c r="E876" s="1267"/>
      <c r="F876" s="1267"/>
      <c r="G876" s="1267"/>
      <c r="H876" s="1267"/>
      <c r="I876" s="1267"/>
      <c r="J876" s="1267"/>
      <c r="K876" s="1267"/>
      <c r="L876" s="1267"/>
      <c r="M876" s="1267"/>
      <c r="N876" s="1267"/>
      <c r="O876" s="1267"/>
      <c r="P876" s="1267"/>
      <c r="Q876" s="1209"/>
      <c r="R876" s="1209"/>
      <c r="S876" s="1209"/>
      <c r="T876" s="1209"/>
      <c r="U876" s="1209"/>
      <c r="V876" s="1209"/>
      <c r="W876" s="1209"/>
      <c r="X876" s="1209"/>
      <c r="Y876" s="1209"/>
      <c r="Z876" s="1209"/>
      <c r="AA876" s="1209"/>
      <c r="AB876" s="1209"/>
    </row>
    <row r="877">
      <c r="A877" s="1209"/>
      <c r="B877" s="1209"/>
      <c r="C877" s="1209"/>
      <c r="D877" s="1267"/>
      <c r="E877" s="1267"/>
      <c r="F877" s="1267"/>
      <c r="G877" s="1267"/>
      <c r="H877" s="1267"/>
      <c r="I877" s="1267"/>
      <c r="J877" s="1267"/>
      <c r="K877" s="1267"/>
      <c r="L877" s="1267"/>
      <c r="M877" s="1267"/>
      <c r="N877" s="1267"/>
      <c r="O877" s="1267"/>
      <c r="P877" s="1267"/>
      <c r="Q877" s="1209"/>
      <c r="R877" s="1209"/>
      <c r="S877" s="1209"/>
      <c r="T877" s="1209"/>
      <c r="U877" s="1209"/>
      <c r="V877" s="1209"/>
      <c r="W877" s="1209"/>
      <c r="X877" s="1209"/>
      <c r="Y877" s="1209"/>
      <c r="Z877" s="1209"/>
      <c r="AA877" s="1209"/>
      <c r="AB877" s="1209"/>
    </row>
    <row r="878">
      <c r="A878" s="1209"/>
      <c r="B878" s="1209"/>
      <c r="C878" s="1209"/>
      <c r="D878" s="1267"/>
      <c r="E878" s="1267"/>
      <c r="F878" s="1267"/>
      <c r="G878" s="1267"/>
      <c r="H878" s="1267"/>
      <c r="I878" s="1267"/>
      <c r="J878" s="1267"/>
      <c r="K878" s="1267"/>
      <c r="L878" s="1267"/>
      <c r="M878" s="1267"/>
      <c r="N878" s="1267"/>
      <c r="O878" s="1267"/>
      <c r="P878" s="1267"/>
      <c r="Q878" s="1209"/>
      <c r="R878" s="1209"/>
      <c r="S878" s="1209"/>
      <c r="T878" s="1209"/>
      <c r="U878" s="1209"/>
      <c r="V878" s="1209"/>
      <c r="W878" s="1209"/>
      <c r="X878" s="1209"/>
      <c r="Y878" s="1209"/>
      <c r="Z878" s="1209"/>
      <c r="AA878" s="1209"/>
      <c r="AB878" s="1209"/>
    </row>
    <row r="879">
      <c r="A879" s="1209"/>
      <c r="B879" s="1209"/>
      <c r="C879" s="1209"/>
      <c r="D879" s="1267"/>
      <c r="E879" s="1267"/>
      <c r="F879" s="1267"/>
      <c r="G879" s="1267"/>
      <c r="H879" s="1267"/>
      <c r="I879" s="1267"/>
      <c r="J879" s="1267"/>
      <c r="K879" s="1267"/>
      <c r="L879" s="1267"/>
      <c r="M879" s="1267"/>
      <c r="N879" s="1267"/>
      <c r="O879" s="1267"/>
      <c r="P879" s="1267"/>
      <c r="Q879" s="1209"/>
      <c r="R879" s="1209"/>
      <c r="S879" s="1209"/>
      <c r="T879" s="1209"/>
      <c r="U879" s="1209"/>
      <c r="V879" s="1209"/>
      <c r="W879" s="1209"/>
      <c r="X879" s="1209"/>
      <c r="Y879" s="1209"/>
      <c r="Z879" s="1209"/>
      <c r="AA879" s="1209"/>
      <c r="AB879" s="1209"/>
    </row>
    <row r="880">
      <c r="A880" s="1209"/>
      <c r="B880" s="1209"/>
      <c r="C880" s="1209"/>
      <c r="D880" s="1267"/>
      <c r="E880" s="1267"/>
      <c r="F880" s="1267"/>
      <c r="G880" s="1267"/>
      <c r="H880" s="1267"/>
      <c r="I880" s="1267"/>
      <c r="J880" s="1267"/>
      <c r="K880" s="1267"/>
      <c r="L880" s="1267"/>
      <c r="M880" s="1267"/>
      <c r="N880" s="1267"/>
      <c r="O880" s="1267"/>
      <c r="P880" s="1267"/>
      <c r="Q880" s="1209"/>
      <c r="R880" s="1209"/>
      <c r="S880" s="1209"/>
      <c r="T880" s="1209"/>
      <c r="U880" s="1209"/>
      <c r="V880" s="1209"/>
      <c r="W880" s="1209"/>
      <c r="X880" s="1209"/>
      <c r="Y880" s="1209"/>
      <c r="Z880" s="1209"/>
      <c r="AA880" s="1209"/>
      <c r="AB880" s="1209"/>
    </row>
    <row r="881">
      <c r="A881" s="1209"/>
      <c r="B881" s="1209"/>
      <c r="C881" s="1209"/>
      <c r="D881" s="1267"/>
      <c r="E881" s="1267"/>
      <c r="F881" s="1267"/>
      <c r="G881" s="1267"/>
      <c r="H881" s="1267"/>
      <c r="I881" s="1267"/>
      <c r="J881" s="1267"/>
      <c r="K881" s="1267"/>
      <c r="L881" s="1267"/>
      <c r="M881" s="1267"/>
      <c r="N881" s="1267"/>
      <c r="O881" s="1267"/>
      <c r="P881" s="1267"/>
      <c r="Q881" s="1209"/>
      <c r="R881" s="1209"/>
      <c r="S881" s="1209"/>
      <c r="T881" s="1209"/>
      <c r="U881" s="1209"/>
      <c r="V881" s="1209"/>
      <c r="W881" s="1209"/>
      <c r="X881" s="1209"/>
      <c r="Y881" s="1209"/>
      <c r="Z881" s="1209"/>
      <c r="AA881" s="1209"/>
      <c r="AB881" s="1209"/>
    </row>
    <row r="882">
      <c r="A882" s="1209"/>
      <c r="B882" s="1209"/>
      <c r="C882" s="1209"/>
      <c r="D882" s="1267"/>
      <c r="E882" s="1267"/>
      <c r="F882" s="1267"/>
      <c r="G882" s="1267"/>
      <c r="H882" s="1267"/>
      <c r="I882" s="1267"/>
      <c r="J882" s="1267"/>
      <c r="K882" s="1267"/>
      <c r="L882" s="1267"/>
      <c r="M882" s="1267"/>
      <c r="N882" s="1267"/>
      <c r="O882" s="1267"/>
      <c r="P882" s="1267"/>
      <c r="Q882" s="1209"/>
      <c r="R882" s="1209"/>
      <c r="S882" s="1209"/>
      <c r="T882" s="1209"/>
      <c r="U882" s="1209"/>
      <c r="V882" s="1209"/>
      <c r="W882" s="1209"/>
      <c r="X882" s="1209"/>
      <c r="Y882" s="1209"/>
      <c r="Z882" s="1209"/>
      <c r="AA882" s="1209"/>
      <c r="AB882" s="1209"/>
    </row>
    <row r="883">
      <c r="A883" s="1209"/>
      <c r="B883" s="1209"/>
      <c r="C883" s="1209"/>
      <c r="D883" s="1267"/>
      <c r="E883" s="1267"/>
      <c r="F883" s="1267"/>
      <c r="G883" s="1267"/>
      <c r="H883" s="1267"/>
      <c r="I883" s="1267"/>
      <c r="J883" s="1267"/>
      <c r="K883" s="1267"/>
      <c r="L883" s="1267"/>
      <c r="M883" s="1267"/>
      <c r="N883" s="1267"/>
      <c r="O883" s="1267"/>
      <c r="P883" s="1267"/>
      <c r="Q883" s="1209"/>
      <c r="R883" s="1209"/>
      <c r="S883" s="1209"/>
      <c r="T883" s="1209"/>
      <c r="U883" s="1209"/>
      <c r="V883" s="1209"/>
      <c r="W883" s="1209"/>
      <c r="X883" s="1209"/>
      <c r="Y883" s="1209"/>
      <c r="Z883" s="1209"/>
      <c r="AA883" s="1209"/>
      <c r="AB883" s="1209"/>
    </row>
    <row r="884">
      <c r="A884" s="1209"/>
      <c r="B884" s="1209"/>
      <c r="C884" s="1209"/>
      <c r="D884" s="1267"/>
      <c r="E884" s="1267"/>
      <c r="F884" s="1267"/>
      <c r="G884" s="1267"/>
      <c r="H884" s="1267"/>
      <c r="I884" s="1267"/>
      <c r="J884" s="1267"/>
      <c r="K884" s="1267"/>
      <c r="L884" s="1267"/>
      <c r="M884" s="1267"/>
      <c r="N884" s="1267"/>
      <c r="O884" s="1267"/>
      <c r="P884" s="1267"/>
      <c r="Q884" s="1209"/>
      <c r="R884" s="1209"/>
      <c r="S884" s="1209"/>
      <c r="T884" s="1209"/>
      <c r="U884" s="1209"/>
      <c r="V884" s="1209"/>
      <c r="W884" s="1209"/>
      <c r="X884" s="1209"/>
      <c r="Y884" s="1209"/>
      <c r="Z884" s="1209"/>
      <c r="AA884" s="1209"/>
      <c r="AB884" s="1209"/>
    </row>
    <row r="885">
      <c r="A885" s="1209"/>
      <c r="B885" s="1209"/>
      <c r="C885" s="1209"/>
      <c r="D885" s="1267"/>
      <c r="E885" s="1267"/>
      <c r="F885" s="1267"/>
      <c r="G885" s="1267"/>
      <c r="H885" s="1267"/>
      <c r="I885" s="1267"/>
      <c r="J885" s="1267"/>
      <c r="K885" s="1267"/>
      <c r="L885" s="1267"/>
      <c r="M885" s="1267"/>
      <c r="N885" s="1267"/>
      <c r="O885" s="1267"/>
      <c r="P885" s="1267"/>
      <c r="Q885" s="1209"/>
      <c r="R885" s="1209"/>
      <c r="S885" s="1209"/>
      <c r="T885" s="1209"/>
      <c r="U885" s="1209"/>
      <c r="V885" s="1209"/>
      <c r="W885" s="1209"/>
      <c r="X885" s="1209"/>
      <c r="Y885" s="1209"/>
      <c r="Z885" s="1209"/>
      <c r="AA885" s="1209"/>
      <c r="AB885" s="1209"/>
    </row>
    <row r="886">
      <c r="A886" s="1209"/>
      <c r="B886" s="1209"/>
      <c r="C886" s="1209"/>
      <c r="D886" s="1267"/>
      <c r="E886" s="1267"/>
      <c r="F886" s="1267"/>
      <c r="G886" s="1267"/>
      <c r="H886" s="1267"/>
      <c r="I886" s="1267"/>
      <c r="J886" s="1267"/>
      <c r="K886" s="1267"/>
      <c r="L886" s="1267"/>
      <c r="M886" s="1267"/>
      <c r="N886" s="1267"/>
      <c r="O886" s="1267"/>
      <c r="P886" s="1267"/>
      <c r="Q886" s="1209"/>
      <c r="R886" s="1209"/>
      <c r="S886" s="1209"/>
      <c r="T886" s="1209"/>
      <c r="U886" s="1209"/>
      <c r="V886" s="1209"/>
      <c r="W886" s="1209"/>
      <c r="X886" s="1209"/>
      <c r="Y886" s="1209"/>
      <c r="Z886" s="1209"/>
      <c r="AA886" s="1209"/>
      <c r="AB886" s="1209"/>
    </row>
    <row r="887">
      <c r="A887" s="1209"/>
      <c r="B887" s="1209"/>
      <c r="C887" s="1209"/>
      <c r="D887" s="1267"/>
      <c r="E887" s="1267"/>
      <c r="F887" s="1267"/>
      <c r="G887" s="1267"/>
      <c r="H887" s="1267"/>
      <c r="I887" s="1267"/>
      <c r="J887" s="1267"/>
      <c r="K887" s="1267"/>
      <c r="L887" s="1267"/>
      <c r="M887" s="1267"/>
      <c r="N887" s="1267"/>
      <c r="O887" s="1267"/>
      <c r="P887" s="1267"/>
      <c r="Q887" s="1209"/>
      <c r="R887" s="1209"/>
      <c r="S887" s="1209"/>
      <c r="T887" s="1209"/>
      <c r="U887" s="1209"/>
      <c r="V887" s="1209"/>
      <c r="W887" s="1209"/>
      <c r="X887" s="1209"/>
      <c r="Y887" s="1209"/>
      <c r="Z887" s="1209"/>
      <c r="AA887" s="1209"/>
      <c r="AB887" s="1209"/>
    </row>
    <row r="888">
      <c r="A888" s="1209"/>
      <c r="B888" s="1209"/>
      <c r="C888" s="1209"/>
      <c r="D888" s="1267"/>
      <c r="E888" s="1267"/>
      <c r="F888" s="1267"/>
      <c r="G888" s="1267"/>
      <c r="H888" s="1267"/>
      <c r="I888" s="1267"/>
      <c r="J888" s="1267"/>
      <c r="K888" s="1267"/>
      <c r="L888" s="1267"/>
      <c r="M888" s="1267"/>
      <c r="N888" s="1267"/>
      <c r="O888" s="1267"/>
      <c r="P888" s="1267"/>
      <c r="Q888" s="1209"/>
      <c r="R888" s="1209"/>
      <c r="S888" s="1209"/>
      <c r="T888" s="1209"/>
      <c r="U888" s="1209"/>
      <c r="V888" s="1209"/>
      <c r="W888" s="1209"/>
      <c r="X888" s="1209"/>
      <c r="Y888" s="1209"/>
      <c r="Z888" s="1209"/>
      <c r="AA888" s="1209"/>
      <c r="AB888" s="1209"/>
    </row>
    <row r="889">
      <c r="A889" s="1209"/>
      <c r="B889" s="1209"/>
      <c r="C889" s="1209"/>
      <c r="D889" s="1267"/>
      <c r="E889" s="1267"/>
      <c r="F889" s="1267"/>
      <c r="G889" s="1267"/>
      <c r="H889" s="1267"/>
      <c r="I889" s="1267"/>
      <c r="J889" s="1267"/>
      <c r="K889" s="1267"/>
      <c r="L889" s="1267"/>
      <c r="M889" s="1267"/>
      <c r="N889" s="1267"/>
      <c r="O889" s="1267"/>
      <c r="P889" s="1267"/>
      <c r="Q889" s="1209"/>
      <c r="R889" s="1209"/>
      <c r="S889" s="1209"/>
      <c r="T889" s="1209"/>
      <c r="U889" s="1209"/>
      <c r="V889" s="1209"/>
      <c r="W889" s="1209"/>
      <c r="X889" s="1209"/>
      <c r="Y889" s="1209"/>
      <c r="Z889" s="1209"/>
      <c r="AA889" s="1209"/>
      <c r="AB889" s="1209"/>
    </row>
    <row r="890">
      <c r="A890" s="1209"/>
      <c r="B890" s="1209"/>
      <c r="C890" s="1209"/>
      <c r="D890" s="1267"/>
      <c r="E890" s="1267"/>
      <c r="F890" s="1267"/>
      <c r="G890" s="1267"/>
      <c r="H890" s="1267"/>
      <c r="I890" s="1267"/>
      <c r="J890" s="1267"/>
      <c r="K890" s="1267"/>
      <c r="L890" s="1267"/>
      <c r="M890" s="1267"/>
      <c r="N890" s="1267"/>
      <c r="O890" s="1267"/>
      <c r="P890" s="1267"/>
      <c r="Q890" s="1209"/>
      <c r="R890" s="1209"/>
      <c r="S890" s="1209"/>
      <c r="T890" s="1209"/>
      <c r="U890" s="1209"/>
      <c r="V890" s="1209"/>
      <c r="W890" s="1209"/>
      <c r="X890" s="1209"/>
      <c r="Y890" s="1209"/>
      <c r="Z890" s="1209"/>
      <c r="AA890" s="1209"/>
      <c r="AB890" s="1209"/>
    </row>
    <row r="891">
      <c r="A891" s="1209"/>
      <c r="B891" s="1209"/>
      <c r="C891" s="1209"/>
      <c r="D891" s="1267"/>
      <c r="E891" s="1267"/>
      <c r="F891" s="1267"/>
      <c r="G891" s="1267"/>
      <c r="H891" s="1267"/>
      <c r="I891" s="1267"/>
      <c r="J891" s="1267"/>
      <c r="K891" s="1267"/>
      <c r="L891" s="1267"/>
      <c r="M891" s="1267"/>
      <c r="N891" s="1267"/>
      <c r="O891" s="1267"/>
      <c r="P891" s="1267"/>
      <c r="Q891" s="1209"/>
      <c r="R891" s="1209"/>
      <c r="S891" s="1209"/>
      <c r="T891" s="1209"/>
      <c r="U891" s="1209"/>
      <c r="V891" s="1209"/>
      <c r="W891" s="1209"/>
      <c r="X891" s="1209"/>
      <c r="Y891" s="1209"/>
      <c r="Z891" s="1209"/>
      <c r="AA891" s="1209"/>
      <c r="AB891" s="1209"/>
    </row>
    <row r="892">
      <c r="A892" s="1209"/>
      <c r="B892" s="1209"/>
      <c r="C892" s="1209"/>
      <c r="D892" s="1267"/>
      <c r="E892" s="1267"/>
      <c r="F892" s="1267"/>
      <c r="G892" s="1267"/>
      <c r="H892" s="1267"/>
      <c r="I892" s="1267"/>
      <c r="J892" s="1267"/>
      <c r="K892" s="1267"/>
      <c r="L892" s="1267"/>
      <c r="M892" s="1267"/>
      <c r="N892" s="1267"/>
      <c r="O892" s="1267"/>
      <c r="P892" s="1267"/>
      <c r="Q892" s="1209"/>
      <c r="R892" s="1209"/>
      <c r="S892" s="1209"/>
      <c r="T892" s="1209"/>
      <c r="U892" s="1209"/>
      <c r="V892" s="1209"/>
      <c r="W892" s="1209"/>
      <c r="X892" s="1209"/>
      <c r="Y892" s="1209"/>
      <c r="Z892" s="1209"/>
      <c r="AA892" s="1209"/>
      <c r="AB892" s="1209"/>
    </row>
    <row r="893">
      <c r="A893" s="1209"/>
      <c r="B893" s="1209"/>
      <c r="C893" s="1209"/>
      <c r="D893" s="1267"/>
      <c r="E893" s="1267"/>
      <c r="F893" s="1267"/>
      <c r="G893" s="1267"/>
      <c r="H893" s="1267"/>
      <c r="I893" s="1267"/>
      <c r="J893" s="1267"/>
      <c r="K893" s="1267"/>
      <c r="L893" s="1267"/>
      <c r="M893" s="1267"/>
      <c r="N893" s="1267"/>
      <c r="O893" s="1267"/>
      <c r="P893" s="1267"/>
      <c r="Q893" s="1209"/>
      <c r="R893" s="1209"/>
      <c r="S893" s="1209"/>
      <c r="T893" s="1209"/>
      <c r="U893" s="1209"/>
      <c r="V893" s="1209"/>
      <c r="W893" s="1209"/>
      <c r="X893" s="1209"/>
      <c r="Y893" s="1209"/>
      <c r="Z893" s="1209"/>
      <c r="AA893" s="1209"/>
      <c r="AB893" s="1209"/>
    </row>
    <row r="894">
      <c r="A894" s="1209"/>
      <c r="B894" s="1209"/>
      <c r="C894" s="1209"/>
      <c r="D894" s="1267"/>
      <c r="E894" s="1267"/>
      <c r="F894" s="1267"/>
      <c r="G894" s="1267"/>
      <c r="H894" s="1267"/>
      <c r="I894" s="1267"/>
      <c r="J894" s="1267"/>
      <c r="K894" s="1267"/>
      <c r="L894" s="1267"/>
      <c r="M894" s="1267"/>
      <c r="N894" s="1267"/>
      <c r="O894" s="1267"/>
      <c r="P894" s="1267"/>
      <c r="Q894" s="1209"/>
      <c r="R894" s="1209"/>
      <c r="S894" s="1209"/>
      <c r="T894" s="1209"/>
      <c r="U894" s="1209"/>
      <c r="V894" s="1209"/>
      <c r="W894" s="1209"/>
      <c r="X894" s="1209"/>
      <c r="Y894" s="1209"/>
      <c r="Z894" s="1209"/>
      <c r="AA894" s="1209"/>
      <c r="AB894" s="1209"/>
    </row>
    <row r="895">
      <c r="A895" s="1209"/>
      <c r="B895" s="1209"/>
      <c r="C895" s="1209"/>
      <c r="D895" s="1267"/>
      <c r="E895" s="1267"/>
      <c r="F895" s="1267"/>
      <c r="G895" s="1267"/>
      <c r="H895" s="1267"/>
      <c r="I895" s="1267"/>
      <c r="J895" s="1267"/>
      <c r="K895" s="1267"/>
      <c r="L895" s="1267"/>
      <c r="M895" s="1267"/>
      <c r="N895" s="1267"/>
      <c r="O895" s="1267"/>
      <c r="P895" s="1267"/>
      <c r="Q895" s="1209"/>
      <c r="R895" s="1209"/>
      <c r="S895" s="1209"/>
      <c r="T895" s="1209"/>
      <c r="U895" s="1209"/>
      <c r="V895" s="1209"/>
      <c r="W895" s="1209"/>
      <c r="X895" s="1209"/>
      <c r="Y895" s="1209"/>
      <c r="Z895" s="1209"/>
      <c r="AA895" s="1209"/>
      <c r="AB895" s="1209"/>
    </row>
    <row r="896">
      <c r="A896" s="1209"/>
      <c r="B896" s="1209"/>
      <c r="C896" s="1209"/>
      <c r="D896" s="1267"/>
      <c r="E896" s="1267"/>
      <c r="F896" s="1267"/>
      <c r="G896" s="1267"/>
      <c r="H896" s="1267"/>
      <c r="I896" s="1267"/>
      <c r="J896" s="1267"/>
      <c r="K896" s="1267"/>
      <c r="L896" s="1267"/>
      <c r="M896" s="1267"/>
      <c r="N896" s="1267"/>
      <c r="O896" s="1267"/>
      <c r="P896" s="1267"/>
      <c r="Q896" s="1209"/>
      <c r="R896" s="1209"/>
      <c r="S896" s="1209"/>
      <c r="T896" s="1209"/>
      <c r="U896" s="1209"/>
      <c r="V896" s="1209"/>
      <c r="W896" s="1209"/>
      <c r="X896" s="1209"/>
      <c r="Y896" s="1209"/>
      <c r="Z896" s="1209"/>
      <c r="AA896" s="1209"/>
      <c r="AB896" s="1209"/>
    </row>
    <row r="897">
      <c r="A897" s="1209"/>
      <c r="B897" s="1209"/>
      <c r="C897" s="1209"/>
      <c r="D897" s="1267"/>
      <c r="E897" s="1267"/>
      <c r="F897" s="1267"/>
      <c r="G897" s="1267"/>
      <c r="H897" s="1267"/>
      <c r="I897" s="1267"/>
      <c r="J897" s="1267"/>
      <c r="K897" s="1267"/>
      <c r="L897" s="1267"/>
      <c r="M897" s="1267"/>
      <c r="N897" s="1267"/>
      <c r="O897" s="1267"/>
      <c r="P897" s="1267"/>
      <c r="Q897" s="1209"/>
      <c r="R897" s="1209"/>
      <c r="S897" s="1209"/>
      <c r="T897" s="1209"/>
      <c r="U897" s="1209"/>
      <c r="V897" s="1209"/>
      <c r="W897" s="1209"/>
      <c r="X897" s="1209"/>
      <c r="Y897" s="1209"/>
      <c r="Z897" s="1209"/>
      <c r="AA897" s="1209"/>
      <c r="AB897" s="1209"/>
    </row>
    <row r="898">
      <c r="A898" s="1209"/>
      <c r="B898" s="1209"/>
      <c r="C898" s="1209"/>
      <c r="D898" s="1267"/>
      <c r="E898" s="1267"/>
      <c r="F898" s="1267"/>
      <c r="G898" s="1267"/>
      <c r="H898" s="1267"/>
      <c r="I898" s="1267"/>
      <c r="J898" s="1267"/>
      <c r="K898" s="1267"/>
      <c r="L898" s="1267"/>
      <c r="M898" s="1267"/>
      <c r="N898" s="1267"/>
      <c r="O898" s="1267"/>
      <c r="P898" s="1267"/>
      <c r="Q898" s="1209"/>
      <c r="R898" s="1209"/>
      <c r="S898" s="1209"/>
      <c r="T898" s="1209"/>
      <c r="U898" s="1209"/>
      <c r="V898" s="1209"/>
      <c r="W898" s="1209"/>
      <c r="X898" s="1209"/>
      <c r="Y898" s="1209"/>
      <c r="Z898" s="1209"/>
      <c r="AA898" s="1209"/>
      <c r="AB898" s="1209"/>
    </row>
    <row r="899">
      <c r="A899" s="1209"/>
      <c r="B899" s="1209"/>
      <c r="C899" s="1209"/>
      <c r="D899" s="1267"/>
      <c r="E899" s="1267"/>
      <c r="F899" s="1267"/>
      <c r="G899" s="1267"/>
      <c r="H899" s="1267"/>
      <c r="I899" s="1267"/>
      <c r="J899" s="1267"/>
      <c r="K899" s="1267"/>
      <c r="L899" s="1267"/>
      <c r="M899" s="1267"/>
      <c r="N899" s="1267"/>
      <c r="O899" s="1267"/>
      <c r="P899" s="1267"/>
      <c r="Q899" s="1209"/>
      <c r="R899" s="1209"/>
      <c r="S899" s="1209"/>
      <c r="T899" s="1209"/>
      <c r="U899" s="1209"/>
      <c r="V899" s="1209"/>
      <c r="W899" s="1209"/>
      <c r="X899" s="1209"/>
      <c r="Y899" s="1209"/>
      <c r="Z899" s="1209"/>
      <c r="AA899" s="1209"/>
      <c r="AB899" s="1209"/>
    </row>
    <row r="900">
      <c r="A900" s="1209"/>
      <c r="B900" s="1209"/>
      <c r="C900" s="1209"/>
      <c r="D900" s="1267"/>
      <c r="E900" s="1267"/>
      <c r="F900" s="1267"/>
      <c r="G900" s="1267"/>
      <c r="H900" s="1267"/>
      <c r="I900" s="1267"/>
      <c r="J900" s="1267"/>
      <c r="K900" s="1267"/>
      <c r="L900" s="1267"/>
      <c r="M900" s="1267"/>
      <c r="N900" s="1267"/>
      <c r="O900" s="1267"/>
      <c r="P900" s="1267"/>
      <c r="Q900" s="1209"/>
      <c r="R900" s="1209"/>
      <c r="S900" s="1209"/>
      <c r="T900" s="1209"/>
      <c r="U900" s="1209"/>
      <c r="V900" s="1209"/>
      <c r="W900" s="1209"/>
      <c r="X900" s="1209"/>
      <c r="Y900" s="1209"/>
      <c r="Z900" s="1209"/>
      <c r="AA900" s="1209"/>
      <c r="AB900" s="1209"/>
    </row>
    <row r="901">
      <c r="A901" s="1209"/>
      <c r="B901" s="1209"/>
      <c r="C901" s="1209"/>
      <c r="D901" s="1267"/>
      <c r="E901" s="1267"/>
      <c r="F901" s="1267"/>
      <c r="G901" s="1267"/>
      <c r="H901" s="1267"/>
      <c r="I901" s="1267"/>
      <c r="J901" s="1267"/>
      <c r="K901" s="1267"/>
      <c r="L901" s="1267"/>
      <c r="M901" s="1267"/>
      <c r="N901" s="1267"/>
      <c r="O901" s="1267"/>
      <c r="P901" s="1267"/>
      <c r="Q901" s="1209"/>
      <c r="R901" s="1209"/>
      <c r="S901" s="1209"/>
      <c r="T901" s="1209"/>
      <c r="U901" s="1209"/>
      <c r="V901" s="1209"/>
      <c r="W901" s="1209"/>
      <c r="X901" s="1209"/>
      <c r="Y901" s="1209"/>
      <c r="Z901" s="1209"/>
      <c r="AA901" s="1209"/>
      <c r="AB901" s="1209"/>
    </row>
    <row r="902">
      <c r="A902" s="1209"/>
      <c r="B902" s="1209"/>
      <c r="C902" s="1209"/>
      <c r="D902" s="1267"/>
      <c r="E902" s="1267"/>
      <c r="F902" s="1267"/>
      <c r="G902" s="1267"/>
      <c r="H902" s="1267"/>
      <c r="I902" s="1267"/>
      <c r="J902" s="1267"/>
      <c r="K902" s="1267"/>
      <c r="L902" s="1267"/>
      <c r="M902" s="1267"/>
      <c r="N902" s="1267"/>
      <c r="O902" s="1267"/>
      <c r="P902" s="1267"/>
      <c r="Q902" s="1209"/>
      <c r="R902" s="1209"/>
      <c r="S902" s="1209"/>
      <c r="T902" s="1209"/>
      <c r="U902" s="1209"/>
      <c r="V902" s="1209"/>
      <c r="W902" s="1209"/>
      <c r="X902" s="1209"/>
      <c r="Y902" s="1209"/>
      <c r="Z902" s="1209"/>
      <c r="AA902" s="1209"/>
      <c r="AB902" s="1209"/>
    </row>
    <row r="903">
      <c r="A903" s="1209"/>
      <c r="B903" s="1209"/>
      <c r="C903" s="1209"/>
      <c r="D903" s="1267"/>
      <c r="E903" s="1267"/>
      <c r="F903" s="1267"/>
      <c r="G903" s="1267"/>
      <c r="H903" s="1267"/>
      <c r="I903" s="1267"/>
      <c r="J903" s="1267"/>
      <c r="K903" s="1267"/>
      <c r="L903" s="1267"/>
      <c r="M903" s="1267"/>
      <c r="N903" s="1267"/>
      <c r="O903" s="1267"/>
      <c r="P903" s="1267"/>
      <c r="Q903" s="1209"/>
      <c r="R903" s="1209"/>
      <c r="S903" s="1209"/>
      <c r="T903" s="1209"/>
      <c r="U903" s="1209"/>
      <c r="V903" s="1209"/>
      <c r="W903" s="1209"/>
      <c r="X903" s="1209"/>
      <c r="Y903" s="1209"/>
      <c r="Z903" s="1209"/>
      <c r="AA903" s="1209"/>
      <c r="AB903" s="1209"/>
    </row>
    <row r="904">
      <c r="A904" s="1209"/>
      <c r="B904" s="1209"/>
      <c r="C904" s="1209"/>
      <c r="D904" s="1267"/>
      <c r="E904" s="1267"/>
      <c r="F904" s="1267"/>
      <c r="G904" s="1267"/>
      <c r="H904" s="1267"/>
      <c r="I904" s="1267"/>
      <c r="J904" s="1267"/>
      <c r="K904" s="1267"/>
      <c r="L904" s="1267"/>
      <c r="M904" s="1267"/>
      <c r="N904" s="1267"/>
      <c r="O904" s="1267"/>
      <c r="P904" s="1267"/>
      <c r="Q904" s="1209"/>
      <c r="R904" s="1209"/>
      <c r="S904" s="1209"/>
      <c r="T904" s="1209"/>
      <c r="U904" s="1209"/>
      <c r="V904" s="1209"/>
      <c r="W904" s="1209"/>
      <c r="X904" s="1209"/>
      <c r="Y904" s="1209"/>
      <c r="Z904" s="1209"/>
      <c r="AA904" s="1209"/>
      <c r="AB904" s="1209"/>
    </row>
    <row r="905">
      <c r="A905" s="1209"/>
      <c r="B905" s="1209"/>
      <c r="C905" s="1209"/>
      <c r="D905" s="1267"/>
      <c r="E905" s="1267"/>
      <c r="F905" s="1267"/>
      <c r="G905" s="1267"/>
      <c r="H905" s="1267"/>
      <c r="I905" s="1267"/>
      <c r="J905" s="1267"/>
      <c r="K905" s="1267"/>
      <c r="L905" s="1267"/>
      <c r="M905" s="1267"/>
      <c r="N905" s="1267"/>
      <c r="O905" s="1267"/>
      <c r="P905" s="1267"/>
      <c r="Q905" s="1209"/>
      <c r="R905" s="1209"/>
      <c r="S905" s="1209"/>
      <c r="T905" s="1209"/>
      <c r="U905" s="1209"/>
      <c r="V905" s="1209"/>
      <c r="W905" s="1209"/>
      <c r="X905" s="1209"/>
      <c r="Y905" s="1209"/>
      <c r="Z905" s="1209"/>
      <c r="AA905" s="1209"/>
      <c r="AB905" s="1209"/>
    </row>
    <row r="906">
      <c r="A906" s="1209"/>
      <c r="B906" s="1209"/>
      <c r="C906" s="1209"/>
      <c r="D906" s="1267"/>
      <c r="E906" s="1267"/>
      <c r="F906" s="1267"/>
      <c r="G906" s="1267"/>
      <c r="H906" s="1267"/>
      <c r="I906" s="1267"/>
      <c r="J906" s="1267"/>
      <c r="K906" s="1267"/>
      <c r="L906" s="1267"/>
      <c r="M906" s="1267"/>
      <c r="N906" s="1267"/>
      <c r="O906" s="1267"/>
      <c r="P906" s="1267"/>
      <c r="Q906" s="1209"/>
      <c r="R906" s="1209"/>
      <c r="S906" s="1209"/>
      <c r="T906" s="1209"/>
      <c r="U906" s="1209"/>
      <c r="V906" s="1209"/>
      <c r="W906" s="1209"/>
      <c r="X906" s="1209"/>
      <c r="Y906" s="1209"/>
      <c r="Z906" s="1209"/>
      <c r="AA906" s="1209"/>
      <c r="AB906" s="1209"/>
    </row>
    <row r="907">
      <c r="A907" s="1209"/>
      <c r="B907" s="1209"/>
      <c r="C907" s="1209"/>
      <c r="D907" s="1267"/>
      <c r="E907" s="1267"/>
      <c r="F907" s="1267"/>
      <c r="G907" s="1267"/>
      <c r="H907" s="1267"/>
      <c r="I907" s="1267"/>
      <c r="J907" s="1267"/>
      <c r="K907" s="1267"/>
      <c r="L907" s="1267"/>
      <c r="M907" s="1267"/>
      <c r="N907" s="1267"/>
      <c r="O907" s="1267"/>
      <c r="P907" s="1267"/>
      <c r="Q907" s="1209"/>
      <c r="R907" s="1209"/>
      <c r="S907" s="1209"/>
      <c r="T907" s="1209"/>
      <c r="U907" s="1209"/>
      <c r="V907" s="1209"/>
      <c r="W907" s="1209"/>
      <c r="X907" s="1209"/>
      <c r="Y907" s="1209"/>
      <c r="Z907" s="1209"/>
      <c r="AA907" s="1209"/>
      <c r="AB907" s="1209"/>
    </row>
    <row r="908">
      <c r="A908" s="1209"/>
      <c r="B908" s="1209"/>
      <c r="C908" s="1209"/>
      <c r="D908" s="1267"/>
      <c r="E908" s="1267"/>
      <c r="F908" s="1267"/>
      <c r="G908" s="1267"/>
      <c r="H908" s="1267"/>
      <c r="I908" s="1267"/>
      <c r="J908" s="1267"/>
      <c r="K908" s="1267"/>
      <c r="L908" s="1267"/>
      <c r="M908" s="1267"/>
      <c r="N908" s="1267"/>
      <c r="O908" s="1267"/>
      <c r="P908" s="1267"/>
      <c r="Q908" s="1209"/>
      <c r="R908" s="1209"/>
      <c r="S908" s="1209"/>
      <c r="T908" s="1209"/>
      <c r="U908" s="1209"/>
      <c r="V908" s="1209"/>
      <c r="W908" s="1209"/>
      <c r="X908" s="1209"/>
      <c r="Y908" s="1209"/>
      <c r="Z908" s="1209"/>
      <c r="AA908" s="1209"/>
      <c r="AB908" s="1209"/>
    </row>
    <row r="909">
      <c r="A909" s="1209"/>
      <c r="B909" s="1209"/>
      <c r="C909" s="1209"/>
      <c r="D909" s="1267"/>
      <c r="E909" s="1267"/>
      <c r="F909" s="1267"/>
      <c r="G909" s="1267"/>
      <c r="H909" s="1267"/>
      <c r="I909" s="1267"/>
      <c r="J909" s="1267"/>
      <c r="K909" s="1267"/>
      <c r="L909" s="1267"/>
      <c r="M909" s="1267"/>
      <c r="N909" s="1267"/>
      <c r="O909" s="1267"/>
      <c r="P909" s="1267"/>
      <c r="Q909" s="1209"/>
      <c r="R909" s="1209"/>
      <c r="S909" s="1209"/>
      <c r="T909" s="1209"/>
      <c r="U909" s="1209"/>
      <c r="V909" s="1209"/>
      <c r="W909" s="1209"/>
      <c r="X909" s="1209"/>
      <c r="Y909" s="1209"/>
      <c r="Z909" s="1209"/>
      <c r="AA909" s="1209"/>
      <c r="AB909" s="1209"/>
    </row>
    <row r="910">
      <c r="A910" s="1209"/>
      <c r="B910" s="1209"/>
      <c r="C910" s="1209"/>
      <c r="D910" s="1267"/>
      <c r="E910" s="1267"/>
      <c r="F910" s="1267"/>
      <c r="G910" s="1267"/>
      <c r="H910" s="1267"/>
      <c r="I910" s="1267"/>
      <c r="J910" s="1267"/>
      <c r="K910" s="1267"/>
      <c r="L910" s="1267"/>
      <c r="M910" s="1267"/>
      <c r="N910" s="1267"/>
      <c r="O910" s="1267"/>
      <c r="P910" s="1267"/>
      <c r="Q910" s="1209"/>
      <c r="R910" s="1209"/>
      <c r="S910" s="1209"/>
      <c r="T910" s="1209"/>
      <c r="U910" s="1209"/>
      <c r="V910" s="1209"/>
      <c r="W910" s="1209"/>
      <c r="X910" s="1209"/>
      <c r="Y910" s="1209"/>
      <c r="Z910" s="1209"/>
      <c r="AA910" s="1209"/>
      <c r="AB910" s="1209"/>
    </row>
    <row r="911">
      <c r="A911" s="1209"/>
      <c r="B911" s="1209"/>
      <c r="C911" s="1209"/>
      <c r="D911" s="1267"/>
      <c r="E911" s="1267"/>
      <c r="F911" s="1267"/>
      <c r="G911" s="1267"/>
      <c r="H911" s="1267"/>
      <c r="I911" s="1267"/>
      <c r="J911" s="1267"/>
      <c r="K911" s="1267"/>
      <c r="L911" s="1267"/>
      <c r="M911" s="1267"/>
      <c r="N911" s="1267"/>
      <c r="O911" s="1267"/>
      <c r="P911" s="1267"/>
      <c r="Q911" s="1209"/>
      <c r="R911" s="1209"/>
      <c r="S911" s="1209"/>
      <c r="T911" s="1209"/>
      <c r="U911" s="1209"/>
      <c r="V911" s="1209"/>
      <c r="W911" s="1209"/>
      <c r="X911" s="1209"/>
      <c r="Y911" s="1209"/>
      <c r="Z911" s="1209"/>
      <c r="AA911" s="1209"/>
      <c r="AB911" s="1209"/>
    </row>
    <row r="912">
      <c r="A912" s="1209"/>
      <c r="B912" s="1209"/>
      <c r="C912" s="1209"/>
      <c r="D912" s="1267"/>
      <c r="E912" s="1267"/>
      <c r="F912" s="1267"/>
      <c r="G912" s="1267"/>
      <c r="H912" s="1267"/>
      <c r="I912" s="1267"/>
      <c r="J912" s="1267"/>
      <c r="K912" s="1267"/>
      <c r="L912" s="1267"/>
      <c r="M912" s="1267"/>
      <c r="N912" s="1267"/>
      <c r="O912" s="1267"/>
      <c r="P912" s="1267"/>
      <c r="Q912" s="1209"/>
      <c r="R912" s="1209"/>
      <c r="S912" s="1209"/>
      <c r="T912" s="1209"/>
      <c r="U912" s="1209"/>
      <c r="V912" s="1209"/>
      <c r="W912" s="1209"/>
      <c r="X912" s="1209"/>
      <c r="Y912" s="1209"/>
      <c r="Z912" s="1209"/>
      <c r="AA912" s="1209"/>
      <c r="AB912" s="1209"/>
    </row>
    <row r="913">
      <c r="A913" s="1209"/>
      <c r="B913" s="1209"/>
      <c r="C913" s="1209"/>
      <c r="D913" s="1267"/>
      <c r="E913" s="1267"/>
      <c r="F913" s="1267"/>
      <c r="G913" s="1267"/>
      <c r="H913" s="1267"/>
      <c r="I913" s="1267"/>
      <c r="J913" s="1267"/>
      <c r="K913" s="1267"/>
      <c r="L913" s="1267"/>
      <c r="M913" s="1267"/>
      <c r="N913" s="1267"/>
      <c r="O913" s="1267"/>
      <c r="P913" s="1267"/>
      <c r="Q913" s="1209"/>
      <c r="R913" s="1209"/>
      <c r="S913" s="1209"/>
      <c r="T913" s="1209"/>
      <c r="U913" s="1209"/>
      <c r="V913" s="1209"/>
      <c r="W913" s="1209"/>
      <c r="X913" s="1209"/>
      <c r="Y913" s="1209"/>
      <c r="Z913" s="1209"/>
      <c r="AA913" s="1209"/>
      <c r="AB913" s="1209"/>
    </row>
    <row r="914">
      <c r="A914" s="1209"/>
      <c r="B914" s="1209"/>
      <c r="C914" s="1209"/>
      <c r="D914" s="1267"/>
      <c r="E914" s="1267"/>
      <c r="F914" s="1267"/>
      <c r="G914" s="1267"/>
      <c r="H914" s="1267"/>
      <c r="I914" s="1267"/>
      <c r="J914" s="1267"/>
      <c r="K914" s="1267"/>
      <c r="L914" s="1267"/>
      <c r="M914" s="1267"/>
      <c r="N914" s="1267"/>
      <c r="O914" s="1267"/>
      <c r="P914" s="1267"/>
      <c r="Q914" s="1209"/>
      <c r="R914" s="1209"/>
      <c r="S914" s="1209"/>
      <c r="T914" s="1209"/>
      <c r="U914" s="1209"/>
      <c r="V914" s="1209"/>
      <c r="W914" s="1209"/>
      <c r="X914" s="1209"/>
      <c r="Y914" s="1209"/>
      <c r="Z914" s="1209"/>
      <c r="AA914" s="1209"/>
      <c r="AB914" s="1209"/>
    </row>
    <row r="915">
      <c r="A915" s="1209"/>
      <c r="B915" s="1209"/>
      <c r="C915" s="1209"/>
      <c r="D915" s="1267"/>
      <c r="E915" s="1267"/>
      <c r="F915" s="1267"/>
      <c r="G915" s="1267"/>
      <c r="H915" s="1267"/>
      <c r="I915" s="1267"/>
      <c r="J915" s="1267"/>
      <c r="K915" s="1267"/>
      <c r="L915" s="1267"/>
      <c r="M915" s="1267"/>
      <c r="N915" s="1267"/>
      <c r="O915" s="1267"/>
      <c r="P915" s="1267"/>
      <c r="Q915" s="1209"/>
      <c r="R915" s="1209"/>
      <c r="S915" s="1209"/>
      <c r="T915" s="1209"/>
      <c r="U915" s="1209"/>
      <c r="V915" s="1209"/>
      <c r="W915" s="1209"/>
      <c r="X915" s="1209"/>
      <c r="Y915" s="1209"/>
      <c r="Z915" s="1209"/>
      <c r="AA915" s="1209"/>
      <c r="AB915" s="1209"/>
    </row>
    <row r="916">
      <c r="A916" s="1209"/>
      <c r="B916" s="1209"/>
      <c r="C916" s="1209"/>
      <c r="D916" s="1267"/>
      <c r="E916" s="1267"/>
      <c r="F916" s="1267"/>
      <c r="G916" s="1267"/>
      <c r="H916" s="1267"/>
      <c r="I916" s="1267"/>
      <c r="J916" s="1267"/>
      <c r="K916" s="1267"/>
      <c r="L916" s="1267"/>
      <c r="M916" s="1267"/>
      <c r="N916" s="1267"/>
      <c r="O916" s="1267"/>
      <c r="P916" s="1267"/>
      <c r="Q916" s="1209"/>
      <c r="R916" s="1209"/>
      <c r="S916" s="1209"/>
      <c r="T916" s="1209"/>
      <c r="U916" s="1209"/>
      <c r="V916" s="1209"/>
      <c r="W916" s="1209"/>
      <c r="X916" s="1209"/>
      <c r="Y916" s="1209"/>
      <c r="Z916" s="1209"/>
      <c r="AA916" s="1209"/>
      <c r="AB916" s="1209"/>
    </row>
    <row r="917">
      <c r="A917" s="1209"/>
      <c r="B917" s="1209"/>
      <c r="C917" s="1209"/>
      <c r="D917" s="1267"/>
      <c r="E917" s="1267"/>
      <c r="F917" s="1267"/>
      <c r="G917" s="1267"/>
      <c r="H917" s="1267"/>
      <c r="I917" s="1267"/>
      <c r="J917" s="1267"/>
      <c r="K917" s="1267"/>
      <c r="L917" s="1267"/>
      <c r="M917" s="1267"/>
      <c r="N917" s="1267"/>
      <c r="O917" s="1267"/>
      <c r="P917" s="1267"/>
      <c r="Q917" s="1209"/>
      <c r="R917" s="1209"/>
      <c r="S917" s="1209"/>
      <c r="T917" s="1209"/>
      <c r="U917" s="1209"/>
      <c r="V917" s="1209"/>
      <c r="W917" s="1209"/>
      <c r="X917" s="1209"/>
      <c r="Y917" s="1209"/>
      <c r="Z917" s="1209"/>
      <c r="AA917" s="1209"/>
      <c r="AB917" s="1209"/>
    </row>
    <row r="918">
      <c r="A918" s="1209"/>
      <c r="B918" s="1209"/>
      <c r="C918" s="1209"/>
      <c r="D918" s="1267"/>
      <c r="E918" s="1267"/>
      <c r="F918" s="1267"/>
      <c r="G918" s="1267"/>
      <c r="H918" s="1267"/>
      <c r="I918" s="1267"/>
      <c r="J918" s="1267"/>
      <c r="K918" s="1267"/>
      <c r="L918" s="1267"/>
      <c r="M918" s="1267"/>
      <c r="N918" s="1267"/>
      <c r="O918" s="1267"/>
      <c r="P918" s="1267"/>
      <c r="Q918" s="1209"/>
      <c r="R918" s="1209"/>
      <c r="S918" s="1209"/>
      <c r="T918" s="1209"/>
      <c r="U918" s="1209"/>
      <c r="V918" s="1209"/>
      <c r="W918" s="1209"/>
      <c r="X918" s="1209"/>
      <c r="Y918" s="1209"/>
      <c r="Z918" s="1209"/>
      <c r="AA918" s="1209"/>
      <c r="AB918" s="1209"/>
    </row>
    <row r="919">
      <c r="A919" s="1209"/>
      <c r="B919" s="1209"/>
      <c r="C919" s="1209"/>
      <c r="D919" s="1267"/>
      <c r="E919" s="1267"/>
      <c r="F919" s="1267"/>
      <c r="G919" s="1267"/>
      <c r="H919" s="1267"/>
      <c r="I919" s="1267"/>
      <c r="J919" s="1267"/>
      <c r="K919" s="1267"/>
      <c r="L919" s="1267"/>
      <c r="M919" s="1267"/>
      <c r="N919" s="1267"/>
      <c r="O919" s="1267"/>
      <c r="P919" s="1267"/>
      <c r="Q919" s="1209"/>
      <c r="R919" s="1209"/>
      <c r="S919" s="1209"/>
      <c r="T919" s="1209"/>
      <c r="U919" s="1209"/>
      <c r="V919" s="1209"/>
      <c r="W919" s="1209"/>
      <c r="X919" s="1209"/>
      <c r="Y919" s="1209"/>
      <c r="Z919" s="1209"/>
      <c r="AA919" s="1209"/>
      <c r="AB919" s="1209"/>
    </row>
    <row r="920">
      <c r="A920" s="1209"/>
      <c r="B920" s="1209"/>
      <c r="C920" s="1209"/>
      <c r="D920" s="1267"/>
      <c r="E920" s="1267"/>
      <c r="F920" s="1267"/>
      <c r="G920" s="1267"/>
      <c r="H920" s="1267"/>
      <c r="I920" s="1267"/>
      <c r="J920" s="1267"/>
      <c r="K920" s="1267"/>
      <c r="L920" s="1267"/>
      <c r="M920" s="1267"/>
      <c r="N920" s="1267"/>
      <c r="O920" s="1267"/>
      <c r="P920" s="1267"/>
      <c r="Q920" s="1209"/>
      <c r="R920" s="1209"/>
      <c r="S920" s="1209"/>
      <c r="T920" s="1209"/>
      <c r="U920" s="1209"/>
      <c r="V920" s="1209"/>
      <c r="W920" s="1209"/>
      <c r="X920" s="1209"/>
      <c r="Y920" s="1209"/>
      <c r="Z920" s="1209"/>
      <c r="AA920" s="1209"/>
      <c r="AB920" s="1209"/>
    </row>
    <row r="921">
      <c r="A921" s="1209"/>
      <c r="B921" s="1209"/>
      <c r="C921" s="1209"/>
      <c r="D921" s="1267"/>
      <c r="E921" s="1267"/>
      <c r="F921" s="1267"/>
      <c r="G921" s="1267"/>
      <c r="H921" s="1267"/>
      <c r="I921" s="1267"/>
      <c r="J921" s="1267"/>
      <c r="K921" s="1267"/>
      <c r="L921" s="1267"/>
      <c r="M921" s="1267"/>
      <c r="N921" s="1267"/>
      <c r="O921" s="1267"/>
      <c r="P921" s="1267"/>
      <c r="Q921" s="1209"/>
      <c r="R921" s="1209"/>
      <c r="S921" s="1209"/>
      <c r="T921" s="1209"/>
      <c r="U921" s="1209"/>
      <c r="V921" s="1209"/>
      <c r="W921" s="1209"/>
      <c r="X921" s="1209"/>
      <c r="Y921" s="1209"/>
      <c r="Z921" s="1209"/>
      <c r="AA921" s="1209"/>
      <c r="AB921" s="1209"/>
    </row>
    <row r="922">
      <c r="A922" s="1209"/>
      <c r="B922" s="1209"/>
      <c r="C922" s="1209"/>
      <c r="D922" s="1267"/>
      <c r="E922" s="1267"/>
      <c r="F922" s="1267"/>
      <c r="G922" s="1267"/>
      <c r="H922" s="1267"/>
      <c r="I922" s="1267"/>
      <c r="J922" s="1267"/>
      <c r="K922" s="1267"/>
      <c r="L922" s="1267"/>
      <c r="M922" s="1267"/>
      <c r="N922" s="1267"/>
      <c r="O922" s="1267"/>
      <c r="P922" s="1267"/>
      <c r="Q922" s="1209"/>
      <c r="R922" s="1209"/>
      <c r="S922" s="1209"/>
      <c r="T922" s="1209"/>
      <c r="U922" s="1209"/>
      <c r="V922" s="1209"/>
      <c r="W922" s="1209"/>
      <c r="X922" s="1209"/>
      <c r="Y922" s="1209"/>
      <c r="Z922" s="1209"/>
      <c r="AA922" s="1209"/>
      <c r="AB922" s="1209"/>
    </row>
    <row r="923">
      <c r="A923" s="1209"/>
      <c r="B923" s="1209"/>
      <c r="C923" s="1209"/>
      <c r="D923" s="1267"/>
      <c r="E923" s="1267"/>
      <c r="F923" s="1267"/>
      <c r="G923" s="1267"/>
      <c r="H923" s="1267"/>
      <c r="I923" s="1267"/>
      <c r="J923" s="1267"/>
      <c r="K923" s="1267"/>
      <c r="L923" s="1267"/>
      <c r="M923" s="1267"/>
      <c r="N923" s="1267"/>
      <c r="O923" s="1267"/>
      <c r="P923" s="1267"/>
      <c r="Q923" s="1209"/>
      <c r="R923" s="1209"/>
      <c r="S923" s="1209"/>
      <c r="T923" s="1209"/>
      <c r="U923" s="1209"/>
      <c r="V923" s="1209"/>
      <c r="W923" s="1209"/>
      <c r="X923" s="1209"/>
      <c r="Y923" s="1209"/>
      <c r="Z923" s="1209"/>
      <c r="AA923" s="1209"/>
      <c r="AB923" s="1209"/>
    </row>
    <row r="924">
      <c r="A924" s="1209"/>
      <c r="B924" s="1209"/>
      <c r="C924" s="1209"/>
      <c r="D924" s="1267"/>
      <c r="E924" s="1267"/>
      <c r="F924" s="1267"/>
      <c r="G924" s="1267"/>
      <c r="H924" s="1267"/>
      <c r="I924" s="1267"/>
      <c r="J924" s="1267"/>
      <c r="K924" s="1267"/>
      <c r="L924" s="1267"/>
      <c r="M924" s="1267"/>
      <c r="N924" s="1267"/>
      <c r="O924" s="1267"/>
      <c r="P924" s="1267"/>
      <c r="Q924" s="1209"/>
      <c r="R924" s="1209"/>
      <c r="S924" s="1209"/>
      <c r="T924" s="1209"/>
      <c r="U924" s="1209"/>
      <c r="V924" s="1209"/>
      <c r="W924" s="1209"/>
      <c r="X924" s="1209"/>
      <c r="Y924" s="1209"/>
      <c r="Z924" s="1209"/>
      <c r="AA924" s="1209"/>
      <c r="AB924" s="1209"/>
    </row>
    <row r="925">
      <c r="A925" s="1209"/>
      <c r="B925" s="1209"/>
      <c r="C925" s="1209"/>
      <c r="D925" s="1267"/>
      <c r="E925" s="1267"/>
      <c r="F925" s="1267"/>
      <c r="G925" s="1267"/>
      <c r="H925" s="1267"/>
      <c r="I925" s="1267"/>
      <c r="J925" s="1267"/>
      <c r="K925" s="1267"/>
      <c r="L925" s="1267"/>
      <c r="M925" s="1267"/>
      <c r="N925" s="1267"/>
      <c r="O925" s="1267"/>
      <c r="P925" s="1267"/>
      <c r="Q925" s="1209"/>
      <c r="R925" s="1209"/>
      <c r="S925" s="1209"/>
      <c r="T925" s="1209"/>
      <c r="U925" s="1209"/>
      <c r="V925" s="1209"/>
      <c r="W925" s="1209"/>
      <c r="X925" s="1209"/>
      <c r="Y925" s="1209"/>
      <c r="Z925" s="1209"/>
      <c r="AA925" s="1209"/>
      <c r="AB925" s="1209"/>
    </row>
    <row r="926">
      <c r="A926" s="1209"/>
      <c r="B926" s="1209"/>
      <c r="C926" s="1209"/>
      <c r="D926" s="1267"/>
      <c r="E926" s="1267"/>
      <c r="F926" s="1267"/>
      <c r="G926" s="1267"/>
      <c r="H926" s="1267"/>
      <c r="I926" s="1267"/>
      <c r="J926" s="1267"/>
      <c r="K926" s="1267"/>
      <c r="L926" s="1267"/>
      <c r="M926" s="1267"/>
      <c r="N926" s="1267"/>
      <c r="O926" s="1267"/>
      <c r="P926" s="1267"/>
      <c r="Q926" s="1209"/>
      <c r="R926" s="1209"/>
      <c r="S926" s="1209"/>
      <c r="T926" s="1209"/>
      <c r="U926" s="1209"/>
      <c r="V926" s="1209"/>
      <c r="W926" s="1209"/>
      <c r="X926" s="1209"/>
      <c r="Y926" s="1209"/>
      <c r="Z926" s="1209"/>
      <c r="AA926" s="1209"/>
      <c r="AB926" s="1209"/>
    </row>
    <row r="927">
      <c r="A927" s="1209"/>
      <c r="B927" s="1209"/>
      <c r="C927" s="1209"/>
      <c r="D927" s="1267"/>
      <c r="E927" s="1267"/>
      <c r="F927" s="1267"/>
      <c r="G927" s="1267"/>
      <c r="H927" s="1267"/>
      <c r="I927" s="1267"/>
      <c r="J927" s="1267"/>
      <c r="K927" s="1267"/>
      <c r="L927" s="1267"/>
      <c r="M927" s="1267"/>
      <c r="N927" s="1267"/>
      <c r="O927" s="1267"/>
      <c r="P927" s="1267"/>
      <c r="Q927" s="1209"/>
      <c r="R927" s="1209"/>
      <c r="S927" s="1209"/>
      <c r="T927" s="1209"/>
      <c r="U927" s="1209"/>
      <c r="V927" s="1209"/>
      <c r="W927" s="1209"/>
      <c r="X927" s="1209"/>
      <c r="Y927" s="1209"/>
      <c r="Z927" s="1209"/>
      <c r="AA927" s="1209"/>
      <c r="AB927" s="1209"/>
    </row>
    <row r="928">
      <c r="A928" s="1209"/>
      <c r="B928" s="1209"/>
      <c r="C928" s="1209"/>
      <c r="D928" s="1267"/>
      <c r="E928" s="1267"/>
      <c r="F928" s="1267"/>
      <c r="G928" s="1267"/>
      <c r="H928" s="1267"/>
      <c r="I928" s="1267"/>
      <c r="J928" s="1267"/>
      <c r="K928" s="1267"/>
      <c r="L928" s="1267"/>
      <c r="M928" s="1267"/>
      <c r="N928" s="1267"/>
      <c r="O928" s="1267"/>
      <c r="P928" s="1267"/>
      <c r="Q928" s="1209"/>
      <c r="R928" s="1209"/>
      <c r="S928" s="1209"/>
      <c r="T928" s="1209"/>
      <c r="U928" s="1209"/>
      <c r="V928" s="1209"/>
      <c r="W928" s="1209"/>
      <c r="X928" s="1209"/>
      <c r="Y928" s="1209"/>
      <c r="Z928" s="1209"/>
      <c r="AA928" s="1209"/>
      <c r="AB928" s="1209"/>
    </row>
    <row r="929">
      <c r="A929" s="1209"/>
      <c r="B929" s="1209"/>
      <c r="C929" s="1209"/>
      <c r="D929" s="1267"/>
      <c r="E929" s="1267"/>
      <c r="F929" s="1267"/>
      <c r="G929" s="1267"/>
      <c r="H929" s="1267"/>
      <c r="I929" s="1267"/>
      <c r="J929" s="1267"/>
      <c r="K929" s="1267"/>
      <c r="L929" s="1267"/>
      <c r="M929" s="1267"/>
      <c r="N929" s="1267"/>
      <c r="O929" s="1267"/>
      <c r="P929" s="1267"/>
      <c r="Q929" s="1209"/>
      <c r="R929" s="1209"/>
      <c r="S929" s="1209"/>
      <c r="T929" s="1209"/>
      <c r="U929" s="1209"/>
      <c r="V929" s="1209"/>
      <c r="W929" s="1209"/>
      <c r="X929" s="1209"/>
      <c r="Y929" s="1209"/>
      <c r="Z929" s="1209"/>
      <c r="AA929" s="1209"/>
      <c r="AB929" s="1209"/>
    </row>
    <row r="930">
      <c r="A930" s="1209"/>
      <c r="B930" s="1209"/>
      <c r="C930" s="1209"/>
      <c r="D930" s="1267"/>
      <c r="E930" s="1267"/>
      <c r="F930" s="1267"/>
      <c r="G930" s="1267"/>
      <c r="H930" s="1267"/>
      <c r="I930" s="1267"/>
      <c r="J930" s="1267"/>
      <c r="K930" s="1267"/>
      <c r="L930" s="1267"/>
      <c r="M930" s="1267"/>
      <c r="N930" s="1267"/>
      <c r="O930" s="1267"/>
      <c r="P930" s="1267"/>
      <c r="Q930" s="1209"/>
      <c r="R930" s="1209"/>
      <c r="S930" s="1209"/>
      <c r="T930" s="1209"/>
      <c r="U930" s="1209"/>
      <c r="V930" s="1209"/>
      <c r="W930" s="1209"/>
      <c r="X930" s="1209"/>
      <c r="Y930" s="1209"/>
      <c r="Z930" s="1209"/>
      <c r="AA930" s="1209"/>
      <c r="AB930" s="1209"/>
    </row>
    <row r="931">
      <c r="A931" s="1209"/>
      <c r="B931" s="1209"/>
      <c r="C931" s="1209"/>
      <c r="D931" s="1267"/>
      <c r="E931" s="1267"/>
      <c r="F931" s="1267"/>
      <c r="G931" s="1267"/>
      <c r="H931" s="1267"/>
      <c r="I931" s="1267"/>
      <c r="J931" s="1267"/>
      <c r="K931" s="1267"/>
      <c r="L931" s="1267"/>
      <c r="M931" s="1267"/>
      <c r="N931" s="1267"/>
      <c r="O931" s="1267"/>
      <c r="P931" s="1267"/>
      <c r="Q931" s="1209"/>
      <c r="R931" s="1209"/>
      <c r="S931" s="1209"/>
      <c r="T931" s="1209"/>
      <c r="U931" s="1209"/>
      <c r="V931" s="1209"/>
      <c r="W931" s="1209"/>
      <c r="X931" s="1209"/>
      <c r="Y931" s="1209"/>
      <c r="Z931" s="1209"/>
      <c r="AA931" s="1209"/>
      <c r="AB931" s="1209"/>
    </row>
    <row r="932">
      <c r="A932" s="1209"/>
      <c r="B932" s="1209"/>
      <c r="C932" s="1209"/>
      <c r="D932" s="1267"/>
      <c r="E932" s="1267"/>
      <c r="F932" s="1267"/>
      <c r="G932" s="1267"/>
      <c r="H932" s="1267"/>
      <c r="I932" s="1267"/>
      <c r="J932" s="1267"/>
      <c r="K932" s="1267"/>
      <c r="L932" s="1267"/>
      <c r="M932" s="1267"/>
      <c r="N932" s="1267"/>
      <c r="O932" s="1267"/>
      <c r="P932" s="1267"/>
      <c r="Q932" s="1209"/>
      <c r="R932" s="1209"/>
      <c r="S932" s="1209"/>
      <c r="T932" s="1209"/>
      <c r="U932" s="1209"/>
      <c r="V932" s="1209"/>
      <c r="W932" s="1209"/>
      <c r="X932" s="1209"/>
      <c r="Y932" s="1209"/>
      <c r="Z932" s="1209"/>
      <c r="AA932" s="1209"/>
      <c r="AB932" s="1209"/>
    </row>
    <row r="933">
      <c r="A933" s="1209"/>
      <c r="B933" s="1209"/>
      <c r="C933" s="1209"/>
      <c r="D933" s="1267"/>
      <c r="E933" s="1267"/>
      <c r="F933" s="1267"/>
      <c r="G933" s="1267"/>
      <c r="H933" s="1267"/>
      <c r="I933" s="1267"/>
      <c r="J933" s="1267"/>
      <c r="K933" s="1267"/>
      <c r="L933" s="1267"/>
      <c r="M933" s="1267"/>
      <c r="N933" s="1267"/>
      <c r="O933" s="1267"/>
      <c r="P933" s="1267"/>
      <c r="Q933" s="1209"/>
      <c r="R933" s="1209"/>
      <c r="S933" s="1209"/>
      <c r="T933" s="1209"/>
      <c r="U933" s="1209"/>
      <c r="V933" s="1209"/>
      <c r="W933" s="1209"/>
      <c r="X933" s="1209"/>
      <c r="Y933" s="1209"/>
      <c r="Z933" s="1209"/>
      <c r="AA933" s="1209"/>
      <c r="AB933" s="1209"/>
    </row>
    <row r="934">
      <c r="A934" s="1209"/>
      <c r="B934" s="1209"/>
      <c r="C934" s="1209"/>
      <c r="D934" s="1267"/>
      <c r="E934" s="1267"/>
      <c r="F934" s="1267"/>
      <c r="G934" s="1267"/>
      <c r="H934" s="1267"/>
      <c r="I934" s="1267"/>
      <c r="J934" s="1267"/>
      <c r="K934" s="1267"/>
      <c r="L934" s="1267"/>
      <c r="M934" s="1267"/>
      <c r="N934" s="1267"/>
      <c r="O934" s="1267"/>
      <c r="P934" s="1267"/>
      <c r="Q934" s="1209"/>
      <c r="R934" s="1209"/>
      <c r="S934" s="1209"/>
      <c r="T934" s="1209"/>
      <c r="U934" s="1209"/>
      <c r="V934" s="1209"/>
      <c r="W934" s="1209"/>
      <c r="X934" s="1209"/>
      <c r="Y934" s="1209"/>
      <c r="Z934" s="1209"/>
      <c r="AA934" s="1209"/>
      <c r="AB934" s="1209"/>
    </row>
    <row r="935">
      <c r="A935" s="1209"/>
      <c r="B935" s="1209"/>
      <c r="C935" s="1209"/>
      <c r="D935" s="1267"/>
      <c r="E935" s="1267"/>
      <c r="F935" s="1267"/>
      <c r="G935" s="1267"/>
      <c r="H935" s="1267"/>
      <c r="I935" s="1267"/>
      <c r="J935" s="1267"/>
      <c r="K935" s="1267"/>
      <c r="L935" s="1267"/>
      <c r="M935" s="1267"/>
      <c r="N935" s="1267"/>
      <c r="O935" s="1267"/>
      <c r="P935" s="1267"/>
      <c r="Q935" s="1209"/>
      <c r="R935" s="1209"/>
      <c r="S935" s="1209"/>
      <c r="T935" s="1209"/>
      <c r="U935" s="1209"/>
      <c r="V935" s="1209"/>
      <c r="W935" s="1209"/>
      <c r="X935" s="1209"/>
      <c r="Y935" s="1209"/>
      <c r="Z935" s="1209"/>
      <c r="AA935" s="1209"/>
      <c r="AB935" s="1209"/>
    </row>
    <row r="936">
      <c r="A936" s="1209"/>
      <c r="B936" s="1209"/>
      <c r="C936" s="1209"/>
      <c r="D936" s="1267"/>
      <c r="E936" s="1267"/>
      <c r="F936" s="1267"/>
      <c r="G936" s="1267"/>
      <c r="H936" s="1267"/>
      <c r="I936" s="1267"/>
      <c r="J936" s="1267"/>
      <c r="K936" s="1267"/>
      <c r="L936" s="1267"/>
      <c r="M936" s="1267"/>
      <c r="N936" s="1267"/>
      <c r="O936" s="1267"/>
      <c r="P936" s="1267"/>
      <c r="Q936" s="1209"/>
      <c r="R936" s="1209"/>
      <c r="S936" s="1209"/>
      <c r="T936" s="1209"/>
      <c r="U936" s="1209"/>
      <c r="V936" s="1209"/>
      <c r="W936" s="1209"/>
      <c r="X936" s="1209"/>
      <c r="Y936" s="1209"/>
      <c r="Z936" s="1209"/>
      <c r="AA936" s="1209"/>
      <c r="AB936" s="1209"/>
    </row>
    <row r="937">
      <c r="A937" s="1209"/>
      <c r="B937" s="1209"/>
      <c r="C937" s="1209"/>
      <c r="D937" s="1267"/>
      <c r="E937" s="1267"/>
      <c r="F937" s="1267"/>
      <c r="G937" s="1267"/>
      <c r="H937" s="1267"/>
      <c r="I937" s="1267"/>
      <c r="J937" s="1267"/>
      <c r="K937" s="1267"/>
      <c r="L937" s="1267"/>
      <c r="M937" s="1267"/>
      <c r="N937" s="1267"/>
      <c r="O937" s="1267"/>
      <c r="P937" s="1267"/>
      <c r="Q937" s="1209"/>
      <c r="R937" s="1209"/>
      <c r="S937" s="1209"/>
      <c r="T937" s="1209"/>
      <c r="U937" s="1209"/>
      <c r="V937" s="1209"/>
      <c r="W937" s="1209"/>
      <c r="X937" s="1209"/>
      <c r="Y937" s="1209"/>
      <c r="Z937" s="1209"/>
      <c r="AA937" s="1209"/>
      <c r="AB937" s="1209"/>
    </row>
    <row r="938">
      <c r="A938" s="1209"/>
      <c r="B938" s="1209"/>
      <c r="C938" s="1209"/>
      <c r="D938" s="1267"/>
      <c r="E938" s="1267"/>
      <c r="F938" s="1267"/>
      <c r="G938" s="1267"/>
      <c r="H938" s="1267"/>
      <c r="I938" s="1267"/>
      <c r="J938" s="1267"/>
      <c r="K938" s="1267"/>
      <c r="L938" s="1267"/>
      <c r="M938" s="1267"/>
      <c r="N938" s="1267"/>
      <c r="O938" s="1267"/>
      <c r="P938" s="1267"/>
      <c r="Q938" s="1209"/>
      <c r="R938" s="1209"/>
      <c r="S938" s="1209"/>
      <c r="T938" s="1209"/>
      <c r="U938" s="1209"/>
      <c r="V938" s="1209"/>
      <c r="W938" s="1209"/>
      <c r="X938" s="1209"/>
      <c r="Y938" s="1209"/>
      <c r="Z938" s="1209"/>
      <c r="AA938" s="1209"/>
      <c r="AB938" s="1209"/>
    </row>
    <row r="939">
      <c r="A939" s="1209"/>
      <c r="B939" s="1209"/>
      <c r="C939" s="1209"/>
      <c r="D939" s="1267"/>
      <c r="E939" s="1267"/>
      <c r="F939" s="1267"/>
      <c r="G939" s="1267"/>
      <c r="H939" s="1267"/>
      <c r="I939" s="1267"/>
      <c r="J939" s="1267"/>
      <c r="K939" s="1267"/>
      <c r="L939" s="1267"/>
      <c r="M939" s="1267"/>
      <c r="N939" s="1267"/>
      <c r="O939" s="1267"/>
      <c r="P939" s="1267"/>
      <c r="Q939" s="1209"/>
      <c r="R939" s="1209"/>
      <c r="S939" s="1209"/>
      <c r="T939" s="1209"/>
      <c r="U939" s="1209"/>
      <c r="V939" s="1209"/>
      <c r="W939" s="1209"/>
      <c r="X939" s="1209"/>
      <c r="Y939" s="1209"/>
      <c r="Z939" s="1209"/>
      <c r="AA939" s="1209"/>
      <c r="AB939" s="1209"/>
    </row>
    <row r="940">
      <c r="A940" s="1209"/>
      <c r="B940" s="1209"/>
      <c r="C940" s="1209"/>
      <c r="D940" s="1267"/>
      <c r="E940" s="1267"/>
      <c r="F940" s="1267"/>
      <c r="G940" s="1267"/>
      <c r="H940" s="1267"/>
      <c r="I940" s="1267"/>
      <c r="J940" s="1267"/>
      <c r="K940" s="1267"/>
      <c r="L940" s="1267"/>
      <c r="M940" s="1267"/>
      <c r="N940" s="1267"/>
      <c r="O940" s="1267"/>
      <c r="P940" s="1267"/>
      <c r="Q940" s="1209"/>
      <c r="R940" s="1209"/>
      <c r="S940" s="1209"/>
      <c r="T940" s="1209"/>
      <c r="U940" s="1209"/>
      <c r="V940" s="1209"/>
      <c r="W940" s="1209"/>
      <c r="X940" s="1209"/>
      <c r="Y940" s="1209"/>
      <c r="Z940" s="1209"/>
      <c r="AA940" s="1209"/>
      <c r="AB940" s="1209"/>
    </row>
    <row r="941">
      <c r="A941" s="1209"/>
      <c r="B941" s="1209"/>
      <c r="C941" s="1209"/>
      <c r="D941" s="1267"/>
      <c r="E941" s="1267"/>
      <c r="F941" s="1267"/>
      <c r="G941" s="1267"/>
      <c r="H941" s="1267"/>
      <c r="I941" s="1267"/>
      <c r="J941" s="1267"/>
      <c r="K941" s="1267"/>
      <c r="L941" s="1267"/>
      <c r="M941" s="1267"/>
      <c r="N941" s="1267"/>
      <c r="O941" s="1267"/>
      <c r="P941" s="1267"/>
      <c r="Q941" s="1209"/>
      <c r="R941" s="1209"/>
      <c r="S941" s="1209"/>
      <c r="T941" s="1209"/>
      <c r="U941" s="1209"/>
      <c r="V941" s="1209"/>
      <c r="W941" s="1209"/>
      <c r="X941" s="1209"/>
      <c r="Y941" s="1209"/>
      <c r="Z941" s="1209"/>
      <c r="AA941" s="1209"/>
      <c r="AB941" s="1209"/>
    </row>
    <row r="942">
      <c r="A942" s="1209"/>
      <c r="B942" s="1209"/>
      <c r="C942" s="1209"/>
      <c r="D942" s="1267"/>
      <c r="E942" s="1267"/>
      <c r="F942" s="1267"/>
      <c r="G942" s="1267"/>
      <c r="H942" s="1267"/>
      <c r="I942" s="1267"/>
      <c r="J942" s="1267"/>
      <c r="K942" s="1267"/>
      <c r="L942" s="1267"/>
      <c r="M942" s="1267"/>
      <c r="N942" s="1267"/>
      <c r="O942" s="1267"/>
      <c r="P942" s="1267"/>
      <c r="Q942" s="1209"/>
      <c r="R942" s="1209"/>
      <c r="S942" s="1209"/>
      <c r="T942" s="1209"/>
      <c r="U942" s="1209"/>
      <c r="V942" s="1209"/>
      <c r="W942" s="1209"/>
      <c r="X942" s="1209"/>
      <c r="Y942" s="1209"/>
      <c r="Z942" s="1209"/>
      <c r="AA942" s="1209"/>
      <c r="AB942" s="1209"/>
    </row>
    <row r="943">
      <c r="A943" s="1209"/>
      <c r="B943" s="1209"/>
      <c r="C943" s="1209"/>
      <c r="D943" s="1267"/>
      <c r="E943" s="1267"/>
      <c r="F943" s="1267"/>
      <c r="G943" s="1267"/>
      <c r="H943" s="1267"/>
      <c r="I943" s="1267"/>
      <c r="J943" s="1267"/>
      <c r="K943" s="1267"/>
      <c r="L943" s="1267"/>
      <c r="M943" s="1267"/>
      <c r="N943" s="1267"/>
      <c r="O943" s="1267"/>
      <c r="P943" s="1267"/>
      <c r="Q943" s="1209"/>
      <c r="R943" s="1209"/>
      <c r="S943" s="1209"/>
      <c r="T943" s="1209"/>
      <c r="U943" s="1209"/>
      <c r="V943" s="1209"/>
      <c r="W943" s="1209"/>
      <c r="X943" s="1209"/>
      <c r="Y943" s="1209"/>
      <c r="Z943" s="1209"/>
      <c r="AA943" s="1209"/>
      <c r="AB943" s="1209"/>
    </row>
    <row r="944">
      <c r="A944" s="1209"/>
      <c r="B944" s="1209"/>
      <c r="C944" s="1209"/>
      <c r="D944" s="1267"/>
      <c r="E944" s="1267"/>
      <c r="F944" s="1267"/>
      <c r="G944" s="1267"/>
      <c r="H944" s="1267"/>
      <c r="I944" s="1267"/>
      <c r="J944" s="1267"/>
      <c r="K944" s="1267"/>
      <c r="L944" s="1267"/>
      <c r="M944" s="1267"/>
      <c r="N944" s="1267"/>
      <c r="O944" s="1267"/>
      <c r="P944" s="1267"/>
      <c r="Q944" s="1209"/>
      <c r="R944" s="1209"/>
      <c r="S944" s="1209"/>
      <c r="T944" s="1209"/>
      <c r="U944" s="1209"/>
      <c r="V944" s="1209"/>
      <c r="W944" s="1209"/>
      <c r="X944" s="1209"/>
      <c r="Y944" s="1209"/>
      <c r="Z944" s="1209"/>
      <c r="AA944" s="1209"/>
      <c r="AB944" s="1209"/>
    </row>
    <row r="945">
      <c r="A945" s="1209"/>
      <c r="B945" s="1209"/>
      <c r="C945" s="1209"/>
      <c r="D945" s="1267"/>
      <c r="E945" s="1267"/>
      <c r="F945" s="1267"/>
      <c r="G945" s="1267"/>
      <c r="H945" s="1267"/>
      <c r="I945" s="1267"/>
      <c r="J945" s="1267"/>
      <c r="K945" s="1267"/>
      <c r="L945" s="1267"/>
      <c r="M945" s="1267"/>
      <c r="N945" s="1267"/>
      <c r="O945" s="1267"/>
      <c r="P945" s="1267"/>
      <c r="Q945" s="1209"/>
      <c r="R945" s="1209"/>
      <c r="S945" s="1209"/>
      <c r="T945" s="1209"/>
      <c r="U945" s="1209"/>
      <c r="V945" s="1209"/>
      <c r="W945" s="1209"/>
      <c r="X945" s="1209"/>
      <c r="Y945" s="1209"/>
      <c r="Z945" s="1209"/>
      <c r="AA945" s="1209"/>
      <c r="AB945" s="1209"/>
    </row>
    <row r="946">
      <c r="A946" s="1209"/>
      <c r="B946" s="1209"/>
      <c r="C946" s="1209"/>
      <c r="D946" s="1267"/>
      <c r="E946" s="1267"/>
      <c r="F946" s="1267"/>
      <c r="G946" s="1267"/>
      <c r="H946" s="1267"/>
      <c r="I946" s="1267"/>
      <c r="J946" s="1267"/>
      <c r="K946" s="1267"/>
      <c r="L946" s="1267"/>
      <c r="M946" s="1267"/>
      <c r="N946" s="1267"/>
      <c r="O946" s="1267"/>
      <c r="P946" s="1267"/>
      <c r="Q946" s="1209"/>
      <c r="R946" s="1209"/>
      <c r="S946" s="1209"/>
      <c r="T946" s="1209"/>
      <c r="U946" s="1209"/>
      <c r="V946" s="1209"/>
      <c r="W946" s="1209"/>
      <c r="X946" s="1209"/>
      <c r="Y946" s="1209"/>
      <c r="Z946" s="1209"/>
      <c r="AA946" s="1209"/>
      <c r="AB946" s="1209"/>
    </row>
    <row r="947">
      <c r="A947" s="1209"/>
      <c r="B947" s="1209"/>
      <c r="C947" s="1209"/>
      <c r="D947" s="1267"/>
      <c r="E947" s="1267"/>
      <c r="F947" s="1267"/>
      <c r="G947" s="1267"/>
      <c r="H947" s="1267"/>
      <c r="I947" s="1267"/>
      <c r="J947" s="1267"/>
      <c r="K947" s="1267"/>
      <c r="L947" s="1267"/>
      <c r="M947" s="1267"/>
      <c r="N947" s="1267"/>
      <c r="O947" s="1267"/>
      <c r="P947" s="1267"/>
      <c r="Q947" s="1209"/>
      <c r="R947" s="1209"/>
      <c r="S947" s="1209"/>
      <c r="T947" s="1209"/>
      <c r="U947" s="1209"/>
      <c r="V947" s="1209"/>
      <c r="W947" s="1209"/>
      <c r="X947" s="1209"/>
      <c r="Y947" s="1209"/>
      <c r="Z947" s="1209"/>
      <c r="AA947" s="1209"/>
      <c r="AB947" s="1209"/>
    </row>
    <row r="948">
      <c r="A948" s="1209"/>
      <c r="B948" s="1209"/>
      <c r="C948" s="1209"/>
      <c r="D948" s="1267"/>
      <c r="E948" s="1267"/>
      <c r="F948" s="1267"/>
      <c r="G948" s="1267"/>
      <c r="H948" s="1267"/>
      <c r="I948" s="1267"/>
      <c r="J948" s="1267"/>
      <c r="K948" s="1267"/>
      <c r="L948" s="1267"/>
      <c r="M948" s="1267"/>
      <c r="N948" s="1267"/>
      <c r="O948" s="1267"/>
      <c r="P948" s="1267"/>
      <c r="Q948" s="1209"/>
      <c r="R948" s="1209"/>
      <c r="S948" s="1209"/>
      <c r="T948" s="1209"/>
      <c r="U948" s="1209"/>
      <c r="V948" s="1209"/>
      <c r="W948" s="1209"/>
      <c r="X948" s="1209"/>
      <c r="Y948" s="1209"/>
      <c r="Z948" s="1209"/>
      <c r="AA948" s="1209"/>
      <c r="AB948" s="1209"/>
    </row>
    <row r="949">
      <c r="A949" s="1209"/>
      <c r="B949" s="1209"/>
      <c r="C949" s="1209"/>
      <c r="D949" s="1267"/>
      <c r="E949" s="1267"/>
      <c r="F949" s="1267"/>
      <c r="G949" s="1267"/>
      <c r="H949" s="1267"/>
      <c r="I949" s="1267"/>
      <c r="J949" s="1267"/>
      <c r="K949" s="1267"/>
      <c r="L949" s="1267"/>
      <c r="M949" s="1267"/>
      <c r="N949" s="1267"/>
      <c r="O949" s="1267"/>
      <c r="P949" s="1267"/>
      <c r="Q949" s="1209"/>
      <c r="R949" s="1209"/>
      <c r="S949" s="1209"/>
      <c r="T949" s="1209"/>
      <c r="U949" s="1209"/>
      <c r="V949" s="1209"/>
      <c r="W949" s="1209"/>
      <c r="X949" s="1209"/>
      <c r="Y949" s="1209"/>
      <c r="Z949" s="1209"/>
      <c r="AA949" s="1209"/>
      <c r="AB949" s="1209"/>
    </row>
    <row r="950">
      <c r="A950" s="1209"/>
      <c r="B950" s="1209"/>
      <c r="C950" s="1209"/>
      <c r="D950" s="1267"/>
      <c r="E950" s="1267"/>
      <c r="F950" s="1267"/>
      <c r="G950" s="1267"/>
      <c r="H950" s="1267"/>
      <c r="I950" s="1267"/>
      <c r="J950" s="1267"/>
      <c r="K950" s="1267"/>
      <c r="L950" s="1267"/>
      <c r="M950" s="1267"/>
      <c r="N950" s="1267"/>
      <c r="O950" s="1267"/>
      <c r="P950" s="1267"/>
      <c r="Q950" s="1209"/>
      <c r="R950" s="1209"/>
      <c r="S950" s="1209"/>
      <c r="T950" s="1209"/>
      <c r="U950" s="1209"/>
      <c r="V950" s="1209"/>
      <c r="W950" s="1209"/>
      <c r="X950" s="1209"/>
      <c r="Y950" s="1209"/>
      <c r="Z950" s="1209"/>
      <c r="AA950" s="1209"/>
      <c r="AB950" s="1209"/>
    </row>
    <row r="951">
      <c r="A951" s="1209"/>
      <c r="B951" s="1209"/>
      <c r="C951" s="1209"/>
      <c r="D951" s="1267"/>
      <c r="E951" s="1267"/>
      <c r="F951" s="1267"/>
      <c r="G951" s="1267"/>
      <c r="H951" s="1267"/>
      <c r="I951" s="1267"/>
      <c r="J951" s="1267"/>
      <c r="K951" s="1267"/>
      <c r="L951" s="1267"/>
      <c r="M951" s="1267"/>
      <c r="N951" s="1267"/>
      <c r="O951" s="1267"/>
      <c r="P951" s="1267"/>
      <c r="Q951" s="1209"/>
      <c r="R951" s="1209"/>
      <c r="S951" s="1209"/>
      <c r="T951" s="1209"/>
      <c r="U951" s="1209"/>
      <c r="V951" s="1209"/>
      <c r="W951" s="1209"/>
      <c r="X951" s="1209"/>
      <c r="Y951" s="1209"/>
      <c r="Z951" s="1209"/>
      <c r="AA951" s="1209"/>
      <c r="AB951" s="1209"/>
    </row>
    <row r="952">
      <c r="A952" s="1209"/>
      <c r="B952" s="1209"/>
      <c r="C952" s="1209"/>
      <c r="D952" s="1267"/>
      <c r="E952" s="1267"/>
      <c r="F952" s="1267"/>
      <c r="G952" s="1267"/>
      <c r="H952" s="1267"/>
      <c r="I952" s="1267"/>
      <c r="J952" s="1267"/>
      <c r="K952" s="1267"/>
      <c r="L952" s="1267"/>
      <c r="M952" s="1267"/>
      <c r="N952" s="1267"/>
      <c r="O952" s="1267"/>
      <c r="P952" s="1267"/>
      <c r="Q952" s="1209"/>
      <c r="R952" s="1209"/>
      <c r="S952" s="1209"/>
      <c r="T952" s="1209"/>
      <c r="U952" s="1209"/>
      <c r="V952" s="1209"/>
      <c r="W952" s="1209"/>
      <c r="X952" s="1209"/>
      <c r="Y952" s="1209"/>
      <c r="Z952" s="1209"/>
      <c r="AA952" s="1209"/>
      <c r="AB952" s="1209"/>
    </row>
    <row r="953">
      <c r="A953" s="1209"/>
      <c r="B953" s="1209"/>
      <c r="C953" s="1209"/>
      <c r="D953" s="1267"/>
      <c r="E953" s="1267"/>
      <c r="F953" s="1267"/>
      <c r="G953" s="1267"/>
      <c r="H953" s="1267"/>
      <c r="I953" s="1267"/>
      <c r="J953" s="1267"/>
      <c r="K953" s="1267"/>
      <c r="L953" s="1267"/>
      <c r="M953" s="1267"/>
      <c r="N953" s="1267"/>
      <c r="O953" s="1267"/>
      <c r="P953" s="1267"/>
      <c r="Q953" s="1209"/>
      <c r="R953" s="1209"/>
      <c r="S953" s="1209"/>
      <c r="T953" s="1209"/>
      <c r="U953" s="1209"/>
      <c r="V953" s="1209"/>
      <c r="W953" s="1209"/>
      <c r="X953" s="1209"/>
      <c r="Y953" s="1209"/>
      <c r="Z953" s="1209"/>
      <c r="AA953" s="1209"/>
      <c r="AB953" s="1209"/>
    </row>
    <row r="954">
      <c r="A954" s="1209"/>
      <c r="B954" s="1209"/>
      <c r="C954" s="1209"/>
      <c r="D954" s="1267"/>
      <c r="E954" s="1267"/>
      <c r="F954" s="1267"/>
      <c r="G954" s="1267"/>
      <c r="H954" s="1267"/>
      <c r="I954" s="1267"/>
      <c r="J954" s="1267"/>
      <c r="K954" s="1267"/>
      <c r="L954" s="1267"/>
      <c r="M954" s="1267"/>
      <c r="N954" s="1267"/>
      <c r="O954" s="1267"/>
      <c r="P954" s="1267"/>
      <c r="Q954" s="1209"/>
      <c r="R954" s="1209"/>
      <c r="S954" s="1209"/>
      <c r="T954" s="1209"/>
      <c r="U954" s="1209"/>
      <c r="V954" s="1209"/>
      <c r="W954" s="1209"/>
      <c r="X954" s="1209"/>
      <c r="Y954" s="1209"/>
      <c r="Z954" s="1209"/>
      <c r="AA954" s="1209"/>
      <c r="AB954" s="1209"/>
    </row>
    <row r="955">
      <c r="A955" s="1209"/>
      <c r="B955" s="1209"/>
      <c r="C955" s="1209"/>
      <c r="D955" s="1267"/>
      <c r="E955" s="1267"/>
      <c r="F955" s="1267"/>
      <c r="G955" s="1267"/>
      <c r="H955" s="1267"/>
      <c r="I955" s="1267"/>
      <c r="J955" s="1267"/>
      <c r="K955" s="1267"/>
      <c r="L955" s="1267"/>
      <c r="M955" s="1267"/>
      <c r="N955" s="1267"/>
      <c r="O955" s="1267"/>
      <c r="P955" s="1267"/>
      <c r="Q955" s="1209"/>
      <c r="R955" s="1209"/>
      <c r="S955" s="1209"/>
      <c r="T955" s="1209"/>
      <c r="U955" s="1209"/>
      <c r="V955" s="1209"/>
      <c r="W955" s="1209"/>
      <c r="X955" s="1209"/>
      <c r="Y955" s="1209"/>
      <c r="Z955" s="1209"/>
      <c r="AA955" s="1209"/>
      <c r="AB955" s="1209"/>
    </row>
    <row r="956">
      <c r="A956" s="1209"/>
      <c r="B956" s="1209"/>
      <c r="C956" s="1209"/>
      <c r="D956" s="1267"/>
      <c r="E956" s="1267"/>
      <c r="F956" s="1267"/>
      <c r="G956" s="1267"/>
      <c r="H956" s="1267"/>
      <c r="I956" s="1267"/>
      <c r="J956" s="1267"/>
      <c r="K956" s="1267"/>
      <c r="L956" s="1267"/>
      <c r="M956" s="1267"/>
      <c r="N956" s="1267"/>
      <c r="O956" s="1267"/>
      <c r="P956" s="1267"/>
      <c r="Q956" s="1209"/>
      <c r="R956" s="1209"/>
      <c r="S956" s="1209"/>
      <c r="T956" s="1209"/>
      <c r="U956" s="1209"/>
      <c r="V956" s="1209"/>
      <c r="W956" s="1209"/>
      <c r="X956" s="1209"/>
      <c r="Y956" s="1209"/>
      <c r="Z956" s="1209"/>
      <c r="AA956" s="1209"/>
      <c r="AB956" s="1209"/>
    </row>
    <row r="957">
      <c r="A957" s="1209"/>
      <c r="B957" s="1209"/>
      <c r="C957" s="1209"/>
      <c r="D957" s="1267"/>
      <c r="E957" s="1267"/>
      <c r="F957" s="1267"/>
      <c r="G957" s="1267"/>
      <c r="H957" s="1267"/>
      <c r="I957" s="1267"/>
      <c r="J957" s="1267"/>
      <c r="K957" s="1267"/>
      <c r="L957" s="1267"/>
      <c r="M957" s="1267"/>
      <c r="N957" s="1267"/>
      <c r="O957" s="1267"/>
      <c r="P957" s="1267"/>
      <c r="Q957" s="1209"/>
      <c r="R957" s="1209"/>
      <c r="S957" s="1209"/>
      <c r="T957" s="1209"/>
      <c r="U957" s="1209"/>
      <c r="V957" s="1209"/>
      <c r="W957" s="1209"/>
      <c r="X957" s="1209"/>
      <c r="Y957" s="1209"/>
      <c r="Z957" s="1209"/>
      <c r="AA957" s="1209"/>
      <c r="AB957" s="1209"/>
    </row>
    <row r="958">
      <c r="A958" s="1209"/>
      <c r="B958" s="1209"/>
      <c r="C958" s="1209"/>
      <c r="D958" s="1267"/>
      <c r="E958" s="1267"/>
      <c r="F958" s="1267"/>
      <c r="G958" s="1267"/>
      <c r="H958" s="1267"/>
      <c r="I958" s="1267"/>
      <c r="J958" s="1267"/>
      <c r="K958" s="1267"/>
      <c r="L958" s="1267"/>
      <c r="M958" s="1267"/>
      <c r="N958" s="1267"/>
      <c r="O958" s="1267"/>
      <c r="P958" s="1267"/>
      <c r="Q958" s="1209"/>
      <c r="R958" s="1209"/>
      <c r="S958" s="1209"/>
      <c r="T958" s="1209"/>
      <c r="U958" s="1209"/>
      <c r="V958" s="1209"/>
      <c r="W958" s="1209"/>
      <c r="X958" s="1209"/>
      <c r="Y958" s="1209"/>
      <c r="Z958" s="1209"/>
      <c r="AA958" s="1209"/>
      <c r="AB958" s="1209"/>
    </row>
    <row r="959">
      <c r="A959" s="1209"/>
      <c r="B959" s="1209"/>
      <c r="C959" s="1209"/>
      <c r="D959" s="1267"/>
      <c r="E959" s="1267"/>
      <c r="F959" s="1267"/>
      <c r="G959" s="1267"/>
      <c r="H959" s="1267"/>
      <c r="I959" s="1267"/>
      <c r="J959" s="1267"/>
      <c r="K959" s="1267"/>
      <c r="L959" s="1267"/>
      <c r="M959" s="1267"/>
      <c r="N959" s="1267"/>
      <c r="O959" s="1267"/>
      <c r="P959" s="1267"/>
      <c r="Q959" s="1209"/>
      <c r="R959" s="1209"/>
      <c r="S959" s="1209"/>
      <c r="T959" s="1209"/>
      <c r="U959" s="1209"/>
      <c r="V959" s="1209"/>
      <c r="W959" s="1209"/>
      <c r="X959" s="1209"/>
      <c r="Y959" s="1209"/>
      <c r="Z959" s="1209"/>
      <c r="AA959" s="1209"/>
      <c r="AB959" s="1209"/>
    </row>
    <row r="960">
      <c r="A960" s="1209"/>
      <c r="B960" s="1209"/>
      <c r="C960" s="1209"/>
      <c r="D960" s="1267"/>
      <c r="E960" s="1267"/>
      <c r="F960" s="1267"/>
      <c r="G960" s="1267"/>
      <c r="H960" s="1267"/>
      <c r="I960" s="1267"/>
      <c r="J960" s="1267"/>
      <c r="K960" s="1267"/>
      <c r="L960" s="1267"/>
      <c r="M960" s="1267"/>
      <c r="N960" s="1267"/>
      <c r="O960" s="1267"/>
      <c r="P960" s="1267"/>
      <c r="Q960" s="1209"/>
      <c r="R960" s="1209"/>
      <c r="S960" s="1209"/>
      <c r="T960" s="1209"/>
      <c r="U960" s="1209"/>
      <c r="V960" s="1209"/>
      <c r="W960" s="1209"/>
      <c r="X960" s="1209"/>
      <c r="Y960" s="1209"/>
      <c r="Z960" s="1209"/>
      <c r="AA960" s="1209"/>
      <c r="AB960" s="1209"/>
    </row>
    <row r="961">
      <c r="A961" s="1209"/>
      <c r="B961" s="1209"/>
      <c r="C961" s="1209"/>
      <c r="D961" s="1267"/>
      <c r="E961" s="1267"/>
      <c r="F961" s="1267"/>
      <c r="G961" s="1267"/>
      <c r="H961" s="1267"/>
      <c r="I961" s="1267"/>
      <c r="J961" s="1267"/>
      <c r="K961" s="1267"/>
      <c r="L961" s="1267"/>
      <c r="M961" s="1267"/>
      <c r="N961" s="1267"/>
      <c r="O961" s="1267"/>
      <c r="P961" s="1267"/>
      <c r="Q961" s="1209"/>
      <c r="R961" s="1209"/>
      <c r="S961" s="1209"/>
      <c r="T961" s="1209"/>
      <c r="U961" s="1209"/>
      <c r="V961" s="1209"/>
      <c r="W961" s="1209"/>
      <c r="X961" s="1209"/>
      <c r="Y961" s="1209"/>
      <c r="Z961" s="1209"/>
      <c r="AA961" s="1209"/>
      <c r="AB961" s="1209"/>
    </row>
    <row r="962">
      <c r="A962" s="1209"/>
      <c r="B962" s="1209"/>
      <c r="C962" s="1209"/>
      <c r="D962" s="1267"/>
      <c r="E962" s="1267"/>
      <c r="F962" s="1267"/>
      <c r="G962" s="1267"/>
      <c r="H962" s="1267"/>
      <c r="I962" s="1267"/>
      <c r="J962" s="1267"/>
      <c r="K962" s="1267"/>
      <c r="L962" s="1267"/>
      <c r="M962" s="1267"/>
      <c r="N962" s="1267"/>
      <c r="O962" s="1267"/>
      <c r="P962" s="1267"/>
      <c r="Q962" s="1209"/>
      <c r="R962" s="1209"/>
      <c r="S962" s="1209"/>
      <c r="T962" s="1209"/>
      <c r="U962" s="1209"/>
      <c r="V962" s="1209"/>
      <c r="W962" s="1209"/>
      <c r="X962" s="1209"/>
      <c r="Y962" s="1209"/>
      <c r="Z962" s="1209"/>
      <c r="AA962" s="1209"/>
      <c r="AB962" s="1209"/>
    </row>
    <row r="963">
      <c r="A963" s="1209"/>
      <c r="B963" s="1209"/>
      <c r="C963" s="1209"/>
      <c r="D963" s="1267"/>
      <c r="E963" s="1267"/>
      <c r="F963" s="1267"/>
      <c r="G963" s="1267"/>
      <c r="H963" s="1267"/>
      <c r="I963" s="1267"/>
      <c r="J963" s="1267"/>
      <c r="K963" s="1267"/>
      <c r="L963" s="1267"/>
      <c r="M963" s="1267"/>
      <c r="N963" s="1267"/>
      <c r="O963" s="1267"/>
      <c r="P963" s="1267"/>
      <c r="Q963" s="1209"/>
      <c r="R963" s="1209"/>
      <c r="S963" s="1209"/>
      <c r="T963" s="1209"/>
      <c r="U963" s="1209"/>
      <c r="V963" s="1209"/>
      <c r="W963" s="1209"/>
      <c r="X963" s="1209"/>
      <c r="Y963" s="1209"/>
      <c r="Z963" s="1209"/>
      <c r="AA963" s="1209"/>
      <c r="AB963" s="1209"/>
    </row>
    <row r="964">
      <c r="A964" s="1209"/>
      <c r="B964" s="1209"/>
      <c r="C964" s="1209"/>
      <c r="D964" s="1267"/>
      <c r="E964" s="1267"/>
      <c r="F964" s="1267"/>
      <c r="G964" s="1267"/>
      <c r="H964" s="1267"/>
      <c r="I964" s="1267"/>
      <c r="J964" s="1267"/>
      <c r="K964" s="1267"/>
      <c r="L964" s="1267"/>
      <c r="M964" s="1267"/>
      <c r="N964" s="1267"/>
      <c r="O964" s="1267"/>
      <c r="P964" s="1267"/>
      <c r="Q964" s="1209"/>
      <c r="R964" s="1209"/>
      <c r="S964" s="1209"/>
      <c r="T964" s="1209"/>
      <c r="U964" s="1209"/>
      <c r="V964" s="1209"/>
      <c r="W964" s="1209"/>
      <c r="X964" s="1209"/>
      <c r="Y964" s="1209"/>
      <c r="Z964" s="1209"/>
      <c r="AA964" s="1209"/>
      <c r="AB964" s="1209"/>
    </row>
    <row r="965">
      <c r="A965" s="1209"/>
      <c r="B965" s="1209"/>
      <c r="C965" s="1209"/>
      <c r="D965" s="1267"/>
      <c r="E965" s="1267"/>
      <c r="F965" s="1267"/>
      <c r="G965" s="1267"/>
      <c r="H965" s="1267"/>
      <c r="I965" s="1267"/>
      <c r="J965" s="1267"/>
      <c r="K965" s="1267"/>
      <c r="L965" s="1267"/>
      <c r="M965" s="1267"/>
      <c r="N965" s="1267"/>
      <c r="O965" s="1267"/>
      <c r="P965" s="1267"/>
      <c r="Q965" s="1209"/>
      <c r="R965" s="1209"/>
      <c r="S965" s="1209"/>
      <c r="T965" s="1209"/>
      <c r="U965" s="1209"/>
      <c r="V965" s="1209"/>
      <c r="W965" s="1209"/>
      <c r="X965" s="1209"/>
      <c r="Y965" s="1209"/>
      <c r="Z965" s="1209"/>
      <c r="AA965" s="1209"/>
      <c r="AB965" s="1209"/>
    </row>
    <row r="966">
      <c r="A966" s="1209"/>
      <c r="B966" s="1209"/>
      <c r="C966" s="1209"/>
      <c r="D966" s="1267"/>
      <c r="E966" s="1267"/>
      <c r="F966" s="1267"/>
      <c r="G966" s="1267"/>
      <c r="H966" s="1267"/>
      <c r="I966" s="1267"/>
      <c r="J966" s="1267"/>
      <c r="K966" s="1267"/>
      <c r="L966" s="1267"/>
      <c r="M966" s="1267"/>
      <c r="N966" s="1267"/>
      <c r="O966" s="1267"/>
      <c r="P966" s="1267"/>
      <c r="Q966" s="1209"/>
      <c r="R966" s="1209"/>
      <c r="S966" s="1209"/>
      <c r="T966" s="1209"/>
      <c r="U966" s="1209"/>
      <c r="V966" s="1209"/>
      <c r="W966" s="1209"/>
      <c r="X966" s="1209"/>
      <c r="Y966" s="1209"/>
      <c r="Z966" s="1209"/>
      <c r="AA966" s="1209"/>
      <c r="AB966" s="1209"/>
    </row>
    <row r="967">
      <c r="A967" s="1209"/>
      <c r="B967" s="1209"/>
      <c r="C967" s="1209"/>
      <c r="D967" s="1267"/>
      <c r="E967" s="1267"/>
      <c r="F967" s="1267"/>
      <c r="G967" s="1267"/>
      <c r="H967" s="1267"/>
      <c r="I967" s="1267"/>
      <c r="J967" s="1267"/>
      <c r="K967" s="1267"/>
      <c r="L967" s="1267"/>
      <c r="M967" s="1267"/>
      <c r="N967" s="1267"/>
      <c r="O967" s="1267"/>
      <c r="P967" s="1267"/>
      <c r="Q967" s="1209"/>
      <c r="R967" s="1209"/>
      <c r="S967" s="1209"/>
      <c r="T967" s="1209"/>
      <c r="U967" s="1209"/>
      <c r="V967" s="1209"/>
      <c r="W967" s="1209"/>
      <c r="X967" s="1209"/>
      <c r="Y967" s="1209"/>
      <c r="Z967" s="1209"/>
      <c r="AA967" s="1209"/>
      <c r="AB967" s="1209"/>
    </row>
    <row r="968">
      <c r="A968" s="1209"/>
      <c r="B968" s="1209"/>
      <c r="C968" s="1209"/>
      <c r="D968" s="1267"/>
      <c r="E968" s="1267"/>
      <c r="F968" s="1267"/>
      <c r="G968" s="1267"/>
      <c r="H968" s="1267"/>
      <c r="I968" s="1267"/>
      <c r="J968" s="1267"/>
      <c r="K968" s="1267"/>
      <c r="L968" s="1267"/>
      <c r="M968" s="1267"/>
      <c r="N968" s="1267"/>
      <c r="O968" s="1267"/>
      <c r="P968" s="1267"/>
      <c r="Q968" s="1209"/>
      <c r="R968" s="1209"/>
      <c r="S968" s="1209"/>
      <c r="T968" s="1209"/>
      <c r="U968" s="1209"/>
      <c r="V968" s="1209"/>
      <c r="W968" s="1209"/>
      <c r="X968" s="1209"/>
      <c r="Y968" s="1209"/>
      <c r="Z968" s="1209"/>
      <c r="AA968" s="1209"/>
      <c r="AB968" s="1209"/>
    </row>
    <row r="969">
      <c r="A969" s="1209"/>
      <c r="B969" s="1209"/>
      <c r="C969" s="1209"/>
      <c r="D969" s="1267"/>
      <c r="E969" s="1267"/>
      <c r="F969" s="1267"/>
      <c r="G969" s="1267"/>
      <c r="H969" s="1267"/>
      <c r="I969" s="1267"/>
      <c r="J969" s="1267"/>
      <c r="K969" s="1267"/>
      <c r="L969" s="1267"/>
      <c r="M969" s="1267"/>
      <c r="N969" s="1267"/>
      <c r="O969" s="1267"/>
      <c r="P969" s="1267"/>
      <c r="Q969" s="1209"/>
      <c r="R969" s="1209"/>
      <c r="S969" s="1209"/>
      <c r="T969" s="1209"/>
      <c r="U969" s="1209"/>
      <c r="V969" s="1209"/>
      <c r="W969" s="1209"/>
      <c r="X969" s="1209"/>
      <c r="Y969" s="1209"/>
      <c r="Z969" s="1209"/>
      <c r="AA969" s="1209"/>
      <c r="AB969" s="1209"/>
    </row>
    <row r="970">
      <c r="A970" s="1209"/>
      <c r="B970" s="1209"/>
      <c r="C970" s="1209"/>
      <c r="D970" s="1267"/>
      <c r="E970" s="1267"/>
      <c r="F970" s="1267"/>
      <c r="G970" s="1267"/>
      <c r="H970" s="1267"/>
      <c r="I970" s="1267"/>
      <c r="J970" s="1267"/>
      <c r="K970" s="1267"/>
      <c r="L970" s="1267"/>
      <c r="M970" s="1267"/>
      <c r="N970" s="1267"/>
      <c r="O970" s="1267"/>
      <c r="P970" s="1267"/>
      <c r="Q970" s="1209"/>
      <c r="R970" s="1209"/>
      <c r="S970" s="1209"/>
      <c r="T970" s="1209"/>
      <c r="U970" s="1209"/>
      <c r="V970" s="1209"/>
      <c r="W970" s="1209"/>
      <c r="X970" s="1209"/>
      <c r="Y970" s="1209"/>
      <c r="Z970" s="1209"/>
      <c r="AA970" s="1209"/>
      <c r="AB970" s="1209"/>
    </row>
    <row r="971">
      <c r="A971" s="1209"/>
      <c r="B971" s="1209"/>
      <c r="C971" s="1209"/>
      <c r="D971" s="1267"/>
      <c r="E971" s="1267"/>
      <c r="F971" s="1267"/>
      <c r="G971" s="1267"/>
      <c r="H971" s="1267"/>
      <c r="I971" s="1267"/>
      <c r="J971" s="1267"/>
      <c r="K971" s="1267"/>
      <c r="L971" s="1267"/>
      <c r="M971" s="1267"/>
      <c r="N971" s="1267"/>
      <c r="O971" s="1267"/>
      <c r="P971" s="1267"/>
      <c r="Q971" s="1209"/>
      <c r="R971" s="1209"/>
      <c r="S971" s="1209"/>
      <c r="T971" s="1209"/>
      <c r="U971" s="1209"/>
      <c r="V971" s="1209"/>
      <c r="W971" s="1209"/>
      <c r="X971" s="1209"/>
      <c r="Y971" s="1209"/>
      <c r="Z971" s="1209"/>
      <c r="AA971" s="1209"/>
      <c r="AB971" s="1209"/>
    </row>
    <row r="972">
      <c r="A972" s="1209"/>
      <c r="B972" s="1209"/>
      <c r="C972" s="1209"/>
      <c r="D972" s="1267"/>
      <c r="E972" s="1267"/>
      <c r="F972" s="1267"/>
      <c r="G972" s="1267"/>
      <c r="H972" s="1267"/>
      <c r="I972" s="1267"/>
      <c r="J972" s="1267"/>
      <c r="K972" s="1267"/>
      <c r="L972" s="1267"/>
      <c r="M972" s="1267"/>
      <c r="N972" s="1267"/>
      <c r="O972" s="1267"/>
      <c r="P972" s="1267"/>
      <c r="Q972" s="1209"/>
      <c r="R972" s="1209"/>
      <c r="S972" s="1209"/>
      <c r="T972" s="1209"/>
      <c r="U972" s="1209"/>
      <c r="V972" s="1209"/>
      <c r="W972" s="1209"/>
      <c r="X972" s="1209"/>
      <c r="Y972" s="1209"/>
      <c r="Z972" s="1209"/>
      <c r="AA972" s="1209"/>
      <c r="AB972" s="1209"/>
    </row>
    <row r="973">
      <c r="A973" s="1209"/>
      <c r="B973" s="1209"/>
      <c r="C973" s="1209"/>
      <c r="D973" s="1267"/>
      <c r="E973" s="1267"/>
      <c r="F973" s="1267"/>
      <c r="G973" s="1267"/>
      <c r="H973" s="1267"/>
      <c r="I973" s="1267"/>
      <c r="J973" s="1267"/>
      <c r="K973" s="1267"/>
      <c r="L973" s="1267"/>
      <c r="M973" s="1267"/>
      <c r="N973" s="1267"/>
      <c r="O973" s="1267"/>
      <c r="P973" s="1267"/>
      <c r="Q973" s="1209"/>
      <c r="R973" s="1209"/>
      <c r="S973" s="1209"/>
      <c r="T973" s="1209"/>
      <c r="U973" s="1209"/>
      <c r="V973" s="1209"/>
      <c r="W973" s="1209"/>
      <c r="X973" s="1209"/>
      <c r="Y973" s="1209"/>
      <c r="Z973" s="1209"/>
      <c r="AA973" s="1209"/>
      <c r="AB973" s="1209"/>
    </row>
    <row r="974">
      <c r="A974" s="1209"/>
      <c r="B974" s="1209"/>
      <c r="C974" s="1209"/>
      <c r="D974" s="1267"/>
      <c r="E974" s="1267"/>
      <c r="F974" s="1267"/>
      <c r="G974" s="1267"/>
      <c r="H974" s="1267"/>
      <c r="I974" s="1267"/>
      <c r="J974" s="1267"/>
      <c r="K974" s="1267"/>
      <c r="L974" s="1267"/>
      <c r="M974" s="1267"/>
      <c r="N974" s="1267"/>
      <c r="O974" s="1267"/>
      <c r="P974" s="1267"/>
      <c r="Q974" s="1209"/>
      <c r="R974" s="1209"/>
      <c r="S974" s="1209"/>
      <c r="T974" s="1209"/>
      <c r="U974" s="1209"/>
      <c r="V974" s="1209"/>
      <c r="W974" s="1209"/>
      <c r="X974" s="1209"/>
      <c r="Y974" s="1209"/>
      <c r="Z974" s="1209"/>
      <c r="AA974" s="1209"/>
      <c r="AB974" s="1209"/>
    </row>
    <row r="975">
      <c r="A975" s="1209"/>
      <c r="B975" s="1209"/>
      <c r="C975" s="1209"/>
      <c r="D975" s="1267"/>
      <c r="E975" s="1267"/>
      <c r="F975" s="1267"/>
      <c r="G975" s="1267"/>
      <c r="H975" s="1267"/>
      <c r="I975" s="1267"/>
      <c r="J975" s="1267"/>
      <c r="K975" s="1267"/>
      <c r="L975" s="1267"/>
      <c r="M975" s="1267"/>
      <c r="N975" s="1267"/>
      <c r="O975" s="1267"/>
      <c r="P975" s="1267"/>
      <c r="Q975" s="1209"/>
      <c r="R975" s="1209"/>
      <c r="S975" s="1209"/>
      <c r="T975" s="1209"/>
      <c r="U975" s="1209"/>
      <c r="V975" s="1209"/>
      <c r="W975" s="1209"/>
      <c r="X975" s="1209"/>
      <c r="Y975" s="1209"/>
      <c r="Z975" s="1209"/>
      <c r="AA975" s="1209"/>
      <c r="AB975" s="1209"/>
    </row>
    <row r="976">
      <c r="A976" s="1209"/>
      <c r="B976" s="1209"/>
      <c r="C976" s="1209"/>
      <c r="D976" s="1267"/>
      <c r="E976" s="1267"/>
      <c r="F976" s="1267"/>
      <c r="G976" s="1267"/>
      <c r="H976" s="1267"/>
      <c r="I976" s="1267"/>
      <c r="J976" s="1267"/>
      <c r="K976" s="1267"/>
      <c r="L976" s="1267"/>
      <c r="M976" s="1267"/>
      <c r="N976" s="1267"/>
      <c r="O976" s="1267"/>
      <c r="P976" s="1267"/>
      <c r="Q976" s="1209"/>
      <c r="R976" s="1209"/>
      <c r="S976" s="1209"/>
      <c r="T976" s="1209"/>
      <c r="U976" s="1209"/>
      <c r="V976" s="1209"/>
      <c r="W976" s="1209"/>
      <c r="X976" s="1209"/>
      <c r="Y976" s="1209"/>
      <c r="Z976" s="1209"/>
      <c r="AA976" s="1209"/>
      <c r="AB976" s="1209"/>
    </row>
    <row r="977">
      <c r="A977" s="1209"/>
      <c r="B977" s="1209"/>
      <c r="C977" s="1209"/>
      <c r="D977" s="1267"/>
      <c r="E977" s="1267"/>
      <c r="F977" s="1267"/>
      <c r="G977" s="1267"/>
      <c r="H977" s="1267"/>
      <c r="I977" s="1267"/>
      <c r="J977" s="1267"/>
      <c r="K977" s="1267"/>
      <c r="L977" s="1267"/>
      <c r="M977" s="1267"/>
      <c r="N977" s="1267"/>
      <c r="O977" s="1267"/>
      <c r="P977" s="1267"/>
      <c r="Q977" s="1209"/>
      <c r="R977" s="1209"/>
      <c r="S977" s="1209"/>
      <c r="T977" s="1209"/>
      <c r="U977" s="1209"/>
      <c r="V977" s="1209"/>
      <c r="W977" s="1209"/>
      <c r="X977" s="1209"/>
      <c r="Y977" s="1209"/>
      <c r="Z977" s="1209"/>
      <c r="AA977" s="1209"/>
      <c r="AB977" s="1209"/>
    </row>
    <row r="978">
      <c r="A978" s="1209"/>
      <c r="B978" s="1209"/>
      <c r="C978" s="1209"/>
      <c r="D978" s="1267"/>
      <c r="E978" s="1267"/>
      <c r="F978" s="1267"/>
      <c r="G978" s="1267"/>
      <c r="H978" s="1267"/>
      <c r="I978" s="1267"/>
      <c r="J978" s="1267"/>
      <c r="K978" s="1267"/>
      <c r="L978" s="1267"/>
      <c r="M978" s="1267"/>
      <c r="N978" s="1267"/>
      <c r="O978" s="1267"/>
      <c r="P978" s="1267"/>
      <c r="Q978" s="1209"/>
      <c r="R978" s="1209"/>
      <c r="S978" s="1209"/>
      <c r="T978" s="1209"/>
      <c r="U978" s="1209"/>
      <c r="V978" s="1209"/>
      <c r="W978" s="1209"/>
      <c r="X978" s="1209"/>
      <c r="Y978" s="1209"/>
      <c r="Z978" s="1209"/>
      <c r="AA978" s="1209"/>
      <c r="AB978" s="1209"/>
    </row>
    <row r="979">
      <c r="A979" s="1209"/>
      <c r="B979" s="1209"/>
      <c r="C979" s="1209"/>
      <c r="D979" s="1267"/>
      <c r="E979" s="1267"/>
      <c r="F979" s="1267"/>
      <c r="G979" s="1267"/>
      <c r="H979" s="1267"/>
      <c r="I979" s="1267"/>
      <c r="J979" s="1267"/>
      <c r="K979" s="1267"/>
      <c r="L979" s="1267"/>
      <c r="M979" s="1267"/>
      <c r="N979" s="1267"/>
      <c r="O979" s="1267"/>
      <c r="P979" s="1267"/>
      <c r="Q979" s="1209"/>
      <c r="R979" s="1209"/>
      <c r="S979" s="1209"/>
      <c r="T979" s="1209"/>
      <c r="U979" s="1209"/>
      <c r="V979" s="1209"/>
      <c r="W979" s="1209"/>
      <c r="X979" s="1209"/>
      <c r="Y979" s="1209"/>
      <c r="Z979" s="1209"/>
      <c r="AA979" s="1209"/>
      <c r="AB979" s="1209"/>
    </row>
    <row r="980">
      <c r="A980" s="1209"/>
      <c r="B980" s="1209"/>
      <c r="C980" s="1209"/>
      <c r="D980" s="1267"/>
      <c r="E980" s="1267"/>
      <c r="F980" s="1267"/>
      <c r="G980" s="1267"/>
      <c r="H980" s="1267"/>
      <c r="I980" s="1267"/>
      <c r="J980" s="1267"/>
      <c r="K980" s="1267"/>
      <c r="L980" s="1267"/>
      <c r="M980" s="1267"/>
      <c r="N980" s="1267"/>
      <c r="O980" s="1267"/>
      <c r="P980" s="1267"/>
      <c r="Q980" s="1209"/>
      <c r="R980" s="1209"/>
      <c r="S980" s="1209"/>
      <c r="T980" s="1209"/>
      <c r="U980" s="1209"/>
      <c r="V980" s="1209"/>
      <c r="W980" s="1209"/>
      <c r="X980" s="1209"/>
      <c r="Y980" s="1209"/>
      <c r="Z980" s="1209"/>
      <c r="AA980" s="1209"/>
      <c r="AB980" s="1209"/>
    </row>
    <row r="981">
      <c r="A981" s="1209"/>
      <c r="B981" s="1209"/>
      <c r="C981" s="1209"/>
      <c r="D981" s="1267"/>
      <c r="E981" s="1267"/>
      <c r="F981" s="1267"/>
      <c r="G981" s="1267"/>
      <c r="H981" s="1267"/>
      <c r="I981" s="1267"/>
      <c r="J981" s="1267"/>
      <c r="K981" s="1267"/>
      <c r="L981" s="1267"/>
      <c r="M981" s="1267"/>
      <c r="N981" s="1267"/>
      <c r="O981" s="1267"/>
      <c r="P981" s="1267"/>
      <c r="Q981" s="1209"/>
      <c r="R981" s="1209"/>
      <c r="S981" s="1209"/>
      <c r="T981" s="1209"/>
      <c r="U981" s="1209"/>
      <c r="V981" s="1209"/>
      <c r="W981" s="1209"/>
      <c r="X981" s="1209"/>
      <c r="Y981" s="1209"/>
      <c r="Z981" s="1209"/>
      <c r="AA981" s="1209"/>
      <c r="AB981" s="1209"/>
    </row>
    <row r="982">
      <c r="A982" s="1209"/>
      <c r="B982" s="1209"/>
      <c r="C982" s="1209"/>
      <c r="D982" s="1267"/>
      <c r="E982" s="1267"/>
      <c r="F982" s="1267"/>
      <c r="G982" s="1267"/>
      <c r="H982" s="1267"/>
      <c r="I982" s="1267"/>
      <c r="J982" s="1267"/>
      <c r="K982" s="1267"/>
      <c r="L982" s="1267"/>
      <c r="M982" s="1267"/>
      <c r="N982" s="1267"/>
      <c r="O982" s="1267"/>
      <c r="P982" s="1267"/>
      <c r="Q982" s="1209"/>
      <c r="R982" s="1209"/>
      <c r="S982" s="1209"/>
      <c r="T982" s="1209"/>
      <c r="U982" s="1209"/>
      <c r="V982" s="1209"/>
      <c r="W982" s="1209"/>
      <c r="X982" s="1209"/>
      <c r="Y982" s="1209"/>
      <c r="Z982" s="1209"/>
      <c r="AA982" s="1209"/>
      <c r="AB982" s="1209"/>
    </row>
    <row r="983">
      <c r="A983" s="1209"/>
      <c r="B983" s="1209"/>
      <c r="C983" s="1209"/>
      <c r="D983" s="1267"/>
      <c r="E983" s="1267"/>
      <c r="F983" s="1267"/>
      <c r="G983" s="1267"/>
      <c r="H983" s="1267"/>
      <c r="I983" s="1267"/>
      <c r="J983" s="1267"/>
      <c r="K983" s="1267"/>
      <c r="L983" s="1267"/>
      <c r="M983" s="1267"/>
      <c r="N983" s="1267"/>
      <c r="O983" s="1267"/>
      <c r="P983" s="1267"/>
      <c r="Q983" s="1209"/>
      <c r="R983" s="1209"/>
      <c r="S983" s="1209"/>
      <c r="T983" s="1209"/>
      <c r="U983" s="1209"/>
      <c r="V983" s="1209"/>
      <c r="W983" s="1209"/>
      <c r="X983" s="1209"/>
      <c r="Y983" s="1209"/>
      <c r="Z983" s="1209"/>
      <c r="AA983" s="1209"/>
      <c r="AB983" s="1209"/>
    </row>
    <row r="984">
      <c r="A984" s="1209"/>
      <c r="B984" s="1209"/>
      <c r="C984" s="1209"/>
      <c r="D984" s="1267"/>
      <c r="E984" s="1267"/>
      <c r="F984" s="1267"/>
      <c r="G984" s="1267"/>
      <c r="H984" s="1267"/>
      <c r="I984" s="1267"/>
      <c r="J984" s="1267"/>
      <c r="K984" s="1267"/>
      <c r="L984" s="1267"/>
      <c r="M984" s="1267"/>
      <c r="N984" s="1267"/>
      <c r="O984" s="1267"/>
      <c r="P984" s="1267"/>
      <c r="Q984" s="1209"/>
      <c r="R984" s="1209"/>
      <c r="S984" s="1209"/>
      <c r="T984" s="1209"/>
      <c r="U984" s="1209"/>
      <c r="V984" s="1209"/>
      <c r="W984" s="1209"/>
      <c r="X984" s="1209"/>
      <c r="Y984" s="1209"/>
      <c r="Z984" s="1209"/>
      <c r="AA984" s="1209"/>
      <c r="AB984" s="1209"/>
    </row>
    <row r="985">
      <c r="A985" s="1209"/>
      <c r="B985" s="1209"/>
      <c r="C985" s="1209"/>
      <c r="D985" s="1267"/>
      <c r="E985" s="1267"/>
      <c r="F985" s="1267"/>
      <c r="G985" s="1267"/>
      <c r="H985" s="1267"/>
      <c r="I985" s="1267"/>
      <c r="J985" s="1267"/>
      <c r="K985" s="1267"/>
      <c r="L985" s="1267"/>
      <c r="M985" s="1267"/>
      <c r="N985" s="1267"/>
      <c r="O985" s="1267"/>
      <c r="P985" s="1267"/>
      <c r="Q985" s="1209"/>
      <c r="R985" s="1209"/>
      <c r="S985" s="1209"/>
      <c r="T985" s="1209"/>
      <c r="U985" s="1209"/>
      <c r="V985" s="1209"/>
      <c r="W985" s="1209"/>
      <c r="X985" s="1209"/>
      <c r="Y985" s="1209"/>
      <c r="Z985" s="1209"/>
      <c r="AA985" s="1209"/>
      <c r="AB985" s="1209"/>
    </row>
    <row r="986">
      <c r="A986" s="1209"/>
      <c r="B986" s="1209"/>
      <c r="C986" s="1209"/>
      <c r="D986" s="1267"/>
      <c r="E986" s="1267"/>
      <c r="F986" s="1267"/>
      <c r="G986" s="1267"/>
      <c r="H986" s="1267"/>
      <c r="I986" s="1267"/>
      <c r="J986" s="1267"/>
      <c r="K986" s="1267"/>
      <c r="L986" s="1267"/>
      <c r="M986" s="1267"/>
      <c r="N986" s="1267"/>
      <c r="O986" s="1267"/>
      <c r="P986" s="1267"/>
      <c r="Q986" s="1209"/>
      <c r="R986" s="1209"/>
      <c r="S986" s="1209"/>
      <c r="T986" s="1209"/>
      <c r="U986" s="1209"/>
      <c r="V986" s="1209"/>
      <c r="W986" s="1209"/>
      <c r="X986" s="1209"/>
      <c r="Y986" s="1209"/>
      <c r="Z986" s="1209"/>
      <c r="AA986" s="1209"/>
      <c r="AB986" s="1209"/>
    </row>
    <row r="987">
      <c r="A987" s="1209"/>
      <c r="B987" s="1209"/>
      <c r="C987" s="1209"/>
      <c r="D987" s="1267"/>
      <c r="E987" s="1267"/>
      <c r="F987" s="1267"/>
      <c r="G987" s="1267"/>
      <c r="H987" s="1267"/>
      <c r="I987" s="1267"/>
      <c r="J987" s="1267"/>
      <c r="K987" s="1267"/>
      <c r="L987" s="1267"/>
      <c r="M987" s="1267"/>
      <c r="N987" s="1267"/>
      <c r="O987" s="1267"/>
      <c r="P987" s="1267"/>
      <c r="Q987" s="1209"/>
      <c r="R987" s="1209"/>
      <c r="S987" s="1209"/>
      <c r="T987" s="1209"/>
      <c r="U987" s="1209"/>
      <c r="V987" s="1209"/>
      <c r="W987" s="1209"/>
      <c r="X987" s="1209"/>
      <c r="Y987" s="1209"/>
      <c r="Z987" s="1209"/>
      <c r="AA987" s="1209"/>
      <c r="AB987" s="1209"/>
    </row>
    <row r="988">
      <c r="A988" s="1209"/>
      <c r="B988" s="1209"/>
      <c r="C988" s="1209"/>
      <c r="D988" s="1267"/>
      <c r="E988" s="1267"/>
      <c r="F988" s="1267"/>
      <c r="G988" s="1267"/>
      <c r="H988" s="1267"/>
      <c r="I988" s="1267"/>
      <c r="J988" s="1267"/>
      <c r="K988" s="1267"/>
      <c r="L988" s="1267"/>
      <c r="M988" s="1267"/>
      <c r="N988" s="1267"/>
      <c r="O988" s="1267"/>
      <c r="P988" s="1267"/>
      <c r="Q988" s="1209"/>
      <c r="R988" s="1209"/>
      <c r="S988" s="1209"/>
      <c r="T988" s="1209"/>
      <c r="U988" s="1209"/>
      <c r="V988" s="1209"/>
      <c r="W988" s="1209"/>
      <c r="X988" s="1209"/>
      <c r="Y988" s="1209"/>
      <c r="Z988" s="1209"/>
      <c r="AA988" s="1209"/>
      <c r="AB988" s="1209"/>
    </row>
    <row r="989">
      <c r="A989" s="1209"/>
      <c r="B989" s="1209"/>
      <c r="C989" s="1209"/>
      <c r="D989" s="1267"/>
      <c r="E989" s="1267"/>
      <c r="F989" s="1267"/>
      <c r="G989" s="1267"/>
      <c r="H989" s="1267"/>
      <c r="I989" s="1267"/>
      <c r="J989" s="1267"/>
      <c r="K989" s="1267"/>
      <c r="L989" s="1267"/>
      <c r="M989" s="1267"/>
      <c r="N989" s="1267"/>
      <c r="O989" s="1267"/>
      <c r="P989" s="1267"/>
      <c r="Q989" s="1209"/>
      <c r="R989" s="1209"/>
      <c r="S989" s="1209"/>
      <c r="T989" s="1209"/>
      <c r="U989" s="1209"/>
      <c r="V989" s="1209"/>
      <c r="W989" s="1209"/>
      <c r="X989" s="1209"/>
      <c r="Y989" s="1209"/>
      <c r="Z989" s="1209"/>
      <c r="AA989" s="1209"/>
      <c r="AB989" s="1209"/>
    </row>
    <row r="990">
      <c r="A990" s="1209"/>
      <c r="B990" s="1209"/>
      <c r="C990" s="1209"/>
      <c r="D990" s="1267"/>
      <c r="E990" s="1267"/>
      <c r="F990" s="1267"/>
      <c r="G990" s="1267"/>
      <c r="H990" s="1267"/>
      <c r="I990" s="1267"/>
      <c r="J990" s="1267"/>
      <c r="K990" s="1267"/>
      <c r="L990" s="1267"/>
      <c r="M990" s="1267"/>
      <c r="N990" s="1267"/>
      <c r="O990" s="1267"/>
      <c r="P990" s="1267"/>
      <c r="Q990" s="1209"/>
      <c r="R990" s="1209"/>
      <c r="S990" s="1209"/>
      <c r="T990" s="1209"/>
      <c r="U990" s="1209"/>
      <c r="V990" s="1209"/>
      <c r="W990" s="1209"/>
      <c r="X990" s="1209"/>
      <c r="Y990" s="1209"/>
      <c r="Z990" s="1209"/>
      <c r="AA990" s="1209"/>
      <c r="AB990" s="1209"/>
    </row>
    <row r="991">
      <c r="A991" s="1209"/>
      <c r="B991" s="1209"/>
      <c r="C991" s="1209"/>
      <c r="D991" s="1267"/>
      <c r="E991" s="1267"/>
      <c r="F991" s="1267"/>
      <c r="G991" s="1267"/>
      <c r="H991" s="1267"/>
      <c r="I991" s="1267"/>
      <c r="J991" s="1267"/>
      <c r="K991" s="1267"/>
      <c r="L991" s="1267"/>
      <c r="M991" s="1267"/>
      <c r="N991" s="1267"/>
      <c r="O991" s="1267"/>
      <c r="P991" s="1267"/>
      <c r="Q991" s="1209"/>
      <c r="R991" s="1209"/>
      <c r="S991" s="1209"/>
      <c r="T991" s="1209"/>
      <c r="U991" s="1209"/>
      <c r="V991" s="1209"/>
      <c r="W991" s="1209"/>
      <c r="X991" s="1209"/>
      <c r="Y991" s="1209"/>
      <c r="Z991" s="1209"/>
      <c r="AA991" s="1209"/>
      <c r="AB991" s="1209"/>
    </row>
    <row r="992">
      <c r="A992" s="1209"/>
      <c r="B992" s="1209"/>
      <c r="C992" s="1209"/>
      <c r="D992" s="1267"/>
      <c r="E992" s="1267"/>
      <c r="F992" s="1267"/>
      <c r="G992" s="1267"/>
      <c r="H992" s="1267"/>
      <c r="I992" s="1267"/>
      <c r="J992" s="1267"/>
      <c r="K992" s="1267"/>
      <c r="L992" s="1267"/>
      <c r="M992" s="1267"/>
      <c r="N992" s="1267"/>
      <c r="O992" s="1267"/>
      <c r="P992" s="1267"/>
      <c r="Q992" s="1209"/>
      <c r="R992" s="1209"/>
      <c r="S992" s="1209"/>
      <c r="T992" s="1209"/>
      <c r="U992" s="1209"/>
      <c r="V992" s="1209"/>
      <c r="W992" s="1209"/>
      <c r="X992" s="1209"/>
      <c r="Y992" s="1209"/>
      <c r="Z992" s="1209"/>
      <c r="AA992" s="1209"/>
      <c r="AB992" s="1209"/>
    </row>
    <row r="993">
      <c r="A993" s="1209"/>
      <c r="B993" s="1209"/>
      <c r="C993" s="1209"/>
      <c r="D993" s="1267"/>
      <c r="E993" s="1267"/>
      <c r="F993" s="1267"/>
      <c r="G993" s="1267"/>
      <c r="H993" s="1267"/>
      <c r="I993" s="1267"/>
      <c r="J993" s="1267"/>
      <c r="K993" s="1267"/>
      <c r="L993" s="1267"/>
      <c r="M993" s="1267"/>
      <c r="N993" s="1267"/>
      <c r="O993" s="1267"/>
      <c r="P993" s="1267"/>
      <c r="Q993" s="1209"/>
      <c r="R993" s="1209"/>
      <c r="S993" s="1209"/>
      <c r="T993" s="1209"/>
      <c r="U993" s="1209"/>
      <c r="V993" s="1209"/>
      <c r="W993" s="1209"/>
      <c r="X993" s="1209"/>
      <c r="Y993" s="1209"/>
      <c r="Z993" s="1209"/>
      <c r="AA993" s="1209"/>
      <c r="AB993" s="1209"/>
    </row>
    <row r="994">
      <c r="A994" s="1209"/>
      <c r="B994" s="1209"/>
      <c r="C994" s="1209"/>
      <c r="D994" s="1267"/>
      <c r="E994" s="1267"/>
      <c r="F994" s="1267"/>
      <c r="G994" s="1267"/>
      <c r="H994" s="1267"/>
      <c r="I994" s="1267"/>
      <c r="J994" s="1267"/>
      <c r="K994" s="1267"/>
      <c r="L994" s="1267"/>
      <c r="M994" s="1267"/>
      <c r="N994" s="1267"/>
      <c r="O994" s="1267"/>
      <c r="P994" s="1267"/>
      <c r="Q994" s="1209"/>
      <c r="R994" s="1209"/>
      <c r="S994" s="1209"/>
      <c r="T994" s="1209"/>
      <c r="U994" s="1209"/>
      <c r="V994" s="1209"/>
      <c r="W994" s="1209"/>
      <c r="X994" s="1209"/>
      <c r="Y994" s="1209"/>
      <c r="Z994" s="1209"/>
      <c r="AA994" s="1209"/>
      <c r="AB994" s="1209"/>
    </row>
    <row r="995">
      <c r="A995" s="1209"/>
      <c r="B995" s="1209"/>
      <c r="C995" s="1209"/>
      <c r="D995" s="1267"/>
      <c r="E995" s="1267"/>
      <c r="F995" s="1267"/>
      <c r="G995" s="1267"/>
      <c r="H995" s="1267"/>
      <c r="I995" s="1267"/>
      <c r="J995" s="1267"/>
      <c r="K995" s="1267"/>
      <c r="L995" s="1267"/>
      <c r="M995" s="1267"/>
      <c r="N995" s="1267"/>
      <c r="O995" s="1267"/>
      <c r="P995" s="1267"/>
      <c r="Q995" s="1209"/>
      <c r="R995" s="1209"/>
      <c r="S995" s="1209"/>
      <c r="T995" s="1209"/>
      <c r="U995" s="1209"/>
      <c r="V995" s="1209"/>
      <c r="W995" s="1209"/>
      <c r="X995" s="1209"/>
      <c r="Y995" s="1209"/>
      <c r="Z995" s="1209"/>
      <c r="AA995" s="1209"/>
      <c r="AB995" s="1209"/>
    </row>
    <row r="996">
      <c r="A996" s="1209"/>
      <c r="B996" s="1209"/>
      <c r="C996" s="1209"/>
      <c r="D996" s="1267"/>
      <c r="E996" s="1267"/>
      <c r="F996" s="1267"/>
      <c r="G996" s="1267"/>
      <c r="H996" s="1267"/>
      <c r="I996" s="1267"/>
      <c r="J996" s="1267"/>
      <c r="K996" s="1267"/>
      <c r="L996" s="1267"/>
      <c r="M996" s="1267"/>
      <c r="N996" s="1267"/>
      <c r="O996" s="1267"/>
      <c r="P996" s="1267"/>
      <c r="Q996" s="1209"/>
      <c r="R996" s="1209"/>
      <c r="S996" s="1209"/>
      <c r="T996" s="1209"/>
      <c r="U996" s="1209"/>
      <c r="V996" s="1209"/>
      <c r="W996" s="1209"/>
      <c r="X996" s="1209"/>
      <c r="Y996" s="1209"/>
      <c r="Z996" s="1209"/>
      <c r="AA996" s="1209"/>
      <c r="AB996" s="1209"/>
    </row>
    <row r="997">
      <c r="A997" s="1209"/>
      <c r="B997" s="1209"/>
      <c r="C997" s="1209"/>
      <c r="D997" s="1267"/>
      <c r="E997" s="1267"/>
      <c r="F997" s="1267"/>
      <c r="G997" s="1267"/>
      <c r="H997" s="1267"/>
      <c r="I997" s="1267"/>
      <c r="J997" s="1267"/>
      <c r="K997" s="1267"/>
      <c r="L997" s="1267"/>
      <c r="M997" s="1267"/>
      <c r="N997" s="1267"/>
      <c r="O997" s="1267"/>
      <c r="P997" s="1267"/>
      <c r="Q997" s="1209"/>
      <c r="R997" s="1209"/>
      <c r="S997" s="1209"/>
      <c r="T997" s="1209"/>
      <c r="U997" s="1209"/>
      <c r="V997" s="1209"/>
      <c r="W997" s="1209"/>
      <c r="X997" s="1209"/>
      <c r="Y997" s="1209"/>
      <c r="Z997" s="1209"/>
      <c r="AA997" s="1209"/>
      <c r="AB997" s="1209"/>
    </row>
    <row r="998">
      <c r="A998" s="1209"/>
      <c r="B998" s="1209"/>
      <c r="C998" s="1209"/>
      <c r="D998" s="1267"/>
      <c r="E998" s="1267"/>
      <c r="F998" s="1267"/>
      <c r="G998" s="1267"/>
      <c r="H998" s="1267"/>
      <c r="I998" s="1267"/>
      <c r="J998" s="1267"/>
      <c r="K998" s="1267"/>
      <c r="L998" s="1267"/>
      <c r="M998" s="1267"/>
      <c r="N998" s="1267"/>
      <c r="O998" s="1267"/>
      <c r="P998" s="1267"/>
      <c r="Q998" s="1209"/>
      <c r="R998" s="1209"/>
      <c r="S998" s="1209"/>
      <c r="T998" s="1209"/>
      <c r="U998" s="1209"/>
      <c r="V998" s="1209"/>
      <c r="W998" s="1209"/>
      <c r="X998" s="1209"/>
      <c r="Y998" s="1209"/>
      <c r="Z998" s="1209"/>
      <c r="AA998" s="1209"/>
      <c r="AB998" s="1209"/>
    </row>
    <row r="999">
      <c r="A999" s="1209"/>
      <c r="B999" s="1209"/>
      <c r="C999" s="1209"/>
      <c r="D999" s="1267"/>
      <c r="E999" s="1267"/>
      <c r="F999" s="1267"/>
      <c r="G999" s="1267"/>
      <c r="H999" s="1267"/>
      <c r="I999" s="1267"/>
      <c r="J999" s="1267"/>
      <c r="K999" s="1267"/>
      <c r="L999" s="1267"/>
      <c r="M999" s="1267"/>
      <c r="N999" s="1267"/>
      <c r="O999" s="1267"/>
      <c r="P999" s="1267"/>
      <c r="Q999" s="1209"/>
      <c r="R999" s="1209"/>
      <c r="S999" s="1209"/>
      <c r="T999" s="1209"/>
      <c r="U999" s="1209"/>
      <c r="V999" s="1209"/>
      <c r="W999" s="1209"/>
      <c r="X999" s="1209"/>
      <c r="Y999" s="1209"/>
      <c r="Z999" s="1209"/>
      <c r="AA999" s="1209"/>
      <c r="AB999" s="1209"/>
    </row>
    <row r="1000">
      <c r="A1000" s="1209"/>
      <c r="B1000" s="1209"/>
      <c r="C1000" s="1209"/>
      <c r="D1000" s="1267"/>
      <c r="E1000" s="1267"/>
      <c r="F1000" s="1267"/>
      <c r="G1000" s="1267"/>
      <c r="H1000" s="1267"/>
      <c r="I1000" s="1267"/>
      <c r="J1000" s="1267"/>
      <c r="K1000" s="1267"/>
      <c r="L1000" s="1267"/>
      <c r="M1000" s="1267"/>
      <c r="N1000" s="1267"/>
      <c r="O1000" s="1267"/>
      <c r="P1000" s="1267"/>
      <c r="Q1000" s="1209"/>
      <c r="R1000" s="1209"/>
      <c r="S1000" s="1209"/>
      <c r="T1000" s="1209"/>
      <c r="U1000" s="1209"/>
      <c r="V1000" s="1209"/>
      <c r="W1000" s="1209"/>
      <c r="X1000" s="1209"/>
      <c r="Y1000" s="1209"/>
      <c r="Z1000" s="1209"/>
      <c r="AA1000" s="1209"/>
      <c r="AB1000" s="1209"/>
    </row>
    <row r="1001">
      <c r="A1001" s="1209"/>
      <c r="B1001" s="1209"/>
      <c r="C1001" s="1209"/>
      <c r="D1001" s="1267"/>
      <c r="E1001" s="1267"/>
      <c r="F1001" s="1267"/>
      <c r="G1001" s="1267"/>
      <c r="H1001" s="1267"/>
      <c r="I1001" s="1267"/>
      <c r="J1001" s="1267"/>
      <c r="K1001" s="1267"/>
      <c r="L1001" s="1267"/>
      <c r="M1001" s="1267"/>
      <c r="N1001" s="1267"/>
      <c r="O1001" s="1267"/>
      <c r="P1001" s="1267"/>
      <c r="Q1001" s="1209"/>
      <c r="R1001" s="1209"/>
      <c r="S1001" s="1209"/>
      <c r="T1001" s="1209"/>
      <c r="U1001" s="1209"/>
      <c r="V1001" s="1209"/>
      <c r="W1001" s="1209"/>
      <c r="X1001" s="1209"/>
      <c r="Y1001" s="1209"/>
      <c r="Z1001" s="1209"/>
      <c r="AA1001" s="1209"/>
      <c r="AB1001" s="1209"/>
    </row>
    <row r="1002">
      <c r="A1002" s="1209"/>
      <c r="B1002" s="1209"/>
      <c r="C1002" s="1209"/>
      <c r="D1002" s="1267"/>
      <c r="E1002" s="1267"/>
      <c r="F1002" s="1267"/>
      <c r="G1002" s="1267"/>
      <c r="H1002" s="1267"/>
      <c r="I1002" s="1267"/>
      <c r="J1002" s="1267"/>
      <c r="K1002" s="1267"/>
      <c r="L1002" s="1267"/>
      <c r="M1002" s="1267"/>
      <c r="N1002" s="1267"/>
      <c r="O1002" s="1267"/>
      <c r="P1002" s="1267"/>
      <c r="Q1002" s="1209"/>
      <c r="R1002" s="1209"/>
      <c r="S1002" s="1209"/>
      <c r="T1002" s="1209"/>
      <c r="U1002" s="1209"/>
      <c r="V1002" s="1209"/>
      <c r="W1002" s="1209"/>
      <c r="X1002" s="1209"/>
      <c r="Y1002" s="1209"/>
      <c r="Z1002" s="1209"/>
      <c r="AA1002" s="1209"/>
      <c r="AB1002" s="1209"/>
    </row>
    <row r="1003">
      <c r="A1003" s="1209"/>
      <c r="B1003" s="1209"/>
      <c r="C1003" s="1209"/>
      <c r="D1003" s="1267"/>
      <c r="E1003" s="1267"/>
      <c r="F1003" s="1267"/>
      <c r="G1003" s="1267"/>
      <c r="H1003" s="1267"/>
      <c r="I1003" s="1267"/>
      <c r="J1003" s="1267"/>
      <c r="K1003" s="1267"/>
      <c r="L1003" s="1267"/>
      <c r="M1003" s="1267"/>
      <c r="N1003" s="1267"/>
      <c r="O1003" s="1267"/>
      <c r="P1003" s="1267"/>
      <c r="Q1003" s="1209"/>
      <c r="R1003" s="1209"/>
      <c r="S1003" s="1209"/>
      <c r="T1003" s="1209"/>
      <c r="U1003" s="1209"/>
      <c r="V1003" s="1209"/>
      <c r="W1003" s="1209"/>
      <c r="X1003" s="1209"/>
      <c r="Y1003" s="1209"/>
      <c r="Z1003" s="1209"/>
      <c r="AA1003" s="1209"/>
      <c r="AB1003" s="1209"/>
    </row>
    <row r="1004">
      <c r="A1004" s="1209"/>
      <c r="B1004" s="1209"/>
      <c r="C1004" s="1209"/>
      <c r="D1004" s="1267"/>
      <c r="E1004" s="1267"/>
      <c r="F1004" s="1267"/>
      <c r="G1004" s="1267"/>
      <c r="H1004" s="1267"/>
      <c r="I1004" s="1267"/>
      <c r="J1004" s="1267"/>
      <c r="K1004" s="1267"/>
      <c r="L1004" s="1267"/>
      <c r="M1004" s="1267"/>
      <c r="N1004" s="1267"/>
      <c r="O1004" s="1267"/>
      <c r="P1004" s="1267"/>
      <c r="Q1004" s="1209"/>
      <c r="R1004" s="1209"/>
      <c r="S1004" s="1209"/>
      <c r="T1004" s="1209"/>
      <c r="U1004" s="1209"/>
      <c r="V1004" s="1209"/>
      <c r="W1004" s="1209"/>
      <c r="X1004" s="1209"/>
      <c r="Y1004" s="1209"/>
      <c r="Z1004" s="1209"/>
      <c r="AA1004" s="1209"/>
      <c r="AB1004" s="1209"/>
    </row>
    <row r="1005">
      <c r="A1005" s="1209"/>
      <c r="B1005" s="1209"/>
      <c r="C1005" s="1209"/>
      <c r="D1005" s="1267"/>
      <c r="E1005" s="1267"/>
      <c r="F1005" s="1267"/>
      <c r="G1005" s="1267"/>
      <c r="H1005" s="1267"/>
      <c r="I1005" s="1267"/>
      <c r="J1005" s="1267"/>
      <c r="K1005" s="1267"/>
      <c r="L1005" s="1267"/>
      <c r="M1005" s="1267"/>
      <c r="N1005" s="1267"/>
      <c r="O1005" s="1267"/>
      <c r="P1005" s="1267"/>
      <c r="Q1005" s="1209"/>
      <c r="R1005" s="1209"/>
      <c r="S1005" s="1209"/>
      <c r="T1005" s="1209"/>
      <c r="U1005" s="1209"/>
      <c r="V1005" s="1209"/>
      <c r="W1005" s="1209"/>
      <c r="X1005" s="1209"/>
      <c r="Y1005" s="1209"/>
      <c r="Z1005" s="1209"/>
      <c r="AA1005" s="1209"/>
      <c r="AB1005" s="1209"/>
    </row>
    <row r="1006">
      <c r="A1006" s="1209"/>
      <c r="B1006" s="1209"/>
      <c r="C1006" s="1209"/>
      <c r="D1006" s="1267"/>
      <c r="E1006" s="1267"/>
      <c r="F1006" s="1267"/>
      <c r="G1006" s="1267"/>
      <c r="H1006" s="1267"/>
      <c r="I1006" s="1267"/>
      <c r="J1006" s="1267"/>
      <c r="K1006" s="1267"/>
      <c r="L1006" s="1267"/>
      <c r="M1006" s="1267"/>
      <c r="N1006" s="1267"/>
      <c r="O1006" s="1267"/>
      <c r="P1006" s="1267"/>
      <c r="Q1006" s="1209"/>
      <c r="R1006" s="1209"/>
      <c r="S1006" s="1209"/>
      <c r="T1006" s="1209"/>
      <c r="U1006" s="1209"/>
      <c r="V1006" s="1209"/>
      <c r="W1006" s="1209"/>
      <c r="X1006" s="1209"/>
      <c r="Y1006" s="1209"/>
      <c r="Z1006" s="1209"/>
      <c r="AA1006" s="1209"/>
      <c r="AB1006" s="1209"/>
    </row>
    <row r="1007">
      <c r="A1007" s="1209"/>
      <c r="B1007" s="1209"/>
      <c r="C1007" s="1209"/>
      <c r="D1007" s="1267"/>
      <c r="E1007" s="1267"/>
      <c r="F1007" s="1267"/>
      <c r="G1007" s="1267"/>
      <c r="H1007" s="1267"/>
      <c r="I1007" s="1267"/>
      <c r="J1007" s="1267"/>
      <c r="K1007" s="1267"/>
      <c r="L1007" s="1267"/>
      <c r="M1007" s="1267"/>
      <c r="N1007" s="1267"/>
      <c r="O1007" s="1267"/>
      <c r="P1007" s="1267"/>
      <c r="Q1007" s="1209"/>
      <c r="R1007" s="1209"/>
      <c r="S1007" s="1209"/>
      <c r="T1007" s="1209"/>
      <c r="U1007" s="1209"/>
      <c r="V1007" s="1209"/>
      <c r="W1007" s="1209"/>
      <c r="X1007" s="1209"/>
      <c r="Y1007" s="1209"/>
      <c r="Z1007" s="1209"/>
      <c r="AA1007" s="1209"/>
      <c r="AB1007" s="1209"/>
    </row>
    <row r="1008">
      <c r="A1008" s="1209"/>
      <c r="B1008" s="1209"/>
      <c r="C1008" s="1209"/>
      <c r="D1008" s="1267"/>
      <c r="E1008" s="1267"/>
      <c r="F1008" s="1267"/>
      <c r="G1008" s="1267"/>
      <c r="H1008" s="1267"/>
      <c r="I1008" s="1267"/>
      <c r="J1008" s="1267"/>
      <c r="K1008" s="1267"/>
      <c r="L1008" s="1267"/>
      <c r="M1008" s="1267"/>
      <c r="N1008" s="1267"/>
      <c r="O1008" s="1267"/>
      <c r="P1008" s="1267"/>
      <c r="Q1008" s="1209"/>
      <c r="R1008" s="1209"/>
      <c r="S1008" s="1209"/>
      <c r="T1008" s="1209"/>
      <c r="U1008" s="1209"/>
      <c r="V1008" s="1209"/>
      <c r="W1008" s="1209"/>
      <c r="X1008" s="1209"/>
      <c r="Y1008" s="1209"/>
      <c r="Z1008" s="1209"/>
      <c r="AA1008" s="1209"/>
      <c r="AB1008" s="1209"/>
    </row>
    <row r="1009">
      <c r="A1009" s="1209"/>
      <c r="B1009" s="1209"/>
      <c r="C1009" s="1209"/>
      <c r="D1009" s="1267"/>
      <c r="E1009" s="1267"/>
      <c r="F1009" s="1267"/>
      <c r="G1009" s="1267"/>
      <c r="H1009" s="1267"/>
      <c r="I1009" s="1267"/>
      <c r="J1009" s="1267"/>
      <c r="K1009" s="1267"/>
      <c r="L1009" s="1267"/>
      <c r="M1009" s="1267"/>
      <c r="N1009" s="1267"/>
      <c r="O1009" s="1267"/>
      <c r="P1009" s="1267"/>
      <c r="Q1009" s="1209"/>
      <c r="R1009" s="1209"/>
      <c r="S1009" s="1209"/>
      <c r="T1009" s="1209"/>
      <c r="U1009" s="1209"/>
      <c r="V1009" s="1209"/>
      <c r="W1009" s="1209"/>
      <c r="X1009" s="1209"/>
      <c r="Y1009" s="1209"/>
      <c r="Z1009" s="1209"/>
      <c r="AA1009" s="1209"/>
      <c r="AB1009" s="1209"/>
    </row>
    <row r="1010">
      <c r="A1010" s="1209"/>
      <c r="B1010" s="1209"/>
      <c r="C1010" s="1209"/>
      <c r="D1010" s="1267"/>
      <c r="E1010" s="1267"/>
      <c r="F1010" s="1267"/>
      <c r="G1010" s="1267"/>
      <c r="H1010" s="1267"/>
      <c r="I1010" s="1267"/>
      <c r="J1010" s="1267"/>
      <c r="K1010" s="1267"/>
      <c r="L1010" s="1267"/>
      <c r="M1010" s="1267"/>
      <c r="N1010" s="1267"/>
      <c r="O1010" s="1267"/>
      <c r="P1010" s="1267"/>
      <c r="Q1010" s="1209"/>
      <c r="R1010" s="1209"/>
      <c r="S1010" s="1209"/>
      <c r="T1010" s="1209"/>
      <c r="U1010" s="1209"/>
      <c r="V1010" s="1209"/>
      <c r="W1010" s="1209"/>
      <c r="X1010" s="1209"/>
      <c r="Y1010" s="1209"/>
      <c r="Z1010" s="1209"/>
      <c r="AA1010" s="1209"/>
      <c r="AB1010" s="1209"/>
    </row>
    <row r="1011">
      <c r="A1011" s="1209"/>
      <c r="B1011" s="1209"/>
      <c r="C1011" s="1209"/>
      <c r="D1011" s="1267"/>
      <c r="E1011" s="1267"/>
      <c r="F1011" s="1267"/>
      <c r="G1011" s="1267"/>
      <c r="H1011" s="1267"/>
      <c r="I1011" s="1267"/>
      <c r="J1011" s="1267"/>
      <c r="K1011" s="1267"/>
      <c r="L1011" s="1267"/>
      <c r="M1011" s="1267"/>
      <c r="N1011" s="1267"/>
      <c r="O1011" s="1267"/>
      <c r="P1011" s="1267"/>
      <c r="Q1011" s="1209"/>
      <c r="R1011" s="1209"/>
      <c r="S1011" s="1209"/>
      <c r="T1011" s="1209"/>
      <c r="U1011" s="1209"/>
      <c r="V1011" s="1209"/>
      <c r="W1011" s="1209"/>
      <c r="X1011" s="1209"/>
      <c r="Y1011" s="1209"/>
      <c r="Z1011" s="1209"/>
      <c r="AA1011" s="1209"/>
      <c r="AB1011" s="1209"/>
    </row>
    <row r="1012">
      <c r="A1012" s="1209"/>
      <c r="B1012" s="1209"/>
      <c r="C1012" s="1209"/>
      <c r="D1012" s="1267"/>
      <c r="E1012" s="1267"/>
      <c r="F1012" s="1267"/>
      <c r="G1012" s="1267"/>
      <c r="H1012" s="1267"/>
      <c r="I1012" s="1267"/>
      <c r="J1012" s="1267"/>
      <c r="K1012" s="1267"/>
      <c r="L1012" s="1267"/>
      <c r="M1012" s="1267"/>
      <c r="N1012" s="1267"/>
      <c r="O1012" s="1267"/>
      <c r="P1012" s="1267"/>
      <c r="Q1012" s="1209"/>
      <c r="R1012" s="1209"/>
      <c r="S1012" s="1209"/>
      <c r="T1012" s="1209"/>
      <c r="U1012" s="1209"/>
      <c r="V1012" s="1209"/>
      <c r="W1012" s="1209"/>
      <c r="X1012" s="1209"/>
      <c r="Y1012" s="1209"/>
      <c r="Z1012" s="1209"/>
      <c r="AA1012" s="1209"/>
      <c r="AB1012" s="1209"/>
    </row>
    <row r="1013">
      <c r="A1013" s="1209"/>
      <c r="B1013" s="1209"/>
      <c r="C1013" s="1209"/>
      <c r="D1013" s="1267"/>
      <c r="E1013" s="1267"/>
      <c r="F1013" s="1267"/>
      <c r="G1013" s="1267"/>
      <c r="H1013" s="1267"/>
      <c r="I1013" s="1267"/>
      <c r="J1013" s="1267"/>
      <c r="K1013" s="1267"/>
      <c r="L1013" s="1267"/>
      <c r="M1013" s="1267"/>
      <c r="N1013" s="1267"/>
      <c r="O1013" s="1267"/>
      <c r="P1013" s="1267"/>
      <c r="Q1013" s="1209"/>
      <c r="R1013" s="1209"/>
      <c r="S1013" s="1209"/>
      <c r="T1013" s="1209"/>
      <c r="U1013" s="1209"/>
      <c r="V1013" s="1209"/>
      <c r="W1013" s="1209"/>
      <c r="X1013" s="1209"/>
      <c r="Y1013" s="1209"/>
      <c r="Z1013" s="1209"/>
      <c r="AA1013" s="1209"/>
      <c r="AB1013" s="1209"/>
    </row>
    <row r="1014">
      <c r="A1014" s="1209"/>
      <c r="B1014" s="1209"/>
      <c r="C1014" s="1209"/>
      <c r="D1014" s="1267"/>
      <c r="E1014" s="1267"/>
      <c r="F1014" s="1267"/>
      <c r="G1014" s="1267"/>
      <c r="H1014" s="1267"/>
      <c r="I1014" s="1267"/>
      <c r="J1014" s="1267"/>
      <c r="K1014" s="1267"/>
      <c r="L1014" s="1267"/>
      <c r="M1014" s="1267"/>
      <c r="N1014" s="1267"/>
      <c r="O1014" s="1267"/>
      <c r="P1014" s="1267"/>
      <c r="Q1014" s="1209"/>
      <c r="R1014" s="1209"/>
      <c r="S1014" s="1209"/>
      <c r="T1014" s="1209"/>
      <c r="U1014" s="1209"/>
      <c r="V1014" s="1209"/>
      <c r="W1014" s="1209"/>
      <c r="X1014" s="1209"/>
      <c r="Y1014" s="1209"/>
      <c r="Z1014" s="1209"/>
      <c r="AA1014" s="1209"/>
      <c r="AB1014" s="1209"/>
    </row>
    <row r="1015">
      <c r="A1015" s="1209"/>
      <c r="B1015" s="1209"/>
      <c r="C1015" s="1209"/>
      <c r="D1015" s="1267"/>
      <c r="E1015" s="1267"/>
      <c r="F1015" s="1267"/>
      <c r="G1015" s="1267"/>
      <c r="H1015" s="1267"/>
      <c r="I1015" s="1267"/>
      <c r="J1015" s="1267"/>
      <c r="K1015" s="1267"/>
      <c r="L1015" s="1267"/>
      <c r="M1015" s="1267"/>
      <c r="N1015" s="1267"/>
      <c r="O1015" s="1267"/>
      <c r="P1015" s="1267"/>
      <c r="Q1015" s="1209"/>
      <c r="R1015" s="1209"/>
      <c r="S1015" s="1209"/>
      <c r="T1015" s="1209"/>
      <c r="U1015" s="1209"/>
      <c r="V1015" s="1209"/>
      <c r="W1015" s="1209"/>
      <c r="X1015" s="1209"/>
      <c r="Y1015" s="1209"/>
      <c r="Z1015" s="1209"/>
      <c r="AA1015" s="1209"/>
      <c r="AB1015" s="1209"/>
    </row>
    <row r="1016">
      <c r="A1016" s="1209"/>
      <c r="B1016" s="1209"/>
      <c r="C1016" s="1209"/>
      <c r="D1016" s="1267"/>
      <c r="E1016" s="1267"/>
      <c r="F1016" s="1267"/>
      <c r="G1016" s="1267"/>
      <c r="H1016" s="1267"/>
      <c r="I1016" s="1267"/>
      <c r="J1016" s="1267"/>
      <c r="K1016" s="1267"/>
      <c r="L1016" s="1267"/>
      <c r="M1016" s="1267"/>
      <c r="N1016" s="1267"/>
      <c r="O1016" s="1267"/>
      <c r="P1016" s="1267"/>
      <c r="Q1016" s="1209"/>
      <c r="R1016" s="1209"/>
      <c r="S1016" s="1209"/>
      <c r="T1016" s="1209"/>
      <c r="U1016" s="1209"/>
      <c r="V1016" s="1209"/>
      <c r="W1016" s="1209"/>
      <c r="X1016" s="1209"/>
      <c r="Y1016" s="1209"/>
      <c r="Z1016" s="1209"/>
      <c r="AA1016" s="1209"/>
      <c r="AB1016" s="1209"/>
    </row>
    <row r="1017">
      <c r="A1017" s="1209"/>
      <c r="B1017" s="1209"/>
      <c r="C1017" s="1209"/>
      <c r="D1017" s="1267"/>
      <c r="E1017" s="1267"/>
      <c r="F1017" s="1267"/>
      <c r="G1017" s="1267"/>
      <c r="H1017" s="1267"/>
      <c r="I1017" s="1267"/>
      <c r="J1017" s="1267"/>
      <c r="K1017" s="1267"/>
      <c r="L1017" s="1267"/>
      <c r="M1017" s="1267"/>
      <c r="N1017" s="1267"/>
      <c r="O1017" s="1267"/>
      <c r="P1017" s="1267"/>
      <c r="Q1017" s="1209"/>
      <c r="R1017" s="1209"/>
      <c r="S1017" s="1209"/>
      <c r="T1017" s="1209"/>
      <c r="U1017" s="1209"/>
      <c r="V1017" s="1209"/>
      <c r="W1017" s="1209"/>
      <c r="X1017" s="1209"/>
      <c r="Y1017" s="1209"/>
      <c r="Z1017" s="1209"/>
      <c r="AA1017" s="1209"/>
      <c r="AB1017" s="1209"/>
    </row>
    <row r="1018">
      <c r="A1018" s="1209"/>
      <c r="B1018" s="1209"/>
      <c r="C1018" s="1209"/>
      <c r="D1018" s="1267"/>
      <c r="E1018" s="1267"/>
      <c r="F1018" s="1267"/>
      <c r="G1018" s="1267"/>
      <c r="H1018" s="1267"/>
      <c r="I1018" s="1267"/>
      <c r="J1018" s="1267"/>
      <c r="K1018" s="1267"/>
      <c r="L1018" s="1267"/>
      <c r="M1018" s="1267"/>
      <c r="N1018" s="1267"/>
      <c r="O1018" s="1267"/>
      <c r="P1018" s="1267"/>
      <c r="Q1018" s="1209"/>
      <c r="R1018" s="1209"/>
      <c r="S1018" s="1209"/>
      <c r="T1018" s="1209"/>
      <c r="U1018" s="1209"/>
      <c r="V1018" s="1209"/>
      <c r="W1018" s="1209"/>
      <c r="X1018" s="1209"/>
      <c r="Y1018" s="1209"/>
      <c r="Z1018" s="1209"/>
      <c r="AA1018" s="1209"/>
      <c r="AB1018" s="1209"/>
    </row>
    <row r="1019">
      <c r="A1019" s="1209"/>
      <c r="B1019" s="1209"/>
      <c r="C1019" s="1209"/>
      <c r="D1019" s="1267"/>
      <c r="E1019" s="1267"/>
      <c r="F1019" s="1267"/>
      <c r="G1019" s="1267"/>
      <c r="H1019" s="1267"/>
      <c r="I1019" s="1267"/>
      <c r="J1019" s="1267"/>
      <c r="K1019" s="1267"/>
      <c r="L1019" s="1267"/>
      <c r="M1019" s="1267"/>
      <c r="N1019" s="1267"/>
      <c r="O1019" s="1267"/>
      <c r="P1019" s="1267"/>
      <c r="Q1019" s="1209"/>
      <c r="R1019" s="1209"/>
      <c r="S1019" s="1209"/>
      <c r="T1019" s="1209"/>
      <c r="U1019" s="1209"/>
      <c r="V1019" s="1209"/>
      <c r="W1019" s="1209"/>
      <c r="X1019" s="1209"/>
      <c r="Y1019" s="1209"/>
      <c r="Z1019" s="1209"/>
      <c r="AA1019" s="1209"/>
      <c r="AB1019" s="1209"/>
    </row>
    <row r="1020">
      <c r="A1020" s="1209"/>
      <c r="B1020" s="1209"/>
      <c r="C1020" s="1209"/>
      <c r="D1020" s="1267"/>
      <c r="E1020" s="1267"/>
      <c r="F1020" s="1267"/>
      <c r="G1020" s="1267"/>
      <c r="H1020" s="1267"/>
      <c r="I1020" s="1267"/>
      <c r="J1020" s="1267"/>
      <c r="K1020" s="1267"/>
      <c r="L1020" s="1267"/>
      <c r="M1020" s="1267"/>
      <c r="N1020" s="1267"/>
      <c r="O1020" s="1267"/>
      <c r="P1020" s="1267"/>
      <c r="Q1020" s="1209"/>
      <c r="R1020" s="1209"/>
      <c r="S1020" s="1209"/>
      <c r="T1020" s="1209"/>
      <c r="U1020" s="1209"/>
      <c r="V1020" s="1209"/>
      <c r="W1020" s="1209"/>
      <c r="X1020" s="1209"/>
      <c r="Y1020" s="1209"/>
      <c r="Z1020" s="1209"/>
      <c r="AA1020" s="1209"/>
      <c r="AB1020" s="1209"/>
    </row>
    <row r="1021">
      <c r="A1021" s="1209"/>
      <c r="B1021" s="1209"/>
      <c r="C1021" s="1209"/>
      <c r="D1021" s="1267"/>
      <c r="E1021" s="1267"/>
      <c r="F1021" s="1267"/>
      <c r="G1021" s="1267"/>
      <c r="H1021" s="1267"/>
      <c r="I1021" s="1267"/>
      <c r="J1021" s="1267"/>
      <c r="K1021" s="1267"/>
      <c r="L1021" s="1267"/>
      <c r="M1021" s="1267"/>
      <c r="N1021" s="1267"/>
      <c r="O1021" s="1267"/>
      <c r="P1021" s="1267"/>
      <c r="Q1021" s="1209"/>
      <c r="R1021" s="1209"/>
      <c r="S1021" s="1209"/>
      <c r="T1021" s="1209"/>
      <c r="U1021" s="1209"/>
      <c r="V1021" s="1209"/>
      <c r="W1021" s="1209"/>
      <c r="X1021" s="1209"/>
      <c r="Y1021" s="1209"/>
      <c r="Z1021" s="1209"/>
      <c r="AA1021" s="1209"/>
      <c r="AB1021" s="1209"/>
    </row>
    <row r="1022">
      <c r="A1022" s="1209"/>
      <c r="B1022" s="1209"/>
      <c r="C1022" s="1209"/>
      <c r="D1022" s="1267"/>
      <c r="E1022" s="1267"/>
      <c r="F1022" s="1267"/>
      <c r="G1022" s="1267"/>
      <c r="H1022" s="1267"/>
      <c r="I1022" s="1267"/>
      <c r="J1022" s="1267"/>
      <c r="K1022" s="1267"/>
      <c r="L1022" s="1267"/>
      <c r="M1022" s="1267"/>
      <c r="N1022" s="1267"/>
      <c r="O1022" s="1267"/>
      <c r="P1022" s="1267"/>
      <c r="Q1022" s="1209"/>
      <c r="R1022" s="1209"/>
      <c r="S1022" s="1209"/>
      <c r="T1022" s="1209"/>
      <c r="U1022" s="1209"/>
      <c r="V1022" s="1209"/>
      <c r="W1022" s="1209"/>
      <c r="X1022" s="1209"/>
      <c r="Y1022" s="1209"/>
      <c r="Z1022" s="1209"/>
      <c r="AA1022" s="1209"/>
      <c r="AB1022" s="1209"/>
    </row>
    <row r="1023">
      <c r="A1023" s="1209"/>
      <c r="B1023" s="1209"/>
      <c r="C1023" s="1209"/>
      <c r="D1023" s="1267"/>
      <c r="E1023" s="1267"/>
      <c r="F1023" s="1267"/>
      <c r="G1023" s="1267"/>
      <c r="H1023" s="1267"/>
      <c r="I1023" s="1267"/>
      <c r="J1023" s="1267"/>
      <c r="K1023" s="1267"/>
      <c r="L1023" s="1267"/>
      <c r="M1023" s="1267"/>
      <c r="N1023" s="1267"/>
      <c r="O1023" s="1267"/>
      <c r="P1023" s="1267"/>
      <c r="Q1023" s="1209"/>
      <c r="R1023" s="1209"/>
      <c r="S1023" s="1209"/>
      <c r="T1023" s="1209"/>
      <c r="U1023" s="1209"/>
      <c r="V1023" s="1209"/>
      <c r="W1023" s="1209"/>
      <c r="X1023" s="1209"/>
      <c r="Y1023" s="1209"/>
      <c r="Z1023" s="1209"/>
      <c r="AA1023" s="1209"/>
      <c r="AB1023" s="1209"/>
    </row>
    <row r="1024">
      <c r="A1024" s="1209"/>
      <c r="B1024" s="1209"/>
      <c r="C1024" s="1209"/>
      <c r="D1024" s="1267"/>
      <c r="E1024" s="1267"/>
      <c r="F1024" s="1267"/>
      <c r="G1024" s="1267"/>
      <c r="H1024" s="1267"/>
      <c r="I1024" s="1267"/>
      <c r="J1024" s="1267"/>
      <c r="K1024" s="1267"/>
      <c r="L1024" s="1267"/>
      <c r="M1024" s="1267"/>
      <c r="N1024" s="1267"/>
      <c r="O1024" s="1267"/>
      <c r="P1024" s="1267"/>
      <c r="Q1024" s="1209"/>
      <c r="R1024" s="1209"/>
      <c r="S1024" s="1209"/>
      <c r="T1024" s="1209"/>
      <c r="U1024" s="1209"/>
      <c r="V1024" s="1209"/>
      <c r="W1024" s="1209"/>
      <c r="X1024" s="1209"/>
      <c r="Y1024" s="1209"/>
      <c r="Z1024" s="1209"/>
      <c r="AA1024" s="1209"/>
      <c r="AB1024" s="1209"/>
    </row>
    <row r="1025">
      <c r="A1025" s="1209"/>
      <c r="B1025" s="1209"/>
      <c r="C1025" s="1209"/>
      <c r="D1025" s="1267"/>
      <c r="E1025" s="1267"/>
      <c r="F1025" s="1267"/>
      <c r="G1025" s="1267"/>
      <c r="H1025" s="1267"/>
      <c r="I1025" s="1267"/>
      <c r="J1025" s="1267"/>
      <c r="K1025" s="1267"/>
      <c r="L1025" s="1267"/>
      <c r="M1025" s="1267"/>
      <c r="N1025" s="1267"/>
      <c r="O1025" s="1267"/>
      <c r="P1025" s="1267"/>
      <c r="Q1025" s="1209"/>
      <c r="R1025" s="1209"/>
      <c r="S1025" s="1209"/>
      <c r="T1025" s="1209"/>
      <c r="U1025" s="1209"/>
      <c r="V1025" s="1209"/>
      <c r="W1025" s="1209"/>
      <c r="X1025" s="1209"/>
      <c r="Y1025" s="1209"/>
      <c r="Z1025" s="1209"/>
      <c r="AA1025" s="1209"/>
      <c r="AB1025" s="1209"/>
    </row>
    <row r="1026">
      <c r="A1026" s="1209"/>
      <c r="B1026" s="1209"/>
      <c r="C1026" s="1209"/>
      <c r="D1026" s="1267"/>
      <c r="E1026" s="1267"/>
      <c r="F1026" s="1267"/>
      <c r="G1026" s="1267"/>
      <c r="H1026" s="1267"/>
      <c r="I1026" s="1267"/>
      <c r="J1026" s="1267"/>
      <c r="K1026" s="1267"/>
      <c r="L1026" s="1267"/>
      <c r="M1026" s="1267"/>
      <c r="N1026" s="1267"/>
      <c r="O1026" s="1267"/>
      <c r="P1026" s="1267"/>
      <c r="Q1026" s="1209"/>
      <c r="R1026" s="1209"/>
      <c r="S1026" s="1209"/>
      <c r="T1026" s="1209"/>
      <c r="U1026" s="1209"/>
      <c r="V1026" s="1209"/>
      <c r="W1026" s="1209"/>
      <c r="X1026" s="1209"/>
      <c r="Y1026" s="1209"/>
      <c r="Z1026" s="1209"/>
      <c r="AA1026" s="1209"/>
      <c r="AB1026" s="1209"/>
    </row>
    <row r="1027">
      <c r="A1027" s="1209"/>
      <c r="B1027" s="1209"/>
      <c r="C1027" s="1209"/>
      <c r="D1027" s="1267"/>
      <c r="E1027" s="1267"/>
      <c r="F1027" s="1267"/>
      <c r="G1027" s="1267"/>
      <c r="H1027" s="1267"/>
      <c r="I1027" s="1267"/>
      <c r="J1027" s="1267"/>
      <c r="K1027" s="1267"/>
      <c r="L1027" s="1267"/>
      <c r="M1027" s="1267"/>
      <c r="N1027" s="1267"/>
      <c r="O1027" s="1267"/>
      <c r="P1027" s="1267"/>
      <c r="Q1027" s="1209"/>
      <c r="R1027" s="1209"/>
      <c r="S1027" s="1209"/>
      <c r="T1027" s="1209"/>
      <c r="U1027" s="1209"/>
      <c r="V1027" s="1209"/>
      <c r="W1027" s="1209"/>
      <c r="X1027" s="1209"/>
      <c r="Y1027" s="1209"/>
      <c r="Z1027" s="1209"/>
      <c r="AA1027" s="1209"/>
      <c r="AB1027" s="1209"/>
    </row>
    <row r="1028">
      <c r="A1028" s="1209"/>
      <c r="B1028" s="1209"/>
      <c r="C1028" s="1209"/>
      <c r="D1028" s="1267"/>
      <c r="E1028" s="1267"/>
      <c r="F1028" s="1267"/>
      <c r="G1028" s="1267"/>
      <c r="H1028" s="1267"/>
      <c r="I1028" s="1267"/>
      <c r="J1028" s="1267"/>
      <c r="K1028" s="1267"/>
      <c r="L1028" s="1267"/>
      <c r="M1028" s="1267"/>
      <c r="N1028" s="1267"/>
      <c r="O1028" s="1267"/>
      <c r="P1028" s="1267"/>
      <c r="Q1028" s="1209"/>
      <c r="R1028" s="1209"/>
      <c r="S1028" s="1209"/>
      <c r="T1028" s="1209"/>
      <c r="U1028" s="1209"/>
      <c r="V1028" s="1209"/>
      <c r="W1028" s="1209"/>
      <c r="X1028" s="1209"/>
      <c r="Y1028" s="1209"/>
      <c r="Z1028" s="1209"/>
      <c r="AA1028" s="1209"/>
      <c r="AB1028" s="1209"/>
    </row>
    <row r="1029">
      <c r="A1029" s="1209"/>
      <c r="B1029" s="1209"/>
      <c r="C1029" s="1209"/>
      <c r="D1029" s="1267"/>
      <c r="E1029" s="1267"/>
      <c r="F1029" s="1267"/>
      <c r="G1029" s="1267"/>
      <c r="H1029" s="1267"/>
      <c r="I1029" s="1267"/>
      <c r="J1029" s="1267"/>
      <c r="K1029" s="1267"/>
      <c r="L1029" s="1267"/>
      <c r="M1029" s="1267"/>
      <c r="N1029" s="1267"/>
      <c r="O1029" s="1267"/>
      <c r="P1029" s="1267"/>
      <c r="Q1029" s="1209"/>
      <c r="R1029" s="1209"/>
      <c r="S1029" s="1209"/>
      <c r="T1029" s="1209"/>
      <c r="U1029" s="1209"/>
      <c r="V1029" s="1209"/>
      <c r="W1029" s="1209"/>
      <c r="X1029" s="1209"/>
      <c r="Y1029" s="1209"/>
      <c r="Z1029" s="1209"/>
      <c r="AA1029" s="1209"/>
      <c r="AB1029" s="1209"/>
    </row>
    <row r="1030">
      <c r="A1030" s="1209"/>
      <c r="B1030" s="1209"/>
      <c r="C1030" s="1209"/>
      <c r="D1030" s="1267"/>
      <c r="E1030" s="1267"/>
      <c r="F1030" s="1267"/>
      <c r="G1030" s="1267"/>
      <c r="H1030" s="1267"/>
      <c r="I1030" s="1267"/>
      <c r="J1030" s="1267"/>
      <c r="K1030" s="1267"/>
      <c r="L1030" s="1267"/>
      <c r="M1030" s="1267"/>
      <c r="N1030" s="1267"/>
      <c r="O1030" s="1267"/>
      <c r="P1030" s="1267"/>
      <c r="Q1030" s="1209"/>
      <c r="R1030" s="1209"/>
      <c r="S1030" s="1209"/>
      <c r="T1030" s="1209"/>
      <c r="U1030" s="1209"/>
      <c r="V1030" s="1209"/>
      <c r="W1030" s="1209"/>
      <c r="X1030" s="1209"/>
      <c r="Y1030" s="1209"/>
      <c r="Z1030" s="1209"/>
      <c r="AA1030" s="1209"/>
      <c r="AB1030" s="1209"/>
    </row>
    <row r="1031">
      <c r="A1031" s="1209"/>
      <c r="B1031" s="1209"/>
      <c r="C1031" s="1209"/>
      <c r="D1031" s="1267"/>
      <c r="E1031" s="1267"/>
      <c r="F1031" s="1267"/>
      <c r="G1031" s="1267"/>
      <c r="H1031" s="1267"/>
      <c r="I1031" s="1267"/>
      <c r="J1031" s="1267"/>
      <c r="K1031" s="1267"/>
      <c r="L1031" s="1267"/>
      <c r="M1031" s="1267"/>
      <c r="N1031" s="1267"/>
      <c r="O1031" s="1267"/>
      <c r="P1031" s="1267"/>
      <c r="Q1031" s="1209"/>
      <c r="R1031" s="1209"/>
      <c r="S1031" s="1209"/>
      <c r="T1031" s="1209"/>
      <c r="U1031" s="1209"/>
      <c r="V1031" s="1209"/>
      <c r="W1031" s="1209"/>
      <c r="X1031" s="1209"/>
      <c r="Y1031" s="1209"/>
      <c r="Z1031" s="1209"/>
      <c r="AA1031" s="1209"/>
      <c r="AB1031" s="1209"/>
    </row>
    <row r="1032">
      <c r="A1032" s="1209"/>
      <c r="B1032" s="1209"/>
      <c r="C1032" s="1209"/>
      <c r="D1032" s="1267"/>
      <c r="E1032" s="1267"/>
      <c r="F1032" s="1267"/>
      <c r="G1032" s="1267"/>
      <c r="H1032" s="1267"/>
      <c r="I1032" s="1267"/>
      <c r="J1032" s="1267"/>
      <c r="K1032" s="1267"/>
      <c r="L1032" s="1267"/>
      <c r="M1032" s="1267"/>
      <c r="N1032" s="1267"/>
      <c r="O1032" s="1267"/>
      <c r="P1032" s="1267"/>
      <c r="Q1032" s="1209"/>
      <c r="R1032" s="1209"/>
      <c r="S1032" s="1209"/>
      <c r="T1032" s="1209"/>
      <c r="U1032" s="1209"/>
      <c r="V1032" s="1209"/>
      <c r="W1032" s="1209"/>
      <c r="X1032" s="1209"/>
      <c r="Y1032" s="1209"/>
      <c r="Z1032" s="1209"/>
      <c r="AA1032" s="1209"/>
      <c r="AB1032" s="1209"/>
    </row>
    <row r="1033">
      <c r="A1033" s="1209"/>
      <c r="B1033" s="1209"/>
      <c r="C1033" s="1209"/>
      <c r="D1033" s="1267"/>
      <c r="E1033" s="1267"/>
      <c r="F1033" s="1267"/>
      <c r="G1033" s="1267"/>
      <c r="H1033" s="1267"/>
      <c r="I1033" s="1267"/>
      <c r="J1033" s="1267"/>
      <c r="K1033" s="1267"/>
      <c r="L1033" s="1267"/>
      <c r="M1033" s="1267"/>
      <c r="N1033" s="1267"/>
      <c r="O1033" s="1267"/>
      <c r="P1033" s="1267"/>
      <c r="Q1033" s="1209"/>
      <c r="R1033" s="1209"/>
      <c r="S1033" s="1209"/>
      <c r="T1033" s="1209"/>
      <c r="U1033" s="1209"/>
      <c r="V1033" s="1209"/>
      <c r="W1033" s="1209"/>
      <c r="X1033" s="1209"/>
      <c r="Y1033" s="1209"/>
      <c r="Z1033" s="1209"/>
      <c r="AA1033" s="1209"/>
      <c r="AB1033" s="1209"/>
    </row>
    <row r="1034">
      <c r="A1034" s="1209"/>
      <c r="B1034" s="1209"/>
      <c r="C1034" s="1209"/>
      <c r="D1034" s="1267"/>
      <c r="E1034" s="1267"/>
      <c r="F1034" s="1267"/>
      <c r="G1034" s="1267"/>
      <c r="H1034" s="1267"/>
      <c r="I1034" s="1267"/>
      <c r="J1034" s="1267"/>
      <c r="K1034" s="1267"/>
      <c r="L1034" s="1267"/>
      <c r="M1034" s="1267"/>
      <c r="N1034" s="1267"/>
      <c r="O1034" s="1267"/>
      <c r="P1034" s="1267"/>
      <c r="Q1034" s="1209"/>
      <c r="R1034" s="1209"/>
      <c r="S1034" s="1209"/>
      <c r="T1034" s="1209"/>
      <c r="U1034" s="1209"/>
      <c r="V1034" s="1209"/>
      <c r="W1034" s="1209"/>
      <c r="X1034" s="1209"/>
      <c r="Y1034" s="1209"/>
      <c r="Z1034" s="1209"/>
      <c r="AA1034" s="1209"/>
      <c r="AB1034" s="1209"/>
    </row>
    <row r="1035">
      <c r="A1035" s="1209"/>
      <c r="B1035" s="1209"/>
      <c r="C1035" s="1209"/>
      <c r="D1035" s="1267"/>
      <c r="E1035" s="1267"/>
      <c r="F1035" s="1267"/>
      <c r="G1035" s="1267"/>
      <c r="H1035" s="1267"/>
      <c r="I1035" s="1267"/>
      <c r="J1035" s="1267"/>
      <c r="K1035" s="1267"/>
      <c r="L1035" s="1267"/>
      <c r="M1035" s="1267"/>
      <c r="N1035" s="1267"/>
      <c r="O1035" s="1267"/>
      <c r="P1035" s="1267"/>
      <c r="Q1035" s="1209"/>
      <c r="R1035" s="1209"/>
      <c r="S1035" s="1209"/>
      <c r="T1035" s="1209"/>
      <c r="U1035" s="1209"/>
      <c r="V1035" s="1209"/>
      <c r="W1035" s="1209"/>
      <c r="X1035" s="1209"/>
      <c r="Y1035" s="1209"/>
      <c r="Z1035" s="1209"/>
      <c r="AA1035" s="1209"/>
      <c r="AB1035" s="1209"/>
    </row>
    <row r="1036">
      <c r="A1036" s="1209"/>
      <c r="B1036" s="1209"/>
      <c r="C1036" s="1209"/>
      <c r="D1036" s="1267"/>
      <c r="E1036" s="1267"/>
      <c r="F1036" s="1267"/>
      <c r="G1036" s="1267"/>
      <c r="H1036" s="1267"/>
      <c r="I1036" s="1267"/>
      <c r="J1036" s="1267"/>
      <c r="K1036" s="1267"/>
      <c r="L1036" s="1267"/>
      <c r="M1036" s="1267"/>
      <c r="N1036" s="1267"/>
      <c r="O1036" s="1267"/>
      <c r="P1036" s="1267"/>
      <c r="Q1036" s="1209"/>
      <c r="R1036" s="1209"/>
      <c r="S1036" s="1209"/>
      <c r="T1036" s="1209"/>
      <c r="U1036" s="1209"/>
      <c r="V1036" s="1209"/>
      <c r="W1036" s="1209"/>
      <c r="X1036" s="1209"/>
      <c r="Y1036" s="1209"/>
      <c r="Z1036" s="1209"/>
      <c r="AA1036" s="1209"/>
      <c r="AB1036" s="1209"/>
    </row>
    <row r="1037">
      <c r="A1037" s="1209"/>
      <c r="B1037" s="1209"/>
      <c r="C1037" s="1209"/>
      <c r="D1037" s="1267"/>
      <c r="E1037" s="1267"/>
      <c r="F1037" s="1267"/>
      <c r="G1037" s="1267"/>
      <c r="H1037" s="1267"/>
      <c r="I1037" s="1267"/>
      <c r="J1037" s="1267"/>
      <c r="K1037" s="1267"/>
      <c r="L1037" s="1267"/>
      <c r="M1037" s="1267"/>
      <c r="N1037" s="1267"/>
      <c r="O1037" s="1267"/>
      <c r="P1037" s="1267"/>
      <c r="Q1037" s="1209"/>
      <c r="R1037" s="1209"/>
      <c r="S1037" s="1209"/>
      <c r="T1037" s="1209"/>
      <c r="U1037" s="1209"/>
      <c r="V1037" s="1209"/>
      <c r="W1037" s="1209"/>
      <c r="X1037" s="1209"/>
      <c r="Y1037" s="1209"/>
      <c r="Z1037" s="1209"/>
      <c r="AA1037" s="1209"/>
      <c r="AB1037" s="1209"/>
    </row>
    <row r="1038">
      <c r="A1038" s="1209"/>
      <c r="B1038" s="1209"/>
      <c r="C1038" s="1209"/>
      <c r="D1038" s="1267"/>
      <c r="E1038" s="1267"/>
      <c r="F1038" s="1267"/>
      <c r="G1038" s="1267"/>
      <c r="H1038" s="1267"/>
      <c r="I1038" s="1267"/>
      <c r="J1038" s="1267"/>
      <c r="K1038" s="1267"/>
      <c r="L1038" s="1267"/>
      <c r="M1038" s="1267"/>
      <c r="N1038" s="1267"/>
      <c r="O1038" s="1267"/>
      <c r="P1038" s="1267"/>
      <c r="Q1038" s="1209"/>
      <c r="R1038" s="1209"/>
      <c r="S1038" s="1209"/>
      <c r="T1038" s="1209"/>
      <c r="U1038" s="1209"/>
      <c r="V1038" s="1209"/>
      <c r="W1038" s="1209"/>
      <c r="X1038" s="1209"/>
      <c r="Y1038" s="1209"/>
      <c r="Z1038" s="1209"/>
      <c r="AA1038" s="1209"/>
      <c r="AB1038" s="1209"/>
    </row>
    <row r="1039">
      <c r="A1039" s="1209"/>
      <c r="B1039" s="1209"/>
      <c r="C1039" s="1209"/>
      <c r="D1039" s="1267"/>
      <c r="E1039" s="1267"/>
      <c r="F1039" s="1267"/>
      <c r="G1039" s="1267"/>
      <c r="H1039" s="1267"/>
      <c r="I1039" s="1267"/>
      <c r="J1039" s="1267"/>
      <c r="K1039" s="1267"/>
      <c r="L1039" s="1267"/>
      <c r="M1039" s="1267"/>
      <c r="N1039" s="1267"/>
      <c r="O1039" s="1267"/>
      <c r="P1039" s="1267"/>
      <c r="Q1039" s="1209"/>
      <c r="R1039" s="1209"/>
      <c r="S1039" s="1209"/>
      <c r="T1039" s="1209"/>
      <c r="U1039" s="1209"/>
      <c r="V1039" s="1209"/>
      <c r="W1039" s="1209"/>
      <c r="X1039" s="1209"/>
      <c r="Y1039" s="1209"/>
      <c r="Z1039" s="1209"/>
      <c r="AA1039" s="1209"/>
      <c r="AB1039" s="1209"/>
    </row>
    <row r="1040">
      <c r="A1040" s="1209"/>
      <c r="B1040" s="1209"/>
      <c r="C1040" s="1209"/>
      <c r="D1040" s="1267"/>
      <c r="E1040" s="1267"/>
      <c r="F1040" s="1267"/>
      <c r="G1040" s="1267"/>
      <c r="H1040" s="1267"/>
      <c r="I1040" s="1267"/>
      <c r="J1040" s="1267"/>
      <c r="K1040" s="1267"/>
      <c r="L1040" s="1267"/>
      <c r="M1040" s="1267"/>
      <c r="N1040" s="1267"/>
      <c r="O1040" s="1267"/>
      <c r="P1040" s="1267"/>
      <c r="Q1040" s="1209"/>
      <c r="R1040" s="1209"/>
      <c r="S1040" s="1209"/>
      <c r="T1040" s="1209"/>
      <c r="U1040" s="1209"/>
      <c r="V1040" s="1209"/>
      <c r="W1040" s="1209"/>
      <c r="X1040" s="1209"/>
      <c r="Y1040" s="1209"/>
      <c r="Z1040" s="1209"/>
      <c r="AA1040" s="1209"/>
      <c r="AB1040" s="1209"/>
    </row>
    <row r="1041">
      <c r="A1041" s="1209"/>
      <c r="B1041" s="1209"/>
      <c r="C1041" s="1209"/>
      <c r="D1041" s="1267"/>
      <c r="E1041" s="1267"/>
      <c r="F1041" s="1267"/>
      <c r="G1041" s="1267"/>
      <c r="H1041" s="1267"/>
      <c r="I1041" s="1267"/>
      <c r="J1041" s="1267"/>
      <c r="K1041" s="1267"/>
      <c r="L1041" s="1267"/>
      <c r="M1041" s="1267"/>
      <c r="N1041" s="1267"/>
      <c r="O1041" s="1267"/>
      <c r="P1041" s="1267"/>
      <c r="Q1041" s="1209"/>
      <c r="R1041" s="1209"/>
      <c r="S1041" s="1209"/>
      <c r="T1041" s="1209"/>
      <c r="U1041" s="1209"/>
      <c r="V1041" s="1209"/>
      <c r="W1041" s="1209"/>
      <c r="X1041" s="1209"/>
      <c r="Y1041" s="1209"/>
      <c r="Z1041" s="1209"/>
      <c r="AA1041" s="1209"/>
      <c r="AB1041" s="1209"/>
    </row>
    <row r="1042">
      <c r="A1042" s="1209"/>
      <c r="B1042" s="1209"/>
      <c r="C1042" s="1209"/>
      <c r="D1042" s="1267"/>
      <c r="E1042" s="1267"/>
      <c r="F1042" s="1267"/>
      <c r="G1042" s="1267"/>
      <c r="H1042" s="1267"/>
      <c r="I1042" s="1267"/>
      <c r="J1042" s="1267"/>
      <c r="K1042" s="1267"/>
      <c r="L1042" s="1267"/>
      <c r="M1042" s="1267"/>
      <c r="N1042" s="1267"/>
      <c r="O1042" s="1267"/>
      <c r="P1042" s="1267"/>
      <c r="Q1042" s="1209"/>
      <c r="R1042" s="1209"/>
      <c r="S1042" s="1209"/>
      <c r="T1042" s="1209"/>
      <c r="U1042" s="1209"/>
      <c r="V1042" s="1209"/>
      <c r="W1042" s="1209"/>
      <c r="X1042" s="1209"/>
      <c r="Y1042" s="1209"/>
      <c r="Z1042" s="1209"/>
      <c r="AA1042" s="1209"/>
      <c r="AB1042" s="1209"/>
    </row>
    <row r="1043">
      <c r="A1043" s="1209"/>
      <c r="B1043" s="1209"/>
      <c r="C1043" s="1209"/>
      <c r="D1043" s="1267"/>
      <c r="E1043" s="1267"/>
      <c r="F1043" s="1267"/>
      <c r="G1043" s="1267"/>
      <c r="H1043" s="1267"/>
      <c r="I1043" s="1267"/>
      <c r="J1043" s="1267"/>
      <c r="K1043" s="1267"/>
      <c r="L1043" s="1267"/>
      <c r="M1043" s="1267"/>
      <c r="N1043" s="1267"/>
      <c r="O1043" s="1267"/>
      <c r="P1043" s="1267"/>
      <c r="Q1043" s="1209"/>
      <c r="R1043" s="1209"/>
      <c r="S1043" s="1209"/>
      <c r="T1043" s="1209"/>
      <c r="U1043" s="1209"/>
      <c r="V1043" s="1209"/>
      <c r="W1043" s="1209"/>
      <c r="X1043" s="1209"/>
      <c r="Y1043" s="1209"/>
      <c r="Z1043" s="1209"/>
      <c r="AA1043" s="1209"/>
      <c r="AB1043" s="1209"/>
    </row>
    <row r="1044">
      <c r="A1044" s="1209"/>
      <c r="B1044" s="1209"/>
      <c r="C1044" s="1209"/>
      <c r="D1044" s="1267"/>
      <c r="E1044" s="1267"/>
      <c r="F1044" s="1267"/>
      <c r="G1044" s="1267"/>
      <c r="H1044" s="1267"/>
      <c r="I1044" s="1267"/>
      <c r="J1044" s="1267"/>
      <c r="K1044" s="1267"/>
      <c r="L1044" s="1267"/>
      <c r="M1044" s="1267"/>
      <c r="N1044" s="1267"/>
      <c r="O1044" s="1267"/>
      <c r="P1044" s="1267"/>
      <c r="Q1044" s="1209"/>
      <c r="R1044" s="1209"/>
      <c r="S1044" s="1209"/>
      <c r="T1044" s="1209"/>
      <c r="U1044" s="1209"/>
      <c r="V1044" s="1209"/>
      <c r="W1044" s="1209"/>
      <c r="X1044" s="1209"/>
      <c r="Y1044" s="1209"/>
      <c r="Z1044" s="1209"/>
      <c r="AA1044" s="1209"/>
      <c r="AB1044" s="1209"/>
    </row>
    <row r="1045">
      <c r="A1045" s="1209"/>
      <c r="B1045" s="1209"/>
      <c r="C1045" s="1209"/>
      <c r="D1045" s="1267"/>
      <c r="E1045" s="1267"/>
      <c r="F1045" s="1267"/>
      <c r="G1045" s="1267"/>
      <c r="H1045" s="1267"/>
      <c r="I1045" s="1267"/>
      <c r="J1045" s="1267"/>
      <c r="K1045" s="1267"/>
      <c r="L1045" s="1267"/>
      <c r="M1045" s="1267"/>
      <c r="N1045" s="1267"/>
      <c r="O1045" s="1267"/>
      <c r="P1045" s="1267"/>
      <c r="Q1045" s="1209"/>
      <c r="R1045" s="1209"/>
      <c r="S1045" s="1209"/>
      <c r="T1045" s="1209"/>
      <c r="U1045" s="1209"/>
      <c r="V1045" s="1209"/>
      <c r="W1045" s="1209"/>
      <c r="X1045" s="1209"/>
      <c r="Y1045" s="1209"/>
      <c r="Z1045" s="1209"/>
      <c r="AA1045" s="1209"/>
      <c r="AB1045" s="1209"/>
    </row>
    <row r="1046">
      <c r="A1046" s="1209"/>
      <c r="B1046" s="1209"/>
      <c r="C1046" s="1209"/>
      <c r="D1046" s="1267"/>
      <c r="E1046" s="1267"/>
      <c r="F1046" s="1267"/>
      <c r="G1046" s="1267"/>
      <c r="H1046" s="1267"/>
      <c r="I1046" s="1267"/>
      <c r="J1046" s="1267"/>
      <c r="K1046" s="1267"/>
      <c r="L1046" s="1267"/>
      <c r="M1046" s="1267"/>
      <c r="N1046" s="1267"/>
      <c r="O1046" s="1267"/>
      <c r="P1046" s="1267"/>
      <c r="Q1046" s="1209"/>
      <c r="R1046" s="1209"/>
      <c r="S1046" s="1209"/>
      <c r="T1046" s="1209"/>
      <c r="U1046" s="1209"/>
      <c r="V1046" s="1209"/>
      <c r="W1046" s="1209"/>
      <c r="X1046" s="1209"/>
      <c r="Y1046" s="1209"/>
      <c r="Z1046" s="1209"/>
      <c r="AA1046" s="1209"/>
      <c r="AB1046" s="1209"/>
    </row>
    <row r="1047">
      <c r="A1047" s="1209"/>
      <c r="B1047" s="1209"/>
      <c r="C1047" s="1209"/>
      <c r="D1047" s="1267"/>
      <c r="E1047" s="1267"/>
      <c r="F1047" s="1267"/>
      <c r="G1047" s="1267"/>
      <c r="H1047" s="1267"/>
      <c r="I1047" s="1267"/>
      <c r="J1047" s="1267"/>
      <c r="K1047" s="1267"/>
      <c r="L1047" s="1267"/>
      <c r="M1047" s="1267"/>
      <c r="N1047" s="1267"/>
      <c r="O1047" s="1267"/>
      <c r="P1047" s="1267"/>
      <c r="Q1047" s="1209"/>
      <c r="R1047" s="1209"/>
      <c r="S1047" s="1209"/>
      <c r="T1047" s="1209"/>
      <c r="U1047" s="1209"/>
      <c r="V1047" s="1209"/>
      <c r="W1047" s="1209"/>
      <c r="X1047" s="1209"/>
      <c r="Y1047" s="1209"/>
      <c r="Z1047" s="1209"/>
      <c r="AA1047" s="1209"/>
      <c r="AB1047" s="1209"/>
    </row>
    <row r="1048">
      <c r="A1048" s="1209"/>
      <c r="B1048" s="1209"/>
      <c r="C1048" s="1209"/>
      <c r="D1048" s="1267"/>
      <c r="E1048" s="1267"/>
      <c r="F1048" s="1267"/>
      <c r="G1048" s="1267"/>
      <c r="H1048" s="1267"/>
      <c r="I1048" s="1267"/>
      <c r="J1048" s="1267"/>
      <c r="K1048" s="1267"/>
      <c r="L1048" s="1267"/>
      <c r="M1048" s="1267"/>
      <c r="N1048" s="1267"/>
      <c r="O1048" s="1267"/>
      <c r="P1048" s="1267"/>
      <c r="Q1048" s="1209"/>
      <c r="R1048" s="1209"/>
      <c r="S1048" s="1209"/>
      <c r="T1048" s="1209"/>
      <c r="U1048" s="1209"/>
      <c r="V1048" s="1209"/>
      <c r="W1048" s="1209"/>
      <c r="X1048" s="1209"/>
      <c r="Y1048" s="1209"/>
      <c r="Z1048" s="1209"/>
      <c r="AA1048" s="1209"/>
      <c r="AB1048" s="1209"/>
    </row>
    <row r="1049">
      <c r="A1049" s="1209"/>
      <c r="B1049" s="1209"/>
      <c r="C1049" s="1209"/>
      <c r="D1049" s="1267"/>
      <c r="E1049" s="1267"/>
      <c r="F1049" s="1267"/>
      <c r="G1049" s="1267"/>
      <c r="H1049" s="1267"/>
      <c r="I1049" s="1267"/>
      <c r="J1049" s="1267"/>
      <c r="K1049" s="1267"/>
      <c r="L1049" s="1267"/>
      <c r="M1049" s="1267"/>
      <c r="N1049" s="1267"/>
      <c r="O1049" s="1267"/>
      <c r="P1049" s="1267"/>
      <c r="Q1049" s="1209"/>
      <c r="R1049" s="1209"/>
      <c r="S1049" s="1209"/>
      <c r="T1049" s="1209"/>
      <c r="U1049" s="1209"/>
      <c r="V1049" s="1209"/>
      <c r="W1049" s="1209"/>
      <c r="X1049" s="1209"/>
      <c r="Y1049" s="1209"/>
      <c r="Z1049" s="1209"/>
      <c r="AA1049" s="1209"/>
      <c r="AB1049" s="1209"/>
    </row>
    <row r="1050">
      <c r="A1050" s="1209"/>
      <c r="B1050" s="1209"/>
      <c r="C1050" s="1209"/>
      <c r="D1050" s="1267"/>
      <c r="E1050" s="1267"/>
      <c r="F1050" s="1267"/>
      <c r="G1050" s="1267"/>
      <c r="H1050" s="1267"/>
      <c r="I1050" s="1267"/>
      <c r="J1050" s="1267"/>
      <c r="K1050" s="1267"/>
      <c r="L1050" s="1267"/>
      <c r="M1050" s="1267"/>
      <c r="N1050" s="1267"/>
      <c r="O1050" s="1267"/>
      <c r="P1050" s="1267"/>
      <c r="Q1050" s="1209"/>
      <c r="R1050" s="1209"/>
      <c r="S1050" s="1209"/>
      <c r="T1050" s="1209"/>
      <c r="U1050" s="1209"/>
      <c r="V1050" s="1209"/>
      <c r="W1050" s="1209"/>
      <c r="X1050" s="1209"/>
      <c r="Y1050" s="1209"/>
      <c r="Z1050" s="1209"/>
      <c r="AA1050" s="1209"/>
      <c r="AB1050" s="1209"/>
    </row>
    <row r="1051">
      <c r="A1051" s="1209"/>
      <c r="B1051" s="1209"/>
      <c r="C1051" s="1209"/>
      <c r="D1051" s="1267"/>
      <c r="E1051" s="1267"/>
      <c r="F1051" s="1267"/>
      <c r="G1051" s="1267"/>
      <c r="H1051" s="1267"/>
      <c r="I1051" s="1267"/>
      <c r="J1051" s="1267"/>
      <c r="K1051" s="1267"/>
      <c r="L1051" s="1267"/>
      <c r="M1051" s="1267"/>
      <c r="N1051" s="1267"/>
      <c r="O1051" s="1267"/>
      <c r="P1051" s="1267"/>
      <c r="Q1051" s="1209"/>
      <c r="R1051" s="1209"/>
      <c r="S1051" s="1209"/>
      <c r="T1051" s="1209"/>
      <c r="U1051" s="1209"/>
      <c r="V1051" s="1209"/>
      <c r="W1051" s="1209"/>
      <c r="X1051" s="1209"/>
      <c r="Y1051" s="1209"/>
      <c r="Z1051" s="1209"/>
      <c r="AA1051" s="1209"/>
      <c r="AB1051" s="1209"/>
    </row>
    <row r="1052">
      <c r="A1052" s="1209"/>
      <c r="B1052" s="1209"/>
      <c r="C1052" s="1209"/>
      <c r="D1052" s="1267"/>
      <c r="E1052" s="1267"/>
      <c r="F1052" s="1267"/>
      <c r="G1052" s="1267"/>
      <c r="H1052" s="1267"/>
      <c r="I1052" s="1267"/>
      <c r="J1052" s="1267"/>
      <c r="K1052" s="1267"/>
      <c r="L1052" s="1267"/>
      <c r="M1052" s="1267"/>
      <c r="N1052" s="1267"/>
      <c r="O1052" s="1267"/>
      <c r="P1052" s="1267"/>
      <c r="Q1052" s="1209"/>
      <c r="R1052" s="1209"/>
      <c r="S1052" s="1209"/>
      <c r="T1052" s="1209"/>
      <c r="U1052" s="1209"/>
      <c r="V1052" s="1209"/>
      <c r="W1052" s="1209"/>
      <c r="X1052" s="1209"/>
      <c r="Y1052" s="1209"/>
      <c r="Z1052" s="1209"/>
      <c r="AA1052" s="1209"/>
      <c r="AB1052" s="1209"/>
    </row>
    <row r="1053">
      <c r="A1053" s="1209"/>
      <c r="B1053" s="1209"/>
      <c r="C1053" s="1209"/>
      <c r="D1053" s="1267"/>
      <c r="E1053" s="1267"/>
      <c r="F1053" s="1267"/>
      <c r="G1053" s="1267"/>
      <c r="H1053" s="1267"/>
      <c r="I1053" s="1267"/>
      <c r="J1053" s="1267"/>
      <c r="K1053" s="1267"/>
      <c r="L1053" s="1267"/>
      <c r="M1053" s="1267"/>
      <c r="N1053" s="1267"/>
      <c r="O1053" s="1267"/>
      <c r="P1053" s="1267"/>
      <c r="Q1053" s="1209"/>
      <c r="R1053" s="1209"/>
      <c r="S1053" s="1209"/>
      <c r="T1053" s="1209"/>
      <c r="U1053" s="1209"/>
      <c r="V1053" s="1209"/>
      <c r="W1053" s="1209"/>
      <c r="X1053" s="1209"/>
      <c r="Y1053" s="1209"/>
      <c r="Z1053" s="1209"/>
      <c r="AA1053" s="1209"/>
      <c r="AB1053" s="1209"/>
    </row>
    <row r="1054">
      <c r="A1054" s="1209"/>
      <c r="B1054" s="1209"/>
      <c r="C1054" s="1209"/>
      <c r="D1054" s="1267"/>
      <c r="E1054" s="1267"/>
      <c r="F1054" s="1267"/>
      <c r="G1054" s="1267"/>
      <c r="H1054" s="1267"/>
      <c r="I1054" s="1267"/>
      <c r="J1054" s="1267"/>
      <c r="K1054" s="1267"/>
      <c r="L1054" s="1267"/>
      <c r="M1054" s="1267"/>
      <c r="N1054" s="1267"/>
      <c r="O1054" s="1267"/>
      <c r="P1054" s="1267"/>
      <c r="Q1054" s="1209"/>
      <c r="R1054" s="1209"/>
      <c r="S1054" s="1209"/>
      <c r="T1054" s="1209"/>
      <c r="U1054" s="1209"/>
      <c r="V1054" s="1209"/>
      <c r="W1054" s="1209"/>
      <c r="X1054" s="1209"/>
      <c r="Y1054" s="1209"/>
      <c r="Z1054" s="1209"/>
      <c r="AA1054" s="1209"/>
      <c r="AB1054" s="1209"/>
    </row>
    <row r="1055">
      <c r="A1055" s="1209"/>
      <c r="B1055" s="1209"/>
      <c r="C1055" s="1209"/>
      <c r="D1055" s="1267"/>
      <c r="E1055" s="1267"/>
      <c r="F1055" s="1267"/>
      <c r="G1055" s="1267"/>
      <c r="H1055" s="1267"/>
      <c r="I1055" s="1267"/>
      <c r="J1055" s="1267"/>
      <c r="K1055" s="1267"/>
      <c r="L1055" s="1267"/>
      <c r="M1055" s="1267"/>
      <c r="N1055" s="1267"/>
      <c r="O1055" s="1267"/>
      <c r="P1055" s="1267"/>
      <c r="Q1055" s="1209"/>
      <c r="R1055" s="1209"/>
      <c r="S1055" s="1209"/>
      <c r="T1055" s="1209"/>
      <c r="U1055" s="1209"/>
      <c r="V1055" s="1209"/>
      <c r="W1055" s="1209"/>
      <c r="X1055" s="1209"/>
      <c r="Y1055" s="1209"/>
      <c r="Z1055" s="1209"/>
      <c r="AA1055" s="1209"/>
      <c r="AB1055" s="1209"/>
    </row>
    <row r="1056">
      <c r="A1056" s="1209"/>
      <c r="B1056" s="1209"/>
      <c r="C1056" s="1209"/>
      <c r="D1056" s="1267"/>
      <c r="E1056" s="1267"/>
      <c r="F1056" s="1267"/>
      <c r="G1056" s="1267"/>
      <c r="H1056" s="1267"/>
      <c r="I1056" s="1267"/>
      <c r="J1056" s="1267"/>
      <c r="K1056" s="1267"/>
      <c r="L1056" s="1267"/>
      <c r="M1056" s="1267"/>
      <c r="N1056" s="1267"/>
      <c r="O1056" s="1267"/>
      <c r="P1056" s="1267"/>
      <c r="Q1056" s="1209"/>
      <c r="R1056" s="1209"/>
      <c r="S1056" s="1209"/>
      <c r="T1056" s="1209"/>
      <c r="U1056" s="1209"/>
      <c r="V1056" s="1209"/>
      <c r="W1056" s="1209"/>
      <c r="X1056" s="1209"/>
      <c r="Y1056" s="1209"/>
      <c r="Z1056" s="1209"/>
      <c r="AA1056" s="1209"/>
      <c r="AB1056" s="1209"/>
    </row>
    <row r="1057">
      <c r="A1057" s="1209"/>
      <c r="B1057" s="1209"/>
      <c r="C1057" s="1209"/>
      <c r="D1057" s="1267"/>
      <c r="E1057" s="1267"/>
      <c r="F1057" s="1267"/>
      <c r="G1057" s="1267"/>
      <c r="H1057" s="1267"/>
      <c r="I1057" s="1267"/>
      <c r="J1057" s="1267"/>
      <c r="K1057" s="1267"/>
      <c r="L1057" s="1267"/>
      <c r="M1057" s="1267"/>
      <c r="N1057" s="1267"/>
      <c r="O1057" s="1267"/>
      <c r="P1057" s="1267"/>
      <c r="Q1057" s="1209"/>
      <c r="R1057" s="1209"/>
      <c r="S1057" s="1209"/>
      <c r="T1057" s="1209"/>
      <c r="U1057" s="1209"/>
      <c r="V1057" s="1209"/>
      <c r="W1057" s="1209"/>
      <c r="X1057" s="1209"/>
      <c r="Y1057" s="1209"/>
      <c r="Z1057" s="1209"/>
      <c r="AA1057" s="1209"/>
      <c r="AB1057" s="1209"/>
    </row>
    <row r="1058">
      <c r="A1058" s="1209"/>
      <c r="B1058" s="1209"/>
      <c r="C1058" s="1209"/>
      <c r="D1058" s="1267"/>
      <c r="E1058" s="1267"/>
      <c r="F1058" s="1267"/>
      <c r="G1058" s="1267"/>
      <c r="H1058" s="1267"/>
      <c r="I1058" s="1267"/>
      <c r="J1058" s="1267"/>
      <c r="K1058" s="1267"/>
      <c r="L1058" s="1267"/>
      <c r="M1058" s="1267"/>
      <c r="N1058" s="1267"/>
      <c r="O1058" s="1267"/>
      <c r="P1058" s="1267"/>
      <c r="Q1058" s="1209"/>
      <c r="R1058" s="1209"/>
      <c r="S1058" s="1209"/>
      <c r="T1058" s="1209"/>
      <c r="U1058" s="1209"/>
      <c r="V1058" s="1209"/>
      <c r="W1058" s="1209"/>
      <c r="X1058" s="1209"/>
      <c r="Y1058" s="1209"/>
      <c r="Z1058" s="1209"/>
      <c r="AA1058" s="1209"/>
      <c r="AB1058" s="1209"/>
    </row>
    <row r="1059">
      <c r="A1059" s="1209"/>
      <c r="B1059" s="1209"/>
      <c r="C1059" s="1209"/>
      <c r="D1059" s="1267"/>
      <c r="E1059" s="1267"/>
      <c r="F1059" s="1267"/>
      <c r="G1059" s="1267"/>
      <c r="H1059" s="1267"/>
      <c r="I1059" s="1267"/>
      <c r="J1059" s="1267"/>
      <c r="K1059" s="1267"/>
      <c r="L1059" s="1267"/>
      <c r="M1059" s="1267"/>
      <c r="N1059" s="1267"/>
      <c r="O1059" s="1267"/>
      <c r="P1059" s="1267"/>
      <c r="Q1059" s="1209"/>
      <c r="R1059" s="1209"/>
      <c r="S1059" s="1209"/>
      <c r="T1059" s="1209"/>
      <c r="U1059" s="1209"/>
      <c r="V1059" s="1209"/>
      <c r="W1059" s="1209"/>
      <c r="X1059" s="1209"/>
      <c r="Y1059" s="1209"/>
      <c r="Z1059" s="1209"/>
      <c r="AA1059" s="1209"/>
      <c r="AB1059" s="1209"/>
    </row>
    <row r="1060">
      <c r="A1060" s="1209"/>
      <c r="B1060" s="1209"/>
      <c r="C1060" s="1209"/>
      <c r="D1060" s="1267"/>
      <c r="E1060" s="1267"/>
      <c r="F1060" s="1267"/>
      <c r="G1060" s="1267"/>
      <c r="H1060" s="1267"/>
      <c r="I1060" s="1267"/>
      <c r="J1060" s="1267"/>
      <c r="K1060" s="1267"/>
      <c r="L1060" s="1267"/>
      <c r="M1060" s="1267"/>
      <c r="N1060" s="1267"/>
      <c r="O1060" s="1267"/>
      <c r="P1060" s="1267"/>
      <c r="Q1060" s="1209"/>
      <c r="R1060" s="1209"/>
      <c r="S1060" s="1209"/>
      <c r="T1060" s="1209"/>
      <c r="U1060" s="1209"/>
      <c r="V1060" s="1209"/>
      <c r="W1060" s="1209"/>
      <c r="X1060" s="1209"/>
      <c r="Y1060" s="1209"/>
      <c r="Z1060" s="1209"/>
      <c r="AA1060" s="1209"/>
      <c r="AB1060" s="1209"/>
    </row>
    <row r="1061">
      <c r="A1061" s="1209"/>
      <c r="B1061" s="1209"/>
      <c r="C1061" s="1209"/>
      <c r="D1061" s="1267"/>
      <c r="E1061" s="1267"/>
      <c r="F1061" s="1267"/>
      <c r="G1061" s="1267"/>
      <c r="H1061" s="1267"/>
      <c r="I1061" s="1267"/>
      <c r="J1061" s="1267"/>
      <c r="K1061" s="1267"/>
      <c r="L1061" s="1267"/>
      <c r="M1061" s="1267"/>
      <c r="N1061" s="1267"/>
      <c r="O1061" s="1267"/>
      <c r="P1061" s="1267"/>
      <c r="Q1061" s="1209"/>
      <c r="R1061" s="1209"/>
      <c r="S1061" s="1209"/>
      <c r="T1061" s="1209"/>
      <c r="U1061" s="1209"/>
      <c r="V1061" s="1209"/>
      <c r="W1061" s="1209"/>
      <c r="X1061" s="1209"/>
      <c r="Y1061" s="1209"/>
      <c r="Z1061" s="1209"/>
      <c r="AA1061" s="1209"/>
      <c r="AB1061" s="1209"/>
    </row>
    <row r="1062">
      <c r="A1062" s="1209"/>
      <c r="B1062" s="1209"/>
      <c r="C1062" s="1209"/>
      <c r="D1062" s="1267"/>
      <c r="E1062" s="1267"/>
      <c r="F1062" s="1267"/>
      <c r="G1062" s="1267"/>
      <c r="H1062" s="1267"/>
      <c r="I1062" s="1267"/>
      <c r="J1062" s="1267"/>
      <c r="K1062" s="1267"/>
      <c r="L1062" s="1267"/>
      <c r="M1062" s="1267"/>
      <c r="N1062" s="1267"/>
      <c r="O1062" s="1267"/>
      <c r="P1062" s="1267"/>
      <c r="Q1062" s="1209"/>
      <c r="R1062" s="1209"/>
      <c r="S1062" s="1209"/>
      <c r="T1062" s="1209"/>
      <c r="U1062" s="1209"/>
      <c r="V1062" s="1209"/>
      <c r="W1062" s="1209"/>
      <c r="X1062" s="1209"/>
      <c r="Y1062" s="1209"/>
      <c r="Z1062" s="1209"/>
      <c r="AA1062" s="1209"/>
      <c r="AB1062" s="1209"/>
    </row>
    <row r="1063">
      <c r="A1063" s="1209"/>
      <c r="B1063" s="1209"/>
      <c r="C1063" s="1209"/>
      <c r="D1063" s="1267"/>
      <c r="E1063" s="1267"/>
      <c r="F1063" s="1267"/>
      <c r="G1063" s="1267"/>
      <c r="H1063" s="1267"/>
      <c r="I1063" s="1267"/>
      <c r="J1063" s="1267"/>
      <c r="K1063" s="1267"/>
      <c r="L1063" s="1267"/>
      <c r="M1063" s="1267"/>
      <c r="N1063" s="1267"/>
      <c r="O1063" s="1267"/>
      <c r="P1063" s="1267"/>
      <c r="Q1063" s="1209"/>
      <c r="R1063" s="1209"/>
      <c r="S1063" s="1209"/>
      <c r="T1063" s="1209"/>
      <c r="U1063" s="1209"/>
      <c r="V1063" s="1209"/>
      <c r="W1063" s="1209"/>
      <c r="X1063" s="1209"/>
      <c r="Y1063" s="1209"/>
      <c r="Z1063" s="1209"/>
      <c r="AA1063" s="1209"/>
      <c r="AB1063" s="1209"/>
    </row>
    <row r="1064">
      <c r="A1064" s="1209"/>
      <c r="B1064" s="1209"/>
      <c r="C1064" s="1209"/>
      <c r="D1064" s="1267"/>
      <c r="E1064" s="1267"/>
      <c r="F1064" s="1267"/>
      <c r="G1064" s="1267"/>
      <c r="H1064" s="1267"/>
      <c r="I1064" s="1267"/>
      <c r="J1064" s="1267"/>
      <c r="K1064" s="1267"/>
      <c r="L1064" s="1267"/>
      <c r="M1064" s="1267"/>
      <c r="N1064" s="1267"/>
      <c r="O1064" s="1267"/>
      <c r="P1064" s="1267"/>
      <c r="Q1064" s="1209"/>
      <c r="R1064" s="1209"/>
      <c r="S1064" s="1209"/>
      <c r="T1064" s="1209"/>
      <c r="U1064" s="1209"/>
      <c r="V1064" s="1209"/>
      <c r="W1064" s="1209"/>
      <c r="X1064" s="1209"/>
      <c r="Y1064" s="1209"/>
      <c r="Z1064" s="1209"/>
      <c r="AA1064" s="1209"/>
      <c r="AB1064" s="1209"/>
    </row>
    <row r="1065">
      <c r="A1065" s="1209"/>
      <c r="B1065" s="1209"/>
      <c r="C1065" s="1209"/>
      <c r="D1065" s="1267"/>
      <c r="E1065" s="1267"/>
      <c r="F1065" s="1267"/>
      <c r="G1065" s="1267"/>
      <c r="H1065" s="1267"/>
      <c r="I1065" s="1267"/>
      <c r="J1065" s="1267"/>
      <c r="K1065" s="1267"/>
      <c r="L1065" s="1267"/>
      <c r="M1065" s="1267"/>
      <c r="N1065" s="1267"/>
      <c r="O1065" s="1267"/>
      <c r="P1065" s="1267"/>
      <c r="Q1065" s="1209"/>
      <c r="R1065" s="1209"/>
      <c r="S1065" s="1209"/>
      <c r="T1065" s="1209"/>
      <c r="U1065" s="1209"/>
      <c r="V1065" s="1209"/>
      <c r="W1065" s="1209"/>
      <c r="X1065" s="1209"/>
      <c r="Y1065" s="1209"/>
      <c r="Z1065" s="1209"/>
      <c r="AA1065" s="1209"/>
      <c r="AB1065" s="1209"/>
    </row>
    <row r="1066">
      <c r="A1066" s="1209"/>
      <c r="B1066" s="1209"/>
      <c r="C1066" s="1209"/>
      <c r="D1066" s="1267"/>
      <c r="E1066" s="1267"/>
      <c r="F1066" s="1267"/>
      <c r="G1066" s="1267"/>
      <c r="H1066" s="1267"/>
      <c r="I1066" s="1267"/>
      <c r="J1066" s="1267"/>
      <c r="K1066" s="1267"/>
      <c r="L1066" s="1267"/>
      <c r="M1066" s="1267"/>
      <c r="N1066" s="1267"/>
      <c r="O1066" s="1267"/>
      <c r="P1066" s="1267"/>
      <c r="Q1066" s="1209"/>
      <c r="R1066" s="1209"/>
      <c r="S1066" s="1209"/>
      <c r="T1066" s="1209"/>
      <c r="U1066" s="1209"/>
      <c r="V1066" s="1209"/>
      <c r="W1066" s="1209"/>
      <c r="X1066" s="1209"/>
      <c r="Y1066" s="1209"/>
      <c r="Z1066" s="1209"/>
      <c r="AA1066" s="1209"/>
      <c r="AB1066" s="1209"/>
    </row>
    <row r="1067">
      <c r="A1067" s="1209"/>
      <c r="B1067" s="1209"/>
      <c r="C1067" s="1209"/>
      <c r="D1067" s="1267"/>
      <c r="E1067" s="1267"/>
      <c r="F1067" s="1267"/>
      <c r="G1067" s="1267"/>
      <c r="H1067" s="1267"/>
      <c r="I1067" s="1267"/>
      <c r="J1067" s="1267"/>
      <c r="K1067" s="1267"/>
      <c r="L1067" s="1267"/>
      <c r="M1067" s="1267"/>
      <c r="N1067" s="1267"/>
      <c r="O1067" s="1267"/>
      <c r="P1067" s="1267"/>
      <c r="Q1067" s="1209"/>
      <c r="R1067" s="1209"/>
      <c r="S1067" s="1209"/>
      <c r="T1067" s="1209"/>
      <c r="U1067" s="1209"/>
      <c r="V1067" s="1209"/>
      <c r="W1067" s="1209"/>
      <c r="X1067" s="1209"/>
      <c r="Y1067" s="1209"/>
      <c r="Z1067" s="1209"/>
      <c r="AA1067" s="1209"/>
      <c r="AB1067" s="1209"/>
    </row>
    <row r="1068">
      <c r="A1068" s="1209"/>
      <c r="B1068" s="1209"/>
      <c r="C1068" s="1209"/>
      <c r="D1068" s="1267"/>
      <c r="E1068" s="1267"/>
      <c r="F1068" s="1267"/>
      <c r="G1068" s="1267"/>
      <c r="H1068" s="1267"/>
      <c r="I1068" s="1267"/>
      <c r="J1068" s="1267"/>
      <c r="K1068" s="1267"/>
      <c r="L1068" s="1267"/>
      <c r="M1068" s="1267"/>
      <c r="N1068" s="1267"/>
      <c r="O1068" s="1267"/>
      <c r="P1068" s="1267"/>
      <c r="Q1068" s="1209"/>
      <c r="R1068" s="1209"/>
      <c r="S1068" s="1209"/>
      <c r="T1068" s="1209"/>
      <c r="U1068" s="1209"/>
      <c r="V1068" s="1209"/>
      <c r="W1068" s="1209"/>
      <c r="X1068" s="1209"/>
      <c r="Y1068" s="1209"/>
      <c r="Z1068" s="1209"/>
      <c r="AA1068" s="1209"/>
      <c r="AB1068" s="1209"/>
    </row>
    <row r="1069">
      <c r="A1069" s="1209"/>
      <c r="B1069" s="1209"/>
      <c r="C1069" s="1209"/>
      <c r="D1069" s="1267"/>
      <c r="E1069" s="1267"/>
      <c r="F1069" s="1267"/>
      <c r="G1069" s="1267"/>
      <c r="H1069" s="1267"/>
      <c r="I1069" s="1267"/>
      <c r="J1069" s="1267"/>
      <c r="K1069" s="1267"/>
      <c r="L1069" s="1267"/>
      <c r="M1069" s="1267"/>
      <c r="N1069" s="1267"/>
      <c r="O1069" s="1267"/>
      <c r="P1069" s="1267"/>
      <c r="Q1069" s="1209"/>
      <c r="R1069" s="1209"/>
      <c r="S1069" s="1209"/>
      <c r="T1069" s="1209"/>
      <c r="U1069" s="1209"/>
      <c r="V1069" s="1209"/>
      <c r="W1069" s="1209"/>
      <c r="X1069" s="1209"/>
      <c r="Y1069" s="1209"/>
      <c r="Z1069" s="1209"/>
      <c r="AA1069" s="1209"/>
      <c r="AB1069" s="1209"/>
    </row>
    <row r="1070">
      <c r="A1070" s="1209"/>
      <c r="B1070" s="1209"/>
      <c r="C1070" s="1209"/>
      <c r="D1070" s="1267"/>
      <c r="E1070" s="1267"/>
      <c r="F1070" s="1267"/>
      <c r="G1070" s="1267"/>
      <c r="H1070" s="1267"/>
      <c r="I1070" s="1267"/>
      <c r="J1070" s="1267"/>
      <c r="K1070" s="1267"/>
      <c r="L1070" s="1267"/>
      <c r="M1070" s="1267"/>
      <c r="N1070" s="1267"/>
      <c r="O1070" s="1267"/>
      <c r="P1070" s="1267"/>
      <c r="Q1070" s="1209"/>
      <c r="R1070" s="1209"/>
      <c r="S1070" s="1209"/>
      <c r="T1070" s="1209"/>
      <c r="U1070" s="1209"/>
      <c r="V1070" s="1209"/>
      <c r="W1070" s="1209"/>
      <c r="X1070" s="1209"/>
      <c r="Y1070" s="1209"/>
      <c r="Z1070" s="1209"/>
      <c r="AA1070" s="1209"/>
      <c r="AB1070" s="1209"/>
    </row>
    <row r="1071">
      <c r="A1071" s="1209"/>
      <c r="B1071" s="1209"/>
      <c r="C1071" s="1209"/>
      <c r="D1071" s="1267"/>
      <c r="E1071" s="1267"/>
      <c r="F1071" s="1267"/>
      <c r="G1071" s="1267"/>
      <c r="H1071" s="1267"/>
      <c r="I1071" s="1267"/>
      <c r="J1071" s="1267"/>
      <c r="K1071" s="1267"/>
      <c r="L1071" s="1267"/>
      <c r="M1071" s="1267"/>
      <c r="N1071" s="1267"/>
      <c r="O1071" s="1267"/>
      <c r="P1071" s="1267"/>
      <c r="Q1071" s="1209"/>
      <c r="R1071" s="1209"/>
      <c r="S1071" s="1209"/>
      <c r="T1071" s="1209"/>
      <c r="U1071" s="1209"/>
      <c r="V1071" s="1209"/>
      <c r="W1071" s="1209"/>
      <c r="X1071" s="1209"/>
      <c r="Y1071" s="1209"/>
      <c r="Z1071" s="1209"/>
      <c r="AA1071" s="1209"/>
      <c r="AB1071" s="1209"/>
    </row>
    <row r="1072">
      <c r="A1072" s="1209"/>
      <c r="B1072" s="1209"/>
      <c r="C1072" s="1209"/>
      <c r="D1072" s="1267"/>
      <c r="E1072" s="1267"/>
      <c r="F1072" s="1267"/>
      <c r="G1072" s="1267"/>
      <c r="H1072" s="1267"/>
      <c r="I1072" s="1267"/>
      <c r="J1072" s="1267"/>
      <c r="K1072" s="1267"/>
      <c r="L1072" s="1267"/>
      <c r="M1072" s="1267"/>
      <c r="N1072" s="1267"/>
      <c r="O1072" s="1267"/>
      <c r="P1072" s="1267"/>
      <c r="Q1072" s="1209"/>
      <c r="R1072" s="1209"/>
      <c r="S1072" s="1209"/>
      <c r="T1072" s="1209"/>
      <c r="U1072" s="1209"/>
      <c r="V1072" s="1209"/>
      <c r="W1072" s="1209"/>
      <c r="X1072" s="1209"/>
      <c r="Y1072" s="1209"/>
      <c r="Z1072" s="1209"/>
      <c r="AA1072" s="1209"/>
      <c r="AB1072" s="1209"/>
    </row>
    <row r="1073">
      <c r="A1073" s="1209"/>
      <c r="B1073" s="1209"/>
      <c r="C1073" s="1209"/>
      <c r="D1073" s="1267"/>
      <c r="E1073" s="1267"/>
      <c r="F1073" s="1267"/>
      <c r="G1073" s="1267"/>
      <c r="H1073" s="1267"/>
      <c r="I1073" s="1267"/>
      <c r="J1073" s="1267"/>
      <c r="K1073" s="1267"/>
      <c r="L1073" s="1267"/>
      <c r="M1073" s="1267"/>
      <c r="N1073" s="1267"/>
      <c r="O1073" s="1267"/>
      <c r="P1073" s="1267"/>
      <c r="Q1073" s="1209"/>
      <c r="R1073" s="1209"/>
      <c r="S1073" s="1209"/>
      <c r="T1073" s="1209"/>
      <c r="U1073" s="1209"/>
      <c r="V1073" s="1209"/>
      <c r="W1073" s="1209"/>
      <c r="X1073" s="1209"/>
      <c r="Y1073" s="1209"/>
      <c r="Z1073" s="1209"/>
      <c r="AA1073" s="1209"/>
      <c r="AB1073" s="1209"/>
    </row>
    <row r="1074">
      <c r="A1074" s="1209"/>
      <c r="B1074" s="1209"/>
      <c r="C1074" s="1209"/>
      <c r="D1074" s="1267"/>
      <c r="E1074" s="1267"/>
      <c r="F1074" s="1267"/>
      <c r="G1074" s="1267"/>
      <c r="H1074" s="1267"/>
      <c r="I1074" s="1267"/>
      <c r="J1074" s="1267"/>
      <c r="K1074" s="1267"/>
      <c r="L1074" s="1267"/>
      <c r="M1074" s="1267"/>
      <c r="N1074" s="1267"/>
      <c r="O1074" s="1267"/>
      <c r="P1074" s="1267"/>
      <c r="Q1074" s="1209"/>
      <c r="R1074" s="1209"/>
      <c r="S1074" s="1209"/>
      <c r="T1074" s="1209"/>
      <c r="U1074" s="1209"/>
      <c r="V1074" s="1209"/>
      <c r="W1074" s="1209"/>
      <c r="X1074" s="1209"/>
      <c r="Y1074" s="1209"/>
      <c r="Z1074" s="1209"/>
      <c r="AA1074" s="1209"/>
      <c r="AB1074" s="1209"/>
    </row>
    <row r="1075">
      <c r="A1075" s="1209"/>
      <c r="B1075" s="1209"/>
      <c r="C1075" s="1209"/>
      <c r="D1075" s="1267"/>
      <c r="E1075" s="1267"/>
      <c r="F1075" s="1267"/>
      <c r="G1075" s="1267"/>
      <c r="H1075" s="1267"/>
      <c r="I1075" s="1267"/>
      <c r="J1075" s="1267"/>
      <c r="K1075" s="1267"/>
      <c r="L1075" s="1267"/>
      <c r="M1075" s="1267"/>
      <c r="N1075" s="1267"/>
      <c r="O1075" s="1267"/>
      <c r="P1075" s="1267"/>
      <c r="Q1075" s="1209"/>
      <c r="R1075" s="1209"/>
      <c r="S1075" s="1209"/>
      <c r="T1075" s="1209"/>
      <c r="U1075" s="1209"/>
      <c r="V1075" s="1209"/>
      <c r="W1075" s="1209"/>
      <c r="X1075" s="1209"/>
      <c r="Y1075" s="1209"/>
      <c r="Z1075" s="1209"/>
      <c r="AA1075" s="1209"/>
      <c r="AB1075" s="1209"/>
    </row>
    <row r="1076">
      <c r="A1076" s="1209"/>
      <c r="B1076" s="1209"/>
      <c r="C1076" s="1209"/>
      <c r="D1076" s="1267"/>
      <c r="E1076" s="1267"/>
      <c r="F1076" s="1267"/>
      <c r="G1076" s="1267"/>
      <c r="H1076" s="1267"/>
      <c r="I1076" s="1267"/>
      <c r="J1076" s="1267"/>
      <c r="K1076" s="1267"/>
      <c r="L1076" s="1267"/>
      <c r="M1076" s="1267"/>
      <c r="N1076" s="1267"/>
      <c r="O1076" s="1267"/>
      <c r="P1076" s="1267"/>
      <c r="Q1076" s="1209"/>
      <c r="R1076" s="1209"/>
      <c r="S1076" s="1209"/>
      <c r="T1076" s="1209"/>
      <c r="U1076" s="1209"/>
      <c r="V1076" s="1209"/>
      <c r="W1076" s="1209"/>
      <c r="X1076" s="1209"/>
      <c r="Y1076" s="1209"/>
      <c r="Z1076" s="1209"/>
      <c r="AA1076" s="1209"/>
      <c r="AB1076" s="1209"/>
    </row>
    <row r="1077">
      <c r="A1077" s="1209"/>
      <c r="B1077" s="1209"/>
      <c r="C1077" s="1209"/>
      <c r="D1077" s="1267"/>
      <c r="E1077" s="1267"/>
      <c r="F1077" s="1267"/>
      <c r="G1077" s="1267"/>
      <c r="H1077" s="1267"/>
      <c r="I1077" s="1267"/>
      <c r="J1077" s="1267"/>
      <c r="K1077" s="1267"/>
      <c r="L1077" s="1267"/>
      <c r="M1077" s="1267"/>
      <c r="N1077" s="1267"/>
      <c r="O1077" s="1267"/>
      <c r="P1077" s="1267"/>
      <c r="Q1077" s="1209"/>
      <c r="R1077" s="1209"/>
      <c r="S1077" s="1209"/>
      <c r="T1077" s="1209"/>
      <c r="U1077" s="1209"/>
      <c r="V1077" s="1209"/>
      <c r="W1077" s="1209"/>
      <c r="X1077" s="1209"/>
      <c r="Y1077" s="1209"/>
      <c r="Z1077" s="1209"/>
      <c r="AA1077" s="1209"/>
      <c r="AB1077" s="1209"/>
    </row>
    <row r="1078">
      <c r="A1078" s="1209"/>
      <c r="B1078" s="1209"/>
      <c r="C1078" s="1209"/>
      <c r="D1078" s="1267"/>
      <c r="E1078" s="1267"/>
      <c r="F1078" s="1267"/>
      <c r="G1078" s="1267"/>
      <c r="H1078" s="1267"/>
      <c r="I1078" s="1267"/>
      <c r="J1078" s="1267"/>
      <c r="K1078" s="1267"/>
      <c r="L1078" s="1267"/>
      <c r="M1078" s="1267"/>
      <c r="N1078" s="1267"/>
      <c r="O1078" s="1267"/>
      <c r="P1078" s="1267"/>
      <c r="Q1078" s="1209"/>
      <c r="R1078" s="1209"/>
      <c r="S1078" s="1209"/>
      <c r="T1078" s="1209"/>
      <c r="U1078" s="1209"/>
      <c r="V1078" s="1209"/>
      <c r="W1078" s="1209"/>
      <c r="X1078" s="1209"/>
      <c r="Y1078" s="1209"/>
      <c r="Z1078" s="1209"/>
      <c r="AA1078" s="1209"/>
      <c r="AB1078" s="1209"/>
    </row>
    <row r="1079">
      <c r="A1079" s="1209"/>
      <c r="B1079" s="1209"/>
      <c r="C1079" s="1209"/>
      <c r="D1079" s="1267"/>
      <c r="E1079" s="1267"/>
      <c r="F1079" s="1267"/>
      <c r="G1079" s="1267"/>
      <c r="H1079" s="1267"/>
      <c r="I1079" s="1267"/>
      <c r="J1079" s="1267"/>
      <c r="K1079" s="1267"/>
      <c r="L1079" s="1267"/>
      <c r="M1079" s="1267"/>
      <c r="N1079" s="1267"/>
      <c r="O1079" s="1267"/>
      <c r="P1079" s="1267"/>
      <c r="Q1079" s="1209"/>
      <c r="R1079" s="1209"/>
      <c r="S1079" s="1209"/>
      <c r="T1079" s="1209"/>
      <c r="U1079" s="1209"/>
      <c r="V1079" s="1209"/>
      <c r="W1079" s="1209"/>
      <c r="X1079" s="1209"/>
      <c r="Y1079" s="1209"/>
      <c r="Z1079" s="1209"/>
      <c r="AA1079" s="1209"/>
      <c r="AB1079" s="1209"/>
    </row>
    <row r="1080">
      <c r="A1080" s="1209"/>
      <c r="B1080" s="1209"/>
      <c r="C1080" s="1209"/>
      <c r="D1080" s="1267"/>
      <c r="E1080" s="1267"/>
      <c r="F1080" s="1267"/>
      <c r="G1080" s="1267"/>
      <c r="H1080" s="1267"/>
      <c r="I1080" s="1267"/>
      <c r="J1080" s="1267"/>
      <c r="K1080" s="1267"/>
      <c r="L1080" s="1267"/>
      <c r="M1080" s="1267"/>
      <c r="N1080" s="1267"/>
      <c r="O1080" s="1267"/>
      <c r="P1080" s="1267"/>
      <c r="Q1080" s="1209"/>
      <c r="R1080" s="1209"/>
      <c r="S1080" s="1209"/>
      <c r="T1080" s="1209"/>
      <c r="U1080" s="1209"/>
      <c r="V1080" s="1209"/>
      <c r="W1080" s="1209"/>
      <c r="X1080" s="1209"/>
      <c r="Y1080" s="1209"/>
      <c r="Z1080" s="1209"/>
      <c r="AA1080" s="1209"/>
      <c r="AB1080" s="1209"/>
    </row>
    <row r="1081">
      <c r="A1081" s="1209"/>
      <c r="B1081" s="1209"/>
      <c r="C1081" s="1209"/>
      <c r="D1081" s="1267"/>
      <c r="E1081" s="1267"/>
      <c r="F1081" s="1267"/>
      <c r="G1081" s="1267"/>
      <c r="H1081" s="1267"/>
      <c r="I1081" s="1267"/>
      <c r="J1081" s="1267"/>
      <c r="K1081" s="1267"/>
      <c r="L1081" s="1267"/>
      <c r="M1081" s="1267"/>
      <c r="N1081" s="1267"/>
      <c r="O1081" s="1267"/>
      <c r="P1081" s="1267"/>
      <c r="Q1081" s="1209"/>
      <c r="R1081" s="1209"/>
      <c r="S1081" s="1209"/>
      <c r="T1081" s="1209"/>
      <c r="U1081" s="1209"/>
      <c r="V1081" s="1209"/>
      <c r="W1081" s="1209"/>
      <c r="X1081" s="1209"/>
      <c r="Y1081" s="1209"/>
      <c r="Z1081" s="1209"/>
      <c r="AA1081" s="1209"/>
      <c r="AB1081" s="1209"/>
    </row>
    <row r="1082">
      <c r="A1082" s="1209"/>
      <c r="B1082" s="1209"/>
      <c r="C1082" s="1209"/>
      <c r="D1082" s="1267"/>
      <c r="E1082" s="1267"/>
      <c r="F1082" s="1267"/>
      <c r="G1082" s="1267"/>
      <c r="H1082" s="1267"/>
      <c r="I1082" s="1267"/>
      <c r="J1082" s="1267"/>
      <c r="K1082" s="1267"/>
      <c r="L1082" s="1267"/>
      <c r="M1082" s="1267"/>
      <c r="N1082" s="1267"/>
      <c r="O1082" s="1267"/>
      <c r="P1082" s="1267"/>
      <c r="Q1082" s="1209"/>
      <c r="R1082" s="1209"/>
      <c r="S1082" s="1209"/>
      <c r="T1082" s="1209"/>
      <c r="U1082" s="1209"/>
      <c r="V1082" s="1209"/>
      <c r="W1082" s="1209"/>
      <c r="X1082" s="1209"/>
      <c r="Y1082" s="1209"/>
      <c r="Z1082" s="1209"/>
      <c r="AA1082" s="1209"/>
      <c r="AB1082" s="1209"/>
    </row>
    <row r="1083">
      <c r="A1083" s="1209"/>
      <c r="B1083" s="1209"/>
      <c r="C1083" s="1209"/>
      <c r="D1083" s="1267"/>
      <c r="E1083" s="1267"/>
      <c r="F1083" s="1267"/>
      <c r="G1083" s="1267"/>
      <c r="H1083" s="1267"/>
      <c r="I1083" s="1267"/>
      <c r="J1083" s="1267"/>
      <c r="K1083" s="1267"/>
      <c r="L1083" s="1267"/>
      <c r="M1083" s="1267"/>
      <c r="N1083" s="1267"/>
      <c r="O1083" s="1267"/>
      <c r="P1083" s="1267"/>
      <c r="Q1083" s="1209"/>
      <c r="R1083" s="1209"/>
      <c r="S1083" s="1209"/>
      <c r="T1083" s="1209"/>
      <c r="U1083" s="1209"/>
      <c r="V1083" s="1209"/>
      <c r="W1083" s="1209"/>
      <c r="X1083" s="1209"/>
      <c r="Y1083" s="1209"/>
      <c r="Z1083" s="1209"/>
      <c r="AA1083" s="1209"/>
      <c r="AB1083" s="1209"/>
    </row>
    <row r="1084">
      <c r="A1084" s="1209"/>
      <c r="B1084" s="1209"/>
      <c r="C1084" s="1209"/>
      <c r="D1084" s="1267"/>
      <c r="E1084" s="1267"/>
      <c r="F1084" s="1267"/>
      <c r="G1084" s="1267"/>
      <c r="H1084" s="1267"/>
      <c r="I1084" s="1267"/>
      <c r="J1084" s="1267"/>
      <c r="K1084" s="1267"/>
      <c r="L1084" s="1267"/>
      <c r="M1084" s="1267"/>
      <c r="N1084" s="1267"/>
      <c r="O1084" s="1267"/>
      <c r="P1084" s="1267"/>
      <c r="Q1084" s="1209"/>
      <c r="R1084" s="1209"/>
      <c r="S1084" s="1209"/>
      <c r="T1084" s="1209"/>
      <c r="U1084" s="1209"/>
      <c r="V1084" s="1209"/>
      <c r="W1084" s="1209"/>
      <c r="X1084" s="1209"/>
      <c r="Y1084" s="1209"/>
      <c r="Z1084" s="1209"/>
      <c r="AA1084" s="1209"/>
      <c r="AB1084" s="1209"/>
    </row>
    <row r="1085">
      <c r="A1085" s="1209"/>
      <c r="B1085" s="1209"/>
      <c r="C1085" s="1209"/>
      <c r="D1085" s="1267"/>
      <c r="E1085" s="1267"/>
      <c r="F1085" s="1267"/>
      <c r="G1085" s="1267"/>
      <c r="H1085" s="1267"/>
      <c r="I1085" s="1267"/>
      <c r="J1085" s="1267"/>
      <c r="K1085" s="1267"/>
      <c r="L1085" s="1267"/>
      <c r="M1085" s="1267"/>
      <c r="N1085" s="1267"/>
      <c r="O1085" s="1267"/>
      <c r="P1085" s="1267"/>
      <c r="Q1085" s="1209"/>
      <c r="R1085" s="1209"/>
      <c r="S1085" s="1209"/>
      <c r="T1085" s="1209"/>
      <c r="U1085" s="1209"/>
      <c r="V1085" s="1209"/>
      <c r="W1085" s="1209"/>
      <c r="X1085" s="1209"/>
      <c r="Y1085" s="1209"/>
      <c r="Z1085" s="1209"/>
      <c r="AA1085" s="1209"/>
      <c r="AB1085" s="1209"/>
    </row>
    <row r="1086">
      <c r="A1086" s="1209"/>
      <c r="B1086" s="1209"/>
      <c r="C1086" s="1209"/>
      <c r="D1086" s="1267"/>
      <c r="E1086" s="1267"/>
      <c r="F1086" s="1267"/>
      <c r="G1086" s="1267"/>
      <c r="H1086" s="1267"/>
      <c r="I1086" s="1267"/>
      <c r="J1086" s="1267"/>
      <c r="K1086" s="1267"/>
      <c r="L1086" s="1267"/>
      <c r="M1086" s="1267"/>
      <c r="N1086" s="1267"/>
      <c r="O1086" s="1267"/>
      <c r="P1086" s="1267"/>
      <c r="Q1086" s="1209"/>
      <c r="R1086" s="1209"/>
      <c r="S1086" s="1209"/>
      <c r="T1086" s="1209"/>
      <c r="U1086" s="1209"/>
      <c r="V1086" s="1209"/>
      <c r="W1086" s="1209"/>
      <c r="X1086" s="1209"/>
      <c r="Y1086" s="1209"/>
      <c r="Z1086" s="1209"/>
      <c r="AA1086" s="1209"/>
      <c r="AB1086" s="1209"/>
    </row>
    <row r="1087">
      <c r="A1087" s="1209"/>
      <c r="B1087" s="1209"/>
      <c r="C1087" s="1209"/>
      <c r="D1087" s="1267"/>
      <c r="E1087" s="1267"/>
      <c r="F1087" s="1267"/>
      <c r="G1087" s="1267"/>
      <c r="H1087" s="1267"/>
      <c r="I1087" s="1267"/>
      <c r="J1087" s="1267"/>
      <c r="K1087" s="1267"/>
      <c r="L1087" s="1267"/>
      <c r="M1087" s="1267"/>
      <c r="N1087" s="1267"/>
      <c r="O1087" s="1267"/>
      <c r="P1087" s="1267"/>
      <c r="Q1087" s="1209"/>
      <c r="R1087" s="1209"/>
      <c r="S1087" s="1209"/>
      <c r="T1087" s="1209"/>
      <c r="U1087" s="1209"/>
      <c r="V1087" s="1209"/>
      <c r="W1087" s="1209"/>
      <c r="X1087" s="1209"/>
      <c r="Y1087" s="1209"/>
      <c r="Z1087" s="1209"/>
      <c r="AA1087" s="1209"/>
      <c r="AB1087" s="1209"/>
    </row>
    <row r="1088">
      <c r="A1088" s="1209"/>
      <c r="B1088" s="1209"/>
      <c r="C1088" s="1209"/>
      <c r="D1088" s="1267"/>
      <c r="E1088" s="1267"/>
      <c r="F1088" s="1267"/>
      <c r="G1088" s="1267"/>
      <c r="H1088" s="1267"/>
      <c r="I1088" s="1267"/>
      <c r="J1088" s="1267"/>
      <c r="K1088" s="1267"/>
      <c r="L1088" s="1267"/>
      <c r="M1088" s="1267"/>
      <c r="N1088" s="1267"/>
      <c r="O1088" s="1267"/>
      <c r="P1088" s="1267"/>
      <c r="Q1088" s="1209"/>
      <c r="R1088" s="1209"/>
      <c r="S1088" s="1209"/>
      <c r="T1088" s="1209"/>
      <c r="U1088" s="1209"/>
      <c r="V1088" s="1209"/>
      <c r="W1088" s="1209"/>
      <c r="X1088" s="1209"/>
      <c r="Y1088" s="1209"/>
      <c r="Z1088" s="1209"/>
      <c r="AA1088" s="1209"/>
      <c r="AB1088" s="1209"/>
    </row>
    <row r="1089">
      <c r="A1089" s="1209"/>
      <c r="B1089" s="1209"/>
      <c r="C1089" s="1209"/>
      <c r="D1089" s="1267"/>
      <c r="E1089" s="1267"/>
      <c r="F1089" s="1267"/>
      <c r="G1089" s="1267"/>
      <c r="H1089" s="1267"/>
      <c r="I1089" s="1267"/>
      <c r="J1089" s="1267"/>
      <c r="K1089" s="1267"/>
      <c r="L1089" s="1267"/>
      <c r="M1089" s="1267"/>
      <c r="N1089" s="1267"/>
      <c r="O1089" s="1267"/>
      <c r="P1089" s="1267"/>
      <c r="Q1089" s="1209"/>
      <c r="R1089" s="1209"/>
      <c r="S1089" s="1209"/>
      <c r="T1089" s="1209"/>
      <c r="U1089" s="1209"/>
      <c r="V1089" s="1209"/>
      <c r="W1089" s="1209"/>
      <c r="X1089" s="1209"/>
      <c r="Y1089" s="1209"/>
      <c r="Z1089" s="1209"/>
      <c r="AA1089" s="1209"/>
      <c r="AB1089" s="1209"/>
    </row>
    <row r="1090">
      <c r="A1090" s="1209"/>
      <c r="B1090" s="1209"/>
      <c r="C1090" s="1209"/>
      <c r="D1090" s="1267"/>
      <c r="E1090" s="1267"/>
      <c r="F1090" s="1267"/>
      <c r="G1090" s="1267"/>
      <c r="H1090" s="1267"/>
      <c r="I1090" s="1267"/>
      <c r="J1090" s="1267"/>
      <c r="K1090" s="1267"/>
      <c r="L1090" s="1267"/>
      <c r="M1090" s="1267"/>
      <c r="N1090" s="1267"/>
      <c r="O1090" s="1267"/>
      <c r="P1090" s="1267"/>
      <c r="Q1090" s="1209"/>
      <c r="R1090" s="1209"/>
      <c r="S1090" s="1209"/>
      <c r="T1090" s="1209"/>
      <c r="U1090" s="1209"/>
      <c r="V1090" s="1209"/>
      <c r="W1090" s="1209"/>
      <c r="X1090" s="1209"/>
      <c r="Y1090" s="1209"/>
      <c r="Z1090" s="1209"/>
      <c r="AA1090" s="1209"/>
      <c r="AB1090" s="1209"/>
    </row>
    <row r="1091">
      <c r="A1091" s="1209"/>
      <c r="B1091" s="1209"/>
      <c r="C1091" s="1209"/>
      <c r="D1091" s="1267"/>
      <c r="E1091" s="1267"/>
      <c r="F1091" s="1267"/>
      <c r="G1091" s="1267"/>
      <c r="H1091" s="1267"/>
      <c r="I1091" s="1267"/>
      <c r="J1091" s="1267"/>
      <c r="K1091" s="1267"/>
      <c r="L1091" s="1267"/>
      <c r="M1091" s="1267"/>
      <c r="N1091" s="1267"/>
      <c r="O1091" s="1267"/>
      <c r="P1091" s="1267"/>
      <c r="Q1091" s="1209"/>
      <c r="R1091" s="1209"/>
      <c r="S1091" s="1209"/>
      <c r="T1091" s="1209"/>
      <c r="U1091" s="1209"/>
      <c r="V1091" s="1209"/>
      <c r="W1091" s="1209"/>
      <c r="X1091" s="1209"/>
      <c r="Y1091" s="1209"/>
      <c r="Z1091" s="1209"/>
      <c r="AA1091" s="1209"/>
      <c r="AB1091" s="1209"/>
    </row>
    <row r="1092">
      <c r="A1092" s="1209"/>
      <c r="B1092" s="1209"/>
      <c r="C1092" s="1209"/>
      <c r="D1092" s="1267"/>
      <c r="E1092" s="1267"/>
      <c r="F1092" s="1267"/>
      <c r="G1092" s="1267"/>
      <c r="H1092" s="1267"/>
      <c r="I1092" s="1267"/>
      <c r="J1092" s="1267"/>
      <c r="K1092" s="1267"/>
      <c r="L1092" s="1267"/>
      <c r="M1092" s="1267"/>
      <c r="N1092" s="1267"/>
      <c r="O1092" s="1267"/>
      <c r="P1092" s="1267"/>
      <c r="Q1092" s="1209"/>
      <c r="R1092" s="1209"/>
      <c r="S1092" s="1209"/>
      <c r="T1092" s="1209"/>
      <c r="U1092" s="1209"/>
      <c r="V1092" s="1209"/>
      <c r="W1092" s="1209"/>
      <c r="X1092" s="1209"/>
      <c r="Y1092" s="1209"/>
      <c r="Z1092" s="1209"/>
      <c r="AA1092" s="1209"/>
      <c r="AB1092" s="1209"/>
    </row>
    <row r="1093">
      <c r="A1093" s="1209"/>
      <c r="B1093" s="1209"/>
      <c r="C1093" s="1209"/>
      <c r="D1093" s="1267"/>
      <c r="E1093" s="1267"/>
      <c r="F1093" s="1267"/>
      <c r="G1093" s="1267"/>
      <c r="H1093" s="1267"/>
      <c r="I1093" s="1267"/>
      <c r="J1093" s="1267"/>
      <c r="K1093" s="1267"/>
      <c r="L1093" s="1267"/>
      <c r="M1093" s="1267"/>
      <c r="N1093" s="1267"/>
      <c r="O1093" s="1267"/>
      <c r="P1093" s="1267"/>
      <c r="Q1093" s="1209"/>
      <c r="R1093" s="1209"/>
      <c r="S1093" s="1209"/>
      <c r="T1093" s="1209"/>
      <c r="U1093" s="1209"/>
      <c r="V1093" s="1209"/>
      <c r="W1093" s="1209"/>
      <c r="X1093" s="1209"/>
      <c r="Y1093" s="1209"/>
      <c r="Z1093" s="1209"/>
      <c r="AA1093" s="1209"/>
      <c r="AB1093" s="1209"/>
    </row>
    <row r="1094">
      <c r="A1094" s="1209"/>
      <c r="B1094" s="1209"/>
      <c r="C1094" s="1209"/>
      <c r="D1094" s="1267"/>
      <c r="E1094" s="1267"/>
      <c r="F1094" s="1267"/>
      <c r="G1094" s="1267"/>
      <c r="H1094" s="1267"/>
      <c r="I1094" s="1267"/>
      <c r="J1094" s="1267"/>
      <c r="K1094" s="1267"/>
      <c r="L1094" s="1267"/>
      <c r="M1094" s="1267"/>
      <c r="N1094" s="1267"/>
      <c r="O1094" s="1267"/>
      <c r="P1094" s="1267"/>
      <c r="Q1094" s="1209"/>
      <c r="R1094" s="1209"/>
      <c r="S1094" s="1209"/>
      <c r="T1094" s="1209"/>
      <c r="U1094" s="1209"/>
      <c r="V1094" s="1209"/>
      <c r="W1094" s="1209"/>
      <c r="X1094" s="1209"/>
      <c r="Y1094" s="1209"/>
      <c r="Z1094" s="1209"/>
      <c r="AA1094" s="1209"/>
      <c r="AB1094" s="1209"/>
    </row>
    <row r="1095">
      <c r="A1095" s="1209"/>
      <c r="B1095" s="1209"/>
      <c r="C1095" s="1209"/>
      <c r="D1095" s="1267"/>
      <c r="E1095" s="1267"/>
      <c r="F1095" s="1267"/>
      <c r="G1095" s="1267"/>
      <c r="H1095" s="1267"/>
      <c r="I1095" s="1267"/>
      <c r="J1095" s="1267"/>
      <c r="K1095" s="1267"/>
      <c r="L1095" s="1267"/>
      <c r="M1095" s="1267"/>
      <c r="N1095" s="1267"/>
      <c r="O1095" s="1267"/>
      <c r="P1095" s="1267"/>
      <c r="Q1095" s="1209"/>
      <c r="R1095" s="1209"/>
      <c r="S1095" s="1209"/>
      <c r="T1095" s="1209"/>
      <c r="U1095" s="1209"/>
      <c r="V1095" s="1209"/>
      <c r="W1095" s="1209"/>
      <c r="X1095" s="1209"/>
      <c r="Y1095" s="1209"/>
      <c r="Z1095" s="1209"/>
      <c r="AA1095" s="1209"/>
      <c r="AB1095" s="1209"/>
    </row>
    <row r="1096">
      <c r="A1096" s="1209"/>
      <c r="B1096" s="1209"/>
      <c r="C1096" s="1209"/>
      <c r="D1096" s="1267"/>
      <c r="E1096" s="1267"/>
      <c r="F1096" s="1267"/>
      <c r="G1096" s="1267"/>
      <c r="H1096" s="1267"/>
      <c r="I1096" s="1267"/>
      <c r="J1096" s="1267"/>
      <c r="K1096" s="1267"/>
      <c r="L1096" s="1267"/>
      <c r="M1096" s="1267"/>
      <c r="N1096" s="1267"/>
      <c r="O1096" s="1267"/>
      <c r="P1096" s="1267"/>
      <c r="Q1096" s="1209"/>
      <c r="R1096" s="1209"/>
      <c r="S1096" s="1209"/>
      <c r="T1096" s="1209"/>
      <c r="U1096" s="1209"/>
      <c r="V1096" s="1209"/>
      <c r="W1096" s="1209"/>
      <c r="X1096" s="1209"/>
      <c r="Y1096" s="1209"/>
      <c r="Z1096" s="1209"/>
      <c r="AA1096" s="1209"/>
      <c r="AB1096" s="1209"/>
    </row>
    <row r="1097">
      <c r="A1097" s="1209"/>
      <c r="B1097" s="1209"/>
      <c r="C1097" s="1209"/>
      <c r="D1097" s="1267"/>
      <c r="E1097" s="1267"/>
      <c r="F1097" s="1267"/>
      <c r="G1097" s="1267"/>
      <c r="H1097" s="1267"/>
      <c r="I1097" s="1267"/>
      <c r="J1097" s="1267"/>
      <c r="K1097" s="1267"/>
      <c r="L1097" s="1267"/>
      <c r="M1097" s="1267"/>
      <c r="N1097" s="1267"/>
      <c r="O1097" s="1267"/>
      <c r="P1097" s="1267"/>
      <c r="Q1097" s="1209"/>
      <c r="R1097" s="1209"/>
      <c r="S1097" s="1209"/>
      <c r="T1097" s="1209"/>
      <c r="U1097" s="1209"/>
      <c r="V1097" s="1209"/>
      <c r="W1097" s="1209"/>
      <c r="X1097" s="1209"/>
      <c r="Y1097" s="1209"/>
      <c r="Z1097" s="1209"/>
      <c r="AA1097" s="1209"/>
      <c r="AB1097" s="1209"/>
    </row>
    <row r="1098">
      <c r="A1098" s="1209"/>
      <c r="B1098" s="1209"/>
      <c r="C1098" s="1209"/>
      <c r="D1098" s="1267"/>
      <c r="E1098" s="1267"/>
      <c r="F1098" s="1267"/>
      <c r="G1098" s="1267"/>
      <c r="H1098" s="1267"/>
      <c r="I1098" s="1267"/>
      <c r="J1098" s="1267"/>
      <c r="K1098" s="1267"/>
      <c r="L1098" s="1267"/>
      <c r="M1098" s="1267"/>
      <c r="N1098" s="1267"/>
      <c r="O1098" s="1267"/>
      <c r="P1098" s="1267"/>
      <c r="Q1098" s="1209"/>
      <c r="R1098" s="1209"/>
      <c r="S1098" s="1209"/>
      <c r="T1098" s="1209"/>
      <c r="U1098" s="1209"/>
      <c r="V1098" s="1209"/>
      <c r="W1098" s="1209"/>
      <c r="X1098" s="1209"/>
      <c r="Y1098" s="1209"/>
      <c r="Z1098" s="1209"/>
      <c r="AA1098" s="1209"/>
      <c r="AB1098" s="1209"/>
    </row>
    <row r="1099">
      <c r="A1099" s="1209"/>
      <c r="B1099" s="1209"/>
      <c r="C1099" s="1209"/>
      <c r="D1099" s="1267"/>
      <c r="E1099" s="1267"/>
      <c r="F1099" s="1267"/>
      <c r="G1099" s="1267"/>
      <c r="H1099" s="1267"/>
      <c r="I1099" s="1267"/>
      <c r="J1099" s="1267"/>
      <c r="K1099" s="1267"/>
      <c r="L1099" s="1267"/>
      <c r="M1099" s="1267"/>
      <c r="N1099" s="1267"/>
      <c r="O1099" s="1267"/>
      <c r="P1099" s="1267"/>
      <c r="Q1099" s="1209"/>
      <c r="R1099" s="1209"/>
      <c r="S1099" s="1209"/>
      <c r="T1099" s="1209"/>
      <c r="U1099" s="1209"/>
      <c r="V1099" s="1209"/>
      <c r="W1099" s="1209"/>
      <c r="X1099" s="1209"/>
      <c r="Y1099" s="1209"/>
      <c r="Z1099" s="1209"/>
      <c r="AA1099" s="1209"/>
      <c r="AB1099" s="1209"/>
    </row>
    <row r="1100">
      <c r="A1100" s="1209"/>
      <c r="B1100" s="1209"/>
      <c r="C1100" s="1209"/>
      <c r="D1100" s="1267"/>
      <c r="E1100" s="1267"/>
      <c r="F1100" s="1267"/>
      <c r="G1100" s="1267"/>
      <c r="H1100" s="1267"/>
      <c r="I1100" s="1267"/>
      <c r="J1100" s="1267"/>
      <c r="K1100" s="1267"/>
      <c r="L1100" s="1267"/>
      <c r="M1100" s="1267"/>
      <c r="N1100" s="1267"/>
      <c r="O1100" s="1267"/>
      <c r="P1100" s="1267"/>
      <c r="Q1100" s="1209"/>
      <c r="R1100" s="1209"/>
      <c r="S1100" s="1209"/>
      <c r="T1100" s="1209"/>
      <c r="U1100" s="1209"/>
      <c r="V1100" s="1209"/>
      <c r="W1100" s="1209"/>
      <c r="X1100" s="1209"/>
      <c r="Y1100" s="1209"/>
      <c r="Z1100" s="1209"/>
      <c r="AA1100" s="1209"/>
      <c r="AB1100" s="1209"/>
    </row>
    <row r="1101">
      <c r="A1101" s="1209"/>
      <c r="B1101" s="1209"/>
      <c r="C1101" s="1209"/>
      <c r="D1101" s="1267"/>
      <c r="E1101" s="1267"/>
      <c r="F1101" s="1267"/>
      <c r="G1101" s="1267"/>
      <c r="H1101" s="1267"/>
      <c r="I1101" s="1267"/>
      <c r="J1101" s="1267"/>
      <c r="K1101" s="1267"/>
      <c r="L1101" s="1267"/>
      <c r="M1101" s="1267"/>
      <c r="N1101" s="1267"/>
      <c r="O1101" s="1267"/>
      <c r="P1101" s="1267"/>
      <c r="Q1101" s="1209"/>
      <c r="R1101" s="1209"/>
      <c r="S1101" s="1209"/>
      <c r="T1101" s="1209"/>
      <c r="U1101" s="1209"/>
      <c r="V1101" s="1209"/>
      <c r="W1101" s="1209"/>
      <c r="X1101" s="1209"/>
      <c r="Y1101" s="1209"/>
      <c r="Z1101" s="1209"/>
      <c r="AA1101" s="1209"/>
      <c r="AB1101" s="1209"/>
    </row>
    <row r="1102">
      <c r="A1102" s="1209"/>
      <c r="B1102" s="1209"/>
      <c r="C1102" s="1209"/>
      <c r="D1102" s="1267"/>
      <c r="E1102" s="1267"/>
      <c r="F1102" s="1267"/>
      <c r="G1102" s="1267"/>
      <c r="H1102" s="1267"/>
      <c r="I1102" s="1267"/>
      <c r="J1102" s="1267"/>
      <c r="K1102" s="1267"/>
      <c r="L1102" s="1267"/>
      <c r="M1102" s="1267"/>
      <c r="N1102" s="1267"/>
      <c r="O1102" s="1267"/>
      <c r="P1102" s="1267"/>
      <c r="Q1102" s="1209"/>
      <c r="R1102" s="1209"/>
      <c r="S1102" s="1209"/>
      <c r="T1102" s="1209"/>
      <c r="U1102" s="1209"/>
      <c r="V1102" s="1209"/>
      <c r="W1102" s="1209"/>
      <c r="X1102" s="1209"/>
      <c r="Y1102" s="1209"/>
      <c r="Z1102" s="1209"/>
      <c r="AA1102" s="1209"/>
      <c r="AB1102" s="1209"/>
    </row>
    <row r="1103">
      <c r="A1103" s="1209"/>
      <c r="B1103" s="1209"/>
      <c r="C1103" s="1209"/>
      <c r="D1103" s="1267"/>
      <c r="E1103" s="1267"/>
      <c r="F1103" s="1267"/>
      <c r="G1103" s="1267"/>
      <c r="H1103" s="1267"/>
      <c r="I1103" s="1267"/>
      <c r="J1103" s="1267"/>
      <c r="K1103" s="1267"/>
      <c r="L1103" s="1267"/>
      <c r="M1103" s="1267"/>
      <c r="N1103" s="1267"/>
      <c r="O1103" s="1267"/>
      <c r="P1103" s="1267"/>
      <c r="Q1103" s="1209"/>
      <c r="R1103" s="1209"/>
      <c r="S1103" s="1209"/>
      <c r="T1103" s="1209"/>
      <c r="U1103" s="1209"/>
      <c r="V1103" s="1209"/>
      <c r="W1103" s="1209"/>
      <c r="X1103" s="1209"/>
      <c r="Y1103" s="1209"/>
      <c r="Z1103" s="1209"/>
      <c r="AA1103" s="1209"/>
      <c r="AB1103" s="1209"/>
    </row>
    <row r="1104">
      <c r="A1104" s="1209"/>
      <c r="B1104" s="1209"/>
      <c r="C1104" s="1209"/>
      <c r="D1104" s="1267"/>
      <c r="E1104" s="1267"/>
      <c r="F1104" s="1267"/>
      <c r="G1104" s="1267"/>
      <c r="H1104" s="1267"/>
      <c r="I1104" s="1267"/>
      <c r="J1104" s="1267"/>
      <c r="K1104" s="1267"/>
      <c r="L1104" s="1267"/>
      <c r="M1104" s="1267"/>
      <c r="N1104" s="1267"/>
      <c r="O1104" s="1267"/>
      <c r="P1104" s="1267"/>
      <c r="Q1104" s="1209"/>
      <c r="R1104" s="1209"/>
      <c r="S1104" s="1209"/>
      <c r="T1104" s="1209"/>
      <c r="U1104" s="1209"/>
      <c r="V1104" s="1209"/>
      <c r="W1104" s="1209"/>
      <c r="X1104" s="1209"/>
      <c r="Y1104" s="1209"/>
      <c r="Z1104" s="1209"/>
      <c r="AA1104" s="1209"/>
      <c r="AB1104" s="1209"/>
    </row>
    <row r="1105">
      <c r="A1105" s="1209"/>
      <c r="B1105" s="1209"/>
      <c r="C1105" s="1209"/>
      <c r="D1105" s="1267"/>
      <c r="E1105" s="1267"/>
      <c r="F1105" s="1267"/>
      <c r="G1105" s="1267"/>
      <c r="H1105" s="1267"/>
      <c r="I1105" s="1267"/>
      <c r="J1105" s="1267"/>
      <c r="K1105" s="1267"/>
      <c r="L1105" s="1267"/>
      <c r="M1105" s="1267"/>
      <c r="N1105" s="1267"/>
      <c r="O1105" s="1267"/>
      <c r="P1105" s="1267"/>
      <c r="Q1105" s="1209"/>
      <c r="R1105" s="1209"/>
      <c r="S1105" s="1209"/>
      <c r="T1105" s="1209"/>
      <c r="U1105" s="1209"/>
      <c r="V1105" s="1209"/>
      <c r="W1105" s="1209"/>
      <c r="X1105" s="1209"/>
      <c r="Y1105" s="1209"/>
      <c r="Z1105" s="1209"/>
      <c r="AA1105" s="1209"/>
      <c r="AB1105" s="1209"/>
    </row>
    <row r="1106">
      <c r="A1106" s="1209"/>
      <c r="B1106" s="1209"/>
      <c r="C1106" s="1209"/>
      <c r="D1106" s="1267"/>
      <c r="E1106" s="1267"/>
      <c r="F1106" s="1267"/>
      <c r="G1106" s="1267"/>
      <c r="H1106" s="1267"/>
      <c r="I1106" s="1267"/>
      <c r="J1106" s="1267"/>
      <c r="K1106" s="1267"/>
      <c r="L1106" s="1267"/>
      <c r="M1106" s="1267"/>
      <c r="N1106" s="1267"/>
      <c r="O1106" s="1267"/>
      <c r="P1106" s="1267"/>
      <c r="Q1106" s="1209"/>
      <c r="R1106" s="1209"/>
      <c r="S1106" s="1209"/>
      <c r="T1106" s="1209"/>
      <c r="U1106" s="1209"/>
      <c r="V1106" s="1209"/>
      <c r="W1106" s="1209"/>
      <c r="X1106" s="1209"/>
      <c r="Y1106" s="1209"/>
      <c r="Z1106" s="1209"/>
      <c r="AA1106" s="1209"/>
      <c r="AB1106" s="1209"/>
    </row>
    <row r="1107">
      <c r="A1107" s="1209"/>
      <c r="B1107" s="1209"/>
      <c r="C1107" s="1209"/>
      <c r="D1107" s="1267"/>
      <c r="E1107" s="1267"/>
      <c r="F1107" s="1267"/>
      <c r="G1107" s="1267"/>
      <c r="H1107" s="1267"/>
      <c r="I1107" s="1267"/>
      <c r="J1107" s="1267"/>
      <c r="K1107" s="1267"/>
      <c r="L1107" s="1267"/>
      <c r="M1107" s="1267"/>
      <c r="N1107" s="1267"/>
      <c r="O1107" s="1267"/>
      <c r="P1107" s="1267"/>
      <c r="Q1107" s="1209"/>
      <c r="R1107" s="1209"/>
      <c r="S1107" s="1209"/>
      <c r="T1107" s="1209"/>
      <c r="U1107" s="1209"/>
      <c r="V1107" s="1209"/>
      <c r="W1107" s="1209"/>
      <c r="X1107" s="1209"/>
      <c r="Y1107" s="1209"/>
      <c r="Z1107" s="1209"/>
      <c r="AA1107" s="1209"/>
      <c r="AB1107" s="1209"/>
    </row>
    <row r="1108">
      <c r="A1108" s="1209"/>
      <c r="B1108" s="1209"/>
      <c r="C1108" s="1209"/>
      <c r="D1108" s="1267"/>
      <c r="E1108" s="1267"/>
      <c r="F1108" s="1267"/>
      <c r="G1108" s="1267"/>
      <c r="H1108" s="1267"/>
      <c r="I1108" s="1267"/>
      <c r="J1108" s="1267"/>
      <c r="K1108" s="1267"/>
      <c r="L1108" s="1267"/>
      <c r="M1108" s="1267"/>
      <c r="N1108" s="1267"/>
      <c r="O1108" s="1267"/>
      <c r="P1108" s="1267"/>
      <c r="Q1108" s="1209"/>
      <c r="R1108" s="1209"/>
      <c r="S1108" s="1209"/>
      <c r="T1108" s="1209"/>
      <c r="U1108" s="1209"/>
      <c r="V1108" s="1209"/>
      <c r="W1108" s="1209"/>
      <c r="X1108" s="1209"/>
      <c r="Y1108" s="1209"/>
      <c r="Z1108" s="1209"/>
      <c r="AA1108" s="1209"/>
      <c r="AB1108" s="1209"/>
    </row>
    <row r="1109">
      <c r="A1109" s="1209"/>
      <c r="B1109" s="1209"/>
      <c r="C1109" s="1209"/>
      <c r="D1109" s="1267"/>
      <c r="E1109" s="1267"/>
      <c r="F1109" s="1267"/>
      <c r="G1109" s="1267"/>
      <c r="H1109" s="1267"/>
      <c r="I1109" s="1267"/>
      <c r="J1109" s="1267"/>
      <c r="K1109" s="1267"/>
      <c r="L1109" s="1267"/>
      <c r="M1109" s="1267"/>
      <c r="N1109" s="1267"/>
      <c r="O1109" s="1267"/>
      <c r="P1109" s="1267"/>
      <c r="Q1109" s="1209"/>
      <c r="R1109" s="1209"/>
      <c r="S1109" s="1209"/>
      <c r="T1109" s="1209"/>
      <c r="U1109" s="1209"/>
      <c r="V1109" s="1209"/>
      <c r="W1109" s="1209"/>
      <c r="X1109" s="1209"/>
      <c r="Y1109" s="1209"/>
      <c r="Z1109" s="1209"/>
      <c r="AA1109" s="1209"/>
      <c r="AB1109" s="1209"/>
    </row>
    <row r="1110">
      <c r="A1110" s="1209"/>
      <c r="B1110" s="1209"/>
      <c r="C1110" s="1209"/>
      <c r="D1110" s="1267"/>
      <c r="E1110" s="1267"/>
      <c r="F1110" s="1267"/>
      <c r="G1110" s="1267"/>
      <c r="H1110" s="1267"/>
      <c r="I1110" s="1267"/>
      <c r="J1110" s="1267"/>
      <c r="K1110" s="1267"/>
      <c r="L1110" s="1267"/>
      <c r="M1110" s="1267"/>
      <c r="N1110" s="1267"/>
      <c r="O1110" s="1267"/>
      <c r="P1110" s="1267"/>
      <c r="Q1110" s="1209"/>
      <c r="R1110" s="1209"/>
      <c r="S1110" s="1209"/>
      <c r="T1110" s="1209"/>
      <c r="U1110" s="1209"/>
      <c r="V1110" s="1209"/>
      <c r="W1110" s="1209"/>
      <c r="X1110" s="1209"/>
      <c r="Y1110" s="1209"/>
      <c r="Z1110" s="1209"/>
      <c r="AA1110" s="1209"/>
      <c r="AB1110" s="1209"/>
    </row>
    <row r="1111">
      <c r="A1111" s="1209"/>
      <c r="B1111" s="1209"/>
      <c r="C1111" s="1209"/>
      <c r="D1111" s="1267"/>
      <c r="E1111" s="1267"/>
      <c r="F1111" s="1267"/>
      <c r="G1111" s="1267"/>
      <c r="H1111" s="1267"/>
      <c r="I1111" s="1267"/>
      <c r="J1111" s="1267"/>
      <c r="K1111" s="1267"/>
      <c r="L1111" s="1267"/>
      <c r="M1111" s="1267"/>
      <c r="N1111" s="1267"/>
      <c r="O1111" s="1267"/>
      <c r="P1111" s="1267"/>
      <c r="Q1111" s="1209"/>
      <c r="R1111" s="1209"/>
      <c r="S1111" s="1209"/>
      <c r="T1111" s="1209"/>
      <c r="U1111" s="1209"/>
      <c r="V1111" s="1209"/>
      <c r="W1111" s="1209"/>
      <c r="X1111" s="1209"/>
      <c r="Y1111" s="1209"/>
      <c r="Z1111" s="1209"/>
      <c r="AA1111" s="1209"/>
      <c r="AB1111" s="1209"/>
    </row>
    <row r="1112">
      <c r="A1112" s="1209"/>
      <c r="B1112" s="1209"/>
      <c r="C1112" s="1209"/>
      <c r="D1112" s="1267"/>
      <c r="E1112" s="1267"/>
      <c r="F1112" s="1267"/>
      <c r="G1112" s="1267"/>
      <c r="H1112" s="1267"/>
      <c r="I1112" s="1267"/>
      <c r="J1112" s="1267"/>
      <c r="K1112" s="1267"/>
      <c r="L1112" s="1267"/>
      <c r="M1112" s="1267"/>
      <c r="N1112" s="1267"/>
      <c r="O1112" s="1267"/>
      <c r="P1112" s="1267"/>
      <c r="Q1112" s="1209"/>
      <c r="R1112" s="1209"/>
      <c r="S1112" s="1209"/>
      <c r="T1112" s="1209"/>
      <c r="U1112" s="1209"/>
      <c r="V1112" s="1209"/>
      <c r="W1112" s="1209"/>
      <c r="X1112" s="1209"/>
      <c r="Y1112" s="1209"/>
      <c r="Z1112" s="1209"/>
      <c r="AA1112" s="1209"/>
      <c r="AB1112" s="1209"/>
    </row>
    <row r="1113">
      <c r="A1113" s="1209"/>
      <c r="B1113" s="1209"/>
      <c r="C1113" s="1209"/>
      <c r="D1113" s="1267"/>
      <c r="E1113" s="1267"/>
      <c r="F1113" s="1267"/>
      <c r="G1113" s="1267"/>
      <c r="H1113" s="1267"/>
      <c r="I1113" s="1267"/>
      <c r="J1113" s="1267"/>
      <c r="K1113" s="1267"/>
      <c r="L1113" s="1267"/>
      <c r="M1113" s="1267"/>
      <c r="N1113" s="1267"/>
      <c r="O1113" s="1267"/>
      <c r="P1113" s="1267"/>
      <c r="Q1113" s="1209"/>
      <c r="R1113" s="1209"/>
      <c r="S1113" s="1209"/>
      <c r="T1113" s="1209"/>
      <c r="U1113" s="1209"/>
      <c r="V1113" s="1209"/>
      <c r="W1113" s="1209"/>
      <c r="X1113" s="1209"/>
      <c r="Y1113" s="1209"/>
      <c r="Z1113" s="1209"/>
      <c r="AA1113" s="1209"/>
      <c r="AB1113" s="1209"/>
    </row>
    <row r="1114">
      <c r="A1114" s="1209"/>
      <c r="B1114" s="1209"/>
      <c r="C1114" s="1209"/>
      <c r="D1114" s="1267"/>
      <c r="E1114" s="1267"/>
      <c r="F1114" s="1267"/>
      <c r="G1114" s="1267"/>
      <c r="H1114" s="1267"/>
      <c r="I1114" s="1267"/>
      <c r="J1114" s="1267"/>
      <c r="K1114" s="1267"/>
      <c r="L1114" s="1267"/>
      <c r="M1114" s="1267"/>
      <c r="N1114" s="1267"/>
      <c r="O1114" s="1267"/>
      <c r="P1114" s="1267"/>
      <c r="Q1114" s="1209"/>
      <c r="R1114" s="1209"/>
      <c r="S1114" s="1209"/>
      <c r="T1114" s="1209"/>
      <c r="U1114" s="1209"/>
      <c r="V1114" s="1209"/>
      <c r="W1114" s="1209"/>
      <c r="X1114" s="1209"/>
      <c r="Y1114" s="1209"/>
      <c r="Z1114" s="1209"/>
      <c r="AA1114" s="1209"/>
      <c r="AB1114" s="1209"/>
    </row>
    <row r="1115">
      <c r="A1115" s="1209"/>
      <c r="B1115" s="1209"/>
      <c r="C1115" s="1209"/>
      <c r="D1115" s="1267"/>
      <c r="E1115" s="1267"/>
      <c r="F1115" s="1267"/>
      <c r="G1115" s="1267"/>
      <c r="H1115" s="1267"/>
      <c r="I1115" s="1267"/>
      <c r="J1115" s="1267"/>
      <c r="K1115" s="1267"/>
      <c r="L1115" s="1267"/>
      <c r="M1115" s="1267"/>
      <c r="N1115" s="1267"/>
      <c r="O1115" s="1267"/>
      <c r="P1115" s="1267"/>
      <c r="Q1115" s="1209"/>
      <c r="R1115" s="1209"/>
      <c r="S1115" s="1209"/>
      <c r="T1115" s="1209"/>
      <c r="U1115" s="1209"/>
      <c r="V1115" s="1209"/>
      <c r="W1115" s="1209"/>
      <c r="X1115" s="1209"/>
      <c r="Y1115" s="1209"/>
      <c r="Z1115" s="1209"/>
      <c r="AA1115" s="1209"/>
      <c r="AB1115" s="1209"/>
    </row>
    <row r="1116">
      <c r="A1116" s="1209"/>
      <c r="B1116" s="1209"/>
      <c r="C1116" s="1209"/>
      <c r="D1116" s="1267"/>
      <c r="E1116" s="1267"/>
      <c r="F1116" s="1267"/>
      <c r="G1116" s="1267"/>
      <c r="H1116" s="1267"/>
      <c r="I1116" s="1267"/>
      <c r="J1116" s="1267"/>
      <c r="K1116" s="1267"/>
      <c r="L1116" s="1267"/>
      <c r="M1116" s="1267"/>
      <c r="N1116" s="1267"/>
      <c r="O1116" s="1267"/>
      <c r="P1116" s="1267"/>
      <c r="Q1116" s="1209"/>
      <c r="R1116" s="1209"/>
      <c r="S1116" s="1209"/>
      <c r="T1116" s="1209"/>
      <c r="U1116" s="1209"/>
      <c r="V1116" s="1209"/>
      <c r="W1116" s="1209"/>
      <c r="X1116" s="1209"/>
      <c r="Y1116" s="1209"/>
      <c r="Z1116" s="1209"/>
      <c r="AA1116" s="1209"/>
      <c r="AB1116" s="1209"/>
    </row>
    <row r="1117">
      <c r="A1117" s="1209"/>
      <c r="B1117" s="1209"/>
      <c r="C1117" s="1209"/>
      <c r="D1117" s="1267"/>
      <c r="E1117" s="1267"/>
      <c r="F1117" s="1267"/>
      <c r="G1117" s="1267"/>
      <c r="H1117" s="1267"/>
      <c r="I1117" s="1267"/>
      <c r="J1117" s="1267"/>
      <c r="K1117" s="1267"/>
      <c r="L1117" s="1267"/>
      <c r="M1117" s="1267"/>
      <c r="N1117" s="1267"/>
      <c r="O1117" s="1267"/>
      <c r="P1117" s="1267"/>
      <c r="Q1117" s="1209"/>
      <c r="R1117" s="1209"/>
      <c r="S1117" s="1209"/>
      <c r="T1117" s="1209"/>
      <c r="U1117" s="1209"/>
      <c r="V1117" s="1209"/>
      <c r="W1117" s="1209"/>
      <c r="X1117" s="1209"/>
      <c r="Y1117" s="1209"/>
      <c r="Z1117" s="1209"/>
      <c r="AA1117" s="1209"/>
      <c r="AB1117" s="1209"/>
    </row>
    <row r="1118">
      <c r="A1118" s="1209"/>
      <c r="B1118" s="1209"/>
      <c r="C1118" s="1209"/>
      <c r="D1118" s="1267"/>
      <c r="E1118" s="1267"/>
      <c r="F1118" s="1267"/>
      <c r="G1118" s="1267"/>
      <c r="H1118" s="1267"/>
      <c r="I1118" s="1267"/>
      <c r="J1118" s="1267"/>
      <c r="K1118" s="1267"/>
      <c r="L1118" s="1267"/>
      <c r="M1118" s="1267"/>
      <c r="N1118" s="1267"/>
      <c r="O1118" s="1267"/>
      <c r="P1118" s="1267"/>
      <c r="Q1118" s="1209"/>
      <c r="R1118" s="1209"/>
      <c r="S1118" s="1209"/>
      <c r="T1118" s="1209"/>
      <c r="U1118" s="1209"/>
      <c r="V1118" s="1209"/>
      <c r="W1118" s="1209"/>
      <c r="X1118" s="1209"/>
      <c r="Y1118" s="1209"/>
      <c r="Z1118" s="1209"/>
      <c r="AA1118" s="1209"/>
      <c r="AB1118" s="1209"/>
    </row>
    <row r="1119">
      <c r="A1119" s="1209"/>
      <c r="B1119" s="1209"/>
      <c r="C1119" s="1209"/>
      <c r="D1119" s="1267"/>
      <c r="E1119" s="1267"/>
      <c r="F1119" s="1267"/>
      <c r="G1119" s="1267"/>
      <c r="H1119" s="1267"/>
      <c r="I1119" s="1267"/>
      <c r="J1119" s="1267"/>
      <c r="K1119" s="1267"/>
      <c r="L1119" s="1267"/>
      <c r="M1119" s="1267"/>
      <c r="N1119" s="1267"/>
      <c r="O1119" s="1267"/>
      <c r="P1119" s="1267"/>
      <c r="Q1119" s="1209"/>
      <c r="R1119" s="1209"/>
      <c r="S1119" s="1209"/>
      <c r="T1119" s="1209"/>
      <c r="U1119" s="1209"/>
      <c r="V1119" s="1209"/>
      <c r="W1119" s="1209"/>
      <c r="X1119" s="1209"/>
      <c r="Y1119" s="1209"/>
      <c r="Z1119" s="1209"/>
      <c r="AA1119" s="1209"/>
      <c r="AB1119" s="1209"/>
    </row>
    <row r="1120">
      <c r="A1120" s="1209"/>
      <c r="B1120" s="1209"/>
      <c r="C1120" s="1209"/>
      <c r="D1120" s="1267"/>
      <c r="E1120" s="1267"/>
      <c r="F1120" s="1267"/>
      <c r="G1120" s="1267"/>
      <c r="H1120" s="1267"/>
      <c r="I1120" s="1267"/>
      <c r="J1120" s="1267"/>
      <c r="K1120" s="1267"/>
      <c r="L1120" s="1267"/>
      <c r="M1120" s="1267"/>
      <c r="N1120" s="1267"/>
      <c r="O1120" s="1267"/>
      <c r="P1120" s="1267"/>
      <c r="Q1120" s="1209"/>
      <c r="R1120" s="1209"/>
      <c r="S1120" s="1209"/>
      <c r="T1120" s="1209"/>
      <c r="U1120" s="1209"/>
      <c r="V1120" s="1209"/>
      <c r="W1120" s="1209"/>
      <c r="X1120" s="1209"/>
      <c r="Y1120" s="1209"/>
      <c r="Z1120" s="1209"/>
      <c r="AA1120" s="1209"/>
      <c r="AB1120" s="1209"/>
    </row>
    <row r="1121">
      <c r="A1121" s="1209"/>
      <c r="B1121" s="1209"/>
      <c r="C1121" s="1209"/>
      <c r="D1121" s="1267"/>
      <c r="E1121" s="1267"/>
      <c r="F1121" s="1267"/>
      <c r="G1121" s="1267"/>
      <c r="H1121" s="1267"/>
      <c r="I1121" s="1267"/>
      <c r="J1121" s="1267"/>
      <c r="K1121" s="1267"/>
      <c r="L1121" s="1267"/>
      <c r="M1121" s="1267"/>
      <c r="N1121" s="1267"/>
      <c r="O1121" s="1267"/>
      <c r="P1121" s="1267"/>
      <c r="Q1121" s="1209"/>
      <c r="R1121" s="1209"/>
      <c r="S1121" s="1209"/>
      <c r="T1121" s="1209"/>
      <c r="U1121" s="1209"/>
      <c r="V1121" s="1209"/>
      <c r="W1121" s="1209"/>
      <c r="X1121" s="1209"/>
      <c r="Y1121" s="1209"/>
      <c r="Z1121" s="1209"/>
      <c r="AA1121" s="1209"/>
      <c r="AB1121" s="1209"/>
    </row>
    <row r="1122">
      <c r="A1122" s="1209"/>
      <c r="B1122" s="1209"/>
      <c r="C1122" s="1209"/>
      <c r="D1122" s="1267"/>
      <c r="E1122" s="1267"/>
      <c r="F1122" s="1267"/>
      <c r="G1122" s="1267"/>
      <c r="H1122" s="1267"/>
      <c r="I1122" s="1267"/>
      <c r="J1122" s="1267"/>
      <c r="K1122" s="1267"/>
      <c r="L1122" s="1267"/>
      <c r="M1122" s="1267"/>
      <c r="N1122" s="1267"/>
      <c r="O1122" s="1267"/>
      <c r="P1122" s="1267"/>
      <c r="Q1122" s="1209"/>
      <c r="R1122" s="1209"/>
      <c r="S1122" s="1209"/>
      <c r="T1122" s="1209"/>
      <c r="U1122" s="1209"/>
      <c r="V1122" s="1209"/>
      <c r="W1122" s="1209"/>
      <c r="X1122" s="1209"/>
      <c r="Y1122" s="1209"/>
      <c r="Z1122" s="1209"/>
      <c r="AA1122" s="1209"/>
      <c r="AB1122" s="1209"/>
    </row>
    <row r="1123">
      <c r="A1123" s="1209"/>
      <c r="B1123" s="1209"/>
      <c r="C1123" s="1209"/>
      <c r="D1123" s="1267"/>
      <c r="E1123" s="1267"/>
      <c r="F1123" s="1267"/>
      <c r="G1123" s="1267"/>
      <c r="H1123" s="1267"/>
      <c r="I1123" s="1267"/>
      <c r="J1123" s="1267"/>
      <c r="K1123" s="1267"/>
      <c r="L1123" s="1267"/>
      <c r="M1123" s="1267"/>
      <c r="N1123" s="1267"/>
      <c r="O1123" s="1267"/>
      <c r="P1123" s="1267"/>
      <c r="Q1123" s="1209"/>
      <c r="R1123" s="1209"/>
      <c r="S1123" s="1209"/>
      <c r="T1123" s="1209"/>
      <c r="U1123" s="1209"/>
      <c r="V1123" s="1209"/>
      <c r="W1123" s="1209"/>
      <c r="X1123" s="1209"/>
      <c r="Y1123" s="1209"/>
      <c r="Z1123" s="1209"/>
      <c r="AA1123" s="1209"/>
      <c r="AB1123" s="1209"/>
    </row>
    <row r="1124">
      <c r="A1124" s="1209"/>
      <c r="B1124" s="1209"/>
      <c r="C1124" s="1209"/>
      <c r="D1124" s="1267"/>
      <c r="E1124" s="1267"/>
      <c r="F1124" s="1267"/>
      <c r="G1124" s="1267"/>
      <c r="H1124" s="1267"/>
      <c r="I1124" s="1267"/>
      <c r="J1124" s="1267"/>
      <c r="K1124" s="1267"/>
      <c r="L1124" s="1267"/>
      <c r="M1124" s="1267"/>
      <c r="N1124" s="1267"/>
      <c r="O1124" s="1267"/>
      <c r="P1124" s="1267"/>
      <c r="Q1124" s="1209"/>
      <c r="R1124" s="1209"/>
      <c r="S1124" s="1209"/>
      <c r="T1124" s="1209"/>
      <c r="U1124" s="1209"/>
      <c r="V1124" s="1209"/>
      <c r="W1124" s="1209"/>
      <c r="X1124" s="1209"/>
      <c r="Y1124" s="1209"/>
      <c r="Z1124" s="1209"/>
      <c r="AA1124" s="1209"/>
      <c r="AB1124" s="1209"/>
    </row>
    <row r="1125">
      <c r="A1125" s="1209"/>
      <c r="B1125" s="1209"/>
      <c r="C1125" s="1209"/>
      <c r="D1125" s="1267"/>
      <c r="E1125" s="1267"/>
      <c r="F1125" s="1267"/>
      <c r="G1125" s="1267"/>
      <c r="H1125" s="1267"/>
      <c r="I1125" s="1267"/>
      <c r="J1125" s="1267"/>
      <c r="K1125" s="1267"/>
      <c r="L1125" s="1267"/>
      <c r="M1125" s="1267"/>
      <c r="N1125" s="1267"/>
      <c r="O1125" s="1267"/>
      <c r="P1125" s="1267"/>
      <c r="Q1125" s="1209"/>
      <c r="R1125" s="1209"/>
      <c r="S1125" s="1209"/>
      <c r="T1125" s="1209"/>
      <c r="U1125" s="1209"/>
      <c r="V1125" s="1209"/>
      <c r="W1125" s="1209"/>
      <c r="X1125" s="1209"/>
      <c r="Y1125" s="1209"/>
      <c r="Z1125" s="1209"/>
      <c r="AA1125" s="1209"/>
      <c r="AB1125" s="1209"/>
    </row>
    <row r="1126">
      <c r="A1126" s="1209"/>
      <c r="B1126" s="1209"/>
      <c r="C1126" s="1209"/>
      <c r="D1126" s="1267"/>
      <c r="E1126" s="1267"/>
      <c r="F1126" s="1267"/>
      <c r="G1126" s="1267"/>
      <c r="H1126" s="1267"/>
      <c r="I1126" s="1267"/>
      <c r="J1126" s="1267"/>
      <c r="K1126" s="1267"/>
      <c r="L1126" s="1267"/>
      <c r="M1126" s="1267"/>
      <c r="N1126" s="1267"/>
      <c r="O1126" s="1267"/>
      <c r="P1126" s="1267"/>
      <c r="Q1126" s="1209"/>
      <c r="R1126" s="1209"/>
      <c r="S1126" s="1209"/>
      <c r="T1126" s="1209"/>
      <c r="U1126" s="1209"/>
      <c r="V1126" s="1209"/>
      <c r="W1126" s="1209"/>
      <c r="X1126" s="1209"/>
      <c r="Y1126" s="1209"/>
      <c r="Z1126" s="1209"/>
      <c r="AA1126" s="1209"/>
      <c r="AB1126" s="1209"/>
    </row>
    <row r="1127">
      <c r="A1127" s="1209"/>
      <c r="B1127" s="1209"/>
      <c r="C1127" s="1209"/>
      <c r="D1127" s="1267"/>
      <c r="E1127" s="1267"/>
      <c r="F1127" s="1267"/>
      <c r="G1127" s="1267"/>
      <c r="H1127" s="1267"/>
      <c r="I1127" s="1267"/>
      <c r="J1127" s="1267"/>
      <c r="K1127" s="1267"/>
      <c r="L1127" s="1267"/>
      <c r="M1127" s="1267"/>
      <c r="N1127" s="1267"/>
      <c r="O1127" s="1267"/>
      <c r="P1127" s="1267"/>
      <c r="Q1127" s="1209"/>
      <c r="R1127" s="1209"/>
      <c r="S1127" s="1209"/>
      <c r="T1127" s="1209"/>
      <c r="U1127" s="1209"/>
      <c r="V1127" s="1209"/>
      <c r="W1127" s="1209"/>
      <c r="X1127" s="1209"/>
      <c r="Y1127" s="1209"/>
      <c r="Z1127" s="1209"/>
      <c r="AA1127" s="1209"/>
      <c r="AB1127" s="1209"/>
    </row>
    <row r="1128">
      <c r="A1128" s="1209"/>
      <c r="B1128" s="1209"/>
      <c r="C1128" s="1209"/>
      <c r="D1128" s="1267"/>
      <c r="E1128" s="1267"/>
      <c r="F1128" s="1267"/>
      <c r="G1128" s="1267"/>
      <c r="H1128" s="1267"/>
      <c r="I1128" s="1267"/>
      <c r="J1128" s="1267"/>
      <c r="K1128" s="1267"/>
      <c r="L1128" s="1267"/>
      <c r="M1128" s="1267"/>
      <c r="N1128" s="1267"/>
      <c r="O1128" s="1267"/>
      <c r="P1128" s="1267"/>
      <c r="Q1128" s="1209"/>
      <c r="R1128" s="1209"/>
      <c r="S1128" s="1209"/>
      <c r="T1128" s="1209"/>
      <c r="U1128" s="1209"/>
      <c r="V1128" s="1209"/>
      <c r="W1128" s="1209"/>
      <c r="X1128" s="1209"/>
      <c r="Y1128" s="1209"/>
      <c r="Z1128" s="1209"/>
      <c r="AA1128" s="1209"/>
      <c r="AB1128" s="1209"/>
    </row>
    <row r="1129">
      <c r="A1129" s="1209"/>
      <c r="B1129" s="1209"/>
      <c r="C1129" s="1209"/>
      <c r="D1129" s="1267"/>
      <c r="E1129" s="1267"/>
      <c r="F1129" s="1267"/>
      <c r="G1129" s="1267"/>
      <c r="H1129" s="1267"/>
      <c r="I1129" s="1267"/>
      <c r="J1129" s="1267"/>
      <c r="K1129" s="1267"/>
      <c r="L1129" s="1267"/>
      <c r="M1129" s="1267"/>
      <c r="N1129" s="1267"/>
      <c r="O1129" s="1267"/>
      <c r="P1129" s="1267"/>
      <c r="Q1129" s="1209"/>
      <c r="R1129" s="1209"/>
      <c r="S1129" s="1209"/>
      <c r="T1129" s="1209"/>
      <c r="U1129" s="1209"/>
      <c r="V1129" s="1209"/>
      <c r="W1129" s="1209"/>
      <c r="X1129" s="1209"/>
      <c r="Y1129" s="1209"/>
      <c r="Z1129" s="1209"/>
      <c r="AA1129" s="1209"/>
      <c r="AB1129" s="1209"/>
    </row>
    <row r="1130">
      <c r="A1130" s="1209"/>
      <c r="B1130" s="1209"/>
      <c r="C1130" s="1209"/>
      <c r="D1130" s="1267"/>
      <c r="E1130" s="1267"/>
      <c r="F1130" s="1267"/>
      <c r="G1130" s="1267"/>
      <c r="H1130" s="1267"/>
      <c r="I1130" s="1267"/>
      <c r="J1130" s="1267"/>
      <c r="K1130" s="1267"/>
      <c r="L1130" s="1267"/>
      <c r="M1130" s="1267"/>
      <c r="N1130" s="1267"/>
      <c r="O1130" s="1267"/>
      <c r="P1130" s="1267"/>
      <c r="Q1130" s="1209"/>
      <c r="R1130" s="1209"/>
      <c r="S1130" s="1209"/>
      <c r="T1130" s="1209"/>
      <c r="U1130" s="1209"/>
      <c r="V1130" s="1209"/>
      <c r="W1130" s="1209"/>
      <c r="X1130" s="1209"/>
      <c r="Y1130" s="1209"/>
      <c r="Z1130" s="1209"/>
      <c r="AA1130" s="1209"/>
      <c r="AB1130" s="1209"/>
    </row>
    <row r="1131">
      <c r="A1131" s="1209"/>
      <c r="B1131" s="1209"/>
      <c r="C1131" s="1209"/>
      <c r="D1131" s="1267"/>
      <c r="E1131" s="1267"/>
      <c r="F1131" s="1267"/>
      <c r="G1131" s="1267"/>
      <c r="H1131" s="1267"/>
      <c r="I1131" s="1267"/>
      <c r="J1131" s="1267"/>
      <c r="K1131" s="1267"/>
      <c r="L1131" s="1267"/>
      <c r="M1131" s="1267"/>
      <c r="N1131" s="1267"/>
      <c r="O1131" s="1267"/>
      <c r="P1131" s="1267"/>
      <c r="Q1131" s="1209"/>
      <c r="R1131" s="1209"/>
      <c r="S1131" s="1209"/>
      <c r="T1131" s="1209"/>
      <c r="U1131" s="1209"/>
      <c r="V1131" s="1209"/>
      <c r="W1131" s="1209"/>
      <c r="X1131" s="1209"/>
      <c r="Y1131" s="1209"/>
      <c r="Z1131" s="1209"/>
      <c r="AA1131" s="1209"/>
      <c r="AB1131" s="1209"/>
    </row>
    <row r="1132">
      <c r="A1132" s="1209"/>
      <c r="B1132" s="1209"/>
      <c r="C1132" s="1209"/>
      <c r="D1132" s="1267"/>
      <c r="E1132" s="1267"/>
      <c r="F1132" s="1267"/>
      <c r="G1132" s="1267"/>
      <c r="H1132" s="1267"/>
      <c r="I1132" s="1267"/>
      <c r="J1132" s="1267"/>
      <c r="K1132" s="1267"/>
      <c r="L1132" s="1267"/>
      <c r="M1132" s="1267"/>
      <c r="N1132" s="1267"/>
      <c r="O1132" s="1267"/>
      <c r="P1132" s="1267"/>
      <c r="Q1132" s="1209"/>
      <c r="R1132" s="1209"/>
      <c r="S1132" s="1209"/>
      <c r="T1132" s="1209"/>
      <c r="U1132" s="1209"/>
      <c r="V1132" s="1209"/>
      <c r="W1132" s="1209"/>
      <c r="X1132" s="1209"/>
      <c r="Y1132" s="1209"/>
      <c r="Z1132" s="1209"/>
      <c r="AA1132" s="1209"/>
      <c r="AB1132" s="1209"/>
    </row>
    <row r="1133">
      <c r="A1133" s="1209"/>
      <c r="B1133" s="1209"/>
      <c r="C1133" s="1209"/>
      <c r="D1133" s="1267"/>
      <c r="E1133" s="1267"/>
      <c r="F1133" s="1267"/>
      <c r="G1133" s="1267"/>
      <c r="H1133" s="1267"/>
      <c r="I1133" s="1267"/>
      <c r="J1133" s="1267"/>
      <c r="K1133" s="1267"/>
      <c r="L1133" s="1267"/>
      <c r="M1133" s="1267"/>
      <c r="N1133" s="1267"/>
      <c r="O1133" s="1267"/>
      <c r="P1133" s="1267"/>
      <c r="Q1133" s="1209"/>
      <c r="R1133" s="1209"/>
      <c r="S1133" s="1209"/>
      <c r="T1133" s="1209"/>
      <c r="U1133" s="1209"/>
      <c r="V1133" s="1209"/>
      <c r="W1133" s="1209"/>
      <c r="X1133" s="1209"/>
      <c r="Y1133" s="1209"/>
      <c r="Z1133" s="1209"/>
      <c r="AA1133" s="1209"/>
      <c r="AB1133" s="1209"/>
    </row>
    <row r="1134">
      <c r="A1134" s="1209"/>
      <c r="B1134" s="1209"/>
      <c r="C1134" s="1209"/>
      <c r="D1134" s="1267"/>
      <c r="E1134" s="1267"/>
      <c r="F1134" s="1267"/>
      <c r="G1134" s="1267"/>
      <c r="H1134" s="1267"/>
      <c r="I1134" s="1267"/>
      <c r="J1134" s="1267"/>
      <c r="K1134" s="1267"/>
      <c r="L1134" s="1267"/>
      <c r="M1134" s="1267"/>
      <c r="N1134" s="1267"/>
      <c r="O1134" s="1267"/>
      <c r="P1134" s="1267"/>
      <c r="Q1134" s="1209"/>
      <c r="R1134" s="1209"/>
      <c r="S1134" s="1209"/>
      <c r="T1134" s="1209"/>
      <c r="U1134" s="1209"/>
      <c r="V1134" s="1209"/>
      <c r="W1134" s="1209"/>
      <c r="X1134" s="1209"/>
      <c r="Y1134" s="1209"/>
      <c r="Z1134" s="1209"/>
      <c r="AA1134" s="1209"/>
      <c r="AB1134" s="1209"/>
    </row>
    <row r="1135">
      <c r="A1135" s="1209"/>
      <c r="B1135" s="1209"/>
      <c r="C1135" s="1209"/>
      <c r="D1135" s="1267"/>
      <c r="E1135" s="1267"/>
      <c r="F1135" s="1267"/>
      <c r="G1135" s="1267"/>
      <c r="H1135" s="1267"/>
      <c r="I1135" s="1267"/>
      <c r="J1135" s="1267"/>
      <c r="K1135" s="1267"/>
      <c r="L1135" s="1267"/>
      <c r="M1135" s="1267"/>
      <c r="N1135" s="1267"/>
      <c r="O1135" s="1267"/>
      <c r="P1135" s="1267"/>
      <c r="Q1135" s="1209"/>
      <c r="R1135" s="1209"/>
      <c r="S1135" s="1209"/>
      <c r="T1135" s="1209"/>
      <c r="U1135" s="1209"/>
      <c r="V1135" s="1209"/>
      <c r="W1135" s="1209"/>
      <c r="X1135" s="1209"/>
      <c r="Y1135" s="1209"/>
      <c r="Z1135" s="1209"/>
      <c r="AA1135" s="1209"/>
      <c r="AB1135" s="1209"/>
    </row>
    <row r="1136">
      <c r="A1136" s="1209"/>
      <c r="B1136" s="1209"/>
      <c r="C1136" s="1209"/>
      <c r="D1136" s="1267"/>
      <c r="E1136" s="1267"/>
      <c r="F1136" s="1267"/>
      <c r="G1136" s="1267"/>
      <c r="H1136" s="1267"/>
      <c r="I1136" s="1267"/>
      <c r="J1136" s="1267"/>
      <c r="K1136" s="1267"/>
      <c r="L1136" s="1267"/>
      <c r="M1136" s="1267"/>
      <c r="N1136" s="1267"/>
      <c r="O1136" s="1267"/>
      <c r="P1136" s="1267"/>
      <c r="Q1136" s="1209"/>
      <c r="R1136" s="1209"/>
      <c r="S1136" s="1209"/>
      <c r="T1136" s="1209"/>
      <c r="U1136" s="1209"/>
      <c r="V1136" s="1209"/>
      <c r="W1136" s="1209"/>
      <c r="X1136" s="1209"/>
      <c r="Y1136" s="1209"/>
      <c r="Z1136" s="1209"/>
      <c r="AA1136" s="1209"/>
      <c r="AB1136" s="1209"/>
    </row>
    <row r="1137">
      <c r="A1137" s="1209"/>
      <c r="B1137" s="1209"/>
      <c r="C1137" s="1209"/>
      <c r="D1137" s="1267"/>
      <c r="E1137" s="1267"/>
      <c r="F1137" s="1267"/>
      <c r="G1137" s="1267"/>
      <c r="H1137" s="1267"/>
      <c r="I1137" s="1267"/>
      <c r="J1137" s="1267"/>
      <c r="K1137" s="1267"/>
      <c r="L1137" s="1267"/>
      <c r="M1137" s="1267"/>
      <c r="N1137" s="1267"/>
      <c r="O1137" s="1267"/>
      <c r="P1137" s="1267"/>
      <c r="Q1137" s="1209"/>
      <c r="R1137" s="1209"/>
      <c r="S1137" s="1209"/>
      <c r="T1137" s="1209"/>
      <c r="U1137" s="1209"/>
      <c r="V1137" s="1209"/>
      <c r="W1137" s="1209"/>
      <c r="X1137" s="1209"/>
      <c r="Y1137" s="1209"/>
      <c r="Z1137" s="1209"/>
      <c r="AA1137" s="1209"/>
      <c r="AB1137" s="1209"/>
    </row>
    <row r="1138">
      <c r="A1138" s="1209"/>
      <c r="B1138" s="1209"/>
      <c r="C1138" s="1209"/>
      <c r="D1138" s="1267"/>
      <c r="E1138" s="1267"/>
      <c r="F1138" s="1267"/>
      <c r="G1138" s="1267"/>
      <c r="H1138" s="1267"/>
      <c r="I1138" s="1267"/>
      <c r="J1138" s="1267"/>
      <c r="K1138" s="1267"/>
      <c r="L1138" s="1267"/>
      <c r="M1138" s="1267"/>
      <c r="N1138" s="1267"/>
      <c r="O1138" s="1267"/>
      <c r="P1138" s="1267"/>
      <c r="Q1138" s="1209"/>
      <c r="R1138" s="1209"/>
      <c r="S1138" s="1209"/>
      <c r="T1138" s="1209"/>
      <c r="U1138" s="1209"/>
      <c r="V1138" s="1209"/>
      <c r="W1138" s="1209"/>
      <c r="X1138" s="1209"/>
      <c r="Y1138" s="1209"/>
      <c r="Z1138" s="1209"/>
      <c r="AA1138" s="1209"/>
      <c r="AB1138" s="1209"/>
    </row>
    <row r="1139">
      <c r="A1139" s="1209"/>
      <c r="B1139" s="1209"/>
      <c r="C1139" s="1209"/>
      <c r="D1139" s="1267"/>
      <c r="E1139" s="1267"/>
      <c r="F1139" s="1267"/>
      <c r="G1139" s="1267"/>
      <c r="H1139" s="1267"/>
      <c r="I1139" s="1267"/>
      <c r="J1139" s="1267"/>
      <c r="K1139" s="1267"/>
      <c r="L1139" s="1267"/>
      <c r="M1139" s="1267"/>
      <c r="N1139" s="1267"/>
      <c r="O1139" s="1267"/>
      <c r="P1139" s="1267"/>
      <c r="Q1139" s="1209"/>
      <c r="R1139" s="1209"/>
      <c r="S1139" s="1209"/>
      <c r="T1139" s="1209"/>
      <c r="U1139" s="1209"/>
      <c r="V1139" s="1209"/>
      <c r="W1139" s="1209"/>
      <c r="X1139" s="1209"/>
      <c r="Y1139" s="1209"/>
      <c r="Z1139" s="1209"/>
      <c r="AA1139" s="1209"/>
      <c r="AB1139" s="1209"/>
    </row>
    <row r="1140">
      <c r="A1140" s="1209"/>
      <c r="B1140" s="1209"/>
      <c r="C1140" s="1209"/>
      <c r="D1140" s="1267"/>
      <c r="E1140" s="1267"/>
      <c r="F1140" s="1267"/>
      <c r="G1140" s="1267"/>
      <c r="H1140" s="1267"/>
      <c r="I1140" s="1267"/>
      <c r="J1140" s="1267"/>
      <c r="K1140" s="1267"/>
      <c r="L1140" s="1267"/>
      <c r="M1140" s="1267"/>
      <c r="N1140" s="1267"/>
      <c r="O1140" s="1267"/>
      <c r="P1140" s="1267"/>
      <c r="Q1140" s="1209"/>
      <c r="R1140" s="1209"/>
      <c r="S1140" s="1209"/>
      <c r="T1140" s="1209"/>
      <c r="U1140" s="1209"/>
      <c r="V1140" s="1209"/>
      <c r="W1140" s="1209"/>
      <c r="X1140" s="1209"/>
      <c r="Y1140" s="1209"/>
      <c r="Z1140" s="1209"/>
      <c r="AA1140" s="1209"/>
      <c r="AB1140" s="1209"/>
    </row>
    <row r="1141">
      <c r="A1141" s="1209"/>
      <c r="B1141" s="1209"/>
      <c r="C1141" s="1209"/>
      <c r="D1141" s="1267"/>
      <c r="E1141" s="1267"/>
      <c r="F1141" s="1267"/>
      <c r="G1141" s="1267"/>
      <c r="H1141" s="1267"/>
      <c r="I1141" s="1267"/>
      <c r="J1141" s="1267"/>
      <c r="K1141" s="1267"/>
      <c r="L1141" s="1267"/>
      <c r="M1141" s="1267"/>
      <c r="N1141" s="1267"/>
      <c r="O1141" s="1267"/>
      <c r="P1141" s="1267"/>
      <c r="Q1141" s="1209"/>
      <c r="R1141" s="1209"/>
      <c r="S1141" s="1209"/>
      <c r="T1141" s="1209"/>
      <c r="U1141" s="1209"/>
      <c r="V1141" s="1209"/>
      <c r="W1141" s="1209"/>
      <c r="X1141" s="1209"/>
      <c r="Y1141" s="1209"/>
      <c r="Z1141" s="1209"/>
      <c r="AA1141" s="1209"/>
      <c r="AB1141" s="1209"/>
    </row>
    <row r="1142">
      <c r="A1142" s="1209"/>
      <c r="B1142" s="1209"/>
      <c r="C1142" s="1209"/>
      <c r="D1142" s="1267"/>
      <c r="E1142" s="1267"/>
      <c r="F1142" s="1267"/>
      <c r="G1142" s="1267"/>
      <c r="H1142" s="1267"/>
      <c r="I1142" s="1267"/>
      <c r="J1142" s="1267"/>
      <c r="K1142" s="1267"/>
      <c r="L1142" s="1267"/>
      <c r="M1142" s="1267"/>
      <c r="N1142" s="1267"/>
      <c r="O1142" s="1267"/>
      <c r="P1142" s="1267"/>
      <c r="Q1142" s="1209"/>
      <c r="R1142" s="1209"/>
      <c r="S1142" s="1209"/>
      <c r="T1142" s="1209"/>
      <c r="U1142" s="1209"/>
      <c r="V1142" s="1209"/>
      <c r="W1142" s="1209"/>
      <c r="X1142" s="1209"/>
      <c r="Y1142" s="1209"/>
      <c r="Z1142" s="1209"/>
      <c r="AA1142" s="1209"/>
      <c r="AB1142" s="1209"/>
    </row>
    <row r="1143">
      <c r="A1143" s="1209"/>
      <c r="B1143" s="1209"/>
      <c r="C1143" s="1209"/>
      <c r="D1143" s="1267"/>
      <c r="E1143" s="1267"/>
      <c r="F1143" s="1267"/>
      <c r="G1143" s="1267"/>
      <c r="H1143" s="1267"/>
      <c r="I1143" s="1267"/>
      <c r="J1143" s="1267"/>
      <c r="K1143" s="1267"/>
      <c r="L1143" s="1267"/>
      <c r="M1143" s="1267"/>
      <c r="N1143" s="1267"/>
      <c r="O1143" s="1267"/>
      <c r="P1143" s="1267"/>
      <c r="Q1143" s="1209"/>
      <c r="R1143" s="1209"/>
      <c r="S1143" s="1209"/>
      <c r="T1143" s="1209"/>
      <c r="U1143" s="1209"/>
      <c r="V1143" s="1209"/>
      <c r="W1143" s="1209"/>
      <c r="X1143" s="1209"/>
      <c r="Y1143" s="1209"/>
      <c r="Z1143" s="1209"/>
      <c r="AA1143" s="1209"/>
      <c r="AB1143" s="1209"/>
    </row>
    <row r="1144">
      <c r="A1144" s="1209"/>
      <c r="B1144" s="1209"/>
      <c r="C1144" s="1209"/>
      <c r="D1144" s="1267"/>
      <c r="E1144" s="1267"/>
      <c r="F1144" s="1267"/>
      <c r="G1144" s="1267"/>
      <c r="H1144" s="1267"/>
      <c r="I1144" s="1267"/>
      <c r="J1144" s="1267"/>
      <c r="K1144" s="1267"/>
      <c r="L1144" s="1267"/>
      <c r="M1144" s="1267"/>
      <c r="N1144" s="1267"/>
      <c r="O1144" s="1267"/>
      <c r="P1144" s="1267"/>
      <c r="Q1144" s="1209"/>
      <c r="R1144" s="1209"/>
      <c r="S1144" s="1209"/>
      <c r="T1144" s="1209"/>
      <c r="U1144" s="1209"/>
      <c r="V1144" s="1209"/>
      <c r="W1144" s="1209"/>
      <c r="X1144" s="1209"/>
      <c r="Y1144" s="1209"/>
      <c r="Z1144" s="1209"/>
      <c r="AA1144" s="1209"/>
      <c r="AB1144" s="1209"/>
    </row>
    <row r="1145">
      <c r="A1145" s="1209"/>
      <c r="B1145" s="1209"/>
      <c r="C1145" s="1209"/>
      <c r="D1145" s="1267"/>
      <c r="E1145" s="1267"/>
      <c r="F1145" s="1267"/>
      <c r="G1145" s="1267"/>
      <c r="H1145" s="1267"/>
      <c r="I1145" s="1267"/>
      <c r="J1145" s="1267"/>
      <c r="K1145" s="1267"/>
      <c r="L1145" s="1267"/>
      <c r="M1145" s="1267"/>
      <c r="N1145" s="1267"/>
      <c r="O1145" s="1267"/>
      <c r="P1145" s="1267"/>
      <c r="Q1145" s="1209"/>
      <c r="R1145" s="1209"/>
      <c r="S1145" s="1209"/>
      <c r="T1145" s="1209"/>
      <c r="U1145" s="1209"/>
      <c r="V1145" s="1209"/>
      <c r="W1145" s="1209"/>
      <c r="X1145" s="1209"/>
      <c r="Y1145" s="1209"/>
      <c r="Z1145" s="1209"/>
      <c r="AA1145" s="1209"/>
      <c r="AB1145" s="1209"/>
    </row>
    <row r="1146">
      <c r="A1146" s="1209"/>
      <c r="B1146" s="1209"/>
      <c r="C1146" s="1209"/>
      <c r="D1146" s="1267"/>
      <c r="E1146" s="1267"/>
      <c r="F1146" s="1267"/>
      <c r="G1146" s="1267"/>
      <c r="H1146" s="1267"/>
      <c r="I1146" s="1267"/>
      <c r="J1146" s="1267"/>
      <c r="K1146" s="1267"/>
      <c r="L1146" s="1267"/>
      <c r="M1146" s="1267"/>
      <c r="N1146" s="1267"/>
      <c r="O1146" s="1267"/>
      <c r="P1146" s="1267"/>
      <c r="Q1146" s="1209"/>
      <c r="R1146" s="1209"/>
      <c r="S1146" s="1209"/>
      <c r="T1146" s="1209"/>
      <c r="U1146" s="1209"/>
      <c r="V1146" s="1209"/>
      <c r="W1146" s="1209"/>
      <c r="X1146" s="1209"/>
      <c r="Y1146" s="1209"/>
      <c r="Z1146" s="1209"/>
      <c r="AA1146" s="1209"/>
      <c r="AB1146" s="1209"/>
    </row>
    <row r="1147">
      <c r="A1147" s="1209"/>
      <c r="B1147" s="1209"/>
      <c r="C1147" s="1209"/>
      <c r="D1147" s="1267"/>
      <c r="E1147" s="1267"/>
      <c r="F1147" s="1267"/>
      <c r="G1147" s="1267"/>
      <c r="H1147" s="1267"/>
      <c r="I1147" s="1267"/>
      <c r="J1147" s="1267"/>
      <c r="K1147" s="1267"/>
      <c r="L1147" s="1267"/>
      <c r="M1147" s="1267"/>
      <c r="N1147" s="1267"/>
      <c r="O1147" s="1267"/>
      <c r="P1147" s="1267"/>
      <c r="Q1147" s="1209"/>
      <c r="R1147" s="1209"/>
      <c r="S1147" s="1209"/>
      <c r="T1147" s="1209"/>
      <c r="U1147" s="1209"/>
      <c r="V1147" s="1209"/>
      <c r="W1147" s="1209"/>
      <c r="X1147" s="1209"/>
      <c r="Y1147" s="1209"/>
      <c r="Z1147" s="1209"/>
      <c r="AA1147" s="1209"/>
      <c r="AB1147" s="1209"/>
    </row>
    <row r="1148">
      <c r="A1148" s="1209"/>
      <c r="B1148" s="1209"/>
      <c r="C1148" s="1209"/>
      <c r="D1148" s="1267"/>
      <c r="E1148" s="1267"/>
      <c r="F1148" s="1267"/>
      <c r="G1148" s="1267"/>
      <c r="H1148" s="1267"/>
      <c r="I1148" s="1267"/>
      <c r="J1148" s="1267"/>
      <c r="K1148" s="1267"/>
      <c r="L1148" s="1267"/>
      <c r="M1148" s="1267"/>
      <c r="N1148" s="1267"/>
      <c r="O1148" s="1267"/>
      <c r="P1148" s="1267"/>
      <c r="Q1148" s="1209"/>
      <c r="R1148" s="1209"/>
      <c r="S1148" s="1209"/>
      <c r="T1148" s="1209"/>
      <c r="U1148" s="1209"/>
      <c r="V1148" s="1209"/>
      <c r="W1148" s="1209"/>
      <c r="X1148" s="1209"/>
      <c r="Y1148" s="1209"/>
      <c r="Z1148" s="1209"/>
      <c r="AA1148" s="1209"/>
      <c r="AB1148" s="1209"/>
    </row>
    <row r="1149">
      <c r="A1149" s="1209"/>
      <c r="B1149" s="1209"/>
      <c r="C1149" s="1209"/>
      <c r="D1149" s="1267"/>
      <c r="E1149" s="1267"/>
      <c r="F1149" s="1267"/>
      <c r="G1149" s="1267"/>
      <c r="H1149" s="1267"/>
      <c r="I1149" s="1267"/>
      <c r="J1149" s="1267"/>
      <c r="K1149" s="1267"/>
      <c r="L1149" s="1267"/>
      <c r="M1149" s="1267"/>
      <c r="N1149" s="1267"/>
      <c r="O1149" s="1267"/>
      <c r="P1149" s="1267"/>
      <c r="Q1149" s="1209"/>
      <c r="R1149" s="1209"/>
      <c r="S1149" s="1209"/>
      <c r="T1149" s="1209"/>
      <c r="U1149" s="1209"/>
      <c r="V1149" s="1209"/>
      <c r="W1149" s="1209"/>
      <c r="X1149" s="1209"/>
      <c r="Y1149" s="1209"/>
      <c r="Z1149" s="1209"/>
      <c r="AA1149" s="1209"/>
      <c r="AB1149" s="1209"/>
    </row>
    <row r="1150">
      <c r="A1150" s="1209"/>
      <c r="B1150" s="1209"/>
      <c r="C1150" s="1209"/>
      <c r="D1150" s="1267"/>
      <c r="E1150" s="1267"/>
      <c r="F1150" s="1267"/>
      <c r="G1150" s="1267"/>
      <c r="H1150" s="1267"/>
      <c r="I1150" s="1267"/>
      <c r="J1150" s="1267"/>
      <c r="K1150" s="1267"/>
      <c r="L1150" s="1267"/>
      <c r="M1150" s="1267"/>
      <c r="N1150" s="1267"/>
      <c r="O1150" s="1267"/>
      <c r="P1150" s="1267"/>
      <c r="Q1150" s="1209"/>
      <c r="R1150" s="1209"/>
      <c r="S1150" s="1209"/>
      <c r="T1150" s="1209"/>
      <c r="U1150" s="1209"/>
      <c r="V1150" s="1209"/>
      <c r="W1150" s="1209"/>
      <c r="X1150" s="1209"/>
      <c r="Y1150" s="1209"/>
      <c r="Z1150" s="1209"/>
      <c r="AA1150" s="1209"/>
      <c r="AB1150" s="1209"/>
    </row>
    <row r="1151">
      <c r="A1151" s="1209"/>
      <c r="B1151" s="1209"/>
      <c r="C1151" s="1209"/>
      <c r="D1151" s="1267"/>
      <c r="E1151" s="1267"/>
      <c r="F1151" s="1267"/>
      <c r="G1151" s="1267"/>
      <c r="H1151" s="1267"/>
      <c r="I1151" s="1267"/>
      <c r="J1151" s="1267"/>
      <c r="K1151" s="1267"/>
      <c r="L1151" s="1267"/>
      <c r="M1151" s="1267"/>
      <c r="N1151" s="1267"/>
      <c r="O1151" s="1267"/>
      <c r="P1151" s="1267"/>
      <c r="Q1151" s="1209"/>
      <c r="R1151" s="1209"/>
      <c r="S1151" s="1209"/>
      <c r="T1151" s="1209"/>
      <c r="U1151" s="1209"/>
      <c r="V1151" s="1209"/>
      <c r="W1151" s="1209"/>
      <c r="X1151" s="1209"/>
      <c r="Y1151" s="1209"/>
      <c r="Z1151" s="1209"/>
      <c r="AA1151" s="1209"/>
      <c r="AB1151" s="1209"/>
    </row>
    <row r="1152">
      <c r="A1152" s="1209"/>
      <c r="B1152" s="1209"/>
      <c r="C1152" s="1209"/>
      <c r="D1152" s="1267"/>
      <c r="E1152" s="1267"/>
      <c r="F1152" s="1267"/>
      <c r="G1152" s="1267"/>
      <c r="H1152" s="1267"/>
      <c r="I1152" s="1267"/>
      <c r="J1152" s="1267"/>
      <c r="K1152" s="1267"/>
      <c r="L1152" s="1267"/>
      <c r="M1152" s="1267"/>
      <c r="N1152" s="1267"/>
      <c r="O1152" s="1267"/>
      <c r="P1152" s="1267"/>
      <c r="Q1152" s="1209"/>
      <c r="R1152" s="1209"/>
      <c r="S1152" s="1209"/>
      <c r="T1152" s="1209"/>
      <c r="U1152" s="1209"/>
      <c r="V1152" s="1209"/>
      <c r="W1152" s="1209"/>
      <c r="X1152" s="1209"/>
      <c r="Y1152" s="1209"/>
      <c r="Z1152" s="1209"/>
      <c r="AA1152" s="1209"/>
      <c r="AB1152" s="1209"/>
    </row>
    <row r="1153">
      <c r="A1153" s="1209"/>
      <c r="B1153" s="1209"/>
      <c r="C1153" s="1209"/>
      <c r="D1153" s="1267"/>
      <c r="E1153" s="1267"/>
      <c r="F1153" s="1267"/>
      <c r="G1153" s="1267"/>
      <c r="H1153" s="1267"/>
      <c r="I1153" s="1267"/>
      <c r="J1153" s="1267"/>
      <c r="K1153" s="1267"/>
      <c r="L1153" s="1267"/>
      <c r="M1153" s="1267"/>
      <c r="N1153" s="1267"/>
      <c r="O1153" s="1267"/>
      <c r="P1153" s="1267"/>
      <c r="Q1153" s="1209"/>
      <c r="R1153" s="1209"/>
      <c r="S1153" s="1209"/>
      <c r="T1153" s="1209"/>
      <c r="U1153" s="1209"/>
      <c r="V1153" s="1209"/>
      <c r="W1153" s="1209"/>
      <c r="X1153" s="1209"/>
      <c r="Y1153" s="1209"/>
      <c r="Z1153" s="1209"/>
      <c r="AA1153" s="1209"/>
      <c r="AB1153" s="1209"/>
    </row>
    <row r="1154">
      <c r="A1154" s="1209"/>
      <c r="B1154" s="1209"/>
      <c r="C1154" s="1209"/>
      <c r="D1154" s="1267"/>
      <c r="E1154" s="1267"/>
      <c r="F1154" s="1267"/>
      <c r="G1154" s="1267"/>
      <c r="H1154" s="1267"/>
      <c r="I1154" s="1267"/>
      <c r="J1154" s="1267"/>
      <c r="K1154" s="1267"/>
      <c r="L1154" s="1267"/>
      <c r="M1154" s="1267"/>
      <c r="N1154" s="1267"/>
      <c r="O1154" s="1267"/>
      <c r="P1154" s="1267"/>
      <c r="Q1154" s="1209"/>
      <c r="R1154" s="1209"/>
      <c r="S1154" s="1209"/>
      <c r="T1154" s="1209"/>
      <c r="U1154" s="1209"/>
      <c r="V1154" s="1209"/>
      <c r="W1154" s="1209"/>
      <c r="X1154" s="1209"/>
      <c r="Y1154" s="1209"/>
      <c r="Z1154" s="1209"/>
      <c r="AA1154" s="1209"/>
      <c r="AB1154" s="1209"/>
    </row>
    <row r="1155">
      <c r="A1155" s="1209"/>
      <c r="B1155" s="1209"/>
      <c r="C1155" s="1209"/>
      <c r="D1155" s="1267"/>
      <c r="E1155" s="1267"/>
      <c r="F1155" s="1267"/>
      <c r="G1155" s="1267"/>
      <c r="H1155" s="1267"/>
      <c r="I1155" s="1267"/>
      <c r="J1155" s="1267"/>
      <c r="K1155" s="1267"/>
      <c r="L1155" s="1267"/>
      <c r="M1155" s="1267"/>
      <c r="N1155" s="1267"/>
      <c r="O1155" s="1267"/>
      <c r="P1155" s="1267"/>
      <c r="Q1155" s="1209"/>
      <c r="R1155" s="1209"/>
      <c r="S1155" s="1209"/>
      <c r="T1155" s="1209"/>
      <c r="U1155" s="1209"/>
      <c r="V1155" s="1209"/>
      <c r="W1155" s="1209"/>
      <c r="X1155" s="1209"/>
      <c r="Y1155" s="1209"/>
      <c r="Z1155" s="1209"/>
      <c r="AA1155" s="1209"/>
      <c r="AB1155" s="1209"/>
    </row>
    <row r="1156">
      <c r="A1156" s="1209"/>
      <c r="B1156" s="1209"/>
      <c r="C1156" s="1209"/>
      <c r="D1156" s="1267"/>
      <c r="E1156" s="1267"/>
      <c r="F1156" s="1267"/>
      <c r="G1156" s="1267"/>
      <c r="H1156" s="1267"/>
      <c r="I1156" s="1267"/>
      <c r="J1156" s="1267"/>
      <c r="K1156" s="1267"/>
      <c r="L1156" s="1267"/>
      <c r="M1156" s="1267"/>
      <c r="N1156" s="1267"/>
      <c r="O1156" s="1267"/>
      <c r="P1156" s="1267"/>
      <c r="Q1156" s="1209"/>
      <c r="R1156" s="1209"/>
      <c r="S1156" s="1209"/>
      <c r="T1156" s="1209"/>
      <c r="U1156" s="1209"/>
      <c r="V1156" s="1209"/>
      <c r="W1156" s="1209"/>
      <c r="X1156" s="1209"/>
      <c r="Y1156" s="1209"/>
      <c r="Z1156" s="1209"/>
      <c r="AA1156" s="1209"/>
      <c r="AB1156" s="1209"/>
    </row>
    <row r="1157">
      <c r="A1157" s="1209"/>
      <c r="B1157" s="1209"/>
      <c r="C1157" s="1209"/>
      <c r="D1157" s="1267"/>
      <c r="E1157" s="1267"/>
      <c r="F1157" s="1267"/>
      <c r="G1157" s="1267"/>
      <c r="H1157" s="1267"/>
      <c r="I1157" s="1267"/>
      <c r="J1157" s="1267"/>
      <c r="K1157" s="1267"/>
      <c r="L1157" s="1267"/>
      <c r="M1157" s="1267"/>
      <c r="N1157" s="1267"/>
      <c r="O1157" s="1267"/>
      <c r="P1157" s="1267"/>
      <c r="Q1157" s="1209"/>
      <c r="R1157" s="1209"/>
      <c r="S1157" s="1209"/>
      <c r="T1157" s="1209"/>
      <c r="U1157" s="1209"/>
      <c r="V1157" s="1209"/>
      <c r="W1157" s="1209"/>
      <c r="X1157" s="1209"/>
      <c r="Y1157" s="1209"/>
      <c r="Z1157" s="1209"/>
      <c r="AA1157" s="1209"/>
      <c r="AB1157" s="1209"/>
    </row>
    <row r="1158">
      <c r="A1158" s="1209"/>
      <c r="B1158" s="1209"/>
      <c r="C1158" s="1209"/>
      <c r="D1158" s="1267"/>
      <c r="E1158" s="1267"/>
      <c r="F1158" s="1267"/>
      <c r="G1158" s="1267"/>
      <c r="H1158" s="1267"/>
      <c r="I1158" s="1267"/>
      <c r="J1158" s="1267"/>
      <c r="K1158" s="1267"/>
      <c r="L1158" s="1267"/>
      <c r="M1158" s="1267"/>
      <c r="N1158" s="1267"/>
      <c r="O1158" s="1267"/>
      <c r="P1158" s="1267"/>
      <c r="Q1158" s="1209"/>
      <c r="R1158" s="1209"/>
      <c r="S1158" s="1209"/>
      <c r="T1158" s="1209"/>
      <c r="U1158" s="1209"/>
      <c r="V1158" s="1209"/>
      <c r="W1158" s="1209"/>
      <c r="X1158" s="1209"/>
      <c r="Y1158" s="1209"/>
      <c r="Z1158" s="1209"/>
      <c r="AA1158" s="1209"/>
      <c r="AB1158" s="1209"/>
    </row>
    <row r="1159">
      <c r="A1159" s="1209"/>
      <c r="B1159" s="1209"/>
      <c r="C1159" s="1209"/>
      <c r="D1159" s="1267"/>
      <c r="E1159" s="1267"/>
      <c r="F1159" s="1267"/>
      <c r="G1159" s="1267"/>
      <c r="H1159" s="1267"/>
      <c r="I1159" s="1267"/>
      <c r="J1159" s="1267"/>
      <c r="K1159" s="1267"/>
      <c r="L1159" s="1267"/>
      <c r="M1159" s="1267"/>
      <c r="N1159" s="1267"/>
      <c r="O1159" s="1267"/>
      <c r="P1159" s="1267"/>
      <c r="Q1159" s="1209"/>
      <c r="R1159" s="1209"/>
      <c r="S1159" s="1209"/>
      <c r="T1159" s="1209"/>
      <c r="U1159" s="1209"/>
      <c r="V1159" s="1209"/>
      <c r="W1159" s="1209"/>
      <c r="X1159" s="1209"/>
      <c r="Y1159" s="1209"/>
      <c r="Z1159" s="1209"/>
      <c r="AA1159" s="1209"/>
      <c r="AB1159" s="1209"/>
    </row>
    <row r="1160">
      <c r="A1160" s="1209"/>
      <c r="B1160" s="1209"/>
      <c r="C1160" s="1209"/>
      <c r="D1160" s="1267"/>
      <c r="E1160" s="1267"/>
      <c r="F1160" s="1267"/>
      <c r="G1160" s="1267"/>
      <c r="H1160" s="1267"/>
      <c r="I1160" s="1267"/>
      <c r="J1160" s="1267"/>
      <c r="K1160" s="1267"/>
      <c r="L1160" s="1267"/>
      <c r="M1160" s="1267"/>
      <c r="N1160" s="1267"/>
      <c r="O1160" s="1267"/>
      <c r="P1160" s="1267"/>
      <c r="Q1160" s="1209"/>
      <c r="R1160" s="1209"/>
      <c r="S1160" s="1209"/>
      <c r="T1160" s="1209"/>
      <c r="U1160" s="1209"/>
      <c r="V1160" s="1209"/>
      <c r="W1160" s="1209"/>
      <c r="X1160" s="1209"/>
      <c r="Y1160" s="1209"/>
      <c r="Z1160" s="1209"/>
      <c r="AA1160" s="1209"/>
      <c r="AB1160" s="1209"/>
    </row>
    <row r="1161">
      <c r="A1161" s="1209"/>
      <c r="B1161" s="1209"/>
      <c r="C1161" s="1209"/>
      <c r="D1161" s="1267"/>
      <c r="E1161" s="1267"/>
      <c r="F1161" s="1267"/>
      <c r="G1161" s="1267"/>
      <c r="H1161" s="1267"/>
      <c r="I1161" s="1267"/>
      <c r="J1161" s="1267"/>
      <c r="K1161" s="1267"/>
      <c r="L1161" s="1267"/>
      <c r="M1161" s="1267"/>
      <c r="N1161" s="1267"/>
      <c r="O1161" s="1267"/>
      <c r="P1161" s="1267"/>
      <c r="Q1161" s="1209"/>
      <c r="R1161" s="1209"/>
      <c r="S1161" s="1209"/>
      <c r="T1161" s="1209"/>
      <c r="U1161" s="1209"/>
      <c r="V1161" s="1209"/>
      <c r="W1161" s="1209"/>
      <c r="X1161" s="1209"/>
      <c r="Y1161" s="1209"/>
      <c r="Z1161" s="1209"/>
      <c r="AA1161" s="1209"/>
      <c r="AB1161" s="1209"/>
    </row>
    <row r="1162">
      <c r="A1162" s="1209"/>
      <c r="B1162" s="1209"/>
      <c r="C1162" s="1209"/>
      <c r="D1162" s="1267"/>
      <c r="E1162" s="1267"/>
      <c r="F1162" s="1267"/>
      <c r="G1162" s="1267"/>
      <c r="H1162" s="1267"/>
      <c r="I1162" s="1267"/>
      <c r="J1162" s="1267"/>
      <c r="K1162" s="1267"/>
      <c r="L1162" s="1267"/>
      <c r="M1162" s="1267"/>
      <c r="N1162" s="1267"/>
      <c r="O1162" s="1267"/>
      <c r="P1162" s="1267"/>
      <c r="Q1162" s="1209"/>
      <c r="R1162" s="1209"/>
      <c r="S1162" s="1209"/>
      <c r="T1162" s="1209"/>
      <c r="U1162" s="1209"/>
      <c r="V1162" s="1209"/>
      <c r="W1162" s="1209"/>
      <c r="X1162" s="1209"/>
      <c r="Y1162" s="1209"/>
      <c r="Z1162" s="1209"/>
      <c r="AA1162" s="1209"/>
      <c r="AB1162" s="1209"/>
    </row>
    <row r="1163">
      <c r="A1163" s="1209"/>
      <c r="B1163" s="1209"/>
      <c r="C1163" s="1209"/>
      <c r="D1163" s="1267"/>
      <c r="E1163" s="1267"/>
      <c r="F1163" s="1267"/>
      <c r="G1163" s="1267"/>
      <c r="H1163" s="1267"/>
      <c r="I1163" s="1267"/>
      <c r="J1163" s="1267"/>
      <c r="K1163" s="1267"/>
      <c r="L1163" s="1267"/>
      <c r="M1163" s="1267"/>
      <c r="N1163" s="1267"/>
      <c r="O1163" s="1267"/>
      <c r="P1163" s="1267"/>
      <c r="Q1163" s="1209"/>
      <c r="R1163" s="1209"/>
      <c r="S1163" s="1209"/>
      <c r="T1163" s="1209"/>
      <c r="U1163" s="1209"/>
      <c r="V1163" s="1209"/>
      <c r="W1163" s="1209"/>
      <c r="X1163" s="1209"/>
      <c r="Y1163" s="1209"/>
      <c r="Z1163" s="1209"/>
      <c r="AA1163" s="1209"/>
      <c r="AB1163" s="1209"/>
    </row>
    <row r="1164">
      <c r="A1164" s="1209"/>
      <c r="B1164" s="1209"/>
      <c r="C1164" s="1209"/>
      <c r="D1164" s="1267"/>
      <c r="E1164" s="1267"/>
      <c r="F1164" s="1267"/>
      <c r="G1164" s="1267"/>
      <c r="H1164" s="1267"/>
      <c r="I1164" s="1267"/>
      <c r="J1164" s="1267"/>
      <c r="K1164" s="1267"/>
      <c r="L1164" s="1267"/>
      <c r="M1164" s="1267"/>
      <c r="N1164" s="1267"/>
      <c r="O1164" s="1267"/>
      <c r="P1164" s="1267"/>
      <c r="Q1164" s="1209"/>
      <c r="R1164" s="1209"/>
      <c r="S1164" s="1209"/>
      <c r="T1164" s="1209"/>
      <c r="U1164" s="1209"/>
      <c r="V1164" s="1209"/>
      <c r="W1164" s="1209"/>
      <c r="X1164" s="1209"/>
      <c r="Y1164" s="1209"/>
      <c r="Z1164" s="1209"/>
      <c r="AA1164" s="1209"/>
      <c r="AB1164" s="1209"/>
    </row>
    <row r="1165">
      <c r="A1165" s="1209"/>
      <c r="B1165" s="1209"/>
      <c r="C1165" s="1209"/>
      <c r="D1165" s="1267"/>
      <c r="E1165" s="1267"/>
      <c r="F1165" s="1267"/>
      <c r="G1165" s="1267"/>
      <c r="H1165" s="1267"/>
      <c r="I1165" s="1267"/>
      <c r="J1165" s="1267"/>
      <c r="K1165" s="1267"/>
      <c r="L1165" s="1267"/>
      <c r="M1165" s="1267"/>
      <c r="N1165" s="1267"/>
      <c r="O1165" s="1267"/>
      <c r="P1165" s="1267"/>
      <c r="Q1165" s="1209"/>
      <c r="R1165" s="1209"/>
      <c r="S1165" s="1209"/>
      <c r="T1165" s="1209"/>
      <c r="U1165" s="1209"/>
      <c r="V1165" s="1209"/>
      <c r="W1165" s="1209"/>
      <c r="X1165" s="1209"/>
      <c r="Y1165" s="1209"/>
      <c r="Z1165" s="1209"/>
      <c r="AA1165" s="1209"/>
      <c r="AB1165" s="1209"/>
    </row>
    <row r="1166">
      <c r="A1166" s="1209"/>
      <c r="B1166" s="1209"/>
      <c r="C1166" s="1209"/>
      <c r="D1166" s="1267"/>
      <c r="E1166" s="1267"/>
      <c r="F1166" s="1267"/>
      <c r="G1166" s="1267"/>
      <c r="H1166" s="1267"/>
      <c r="I1166" s="1267"/>
      <c r="J1166" s="1267"/>
      <c r="K1166" s="1267"/>
      <c r="L1166" s="1267"/>
      <c r="M1166" s="1267"/>
      <c r="N1166" s="1267"/>
      <c r="O1166" s="1267"/>
      <c r="P1166" s="1267"/>
      <c r="Q1166" s="1209"/>
      <c r="R1166" s="1209"/>
      <c r="S1166" s="1209"/>
      <c r="T1166" s="1209"/>
      <c r="U1166" s="1209"/>
      <c r="V1166" s="1209"/>
      <c r="W1166" s="1209"/>
      <c r="X1166" s="1209"/>
      <c r="Y1166" s="1209"/>
      <c r="Z1166" s="1209"/>
      <c r="AA1166" s="1209"/>
      <c r="AB1166" s="1209"/>
    </row>
    <row r="1167">
      <c r="A1167" s="1209"/>
      <c r="B1167" s="1209"/>
      <c r="C1167" s="1209"/>
      <c r="D1167" s="1267"/>
      <c r="E1167" s="1267"/>
      <c r="F1167" s="1267"/>
      <c r="G1167" s="1267"/>
      <c r="H1167" s="1267"/>
      <c r="I1167" s="1267"/>
      <c r="J1167" s="1267"/>
      <c r="K1167" s="1267"/>
      <c r="L1167" s="1267"/>
      <c r="M1167" s="1267"/>
      <c r="N1167" s="1267"/>
      <c r="O1167" s="1267"/>
      <c r="P1167" s="1267"/>
      <c r="Q1167" s="1209"/>
      <c r="R1167" s="1209"/>
      <c r="S1167" s="1209"/>
      <c r="T1167" s="1209"/>
      <c r="U1167" s="1209"/>
      <c r="V1167" s="1209"/>
      <c r="W1167" s="1209"/>
      <c r="X1167" s="1209"/>
      <c r="Y1167" s="1209"/>
      <c r="Z1167" s="1209"/>
      <c r="AA1167" s="1209"/>
      <c r="AB1167" s="1209"/>
    </row>
    <row r="1168">
      <c r="A1168" s="1209"/>
      <c r="B1168" s="1209"/>
      <c r="C1168" s="1209"/>
      <c r="D1168" s="1267"/>
      <c r="E1168" s="1267"/>
      <c r="F1168" s="1267"/>
      <c r="G1168" s="1267"/>
      <c r="H1168" s="1267"/>
      <c r="I1168" s="1267"/>
      <c r="J1168" s="1267"/>
      <c r="K1168" s="1267"/>
      <c r="L1168" s="1267"/>
      <c r="M1168" s="1267"/>
      <c r="N1168" s="1267"/>
      <c r="O1168" s="1267"/>
      <c r="P1168" s="1267"/>
      <c r="Q1168" s="1209"/>
      <c r="R1168" s="1209"/>
      <c r="S1168" s="1209"/>
      <c r="T1168" s="1209"/>
      <c r="U1168" s="1209"/>
      <c r="V1168" s="1209"/>
      <c r="W1168" s="1209"/>
      <c r="X1168" s="1209"/>
      <c r="Y1168" s="1209"/>
      <c r="Z1168" s="1209"/>
      <c r="AA1168" s="1209"/>
      <c r="AB1168" s="1209"/>
    </row>
    <row r="1169">
      <c r="A1169" s="1209"/>
      <c r="B1169" s="1209"/>
      <c r="C1169" s="1209"/>
      <c r="D1169" s="1267"/>
      <c r="E1169" s="1267"/>
      <c r="F1169" s="1267"/>
      <c r="G1169" s="1267"/>
      <c r="H1169" s="1267"/>
      <c r="I1169" s="1267"/>
      <c r="J1169" s="1267"/>
      <c r="K1169" s="1267"/>
      <c r="L1169" s="1267"/>
      <c r="M1169" s="1267"/>
      <c r="N1169" s="1267"/>
      <c r="O1169" s="1267"/>
      <c r="P1169" s="1267"/>
      <c r="Q1169" s="1209"/>
      <c r="R1169" s="1209"/>
      <c r="S1169" s="1209"/>
      <c r="T1169" s="1209"/>
      <c r="U1169" s="1209"/>
      <c r="V1169" s="1209"/>
      <c r="W1169" s="1209"/>
      <c r="X1169" s="1209"/>
      <c r="Y1169" s="1209"/>
      <c r="Z1169" s="1209"/>
      <c r="AA1169" s="1209"/>
      <c r="AB1169" s="1209"/>
    </row>
    <row r="1170">
      <c r="A1170" s="1209"/>
      <c r="B1170" s="1209"/>
      <c r="C1170" s="1209"/>
      <c r="D1170" s="1267"/>
      <c r="E1170" s="1267"/>
      <c r="F1170" s="1267"/>
      <c r="G1170" s="1267"/>
      <c r="H1170" s="1267"/>
      <c r="I1170" s="1267"/>
      <c r="J1170" s="1267"/>
      <c r="K1170" s="1267"/>
      <c r="L1170" s="1267"/>
      <c r="M1170" s="1267"/>
      <c r="N1170" s="1267"/>
      <c r="O1170" s="1267"/>
      <c r="P1170" s="1267"/>
      <c r="Q1170" s="1209"/>
      <c r="R1170" s="1209"/>
      <c r="S1170" s="1209"/>
      <c r="T1170" s="1209"/>
      <c r="U1170" s="1209"/>
      <c r="V1170" s="1209"/>
      <c r="W1170" s="1209"/>
      <c r="X1170" s="1209"/>
      <c r="Y1170" s="1209"/>
      <c r="Z1170" s="1209"/>
      <c r="AA1170" s="1209"/>
      <c r="AB1170" s="1209"/>
    </row>
    <row r="1171">
      <c r="A1171" s="1209"/>
      <c r="B1171" s="1209"/>
      <c r="C1171" s="1209"/>
      <c r="D1171" s="1267"/>
      <c r="E1171" s="1267"/>
      <c r="F1171" s="1267"/>
      <c r="G1171" s="1267"/>
      <c r="H1171" s="1267"/>
      <c r="I1171" s="1267"/>
      <c r="J1171" s="1267"/>
      <c r="K1171" s="1267"/>
      <c r="L1171" s="1267"/>
      <c r="M1171" s="1267"/>
      <c r="N1171" s="1267"/>
      <c r="O1171" s="1267"/>
      <c r="P1171" s="1267"/>
      <c r="Q1171" s="1209"/>
      <c r="R1171" s="1209"/>
      <c r="S1171" s="1209"/>
      <c r="T1171" s="1209"/>
      <c r="U1171" s="1209"/>
      <c r="V1171" s="1209"/>
      <c r="W1171" s="1209"/>
      <c r="X1171" s="1209"/>
      <c r="Y1171" s="1209"/>
      <c r="Z1171" s="1209"/>
      <c r="AA1171" s="1209"/>
      <c r="AB1171" s="1209"/>
    </row>
    <row r="1172">
      <c r="A1172" s="1209"/>
      <c r="B1172" s="1209"/>
      <c r="C1172" s="1209"/>
      <c r="D1172" s="1267"/>
      <c r="E1172" s="1267"/>
      <c r="F1172" s="1267"/>
      <c r="G1172" s="1267"/>
      <c r="H1172" s="1267"/>
      <c r="I1172" s="1267"/>
      <c r="J1172" s="1267"/>
      <c r="K1172" s="1267"/>
      <c r="L1172" s="1267"/>
      <c r="M1172" s="1267"/>
      <c r="N1172" s="1267"/>
      <c r="O1172" s="1267"/>
      <c r="P1172" s="1267"/>
      <c r="Q1172" s="1209"/>
      <c r="R1172" s="1209"/>
      <c r="S1172" s="1209"/>
      <c r="T1172" s="1209"/>
      <c r="U1172" s="1209"/>
      <c r="V1172" s="1209"/>
      <c r="W1172" s="1209"/>
      <c r="X1172" s="1209"/>
      <c r="Y1172" s="1209"/>
      <c r="Z1172" s="1209"/>
      <c r="AA1172" s="1209"/>
      <c r="AB1172" s="1209"/>
    </row>
    <row r="1173">
      <c r="A1173" s="1209"/>
      <c r="B1173" s="1209"/>
      <c r="C1173" s="1209"/>
      <c r="D1173" s="1267"/>
      <c r="E1173" s="1267"/>
      <c r="F1173" s="1267"/>
      <c r="G1173" s="1267"/>
      <c r="H1173" s="1267"/>
      <c r="I1173" s="1267"/>
      <c r="J1173" s="1267"/>
      <c r="K1173" s="1267"/>
      <c r="L1173" s="1267"/>
      <c r="M1173" s="1267"/>
      <c r="N1173" s="1267"/>
      <c r="O1173" s="1267"/>
      <c r="P1173" s="1267"/>
      <c r="Q1173" s="1209"/>
      <c r="R1173" s="1209"/>
      <c r="S1173" s="1209"/>
      <c r="T1173" s="1209"/>
      <c r="U1173" s="1209"/>
      <c r="V1173" s="1209"/>
      <c r="W1173" s="1209"/>
      <c r="X1173" s="1209"/>
      <c r="Y1173" s="1209"/>
      <c r="Z1173" s="1209"/>
      <c r="AA1173" s="1209"/>
      <c r="AB1173" s="1209"/>
    </row>
    <row r="1174">
      <c r="A1174" s="1209"/>
      <c r="B1174" s="1209"/>
      <c r="C1174" s="1209"/>
      <c r="D1174" s="1267"/>
      <c r="E1174" s="1267"/>
      <c r="F1174" s="1267"/>
      <c r="G1174" s="1267"/>
      <c r="H1174" s="1267"/>
      <c r="I1174" s="1267"/>
      <c r="J1174" s="1267"/>
      <c r="K1174" s="1267"/>
      <c r="L1174" s="1267"/>
      <c r="M1174" s="1267"/>
      <c r="N1174" s="1267"/>
      <c r="O1174" s="1267"/>
      <c r="P1174" s="1267"/>
      <c r="Q1174" s="1209"/>
      <c r="R1174" s="1209"/>
      <c r="S1174" s="1209"/>
      <c r="T1174" s="1209"/>
      <c r="U1174" s="1209"/>
      <c r="V1174" s="1209"/>
      <c r="W1174" s="1209"/>
      <c r="X1174" s="1209"/>
      <c r="Y1174" s="1209"/>
      <c r="Z1174" s="1209"/>
      <c r="AA1174" s="1209"/>
      <c r="AB1174" s="1209"/>
    </row>
    <row r="1175">
      <c r="A1175" s="1209"/>
      <c r="B1175" s="1209"/>
      <c r="C1175" s="1209"/>
      <c r="D1175" s="1267"/>
      <c r="E1175" s="1267"/>
      <c r="F1175" s="1267"/>
      <c r="G1175" s="1267"/>
      <c r="H1175" s="1267"/>
      <c r="I1175" s="1267"/>
      <c r="J1175" s="1267"/>
      <c r="K1175" s="1267"/>
      <c r="L1175" s="1267"/>
      <c r="M1175" s="1267"/>
      <c r="N1175" s="1267"/>
      <c r="O1175" s="1267"/>
      <c r="P1175" s="1267"/>
      <c r="Q1175" s="1209"/>
      <c r="R1175" s="1209"/>
      <c r="S1175" s="1209"/>
      <c r="T1175" s="1209"/>
      <c r="U1175" s="1209"/>
      <c r="V1175" s="1209"/>
      <c r="W1175" s="1209"/>
      <c r="X1175" s="1209"/>
      <c r="Y1175" s="1209"/>
      <c r="Z1175" s="1209"/>
      <c r="AA1175" s="1209"/>
      <c r="AB1175" s="1209"/>
    </row>
    <row r="1176">
      <c r="A1176" s="1209"/>
      <c r="B1176" s="1209"/>
      <c r="C1176" s="1209"/>
      <c r="D1176" s="1267"/>
      <c r="E1176" s="1267"/>
      <c r="F1176" s="1267"/>
      <c r="G1176" s="1267"/>
      <c r="H1176" s="1267"/>
      <c r="I1176" s="1267"/>
      <c r="J1176" s="1267"/>
      <c r="K1176" s="1267"/>
      <c r="L1176" s="1267"/>
      <c r="M1176" s="1267"/>
      <c r="N1176" s="1267"/>
      <c r="O1176" s="1267"/>
      <c r="P1176" s="1267"/>
      <c r="Q1176" s="1209"/>
      <c r="R1176" s="1209"/>
      <c r="S1176" s="1209"/>
      <c r="T1176" s="1209"/>
      <c r="U1176" s="1209"/>
      <c r="V1176" s="1209"/>
      <c r="W1176" s="1209"/>
      <c r="X1176" s="1209"/>
      <c r="Y1176" s="1209"/>
      <c r="Z1176" s="1209"/>
      <c r="AA1176" s="1209"/>
      <c r="AB1176" s="1209"/>
    </row>
    <row r="1177">
      <c r="A1177" s="1209"/>
      <c r="B1177" s="1209"/>
      <c r="C1177" s="1209"/>
      <c r="D1177" s="1267"/>
      <c r="E1177" s="1267"/>
      <c r="F1177" s="1267"/>
      <c r="G1177" s="1267"/>
      <c r="H1177" s="1267"/>
      <c r="I1177" s="1267"/>
      <c r="J1177" s="1267"/>
      <c r="K1177" s="1267"/>
      <c r="L1177" s="1267"/>
      <c r="M1177" s="1267"/>
      <c r="N1177" s="1267"/>
      <c r="O1177" s="1267"/>
      <c r="P1177" s="1267"/>
      <c r="Q1177" s="1209"/>
      <c r="R1177" s="1209"/>
      <c r="S1177" s="1209"/>
      <c r="T1177" s="1209"/>
      <c r="U1177" s="1209"/>
      <c r="V1177" s="1209"/>
      <c r="W1177" s="1209"/>
      <c r="X1177" s="1209"/>
      <c r="Y1177" s="1209"/>
      <c r="Z1177" s="1209"/>
      <c r="AA1177" s="1209"/>
      <c r="AB1177" s="1209"/>
    </row>
    <row r="1178">
      <c r="A1178" s="1209"/>
      <c r="B1178" s="1209"/>
      <c r="C1178" s="1209"/>
      <c r="D1178" s="1267"/>
      <c r="E1178" s="1267"/>
      <c r="F1178" s="1267"/>
      <c r="G1178" s="1267"/>
      <c r="H1178" s="1267"/>
      <c r="I1178" s="1267"/>
      <c r="J1178" s="1267"/>
      <c r="K1178" s="1267"/>
      <c r="L1178" s="1267"/>
      <c r="M1178" s="1267"/>
      <c r="N1178" s="1267"/>
      <c r="O1178" s="1267"/>
      <c r="P1178" s="1267"/>
      <c r="Q1178" s="1209"/>
      <c r="R1178" s="1209"/>
      <c r="S1178" s="1209"/>
      <c r="T1178" s="1209"/>
      <c r="U1178" s="1209"/>
      <c r="V1178" s="1209"/>
      <c r="W1178" s="1209"/>
      <c r="X1178" s="1209"/>
      <c r="Y1178" s="1209"/>
      <c r="Z1178" s="1209"/>
      <c r="AA1178" s="1209"/>
      <c r="AB1178" s="1209"/>
    </row>
    <row r="1179">
      <c r="A1179" s="1209"/>
      <c r="B1179" s="1209"/>
      <c r="C1179" s="1209"/>
      <c r="D1179" s="1267"/>
      <c r="E1179" s="1267"/>
      <c r="F1179" s="1267"/>
      <c r="G1179" s="1267"/>
      <c r="H1179" s="1267"/>
      <c r="I1179" s="1267"/>
      <c r="J1179" s="1267"/>
      <c r="K1179" s="1267"/>
      <c r="L1179" s="1267"/>
      <c r="M1179" s="1267"/>
      <c r="N1179" s="1267"/>
      <c r="O1179" s="1267"/>
      <c r="P1179" s="1267"/>
      <c r="Q1179" s="1209"/>
      <c r="R1179" s="1209"/>
      <c r="S1179" s="1209"/>
      <c r="T1179" s="1209"/>
      <c r="U1179" s="1209"/>
      <c r="V1179" s="1209"/>
      <c r="W1179" s="1209"/>
      <c r="X1179" s="1209"/>
      <c r="Y1179" s="1209"/>
      <c r="Z1179" s="1209"/>
      <c r="AA1179" s="1209"/>
      <c r="AB1179" s="1209"/>
    </row>
    <row r="1180">
      <c r="A1180" s="1209"/>
      <c r="B1180" s="1209"/>
      <c r="C1180" s="1209"/>
      <c r="D1180" s="1267"/>
      <c r="E1180" s="1267"/>
      <c r="F1180" s="1267"/>
      <c r="G1180" s="1267"/>
      <c r="H1180" s="1267"/>
      <c r="I1180" s="1267"/>
      <c r="J1180" s="1267"/>
      <c r="K1180" s="1267"/>
      <c r="L1180" s="1267"/>
      <c r="M1180" s="1267"/>
      <c r="N1180" s="1267"/>
      <c r="O1180" s="1267"/>
      <c r="P1180" s="1267"/>
      <c r="Q1180" s="1209"/>
      <c r="R1180" s="1209"/>
      <c r="S1180" s="1209"/>
      <c r="T1180" s="1209"/>
      <c r="U1180" s="1209"/>
      <c r="V1180" s="1209"/>
      <c r="W1180" s="1209"/>
      <c r="X1180" s="1209"/>
      <c r="Y1180" s="1209"/>
      <c r="Z1180" s="1209"/>
      <c r="AA1180" s="1209"/>
      <c r="AB1180" s="1209"/>
    </row>
    <row r="1181">
      <c r="A1181" s="1209"/>
      <c r="B1181" s="1209"/>
      <c r="C1181" s="1209"/>
      <c r="D1181" s="1267"/>
      <c r="E1181" s="1267"/>
      <c r="F1181" s="1267"/>
      <c r="G1181" s="1267"/>
      <c r="H1181" s="1267"/>
      <c r="I1181" s="1267"/>
      <c r="J1181" s="1267"/>
      <c r="K1181" s="1267"/>
      <c r="L1181" s="1267"/>
      <c r="M1181" s="1267"/>
      <c r="N1181" s="1267"/>
      <c r="O1181" s="1267"/>
      <c r="P1181" s="1267"/>
      <c r="Q1181" s="1209"/>
      <c r="R1181" s="1209"/>
      <c r="S1181" s="1209"/>
      <c r="T1181" s="1209"/>
      <c r="U1181" s="1209"/>
      <c r="V1181" s="1209"/>
      <c r="W1181" s="1209"/>
      <c r="X1181" s="1209"/>
      <c r="Y1181" s="1209"/>
      <c r="Z1181" s="1209"/>
      <c r="AA1181" s="1209"/>
      <c r="AB1181" s="1209"/>
    </row>
    <row r="1182">
      <c r="A1182" s="1209"/>
      <c r="B1182" s="1209"/>
      <c r="C1182" s="1209"/>
      <c r="D1182" s="1267"/>
      <c r="E1182" s="1267"/>
      <c r="F1182" s="1267"/>
      <c r="G1182" s="1267"/>
      <c r="H1182" s="1267"/>
      <c r="I1182" s="1267"/>
      <c r="J1182" s="1267"/>
      <c r="K1182" s="1267"/>
      <c r="L1182" s="1267"/>
      <c r="M1182" s="1267"/>
      <c r="N1182" s="1267"/>
      <c r="O1182" s="1267"/>
      <c r="P1182" s="1267"/>
      <c r="Q1182" s="1209"/>
      <c r="R1182" s="1209"/>
      <c r="S1182" s="1209"/>
      <c r="T1182" s="1209"/>
      <c r="U1182" s="1209"/>
      <c r="V1182" s="1209"/>
      <c r="W1182" s="1209"/>
      <c r="X1182" s="1209"/>
      <c r="Y1182" s="1209"/>
      <c r="Z1182" s="1209"/>
      <c r="AA1182" s="1209"/>
      <c r="AB1182" s="1209"/>
    </row>
    <row r="1183">
      <c r="A1183" s="1209"/>
      <c r="B1183" s="1209"/>
      <c r="C1183" s="1209"/>
      <c r="D1183" s="1267"/>
      <c r="E1183" s="1267"/>
      <c r="F1183" s="1267"/>
      <c r="G1183" s="1267"/>
      <c r="H1183" s="1267"/>
      <c r="I1183" s="1267"/>
      <c r="J1183" s="1267"/>
      <c r="K1183" s="1267"/>
      <c r="L1183" s="1267"/>
      <c r="M1183" s="1267"/>
      <c r="N1183" s="1267"/>
      <c r="O1183" s="1267"/>
      <c r="P1183" s="1267"/>
      <c r="Q1183" s="1209"/>
      <c r="R1183" s="1209"/>
      <c r="S1183" s="1209"/>
      <c r="T1183" s="1209"/>
      <c r="U1183" s="1209"/>
      <c r="V1183" s="1209"/>
      <c r="W1183" s="1209"/>
      <c r="X1183" s="1209"/>
      <c r="Y1183" s="1209"/>
      <c r="Z1183" s="1209"/>
      <c r="AA1183" s="1209"/>
      <c r="AB1183" s="1209"/>
    </row>
    <row r="1184">
      <c r="A1184" s="1209"/>
      <c r="B1184" s="1209"/>
      <c r="C1184" s="1209"/>
      <c r="D1184" s="1267"/>
      <c r="E1184" s="1267"/>
      <c r="F1184" s="1267"/>
      <c r="G1184" s="1267"/>
      <c r="H1184" s="1267"/>
      <c r="I1184" s="1267"/>
      <c r="J1184" s="1267"/>
      <c r="K1184" s="1267"/>
      <c r="L1184" s="1267"/>
      <c r="M1184" s="1267"/>
      <c r="N1184" s="1267"/>
      <c r="O1184" s="1267"/>
      <c r="P1184" s="1267"/>
      <c r="Q1184" s="1209"/>
      <c r="R1184" s="1209"/>
      <c r="S1184" s="1209"/>
      <c r="T1184" s="1209"/>
      <c r="U1184" s="1209"/>
      <c r="V1184" s="1209"/>
      <c r="W1184" s="1209"/>
      <c r="X1184" s="1209"/>
      <c r="Y1184" s="1209"/>
      <c r="Z1184" s="1209"/>
      <c r="AA1184" s="1209"/>
      <c r="AB1184" s="1209"/>
    </row>
    <row r="1185">
      <c r="A1185" s="1209"/>
      <c r="B1185" s="1209"/>
      <c r="C1185" s="1209"/>
      <c r="D1185" s="1267"/>
      <c r="E1185" s="1267"/>
      <c r="F1185" s="1267"/>
      <c r="G1185" s="1267"/>
      <c r="H1185" s="1267"/>
      <c r="I1185" s="1267"/>
      <c r="J1185" s="1267"/>
      <c r="K1185" s="1267"/>
      <c r="L1185" s="1267"/>
      <c r="M1185" s="1267"/>
      <c r="N1185" s="1267"/>
      <c r="O1185" s="1267"/>
      <c r="P1185" s="1267"/>
      <c r="Q1185" s="1209"/>
      <c r="R1185" s="1209"/>
      <c r="S1185" s="1209"/>
      <c r="T1185" s="1209"/>
      <c r="U1185" s="1209"/>
      <c r="V1185" s="1209"/>
      <c r="W1185" s="1209"/>
      <c r="X1185" s="1209"/>
      <c r="Y1185" s="1209"/>
      <c r="Z1185" s="1209"/>
      <c r="AA1185" s="1209"/>
      <c r="AB1185" s="1209"/>
    </row>
    <row r="1186">
      <c r="A1186" s="1209"/>
      <c r="B1186" s="1209"/>
      <c r="C1186" s="1209"/>
      <c r="D1186" s="1267"/>
      <c r="E1186" s="1267"/>
      <c r="F1186" s="1267"/>
      <c r="G1186" s="1267"/>
      <c r="H1186" s="1267"/>
      <c r="I1186" s="1267"/>
      <c r="J1186" s="1267"/>
      <c r="K1186" s="1267"/>
      <c r="L1186" s="1267"/>
      <c r="M1186" s="1267"/>
      <c r="N1186" s="1267"/>
      <c r="O1186" s="1267"/>
      <c r="P1186" s="1267"/>
      <c r="Q1186" s="1209"/>
      <c r="R1186" s="1209"/>
      <c r="S1186" s="1209"/>
      <c r="T1186" s="1209"/>
      <c r="U1186" s="1209"/>
      <c r="V1186" s="1209"/>
      <c r="W1186" s="1209"/>
      <c r="X1186" s="1209"/>
      <c r="Y1186" s="1209"/>
      <c r="Z1186" s="1209"/>
      <c r="AA1186" s="1209"/>
      <c r="AB1186" s="1209"/>
    </row>
    <row r="1187">
      <c r="A1187" s="1209"/>
      <c r="B1187" s="1209"/>
      <c r="C1187" s="1209"/>
      <c r="D1187" s="1267"/>
      <c r="E1187" s="1267"/>
      <c r="F1187" s="1267"/>
      <c r="G1187" s="1267"/>
      <c r="H1187" s="1267"/>
      <c r="I1187" s="1267"/>
      <c r="J1187" s="1267"/>
      <c r="K1187" s="1267"/>
      <c r="L1187" s="1267"/>
      <c r="M1187" s="1267"/>
      <c r="N1187" s="1267"/>
      <c r="O1187" s="1267"/>
      <c r="P1187" s="1267"/>
      <c r="Q1187" s="1209"/>
      <c r="R1187" s="1209"/>
      <c r="S1187" s="1209"/>
      <c r="T1187" s="1209"/>
      <c r="U1187" s="1209"/>
      <c r="V1187" s="1209"/>
      <c r="W1187" s="1209"/>
      <c r="X1187" s="1209"/>
      <c r="Y1187" s="1209"/>
      <c r="Z1187" s="1209"/>
      <c r="AA1187" s="1209"/>
      <c r="AB1187" s="1209"/>
    </row>
    <row r="1188">
      <c r="A1188" s="1209"/>
      <c r="B1188" s="1209"/>
      <c r="C1188" s="1209"/>
      <c r="D1188" s="1267"/>
      <c r="E1188" s="1267"/>
      <c r="F1188" s="1267"/>
      <c r="G1188" s="1267"/>
      <c r="H1188" s="1267"/>
      <c r="I1188" s="1267"/>
      <c r="J1188" s="1267"/>
      <c r="K1188" s="1267"/>
      <c r="L1188" s="1267"/>
      <c r="M1188" s="1267"/>
      <c r="N1188" s="1267"/>
      <c r="O1188" s="1267"/>
      <c r="P1188" s="1267"/>
      <c r="Q1188" s="1209"/>
      <c r="R1188" s="1209"/>
      <c r="S1188" s="1209"/>
      <c r="T1188" s="1209"/>
      <c r="U1188" s="1209"/>
      <c r="V1188" s="1209"/>
      <c r="W1188" s="1209"/>
      <c r="X1188" s="1209"/>
      <c r="Y1188" s="1209"/>
      <c r="Z1188" s="1209"/>
      <c r="AA1188" s="1209"/>
      <c r="AB1188" s="1209"/>
    </row>
    <row r="1189">
      <c r="A1189" s="1209"/>
      <c r="B1189" s="1209"/>
      <c r="C1189" s="1209"/>
      <c r="D1189" s="1267"/>
      <c r="E1189" s="1267"/>
      <c r="F1189" s="1267"/>
      <c r="G1189" s="1267"/>
      <c r="H1189" s="1267"/>
      <c r="I1189" s="1267"/>
      <c r="J1189" s="1267"/>
      <c r="K1189" s="1267"/>
      <c r="L1189" s="1267"/>
      <c r="M1189" s="1267"/>
      <c r="N1189" s="1267"/>
      <c r="O1189" s="1267"/>
      <c r="P1189" s="1267"/>
      <c r="Q1189" s="1209"/>
      <c r="R1189" s="1209"/>
      <c r="S1189" s="1209"/>
      <c r="T1189" s="1209"/>
      <c r="U1189" s="1209"/>
      <c r="V1189" s="1209"/>
      <c r="W1189" s="1209"/>
      <c r="X1189" s="1209"/>
      <c r="Y1189" s="1209"/>
      <c r="Z1189" s="1209"/>
      <c r="AA1189" s="1209"/>
      <c r="AB1189" s="1209"/>
    </row>
    <row r="1190">
      <c r="A1190" s="1209"/>
      <c r="B1190" s="1209"/>
      <c r="C1190" s="1209"/>
      <c r="D1190" s="1267"/>
      <c r="E1190" s="1267"/>
      <c r="F1190" s="1267"/>
      <c r="G1190" s="1267"/>
      <c r="H1190" s="1267"/>
      <c r="I1190" s="1267"/>
      <c r="J1190" s="1267"/>
      <c r="K1190" s="1267"/>
      <c r="L1190" s="1267"/>
      <c r="M1190" s="1267"/>
      <c r="N1190" s="1267"/>
      <c r="O1190" s="1267"/>
      <c r="P1190" s="1267"/>
      <c r="Q1190" s="1209"/>
      <c r="R1190" s="1209"/>
      <c r="S1190" s="1209"/>
      <c r="T1190" s="1209"/>
      <c r="U1190" s="1209"/>
      <c r="V1190" s="1209"/>
      <c r="W1190" s="1209"/>
      <c r="X1190" s="1209"/>
      <c r="Y1190" s="1209"/>
      <c r="Z1190" s="1209"/>
      <c r="AA1190" s="1209"/>
      <c r="AB1190" s="1209"/>
    </row>
    <row r="1191">
      <c r="A1191" s="1209"/>
      <c r="B1191" s="1209"/>
      <c r="C1191" s="1209"/>
      <c r="D1191" s="1267"/>
      <c r="E1191" s="1267"/>
      <c r="F1191" s="1267"/>
      <c r="G1191" s="1267"/>
      <c r="H1191" s="1267"/>
      <c r="I1191" s="1267"/>
      <c r="J1191" s="1267"/>
      <c r="K1191" s="1267"/>
      <c r="L1191" s="1267"/>
      <c r="M1191" s="1267"/>
      <c r="N1191" s="1267"/>
      <c r="O1191" s="1267"/>
      <c r="P1191" s="1267"/>
      <c r="Q1191" s="1209"/>
      <c r="R1191" s="1209"/>
      <c r="S1191" s="1209"/>
      <c r="T1191" s="1209"/>
      <c r="U1191" s="1209"/>
      <c r="V1191" s="1209"/>
      <c r="W1191" s="1209"/>
      <c r="X1191" s="1209"/>
      <c r="Y1191" s="1209"/>
      <c r="Z1191" s="1209"/>
      <c r="AA1191" s="1209"/>
      <c r="AB1191" s="1209"/>
    </row>
    <row r="1192">
      <c r="A1192" s="1209"/>
      <c r="B1192" s="1209"/>
      <c r="C1192" s="1209"/>
      <c r="D1192" s="1267"/>
      <c r="E1192" s="1267"/>
      <c r="F1192" s="1267"/>
      <c r="G1192" s="1267"/>
      <c r="H1192" s="1267"/>
      <c r="I1192" s="1267"/>
      <c r="J1192" s="1267"/>
      <c r="K1192" s="1267"/>
      <c r="L1192" s="1267"/>
      <c r="M1192" s="1267"/>
      <c r="N1192" s="1267"/>
      <c r="O1192" s="1267"/>
      <c r="P1192" s="1267"/>
      <c r="Q1192" s="1209"/>
      <c r="R1192" s="1209"/>
      <c r="S1192" s="1209"/>
      <c r="T1192" s="1209"/>
      <c r="U1192" s="1209"/>
      <c r="V1192" s="1209"/>
      <c r="W1192" s="1209"/>
      <c r="X1192" s="1209"/>
      <c r="Y1192" s="1209"/>
      <c r="Z1192" s="1209"/>
      <c r="AA1192" s="1209"/>
      <c r="AB1192" s="1209"/>
    </row>
    <row r="1193">
      <c r="A1193" s="1209"/>
      <c r="B1193" s="1209"/>
      <c r="C1193" s="1209"/>
      <c r="D1193" s="1267"/>
      <c r="E1193" s="1267"/>
      <c r="F1193" s="1267"/>
      <c r="G1193" s="1267"/>
      <c r="H1193" s="1267"/>
      <c r="I1193" s="1267"/>
      <c r="J1193" s="1267"/>
      <c r="K1193" s="1267"/>
      <c r="L1193" s="1267"/>
      <c r="M1193" s="1267"/>
      <c r="N1193" s="1267"/>
      <c r="O1193" s="1267"/>
      <c r="P1193" s="1267"/>
      <c r="Q1193" s="1209"/>
      <c r="R1193" s="1209"/>
      <c r="S1193" s="1209"/>
      <c r="T1193" s="1209"/>
      <c r="U1193" s="1209"/>
      <c r="V1193" s="1209"/>
      <c r="W1193" s="1209"/>
      <c r="X1193" s="1209"/>
      <c r="Y1193" s="1209"/>
      <c r="Z1193" s="1209"/>
      <c r="AA1193" s="1209"/>
      <c r="AB1193" s="1209"/>
    </row>
    <row r="1194">
      <c r="A1194" s="1209"/>
      <c r="B1194" s="1209"/>
      <c r="C1194" s="1209"/>
      <c r="D1194" s="1267"/>
      <c r="E1194" s="1267"/>
      <c r="F1194" s="1267"/>
      <c r="G1194" s="1267"/>
      <c r="H1194" s="1267"/>
      <c r="I1194" s="1267"/>
      <c r="J1194" s="1267"/>
      <c r="K1194" s="1267"/>
      <c r="L1194" s="1267"/>
      <c r="M1194" s="1267"/>
      <c r="N1194" s="1267"/>
      <c r="O1194" s="1267"/>
      <c r="P1194" s="1267"/>
      <c r="Q1194" s="1209"/>
      <c r="R1194" s="1209"/>
      <c r="S1194" s="1209"/>
      <c r="T1194" s="1209"/>
      <c r="U1194" s="1209"/>
      <c r="V1194" s="1209"/>
      <c r="W1194" s="1209"/>
      <c r="X1194" s="1209"/>
      <c r="Y1194" s="1209"/>
      <c r="Z1194" s="1209"/>
      <c r="AA1194" s="1209"/>
      <c r="AB1194" s="1209"/>
    </row>
    <row r="1195">
      <c r="A1195" s="1209"/>
      <c r="B1195" s="1209"/>
      <c r="C1195" s="1209"/>
      <c r="D1195" s="1267"/>
      <c r="E1195" s="1267"/>
      <c r="F1195" s="1267"/>
      <c r="G1195" s="1267"/>
      <c r="H1195" s="1267"/>
      <c r="I1195" s="1267"/>
      <c r="J1195" s="1267"/>
      <c r="K1195" s="1267"/>
      <c r="L1195" s="1267"/>
      <c r="M1195" s="1267"/>
      <c r="N1195" s="1267"/>
      <c r="O1195" s="1267"/>
      <c r="P1195" s="1267"/>
      <c r="Q1195" s="1209"/>
      <c r="R1195" s="1209"/>
      <c r="S1195" s="1209"/>
      <c r="T1195" s="1209"/>
      <c r="U1195" s="1209"/>
      <c r="V1195" s="1209"/>
      <c r="W1195" s="1209"/>
      <c r="X1195" s="1209"/>
      <c r="Y1195" s="1209"/>
      <c r="Z1195" s="1209"/>
      <c r="AA1195" s="1209"/>
      <c r="AB1195" s="1209"/>
    </row>
    <row r="1196">
      <c r="A1196" s="1209"/>
      <c r="B1196" s="1209"/>
      <c r="C1196" s="1209"/>
      <c r="D1196" s="1267"/>
      <c r="E1196" s="1267"/>
      <c r="F1196" s="1267"/>
      <c r="G1196" s="1267"/>
      <c r="H1196" s="1267"/>
      <c r="I1196" s="1267"/>
      <c r="J1196" s="1267"/>
      <c r="K1196" s="1267"/>
      <c r="L1196" s="1267"/>
      <c r="M1196" s="1267"/>
      <c r="N1196" s="1267"/>
      <c r="O1196" s="1267"/>
      <c r="P1196" s="1267"/>
      <c r="Q1196" s="1209"/>
      <c r="R1196" s="1209"/>
      <c r="S1196" s="1209"/>
      <c r="T1196" s="1209"/>
      <c r="U1196" s="1209"/>
      <c r="V1196" s="1209"/>
      <c r="W1196" s="1209"/>
      <c r="X1196" s="1209"/>
      <c r="Y1196" s="1209"/>
      <c r="Z1196" s="1209"/>
      <c r="AA1196" s="1209"/>
      <c r="AB1196" s="1209"/>
    </row>
    <row r="1197">
      <c r="A1197" s="1209"/>
      <c r="B1197" s="1209"/>
      <c r="C1197" s="1209"/>
      <c r="D1197" s="1267"/>
      <c r="E1197" s="1267"/>
      <c r="F1197" s="1267"/>
      <c r="G1197" s="1267"/>
      <c r="H1197" s="1267"/>
      <c r="I1197" s="1267"/>
      <c r="J1197" s="1267"/>
      <c r="K1197" s="1267"/>
      <c r="L1197" s="1267"/>
      <c r="M1197" s="1267"/>
      <c r="N1197" s="1267"/>
      <c r="O1197" s="1267"/>
      <c r="P1197" s="1267"/>
      <c r="Q1197" s="1209"/>
      <c r="R1197" s="1209"/>
      <c r="S1197" s="1209"/>
      <c r="T1197" s="1209"/>
      <c r="U1197" s="1209"/>
      <c r="V1197" s="1209"/>
      <c r="W1197" s="1209"/>
      <c r="X1197" s="1209"/>
      <c r="Y1197" s="1209"/>
      <c r="Z1197" s="1209"/>
      <c r="AA1197" s="1209"/>
      <c r="AB1197" s="1209"/>
    </row>
    <row r="1198">
      <c r="A1198" s="1209"/>
      <c r="B1198" s="1209"/>
      <c r="C1198" s="1209"/>
      <c r="D1198" s="1267"/>
      <c r="E1198" s="1267"/>
      <c r="F1198" s="1267"/>
      <c r="G1198" s="1267"/>
      <c r="H1198" s="1267"/>
      <c r="I1198" s="1267"/>
      <c r="J1198" s="1267"/>
      <c r="K1198" s="1267"/>
      <c r="L1198" s="1267"/>
      <c r="M1198" s="1267"/>
      <c r="N1198" s="1267"/>
      <c r="O1198" s="1267"/>
      <c r="P1198" s="1267"/>
      <c r="Q1198" s="1209"/>
      <c r="R1198" s="1209"/>
      <c r="S1198" s="1209"/>
      <c r="T1198" s="1209"/>
      <c r="U1198" s="1209"/>
      <c r="V1198" s="1209"/>
      <c r="W1198" s="1209"/>
      <c r="X1198" s="1209"/>
      <c r="Y1198" s="1209"/>
      <c r="Z1198" s="1209"/>
      <c r="AA1198" s="1209"/>
      <c r="AB1198" s="1209"/>
    </row>
    <row r="1199">
      <c r="A1199" s="1209"/>
      <c r="B1199" s="1209"/>
      <c r="C1199" s="1209"/>
      <c r="D1199" s="1267"/>
      <c r="E1199" s="1267"/>
      <c r="F1199" s="1267"/>
      <c r="G1199" s="1267"/>
      <c r="H1199" s="1267"/>
      <c r="I1199" s="1267"/>
      <c r="J1199" s="1267"/>
      <c r="K1199" s="1267"/>
      <c r="L1199" s="1267"/>
      <c r="M1199" s="1267"/>
      <c r="N1199" s="1267"/>
      <c r="O1199" s="1267"/>
      <c r="P1199" s="1267"/>
      <c r="Q1199" s="1209"/>
      <c r="R1199" s="1209"/>
      <c r="S1199" s="1209"/>
      <c r="T1199" s="1209"/>
      <c r="U1199" s="1209"/>
      <c r="V1199" s="1209"/>
      <c r="W1199" s="1209"/>
      <c r="X1199" s="1209"/>
      <c r="Y1199" s="1209"/>
      <c r="Z1199" s="1209"/>
      <c r="AA1199" s="1209"/>
      <c r="AB1199" s="1209"/>
    </row>
    <row r="1200">
      <c r="A1200" s="1209"/>
      <c r="B1200" s="1209"/>
      <c r="C1200" s="1209"/>
      <c r="D1200" s="1267"/>
      <c r="E1200" s="1267"/>
      <c r="F1200" s="1267"/>
      <c r="G1200" s="1267"/>
      <c r="H1200" s="1267"/>
      <c r="I1200" s="1267"/>
      <c r="J1200" s="1267"/>
      <c r="K1200" s="1267"/>
      <c r="L1200" s="1267"/>
      <c r="M1200" s="1267"/>
      <c r="N1200" s="1267"/>
      <c r="O1200" s="1267"/>
      <c r="P1200" s="1267"/>
      <c r="Q1200" s="1209"/>
      <c r="R1200" s="1209"/>
      <c r="S1200" s="1209"/>
      <c r="T1200" s="1209"/>
      <c r="U1200" s="1209"/>
      <c r="V1200" s="1209"/>
      <c r="W1200" s="1209"/>
      <c r="X1200" s="1209"/>
      <c r="Y1200" s="1209"/>
      <c r="Z1200" s="1209"/>
      <c r="AA1200" s="1209"/>
      <c r="AB1200" s="1209"/>
    </row>
    <row r="1201">
      <c r="A1201" s="1209"/>
      <c r="B1201" s="1209"/>
      <c r="C1201" s="1209"/>
      <c r="D1201" s="1267"/>
      <c r="E1201" s="1267"/>
      <c r="F1201" s="1267"/>
      <c r="G1201" s="1267"/>
      <c r="H1201" s="1267"/>
      <c r="I1201" s="1267"/>
      <c r="J1201" s="1267"/>
      <c r="K1201" s="1267"/>
      <c r="L1201" s="1267"/>
      <c r="M1201" s="1267"/>
      <c r="N1201" s="1267"/>
      <c r="O1201" s="1267"/>
      <c r="P1201" s="1267"/>
      <c r="Q1201" s="1209"/>
      <c r="R1201" s="1209"/>
      <c r="S1201" s="1209"/>
      <c r="T1201" s="1209"/>
      <c r="U1201" s="1209"/>
      <c r="V1201" s="1209"/>
      <c r="W1201" s="1209"/>
      <c r="X1201" s="1209"/>
      <c r="Y1201" s="1209"/>
      <c r="Z1201" s="1209"/>
      <c r="AA1201" s="1209"/>
      <c r="AB1201" s="1209"/>
    </row>
    <row r="1202">
      <c r="A1202" s="1209"/>
      <c r="B1202" s="1209"/>
      <c r="C1202" s="1209"/>
      <c r="D1202" s="1267"/>
      <c r="E1202" s="1267"/>
      <c r="F1202" s="1267"/>
      <c r="G1202" s="1267"/>
      <c r="H1202" s="1267"/>
      <c r="I1202" s="1267"/>
      <c r="J1202" s="1267"/>
      <c r="K1202" s="1267"/>
      <c r="L1202" s="1267"/>
      <c r="M1202" s="1267"/>
      <c r="N1202" s="1267"/>
      <c r="O1202" s="1267"/>
      <c r="P1202" s="1267"/>
      <c r="Q1202" s="1209"/>
      <c r="R1202" s="1209"/>
      <c r="S1202" s="1209"/>
      <c r="T1202" s="1209"/>
      <c r="U1202" s="1209"/>
      <c r="V1202" s="1209"/>
      <c r="W1202" s="1209"/>
      <c r="X1202" s="1209"/>
      <c r="Y1202" s="1209"/>
      <c r="Z1202" s="1209"/>
      <c r="AA1202" s="1209"/>
      <c r="AB1202" s="1209"/>
    </row>
    <row r="1203">
      <c r="A1203" s="1209"/>
      <c r="B1203" s="1209"/>
      <c r="C1203" s="1209"/>
      <c r="D1203" s="1267"/>
      <c r="E1203" s="1267"/>
      <c r="F1203" s="1267"/>
      <c r="G1203" s="1267"/>
      <c r="H1203" s="1267"/>
      <c r="I1203" s="1267"/>
      <c r="J1203" s="1267"/>
      <c r="K1203" s="1267"/>
      <c r="L1203" s="1267"/>
      <c r="M1203" s="1267"/>
      <c r="N1203" s="1267"/>
      <c r="O1203" s="1267"/>
      <c r="P1203" s="1267"/>
      <c r="Q1203" s="1209"/>
      <c r="R1203" s="1209"/>
      <c r="S1203" s="1209"/>
      <c r="T1203" s="1209"/>
      <c r="U1203" s="1209"/>
      <c r="V1203" s="1209"/>
      <c r="W1203" s="1209"/>
      <c r="X1203" s="1209"/>
      <c r="Y1203" s="1209"/>
      <c r="Z1203" s="1209"/>
      <c r="AA1203" s="1209"/>
      <c r="AB1203" s="1209"/>
    </row>
    <row r="1204">
      <c r="A1204" s="1209"/>
      <c r="B1204" s="1209"/>
      <c r="C1204" s="1209"/>
      <c r="D1204" s="1267"/>
      <c r="E1204" s="1267"/>
      <c r="F1204" s="1267"/>
      <c r="G1204" s="1267"/>
      <c r="H1204" s="1267"/>
      <c r="I1204" s="1267"/>
      <c r="J1204" s="1267"/>
      <c r="K1204" s="1267"/>
      <c r="L1204" s="1267"/>
      <c r="M1204" s="1267"/>
      <c r="N1204" s="1267"/>
      <c r="O1204" s="1267"/>
      <c r="P1204" s="1267"/>
      <c r="Q1204" s="1209"/>
      <c r="R1204" s="1209"/>
      <c r="S1204" s="1209"/>
      <c r="T1204" s="1209"/>
      <c r="U1204" s="1209"/>
      <c r="V1204" s="1209"/>
      <c r="W1204" s="1209"/>
      <c r="X1204" s="1209"/>
      <c r="Y1204" s="1209"/>
      <c r="Z1204" s="1209"/>
      <c r="AA1204" s="1209"/>
      <c r="AB1204" s="1209"/>
    </row>
    <row r="1205">
      <c r="A1205" s="1209"/>
      <c r="B1205" s="1209"/>
      <c r="C1205" s="1209"/>
      <c r="D1205" s="1267"/>
      <c r="E1205" s="1267"/>
      <c r="F1205" s="1267"/>
      <c r="G1205" s="1267"/>
      <c r="H1205" s="1267"/>
      <c r="I1205" s="1267"/>
      <c r="J1205" s="1267"/>
      <c r="K1205" s="1267"/>
      <c r="L1205" s="1267"/>
      <c r="M1205" s="1267"/>
      <c r="N1205" s="1267"/>
      <c r="O1205" s="1267"/>
      <c r="P1205" s="1267"/>
      <c r="Q1205" s="1209"/>
      <c r="R1205" s="1209"/>
      <c r="S1205" s="1209"/>
      <c r="T1205" s="1209"/>
      <c r="U1205" s="1209"/>
      <c r="V1205" s="1209"/>
      <c r="W1205" s="1209"/>
      <c r="X1205" s="1209"/>
      <c r="Y1205" s="1209"/>
      <c r="Z1205" s="1209"/>
      <c r="AA1205" s="1209"/>
      <c r="AB1205" s="1209"/>
    </row>
    <row r="1206">
      <c r="A1206" s="1209"/>
      <c r="B1206" s="1209"/>
      <c r="C1206" s="1209"/>
      <c r="D1206" s="1267"/>
      <c r="E1206" s="1267"/>
      <c r="F1206" s="1267"/>
      <c r="G1206" s="1267"/>
      <c r="H1206" s="1267"/>
      <c r="I1206" s="1267"/>
      <c r="J1206" s="1267"/>
      <c r="K1206" s="1267"/>
      <c r="L1206" s="1267"/>
      <c r="M1206" s="1267"/>
      <c r="N1206" s="1267"/>
      <c r="O1206" s="1267"/>
      <c r="P1206" s="1267"/>
      <c r="Q1206" s="1209"/>
      <c r="R1206" s="1209"/>
      <c r="S1206" s="1209"/>
      <c r="T1206" s="1209"/>
      <c r="U1206" s="1209"/>
      <c r="V1206" s="1209"/>
      <c r="W1206" s="1209"/>
      <c r="X1206" s="1209"/>
      <c r="Y1206" s="1209"/>
      <c r="Z1206" s="1209"/>
      <c r="AA1206" s="1209"/>
      <c r="AB1206" s="1209"/>
    </row>
    <row r="1207">
      <c r="A1207" s="1209"/>
      <c r="B1207" s="1209"/>
      <c r="C1207" s="1209"/>
      <c r="D1207" s="1267"/>
      <c r="E1207" s="1267"/>
      <c r="F1207" s="1267"/>
      <c r="G1207" s="1267"/>
      <c r="H1207" s="1267"/>
      <c r="I1207" s="1267"/>
      <c r="J1207" s="1267"/>
      <c r="K1207" s="1267"/>
      <c r="L1207" s="1267"/>
      <c r="M1207" s="1267"/>
      <c r="N1207" s="1267"/>
      <c r="O1207" s="1267"/>
      <c r="P1207" s="1267"/>
      <c r="Q1207" s="1209"/>
      <c r="R1207" s="1209"/>
      <c r="S1207" s="1209"/>
      <c r="T1207" s="1209"/>
      <c r="U1207" s="1209"/>
      <c r="V1207" s="1209"/>
      <c r="W1207" s="1209"/>
      <c r="X1207" s="1209"/>
      <c r="Y1207" s="1209"/>
      <c r="Z1207" s="1209"/>
      <c r="AA1207" s="1209"/>
      <c r="AB1207" s="1209"/>
    </row>
    <row r="1208">
      <c r="A1208" s="1209"/>
      <c r="B1208" s="1209"/>
      <c r="C1208" s="1209"/>
      <c r="D1208" s="1267"/>
      <c r="E1208" s="1267"/>
      <c r="F1208" s="1267"/>
      <c r="G1208" s="1267"/>
      <c r="H1208" s="1267"/>
      <c r="I1208" s="1267"/>
      <c r="J1208" s="1267"/>
      <c r="K1208" s="1267"/>
      <c r="L1208" s="1267"/>
      <c r="M1208" s="1267"/>
      <c r="N1208" s="1267"/>
      <c r="O1208" s="1267"/>
      <c r="P1208" s="1267"/>
      <c r="Q1208" s="1209"/>
      <c r="R1208" s="1209"/>
      <c r="S1208" s="1209"/>
      <c r="T1208" s="1209"/>
      <c r="U1208" s="1209"/>
      <c r="V1208" s="1209"/>
      <c r="W1208" s="1209"/>
      <c r="X1208" s="1209"/>
      <c r="Y1208" s="1209"/>
      <c r="Z1208" s="1209"/>
      <c r="AA1208" s="1209"/>
      <c r="AB1208" s="1209"/>
    </row>
    <row r="1209">
      <c r="A1209" s="1209"/>
      <c r="B1209" s="1209"/>
      <c r="C1209" s="1209"/>
      <c r="D1209" s="1267"/>
      <c r="E1209" s="1267"/>
      <c r="F1209" s="1267"/>
      <c r="G1209" s="1267"/>
      <c r="H1209" s="1267"/>
      <c r="I1209" s="1267"/>
      <c r="J1209" s="1267"/>
      <c r="K1209" s="1267"/>
      <c r="L1209" s="1267"/>
      <c r="M1209" s="1267"/>
      <c r="N1209" s="1267"/>
      <c r="O1209" s="1267"/>
      <c r="P1209" s="1267"/>
      <c r="Q1209" s="1209"/>
      <c r="R1209" s="1209"/>
      <c r="S1209" s="1209"/>
      <c r="T1209" s="1209"/>
      <c r="U1209" s="1209"/>
      <c r="V1209" s="1209"/>
      <c r="W1209" s="1209"/>
      <c r="X1209" s="1209"/>
      <c r="Y1209" s="1209"/>
      <c r="Z1209" s="1209"/>
      <c r="AA1209" s="1209"/>
      <c r="AB1209" s="1209"/>
    </row>
    <row r="1210">
      <c r="A1210" s="1209"/>
      <c r="B1210" s="1209"/>
      <c r="C1210" s="1209"/>
      <c r="D1210" s="1267"/>
      <c r="E1210" s="1267"/>
      <c r="F1210" s="1267"/>
      <c r="G1210" s="1267"/>
      <c r="H1210" s="1267"/>
      <c r="I1210" s="1267"/>
      <c r="J1210" s="1267"/>
      <c r="K1210" s="1267"/>
      <c r="L1210" s="1267"/>
      <c r="M1210" s="1267"/>
      <c r="N1210" s="1267"/>
      <c r="O1210" s="1267"/>
      <c r="P1210" s="1267"/>
      <c r="Q1210" s="1209"/>
      <c r="R1210" s="1209"/>
      <c r="S1210" s="1209"/>
      <c r="T1210" s="1209"/>
      <c r="U1210" s="1209"/>
      <c r="V1210" s="1209"/>
      <c r="W1210" s="1209"/>
      <c r="X1210" s="1209"/>
      <c r="Y1210" s="1209"/>
      <c r="Z1210" s="1209"/>
      <c r="AA1210" s="1209"/>
      <c r="AB1210" s="1209"/>
    </row>
    <row r="1211">
      <c r="A1211" s="1209"/>
      <c r="B1211" s="1209"/>
      <c r="C1211" s="1209"/>
      <c r="D1211" s="1267"/>
      <c r="E1211" s="1267"/>
      <c r="F1211" s="1267"/>
      <c r="G1211" s="1267"/>
      <c r="H1211" s="1267"/>
      <c r="I1211" s="1267"/>
      <c r="J1211" s="1267"/>
      <c r="K1211" s="1267"/>
      <c r="L1211" s="1267"/>
      <c r="M1211" s="1267"/>
      <c r="N1211" s="1267"/>
      <c r="O1211" s="1267"/>
      <c r="P1211" s="1267"/>
      <c r="Q1211" s="1209"/>
      <c r="R1211" s="1209"/>
      <c r="S1211" s="1209"/>
      <c r="T1211" s="1209"/>
      <c r="U1211" s="1209"/>
      <c r="V1211" s="1209"/>
      <c r="W1211" s="1209"/>
      <c r="X1211" s="1209"/>
      <c r="Y1211" s="1209"/>
      <c r="Z1211" s="1209"/>
      <c r="AA1211" s="1209"/>
      <c r="AB1211" s="1209"/>
    </row>
    <row r="1212">
      <c r="A1212" s="1209"/>
      <c r="B1212" s="1209"/>
      <c r="C1212" s="1209"/>
      <c r="D1212" s="1267"/>
      <c r="E1212" s="1267"/>
      <c r="F1212" s="1267"/>
      <c r="G1212" s="1267"/>
      <c r="H1212" s="1267"/>
      <c r="I1212" s="1267"/>
      <c r="J1212" s="1267"/>
      <c r="K1212" s="1267"/>
      <c r="L1212" s="1267"/>
      <c r="M1212" s="1267"/>
      <c r="N1212" s="1267"/>
      <c r="O1212" s="1267"/>
      <c r="P1212" s="1267"/>
      <c r="Q1212" s="1209"/>
      <c r="R1212" s="1209"/>
      <c r="S1212" s="1209"/>
      <c r="T1212" s="1209"/>
      <c r="U1212" s="1209"/>
      <c r="V1212" s="1209"/>
      <c r="W1212" s="1209"/>
      <c r="X1212" s="1209"/>
      <c r="Y1212" s="1209"/>
      <c r="Z1212" s="1209"/>
      <c r="AA1212" s="1209"/>
      <c r="AB1212" s="1209"/>
    </row>
    <row r="1213">
      <c r="A1213" s="1209"/>
      <c r="B1213" s="1209"/>
      <c r="C1213" s="1209"/>
      <c r="D1213" s="1267"/>
      <c r="E1213" s="1267"/>
      <c r="F1213" s="1267"/>
      <c r="G1213" s="1267"/>
      <c r="H1213" s="1267"/>
      <c r="I1213" s="1267"/>
      <c r="J1213" s="1267"/>
      <c r="K1213" s="1267"/>
      <c r="L1213" s="1267"/>
      <c r="M1213" s="1267"/>
      <c r="N1213" s="1267"/>
      <c r="O1213" s="1267"/>
      <c r="P1213" s="1267"/>
      <c r="Q1213" s="1209"/>
      <c r="R1213" s="1209"/>
      <c r="S1213" s="1209"/>
      <c r="T1213" s="1209"/>
      <c r="U1213" s="1209"/>
      <c r="V1213" s="1209"/>
      <c r="W1213" s="1209"/>
      <c r="X1213" s="1209"/>
      <c r="Y1213" s="1209"/>
      <c r="Z1213" s="1209"/>
      <c r="AA1213" s="1209"/>
      <c r="AB1213" s="1209"/>
    </row>
    <row r="1214">
      <c r="A1214" s="1209"/>
      <c r="B1214" s="1209"/>
      <c r="C1214" s="1209"/>
      <c r="D1214" s="1267"/>
      <c r="E1214" s="1267"/>
      <c r="F1214" s="1267"/>
      <c r="G1214" s="1267"/>
      <c r="H1214" s="1267"/>
      <c r="I1214" s="1267"/>
      <c r="J1214" s="1267"/>
      <c r="K1214" s="1267"/>
      <c r="L1214" s="1267"/>
      <c r="M1214" s="1267"/>
      <c r="N1214" s="1267"/>
      <c r="O1214" s="1267"/>
      <c r="P1214" s="1267"/>
      <c r="Q1214" s="1209"/>
      <c r="R1214" s="1209"/>
      <c r="S1214" s="1209"/>
      <c r="T1214" s="1209"/>
      <c r="U1214" s="1209"/>
      <c r="V1214" s="1209"/>
      <c r="W1214" s="1209"/>
      <c r="X1214" s="1209"/>
      <c r="Y1214" s="1209"/>
      <c r="Z1214" s="1209"/>
      <c r="AA1214" s="1209"/>
      <c r="AB1214" s="1209"/>
    </row>
    <row r="1215">
      <c r="A1215" s="1209"/>
      <c r="B1215" s="1209"/>
      <c r="C1215" s="1209"/>
      <c r="D1215" s="1267"/>
      <c r="E1215" s="1267"/>
      <c r="F1215" s="1267"/>
      <c r="G1215" s="1267"/>
      <c r="H1215" s="1267"/>
      <c r="I1215" s="1267"/>
      <c r="J1215" s="1267"/>
      <c r="K1215" s="1267"/>
      <c r="L1215" s="1267"/>
      <c r="M1215" s="1267"/>
      <c r="N1215" s="1267"/>
      <c r="O1215" s="1267"/>
      <c r="P1215" s="1267"/>
      <c r="Q1215" s="1209"/>
      <c r="R1215" s="1209"/>
      <c r="S1215" s="1209"/>
      <c r="T1215" s="1209"/>
      <c r="U1215" s="1209"/>
      <c r="V1215" s="1209"/>
      <c r="W1215" s="1209"/>
      <c r="X1215" s="1209"/>
      <c r="Y1215" s="1209"/>
      <c r="Z1215" s="1209"/>
      <c r="AA1215" s="1209"/>
      <c r="AB1215" s="1209"/>
    </row>
    <row r="1216">
      <c r="A1216" s="1209"/>
      <c r="B1216" s="1209"/>
      <c r="C1216" s="1209"/>
      <c r="D1216" s="1267"/>
      <c r="E1216" s="1267"/>
      <c r="F1216" s="1267"/>
      <c r="G1216" s="1267"/>
      <c r="H1216" s="1267"/>
      <c r="I1216" s="1267"/>
      <c r="J1216" s="1267"/>
      <c r="K1216" s="1267"/>
      <c r="L1216" s="1267"/>
      <c r="M1216" s="1267"/>
      <c r="N1216" s="1267"/>
      <c r="O1216" s="1267"/>
      <c r="P1216" s="1267"/>
      <c r="Q1216" s="1209"/>
      <c r="R1216" s="1209"/>
      <c r="S1216" s="1209"/>
      <c r="T1216" s="1209"/>
      <c r="U1216" s="1209"/>
      <c r="V1216" s="1209"/>
      <c r="W1216" s="1209"/>
      <c r="X1216" s="1209"/>
      <c r="Y1216" s="1209"/>
      <c r="Z1216" s="1209"/>
      <c r="AA1216" s="1209"/>
      <c r="AB1216" s="1209"/>
    </row>
    <row r="1217">
      <c r="A1217" s="1209"/>
      <c r="B1217" s="1209"/>
      <c r="C1217" s="1209"/>
      <c r="D1217" s="1267"/>
      <c r="E1217" s="1267"/>
      <c r="F1217" s="1267"/>
      <c r="G1217" s="1267"/>
      <c r="H1217" s="1267"/>
      <c r="I1217" s="1267"/>
      <c r="J1217" s="1267"/>
      <c r="K1217" s="1267"/>
      <c r="L1217" s="1267"/>
      <c r="M1217" s="1267"/>
      <c r="N1217" s="1267"/>
      <c r="O1217" s="1267"/>
      <c r="P1217" s="1267"/>
      <c r="Q1217" s="1209"/>
      <c r="R1217" s="1209"/>
      <c r="S1217" s="1209"/>
      <c r="T1217" s="1209"/>
      <c r="U1217" s="1209"/>
      <c r="V1217" s="1209"/>
      <c r="W1217" s="1209"/>
      <c r="X1217" s="1209"/>
      <c r="Y1217" s="1209"/>
      <c r="Z1217" s="1209"/>
      <c r="AA1217" s="1209"/>
      <c r="AB1217" s="1209"/>
    </row>
    <row r="1218">
      <c r="A1218" s="1209"/>
      <c r="B1218" s="1209"/>
      <c r="C1218" s="1209"/>
      <c r="D1218" s="1267"/>
      <c r="E1218" s="1267"/>
      <c r="F1218" s="1267"/>
      <c r="G1218" s="1267"/>
      <c r="H1218" s="1267"/>
      <c r="I1218" s="1267"/>
      <c r="J1218" s="1267"/>
      <c r="K1218" s="1267"/>
      <c r="L1218" s="1267"/>
      <c r="M1218" s="1267"/>
      <c r="N1218" s="1267"/>
      <c r="O1218" s="1267"/>
      <c r="P1218" s="1267"/>
      <c r="Q1218" s="1209"/>
      <c r="R1218" s="1209"/>
      <c r="S1218" s="1209"/>
      <c r="T1218" s="1209"/>
      <c r="U1218" s="1209"/>
      <c r="V1218" s="1209"/>
      <c r="W1218" s="1209"/>
      <c r="X1218" s="1209"/>
      <c r="Y1218" s="1209"/>
      <c r="Z1218" s="1209"/>
      <c r="AA1218" s="1209"/>
      <c r="AB1218" s="1209"/>
    </row>
    <row r="1219">
      <c r="A1219" s="1209"/>
      <c r="B1219" s="1209"/>
      <c r="C1219" s="1209"/>
      <c r="D1219" s="1267"/>
      <c r="E1219" s="1267"/>
      <c r="F1219" s="1267"/>
      <c r="G1219" s="1267"/>
      <c r="H1219" s="1267"/>
      <c r="I1219" s="1267"/>
      <c r="J1219" s="1267"/>
      <c r="K1219" s="1267"/>
      <c r="L1219" s="1267"/>
      <c r="M1219" s="1267"/>
      <c r="N1219" s="1267"/>
      <c r="O1219" s="1267"/>
      <c r="P1219" s="1267"/>
      <c r="Q1219" s="1209"/>
      <c r="R1219" s="1209"/>
      <c r="S1219" s="1209"/>
      <c r="T1219" s="1209"/>
      <c r="U1219" s="1209"/>
      <c r="V1219" s="1209"/>
      <c r="W1219" s="1209"/>
      <c r="X1219" s="1209"/>
      <c r="Y1219" s="1209"/>
      <c r="Z1219" s="1209"/>
      <c r="AA1219" s="1209"/>
      <c r="AB1219" s="1209"/>
    </row>
    <row r="1220">
      <c r="A1220" s="1209"/>
      <c r="B1220" s="1209"/>
      <c r="C1220" s="1209"/>
      <c r="D1220" s="1267"/>
      <c r="E1220" s="1267"/>
      <c r="F1220" s="1267"/>
      <c r="G1220" s="1267"/>
      <c r="H1220" s="1267"/>
      <c r="I1220" s="1267"/>
      <c r="J1220" s="1267"/>
      <c r="K1220" s="1267"/>
      <c r="L1220" s="1267"/>
      <c r="M1220" s="1267"/>
      <c r="N1220" s="1267"/>
      <c r="O1220" s="1267"/>
      <c r="P1220" s="1267"/>
      <c r="Q1220" s="1209"/>
      <c r="R1220" s="1209"/>
      <c r="S1220" s="1209"/>
      <c r="T1220" s="1209"/>
      <c r="U1220" s="1209"/>
      <c r="V1220" s="1209"/>
      <c r="W1220" s="1209"/>
      <c r="X1220" s="1209"/>
      <c r="Y1220" s="1209"/>
      <c r="Z1220" s="1209"/>
      <c r="AA1220" s="1209"/>
      <c r="AB1220" s="1209"/>
    </row>
    <row r="1221">
      <c r="A1221" s="1209"/>
      <c r="B1221" s="1209"/>
      <c r="C1221" s="1209"/>
      <c r="D1221" s="1267"/>
      <c r="E1221" s="1267"/>
      <c r="F1221" s="1267"/>
      <c r="G1221" s="1267"/>
      <c r="H1221" s="1267"/>
      <c r="I1221" s="1267"/>
      <c r="J1221" s="1267"/>
      <c r="K1221" s="1267"/>
      <c r="L1221" s="1267"/>
      <c r="M1221" s="1267"/>
      <c r="N1221" s="1267"/>
      <c r="O1221" s="1267"/>
      <c r="P1221" s="1267"/>
      <c r="Q1221" s="1209"/>
      <c r="R1221" s="1209"/>
      <c r="S1221" s="1209"/>
      <c r="T1221" s="1209"/>
      <c r="U1221" s="1209"/>
      <c r="V1221" s="1209"/>
      <c r="W1221" s="1209"/>
      <c r="X1221" s="1209"/>
      <c r="Y1221" s="1209"/>
      <c r="Z1221" s="1209"/>
      <c r="AA1221" s="1209"/>
      <c r="AB1221" s="1209"/>
    </row>
    <row r="1222">
      <c r="A1222" s="1209"/>
      <c r="B1222" s="1209"/>
      <c r="C1222" s="1209"/>
      <c r="D1222" s="1267"/>
      <c r="E1222" s="1267"/>
      <c r="F1222" s="1267"/>
      <c r="G1222" s="1267"/>
      <c r="H1222" s="1267"/>
      <c r="I1222" s="1267"/>
      <c r="J1222" s="1267"/>
      <c r="K1222" s="1267"/>
      <c r="L1222" s="1267"/>
      <c r="M1222" s="1267"/>
      <c r="N1222" s="1267"/>
      <c r="O1222" s="1267"/>
      <c r="P1222" s="1267"/>
      <c r="Q1222" s="1209"/>
      <c r="R1222" s="1209"/>
      <c r="S1222" s="1209"/>
      <c r="T1222" s="1209"/>
      <c r="U1222" s="1209"/>
      <c r="V1222" s="1209"/>
      <c r="W1222" s="1209"/>
      <c r="X1222" s="1209"/>
      <c r="Y1222" s="1209"/>
      <c r="Z1222" s="1209"/>
      <c r="AA1222" s="1209"/>
      <c r="AB1222" s="1209"/>
    </row>
    <row r="1223">
      <c r="A1223" s="1209"/>
      <c r="B1223" s="1209"/>
      <c r="C1223" s="1209"/>
      <c r="D1223" s="1267"/>
      <c r="E1223" s="1267"/>
      <c r="F1223" s="1267"/>
      <c r="G1223" s="1267"/>
      <c r="H1223" s="1267"/>
      <c r="I1223" s="1267"/>
      <c r="J1223" s="1267"/>
      <c r="K1223" s="1267"/>
      <c r="L1223" s="1267"/>
      <c r="M1223" s="1267"/>
      <c r="N1223" s="1267"/>
      <c r="O1223" s="1267"/>
      <c r="P1223" s="1267"/>
      <c r="Q1223" s="1209"/>
      <c r="R1223" s="1209"/>
      <c r="S1223" s="1209"/>
      <c r="T1223" s="1209"/>
      <c r="U1223" s="1209"/>
      <c r="V1223" s="1209"/>
      <c r="W1223" s="1209"/>
      <c r="X1223" s="1209"/>
      <c r="Y1223" s="1209"/>
      <c r="Z1223" s="1209"/>
      <c r="AA1223" s="1209"/>
      <c r="AB1223" s="1209"/>
    </row>
    <row r="1224">
      <c r="A1224" s="1209"/>
      <c r="B1224" s="1209"/>
      <c r="C1224" s="1209"/>
      <c r="D1224" s="1267"/>
      <c r="E1224" s="1267"/>
      <c r="F1224" s="1267"/>
      <c r="G1224" s="1267"/>
      <c r="H1224" s="1267"/>
      <c r="I1224" s="1267"/>
      <c r="J1224" s="1267"/>
      <c r="K1224" s="1267"/>
      <c r="L1224" s="1267"/>
      <c r="M1224" s="1267"/>
      <c r="N1224" s="1267"/>
      <c r="O1224" s="1267"/>
      <c r="P1224" s="1267"/>
      <c r="Q1224" s="1209"/>
      <c r="R1224" s="1209"/>
      <c r="S1224" s="1209"/>
      <c r="T1224" s="1209"/>
      <c r="U1224" s="1209"/>
      <c r="V1224" s="1209"/>
      <c r="W1224" s="1209"/>
      <c r="X1224" s="1209"/>
      <c r="Y1224" s="1209"/>
      <c r="Z1224" s="1209"/>
      <c r="AA1224" s="1209"/>
      <c r="AB1224" s="1209"/>
    </row>
    <row r="1225">
      <c r="A1225" s="1209"/>
      <c r="B1225" s="1209"/>
      <c r="C1225" s="1209"/>
      <c r="D1225" s="1267"/>
      <c r="E1225" s="1267"/>
      <c r="F1225" s="1267"/>
      <c r="G1225" s="1267"/>
      <c r="H1225" s="1267"/>
      <c r="I1225" s="1267"/>
      <c r="J1225" s="1267"/>
      <c r="K1225" s="1267"/>
      <c r="L1225" s="1267"/>
      <c r="M1225" s="1267"/>
      <c r="N1225" s="1267"/>
      <c r="O1225" s="1267"/>
      <c r="P1225" s="1267"/>
      <c r="Q1225" s="1209"/>
      <c r="R1225" s="1209"/>
      <c r="S1225" s="1209"/>
      <c r="T1225" s="1209"/>
      <c r="U1225" s="1209"/>
      <c r="V1225" s="1209"/>
      <c r="W1225" s="1209"/>
      <c r="X1225" s="1209"/>
      <c r="Y1225" s="1209"/>
      <c r="Z1225" s="1209"/>
      <c r="AA1225" s="1209"/>
      <c r="AB1225" s="1209"/>
    </row>
    <row r="1226">
      <c r="A1226" s="1209"/>
      <c r="B1226" s="1209"/>
      <c r="C1226" s="1209"/>
      <c r="D1226" s="1267"/>
      <c r="E1226" s="1267"/>
      <c r="F1226" s="1267"/>
      <c r="G1226" s="1267"/>
      <c r="H1226" s="1267"/>
      <c r="I1226" s="1267"/>
      <c r="J1226" s="1267"/>
      <c r="K1226" s="1267"/>
      <c r="L1226" s="1267"/>
      <c r="M1226" s="1267"/>
      <c r="N1226" s="1267"/>
      <c r="O1226" s="1267"/>
      <c r="P1226" s="1267"/>
      <c r="Q1226" s="1209"/>
      <c r="R1226" s="1209"/>
      <c r="S1226" s="1209"/>
      <c r="T1226" s="1209"/>
      <c r="U1226" s="1209"/>
      <c r="V1226" s="1209"/>
      <c r="W1226" s="1209"/>
      <c r="X1226" s="1209"/>
      <c r="Y1226" s="1209"/>
      <c r="Z1226" s="1209"/>
      <c r="AA1226" s="1209"/>
      <c r="AB1226" s="1209"/>
    </row>
    <row r="1227">
      <c r="A1227" s="1209"/>
      <c r="B1227" s="1209"/>
      <c r="C1227" s="1209"/>
      <c r="D1227" s="1267"/>
      <c r="E1227" s="1267"/>
      <c r="F1227" s="1267"/>
      <c r="G1227" s="1267"/>
      <c r="H1227" s="1267"/>
      <c r="I1227" s="1267"/>
      <c r="J1227" s="1267"/>
      <c r="K1227" s="1267"/>
      <c r="L1227" s="1267"/>
      <c r="M1227" s="1267"/>
      <c r="N1227" s="1267"/>
      <c r="O1227" s="1267"/>
      <c r="P1227" s="1267"/>
      <c r="Q1227" s="1209"/>
      <c r="R1227" s="1209"/>
      <c r="S1227" s="1209"/>
      <c r="T1227" s="1209"/>
      <c r="U1227" s="1209"/>
      <c r="V1227" s="1209"/>
      <c r="W1227" s="1209"/>
      <c r="X1227" s="1209"/>
      <c r="Y1227" s="1209"/>
      <c r="Z1227" s="1209"/>
      <c r="AA1227" s="1209"/>
      <c r="AB1227" s="1209"/>
    </row>
    <row r="1228">
      <c r="A1228" s="1209"/>
      <c r="B1228" s="1209"/>
      <c r="C1228" s="1209"/>
      <c r="D1228" s="1267"/>
      <c r="E1228" s="1267"/>
      <c r="F1228" s="1267"/>
      <c r="G1228" s="1267"/>
      <c r="H1228" s="1267"/>
      <c r="I1228" s="1267"/>
      <c r="J1228" s="1267"/>
      <c r="K1228" s="1267"/>
      <c r="L1228" s="1267"/>
      <c r="M1228" s="1267"/>
      <c r="N1228" s="1267"/>
      <c r="O1228" s="1267"/>
      <c r="P1228" s="1267"/>
      <c r="Q1228" s="1209"/>
      <c r="R1228" s="1209"/>
      <c r="S1228" s="1209"/>
      <c r="T1228" s="1209"/>
      <c r="U1228" s="1209"/>
      <c r="V1228" s="1209"/>
      <c r="W1228" s="1209"/>
      <c r="X1228" s="1209"/>
      <c r="Y1228" s="1209"/>
      <c r="Z1228" s="1209"/>
      <c r="AA1228" s="1209"/>
      <c r="AB1228" s="1209"/>
    </row>
    <row r="1229">
      <c r="A1229" s="1209"/>
      <c r="B1229" s="1209"/>
      <c r="C1229" s="1209"/>
      <c r="D1229" s="1267"/>
      <c r="E1229" s="1267"/>
      <c r="F1229" s="1267"/>
      <c r="G1229" s="1267"/>
      <c r="H1229" s="1267"/>
      <c r="I1229" s="1267"/>
      <c r="J1229" s="1267"/>
      <c r="K1229" s="1267"/>
      <c r="L1229" s="1267"/>
      <c r="M1229" s="1267"/>
      <c r="N1229" s="1267"/>
      <c r="O1229" s="1267"/>
      <c r="P1229" s="1267"/>
      <c r="Q1229" s="1209"/>
      <c r="R1229" s="1209"/>
      <c r="S1229" s="1209"/>
      <c r="T1229" s="1209"/>
      <c r="U1229" s="1209"/>
      <c r="V1229" s="1209"/>
      <c r="W1229" s="1209"/>
      <c r="X1229" s="1209"/>
      <c r="Y1229" s="1209"/>
      <c r="Z1229" s="1209"/>
      <c r="AA1229" s="1209"/>
      <c r="AB1229" s="1209"/>
    </row>
    <row r="1230">
      <c r="A1230" s="1209"/>
      <c r="B1230" s="1209"/>
      <c r="C1230" s="1209"/>
      <c r="D1230" s="1267"/>
      <c r="E1230" s="1267"/>
      <c r="F1230" s="1267"/>
      <c r="G1230" s="1267"/>
      <c r="H1230" s="1267"/>
      <c r="I1230" s="1267"/>
      <c r="J1230" s="1267"/>
      <c r="K1230" s="1267"/>
      <c r="L1230" s="1267"/>
      <c r="M1230" s="1267"/>
      <c r="N1230" s="1267"/>
      <c r="O1230" s="1267"/>
      <c r="P1230" s="1267"/>
      <c r="Q1230" s="1209"/>
      <c r="R1230" s="1209"/>
      <c r="S1230" s="1209"/>
      <c r="T1230" s="1209"/>
      <c r="U1230" s="1209"/>
      <c r="V1230" s="1209"/>
      <c r="W1230" s="1209"/>
      <c r="X1230" s="1209"/>
      <c r="Y1230" s="1209"/>
      <c r="Z1230" s="1209"/>
      <c r="AA1230" s="1209"/>
      <c r="AB1230" s="1209"/>
    </row>
    <row r="1231">
      <c r="A1231" s="1209"/>
      <c r="B1231" s="1209"/>
      <c r="C1231" s="1209"/>
      <c r="D1231" s="1267"/>
      <c r="E1231" s="1267"/>
      <c r="F1231" s="1267"/>
      <c r="G1231" s="1267"/>
      <c r="H1231" s="1267"/>
      <c r="I1231" s="1267"/>
      <c r="J1231" s="1267"/>
      <c r="K1231" s="1267"/>
      <c r="L1231" s="1267"/>
      <c r="M1231" s="1267"/>
      <c r="N1231" s="1267"/>
      <c r="O1231" s="1267"/>
      <c r="P1231" s="1267"/>
      <c r="Q1231" s="1209"/>
      <c r="R1231" s="1209"/>
      <c r="S1231" s="1209"/>
      <c r="T1231" s="1209"/>
      <c r="U1231" s="1209"/>
      <c r="V1231" s="1209"/>
      <c r="W1231" s="1209"/>
      <c r="X1231" s="1209"/>
      <c r="Y1231" s="1209"/>
      <c r="Z1231" s="1209"/>
      <c r="AA1231" s="1209"/>
      <c r="AB1231" s="1209"/>
    </row>
  </sheetData>
  <customSheetViews>
    <customSheetView guid="{271B9689-9ED1-4E23-B189-74F03AADFFA0}" filter="1" showAutoFilter="1">
      <autoFilter ref="$B$1:$AB$274">
        <filterColumn colId="0">
          <filters>
            <filter val="레미하우스(이효길)"/>
            <filter val="숙녀하우스(서울도시가스 60061-07723)"/>
            <filter val="구디하우스(서울도시가스 60010-00889)"/>
            <filter val="워너비하우스"/>
            <filter val="샤샤하우스(서울도시가스 6006349479)"/>
          </filters>
        </filterColumn>
      </autoFilter>
    </customSheetView>
  </customSheetView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6" t="s">
        <v>26</v>
      </c>
      <c r="B1" s="1295" t="s">
        <v>3532</v>
      </c>
    </row>
    <row r="2">
      <c r="A2" s="846" t="s">
        <v>63</v>
      </c>
      <c r="B2" s="1295" t="s">
        <v>58</v>
      </c>
    </row>
    <row r="3">
      <c r="A3" s="846" t="s">
        <v>63</v>
      </c>
      <c r="B3" s="1295" t="s">
        <v>97</v>
      </c>
    </row>
    <row r="4">
      <c r="A4" s="846" t="s">
        <v>63</v>
      </c>
      <c r="B4" s="1295" t="s">
        <v>154</v>
      </c>
    </row>
    <row r="5">
      <c r="A5" s="846" t="s">
        <v>3229</v>
      </c>
      <c r="B5" s="1295" t="s">
        <v>210</v>
      </c>
    </row>
    <row r="6">
      <c r="A6" s="846" t="s">
        <v>3229</v>
      </c>
      <c r="B6" s="1295" t="s">
        <v>275</v>
      </c>
    </row>
    <row r="7">
      <c r="A7" s="846" t="s">
        <v>3229</v>
      </c>
      <c r="B7" s="1295" t="s">
        <v>305</v>
      </c>
    </row>
    <row r="8">
      <c r="A8" s="846" t="s">
        <v>3229</v>
      </c>
      <c r="B8" s="846" t="s">
        <v>319</v>
      </c>
    </row>
    <row r="9">
      <c r="A9" s="846" t="s">
        <v>63</v>
      </c>
      <c r="B9" s="1295" t="s">
        <v>374</v>
      </c>
    </row>
    <row r="10">
      <c r="A10" s="846" t="s">
        <v>3229</v>
      </c>
      <c r="B10" s="1295" t="s">
        <v>353</v>
      </c>
    </row>
    <row r="11">
      <c r="A11" s="846" t="s">
        <v>3229</v>
      </c>
      <c r="B11" s="1295" t="s">
        <v>415</v>
      </c>
    </row>
    <row r="12">
      <c r="A12" s="846" t="s">
        <v>63</v>
      </c>
      <c r="B12" s="1295" t="s">
        <v>448</v>
      </c>
    </row>
    <row r="13">
      <c r="A13" s="846" t="s">
        <v>3229</v>
      </c>
      <c r="B13" s="1295" t="s">
        <v>505</v>
      </c>
    </row>
    <row r="14">
      <c r="A14" s="846" t="s">
        <v>3229</v>
      </c>
      <c r="B14" s="1295" t="s">
        <v>629</v>
      </c>
    </row>
    <row r="15">
      <c r="A15" s="846" t="s">
        <v>3229</v>
      </c>
      <c r="B15" s="1295" t="s">
        <v>610</v>
      </c>
    </row>
    <row r="16">
      <c r="A16" s="846" t="s">
        <v>3229</v>
      </c>
      <c r="B16" s="1295" t="s">
        <v>643</v>
      </c>
    </row>
    <row r="17">
      <c r="A17" s="846" t="s">
        <v>3229</v>
      </c>
      <c r="B17" s="1295" t="s">
        <v>822</v>
      </c>
    </row>
    <row r="18">
      <c r="A18" s="846" t="s">
        <v>3229</v>
      </c>
      <c r="B18" s="1295" t="s">
        <v>848</v>
      </c>
    </row>
    <row r="19">
      <c r="A19" s="846" t="s">
        <v>3229</v>
      </c>
      <c r="B19" s="1295" t="s">
        <v>945</v>
      </c>
    </row>
    <row r="20">
      <c r="A20" s="846" t="s">
        <v>3229</v>
      </c>
      <c r="B20" s="846" t="s">
        <v>967</v>
      </c>
    </row>
    <row r="21">
      <c r="A21" s="846" t="s">
        <v>3229</v>
      </c>
      <c r="B21" s="1295" t="s">
        <v>986</v>
      </c>
    </row>
    <row r="22">
      <c r="A22" s="846" t="s">
        <v>3229</v>
      </c>
      <c r="B22" s="1295" t="s">
        <v>1006</v>
      </c>
    </row>
    <row r="23">
      <c r="A23" s="846" t="s">
        <v>1259</v>
      </c>
      <c r="B23" s="1295" t="s">
        <v>27</v>
      </c>
    </row>
    <row r="24">
      <c r="A24" s="846" t="s">
        <v>1259</v>
      </c>
      <c r="B24" s="1195" t="s">
        <v>666</v>
      </c>
    </row>
    <row r="25">
      <c r="A25" s="846" t="s">
        <v>1259</v>
      </c>
      <c r="B25" s="1195" t="s">
        <v>682</v>
      </c>
    </row>
    <row r="26">
      <c r="A26" s="846" t="s">
        <v>1259</v>
      </c>
      <c r="B26" s="1195" t="s">
        <v>699</v>
      </c>
    </row>
    <row r="27">
      <c r="A27" s="846" t="s">
        <v>1259</v>
      </c>
      <c r="B27" s="1195" t="s">
        <v>730</v>
      </c>
    </row>
    <row r="28">
      <c r="A28" s="846" t="s">
        <v>1259</v>
      </c>
      <c r="B28" s="1195" t="s">
        <v>760</v>
      </c>
    </row>
    <row r="29">
      <c r="A29" s="846" t="s">
        <v>1259</v>
      </c>
      <c r="B29" s="846" t="s">
        <v>778</v>
      </c>
    </row>
    <row r="30">
      <c r="A30" s="846" t="s">
        <v>1259</v>
      </c>
      <c r="B30" s="1195" t="s">
        <v>804</v>
      </c>
    </row>
    <row r="31">
      <c r="A31" s="846" t="s">
        <v>1259</v>
      </c>
      <c r="B31" s="1195" t="s">
        <v>888</v>
      </c>
    </row>
    <row r="32">
      <c r="A32" s="846" t="s">
        <v>1259</v>
      </c>
      <c r="B32" s="1195" t="s">
        <v>897</v>
      </c>
    </row>
    <row r="33">
      <c r="A33" s="846" t="s">
        <v>1259</v>
      </c>
      <c r="B33" s="846" t="s">
        <v>918</v>
      </c>
    </row>
    <row r="34">
      <c r="A34" s="846" t="s">
        <v>1259</v>
      </c>
      <c r="B34" s="1295" t="s">
        <v>1055</v>
      </c>
    </row>
    <row r="35">
      <c r="A35" s="846" t="s">
        <v>1408</v>
      </c>
      <c r="B35" s="1296" t="s">
        <v>328</v>
      </c>
    </row>
    <row r="36">
      <c r="A36" s="846" t="s">
        <v>63</v>
      </c>
      <c r="B36" s="846" t="s">
        <v>553</v>
      </c>
    </row>
    <row r="37">
      <c r="A37" s="846" t="s">
        <v>1408</v>
      </c>
      <c r="B37" s="846" t="s">
        <v>474</v>
      </c>
    </row>
    <row r="38">
      <c r="A38" s="846" t="s">
        <v>1408</v>
      </c>
      <c r="B38" s="1295" t="s">
        <v>577</v>
      </c>
    </row>
    <row r="39">
      <c r="A39" s="846" t="s">
        <v>1408</v>
      </c>
      <c r="B39" s="1295" t="s">
        <v>1021</v>
      </c>
    </row>
    <row r="40">
      <c r="A40" s="846" t="s">
        <v>1408</v>
      </c>
      <c r="B40" s="1295" t="s">
        <v>1089</v>
      </c>
    </row>
    <row r="41">
      <c r="A41" s="846" t="s">
        <v>1408</v>
      </c>
      <c r="B41" s="1295" t="s">
        <v>1092</v>
      </c>
    </row>
    <row r="42">
      <c r="A42" s="846" t="s">
        <v>1408</v>
      </c>
      <c r="B42" s="1295" t="s">
        <v>1093</v>
      </c>
    </row>
    <row r="43">
      <c r="A43" s="846" t="s">
        <v>1408</v>
      </c>
      <c r="B43" s="1295" t="s">
        <v>1122</v>
      </c>
    </row>
    <row r="44">
      <c r="A44" s="846" t="s">
        <v>1408</v>
      </c>
      <c r="B44" s="1295" t="s">
        <v>1138</v>
      </c>
    </row>
    <row r="45">
      <c r="A45" s="846" t="s">
        <v>1408</v>
      </c>
      <c r="B45" s="1295" t="s">
        <v>1165</v>
      </c>
    </row>
    <row r="46">
      <c r="A46" s="846" t="s">
        <v>1408</v>
      </c>
      <c r="B46" s="1295" t="s">
        <v>1180</v>
      </c>
    </row>
    <row r="47">
      <c r="A47" s="846" t="s">
        <v>1408</v>
      </c>
      <c r="B47" s="846" t="s">
        <v>598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5"/>
    <col customWidth="1" min="2" max="2" width="9.13"/>
    <col customWidth="1" min="3" max="3" width="11.5"/>
    <col customWidth="1" min="4" max="4" width="14.13"/>
    <col customWidth="1" min="5" max="7" width="11.5"/>
    <col customWidth="1" min="8" max="14" width="11.38"/>
    <col customWidth="1" min="15" max="16" width="13.38"/>
    <col customWidth="1" min="17" max="17" width="15.13"/>
  </cols>
  <sheetData>
    <row r="1" ht="16.5" customHeight="1">
      <c r="A1" s="1297"/>
      <c r="B1" s="1298" t="s">
        <v>3223</v>
      </c>
      <c r="C1" s="1299"/>
      <c r="D1" s="1300" t="s">
        <v>3533</v>
      </c>
      <c r="E1" s="1300" t="s">
        <v>3534</v>
      </c>
      <c r="F1" s="1300" t="s">
        <v>3535</v>
      </c>
      <c r="G1" s="1299"/>
      <c r="H1" s="1299"/>
      <c r="I1" s="1299"/>
      <c r="J1" s="1299"/>
      <c r="K1" s="1299"/>
      <c r="L1" s="1299"/>
      <c r="M1" s="1299"/>
      <c r="N1" s="1299"/>
      <c r="O1" s="1301"/>
      <c r="P1" s="1301"/>
      <c r="Q1" s="396"/>
    </row>
    <row r="2">
      <c r="A2" s="1302"/>
      <c r="B2" s="1303">
        <v>2026.0</v>
      </c>
      <c r="C2" s="1304" t="s">
        <v>2382</v>
      </c>
      <c r="D2" s="1304" t="s">
        <v>2383</v>
      </c>
      <c r="E2" s="1304" t="s">
        <v>2384</v>
      </c>
      <c r="F2" s="1304" t="s">
        <v>2385</v>
      </c>
      <c r="G2" s="1304" t="s">
        <v>2386</v>
      </c>
      <c r="H2" s="1304" t="s">
        <v>2387</v>
      </c>
      <c r="I2" s="1304" t="s">
        <v>2388</v>
      </c>
      <c r="J2" s="1304" t="s">
        <v>2389</v>
      </c>
      <c r="K2" s="1304" t="s">
        <v>2390</v>
      </c>
      <c r="L2" s="1304" t="s">
        <v>2391</v>
      </c>
      <c r="M2" s="1304" t="s">
        <v>2392</v>
      </c>
      <c r="N2" s="1304" t="s">
        <v>2393</v>
      </c>
      <c r="O2" s="1304" t="s">
        <v>3224</v>
      </c>
      <c r="P2" s="1304" t="s">
        <v>3225</v>
      </c>
      <c r="Q2" s="1305"/>
    </row>
    <row r="3">
      <c r="A3" s="1306" t="s">
        <v>1259</v>
      </c>
      <c r="B3" s="1307" t="s">
        <v>2030</v>
      </c>
      <c r="C3" s="1308">
        <f>SUMIFS('2026정산'!E:E,'2026정산'!$A:$A,$B3,'2026정산'!$C:$C,"운영자")</f>
        <v>1200000</v>
      </c>
      <c r="D3" s="1308">
        <f>SUMIFS('2026정산'!H:H,'2026정산'!$A:$A,$B3,'2026정산'!$C:$C,"운영자")</f>
        <v>1200000</v>
      </c>
      <c r="E3" s="1308">
        <f>SUMIFS('2026정산'!K:K,'2026정산'!$A:$A,$B3,'2026정산'!$C:$C,"운영자")</f>
        <v>1260000</v>
      </c>
      <c r="F3" s="1308">
        <f>SUMIFS('2026정산'!N:N,'2026정산'!$A:$A,$B3,'2026정산'!$C:$C,"운영자")</f>
        <v>1260000</v>
      </c>
      <c r="G3" s="1308">
        <f>SUMIFS('2026정산'!Q:Q,'2026정산'!$A:$A,$B3,'2026정산'!$C:$C,"운영자")</f>
        <v>320000</v>
      </c>
      <c r="H3" s="1308">
        <f>SUMIFS('2026정산'!T:T,'2026정산'!$A:$A,$B3,'2026정산'!$C:$C,"운영자")</f>
        <v>-405976</v>
      </c>
      <c r="I3" s="1308">
        <f>SUMIFS('2026정산'!W:W,'2026정산'!$A:$A,$B3,'2026정산'!$C:$C,"운영자")</f>
        <v>-950000</v>
      </c>
      <c r="J3" s="1308">
        <f>SUMIFS('2026정산'!Z:Z,'2026정산'!$A:$A,$B3,'2026정산'!$C:$C,"운영자")</f>
        <v>-950000</v>
      </c>
      <c r="K3" s="1308">
        <f>SUMIFS('2026정산'!AC:AC,'2026정산'!$A:$A,$B3,'2026정산'!$C:$C,"운영자")</f>
        <v>-950000</v>
      </c>
      <c r="L3" s="1308">
        <f>SUMIFS('2026정산'!AF:AF,'2026정산'!$A:$A,$B3,'2026정산'!$C:$C,"운영자")</f>
        <v>-950000</v>
      </c>
      <c r="M3" s="1308">
        <f>SUMIFS('2026정산'!AI:AI,'2026정산'!$A:$A,$B3,'2026정산'!$C:$C,"운영자")</f>
        <v>-950000</v>
      </c>
      <c r="N3" s="1308">
        <f>SUMIFS('2026정산'!AL:AL,'2026정산'!$A:$A,$B3,'2026정산'!$C:$C,"운영자")</f>
        <v>-950000</v>
      </c>
      <c r="O3" s="1309">
        <f t="shared" ref="O3:O48" si="1">sum(C3:N3)</f>
        <v>-865976</v>
      </c>
      <c r="P3" s="1310">
        <f t="shared" ref="P3:P48" si="2">O3/12</f>
        <v>-72164.66667</v>
      </c>
      <c r="Q3" s="1311"/>
    </row>
    <row r="4">
      <c r="A4" s="1306" t="s">
        <v>3227</v>
      </c>
      <c r="B4" s="1312" t="s">
        <v>58</v>
      </c>
      <c r="C4" s="1308">
        <f>SUMIFS('2026정산'!E:E,'2026정산'!$A:$A,$B4,'2026정산'!$C:$C,"운영자")</f>
        <v>366345.6</v>
      </c>
      <c r="D4" s="1308">
        <f>SUMIFS('2026정산'!H:H,'2026정산'!$A:$A,$B4,'2026정산'!$C:$C,"운영자")</f>
        <v>268410</v>
      </c>
      <c r="E4" s="1308">
        <f>SUMIFS('2026정산'!K:K,'2026정산'!$A:$A,$B4,'2026정산'!$C:$C,"운영자")</f>
        <v>302190</v>
      </c>
      <c r="F4" s="1308">
        <f>SUMIFS('2026정산'!N:N,'2026정산'!$A:$A,$B4,'2026정산'!$C:$C,"운영자")</f>
        <v>302190</v>
      </c>
      <c r="G4" s="1308">
        <f>SUMIFS('2026정산'!Q:Q,'2026정산'!$A:$A,$B4,'2026정산'!$C:$C,"운영자")</f>
        <v>302190</v>
      </c>
      <c r="H4" s="1308">
        <f>SUMIFS('2026정산'!T:T,'2026정산'!$A:$A,$B4,'2026정산'!$C:$C,"운영자")</f>
        <v>-23208.3</v>
      </c>
      <c r="I4" s="1308">
        <f>SUMIFS('2026정산'!W:W,'2026정산'!$A:$A,$B4,'2026정산'!$C:$C,"운영자")</f>
        <v>-450000</v>
      </c>
      <c r="J4" s="1308">
        <f>SUMIFS('2026정산'!Z:Z,'2026정산'!$A:$A,$B4,'2026정산'!$C:$C,"운영자")</f>
        <v>-450000</v>
      </c>
      <c r="K4" s="1308">
        <f>SUMIFS('2026정산'!AC:AC,'2026정산'!$A:$A,$B4,'2026정산'!$C:$C,"운영자")</f>
        <v>-450000</v>
      </c>
      <c r="L4" s="1308">
        <f>SUMIFS('2026정산'!AF:AF,'2026정산'!$A:$A,$B4,'2026정산'!$C:$C,"운영자")</f>
        <v>-450000</v>
      </c>
      <c r="M4" s="1308">
        <f>SUMIFS('2026정산'!AI:AI,'2026정산'!$A:$A,$B4,'2026정산'!$C:$C,"운영자")</f>
        <v>-450000</v>
      </c>
      <c r="N4" s="1308">
        <f>SUMIFS('2026정산'!AL:AL,'2026정산'!$A:$A,$B4,'2026정산'!$C:$C,"운영자")</f>
        <v>-450000</v>
      </c>
      <c r="O4" s="1309">
        <f t="shared" si="1"/>
        <v>-1181882.7</v>
      </c>
      <c r="P4" s="1310">
        <f t="shared" si="2"/>
        <v>-98490.225</v>
      </c>
      <c r="Q4" s="1311"/>
    </row>
    <row r="5">
      <c r="A5" s="1306" t="s">
        <v>3227</v>
      </c>
      <c r="B5" s="1312" t="s">
        <v>97</v>
      </c>
      <c r="C5" s="1308">
        <f>SUMIFS('2026정산'!E:E,'2026정산'!$A:$A,$B5,'2026정산'!$C:$C,"운영자")</f>
        <v>393000</v>
      </c>
      <c r="D5" s="1308">
        <f>SUMIFS('2026정산'!H:H,'2026정산'!$A:$A,$B5,'2026정산'!$C:$C,"운영자")</f>
        <v>125499.9</v>
      </c>
      <c r="E5" s="1308">
        <f>SUMIFS('2026정산'!K:K,'2026정산'!$A:$A,$B5,'2026정산'!$C:$C,"운영자")</f>
        <v>126290.4</v>
      </c>
      <c r="F5" s="1308">
        <f>SUMIFS('2026정산'!N:N,'2026정산'!$A:$A,$B5,'2026정산'!$C:$C,"운영자")</f>
        <v>239400</v>
      </c>
      <c r="G5" s="1308">
        <f>SUMIFS('2026정산'!Q:Q,'2026정산'!$A:$A,$B5,'2026정산'!$C:$C,"운영자")</f>
        <v>252000</v>
      </c>
      <c r="H5" s="1308">
        <f>SUMIFS('2026정산'!T:T,'2026정산'!$A:$A,$B5,'2026정산'!$C:$C,"운영자")</f>
        <v>-125400</v>
      </c>
      <c r="I5" s="1308">
        <f>SUMIFS('2026정산'!W:W,'2026정산'!$A:$A,$B5,'2026정산'!$C:$C,"운영자")</f>
        <v>-243000</v>
      </c>
      <c r="J5" s="1308">
        <f>SUMIFS('2026정산'!Z:Z,'2026정산'!$A:$A,$B5,'2026정산'!$C:$C,"운영자")</f>
        <v>-243000</v>
      </c>
      <c r="K5" s="1308">
        <f>SUMIFS('2026정산'!AC:AC,'2026정산'!$A:$A,$B5,'2026정산'!$C:$C,"운영자")</f>
        <v>-243000</v>
      </c>
      <c r="L5" s="1308">
        <f>SUMIFS('2026정산'!AF:AF,'2026정산'!$A:$A,$B5,'2026정산'!$C:$C,"운영자")</f>
        <v>-369494.1</v>
      </c>
      <c r="M5" s="1308">
        <f>SUMIFS('2026정산'!AI:AI,'2026정산'!$A:$A,$B5,'2026정산'!$C:$C,"운영자")</f>
        <v>-408000</v>
      </c>
      <c r="N5" s="1308">
        <f>SUMIFS('2026정산'!AL:AL,'2026정산'!$A:$A,$B5,'2026정산'!$C:$C,"운영자")</f>
        <v>-408000</v>
      </c>
      <c r="O5" s="1309">
        <f t="shared" si="1"/>
        <v>-903703.8</v>
      </c>
      <c r="P5" s="1310">
        <f t="shared" si="2"/>
        <v>-75308.65</v>
      </c>
      <c r="Q5" s="1311"/>
    </row>
    <row r="6">
      <c r="A6" s="1306" t="s">
        <v>3227</v>
      </c>
      <c r="B6" s="1312" t="s">
        <v>154</v>
      </c>
      <c r="C6" s="1308">
        <f>SUMIFS('2026정산'!E:E,'2026정산'!$A:$A,$B6,'2026정산'!$C:$C,"운영자")</f>
        <v>600096.9</v>
      </c>
      <c r="D6" s="1308">
        <f>SUMIFS('2026정산'!H:H,'2026정산'!$A:$A,$B6,'2026정산'!$C:$C,"운영자")</f>
        <v>607500</v>
      </c>
      <c r="E6" s="1308">
        <f>SUMIFS('2026정산'!K:K,'2026정산'!$A:$A,$B6,'2026정산'!$C:$C,"운영자")</f>
        <v>525774.3</v>
      </c>
      <c r="F6" s="1308">
        <f>SUMIFS('2026정산'!N:N,'2026정산'!$A:$A,$B6,'2026정산'!$C:$C,"운영자")</f>
        <v>246000</v>
      </c>
      <c r="G6" s="1308">
        <f>SUMIFS('2026정산'!Q:Q,'2026정산'!$A:$A,$B6,'2026정산'!$C:$C,"운영자")</f>
        <v>246000</v>
      </c>
      <c r="H6" s="1308">
        <f>SUMIFS('2026정산'!T:T,'2026정산'!$A:$A,$B6,'2026정산'!$C:$C,"운영자")</f>
        <v>-3000</v>
      </c>
      <c r="I6" s="1308">
        <f>SUMIFS('2026정산'!W:W,'2026정산'!$A:$A,$B6,'2026정산'!$C:$C,"운영자")</f>
        <v>-120096.9</v>
      </c>
      <c r="J6" s="1308">
        <f>SUMIFS('2026정산'!Z:Z,'2026정산'!$A:$A,$B6,'2026정산'!$C:$C,"운영자")</f>
        <v>-534000</v>
      </c>
      <c r="K6" s="1308">
        <f>SUMIFS('2026정산'!AC:AC,'2026정산'!$A:$A,$B6,'2026정산'!$C:$C,"운영자")</f>
        <v>-534000</v>
      </c>
      <c r="L6" s="1308">
        <f>SUMIFS('2026정산'!AF:AF,'2026정산'!$A:$A,$B6,'2026정산'!$C:$C,"운영자")</f>
        <v>-534000</v>
      </c>
      <c r="M6" s="1308">
        <f>SUMIFS('2026정산'!AI:AI,'2026정산'!$A:$A,$B6,'2026정산'!$C:$C,"운영자")</f>
        <v>-534000</v>
      </c>
      <c r="N6" s="1308">
        <f>SUMIFS('2026정산'!AL:AL,'2026정산'!$A:$A,$B6,'2026정산'!$C:$C,"운영자")</f>
        <v>-534000</v>
      </c>
      <c r="O6" s="1309">
        <f t="shared" si="1"/>
        <v>-567725.7</v>
      </c>
      <c r="P6" s="1310">
        <f t="shared" si="2"/>
        <v>-47310.475</v>
      </c>
      <c r="Q6" s="1311"/>
    </row>
    <row r="7">
      <c r="A7" s="1306" t="s">
        <v>3227</v>
      </c>
      <c r="B7" s="1312" t="s">
        <v>210</v>
      </c>
      <c r="C7" s="1308">
        <f>SUMIFS('2026정산'!E:E,'2026정산'!$A:$A,$B7,'2026정산'!$C:$C,"운영자")</f>
        <v>1304713</v>
      </c>
      <c r="D7" s="1308">
        <f>SUMIFS('2026정산'!H:H,'2026정산'!$A:$A,$B7,'2026정산'!$C:$C,"운영자")</f>
        <v>1243769</v>
      </c>
      <c r="E7" s="1308">
        <f>SUMIFS('2026정산'!K:K,'2026정산'!$A:$A,$B7,'2026정산'!$C:$C,"운영자")</f>
        <v>2189840</v>
      </c>
      <c r="F7" s="1308">
        <f>SUMIFS('2026정산'!N:N,'2026정산'!$A:$A,$B7,'2026정산'!$C:$C,"운영자")</f>
        <v>2458507</v>
      </c>
      <c r="G7" s="1308">
        <f>SUMIFS('2026정산'!Q:Q,'2026정산'!$A:$A,$B7,'2026정산'!$C:$C,"운영자")</f>
        <v>1719920</v>
      </c>
      <c r="H7" s="1308">
        <f>SUMIFS('2026정산'!T:T,'2026정산'!$A:$A,$B7,'2026정산'!$C:$C,"운영자")</f>
        <v>1668614</v>
      </c>
      <c r="I7" s="1308">
        <f>SUMIFS('2026정산'!W:W,'2026정산'!$A:$A,$B7,'2026정산'!$C:$C,"운영자")</f>
        <v>91533</v>
      </c>
      <c r="J7" s="1308">
        <f>SUMIFS('2026정산'!Z:Z,'2026정산'!$A:$A,$B7,'2026정산'!$C:$C,"운영자")</f>
        <v>-219757</v>
      </c>
      <c r="K7" s="1308">
        <f>SUMIFS('2026정산'!AC:AC,'2026정산'!$A:$A,$B7,'2026정산'!$C:$C,"운영자")</f>
        <v>-660080</v>
      </c>
      <c r="L7" s="1308">
        <f>SUMIFS('2026정산'!AF:AF,'2026정산'!$A:$A,$B7,'2026정산'!$C:$C,"운영자")</f>
        <v>-1280080</v>
      </c>
      <c r="M7" s="1308">
        <f>SUMIFS('2026정산'!AI:AI,'2026정산'!$A:$A,$B7,'2026정산'!$C:$C,"운영자")</f>
        <v>-1280080</v>
      </c>
      <c r="N7" s="1308">
        <f>SUMIFS('2026정산'!AL:AL,'2026정산'!$A:$A,$B7,'2026정산'!$C:$C,"운영자")</f>
        <v>-1750000</v>
      </c>
      <c r="O7" s="1309">
        <f t="shared" si="1"/>
        <v>5486899</v>
      </c>
      <c r="P7" s="1310">
        <f t="shared" si="2"/>
        <v>457241.5833</v>
      </c>
      <c r="Q7" s="1311"/>
    </row>
    <row r="8">
      <c r="A8" s="1306" t="s">
        <v>3227</v>
      </c>
      <c r="B8" s="1307" t="s">
        <v>266</v>
      </c>
      <c r="C8" s="1308">
        <f>SUMIFS('2026정산'!E:E,'2026정산'!$A:$A,$B8,'2026정산'!$C:$C,"운영자")</f>
        <v>275883.9</v>
      </c>
      <c r="D8" s="1308">
        <f>SUMIFS('2026정산'!H:H,'2026정산'!$A:$A,$B8,'2026정산'!$C:$C,"운영자")</f>
        <v>267000</v>
      </c>
      <c r="E8" s="1308">
        <f>SUMIFS('2026정산'!K:K,'2026정산'!$A:$A,$B8,'2026정산'!$C:$C,"운영자")</f>
        <v>270000</v>
      </c>
      <c r="F8" s="1308">
        <f>SUMIFS('2026정산'!N:N,'2026정산'!$A:$A,$B8,'2026정산'!$C:$C,"운영자")</f>
        <v>135000</v>
      </c>
      <c r="G8" s="1308">
        <f>SUMIFS('2026정산'!Q:Q,'2026정산'!$A:$A,$B8,'2026정산'!$C:$C,"운영자")</f>
        <v>105000</v>
      </c>
      <c r="H8" s="1308">
        <f>SUMIFS('2026정산'!T:T,'2026정산'!$A:$A,$B8,'2026정산'!$C:$C,"운영자")</f>
        <v>-246000</v>
      </c>
      <c r="I8" s="1308">
        <f>SUMIFS('2026정산'!W:W,'2026정산'!$A:$A,$B8,'2026정산'!$C:$C,"운영자")</f>
        <v>-369483.9</v>
      </c>
      <c r="J8" s="1308">
        <f>SUMIFS('2026정산'!Z:Z,'2026정산'!$A:$A,$B8,'2026정산'!$C:$C,"운영자")</f>
        <v>-420000</v>
      </c>
      <c r="K8" s="1308">
        <f>SUMIFS('2026정산'!AC:AC,'2026정산'!$A:$A,$B8,'2026정산'!$C:$C,"운영자")</f>
        <v>-420000</v>
      </c>
      <c r="L8" s="1308">
        <f>SUMIFS('2026정산'!AF:AF,'2026정산'!$A:$A,$B8,'2026정산'!$C:$C,"운영자")</f>
        <v>-420000</v>
      </c>
      <c r="M8" s="1308">
        <f>SUMIFS('2026정산'!AI:AI,'2026정산'!$A:$A,$B8,'2026정산'!$C:$C,"운영자")</f>
        <v>-420000</v>
      </c>
      <c r="N8" s="1308">
        <f>SUMIFS('2026정산'!AL:AL,'2026정산'!$A:$A,$B8,'2026정산'!$C:$C,"운영자")</f>
        <v>-420000</v>
      </c>
      <c r="O8" s="1309">
        <f t="shared" si="1"/>
        <v>-1662600</v>
      </c>
      <c r="P8" s="1310">
        <f t="shared" si="2"/>
        <v>-138550</v>
      </c>
      <c r="Q8" s="1311"/>
    </row>
    <row r="9">
      <c r="A9" s="1306" t="s">
        <v>3227</v>
      </c>
      <c r="B9" s="1312" t="s">
        <v>275</v>
      </c>
      <c r="C9" s="1308">
        <f>SUMIFS('2026정산'!E:E,'2026정산'!$A:$A,$B9,'2026정산'!$C:$C,"운영자")</f>
        <v>180840</v>
      </c>
      <c r="D9" s="1308">
        <f>SUMIFS('2026정산'!H:H,'2026정산'!$A:$A,$B9,'2026정산'!$C:$C,"운영자")</f>
        <v>176018.7</v>
      </c>
      <c r="E9" s="1308">
        <f>SUMIFS('2026정산'!K:K,'2026정산'!$A:$A,$B9,'2026정산'!$C:$C,"운영자")</f>
        <v>0</v>
      </c>
      <c r="F9" s="1308">
        <f>SUMIFS('2026정산'!N:N,'2026정산'!$A:$A,$B9,'2026정산'!$C:$C,"운영자")</f>
        <v>0</v>
      </c>
      <c r="G9" s="1308">
        <f>SUMIFS('2026정산'!Q:Q,'2026정산'!$A:$A,$B9,'2026정산'!$C:$C,"운영자")</f>
        <v>0</v>
      </c>
      <c r="H9" s="1308">
        <f>SUMIFS('2026정산'!T:T,'2026정산'!$A:$A,$B9,'2026정산'!$C:$C,"운영자")</f>
        <v>0</v>
      </c>
      <c r="I9" s="1308">
        <f>SUMIFS('2026정산'!W:W,'2026정산'!$A:$A,$B9,'2026정산'!$C:$C,"운영자")</f>
        <v>0</v>
      </c>
      <c r="J9" s="1308">
        <f>SUMIFS('2026정산'!Z:Z,'2026정산'!$A:$A,$B9,'2026정산'!$C:$C,"운영자")</f>
        <v>0</v>
      </c>
      <c r="K9" s="1308">
        <f>SUMIFS('2026정산'!AC:AC,'2026정산'!$A:$A,$B9,'2026정산'!$C:$C,"운영자")</f>
        <v>0</v>
      </c>
      <c r="L9" s="1308">
        <f>SUMIFS('2026정산'!AF:AF,'2026정산'!$A:$A,$B9,'2026정산'!$C:$C,"운영자")</f>
        <v>0</v>
      </c>
      <c r="M9" s="1308">
        <f>SUMIFS('2026정산'!AI:AI,'2026정산'!$A:$A,$B9,'2026정산'!$C:$C,"운영자")</f>
        <v>0</v>
      </c>
      <c r="N9" s="1308">
        <f>SUMIFS('2026정산'!AL:AL,'2026정산'!$A:$A,$B9,'2026정산'!$C:$C,"운영자")</f>
        <v>0</v>
      </c>
      <c r="O9" s="1309">
        <f t="shared" si="1"/>
        <v>356858.7</v>
      </c>
      <c r="P9" s="1310">
        <f t="shared" si="2"/>
        <v>29738.225</v>
      </c>
      <c r="Q9" s="1311"/>
    </row>
    <row r="10">
      <c r="A10" s="1306" t="s">
        <v>3227</v>
      </c>
      <c r="B10" s="1312" t="s">
        <v>305</v>
      </c>
      <c r="C10" s="1308">
        <f>SUMIFS('2026정산'!E:E,'2026정산'!$A:$A,$B10,'2026정산'!$C:$C,"운영자")</f>
        <v>227500</v>
      </c>
      <c r="D10" s="1308">
        <f>SUMIFS('2026정산'!H:H,'2026정산'!$A:$A,$B10,'2026정산'!$C:$C,"운영자")</f>
        <v>220089.25</v>
      </c>
      <c r="E10" s="1308">
        <f>SUMIFS('2026정산'!K:K,'2026정산'!$A:$A,$B10,'2026정산'!$C:$C,"운영자")</f>
        <v>137500</v>
      </c>
      <c r="F10" s="1308">
        <f>SUMIFS('2026정산'!N:N,'2026정산'!$A:$A,$B10,'2026정산'!$C:$C,"운영자")</f>
        <v>137500</v>
      </c>
      <c r="G10" s="1308">
        <f>SUMIFS('2026정산'!Q:Q,'2026정산'!$A:$A,$B10,'2026정산'!$C:$C,"운영자")</f>
        <v>137500</v>
      </c>
      <c r="H10" s="1308">
        <f>SUMIFS('2026정산'!T:T,'2026정산'!$A:$A,$B10,'2026정산'!$C:$C,"운영자")</f>
        <v>137500</v>
      </c>
      <c r="I10" s="1308">
        <f>SUMIFS('2026정산'!W:W,'2026정산'!$A:$A,$B10,'2026정산'!$C:$C,"운영자")</f>
        <v>137500</v>
      </c>
      <c r="J10" s="1308">
        <f>SUMIFS('2026정산'!Z:Z,'2026정산'!$A:$A,$B10,'2026정산'!$C:$C,"운영자")</f>
        <v>137500</v>
      </c>
      <c r="K10" s="1308">
        <f>SUMIFS('2026정산'!AC:AC,'2026정산'!$A:$A,$B10,'2026정산'!$C:$C,"운영자")</f>
        <v>32500</v>
      </c>
      <c r="L10" s="1308">
        <f>SUMIFS('2026정산'!AF:AF,'2026정산'!$A:$A,$B10,'2026정산'!$C:$C,"운영자")</f>
        <v>32500</v>
      </c>
      <c r="M10" s="1308">
        <f>SUMIFS('2026정산'!AI:AI,'2026정산'!$A:$A,$B10,'2026정산'!$C:$C,"운영자")</f>
        <v>32500</v>
      </c>
      <c r="N10" s="1308">
        <f>SUMIFS('2026정산'!AL:AL,'2026정산'!$A:$A,$B10,'2026정산'!$C:$C,"운영자")</f>
        <v>32500</v>
      </c>
      <c r="O10" s="1309">
        <f t="shared" si="1"/>
        <v>1402589.25</v>
      </c>
      <c r="P10" s="1310">
        <f t="shared" si="2"/>
        <v>116882.4375</v>
      </c>
      <c r="Q10" s="1311"/>
    </row>
    <row r="11">
      <c r="A11" s="1306" t="s">
        <v>3227</v>
      </c>
      <c r="B11" s="1312" t="s">
        <v>374</v>
      </c>
      <c r="C11" s="1308">
        <f>SUMIFS('2026정산'!E:E,'2026정산'!$A:$A,$B11,'2026정산'!$C:$C,"운영자")</f>
        <v>201000</v>
      </c>
      <c r="D11" s="1308">
        <f>SUMIFS('2026정산'!H:H,'2026정산'!$A:$A,$B11,'2026정산'!$C:$C,"운영자")</f>
        <v>-219600</v>
      </c>
      <c r="E11" s="1308">
        <f>SUMIFS('2026정산'!K:K,'2026정산'!$A:$A,$B11,'2026정산'!$C:$C,"운영자")</f>
        <v>-279000</v>
      </c>
      <c r="F11" s="1308">
        <f>SUMIFS('2026정산'!N:N,'2026정산'!$A:$A,$B11,'2026정산'!$C:$C,"운영자")</f>
        <v>-390000</v>
      </c>
      <c r="G11" s="1308">
        <f>SUMIFS('2026정산'!Q:Q,'2026정산'!$A:$A,$B11,'2026정산'!$C:$C,"운영자")</f>
        <v>-390000</v>
      </c>
      <c r="H11" s="1308">
        <f>SUMIFS('2026정산'!T:T,'2026정산'!$A:$A,$B11,'2026정산'!$C:$C,"운영자")</f>
        <v>-390000</v>
      </c>
      <c r="I11" s="1308">
        <f>SUMIFS('2026정산'!W:W,'2026정산'!$A:$A,$B11,'2026정산'!$C:$C,"운영자")</f>
        <v>-390000</v>
      </c>
      <c r="J11" s="1308">
        <f>SUMIFS('2026정산'!Z:Z,'2026정산'!$A:$A,$B11,'2026정산'!$C:$C,"운영자")</f>
        <v>-390000</v>
      </c>
      <c r="K11" s="1308">
        <f>SUMIFS('2026정산'!AC:AC,'2026정산'!$A:$A,$B11,'2026정산'!$C:$C,"운영자")</f>
        <v>-390000</v>
      </c>
      <c r="L11" s="1308">
        <f>SUMIFS('2026정산'!AF:AF,'2026정산'!$A:$A,$B11,'2026정산'!$C:$C,"운영자")</f>
        <v>-390000</v>
      </c>
      <c r="M11" s="1308">
        <f>SUMIFS('2026정산'!AI:AI,'2026정산'!$A:$A,$B11,'2026정산'!$C:$C,"운영자")</f>
        <v>-390000</v>
      </c>
      <c r="N11" s="1308">
        <f>SUMIFS('2026정산'!AL:AL,'2026정산'!$A:$A,$B11,'2026정산'!$C:$C,"운영자")</f>
        <v>-390000</v>
      </c>
      <c r="O11" s="1309">
        <f t="shared" si="1"/>
        <v>-3807600</v>
      </c>
      <c r="P11" s="1310">
        <f t="shared" si="2"/>
        <v>-317300</v>
      </c>
      <c r="Q11" s="1311"/>
    </row>
    <row r="12">
      <c r="A12" s="1306" t="s">
        <v>3227</v>
      </c>
      <c r="B12" s="1312" t="s">
        <v>415</v>
      </c>
      <c r="C12" s="1308">
        <f>SUMIFS('2026정산'!E:E,'2026정산'!$A:$A,$B12,'2026정산'!$C:$C,"운영자")</f>
        <v>262000</v>
      </c>
      <c r="D12" s="1308">
        <f>SUMIFS('2026정산'!H:H,'2026정산'!$A:$A,$B12,'2026정산'!$C:$C,"운영자")</f>
        <v>255071.4</v>
      </c>
      <c r="E12" s="1308">
        <f>SUMIFS('2026정산'!K:K,'2026정산'!$A:$A,$B12,'2026정산'!$C:$C,"운영자")</f>
        <v>266000</v>
      </c>
      <c r="F12" s="1308">
        <f>SUMIFS('2026정산'!N:N,'2026정산'!$A:$A,$B12,'2026정산'!$C:$C,"운영자")</f>
        <v>140000</v>
      </c>
      <c r="G12" s="1308">
        <f>SUMIFS('2026정산'!Q:Q,'2026정산'!$A:$A,$B12,'2026정산'!$C:$C,"운영자")</f>
        <v>140000</v>
      </c>
      <c r="H12" s="1308">
        <f>SUMIFS('2026정산'!T:T,'2026정산'!$A:$A,$B12,'2026정산'!$C:$C,"운영자")</f>
        <v>140000</v>
      </c>
      <c r="I12" s="1308">
        <f>SUMIFS('2026정산'!W:W,'2026정산'!$A:$A,$B12,'2026정산'!$C:$C,"운영자")</f>
        <v>140000</v>
      </c>
      <c r="J12" s="1308">
        <f>SUMIFS('2026정산'!Z:Z,'2026정산'!$A:$A,$B12,'2026정산'!$C:$C,"운영자")</f>
        <v>140000</v>
      </c>
      <c r="K12" s="1308">
        <f>SUMIFS('2026정산'!AC:AC,'2026정산'!$A:$A,$B12,'2026정산'!$C:$C,"운영자")</f>
        <v>10000</v>
      </c>
      <c r="L12" s="1308">
        <f>SUMIFS('2026정산'!AF:AF,'2026정산'!$A:$A,$B12,'2026정산'!$C:$C,"운영자")</f>
        <v>10000</v>
      </c>
      <c r="M12" s="1308">
        <f>SUMIFS('2026정산'!AI:AI,'2026정산'!$A:$A,$B12,'2026정산'!$C:$C,"운영자")</f>
        <v>10000</v>
      </c>
      <c r="N12" s="1308">
        <f>SUMIFS('2026정산'!AL:AL,'2026정산'!$A:$A,$B12,'2026정산'!$C:$C,"운영자")</f>
        <v>10000</v>
      </c>
      <c r="O12" s="1309">
        <f t="shared" si="1"/>
        <v>1523071.4</v>
      </c>
      <c r="P12" s="1310">
        <f t="shared" si="2"/>
        <v>126922.6167</v>
      </c>
      <c r="Q12" s="1311"/>
    </row>
    <row r="13">
      <c r="A13" s="1306" t="s">
        <v>3227</v>
      </c>
      <c r="B13" s="1312" t="s">
        <v>553</v>
      </c>
      <c r="C13" s="1308">
        <f>SUMIFS('2026정산'!E:E,'2026정산'!$A:$A,$B13,'2026정산'!$C:$C,"운영자")</f>
        <v>192000</v>
      </c>
      <c r="D13" s="1308">
        <f>SUMIFS('2026정산'!H:H,'2026정산'!$A:$A,$B13,'2026정산'!$C:$C,"운영자")</f>
        <v>357964.2</v>
      </c>
      <c r="E13" s="1308">
        <f>SUMIFS('2026정산'!K:K,'2026정산'!$A:$A,$B13,'2026정산'!$C:$C,"운영자")</f>
        <v>429000</v>
      </c>
      <c r="F13" s="1308">
        <f>SUMIFS('2026정산'!N:N,'2026정산'!$A:$A,$B13,'2026정산'!$C:$C,"운영자")</f>
        <v>294000</v>
      </c>
      <c r="G13" s="1308">
        <f>SUMIFS('2026정산'!Q:Q,'2026정산'!$A:$A,$B13,'2026정산'!$C:$C,"운영자")</f>
        <v>294000</v>
      </c>
      <c r="H13" s="1308">
        <f>SUMIFS('2026정산'!T:T,'2026정산'!$A:$A,$B13,'2026정산'!$C:$C,"운영자")</f>
        <v>294000</v>
      </c>
      <c r="I13" s="1308">
        <f>SUMIFS('2026정산'!W:W,'2026정산'!$A:$A,$B13,'2026정산'!$C:$C,"운영자")</f>
        <v>294000</v>
      </c>
      <c r="J13" s="1308">
        <f>SUMIFS('2026정산'!Z:Z,'2026정산'!$A:$A,$B13,'2026정산'!$C:$C,"운영자")</f>
        <v>258096.9</v>
      </c>
      <c r="K13" s="1308">
        <f>SUMIFS('2026정산'!AC:AC,'2026정산'!$A:$A,$B13,'2026정산'!$C:$C,"운영자")</f>
        <v>-150000</v>
      </c>
      <c r="L13" s="1308">
        <f>SUMIFS('2026정산'!AF:AF,'2026정산'!$A:$A,$B13,'2026정산'!$C:$C,"운영자")</f>
        <v>-150000</v>
      </c>
      <c r="M13" s="1308">
        <f>SUMIFS('2026정산'!AI:AI,'2026정산'!$A:$A,$B13,'2026정산'!$C:$C,"운영자")</f>
        <v>-150000</v>
      </c>
      <c r="N13" s="1308">
        <f>SUMIFS('2026정산'!AL:AL,'2026정산'!$A:$A,$B13,'2026정산'!$C:$C,"운영자")</f>
        <v>-150000</v>
      </c>
      <c r="O13" s="1309">
        <f t="shared" si="1"/>
        <v>1813061.1</v>
      </c>
      <c r="P13" s="1310">
        <f t="shared" si="2"/>
        <v>151088.425</v>
      </c>
      <c r="Q13" s="1311"/>
    </row>
    <row r="14">
      <c r="A14" s="1306" t="s">
        <v>3228</v>
      </c>
      <c r="B14" s="1312" t="s">
        <v>474</v>
      </c>
      <c r="C14" s="1308">
        <f>SUMIFS('2026정산'!E:E,'2026정산'!$A:$A,$B14,'2026정산'!$C:$C,"운영자")</f>
        <v>1380000</v>
      </c>
      <c r="D14" s="1308">
        <f>SUMIFS('2026정산'!H:H,'2026정산'!$A:$A,$B14,'2026정산'!$C:$C,"운영자")</f>
        <v>1332143</v>
      </c>
      <c r="E14" s="1308">
        <f>SUMIFS('2026정산'!K:K,'2026정산'!$A:$A,$B14,'2026정산'!$C:$C,"운영자")</f>
        <v>1620000</v>
      </c>
      <c r="F14" s="1308">
        <f>SUMIFS('2026정산'!N:N,'2026정산'!$A:$A,$B14,'2026정산'!$C:$C,"운영자")</f>
        <v>1620000</v>
      </c>
      <c r="G14" s="1308">
        <f>SUMIFS('2026정산'!Q:Q,'2026정산'!$A:$A,$B14,'2026정산'!$C:$C,"운영자")</f>
        <v>1620000</v>
      </c>
      <c r="H14" s="1308">
        <f>SUMIFS('2026정산'!T:T,'2026정산'!$A:$A,$B14,'2026정산'!$C:$C,"운영자")</f>
        <v>1620000</v>
      </c>
      <c r="I14" s="1308">
        <f>SUMIFS('2026정산'!W:W,'2026정산'!$A:$A,$B14,'2026정산'!$C:$C,"운영자")</f>
        <v>1620000</v>
      </c>
      <c r="J14" s="1308">
        <f>SUMIFS('2026정산'!Z:Z,'2026정산'!$A:$A,$B14,'2026정산'!$C:$C,"운영자")</f>
        <v>1620000</v>
      </c>
      <c r="K14" s="1308">
        <f>SUMIFS('2026정산'!AC:AC,'2026정산'!$A:$A,$B14,'2026정산'!$C:$C,"운영자")</f>
        <v>1160000</v>
      </c>
      <c r="L14" s="1308">
        <f>SUMIFS('2026정산'!AF:AF,'2026정산'!$A:$A,$B14,'2026정산'!$C:$C,"운영자")</f>
        <v>1160000</v>
      </c>
      <c r="M14" s="1308">
        <f>SUMIFS('2026정산'!AI:AI,'2026정산'!$A:$A,$B14,'2026정산'!$C:$C,"운영자")</f>
        <v>1160000</v>
      </c>
      <c r="N14" s="1308">
        <f>SUMIFS('2026정산'!AL:AL,'2026정산'!$A:$A,$B14,'2026정산'!$C:$C,"운영자")</f>
        <v>1160000</v>
      </c>
      <c r="O14" s="1309">
        <f t="shared" si="1"/>
        <v>17072143</v>
      </c>
      <c r="P14" s="1310">
        <f t="shared" si="2"/>
        <v>1422678.583</v>
      </c>
      <c r="Q14" s="1313" t="s">
        <v>3536</v>
      </c>
    </row>
    <row r="15">
      <c r="A15" s="1306" t="s">
        <v>3227</v>
      </c>
      <c r="B15" s="1312" t="s">
        <v>448</v>
      </c>
      <c r="C15" s="1308">
        <f>SUMIFS('2026정산'!E:E,'2026정산'!$A:$A,$B15,'2026정산'!$C:$C,"운영자")</f>
        <v>309000</v>
      </c>
      <c r="D15" s="1308">
        <f>SUMIFS('2026정산'!H:H,'2026정산'!$A:$A,$B15,'2026정산'!$C:$C,"운영자")</f>
        <v>313821.3</v>
      </c>
      <c r="E15" s="1308">
        <f>SUMIFS('2026정산'!K:K,'2026정산'!$A:$A,$B15,'2026정산'!$C:$C,"운영자")</f>
        <v>498000</v>
      </c>
      <c r="F15" s="1308">
        <f>SUMIFS('2026정산'!N:N,'2026정산'!$A:$A,$B15,'2026정산'!$C:$C,"운영자")</f>
        <v>498000</v>
      </c>
      <c r="G15" s="1308">
        <f>SUMIFS('2026정산'!Q:Q,'2026정산'!$A:$A,$B15,'2026정산'!$C:$C,"운영자")</f>
        <v>498000</v>
      </c>
      <c r="H15" s="1308">
        <f>SUMIFS('2026정산'!T:T,'2026정산'!$A:$A,$B15,'2026정산'!$C:$C,"운영자")</f>
        <v>498000</v>
      </c>
      <c r="I15" s="1308">
        <f>SUMIFS('2026정산'!W:W,'2026정산'!$A:$A,$B15,'2026정산'!$C:$C,"운영자")</f>
        <v>498000</v>
      </c>
      <c r="J15" s="1308">
        <f>SUMIFS('2026정산'!Z:Z,'2026정산'!$A:$A,$B15,'2026정산'!$C:$C,"운영자")</f>
        <v>333000</v>
      </c>
      <c r="K15" s="1308">
        <f>SUMIFS('2026정산'!AC:AC,'2026정산'!$A:$A,$B15,'2026정산'!$C:$C,"운영자")</f>
        <v>39000</v>
      </c>
      <c r="L15" s="1308">
        <f>SUMIFS('2026정산'!AF:AF,'2026정산'!$A:$A,$B15,'2026정산'!$C:$C,"운영자")</f>
        <v>39000</v>
      </c>
      <c r="M15" s="1308">
        <f>SUMIFS('2026정산'!AI:AI,'2026정산'!$A:$A,$B15,'2026정산'!$C:$C,"운영자")</f>
        <v>39000</v>
      </c>
      <c r="N15" s="1308">
        <f>SUMIFS('2026정산'!AL:AL,'2026정산'!$A:$A,$B15,'2026정산'!$C:$C,"운영자")</f>
        <v>39000</v>
      </c>
      <c r="O15" s="1309">
        <f t="shared" si="1"/>
        <v>3601821.3</v>
      </c>
      <c r="P15" s="1310">
        <f t="shared" si="2"/>
        <v>300151.775</v>
      </c>
      <c r="Q15" s="1311"/>
    </row>
    <row r="16">
      <c r="A16" s="1306" t="s">
        <v>3227</v>
      </c>
      <c r="B16" s="1312" t="s">
        <v>505</v>
      </c>
      <c r="C16" s="1308">
        <f>SUMIFS('2026정산'!E:E,'2026정산'!$A:$A,$B16,'2026정산'!$C:$C,"운영자")</f>
        <v>1440000</v>
      </c>
      <c r="D16" s="1308">
        <f>SUMIFS('2026정산'!H:H,'2026정산'!$A:$A,$B16,'2026정산'!$C:$C,"운영자")</f>
        <v>2731072</v>
      </c>
      <c r="E16" s="1308">
        <f>SUMIFS('2026정산'!K:K,'2026정산'!$A:$A,$B16,'2026정산'!$C:$C,"운영자")</f>
        <v>2373226</v>
      </c>
      <c r="F16" s="1308">
        <f>SUMIFS('2026정산'!N:N,'2026정산'!$A:$A,$B16,'2026정산'!$C:$C,"운영자")</f>
        <v>1410000</v>
      </c>
      <c r="G16" s="1308">
        <f>SUMIFS('2026정산'!Q:Q,'2026정산'!$A:$A,$B16,'2026정산'!$C:$C,"운영자")</f>
        <v>1410000</v>
      </c>
      <c r="H16" s="1308">
        <f>SUMIFS('2026정산'!T:T,'2026정산'!$A:$A,$B16,'2026정산'!$C:$C,"운영자")</f>
        <v>1410000</v>
      </c>
      <c r="I16" s="1308">
        <f>SUMIFS('2026정산'!W:W,'2026정산'!$A:$A,$B16,'2026정산'!$C:$C,"운영자")</f>
        <v>1410000</v>
      </c>
      <c r="J16" s="1308">
        <f>SUMIFS('2026정산'!Z:Z,'2026정산'!$A:$A,$B16,'2026정산'!$C:$C,"운영자")</f>
        <v>1313226</v>
      </c>
      <c r="K16" s="1308">
        <f>SUMIFS('2026정산'!AC:AC,'2026정산'!$A:$A,$B16,'2026정산'!$C:$C,"운영자")</f>
        <v>910000</v>
      </c>
      <c r="L16" s="1308">
        <f>SUMIFS('2026정산'!AF:AF,'2026정산'!$A:$A,$B16,'2026정산'!$C:$C,"운영자")</f>
        <v>910000</v>
      </c>
      <c r="M16" s="1308">
        <f>SUMIFS('2026정산'!AI:AI,'2026정산'!$A:$A,$B16,'2026정산'!$C:$C,"운영자")</f>
        <v>910000</v>
      </c>
      <c r="N16" s="1308">
        <f>SUMIFS('2026정산'!AL:AL,'2026정산'!$A:$A,$B16,'2026정산'!$C:$C,"운영자")</f>
        <v>360000</v>
      </c>
      <c r="O16" s="1309">
        <f t="shared" si="1"/>
        <v>16587524</v>
      </c>
      <c r="P16" s="1310">
        <f t="shared" si="2"/>
        <v>1382293.667</v>
      </c>
      <c r="Q16" s="1311"/>
    </row>
    <row r="17">
      <c r="A17" s="1306" t="s">
        <v>3228</v>
      </c>
      <c r="B17" s="1312" t="s">
        <v>577</v>
      </c>
      <c r="C17" s="1308">
        <f>SUMIFS('2026정산'!E:E,'2026정산'!$A:$A,$B17,'2026정산'!$C:$C,"운영자")</f>
        <v>198320</v>
      </c>
      <c r="D17" s="1308">
        <f>SUMIFS('2026정산'!H:H,'2026정산'!$A:$A,$B17,'2026정산'!$C:$C,"운영자")</f>
        <v>214177.2</v>
      </c>
      <c r="E17" s="1308">
        <f>SUMIFS('2026정산'!K:K,'2026정산'!$A:$A,$B17,'2026정산'!$C:$C,"운영자")</f>
        <v>194320</v>
      </c>
      <c r="F17" s="1308">
        <f>SUMIFS('2026정산'!N:N,'2026정산'!$A:$A,$B17,'2026정산'!$C:$C,"운영자")</f>
        <v>194320</v>
      </c>
      <c r="G17" s="1308">
        <f>SUMIFS('2026정산'!Q:Q,'2026정산'!$A:$A,$B17,'2026정산'!$C:$C,"운영자")</f>
        <v>194320</v>
      </c>
      <c r="H17" s="1308">
        <f>SUMIFS('2026정산'!T:T,'2026정산'!$A:$A,$B17,'2026정산'!$C:$C,"운영자")</f>
        <v>194320</v>
      </c>
      <c r="I17" s="1308">
        <f>SUMIFS('2026정산'!W:W,'2026정산'!$A:$A,$B17,'2026정산'!$C:$C,"운영자")</f>
        <v>194320</v>
      </c>
      <c r="J17" s="1308">
        <f>SUMIFS('2026정산'!Z:Z,'2026정산'!$A:$A,$B17,'2026정산'!$C:$C,"운영자")</f>
        <v>194320</v>
      </c>
      <c r="K17" s="1308">
        <f>SUMIFS('2026정산'!AC:AC,'2026정산'!$A:$A,$B17,'2026정산'!$C:$C,"운영자")</f>
        <v>2000</v>
      </c>
      <c r="L17" s="1308">
        <f>SUMIFS('2026정산'!AF:AF,'2026정산'!$A:$A,$B17,'2026정산'!$C:$C,"운영자")</f>
        <v>2000</v>
      </c>
      <c r="M17" s="1308">
        <f>SUMIFS('2026정산'!AI:AI,'2026정산'!$A:$A,$B17,'2026정산'!$C:$C,"운영자")</f>
        <v>2000</v>
      </c>
      <c r="N17" s="1308">
        <f>SUMIFS('2026정산'!AL:AL,'2026정산'!$A:$A,$B17,'2026정산'!$C:$C,"운영자")</f>
        <v>2000</v>
      </c>
      <c r="O17" s="1309">
        <f t="shared" si="1"/>
        <v>1586417.2</v>
      </c>
      <c r="P17" s="1310">
        <f t="shared" si="2"/>
        <v>132201.4333</v>
      </c>
      <c r="Q17" s="1311"/>
    </row>
    <row r="18">
      <c r="A18" s="1306" t="s">
        <v>3537</v>
      </c>
      <c r="B18" s="1307" t="s">
        <v>598</v>
      </c>
      <c r="C18" s="1308">
        <f>SUMIFS('2026정산'!E:E,'2026정산'!$A:$A,$B18,'2026정산'!$C:$C,"운영자")</f>
        <v>600000</v>
      </c>
      <c r="D18" s="1308">
        <f>SUMIFS('2026정산'!H:H,'2026정산'!$A:$A,$B18,'2026정산'!$C:$C,"운영자")</f>
        <v>839285</v>
      </c>
      <c r="E18" s="1308">
        <f>SUMIFS('2026정산'!K:K,'2026정산'!$A:$A,$B18,'2026정산'!$C:$C,"운영자")</f>
        <v>1323340</v>
      </c>
      <c r="F18" s="1308">
        <f>SUMIFS('2026정산'!N:N,'2026정산'!$A:$A,$B18,'2026정산'!$C:$C,"운영자")</f>
        <v>1323340</v>
      </c>
      <c r="G18" s="1308">
        <f>SUMIFS('2026정산'!Q:Q,'2026정산'!$A:$A,$B18,'2026정산'!$C:$C,"운영자")</f>
        <v>1323340</v>
      </c>
      <c r="H18" s="1308">
        <f>SUMIFS('2026정산'!T:T,'2026정산'!$A:$A,$B18,'2026정산'!$C:$C,"운영자")</f>
        <v>1323340</v>
      </c>
      <c r="I18" s="1308">
        <f>SUMIFS('2026정산'!W:W,'2026정산'!$A:$A,$B18,'2026정산'!$C:$C,"운영자")</f>
        <v>1323340</v>
      </c>
      <c r="J18" s="1308">
        <f>SUMIFS('2026정산'!Z:Z,'2026정산'!$A:$A,$B18,'2026정산'!$C:$C,"운영자")</f>
        <v>1323340</v>
      </c>
      <c r="K18" s="1308">
        <f>SUMIFS('2026정산'!AC:AC,'2026정산'!$A:$A,$B18,'2026정산'!$C:$C,"운영자")</f>
        <v>233340</v>
      </c>
      <c r="L18" s="1308">
        <f>SUMIFS('2026정산'!AF:AF,'2026정산'!$A:$A,$B18,'2026정산'!$C:$C,"운영자")</f>
        <v>233340</v>
      </c>
      <c r="M18" s="1308">
        <f>SUMIFS('2026정산'!AI:AI,'2026정산'!$A:$A,$B18,'2026정산'!$C:$C,"운영자")</f>
        <v>233340</v>
      </c>
      <c r="N18" s="1308">
        <f>SUMIFS('2026정산'!AL:AL,'2026정산'!$A:$A,$B18,'2026정산'!$C:$C,"운영자")</f>
        <v>233340</v>
      </c>
      <c r="O18" s="1309">
        <f t="shared" si="1"/>
        <v>10312685</v>
      </c>
      <c r="P18" s="1310">
        <f t="shared" si="2"/>
        <v>859390.4167</v>
      </c>
      <c r="Q18" s="1311"/>
    </row>
    <row r="19">
      <c r="A19" s="1306" t="s">
        <v>3227</v>
      </c>
      <c r="B19" s="1312" t="s">
        <v>629</v>
      </c>
      <c r="C19" s="1308">
        <f>SUMIFS('2026정산'!E:E,'2026정산'!$A:$A,$B19,'2026정산'!$C:$C,"운영자")</f>
        <v>232500</v>
      </c>
      <c r="D19" s="1308">
        <f>SUMIFS('2026정산'!H:H,'2026정산'!$A:$A,$B19,'2026정산'!$C:$C,"운영자")</f>
        <v>232500</v>
      </c>
      <c r="E19" s="1308">
        <f>SUMIFS('2026정산'!K:K,'2026정산'!$A:$A,$B19,'2026정산'!$C:$C,"운영자")</f>
        <v>293854.8</v>
      </c>
      <c r="F19" s="1308">
        <f>SUMIFS('2026정산'!N:N,'2026정산'!$A:$A,$B19,'2026정산'!$C:$C,"운영자")</f>
        <v>321000</v>
      </c>
      <c r="G19" s="1308">
        <f>SUMIFS('2026정산'!Q:Q,'2026정산'!$A:$A,$B19,'2026정산'!$C:$C,"운영자")</f>
        <v>321000</v>
      </c>
      <c r="H19" s="1308">
        <f>SUMIFS('2026정산'!T:T,'2026정산'!$A:$A,$B19,'2026정산'!$C:$C,"운영자")</f>
        <v>321000</v>
      </c>
      <c r="I19" s="1308">
        <f>SUMIFS('2026정산'!W:W,'2026정산'!$A:$A,$B19,'2026정산'!$C:$C,"운영자")</f>
        <v>321000</v>
      </c>
      <c r="J19" s="1308">
        <f>SUMIFS('2026정산'!Z:Z,'2026정산'!$A:$A,$B19,'2026정산'!$C:$C,"운영자")</f>
        <v>321000</v>
      </c>
      <c r="K19" s="1308">
        <f>SUMIFS('2026정산'!AC:AC,'2026정산'!$A:$A,$B19,'2026정산'!$C:$C,"운영자")</f>
        <v>172500</v>
      </c>
      <c r="L19" s="1308">
        <f>SUMIFS('2026정산'!AF:AF,'2026정산'!$A:$A,$B19,'2026정산'!$C:$C,"운영자")</f>
        <v>172500</v>
      </c>
      <c r="M19" s="1308">
        <f>SUMIFS('2026정산'!AI:AI,'2026정산'!$A:$A,$B19,'2026정산'!$C:$C,"운영자")</f>
        <v>172500</v>
      </c>
      <c r="N19" s="1308">
        <f>SUMIFS('2026정산'!AL:AL,'2026정산'!$A:$A,$B19,'2026정산'!$C:$C,"운영자")</f>
        <v>172500</v>
      </c>
      <c r="O19" s="1309">
        <f t="shared" si="1"/>
        <v>3053854.8</v>
      </c>
      <c r="P19" s="1310">
        <f t="shared" si="2"/>
        <v>254487.9</v>
      </c>
      <c r="Q19" s="1311"/>
    </row>
    <row r="20">
      <c r="A20" s="1306" t="s">
        <v>3227</v>
      </c>
      <c r="B20" s="1312" t="s">
        <v>610</v>
      </c>
      <c r="C20" s="1308">
        <f>SUMIFS('2026정산'!E:E,'2026정산'!$A:$A,$B20,'2026정산'!$C:$C,"운영자")</f>
        <v>1770000</v>
      </c>
      <c r="D20" s="1308">
        <f>SUMIFS('2026정산'!H:H,'2026정산'!$A:$A,$B20,'2026정산'!$C:$C,"운영자")</f>
        <v>1171429</v>
      </c>
      <c r="E20" s="1308">
        <f>SUMIFS('2026정산'!K:K,'2026정산'!$A:$A,$B20,'2026정산'!$C:$C,"운영자")</f>
        <v>1380000</v>
      </c>
      <c r="F20" s="1308">
        <f>SUMIFS('2026정산'!N:N,'2026정산'!$A:$A,$B20,'2026정산'!$C:$C,"운영자")</f>
        <v>1380000</v>
      </c>
      <c r="G20" s="1308">
        <f>SUMIFS('2026정산'!Q:Q,'2026정산'!$A:$A,$B20,'2026정산'!$C:$C,"운영자")</f>
        <v>1380000</v>
      </c>
      <c r="H20" s="1308">
        <f>SUMIFS('2026정산'!T:T,'2026정산'!$A:$A,$B20,'2026정산'!$C:$C,"운영자")</f>
        <v>1380000</v>
      </c>
      <c r="I20" s="1308">
        <f>SUMIFS('2026정산'!W:W,'2026정산'!$A:$A,$B20,'2026정산'!$C:$C,"운영자")</f>
        <v>1380000</v>
      </c>
      <c r="J20" s="1308">
        <f>SUMIFS('2026정산'!Z:Z,'2026정산'!$A:$A,$B20,'2026정산'!$C:$C,"운영자")</f>
        <v>1031613</v>
      </c>
      <c r="K20" s="1308">
        <f>SUMIFS('2026정산'!AC:AC,'2026정산'!$A:$A,$B20,'2026정산'!$C:$C,"운영자")</f>
        <v>-400000</v>
      </c>
      <c r="L20" s="1308">
        <f>SUMIFS('2026정산'!AF:AF,'2026정산'!$A:$A,$B20,'2026정산'!$C:$C,"운영자")</f>
        <v>-400000</v>
      </c>
      <c r="M20" s="1308">
        <f>SUMIFS('2026정산'!AI:AI,'2026정산'!$A:$A,$B20,'2026정산'!$C:$C,"운영자")</f>
        <v>-400000</v>
      </c>
      <c r="N20" s="1308">
        <f>SUMIFS('2026정산'!AL:AL,'2026정산'!$A:$A,$B20,'2026정산'!$C:$C,"운영자")</f>
        <v>-400000</v>
      </c>
      <c r="O20" s="1309">
        <f t="shared" si="1"/>
        <v>9273042</v>
      </c>
      <c r="P20" s="1310">
        <f t="shared" si="2"/>
        <v>772753.5</v>
      </c>
      <c r="Q20" s="1311"/>
    </row>
    <row r="21">
      <c r="A21" s="1306" t="s">
        <v>3227</v>
      </c>
      <c r="B21" s="1312" t="s">
        <v>643</v>
      </c>
      <c r="C21" s="1308">
        <f>SUMIFS('2026정산'!E:E,'2026정산'!$A:$A,$B21,'2026정산'!$C:$C,"운영자")</f>
        <v>687000</v>
      </c>
      <c r="D21" s="1308">
        <f>SUMIFS('2026정산'!H:H,'2026정산'!$A:$A,$B21,'2026정산'!$C:$C,"운영자")</f>
        <v>687000</v>
      </c>
      <c r="E21" s="1308">
        <f>SUMIFS('2026정산'!K:K,'2026정산'!$A:$A,$B21,'2026정산'!$C:$C,"운영자")</f>
        <v>723000</v>
      </c>
      <c r="F21" s="1308">
        <f>SUMIFS('2026정산'!N:N,'2026정산'!$A:$A,$B21,'2026정산'!$C:$C,"운영자")</f>
        <v>723000</v>
      </c>
      <c r="G21" s="1308">
        <f>SUMIFS('2026정산'!Q:Q,'2026정산'!$A:$A,$B21,'2026정산'!$C:$C,"운영자")</f>
        <v>723000</v>
      </c>
      <c r="H21" s="1308">
        <f>SUMIFS('2026정산'!T:T,'2026정산'!$A:$A,$B21,'2026정산'!$C:$C,"운영자")</f>
        <v>723000</v>
      </c>
      <c r="I21" s="1308">
        <f>SUMIFS('2026정산'!W:W,'2026정산'!$A:$A,$B21,'2026정산'!$C:$C,"운영자")</f>
        <v>723000</v>
      </c>
      <c r="J21" s="1308">
        <f>SUMIFS('2026정산'!Z:Z,'2026정산'!$A:$A,$B21,'2026정산'!$C:$C,"운영자")</f>
        <v>723000</v>
      </c>
      <c r="K21" s="1308">
        <f>SUMIFS('2026정산'!AC:AC,'2026정산'!$A:$A,$B21,'2026정산'!$C:$C,"운영자")</f>
        <v>567000</v>
      </c>
      <c r="L21" s="1308">
        <f>SUMIFS('2026정산'!AF:AF,'2026정산'!$A:$A,$B21,'2026정산'!$C:$C,"운영자")</f>
        <v>567000</v>
      </c>
      <c r="M21" s="1308">
        <f>SUMIFS('2026정산'!AI:AI,'2026정산'!$A:$A,$B21,'2026정산'!$C:$C,"운영자")</f>
        <v>411000</v>
      </c>
      <c r="N21" s="1308">
        <f>SUMIFS('2026정산'!AL:AL,'2026정산'!$A:$A,$B21,'2026정산'!$C:$C,"운영자")</f>
        <v>411000</v>
      </c>
      <c r="O21" s="1309">
        <f t="shared" si="1"/>
        <v>7668000</v>
      </c>
      <c r="P21" s="1310">
        <f t="shared" si="2"/>
        <v>639000</v>
      </c>
      <c r="Q21" s="1311"/>
    </row>
    <row r="22">
      <c r="A22" s="1306" t="s">
        <v>1259</v>
      </c>
      <c r="B22" s="1307" t="s">
        <v>2230</v>
      </c>
      <c r="C22" s="1308">
        <f>SUMIFS('2026정산'!E:E,'2026정산'!$A:$A,$B22,'2026정산'!$C:$C,"운영자")</f>
        <v>780000</v>
      </c>
      <c r="D22" s="1308">
        <f>SUMIFS('2026정산'!H:H,'2026정산'!$A:$A,$B22,'2026정산'!$C:$C,"운영자")</f>
        <v>682500</v>
      </c>
      <c r="E22" s="1308">
        <f>SUMIFS('2026정산'!K:K,'2026정산'!$A:$A,$B22,'2026정산'!$C:$C,"운영자")</f>
        <v>-1000000</v>
      </c>
      <c r="F22" s="1308">
        <f>SUMIFS('2026정산'!N:N,'2026정산'!$A:$A,$B22,'2026정산'!$C:$C,"운영자")</f>
        <v>0</v>
      </c>
      <c r="G22" s="1308">
        <f>SUMIFS('2026정산'!Q:Q,'2026정산'!$A:$A,$B22,'2026정산'!$C:$C,"운영자")</f>
        <v>0</v>
      </c>
      <c r="H22" s="1308">
        <f>SUMIFS('2026정산'!T:T,'2026정산'!$A:$A,$B22,'2026정산'!$C:$C,"운영자")</f>
        <v>0</v>
      </c>
      <c r="I22" s="1308">
        <f>SUMIFS('2026정산'!W:W,'2026정산'!$A:$A,$B22,'2026정산'!$C:$C,"운영자")</f>
        <v>0</v>
      </c>
      <c r="J22" s="1308">
        <f>SUMIFS('2026정산'!Z:Z,'2026정산'!$A:$A,$B22,'2026정산'!$C:$C,"운영자")</f>
        <v>0</v>
      </c>
      <c r="K22" s="1308">
        <f>SUMIFS('2026정산'!AC:AC,'2026정산'!$A:$A,$B22,'2026정산'!$C:$C,"운영자")</f>
        <v>0</v>
      </c>
      <c r="L22" s="1308">
        <f>SUMIFS('2026정산'!AF:AF,'2026정산'!$A:$A,$B22,'2026정산'!$C:$C,"운영자")</f>
        <v>0</v>
      </c>
      <c r="M22" s="1308">
        <f>SUMIFS('2026정산'!AI:AI,'2026정산'!$A:$A,$B22,'2026정산'!$C:$C,"운영자")</f>
        <v>0</v>
      </c>
      <c r="N22" s="1308">
        <f>SUMIFS('2026정산'!AL:AL,'2026정산'!$A:$A,$B22,'2026정산'!$C:$C,"운영자")</f>
        <v>0</v>
      </c>
      <c r="O22" s="1309">
        <f t="shared" si="1"/>
        <v>462500</v>
      </c>
      <c r="P22" s="1310">
        <f t="shared" si="2"/>
        <v>38541.66667</v>
      </c>
      <c r="Q22" s="1311"/>
    </row>
    <row r="23">
      <c r="A23" s="1306" t="s">
        <v>1259</v>
      </c>
      <c r="B23" s="1307" t="s">
        <v>2237</v>
      </c>
      <c r="C23" s="1308">
        <f>SUMIFS('2026정산'!E:E,'2026정산'!$A:$A,$B23,'2026정산'!$C:$C,"운영자")</f>
        <v>135334</v>
      </c>
      <c r="D23" s="1308">
        <f>SUMIFS('2026정산'!H:H,'2026정산'!$A:$A,$B23,'2026정산'!$C:$C,"운영자")</f>
        <v>106399.6641</v>
      </c>
      <c r="E23" s="1308">
        <f>SUMIFS('2026정산'!K:K,'2026정산'!$A:$A,$B23,'2026정산'!$C:$C,"운영자")</f>
        <v>592404.0977</v>
      </c>
      <c r="F23" s="1308">
        <f>SUMIFS('2026정산'!N:N,'2026정산'!$A:$A,$B23,'2026정산'!$C:$C,"운영자")</f>
        <v>724823.3203</v>
      </c>
      <c r="G23" s="1308">
        <f>SUMIFS('2026정산'!Q:Q,'2026정산'!$A:$A,$B23,'2026정산'!$C:$C,"운영자")</f>
        <v>760084.0977</v>
      </c>
      <c r="H23" s="1308">
        <f>SUMIFS('2026정산'!T:T,'2026정산'!$A:$A,$B23,'2026정산'!$C:$C,"운영자")</f>
        <v>724823.3203</v>
      </c>
      <c r="I23" s="1308">
        <f>SUMIFS('2026정산'!W:W,'2026정산'!$A:$A,$B23,'2026정산'!$C:$C,"운영자")</f>
        <v>-333000</v>
      </c>
      <c r="J23" s="1308">
        <f>SUMIFS('2026정산'!Z:Z,'2026정산'!$A:$A,$B23,'2026정산'!$C:$C,"운영자")</f>
        <v>-316500</v>
      </c>
      <c r="K23" s="1308">
        <f>SUMIFS('2026정산'!AC:AC,'2026정산'!$A:$A,$B23,'2026정산'!$C:$C,"운영자")</f>
        <v>-300000</v>
      </c>
      <c r="L23" s="1308">
        <f>SUMIFS('2026정산'!AF:AF,'2026정산'!$A:$A,$B23,'2026정산'!$C:$C,"운영자")</f>
        <v>-316500</v>
      </c>
      <c r="M23" s="1308">
        <f>SUMIFS('2026정산'!AI:AI,'2026정산'!$A:$A,$B23,'2026정산'!$C:$C,"운영자")</f>
        <v>-316500</v>
      </c>
      <c r="N23" s="1308">
        <f>SUMIFS('2026정산'!AL:AL,'2026정산'!$A:$A,$B23,'2026정산'!$C:$C,"운영자")</f>
        <v>-316500</v>
      </c>
      <c r="O23" s="1309">
        <f t="shared" si="1"/>
        <v>1144868.5</v>
      </c>
      <c r="P23" s="1310">
        <f t="shared" si="2"/>
        <v>95405.70833</v>
      </c>
      <c r="Q23" s="1311"/>
    </row>
    <row r="24">
      <c r="A24" s="1306" t="s">
        <v>1259</v>
      </c>
      <c r="B24" s="1307" t="s">
        <v>2242</v>
      </c>
      <c r="C24" s="1308">
        <f>SUMIFS('2026정산'!E:E,'2026정산'!$A:$A,$B24,'2026정산'!$C:$C,"운영자")</f>
        <v>1530645</v>
      </c>
      <c r="D24" s="1308">
        <f>SUMIFS('2026정산'!H:H,'2026정산'!$A:$A,$B24,'2026정산'!$C:$C,"운영자")</f>
        <v>1978628</v>
      </c>
      <c r="E24" s="1308">
        <f>SUMIFS('2026정산'!K:K,'2026정산'!$A:$A,$B24,'2026정산'!$C:$C,"운영자")</f>
        <v>1496452</v>
      </c>
      <c r="F24" s="1308">
        <f>SUMIFS('2026정산'!N:N,'2026정산'!$A:$A,$B24,'2026정산'!$C:$C,"운영자")</f>
        <v>1510000</v>
      </c>
      <c r="G24" s="1308">
        <f>SUMIFS('2026정산'!Q:Q,'2026정산'!$A:$A,$B24,'2026정산'!$C:$C,"운영자")</f>
        <v>1510000</v>
      </c>
      <c r="H24" s="1308">
        <f>SUMIFS('2026정산'!T:T,'2026정산'!$A:$A,$B24,'2026정산'!$C:$C,"운영자")</f>
        <v>1510000</v>
      </c>
      <c r="I24" s="1308">
        <f>SUMIFS('2026정산'!W:W,'2026정산'!$A:$A,$B24,'2026정산'!$C:$C,"운영자")</f>
        <v>1510000</v>
      </c>
      <c r="J24" s="1308">
        <f>SUMIFS('2026정산'!Z:Z,'2026정산'!$A:$A,$B24,'2026정산'!$C:$C,"운영자")</f>
        <v>878710</v>
      </c>
      <c r="K24" s="1308">
        <f>SUMIFS('2026정산'!AC:AC,'2026정산'!$A:$A,$B24,'2026정산'!$C:$C,"운영자")</f>
        <v>120000</v>
      </c>
      <c r="L24" s="1308">
        <f>SUMIFS('2026정산'!AF:AF,'2026정산'!$A:$A,$B24,'2026정산'!$C:$C,"운영자")</f>
        <v>120000</v>
      </c>
      <c r="M24" s="1308">
        <f>SUMIFS('2026정산'!AI:AI,'2026정산'!$A:$A,$B24,'2026정산'!$C:$C,"운영자")</f>
        <v>120000</v>
      </c>
      <c r="N24" s="1308">
        <f>SUMIFS('2026정산'!AL:AL,'2026정산'!$A:$A,$B24,'2026정산'!$C:$C,"운영자")</f>
        <v>120000</v>
      </c>
      <c r="O24" s="1309">
        <f t="shared" si="1"/>
        <v>12404435</v>
      </c>
      <c r="P24" s="1310">
        <f t="shared" si="2"/>
        <v>1033702.917</v>
      </c>
      <c r="Q24" s="1311"/>
    </row>
    <row r="25">
      <c r="A25" s="1306" t="s">
        <v>1259</v>
      </c>
      <c r="B25" s="1307" t="s">
        <v>2255</v>
      </c>
      <c r="C25" s="1308">
        <f>SUMIFS('2026정산'!E:E,'2026정산'!$A:$A,$B25,'2026정산'!$C:$C,"운영자")</f>
        <v>260000</v>
      </c>
      <c r="D25" s="1308">
        <f>SUMIFS('2026정산'!H:H,'2026정산'!$A:$A,$B25,'2026정산'!$C:$C,"운영자")</f>
        <v>198213</v>
      </c>
      <c r="E25" s="1308">
        <f>SUMIFS('2026정산'!K:K,'2026정산'!$A:$A,$B25,'2026정산'!$C:$C,"운영자")</f>
        <v>770000</v>
      </c>
      <c r="F25" s="1308">
        <f>SUMIFS('2026정산'!N:N,'2026정산'!$A:$A,$B25,'2026정산'!$C:$C,"운영자")</f>
        <v>770000</v>
      </c>
      <c r="G25" s="1308">
        <f>SUMIFS('2026정산'!Q:Q,'2026정산'!$A:$A,$B25,'2026정산'!$C:$C,"운영자")</f>
        <v>770000</v>
      </c>
      <c r="H25" s="1308">
        <f>SUMIFS('2026정산'!T:T,'2026정산'!$A:$A,$B25,'2026정산'!$C:$C,"운영자")</f>
        <v>770000</v>
      </c>
      <c r="I25" s="1308">
        <f>SUMIFS('2026정산'!W:W,'2026정산'!$A:$A,$B25,'2026정산'!$C:$C,"운영자")</f>
        <v>770000</v>
      </c>
      <c r="J25" s="1308">
        <f>SUMIFS('2026정산'!Z:Z,'2026정산'!$A:$A,$B25,'2026정산'!$C:$C,"운영자")</f>
        <v>770000</v>
      </c>
      <c r="K25" s="1308">
        <f>SUMIFS('2026정산'!AC:AC,'2026정산'!$A:$A,$B25,'2026정산'!$C:$C,"운영자")</f>
        <v>770000</v>
      </c>
      <c r="L25" s="1308">
        <f>SUMIFS('2026정산'!AF:AF,'2026정산'!$A:$A,$B25,'2026정산'!$C:$C,"운영자")</f>
        <v>770000</v>
      </c>
      <c r="M25" s="1308">
        <f>SUMIFS('2026정산'!AI:AI,'2026정산'!$A:$A,$B25,'2026정산'!$C:$C,"운영자")</f>
        <v>770000</v>
      </c>
      <c r="N25" s="1308">
        <f>SUMIFS('2026정산'!AL:AL,'2026정산'!$A:$A,$B25,'2026정산'!$C:$C,"운영자")</f>
        <v>770000</v>
      </c>
      <c r="O25" s="1309">
        <f t="shared" si="1"/>
        <v>8158213</v>
      </c>
      <c r="P25" s="1310">
        <f t="shared" si="2"/>
        <v>679851.0833</v>
      </c>
      <c r="Q25" s="1311"/>
    </row>
    <row r="26">
      <c r="A26" s="1306" t="s">
        <v>1259</v>
      </c>
      <c r="B26" s="1307" t="s">
        <v>2261</v>
      </c>
      <c r="C26" s="1308">
        <f>SUMIFS('2026정산'!E:E,'2026정산'!$A:$A,$B26,'2026정산'!$C:$C,"운영자")</f>
        <v>720000</v>
      </c>
      <c r="D26" s="1308">
        <f>SUMIFS('2026정산'!H:H,'2026정산'!$A:$A,$B26,'2026정산'!$C:$C,"운영자")</f>
        <v>561071</v>
      </c>
      <c r="E26" s="1308">
        <f>SUMIFS('2026정산'!K:K,'2026정산'!$A:$A,$B26,'2026정산'!$C:$C,"운영자")</f>
        <v>790000</v>
      </c>
      <c r="F26" s="1308">
        <f>SUMIFS('2026정산'!N:N,'2026정산'!$A:$A,$B26,'2026정산'!$C:$C,"운영자")</f>
        <v>790000</v>
      </c>
      <c r="G26" s="1308">
        <f>SUMIFS('2026정산'!Q:Q,'2026정산'!$A:$A,$B26,'2026정산'!$C:$C,"운영자")</f>
        <v>790000</v>
      </c>
      <c r="H26" s="1308">
        <f>SUMIFS('2026정산'!T:T,'2026정산'!$A:$A,$B26,'2026정산'!$C:$C,"운영자")</f>
        <v>790000</v>
      </c>
      <c r="I26" s="1308">
        <f>SUMIFS('2026정산'!W:W,'2026정산'!$A:$A,$B26,'2026정산'!$C:$C,"운영자")</f>
        <v>790000</v>
      </c>
      <c r="J26" s="1308">
        <f>SUMIFS('2026정산'!Z:Z,'2026정산'!$A:$A,$B26,'2026정산'!$C:$C,"운영자")</f>
        <v>790000</v>
      </c>
      <c r="K26" s="1308">
        <f>SUMIFS('2026정산'!AC:AC,'2026정산'!$A:$A,$B26,'2026정산'!$C:$C,"운영자")</f>
        <v>240000</v>
      </c>
      <c r="L26" s="1308">
        <f>SUMIFS('2026정산'!AF:AF,'2026정산'!$A:$A,$B26,'2026정산'!$C:$C,"운영자")</f>
        <v>240000</v>
      </c>
      <c r="M26" s="1308">
        <f>SUMIFS('2026정산'!AI:AI,'2026정산'!$A:$A,$B26,'2026정산'!$C:$C,"운영자")</f>
        <v>240000</v>
      </c>
      <c r="N26" s="1308">
        <f>SUMIFS('2026정산'!AL:AL,'2026정산'!$A:$A,$B26,'2026정산'!$C:$C,"운영자")</f>
        <v>240000</v>
      </c>
      <c r="O26" s="1309">
        <f t="shared" si="1"/>
        <v>6981071</v>
      </c>
      <c r="P26" s="1310">
        <f t="shared" si="2"/>
        <v>581755.9167</v>
      </c>
      <c r="Q26" s="1311"/>
    </row>
    <row r="27">
      <c r="A27" s="1306" t="s">
        <v>1259</v>
      </c>
      <c r="B27" s="1307" t="s">
        <v>2268</v>
      </c>
      <c r="C27" s="1308">
        <f>SUMIFS('2026정산'!E:E,'2026정산'!$A:$A,$B27,'2026정산'!$C:$C,"운영자")</f>
        <v>700000</v>
      </c>
      <c r="D27" s="1308">
        <f>SUMIFS('2026정산'!H:H,'2026정산'!$A:$A,$B27,'2026정산'!$C:$C,"운영자")</f>
        <v>1145357</v>
      </c>
      <c r="E27" s="1308">
        <f>SUMIFS('2026정산'!K:K,'2026정산'!$A:$A,$B27,'2026정산'!$C:$C,"운영자")</f>
        <v>1000000</v>
      </c>
      <c r="F27" s="1308">
        <f>SUMIFS('2026정산'!N:N,'2026정산'!$A:$A,$B27,'2026정산'!$C:$C,"운영자")</f>
        <v>1000000</v>
      </c>
      <c r="G27" s="1308">
        <f>SUMIFS('2026정산'!Q:Q,'2026정산'!$A:$A,$B27,'2026정산'!$C:$C,"운영자")</f>
        <v>1000000</v>
      </c>
      <c r="H27" s="1308">
        <f>SUMIFS('2026정산'!T:T,'2026정산'!$A:$A,$B27,'2026정산'!$C:$C,"운영자")</f>
        <v>1000000</v>
      </c>
      <c r="I27" s="1308">
        <f>SUMIFS('2026정산'!W:W,'2026정산'!$A:$A,$B27,'2026정산'!$C:$C,"운영자")</f>
        <v>1000000</v>
      </c>
      <c r="J27" s="1308">
        <f>SUMIFS('2026정산'!Z:Z,'2026정산'!$A:$A,$B27,'2026정산'!$C:$C,"운영자")</f>
        <v>805161</v>
      </c>
      <c r="K27" s="1308">
        <f>SUMIFS('2026정산'!AC:AC,'2026정산'!$A:$A,$B27,'2026정산'!$C:$C,"운영자")</f>
        <v>310000</v>
      </c>
      <c r="L27" s="1308">
        <f>SUMIFS('2026정산'!AF:AF,'2026정산'!$A:$A,$B27,'2026정산'!$C:$C,"운영자")</f>
        <v>310000</v>
      </c>
      <c r="M27" s="1308">
        <f>SUMIFS('2026정산'!AI:AI,'2026정산'!$A:$A,$B27,'2026정산'!$C:$C,"운영자")</f>
        <v>310000</v>
      </c>
      <c r="N27" s="1308">
        <f>SUMIFS('2026정산'!AL:AL,'2026정산'!$A:$A,$B27,'2026정산'!$C:$C,"운영자")</f>
        <v>310000</v>
      </c>
      <c r="O27" s="1309">
        <f t="shared" si="1"/>
        <v>8890518</v>
      </c>
      <c r="P27" s="1310">
        <f t="shared" si="2"/>
        <v>740876.5</v>
      </c>
      <c r="Q27" s="1311"/>
    </row>
    <row r="28">
      <c r="A28" s="1306" t="s">
        <v>3227</v>
      </c>
      <c r="B28" s="1312" t="s">
        <v>822</v>
      </c>
      <c r="C28" s="1308">
        <f>SUMIFS('2026정산'!E:E,'2026정산'!$A:$A,$B28,'2026정산'!$C:$C,"운영자")</f>
        <v>206000</v>
      </c>
      <c r="D28" s="1308">
        <f>SUMIFS('2026정산'!H:H,'2026정산'!$A:$A,$B28,'2026정산'!$C:$C,"운영자")</f>
        <v>208142.8</v>
      </c>
      <c r="E28" s="1308">
        <f>SUMIFS('2026정산'!K:K,'2026정산'!$A:$A,$B28,'2026정산'!$C:$C,"운영자")</f>
        <v>474967.8</v>
      </c>
      <c r="F28" s="1308">
        <f>SUMIFS('2026정산'!N:N,'2026정산'!$A:$A,$B28,'2026정산'!$C:$C,"운영자")</f>
        <v>378000</v>
      </c>
      <c r="G28" s="1308">
        <f>SUMIFS('2026정산'!Q:Q,'2026정산'!$A:$A,$B28,'2026정산'!$C:$C,"운영자")</f>
        <v>378000</v>
      </c>
      <c r="H28" s="1308">
        <f>SUMIFS('2026정산'!T:T,'2026정산'!$A:$A,$B28,'2026정산'!$C:$C,"운영자")</f>
        <v>378000</v>
      </c>
      <c r="I28" s="1308">
        <f>SUMIFS('2026정산'!W:W,'2026정산'!$A:$A,$B28,'2026정산'!$C:$C,"운영자")</f>
        <v>378000</v>
      </c>
      <c r="J28" s="1308">
        <f>SUMIFS('2026정산'!Z:Z,'2026정산'!$A:$A,$B28,'2026정산'!$C:$C,"운영자")</f>
        <v>288193.6</v>
      </c>
      <c r="K28" s="1308">
        <f>SUMIFS('2026정산'!AC:AC,'2026정산'!$A:$A,$B28,'2026정산'!$C:$C,"운영자")</f>
        <v>234000</v>
      </c>
      <c r="L28" s="1308">
        <f>SUMIFS('2026정산'!AF:AF,'2026정산'!$A:$A,$B28,'2026정산'!$C:$C,"운영자")</f>
        <v>234000</v>
      </c>
      <c r="M28" s="1308">
        <f>SUMIFS('2026정산'!AI:AI,'2026정산'!$A:$A,$B28,'2026정산'!$C:$C,"운영자")</f>
        <v>234000</v>
      </c>
      <c r="N28" s="1308">
        <f>SUMIFS('2026정산'!AL:AL,'2026정산'!$A:$A,$B28,'2026정산'!$C:$C,"운영자")</f>
        <v>234000</v>
      </c>
      <c r="O28" s="1309">
        <f t="shared" si="1"/>
        <v>3625304.2</v>
      </c>
      <c r="P28" s="1310">
        <f t="shared" si="2"/>
        <v>302108.6833</v>
      </c>
      <c r="Q28" s="1311"/>
    </row>
    <row r="29">
      <c r="A29" s="1306" t="s">
        <v>3227</v>
      </c>
      <c r="B29" s="1312" t="s">
        <v>848</v>
      </c>
      <c r="C29" s="1308">
        <f>SUMIFS('2026정산'!E:E,'2026정산'!$A:$A,$B29,'2026정산'!$C:$C,"운영자")</f>
        <v>395220</v>
      </c>
      <c r="D29" s="1308">
        <f>SUMIFS('2026정산'!H:H,'2026정산'!$A:$A,$B29,'2026정산'!$C:$C,"운영자")</f>
        <v>419220</v>
      </c>
      <c r="E29" s="1308">
        <f>SUMIFS('2026정산'!K:K,'2026정산'!$A:$A,$B29,'2026정산'!$C:$C,"운영자")</f>
        <v>459220</v>
      </c>
      <c r="F29" s="1308">
        <f>SUMIFS('2026정산'!N:N,'2026정산'!$A:$A,$B29,'2026정산'!$C:$C,"운영자")</f>
        <v>459220</v>
      </c>
      <c r="G29" s="1308">
        <f>SUMIFS('2026정산'!Q:Q,'2026정산'!$A:$A,$B29,'2026정산'!$C:$C,"운영자")</f>
        <v>459220</v>
      </c>
      <c r="H29" s="1308">
        <f>SUMIFS('2026정산'!T:T,'2026정산'!$A:$A,$B29,'2026정산'!$C:$C,"운영자")</f>
        <v>459220</v>
      </c>
      <c r="I29" s="1308">
        <f>SUMIFS('2026정산'!W:W,'2026정산'!$A:$A,$B29,'2026정산'!$C:$C,"운영자")</f>
        <v>459220</v>
      </c>
      <c r="J29" s="1308">
        <f>SUMIFS('2026정산'!Z:Z,'2026정산'!$A:$A,$B29,'2026정산'!$C:$C,"운영자")</f>
        <v>261742</v>
      </c>
      <c r="K29" s="1308">
        <f>SUMIFS('2026정산'!AC:AC,'2026정산'!$A:$A,$B29,'2026정산'!$C:$C,"운영자")</f>
        <v>194000</v>
      </c>
      <c r="L29" s="1308">
        <f>SUMIFS('2026정산'!AF:AF,'2026정산'!$A:$A,$B29,'2026정산'!$C:$C,"운영자")</f>
        <v>194000</v>
      </c>
      <c r="M29" s="1308">
        <f>SUMIFS('2026정산'!AI:AI,'2026정산'!$A:$A,$B29,'2026정산'!$C:$C,"운영자")</f>
        <v>194000</v>
      </c>
      <c r="N29" s="1308">
        <f>SUMIFS('2026정산'!AL:AL,'2026정산'!$A:$A,$B29,'2026정산'!$C:$C,"운영자")</f>
        <v>194000</v>
      </c>
      <c r="O29" s="1309">
        <f t="shared" si="1"/>
        <v>4148282</v>
      </c>
      <c r="P29" s="1310">
        <f t="shared" si="2"/>
        <v>345690.1667</v>
      </c>
      <c r="Q29" s="1311"/>
    </row>
    <row r="30">
      <c r="A30" s="1306" t="s">
        <v>1259</v>
      </c>
      <c r="B30" s="1307" t="s">
        <v>3538</v>
      </c>
      <c r="C30" s="1308">
        <f>SUMIFS('2026정산'!E:E,'2026정산'!$A:$A,$B30,'2026정산'!$C:$C,"운영자")</f>
        <v>0</v>
      </c>
      <c r="D30" s="1308">
        <f>SUMIFS('2026정산'!H:H,'2026정산'!$A:$A,$B30,'2026정산'!$C:$C,"운영자")</f>
        <v>0</v>
      </c>
      <c r="E30" s="1308">
        <f>SUMIFS('2026정산'!K:K,'2026정산'!$A:$A,$B30,'2026정산'!$C:$C,"운영자")</f>
        <v>0</v>
      </c>
      <c r="F30" s="1308">
        <f>SUMIFS('2026정산'!N:N,'2026정산'!$A:$A,$B30,'2026정산'!$C:$C,"운영자")</f>
        <v>0</v>
      </c>
      <c r="G30" s="1308">
        <f>SUMIFS('2026정산'!Q:Q,'2026정산'!$A:$A,$B30,'2026정산'!$C:$C,"운영자")</f>
        <v>0</v>
      </c>
      <c r="H30" s="1308">
        <f>SUMIFS('2026정산'!T:T,'2026정산'!$A:$A,$B30,'2026정산'!$C:$C,"운영자")</f>
        <v>0</v>
      </c>
      <c r="I30" s="1308">
        <f>SUMIFS('2026정산'!W:W,'2026정산'!$A:$A,$B30,'2026정산'!$C:$C,"운영자")</f>
        <v>0</v>
      </c>
      <c r="J30" s="1308">
        <f>SUMIFS('2026정산'!Z:Z,'2026정산'!$A:$A,$B30,'2026정산'!$C:$C,"운영자")</f>
        <v>0</v>
      </c>
      <c r="K30" s="1308">
        <f>SUMIFS('2026정산'!AC:AC,'2026정산'!$A:$A,$B30,'2026정산'!$C:$C,"운영자")</f>
        <v>0</v>
      </c>
      <c r="L30" s="1308">
        <f>SUMIFS('2026정산'!AF:AF,'2026정산'!$A:$A,$B30,'2026정산'!$C:$C,"운영자")</f>
        <v>0</v>
      </c>
      <c r="M30" s="1308">
        <f>SUMIFS('2026정산'!AI:AI,'2026정산'!$A:$A,$B30,'2026정산'!$C:$C,"운영자")</f>
        <v>0</v>
      </c>
      <c r="N30" s="1308">
        <f>SUMIFS('2026정산'!AL:AL,'2026정산'!$A:$A,$B30,'2026정산'!$C:$C,"운영자")</f>
        <v>0</v>
      </c>
      <c r="O30" s="1309">
        <f t="shared" si="1"/>
        <v>0</v>
      </c>
      <c r="P30" s="1310">
        <f t="shared" si="2"/>
        <v>0</v>
      </c>
      <c r="Q30" s="1311"/>
    </row>
    <row r="31">
      <c r="A31" s="1306" t="s">
        <v>1259</v>
      </c>
      <c r="B31" s="1307" t="s">
        <v>2298</v>
      </c>
      <c r="C31" s="1308">
        <f>SUMIFS('2026정산'!E:E,'2026정산'!$A:$A,$B31,'2026정산'!$C:$C,"운영자")</f>
        <v>1020000</v>
      </c>
      <c r="D31" s="1308">
        <f>SUMIFS('2026정산'!H:H,'2026정산'!$A:$A,$B31,'2026정산'!$C:$C,"운영자")</f>
        <v>840000</v>
      </c>
      <c r="E31" s="1308">
        <f>SUMIFS('2026정산'!K:K,'2026정산'!$A:$A,$B31,'2026정산'!$C:$C,"운영자")</f>
        <v>970000</v>
      </c>
      <c r="F31" s="1308">
        <f>SUMIFS('2026정산'!N:N,'2026정산'!$A:$A,$B31,'2026정산'!$C:$C,"운영자")</f>
        <v>970000</v>
      </c>
      <c r="G31" s="1308">
        <f>SUMIFS('2026정산'!Q:Q,'2026정산'!$A:$A,$B31,'2026정산'!$C:$C,"운영자")</f>
        <v>970000</v>
      </c>
      <c r="H31" s="1308">
        <f>SUMIFS('2026정산'!T:T,'2026정산'!$A:$A,$B31,'2026정산'!$C:$C,"운영자")</f>
        <v>380000</v>
      </c>
      <c r="I31" s="1308">
        <f>SUMIFS('2026정산'!W:W,'2026정산'!$A:$A,$B31,'2026정산'!$C:$C,"운영자")</f>
        <v>380000</v>
      </c>
      <c r="J31" s="1308">
        <f>SUMIFS('2026정산'!Z:Z,'2026정산'!$A:$A,$B31,'2026정산'!$C:$C,"운영자")</f>
        <v>380000</v>
      </c>
      <c r="K31" s="1308">
        <f>SUMIFS('2026정산'!AC:AC,'2026정산'!$A:$A,$B31,'2026정산'!$C:$C,"운영자")</f>
        <v>380000</v>
      </c>
      <c r="L31" s="1308">
        <f>SUMIFS('2026정산'!AF:AF,'2026정산'!$A:$A,$B31,'2026정산'!$C:$C,"운영자")</f>
        <v>380000</v>
      </c>
      <c r="M31" s="1308">
        <f>SUMIFS('2026정산'!AI:AI,'2026정산'!$A:$A,$B31,'2026정산'!$C:$C,"운영자")</f>
        <v>380000</v>
      </c>
      <c r="N31" s="1308">
        <f>SUMIFS('2026정산'!AL:AL,'2026정산'!$A:$A,$B31,'2026정산'!$C:$C,"운영자")</f>
        <v>380000</v>
      </c>
      <c r="O31" s="1309">
        <f t="shared" si="1"/>
        <v>7430000</v>
      </c>
      <c r="P31" s="1310">
        <f t="shared" si="2"/>
        <v>619166.6667</v>
      </c>
      <c r="Q31" s="1311"/>
    </row>
    <row r="32">
      <c r="A32" s="1306" t="s">
        <v>1259</v>
      </c>
      <c r="B32" s="1307" t="s">
        <v>2306</v>
      </c>
      <c r="C32" s="1308">
        <f>SUMIFS('2026정산'!E:E,'2026정산'!$A:$A,$B32,'2026정산'!$C:$C,"운영자")</f>
        <v>970000</v>
      </c>
      <c r="D32" s="1308">
        <f>SUMIFS('2026정산'!H:H,'2026정산'!$A:$A,$B32,'2026정산'!$C:$C,"운영자")</f>
        <v>970000</v>
      </c>
      <c r="E32" s="1308">
        <f>SUMIFS('2026정산'!K:K,'2026정산'!$A:$A,$B32,'2026정산'!$C:$C,"운영자")</f>
        <v>1411290</v>
      </c>
      <c r="F32" s="1308">
        <f>SUMIFS('2026정산'!N:N,'2026정산'!$A:$A,$B32,'2026정산'!$C:$C,"운영자")</f>
        <v>1500000</v>
      </c>
      <c r="G32" s="1308">
        <f>SUMIFS('2026정산'!Q:Q,'2026정산'!$A:$A,$B32,'2026정산'!$C:$C,"운영자")</f>
        <v>940000</v>
      </c>
      <c r="H32" s="1308">
        <f>SUMIFS('2026정산'!T:T,'2026정산'!$A:$A,$B32,'2026정산'!$C:$C,"운영자")</f>
        <v>940000</v>
      </c>
      <c r="I32" s="1308">
        <f>SUMIFS('2026정산'!W:W,'2026정산'!$A:$A,$B32,'2026정산'!$C:$C,"운영자")</f>
        <v>496452</v>
      </c>
      <c r="J32" s="1308">
        <f>SUMIFS('2026정산'!Z:Z,'2026정산'!$A:$A,$B32,'2026정산'!$C:$C,"운영자")</f>
        <v>390000</v>
      </c>
      <c r="K32" s="1308">
        <f>SUMIFS('2026정산'!AC:AC,'2026정산'!$A:$A,$B32,'2026정산'!$C:$C,"운영자")</f>
        <v>390000</v>
      </c>
      <c r="L32" s="1308">
        <f>SUMIFS('2026정산'!AF:AF,'2026정산'!$A:$A,$B32,'2026정산'!$C:$C,"운영자")</f>
        <v>20000</v>
      </c>
      <c r="M32" s="1308">
        <f>SUMIFS('2026정산'!AI:AI,'2026정산'!$A:$A,$B32,'2026정산'!$C:$C,"운영자")</f>
        <v>20000</v>
      </c>
      <c r="N32" s="1308">
        <f>SUMIFS('2026정산'!AL:AL,'2026정산'!$A:$A,$B32,'2026정산'!$C:$C,"운영자")</f>
        <v>20000</v>
      </c>
      <c r="O32" s="1309">
        <f t="shared" si="1"/>
        <v>8067742</v>
      </c>
      <c r="P32" s="1310">
        <f t="shared" si="2"/>
        <v>672311.8333</v>
      </c>
      <c r="Q32" s="1311"/>
    </row>
    <row r="33">
      <c r="A33" s="1306" t="s">
        <v>3227</v>
      </c>
      <c r="B33" s="1312" t="s">
        <v>945</v>
      </c>
      <c r="C33" s="1308">
        <f>SUMIFS('2026정산'!E:E,'2026정산'!$A:$A,$B33,'2026정산'!$C:$C,"운영자")</f>
        <v>303000</v>
      </c>
      <c r="D33" s="1308">
        <f>SUMIFS('2026정산'!H:H,'2026정산'!$A:$A,$B33,'2026정산'!$C:$C,"운영자")</f>
        <v>303000</v>
      </c>
      <c r="E33" s="1308">
        <f>SUMIFS('2026정산'!K:K,'2026정산'!$A:$A,$B33,'2026정산'!$C:$C,"운영자")</f>
        <v>303000</v>
      </c>
      <c r="F33" s="1308">
        <f>SUMIFS('2026정산'!N:N,'2026정산'!$A:$A,$B33,'2026정산'!$C:$C,"운영자")</f>
        <v>303000</v>
      </c>
      <c r="G33" s="1308">
        <f>SUMIFS('2026정산'!Q:Q,'2026정산'!$A:$A,$B33,'2026정산'!$C:$C,"운영자")</f>
        <v>303000</v>
      </c>
      <c r="H33" s="1308">
        <f>SUMIFS('2026정산'!T:T,'2026정산'!$A:$A,$B33,'2026정산'!$C:$C,"운영자")</f>
        <v>303000</v>
      </c>
      <c r="I33" s="1308">
        <f>SUMIFS('2026정산'!W:W,'2026정산'!$A:$A,$B33,'2026정산'!$C:$C,"운영자")</f>
        <v>303000</v>
      </c>
      <c r="J33" s="1308">
        <f>SUMIFS('2026정산'!Z:Z,'2026정산'!$A:$A,$B33,'2026정산'!$C:$C,"운영자")</f>
        <v>273967.8</v>
      </c>
      <c r="K33" s="1308">
        <f>SUMIFS('2026정산'!AC:AC,'2026정산'!$A:$A,$B33,'2026정산'!$C:$C,"운영자")</f>
        <v>-3000</v>
      </c>
      <c r="L33" s="1308">
        <f>SUMIFS('2026정산'!AF:AF,'2026정산'!$A:$A,$B33,'2026정산'!$C:$C,"운영자")</f>
        <v>-3000</v>
      </c>
      <c r="M33" s="1308">
        <f>SUMIFS('2026정산'!AI:AI,'2026정산'!$A:$A,$B33,'2026정산'!$C:$C,"운영자")</f>
        <v>-3000</v>
      </c>
      <c r="N33" s="1308">
        <f>SUMIFS('2026정산'!AL:AL,'2026정산'!$A:$A,$B33,'2026정산'!$C:$C,"운영자")</f>
        <v>-3000</v>
      </c>
      <c r="O33" s="1309">
        <f t="shared" si="1"/>
        <v>2382967.8</v>
      </c>
      <c r="P33" s="1310">
        <f t="shared" si="2"/>
        <v>198580.65</v>
      </c>
      <c r="Q33" s="1311"/>
    </row>
    <row r="34">
      <c r="A34" s="1306" t="s">
        <v>3227</v>
      </c>
      <c r="B34" s="1312" t="s">
        <v>967</v>
      </c>
      <c r="C34" s="1308">
        <f>SUMIFS('2026정산'!E:E,'2026정산'!$A:$A,$B34,'2026정산'!$C:$C,"운영자")</f>
        <v>213000</v>
      </c>
      <c r="D34" s="1308">
        <f>SUMIFS('2026정산'!H:H,'2026정산'!$A:$A,$B34,'2026정산'!$C:$C,"운영자")</f>
        <v>159000</v>
      </c>
      <c r="E34" s="1308">
        <f>SUMIFS('2026정산'!K:K,'2026정산'!$A:$A,$B34,'2026정산'!$C:$C,"운영자")</f>
        <v>87000</v>
      </c>
      <c r="F34" s="1308">
        <f>SUMIFS('2026정산'!N:N,'2026정산'!$A:$A,$B34,'2026정산'!$C:$C,"운영자")</f>
        <v>87000</v>
      </c>
      <c r="G34" s="1308">
        <f>SUMIFS('2026정산'!Q:Q,'2026정산'!$A:$A,$B34,'2026정산'!$C:$C,"운영자")</f>
        <v>87000</v>
      </c>
      <c r="H34" s="1308">
        <f>SUMIFS('2026정산'!T:T,'2026정산'!$A:$A,$B34,'2026정산'!$C:$C,"운영자")</f>
        <v>87000</v>
      </c>
      <c r="I34" s="1308">
        <f>SUMIFS('2026정산'!W:W,'2026정산'!$A:$A,$B34,'2026정산'!$C:$C,"운영자")</f>
        <v>87000</v>
      </c>
      <c r="J34" s="1308">
        <f>SUMIFS('2026정산'!Z:Z,'2026정산'!$A:$A,$B34,'2026정산'!$C:$C,"운영자")</f>
        <v>-69000</v>
      </c>
      <c r="K34" s="1308">
        <f>SUMIFS('2026정산'!AC:AC,'2026정산'!$A:$A,$B34,'2026정산'!$C:$C,"운영자")</f>
        <v>-225000</v>
      </c>
      <c r="L34" s="1308">
        <f>SUMIFS('2026정산'!AF:AF,'2026정산'!$A:$A,$B34,'2026정산'!$C:$C,"운영자")</f>
        <v>-225000</v>
      </c>
      <c r="M34" s="1308">
        <f>SUMIFS('2026정산'!AI:AI,'2026정산'!$A:$A,$B34,'2026정산'!$C:$C,"운영자")</f>
        <v>-225000</v>
      </c>
      <c r="N34" s="1308">
        <f>SUMIFS('2026정산'!AL:AL,'2026정산'!$A:$A,$B34,'2026정산'!$C:$C,"운영자")</f>
        <v>-225000</v>
      </c>
      <c r="O34" s="1309">
        <f t="shared" si="1"/>
        <v>-162000</v>
      </c>
      <c r="P34" s="1310">
        <f t="shared" si="2"/>
        <v>-13500</v>
      </c>
      <c r="Q34" s="1311"/>
    </row>
    <row r="35">
      <c r="A35" s="1306" t="s">
        <v>3227</v>
      </c>
      <c r="B35" s="1312" t="s">
        <v>986</v>
      </c>
      <c r="C35" s="1308">
        <f>SUMIFS('2026정산'!E:E,'2026정산'!$A:$A,$B35,'2026정산'!$C:$C,"운영자")</f>
        <v>1090000</v>
      </c>
      <c r="D35" s="1308">
        <f>SUMIFS('2026정산'!H:H,'2026정산'!$A:$A,$B35,'2026정산'!$C:$C,"운영자")</f>
        <v>1164286</v>
      </c>
      <c r="E35" s="1308">
        <f>SUMIFS('2026정산'!K:K,'2026정산'!$A:$A,$B35,'2026정산'!$C:$C,"운영자")</f>
        <v>869677</v>
      </c>
      <c r="F35" s="1308">
        <f>SUMIFS('2026정산'!N:N,'2026정산'!$A:$A,$B35,'2026정산'!$C:$C,"운영자")</f>
        <v>1100000</v>
      </c>
      <c r="G35" s="1308">
        <f>SUMIFS('2026정산'!Q:Q,'2026정산'!$A:$A,$B35,'2026정산'!$C:$C,"운영자")</f>
        <v>1100000</v>
      </c>
      <c r="H35" s="1308">
        <f>SUMIFS('2026정산'!T:T,'2026정산'!$A:$A,$B35,'2026정산'!$C:$C,"운영자")</f>
        <v>680000</v>
      </c>
      <c r="I35" s="1308">
        <f>SUMIFS('2026정산'!W:W,'2026정산'!$A:$A,$B35,'2026정산'!$C:$C,"운영자")</f>
        <v>680000</v>
      </c>
      <c r="J35" s="1308">
        <f>SUMIFS('2026정산'!Z:Z,'2026정산'!$A:$A,$B35,'2026정산'!$C:$C,"운영자")</f>
        <v>579355</v>
      </c>
      <c r="K35" s="1308">
        <f>SUMIFS('2026정산'!AC:AC,'2026정산'!$A:$A,$B35,'2026정산'!$C:$C,"운영자")</f>
        <v>-22000</v>
      </c>
      <c r="L35" s="1308">
        <f>SUMIFS('2026정산'!AF:AF,'2026정산'!$A:$A,$B35,'2026정산'!$C:$C,"운영자")</f>
        <v>-260000</v>
      </c>
      <c r="M35" s="1308">
        <f>SUMIFS('2026정산'!AI:AI,'2026정산'!$A:$A,$B35,'2026정산'!$C:$C,"운영자")</f>
        <v>-260000</v>
      </c>
      <c r="N35" s="1308">
        <f>SUMIFS('2026정산'!AL:AL,'2026정산'!$A:$A,$B35,'2026정산'!$C:$C,"운영자")</f>
        <v>-260000</v>
      </c>
      <c r="O35" s="1309">
        <f t="shared" si="1"/>
        <v>6461318</v>
      </c>
      <c r="P35" s="1310">
        <f t="shared" si="2"/>
        <v>538443.1667</v>
      </c>
      <c r="Q35" s="1311"/>
    </row>
    <row r="36">
      <c r="A36" s="1306" t="s">
        <v>3227</v>
      </c>
      <c r="B36" s="1312" t="s">
        <v>1006</v>
      </c>
      <c r="C36" s="1308">
        <f>SUMIFS('2026정산'!E:E,'2026정산'!$A:$A,$B36,'2026정산'!$C:$C,"운영자")</f>
        <v>710000</v>
      </c>
      <c r="D36" s="1308">
        <f>SUMIFS('2026정산'!H:H,'2026정산'!$A:$A,$B36,'2026정산'!$C:$C,"운영자")</f>
        <v>710000</v>
      </c>
      <c r="E36" s="1308">
        <f>SUMIFS('2026정산'!K:K,'2026정산'!$A:$A,$B36,'2026정산'!$C:$C,"운영자")</f>
        <v>260000</v>
      </c>
      <c r="F36" s="1308">
        <f>SUMIFS('2026정산'!N:N,'2026정산'!$A:$A,$B36,'2026정산'!$C:$C,"운영자")</f>
        <v>260000</v>
      </c>
      <c r="G36" s="1308">
        <f>SUMIFS('2026정산'!Q:Q,'2026정산'!$A:$A,$B36,'2026정산'!$C:$C,"운영자")</f>
        <v>260000</v>
      </c>
      <c r="H36" s="1308">
        <f>SUMIFS('2026정산'!T:T,'2026정산'!$A:$A,$B36,'2026정산'!$C:$C,"운영자")</f>
        <v>260000</v>
      </c>
      <c r="I36" s="1308">
        <f>SUMIFS('2026정산'!W:W,'2026정산'!$A:$A,$B36,'2026정산'!$C:$C,"운영자")</f>
        <v>260000</v>
      </c>
      <c r="J36" s="1308">
        <f>SUMIFS('2026정산'!Z:Z,'2026정산'!$A:$A,$B36,'2026정산'!$C:$C,"운영자")</f>
        <v>260000</v>
      </c>
      <c r="K36" s="1308">
        <f>SUMIFS('2026정산'!AC:AC,'2026정산'!$A:$A,$B36,'2026정산'!$C:$C,"운영자")</f>
        <v>260000</v>
      </c>
      <c r="L36" s="1308">
        <f>SUMIFS('2026정산'!AF:AF,'2026정산'!$A:$A,$B36,'2026정산'!$C:$C,"운영자")</f>
        <v>-250000</v>
      </c>
      <c r="M36" s="1308">
        <f>SUMIFS('2026정산'!AI:AI,'2026정산'!$A:$A,$B36,'2026정산'!$C:$C,"운영자")</f>
        <v>-250000</v>
      </c>
      <c r="N36" s="1308">
        <f>SUMIFS('2026정산'!AL:AL,'2026정산'!$A:$A,$B36,'2026정산'!$C:$C,"운영자")</f>
        <v>-250000</v>
      </c>
      <c r="O36" s="1309">
        <f t="shared" si="1"/>
        <v>2490000</v>
      </c>
      <c r="P36" s="1310">
        <f t="shared" si="2"/>
        <v>207500</v>
      </c>
      <c r="Q36" s="1311"/>
    </row>
    <row r="37">
      <c r="A37" s="1306" t="s">
        <v>3228</v>
      </c>
      <c r="B37" s="1312" t="s">
        <v>1021</v>
      </c>
      <c r="C37" s="1308">
        <f>SUMIFS('2026정산'!E:E,'2026정산'!$A:$A,$B37,'2026정산'!$C:$C,"운영자")</f>
        <v>-62000</v>
      </c>
      <c r="D37" s="1308">
        <f>SUMIFS('2026정산'!H:H,'2026정산'!$A:$A,$B37,'2026정산'!$C:$C,"운영자")</f>
        <v>438000</v>
      </c>
      <c r="E37" s="1308">
        <f>SUMIFS('2026정산'!K:K,'2026정산'!$A:$A,$B37,'2026정산'!$C:$C,"운영자")</f>
        <v>53484</v>
      </c>
      <c r="F37" s="1308">
        <f>SUMIFS('2026정산'!N:N,'2026정산'!$A:$A,$B37,'2026정산'!$C:$C,"운영자")</f>
        <v>123000</v>
      </c>
      <c r="G37" s="1308">
        <f>SUMIFS('2026정산'!Q:Q,'2026정산'!$A:$A,$B37,'2026정산'!$C:$C,"운영자")</f>
        <v>-132000</v>
      </c>
      <c r="H37" s="1308">
        <f>SUMIFS('2026정산'!T:T,'2026정산'!$A:$A,$B37,'2026정산'!$C:$C,"운영자")</f>
        <v>-132000</v>
      </c>
      <c r="I37" s="1308">
        <f>SUMIFS('2026정산'!W:W,'2026정산'!$A:$A,$B37,'2026정산'!$C:$C,"운영자")</f>
        <v>-132000</v>
      </c>
      <c r="J37" s="1308">
        <f>SUMIFS('2026정산'!Z:Z,'2026정산'!$A:$A,$B37,'2026정산'!$C:$C,"운영자")</f>
        <v>-132000</v>
      </c>
      <c r="K37" s="1308">
        <f>SUMIFS('2026정산'!AC:AC,'2026정산'!$A:$A,$B37,'2026정산'!$C:$C,"운영자")</f>
        <v>-132000</v>
      </c>
      <c r="L37" s="1308">
        <f>SUMIFS('2026정산'!AF:AF,'2026정산'!$A:$A,$B37,'2026정산'!$C:$C,"운영자")</f>
        <v>-132000</v>
      </c>
      <c r="M37" s="1308">
        <f>SUMIFS('2026정산'!AI:AI,'2026정산'!$A:$A,$B37,'2026정산'!$C:$C,"운영자")</f>
        <v>-132000</v>
      </c>
      <c r="N37" s="1308">
        <f>SUMIFS('2026정산'!AL:AL,'2026정산'!$A:$A,$B37,'2026정산'!$C:$C,"운영자")</f>
        <v>-132000</v>
      </c>
      <c r="O37" s="1309">
        <f t="shared" si="1"/>
        <v>-503516</v>
      </c>
      <c r="P37" s="1310">
        <f t="shared" si="2"/>
        <v>-41959.66667</v>
      </c>
      <c r="Q37" s="1311"/>
    </row>
    <row r="38">
      <c r="A38" s="1306" t="s">
        <v>3227</v>
      </c>
      <c r="B38" s="1307" t="s">
        <v>1041</v>
      </c>
      <c r="C38" s="1308">
        <f>SUMIFS('2026정산'!E:E,'2026정산'!$A:$A,$B38,'2026정산'!$C:$C,"운영자")</f>
        <v>267000</v>
      </c>
      <c r="D38" s="1308">
        <f>SUMIFS('2026정산'!H:H,'2026정산'!$A:$A,$B38,'2026정산'!$C:$C,"운영자")</f>
        <v>267000</v>
      </c>
      <c r="E38" s="1308">
        <f>SUMIFS('2026정산'!K:K,'2026정산'!$A:$A,$B38,'2026정산'!$C:$C,"운영자")</f>
        <v>267000</v>
      </c>
      <c r="F38" s="1308">
        <f>SUMIFS('2026정산'!N:N,'2026정산'!$A:$A,$B38,'2026정산'!$C:$C,"운영자")</f>
        <v>267000</v>
      </c>
      <c r="G38" s="1308">
        <f>SUMIFS('2026정산'!Q:Q,'2026정산'!$A:$A,$B38,'2026정산'!$C:$C,"운영자")</f>
        <v>267000</v>
      </c>
      <c r="H38" s="1308">
        <f>SUMIFS('2026정산'!T:T,'2026정산'!$A:$A,$B38,'2026정산'!$C:$C,"운영자")</f>
        <v>126000</v>
      </c>
      <c r="I38" s="1308">
        <f>SUMIFS('2026정산'!W:W,'2026정산'!$A:$A,$B38,'2026정산'!$C:$C,"운영자")</f>
        <v>126000</v>
      </c>
      <c r="J38" s="1308">
        <f>SUMIFS('2026정산'!Z:Z,'2026정산'!$A:$A,$B38,'2026정산'!$C:$C,"운영자")</f>
        <v>126000</v>
      </c>
      <c r="K38" s="1308">
        <f>SUMIFS('2026정산'!AC:AC,'2026정산'!$A:$A,$B38,'2026정산'!$C:$C,"운영자")</f>
        <v>-9000</v>
      </c>
      <c r="L38" s="1308">
        <f>SUMIFS('2026정산'!AF:AF,'2026정산'!$A:$A,$B38,'2026정산'!$C:$C,"운영자")</f>
        <v>-9000</v>
      </c>
      <c r="M38" s="1308">
        <f>SUMIFS('2026정산'!AI:AI,'2026정산'!$A:$A,$B38,'2026정산'!$C:$C,"운영자")</f>
        <v>-9000</v>
      </c>
      <c r="N38" s="1308">
        <f>SUMIFS('2026정산'!AL:AL,'2026정산'!$A:$A,$B38,'2026정산'!$C:$C,"운영자")</f>
        <v>-9000</v>
      </c>
      <c r="O38" s="1309">
        <f t="shared" si="1"/>
        <v>1677000</v>
      </c>
      <c r="P38" s="1310">
        <f t="shared" si="2"/>
        <v>139750</v>
      </c>
      <c r="Q38" s="1311"/>
    </row>
    <row r="39">
      <c r="A39" s="1306" t="s">
        <v>1259</v>
      </c>
      <c r="B39" s="1307" t="s">
        <v>2344</v>
      </c>
      <c r="C39" s="1308">
        <f>SUMIFS('2026정산'!E:E,'2026정산'!$A:$A,$B39,'2026정산'!$C:$C,"운영자")</f>
        <v>418000</v>
      </c>
      <c r="D39" s="1308">
        <f>SUMIFS('2026정산'!H:H,'2026정산'!$A:$A,$B39,'2026정산'!$C:$C,"운영자")</f>
        <v>579857.08</v>
      </c>
      <c r="E39" s="1308">
        <f>SUMIFS('2026정산'!K:K,'2026정산'!$A:$A,$B39,'2026정산'!$C:$C,"운영자")</f>
        <v>585200</v>
      </c>
      <c r="F39" s="1308">
        <f>SUMIFS('2026정산'!N:N,'2026정산'!$A:$A,$B39,'2026정산'!$C:$C,"운영자")</f>
        <v>585200</v>
      </c>
      <c r="G39" s="1308">
        <f>SUMIFS('2026정산'!Q:Q,'2026정산'!$A:$A,$B39,'2026정산'!$C:$C,"운영자")</f>
        <v>585200</v>
      </c>
      <c r="H39" s="1308">
        <f>SUMIFS('2026정산'!T:T,'2026정산'!$A:$A,$B39,'2026정산'!$C:$C,"운영자")</f>
        <v>585200</v>
      </c>
      <c r="I39" s="1308">
        <f>SUMIFS('2026정산'!W:W,'2026정산'!$A:$A,$B39,'2026정산'!$C:$C,"운영자")</f>
        <v>585200</v>
      </c>
      <c r="J39" s="1308">
        <f>SUMIFS('2026정산'!Z:Z,'2026정산'!$A:$A,$B39,'2026정산'!$C:$C,"운영자")</f>
        <v>546483.52</v>
      </c>
      <c r="K39" s="1308">
        <f>SUMIFS('2026정산'!AC:AC,'2026정산'!$A:$A,$B39,'2026정산'!$C:$C,"운영자")</f>
        <v>391600</v>
      </c>
      <c r="L39" s="1308">
        <f>SUMIFS('2026정산'!AF:AF,'2026정산'!$A:$A,$B39,'2026정산'!$C:$C,"운영자")</f>
        <v>391600</v>
      </c>
      <c r="M39" s="1308">
        <f>SUMIFS('2026정산'!AI:AI,'2026정산'!$A:$A,$B39,'2026정산'!$C:$C,"운영자")</f>
        <v>391600</v>
      </c>
      <c r="N39" s="1308">
        <f>SUMIFS('2026정산'!AL:AL,'2026정산'!$A:$A,$B39,'2026정산'!$C:$C,"운영자")</f>
        <v>391600</v>
      </c>
      <c r="O39" s="1309">
        <f t="shared" si="1"/>
        <v>6036740.6</v>
      </c>
      <c r="P39" s="1310">
        <f t="shared" si="2"/>
        <v>503061.7167</v>
      </c>
      <c r="Q39" s="1311"/>
    </row>
    <row r="40">
      <c r="A40" s="1306" t="s">
        <v>3537</v>
      </c>
      <c r="B40" s="1312" t="s">
        <v>1093</v>
      </c>
      <c r="C40" s="1308">
        <f>SUMIFS('2026정산'!E:E,'2026정산'!$A:$A,$B40,'2026정산'!$C:$C,"운영자")</f>
        <v>343700</v>
      </c>
      <c r="D40" s="1308">
        <f>SUMIFS('2026정산'!H:H,'2026정산'!$A:$A,$B40,'2026정산'!$C:$C,"운영자")</f>
        <v>357986</v>
      </c>
      <c r="E40" s="1308">
        <f>SUMIFS('2026정산'!K:K,'2026정산'!$A:$A,$B40,'2026정산'!$C:$C,"운영자")</f>
        <v>832700</v>
      </c>
      <c r="F40" s="1308">
        <f>SUMIFS('2026정산'!N:N,'2026정산'!$A:$A,$B40,'2026정산'!$C:$C,"운영자")</f>
        <v>832700</v>
      </c>
      <c r="G40" s="1308">
        <f>SUMIFS('2026정산'!Q:Q,'2026정산'!$A:$A,$B40,'2026정산'!$C:$C,"운영자")</f>
        <v>832700</v>
      </c>
      <c r="H40" s="1308">
        <f>SUMIFS('2026정산'!T:T,'2026정산'!$A:$A,$B40,'2026정산'!$C:$C,"운영자")</f>
        <v>832700</v>
      </c>
      <c r="I40" s="1308">
        <f>SUMIFS('2026정산'!W:W,'2026정산'!$A:$A,$B40,'2026정산'!$C:$C,"운영자")</f>
        <v>832700</v>
      </c>
      <c r="J40" s="1308">
        <f>SUMIFS('2026정산'!Z:Z,'2026정산'!$A:$A,$B40,'2026정산'!$C:$C,"운영자")</f>
        <v>755281</v>
      </c>
      <c r="K40" s="1308">
        <f>SUMIFS('2026정산'!AC:AC,'2026정산'!$A:$A,$B40,'2026정산'!$C:$C,"운영자")</f>
        <v>50000</v>
      </c>
      <c r="L40" s="1308">
        <f>SUMIFS('2026정산'!AF:AF,'2026정산'!$A:$A,$B40,'2026정산'!$C:$C,"운영자")</f>
        <v>50000</v>
      </c>
      <c r="M40" s="1308">
        <f>SUMIFS('2026정산'!AI:AI,'2026정산'!$A:$A,$B40,'2026정산'!$C:$C,"운영자")</f>
        <v>50000</v>
      </c>
      <c r="N40" s="1308">
        <f>SUMIFS('2026정산'!AL:AL,'2026정산'!$A:$A,$B40,'2026정산'!$C:$C,"운영자")</f>
        <v>50000</v>
      </c>
      <c r="O40" s="1309">
        <f t="shared" si="1"/>
        <v>5820467</v>
      </c>
      <c r="P40" s="1310">
        <f t="shared" si="2"/>
        <v>485038.9167</v>
      </c>
      <c r="Q40" s="1311"/>
    </row>
    <row r="41">
      <c r="A41" s="1306" t="s">
        <v>3537</v>
      </c>
      <c r="B41" s="1312" t="s">
        <v>1122</v>
      </c>
      <c r="C41" s="1308">
        <f>SUMIFS('2026정산'!E:E,'2026정산'!$A:$A,$B41,'2026정산'!$C:$C,"운영자")</f>
        <v>730000</v>
      </c>
      <c r="D41" s="1308">
        <f>SUMIFS('2026정산'!H:H,'2026정산'!$A:$A,$B41,'2026정산'!$C:$C,"운영자")</f>
        <v>824643</v>
      </c>
      <c r="E41" s="1308">
        <f>SUMIFS('2026정산'!K:K,'2026정산'!$A:$A,$B41,'2026정산'!$C:$C,"운영자")</f>
        <v>790000</v>
      </c>
      <c r="F41" s="1308">
        <f>SUMIFS('2026정산'!N:N,'2026정산'!$A:$A,$B41,'2026정산'!$C:$C,"운영자")</f>
        <v>790000</v>
      </c>
      <c r="G41" s="1308">
        <f>SUMIFS('2026정산'!Q:Q,'2026정산'!$A:$A,$B41,'2026정산'!$C:$C,"운영자")</f>
        <v>790000</v>
      </c>
      <c r="H41" s="1308">
        <f>SUMIFS('2026정산'!T:T,'2026정산'!$A:$A,$B41,'2026정산'!$C:$C,"운영자")</f>
        <v>790000</v>
      </c>
      <c r="I41" s="1308">
        <f>SUMIFS('2026정산'!W:W,'2026정산'!$A:$A,$B41,'2026정산'!$C:$C,"운영자")</f>
        <v>790000</v>
      </c>
      <c r="J41" s="1308">
        <f>SUMIFS('2026정산'!Z:Z,'2026정산'!$A:$A,$B41,'2026정산'!$C:$C,"운영자")</f>
        <v>681613</v>
      </c>
      <c r="K41" s="1308">
        <f>SUMIFS('2026정산'!AC:AC,'2026정산'!$A:$A,$B41,'2026정산'!$C:$C,"운영자")</f>
        <v>-180000</v>
      </c>
      <c r="L41" s="1308">
        <f>SUMIFS('2026정산'!AF:AF,'2026정산'!$A:$A,$B41,'2026정산'!$C:$C,"운영자")</f>
        <v>-180000</v>
      </c>
      <c r="M41" s="1308">
        <f>SUMIFS('2026정산'!AI:AI,'2026정산'!$A:$A,$B41,'2026정산'!$C:$C,"운영자")</f>
        <v>-180000</v>
      </c>
      <c r="N41" s="1308">
        <f>SUMIFS('2026정산'!AL:AL,'2026정산'!$A:$A,$B41,'2026정산'!$C:$C,"운영자")</f>
        <v>-180000</v>
      </c>
      <c r="O41" s="1309">
        <f t="shared" si="1"/>
        <v>5466256</v>
      </c>
      <c r="P41" s="1310">
        <f t="shared" si="2"/>
        <v>455521.3333</v>
      </c>
      <c r="Q41" s="1311"/>
    </row>
    <row r="42">
      <c r="A42" s="1306" t="s">
        <v>3537</v>
      </c>
      <c r="B42" s="1312" t="s">
        <v>1138</v>
      </c>
      <c r="C42" s="1308">
        <f>SUMIFS('2026정산'!E:E,'2026정산'!$A:$A,$B42,'2026정산'!$C:$C,"운영자")</f>
        <v>539500</v>
      </c>
      <c r="D42" s="1308">
        <f>SUMIFS('2026정산'!H:H,'2026정산'!$A:$A,$B42,'2026정산'!$C:$C,"운영자")</f>
        <v>594143</v>
      </c>
      <c r="E42" s="1308">
        <f>SUMIFS('2026정산'!K:K,'2026정산'!$A:$A,$B42,'2026정산'!$C:$C,"운영자")</f>
        <v>779500</v>
      </c>
      <c r="F42" s="1308">
        <f>SUMIFS('2026정산'!N:N,'2026정산'!$A:$A,$B42,'2026정산'!$C:$C,"운영자")</f>
        <v>779500</v>
      </c>
      <c r="G42" s="1308">
        <f>SUMIFS('2026정산'!Q:Q,'2026정산'!$A:$A,$B42,'2026정산'!$C:$C,"운영자")</f>
        <v>779500</v>
      </c>
      <c r="H42" s="1308">
        <f>SUMIFS('2026정산'!T:T,'2026정산'!$A:$A,$B42,'2026정산'!$C:$C,"운영자")</f>
        <v>779500</v>
      </c>
      <c r="I42" s="1308">
        <f>SUMIFS('2026정산'!W:W,'2026정산'!$A:$A,$B42,'2026정산'!$C:$C,"운영자")</f>
        <v>779500</v>
      </c>
      <c r="J42" s="1308">
        <f>SUMIFS('2026정산'!Z:Z,'2026정산'!$A:$A,$B42,'2026정산'!$C:$C,"운영자")</f>
        <v>698210</v>
      </c>
      <c r="K42" s="1308">
        <f>SUMIFS('2026정산'!AC:AC,'2026정산'!$A:$A,$B42,'2026정산'!$C:$C,"운영자")</f>
        <v>-190500</v>
      </c>
      <c r="L42" s="1308">
        <f>SUMIFS('2026정산'!AF:AF,'2026정산'!$A:$A,$B42,'2026정산'!$C:$C,"운영자")</f>
        <v>-190500</v>
      </c>
      <c r="M42" s="1308">
        <f>SUMIFS('2026정산'!AI:AI,'2026정산'!$A:$A,$B42,'2026정산'!$C:$C,"운영자")</f>
        <v>-190500</v>
      </c>
      <c r="N42" s="1308">
        <f>SUMIFS('2026정산'!AL:AL,'2026정산'!$A:$A,$B42,'2026정산'!$C:$C,"운영자")</f>
        <v>-190500</v>
      </c>
      <c r="O42" s="1309">
        <f t="shared" si="1"/>
        <v>4967353</v>
      </c>
      <c r="P42" s="1310">
        <f t="shared" si="2"/>
        <v>413946.0833</v>
      </c>
      <c r="Q42" s="1311"/>
    </row>
    <row r="43">
      <c r="A43" s="1306" t="s">
        <v>3537</v>
      </c>
      <c r="B43" s="1312" t="s">
        <v>1165</v>
      </c>
      <c r="C43" s="1308">
        <f>SUMIFS('2026정산'!E:E,'2026정산'!$A:$A,$B43,'2026정산'!$C:$C,"운영자")</f>
        <v>450000</v>
      </c>
      <c r="D43" s="1308">
        <f>SUMIFS('2026정산'!H:H,'2026정산'!$A:$A,$B43,'2026정산'!$C:$C,"운영자")</f>
        <v>567857</v>
      </c>
      <c r="E43" s="1308">
        <f>SUMIFS('2026정산'!K:K,'2026정산'!$A:$A,$B43,'2026정산'!$C:$C,"운영자")</f>
        <v>690000</v>
      </c>
      <c r="F43" s="1308">
        <f>SUMIFS('2026정산'!N:N,'2026정산'!$A:$A,$B43,'2026정산'!$C:$C,"운영자")</f>
        <v>690000</v>
      </c>
      <c r="G43" s="1308">
        <f>SUMIFS('2026정산'!Q:Q,'2026정산'!$A:$A,$B43,'2026정산'!$C:$C,"운영자")</f>
        <v>690000</v>
      </c>
      <c r="H43" s="1308">
        <f>SUMIFS('2026정산'!T:T,'2026정산'!$A:$A,$B43,'2026정산'!$C:$C,"운영자")</f>
        <v>690000</v>
      </c>
      <c r="I43" s="1308">
        <f>SUMIFS('2026정산'!W:W,'2026정산'!$A:$A,$B43,'2026정산'!$C:$C,"운영자")</f>
        <v>690000</v>
      </c>
      <c r="J43" s="1308">
        <f>SUMIFS('2026정산'!Z:Z,'2026정산'!$A:$A,$B43,'2026정산'!$C:$C,"운영자")</f>
        <v>690000</v>
      </c>
      <c r="K43" s="1308">
        <f>SUMIFS('2026정산'!AC:AC,'2026정산'!$A:$A,$B43,'2026정산'!$C:$C,"운영자")</f>
        <v>690000</v>
      </c>
      <c r="L43" s="1308">
        <f>SUMIFS('2026정산'!AF:AF,'2026정산'!$A:$A,$B43,'2026정산'!$C:$C,"운영자")</f>
        <v>690000</v>
      </c>
      <c r="M43" s="1308">
        <f>SUMIFS('2026정산'!AI:AI,'2026정산'!$A:$A,$B43,'2026정산'!$C:$C,"운영자")</f>
        <v>690000</v>
      </c>
      <c r="N43" s="1308">
        <f>SUMIFS('2026정산'!AL:AL,'2026정산'!$A:$A,$B43,'2026정산'!$C:$C,"운영자")</f>
        <v>690000</v>
      </c>
      <c r="O43" s="1309">
        <f t="shared" si="1"/>
        <v>7917857</v>
      </c>
      <c r="P43" s="1310">
        <f t="shared" si="2"/>
        <v>659821.4167</v>
      </c>
      <c r="Q43" s="1311"/>
    </row>
    <row r="44">
      <c r="A44" s="1306" t="s">
        <v>3228</v>
      </c>
      <c r="B44" s="1312" t="s">
        <v>1180</v>
      </c>
      <c r="C44" s="1308">
        <f>SUMIFS('2026정산'!E:E,'2026정산'!$A:$A,$B44,'2026정산'!$C:$C,"운영자")</f>
        <v>-100000</v>
      </c>
      <c r="D44" s="1308">
        <f>SUMIFS('2026정산'!H:H,'2026정산'!$A:$A,$B44,'2026정산'!$C:$C,"운영자")</f>
        <v>-535.5</v>
      </c>
      <c r="E44" s="1308">
        <f>SUMIFS('2026정산'!K:K,'2026정산'!$A:$A,$B44,'2026정산'!$C:$C,"운영자")</f>
        <v>500000</v>
      </c>
      <c r="F44" s="1308">
        <f>SUMIFS('2026정산'!N:N,'2026정산'!$A:$A,$B44,'2026정산'!$C:$C,"운영자")</f>
        <v>500000</v>
      </c>
      <c r="G44" s="1308">
        <f>SUMIFS('2026정산'!Q:Q,'2026정산'!$A:$A,$B44,'2026정산'!$C:$C,"운영자")</f>
        <v>500000</v>
      </c>
      <c r="H44" s="1308">
        <f>SUMIFS('2026정산'!T:T,'2026정산'!$A:$A,$B44,'2026정산'!$C:$C,"운영자")</f>
        <v>500000</v>
      </c>
      <c r="I44" s="1308">
        <f>SUMIFS('2026정산'!W:W,'2026정산'!$A:$A,$B44,'2026정산'!$C:$C,"운영자")</f>
        <v>500000</v>
      </c>
      <c r="J44" s="1308">
        <f>SUMIFS('2026정산'!Z:Z,'2026정산'!$A:$A,$B44,'2026정산'!$C:$C,"운영자")</f>
        <v>432258</v>
      </c>
      <c r="K44" s="1308">
        <f>SUMIFS('2026정산'!AC:AC,'2026정산'!$A:$A,$B44,'2026정산'!$C:$C,"운영자")</f>
        <v>-50000</v>
      </c>
      <c r="L44" s="1308">
        <f>SUMIFS('2026정산'!AF:AF,'2026정산'!$A:$A,$B44,'2026정산'!$C:$C,"운영자")</f>
        <v>-50000</v>
      </c>
      <c r="M44" s="1308">
        <f>SUMIFS('2026정산'!AI:AI,'2026정산'!$A:$A,$B44,'2026정산'!$C:$C,"운영자")</f>
        <v>-50000</v>
      </c>
      <c r="N44" s="1308">
        <f>SUMIFS('2026정산'!AL:AL,'2026정산'!$A:$A,$B44,'2026정산'!$C:$C,"운영자")</f>
        <v>-50000</v>
      </c>
      <c r="O44" s="1309">
        <f t="shared" si="1"/>
        <v>2631722.5</v>
      </c>
      <c r="P44" s="1310">
        <f t="shared" si="2"/>
        <v>219310.2083</v>
      </c>
      <c r="Q44" s="1311"/>
    </row>
    <row r="45">
      <c r="A45" s="1306" t="s">
        <v>3228</v>
      </c>
      <c r="B45" s="1307" t="s">
        <v>328</v>
      </c>
      <c r="C45" s="1308">
        <f>SUMIFS('2026정산'!E:E,'2026정산'!$A:$A,$B45,'2026정산'!$C:$C,"운영자")</f>
        <v>550000</v>
      </c>
      <c r="D45" s="1308">
        <f>SUMIFS('2026정산'!H:H,'2026정산'!$A:$A,$B45,'2026정산'!$C:$C,"운영자")</f>
        <v>1189271</v>
      </c>
      <c r="E45" s="1308">
        <f>SUMIFS('2026정산'!K:K,'2026정산'!$A:$A,$B45,'2026정산'!$C:$C,"운영자")</f>
        <v>1140000</v>
      </c>
      <c r="F45" s="1308">
        <f>SUMIFS('2026정산'!N:N,'2026정산'!$A:$A,$B45,'2026정산'!$C:$C,"운영자")</f>
        <v>1140000</v>
      </c>
      <c r="G45" s="1308">
        <f>SUMIFS('2026정산'!Q:Q,'2026정산'!$A:$A,$B45,'2026정산'!$C:$C,"운영자")</f>
        <v>1140000</v>
      </c>
      <c r="H45" s="1308">
        <f>SUMIFS('2026정산'!T:T,'2026정산'!$A:$A,$B45,'2026정산'!$C:$C,"운영자")</f>
        <v>1140000</v>
      </c>
      <c r="I45" s="1308">
        <f>SUMIFS('2026정산'!W:W,'2026정산'!$A:$A,$B45,'2026정산'!$C:$C,"운영자")</f>
        <v>720000</v>
      </c>
      <c r="J45" s="1308">
        <f>SUMIFS('2026정산'!Z:Z,'2026정산'!$A:$A,$B45,'2026정산'!$C:$C,"운영자")</f>
        <v>613548</v>
      </c>
      <c r="K45" s="1308">
        <f>SUMIFS('2026정산'!AC:AC,'2026정산'!$A:$A,$B45,'2026정산'!$C:$C,"운영자")</f>
        <v>-700000</v>
      </c>
      <c r="L45" s="1308">
        <f>SUMIFS('2026정산'!AF:AF,'2026정산'!$A:$A,$B45,'2026정산'!$C:$C,"운영자")</f>
        <v>-700000</v>
      </c>
      <c r="M45" s="1308">
        <f>SUMIFS('2026정산'!AI:AI,'2026정산'!$A:$A,$B45,'2026정산'!$C:$C,"운영자")</f>
        <v>-700000</v>
      </c>
      <c r="N45" s="1308">
        <f>SUMIFS('2026정산'!AL:AL,'2026정산'!$A:$A,$B45,'2026정산'!$C:$C,"운영자")</f>
        <v>-700000</v>
      </c>
      <c r="O45" s="1309">
        <f t="shared" si="1"/>
        <v>4832819</v>
      </c>
      <c r="P45" s="1310">
        <f t="shared" si="2"/>
        <v>402734.9167</v>
      </c>
      <c r="Q45" s="1311"/>
    </row>
    <row r="46">
      <c r="A46" s="1306" t="s">
        <v>3228</v>
      </c>
      <c r="B46" s="1307" t="s">
        <v>1650</v>
      </c>
      <c r="C46" s="1308">
        <f>SUMIFS('2026정산'!E:E,'2026정산'!$A:$A,$B46,'2026정산'!$C:$C,"운영자")</f>
        <v>820000</v>
      </c>
      <c r="D46" s="1308">
        <f>SUMIFS('2026정산'!H:H,'2026정산'!$A:$A,$B46,'2026정산'!$C:$C,"운영자")</f>
        <v>573215</v>
      </c>
      <c r="E46" s="1308">
        <f>SUMIFS('2026정산'!K:K,'2026정산'!$A:$A,$B46,'2026정산'!$C:$C,"운영자")</f>
        <v>1460000</v>
      </c>
      <c r="F46" s="1308">
        <f>SUMIFS('2026정산'!N:N,'2026정산'!$A:$A,$B46,'2026정산'!$C:$C,"운영자")</f>
        <v>900000</v>
      </c>
      <c r="G46" s="1308">
        <f>SUMIFS('2026정산'!Q:Q,'2026정산'!$A:$A,$B46,'2026정산'!$C:$C,"운영자")</f>
        <v>900000</v>
      </c>
      <c r="H46" s="1308">
        <f>SUMIFS('2026정산'!T:T,'2026정산'!$A:$A,$B46,'2026정산'!$C:$C,"운영자")</f>
        <v>900000</v>
      </c>
      <c r="I46" s="1308">
        <f>SUMIFS('2026정산'!W:W,'2026정산'!$A:$A,$B46,'2026정산'!$C:$C,"운영자")</f>
        <v>900000</v>
      </c>
      <c r="J46" s="1308">
        <f>SUMIFS('2026정산'!Z:Z,'2026정산'!$A:$A,$B46,'2026정산'!$C:$C,"운영자")</f>
        <v>803226</v>
      </c>
      <c r="K46" s="1308">
        <f>SUMIFS('2026정산'!AC:AC,'2026정산'!$A:$A,$B46,'2026정산'!$C:$C,"운영자")</f>
        <v>-820000</v>
      </c>
      <c r="L46" s="1308">
        <f>SUMIFS('2026정산'!AF:AF,'2026정산'!$A:$A,$B46,'2026정산'!$C:$C,"운영자")</f>
        <v>-820000</v>
      </c>
      <c r="M46" s="1308">
        <f>SUMIFS('2026정산'!AI:AI,'2026정산'!$A:$A,$B46,'2026정산'!$C:$C,"운영자")</f>
        <v>-820000</v>
      </c>
      <c r="N46" s="1308">
        <f>SUMIFS('2026정산'!AL:AL,'2026정산'!$A:$A,$B46,'2026정산'!$C:$C,"운영자")</f>
        <v>-820000</v>
      </c>
      <c r="O46" s="1309">
        <f t="shared" si="1"/>
        <v>3976441</v>
      </c>
      <c r="P46" s="1310">
        <f t="shared" si="2"/>
        <v>331370.0833</v>
      </c>
      <c r="Q46" s="1311"/>
    </row>
    <row r="47">
      <c r="A47" s="1306" t="s">
        <v>3228</v>
      </c>
      <c r="B47" s="1307" t="s">
        <v>1813</v>
      </c>
      <c r="C47" s="1308">
        <f>SUMIFS('2026정산'!E:E,'2026정산'!$A:$A,$B47,'2026정산'!$C:$C,"운영자")</f>
        <v>1114839</v>
      </c>
      <c r="D47" s="1308">
        <f>SUMIFS('2026정산'!H:H,'2026정산'!$A:$A,$B47,'2026정산'!$C:$C,"운영자")</f>
        <v>1083929</v>
      </c>
      <c r="E47" s="1308">
        <f>SUMIFS('2026정산'!K:K,'2026정산'!$A:$A,$B47,'2026정산'!$C:$C,"운영자")</f>
        <v>990000</v>
      </c>
      <c r="F47" s="1308">
        <f>SUMIFS('2026정산'!N:N,'2026정산'!$A:$A,$B47,'2026정산'!$C:$C,"운영자")</f>
        <v>990000</v>
      </c>
      <c r="G47" s="1308">
        <f>SUMIFS('2026정산'!Q:Q,'2026정산'!$A:$A,$B47,'2026정산'!$C:$C,"운영자")</f>
        <v>990000</v>
      </c>
      <c r="H47" s="1308">
        <f>SUMIFS('2026정산'!T:T,'2026정산'!$A:$A,$B47,'2026정산'!$C:$C,"운영자")</f>
        <v>990000</v>
      </c>
      <c r="I47" s="1308">
        <f>SUMIFS('2026정산'!W:W,'2026정산'!$A:$A,$B47,'2026정산'!$C:$C,"운영자")</f>
        <v>990000</v>
      </c>
      <c r="J47" s="1308">
        <f>SUMIFS('2026정산'!Z:Z,'2026정산'!$A:$A,$B47,'2026정산'!$C:$C,"운영자")</f>
        <v>440000</v>
      </c>
      <c r="K47" s="1308">
        <f>SUMIFS('2026정산'!AC:AC,'2026정산'!$A:$A,$B47,'2026정산'!$C:$C,"운영자")</f>
        <v>-130000</v>
      </c>
      <c r="L47" s="1308">
        <f>SUMIFS('2026정산'!AF:AF,'2026정산'!$A:$A,$B47,'2026정산'!$C:$C,"운영자")</f>
        <v>-130000</v>
      </c>
      <c r="M47" s="1308">
        <f>SUMIFS('2026정산'!AI:AI,'2026정산'!$A:$A,$B47,'2026정산'!$C:$C,"운영자")</f>
        <v>-130000</v>
      </c>
      <c r="N47" s="1308">
        <f>SUMIFS('2026정산'!AL:AL,'2026정산'!$A:$A,$B47,'2026정산'!$C:$C,"운영자")</f>
        <v>-130000</v>
      </c>
      <c r="O47" s="1309">
        <f t="shared" si="1"/>
        <v>7068768</v>
      </c>
      <c r="P47" s="1310">
        <f t="shared" si="2"/>
        <v>589064</v>
      </c>
      <c r="Q47" s="1311"/>
    </row>
    <row r="48">
      <c r="A48" s="1306" t="s">
        <v>3228</v>
      </c>
      <c r="B48" s="1307" t="s">
        <v>1571</v>
      </c>
      <c r="C48" s="1308">
        <f>SUMIFS('2026정산'!E:E,'2026정산'!$A:$A,$B48,'2026정산'!$C:$C,"운영자")</f>
        <v>-1200000</v>
      </c>
      <c r="D48" s="1308">
        <f>SUMIFS('2026정산'!H:H,'2026정산'!$A:$A,$B48,'2026정산'!$C:$C,"운영자")</f>
        <v>-980357</v>
      </c>
      <c r="E48" s="1308">
        <f>SUMIFS('2026정산'!K:K,'2026정산'!$A:$A,$B48,'2026정산'!$C:$C,"운영자")</f>
        <v>1446452</v>
      </c>
      <c r="F48" s="1308">
        <f>SUMIFS('2026정산'!N:N,'2026정산'!$A:$A,$B48,'2026정산'!$C:$C,"운영자")</f>
        <v>1640000</v>
      </c>
      <c r="G48" s="1308">
        <f>SUMIFS('2026정산'!Q:Q,'2026정산'!$A:$A,$B48,'2026정산'!$C:$C,"운영자")</f>
        <v>1140000</v>
      </c>
      <c r="H48" s="1308">
        <f>SUMIFS('2026정산'!T:T,'2026정산'!$A:$A,$B48,'2026정산'!$C:$C,"운영자")</f>
        <v>1140000</v>
      </c>
      <c r="I48" s="1308">
        <f>SUMIFS('2026정산'!W:W,'2026정산'!$A:$A,$B48,'2026정산'!$C:$C,"운영자")</f>
        <v>1140000</v>
      </c>
      <c r="J48" s="1308">
        <f>SUMIFS('2026정산'!Z:Z,'2026정산'!$A:$A,$B48,'2026정산'!$C:$C,"운영자")</f>
        <v>1140000</v>
      </c>
      <c r="K48" s="1308">
        <f>SUMIFS('2026정산'!AC:AC,'2026정산'!$A:$A,$B48,'2026정산'!$C:$C,"운영자")</f>
        <v>-330000</v>
      </c>
      <c r="L48" s="1308">
        <f>SUMIFS('2026정산'!AF:AF,'2026정산'!$A:$A,$B48,'2026정산'!$C:$C,"운영자")</f>
        <v>-330000</v>
      </c>
      <c r="M48" s="1308">
        <f>SUMIFS('2026정산'!AI:AI,'2026정산'!$A:$A,$B48,'2026정산'!$C:$C,"운영자")</f>
        <v>-330000</v>
      </c>
      <c r="N48" s="1308">
        <f>SUMIFS('2026정산'!AL:AL,'2026정산'!$A:$A,$B48,'2026정산'!$C:$C,"운영자")</f>
        <v>-330000</v>
      </c>
      <c r="O48" s="1309">
        <f t="shared" si="1"/>
        <v>4146095</v>
      </c>
      <c r="P48" s="1310">
        <f t="shared" si="2"/>
        <v>345507.9167</v>
      </c>
      <c r="Q48" s="1311"/>
    </row>
    <row r="49">
      <c r="A49" s="1314" t="s">
        <v>3228</v>
      </c>
      <c r="B49" s="1307" t="s">
        <v>1667</v>
      </c>
      <c r="C49" s="1308"/>
      <c r="D49" s="1308"/>
      <c r="E49" s="1308"/>
      <c r="F49" s="1308"/>
      <c r="G49" s="1308"/>
      <c r="H49" s="1308"/>
      <c r="I49" s="1308"/>
      <c r="J49" s="1308"/>
      <c r="K49" s="1308"/>
      <c r="L49" s="1308"/>
      <c r="M49" s="1308"/>
      <c r="N49" s="1308"/>
      <c r="O49" s="1309"/>
      <c r="P49" s="1310"/>
      <c r="Q49" s="1311"/>
    </row>
    <row r="50" ht="30.75" customHeight="1">
      <c r="A50" s="1315"/>
      <c r="B50" s="1316" t="s">
        <v>3017</v>
      </c>
      <c r="C50" s="1317">
        <f t="shared" ref="C50:N50" si="3">SUM(C3:C47)</f>
        <v>25924437.4</v>
      </c>
      <c r="D50" s="1317">
        <f t="shared" si="3"/>
        <v>27944332.99</v>
      </c>
      <c r="E50" s="1317">
        <f t="shared" si="3"/>
        <v>30205230.4</v>
      </c>
      <c r="F50" s="1317">
        <f t="shared" si="3"/>
        <v>29741700.32</v>
      </c>
      <c r="G50" s="1317">
        <f t="shared" si="3"/>
        <v>27265974.1</v>
      </c>
      <c r="H50" s="1317">
        <f t="shared" si="3"/>
        <v>23999633.02</v>
      </c>
      <c r="I50" s="1317">
        <f t="shared" si="3"/>
        <v>19172184.2</v>
      </c>
      <c r="J50" s="1317">
        <f t="shared" si="3"/>
        <v>15134587.82</v>
      </c>
      <c r="K50" s="1317">
        <f t="shared" si="3"/>
        <v>197360</v>
      </c>
      <c r="L50" s="1317">
        <f t="shared" si="3"/>
        <v>-1683634.1</v>
      </c>
      <c r="M50" s="1317">
        <f t="shared" si="3"/>
        <v>-1878140</v>
      </c>
      <c r="N50" s="1317">
        <f t="shared" si="3"/>
        <v>-2898060</v>
      </c>
      <c r="O50" s="1318">
        <f t="shared" ref="O50:O54" si="5">SUM(C50:N50)</f>
        <v>193125606.2</v>
      </c>
      <c r="P50" s="1318">
        <f t="shared" ref="P50:P54" si="6">O50/12</f>
        <v>16093800.51</v>
      </c>
      <c r="Q50" s="1311"/>
    </row>
    <row r="51" ht="22.5" customHeight="1">
      <c r="A51" s="1319"/>
      <c r="B51" s="1320" t="s">
        <v>1259</v>
      </c>
      <c r="C51" s="1321">
        <f t="shared" ref="C51:N51" si="4">sumif($A3:$A47,"아띠",C$3:C$47)</f>
        <v>7733979</v>
      </c>
      <c r="D51" s="1321">
        <f t="shared" si="4"/>
        <v>8262025.744</v>
      </c>
      <c r="E51" s="1321">
        <f t="shared" si="4"/>
        <v>7875346.098</v>
      </c>
      <c r="F51" s="1321">
        <f t="shared" si="4"/>
        <v>9110023.32</v>
      </c>
      <c r="G51" s="1321">
        <f t="shared" si="4"/>
        <v>7645284.098</v>
      </c>
      <c r="H51" s="1321">
        <f t="shared" si="4"/>
        <v>6294047.32</v>
      </c>
      <c r="I51" s="1321">
        <f t="shared" si="4"/>
        <v>4248652</v>
      </c>
      <c r="J51" s="1321">
        <f t="shared" si="4"/>
        <v>3293854.52</v>
      </c>
      <c r="K51" s="1321">
        <f t="shared" si="4"/>
        <v>1351600</v>
      </c>
      <c r="L51" s="1321">
        <f t="shared" si="4"/>
        <v>965100</v>
      </c>
      <c r="M51" s="1321">
        <f t="shared" si="4"/>
        <v>965100</v>
      </c>
      <c r="N51" s="1321">
        <f t="shared" si="4"/>
        <v>965100</v>
      </c>
      <c r="O51" s="1322">
        <f t="shared" si="5"/>
        <v>58710112.1</v>
      </c>
      <c r="P51" s="1323">
        <f t="shared" si="6"/>
        <v>4892509.342</v>
      </c>
      <c r="Q51" s="1321"/>
    </row>
    <row r="52" ht="21.75" customHeight="1">
      <c r="A52" s="1319"/>
      <c r="B52" s="1324" t="s">
        <v>1408</v>
      </c>
      <c r="C52" s="1321">
        <f>sumif($A3:$A51,"공",C$3:C$47)</f>
        <v>2701159</v>
      </c>
      <c r="D52" s="1321">
        <f t="shared" ref="D52:N52" si="7">sumif($A3:$A47,"공",D$3:D$47)</f>
        <v>4830199.7</v>
      </c>
      <c r="E52" s="1321">
        <f t="shared" si="7"/>
        <v>5957804</v>
      </c>
      <c r="F52" s="1321">
        <f t="shared" si="7"/>
        <v>5467320</v>
      </c>
      <c r="G52" s="1321">
        <f t="shared" si="7"/>
        <v>5212320</v>
      </c>
      <c r="H52" s="1321">
        <f t="shared" si="7"/>
        <v>5212320</v>
      </c>
      <c r="I52" s="1321">
        <f t="shared" si="7"/>
        <v>4792320</v>
      </c>
      <c r="J52" s="1321">
        <f t="shared" si="7"/>
        <v>3971352</v>
      </c>
      <c r="K52" s="1321">
        <f t="shared" si="7"/>
        <v>-670000</v>
      </c>
      <c r="L52" s="1321">
        <f t="shared" si="7"/>
        <v>-670000</v>
      </c>
      <c r="M52" s="1321">
        <f t="shared" si="7"/>
        <v>-670000</v>
      </c>
      <c r="N52" s="1321">
        <f t="shared" si="7"/>
        <v>-670000</v>
      </c>
      <c r="O52" s="1322">
        <f t="shared" si="5"/>
        <v>35464794.7</v>
      </c>
      <c r="P52" s="1323">
        <f t="shared" si="6"/>
        <v>2955399.558</v>
      </c>
      <c r="Q52" s="1321"/>
    </row>
    <row r="53" ht="21.75" customHeight="1">
      <c r="A53" s="1325"/>
      <c r="B53" s="1325" t="s">
        <v>3537</v>
      </c>
      <c r="C53" s="1321">
        <f t="shared" ref="C53:N53" si="8">sumif($A3:$A47,"공법",C$3:C$47)</f>
        <v>2663200</v>
      </c>
      <c r="D53" s="1321">
        <f t="shared" si="8"/>
        <v>3183914</v>
      </c>
      <c r="E53" s="1321">
        <f t="shared" si="8"/>
        <v>4415540</v>
      </c>
      <c r="F53" s="1321">
        <f t="shared" si="8"/>
        <v>4415540</v>
      </c>
      <c r="G53" s="1321">
        <f t="shared" si="8"/>
        <v>4415540</v>
      </c>
      <c r="H53" s="1321">
        <f t="shared" si="8"/>
        <v>4415540</v>
      </c>
      <c r="I53" s="1321">
        <f t="shared" si="8"/>
        <v>4415540</v>
      </c>
      <c r="J53" s="1321">
        <f t="shared" si="8"/>
        <v>4148444</v>
      </c>
      <c r="K53" s="1321">
        <f t="shared" si="8"/>
        <v>602840</v>
      </c>
      <c r="L53" s="1321">
        <f t="shared" si="8"/>
        <v>602840</v>
      </c>
      <c r="M53" s="1321">
        <f t="shared" si="8"/>
        <v>602840</v>
      </c>
      <c r="N53" s="1321">
        <f t="shared" si="8"/>
        <v>602840</v>
      </c>
      <c r="O53" s="1322">
        <f t="shared" si="5"/>
        <v>34484618</v>
      </c>
      <c r="P53" s="1323">
        <f t="shared" si="6"/>
        <v>2873718.167</v>
      </c>
      <c r="Q53" s="396"/>
    </row>
    <row r="54" ht="21.75" customHeight="1">
      <c r="A54" s="1325"/>
      <c r="B54" s="1325" t="s">
        <v>3229</v>
      </c>
      <c r="C54" s="1321">
        <f t="shared" ref="C54:N54" si="9">sumif($A3:$A45,"잠",C$3:C$45)</f>
        <v>11626099.4</v>
      </c>
      <c r="D54" s="1321">
        <f t="shared" si="9"/>
        <v>11668193.55</v>
      </c>
      <c r="E54" s="1321">
        <f t="shared" si="9"/>
        <v>11956540.3</v>
      </c>
      <c r="F54" s="1321">
        <f t="shared" si="9"/>
        <v>10748817</v>
      </c>
      <c r="G54" s="1321">
        <f t="shared" si="9"/>
        <v>9992830</v>
      </c>
      <c r="H54" s="1321">
        <f t="shared" si="9"/>
        <v>8077725.7</v>
      </c>
      <c r="I54" s="1321">
        <f t="shared" si="9"/>
        <v>5715672.2</v>
      </c>
      <c r="J54" s="1321">
        <f t="shared" si="9"/>
        <v>3720937.3</v>
      </c>
      <c r="K54" s="1321">
        <f t="shared" si="9"/>
        <v>-1087080</v>
      </c>
      <c r="L54" s="1321">
        <f t="shared" si="9"/>
        <v>-2581574.1</v>
      </c>
      <c r="M54" s="1321">
        <f t="shared" si="9"/>
        <v>-2776080</v>
      </c>
      <c r="N54" s="1321">
        <f t="shared" si="9"/>
        <v>-3796000</v>
      </c>
      <c r="O54" s="1322">
        <f t="shared" si="5"/>
        <v>63266081.35</v>
      </c>
      <c r="P54" s="1323">
        <f t="shared" si="6"/>
        <v>5272173.446</v>
      </c>
      <c r="Q54" s="396"/>
    </row>
  </sheetData>
  <conditionalFormatting sqref="A1:Q54">
    <cfRule type="containsText" dxfId="11" priority="1" operator="containsText" text="-">
      <formula>NOT(ISERROR(SEARCH(("-"),(A1))))</formula>
    </cfRule>
  </conditionalFormatting>
  <conditionalFormatting sqref="A1:A54">
    <cfRule type="containsText" dxfId="15" priority="2" operator="containsText" text="아">
      <formula>NOT(ISERROR(SEARCH(("아"),(A1))))</formula>
    </cfRule>
  </conditionalFormatting>
  <conditionalFormatting sqref="A1:A54">
    <cfRule type="containsText" dxfId="4" priority="3" operator="containsText" text="공">
      <formula>NOT(ISERROR(SEARCH(("공"),(A1))))</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26"/>
      <c r="B1" s="1327" t="s">
        <v>3539</v>
      </c>
      <c r="C1" s="1327" t="s">
        <v>1244</v>
      </c>
    </row>
    <row r="2">
      <c r="A2" s="1328" t="s">
        <v>2030</v>
      </c>
      <c r="B2" s="1329">
        <f t="shared" ref="B2:C2" si="1">SUM(D2, G2, J2, M2, P2, S2, V2, Y2, AB2, AE2, AH2, AK2)</f>
        <v>10534024</v>
      </c>
      <c r="C2" s="1329">
        <f t="shared" si="1"/>
        <v>1880000</v>
      </c>
      <c r="D2" s="1046">
        <f>IFERROR(__xludf.DUMMYFUNCTION("FILTER('2026정산'!$E$2:$AM$779, ('2026정산'!$A$2:$A$779 = A2) * ('2026정산'!$C$2:$C$779 = ""합계""))"),2150000.0)</f>
        <v>2150000</v>
      </c>
      <c r="E2" s="1046">
        <f>IFERROR(__xludf.DUMMYFUNCTION("""COMPUTED_VALUE"""),400000.0)</f>
        <v>400000</v>
      </c>
      <c r="F2" s="1046"/>
      <c r="G2" s="1046">
        <f>IFERROR(__xludf.DUMMYFUNCTION("""COMPUTED_VALUE"""),2150000.0)</f>
        <v>2150000</v>
      </c>
      <c r="H2" s="1046">
        <f>IFERROR(__xludf.DUMMYFUNCTION("""COMPUTED_VALUE"""),400000.0)</f>
        <v>400000</v>
      </c>
      <c r="I2" s="1046"/>
      <c r="J2" s="1046">
        <f>IFERROR(__xludf.DUMMYFUNCTION("""COMPUTED_VALUE"""),2210000.0)</f>
        <v>2210000</v>
      </c>
      <c r="K2" s="1046">
        <f>IFERROR(__xludf.DUMMYFUNCTION("""COMPUTED_VALUE"""),400000.0)</f>
        <v>400000</v>
      </c>
      <c r="L2" s="1046"/>
      <c r="M2" s="1046">
        <f>IFERROR(__xludf.DUMMYFUNCTION("""COMPUTED_VALUE"""),2210000.0)</f>
        <v>2210000</v>
      </c>
      <c r="N2" s="1046">
        <f>IFERROR(__xludf.DUMMYFUNCTION("""COMPUTED_VALUE"""),400000.0)</f>
        <v>400000</v>
      </c>
      <c r="O2" s="1046"/>
      <c r="P2" s="1046">
        <f>IFERROR(__xludf.DUMMYFUNCTION("""COMPUTED_VALUE"""),1270000.0)</f>
        <v>1270000</v>
      </c>
      <c r="Q2" s="1046">
        <f>IFERROR(__xludf.DUMMYFUNCTION("""COMPUTED_VALUE"""),200000.0)</f>
        <v>200000</v>
      </c>
      <c r="R2" s="1046"/>
      <c r="S2" s="1046">
        <f>IFERROR(__xludf.DUMMYFUNCTION("""COMPUTED_VALUE"""),544024.0)</f>
        <v>544024</v>
      </c>
      <c r="T2" s="1046">
        <f>IFERROR(__xludf.DUMMYFUNCTION("""COMPUTED_VALUE"""),80000.0)</f>
        <v>80000</v>
      </c>
      <c r="U2" s="1046"/>
      <c r="V2" s="1046">
        <f>IFERROR(__xludf.DUMMYFUNCTION("""COMPUTED_VALUE"""),0.0)</f>
        <v>0</v>
      </c>
      <c r="W2" s="1046">
        <f>IFERROR(__xludf.DUMMYFUNCTION("""COMPUTED_VALUE"""),0.0)</f>
        <v>0</v>
      </c>
      <c r="X2" s="1046"/>
      <c r="Y2" s="1046">
        <f>IFERROR(__xludf.DUMMYFUNCTION("""COMPUTED_VALUE"""),0.0)</f>
        <v>0</v>
      </c>
      <c r="Z2" s="1046">
        <f>IFERROR(__xludf.DUMMYFUNCTION("""COMPUTED_VALUE"""),0.0)</f>
        <v>0</v>
      </c>
      <c r="AA2" s="1046"/>
      <c r="AB2" s="1046">
        <f>IFERROR(__xludf.DUMMYFUNCTION("""COMPUTED_VALUE"""),0.0)</f>
        <v>0</v>
      </c>
      <c r="AC2" s="1046">
        <f>IFERROR(__xludf.DUMMYFUNCTION("""COMPUTED_VALUE"""),0.0)</f>
        <v>0</v>
      </c>
      <c r="AD2" s="1046"/>
      <c r="AE2" s="1046">
        <f>IFERROR(__xludf.DUMMYFUNCTION("""COMPUTED_VALUE"""),0.0)</f>
        <v>0</v>
      </c>
      <c r="AF2" s="1046">
        <f>IFERROR(__xludf.DUMMYFUNCTION("""COMPUTED_VALUE"""),0.0)</f>
        <v>0</v>
      </c>
      <c r="AG2" s="1046"/>
      <c r="AH2" s="1046">
        <f>IFERROR(__xludf.DUMMYFUNCTION("""COMPUTED_VALUE"""),0.0)</f>
        <v>0</v>
      </c>
      <c r="AI2" s="1046">
        <f>IFERROR(__xludf.DUMMYFUNCTION("""COMPUTED_VALUE"""),0.0)</f>
        <v>0</v>
      </c>
      <c r="AJ2" s="1046"/>
      <c r="AK2" s="1046">
        <f>IFERROR(__xludf.DUMMYFUNCTION("""COMPUTED_VALUE"""),0.0)</f>
        <v>0</v>
      </c>
      <c r="AL2" s="1046">
        <f>IFERROR(__xludf.DUMMYFUNCTION("""COMPUTED_VALUE"""),0.0)</f>
        <v>0</v>
      </c>
    </row>
    <row r="3">
      <c r="A3" s="1330" t="s">
        <v>58</v>
      </c>
      <c r="B3" s="1329">
        <f t="shared" ref="B3:C3" si="2">SUM(D3, G3, J3, M3, P3, S3, V3, Y3, AB3, AE3, AH3, AK3)</f>
        <v>14060391</v>
      </c>
      <c r="C3" s="1329">
        <f t="shared" si="2"/>
        <v>2314971</v>
      </c>
      <c r="D3" s="1046">
        <f>IFERROR(__xludf.DUMMYFUNCTION("FILTER('2026정산'!$E$2:$AM$779, ('2026정산'!$A$2:$A$779 = A3) * ('2026정산'!$C$2:$C$779 = ""합계""))"),2721152.0)</f>
        <v>2721152</v>
      </c>
      <c r="E3" s="1046">
        <f>IFERROR(__xludf.DUMMYFUNCTION("""COMPUTED_VALUE"""),470230.0)</f>
        <v>470230</v>
      </c>
      <c r="F3" s="1046"/>
      <c r="G3" s="1046">
        <f>IFERROR(__xludf.DUMMYFUNCTION("""COMPUTED_VALUE"""),2394700.0)</f>
        <v>2394700</v>
      </c>
      <c r="H3" s="1046">
        <f>IFERROR(__xludf.DUMMYFUNCTION("""COMPUTED_VALUE"""),400000.0)</f>
        <v>400000</v>
      </c>
      <c r="I3" s="1046"/>
      <c r="J3" s="1046">
        <f>IFERROR(__xludf.DUMMYFUNCTION("""COMPUTED_VALUE"""),2507300.0)</f>
        <v>2507300</v>
      </c>
      <c r="K3" s="1046">
        <f>IFERROR(__xludf.DUMMYFUNCTION("""COMPUTED_VALUE"""),400000.0)</f>
        <v>400000</v>
      </c>
      <c r="L3" s="1046"/>
      <c r="M3" s="1046">
        <f>IFERROR(__xludf.DUMMYFUNCTION("""COMPUTED_VALUE"""),2507300.0)</f>
        <v>2507300</v>
      </c>
      <c r="N3" s="1046">
        <f>IFERROR(__xludf.DUMMYFUNCTION("""COMPUTED_VALUE"""),400000.0)</f>
        <v>400000</v>
      </c>
      <c r="O3" s="1046"/>
      <c r="P3" s="1046">
        <f>IFERROR(__xludf.DUMMYFUNCTION("""COMPUTED_VALUE"""),2507300.0)</f>
        <v>2507300</v>
      </c>
      <c r="Q3" s="1046">
        <f>IFERROR(__xludf.DUMMYFUNCTION("""COMPUTED_VALUE"""),400040.0)</f>
        <v>400040</v>
      </c>
      <c r="R3" s="1046"/>
      <c r="S3" s="1046">
        <f>IFERROR(__xludf.DUMMYFUNCTION("""COMPUTED_VALUE"""),1422639.0)</f>
        <v>1422639</v>
      </c>
      <c r="T3" s="1046">
        <f>IFERROR(__xludf.DUMMYFUNCTION("""COMPUTED_VALUE"""),244701.0)</f>
        <v>244701</v>
      </c>
      <c r="U3" s="1046"/>
      <c r="V3" s="1046">
        <f>IFERROR(__xludf.DUMMYFUNCTION("""COMPUTED_VALUE"""),0.0)</f>
        <v>0</v>
      </c>
      <c r="W3" s="1046">
        <f>IFERROR(__xludf.DUMMYFUNCTION("""COMPUTED_VALUE"""),0.0)</f>
        <v>0</v>
      </c>
      <c r="X3" s="1046"/>
      <c r="Y3" s="1046">
        <f>IFERROR(__xludf.DUMMYFUNCTION("""COMPUTED_VALUE"""),0.0)</f>
        <v>0</v>
      </c>
      <c r="Z3" s="1046">
        <f>IFERROR(__xludf.DUMMYFUNCTION("""COMPUTED_VALUE"""),0.0)</f>
        <v>0</v>
      </c>
      <c r="AA3" s="1046"/>
      <c r="AB3" s="1046">
        <f>IFERROR(__xludf.DUMMYFUNCTION("""COMPUTED_VALUE"""),0.0)</f>
        <v>0</v>
      </c>
      <c r="AC3" s="1046">
        <f>IFERROR(__xludf.DUMMYFUNCTION("""COMPUTED_VALUE"""),0.0)</f>
        <v>0</v>
      </c>
      <c r="AD3" s="1046"/>
      <c r="AE3" s="1046">
        <f>IFERROR(__xludf.DUMMYFUNCTION("""COMPUTED_VALUE"""),0.0)</f>
        <v>0</v>
      </c>
      <c r="AF3" s="1046">
        <f>IFERROR(__xludf.DUMMYFUNCTION("""COMPUTED_VALUE"""),0.0)</f>
        <v>0</v>
      </c>
      <c r="AG3" s="1046"/>
      <c r="AH3" s="1046">
        <f>IFERROR(__xludf.DUMMYFUNCTION("""COMPUTED_VALUE"""),0.0)</f>
        <v>0</v>
      </c>
      <c r="AI3" s="1046">
        <f>IFERROR(__xludf.DUMMYFUNCTION("""COMPUTED_VALUE"""),0.0)</f>
        <v>0</v>
      </c>
      <c r="AJ3" s="1046"/>
      <c r="AK3" s="1046">
        <f>IFERROR(__xludf.DUMMYFUNCTION("""COMPUTED_VALUE"""),0.0)</f>
        <v>0</v>
      </c>
      <c r="AL3" s="1046">
        <f>IFERROR(__xludf.DUMMYFUNCTION("""COMPUTED_VALUE"""),0.0)</f>
        <v>0</v>
      </c>
    </row>
    <row r="4">
      <c r="A4" s="1330" t="s">
        <v>97</v>
      </c>
      <c r="B4" s="1329">
        <f t="shared" ref="B4:C4" si="3">SUM(D4, G4, J4, M4, P4, S4, V4, Y4, AB4, AE4, AH4, AK4)</f>
        <v>31787654</v>
      </c>
      <c r="C4" s="1329">
        <f t="shared" si="3"/>
        <v>6695376</v>
      </c>
      <c r="D4" s="1046">
        <f>IFERROR(__xludf.DUMMYFUNCTION("FILTER('2026정산'!$E$2:$AM$779, ('2026정산'!$A$2:$A$779 = A4) * ('2026정산'!$C$2:$C$779 = ""합계""))"),4210000.0)</f>
        <v>4210000</v>
      </c>
      <c r="E4" s="1046">
        <f>IFERROR(__xludf.DUMMYFUNCTION("""COMPUTED_VALUE"""),1025000.0)</f>
        <v>1025000</v>
      </c>
      <c r="F4" s="1046"/>
      <c r="G4" s="1046">
        <f>IFERROR(__xludf.DUMMYFUNCTION("""COMPUTED_VALUE"""),3318333.0)</f>
        <v>3318333</v>
      </c>
      <c r="H4" s="1046">
        <f>IFERROR(__xludf.DUMMYFUNCTION("""COMPUTED_VALUE"""),1028343.0)</f>
        <v>1028343</v>
      </c>
      <c r="I4" s="1046"/>
      <c r="J4" s="1046">
        <f>IFERROR(__xludf.DUMMYFUNCTION("""COMPUTED_VALUE"""),3320968.0)</f>
        <v>3320968</v>
      </c>
      <c r="K4" s="1046">
        <f>IFERROR(__xludf.DUMMYFUNCTION("""COMPUTED_VALUE"""),658710.0)</f>
        <v>658710</v>
      </c>
      <c r="L4" s="1046"/>
      <c r="M4" s="1046">
        <f>IFERROR(__xludf.DUMMYFUNCTION("""COMPUTED_VALUE"""),3698000.0)</f>
        <v>3698000</v>
      </c>
      <c r="N4" s="1046">
        <f>IFERROR(__xludf.DUMMYFUNCTION("""COMPUTED_VALUE"""),690000.0)</f>
        <v>690000</v>
      </c>
      <c r="O4" s="1046"/>
      <c r="P4" s="1046">
        <f>IFERROR(__xludf.DUMMYFUNCTION("""COMPUTED_VALUE"""),3740000.0)</f>
        <v>3740000</v>
      </c>
      <c r="Q4" s="1046">
        <f>IFERROR(__xludf.DUMMYFUNCTION("""COMPUTED_VALUE"""),700000.0)</f>
        <v>700000</v>
      </c>
      <c r="R4" s="1046"/>
      <c r="S4" s="1046">
        <f>IFERROR(__xludf.DUMMYFUNCTION("""COMPUTED_VALUE"""),2482000.0)</f>
        <v>2482000</v>
      </c>
      <c r="T4" s="1046">
        <f>IFERROR(__xludf.DUMMYFUNCTION("""COMPUTED_VALUE"""),470000.0)</f>
        <v>470000</v>
      </c>
      <c r="U4" s="1046"/>
      <c r="V4" s="1046">
        <f>IFERROR(__xludf.DUMMYFUNCTION("""COMPUTED_VALUE"""),2090000.0)</f>
        <v>2090000</v>
      </c>
      <c r="W4" s="1046">
        <f>IFERROR(__xludf.DUMMYFUNCTION("""COMPUTED_VALUE"""),400000.0)</f>
        <v>400000</v>
      </c>
      <c r="X4" s="1046"/>
      <c r="Y4" s="1046">
        <f>IFERROR(__xludf.DUMMYFUNCTION("""COMPUTED_VALUE"""),2090000.0)</f>
        <v>2090000</v>
      </c>
      <c r="Z4" s="1046">
        <f>IFERROR(__xludf.DUMMYFUNCTION("""COMPUTED_VALUE"""),400000.0)</f>
        <v>400000</v>
      </c>
      <c r="AA4" s="1046"/>
      <c r="AB4" s="1046">
        <f>IFERROR(__xludf.DUMMYFUNCTION("""COMPUTED_VALUE"""),2090000.0)</f>
        <v>2090000</v>
      </c>
      <c r="AC4" s="1046">
        <f>IFERROR(__xludf.DUMMYFUNCTION("""COMPUTED_VALUE"""),400000.0)</f>
        <v>400000</v>
      </c>
      <c r="AD4" s="1046"/>
      <c r="AE4" s="1046">
        <f>IFERROR(__xludf.DUMMYFUNCTION("""COMPUTED_VALUE"""),1668353.0)</f>
        <v>1668353</v>
      </c>
      <c r="AF4" s="1046">
        <f>IFERROR(__xludf.DUMMYFUNCTION("""COMPUTED_VALUE"""),323323.0)</f>
        <v>323323</v>
      </c>
      <c r="AG4" s="1046"/>
      <c r="AH4" s="1046">
        <f>IFERROR(__xludf.DUMMYFUNCTION("""COMPUTED_VALUE"""),1540000.0)</f>
        <v>1540000</v>
      </c>
      <c r="AI4" s="1046">
        <f>IFERROR(__xludf.DUMMYFUNCTION("""COMPUTED_VALUE"""),300000.0)</f>
        <v>300000</v>
      </c>
      <c r="AJ4" s="1046"/>
      <c r="AK4" s="1046">
        <f>IFERROR(__xludf.DUMMYFUNCTION("""COMPUTED_VALUE"""),1540000.0)</f>
        <v>1540000</v>
      </c>
      <c r="AL4" s="1046">
        <f>IFERROR(__xludf.DUMMYFUNCTION("""COMPUTED_VALUE"""),300000.0)</f>
        <v>300000</v>
      </c>
    </row>
    <row r="5">
      <c r="A5" s="1330" t="s">
        <v>154</v>
      </c>
      <c r="B5" s="1329">
        <f t="shared" ref="B5:C5" si="4">SUM(D5, G5, J5, M5, P5, S5, V5, Y5, AB5, AE5, AH5, AK5)</f>
        <v>31707581</v>
      </c>
      <c r="C5" s="1329">
        <f t="shared" si="4"/>
        <v>6314591</v>
      </c>
      <c r="D5" s="1046">
        <f>IFERROR(__xludf.DUMMYFUNCTION("FILTER('2026정산'!$E$2:$AM$779, ('2026정산'!$A$2:$A$779 = A5) * ('2026정산'!$C$2:$C$779 = ""합계""))"),4800323.0)</f>
        <v>4800323</v>
      </c>
      <c r="E5" s="1046">
        <f>IFERROR(__xludf.DUMMYFUNCTION("""COMPUTED_VALUE"""),1000974.0)</f>
        <v>1000974</v>
      </c>
      <c r="F5" s="1046"/>
      <c r="G5" s="1046">
        <f>IFERROR(__xludf.DUMMYFUNCTION("""COMPUTED_VALUE"""),4825000.0)</f>
        <v>4825000</v>
      </c>
      <c r="H5" s="1046">
        <f>IFERROR(__xludf.DUMMYFUNCTION("""COMPUTED_VALUE"""),1090714.0)</f>
        <v>1090714</v>
      </c>
      <c r="I5" s="1046"/>
      <c r="J5" s="1046">
        <f>IFERROR(__xludf.DUMMYFUNCTION("""COMPUTED_VALUE"""),4552581.0)</f>
        <v>4552581</v>
      </c>
      <c r="K5" s="1046">
        <f>IFERROR(__xludf.DUMMYFUNCTION("""COMPUTED_VALUE"""),893871.0)</f>
        <v>893871</v>
      </c>
      <c r="L5" s="1046"/>
      <c r="M5" s="1046">
        <f>IFERROR(__xludf.DUMMYFUNCTION("""COMPUTED_VALUE"""),3620000.0)</f>
        <v>3620000</v>
      </c>
      <c r="N5" s="1046">
        <f>IFERROR(__xludf.DUMMYFUNCTION("""COMPUTED_VALUE"""),700000.0)</f>
        <v>700000</v>
      </c>
      <c r="O5" s="1046"/>
      <c r="P5" s="1046">
        <f>IFERROR(__xludf.DUMMYFUNCTION("""COMPUTED_VALUE"""),3620000.0)</f>
        <v>3620000</v>
      </c>
      <c r="Q5" s="1046">
        <f>IFERROR(__xludf.DUMMYFUNCTION("""COMPUTED_VALUE"""),700000.0)</f>
        <v>700000</v>
      </c>
      <c r="R5" s="1046"/>
      <c r="S5" s="1046">
        <f>IFERROR(__xludf.DUMMYFUNCTION("""COMPUTED_VALUE"""),2790000.0)</f>
        <v>2790000</v>
      </c>
      <c r="T5" s="1046">
        <f>IFERROR(__xludf.DUMMYFUNCTION("""COMPUTED_VALUE"""),500000.0)</f>
        <v>500000</v>
      </c>
      <c r="U5" s="1046"/>
      <c r="V5" s="1046">
        <f>IFERROR(__xludf.DUMMYFUNCTION("""COMPUTED_VALUE"""),2399677.0)</f>
        <v>2399677</v>
      </c>
      <c r="W5" s="1046">
        <f>IFERROR(__xludf.DUMMYFUNCTION("""COMPUTED_VALUE"""),429032.0)</f>
        <v>429032</v>
      </c>
      <c r="X5" s="1046"/>
      <c r="Y5" s="1046">
        <f>IFERROR(__xludf.DUMMYFUNCTION("""COMPUTED_VALUE"""),1020000.0)</f>
        <v>1020000</v>
      </c>
      <c r="Z5" s="1046">
        <f>IFERROR(__xludf.DUMMYFUNCTION("""COMPUTED_VALUE"""),200000.0)</f>
        <v>200000</v>
      </c>
      <c r="AA5" s="1046"/>
      <c r="AB5" s="1046">
        <f>IFERROR(__xludf.DUMMYFUNCTION("""COMPUTED_VALUE"""),1020000.0)</f>
        <v>1020000</v>
      </c>
      <c r="AC5" s="1046">
        <f>IFERROR(__xludf.DUMMYFUNCTION("""COMPUTED_VALUE"""),200000.0)</f>
        <v>200000</v>
      </c>
      <c r="AD5" s="1046"/>
      <c r="AE5" s="1046">
        <f>IFERROR(__xludf.DUMMYFUNCTION("""COMPUTED_VALUE"""),1020000.0)</f>
        <v>1020000</v>
      </c>
      <c r="AF5" s="1046">
        <f>IFERROR(__xludf.DUMMYFUNCTION("""COMPUTED_VALUE"""),200000.0)</f>
        <v>200000</v>
      </c>
      <c r="AG5" s="1046"/>
      <c r="AH5" s="1046">
        <f>IFERROR(__xludf.DUMMYFUNCTION("""COMPUTED_VALUE"""),1020000.0)</f>
        <v>1020000</v>
      </c>
      <c r="AI5" s="1046">
        <f>IFERROR(__xludf.DUMMYFUNCTION("""COMPUTED_VALUE"""),200000.0)</f>
        <v>200000</v>
      </c>
      <c r="AJ5" s="1046"/>
      <c r="AK5" s="1046">
        <f>IFERROR(__xludf.DUMMYFUNCTION("""COMPUTED_VALUE"""),1020000.0)</f>
        <v>1020000</v>
      </c>
      <c r="AL5" s="1046">
        <f>IFERROR(__xludf.DUMMYFUNCTION("""COMPUTED_VALUE"""),200000.0)</f>
        <v>200000</v>
      </c>
    </row>
    <row r="6">
      <c r="A6" s="1330" t="s">
        <v>210</v>
      </c>
      <c r="B6" s="1329">
        <f t="shared" ref="B6:C6" si="5">SUM(D6, G6, J6, M6, P6, S6, V6, Y6, AB6, AE6, AH6, AK6)</f>
        <v>33686899</v>
      </c>
      <c r="C6" s="1329">
        <f t="shared" si="5"/>
        <v>6070797</v>
      </c>
      <c r="D6" s="1046">
        <f>IFERROR(__xludf.DUMMYFUNCTION("FILTER('2026정산'!$E$2:$AM$779, ('2026정산'!$A$2:$A$779 = A6) * ('2026정산'!$C$2:$C$779 = ""합계""))"),3654713.0)</f>
        <v>3654713</v>
      </c>
      <c r="E6" s="1046">
        <f>IFERROR(__xludf.DUMMYFUNCTION("""COMPUTED_VALUE"""),643464.0)</f>
        <v>643464</v>
      </c>
      <c r="F6" s="1046"/>
      <c r="G6" s="1046">
        <f>IFERROR(__xludf.DUMMYFUNCTION("""COMPUTED_VALUE"""),3593769.0)</f>
        <v>3593769</v>
      </c>
      <c r="H6" s="1046">
        <f>IFERROR(__xludf.DUMMYFUNCTION("""COMPUTED_VALUE"""),823571.0)</f>
        <v>823571</v>
      </c>
      <c r="I6" s="1046"/>
      <c r="J6" s="1046">
        <f>IFERROR(__xludf.DUMMYFUNCTION("""COMPUTED_VALUE"""),4539840.0)</f>
        <v>4539840</v>
      </c>
      <c r="K6" s="1046">
        <f>IFERROR(__xludf.DUMMYFUNCTION("""COMPUTED_VALUE"""),800000.0)</f>
        <v>800000</v>
      </c>
      <c r="L6" s="1046"/>
      <c r="M6" s="1046">
        <f>IFERROR(__xludf.DUMMYFUNCTION("""COMPUTED_VALUE"""),4808507.0)</f>
        <v>4808507</v>
      </c>
      <c r="N6" s="1046">
        <f>IFERROR(__xludf.DUMMYFUNCTION("""COMPUTED_VALUE"""),843333.0)</f>
        <v>843333</v>
      </c>
      <c r="O6" s="1046"/>
      <c r="P6" s="1046">
        <f>IFERROR(__xludf.DUMMYFUNCTION("""COMPUTED_VALUE"""),4069920.0)</f>
        <v>4069920</v>
      </c>
      <c r="Q6" s="1046">
        <f>IFERROR(__xludf.DUMMYFUNCTION("""COMPUTED_VALUE"""),700000.0)</f>
        <v>700000</v>
      </c>
      <c r="R6" s="1046"/>
      <c r="S6" s="1046">
        <f>IFERROR(__xludf.DUMMYFUNCTION("""COMPUTED_VALUE"""),4018614.0)</f>
        <v>4018614</v>
      </c>
      <c r="T6" s="1046">
        <f>IFERROR(__xludf.DUMMYFUNCTION("""COMPUTED_VALUE"""),673333.0)</f>
        <v>673333</v>
      </c>
      <c r="U6" s="1046"/>
      <c r="V6" s="1046">
        <f>IFERROR(__xludf.DUMMYFUNCTION("""COMPUTED_VALUE"""),2441533.0)</f>
        <v>2441533</v>
      </c>
      <c r="W6" s="1046">
        <f>IFERROR(__xludf.DUMMYFUNCTION("""COMPUTED_VALUE"""),419354.0)</f>
        <v>419354</v>
      </c>
      <c r="X6" s="1046"/>
      <c r="Y6" s="1046">
        <f>IFERROR(__xludf.DUMMYFUNCTION("""COMPUTED_VALUE"""),2130243.0)</f>
        <v>2130243</v>
      </c>
      <c r="Z6" s="1046">
        <f>IFERROR(__xludf.DUMMYFUNCTION("""COMPUTED_VALUE"""),367742.0)</f>
        <v>367742</v>
      </c>
      <c r="AA6" s="1046"/>
      <c r="AB6" s="1046">
        <f>IFERROR(__xludf.DUMMYFUNCTION("""COMPUTED_VALUE"""),1689920.0)</f>
        <v>1689920</v>
      </c>
      <c r="AC6" s="1046">
        <f>IFERROR(__xludf.DUMMYFUNCTION("""COMPUTED_VALUE"""),300000.0)</f>
        <v>300000</v>
      </c>
      <c r="AD6" s="1046"/>
      <c r="AE6" s="1046">
        <f>IFERROR(__xludf.DUMMYFUNCTION("""COMPUTED_VALUE"""),1069920.0)</f>
        <v>1069920</v>
      </c>
      <c r="AF6" s="1046">
        <f>IFERROR(__xludf.DUMMYFUNCTION("""COMPUTED_VALUE"""),200000.0)</f>
        <v>200000</v>
      </c>
      <c r="AG6" s="1046"/>
      <c r="AH6" s="1046">
        <f>IFERROR(__xludf.DUMMYFUNCTION("""COMPUTED_VALUE"""),1069920.0)</f>
        <v>1069920</v>
      </c>
      <c r="AI6" s="1046">
        <f>IFERROR(__xludf.DUMMYFUNCTION("""COMPUTED_VALUE"""),200000.0)</f>
        <v>200000</v>
      </c>
      <c r="AJ6" s="1046"/>
      <c r="AK6" s="1046">
        <f>IFERROR(__xludf.DUMMYFUNCTION("""COMPUTED_VALUE"""),600000.0)</f>
        <v>600000</v>
      </c>
      <c r="AL6" s="1046">
        <f>IFERROR(__xludf.DUMMYFUNCTION("""COMPUTED_VALUE"""),100000.0)</f>
        <v>100000</v>
      </c>
    </row>
    <row r="7">
      <c r="A7" s="1328" t="s">
        <v>266</v>
      </c>
      <c r="B7" s="1329">
        <f t="shared" ref="B7:C7" si="6">SUM(D7, G7, J7, M7, P7, S7, V7, Y7, AB7, AE7, AH7, AK7)</f>
        <v>10858000</v>
      </c>
      <c r="C7" s="1329">
        <f t="shared" si="6"/>
        <v>1529032</v>
      </c>
      <c r="D7" s="1046">
        <f>IFERROR(__xludf.DUMMYFUNCTION("FILTER('2026정산'!$E$2:$AM$779, ('2026정산'!$A$2:$A$779 = A7) * ('2026정산'!$C$2:$C$779 = ""합계""))"),2219613.0)</f>
        <v>2219613</v>
      </c>
      <c r="E7" s="1046"/>
      <c r="F7" s="1195"/>
      <c r="G7" s="1046">
        <f>IFERROR(__xludf.DUMMYFUNCTION("""COMPUTED_VALUE"""),2190000.0)</f>
        <v>2190000</v>
      </c>
      <c r="H7" s="1046">
        <f>IFERROR(__xludf.DUMMYFUNCTION("""COMPUTED_VALUE"""),400000.0)</f>
        <v>400000</v>
      </c>
      <c r="I7" s="1195"/>
      <c r="J7" s="1046">
        <f>IFERROR(__xludf.DUMMYFUNCTION("""COMPUTED_VALUE"""),2200000.0)</f>
        <v>2200000</v>
      </c>
      <c r="K7" s="1046">
        <f>IFERROR(__xludf.DUMMYFUNCTION("""COMPUTED_VALUE"""),400000.0)</f>
        <v>400000</v>
      </c>
      <c r="L7" s="1195"/>
      <c r="M7" s="1046">
        <f>IFERROR(__xludf.DUMMYFUNCTION("""COMPUTED_VALUE"""),1750000.0)</f>
        <v>1750000</v>
      </c>
      <c r="N7" s="1046">
        <f>IFERROR(__xludf.DUMMYFUNCTION("""COMPUTED_VALUE"""),300000.0)</f>
        <v>300000</v>
      </c>
      <c r="O7" s="1195"/>
      <c r="P7" s="1046">
        <f>IFERROR(__xludf.DUMMYFUNCTION("""COMPUTED_VALUE"""),1750000.0)</f>
        <v>1750000</v>
      </c>
      <c r="Q7" s="1046">
        <f>IFERROR(__xludf.DUMMYFUNCTION("""COMPUTED_VALUE"""),300000.0)</f>
        <v>300000</v>
      </c>
      <c r="R7" s="1195"/>
      <c r="S7" s="1046">
        <f>IFERROR(__xludf.DUMMYFUNCTION("""COMPUTED_VALUE"""),580000.0)</f>
        <v>580000</v>
      </c>
      <c r="T7" s="1046">
        <f>IFERROR(__xludf.DUMMYFUNCTION("""COMPUTED_VALUE"""),100000.0)</f>
        <v>100000</v>
      </c>
      <c r="U7" s="1195"/>
      <c r="V7" s="1046">
        <f>IFERROR(__xludf.DUMMYFUNCTION("""COMPUTED_VALUE"""),168387.0)</f>
        <v>168387</v>
      </c>
      <c r="W7" s="1046">
        <f>IFERROR(__xludf.DUMMYFUNCTION("""COMPUTED_VALUE"""),29032.0)</f>
        <v>29032</v>
      </c>
      <c r="X7" s="1195"/>
      <c r="Y7" s="1046">
        <f>IFERROR(__xludf.DUMMYFUNCTION("""COMPUTED_VALUE"""),0.0)</f>
        <v>0</v>
      </c>
      <c r="Z7" s="1046">
        <f>IFERROR(__xludf.DUMMYFUNCTION("""COMPUTED_VALUE"""),0.0)</f>
        <v>0</v>
      </c>
      <c r="AA7" s="1195"/>
      <c r="AB7" s="1046">
        <f>IFERROR(__xludf.DUMMYFUNCTION("""COMPUTED_VALUE"""),0.0)</f>
        <v>0</v>
      </c>
      <c r="AC7" s="1046">
        <f>IFERROR(__xludf.DUMMYFUNCTION("""COMPUTED_VALUE"""),0.0)</f>
        <v>0</v>
      </c>
      <c r="AD7" s="1195"/>
      <c r="AE7" s="1046">
        <f>IFERROR(__xludf.DUMMYFUNCTION("""COMPUTED_VALUE"""),0.0)</f>
        <v>0</v>
      </c>
      <c r="AF7" s="1046">
        <f>IFERROR(__xludf.DUMMYFUNCTION("""COMPUTED_VALUE"""),0.0)</f>
        <v>0</v>
      </c>
      <c r="AG7" s="1195"/>
      <c r="AH7" s="1046">
        <f>IFERROR(__xludf.DUMMYFUNCTION("""COMPUTED_VALUE"""),0.0)</f>
        <v>0</v>
      </c>
      <c r="AI7" s="1046">
        <f>IFERROR(__xludf.DUMMYFUNCTION("""COMPUTED_VALUE"""),0.0)</f>
        <v>0</v>
      </c>
      <c r="AJ7" s="1195"/>
      <c r="AK7" s="1046">
        <f>IFERROR(__xludf.DUMMYFUNCTION("""COMPUTED_VALUE"""),0.0)</f>
        <v>0</v>
      </c>
      <c r="AL7" s="1046">
        <f>IFERROR(__xludf.DUMMYFUNCTION("""COMPUTED_VALUE"""),0.0)</f>
        <v>0</v>
      </c>
    </row>
    <row r="8">
      <c r="A8" s="1330" t="s">
        <v>275</v>
      </c>
      <c r="B8" s="1329">
        <f t="shared" ref="B8:C8" si="7">SUM(D8, G8, J8, M8, P8, S8, V8, Y8, AB8, AE8, AH8, AK8)</f>
        <v>11389529</v>
      </c>
      <c r="C8" s="1329">
        <f t="shared" si="7"/>
        <v>2712857</v>
      </c>
      <c r="D8" s="1046">
        <f>IFERROR(__xludf.DUMMYFUNCTION("FILTER('2026정산'!$E$2:$AM$779, ('2026정산'!$A$2:$A$779 = A8) * ('2026정산'!$C$2:$C$779 = ""합계""))"),1452800.0)</f>
        <v>1452800</v>
      </c>
      <c r="E8" s="1046">
        <f>IFERROR(__xludf.DUMMYFUNCTION("""COMPUTED_VALUE"""),360000.0)</f>
        <v>360000</v>
      </c>
      <c r="F8" s="1046"/>
      <c r="G8" s="1046">
        <f>IFERROR(__xludf.DUMMYFUNCTION("""COMPUTED_VALUE"""),1436729.0)</f>
        <v>1436729</v>
      </c>
      <c r="H8" s="1046">
        <f>IFERROR(__xludf.DUMMYFUNCTION("""COMPUTED_VALUE"""),352857.0)</f>
        <v>352857</v>
      </c>
      <c r="I8" s="1046"/>
      <c r="J8" s="1046">
        <f>IFERROR(__xludf.DUMMYFUNCTION("""COMPUTED_VALUE"""),850000.0)</f>
        <v>850000</v>
      </c>
      <c r="K8" s="1046">
        <f>IFERROR(__xludf.DUMMYFUNCTION("""COMPUTED_VALUE"""),200000.0)</f>
        <v>200000</v>
      </c>
      <c r="L8" s="1046"/>
      <c r="M8" s="1046">
        <f>IFERROR(__xludf.DUMMYFUNCTION("""COMPUTED_VALUE"""),850000.0)</f>
        <v>850000</v>
      </c>
      <c r="N8" s="1046">
        <f>IFERROR(__xludf.DUMMYFUNCTION("""COMPUTED_VALUE"""),200000.0)</f>
        <v>200000</v>
      </c>
      <c r="O8" s="1046"/>
      <c r="P8" s="1046">
        <f>IFERROR(__xludf.DUMMYFUNCTION("""COMPUTED_VALUE"""),850000.0)</f>
        <v>850000</v>
      </c>
      <c r="Q8" s="1046">
        <f>IFERROR(__xludf.DUMMYFUNCTION("""COMPUTED_VALUE"""),200000.0)</f>
        <v>200000</v>
      </c>
      <c r="R8" s="1046"/>
      <c r="S8" s="1046">
        <f>IFERROR(__xludf.DUMMYFUNCTION("""COMPUTED_VALUE"""),850000.0)</f>
        <v>850000</v>
      </c>
      <c r="T8" s="1046">
        <f>IFERROR(__xludf.DUMMYFUNCTION("""COMPUTED_VALUE"""),200000.0)</f>
        <v>200000</v>
      </c>
      <c r="U8" s="1046"/>
      <c r="V8" s="1046">
        <f>IFERROR(__xludf.DUMMYFUNCTION("""COMPUTED_VALUE"""),850000.0)</f>
        <v>850000</v>
      </c>
      <c r="W8" s="1046">
        <f>IFERROR(__xludf.DUMMYFUNCTION("""COMPUTED_VALUE"""),200000.0)</f>
        <v>200000</v>
      </c>
      <c r="X8" s="1046"/>
      <c r="Y8" s="1046">
        <f>IFERROR(__xludf.DUMMYFUNCTION("""COMPUTED_VALUE"""),850000.0)</f>
        <v>850000</v>
      </c>
      <c r="Z8" s="1046">
        <f>IFERROR(__xludf.DUMMYFUNCTION("""COMPUTED_VALUE"""),200000.0)</f>
        <v>200000</v>
      </c>
      <c r="AA8" s="1046"/>
      <c r="AB8" s="1046">
        <f>IFERROR(__xludf.DUMMYFUNCTION("""COMPUTED_VALUE"""),850000.0)</f>
        <v>850000</v>
      </c>
      <c r="AC8" s="1046">
        <f>IFERROR(__xludf.DUMMYFUNCTION("""COMPUTED_VALUE"""),200000.0)</f>
        <v>200000</v>
      </c>
      <c r="AD8" s="1046"/>
      <c r="AE8" s="1046">
        <f>IFERROR(__xludf.DUMMYFUNCTION("""COMPUTED_VALUE"""),850000.0)</f>
        <v>850000</v>
      </c>
      <c r="AF8" s="1046">
        <f>IFERROR(__xludf.DUMMYFUNCTION("""COMPUTED_VALUE"""),200000.0)</f>
        <v>200000</v>
      </c>
      <c r="AG8" s="1046"/>
      <c r="AH8" s="1046">
        <f>IFERROR(__xludf.DUMMYFUNCTION("""COMPUTED_VALUE"""),850000.0)</f>
        <v>850000</v>
      </c>
      <c r="AI8" s="1046">
        <f>IFERROR(__xludf.DUMMYFUNCTION("""COMPUTED_VALUE"""),200000.0)</f>
        <v>200000</v>
      </c>
      <c r="AJ8" s="1046"/>
      <c r="AK8" s="1046">
        <f>IFERROR(__xludf.DUMMYFUNCTION("""COMPUTED_VALUE"""),850000.0)</f>
        <v>850000</v>
      </c>
      <c r="AL8" s="1046">
        <f>IFERROR(__xludf.DUMMYFUNCTION("""COMPUTED_VALUE"""),200000.0)</f>
        <v>200000</v>
      </c>
    </row>
    <row r="9">
      <c r="A9" s="1330" t="s">
        <v>305</v>
      </c>
      <c r="B9" s="1329">
        <f t="shared" ref="B9:C9" si="8">SUM(D9, G9, J9, M9, P9, S9, V9, Y9, AB9, AE9, AH9, AK9)</f>
        <v>15810357</v>
      </c>
      <c r="C9" s="1329">
        <f t="shared" si="8"/>
        <v>3212857</v>
      </c>
      <c r="D9" s="1046">
        <f>IFERROR(__xludf.DUMMYFUNCTION("FILTER('2026정산'!$E$2:$AM$779, ('2026정산'!$A$2:$A$779 = A9) * ('2026정산'!$C$2:$C$779 = ""합계""))"),1760000.0)</f>
        <v>1760000</v>
      </c>
      <c r="E9" s="1046">
        <f>IFERROR(__xludf.DUMMYFUNCTION("""COMPUTED_VALUE"""),360000.0)</f>
        <v>360000</v>
      </c>
      <c r="F9" s="1046"/>
      <c r="G9" s="1046">
        <f>IFERROR(__xludf.DUMMYFUNCTION("""COMPUTED_VALUE"""),1730357.0)</f>
        <v>1730357</v>
      </c>
      <c r="H9" s="1046">
        <f>IFERROR(__xludf.DUMMYFUNCTION("""COMPUTED_VALUE"""),252857.0)</f>
        <v>252857</v>
      </c>
      <c r="I9" s="1046"/>
      <c r="J9" s="1046">
        <f>IFERROR(__xludf.DUMMYFUNCTION("""COMPUTED_VALUE"""),1400000.0)</f>
        <v>1400000</v>
      </c>
      <c r="K9" s="1046">
        <f>IFERROR(__xludf.DUMMYFUNCTION("""COMPUTED_VALUE"""),300000.0)</f>
        <v>300000</v>
      </c>
      <c r="L9" s="1046"/>
      <c r="M9" s="1046">
        <f>IFERROR(__xludf.DUMMYFUNCTION("""COMPUTED_VALUE"""),1400000.0)</f>
        <v>1400000</v>
      </c>
      <c r="N9" s="1046">
        <f>IFERROR(__xludf.DUMMYFUNCTION("""COMPUTED_VALUE"""),300000.0)</f>
        <v>300000</v>
      </c>
      <c r="O9" s="1046"/>
      <c r="P9" s="1046">
        <f>IFERROR(__xludf.DUMMYFUNCTION("""COMPUTED_VALUE"""),1400000.0)</f>
        <v>1400000</v>
      </c>
      <c r="Q9" s="1046">
        <f>IFERROR(__xludf.DUMMYFUNCTION("""COMPUTED_VALUE"""),300000.0)</f>
        <v>300000</v>
      </c>
      <c r="R9" s="1046"/>
      <c r="S9" s="1046">
        <f>IFERROR(__xludf.DUMMYFUNCTION("""COMPUTED_VALUE"""),1400000.0)</f>
        <v>1400000</v>
      </c>
      <c r="T9" s="1046">
        <f>IFERROR(__xludf.DUMMYFUNCTION("""COMPUTED_VALUE"""),300000.0)</f>
        <v>300000</v>
      </c>
      <c r="U9" s="1046"/>
      <c r="V9" s="1046">
        <f>IFERROR(__xludf.DUMMYFUNCTION("""COMPUTED_VALUE"""),1400000.0)</f>
        <v>1400000</v>
      </c>
      <c r="W9" s="1046">
        <f>IFERROR(__xludf.DUMMYFUNCTION("""COMPUTED_VALUE"""),300000.0)</f>
        <v>300000</v>
      </c>
      <c r="X9" s="1046"/>
      <c r="Y9" s="1046">
        <f>IFERROR(__xludf.DUMMYFUNCTION("""COMPUTED_VALUE"""),1400000.0)</f>
        <v>1400000</v>
      </c>
      <c r="Z9" s="1046">
        <f>IFERROR(__xludf.DUMMYFUNCTION("""COMPUTED_VALUE"""),300000.0)</f>
        <v>300000</v>
      </c>
      <c r="AA9" s="1046"/>
      <c r="AB9" s="1046">
        <f>IFERROR(__xludf.DUMMYFUNCTION("""COMPUTED_VALUE"""),980000.0)</f>
        <v>980000</v>
      </c>
      <c r="AC9" s="1046">
        <f>IFERROR(__xludf.DUMMYFUNCTION("""COMPUTED_VALUE"""),200000.0)</f>
        <v>200000</v>
      </c>
      <c r="AD9" s="1046"/>
      <c r="AE9" s="1046">
        <f>IFERROR(__xludf.DUMMYFUNCTION("""COMPUTED_VALUE"""),980000.0)</f>
        <v>980000</v>
      </c>
      <c r="AF9" s="1046">
        <f>IFERROR(__xludf.DUMMYFUNCTION("""COMPUTED_VALUE"""),200000.0)</f>
        <v>200000</v>
      </c>
      <c r="AG9" s="1046"/>
      <c r="AH9" s="1046">
        <f>IFERROR(__xludf.DUMMYFUNCTION("""COMPUTED_VALUE"""),980000.0)</f>
        <v>980000</v>
      </c>
      <c r="AI9" s="1046">
        <f>IFERROR(__xludf.DUMMYFUNCTION("""COMPUTED_VALUE"""),200000.0)</f>
        <v>200000</v>
      </c>
      <c r="AJ9" s="1046"/>
      <c r="AK9" s="1046">
        <f>IFERROR(__xludf.DUMMYFUNCTION("""COMPUTED_VALUE"""),980000.0)</f>
        <v>980000</v>
      </c>
      <c r="AL9" s="1046">
        <f>IFERROR(__xludf.DUMMYFUNCTION("""COMPUTED_VALUE"""),200000.0)</f>
        <v>200000</v>
      </c>
    </row>
    <row r="10">
      <c r="A10" s="1330" t="s">
        <v>374</v>
      </c>
      <c r="B10" s="1329">
        <f t="shared" ref="B10:C10" si="9">SUM(D10, G10, J10, M10, P10, S10, V10, Y10, AB10, AE10, AH10, AK10)</f>
        <v>2908000</v>
      </c>
      <c r="C10" s="1329">
        <f t="shared" si="9"/>
        <v>853000</v>
      </c>
      <c r="D10" s="1046">
        <f>IFERROR(__xludf.DUMMYFUNCTION("FILTER('2026정산'!$E$2:$AM$779, ('2026정산'!$A$2:$A$779 = A10) * ('2026정산'!$C$2:$C$779 = ""합계""))"),1970000.0)</f>
        <v>1970000</v>
      </c>
      <c r="E10" s="1046">
        <f>IFERROR(__xludf.DUMMYFUNCTION("""COMPUTED_VALUE"""),540000.0)</f>
        <v>540000</v>
      </c>
      <c r="F10" s="1046"/>
      <c r="G10" s="1046">
        <f>IFERROR(__xludf.DUMMYFUNCTION("""COMPUTED_VALUE"""),568000.0)</f>
        <v>568000</v>
      </c>
      <c r="H10" s="1046">
        <f>IFERROR(__xludf.DUMMYFUNCTION("""COMPUTED_VALUE"""),213000.0)</f>
        <v>213000</v>
      </c>
      <c r="I10" s="1046"/>
      <c r="J10" s="1046">
        <f>IFERROR(__xludf.DUMMYFUNCTION("""COMPUTED_VALUE"""),370000.0)</f>
        <v>370000</v>
      </c>
      <c r="K10" s="1046">
        <f>IFERROR(__xludf.DUMMYFUNCTION("""COMPUTED_VALUE"""),100000.0)</f>
        <v>100000</v>
      </c>
      <c r="L10" s="1046"/>
      <c r="M10" s="1046">
        <f>IFERROR(__xludf.DUMMYFUNCTION("""COMPUTED_VALUE"""),0.0)</f>
        <v>0</v>
      </c>
      <c r="N10" s="1046">
        <f>IFERROR(__xludf.DUMMYFUNCTION("""COMPUTED_VALUE"""),0.0)</f>
        <v>0</v>
      </c>
      <c r="O10" s="1046"/>
      <c r="P10" s="1046">
        <f>IFERROR(__xludf.DUMMYFUNCTION("""COMPUTED_VALUE"""),0.0)</f>
        <v>0</v>
      </c>
      <c r="Q10" s="1046">
        <f>IFERROR(__xludf.DUMMYFUNCTION("""COMPUTED_VALUE"""),0.0)</f>
        <v>0</v>
      </c>
      <c r="R10" s="1046"/>
      <c r="S10" s="1046">
        <f>IFERROR(__xludf.DUMMYFUNCTION("""COMPUTED_VALUE"""),0.0)</f>
        <v>0</v>
      </c>
      <c r="T10" s="1046">
        <f>IFERROR(__xludf.DUMMYFUNCTION("""COMPUTED_VALUE"""),0.0)</f>
        <v>0</v>
      </c>
      <c r="U10" s="1046"/>
      <c r="V10" s="1046">
        <f>IFERROR(__xludf.DUMMYFUNCTION("""COMPUTED_VALUE"""),0.0)</f>
        <v>0</v>
      </c>
      <c r="W10" s="1046">
        <f>IFERROR(__xludf.DUMMYFUNCTION("""COMPUTED_VALUE"""),0.0)</f>
        <v>0</v>
      </c>
      <c r="X10" s="1046"/>
      <c r="Y10" s="1046">
        <f>IFERROR(__xludf.DUMMYFUNCTION("""COMPUTED_VALUE"""),0.0)</f>
        <v>0</v>
      </c>
      <c r="Z10" s="1046">
        <f>IFERROR(__xludf.DUMMYFUNCTION("""COMPUTED_VALUE"""),0.0)</f>
        <v>0</v>
      </c>
      <c r="AA10" s="1046"/>
      <c r="AB10" s="1046">
        <f>IFERROR(__xludf.DUMMYFUNCTION("""COMPUTED_VALUE"""),0.0)</f>
        <v>0</v>
      </c>
      <c r="AC10" s="1046">
        <f>IFERROR(__xludf.DUMMYFUNCTION("""COMPUTED_VALUE"""),0.0)</f>
        <v>0</v>
      </c>
      <c r="AD10" s="1046"/>
      <c r="AE10" s="1046">
        <f>IFERROR(__xludf.DUMMYFUNCTION("""COMPUTED_VALUE"""),0.0)</f>
        <v>0</v>
      </c>
      <c r="AF10" s="1046">
        <f>IFERROR(__xludf.DUMMYFUNCTION("""COMPUTED_VALUE"""),0.0)</f>
        <v>0</v>
      </c>
      <c r="AG10" s="1046"/>
      <c r="AH10" s="1046">
        <f>IFERROR(__xludf.DUMMYFUNCTION("""COMPUTED_VALUE"""),0.0)</f>
        <v>0</v>
      </c>
      <c r="AI10" s="1046">
        <f>IFERROR(__xludf.DUMMYFUNCTION("""COMPUTED_VALUE"""),0.0)</f>
        <v>0</v>
      </c>
      <c r="AJ10" s="1046"/>
      <c r="AK10" s="1046">
        <f>IFERROR(__xludf.DUMMYFUNCTION("""COMPUTED_VALUE"""),0.0)</f>
        <v>0</v>
      </c>
      <c r="AL10" s="1046">
        <f>IFERROR(__xludf.DUMMYFUNCTION("""COMPUTED_VALUE"""),0.0)</f>
        <v>0</v>
      </c>
    </row>
    <row r="11">
      <c r="A11" s="1330" t="s">
        <v>415</v>
      </c>
      <c r="B11" s="1329">
        <f t="shared" ref="B11:C11" si="10">SUM(D11, G11, J11, M11, P11, S11, V11, Y11, AB11, AE11, AH11, AK11)</f>
        <v>26815357</v>
      </c>
      <c r="C11" s="1329">
        <f t="shared" si="10"/>
        <v>5631429</v>
      </c>
      <c r="D11" s="1046">
        <f>IFERROR(__xludf.DUMMYFUNCTION("FILTER('2026정산'!$E$2:$AM$779, ('2026정산'!$A$2:$A$779 = A11) * ('2026정산'!$C$2:$C$779 = ""합계""))"),2910000.0)</f>
        <v>2910000</v>
      </c>
      <c r="E11" s="1046">
        <f>IFERROR(__xludf.DUMMYFUNCTION("""COMPUTED_VALUE"""),600000.0)</f>
        <v>600000</v>
      </c>
      <c r="F11" s="1046"/>
      <c r="G11" s="1046">
        <f>IFERROR(__xludf.DUMMYFUNCTION("""COMPUTED_VALUE"""),2875357.0)</f>
        <v>2875357</v>
      </c>
      <c r="H11" s="1046">
        <f>IFERROR(__xludf.DUMMYFUNCTION("""COMPUTED_VALUE"""),591429.0)</f>
        <v>591429</v>
      </c>
      <c r="I11" s="1046"/>
      <c r="J11" s="1046">
        <f>IFERROR(__xludf.DUMMYFUNCTION("""COMPUTED_VALUE"""),2930000.0)</f>
        <v>2930000</v>
      </c>
      <c r="K11" s="1046">
        <f>IFERROR(__xludf.DUMMYFUNCTION("""COMPUTED_VALUE"""),600000.0)</f>
        <v>600000</v>
      </c>
      <c r="L11" s="1046"/>
      <c r="M11" s="1046">
        <f>IFERROR(__xludf.DUMMYFUNCTION("""COMPUTED_VALUE"""),2300000.0)</f>
        <v>2300000</v>
      </c>
      <c r="N11" s="1046">
        <f>IFERROR(__xludf.DUMMYFUNCTION("""COMPUTED_VALUE"""),480000.0)</f>
        <v>480000</v>
      </c>
      <c r="O11" s="1046"/>
      <c r="P11" s="1046">
        <f>IFERROR(__xludf.DUMMYFUNCTION("""COMPUTED_VALUE"""),2300000.0)</f>
        <v>2300000</v>
      </c>
      <c r="Q11" s="1046">
        <f>IFERROR(__xludf.DUMMYFUNCTION("""COMPUTED_VALUE"""),480000.0)</f>
        <v>480000</v>
      </c>
      <c r="R11" s="1046"/>
      <c r="S11" s="1046">
        <f>IFERROR(__xludf.DUMMYFUNCTION("""COMPUTED_VALUE"""),2300000.0)</f>
        <v>2300000</v>
      </c>
      <c r="T11" s="1046">
        <f>IFERROR(__xludf.DUMMYFUNCTION("""COMPUTED_VALUE"""),480000.0)</f>
        <v>480000</v>
      </c>
      <c r="U11" s="1046"/>
      <c r="V11" s="1046">
        <f>IFERROR(__xludf.DUMMYFUNCTION("""COMPUTED_VALUE"""),2300000.0)</f>
        <v>2300000</v>
      </c>
      <c r="W11" s="1046">
        <f>IFERROR(__xludf.DUMMYFUNCTION("""COMPUTED_VALUE"""),480000.0)</f>
        <v>480000</v>
      </c>
      <c r="X11" s="1046"/>
      <c r="Y11" s="1046">
        <f>IFERROR(__xludf.DUMMYFUNCTION("""COMPUTED_VALUE"""),2300000.0)</f>
        <v>2300000</v>
      </c>
      <c r="Z11" s="1046">
        <f>IFERROR(__xludf.DUMMYFUNCTION("""COMPUTED_VALUE"""),480000.0)</f>
        <v>480000</v>
      </c>
      <c r="AA11" s="1046"/>
      <c r="AB11" s="1046">
        <f>IFERROR(__xludf.DUMMYFUNCTION("""COMPUTED_VALUE"""),1650000.0)</f>
        <v>1650000</v>
      </c>
      <c r="AC11" s="1046">
        <f>IFERROR(__xludf.DUMMYFUNCTION("""COMPUTED_VALUE"""),360000.0)</f>
        <v>360000</v>
      </c>
      <c r="AD11" s="1046"/>
      <c r="AE11" s="1046">
        <f>IFERROR(__xludf.DUMMYFUNCTION("""COMPUTED_VALUE"""),1650000.0)</f>
        <v>1650000</v>
      </c>
      <c r="AF11" s="1046">
        <f>IFERROR(__xludf.DUMMYFUNCTION("""COMPUTED_VALUE"""),360000.0)</f>
        <v>360000</v>
      </c>
      <c r="AG11" s="1046"/>
      <c r="AH11" s="1046">
        <f>IFERROR(__xludf.DUMMYFUNCTION("""COMPUTED_VALUE"""),1650000.0)</f>
        <v>1650000</v>
      </c>
      <c r="AI11" s="1046">
        <f>IFERROR(__xludf.DUMMYFUNCTION("""COMPUTED_VALUE"""),360000.0)</f>
        <v>360000</v>
      </c>
      <c r="AJ11" s="1046"/>
      <c r="AK11" s="1046">
        <f>IFERROR(__xludf.DUMMYFUNCTION("""COMPUTED_VALUE"""),1650000.0)</f>
        <v>1650000</v>
      </c>
      <c r="AL11" s="1046">
        <f>IFERROR(__xludf.DUMMYFUNCTION("""COMPUTED_VALUE"""),360000.0)</f>
        <v>360000</v>
      </c>
    </row>
    <row r="12">
      <c r="A12" s="1330" t="s">
        <v>553</v>
      </c>
      <c r="B12" s="1329">
        <f t="shared" ref="B12:C12" si="11">SUM(D12, G12, J12, M12, P12, S12, V12, Y12, AB12, AE12, AH12, AK12)</f>
        <v>16843537</v>
      </c>
      <c r="C12" s="1329">
        <f t="shared" si="11"/>
        <v>3823848</v>
      </c>
      <c r="D12" s="1046">
        <f>IFERROR(__xludf.DUMMYFUNCTION("FILTER('2026정산'!$E$2:$AM$779, ('2026정산'!$A$2:$A$779 = A12) * ('2026정산'!$C$2:$C$779 = ""합계""))"),1540000.0)</f>
        <v>1540000</v>
      </c>
      <c r="E12" s="1046">
        <f>IFERROR(__xludf.DUMMYFUNCTION("""COMPUTED_VALUE"""),455000.0)</f>
        <v>455000</v>
      </c>
      <c r="F12" s="1046"/>
      <c r="G12" s="1046">
        <f>IFERROR(__xludf.DUMMYFUNCTION("""COMPUTED_VALUE"""),2093214.0)</f>
        <v>2093214</v>
      </c>
      <c r="H12" s="1046">
        <f>IFERROR(__xludf.DUMMYFUNCTION("""COMPUTED_VALUE"""),491429.0)</f>
        <v>491429</v>
      </c>
      <c r="I12" s="1046"/>
      <c r="J12" s="1046">
        <f>IFERROR(__xludf.DUMMYFUNCTION("""COMPUTED_VALUE"""),2330000.0)</f>
        <v>2330000</v>
      </c>
      <c r="K12" s="1046">
        <f>IFERROR(__xludf.DUMMYFUNCTION("""COMPUTED_VALUE"""),500000.0)</f>
        <v>500000</v>
      </c>
      <c r="L12" s="1046"/>
      <c r="M12" s="1046">
        <f>IFERROR(__xludf.DUMMYFUNCTION("""COMPUTED_VALUE"""),1880000.0)</f>
        <v>1880000</v>
      </c>
      <c r="N12" s="1046">
        <f>IFERROR(__xludf.DUMMYFUNCTION("""COMPUTED_VALUE"""),400000.0)</f>
        <v>400000</v>
      </c>
      <c r="O12" s="1046"/>
      <c r="P12" s="1046">
        <f>IFERROR(__xludf.DUMMYFUNCTION("""COMPUTED_VALUE"""),1880000.0)</f>
        <v>1880000</v>
      </c>
      <c r="Q12" s="1046">
        <f>IFERROR(__xludf.DUMMYFUNCTION("""COMPUTED_VALUE"""),400000.0)</f>
        <v>400000</v>
      </c>
      <c r="R12" s="1046"/>
      <c r="S12" s="1046">
        <f>IFERROR(__xludf.DUMMYFUNCTION("""COMPUTED_VALUE"""),1880000.0)</f>
        <v>1880000</v>
      </c>
      <c r="T12" s="1046">
        <f>IFERROR(__xludf.DUMMYFUNCTION("""COMPUTED_VALUE"""),400000.0)</f>
        <v>400000</v>
      </c>
      <c r="U12" s="1046"/>
      <c r="V12" s="1046">
        <f>IFERROR(__xludf.DUMMYFUNCTION("""COMPUTED_VALUE"""),1880000.0)</f>
        <v>1880000</v>
      </c>
      <c r="W12" s="1046">
        <f>IFERROR(__xludf.DUMMYFUNCTION("""COMPUTED_VALUE"""),400000.0)</f>
        <v>400000</v>
      </c>
      <c r="X12" s="1046"/>
      <c r="Y12" s="1046">
        <f>IFERROR(__xludf.DUMMYFUNCTION("""COMPUTED_VALUE"""),1760323.0)</f>
        <v>1760323</v>
      </c>
      <c r="Z12" s="1046">
        <f>IFERROR(__xludf.DUMMYFUNCTION("""COMPUTED_VALUE"""),377419.0)</f>
        <v>377419</v>
      </c>
      <c r="AA12" s="1046"/>
      <c r="AB12" s="1046">
        <f>IFERROR(__xludf.DUMMYFUNCTION("""COMPUTED_VALUE"""),400000.0)</f>
        <v>400000</v>
      </c>
      <c r="AC12" s="1046">
        <f>IFERROR(__xludf.DUMMYFUNCTION("""COMPUTED_VALUE"""),100000.0)</f>
        <v>100000</v>
      </c>
      <c r="AD12" s="1046"/>
      <c r="AE12" s="1046">
        <f>IFERROR(__xludf.DUMMYFUNCTION("""COMPUTED_VALUE"""),400000.0)</f>
        <v>400000</v>
      </c>
      <c r="AF12" s="1046">
        <f>IFERROR(__xludf.DUMMYFUNCTION("""COMPUTED_VALUE"""),100000.0)</f>
        <v>100000</v>
      </c>
      <c r="AG12" s="1046"/>
      <c r="AH12" s="1046">
        <f>IFERROR(__xludf.DUMMYFUNCTION("""COMPUTED_VALUE"""),400000.0)</f>
        <v>400000</v>
      </c>
      <c r="AI12" s="1046">
        <f>IFERROR(__xludf.DUMMYFUNCTION("""COMPUTED_VALUE"""),100000.0)</f>
        <v>100000</v>
      </c>
      <c r="AJ12" s="1046"/>
      <c r="AK12" s="1046">
        <f>IFERROR(__xludf.DUMMYFUNCTION("""COMPUTED_VALUE"""),400000.0)</f>
        <v>400000</v>
      </c>
      <c r="AL12" s="1046">
        <f>IFERROR(__xludf.DUMMYFUNCTION("""COMPUTED_VALUE"""),100000.0)</f>
        <v>100000</v>
      </c>
    </row>
    <row r="13">
      <c r="A13" s="1330" t="s">
        <v>474</v>
      </c>
      <c r="B13" s="1329">
        <f t="shared" ref="B13:C13" si="12">SUM(D13, G13, J13, M13, P13, S13, V13, Y13, AB13, AE13, AH13, AK13)</f>
        <v>27872143</v>
      </c>
      <c r="C13" s="1329">
        <f t="shared" si="12"/>
        <v>5592857</v>
      </c>
      <c r="D13" s="1046">
        <f>IFERROR(__xludf.DUMMYFUNCTION("FILTER('2026정산'!$E$2:$AM$779, ('2026정산'!$A$2:$A$779 = A13) * ('2026정산'!$C$2:$C$779 = ""합계""))"),2280000.0)</f>
        <v>2280000</v>
      </c>
      <c r="E13" s="1046">
        <f>IFERROR(__xludf.DUMMYFUNCTION("""COMPUTED_VALUE"""),500000.0)</f>
        <v>500000</v>
      </c>
      <c r="F13" s="1046"/>
      <c r="G13" s="1046">
        <f>IFERROR(__xludf.DUMMYFUNCTION("""COMPUTED_VALUE"""),2232143.0)</f>
        <v>2232143</v>
      </c>
      <c r="H13" s="1046">
        <f>IFERROR(__xludf.DUMMYFUNCTION("""COMPUTED_VALUE"""),492857.0)</f>
        <v>492857</v>
      </c>
      <c r="I13" s="1046"/>
      <c r="J13" s="1046">
        <f>IFERROR(__xludf.DUMMYFUNCTION("""COMPUTED_VALUE"""),2520000.0)</f>
        <v>2520000</v>
      </c>
      <c r="K13" s="1046">
        <f>IFERROR(__xludf.DUMMYFUNCTION("""COMPUTED_VALUE"""),500000.0)</f>
        <v>500000</v>
      </c>
      <c r="L13" s="1046"/>
      <c r="M13" s="1046">
        <f>IFERROR(__xludf.DUMMYFUNCTION("""COMPUTED_VALUE"""),2520000.0)</f>
        <v>2520000</v>
      </c>
      <c r="N13" s="1046">
        <f>IFERROR(__xludf.DUMMYFUNCTION("""COMPUTED_VALUE"""),500000.0)</f>
        <v>500000</v>
      </c>
      <c r="O13" s="1046"/>
      <c r="P13" s="1046">
        <f>IFERROR(__xludf.DUMMYFUNCTION("""COMPUTED_VALUE"""),2520000.0)</f>
        <v>2520000</v>
      </c>
      <c r="Q13" s="1046">
        <f>IFERROR(__xludf.DUMMYFUNCTION("""COMPUTED_VALUE"""),500000.0)</f>
        <v>500000</v>
      </c>
      <c r="R13" s="1046"/>
      <c r="S13" s="1046">
        <f>IFERROR(__xludf.DUMMYFUNCTION("""COMPUTED_VALUE"""),2520000.0)</f>
        <v>2520000</v>
      </c>
      <c r="T13" s="1046">
        <f>IFERROR(__xludf.DUMMYFUNCTION("""COMPUTED_VALUE"""),500000.0)</f>
        <v>500000</v>
      </c>
      <c r="U13" s="1046"/>
      <c r="V13" s="1046">
        <f>IFERROR(__xludf.DUMMYFUNCTION("""COMPUTED_VALUE"""),2520000.0)</f>
        <v>2520000</v>
      </c>
      <c r="W13" s="1046">
        <f>IFERROR(__xludf.DUMMYFUNCTION("""COMPUTED_VALUE"""),500000.0)</f>
        <v>500000</v>
      </c>
      <c r="X13" s="1046"/>
      <c r="Y13" s="1046">
        <f>IFERROR(__xludf.DUMMYFUNCTION("""COMPUTED_VALUE"""),2520000.0)</f>
        <v>2520000</v>
      </c>
      <c r="Z13" s="1046">
        <f>IFERROR(__xludf.DUMMYFUNCTION("""COMPUTED_VALUE"""),500000.0)</f>
        <v>500000</v>
      </c>
      <c r="AA13" s="1046"/>
      <c r="AB13" s="1046">
        <f>IFERROR(__xludf.DUMMYFUNCTION("""COMPUTED_VALUE"""),2060000.0)</f>
        <v>2060000</v>
      </c>
      <c r="AC13" s="1046">
        <f>IFERROR(__xludf.DUMMYFUNCTION("""COMPUTED_VALUE"""),400000.0)</f>
        <v>400000</v>
      </c>
      <c r="AD13" s="1046"/>
      <c r="AE13" s="1046">
        <f>IFERROR(__xludf.DUMMYFUNCTION("""COMPUTED_VALUE"""),2060000.0)</f>
        <v>2060000</v>
      </c>
      <c r="AF13" s="1046">
        <f>IFERROR(__xludf.DUMMYFUNCTION("""COMPUTED_VALUE"""),400000.0)</f>
        <v>400000</v>
      </c>
      <c r="AG13" s="1046"/>
      <c r="AH13" s="1046">
        <f>IFERROR(__xludf.DUMMYFUNCTION("""COMPUTED_VALUE"""),2060000.0)</f>
        <v>2060000</v>
      </c>
      <c r="AI13" s="1046">
        <f>IFERROR(__xludf.DUMMYFUNCTION("""COMPUTED_VALUE"""),400000.0)</f>
        <v>400000</v>
      </c>
      <c r="AJ13" s="1046"/>
      <c r="AK13" s="1046">
        <f>IFERROR(__xludf.DUMMYFUNCTION("""COMPUTED_VALUE"""),2060000.0)</f>
        <v>2060000</v>
      </c>
      <c r="AL13" s="1046">
        <f>IFERROR(__xludf.DUMMYFUNCTION("""COMPUTED_VALUE"""),400000.0)</f>
        <v>400000</v>
      </c>
    </row>
    <row r="14">
      <c r="A14" s="1330" t="s">
        <v>448</v>
      </c>
      <c r="B14" s="1329">
        <f t="shared" ref="B14:C14" si="13">SUM(D14, G14, J14, M14, P14, S14, V14, Y14, AB14, AE14, AH14, AK14)</f>
        <v>23406071</v>
      </c>
      <c r="C14" s="1329">
        <f t="shared" si="13"/>
        <v>4503571</v>
      </c>
      <c r="D14" s="1046">
        <f>IFERROR(__xludf.DUMMYFUNCTION("FILTER('2026정산'!$E$2:$AM$779, ('2026정산'!$A$2:$A$779 = A14) * ('2026정산'!$C$2:$C$779 = ""합계""))"),1980000.0)</f>
        <v>1980000</v>
      </c>
      <c r="E14" s="1046">
        <f>IFERROR(__xludf.DUMMYFUNCTION("""COMPUTED_VALUE"""),400000.0)</f>
        <v>400000</v>
      </c>
      <c r="F14" s="1046"/>
      <c r="G14" s="1046">
        <f>IFERROR(__xludf.DUMMYFUNCTION("""COMPUTED_VALUE"""),1996071.0)</f>
        <v>1996071</v>
      </c>
      <c r="H14" s="1046">
        <f>IFERROR(__xludf.DUMMYFUNCTION("""COMPUTED_VALUE"""),403571.0)</f>
        <v>403571</v>
      </c>
      <c r="I14" s="1046"/>
      <c r="J14" s="1046">
        <f>IFERROR(__xludf.DUMMYFUNCTION("""COMPUTED_VALUE"""),2610000.0)</f>
        <v>2610000</v>
      </c>
      <c r="K14" s="1046">
        <f>IFERROR(__xludf.DUMMYFUNCTION("""COMPUTED_VALUE"""),500000.0)</f>
        <v>500000</v>
      </c>
      <c r="L14" s="1046"/>
      <c r="M14" s="1046">
        <f>IFERROR(__xludf.DUMMYFUNCTION("""COMPUTED_VALUE"""),2610000.0)</f>
        <v>2610000</v>
      </c>
      <c r="N14" s="1046">
        <f>IFERROR(__xludf.DUMMYFUNCTION("""COMPUTED_VALUE"""),500000.0)</f>
        <v>500000</v>
      </c>
      <c r="O14" s="1046"/>
      <c r="P14" s="1046">
        <f>IFERROR(__xludf.DUMMYFUNCTION("""COMPUTED_VALUE"""),2610000.0)</f>
        <v>2610000</v>
      </c>
      <c r="Q14" s="1046">
        <f>IFERROR(__xludf.DUMMYFUNCTION("""COMPUTED_VALUE"""),500000.0)</f>
        <v>500000</v>
      </c>
      <c r="R14" s="1046"/>
      <c r="S14" s="1046">
        <f>IFERROR(__xludf.DUMMYFUNCTION("""COMPUTED_VALUE"""),2610000.0)</f>
        <v>2610000</v>
      </c>
      <c r="T14" s="1046">
        <f>IFERROR(__xludf.DUMMYFUNCTION("""COMPUTED_VALUE"""),500000.0)</f>
        <v>500000</v>
      </c>
      <c r="U14" s="1046"/>
      <c r="V14" s="1046">
        <f>IFERROR(__xludf.DUMMYFUNCTION("""COMPUTED_VALUE"""),2610000.0)</f>
        <v>2610000</v>
      </c>
      <c r="W14" s="1046">
        <f>IFERROR(__xludf.DUMMYFUNCTION("""COMPUTED_VALUE"""),500000.0)</f>
        <v>500000</v>
      </c>
      <c r="X14" s="1046"/>
      <c r="Y14" s="1046">
        <f>IFERROR(__xludf.DUMMYFUNCTION("""COMPUTED_VALUE"""),2060000.0)</f>
        <v>2060000</v>
      </c>
      <c r="Z14" s="1046">
        <f>IFERROR(__xludf.DUMMYFUNCTION("""COMPUTED_VALUE"""),400000.0)</f>
        <v>400000</v>
      </c>
      <c r="AA14" s="1046"/>
      <c r="AB14" s="1046">
        <f>IFERROR(__xludf.DUMMYFUNCTION("""COMPUTED_VALUE"""),1080000.0)</f>
        <v>1080000</v>
      </c>
      <c r="AC14" s="1046">
        <f>IFERROR(__xludf.DUMMYFUNCTION("""COMPUTED_VALUE"""),200000.0)</f>
        <v>200000</v>
      </c>
      <c r="AD14" s="1046"/>
      <c r="AE14" s="1046">
        <f>IFERROR(__xludf.DUMMYFUNCTION("""COMPUTED_VALUE"""),1080000.0)</f>
        <v>1080000</v>
      </c>
      <c r="AF14" s="1046">
        <f>IFERROR(__xludf.DUMMYFUNCTION("""COMPUTED_VALUE"""),200000.0)</f>
        <v>200000</v>
      </c>
      <c r="AG14" s="1046"/>
      <c r="AH14" s="1046">
        <f>IFERROR(__xludf.DUMMYFUNCTION("""COMPUTED_VALUE"""),1080000.0)</f>
        <v>1080000</v>
      </c>
      <c r="AI14" s="1046">
        <f>IFERROR(__xludf.DUMMYFUNCTION("""COMPUTED_VALUE"""),200000.0)</f>
        <v>200000</v>
      </c>
      <c r="AJ14" s="1046"/>
      <c r="AK14" s="1046">
        <f>IFERROR(__xludf.DUMMYFUNCTION("""COMPUTED_VALUE"""),1080000.0)</f>
        <v>1080000</v>
      </c>
      <c r="AL14" s="1046">
        <f>IFERROR(__xludf.DUMMYFUNCTION("""COMPUTED_VALUE"""),200000.0)</f>
        <v>200000</v>
      </c>
    </row>
    <row r="15">
      <c r="A15" s="1330" t="s">
        <v>505</v>
      </c>
      <c r="B15" s="1329">
        <f t="shared" ref="B15:C15" si="14">SUM(D15, G15, J15, M15, P15, S15, V15, Y15, AB15, AE15, AH15, AK15)</f>
        <v>38187524</v>
      </c>
      <c r="C15" s="1329">
        <f t="shared" si="14"/>
        <v>8282119</v>
      </c>
      <c r="D15" s="1046">
        <f>IFERROR(__xludf.DUMMYFUNCTION("FILTER('2026정산'!$E$2:$AM$779, ('2026정산'!$A$2:$A$779 = A15) * ('2026정산'!$C$2:$C$779 = ""합계""))"),3240000.0)</f>
        <v>3240000</v>
      </c>
      <c r="E15" s="1046">
        <f>IFERROR(__xludf.DUMMYFUNCTION("""COMPUTED_VALUE"""),680000.0)</f>
        <v>680000</v>
      </c>
      <c r="F15" s="1046"/>
      <c r="G15" s="1046">
        <f>IFERROR(__xludf.DUMMYFUNCTION("""COMPUTED_VALUE"""),4531072.0)</f>
        <v>4531072</v>
      </c>
      <c r="H15" s="1046">
        <f>IFERROR(__xludf.DUMMYFUNCTION("""COMPUTED_VALUE"""),988571.0)</f>
        <v>988571</v>
      </c>
      <c r="I15" s="1046"/>
      <c r="J15" s="1046">
        <f>IFERROR(__xludf.DUMMYFUNCTION("""COMPUTED_VALUE"""),4173226.0)</f>
        <v>4173226</v>
      </c>
      <c r="K15" s="1046">
        <f>IFERROR(__xludf.DUMMYFUNCTION("""COMPUTED_VALUE"""),916774.0)</f>
        <v>916774</v>
      </c>
      <c r="L15" s="1046"/>
      <c r="M15" s="1046">
        <f>IFERROR(__xludf.DUMMYFUNCTION("""COMPUTED_VALUE"""),3210000.0)</f>
        <v>3210000</v>
      </c>
      <c r="N15" s="1046">
        <f>IFERROR(__xludf.DUMMYFUNCTION("""COMPUTED_VALUE"""),700000.0)</f>
        <v>700000</v>
      </c>
      <c r="O15" s="1046"/>
      <c r="P15" s="1046">
        <f>IFERROR(__xludf.DUMMYFUNCTION("""COMPUTED_VALUE"""),3210000.0)</f>
        <v>3210000</v>
      </c>
      <c r="Q15" s="1046">
        <f>IFERROR(__xludf.DUMMYFUNCTION("""COMPUTED_VALUE"""),700000.0)</f>
        <v>700000</v>
      </c>
      <c r="R15" s="1046"/>
      <c r="S15" s="1046">
        <f>IFERROR(__xludf.DUMMYFUNCTION("""COMPUTED_VALUE"""),3210000.0)</f>
        <v>3210000</v>
      </c>
      <c r="T15" s="1046">
        <f>IFERROR(__xludf.DUMMYFUNCTION("""COMPUTED_VALUE"""),700000.0)</f>
        <v>700000</v>
      </c>
      <c r="U15" s="1046"/>
      <c r="V15" s="1046">
        <f>IFERROR(__xludf.DUMMYFUNCTION("""COMPUTED_VALUE"""),3210000.0)</f>
        <v>3210000</v>
      </c>
      <c r="W15" s="1046">
        <f>IFERROR(__xludf.DUMMYFUNCTION("""COMPUTED_VALUE"""),700000.0)</f>
        <v>700000</v>
      </c>
      <c r="X15" s="1046"/>
      <c r="Y15" s="1046">
        <f>IFERROR(__xludf.DUMMYFUNCTION("""COMPUTED_VALUE"""),3113226.0)</f>
        <v>3113226</v>
      </c>
      <c r="Z15" s="1046">
        <f>IFERROR(__xludf.DUMMYFUNCTION("""COMPUTED_VALUE"""),676774.0)</f>
        <v>676774</v>
      </c>
      <c r="AA15" s="1046"/>
      <c r="AB15" s="1046">
        <f>IFERROR(__xludf.DUMMYFUNCTION("""COMPUTED_VALUE"""),2710000.0)</f>
        <v>2710000</v>
      </c>
      <c r="AC15" s="1046">
        <f>IFERROR(__xludf.DUMMYFUNCTION("""COMPUTED_VALUE"""),580000.0)</f>
        <v>580000</v>
      </c>
      <c r="AD15" s="1046"/>
      <c r="AE15" s="1046">
        <f>IFERROR(__xludf.DUMMYFUNCTION("""COMPUTED_VALUE"""),2710000.0)</f>
        <v>2710000</v>
      </c>
      <c r="AF15" s="1046">
        <f>IFERROR(__xludf.DUMMYFUNCTION("""COMPUTED_VALUE"""),580000.0)</f>
        <v>580000</v>
      </c>
      <c r="AG15" s="1046"/>
      <c r="AH15" s="1046">
        <f>IFERROR(__xludf.DUMMYFUNCTION("""COMPUTED_VALUE"""),2710000.0)</f>
        <v>2710000</v>
      </c>
      <c r="AI15" s="1046">
        <f>IFERROR(__xludf.DUMMYFUNCTION("""COMPUTED_VALUE"""),580000.0)</f>
        <v>580000</v>
      </c>
      <c r="AJ15" s="1046"/>
      <c r="AK15" s="1046">
        <f>IFERROR(__xludf.DUMMYFUNCTION("""COMPUTED_VALUE"""),2160000.0)</f>
        <v>2160000</v>
      </c>
      <c r="AL15" s="1046">
        <f>IFERROR(__xludf.DUMMYFUNCTION("""COMPUTED_VALUE"""),480000.0)</f>
        <v>480000</v>
      </c>
    </row>
    <row r="16">
      <c r="A16" s="1330" t="s">
        <v>577</v>
      </c>
      <c r="B16" s="1329">
        <f t="shared" ref="B16:C16" si="15">SUM(D16, G16, J16, M16, P16, S16, V16, Y16, AB16, AE16, AH16, AK16)</f>
        <v>21132086</v>
      </c>
      <c r="C16" s="1329">
        <f t="shared" si="15"/>
        <v>4901429</v>
      </c>
      <c r="D16" s="1046">
        <f>IFERROR(__xludf.DUMMYFUNCTION("FILTER('2026정산'!$E$2:$AM$779, ('2026정산'!$A$2:$A$779 = A16) * ('2026정산'!$C$2:$C$779 = ""합계""))"),2091600.0)</f>
        <v>2091600</v>
      </c>
      <c r="E16" s="1046">
        <f>IFERROR(__xludf.DUMMYFUNCTION("""COMPUTED_VALUE"""),460000.0)</f>
        <v>460000</v>
      </c>
      <c r="F16" s="1046"/>
      <c r="G16" s="1046">
        <f>IFERROR(__xludf.DUMMYFUNCTION("""COMPUTED_VALUE"""),2170886.0)</f>
        <v>2170886</v>
      </c>
      <c r="H16" s="1046">
        <f>IFERROR(__xludf.DUMMYFUNCTION("""COMPUTED_VALUE"""),481429.0)</f>
        <v>481429</v>
      </c>
      <c r="I16" s="1046"/>
      <c r="J16" s="1046">
        <f>IFERROR(__xludf.DUMMYFUNCTION("""COMPUTED_VALUE"""),2071600.0)</f>
        <v>2071600</v>
      </c>
      <c r="K16" s="1046">
        <f>IFERROR(__xludf.DUMMYFUNCTION("""COMPUTED_VALUE"""),460000.0)</f>
        <v>460000</v>
      </c>
      <c r="L16" s="1046"/>
      <c r="M16" s="1046">
        <f>IFERROR(__xludf.DUMMYFUNCTION("""COMPUTED_VALUE"""),2071600.0)</f>
        <v>2071600</v>
      </c>
      <c r="N16" s="1046">
        <f>IFERROR(__xludf.DUMMYFUNCTION("""COMPUTED_VALUE"""),460000.0)</f>
        <v>460000</v>
      </c>
      <c r="O16" s="1046"/>
      <c r="P16" s="1046">
        <f>IFERROR(__xludf.DUMMYFUNCTION("""COMPUTED_VALUE"""),2071600.0)</f>
        <v>2071600</v>
      </c>
      <c r="Q16" s="1046">
        <f>IFERROR(__xludf.DUMMYFUNCTION("""COMPUTED_VALUE"""),460000.0)</f>
        <v>460000</v>
      </c>
      <c r="R16" s="1046"/>
      <c r="S16" s="1046">
        <f>IFERROR(__xludf.DUMMYFUNCTION("""COMPUTED_VALUE"""),2071600.0)</f>
        <v>2071600</v>
      </c>
      <c r="T16" s="1046">
        <f>IFERROR(__xludf.DUMMYFUNCTION("""COMPUTED_VALUE"""),460000.0)</f>
        <v>460000</v>
      </c>
      <c r="U16" s="1046"/>
      <c r="V16" s="1046">
        <f>IFERROR(__xludf.DUMMYFUNCTION("""COMPUTED_VALUE"""),2071600.0)</f>
        <v>2071600</v>
      </c>
      <c r="W16" s="1046">
        <f>IFERROR(__xludf.DUMMYFUNCTION("""COMPUTED_VALUE"""),460000.0)</f>
        <v>460000</v>
      </c>
      <c r="X16" s="1046"/>
      <c r="Y16" s="1046">
        <f>IFERROR(__xludf.DUMMYFUNCTION("""COMPUTED_VALUE"""),2071600.0)</f>
        <v>2071600</v>
      </c>
      <c r="Z16" s="1046">
        <f>IFERROR(__xludf.DUMMYFUNCTION("""COMPUTED_VALUE"""),460000.0)</f>
        <v>460000</v>
      </c>
      <c r="AA16" s="1046"/>
      <c r="AB16" s="1046">
        <f>IFERROR(__xludf.DUMMYFUNCTION("""COMPUTED_VALUE"""),1110000.0)</f>
        <v>1110000</v>
      </c>
      <c r="AC16" s="1046">
        <f>IFERROR(__xludf.DUMMYFUNCTION("""COMPUTED_VALUE"""),300000.0)</f>
        <v>300000</v>
      </c>
      <c r="AD16" s="1046"/>
      <c r="AE16" s="1046">
        <f>IFERROR(__xludf.DUMMYFUNCTION("""COMPUTED_VALUE"""),1110000.0)</f>
        <v>1110000</v>
      </c>
      <c r="AF16" s="1046">
        <f>IFERROR(__xludf.DUMMYFUNCTION("""COMPUTED_VALUE"""),300000.0)</f>
        <v>300000</v>
      </c>
      <c r="AG16" s="1046"/>
      <c r="AH16" s="1046">
        <f>IFERROR(__xludf.DUMMYFUNCTION("""COMPUTED_VALUE"""),1110000.0)</f>
        <v>1110000</v>
      </c>
      <c r="AI16" s="1046">
        <f>IFERROR(__xludf.DUMMYFUNCTION("""COMPUTED_VALUE"""),300000.0)</f>
        <v>300000</v>
      </c>
      <c r="AJ16" s="1046"/>
      <c r="AK16" s="1046">
        <f>IFERROR(__xludf.DUMMYFUNCTION("""COMPUTED_VALUE"""),1110000.0)</f>
        <v>1110000</v>
      </c>
      <c r="AL16" s="1046">
        <f>IFERROR(__xludf.DUMMYFUNCTION("""COMPUTED_VALUE"""),300000.0)</f>
        <v>300000</v>
      </c>
    </row>
    <row r="17">
      <c r="A17" s="1328" t="s">
        <v>598</v>
      </c>
      <c r="B17" s="1329">
        <f t="shared" ref="B17:C17" si="16">SUM(D17, G17, J17, M17, P17, S17, V17, Y17, AB17, AE17, AH17, AK17)</f>
        <v>18712685</v>
      </c>
      <c r="C17" s="1329">
        <f t="shared" si="16"/>
        <v>3825000</v>
      </c>
      <c r="D17" s="1046">
        <f>IFERROR(__xludf.DUMMYFUNCTION("FILTER('2026정산'!$E$2:$AM$779, ('2026정산'!$A$2:$A$779 = A17) * ('2026정산'!$C$2:$C$779 = ""합계""))"),1300000.0)</f>
        <v>1300000</v>
      </c>
      <c r="E17" s="1046">
        <f>IFERROR(__xludf.DUMMYFUNCTION("""COMPUTED_VALUE"""),300000.0)</f>
        <v>300000</v>
      </c>
      <c r="F17" s="1046"/>
      <c r="G17" s="1046">
        <f>IFERROR(__xludf.DUMMYFUNCTION("""COMPUTED_VALUE"""),1539285.0)</f>
        <v>1539285</v>
      </c>
      <c r="H17" s="1046">
        <f>IFERROR(__xludf.DUMMYFUNCTION("""COMPUTED_VALUE"""),325000.0)</f>
        <v>325000</v>
      </c>
      <c r="I17" s="1046"/>
      <c r="J17" s="1046">
        <f>IFERROR(__xludf.DUMMYFUNCTION("""COMPUTED_VALUE"""),2023340.0)</f>
        <v>2023340</v>
      </c>
      <c r="K17" s="1046">
        <f>IFERROR(__xludf.DUMMYFUNCTION("""COMPUTED_VALUE"""),400000.0)</f>
        <v>400000</v>
      </c>
      <c r="L17" s="1046"/>
      <c r="M17" s="1046">
        <f>IFERROR(__xludf.DUMMYFUNCTION("""COMPUTED_VALUE"""),2023340.0)</f>
        <v>2023340</v>
      </c>
      <c r="N17" s="1046">
        <f>IFERROR(__xludf.DUMMYFUNCTION("""COMPUTED_VALUE"""),400000.0)</f>
        <v>400000</v>
      </c>
      <c r="O17" s="1046"/>
      <c r="P17" s="1046">
        <f>IFERROR(__xludf.DUMMYFUNCTION("""COMPUTED_VALUE"""),2023340.0)</f>
        <v>2023340</v>
      </c>
      <c r="Q17" s="1046">
        <f>IFERROR(__xludf.DUMMYFUNCTION("""COMPUTED_VALUE"""),400000.0)</f>
        <v>400000</v>
      </c>
      <c r="R17" s="1046"/>
      <c r="S17" s="1046">
        <f>IFERROR(__xludf.DUMMYFUNCTION("""COMPUTED_VALUE"""),2023340.0)</f>
        <v>2023340</v>
      </c>
      <c r="T17" s="1046">
        <f>IFERROR(__xludf.DUMMYFUNCTION("""COMPUTED_VALUE"""),400000.0)</f>
        <v>400000</v>
      </c>
      <c r="U17" s="1046"/>
      <c r="V17" s="1046">
        <f>IFERROR(__xludf.DUMMYFUNCTION("""COMPUTED_VALUE"""),2023340.0)</f>
        <v>2023340</v>
      </c>
      <c r="W17" s="1046">
        <f>IFERROR(__xludf.DUMMYFUNCTION("""COMPUTED_VALUE"""),400000.0)</f>
        <v>400000</v>
      </c>
      <c r="X17" s="1046"/>
      <c r="Y17" s="1046">
        <f>IFERROR(__xludf.DUMMYFUNCTION("""COMPUTED_VALUE"""),2023340.0)</f>
        <v>2023340</v>
      </c>
      <c r="Z17" s="1046">
        <f>IFERROR(__xludf.DUMMYFUNCTION("""COMPUTED_VALUE"""),400000.0)</f>
        <v>400000</v>
      </c>
      <c r="AA17" s="1046"/>
      <c r="AB17" s="1046">
        <f>IFERROR(__xludf.DUMMYFUNCTION("""COMPUTED_VALUE"""),933340.0)</f>
        <v>933340</v>
      </c>
      <c r="AC17" s="1046">
        <f>IFERROR(__xludf.DUMMYFUNCTION("""COMPUTED_VALUE"""),200000.0)</f>
        <v>200000</v>
      </c>
      <c r="AD17" s="1046"/>
      <c r="AE17" s="1046">
        <f>IFERROR(__xludf.DUMMYFUNCTION("""COMPUTED_VALUE"""),933340.0)</f>
        <v>933340</v>
      </c>
      <c r="AF17" s="1046">
        <f>IFERROR(__xludf.DUMMYFUNCTION("""COMPUTED_VALUE"""),200000.0)</f>
        <v>200000</v>
      </c>
      <c r="AG17" s="1046"/>
      <c r="AH17" s="1046">
        <f>IFERROR(__xludf.DUMMYFUNCTION("""COMPUTED_VALUE"""),933340.0)</f>
        <v>933340</v>
      </c>
      <c r="AI17" s="1046">
        <f>IFERROR(__xludf.DUMMYFUNCTION("""COMPUTED_VALUE"""),200000.0)</f>
        <v>200000</v>
      </c>
      <c r="AJ17" s="1046"/>
      <c r="AK17" s="1046">
        <f>IFERROR(__xludf.DUMMYFUNCTION("""COMPUTED_VALUE"""),933340.0)</f>
        <v>933340</v>
      </c>
      <c r="AL17" s="1046">
        <f>IFERROR(__xludf.DUMMYFUNCTION("""COMPUTED_VALUE"""),200000.0)</f>
        <v>200000</v>
      </c>
    </row>
    <row r="18">
      <c r="A18" s="1330" t="s">
        <v>629</v>
      </c>
      <c r="B18" s="1329">
        <f t="shared" ref="B18:C18" si="17">SUM(D18, G18, J18, M18, P18, S18, V18, Y18, AB18, AE18, AH18, AK18)</f>
        <v>20359032</v>
      </c>
      <c r="C18" s="1329">
        <f t="shared" si="17"/>
        <v>3684516</v>
      </c>
      <c r="D18" s="1046">
        <f>IFERROR(__xludf.DUMMYFUNCTION("FILTER('2026정산'!$E$2:$AM$779, ('2026정산'!$A$2:$A$779 = A18) * ('2026정산'!$C$2:$C$779 = ""합계""))"),1550000.0)</f>
        <v>1550000</v>
      </c>
      <c r="E18" s="1046">
        <f>IFERROR(__xludf.DUMMYFUNCTION("""COMPUTED_VALUE"""),260000.0)</f>
        <v>260000</v>
      </c>
      <c r="F18" s="1046"/>
      <c r="G18" s="1046">
        <f>IFERROR(__xludf.DUMMYFUNCTION("""COMPUTED_VALUE"""),1550000.0)</f>
        <v>1550000</v>
      </c>
      <c r="H18" s="1046">
        <f>IFERROR(__xludf.DUMMYFUNCTION("""COMPUTED_VALUE"""),260000.0)</f>
        <v>260000</v>
      </c>
      <c r="I18" s="1046"/>
      <c r="J18" s="1046">
        <f>IFERROR(__xludf.DUMMYFUNCTION("""COMPUTED_VALUE"""),1959032.0)</f>
        <v>1959032</v>
      </c>
      <c r="K18" s="1046">
        <f>IFERROR(__xludf.DUMMYFUNCTION("""COMPUTED_VALUE"""),364516.0)</f>
        <v>364516</v>
      </c>
      <c r="L18" s="1046"/>
      <c r="M18" s="1046">
        <f>IFERROR(__xludf.DUMMYFUNCTION("""COMPUTED_VALUE"""),2140000.0)</f>
        <v>2140000</v>
      </c>
      <c r="N18" s="1046">
        <f>IFERROR(__xludf.DUMMYFUNCTION("""COMPUTED_VALUE"""),400000.0)</f>
        <v>400000</v>
      </c>
      <c r="O18" s="1046"/>
      <c r="P18" s="1046">
        <f>IFERROR(__xludf.DUMMYFUNCTION("""COMPUTED_VALUE"""),2140000.0)</f>
        <v>2140000</v>
      </c>
      <c r="Q18" s="1046">
        <f>IFERROR(__xludf.DUMMYFUNCTION("""COMPUTED_VALUE"""),400000.0)</f>
        <v>400000</v>
      </c>
      <c r="R18" s="1046"/>
      <c r="S18" s="1046">
        <f>IFERROR(__xludf.DUMMYFUNCTION("""COMPUTED_VALUE"""),2140000.0)</f>
        <v>2140000</v>
      </c>
      <c r="T18" s="1046">
        <f>IFERROR(__xludf.DUMMYFUNCTION("""COMPUTED_VALUE"""),400000.0)</f>
        <v>400000</v>
      </c>
      <c r="U18" s="1046"/>
      <c r="V18" s="1046">
        <f>IFERROR(__xludf.DUMMYFUNCTION("""COMPUTED_VALUE"""),2140000.0)</f>
        <v>2140000</v>
      </c>
      <c r="W18" s="1046">
        <f>IFERROR(__xludf.DUMMYFUNCTION("""COMPUTED_VALUE"""),400000.0)</f>
        <v>400000</v>
      </c>
      <c r="X18" s="1046"/>
      <c r="Y18" s="1046">
        <f>IFERROR(__xludf.DUMMYFUNCTION("""COMPUTED_VALUE"""),2140000.0)</f>
        <v>2140000</v>
      </c>
      <c r="Z18" s="1046">
        <f>IFERROR(__xludf.DUMMYFUNCTION("""COMPUTED_VALUE"""),400000.0)</f>
        <v>400000</v>
      </c>
      <c r="AA18" s="1046"/>
      <c r="AB18" s="1046">
        <f>IFERROR(__xludf.DUMMYFUNCTION("""COMPUTED_VALUE"""),1150000.0)</f>
        <v>1150000</v>
      </c>
      <c r="AC18" s="1046">
        <f>IFERROR(__xludf.DUMMYFUNCTION("""COMPUTED_VALUE"""),200000.0)</f>
        <v>200000</v>
      </c>
      <c r="AD18" s="1046"/>
      <c r="AE18" s="1046">
        <f>IFERROR(__xludf.DUMMYFUNCTION("""COMPUTED_VALUE"""),1150000.0)</f>
        <v>1150000</v>
      </c>
      <c r="AF18" s="1046">
        <f>IFERROR(__xludf.DUMMYFUNCTION("""COMPUTED_VALUE"""),200000.0)</f>
        <v>200000</v>
      </c>
      <c r="AG18" s="1046"/>
      <c r="AH18" s="1046">
        <f>IFERROR(__xludf.DUMMYFUNCTION("""COMPUTED_VALUE"""),1150000.0)</f>
        <v>1150000</v>
      </c>
      <c r="AI18" s="1046">
        <f>IFERROR(__xludf.DUMMYFUNCTION("""COMPUTED_VALUE"""),200000.0)</f>
        <v>200000</v>
      </c>
      <c r="AJ18" s="1046"/>
      <c r="AK18" s="1046">
        <f>IFERROR(__xludf.DUMMYFUNCTION("""COMPUTED_VALUE"""),1150000.0)</f>
        <v>1150000</v>
      </c>
      <c r="AL18" s="1046">
        <f>IFERROR(__xludf.DUMMYFUNCTION("""COMPUTED_VALUE"""),200000.0)</f>
        <v>200000</v>
      </c>
    </row>
    <row r="19">
      <c r="A19" s="1330" t="s">
        <v>610</v>
      </c>
      <c r="B19" s="1329">
        <f t="shared" ref="B19:C19" si="18">SUM(D19, G19, J19, M19, P19, S19, V19, Y19, AB19, AE19, AH19, AK19)</f>
        <v>32073042</v>
      </c>
      <c r="C19" s="1329">
        <f t="shared" si="18"/>
        <v>7421037</v>
      </c>
      <c r="D19" s="1046">
        <f>IFERROR(__xludf.DUMMYFUNCTION("FILTER('2026정산'!$E$2:$AM$779, ('2026정산'!$A$2:$A$779 = A19) * ('2026정산'!$C$2:$C$779 = ""합계""))"),3670000.0)</f>
        <v>3670000</v>
      </c>
      <c r="E19" s="1046">
        <f>IFERROR(__xludf.DUMMYFUNCTION("""COMPUTED_VALUE"""),880000.0)</f>
        <v>880000</v>
      </c>
      <c r="F19" s="1046"/>
      <c r="G19" s="1046">
        <f>IFERROR(__xludf.DUMMYFUNCTION("""COMPUTED_VALUE"""),3071429.0)</f>
        <v>3071429</v>
      </c>
      <c r="H19" s="1046">
        <f>IFERROR(__xludf.DUMMYFUNCTION("""COMPUTED_VALUE"""),850714.0)</f>
        <v>850714</v>
      </c>
      <c r="I19" s="1046"/>
      <c r="J19" s="1046">
        <f>IFERROR(__xludf.DUMMYFUNCTION("""COMPUTED_VALUE"""),3280000.0)</f>
        <v>3280000</v>
      </c>
      <c r="K19" s="1046">
        <f>IFERROR(__xludf.DUMMYFUNCTION("""COMPUTED_VALUE"""),720000.0)</f>
        <v>720000</v>
      </c>
      <c r="L19" s="1046"/>
      <c r="M19" s="1046">
        <f>IFERROR(__xludf.DUMMYFUNCTION("""COMPUTED_VALUE"""),3280000.0)</f>
        <v>3280000</v>
      </c>
      <c r="N19" s="1046">
        <f>IFERROR(__xludf.DUMMYFUNCTION("""COMPUTED_VALUE"""),720000.0)</f>
        <v>720000</v>
      </c>
      <c r="O19" s="1046"/>
      <c r="P19" s="1046">
        <f>IFERROR(__xludf.DUMMYFUNCTION("""COMPUTED_VALUE"""),3280000.0)</f>
        <v>3280000</v>
      </c>
      <c r="Q19" s="1046">
        <f>IFERROR(__xludf.DUMMYFUNCTION("""COMPUTED_VALUE"""),720000.0)</f>
        <v>720000</v>
      </c>
      <c r="R19" s="1046"/>
      <c r="S19" s="1046">
        <f>IFERROR(__xludf.DUMMYFUNCTION("""COMPUTED_VALUE"""),3280000.0)</f>
        <v>3280000</v>
      </c>
      <c r="T19" s="1046">
        <f>IFERROR(__xludf.DUMMYFUNCTION("""COMPUTED_VALUE"""),720000.0)</f>
        <v>720000</v>
      </c>
      <c r="U19" s="1046"/>
      <c r="V19" s="1046">
        <f>IFERROR(__xludf.DUMMYFUNCTION("""COMPUTED_VALUE"""),3280000.0)</f>
        <v>3280000</v>
      </c>
      <c r="W19" s="1046">
        <f>IFERROR(__xludf.DUMMYFUNCTION("""COMPUTED_VALUE"""),720000.0)</f>
        <v>720000</v>
      </c>
      <c r="X19" s="1046"/>
      <c r="Y19" s="1046">
        <f>IFERROR(__xludf.DUMMYFUNCTION("""COMPUTED_VALUE"""),2931613.0)</f>
        <v>2931613</v>
      </c>
      <c r="Z19" s="1046">
        <f>IFERROR(__xludf.DUMMYFUNCTION("""COMPUTED_VALUE"""),650323.0)</f>
        <v>650323</v>
      </c>
      <c r="AA19" s="1046"/>
      <c r="AB19" s="1046">
        <f>IFERROR(__xludf.DUMMYFUNCTION("""COMPUTED_VALUE"""),1500000.0)</f>
        <v>1500000</v>
      </c>
      <c r="AC19" s="1046">
        <f>IFERROR(__xludf.DUMMYFUNCTION("""COMPUTED_VALUE"""),360000.0)</f>
        <v>360000</v>
      </c>
      <c r="AD19" s="1046"/>
      <c r="AE19" s="1046">
        <f>IFERROR(__xludf.DUMMYFUNCTION("""COMPUTED_VALUE"""),1500000.0)</f>
        <v>1500000</v>
      </c>
      <c r="AF19" s="1046">
        <f>IFERROR(__xludf.DUMMYFUNCTION("""COMPUTED_VALUE"""),360000.0)</f>
        <v>360000</v>
      </c>
      <c r="AG19" s="1046"/>
      <c r="AH19" s="1046">
        <f>IFERROR(__xludf.DUMMYFUNCTION("""COMPUTED_VALUE"""),1500000.0)</f>
        <v>1500000</v>
      </c>
      <c r="AI19" s="1046">
        <f>IFERROR(__xludf.DUMMYFUNCTION("""COMPUTED_VALUE"""),360000.0)</f>
        <v>360000</v>
      </c>
      <c r="AJ19" s="1046"/>
      <c r="AK19" s="1046">
        <f>IFERROR(__xludf.DUMMYFUNCTION("""COMPUTED_VALUE"""),1500000.0)</f>
        <v>1500000</v>
      </c>
      <c r="AL19" s="1046">
        <f>IFERROR(__xludf.DUMMYFUNCTION("""COMPUTED_VALUE"""),360000.0)</f>
        <v>360000</v>
      </c>
    </row>
    <row r="20">
      <c r="A20" s="1330" t="s">
        <v>643</v>
      </c>
      <c r="B20" s="1329">
        <f t="shared" ref="B20:C20" si="19">SUM(D20, G20, J20, M20, P20, S20, V20, Y20, AB20, AE20, AH20, AK20)</f>
        <v>38760000</v>
      </c>
      <c r="C20" s="1329">
        <f t="shared" si="19"/>
        <v>4040000</v>
      </c>
      <c r="D20" s="1046">
        <f>IFERROR(__xludf.DUMMYFUNCTION("FILTER('2026정산'!$E$2:$AM$779, ('2026정산'!$A$2:$A$779 = A20) * ('2026정산'!$C$2:$C$779 = ""합계""))"),3390000.0)</f>
        <v>3390000</v>
      </c>
      <c r="E20" s="1046">
        <f>IFERROR(__xludf.DUMMYFUNCTION("""COMPUTED_VALUE"""),280000.0)</f>
        <v>280000</v>
      </c>
      <c r="F20" s="1046"/>
      <c r="G20" s="1046">
        <f>IFERROR(__xludf.DUMMYFUNCTION("""COMPUTED_VALUE"""),3390000.0)</f>
        <v>3390000</v>
      </c>
      <c r="H20" s="1046">
        <f>IFERROR(__xludf.DUMMYFUNCTION("""COMPUTED_VALUE"""),360000.0)</f>
        <v>360000</v>
      </c>
      <c r="I20" s="1046"/>
      <c r="J20" s="1046">
        <f>IFERROR(__xludf.DUMMYFUNCTION("""COMPUTED_VALUE"""),3510000.0)</f>
        <v>3510000</v>
      </c>
      <c r="K20" s="1046">
        <f>IFERROR(__xludf.DUMMYFUNCTION("""COMPUTED_VALUE"""),400000.0)</f>
        <v>400000</v>
      </c>
      <c r="L20" s="1046"/>
      <c r="M20" s="1046">
        <f>IFERROR(__xludf.DUMMYFUNCTION("""COMPUTED_VALUE"""),3510000.0)</f>
        <v>3510000</v>
      </c>
      <c r="N20" s="1046">
        <f>IFERROR(__xludf.DUMMYFUNCTION("""COMPUTED_VALUE"""),400000.0)</f>
        <v>400000</v>
      </c>
      <c r="O20" s="1046"/>
      <c r="P20" s="1046">
        <f>IFERROR(__xludf.DUMMYFUNCTION("""COMPUTED_VALUE"""),3510000.0)</f>
        <v>3510000</v>
      </c>
      <c r="Q20" s="1046">
        <f>IFERROR(__xludf.DUMMYFUNCTION("""COMPUTED_VALUE"""),400000.0)</f>
        <v>400000</v>
      </c>
      <c r="R20" s="1046"/>
      <c r="S20" s="1046">
        <f>IFERROR(__xludf.DUMMYFUNCTION("""COMPUTED_VALUE"""),3510000.0)</f>
        <v>3510000</v>
      </c>
      <c r="T20" s="1046">
        <f>IFERROR(__xludf.DUMMYFUNCTION("""COMPUTED_VALUE"""),400000.0)</f>
        <v>400000</v>
      </c>
      <c r="U20" s="1046"/>
      <c r="V20" s="1046">
        <f>IFERROR(__xludf.DUMMYFUNCTION("""COMPUTED_VALUE"""),3510000.0)</f>
        <v>3510000</v>
      </c>
      <c r="W20" s="1046">
        <f>IFERROR(__xludf.DUMMYFUNCTION("""COMPUTED_VALUE"""),400000.0)</f>
        <v>400000</v>
      </c>
      <c r="X20" s="1046"/>
      <c r="Y20" s="1046">
        <f>IFERROR(__xludf.DUMMYFUNCTION("""COMPUTED_VALUE"""),3510000.0)</f>
        <v>3510000</v>
      </c>
      <c r="Z20" s="1046">
        <f>IFERROR(__xludf.DUMMYFUNCTION("""COMPUTED_VALUE"""),400000.0)</f>
        <v>400000</v>
      </c>
      <c r="AA20" s="1046"/>
      <c r="AB20" s="1046">
        <f>IFERROR(__xludf.DUMMYFUNCTION("""COMPUTED_VALUE"""),2990000.0)</f>
        <v>2990000</v>
      </c>
      <c r="AC20" s="1046">
        <f>IFERROR(__xludf.DUMMYFUNCTION("""COMPUTED_VALUE"""),300000.0)</f>
        <v>300000</v>
      </c>
      <c r="AD20" s="1046"/>
      <c r="AE20" s="1046">
        <f>IFERROR(__xludf.DUMMYFUNCTION("""COMPUTED_VALUE"""),2990000.0)</f>
        <v>2990000</v>
      </c>
      <c r="AF20" s="1046">
        <f>IFERROR(__xludf.DUMMYFUNCTION("""COMPUTED_VALUE"""),300000.0)</f>
        <v>300000</v>
      </c>
      <c r="AG20" s="1046"/>
      <c r="AH20" s="1046">
        <f>IFERROR(__xludf.DUMMYFUNCTION("""COMPUTED_VALUE"""),2470000.0)</f>
        <v>2470000</v>
      </c>
      <c r="AI20" s="1046">
        <f>IFERROR(__xludf.DUMMYFUNCTION("""COMPUTED_VALUE"""),200000.0)</f>
        <v>200000</v>
      </c>
      <c r="AJ20" s="1046"/>
      <c r="AK20" s="1046">
        <f>IFERROR(__xludf.DUMMYFUNCTION("""COMPUTED_VALUE"""),2470000.0)</f>
        <v>2470000</v>
      </c>
      <c r="AL20" s="1046">
        <f>IFERROR(__xludf.DUMMYFUNCTION("""COMPUTED_VALUE"""),200000.0)</f>
        <v>200000</v>
      </c>
    </row>
    <row r="21">
      <c r="A21" s="1328" t="s">
        <v>2230</v>
      </c>
      <c r="B21" s="1329">
        <f t="shared" ref="B21:C21" si="20">SUM(D21, G21, J21, M21, P21, S21, V21, Y21, AB21, AE21, AH21, AK21)</f>
        <v>3462500</v>
      </c>
      <c r="C21" s="1329">
        <f t="shared" si="20"/>
        <v>697229</v>
      </c>
      <c r="D21" s="1046">
        <f>IFERROR(__xludf.DUMMYFUNCTION("FILTER('2026정산'!$E$2:$AM$779, ('2026정산'!$A$2:$A$779 = A21) * ('2026정산'!$C$2:$C$779 = ""합계""))"),1780000.0)</f>
        <v>1780000</v>
      </c>
      <c r="E21" s="1046">
        <f>IFERROR(__xludf.DUMMYFUNCTION("""COMPUTED_VALUE"""),360000.0)</f>
        <v>360000</v>
      </c>
      <c r="F21" s="1046"/>
      <c r="G21" s="1046">
        <f>IFERROR(__xludf.DUMMYFUNCTION("""COMPUTED_VALUE"""),1682500.0)</f>
        <v>1682500</v>
      </c>
      <c r="H21" s="1046">
        <f>IFERROR(__xludf.DUMMYFUNCTION("""COMPUTED_VALUE"""),337229.0)</f>
        <v>337229</v>
      </c>
      <c r="I21" s="1046"/>
      <c r="J21" s="1046">
        <f>IFERROR(__xludf.DUMMYFUNCTION("""COMPUTED_VALUE"""),0.0)</f>
        <v>0</v>
      </c>
      <c r="K21" s="1046">
        <f>IFERROR(__xludf.DUMMYFUNCTION("""COMPUTED_VALUE"""),0.0)</f>
        <v>0</v>
      </c>
      <c r="L21" s="1046"/>
      <c r="M21" s="1046">
        <f>IFERROR(__xludf.DUMMYFUNCTION("""COMPUTED_VALUE"""),0.0)</f>
        <v>0</v>
      </c>
      <c r="N21" s="1046">
        <f>IFERROR(__xludf.DUMMYFUNCTION("""COMPUTED_VALUE"""),0.0)</f>
        <v>0</v>
      </c>
      <c r="O21" s="1046"/>
      <c r="P21" s="1046">
        <f>IFERROR(__xludf.DUMMYFUNCTION("""COMPUTED_VALUE"""),0.0)</f>
        <v>0</v>
      </c>
      <c r="Q21" s="1046">
        <f>IFERROR(__xludf.DUMMYFUNCTION("""COMPUTED_VALUE"""),0.0)</f>
        <v>0</v>
      </c>
      <c r="R21" s="1046"/>
      <c r="S21" s="1046">
        <f>IFERROR(__xludf.DUMMYFUNCTION("""COMPUTED_VALUE"""),0.0)</f>
        <v>0</v>
      </c>
      <c r="T21" s="1046">
        <f>IFERROR(__xludf.DUMMYFUNCTION("""COMPUTED_VALUE"""),0.0)</f>
        <v>0</v>
      </c>
      <c r="U21" s="1046"/>
      <c r="V21" s="1046">
        <f>IFERROR(__xludf.DUMMYFUNCTION("""COMPUTED_VALUE"""),0.0)</f>
        <v>0</v>
      </c>
      <c r="W21" s="1046">
        <f>IFERROR(__xludf.DUMMYFUNCTION("""COMPUTED_VALUE"""),0.0)</f>
        <v>0</v>
      </c>
      <c r="X21" s="1046"/>
      <c r="Y21" s="1046">
        <f>IFERROR(__xludf.DUMMYFUNCTION("""COMPUTED_VALUE"""),0.0)</f>
        <v>0</v>
      </c>
      <c r="Z21" s="1046">
        <f>IFERROR(__xludf.DUMMYFUNCTION("""COMPUTED_VALUE"""),0.0)</f>
        <v>0</v>
      </c>
      <c r="AA21" s="1046"/>
      <c r="AB21" s="1046">
        <f>IFERROR(__xludf.DUMMYFUNCTION("""COMPUTED_VALUE"""),0.0)</f>
        <v>0</v>
      </c>
      <c r="AC21" s="1046">
        <f>IFERROR(__xludf.DUMMYFUNCTION("""COMPUTED_VALUE"""),0.0)</f>
        <v>0</v>
      </c>
      <c r="AD21" s="1046"/>
      <c r="AE21" s="1046">
        <f>IFERROR(__xludf.DUMMYFUNCTION("""COMPUTED_VALUE"""),0.0)</f>
        <v>0</v>
      </c>
      <c r="AF21" s="1046">
        <f>IFERROR(__xludf.DUMMYFUNCTION("""COMPUTED_VALUE"""),0.0)</f>
        <v>0</v>
      </c>
      <c r="AG21" s="1046"/>
      <c r="AH21" s="1046">
        <f>IFERROR(__xludf.DUMMYFUNCTION("""COMPUTED_VALUE"""),0.0)</f>
        <v>0</v>
      </c>
      <c r="AI21" s="1046">
        <f>IFERROR(__xludf.DUMMYFUNCTION("""COMPUTED_VALUE"""),0.0)</f>
        <v>0</v>
      </c>
      <c r="AJ21" s="1046"/>
      <c r="AK21" s="1046">
        <f>IFERROR(__xludf.DUMMYFUNCTION("""COMPUTED_VALUE"""),0.0)</f>
        <v>0</v>
      </c>
      <c r="AL21" s="1046">
        <f>IFERROR(__xludf.DUMMYFUNCTION("""COMPUTED_VALUE"""),0.0)</f>
        <v>0</v>
      </c>
    </row>
    <row r="22">
      <c r="A22" s="1328" t="s">
        <v>2237</v>
      </c>
      <c r="B22" s="1329">
        <f t="shared" ref="B22:C22" si="21">SUM(D22, G22, J22, M22, P22, S22, V22, Y22, AB22, AE22, AH22, AK22)</f>
        <v>10765927</v>
      </c>
      <c r="C22" s="1329">
        <f t="shared" si="21"/>
        <v>0</v>
      </c>
      <c r="D22" s="1046">
        <f>IFERROR(__xludf.DUMMYFUNCTION("FILTER('2026정산'!$E$2:$AM$779, ('2026정산'!$A$2:$A$779 = A22) * ('2026정산'!$C$2:$C$779 = ""합계""))"),1154168.0)</f>
        <v>1154168</v>
      </c>
      <c r="E22" s="1046">
        <f>IFERROR(__xludf.DUMMYFUNCTION("""COMPUTED_VALUE"""),0.0)</f>
        <v>0</v>
      </c>
      <c r="F22" s="1046"/>
      <c r="G22" s="1046">
        <f>IFERROR(__xludf.DUMMYFUNCTION("""COMPUTED_VALUE"""),1008129.328125)</f>
        <v>1008129.328</v>
      </c>
      <c r="H22" s="1046">
        <f>IFERROR(__xludf.DUMMYFUNCTION("""COMPUTED_VALUE"""),0.0)</f>
        <v>0</v>
      </c>
      <c r="I22" s="1046"/>
      <c r="J22" s="1046">
        <f>IFERROR(__xludf.DUMMYFUNCTION("""COMPUTED_VALUE"""),2186168.1953125)</f>
        <v>2186168.195</v>
      </c>
      <c r="K22" s="1046">
        <f>IFERROR(__xludf.DUMMYFUNCTION("""COMPUTED_VALUE"""),0.0)</f>
        <v>0</v>
      </c>
      <c r="L22" s="1046"/>
      <c r="M22" s="1046">
        <f>IFERROR(__xludf.DUMMYFUNCTION("""COMPUTED_VALUE"""),2115646.640625)</f>
        <v>2115646.641</v>
      </c>
      <c r="N22" s="1046">
        <f>IFERROR(__xludf.DUMMYFUNCTION("""COMPUTED_VALUE"""),0.0)</f>
        <v>0</v>
      </c>
      <c r="O22" s="1046"/>
      <c r="P22" s="1046">
        <f>IFERROR(__xludf.DUMMYFUNCTION("""COMPUTED_VALUE"""),2186168.1953125)</f>
        <v>2186168.195</v>
      </c>
      <c r="Q22" s="1046">
        <f>IFERROR(__xludf.DUMMYFUNCTION("""COMPUTED_VALUE"""),0.0)</f>
        <v>0</v>
      </c>
      <c r="R22" s="1046"/>
      <c r="S22" s="1046">
        <f>IFERROR(__xludf.DUMMYFUNCTION("""COMPUTED_VALUE"""),2115646.640625)</f>
        <v>2115646.641</v>
      </c>
      <c r="T22" s="1046">
        <f>IFERROR(__xludf.DUMMYFUNCTION("""COMPUTED_VALUE"""),0.0)</f>
        <v>0</v>
      </c>
      <c r="U22" s="1046"/>
      <c r="V22" s="1046">
        <f>IFERROR(__xludf.DUMMYFUNCTION("""COMPUTED_VALUE"""),0.0)</f>
        <v>0</v>
      </c>
      <c r="W22" s="1046">
        <f>IFERROR(__xludf.DUMMYFUNCTION("""COMPUTED_VALUE"""),0.0)</f>
        <v>0</v>
      </c>
      <c r="X22" s="1046"/>
      <c r="Y22" s="1046">
        <f>IFERROR(__xludf.DUMMYFUNCTION("""COMPUTED_VALUE"""),0.0)</f>
        <v>0</v>
      </c>
      <c r="Z22" s="1046">
        <f>IFERROR(__xludf.DUMMYFUNCTION("""COMPUTED_VALUE"""),0.0)</f>
        <v>0</v>
      </c>
      <c r="AA22" s="1046"/>
      <c r="AB22" s="1046">
        <f>IFERROR(__xludf.DUMMYFUNCTION("""COMPUTED_VALUE"""),0.0)</f>
        <v>0</v>
      </c>
      <c r="AC22" s="1046">
        <f>IFERROR(__xludf.DUMMYFUNCTION("""COMPUTED_VALUE"""),0.0)</f>
        <v>0</v>
      </c>
      <c r="AD22" s="1046"/>
      <c r="AE22" s="1046">
        <f>IFERROR(__xludf.DUMMYFUNCTION("""COMPUTED_VALUE"""),0.0)</f>
        <v>0</v>
      </c>
      <c r="AF22" s="1046">
        <f>IFERROR(__xludf.DUMMYFUNCTION("""COMPUTED_VALUE"""),0.0)</f>
        <v>0</v>
      </c>
      <c r="AG22" s="1046"/>
      <c r="AH22" s="1046">
        <f>IFERROR(__xludf.DUMMYFUNCTION("""COMPUTED_VALUE"""),0.0)</f>
        <v>0</v>
      </c>
      <c r="AI22" s="1046">
        <f>IFERROR(__xludf.DUMMYFUNCTION("""COMPUTED_VALUE"""),0.0)</f>
        <v>0</v>
      </c>
      <c r="AJ22" s="1046"/>
      <c r="AK22" s="1046">
        <f>IFERROR(__xludf.DUMMYFUNCTION("""COMPUTED_VALUE"""),0.0)</f>
        <v>0</v>
      </c>
      <c r="AL22" s="1046">
        <f>IFERROR(__xludf.DUMMYFUNCTION("""COMPUTED_VALUE"""),0.0)</f>
        <v>0</v>
      </c>
    </row>
    <row r="23">
      <c r="A23" s="1328" t="s">
        <v>2242</v>
      </c>
      <c r="B23" s="1329">
        <f t="shared" ref="B23:C23" si="22">SUM(D23, G23, J23, M23, P23, S23, V23, Y23, AB23, AE23, AH23, AK23)</f>
        <v>22844435</v>
      </c>
      <c r="C23" s="1329">
        <f t="shared" si="22"/>
        <v>4831494</v>
      </c>
      <c r="D23" s="1046">
        <f>IFERROR(__xludf.DUMMYFUNCTION("FILTER('2026정산'!$E$2:$AM$779, ('2026정산'!$A$2:$A$779 = A23) * ('2026정산'!$C$2:$C$779 = ""합계""))"),2400645.0)</f>
        <v>2400645</v>
      </c>
      <c r="E23" s="1046">
        <f>IFERROR(__xludf.DUMMYFUNCTION("""COMPUTED_VALUE"""),521935.0)</f>
        <v>521935</v>
      </c>
      <c r="F23" s="1046"/>
      <c r="G23" s="1046">
        <f>IFERROR(__xludf.DUMMYFUNCTION("""COMPUTED_VALUE"""),2848628.0)</f>
        <v>2848628</v>
      </c>
      <c r="H23" s="1046">
        <f>IFERROR(__xludf.DUMMYFUNCTION("""COMPUTED_VALUE"""),632140.0)</f>
        <v>632140</v>
      </c>
      <c r="I23" s="1046"/>
      <c r="J23" s="1046">
        <f>IFERROR(__xludf.DUMMYFUNCTION("""COMPUTED_VALUE"""),2366452.0)</f>
        <v>2366452</v>
      </c>
      <c r="K23" s="1046">
        <f>IFERROR(__xludf.DUMMYFUNCTION("""COMPUTED_VALUE"""),496774.0)</f>
        <v>496774</v>
      </c>
      <c r="L23" s="1046"/>
      <c r="M23" s="1046">
        <f>IFERROR(__xludf.DUMMYFUNCTION("""COMPUTED_VALUE"""),2380000.0)</f>
        <v>2380000</v>
      </c>
      <c r="N23" s="1046">
        <f>IFERROR(__xludf.DUMMYFUNCTION("""COMPUTED_VALUE"""),500000.0)</f>
        <v>500000</v>
      </c>
      <c r="O23" s="1046"/>
      <c r="P23" s="1046">
        <f>IFERROR(__xludf.DUMMYFUNCTION("""COMPUTED_VALUE"""),2380000.0)</f>
        <v>2380000</v>
      </c>
      <c r="Q23" s="1046">
        <f>IFERROR(__xludf.DUMMYFUNCTION("""COMPUTED_VALUE"""),500000.0)</f>
        <v>500000</v>
      </c>
      <c r="R23" s="1046"/>
      <c r="S23" s="1046">
        <f>IFERROR(__xludf.DUMMYFUNCTION("""COMPUTED_VALUE"""),2380000.0)</f>
        <v>2380000</v>
      </c>
      <c r="T23" s="1046">
        <f>IFERROR(__xludf.DUMMYFUNCTION("""COMPUTED_VALUE"""),500000.0)</f>
        <v>500000</v>
      </c>
      <c r="U23" s="1046"/>
      <c r="V23" s="1046">
        <f>IFERROR(__xludf.DUMMYFUNCTION("""COMPUTED_VALUE"""),2380000.0)</f>
        <v>2380000</v>
      </c>
      <c r="W23" s="1046">
        <f>IFERROR(__xludf.DUMMYFUNCTION("""COMPUTED_VALUE"""),500000.0)</f>
        <v>500000</v>
      </c>
      <c r="X23" s="1046"/>
      <c r="Y23" s="1046">
        <f>IFERROR(__xludf.DUMMYFUNCTION("""COMPUTED_VALUE"""),1748710.0)</f>
        <v>1748710</v>
      </c>
      <c r="Z23" s="1046">
        <f>IFERROR(__xludf.DUMMYFUNCTION("""COMPUTED_VALUE"""),380645.0)</f>
        <v>380645</v>
      </c>
      <c r="AA23" s="1046"/>
      <c r="AB23" s="1046">
        <f>IFERROR(__xludf.DUMMYFUNCTION("""COMPUTED_VALUE"""),990000.0)</f>
        <v>990000</v>
      </c>
      <c r="AC23" s="1046">
        <f>IFERROR(__xludf.DUMMYFUNCTION("""COMPUTED_VALUE"""),200000.0)</f>
        <v>200000</v>
      </c>
      <c r="AD23" s="1046"/>
      <c r="AE23" s="1046">
        <f>IFERROR(__xludf.DUMMYFUNCTION("""COMPUTED_VALUE"""),990000.0)</f>
        <v>990000</v>
      </c>
      <c r="AF23" s="1046">
        <f>IFERROR(__xludf.DUMMYFUNCTION("""COMPUTED_VALUE"""),200000.0)</f>
        <v>200000</v>
      </c>
      <c r="AG23" s="1046"/>
      <c r="AH23" s="1046">
        <f>IFERROR(__xludf.DUMMYFUNCTION("""COMPUTED_VALUE"""),990000.0)</f>
        <v>990000</v>
      </c>
      <c r="AI23" s="1046">
        <f>IFERROR(__xludf.DUMMYFUNCTION("""COMPUTED_VALUE"""),200000.0)</f>
        <v>200000</v>
      </c>
      <c r="AJ23" s="1046"/>
      <c r="AK23" s="1046">
        <f>IFERROR(__xludf.DUMMYFUNCTION("""COMPUTED_VALUE"""),990000.0)</f>
        <v>990000</v>
      </c>
      <c r="AL23" s="1046">
        <f>IFERROR(__xludf.DUMMYFUNCTION("""COMPUTED_VALUE"""),200000.0)</f>
        <v>200000</v>
      </c>
    </row>
    <row r="24">
      <c r="A24" s="1328" t="s">
        <v>2255</v>
      </c>
      <c r="B24" s="1329">
        <f t="shared" ref="B24:C24" si="23">SUM(D24, G24, J24, M24, P24, S24, V24, Y24, AB24, AE24, AH24, AK24)</f>
        <v>19558213</v>
      </c>
      <c r="C24" s="1329">
        <f t="shared" si="23"/>
        <v>4975714</v>
      </c>
      <c r="D24" s="1046">
        <f>IFERROR(__xludf.DUMMYFUNCTION("FILTER('2026정산'!$E$2:$AM$779, ('2026정산'!$A$2:$A$779 = A24) * ('2026정산'!$C$2:$C$779 = ""합계""))"),1210000.0)</f>
        <v>1210000</v>
      </c>
      <c r="E24" s="1046">
        <f>IFERROR(__xludf.DUMMYFUNCTION("""COMPUTED_VALUE"""),355000.0)</f>
        <v>355000</v>
      </c>
      <c r="F24" s="1046"/>
      <c r="G24" s="1046">
        <f>IFERROR(__xludf.DUMMYFUNCTION("""COMPUTED_VALUE"""),1148213.0)</f>
        <v>1148213</v>
      </c>
      <c r="H24" s="1046">
        <f>IFERROR(__xludf.DUMMYFUNCTION("""COMPUTED_VALUE"""),320714.0)</f>
        <v>320714</v>
      </c>
      <c r="I24" s="1046"/>
      <c r="J24" s="1046">
        <f>IFERROR(__xludf.DUMMYFUNCTION("""COMPUTED_VALUE"""),1720000.0)</f>
        <v>1720000</v>
      </c>
      <c r="K24" s="1046">
        <f>IFERROR(__xludf.DUMMYFUNCTION("""COMPUTED_VALUE"""),400000.0)</f>
        <v>400000</v>
      </c>
      <c r="L24" s="1046"/>
      <c r="M24" s="1046">
        <f>IFERROR(__xludf.DUMMYFUNCTION("""COMPUTED_VALUE"""),1720000.0)</f>
        <v>1720000</v>
      </c>
      <c r="N24" s="1046">
        <f>IFERROR(__xludf.DUMMYFUNCTION("""COMPUTED_VALUE"""),400000.0)</f>
        <v>400000</v>
      </c>
      <c r="O24" s="1046"/>
      <c r="P24" s="1046">
        <f>IFERROR(__xludf.DUMMYFUNCTION("""COMPUTED_VALUE"""),1720000.0)</f>
        <v>1720000</v>
      </c>
      <c r="Q24" s="1046">
        <f>IFERROR(__xludf.DUMMYFUNCTION("""COMPUTED_VALUE"""),400000.0)</f>
        <v>400000</v>
      </c>
      <c r="R24" s="1046"/>
      <c r="S24" s="1046">
        <f>IFERROR(__xludf.DUMMYFUNCTION("""COMPUTED_VALUE"""),1720000.0)</f>
        <v>1720000</v>
      </c>
      <c r="T24" s="1046">
        <f>IFERROR(__xludf.DUMMYFUNCTION("""COMPUTED_VALUE"""),400000.0)</f>
        <v>400000</v>
      </c>
      <c r="U24" s="1046"/>
      <c r="V24" s="1046">
        <f>IFERROR(__xludf.DUMMYFUNCTION("""COMPUTED_VALUE"""),1720000.0)</f>
        <v>1720000</v>
      </c>
      <c r="W24" s="1046">
        <f>IFERROR(__xludf.DUMMYFUNCTION("""COMPUTED_VALUE"""),400000.0)</f>
        <v>400000</v>
      </c>
      <c r="X24" s="1046"/>
      <c r="Y24" s="1046">
        <f>IFERROR(__xludf.DUMMYFUNCTION("""COMPUTED_VALUE"""),1720000.0)</f>
        <v>1720000</v>
      </c>
      <c r="Z24" s="1046">
        <f>IFERROR(__xludf.DUMMYFUNCTION("""COMPUTED_VALUE"""),400000.0)</f>
        <v>400000</v>
      </c>
      <c r="AA24" s="1046"/>
      <c r="AB24" s="1046">
        <f>IFERROR(__xludf.DUMMYFUNCTION("""COMPUTED_VALUE"""),1720000.0)</f>
        <v>1720000</v>
      </c>
      <c r="AC24" s="1046">
        <f>IFERROR(__xludf.DUMMYFUNCTION("""COMPUTED_VALUE"""),400000.0)</f>
        <v>400000</v>
      </c>
      <c r="AD24" s="1046"/>
      <c r="AE24" s="1046">
        <f>IFERROR(__xludf.DUMMYFUNCTION("""COMPUTED_VALUE"""),1720000.0)</f>
        <v>1720000</v>
      </c>
      <c r="AF24" s="1046">
        <f>IFERROR(__xludf.DUMMYFUNCTION("""COMPUTED_VALUE"""),500000.0)</f>
        <v>500000</v>
      </c>
      <c r="AG24" s="1046"/>
      <c r="AH24" s="1046">
        <f>IFERROR(__xludf.DUMMYFUNCTION("""COMPUTED_VALUE"""),1720000.0)</f>
        <v>1720000</v>
      </c>
      <c r="AI24" s="1046">
        <f>IFERROR(__xludf.DUMMYFUNCTION("""COMPUTED_VALUE"""),500000.0)</f>
        <v>500000</v>
      </c>
      <c r="AJ24" s="1046"/>
      <c r="AK24" s="1046">
        <f>IFERROR(__xludf.DUMMYFUNCTION("""COMPUTED_VALUE"""),1720000.0)</f>
        <v>1720000</v>
      </c>
      <c r="AL24" s="1046">
        <f>IFERROR(__xludf.DUMMYFUNCTION("""COMPUTED_VALUE"""),500000.0)</f>
        <v>500000</v>
      </c>
    </row>
    <row r="25">
      <c r="A25" s="1328" t="s">
        <v>2261</v>
      </c>
      <c r="B25" s="1329">
        <f t="shared" ref="B25:C25" si="24">SUM(D25, G25, J25, M25, P25, S25, V25, Y25, AB25, AE25, AH25, AK25)</f>
        <v>16581071</v>
      </c>
      <c r="C25" s="1329">
        <f t="shared" si="24"/>
        <v>2965000</v>
      </c>
      <c r="D25" s="1046">
        <f>IFERROR(__xludf.DUMMYFUNCTION("FILTER('2026정산'!$E$2:$AM$779, ('2026정산'!$A$2:$A$779 = A25) * ('2026정산'!$C$2:$C$779 = ""합계""))"),1520000.0)</f>
        <v>1520000</v>
      </c>
      <c r="E25" s="1046">
        <f>IFERROR(__xludf.DUMMYFUNCTION("""COMPUTED_VALUE"""),180000.0)</f>
        <v>180000</v>
      </c>
      <c r="F25" s="1046"/>
      <c r="G25" s="1046">
        <f>IFERROR(__xludf.DUMMYFUNCTION("""COMPUTED_VALUE"""),1361071.0)</f>
        <v>1361071</v>
      </c>
      <c r="H25" s="1046">
        <f>IFERROR(__xludf.DUMMYFUNCTION("""COMPUTED_VALUE"""),205000.0)</f>
        <v>205000</v>
      </c>
      <c r="I25" s="1046"/>
      <c r="J25" s="1046">
        <f>IFERROR(__xludf.DUMMYFUNCTION("""COMPUTED_VALUE"""),1590000.0)</f>
        <v>1590000</v>
      </c>
      <c r="K25" s="1046">
        <f>IFERROR(__xludf.DUMMYFUNCTION("""COMPUTED_VALUE"""),280000.0)</f>
        <v>280000</v>
      </c>
      <c r="L25" s="1046"/>
      <c r="M25" s="1046">
        <f>IFERROR(__xludf.DUMMYFUNCTION("""COMPUTED_VALUE"""),1590000.0)</f>
        <v>1590000</v>
      </c>
      <c r="N25" s="1046">
        <f>IFERROR(__xludf.DUMMYFUNCTION("""COMPUTED_VALUE"""),300000.0)</f>
        <v>300000</v>
      </c>
      <c r="O25" s="1046"/>
      <c r="P25" s="1046">
        <f>IFERROR(__xludf.DUMMYFUNCTION("""COMPUTED_VALUE"""),1590000.0)</f>
        <v>1590000</v>
      </c>
      <c r="Q25" s="1046">
        <f>IFERROR(__xludf.DUMMYFUNCTION("""COMPUTED_VALUE"""),300000.0)</f>
        <v>300000</v>
      </c>
      <c r="R25" s="1046"/>
      <c r="S25" s="1046">
        <f>IFERROR(__xludf.DUMMYFUNCTION("""COMPUTED_VALUE"""),1590000.0)</f>
        <v>1590000</v>
      </c>
      <c r="T25" s="1046">
        <f>IFERROR(__xludf.DUMMYFUNCTION("""COMPUTED_VALUE"""),300000.0)</f>
        <v>300000</v>
      </c>
      <c r="U25" s="1046"/>
      <c r="V25" s="1046">
        <f>IFERROR(__xludf.DUMMYFUNCTION("""COMPUTED_VALUE"""),1590000.0)</f>
        <v>1590000</v>
      </c>
      <c r="W25" s="1046">
        <f>IFERROR(__xludf.DUMMYFUNCTION("""COMPUTED_VALUE"""),300000.0)</f>
        <v>300000</v>
      </c>
      <c r="X25" s="1046"/>
      <c r="Y25" s="1046">
        <f>IFERROR(__xludf.DUMMYFUNCTION("""COMPUTED_VALUE"""),1590000.0)</f>
        <v>1590000</v>
      </c>
      <c r="Z25" s="1046">
        <f>IFERROR(__xludf.DUMMYFUNCTION("""COMPUTED_VALUE"""),300000.0)</f>
        <v>300000</v>
      </c>
      <c r="AA25" s="1046"/>
      <c r="AB25" s="1046">
        <f>IFERROR(__xludf.DUMMYFUNCTION("""COMPUTED_VALUE"""),1040000.0)</f>
        <v>1040000</v>
      </c>
      <c r="AC25" s="1046">
        <f>IFERROR(__xludf.DUMMYFUNCTION("""COMPUTED_VALUE"""),200000.0)</f>
        <v>200000</v>
      </c>
      <c r="AD25" s="1046"/>
      <c r="AE25" s="1046">
        <f>IFERROR(__xludf.DUMMYFUNCTION("""COMPUTED_VALUE"""),1040000.0)</f>
        <v>1040000</v>
      </c>
      <c r="AF25" s="1046">
        <f>IFERROR(__xludf.DUMMYFUNCTION("""COMPUTED_VALUE"""),200000.0)</f>
        <v>200000</v>
      </c>
      <c r="AG25" s="1046"/>
      <c r="AH25" s="1046">
        <f>IFERROR(__xludf.DUMMYFUNCTION("""COMPUTED_VALUE"""),1040000.0)</f>
        <v>1040000</v>
      </c>
      <c r="AI25" s="1046">
        <f>IFERROR(__xludf.DUMMYFUNCTION("""COMPUTED_VALUE"""),200000.0)</f>
        <v>200000</v>
      </c>
      <c r="AJ25" s="1046"/>
      <c r="AK25" s="1046">
        <f>IFERROR(__xludf.DUMMYFUNCTION("""COMPUTED_VALUE"""),1040000.0)</f>
        <v>1040000</v>
      </c>
      <c r="AL25" s="1046">
        <f>IFERROR(__xludf.DUMMYFUNCTION("""COMPUTED_VALUE"""),200000.0)</f>
        <v>200000</v>
      </c>
    </row>
    <row r="26">
      <c r="A26" s="1328" t="s">
        <v>2268</v>
      </c>
      <c r="B26" s="1329">
        <f t="shared" ref="B26:C26" si="25">SUM(D26, G26, J26, M26, P26, S26, V26, Y26, AB26, AE26, AH26, AK26)</f>
        <v>18190518</v>
      </c>
      <c r="C26" s="1329">
        <f t="shared" si="25"/>
        <v>4180645</v>
      </c>
      <c r="D26" s="1046">
        <f>IFERROR(__xludf.DUMMYFUNCTION("FILTER('2026정산'!$E$2:$AM$779, ('2026정산'!$A$2:$A$779 = A26) * ('2026정산'!$C$2:$C$779 = ""합계""))"),1400000.0)</f>
        <v>1400000</v>
      </c>
      <c r="E26" s="1046">
        <f>IFERROR(__xludf.DUMMYFUNCTION("""COMPUTED_VALUE"""),300000.0)</f>
        <v>300000</v>
      </c>
      <c r="F26" s="1046"/>
      <c r="G26" s="1046">
        <f>IFERROR(__xludf.DUMMYFUNCTION("""COMPUTED_VALUE"""),1845357.0)</f>
        <v>1845357</v>
      </c>
      <c r="H26" s="1046">
        <f>IFERROR(__xludf.DUMMYFUNCTION("""COMPUTED_VALUE"""),300000.0)</f>
        <v>300000</v>
      </c>
      <c r="I26" s="1046"/>
      <c r="J26" s="1046">
        <f>IFERROR(__xludf.DUMMYFUNCTION("""COMPUTED_VALUE"""),1700000.0)</f>
        <v>1700000</v>
      </c>
      <c r="K26" s="1046">
        <f>IFERROR(__xludf.DUMMYFUNCTION("""COMPUTED_VALUE"""),400000.0)</f>
        <v>400000</v>
      </c>
      <c r="L26" s="1046"/>
      <c r="M26" s="1046">
        <f>IFERROR(__xludf.DUMMYFUNCTION("""COMPUTED_VALUE"""),1700000.0)</f>
        <v>1700000</v>
      </c>
      <c r="N26" s="1046">
        <f>IFERROR(__xludf.DUMMYFUNCTION("""COMPUTED_VALUE"""),400000.0)</f>
        <v>400000</v>
      </c>
      <c r="O26" s="1046"/>
      <c r="P26" s="1046">
        <f>IFERROR(__xludf.DUMMYFUNCTION("""COMPUTED_VALUE"""),1700000.0)</f>
        <v>1700000</v>
      </c>
      <c r="Q26" s="1046">
        <f>IFERROR(__xludf.DUMMYFUNCTION("""COMPUTED_VALUE"""),400000.0)</f>
        <v>400000</v>
      </c>
      <c r="R26" s="1046"/>
      <c r="S26" s="1046">
        <f>IFERROR(__xludf.DUMMYFUNCTION("""COMPUTED_VALUE"""),1700000.0)</f>
        <v>1700000</v>
      </c>
      <c r="T26" s="1046">
        <f>IFERROR(__xludf.DUMMYFUNCTION("""COMPUTED_VALUE"""),400000.0)</f>
        <v>400000</v>
      </c>
      <c r="U26" s="1046"/>
      <c r="V26" s="1046">
        <f>IFERROR(__xludf.DUMMYFUNCTION("""COMPUTED_VALUE"""),1700000.0)</f>
        <v>1700000</v>
      </c>
      <c r="W26" s="1046">
        <f>IFERROR(__xludf.DUMMYFUNCTION("""COMPUTED_VALUE"""),400000.0)</f>
        <v>400000</v>
      </c>
      <c r="X26" s="1046"/>
      <c r="Y26" s="1046">
        <f>IFERROR(__xludf.DUMMYFUNCTION("""COMPUTED_VALUE"""),1605161.0)</f>
        <v>1605161</v>
      </c>
      <c r="Z26" s="1046">
        <f>IFERROR(__xludf.DUMMYFUNCTION("""COMPUTED_VALUE"""),380645.0)</f>
        <v>380645</v>
      </c>
      <c r="AA26" s="1046"/>
      <c r="AB26" s="1046">
        <f>IFERROR(__xludf.DUMMYFUNCTION("""COMPUTED_VALUE"""),1210000.0)</f>
        <v>1210000</v>
      </c>
      <c r="AC26" s="1046">
        <f>IFERROR(__xludf.DUMMYFUNCTION("""COMPUTED_VALUE"""),300000.0)</f>
        <v>300000</v>
      </c>
      <c r="AD26" s="1046"/>
      <c r="AE26" s="1046">
        <f>IFERROR(__xludf.DUMMYFUNCTION("""COMPUTED_VALUE"""),1210000.0)</f>
        <v>1210000</v>
      </c>
      <c r="AF26" s="1046">
        <f>IFERROR(__xludf.DUMMYFUNCTION("""COMPUTED_VALUE"""),300000.0)</f>
        <v>300000</v>
      </c>
      <c r="AG26" s="1046"/>
      <c r="AH26" s="1046">
        <f>IFERROR(__xludf.DUMMYFUNCTION("""COMPUTED_VALUE"""),1210000.0)</f>
        <v>1210000</v>
      </c>
      <c r="AI26" s="1046">
        <f>IFERROR(__xludf.DUMMYFUNCTION("""COMPUTED_VALUE"""),300000.0)</f>
        <v>300000</v>
      </c>
      <c r="AJ26" s="1046"/>
      <c r="AK26" s="1046">
        <f>IFERROR(__xludf.DUMMYFUNCTION("""COMPUTED_VALUE"""),1210000.0)</f>
        <v>1210000</v>
      </c>
      <c r="AL26" s="1046">
        <f>IFERROR(__xludf.DUMMYFUNCTION("""COMPUTED_VALUE"""),300000.0)</f>
        <v>300000</v>
      </c>
    </row>
    <row r="27">
      <c r="A27" s="1330" t="s">
        <v>822</v>
      </c>
      <c r="B27" s="1329">
        <f t="shared" ref="B27:C27" si="26">SUM(D27, G27, J27, M27, P27, S27, V27, Y27, AB27, AE27, AH27, AK27)</f>
        <v>18126521</v>
      </c>
      <c r="C27" s="1329">
        <f t="shared" si="26"/>
        <v>4763479</v>
      </c>
      <c r="D27" s="1046">
        <f>IFERROR(__xludf.DUMMYFUNCTION("FILTER('2026정산'!$E$2:$AM$779, ('2026정산'!$A$2:$A$779 = A27) * ('2026정산'!$C$2:$C$779 = ""합계""))"),1030000.0)</f>
        <v>1030000</v>
      </c>
      <c r="E27" s="1046">
        <f>IFERROR(__xludf.DUMMYFUNCTION("""COMPUTED_VALUE"""),355000.0)</f>
        <v>355000</v>
      </c>
      <c r="F27" s="1046"/>
      <c r="G27" s="1046">
        <f>IFERROR(__xludf.DUMMYFUNCTION("""COMPUTED_VALUE"""),1040714.0)</f>
        <v>1040714</v>
      </c>
      <c r="H27" s="1046">
        <f>IFERROR(__xludf.DUMMYFUNCTION("""COMPUTED_VALUE"""),334286.0)</f>
        <v>334286</v>
      </c>
      <c r="I27" s="1046"/>
      <c r="J27" s="1046">
        <f>IFERROR(__xludf.DUMMYFUNCTION("""COMPUTED_VALUE"""),2374839.0)</f>
        <v>2374839</v>
      </c>
      <c r="K27" s="1046">
        <f>IFERROR(__xludf.DUMMYFUNCTION("""COMPUTED_VALUE"""),496774.0)</f>
        <v>496774</v>
      </c>
      <c r="L27" s="1046"/>
      <c r="M27" s="1046">
        <f>IFERROR(__xludf.DUMMYFUNCTION("""COMPUTED_VALUE"""),1890000.0)</f>
        <v>1890000</v>
      </c>
      <c r="N27" s="1046">
        <f>IFERROR(__xludf.DUMMYFUNCTION("""COMPUTED_VALUE"""),500000.0)</f>
        <v>500000</v>
      </c>
      <c r="O27" s="1046"/>
      <c r="P27" s="1046">
        <f>IFERROR(__xludf.DUMMYFUNCTION("""COMPUTED_VALUE"""),1890000.0)</f>
        <v>1890000</v>
      </c>
      <c r="Q27" s="1046">
        <f>IFERROR(__xludf.DUMMYFUNCTION("""COMPUTED_VALUE"""),500000.0)</f>
        <v>500000</v>
      </c>
      <c r="R27" s="1046"/>
      <c r="S27" s="1046">
        <f>IFERROR(__xludf.DUMMYFUNCTION("""COMPUTED_VALUE"""),1890000.0)</f>
        <v>1890000</v>
      </c>
      <c r="T27" s="1046">
        <f>IFERROR(__xludf.DUMMYFUNCTION("""COMPUTED_VALUE"""),500000.0)</f>
        <v>500000</v>
      </c>
      <c r="U27" s="1046"/>
      <c r="V27" s="1046">
        <f>IFERROR(__xludf.DUMMYFUNCTION("""COMPUTED_VALUE"""),1890000.0)</f>
        <v>1890000</v>
      </c>
      <c r="W27" s="1046">
        <f>IFERROR(__xludf.DUMMYFUNCTION("""COMPUTED_VALUE"""),500000.0)</f>
        <v>500000</v>
      </c>
      <c r="X27" s="1046"/>
      <c r="Y27" s="1046">
        <f>IFERROR(__xludf.DUMMYFUNCTION("""COMPUTED_VALUE"""),1440968.0)</f>
        <v>1440968</v>
      </c>
      <c r="Z27" s="1046">
        <f>IFERROR(__xludf.DUMMYFUNCTION("""COMPUTED_VALUE"""),377419.0)</f>
        <v>377419</v>
      </c>
      <c r="AA27" s="1046"/>
      <c r="AB27" s="1046">
        <f>IFERROR(__xludf.DUMMYFUNCTION("""COMPUTED_VALUE"""),1170000.0)</f>
        <v>1170000</v>
      </c>
      <c r="AC27" s="1046">
        <f>IFERROR(__xludf.DUMMYFUNCTION("""COMPUTED_VALUE"""),300000.0)</f>
        <v>300000</v>
      </c>
      <c r="AD27" s="1046"/>
      <c r="AE27" s="1046">
        <f>IFERROR(__xludf.DUMMYFUNCTION("""COMPUTED_VALUE"""),1170000.0)</f>
        <v>1170000</v>
      </c>
      <c r="AF27" s="1046">
        <f>IFERROR(__xludf.DUMMYFUNCTION("""COMPUTED_VALUE"""),300000.0)</f>
        <v>300000</v>
      </c>
      <c r="AG27" s="1046"/>
      <c r="AH27" s="1046">
        <f>IFERROR(__xludf.DUMMYFUNCTION("""COMPUTED_VALUE"""),1170000.0)</f>
        <v>1170000</v>
      </c>
      <c r="AI27" s="1046">
        <f>IFERROR(__xludf.DUMMYFUNCTION("""COMPUTED_VALUE"""),300000.0)</f>
        <v>300000</v>
      </c>
      <c r="AJ27" s="1046"/>
      <c r="AK27" s="1046">
        <f>IFERROR(__xludf.DUMMYFUNCTION("""COMPUTED_VALUE"""),1170000.0)</f>
        <v>1170000</v>
      </c>
      <c r="AL27" s="1046">
        <f>IFERROR(__xludf.DUMMYFUNCTION("""COMPUTED_VALUE"""),300000.0)</f>
        <v>300000</v>
      </c>
    </row>
    <row r="28">
      <c r="A28" s="1330" t="s">
        <v>848</v>
      </c>
      <c r="B28" s="1329">
        <f t="shared" ref="B28:C28" si="27">SUM(D28, G28, J28, M28, P28, S28, V28, Y28, AB28, AE28, AH28, AK28)</f>
        <v>20741410</v>
      </c>
      <c r="C28" s="1329">
        <f t="shared" si="27"/>
        <v>4409216</v>
      </c>
      <c r="D28" s="1046">
        <f>IFERROR(__xludf.DUMMYFUNCTION("FILTER('2026정산'!$E$2:$AM$779, ('2026정산'!$A$2:$A$779 = A28) * ('2026정산'!$C$2:$C$779 = ""합계""))"),1976100.0)</f>
        <v>1976100</v>
      </c>
      <c r="E28" s="1046">
        <f>IFERROR(__xludf.DUMMYFUNCTION("""COMPUTED_VALUE"""),400000.0)</f>
        <v>400000</v>
      </c>
      <c r="F28" s="1046"/>
      <c r="G28" s="1046">
        <f>IFERROR(__xludf.DUMMYFUNCTION("""COMPUTED_VALUE"""),2096100.0)</f>
        <v>2096100</v>
      </c>
      <c r="H28" s="1046">
        <f>IFERROR(__xludf.DUMMYFUNCTION("""COMPUTED_VALUE"""),428571.0)</f>
        <v>428571</v>
      </c>
      <c r="I28" s="1046"/>
      <c r="J28" s="1046">
        <f>IFERROR(__xludf.DUMMYFUNCTION("""COMPUTED_VALUE"""),2296100.0)</f>
        <v>2296100</v>
      </c>
      <c r="K28" s="1046">
        <f>IFERROR(__xludf.DUMMYFUNCTION("""COMPUTED_VALUE"""),500000.0)</f>
        <v>500000</v>
      </c>
      <c r="L28" s="1046"/>
      <c r="M28" s="1046">
        <f>IFERROR(__xludf.DUMMYFUNCTION("""COMPUTED_VALUE"""),2296100.0)</f>
        <v>2296100</v>
      </c>
      <c r="N28" s="1046">
        <f>IFERROR(__xludf.DUMMYFUNCTION("""COMPUTED_VALUE"""),500000.0)</f>
        <v>500000</v>
      </c>
      <c r="O28" s="1046"/>
      <c r="P28" s="1046">
        <f>IFERROR(__xludf.DUMMYFUNCTION("""COMPUTED_VALUE"""),2296100.0)</f>
        <v>2296100</v>
      </c>
      <c r="Q28" s="1046">
        <f>IFERROR(__xludf.DUMMYFUNCTION("""COMPUTED_VALUE"""),500000.0)</f>
        <v>500000</v>
      </c>
      <c r="R28" s="1046"/>
      <c r="S28" s="1046">
        <f>IFERROR(__xludf.DUMMYFUNCTION("""COMPUTED_VALUE"""),2296100.0)</f>
        <v>2296100</v>
      </c>
      <c r="T28" s="1046">
        <f>IFERROR(__xludf.DUMMYFUNCTION("""COMPUTED_VALUE"""),500000.0)</f>
        <v>500000</v>
      </c>
      <c r="U28" s="1046"/>
      <c r="V28" s="1046">
        <f>IFERROR(__xludf.DUMMYFUNCTION("""COMPUTED_VALUE"""),2296100.0)</f>
        <v>2296100</v>
      </c>
      <c r="W28" s="1046">
        <f>IFERROR(__xludf.DUMMYFUNCTION("""COMPUTED_VALUE"""),500000.0)</f>
        <v>500000</v>
      </c>
      <c r="X28" s="1046"/>
      <c r="Y28" s="1046">
        <f>IFERROR(__xludf.DUMMYFUNCTION("""COMPUTED_VALUE"""),1308710.0)</f>
        <v>1308710</v>
      </c>
      <c r="Z28" s="1046">
        <f>IFERROR(__xludf.DUMMYFUNCTION("""COMPUTED_VALUE"""),280645.0)</f>
        <v>280645</v>
      </c>
      <c r="AA28" s="1046"/>
      <c r="AB28" s="1046">
        <f>IFERROR(__xludf.DUMMYFUNCTION("""COMPUTED_VALUE"""),970000.0)</f>
        <v>970000</v>
      </c>
      <c r="AC28" s="1046">
        <f>IFERROR(__xludf.DUMMYFUNCTION("""COMPUTED_VALUE"""),200000.0)</f>
        <v>200000</v>
      </c>
      <c r="AD28" s="1046"/>
      <c r="AE28" s="1046">
        <f>IFERROR(__xludf.DUMMYFUNCTION("""COMPUTED_VALUE"""),970000.0)</f>
        <v>970000</v>
      </c>
      <c r="AF28" s="1046">
        <f>IFERROR(__xludf.DUMMYFUNCTION("""COMPUTED_VALUE"""),200000.0)</f>
        <v>200000</v>
      </c>
      <c r="AG28" s="1046"/>
      <c r="AH28" s="1046">
        <f>IFERROR(__xludf.DUMMYFUNCTION("""COMPUTED_VALUE"""),970000.0)</f>
        <v>970000</v>
      </c>
      <c r="AI28" s="1046">
        <f>IFERROR(__xludf.DUMMYFUNCTION("""COMPUTED_VALUE"""),200000.0)</f>
        <v>200000</v>
      </c>
      <c r="AJ28" s="1046"/>
      <c r="AK28" s="1046">
        <f>IFERROR(__xludf.DUMMYFUNCTION("""COMPUTED_VALUE"""),970000.0)</f>
        <v>970000</v>
      </c>
      <c r="AL28" s="1046">
        <f>IFERROR(__xludf.DUMMYFUNCTION("""COMPUTED_VALUE"""),200000.0)</f>
        <v>200000</v>
      </c>
    </row>
    <row r="29">
      <c r="A29" s="1328" t="s">
        <v>2298</v>
      </c>
      <c r="B29" s="1329">
        <f t="shared" ref="B29:C29" si="28">SUM(D29, G29, J29, M29, P29, S29, V29, Y29, AB29, AE29, AH29, AK29)</f>
        <v>19670000</v>
      </c>
      <c r="C29" s="1329">
        <f t="shared" si="28"/>
        <v>4077857</v>
      </c>
      <c r="D29" s="1046">
        <f>IFERROR(__xludf.DUMMYFUNCTION("FILTER('2026정산'!$E$2:$AM$779, ('2026정산'!$A$2:$A$779 = A29) * ('2026정산'!$C$2:$C$779 = ""합계""))"),2040000.0)</f>
        <v>2040000</v>
      </c>
      <c r="E29" s="1046">
        <f>IFERROR(__xludf.DUMMYFUNCTION("""COMPUTED_VALUE"""),384000.0)</f>
        <v>384000</v>
      </c>
      <c r="F29" s="1046"/>
      <c r="G29" s="1046">
        <f>IFERROR(__xludf.DUMMYFUNCTION("""COMPUTED_VALUE"""),1860000.0)</f>
        <v>1860000</v>
      </c>
      <c r="H29" s="1046">
        <f>IFERROR(__xludf.DUMMYFUNCTION("""COMPUTED_VALUE"""),376857.0)</f>
        <v>376857</v>
      </c>
      <c r="I29" s="1046"/>
      <c r="J29" s="1046">
        <f>IFERROR(__xludf.DUMMYFUNCTION("""COMPUTED_VALUE"""),1990000.0)</f>
        <v>1990000</v>
      </c>
      <c r="K29" s="1046">
        <f>IFERROR(__xludf.DUMMYFUNCTION("""COMPUTED_VALUE"""),417000.0)</f>
        <v>417000</v>
      </c>
      <c r="L29" s="1046"/>
      <c r="M29" s="1046">
        <f>IFERROR(__xludf.DUMMYFUNCTION("""COMPUTED_VALUE"""),1990000.0)</f>
        <v>1990000</v>
      </c>
      <c r="N29" s="1046">
        <f>IFERROR(__xludf.DUMMYFUNCTION("""COMPUTED_VALUE"""),400000.0)</f>
        <v>400000</v>
      </c>
      <c r="O29" s="1046"/>
      <c r="P29" s="1046">
        <f>IFERROR(__xludf.DUMMYFUNCTION("""COMPUTED_VALUE"""),1990000.0)</f>
        <v>1990000</v>
      </c>
      <c r="Q29" s="1046">
        <f>IFERROR(__xludf.DUMMYFUNCTION("""COMPUTED_VALUE"""),400000.0)</f>
        <v>400000</v>
      </c>
      <c r="R29" s="1046"/>
      <c r="S29" s="1046">
        <f>IFERROR(__xludf.DUMMYFUNCTION("""COMPUTED_VALUE"""),1400000.0)</f>
        <v>1400000</v>
      </c>
      <c r="T29" s="1046">
        <f>IFERROR(__xludf.DUMMYFUNCTION("""COMPUTED_VALUE"""),300000.0)</f>
        <v>300000</v>
      </c>
      <c r="U29" s="1046"/>
      <c r="V29" s="1046">
        <f>IFERROR(__xludf.DUMMYFUNCTION("""COMPUTED_VALUE"""),1400000.0)</f>
        <v>1400000</v>
      </c>
      <c r="W29" s="1046">
        <f>IFERROR(__xludf.DUMMYFUNCTION("""COMPUTED_VALUE"""),300000.0)</f>
        <v>300000</v>
      </c>
      <c r="X29" s="1046"/>
      <c r="Y29" s="1046">
        <f>IFERROR(__xludf.DUMMYFUNCTION("""COMPUTED_VALUE"""),1400000.0)</f>
        <v>1400000</v>
      </c>
      <c r="Z29" s="1046">
        <f>IFERROR(__xludf.DUMMYFUNCTION("""COMPUTED_VALUE"""),300000.0)</f>
        <v>300000</v>
      </c>
      <c r="AA29" s="1046"/>
      <c r="AB29" s="1046">
        <f>IFERROR(__xludf.DUMMYFUNCTION("""COMPUTED_VALUE"""),1400000.0)</f>
        <v>1400000</v>
      </c>
      <c r="AC29" s="1046">
        <f>IFERROR(__xludf.DUMMYFUNCTION("""COMPUTED_VALUE"""),300000.0)</f>
        <v>300000</v>
      </c>
      <c r="AD29" s="1046"/>
      <c r="AE29" s="1046">
        <f>IFERROR(__xludf.DUMMYFUNCTION("""COMPUTED_VALUE"""),1400000.0)</f>
        <v>1400000</v>
      </c>
      <c r="AF29" s="1046">
        <f>IFERROR(__xludf.DUMMYFUNCTION("""COMPUTED_VALUE"""),300000.0)</f>
        <v>300000</v>
      </c>
      <c r="AG29" s="1046"/>
      <c r="AH29" s="1046">
        <f>IFERROR(__xludf.DUMMYFUNCTION("""COMPUTED_VALUE"""),1400000.0)</f>
        <v>1400000</v>
      </c>
      <c r="AI29" s="1046">
        <f>IFERROR(__xludf.DUMMYFUNCTION("""COMPUTED_VALUE"""),300000.0)</f>
        <v>300000</v>
      </c>
      <c r="AJ29" s="1046"/>
      <c r="AK29" s="1046">
        <f>IFERROR(__xludf.DUMMYFUNCTION("""COMPUTED_VALUE"""),1400000.0)</f>
        <v>1400000</v>
      </c>
      <c r="AL29" s="1046">
        <f>IFERROR(__xludf.DUMMYFUNCTION("""COMPUTED_VALUE"""),300000.0)</f>
        <v>300000</v>
      </c>
    </row>
    <row r="30">
      <c r="A30" s="1328" t="s">
        <v>2306</v>
      </c>
      <c r="B30" s="1329">
        <f t="shared" ref="B30:C30" si="29">SUM(D30, G30, J30, M30, P30, S30, V30, Y30, AB30, AE30, AH30, AK30)</f>
        <v>18867742</v>
      </c>
      <c r="C30" s="1329">
        <f t="shared" si="29"/>
        <v>4063226</v>
      </c>
      <c r="D30" s="1046">
        <f>IFERROR(__xludf.DUMMYFUNCTION("FILTER('2026정산'!$E$2:$AM$779, ('2026정산'!$A$2:$A$779 = A30) * ('2026정산'!$C$2:$C$779 = ""합계""))"),1870000.0)</f>
        <v>1870000</v>
      </c>
      <c r="E30" s="1046">
        <f>IFERROR(__xludf.DUMMYFUNCTION("""COMPUTED_VALUE"""),380000.0)</f>
        <v>380000</v>
      </c>
      <c r="F30" s="1046"/>
      <c r="G30" s="1046">
        <f>IFERROR(__xludf.DUMMYFUNCTION("""COMPUTED_VALUE"""),1870000.0)</f>
        <v>1870000</v>
      </c>
      <c r="H30" s="1046">
        <f>IFERROR(__xludf.DUMMYFUNCTION("""COMPUTED_VALUE"""),380000.0)</f>
        <v>380000</v>
      </c>
      <c r="I30" s="1046"/>
      <c r="J30" s="1046">
        <f>IFERROR(__xludf.DUMMYFUNCTION("""COMPUTED_VALUE"""),2311290.0)</f>
        <v>2311290</v>
      </c>
      <c r="K30" s="1046">
        <f>IFERROR(__xludf.DUMMYFUNCTION("""COMPUTED_VALUE"""),483871.0)</f>
        <v>483871</v>
      </c>
      <c r="L30" s="1046"/>
      <c r="M30" s="1046">
        <f>IFERROR(__xludf.DUMMYFUNCTION("""COMPUTED_VALUE"""),2400000.0)</f>
        <v>2400000</v>
      </c>
      <c r="N30" s="1046">
        <f>IFERROR(__xludf.DUMMYFUNCTION("""COMPUTED_VALUE"""),500000.0)</f>
        <v>500000</v>
      </c>
      <c r="O30" s="1046"/>
      <c r="P30" s="1046">
        <f>IFERROR(__xludf.DUMMYFUNCTION("""COMPUTED_VALUE"""),1840000.0)</f>
        <v>1840000</v>
      </c>
      <c r="Q30" s="1046">
        <f>IFERROR(__xludf.DUMMYFUNCTION("""COMPUTED_VALUE"""),400000.0)</f>
        <v>400000</v>
      </c>
      <c r="R30" s="1046"/>
      <c r="S30" s="1046">
        <f>IFERROR(__xludf.DUMMYFUNCTION("""COMPUTED_VALUE"""),1840000.0)</f>
        <v>1840000</v>
      </c>
      <c r="T30" s="1046">
        <f>IFERROR(__xludf.DUMMYFUNCTION("""COMPUTED_VALUE"""),400000.0)</f>
        <v>400000</v>
      </c>
      <c r="U30" s="1046"/>
      <c r="V30" s="1046">
        <f>IFERROR(__xludf.DUMMYFUNCTION("""COMPUTED_VALUE"""),1396452.0)</f>
        <v>1396452</v>
      </c>
      <c r="W30" s="1046">
        <f>IFERROR(__xludf.DUMMYFUNCTION("""COMPUTED_VALUE"""),319355.0)</f>
        <v>319355</v>
      </c>
      <c r="X30" s="1046"/>
      <c r="Y30" s="1046">
        <f>IFERROR(__xludf.DUMMYFUNCTION("""COMPUTED_VALUE"""),1290000.0)</f>
        <v>1290000</v>
      </c>
      <c r="Z30" s="1046">
        <f>IFERROR(__xludf.DUMMYFUNCTION("""COMPUTED_VALUE"""),300000.0)</f>
        <v>300000</v>
      </c>
      <c r="AA30" s="1046"/>
      <c r="AB30" s="1046">
        <f>IFERROR(__xludf.DUMMYFUNCTION("""COMPUTED_VALUE"""),1290000.0)</f>
        <v>1290000</v>
      </c>
      <c r="AC30" s="1046">
        <f>IFERROR(__xludf.DUMMYFUNCTION("""COMPUTED_VALUE"""),300000.0)</f>
        <v>300000</v>
      </c>
      <c r="AD30" s="1046"/>
      <c r="AE30" s="1046">
        <f>IFERROR(__xludf.DUMMYFUNCTION("""COMPUTED_VALUE"""),920000.0)</f>
        <v>920000</v>
      </c>
      <c r="AF30" s="1046">
        <f>IFERROR(__xludf.DUMMYFUNCTION("""COMPUTED_VALUE"""),200000.0)</f>
        <v>200000</v>
      </c>
      <c r="AG30" s="1046"/>
      <c r="AH30" s="1046">
        <f>IFERROR(__xludf.DUMMYFUNCTION("""COMPUTED_VALUE"""),920000.0)</f>
        <v>920000</v>
      </c>
      <c r="AI30" s="1046">
        <f>IFERROR(__xludf.DUMMYFUNCTION("""COMPUTED_VALUE"""),200000.0)</f>
        <v>200000</v>
      </c>
      <c r="AJ30" s="1046"/>
      <c r="AK30" s="1046">
        <f>IFERROR(__xludf.DUMMYFUNCTION("""COMPUTED_VALUE"""),920000.0)</f>
        <v>920000</v>
      </c>
      <c r="AL30" s="1046">
        <f>IFERROR(__xludf.DUMMYFUNCTION("""COMPUTED_VALUE"""),200000.0)</f>
        <v>200000</v>
      </c>
    </row>
    <row r="31">
      <c r="A31" s="1330" t="s">
        <v>945</v>
      </c>
      <c r="B31" s="1329">
        <f t="shared" ref="B31:C31" si="30">SUM(D31, G31, J31, M31, P31, S31, V31, Y31, AB31, AE31, AH31, AK31)</f>
        <v>16943226</v>
      </c>
      <c r="C31" s="1329">
        <f t="shared" si="30"/>
        <v>3980645</v>
      </c>
      <c r="D31" s="1046">
        <f>IFERROR(__xludf.DUMMYFUNCTION("FILTER('2026정산'!$E$2:$AM$779, ('2026정산'!$A$2:$A$779 = A31) * ('2026정산'!$C$2:$C$779 = ""합계""))"),1760000.0)</f>
        <v>1760000</v>
      </c>
      <c r="E31" s="1046">
        <f>IFERROR(__xludf.DUMMYFUNCTION("""COMPUTED_VALUE"""),400000.0)</f>
        <v>400000</v>
      </c>
      <c r="F31" s="1046"/>
      <c r="G31" s="1046">
        <f>IFERROR(__xludf.DUMMYFUNCTION("""COMPUTED_VALUE"""),1760000.0)</f>
        <v>1760000</v>
      </c>
      <c r="H31" s="1046">
        <f>IFERROR(__xludf.DUMMYFUNCTION("""COMPUTED_VALUE"""),400000.0)</f>
        <v>400000</v>
      </c>
      <c r="I31" s="1046"/>
      <c r="J31" s="1046">
        <f>IFERROR(__xludf.DUMMYFUNCTION("""COMPUTED_VALUE"""),1760000.0)</f>
        <v>1760000</v>
      </c>
      <c r="K31" s="1046">
        <f>IFERROR(__xludf.DUMMYFUNCTION("""COMPUTED_VALUE"""),400000.0)</f>
        <v>400000</v>
      </c>
      <c r="L31" s="1046"/>
      <c r="M31" s="1046">
        <f>IFERROR(__xludf.DUMMYFUNCTION("""COMPUTED_VALUE"""),1760000.0)</f>
        <v>1760000</v>
      </c>
      <c r="N31" s="1046">
        <f>IFERROR(__xludf.DUMMYFUNCTION("""COMPUTED_VALUE"""),400000.0)</f>
        <v>400000</v>
      </c>
      <c r="O31" s="1046"/>
      <c r="P31" s="1046">
        <f>IFERROR(__xludf.DUMMYFUNCTION("""COMPUTED_VALUE"""),1760000.0)</f>
        <v>1760000</v>
      </c>
      <c r="Q31" s="1046">
        <f>IFERROR(__xludf.DUMMYFUNCTION("""COMPUTED_VALUE"""),400000.0)</f>
        <v>400000</v>
      </c>
      <c r="R31" s="1046"/>
      <c r="S31" s="1046">
        <f>IFERROR(__xludf.DUMMYFUNCTION("""COMPUTED_VALUE"""),1760000.0)</f>
        <v>1760000</v>
      </c>
      <c r="T31" s="1046">
        <f>IFERROR(__xludf.DUMMYFUNCTION("""COMPUTED_VALUE"""),400000.0)</f>
        <v>400000</v>
      </c>
      <c r="U31" s="1046"/>
      <c r="V31" s="1046">
        <f>IFERROR(__xludf.DUMMYFUNCTION("""COMPUTED_VALUE"""),1760000.0)</f>
        <v>1760000</v>
      </c>
      <c r="W31" s="1046">
        <f>IFERROR(__xludf.DUMMYFUNCTION("""COMPUTED_VALUE"""),400000.0)</f>
        <v>400000</v>
      </c>
      <c r="X31" s="1046"/>
      <c r="Y31" s="1046">
        <f>IFERROR(__xludf.DUMMYFUNCTION("""COMPUTED_VALUE"""),1663226.0)</f>
        <v>1663226</v>
      </c>
      <c r="Z31" s="1046">
        <f>IFERROR(__xludf.DUMMYFUNCTION("""COMPUTED_VALUE"""),380645.0)</f>
        <v>380645</v>
      </c>
      <c r="AA31" s="1046"/>
      <c r="AB31" s="1046">
        <f>IFERROR(__xludf.DUMMYFUNCTION("""COMPUTED_VALUE"""),740000.0)</f>
        <v>740000</v>
      </c>
      <c r="AC31" s="1046">
        <f>IFERROR(__xludf.DUMMYFUNCTION("""COMPUTED_VALUE"""),200000.0)</f>
        <v>200000</v>
      </c>
      <c r="AD31" s="1046"/>
      <c r="AE31" s="1046">
        <f>IFERROR(__xludf.DUMMYFUNCTION("""COMPUTED_VALUE"""),740000.0)</f>
        <v>740000</v>
      </c>
      <c r="AF31" s="1046">
        <f>IFERROR(__xludf.DUMMYFUNCTION("""COMPUTED_VALUE"""),200000.0)</f>
        <v>200000</v>
      </c>
      <c r="AG31" s="1046"/>
      <c r="AH31" s="1046">
        <f>IFERROR(__xludf.DUMMYFUNCTION("""COMPUTED_VALUE"""),740000.0)</f>
        <v>740000</v>
      </c>
      <c r="AI31" s="1046">
        <f>IFERROR(__xludf.DUMMYFUNCTION("""COMPUTED_VALUE"""),200000.0)</f>
        <v>200000</v>
      </c>
      <c r="AJ31" s="1046"/>
      <c r="AK31" s="1046">
        <f>IFERROR(__xludf.DUMMYFUNCTION("""COMPUTED_VALUE"""),740000.0)</f>
        <v>740000</v>
      </c>
      <c r="AL31" s="1046">
        <f>IFERROR(__xludf.DUMMYFUNCTION("""COMPUTED_VALUE"""),200000.0)</f>
        <v>200000</v>
      </c>
    </row>
    <row r="32">
      <c r="A32" s="1330" t="s">
        <v>967</v>
      </c>
      <c r="B32" s="1329">
        <f t="shared" ref="B32:C32" si="31">SUM(D32, G32, J32, M32, P32, S32, V32, Y32, AB32, AE32, AH32, AK32)</f>
        <v>8460000</v>
      </c>
      <c r="C32" s="1329">
        <f t="shared" si="31"/>
        <v>1640000</v>
      </c>
      <c r="D32" s="1046">
        <f>IFERROR(__xludf.DUMMYFUNCTION("FILTER('2026정산'!$E$2:$AM$779, ('2026정산'!$A$2:$A$779 = A32) * ('2026정산'!$C$2:$C$779 = ""합계""))"),1460000.0)</f>
        <v>1460000</v>
      </c>
      <c r="E32" s="1046">
        <f>IFERROR(__xludf.DUMMYFUNCTION("""COMPUTED_VALUE"""),260000.0)</f>
        <v>260000</v>
      </c>
      <c r="F32" s="1046"/>
      <c r="G32" s="1046">
        <f>IFERROR(__xludf.DUMMYFUNCTION("""COMPUTED_VALUE"""),1280000.0)</f>
        <v>1280000</v>
      </c>
      <c r="H32" s="1046">
        <f>IFERROR(__xludf.DUMMYFUNCTION("""COMPUTED_VALUE"""),280000.0)</f>
        <v>280000</v>
      </c>
      <c r="I32" s="1046"/>
      <c r="J32" s="1046">
        <f>IFERROR(__xludf.DUMMYFUNCTION("""COMPUTED_VALUE"""),1040000.0)</f>
        <v>1040000</v>
      </c>
      <c r="K32" s="1046">
        <f>IFERROR(__xludf.DUMMYFUNCTION("""COMPUTED_VALUE"""),200000.0)</f>
        <v>200000</v>
      </c>
      <c r="L32" s="1046"/>
      <c r="M32" s="1046">
        <f>IFERROR(__xludf.DUMMYFUNCTION("""COMPUTED_VALUE"""),1040000.0)</f>
        <v>1040000</v>
      </c>
      <c r="N32" s="1046">
        <f>IFERROR(__xludf.DUMMYFUNCTION("""COMPUTED_VALUE"""),200000.0)</f>
        <v>200000</v>
      </c>
      <c r="O32" s="1046"/>
      <c r="P32" s="1046">
        <f>IFERROR(__xludf.DUMMYFUNCTION("""COMPUTED_VALUE"""),1040000.0)</f>
        <v>1040000</v>
      </c>
      <c r="Q32" s="1046">
        <f>IFERROR(__xludf.DUMMYFUNCTION("""COMPUTED_VALUE"""),200000.0)</f>
        <v>200000</v>
      </c>
      <c r="R32" s="1046"/>
      <c r="S32" s="1046">
        <f>IFERROR(__xludf.DUMMYFUNCTION("""COMPUTED_VALUE"""),1040000.0)</f>
        <v>1040000</v>
      </c>
      <c r="T32" s="1046">
        <f>IFERROR(__xludf.DUMMYFUNCTION("""COMPUTED_VALUE"""),200000.0)</f>
        <v>200000</v>
      </c>
      <c r="U32" s="1046"/>
      <c r="V32" s="1046">
        <f>IFERROR(__xludf.DUMMYFUNCTION("""COMPUTED_VALUE"""),1040000.0)</f>
        <v>1040000</v>
      </c>
      <c r="W32" s="1046">
        <f>IFERROR(__xludf.DUMMYFUNCTION("""COMPUTED_VALUE"""),200000.0)</f>
        <v>200000</v>
      </c>
      <c r="X32" s="1046"/>
      <c r="Y32" s="1046">
        <f>IFERROR(__xludf.DUMMYFUNCTION("""COMPUTED_VALUE"""),520000.0)</f>
        <v>520000</v>
      </c>
      <c r="Z32" s="1046">
        <f>IFERROR(__xludf.DUMMYFUNCTION("""COMPUTED_VALUE"""),100000.0)</f>
        <v>100000</v>
      </c>
      <c r="AA32" s="1046"/>
      <c r="AB32" s="1046">
        <f>IFERROR(__xludf.DUMMYFUNCTION("""COMPUTED_VALUE"""),0.0)</f>
        <v>0</v>
      </c>
      <c r="AC32" s="1046">
        <f>IFERROR(__xludf.DUMMYFUNCTION("""COMPUTED_VALUE"""),0.0)</f>
        <v>0</v>
      </c>
      <c r="AD32" s="1046"/>
      <c r="AE32" s="1046">
        <f>IFERROR(__xludf.DUMMYFUNCTION("""COMPUTED_VALUE"""),0.0)</f>
        <v>0</v>
      </c>
      <c r="AF32" s="1046">
        <f>IFERROR(__xludf.DUMMYFUNCTION("""COMPUTED_VALUE"""),0.0)</f>
        <v>0</v>
      </c>
      <c r="AG32" s="1046"/>
      <c r="AH32" s="1046">
        <f>IFERROR(__xludf.DUMMYFUNCTION("""COMPUTED_VALUE"""),0.0)</f>
        <v>0</v>
      </c>
      <c r="AI32" s="1046">
        <f>IFERROR(__xludf.DUMMYFUNCTION("""COMPUTED_VALUE"""),0.0)</f>
        <v>0</v>
      </c>
      <c r="AJ32" s="1046"/>
      <c r="AK32" s="1046">
        <f>IFERROR(__xludf.DUMMYFUNCTION("""COMPUTED_VALUE"""),0.0)</f>
        <v>0</v>
      </c>
      <c r="AL32" s="1046">
        <f>IFERROR(__xludf.DUMMYFUNCTION("""COMPUTED_VALUE"""),0.0)</f>
        <v>0</v>
      </c>
    </row>
    <row r="33">
      <c r="A33" s="1330" t="s">
        <v>986</v>
      </c>
      <c r="B33" s="1329">
        <f t="shared" ref="B33:C33" si="32">SUM(D33, G33, J33, M33, P33, S33, V33, Y33, AB33, AE33, AH33, AK33)</f>
        <v>16061318</v>
      </c>
      <c r="C33" s="1329">
        <f t="shared" si="32"/>
        <v>3256759</v>
      </c>
      <c r="D33" s="1046">
        <f>IFERROR(__xludf.DUMMYFUNCTION("FILTER('2026정산'!$E$2:$AM$779, ('2026정산'!$A$2:$A$779 = A33) * ('2026정산'!$C$2:$C$779 = ""합계""))"),1890000.0)</f>
        <v>1890000</v>
      </c>
      <c r="E33" s="1046">
        <f>IFERROR(__xludf.DUMMYFUNCTION("""COMPUTED_VALUE"""),380000.0)</f>
        <v>380000</v>
      </c>
      <c r="F33" s="1046"/>
      <c r="G33" s="1046">
        <f>IFERROR(__xludf.DUMMYFUNCTION("""COMPUTED_VALUE"""),1964286.0)</f>
        <v>1964286</v>
      </c>
      <c r="H33" s="1046">
        <f>IFERROR(__xludf.DUMMYFUNCTION("""COMPUTED_VALUE"""),394286.0)</f>
        <v>394286</v>
      </c>
      <c r="I33" s="1046"/>
      <c r="J33" s="1046">
        <f>IFERROR(__xludf.DUMMYFUNCTION("""COMPUTED_VALUE"""),1669677.0)</f>
        <v>1669677</v>
      </c>
      <c r="K33" s="1046">
        <f>IFERROR(__xludf.DUMMYFUNCTION("""COMPUTED_VALUE"""),345161.0)</f>
        <v>345161</v>
      </c>
      <c r="L33" s="1046"/>
      <c r="M33" s="1046">
        <f>IFERROR(__xludf.DUMMYFUNCTION("""COMPUTED_VALUE"""),1900000.0)</f>
        <v>1900000</v>
      </c>
      <c r="N33" s="1046">
        <f>IFERROR(__xludf.DUMMYFUNCTION("""COMPUTED_VALUE"""),400000.0)</f>
        <v>400000</v>
      </c>
      <c r="O33" s="1046"/>
      <c r="P33" s="1046">
        <f>IFERROR(__xludf.DUMMYFUNCTION("""COMPUTED_VALUE"""),1900000.0)</f>
        <v>1900000</v>
      </c>
      <c r="Q33" s="1046">
        <f>IFERROR(__xludf.DUMMYFUNCTION("""COMPUTED_VALUE"""),400000.0)</f>
        <v>400000</v>
      </c>
      <c r="R33" s="1046"/>
      <c r="S33" s="1046">
        <f>IFERROR(__xludf.DUMMYFUNCTION("""COMPUTED_VALUE"""),1480000.0)</f>
        <v>1480000</v>
      </c>
      <c r="T33" s="1046">
        <f>IFERROR(__xludf.DUMMYFUNCTION("""COMPUTED_VALUE"""),300000.0)</f>
        <v>300000</v>
      </c>
      <c r="U33" s="1046"/>
      <c r="V33" s="1046">
        <f>IFERROR(__xludf.DUMMYFUNCTION("""COMPUTED_VALUE"""),1480000.0)</f>
        <v>1480000</v>
      </c>
      <c r="W33" s="1046">
        <f>IFERROR(__xludf.DUMMYFUNCTION("""COMPUTED_VALUE"""),300000.0)</f>
        <v>300000</v>
      </c>
      <c r="X33" s="1046"/>
      <c r="Y33" s="1046">
        <f>IFERROR(__xludf.DUMMYFUNCTION("""COMPUTED_VALUE"""),1379355.0)</f>
        <v>1379355</v>
      </c>
      <c r="Z33" s="1046">
        <f>IFERROR(__xludf.DUMMYFUNCTION("""COMPUTED_VALUE"""),280645.0)</f>
        <v>280645</v>
      </c>
      <c r="AA33" s="1046"/>
      <c r="AB33" s="1046">
        <f>IFERROR(__xludf.DUMMYFUNCTION("""COMPUTED_VALUE"""),778000.0)</f>
        <v>778000</v>
      </c>
      <c r="AC33" s="1046">
        <f>IFERROR(__xludf.DUMMYFUNCTION("""COMPUTED_VALUE"""),156667.0)</f>
        <v>156667</v>
      </c>
      <c r="AD33" s="1046"/>
      <c r="AE33" s="1046">
        <f>IFERROR(__xludf.DUMMYFUNCTION("""COMPUTED_VALUE"""),540000.0)</f>
        <v>540000</v>
      </c>
      <c r="AF33" s="1046">
        <f>IFERROR(__xludf.DUMMYFUNCTION("""COMPUTED_VALUE"""),100000.0)</f>
        <v>100000</v>
      </c>
      <c r="AG33" s="1046"/>
      <c r="AH33" s="1046">
        <f>IFERROR(__xludf.DUMMYFUNCTION("""COMPUTED_VALUE"""),540000.0)</f>
        <v>540000</v>
      </c>
      <c r="AI33" s="1046">
        <f>IFERROR(__xludf.DUMMYFUNCTION("""COMPUTED_VALUE"""),100000.0)</f>
        <v>100000</v>
      </c>
      <c r="AJ33" s="1046"/>
      <c r="AK33" s="1046">
        <f>IFERROR(__xludf.DUMMYFUNCTION("""COMPUTED_VALUE"""),540000.0)</f>
        <v>540000</v>
      </c>
      <c r="AL33" s="1046">
        <f>IFERROR(__xludf.DUMMYFUNCTION("""COMPUTED_VALUE"""),100000.0)</f>
        <v>100000</v>
      </c>
    </row>
    <row r="34">
      <c r="A34" s="1330" t="s">
        <v>1006</v>
      </c>
      <c r="B34" s="1329">
        <f t="shared" ref="B34:C34" si="33">SUM(D34, G34, J34, M34, P34, S34, V34, Y34, AB34, AE34, AH34, AK34)</f>
        <v>9690000</v>
      </c>
      <c r="C34" s="1329">
        <f t="shared" si="33"/>
        <v>2300000</v>
      </c>
      <c r="D34" s="1046">
        <f>IFERROR(__xludf.DUMMYFUNCTION("FILTER('2026정산'!$E$2:$AM$779, ('2026정산'!$A$2:$A$779 = A34) * ('2026정산'!$C$2:$C$779 = ""합계""))"),1310000.0)</f>
        <v>1310000</v>
      </c>
      <c r="E34" s="1046">
        <f>IFERROR(__xludf.DUMMYFUNCTION("""COMPUTED_VALUE"""),300000.0)</f>
        <v>300000</v>
      </c>
      <c r="F34" s="1046"/>
      <c r="G34" s="1046">
        <f>IFERROR(__xludf.DUMMYFUNCTION("""COMPUTED_VALUE"""),1310000.0)</f>
        <v>1310000</v>
      </c>
      <c r="H34" s="1046">
        <f>IFERROR(__xludf.DUMMYFUNCTION("""COMPUTED_VALUE"""),300000.0)</f>
        <v>300000</v>
      </c>
      <c r="I34" s="1046"/>
      <c r="J34" s="1046">
        <f>IFERROR(__xludf.DUMMYFUNCTION("""COMPUTED_VALUE"""),860000.0)</f>
        <v>860000</v>
      </c>
      <c r="K34" s="1046">
        <f>IFERROR(__xludf.DUMMYFUNCTION("""COMPUTED_VALUE"""),200000.0)</f>
        <v>200000</v>
      </c>
      <c r="L34" s="1046"/>
      <c r="M34" s="1046">
        <f>IFERROR(__xludf.DUMMYFUNCTION("""COMPUTED_VALUE"""),860000.0)</f>
        <v>860000</v>
      </c>
      <c r="N34" s="1046">
        <f>IFERROR(__xludf.DUMMYFUNCTION("""COMPUTED_VALUE"""),200000.0)</f>
        <v>200000</v>
      </c>
      <c r="O34" s="1046"/>
      <c r="P34" s="1046">
        <f>IFERROR(__xludf.DUMMYFUNCTION("""COMPUTED_VALUE"""),860000.0)</f>
        <v>860000</v>
      </c>
      <c r="Q34" s="1046">
        <f>IFERROR(__xludf.DUMMYFUNCTION("""COMPUTED_VALUE"""),200000.0)</f>
        <v>200000</v>
      </c>
      <c r="R34" s="1046"/>
      <c r="S34" s="1046">
        <f>IFERROR(__xludf.DUMMYFUNCTION("""COMPUTED_VALUE"""),860000.0)</f>
        <v>860000</v>
      </c>
      <c r="T34" s="1046">
        <f>IFERROR(__xludf.DUMMYFUNCTION("""COMPUTED_VALUE"""),200000.0)</f>
        <v>200000</v>
      </c>
      <c r="U34" s="1046"/>
      <c r="V34" s="1046">
        <f>IFERROR(__xludf.DUMMYFUNCTION("""COMPUTED_VALUE"""),860000.0)</f>
        <v>860000</v>
      </c>
      <c r="W34" s="1046">
        <f>IFERROR(__xludf.DUMMYFUNCTION("""COMPUTED_VALUE"""),200000.0)</f>
        <v>200000</v>
      </c>
      <c r="X34" s="1046"/>
      <c r="Y34" s="1046">
        <f>IFERROR(__xludf.DUMMYFUNCTION("""COMPUTED_VALUE"""),860000.0)</f>
        <v>860000</v>
      </c>
      <c r="Z34" s="1046">
        <f>IFERROR(__xludf.DUMMYFUNCTION("""COMPUTED_VALUE"""),200000.0)</f>
        <v>200000</v>
      </c>
      <c r="AA34" s="1046"/>
      <c r="AB34" s="1046">
        <f>IFERROR(__xludf.DUMMYFUNCTION("""COMPUTED_VALUE"""),860000.0)</f>
        <v>860000</v>
      </c>
      <c r="AC34" s="1046">
        <f>IFERROR(__xludf.DUMMYFUNCTION("""COMPUTED_VALUE"""),200000.0)</f>
        <v>200000</v>
      </c>
      <c r="AD34" s="1046"/>
      <c r="AE34" s="1046">
        <f>IFERROR(__xludf.DUMMYFUNCTION("""COMPUTED_VALUE"""),350000.0)</f>
        <v>350000</v>
      </c>
      <c r="AF34" s="1046">
        <f>IFERROR(__xludf.DUMMYFUNCTION("""COMPUTED_VALUE"""),100000.0)</f>
        <v>100000</v>
      </c>
      <c r="AG34" s="1046"/>
      <c r="AH34" s="1046">
        <f>IFERROR(__xludf.DUMMYFUNCTION("""COMPUTED_VALUE"""),350000.0)</f>
        <v>350000</v>
      </c>
      <c r="AI34" s="1046">
        <f>IFERROR(__xludf.DUMMYFUNCTION("""COMPUTED_VALUE"""),100000.0)</f>
        <v>100000</v>
      </c>
      <c r="AJ34" s="1046"/>
      <c r="AK34" s="1046">
        <f>IFERROR(__xludf.DUMMYFUNCTION("""COMPUTED_VALUE"""),350000.0)</f>
        <v>350000</v>
      </c>
      <c r="AL34" s="1046">
        <f>IFERROR(__xludf.DUMMYFUNCTION("""COMPUTED_VALUE"""),100000.0)</f>
        <v>100000</v>
      </c>
    </row>
    <row r="35">
      <c r="A35" s="1330" t="s">
        <v>1021</v>
      </c>
      <c r="B35" s="1329">
        <f t="shared" ref="B35:C35" si="34">SUM(D35, G35, J35, M35, P35, S35, V35, Y35, AB35, AE35, AH35, AK35)</f>
        <v>12480484</v>
      </c>
      <c r="C35" s="1329">
        <f t="shared" si="34"/>
        <v>2624516</v>
      </c>
      <c r="D35" s="1046">
        <f>IFERROR(__xludf.DUMMYFUNCTION("FILTER('2026정산'!$E$2:$AM$779, ('2026정산'!$A$2:$A$779 = A35) * ('2026정산'!$C$2:$C$779 = ""합계""))"),1020000.0)</f>
        <v>1020000</v>
      </c>
      <c r="E35" s="1046">
        <f>IFERROR(__xludf.DUMMYFUNCTION("""COMPUTED_VALUE"""),220000.0)</f>
        <v>220000</v>
      </c>
      <c r="F35" s="1046"/>
      <c r="G35" s="1046">
        <f>IFERROR(__xludf.DUMMYFUNCTION("""COMPUTED_VALUE"""),1520000.0)</f>
        <v>1520000</v>
      </c>
      <c r="H35" s="1046">
        <f>IFERROR(__xludf.DUMMYFUNCTION("""COMPUTED_VALUE"""),250000.0)</f>
        <v>250000</v>
      </c>
      <c r="I35" s="1046"/>
      <c r="J35" s="1046">
        <f>IFERROR(__xludf.DUMMYFUNCTION("""COMPUTED_VALUE"""),1135484.0)</f>
        <v>1135484</v>
      </c>
      <c r="K35" s="1046">
        <f>IFERROR(__xludf.DUMMYFUNCTION("""COMPUTED_VALUE"""),314516.0)</f>
        <v>314516</v>
      </c>
      <c r="L35" s="1046"/>
      <c r="M35" s="1046">
        <f>IFERROR(__xludf.DUMMYFUNCTION("""COMPUTED_VALUE"""),1205000.0)</f>
        <v>1205000</v>
      </c>
      <c r="N35" s="1046">
        <f>IFERROR(__xludf.DUMMYFUNCTION("""COMPUTED_VALUE"""),240000.0)</f>
        <v>240000</v>
      </c>
      <c r="O35" s="1046"/>
      <c r="P35" s="1046">
        <f>IFERROR(__xludf.DUMMYFUNCTION("""COMPUTED_VALUE"""),950000.0)</f>
        <v>950000</v>
      </c>
      <c r="Q35" s="1046">
        <f>IFERROR(__xludf.DUMMYFUNCTION("""COMPUTED_VALUE"""),200000.0)</f>
        <v>200000</v>
      </c>
      <c r="R35" s="1046"/>
      <c r="S35" s="1046">
        <f>IFERROR(__xludf.DUMMYFUNCTION("""COMPUTED_VALUE"""),950000.0)</f>
        <v>950000</v>
      </c>
      <c r="T35" s="1046">
        <f>IFERROR(__xludf.DUMMYFUNCTION("""COMPUTED_VALUE"""),200000.0)</f>
        <v>200000</v>
      </c>
      <c r="U35" s="1046"/>
      <c r="V35" s="1046">
        <f>IFERROR(__xludf.DUMMYFUNCTION("""COMPUTED_VALUE"""),950000.0)</f>
        <v>950000</v>
      </c>
      <c r="W35" s="1046">
        <f>IFERROR(__xludf.DUMMYFUNCTION("""COMPUTED_VALUE"""),200000.0)</f>
        <v>200000</v>
      </c>
      <c r="X35" s="1046"/>
      <c r="Y35" s="1046">
        <f>IFERROR(__xludf.DUMMYFUNCTION("""COMPUTED_VALUE"""),950000.0)</f>
        <v>950000</v>
      </c>
      <c r="Z35" s="1046">
        <f>IFERROR(__xludf.DUMMYFUNCTION("""COMPUTED_VALUE"""),200000.0)</f>
        <v>200000</v>
      </c>
      <c r="AA35" s="1046"/>
      <c r="AB35" s="1046">
        <f>IFERROR(__xludf.DUMMYFUNCTION("""COMPUTED_VALUE"""),950000.0)</f>
        <v>950000</v>
      </c>
      <c r="AC35" s="1046">
        <f>IFERROR(__xludf.DUMMYFUNCTION("""COMPUTED_VALUE"""),200000.0)</f>
        <v>200000</v>
      </c>
      <c r="AD35" s="1046"/>
      <c r="AE35" s="1046">
        <f>IFERROR(__xludf.DUMMYFUNCTION("""COMPUTED_VALUE"""),950000.0)</f>
        <v>950000</v>
      </c>
      <c r="AF35" s="1046">
        <f>IFERROR(__xludf.DUMMYFUNCTION("""COMPUTED_VALUE"""),200000.0)</f>
        <v>200000</v>
      </c>
      <c r="AG35" s="1046"/>
      <c r="AH35" s="1046">
        <f>IFERROR(__xludf.DUMMYFUNCTION("""COMPUTED_VALUE"""),950000.0)</f>
        <v>950000</v>
      </c>
      <c r="AI35" s="1046">
        <f>IFERROR(__xludf.DUMMYFUNCTION("""COMPUTED_VALUE"""),200000.0)</f>
        <v>200000</v>
      </c>
      <c r="AJ35" s="1046"/>
      <c r="AK35" s="1046">
        <f>IFERROR(__xludf.DUMMYFUNCTION("""COMPUTED_VALUE"""),950000.0)</f>
        <v>950000</v>
      </c>
      <c r="AL35" s="1046">
        <f>IFERROR(__xludf.DUMMYFUNCTION("""COMPUTED_VALUE"""),200000.0)</f>
        <v>200000</v>
      </c>
    </row>
    <row r="36">
      <c r="A36" s="1328" t="s">
        <v>1041</v>
      </c>
      <c r="B36" s="1329">
        <f t="shared" ref="B36:C36" si="35">SUM(D36, G36, J36, M36, P36, S36, V36, Y36, AB36, AE36, AH36, AK36)</f>
        <v>17590000</v>
      </c>
      <c r="C36" s="1329">
        <f t="shared" si="35"/>
        <v>3600000</v>
      </c>
      <c r="D36" s="1046">
        <f>IFERROR(__xludf.DUMMYFUNCTION("FILTER('2026정산'!$E$2:$AM$779, ('2026정산'!$A$2:$A$779 = A36) * ('2026정산'!$C$2:$C$779 = ""합계""))"),1890000.0)</f>
        <v>1890000</v>
      </c>
      <c r="E36" s="1046">
        <f>IFERROR(__xludf.DUMMYFUNCTION("""COMPUTED_VALUE"""),400000.0)</f>
        <v>400000</v>
      </c>
      <c r="F36" s="1046"/>
      <c r="G36" s="1046">
        <f>IFERROR(__xludf.DUMMYFUNCTION("""COMPUTED_VALUE"""),1890000.0)</f>
        <v>1890000</v>
      </c>
      <c r="H36" s="1046">
        <f>IFERROR(__xludf.DUMMYFUNCTION("""COMPUTED_VALUE"""),300000.0)</f>
        <v>300000</v>
      </c>
      <c r="I36" s="1046"/>
      <c r="J36" s="1046">
        <f>IFERROR(__xludf.DUMMYFUNCTION("""COMPUTED_VALUE"""),1890000.0)</f>
        <v>1890000</v>
      </c>
      <c r="K36" s="1046">
        <f>IFERROR(__xludf.DUMMYFUNCTION("""COMPUTED_VALUE"""),400000.0)</f>
        <v>400000</v>
      </c>
      <c r="L36" s="1046"/>
      <c r="M36" s="1046">
        <f>IFERROR(__xludf.DUMMYFUNCTION("""COMPUTED_VALUE"""),1890000.0)</f>
        <v>1890000</v>
      </c>
      <c r="N36" s="1046">
        <f>IFERROR(__xludf.DUMMYFUNCTION("""COMPUTED_VALUE"""),400000.0)</f>
        <v>400000</v>
      </c>
      <c r="O36" s="1046"/>
      <c r="P36" s="1046">
        <f>IFERROR(__xludf.DUMMYFUNCTION("""COMPUTED_VALUE"""),1890000.0)</f>
        <v>1890000</v>
      </c>
      <c r="Q36" s="1046">
        <f>IFERROR(__xludf.DUMMYFUNCTION("""COMPUTED_VALUE"""),400000.0)</f>
        <v>400000</v>
      </c>
      <c r="R36" s="1046"/>
      <c r="S36" s="1046">
        <f>IFERROR(__xludf.DUMMYFUNCTION("""COMPUTED_VALUE"""),1420000.0)</f>
        <v>1420000</v>
      </c>
      <c r="T36" s="1046">
        <f>IFERROR(__xludf.DUMMYFUNCTION("""COMPUTED_VALUE"""),300000.0)</f>
        <v>300000</v>
      </c>
      <c r="U36" s="1046"/>
      <c r="V36" s="1046">
        <f>IFERROR(__xludf.DUMMYFUNCTION("""COMPUTED_VALUE"""),1420000.0)</f>
        <v>1420000</v>
      </c>
      <c r="W36" s="1046">
        <f>IFERROR(__xludf.DUMMYFUNCTION("""COMPUTED_VALUE"""),300000.0)</f>
        <v>300000</v>
      </c>
      <c r="X36" s="1046"/>
      <c r="Y36" s="1046">
        <f>IFERROR(__xludf.DUMMYFUNCTION("""COMPUTED_VALUE"""),1420000.0)</f>
        <v>1420000</v>
      </c>
      <c r="Z36" s="1046">
        <f>IFERROR(__xludf.DUMMYFUNCTION("""COMPUTED_VALUE"""),300000.0)</f>
        <v>300000</v>
      </c>
      <c r="AA36" s="1046"/>
      <c r="AB36" s="1046">
        <f>IFERROR(__xludf.DUMMYFUNCTION("""COMPUTED_VALUE"""),970000.0)</f>
        <v>970000</v>
      </c>
      <c r="AC36" s="1046">
        <f>IFERROR(__xludf.DUMMYFUNCTION("""COMPUTED_VALUE"""),200000.0)</f>
        <v>200000</v>
      </c>
      <c r="AD36" s="1046"/>
      <c r="AE36" s="1046">
        <f>IFERROR(__xludf.DUMMYFUNCTION("""COMPUTED_VALUE"""),970000.0)</f>
        <v>970000</v>
      </c>
      <c r="AF36" s="1046">
        <f>IFERROR(__xludf.DUMMYFUNCTION("""COMPUTED_VALUE"""),200000.0)</f>
        <v>200000</v>
      </c>
      <c r="AG36" s="1046"/>
      <c r="AH36" s="1046">
        <f>IFERROR(__xludf.DUMMYFUNCTION("""COMPUTED_VALUE"""),970000.0)</f>
        <v>970000</v>
      </c>
      <c r="AI36" s="1046">
        <f>IFERROR(__xludf.DUMMYFUNCTION("""COMPUTED_VALUE"""),200000.0)</f>
        <v>200000</v>
      </c>
      <c r="AJ36" s="1046"/>
      <c r="AK36" s="1046">
        <f>IFERROR(__xludf.DUMMYFUNCTION("""COMPUTED_VALUE"""),970000.0)</f>
        <v>970000</v>
      </c>
      <c r="AL36" s="1046">
        <f>IFERROR(__xludf.DUMMYFUNCTION("""COMPUTED_VALUE"""),200000.0)</f>
        <v>200000</v>
      </c>
    </row>
    <row r="37">
      <c r="A37" s="1328" t="s">
        <v>2344</v>
      </c>
      <c r="B37" s="1329">
        <f t="shared" ref="B37:C37" si="36">SUM(D37, G37, J37, M37, P37, S37, V37, Y37, AB37, AE37, AH37, AK37)</f>
        <v>24639865</v>
      </c>
      <c r="C37" s="1329">
        <f t="shared" si="36"/>
        <v>5552158</v>
      </c>
      <c r="D37" s="1046">
        <f>IFERROR(__xludf.DUMMYFUNCTION("FILTER('2026정산'!$E$2:$AM$779, ('2026정산'!$A$2:$A$779 = A37) * ('2026정산'!$C$2:$C$779 = ""합계""))"),1860000.0)</f>
        <v>1860000</v>
      </c>
      <c r="E37" s="1046">
        <f>IFERROR(__xludf.DUMMYFUNCTION("""COMPUTED_VALUE"""),410000.0)</f>
        <v>410000</v>
      </c>
      <c r="F37" s="1046"/>
      <c r="G37" s="1046">
        <f>IFERROR(__xludf.DUMMYFUNCTION("""COMPUTED_VALUE"""),2227857.0)</f>
        <v>2227857</v>
      </c>
      <c r="H37" s="1046">
        <f>IFERROR(__xludf.DUMMYFUNCTION("""COMPUTED_VALUE"""),562142.0)</f>
        <v>562142</v>
      </c>
      <c r="I37" s="1046"/>
      <c r="J37" s="1046">
        <f>IFERROR(__xludf.DUMMYFUNCTION("""COMPUTED_VALUE"""),2240000.0)</f>
        <v>2240000</v>
      </c>
      <c r="K37" s="1046">
        <f>IFERROR(__xludf.DUMMYFUNCTION("""COMPUTED_VALUE"""),500000.0)</f>
        <v>500000</v>
      </c>
      <c r="L37" s="1046"/>
      <c r="M37" s="1046">
        <f>IFERROR(__xludf.DUMMYFUNCTION("""COMPUTED_VALUE"""),2240000.0)</f>
        <v>2240000</v>
      </c>
      <c r="N37" s="1046">
        <f>IFERROR(__xludf.DUMMYFUNCTION("""COMPUTED_VALUE"""),500000.0)</f>
        <v>500000</v>
      </c>
      <c r="O37" s="1046"/>
      <c r="P37" s="1046">
        <f>IFERROR(__xludf.DUMMYFUNCTION("""COMPUTED_VALUE"""),2240000.0)</f>
        <v>2240000</v>
      </c>
      <c r="Q37" s="1046">
        <f>IFERROR(__xludf.DUMMYFUNCTION("""COMPUTED_VALUE"""),500000.0)</f>
        <v>500000</v>
      </c>
      <c r="R37" s="1046"/>
      <c r="S37" s="1046">
        <f>IFERROR(__xludf.DUMMYFUNCTION("""COMPUTED_VALUE"""),2240000.0)</f>
        <v>2240000</v>
      </c>
      <c r="T37" s="1046">
        <f>IFERROR(__xludf.DUMMYFUNCTION("""COMPUTED_VALUE"""),500000.0)</f>
        <v>500000</v>
      </c>
      <c r="U37" s="1046"/>
      <c r="V37" s="1046">
        <f>IFERROR(__xludf.DUMMYFUNCTION("""COMPUTED_VALUE"""),2240000.0)</f>
        <v>2240000</v>
      </c>
      <c r="W37" s="1046">
        <f>IFERROR(__xludf.DUMMYFUNCTION("""COMPUTED_VALUE"""),500000.0)</f>
        <v>500000</v>
      </c>
      <c r="X37" s="1046"/>
      <c r="Y37" s="1046">
        <f>IFERROR(__xludf.DUMMYFUNCTION("""COMPUTED_VALUE"""),2152008.0)</f>
        <v>2152008</v>
      </c>
      <c r="Z37" s="1046">
        <f>IFERROR(__xludf.DUMMYFUNCTION("""COMPUTED_VALUE"""),480016.0)</f>
        <v>480016</v>
      </c>
      <c r="AA37" s="1046"/>
      <c r="AB37" s="1046">
        <f>IFERROR(__xludf.DUMMYFUNCTION("""COMPUTED_VALUE"""),1800000.0)</f>
        <v>1800000</v>
      </c>
      <c r="AC37" s="1046">
        <f>IFERROR(__xludf.DUMMYFUNCTION("""COMPUTED_VALUE"""),400000.0)</f>
        <v>400000</v>
      </c>
      <c r="AD37" s="1046"/>
      <c r="AE37" s="1046">
        <f>IFERROR(__xludf.DUMMYFUNCTION("""COMPUTED_VALUE"""),1800000.0)</f>
        <v>1800000</v>
      </c>
      <c r="AF37" s="1046">
        <f>IFERROR(__xludf.DUMMYFUNCTION("""COMPUTED_VALUE"""),400000.0)</f>
        <v>400000</v>
      </c>
      <c r="AG37" s="1046"/>
      <c r="AH37" s="1046">
        <f>IFERROR(__xludf.DUMMYFUNCTION("""COMPUTED_VALUE"""),1800000.0)</f>
        <v>1800000</v>
      </c>
      <c r="AI37" s="1046">
        <f>IFERROR(__xludf.DUMMYFUNCTION("""COMPUTED_VALUE"""),400000.0)</f>
        <v>400000</v>
      </c>
      <c r="AJ37" s="1046"/>
      <c r="AK37" s="1046">
        <f>IFERROR(__xludf.DUMMYFUNCTION("""COMPUTED_VALUE"""),1800000.0)</f>
        <v>1800000</v>
      </c>
      <c r="AL37" s="1046">
        <f>IFERROR(__xludf.DUMMYFUNCTION("""COMPUTED_VALUE"""),400000.0)</f>
        <v>400000</v>
      </c>
    </row>
    <row r="38">
      <c r="A38" s="1330" t="s">
        <v>1093</v>
      </c>
      <c r="B38" s="1329">
        <f t="shared" ref="B38:C38" si="37">SUM(D38, G38, J38, M38, P38, S38, V38, Y38, AB38, AE38, AH38, AK38)</f>
        <v>18420467</v>
      </c>
      <c r="C38" s="1329">
        <f t="shared" si="37"/>
        <v>3744216</v>
      </c>
      <c r="D38" s="1046">
        <f>IFERROR(__xludf.DUMMYFUNCTION("FILTER('2026정산'!$E$2:$AM$779, ('2026정산'!$A$2:$A$779 = A38) * ('2026정산'!$C$2:$C$779 = ""합계""))"),1393700.0)</f>
        <v>1393700</v>
      </c>
      <c r="E38" s="1046">
        <f>IFERROR(__xludf.DUMMYFUNCTION("""COMPUTED_VALUE"""),280000.0)</f>
        <v>280000</v>
      </c>
      <c r="F38" s="1046"/>
      <c r="G38" s="1046">
        <f>IFERROR(__xludf.DUMMYFUNCTION("""COMPUTED_VALUE"""),1407986.0)</f>
        <v>1407986</v>
      </c>
      <c r="H38" s="1046">
        <f>IFERROR(__xludf.DUMMYFUNCTION("""COMPUTED_VALUE"""),283571.0)</f>
        <v>283571</v>
      </c>
      <c r="I38" s="1046"/>
      <c r="J38" s="1046">
        <f>IFERROR(__xludf.DUMMYFUNCTION("""COMPUTED_VALUE"""),1882700.0)</f>
        <v>1882700</v>
      </c>
      <c r="K38" s="1046">
        <f>IFERROR(__xludf.DUMMYFUNCTION("""COMPUTED_VALUE"""),400000.0)</f>
        <v>400000</v>
      </c>
      <c r="L38" s="1046"/>
      <c r="M38" s="1046">
        <f>IFERROR(__xludf.DUMMYFUNCTION("""COMPUTED_VALUE"""),1882700.0)</f>
        <v>1882700</v>
      </c>
      <c r="N38" s="1046">
        <f>IFERROR(__xludf.DUMMYFUNCTION("""COMPUTED_VALUE"""),400000.0)</f>
        <v>400000</v>
      </c>
      <c r="O38" s="1046"/>
      <c r="P38" s="1046">
        <f>IFERROR(__xludf.DUMMYFUNCTION("""COMPUTED_VALUE"""),1882700.0)</f>
        <v>1882700</v>
      </c>
      <c r="Q38" s="1046">
        <f>IFERROR(__xludf.DUMMYFUNCTION("""COMPUTED_VALUE"""),400000.0)</f>
        <v>400000</v>
      </c>
      <c r="R38" s="1046"/>
      <c r="S38" s="1046">
        <f>IFERROR(__xludf.DUMMYFUNCTION("""COMPUTED_VALUE"""),1882700.0)</f>
        <v>1882700</v>
      </c>
      <c r="T38" s="1046">
        <f>IFERROR(__xludf.DUMMYFUNCTION("""COMPUTED_VALUE"""),400000.0)</f>
        <v>400000</v>
      </c>
      <c r="U38" s="1046"/>
      <c r="V38" s="1046">
        <f>IFERROR(__xludf.DUMMYFUNCTION("""COMPUTED_VALUE"""),1882700.0)</f>
        <v>1882700</v>
      </c>
      <c r="W38" s="1046">
        <f>IFERROR(__xludf.DUMMYFUNCTION("""COMPUTED_VALUE"""),400000.0)</f>
        <v>400000</v>
      </c>
      <c r="X38" s="1046"/>
      <c r="Y38" s="1046">
        <f>IFERROR(__xludf.DUMMYFUNCTION("""COMPUTED_VALUE"""),1805281.0)</f>
        <v>1805281</v>
      </c>
      <c r="Z38" s="1046">
        <f>IFERROR(__xludf.DUMMYFUNCTION("""COMPUTED_VALUE"""),380645.0)</f>
        <v>380645</v>
      </c>
      <c r="AA38" s="1046"/>
      <c r="AB38" s="1046">
        <f>IFERROR(__xludf.DUMMYFUNCTION("""COMPUTED_VALUE"""),1100000.0)</f>
        <v>1100000</v>
      </c>
      <c r="AC38" s="1046">
        <f>IFERROR(__xludf.DUMMYFUNCTION("""COMPUTED_VALUE"""),200000.0)</f>
        <v>200000</v>
      </c>
      <c r="AD38" s="1046"/>
      <c r="AE38" s="1046">
        <f>IFERROR(__xludf.DUMMYFUNCTION("""COMPUTED_VALUE"""),1100000.0)</f>
        <v>1100000</v>
      </c>
      <c r="AF38" s="1046">
        <f>IFERROR(__xludf.DUMMYFUNCTION("""COMPUTED_VALUE"""),200000.0)</f>
        <v>200000</v>
      </c>
      <c r="AG38" s="1046"/>
      <c r="AH38" s="1046">
        <f>IFERROR(__xludf.DUMMYFUNCTION("""COMPUTED_VALUE"""),1100000.0)</f>
        <v>1100000</v>
      </c>
      <c r="AI38" s="1046">
        <f>IFERROR(__xludf.DUMMYFUNCTION("""COMPUTED_VALUE"""),200000.0)</f>
        <v>200000</v>
      </c>
      <c r="AJ38" s="1046"/>
      <c r="AK38" s="1046">
        <f>IFERROR(__xludf.DUMMYFUNCTION("""COMPUTED_VALUE"""),1100000.0)</f>
        <v>1100000</v>
      </c>
      <c r="AL38" s="1046">
        <f>IFERROR(__xludf.DUMMYFUNCTION("""COMPUTED_VALUE"""),200000.0)</f>
        <v>200000</v>
      </c>
    </row>
    <row r="39">
      <c r="A39" s="1330" t="s">
        <v>1122</v>
      </c>
      <c r="B39" s="1329">
        <f t="shared" ref="B39:C39" si="38">SUM(D39, G39, J39, M39, P39, S39, V39, Y39, AB39, AE39, AH39, AK39)</f>
        <v>18066256</v>
      </c>
      <c r="C39" s="1329">
        <f t="shared" si="38"/>
        <v>4175622</v>
      </c>
      <c r="D39" s="1046">
        <f>IFERROR(__xludf.DUMMYFUNCTION("FILTER('2026정산'!$E$2:$AM$779, ('2026정산'!$A$2:$A$779 = A39) * ('2026정산'!$C$2:$C$779 = ""합계""))"),1780000.0)</f>
        <v>1780000</v>
      </c>
      <c r="E39" s="1046">
        <f>IFERROR(__xludf.DUMMYFUNCTION("""COMPUTED_VALUE"""),470000.0)</f>
        <v>470000</v>
      </c>
      <c r="F39" s="1046"/>
      <c r="G39" s="1046">
        <f>IFERROR(__xludf.DUMMYFUNCTION("""COMPUTED_VALUE"""),1874643.0)</f>
        <v>1874643</v>
      </c>
      <c r="H39" s="1046">
        <f>IFERROR(__xludf.DUMMYFUNCTION("""COMPUTED_VALUE"""),531428.0)</f>
        <v>531428</v>
      </c>
      <c r="I39" s="1046"/>
      <c r="J39" s="1046">
        <f>IFERROR(__xludf.DUMMYFUNCTION("""COMPUTED_VALUE"""),1840000.0)</f>
        <v>1840000</v>
      </c>
      <c r="K39" s="1046">
        <f>IFERROR(__xludf.DUMMYFUNCTION("""COMPUTED_VALUE"""),400000.0)</f>
        <v>400000</v>
      </c>
      <c r="L39" s="1046"/>
      <c r="M39" s="1046">
        <f>IFERROR(__xludf.DUMMYFUNCTION("""COMPUTED_VALUE"""),1840000.0)</f>
        <v>1840000</v>
      </c>
      <c r="N39" s="1046">
        <f>IFERROR(__xludf.DUMMYFUNCTION("""COMPUTED_VALUE"""),400000.0)</f>
        <v>400000</v>
      </c>
      <c r="O39" s="1046"/>
      <c r="P39" s="1046">
        <f>IFERROR(__xludf.DUMMYFUNCTION("""COMPUTED_VALUE"""),1840000.0)</f>
        <v>1840000</v>
      </c>
      <c r="Q39" s="1046">
        <f>IFERROR(__xludf.DUMMYFUNCTION("""COMPUTED_VALUE"""),400000.0)</f>
        <v>400000</v>
      </c>
      <c r="R39" s="1046"/>
      <c r="S39" s="1046">
        <f>IFERROR(__xludf.DUMMYFUNCTION("""COMPUTED_VALUE"""),1840000.0)</f>
        <v>1840000</v>
      </c>
      <c r="T39" s="1046">
        <f>IFERROR(__xludf.DUMMYFUNCTION("""COMPUTED_VALUE"""),400000.0)</f>
        <v>400000</v>
      </c>
      <c r="U39" s="1046"/>
      <c r="V39" s="1046">
        <f>IFERROR(__xludf.DUMMYFUNCTION("""COMPUTED_VALUE"""),1840000.0)</f>
        <v>1840000</v>
      </c>
      <c r="W39" s="1046">
        <f>IFERROR(__xludf.DUMMYFUNCTION("""COMPUTED_VALUE"""),400000.0)</f>
        <v>400000</v>
      </c>
      <c r="X39" s="1046"/>
      <c r="Y39" s="1046">
        <f>IFERROR(__xludf.DUMMYFUNCTION("""COMPUTED_VALUE"""),1731613.0)</f>
        <v>1731613</v>
      </c>
      <c r="Z39" s="1046">
        <f>IFERROR(__xludf.DUMMYFUNCTION("""COMPUTED_VALUE"""),374194.0)</f>
        <v>374194</v>
      </c>
      <c r="AA39" s="1046"/>
      <c r="AB39" s="1046">
        <f>IFERROR(__xludf.DUMMYFUNCTION("""COMPUTED_VALUE"""),870000.0)</f>
        <v>870000</v>
      </c>
      <c r="AC39" s="1046">
        <f>IFERROR(__xludf.DUMMYFUNCTION("""COMPUTED_VALUE"""),200000.0)</f>
        <v>200000</v>
      </c>
      <c r="AD39" s="1046"/>
      <c r="AE39" s="1046">
        <f>IFERROR(__xludf.DUMMYFUNCTION("""COMPUTED_VALUE"""),870000.0)</f>
        <v>870000</v>
      </c>
      <c r="AF39" s="1046">
        <f>IFERROR(__xludf.DUMMYFUNCTION("""COMPUTED_VALUE"""),200000.0)</f>
        <v>200000</v>
      </c>
      <c r="AG39" s="1046"/>
      <c r="AH39" s="1046">
        <f>IFERROR(__xludf.DUMMYFUNCTION("""COMPUTED_VALUE"""),870000.0)</f>
        <v>870000</v>
      </c>
      <c r="AI39" s="1046">
        <f>IFERROR(__xludf.DUMMYFUNCTION("""COMPUTED_VALUE"""),200000.0)</f>
        <v>200000</v>
      </c>
      <c r="AJ39" s="1046"/>
      <c r="AK39" s="1046">
        <f>IFERROR(__xludf.DUMMYFUNCTION("""COMPUTED_VALUE"""),870000.0)</f>
        <v>870000</v>
      </c>
      <c r="AL39" s="1046">
        <f>IFERROR(__xludf.DUMMYFUNCTION("""COMPUTED_VALUE"""),200000.0)</f>
        <v>200000</v>
      </c>
    </row>
    <row r="40">
      <c r="A40" s="1330" t="s">
        <v>1138</v>
      </c>
      <c r="B40" s="1329">
        <f t="shared" ref="B40:C40" si="39">SUM(D40, G40, J40, M40, P40, S40, V40, Y40, AB40, AE40, AH40, AK40)</f>
        <v>17567353</v>
      </c>
      <c r="C40" s="1329">
        <f t="shared" si="39"/>
        <v>3787787</v>
      </c>
      <c r="D40" s="1046">
        <f>IFERROR(__xludf.DUMMYFUNCTION("FILTER('2026정산'!$E$2:$AM$779, ('2026정산'!$A$2:$A$779 = A40) * ('2026정산'!$C$2:$C$779 = ""합계""))"),1589500.0)</f>
        <v>1589500</v>
      </c>
      <c r="E40" s="1046">
        <f>IFERROR(__xludf.DUMMYFUNCTION("""COMPUTED_VALUE"""),300000.0)</f>
        <v>300000</v>
      </c>
      <c r="F40" s="1046"/>
      <c r="G40" s="1046">
        <f>IFERROR(__xludf.DUMMYFUNCTION("""COMPUTED_VALUE"""),1644143.0)</f>
        <v>1644143</v>
      </c>
      <c r="H40" s="1046">
        <f>IFERROR(__xludf.DUMMYFUNCTION("""COMPUTED_VALUE"""),307142.0)</f>
        <v>307142</v>
      </c>
      <c r="I40" s="1046"/>
      <c r="J40" s="1046">
        <f>IFERROR(__xludf.DUMMYFUNCTION("""COMPUTED_VALUE"""),1829500.0)</f>
        <v>1829500</v>
      </c>
      <c r="K40" s="1046">
        <f>IFERROR(__xludf.DUMMYFUNCTION("""COMPUTED_VALUE"""),400000.0)</f>
        <v>400000</v>
      </c>
      <c r="L40" s="1046"/>
      <c r="M40" s="1046">
        <f>IFERROR(__xludf.DUMMYFUNCTION("""COMPUTED_VALUE"""),1829500.0)</f>
        <v>1829500</v>
      </c>
      <c r="N40" s="1046">
        <f>IFERROR(__xludf.DUMMYFUNCTION("""COMPUTED_VALUE"""),400000.0)</f>
        <v>400000</v>
      </c>
      <c r="O40" s="1046"/>
      <c r="P40" s="1046">
        <f>IFERROR(__xludf.DUMMYFUNCTION("""COMPUTED_VALUE"""),1829500.0)</f>
        <v>1829500</v>
      </c>
      <c r="Q40" s="1046">
        <f>IFERROR(__xludf.DUMMYFUNCTION("""COMPUTED_VALUE"""),400000.0)</f>
        <v>400000</v>
      </c>
      <c r="R40" s="1046"/>
      <c r="S40" s="1046">
        <f>IFERROR(__xludf.DUMMYFUNCTION("""COMPUTED_VALUE"""),1829500.0)</f>
        <v>1829500</v>
      </c>
      <c r="T40" s="1046">
        <f>IFERROR(__xludf.DUMMYFUNCTION("""COMPUTED_VALUE"""),400000.0)</f>
        <v>400000</v>
      </c>
      <c r="U40" s="1046"/>
      <c r="V40" s="1046">
        <f>IFERROR(__xludf.DUMMYFUNCTION("""COMPUTED_VALUE"""),1829500.0)</f>
        <v>1829500</v>
      </c>
      <c r="W40" s="1046">
        <f>IFERROR(__xludf.DUMMYFUNCTION("""COMPUTED_VALUE"""),400000.0)</f>
        <v>400000</v>
      </c>
      <c r="X40" s="1046"/>
      <c r="Y40" s="1046">
        <f>IFERROR(__xludf.DUMMYFUNCTION("""COMPUTED_VALUE"""),1748210.0)</f>
        <v>1748210</v>
      </c>
      <c r="Z40" s="1046">
        <f>IFERROR(__xludf.DUMMYFUNCTION("""COMPUTED_VALUE"""),380645.0)</f>
        <v>380645</v>
      </c>
      <c r="AA40" s="1046"/>
      <c r="AB40" s="1046">
        <f>IFERROR(__xludf.DUMMYFUNCTION("""COMPUTED_VALUE"""),859500.0)</f>
        <v>859500</v>
      </c>
      <c r="AC40" s="1046">
        <f>IFERROR(__xludf.DUMMYFUNCTION("""COMPUTED_VALUE"""),200000.0)</f>
        <v>200000</v>
      </c>
      <c r="AD40" s="1046"/>
      <c r="AE40" s="1046">
        <f>IFERROR(__xludf.DUMMYFUNCTION("""COMPUTED_VALUE"""),859500.0)</f>
        <v>859500</v>
      </c>
      <c r="AF40" s="1046">
        <f>IFERROR(__xludf.DUMMYFUNCTION("""COMPUTED_VALUE"""),200000.0)</f>
        <v>200000</v>
      </c>
      <c r="AG40" s="1046"/>
      <c r="AH40" s="1046">
        <f>IFERROR(__xludf.DUMMYFUNCTION("""COMPUTED_VALUE"""),859500.0)</f>
        <v>859500</v>
      </c>
      <c r="AI40" s="1046">
        <f>IFERROR(__xludf.DUMMYFUNCTION("""COMPUTED_VALUE"""),200000.0)</f>
        <v>200000</v>
      </c>
      <c r="AJ40" s="1046"/>
      <c r="AK40" s="1046">
        <f>IFERROR(__xludf.DUMMYFUNCTION("""COMPUTED_VALUE"""),859500.0)</f>
        <v>859500</v>
      </c>
      <c r="AL40" s="1046">
        <f>IFERROR(__xludf.DUMMYFUNCTION("""COMPUTED_VALUE"""),200000.0)</f>
        <v>200000</v>
      </c>
    </row>
    <row r="41">
      <c r="A41" s="1330" t="s">
        <v>1165</v>
      </c>
      <c r="B41" s="1329">
        <f t="shared" ref="B41:C41" si="40">SUM(D41, G41, J41, M41, P41, S41, V41, Y41, AB41, AE41, AH41, AK41)</f>
        <v>20517857</v>
      </c>
      <c r="C41" s="1329">
        <f t="shared" si="40"/>
        <v>4743571</v>
      </c>
      <c r="D41" s="1046">
        <f>IFERROR(__xludf.DUMMYFUNCTION("FILTER('2026정산'!$E$2:$AM$779, ('2026정산'!$A$2:$A$779 = A41) * ('2026정산'!$C$2:$C$779 = ""합계""))"),1500000.0)</f>
        <v>1500000</v>
      </c>
      <c r="E41" s="1046">
        <f>IFERROR(__xludf.DUMMYFUNCTION("""COMPUTED_VALUE"""),360000.0)</f>
        <v>360000</v>
      </c>
      <c r="F41" s="1046"/>
      <c r="G41" s="1046">
        <f>IFERROR(__xludf.DUMMYFUNCTION("""COMPUTED_VALUE"""),1617857.0)</f>
        <v>1617857</v>
      </c>
      <c r="H41" s="1046">
        <f>IFERROR(__xludf.DUMMYFUNCTION("""COMPUTED_VALUE"""),383571.0)</f>
        <v>383571</v>
      </c>
      <c r="I41" s="1046"/>
      <c r="J41" s="1046">
        <f>IFERROR(__xludf.DUMMYFUNCTION("""COMPUTED_VALUE"""),1740000.0)</f>
        <v>1740000</v>
      </c>
      <c r="K41" s="1046">
        <f>IFERROR(__xludf.DUMMYFUNCTION("""COMPUTED_VALUE"""),400000.0)</f>
        <v>400000</v>
      </c>
      <c r="L41" s="1046"/>
      <c r="M41" s="1046">
        <f>IFERROR(__xludf.DUMMYFUNCTION("""COMPUTED_VALUE"""),1740000.0)</f>
        <v>1740000</v>
      </c>
      <c r="N41" s="1046">
        <f>IFERROR(__xludf.DUMMYFUNCTION("""COMPUTED_VALUE"""),400000.0)</f>
        <v>400000</v>
      </c>
      <c r="O41" s="1046"/>
      <c r="P41" s="1046">
        <f>IFERROR(__xludf.DUMMYFUNCTION("""COMPUTED_VALUE"""),1740000.0)</f>
        <v>1740000</v>
      </c>
      <c r="Q41" s="1046">
        <f>IFERROR(__xludf.DUMMYFUNCTION("""COMPUTED_VALUE"""),400000.0)</f>
        <v>400000</v>
      </c>
      <c r="R41" s="1046"/>
      <c r="S41" s="1046">
        <f>IFERROR(__xludf.DUMMYFUNCTION("""COMPUTED_VALUE"""),1740000.0)</f>
        <v>1740000</v>
      </c>
      <c r="T41" s="1046">
        <f>IFERROR(__xludf.DUMMYFUNCTION("""COMPUTED_VALUE"""),400000.0)</f>
        <v>400000</v>
      </c>
      <c r="U41" s="1046"/>
      <c r="V41" s="1046">
        <f>IFERROR(__xludf.DUMMYFUNCTION("""COMPUTED_VALUE"""),1740000.0)</f>
        <v>1740000</v>
      </c>
      <c r="W41" s="1046">
        <f>IFERROR(__xludf.DUMMYFUNCTION("""COMPUTED_VALUE"""),400000.0)</f>
        <v>400000</v>
      </c>
      <c r="X41" s="1046"/>
      <c r="Y41" s="1046">
        <f>IFERROR(__xludf.DUMMYFUNCTION("""COMPUTED_VALUE"""),1740000.0)</f>
        <v>1740000</v>
      </c>
      <c r="Z41" s="1046">
        <f>IFERROR(__xludf.DUMMYFUNCTION("""COMPUTED_VALUE"""),400000.0)</f>
        <v>400000</v>
      </c>
      <c r="AA41" s="1046"/>
      <c r="AB41" s="1046">
        <f>IFERROR(__xludf.DUMMYFUNCTION("""COMPUTED_VALUE"""),1740000.0)</f>
        <v>1740000</v>
      </c>
      <c r="AC41" s="1046">
        <f>IFERROR(__xludf.DUMMYFUNCTION("""COMPUTED_VALUE"""),400000.0)</f>
        <v>400000</v>
      </c>
      <c r="AD41" s="1046"/>
      <c r="AE41" s="1046">
        <f>IFERROR(__xludf.DUMMYFUNCTION("""COMPUTED_VALUE"""),1740000.0)</f>
        <v>1740000</v>
      </c>
      <c r="AF41" s="1046">
        <f>IFERROR(__xludf.DUMMYFUNCTION("""COMPUTED_VALUE"""),400000.0)</f>
        <v>400000</v>
      </c>
      <c r="AG41" s="1046"/>
      <c r="AH41" s="1046">
        <f>IFERROR(__xludf.DUMMYFUNCTION("""COMPUTED_VALUE"""),1740000.0)</f>
        <v>1740000</v>
      </c>
      <c r="AI41" s="1046">
        <f>IFERROR(__xludf.DUMMYFUNCTION("""COMPUTED_VALUE"""),400000.0)</f>
        <v>400000</v>
      </c>
      <c r="AJ41" s="1046"/>
      <c r="AK41" s="1046">
        <f>IFERROR(__xludf.DUMMYFUNCTION("""COMPUTED_VALUE"""),1740000.0)</f>
        <v>1740000</v>
      </c>
      <c r="AL41" s="1046">
        <f>IFERROR(__xludf.DUMMYFUNCTION("""COMPUTED_VALUE"""),400000.0)</f>
        <v>400000</v>
      </c>
    </row>
    <row r="42">
      <c r="A42" s="1330" t="s">
        <v>1180</v>
      </c>
      <c r="B42" s="1329">
        <f t="shared" ref="B42:C42" si="41">SUM(D42, G42, J42, M42, P42, S42, V42, Y42, AB42, AE42, AH42, AK42)</f>
        <v>17263445</v>
      </c>
      <c r="C42" s="1329">
        <f t="shared" si="41"/>
        <v>4073859</v>
      </c>
      <c r="D42" s="1046">
        <f>IFERROR(__xludf.DUMMYFUNCTION("FILTER('2026정산'!$E$2:$AM$779, ('2026정산'!$A$2:$A$779 = A42) * ('2026정산'!$C$2:$C$779 = ""합계""))"),800000.0)</f>
        <v>800000</v>
      </c>
      <c r="E42" s="1046">
        <f>IFERROR(__xludf.DUMMYFUNCTION("""COMPUTED_VALUE"""),270000.0)</f>
        <v>270000</v>
      </c>
      <c r="F42" s="1046"/>
      <c r="G42" s="1046">
        <f>IFERROR(__xludf.DUMMYFUNCTION("""COMPUTED_VALUE"""),998929.0)</f>
        <v>998929</v>
      </c>
      <c r="H42" s="1046">
        <f>IFERROR(__xludf.DUMMYFUNCTION("""COMPUTED_VALUE"""),323214.0)</f>
        <v>323214</v>
      </c>
      <c r="I42" s="1046"/>
      <c r="J42" s="1046">
        <f>IFERROR(__xludf.DUMMYFUNCTION("""COMPUTED_VALUE"""),2000000.0)</f>
        <v>2000000</v>
      </c>
      <c r="K42" s="1046">
        <f>IFERROR(__xludf.DUMMYFUNCTION("""COMPUTED_VALUE"""),450000.0)</f>
        <v>450000</v>
      </c>
      <c r="L42" s="1046"/>
      <c r="M42" s="1046">
        <f>IFERROR(__xludf.DUMMYFUNCTION("""COMPUTED_VALUE"""),2000000.0)</f>
        <v>2000000</v>
      </c>
      <c r="N42" s="1046">
        <f>IFERROR(__xludf.DUMMYFUNCTION("""COMPUTED_VALUE"""),450000.0)</f>
        <v>450000</v>
      </c>
      <c r="O42" s="1046"/>
      <c r="P42" s="1046">
        <f>IFERROR(__xludf.DUMMYFUNCTION("""COMPUTED_VALUE"""),2000000.0)</f>
        <v>2000000</v>
      </c>
      <c r="Q42" s="1046">
        <f>IFERROR(__xludf.DUMMYFUNCTION("""COMPUTED_VALUE"""),450000.0)</f>
        <v>450000</v>
      </c>
      <c r="R42" s="1046"/>
      <c r="S42" s="1046">
        <f>IFERROR(__xludf.DUMMYFUNCTION("""COMPUTED_VALUE"""),2000000.0)</f>
        <v>2000000</v>
      </c>
      <c r="T42" s="1046">
        <f>IFERROR(__xludf.DUMMYFUNCTION("""COMPUTED_VALUE"""),450000.0)</f>
        <v>450000</v>
      </c>
      <c r="U42" s="1046"/>
      <c r="V42" s="1046">
        <f>IFERROR(__xludf.DUMMYFUNCTION("""COMPUTED_VALUE"""),2000000.0)</f>
        <v>2000000</v>
      </c>
      <c r="W42" s="1046">
        <f>IFERROR(__xludf.DUMMYFUNCTION("""COMPUTED_VALUE"""),450000.0)</f>
        <v>450000</v>
      </c>
      <c r="X42" s="1046"/>
      <c r="Y42" s="1046">
        <f>IFERROR(__xludf.DUMMYFUNCTION("""COMPUTED_VALUE"""),1864516.0)</f>
        <v>1864516</v>
      </c>
      <c r="Z42" s="1046">
        <f>IFERROR(__xludf.DUMMYFUNCTION("""COMPUTED_VALUE"""),430645.0)</f>
        <v>430645</v>
      </c>
      <c r="AA42" s="1046"/>
      <c r="AB42" s="1046">
        <f>IFERROR(__xludf.DUMMYFUNCTION("""COMPUTED_VALUE"""),900000.0)</f>
        <v>900000</v>
      </c>
      <c r="AC42" s="1046">
        <f>IFERROR(__xludf.DUMMYFUNCTION("""COMPUTED_VALUE"""),200000.0)</f>
        <v>200000</v>
      </c>
      <c r="AD42" s="1046"/>
      <c r="AE42" s="1046">
        <f>IFERROR(__xludf.DUMMYFUNCTION("""COMPUTED_VALUE"""),900000.0)</f>
        <v>900000</v>
      </c>
      <c r="AF42" s="1046">
        <f>IFERROR(__xludf.DUMMYFUNCTION("""COMPUTED_VALUE"""),200000.0)</f>
        <v>200000</v>
      </c>
      <c r="AG42" s="1046"/>
      <c r="AH42" s="1046">
        <f>IFERROR(__xludf.DUMMYFUNCTION("""COMPUTED_VALUE"""),900000.0)</f>
        <v>900000</v>
      </c>
      <c r="AI42" s="1046">
        <f>IFERROR(__xludf.DUMMYFUNCTION("""COMPUTED_VALUE"""),200000.0)</f>
        <v>200000</v>
      </c>
      <c r="AJ42" s="1046"/>
      <c r="AK42" s="1046">
        <f>IFERROR(__xludf.DUMMYFUNCTION("""COMPUTED_VALUE"""),900000.0)</f>
        <v>900000</v>
      </c>
      <c r="AL42" s="1046">
        <f>IFERROR(__xludf.DUMMYFUNCTION("""COMPUTED_VALUE"""),200000.0)</f>
        <v>200000</v>
      </c>
    </row>
    <row r="43">
      <c r="A43" s="1328" t="s">
        <v>328</v>
      </c>
      <c r="B43" s="1329">
        <f t="shared" ref="B43:C43" si="42">SUM(D43, G43, J43, M43, P43, S43, V43, Y43, AB43, AE43, AH43, AK43)</f>
        <v>18032819</v>
      </c>
      <c r="C43" s="1329">
        <f t="shared" si="42"/>
        <v>4097756</v>
      </c>
      <c r="D43" s="1046">
        <f>IFERROR(__xludf.DUMMYFUNCTION("FILTER('2026정산'!$E$2:$AM$779, ('2026정산'!$A$2:$A$779 = A43) * ('2026정산'!$C$2:$C$779 = ""합계""))"),1650000.0)</f>
        <v>1650000</v>
      </c>
      <c r="E43" s="1046">
        <f>IFERROR(__xludf.DUMMYFUNCTION("""COMPUTED_VALUE"""),400000.0)</f>
        <v>400000</v>
      </c>
      <c r="F43" s="1046"/>
      <c r="G43" s="1046">
        <f>IFERROR(__xludf.DUMMYFUNCTION("""COMPUTED_VALUE"""),2289271.0)</f>
        <v>2289271</v>
      </c>
      <c r="H43" s="1046">
        <f>IFERROR(__xludf.DUMMYFUNCTION("""COMPUTED_VALUE"""),517111.0)</f>
        <v>517111</v>
      </c>
      <c r="I43" s="1046"/>
      <c r="J43" s="1046">
        <f>IFERROR(__xludf.DUMMYFUNCTION("""COMPUTED_VALUE"""),2240000.0)</f>
        <v>2240000</v>
      </c>
      <c r="K43" s="1046">
        <f>IFERROR(__xludf.DUMMYFUNCTION("""COMPUTED_VALUE"""),500000.0)</f>
        <v>500000</v>
      </c>
      <c r="L43" s="1046"/>
      <c r="M43" s="1046">
        <f>IFERROR(__xludf.DUMMYFUNCTION("""COMPUTED_VALUE"""),2240000.0)</f>
        <v>2240000</v>
      </c>
      <c r="N43" s="1046">
        <f>IFERROR(__xludf.DUMMYFUNCTION("""COMPUTED_VALUE"""),500000.0)</f>
        <v>500000</v>
      </c>
      <c r="O43" s="1046"/>
      <c r="P43" s="1046">
        <f>IFERROR(__xludf.DUMMYFUNCTION("""COMPUTED_VALUE"""),2240000.0)</f>
        <v>2240000</v>
      </c>
      <c r="Q43" s="1046">
        <f>IFERROR(__xludf.DUMMYFUNCTION("""COMPUTED_VALUE"""),500000.0)</f>
        <v>500000</v>
      </c>
      <c r="R43" s="1046"/>
      <c r="S43" s="1046">
        <f>IFERROR(__xludf.DUMMYFUNCTION("""COMPUTED_VALUE"""),2240000.0)</f>
        <v>2240000</v>
      </c>
      <c r="T43" s="1046">
        <f>IFERROR(__xludf.DUMMYFUNCTION("""COMPUTED_VALUE"""),500000.0)</f>
        <v>500000</v>
      </c>
      <c r="U43" s="1046"/>
      <c r="V43" s="1046">
        <f>IFERROR(__xludf.DUMMYFUNCTION("""COMPUTED_VALUE"""),1820000.0)</f>
        <v>1820000</v>
      </c>
      <c r="W43" s="1046">
        <f>IFERROR(__xludf.DUMMYFUNCTION("""COMPUTED_VALUE"""),400000.0)</f>
        <v>400000</v>
      </c>
      <c r="X43" s="1046"/>
      <c r="Y43" s="1046">
        <f>IFERROR(__xludf.DUMMYFUNCTION("""COMPUTED_VALUE"""),1713548.0)</f>
        <v>1713548</v>
      </c>
      <c r="Z43" s="1046">
        <f>IFERROR(__xludf.DUMMYFUNCTION("""COMPUTED_VALUE"""),380645.0)</f>
        <v>380645</v>
      </c>
      <c r="AA43" s="1046"/>
      <c r="AB43" s="1046">
        <f>IFERROR(__xludf.DUMMYFUNCTION("""COMPUTED_VALUE"""),400000.0)</f>
        <v>400000</v>
      </c>
      <c r="AC43" s="1046">
        <f>IFERROR(__xludf.DUMMYFUNCTION("""COMPUTED_VALUE"""),100000.0)</f>
        <v>100000</v>
      </c>
      <c r="AD43" s="1046"/>
      <c r="AE43" s="1046">
        <f>IFERROR(__xludf.DUMMYFUNCTION("""COMPUTED_VALUE"""),400000.0)</f>
        <v>400000</v>
      </c>
      <c r="AF43" s="1046">
        <f>IFERROR(__xludf.DUMMYFUNCTION("""COMPUTED_VALUE"""),100000.0)</f>
        <v>100000</v>
      </c>
      <c r="AG43" s="1046"/>
      <c r="AH43" s="1046">
        <f>IFERROR(__xludf.DUMMYFUNCTION("""COMPUTED_VALUE"""),400000.0)</f>
        <v>400000</v>
      </c>
      <c r="AI43" s="1046">
        <f>IFERROR(__xludf.DUMMYFUNCTION("""COMPUTED_VALUE"""),100000.0)</f>
        <v>100000</v>
      </c>
      <c r="AJ43" s="1046"/>
      <c r="AK43" s="1046">
        <f>IFERROR(__xludf.DUMMYFUNCTION("""COMPUTED_VALUE"""),400000.0)</f>
        <v>400000</v>
      </c>
      <c r="AL43" s="1046">
        <f>IFERROR(__xludf.DUMMYFUNCTION("""COMPUTED_VALUE"""),100000.0)</f>
        <v>100000</v>
      </c>
    </row>
    <row r="44">
      <c r="A44" s="1328" t="s">
        <v>1650</v>
      </c>
      <c r="B44" s="1329">
        <f t="shared" ref="B44:C44" si="43">SUM(D44, G44, J44, M44, P44, S44, V44, Y44, AB44, AE44, AH44, AK44)</f>
        <v>19576441</v>
      </c>
      <c r="C44" s="1329">
        <f t="shared" si="43"/>
        <v>3766074</v>
      </c>
      <c r="D44" s="1046">
        <f>IFERROR(__xludf.DUMMYFUNCTION("FILTER('2026정산'!$E$2:$AM$779, ('2026정산'!$A$2:$A$779 = A44) * ('2026정산'!$C$2:$C$779 = ""합계""))"),2120000.0)</f>
        <v>2120000</v>
      </c>
      <c r="E44" s="1046">
        <f>IFERROR(__xludf.DUMMYFUNCTION("""COMPUTED_VALUE"""),434000.0)</f>
        <v>434000</v>
      </c>
      <c r="F44" s="1046"/>
      <c r="G44" s="1046">
        <f>IFERROR(__xludf.DUMMYFUNCTION("""COMPUTED_VALUE"""),1873215.0)</f>
        <v>1873215</v>
      </c>
      <c r="H44" s="1046">
        <f>IFERROR(__xludf.DUMMYFUNCTION("""COMPUTED_VALUE"""),451429.0)</f>
        <v>451429</v>
      </c>
      <c r="I44" s="1046"/>
      <c r="J44" s="1046">
        <f>IFERROR(__xludf.DUMMYFUNCTION("""COMPUTED_VALUE"""),2760000.0)</f>
        <v>2760000</v>
      </c>
      <c r="K44" s="1046">
        <f>IFERROR(__xludf.DUMMYFUNCTION("""COMPUTED_VALUE"""),500000.0)</f>
        <v>500000</v>
      </c>
      <c r="L44" s="1046"/>
      <c r="M44" s="1046">
        <f>IFERROR(__xludf.DUMMYFUNCTION("""COMPUTED_VALUE"""),2200000.0)</f>
        <v>2200000</v>
      </c>
      <c r="N44" s="1046">
        <f>IFERROR(__xludf.DUMMYFUNCTION("""COMPUTED_VALUE"""),400000.0)</f>
        <v>400000</v>
      </c>
      <c r="O44" s="1046"/>
      <c r="P44" s="1046">
        <f>IFERROR(__xludf.DUMMYFUNCTION("""COMPUTED_VALUE"""),2200000.0)</f>
        <v>2200000</v>
      </c>
      <c r="Q44" s="1046">
        <f>IFERROR(__xludf.DUMMYFUNCTION("""COMPUTED_VALUE"""),400000.0)</f>
        <v>400000</v>
      </c>
      <c r="R44" s="1046"/>
      <c r="S44" s="1046">
        <f>IFERROR(__xludf.DUMMYFUNCTION("""COMPUTED_VALUE"""),2200000.0)</f>
        <v>2200000</v>
      </c>
      <c r="T44" s="1046">
        <f>IFERROR(__xludf.DUMMYFUNCTION("""COMPUTED_VALUE"""),400000.0)</f>
        <v>400000</v>
      </c>
      <c r="U44" s="1046"/>
      <c r="V44" s="1046">
        <f>IFERROR(__xludf.DUMMYFUNCTION("""COMPUTED_VALUE"""),2200000.0)</f>
        <v>2200000</v>
      </c>
      <c r="W44" s="1046">
        <f>IFERROR(__xludf.DUMMYFUNCTION("""COMPUTED_VALUE"""),400000.0)</f>
        <v>400000</v>
      </c>
      <c r="X44" s="1046"/>
      <c r="Y44" s="1046">
        <f>IFERROR(__xludf.DUMMYFUNCTION("""COMPUTED_VALUE"""),2103226.0)</f>
        <v>2103226</v>
      </c>
      <c r="Z44" s="1046">
        <f>IFERROR(__xludf.DUMMYFUNCTION("""COMPUTED_VALUE"""),380645.0)</f>
        <v>380645</v>
      </c>
      <c r="AA44" s="1046"/>
      <c r="AB44" s="1046">
        <f>IFERROR(__xludf.DUMMYFUNCTION("""COMPUTED_VALUE"""),480000.0)</f>
        <v>480000</v>
      </c>
      <c r="AC44" s="1046">
        <f>IFERROR(__xludf.DUMMYFUNCTION("""COMPUTED_VALUE"""),100000.0)</f>
        <v>100000</v>
      </c>
      <c r="AD44" s="1046"/>
      <c r="AE44" s="1046">
        <f>IFERROR(__xludf.DUMMYFUNCTION("""COMPUTED_VALUE"""),480000.0)</f>
        <v>480000</v>
      </c>
      <c r="AF44" s="1046">
        <f>IFERROR(__xludf.DUMMYFUNCTION("""COMPUTED_VALUE"""),100000.0)</f>
        <v>100000</v>
      </c>
      <c r="AG44" s="1046"/>
      <c r="AH44" s="1046">
        <f>IFERROR(__xludf.DUMMYFUNCTION("""COMPUTED_VALUE"""),480000.0)</f>
        <v>480000</v>
      </c>
      <c r="AI44" s="1046">
        <f>IFERROR(__xludf.DUMMYFUNCTION("""COMPUTED_VALUE"""),100000.0)</f>
        <v>100000</v>
      </c>
      <c r="AJ44" s="1046"/>
      <c r="AK44" s="1046">
        <f>IFERROR(__xludf.DUMMYFUNCTION("""COMPUTED_VALUE"""),480000.0)</f>
        <v>480000</v>
      </c>
      <c r="AL44" s="1046">
        <f>IFERROR(__xludf.DUMMYFUNCTION("""COMPUTED_VALUE"""),100000.0)</f>
        <v>100000</v>
      </c>
    </row>
    <row r="45">
      <c r="A45" s="1328" t="s">
        <v>1813</v>
      </c>
      <c r="B45" s="1329">
        <f t="shared" ref="B45:C45" si="44">SUM(D45, G45, J45, M45, P45, S45, V45, Y45, AB45, AE45, AH45, AK45)</f>
        <v>19668768</v>
      </c>
      <c r="C45" s="1329">
        <f t="shared" si="44"/>
        <v>3917857</v>
      </c>
      <c r="D45" s="1046">
        <f>IFERROR(__xludf.DUMMYFUNCTION("FILTER('2026정산'!$E$2:$AM$779, ('2026정산'!$A$2:$A$779 = A45) * ('2026정산'!$C$2:$C$779 = ""합계""))"),2164839.0)</f>
        <v>2164839</v>
      </c>
      <c r="E45" s="1046">
        <f>IFERROR(__xludf.DUMMYFUNCTION("""COMPUTED_VALUE"""),400000.0)</f>
        <v>400000</v>
      </c>
      <c r="F45" s="1046"/>
      <c r="G45" s="1046">
        <f>IFERROR(__xludf.DUMMYFUNCTION("""COMPUTED_VALUE"""),2133929.0)</f>
        <v>2133929</v>
      </c>
      <c r="H45" s="1046">
        <f>IFERROR(__xludf.DUMMYFUNCTION("""COMPUTED_VALUE"""),417857.0)</f>
        <v>417857</v>
      </c>
      <c r="I45" s="1046"/>
      <c r="J45" s="1046">
        <f>IFERROR(__xludf.DUMMYFUNCTION("""COMPUTED_VALUE"""),2040000.0)</f>
        <v>2040000</v>
      </c>
      <c r="K45" s="1046">
        <f>IFERROR(__xludf.DUMMYFUNCTION("""COMPUTED_VALUE"""),400000.0)</f>
        <v>400000</v>
      </c>
      <c r="L45" s="1046"/>
      <c r="M45" s="1046">
        <f>IFERROR(__xludf.DUMMYFUNCTION("""COMPUTED_VALUE"""),2040000.0)</f>
        <v>2040000</v>
      </c>
      <c r="N45" s="1046">
        <f>IFERROR(__xludf.DUMMYFUNCTION("""COMPUTED_VALUE"""),400000.0)</f>
        <v>400000</v>
      </c>
      <c r="O45" s="1046"/>
      <c r="P45" s="1046">
        <f>IFERROR(__xludf.DUMMYFUNCTION("""COMPUTED_VALUE"""),2040000.0)</f>
        <v>2040000</v>
      </c>
      <c r="Q45" s="1046">
        <f>IFERROR(__xludf.DUMMYFUNCTION("""COMPUTED_VALUE"""),400000.0)</f>
        <v>400000</v>
      </c>
      <c r="R45" s="1046"/>
      <c r="S45" s="1046">
        <f>IFERROR(__xludf.DUMMYFUNCTION("""COMPUTED_VALUE"""),2040000.0)</f>
        <v>2040000</v>
      </c>
      <c r="T45" s="1046">
        <f>IFERROR(__xludf.DUMMYFUNCTION("""COMPUTED_VALUE"""),400000.0)</f>
        <v>400000</v>
      </c>
      <c r="U45" s="1046"/>
      <c r="V45" s="1046">
        <f>IFERROR(__xludf.DUMMYFUNCTION("""COMPUTED_VALUE"""),2040000.0)</f>
        <v>2040000</v>
      </c>
      <c r="W45" s="1046">
        <f>IFERROR(__xludf.DUMMYFUNCTION("""COMPUTED_VALUE"""),400000.0)</f>
        <v>400000</v>
      </c>
      <c r="X45" s="1046"/>
      <c r="Y45" s="1046">
        <f>IFERROR(__xludf.DUMMYFUNCTION("""COMPUTED_VALUE"""),1490000.0)</f>
        <v>1490000</v>
      </c>
      <c r="Z45" s="1046">
        <f>IFERROR(__xludf.DUMMYFUNCTION("""COMPUTED_VALUE"""),300000.0)</f>
        <v>300000</v>
      </c>
      <c r="AA45" s="1046"/>
      <c r="AB45" s="1046">
        <f>IFERROR(__xludf.DUMMYFUNCTION("""COMPUTED_VALUE"""),920000.0)</f>
        <v>920000</v>
      </c>
      <c r="AC45" s="1046">
        <f>IFERROR(__xludf.DUMMYFUNCTION("""COMPUTED_VALUE"""),200000.0)</f>
        <v>200000</v>
      </c>
      <c r="AD45" s="1046"/>
      <c r="AE45" s="1046">
        <f>IFERROR(__xludf.DUMMYFUNCTION("""COMPUTED_VALUE"""),920000.0)</f>
        <v>920000</v>
      </c>
      <c r="AF45" s="1046">
        <f>IFERROR(__xludf.DUMMYFUNCTION("""COMPUTED_VALUE"""),200000.0)</f>
        <v>200000</v>
      </c>
      <c r="AG45" s="1046"/>
      <c r="AH45" s="1046">
        <f>IFERROR(__xludf.DUMMYFUNCTION("""COMPUTED_VALUE"""),920000.0)</f>
        <v>920000</v>
      </c>
      <c r="AI45" s="1046">
        <f>IFERROR(__xludf.DUMMYFUNCTION("""COMPUTED_VALUE"""),200000.0)</f>
        <v>200000</v>
      </c>
      <c r="AJ45" s="1046"/>
      <c r="AK45" s="1046">
        <f>IFERROR(__xludf.DUMMYFUNCTION("""COMPUTED_VALUE"""),920000.0)</f>
        <v>920000</v>
      </c>
      <c r="AL45" s="1046">
        <f>IFERROR(__xludf.DUMMYFUNCTION("""COMPUTED_VALUE"""),200000.0)</f>
        <v>200000</v>
      </c>
    </row>
    <row r="46">
      <c r="A46" s="1328" t="s">
        <v>1571</v>
      </c>
      <c r="B46" s="1329">
        <f t="shared" ref="B46:C46" si="45">SUM(D46, G46, J46, M46, P46, S46, V46, Y46, AB46, AE46, AH46, AK46)</f>
        <v>18546095</v>
      </c>
      <c r="C46" s="1329">
        <f t="shared" si="45"/>
        <v>3994470</v>
      </c>
      <c r="D46" s="1046">
        <f>IFERROR(__xludf.DUMMYFUNCTION("FILTER('2026정산'!$E$2:$AM$779, ('2026정산'!$A$2:$A$779 = A46) * ('2026정산'!$C$2:$C$779 = ""합계""))"),0.0)</f>
        <v>0</v>
      </c>
      <c r="E46" s="1046">
        <f>IFERROR(__xludf.DUMMYFUNCTION("""COMPUTED_VALUE"""),0.0)</f>
        <v>0</v>
      </c>
      <c r="F46" s="1046"/>
      <c r="G46" s="1046">
        <f>IFERROR(__xludf.DUMMYFUNCTION("""COMPUTED_VALUE"""),219643.0)</f>
        <v>219643</v>
      </c>
      <c r="H46" s="1046">
        <f>IFERROR(__xludf.DUMMYFUNCTION("""COMPUTED_VALUE"""),42857.0)</f>
        <v>42857</v>
      </c>
      <c r="I46" s="1046"/>
      <c r="J46" s="1046">
        <f>IFERROR(__xludf.DUMMYFUNCTION("""COMPUTED_VALUE"""),2646452.0)</f>
        <v>2646452</v>
      </c>
      <c r="K46" s="1046">
        <f>IFERROR(__xludf.DUMMYFUNCTION("""COMPUTED_VALUE"""),551613.0)</f>
        <v>551613</v>
      </c>
      <c r="L46" s="1046"/>
      <c r="M46" s="1046">
        <f>IFERROR(__xludf.DUMMYFUNCTION("""COMPUTED_VALUE"""),2840000.0)</f>
        <v>2840000</v>
      </c>
      <c r="N46" s="1046">
        <f>IFERROR(__xludf.DUMMYFUNCTION("""COMPUTED_VALUE"""),600000.0)</f>
        <v>600000</v>
      </c>
      <c r="O46" s="1046"/>
      <c r="P46" s="1046">
        <f>IFERROR(__xludf.DUMMYFUNCTION("""COMPUTED_VALUE"""),2340000.0)</f>
        <v>2340000</v>
      </c>
      <c r="Q46" s="1046">
        <f>IFERROR(__xludf.DUMMYFUNCTION("""COMPUTED_VALUE"""),500000.0)</f>
        <v>500000</v>
      </c>
      <c r="R46" s="1046"/>
      <c r="S46" s="1046">
        <f>IFERROR(__xludf.DUMMYFUNCTION("""COMPUTED_VALUE"""),2340000.0)</f>
        <v>2340000</v>
      </c>
      <c r="T46" s="1046">
        <f>IFERROR(__xludf.DUMMYFUNCTION("""COMPUTED_VALUE"""),500000.0)</f>
        <v>500000</v>
      </c>
      <c r="U46" s="1046"/>
      <c r="V46" s="1046">
        <f>IFERROR(__xludf.DUMMYFUNCTION("""COMPUTED_VALUE"""),2340000.0)</f>
        <v>2340000</v>
      </c>
      <c r="W46" s="1046">
        <f>IFERROR(__xludf.DUMMYFUNCTION("""COMPUTED_VALUE"""),500000.0)</f>
        <v>500000</v>
      </c>
      <c r="X46" s="1046"/>
      <c r="Y46" s="1046">
        <f>IFERROR(__xludf.DUMMYFUNCTION("""COMPUTED_VALUE"""),2340000.0)</f>
        <v>2340000</v>
      </c>
      <c r="Z46" s="1046">
        <f>IFERROR(__xludf.DUMMYFUNCTION("""COMPUTED_VALUE"""),500000.0)</f>
        <v>500000</v>
      </c>
      <c r="AA46" s="1046"/>
      <c r="AB46" s="1046">
        <f>IFERROR(__xludf.DUMMYFUNCTION("""COMPUTED_VALUE"""),870000.0)</f>
        <v>870000</v>
      </c>
      <c r="AC46" s="1046">
        <f>IFERROR(__xludf.DUMMYFUNCTION("""COMPUTED_VALUE"""),200000.0)</f>
        <v>200000</v>
      </c>
      <c r="AD46" s="1046"/>
      <c r="AE46" s="1046">
        <f>IFERROR(__xludf.DUMMYFUNCTION("""COMPUTED_VALUE"""),870000.0)</f>
        <v>870000</v>
      </c>
      <c r="AF46" s="1046">
        <f>IFERROR(__xludf.DUMMYFUNCTION("""COMPUTED_VALUE"""),200000.0)</f>
        <v>200000</v>
      </c>
      <c r="AG46" s="1046"/>
      <c r="AH46" s="1046">
        <f>IFERROR(__xludf.DUMMYFUNCTION("""COMPUTED_VALUE"""),870000.0)</f>
        <v>870000</v>
      </c>
      <c r="AI46" s="1046">
        <f>IFERROR(__xludf.DUMMYFUNCTION("""COMPUTED_VALUE"""),200000.0)</f>
        <v>200000</v>
      </c>
      <c r="AJ46" s="1046"/>
      <c r="AK46" s="1046">
        <f>IFERROR(__xludf.DUMMYFUNCTION("""COMPUTED_VALUE"""),870000.0)</f>
        <v>870000</v>
      </c>
      <c r="AL46" s="1046">
        <f>IFERROR(__xludf.DUMMYFUNCTION("""COMPUTED_VALUE"""),200000.0)</f>
        <v>200000</v>
      </c>
    </row>
    <row r="47">
      <c r="A47" s="1328" t="s">
        <v>1667</v>
      </c>
      <c r="B47" s="1329">
        <f t="shared" ref="B47:C47" si="46">SUM(D47, G47, J47, M47, P47, S47, V47, Y47, AB47, AE47, AH47, AK47)</f>
        <v>16675000</v>
      </c>
      <c r="C47" s="1329">
        <f t="shared" si="46"/>
        <v>3125000</v>
      </c>
      <c r="D47" s="1046">
        <f>IFERROR(__xludf.DUMMYFUNCTION("FILTER('2026정산'!$E$2:$AM$779, ('2026정산'!$A$2:$A$779 = A47) * ('2026정산'!$C$2:$C$779 = ""합계""))"),0.0)</f>
        <v>0</v>
      </c>
      <c r="E47" s="1046">
        <f>IFERROR(__xludf.DUMMYFUNCTION("""COMPUTED_VALUE"""),0.0)</f>
        <v>0</v>
      </c>
      <c r="F47" s="1046"/>
      <c r="G47" s="1046">
        <f>IFERROR(__xludf.DUMMYFUNCTION("""COMPUTED_VALUE"""),675000.0)</f>
        <v>675000</v>
      </c>
      <c r="H47" s="1046">
        <f>IFERROR(__xludf.DUMMYFUNCTION("""COMPUTED_VALUE"""),125000.0)</f>
        <v>125000</v>
      </c>
      <c r="I47" s="1046"/>
      <c r="J47" s="1046">
        <f>IFERROR(__xludf.DUMMYFUNCTION("""COMPUTED_VALUE"""),1600000.0)</f>
        <v>1600000</v>
      </c>
      <c r="K47" s="1046">
        <f>IFERROR(__xludf.DUMMYFUNCTION("""COMPUTED_VALUE"""),300000.0)</f>
        <v>300000</v>
      </c>
      <c r="L47" s="1046"/>
      <c r="M47" s="1046">
        <f>IFERROR(__xludf.DUMMYFUNCTION("""COMPUTED_VALUE"""),1600000.0)</f>
        <v>1600000</v>
      </c>
      <c r="N47" s="1046">
        <f>IFERROR(__xludf.DUMMYFUNCTION("""COMPUTED_VALUE"""),300000.0)</f>
        <v>300000</v>
      </c>
      <c r="O47" s="1046"/>
      <c r="P47" s="1046">
        <f>IFERROR(__xludf.DUMMYFUNCTION("""COMPUTED_VALUE"""),1600000.0)</f>
        <v>1600000</v>
      </c>
      <c r="Q47" s="1046">
        <f>IFERROR(__xludf.DUMMYFUNCTION("""COMPUTED_VALUE"""),300000.0)</f>
        <v>300000</v>
      </c>
      <c r="R47" s="1046"/>
      <c r="S47" s="1046">
        <f>IFERROR(__xludf.DUMMYFUNCTION("""COMPUTED_VALUE"""),1600000.0)</f>
        <v>1600000</v>
      </c>
      <c r="T47" s="1046">
        <f>IFERROR(__xludf.DUMMYFUNCTION("""COMPUTED_VALUE"""),300000.0)</f>
        <v>300000</v>
      </c>
      <c r="U47" s="1046"/>
      <c r="V47" s="1046">
        <f>IFERROR(__xludf.DUMMYFUNCTION("""COMPUTED_VALUE"""),1600000.0)</f>
        <v>1600000</v>
      </c>
      <c r="W47" s="1046">
        <f>IFERROR(__xludf.DUMMYFUNCTION("""COMPUTED_VALUE"""),300000.0)</f>
        <v>300000</v>
      </c>
      <c r="X47" s="1046"/>
      <c r="Y47" s="1046">
        <f>IFERROR(__xludf.DUMMYFUNCTION("""COMPUTED_VALUE"""),1600000.0)</f>
        <v>1600000</v>
      </c>
      <c r="Z47" s="1046">
        <f>IFERROR(__xludf.DUMMYFUNCTION("""COMPUTED_VALUE"""),300000.0)</f>
        <v>300000</v>
      </c>
      <c r="AA47" s="1046"/>
      <c r="AB47" s="1046">
        <f>IFERROR(__xludf.DUMMYFUNCTION("""COMPUTED_VALUE"""),1600000.0)</f>
        <v>1600000</v>
      </c>
      <c r="AC47" s="1046">
        <f>IFERROR(__xludf.DUMMYFUNCTION("""COMPUTED_VALUE"""),300000.0)</f>
        <v>300000</v>
      </c>
      <c r="AD47" s="1046"/>
      <c r="AE47" s="1046">
        <f>IFERROR(__xludf.DUMMYFUNCTION("""COMPUTED_VALUE"""),1600000.0)</f>
        <v>1600000</v>
      </c>
      <c r="AF47" s="1046">
        <f>IFERROR(__xludf.DUMMYFUNCTION("""COMPUTED_VALUE"""),300000.0)</f>
        <v>300000</v>
      </c>
      <c r="AG47" s="1046"/>
      <c r="AH47" s="1046">
        <f>IFERROR(__xludf.DUMMYFUNCTION("""COMPUTED_VALUE"""),1600000.0)</f>
        <v>1600000</v>
      </c>
      <c r="AI47" s="1046">
        <f>IFERROR(__xludf.DUMMYFUNCTION("""COMPUTED_VALUE"""),300000.0)</f>
        <v>300000</v>
      </c>
      <c r="AJ47" s="1046"/>
      <c r="AK47" s="1046">
        <f>IFERROR(__xludf.DUMMYFUNCTION("""COMPUTED_VALUE"""),1600000.0)</f>
        <v>1600000</v>
      </c>
      <c r="AL47" s="1046">
        <f>IFERROR(__xludf.DUMMYFUNCTION("""COMPUTED_VALUE"""),300000.0)</f>
        <v>300000</v>
      </c>
    </row>
  </sheetData>
  <conditionalFormatting sqref="A2:C47">
    <cfRule type="containsText" dxfId="11" priority="1" operator="containsText" text="-">
      <formula>NOT(ISERROR(SEARCH(("-"),(A2))))</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3" max="3" width="15.0"/>
    <col hidden="1" min="4" max="4" width="12.63"/>
  </cols>
  <sheetData>
    <row r="1" ht="11.25" customHeight="1">
      <c r="A1" s="508"/>
      <c r="B1" s="508"/>
      <c r="C1" s="508"/>
      <c r="D1" s="692"/>
      <c r="E1" s="692"/>
      <c r="F1" s="692"/>
      <c r="G1" s="692"/>
      <c r="H1" s="692"/>
      <c r="I1" s="508"/>
      <c r="J1" s="508"/>
      <c r="K1" s="508"/>
      <c r="L1" s="508"/>
      <c r="M1" s="508"/>
      <c r="N1" s="508"/>
      <c r="O1" s="508"/>
      <c r="P1" s="508"/>
      <c r="Q1" s="508"/>
      <c r="R1" s="508"/>
      <c r="S1" s="508"/>
      <c r="T1" s="508"/>
      <c r="U1" s="508"/>
      <c r="V1" s="508"/>
      <c r="W1" s="508"/>
      <c r="X1" s="508"/>
      <c r="Y1" s="508"/>
      <c r="Z1" s="508"/>
    </row>
    <row r="2" ht="21.75" customHeight="1">
      <c r="A2" s="1331"/>
      <c r="B2" s="1332" t="s">
        <v>1</v>
      </c>
      <c r="C2" s="1332" t="s">
        <v>0</v>
      </c>
      <c r="D2" s="1332" t="s">
        <v>1240</v>
      </c>
      <c r="E2" s="1332" t="s">
        <v>1243</v>
      </c>
      <c r="F2" s="1332" t="s">
        <v>1244</v>
      </c>
      <c r="G2" s="1332" t="s">
        <v>1236</v>
      </c>
      <c r="H2" s="1332" t="s">
        <v>1237</v>
      </c>
      <c r="I2" s="1331"/>
      <c r="J2" s="1331"/>
      <c r="K2" s="1331"/>
      <c r="L2" s="1331"/>
      <c r="M2" s="1331"/>
      <c r="N2" s="1331"/>
      <c r="O2" s="1331"/>
      <c r="P2" s="1331"/>
      <c r="Q2" s="1331"/>
      <c r="R2" s="1331"/>
      <c r="S2" s="1331"/>
      <c r="T2" s="1331"/>
      <c r="U2" s="1331"/>
      <c r="V2" s="1331"/>
      <c r="W2" s="1331"/>
      <c r="X2" s="1331"/>
      <c r="Y2" s="1331"/>
      <c r="Z2" s="1331"/>
    </row>
    <row r="3">
      <c r="A3" s="508"/>
      <c r="B3" s="692" t="s">
        <v>3540</v>
      </c>
      <c r="C3" s="692" t="s">
        <v>1349</v>
      </c>
      <c r="D3" s="1333">
        <v>2.0E7</v>
      </c>
      <c r="E3" s="1333">
        <v>2300000.0</v>
      </c>
      <c r="F3" s="1333">
        <v>50000.0</v>
      </c>
      <c r="G3" s="1334">
        <v>45000.0</v>
      </c>
      <c r="H3" s="1334">
        <v>45730.0</v>
      </c>
      <c r="I3" s="692" t="s">
        <v>3541</v>
      </c>
      <c r="J3" s="508"/>
      <c r="K3" s="508"/>
      <c r="L3" s="508"/>
      <c r="M3" s="508"/>
      <c r="N3" s="508"/>
      <c r="O3" s="508"/>
      <c r="P3" s="508"/>
      <c r="Q3" s="508"/>
      <c r="R3" s="508"/>
      <c r="S3" s="508"/>
      <c r="T3" s="508"/>
      <c r="U3" s="508"/>
      <c r="V3" s="508"/>
      <c r="W3" s="508"/>
      <c r="X3" s="508"/>
      <c r="Y3" s="508"/>
      <c r="Z3" s="508"/>
    </row>
    <row r="4">
      <c r="A4" s="508"/>
      <c r="B4" s="692" t="s">
        <v>3540</v>
      </c>
      <c r="C4" s="692" t="s">
        <v>1597</v>
      </c>
      <c r="D4" s="1333">
        <v>3.0E7</v>
      </c>
      <c r="E4" s="1333">
        <v>1990000.0</v>
      </c>
      <c r="F4" s="1335"/>
      <c r="G4" s="1334">
        <v>45658.0</v>
      </c>
      <c r="H4" s="1334">
        <v>46387.0</v>
      </c>
      <c r="I4" s="508"/>
      <c r="J4" s="508"/>
      <c r="K4" s="508"/>
      <c r="L4" s="508"/>
      <c r="M4" s="508"/>
      <c r="N4" s="508"/>
      <c r="O4" s="508"/>
      <c r="P4" s="508"/>
      <c r="Q4" s="508"/>
      <c r="R4" s="508"/>
      <c r="S4" s="508"/>
      <c r="T4" s="508"/>
      <c r="U4" s="508"/>
      <c r="V4" s="508"/>
      <c r="W4" s="508"/>
      <c r="X4" s="508"/>
      <c r="Y4" s="508"/>
      <c r="Z4" s="508"/>
    </row>
    <row r="5">
      <c r="A5" s="508"/>
      <c r="B5" s="692" t="s">
        <v>3540</v>
      </c>
      <c r="C5" s="692" t="s">
        <v>1503</v>
      </c>
      <c r="D5" s="1333">
        <v>3.0E7</v>
      </c>
      <c r="E5" s="1333">
        <v>1800000.0</v>
      </c>
      <c r="F5" s="1335"/>
      <c r="G5" s="1334">
        <v>45659.0</v>
      </c>
      <c r="H5" s="1334">
        <v>46389.0</v>
      </c>
      <c r="I5" s="508"/>
      <c r="J5" s="508"/>
      <c r="K5" s="508"/>
      <c r="L5" s="508"/>
      <c r="M5" s="508"/>
      <c r="N5" s="508"/>
      <c r="O5" s="508"/>
      <c r="P5" s="508"/>
      <c r="Q5" s="508"/>
      <c r="R5" s="508"/>
      <c r="S5" s="508"/>
      <c r="T5" s="508"/>
      <c r="U5" s="508"/>
      <c r="V5" s="508"/>
      <c r="W5" s="508"/>
      <c r="X5" s="508"/>
      <c r="Y5" s="508"/>
      <c r="Z5" s="508"/>
    </row>
    <row r="6">
      <c r="A6" s="508"/>
      <c r="B6" s="692" t="s">
        <v>3540</v>
      </c>
      <c r="C6" s="692" t="s">
        <v>3542</v>
      </c>
      <c r="D6" s="1333">
        <v>2.0E7</v>
      </c>
      <c r="E6" s="1333">
        <v>800000.0</v>
      </c>
      <c r="F6" s="1333">
        <v>30000.0</v>
      </c>
      <c r="G6" s="1334">
        <v>43692.0</v>
      </c>
      <c r="H6" s="1334">
        <v>44422.0</v>
      </c>
      <c r="I6" s="692" t="s">
        <v>3541</v>
      </c>
      <c r="J6" s="508"/>
      <c r="K6" s="508"/>
      <c r="L6" s="508"/>
      <c r="M6" s="508"/>
      <c r="N6" s="508"/>
      <c r="O6" s="508"/>
      <c r="P6" s="508"/>
      <c r="Q6" s="508"/>
      <c r="R6" s="508"/>
      <c r="S6" s="508"/>
      <c r="T6" s="508"/>
      <c r="U6" s="508"/>
      <c r="V6" s="508"/>
      <c r="W6" s="508"/>
      <c r="X6" s="508"/>
      <c r="Y6" s="508"/>
      <c r="Z6" s="508"/>
    </row>
    <row r="7">
      <c r="A7" s="508"/>
      <c r="B7" s="692" t="s">
        <v>3540</v>
      </c>
      <c r="C7" s="692" t="s">
        <v>3543</v>
      </c>
      <c r="D7" s="1333" t="s">
        <v>3544</v>
      </c>
      <c r="E7" s="1333">
        <v>600000.0</v>
      </c>
      <c r="F7" s="1333">
        <v>30000.0</v>
      </c>
      <c r="G7" s="1334">
        <v>43692.0</v>
      </c>
      <c r="H7" s="1334">
        <v>44422.0</v>
      </c>
      <c r="I7" s="692" t="s">
        <v>3541</v>
      </c>
      <c r="J7" s="508"/>
      <c r="K7" s="508"/>
      <c r="L7" s="508"/>
      <c r="M7" s="508"/>
      <c r="N7" s="508"/>
      <c r="O7" s="508"/>
      <c r="P7" s="508"/>
      <c r="Q7" s="508"/>
      <c r="R7" s="508"/>
      <c r="S7" s="508"/>
      <c r="T7" s="508"/>
      <c r="U7" s="508"/>
      <c r="V7" s="508"/>
      <c r="W7" s="508"/>
      <c r="X7" s="508"/>
      <c r="Y7" s="508"/>
      <c r="Z7" s="508"/>
    </row>
    <row r="8">
      <c r="A8" s="508"/>
      <c r="B8" s="692" t="s">
        <v>3545</v>
      </c>
      <c r="C8" s="692" t="s">
        <v>1561</v>
      </c>
      <c r="D8" s="1333">
        <v>1.0E7</v>
      </c>
      <c r="E8" s="1333">
        <v>7000000.0</v>
      </c>
      <c r="F8" s="1335"/>
      <c r="G8" s="1334">
        <v>45505.0</v>
      </c>
      <c r="H8" s="1334">
        <v>46234.0</v>
      </c>
      <c r="I8" s="508"/>
      <c r="J8" s="508"/>
      <c r="K8" s="508"/>
      <c r="L8" s="508"/>
      <c r="M8" s="508"/>
      <c r="N8" s="508"/>
      <c r="O8" s="508"/>
      <c r="P8" s="508"/>
      <c r="Q8" s="508"/>
      <c r="R8" s="508"/>
      <c r="S8" s="508"/>
      <c r="T8" s="508"/>
      <c r="U8" s="508"/>
      <c r="V8" s="508"/>
      <c r="W8" s="508"/>
      <c r="X8" s="508"/>
      <c r="Y8" s="508"/>
      <c r="Z8" s="508"/>
    </row>
    <row r="9">
      <c r="A9" s="508"/>
      <c r="B9" s="692" t="s">
        <v>3545</v>
      </c>
      <c r="C9" s="692" t="s">
        <v>3515</v>
      </c>
      <c r="D9" s="1333">
        <v>5.0E7</v>
      </c>
      <c r="E9" s="1333">
        <v>4000000.0</v>
      </c>
      <c r="F9" s="1333">
        <v>200000.0</v>
      </c>
      <c r="G9" s="1334">
        <v>45483.0</v>
      </c>
      <c r="H9" s="1334">
        <v>46212.0</v>
      </c>
      <c r="I9" s="508"/>
      <c r="J9" s="508"/>
      <c r="K9" s="508"/>
      <c r="L9" s="508"/>
      <c r="M9" s="508"/>
      <c r="N9" s="508"/>
      <c r="O9" s="508"/>
      <c r="P9" s="508"/>
      <c r="Q9" s="508"/>
      <c r="R9" s="508"/>
      <c r="S9" s="508"/>
      <c r="T9" s="508"/>
      <c r="U9" s="508"/>
      <c r="V9" s="508"/>
      <c r="W9" s="508"/>
      <c r="X9" s="508"/>
      <c r="Y9" s="508"/>
      <c r="Z9" s="508"/>
    </row>
    <row r="10">
      <c r="A10" s="508"/>
      <c r="B10" s="692" t="s">
        <v>3545</v>
      </c>
      <c r="C10" s="692" t="s">
        <v>3517</v>
      </c>
      <c r="D10" s="1333"/>
      <c r="E10" s="1335"/>
      <c r="F10" s="1335"/>
      <c r="G10" s="1336"/>
      <c r="H10" s="1336"/>
      <c r="I10" s="508"/>
      <c r="J10" s="508"/>
      <c r="K10" s="508"/>
      <c r="L10" s="508"/>
      <c r="M10" s="508"/>
      <c r="N10" s="508"/>
      <c r="O10" s="508"/>
      <c r="P10" s="508"/>
      <c r="Q10" s="508"/>
      <c r="R10" s="508"/>
      <c r="S10" s="508"/>
      <c r="T10" s="508"/>
      <c r="U10" s="508"/>
      <c r="V10" s="508"/>
      <c r="W10" s="508"/>
      <c r="X10" s="508"/>
      <c r="Y10" s="508"/>
      <c r="Z10" s="508"/>
    </row>
    <row r="11">
      <c r="A11" s="508"/>
      <c r="B11" s="692" t="s">
        <v>3545</v>
      </c>
      <c r="C11" s="692" t="s">
        <v>3518</v>
      </c>
      <c r="D11" s="1335"/>
      <c r="E11" s="1335"/>
      <c r="F11" s="1335"/>
      <c r="G11" s="1336"/>
      <c r="H11" s="1336"/>
      <c r="I11" s="508"/>
      <c r="J11" s="508"/>
      <c r="K11" s="508"/>
      <c r="L11" s="508"/>
      <c r="M11" s="508"/>
      <c r="N11" s="508"/>
      <c r="O11" s="508"/>
      <c r="P11" s="508"/>
      <c r="Q11" s="508"/>
      <c r="R11" s="508"/>
      <c r="S11" s="508"/>
      <c r="T11" s="508"/>
      <c r="U11" s="508"/>
      <c r="V11" s="508"/>
      <c r="W11" s="508"/>
      <c r="X11" s="508"/>
      <c r="Y11" s="508"/>
      <c r="Z11" s="508"/>
    </row>
    <row r="12">
      <c r="A12" s="508"/>
      <c r="B12" s="692" t="s">
        <v>3545</v>
      </c>
      <c r="C12" s="692" t="s">
        <v>3519</v>
      </c>
      <c r="D12" s="1335"/>
      <c r="E12" s="1335"/>
      <c r="F12" s="1335"/>
      <c r="G12" s="1336"/>
      <c r="H12" s="1336"/>
      <c r="I12" s="508"/>
      <c r="J12" s="508"/>
      <c r="K12" s="508"/>
      <c r="L12" s="508"/>
      <c r="M12" s="508"/>
      <c r="N12" s="508"/>
      <c r="O12" s="508"/>
      <c r="P12" s="508"/>
      <c r="Q12" s="508"/>
      <c r="R12" s="508"/>
      <c r="S12" s="508"/>
      <c r="T12" s="508"/>
      <c r="U12" s="508"/>
      <c r="V12" s="508"/>
      <c r="W12" s="508"/>
      <c r="X12" s="508"/>
      <c r="Y12" s="508"/>
      <c r="Z12" s="508"/>
    </row>
    <row r="13">
      <c r="A13" s="508"/>
      <c r="B13" s="508"/>
      <c r="C13" s="508"/>
      <c r="D13" s="1335"/>
      <c r="E13" s="1335"/>
      <c r="F13" s="1335"/>
      <c r="G13" s="1336"/>
      <c r="H13" s="1336"/>
      <c r="I13" s="508"/>
      <c r="J13" s="508"/>
      <c r="K13" s="508"/>
      <c r="L13" s="508"/>
      <c r="M13" s="508"/>
      <c r="N13" s="508"/>
      <c r="O13" s="508"/>
      <c r="P13" s="508"/>
      <c r="Q13" s="508"/>
      <c r="R13" s="508"/>
      <c r="S13" s="508"/>
      <c r="T13" s="508"/>
      <c r="U13" s="508"/>
      <c r="V13" s="508"/>
      <c r="W13" s="508"/>
      <c r="X13" s="508"/>
      <c r="Y13" s="508"/>
      <c r="Z13" s="508"/>
    </row>
    <row r="14">
      <c r="A14" s="508"/>
      <c r="B14" s="692" t="s">
        <v>3546</v>
      </c>
      <c r="C14" s="508"/>
      <c r="D14" s="1335"/>
      <c r="E14" s="1335"/>
      <c r="F14" s="1335"/>
      <c r="G14" s="1336"/>
      <c r="H14" s="1336"/>
      <c r="I14" s="508"/>
      <c r="J14" s="508"/>
      <c r="K14" s="508"/>
      <c r="L14" s="508"/>
      <c r="M14" s="508"/>
      <c r="N14" s="508"/>
      <c r="O14" s="508"/>
      <c r="P14" s="508"/>
      <c r="Q14" s="508"/>
      <c r="R14" s="508"/>
      <c r="S14" s="508"/>
      <c r="T14" s="508"/>
      <c r="U14" s="508"/>
      <c r="V14" s="508"/>
      <c r="W14" s="508"/>
      <c r="X14" s="508"/>
      <c r="Y14" s="508"/>
      <c r="Z14" s="508"/>
    </row>
    <row r="15">
      <c r="A15" s="508"/>
      <c r="B15" s="508"/>
      <c r="C15" s="508"/>
      <c r="D15" s="1335"/>
      <c r="E15" s="1335"/>
      <c r="F15" s="1335"/>
      <c r="G15" s="1336"/>
      <c r="H15" s="1336"/>
      <c r="I15" s="508"/>
      <c r="J15" s="508"/>
      <c r="K15" s="508"/>
      <c r="L15" s="508"/>
      <c r="M15" s="508"/>
      <c r="N15" s="508"/>
      <c r="O15" s="508"/>
      <c r="P15" s="508"/>
      <c r="Q15" s="508"/>
      <c r="R15" s="508"/>
      <c r="S15" s="508"/>
      <c r="T15" s="508"/>
      <c r="U15" s="508"/>
      <c r="V15" s="508"/>
      <c r="W15" s="508"/>
      <c r="X15" s="508"/>
      <c r="Y15" s="508"/>
      <c r="Z15" s="508"/>
    </row>
    <row r="16">
      <c r="A16" s="508"/>
      <c r="B16" s="508"/>
      <c r="C16" s="508"/>
      <c r="D16" s="1336"/>
      <c r="E16" s="1336"/>
      <c r="F16" s="1336"/>
      <c r="G16" s="1336"/>
      <c r="H16" s="1336"/>
      <c r="I16" s="508"/>
      <c r="J16" s="508"/>
      <c r="K16" s="508"/>
      <c r="L16" s="508"/>
      <c r="M16" s="508"/>
      <c r="N16" s="508"/>
      <c r="O16" s="508"/>
      <c r="P16" s="508"/>
      <c r="Q16" s="508"/>
      <c r="R16" s="508"/>
      <c r="S16" s="508"/>
      <c r="T16" s="508"/>
      <c r="U16" s="508"/>
      <c r="V16" s="508"/>
      <c r="W16" s="508"/>
      <c r="X16" s="508"/>
      <c r="Y16" s="508"/>
      <c r="Z16" s="508"/>
    </row>
    <row r="17">
      <c r="A17" s="508"/>
      <c r="B17" s="508"/>
      <c r="C17" s="508"/>
      <c r="D17" s="1336"/>
      <c r="E17" s="1336"/>
      <c r="F17" s="1336"/>
      <c r="G17" s="1336"/>
      <c r="H17" s="1336"/>
      <c r="I17" s="508"/>
      <c r="J17" s="508"/>
      <c r="K17" s="508"/>
      <c r="L17" s="508"/>
      <c r="M17" s="508"/>
      <c r="N17" s="508"/>
      <c r="O17" s="508"/>
      <c r="P17" s="508"/>
      <c r="Q17" s="508"/>
      <c r="R17" s="508"/>
      <c r="S17" s="508"/>
      <c r="T17" s="508"/>
      <c r="U17" s="508"/>
      <c r="V17" s="508"/>
      <c r="W17" s="508"/>
      <c r="X17" s="508"/>
      <c r="Y17" s="508"/>
      <c r="Z17" s="508"/>
    </row>
    <row r="18">
      <c r="A18" s="508"/>
      <c r="B18" s="508"/>
      <c r="C18" s="508"/>
      <c r="D18" s="1336"/>
      <c r="E18" s="1336"/>
      <c r="F18" s="1336"/>
      <c r="G18" s="508"/>
      <c r="H18" s="508"/>
      <c r="I18" s="508"/>
      <c r="J18" s="508"/>
      <c r="K18" s="508"/>
      <c r="L18" s="508"/>
      <c r="M18" s="508"/>
      <c r="N18" s="508"/>
      <c r="O18" s="508"/>
      <c r="P18" s="508"/>
      <c r="Q18" s="508"/>
      <c r="R18" s="508"/>
      <c r="S18" s="508"/>
      <c r="T18" s="508"/>
      <c r="U18" s="508"/>
      <c r="V18" s="508"/>
      <c r="W18" s="508"/>
      <c r="X18" s="508"/>
      <c r="Y18" s="508"/>
      <c r="Z18" s="508"/>
    </row>
    <row r="19">
      <c r="A19" s="508"/>
      <c r="B19" s="508"/>
      <c r="C19" s="508"/>
      <c r="D19" s="1336"/>
      <c r="E19" s="1336"/>
      <c r="F19" s="1336"/>
      <c r="G19" s="508"/>
      <c r="H19" s="508"/>
      <c r="I19" s="508"/>
      <c r="J19" s="508"/>
      <c r="K19" s="508"/>
      <c r="L19" s="508"/>
      <c r="M19" s="508"/>
      <c r="N19" s="508"/>
      <c r="O19" s="508"/>
      <c r="P19" s="508"/>
      <c r="Q19" s="508"/>
      <c r="R19" s="508"/>
      <c r="S19" s="508"/>
      <c r="T19" s="508"/>
      <c r="U19" s="508"/>
      <c r="V19" s="508"/>
      <c r="W19" s="508"/>
      <c r="X19" s="508"/>
      <c r="Y19" s="508"/>
      <c r="Z19" s="508"/>
    </row>
    <row r="20">
      <c r="A20" s="508"/>
      <c r="B20" s="508"/>
      <c r="C20" s="508"/>
      <c r="D20" s="1336"/>
      <c r="E20" s="1336"/>
      <c r="F20" s="1336"/>
      <c r="G20" s="508"/>
      <c r="H20" s="508"/>
      <c r="I20" s="508"/>
      <c r="J20" s="508"/>
      <c r="K20" s="508"/>
      <c r="L20" s="508"/>
      <c r="M20" s="508"/>
      <c r="N20" s="508"/>
      <c r="O20" s="508"/>
      <c r="P20" s="508"/>
      <c r="Q20" s="508"/>
      <c r="R20" s="508"/>
      <c r="S20" s="508"/>
      <c r="T20" s="508"/>
      <c r="U20" s="508"/>
      <c r="V20" s="508"/>
      <c r="W20" s="508"/>
      <c r="X20" s="508"/>
      <c r="Y20" s="508"/>
      <c r="Z20" s="508"/>
    </row>
    <row r="21">
      <c r="A21" s="508"/>
      <c r="B21" s="508"/>
      <c r="C21" s="508"/>
      <c r="D21" s="508"/>
      <c r="E21" s="508"/>
      <c r="F21" s="508"/>
      <c r="G21" s="508"/>
      <c r="H21" s="508"/>
      <c r="I21" s="508"/>
      <c r="J21" s="508"/>
      <c r="K21" s="508"/>
      <c r="L21" s="508"/>
      <c r="M21" s="508"/>
      <c r="N21" s="508"/>
      <c r="O21" s="508"/>
      <c r="P21" s="508"/>
      <c r="Q21" s="508"/>
      <c r="R21" s="508"/>
      <c r="S21" s="508"/>
      <c r="T21" s="508"/>
      <c r="U21" s="508"/>
      <c r="V21" s="508"/>
      <c r="W21" s="508"/>
      <c r="X21" s="508"/>
      <c r="Y21" s="508"/>
      <c r="Z21" s="508"/>
    </row>
    <row r="22">
      <c r="A22" s="508"/>
      <c r="B22" s="508"/>
      <c r="C22" s="508"/>
      <c r="D22" s="508"/>
      <c r="E22" s="508"/>
      <c r="F22" s="508"/>
      <c r="G22" s="508"/>
      <c r="H22" s="508"/>
      <c r="I22" s="508"/>
      <c r="J22" s="508"/>
      <c r="K22" s="508"/>
      <c r="L22" s="508"/>
      <c r="M22" s="508"/>
      <c r="N22" s="508"/>
      <c r="O22" s="508"/>
      <c r="P22" s="508"/>
      <c r="Q22" s="508"/>
      <c r="R22" s="508"/>
      <c r="S22" s="508"/>
      <c r="T22" s="508"/>
      <c r="U22" s="508"/>
      <c r="V22" s="508"/>
      <c r="W22" s="508"/>
      <c r="X22" s="508"/>
      <c r="Y22" s="508"/>
      <c r="Z22" s="508"/>
    </row>
    <row r="23">
      <c r="A23" s="508"/>
      <c r="B23" s="508"/>
      <c r="C23" s="508"/>
      <c r="D23" s="508"/>
      <c r="E23" s="508"/>
      <c r="F23" s="508"/>
      <c r="G23" s="508"/>
      <c r="H23" s="508"/>
      <c r="I23" s="508"/>
      <c r="J23" s="508"/>
      <c r="K23" s="508"/>
      <c r="L23" s="508"/>
      <c r="M23" s="508"/>
      <c r="N23" s="508"/>
      <c r="O23" s="508"/>
      <c r="P23" s="508"/>
      <c r="Q23" s="508"/>
      <c r="R23" s="508"/>
      <c r="S23" s="508"/>
      <c r="T23" s="508"/>
      <c r="U23" s="508"/>
      <c r="V23" s="508"/>
      <c r="W23" s="508"/>
      <c r="X23" s="508"/>
      <c r="Y23" s="508"/>
      <c r="Z23" s="508"/>
    </row>
    <row r="24">
      <c r="A24" s="508"/>
      <c r="B24" s="508"/>
      <c r="C24" s="508"/>
      <c r="D24" s="508"/>
      <c r="E24" s="508"/>
      <c r="F24" s="508"/>
      <c r="G24" s="508"/>
      <c r="H24" s="508"/>
      <c r="I24" s="508"/>
      <c r="J24" s="508"/>
      <c r="K24" s="508"/>
      <c r="L24" s="508"/>
      <c r="M24" s="508"/>
      <c r="N24" s="508"/>
      <c r="O24" s="508"/>
      <c r="P24" s="508"/>
      <c r="Q24" s="508"/>
      <c r="R24" s="508"/>
      <c r="S24" s="508"/>
      <c r="T24" s="508"/>
      <c r="U24" s="508"/>
      <c r="V24" s="508"/>
      <c r="W24" s="508"/>
      <c r="X24" s="508"/>
      <c r="Y24" s="508"/>
      <c r="Z24" s="508"/>
    </row>
    <row r="25">
      <c r="A25" s="508"/>
      <c r="B25" s="508"/>
      <c r="C25" s="508"/>
      <c r="D25" s="508"/>
      <c r="E25" s="508"/>
      <c r="F25" s="508"/>
      <c r="G25" s="508"/>
      <c r="H25" s="508"/>
      <c r="I25" s="508"/>
      <c r="J25" s="508"/>
      <c r="K25" s="508"/>
      <c r="L25" s="508"/>
      <c r="M25" s="508"/>
      <c r="N25" s="508"/>
      <c r="O25" s="508"/>
      <c r="P25" s="508"/>
      <c r="Q25" s="508"/>
      <c r="R25" s="508"/>
      <c r="S25" s="508"/>
      <c r="T25" s="508"/>
      <c r="U25" s="508"/>
      <c r="V25" s="508"/>
      <c r="W25" s="508"/>
      <c r="X25" s="508"/>
      <c r="Y25" s="508"/>
      <c r="Z25" s="508"/>
    </row>
    <row r="26">
      <c r="A26" s="508"/>
      <c r="B26" s="508"/>
      <c r="C26" s="508"/>
      <c r="D26" s="508"/>
      <c r="E26" s="508"/>
      <c r="F26" s="508"/>
      <c r="G26" s="508"/>
      <c r="H26" s="508"/>
      <c r="I26" s="508"/>
      <c r="J26" s="508"/>
      <c r="K26" s="508"/>
      <c r="L26" s="508"/>
      <c r="M26" s="508"/>
      <c r="N26" s="508"/>
      <c r="O26" s="508"/>
      <c r="P26" s="508"/>
      <c r="Q26" s="508"/>
      <c r="R26" s="508"/>
      <c r="S26" s="508"/>
      <c r="T26" s="508"/>
      <c r="U26" s="508"/>
      <c r="V26" s="508"/>
      <c r="W26" s="508"/>
      <c r="X26" s="508"/>
      <c r="Y26" s="508"/>
      <c r="Z26" s="508"/>
    </row>
    <row r="27">
      <c r="A27" s="508"/>
      <c r="B27" s="508"/>
      <c r="C27" s="508"/>
      <c r="D27" s="508"/>
      <c r="E27" s="508"/>
      <c r="F27" s="508"/>
      <c r="G27" s="508"/>
      <c r="H27" s="508"/>
      <c r="I27" s="508"/>
      <c r="J27" s="508"/>
      <c r="K27" s="508"/>
      <c r="L27" s="508"/>
      <c r="M27" s="508"/>
      <c r="N27" s="508"/>
      <c r="O27" s="508"/>
      <c r="P27" s="508"/>
      <c r="Q27" s="508"/>
      <c r="R27" s="508"/>
      <c r="S27" s="508"/>
      <c r="T27" s="508"/>
      <c r="U27" s="508"/>
      <c r="V27" s="508"/>
      <c r="W27" s="508"/>
      <c r="X27" s="508"/>
      <c r="Y27" s="508"/>
      <c r="Z27" s="508"/>
    </row>
    <row r="28">
      <c r="A28" s="508"/>
      <c r="B28" s="508"/>
      <c r="C28" s="508"/>
      <c r="D28" s="508"/>
      <c r="E28" s="508"/>
      <c r="F28" s="508"/>
      <c r="G28" s="508"/>
      <c r="H28" s="508"/>
      <c r="I28" s="508"/>
      <c r="J28" s="508"/>
      <c r="K28" s="508"/>
      <c r="L28" s="508"/>
      <c r="M28" s="508"/>
      <c r="N28" s="508"/>
      <c r="O28" s="508"/>
      <c r="P28" s="508"/>
      <c r="Q28" s="508"/>
      <c r="R28" s="508"/>
      <c r="S28" s="508"/>
      <c r="T28" s="508"/>
      <c r="U28" s="508"/>
      <c r="V28" s="508"/>
      <c r="W28" s="508"/>
      <c r="X28" s="508"/>
      <c r="Y28" s="508"/>
      <c r="Z28" s="508"/>
    </row>
    <row r="29">
      <c r="A29" s="508"/>
      <c r="B29" s="508"/>
      <c r="C29" s="508"/>
      <c r="D29" s="508"/>
      <c r="E29" s="508"/>
      <c r="F29" s="508"/>
      <c r="G29" s="508"/>
      <c r="H29" s="508"/>
      <c r="I29" s="508"/>
      <c r="J29" s="508"/>
      <c r="K29" s="508"/>
      <c r="L29" s="508"/>
      <c r="M29" s="508"/>
      <c r="N29" s="508"/>
      <c r="O29" s="508"/>
      <c r="P29" s="508"/>
      <c r="Q29" s="508"/>
      <c r="R29" s="508"/>
      <c r="S29" s="508"/>
      <c r="T29" s="508"/>
      <c r="U29" s="508"/>
      <c r="V29" s="508"/>
      <c r="W29" s="508"/>
      <c r="X29" s="508"/>
      <c r="Y29" s="508"/>
      <c r="Z29" s="508"/>
    </row>
    <row r="30">
      <c r="A30" s="508"/>
      <c r="B30" s="508"/>
      <c r="C30" s="508"/>
      <c r="D30" s="508"/>
      <c r="E30" s="508"/>
      <c r="F30" s="508"/>
      <c r="G30" s="508"/>
      <c r="H30" s="508"/>
      <c r="I30" s="508"/>
      <c r="J30" s="508"/>
      <c r="K30" s="508"/>
      <c r="L30" s="508"/>
      <c r="M30" s="508"/>
      <c r="N30" s="508"/>
      <c r="O30" s="508"/>
      <c r="P30" s="508"/>
      <c r="Q30" s="508"/>
      <c r="R30" s="508"/>
      <c r="S30" s="508"/>
      <c r="T30" s="508"/>
      <c r="U30" s="508"/>
      <c r="V30" s="508"/>
      <c r="W30" s="508"/>
      <c r="X30" s="508"/>
      <c r="Y30" s="508"/>
      <c r="Z30" s="508"/>
    </row>
    <row r="31">
      <c r="A31" s="508"/>
      <c r="B31" s="508"/>
      <c r="C31" s="508"/>
      <c r="D31" s="508"/>
      <c r="E31" s="508"/>
      <c r="F31" s="508"/>
      <c r="G31" s="508"/>
      <c r="H31" s="508"/>
      <c r="I31" s="508"/>
      <c r="J31" s="508"/>
      <c r="K31" s="508"/>
      <c r="L31" s="508"/>
      <c r="M31" s="508"/>
      <c r="N31" s="508"/>
      <c r="O31" s="508"/>
      <c r="P31" s="508"/>
      <c r="Q31" s="508"/>
      <c r="R31" s="508"/>
      <c r="S31" s="508"/>
      <c r="T31" s="508"/>
      <c r="U31" s="508"/>
      <c r="V31" s="508"/>
      <c r="W31" s="508"/>
      <c r="X31" s="508"/>
      <c r="Y31" s="508"/>
      <c r="Z31" s="508"/>
    </row>
    <row r="32">
      <c r="A32" s="508"/>
      <c r="B32" s="508"/>
      <c r="C32" s="508"/>
      <c r="D32" s="508"/>
      <c r="E32" s="508"/>
      <c r="F32" s="508"/>
      <c r="G32" s="508"/>
      <c r="H32" s="508"/>
      <c r="I32" s="508"/>
      <c r="J32" s="508"/>
      <c r="K32" s="508"/>
      <c r="L32" s="508"/>
      <c r="M32" s="508"/>
      <c r="N32" s="508"/>
      <c r="O32" s="508"/>
      <c r="P32" s="508"/>
      <c r="Q32" s="508"/>
      <c r="R32" s="508"/>
      <c r="S32" s="508"/>
      <c r="T32" s="508"/>
      <c r="U32" s="508"/>
      <c r="V32" s="508"/>
      <c r="W32" s="508"/>
      <c r="X32" s="508"/>
      <c r="Y32" s="508"/>
      <c r="Z32" s="508"/>
    </row>
    <row r="33">
      <c r="A33" s="508"/>
      <c r="B33" s="508"/>
      <c r="C33" s="508"/>
      <c r="D33" s="508"/>
      <c r="E33" s="508"/>
      <c r="F33" s="508"/>
      <c r="G33" s="508"/>
      <c r="H33" s="508"/>
      <c r="I33" s="508"/>
      <c r="J33" s="508"/>
      <c r="K33" s="508"/>
      <c r="L33" s="508"/>
      <c r="M33" s="508"/>
      <c r="N33" s="508"/>
      <c r="O33" s="508"/>
      <c r="P33" s="508"/>
      <c r="Q33" s="508"/>
      <c r="R33" s="508"/>
      <c r="S33" s="508"/>
      <c r="T33" s="508"/>
      <c r="U33" s="508"/>
      <c r="V33" s="508"/>
      <c r="W33" s="508"/>
      <c r="X33" s="508"/>
      <c r="Y33" s="508"/>
      <c r="Z33" s="508"/>
    </row>
    <row r="34">
      <c r="A34" s="508"/>
      <c r="B34" s="508"/>
      <c r="C34" s="508"/>
      <c r="D34" s="508"/>
      <c r="E34" s="508"/>
      <c r="F34" s="508"/>
      <c r="G34" s="508"/>
      <c r="H34" s="508"/>
      <c r="I34" s="508"/>
      <c r="J34" s="508"/>
      <c r="K34" s="508"/>
      <c r="L34" s="508"/>
      <c r="M34" s="508"/>
      <c r="N34" s="508"/>
      <c r="O34" s="508"/>
      <c r="P34" s="508"/>
      <c r="Q34" s="508"/>
      <c r="R34" s="508"/>
      <c r="S34" s="508"/>
      <c r="T34" s="508"/>
      <c r="U34" s="508"/>
      <c r="V34" s="508"/>
      <c r="W34" s="508"/>
      <c r="X34" s="508"/>
      <c r="Y34" s="508"/>
      <c r="Z34" s="508"/>
    </row>
    <row r="35">
      <c r="A35" s="508"/>
      <c r="B35" s="508"/>
      <c r="C35" s="508"/>
      <c r="D35" s="508"/>
      <c r="E35" s="508"/>
      <c r="F35" s="508"/>
      <c r="G35" s="508"/>
      <c r="H35" s="508"/>
      <c r="I35" s="508"/>
      <c r="J35" s="508"/>
      <c r="K35" s="508"/>
      <c r="L35" s="508"/>
      <c r="M35" s="508"/>
      <c r="N35" s="508"/>
      <c r="O35" s="508"/>
      <c r="P35" s="508"/>
      <c r="Q35" s="508"/>
      <c r="R35" s="508"/>
      <c r="S35" s="508"/>
      <c r="T35" s="508"/>
      <c r="U35" s="508"/>
      <c r="V35" s="508"/>
      <c r="W35" s="508"/>
      <c r="X35" s="508"/>
      <c r="Y35" s="508"/>
      <c r="Z35" s="508"/>
    </row>
    <row r="36">
      <c r="A36" s="508"/>
      <c r="B36" s="508"/>
      <c r="C36" s="508"/>
      <c r="D36" s="508"/>
      <c r="E36" s="508"/>
      <c r="F36" s="508"/>
      <c r="G36" s="508"/>
      <c r="H36" s="508"/>
      <c r="I36" s="508"/>
      <c r="J36" s="508"/>
      <c r="K36" s="508"/>
      <c r="L36" s="508"/>
      <c r="M36" s="508"/>
      <c r="N36" s="508"/>
      <c r="O36" s="508"/>
      <c r="P36" s="508"/>
      <c r="Q36" s="508"/>
      <c r="R36" s="508"/>
      <c r="S36" s="508"/>
      <c r="T36" s="508"/>
      <c r="U36" s="508"/>
      <c r="V36" s="508"/>
      <c r="W36" s="508"/>
      <c r="X36" s="508"/>
      <c r="Y36" s="508"/>
      <c r="Z36" s="508"/>
    </row>
    <row r="37">
      <c r="A37" s="508"/>
      <c r="B37" s="508"/>
      <c r="C37" s="508"/>
      <c r="D37" s="508"/>
      <c r="E37" s="508"/>
      <c r="F37" s="508"/>
      <c r="G37" s="508"/>
      <c r="H37" s="508"/>
      <c r="I37" s="508"/>
      <c r="J37" s="508"/>
      <c r="K37" s="508"/>
      <c r="L37" s="508"/>
      <c r="M37" s="508"/>
      <c r="N37" s="508"/>
      <c r="O37" s="508"/>
      <c r="P37" s="508"/>
      <c r="Q37" s="508"/>
      <c r="R37" s="508"/>
      <c r="S37" s="508"/>
      <c r="T37" s="508"/>
      <c r="U37" s="508"/>
      <c r="V37" s="508"/>
      <c r="W37" s="508"/>
      <c r="X37" s="508"/>
      <c r="Y37" s="508"/>
      <c r="Z37" s="508"/>
    </row>
    <row r="38">
      <c r="A38" s="508"/>
      <c r="B38" s="508"/>
      <c r="C38" s="508"/>
      <c r="D38" s="508"/>
      <c r="E38" s="508"/>
      <c r="F38" s="508"/>
      <c r="G38" s="508"/>
      <c r="H38" s="508"/>
      <c r="I38" s="508"/>
      <c r="J38" s="508"/>
      <c r="K38" s="508"/>
      <c r="L38" s="508"/>
      <c r="M38" s="508"/>
      <c r="N38" s="508"/>
      <c r="O38" s="508"/>
      <c r="P38" s="508"/>
      <c r="Q38" s="508"/>
      <c r="R38" s="508"/>
      <c r="S38" s="508"/>
      <c r="T38" s="508"/>
      <c r="U38" s="508"/>
      <c r="V38" s="508"/>
      <c r="W38" s="508"/>
      <c r="X38" s="508"/>
      <c r="Y38" s="508"/>
      <c r="Z38" s="508"/>
    </row>
    <row r="39">
      <c r="A39" s="508"/>
      <c r="B39" s="508"/>
      <c r="C39" s="508"/>
      <c r="D39" s="508"/>
      <c r="E39" s="508"/>
      <c r="F39" s="508"/>
      <c r="G39" s="508"/>
      <c r="H39" s="508"/>
      <c r="I39" s="508"/>
      <c r="J39" s="508"/>
      <c r="K39" s="508"/>
      <c r="L39" s="508"/>
      <c r="M39" s="508"/>
      <c r="N39" s="508"/>
      <c r="O39" s="508"/>
      <c r="P39" s="508"/>
      <c r="Q39" s="508"/>
      <c r="R39" s="508"/>
      <c r="S39" s="508"/>
      <c r="T39" s="508"/>
      <c r="U39" s="508"/>
      <c r="V39" s="508"/>
      <c r="W39" s="508"/>
      <c r="X39" s="508"/>
      <c r="Y39" s="508"/>
      <c r="Z39" s="508"/>
    </row>
    <row r="40">
      <c r="A40" s="508"/>
      <c r="B40" s="508"/>
      <c r="C40" s="508"/>
      <c r="D40" s="508"/>
      <c r="E40" s="508"/>
      <c r="F40" s="508"/>
      <c r="G40" s="508"/>
      <c r="H40" s="508"/>
      <c r="I40" s="508"/>
      <c r="J40" s="508"/>
      <c r="K40" s="508"/>
      <c r="L40" s="508"/>
      <c r="M40" s="508"/>
      <c r="N40" s="508"/>
      <c r="O40" s="508"/>
      <c r="P40" s="508"/>
      <c r="Q40" s="508"/>
      <c r="R40" s="508"/>
      <c r="S40" s="508"/>
      <c r="T40" s="508"/>
      <c r="U40" s="508"/>
      <c r="V40" s="508"/>
      <c r="W40" s="508"/>
      <c r="X40" s="508"/>
      <c r="Y40" s="508"/>
      <c r="Z40" s="508"/>
    </row>
    <row r="41">
      <c r="A41" s="508"/>
      <c r="B41" s="508"/>
      <c r="C41" s="508"/>
      <c r="D41" s="508"/>
      <c r="E41" s="508"/>
      <c r="F41" s="508"/>
      <c r="G41" s="508"/>
      <c r="H41" s="508"/>
      <c r="I41" s="508"/>
      <c r="J41" s="508"/>
      <c r="K41" s="508"/>
      <c r="L41" s="508"/>
      <c r="M41" s="508"/>
      <c r="N41" s="508"/>
      <c r="O41" s="508"/>
      <c r="P41" s="508"/>
      <c r="Q41" s="508"/>
      <c r="R41" s="508"/>
      <c r="S41" s="508"/>
      <c r="T41" s="508"/>
      <c r="U41" s="508"/>
      <c r="V41" s="508"/>
      <c r="W41" s="508"/>
      <c r="X41" s="508"/>
      <c r="Y41" s="508"/>
      <c r="Z41" s="508"/>
    </row>
    <row r="42">
      <c r="A42" s="508"/>
      <c r="B42" s="508"/>
      <c r="C42" s="508"/>
      <c r="D42" s="508"/>
      <c r="E42" s="508"/>
      <c r="F42" s="508"/>
      <c r="G42" s="508"/>
      <c r="H42" s="508"/>
      <c r="I42" s="508"/>
      <c r="J42" s="508"/>
      <c r="K42" s="508"/>
      <c r="L42" s="508"/>
      <c r="M42" s="508"/>
      <c r="N42" s="508"/>
      <c r="O42" s="508"/>
      <c r="P42" s="508"/>
      <c r="Q42" s="508"/>
      <c r="R42" s="508"/>
      <c r="S42" s="508"/>
      <c r="T42" s="508"/>
      <c r="U42" s="508"/>
      <c r="V42" s="508"/>
      <c r="W42" s="508"/>
      <c r="X42" s="508"/>
      <c r="Y42" s="508"/>
      <c r="Z42" s="508"/>
    </row>
    <row r="43">
      <c r="A43" s="508"/>
      <c r="B43" s="508"/>
      <c r="C43" s="508"/>
      <c r="D43" s="508"/>
      <c r="E43" s="508"/>
      <c r="F43" s="508"/>
      <c r="G43" s="508"/>
      <c r="H43" s="508"/>
      <c r="I43" s="508"/>
      <c r="J43" s="508"/>
      <c r="K43" s="508"/>
      <c r="L43" s="508"/>
      <c r="M43" s="508"/>
      <c r="N43" s="508"/>
      <c r="O43" s="508"/>
      <c r="P43" s="508"/>
      <c r="Q43" s="508"/>
      <c r="R43" s="508"/>
      <c r="S43" s="508"/>
      <c r="T43" s="508"/>
      <c r="U43" s="508"/>
      <c r="V43" s="508"/>
      <c r="W43" s="508"/>
      <c r="X43" s="508"/>
      <c r="Y43" s="508"/>
      <c r="Z43" s="508"/>
    </row>
    <row r="44">
      <c r="A44" s="508"/>
      <c r="B44" s="508"/>
      <c r="C44" s="508"/>
      <c r="D44" s="508"/>
      <c r="E44" s="508"/>
      <c r="F44" s="508"/>
      <c r="G44" s="508"/>
      <c r="H44" s="508"/>
      <c r="I44" s="508"/>
      <c r="J44" s="508"/>
      <c r="K44" s="508"/>
      <c r="L44" s="508"/>
      <c r="M44" s="508"/>
      <c r="N44" s="508"/>
      <c r="O44" s="508"/>
      <c r="P44" s="508"/>
      <c r="Q44" s="508"/>
      <c r="R44" s="508"/>
      <c r="S44" s="508"/>
      <c r="T44" s="508"/>
      <c r="U44" s="508"/>
      <c r="V44" s="508"/>
      <c r="W44" s="508"/>
      <c r="X44" s="508"/>
      <c r="Y44" s="508"/>
      <c r="Z44" s="508"/>
    </row>
    <row r="45">
      <c r="A45" s="508"/>
      <c r="B45" s="508"/>
      <c r="C45" s="508"/>
      <c r="D45" s="508"/>
      <c r="E45" s="508"/>
      <c r="F45" s="508"/>
      <c r="G45" s="508"/>
      <c r="H45" s="508"/>
      <c r="I45" s="508"/>
      <c r="J45" s="508"/>
      <c r="K45" s="508"/>
      <c r="L45" s="508"/>
      <c r="M45" s="508"/>
      <c r="N45" s="508"/>
      <c r="O45" s="508"/>
      <c r="P45" s="508"/>
      <c r="Q45" s="508"/>
      <c r="R45" s="508"/>
      <c r="S45" s="508"/>
      <c r="T45" s="508"/>
      <c r="U45" s="508"/>
      <c r="V45" s="508"/>
      <c r="W45" s="508"/>
      <c r="X45" s="508"/>
      <c r="Y45" s="508"/>
      <c r="Z45" s="508"/>
    </row>
    <row r="46">
      <c r="A46" s="508"/>
      <c r="B46" s="508"/>
      <c r="C46" s="508"/>
      <c r="D46" s="508"/>
      <c r="E46" s="508"/>
      <c r="F46" s="508"/>
      <c r="G46" s="508"/>
      <c r="H46" s="508"/>
      <c r="I46" s="508"/>
      <c r="J46" s="508"/>
      <c r="K46" s="508"/>
      <c r="L46" s="508"/>
      <c r="M46" s="508"/>
      <c r="N46" s="508"/>
      <c r="O46" s="508"/>
      <c r="P46" s="508"/>
      <c r="Q46" s="508"/>
      <c r="R46" s="508"/>
      <c r="S46" s="508"/>
      <c r="T46" s="508"/>
      <c r="U46" s="508"/>
      <c r="V46" s="508"/>
      <c r="W46" s="508"/>
      <c r="X46" s="508"/>
      <c r="Y46" s="508"/>
      <c r="Z46" s="508"/>
    </row>
    <row r="47">
      <c r="A47" s="508"/>
      <c r="B47" s="508"/>
      <c r="C47" s="508"/>
      <c r="D47" s="508"/>
      <c r="E47" s="508"/>
      <c r="F47" s="508"/>
      <c r="G47" s="508"/>
      <c r="H47" s="508"/>
      <c r="I47" s="508"/>
      <c r="J47" s="508"/>
      <c r="K47" s="508"/>
      <c r="L47" s="508"/>
      <c r="M47" s="508"/>
      <c r="N47" s="508"/>
      <c r="O47" s="508"/>
      <c r="P47" s="508"/>
      <c r="Q47" s="508"/>
      <c r="R47" s="508"/>
      <c r="S47" s="508"/>
      <c r="T47" s="508"/>
      <c r="U47" s="508"/>
      <c r="V47" s="508"/>
      <c r="W47" s="508"/>
      <c r="X47" s="508"/>
      <c r="Y47" s="508"/>
      <c r="Z47" s="508"/>
    </row>
    <row r="48">
      <c r="A48" s="508"/>
      <c r="B48" s="508"/>
      <c r="C48" s="508"/>
      <c r="D48" s="508"/>
      <c r="E48" s="508"/>
      <c r="F48" s="508"/>
      <c r="G48" s="508"/>
      <c r="H48" s="508"/>
      <c r="I48" s="508"/>
      <c r="J48" s="508"/>
      <c r="K48" s="508"/>
      <c r="L48" s="508"/>
      <c r="M48" s="508"/>
      <c r="N48" s="508"/>
      <c r="O48" s="508"/>
      <c r="P48" s="508"/>
      <c r="Q48" s="508"/>
      <c r="R48" s="508"/>
      <c r="S48" s="508"/>
      <c r="T48" s="508"/>
      <c r="U48" s="508"/>
      <c r="V48" s="508"/>
      <c r="W48" s="508"/>
      <c r="X48" s="508"/>
      <c r="Y48" s="508"/>
      <c r="Z48" s="508"/>
    </row>
    <row r="49">
      <c r="A49" s="508"/>
      <c r="B49" s="508"/>
      <c r="C49" s="508"/>
      <c r="D49" s="508"/>
      <c r="E49" s="508"/>
      <c r="F49" s="508"/>
      <c r="G49" s="508"/>
      <c r="H49" s="508"/>
      <c r="I49" s="508"/>
      <c r="J49" s="508"/>
      <c r="K49" s="508"/>
      <c r="L49" s="508"/>
      <c r="M49" s="508"/>
      <c r="N49" s="508"/>
      <c r="O49" s="508"/>
      <c r="P49" s="508"/>
      <c r="Q49" s="508"/>
      <c r="R49" s="508"/>
      <c r="S49" s="508"/>
      <c r="T49" s="508"/>
      <c r="U49" s="508"/>
      <c r="V49" s="508"/>
      <c r="W49" s="508"/>
      <c r="X49" s="508"/>
      <c r="Y49" s="508"/>
      <c r="Z49" s="508"/>
    </row>
    <row r="50">
      <c r="A50" s="508"/>
      <c r="B50" s="508"/>
      <c r="C50" s="508"/>
      <c r="D50" s="508"/>
      <c r="E50" s="508"/>
      <c r="F50" s="508"/>
      <c r="G50" s="508"/>
      <c r="H50" s="508"/>
      <c r="I50" s="508"/>
      <c r="J50" s="508"/>
      <c r="K50" s="508"/>
      <c r="L50" s="508"/>
      <c r="M50" s="508"/>
      <c r="N50" s="508"/>
      <c r="O50" s="508"/>
      <c r="P50" s="508"/>
      <c r="Q50" s="508"/>
      <c r="R50" s="508"/>
      <c r="S50" s="508"/>
      <c r="T50" s="508"/>
      <c r="U50" s="508"/>
      <c r="V50" s="508"/>
      <c r="W50" s="508"/>
      <c r="X50" s="508"/>
      <c r="Y50" s="508"/>
      <c r="Z50" s="508"/>
    </row>
    <row r="51">
      <c r="A51" s="508"/>
      <c r="B51" s="508"/>
      <c r="C51" s="508"/>
      <c r="D51" s="508"/>
      <c r="E51" s="508"/>
      <c r="F51" s="508"/>
      <c r="G51" s="508"/>
      <c r="H51" s="508"/>
      <c r="I51" s="508"/>
      <c r="J51" s="508"/>
      <c r="K51" s="508"/>
      <c r="L51" s="508"/>
      <c r="M51" s="508"/>
      <c r="N51" s="508"/>
      <c r="O51" s="508"/>
      <c r="P51" s="508"/>
      <c r="Q51" s="508"/>
      <c r="R51" s="508"/>
      <c r="S51" s="508"/>
      <c r="T51" s="508"/>
      <c r="U51" s="508"/>
      <c r="V51" s="508"/>
      <c r="W51" s="508"/>
      <c r="X51" s="508"/>
      <c r="Y51" s="508"/>
      <c r="Z51" s="508"/>
    </row>
    <row r="52">
      <c r="A52" s="508"/>
      <c r="B52" s="508"/>
      <c r="C52" s="508"/>
      <c r="D52" s="508"/>
      <c r="E52" s="508"/>
      <c r="F52" s="508"/>
      <c r="G52" s="508"/>
      <c r="H52" s="508"/>
      <c r="I52" s="508"/>
      <c r="J52" s="508"/>
      <c r="K52" s="508"/>
      <c r="L52" s="508"/>
      <c r="M52" s="508"/>
      <c r="N52" s="508"/>
      <c r="O52" s="508"/>
      <c r="P52" s="508"/>
      <c r="Q52" s="508"/>
      <c r="R52" s="508"/>
      <c r="S52" s="508"/>
      <c r="T52" s="508"/>
      <c r="U52" s="508"/>
      <c r="V52" s="508"/>
      <c r="W52" s="508"/>
      <c r="X52" s="508"/>
      <c r="Y52" s="508"/>
      <c r="Z52" s="508"/>
    </row>
    <row r="53">
      <c r="A53" s="508"/>
      <c r="B53" s="508"/>
      <c r="C53" s="508"/>
      <c r="D53" s="508"/>
      <c r="E53" s="508"/>
      <c r="F53" s="508"/>
      <c r="G53" s="508"/>
      <c r="H53" s="508"/>
      <c r="I53" s="508"/>
      <c r="J53" s="508"/>
      <c r="K53" s="508"/>
      <c r="L53" s="508"/>
      <c r="M53" s="508"/>
      <c r="N53" s="508"/>
      <c r="O53" s="508"/>
      <c r="P53" s="508"/>
      <c r="Q53" s="508"/>
      <c r="R53" s="508"/>
      <c r="S53" s="508"/>
      <c r="T53" s="508"/>
      <c r="U53" s="508"/>
      <c r="V53" s="508"/>
      <c r="W53" s="508"/>
      <c r="X53" s="508"/>
      <c r="Y53" s="508"/>
      <c r="Z53" s="508"/>
    </row>
    <row r="54">
      <c r="A54" s="508"/>
      <c r="B54" s="508"/>
      <c r="C54" s="508"/>
      <c r="D54" s="508"/>
      <c r="E54" s="508"/>
      <c r="F54" s="508"/>
      <c r="G54" s="508"/>
      <c r="H54" s="508"/>
      <c r="I54" s="508"/>
      <c r="J54" s="508"/>
      <c r="K54" s="508"/>
      <c r="L54" s="508"/>
      <c r="M54" s="508"/>
      <c r="N54" s="508"/>
      <c r="O54" s="508"/>
      <c r="P54" s="508"/>
      <c r="Q54" s="508"/>
      <c r="R54" s="508"/>
      <c r="S54" s="508"/>
      <c r="T54" s="508"/>
      <c r="U54" s="508"/>
      <c r="V54" s="508"/>
      <c r="W54" s="508"/>
      <c r="X54" s="508"/>
      <c r="Y54" s="508"/>
      <c r="Z54" s="508"/>
    </row>
    <row r="55">
      <c r="A55" s="508"/>
      <c r="B55" s="508"/>
      <c r="C55" s="508"/>
      <c r="D55" s="508"/>
      <c r="E55" s="508"/>
      <c r="F55" s="508"/>
      <c r="G55" s="508"/>
      <c r="H55" s="508"/>
      <c r="I55" s="508"/>
      <c r="J55" s="508"/>
      <c r="K55" s="508"/>
      <c r="L55" s="508"/>
      <c r="M55" s="508"/>
      <c r="N55" s="508"/>
      <c r="O55" s="508"/>
      <c r="P55" s="508"/>
      <c r="Q55" s="508"/>
      <c r="R55" s="508"/>
      <c r="S55" s="508"/>
      <c r="T55" s="508"/>
      <c r="U55" s="508"/>
      <c r="V55" s="508"/>
      <c r="W55" s="508"/>
      <c r="X55" s="508"/>
      <c r="Y55" s="508"/>
      <c r="Z55" s="508"/>
    </row>
    <row r="56">
      <c r="A56" s="508"/>
      <c r="B56" s="508"/>
      <c r="C56" s="508"/>
      <c r="D56" s="508"/>
      <c r="E56" s="508"/>
      <c r="F56" s="508"/>
      <c r="G56" s="508"/>
      <c r="H56" s="508"/>
      <c r="I56" s="508"/>
      <c r="J56" s="508"/>
      <c r="K56" s="508"/>
      <c r="L56" s="508"/>
      <c r="M56" s="508"/>
      <c r="N56" s="508"/>
      <c r="O56" s="508"/>
      <c r="P56" s="508"/>
      <c r="Q56" s="508"/>
      <c r="R56" s="508"/>
      <c r="S56" s="508"/>
      <c r="T56" s="508"/>
      <c r="U56" s="508"/>
      <c r="V56" s="508"/>
      <c r="W56" s="508"/>
      <c r="X56" s="508"/>
      <c r="Y56" s="508"/>
      <c r="Z56" s="508"/>
    </row>
    <row r="57">
      <c r="A57" s="508"/>
      <c r="B57" s="508"/>
      <c r="C57" s="508"/>
      <c r="D57" s="508"/>
      <c r="E57" s="508"/>
      <c r="F57" s="508"/>
      <c r="G57" s="508"/>
      <c r="H57" s="508"/>
      <c r="I57" s="508"/>
      <c r="J57" s="508"/>
      <c r="K57" s="508"/>
      <c r="L57" s="508"/>
      <c r="M57" s="508"/>
      <c r="N57" s="508"/>
      <c r="O57" s="508"/>
      <c r="P57" s="508"/>
      <c r="Q57" s="508"/>
      <c r="R57" s="508"/>
      <c r="S57" s="508"/>
      <c r="T57" s="508"/>
      <c r="U57" s="508"/>
      <c r="V57" s="508"/>
      <c r="W57" s="508"/>
      <c r="X57" s="508"/>
      <c r="Y57" s="508"/>
      <c r="Z57" s="508"/>
    </row>
    <row r="58">
      <c r="A58" s="508"/>
      <c r="B58" s="508"/>
      <c r="C58" s="508"/>
      <c r="D58" s="508"/>
      <c r="E58" s="508"/>
      <c r="F58" s="508"/>
      <c r="G58" s="508"/>
      <c r="H58" s="508"/>
      <c r="I58" s="508"/>
      <c r="J58" s="508"/>
      <c r="K58" s="508"/>
      <c r="L58" s="508"/>
      <c r="M58" s="508"/>
      <c r="N58" s="508"/>
      <c r="O58" s="508"/>
      <c r="P58" s="508"/>
      <c r="Q58" s="508"/>
      <c r="R58" s="508"/>
      <c r="S58" s="508"/>
      <c r="T58" s="508"/>
      <c r="U58" s="508"/>
      <c r="V58" s="508"/>
      <c r="W58" s="508"/>
      <c r="X58" s="508"/>
      <c r="Y58" s="508"/>
      <c r="Z58" s="508"/>
    </row>
    <row r="59">
      <c r="A59" s="508"/>
      <c r="B59" s="508"/>
      <c r="C59" s="508"/>
      <c r="D59" s="508"/>
      <c r="E59" s="508"/>
      <c r="F59" s="508"/>
      <c r="G59" s="508"/>
      <c r="H59" s="508"/>
      <c r="I59" s="508"/>
      <c r="J59" s="508"/>
      <c r="K59" s="508"/>
      <c r="L59" s="508"/>
      <c r="M59" s="508"/>
      <c r="N59" s="508"/>
      <c r="O59" s="508"/>
      <c r="P59" s="508"/>
      <c r="Q59" s="508"/>
      <c r="R59" s="508"/>
      <c r="S59" s="508"/>
      <c r="T59" s="508"/>
      <c r="U59" s="508"/>
      <c r="V59" s="508"/>
      <c r="W59" s="508"/>
      <c r="X59" s="508"/>
      <c r="Y59" s="508"/>
      <c r="Z59" s="508"/>
    </row>
    <row r="60">
      <c r="A60" s="508"/>
      <c r="B60" s="508"/>
      <c r="C60" s="508"/>
      <c r="D60" s="508"/>
      <c r="E60" s="508"/>
      <c r="F60" s="508"/>
      <c r="G60" s="508"/>
      <c r="H60" s="508"/>
      <c r="I60" s="508"/>
      <c r="J60" s="508"/>
      <c r="K60" s="508"/>
      <c r="L60" s="508"/>
      <c r="M60" s="508"/>
      <c r="N60" s="508"/>
      <c r="O60" s="508"/>
      <c r="P60" s="508"/>
      <c r="Q60" s="508"/>
      <c r="R60" s="508"/>
      <c r="S60" s="508"/>
      <c r="T60" s="508"/>
      <c r="U60" s="508"/>
      <c r="V60" s="508"/>
      <c r="W60" s="508"/>
      <c r="X60" s="508"/>
      <c r="Y60" s="508"/>
      <c r="Z60" s="508"/>
    </row>
    <row r="61">
      <c r="A61" s="508"/>
      <c r="B61" s="508"/>
      <c r="C61" s="508"/>
      <c r="D61" s="508"/>
      <c r="E61" s="508"/>
      <c r="F61" s="508"/>
      <c r="G61" s="508"/>
      <c r="H61" s="508"/>
      <c r="I61" s="508"/>
      <c r="J61" s="508"/>
      <c r="K61" s="508"/>
      <c r="L61" s="508"/>
      <c r="M61" s="508"/>
      <c r="N61" s="508"/>
      <c r="O61" s="508"/>
      <c r="P61" s="508"/>
      <c r="Q61" s="508"/>
      <c r="R61" s="508"/>
      <c r="S61" s="508"/>
      <c r="T61" s="508"/>
      <c r="U61" s="508"/>
      <c r="V61" s="508"/>
      <c r="W61" s="508"/>
      <c r="X61" s="508"/>
      <c r="Y61" s="508"/>
      <c r="Z61" s="508"/>
    </row>
    <row r="62">
      <c r="A62" s="508"/>
      <c r="B62" s="508"/>
      <c r="C62" s="508"/>
      <c r="D62" s="508"/>
      <c r="E62" s="508"/>
      <c r="F62" s="508"/>
      <c r="G62" s="508"/>
      <c r="H62" s="508"/>
      <c r="I62" s="508"/>
      <c r="J62" s="508"/>
      <c r="K62" s="508"/>
      <c r="L62" s="508"/>
      <c r="M62" s="508"/>
      <c r="N62" s="508"/>
      <c r="O62" s="508"/>
      <c r="P62" s="508"/>
      <c r="Q62" s="508"/>
      <c r="R62" s="508"/>
      <c r="S62" s="508"/>
      <c r="T62" s="508"/>
      <c r="U62" s="508"/>
      <c r="V62" s="508"/>
      <c r="W62" s="508"/>
      <c r="X62" s="508"/>
      <c r="Y62" s="508"/>
      <c r="Z62" s="508"/>
    </row>
    <row r="63">
      <c r="A63" s="508"/>
      <c r="B63" s="508"/>
      <c r="C63" s="508"/>
      <c r="D63" s="508"/>
      <c r="E63" s="508"/>
      <c r="F63" s="508"/>
      <c r="G63" s="508"/>
      <c r="H63" s="508"/>
      <c r="I63" s="508"/>
      <c r="J63" s="508"/>
      <c r="K63" s="508"/>
      <c r="L63" s="508"/>
      <c r="M63" s="508"/>
      <c r="N63" s="508"/>
      <c r="O63" s="508"/>
      <c r="P63" s="508"/>
      <c r="Q63" s="508"/>
      <c r="R63" s="508"/>
      <c r="S63" s="508"/>
      <c r="T63" s="508"/>
      <c r="U63" s="508"/>
      <c r="V63" s="508"/>
      <c r="W63" s="508"/>
      <c r="X63" s="508"/>
      <c r="Y63" s="508"/>
      <c r="Z63" s="508"/>
    </row>
    <row r="64">
      <c r="A64" s="508"/>
      <c r="B64" s="508"/>
      <c r="C64" s="508"/>
      <c r="D64" s="508"/>
      <c r="E64" s="508"/>
      <c r="F64" s="508"/>
      <c r="G64" s="508"/>
      <c r="H64" s="508"/>
      <c r="I64" s="508"/>
      <c r="J64" s="508"/>
      <c r="K64" s="508"/>
      <c r="L64" s="508"/>
      <c r="M64" s="508"/>
      <c r="N64" s="508"/>
      <c r="O64" s="508"/>
      <c r="P64" s="508"/>
      <c r="Q64" s="508"/>
      <c r="R64" s="508"/>
      <c r="S64" s="508"/>
      <c r="T64" s="508"/>
      <c r="U64" s="508"/>
      <c r="V64" s="508"/>
      <c r="W64" s="508"/>
      <c r="X64" s="508"/>
      <c r="Y64" s="508"/>
      <c r="Z64" s="508"/>
    </row>
    <row r="65">
      <c r="A65" s="508"/>
      <c r="B65" s="508"/>
      <c r="C65" s="508"/>
      <c r="D65" s="508"/>
      <c r="E65" s="508"/>
      <c r="F65" s="508"/>
      <c r="G65" s="508"/>
      <c r="H65" s="508"/>
      <c r="I65" s="508"/>
      <c r="J65" s="508"/>
      <c r="K65" s="508"/>
      <c r="L65" s="508"/>
      <c r="M65" s="508"/>
      <c r="N65" s="508"/>
      <c r="O65" s="508"/>
      <c r="P65" s="508"/>
      <c r="Q65" s="508"/>
      <c r="R65" s="508"/>
      <c r="S65" s="508"/>
      <c r="T65" s="508"/>
      <c r="U65" s="508"/>
      <c r="V65" s="508"/>
      <c r="W65" s="508"/>
      <c r="X65" s="508"/>
      <c r="Y65" s="508"/>
      <c r="Z65" s="508"/>
    </row>
    <row r="66">
      <c r="A66" s="508"/>
      <c r="B66" s="508"/>
      <c r="C66" s="508"/>
      <c r="D66" s="508"/>
      <c r="E66" s="508"/>
      <c r="F66" s="508"/>
      <c r="G66" s="508"/>
      <c r="H66" s="508"/>
      <c r="I66" s="508"/>
      <c r="J66" s="508"/>
      <c r="K66" s="508"/>
      <c r="L66" s="508"/>
      <c r="M66" s="508"/>
      <c r="N66" s="508"/>
      <c r="O66" s="508"/>
      <c r="P66" s="508"/>
      <c r="Q66" s="508"/>
      <c r="R66" s="508"/>
      <c r="S66" s="508"/>
      <c r="T66" s="508"/>
      <c r="U66" s="508"/>
      <c r="V66" s="508"/>
      <c r="W66" s="508"/>
      <c r="X66" s="508"/>
      <c r="Y66" s="508"/>
      <c r="Z66" s="508"/>
    </row>
    <row r="67">
      <c r="A67" s="508"/>
      <c r="B67" s="508"/>
      <c r="C67" s="508"/>
      <c r="D67" s="508"/>
      <c r="E67" s="508"/>
      <c r="F67" s="508"/>
      <c r="G67" s="508"/>
      <c r="H67" s="508"/>
      <c r="I67" s="508"/>
      <c r="J67" s="508"/>
      <c r="K67" s="508"/>
      <c r="L67" s="508"/>
      <c r="M67" s="508"/>
      <c r="N67" s="508"/>
      <c r="O67" s="508"/>
      <c r="P67" s="508"/>
      <c r="Q67" s="508"/>
      <c r="R67" s="508"/>
      <c r="S67" s="508"/>
      <c r="T67" s="508"/>
      <c r="U67" s="508"/>
      <c r="V67" s="508"/>
      <c r="W67" s="508"/>
      <c r="X67" s="508"/>
      <c r="Y67" s="508"/>
      <c r="Z67" s="508"/>
    </row>
    <row r="68">
      <c r="A68" s="508"/>
      <c r="B68" s="508"/>
      <c r="C68" s="508"/>
      <c r="D68" s="508"/>
      <c r="E68" s="508"/>
      <c r="F68" s="508"/>
      <c r="G68" s="508"/>
      <c r="H68" s="508"/>
      <c r="I68" s="508"/>
      <c r="J68" s="508"/>
      <c r="K68" s="508"/>
      <c r="L68" s="508"/>
      <c r="M68" s="508"/>
      <c r="N68" s="508"/>
      <c r="O68" s="508"/>
      <c r="P68" s="508"/>
      <c r="Q68" s="508"/>
      <c r="R68" s="508"/>
      <c r="S68" s="508"/>
      <c r="T68" s="508"/>
      <c r="U68" s="508"/>
      <c r="V68" s="508"/>
      <c r="W68" s="508"/>
      <c r="X68" s="508"/>
      <c r="Y68" s="508"/>
      <c r="Z68" s="508"/>
    </row>
    <row r="69">
      <c r="A69" s="508"/>
      <c r="B69" s="508"/>
      <c r="C69" s="508"/>
      <c r="D69" s="508"/>
      <c r="E69" s="508"/>
      <c r="F69" s="508"/>
      <c r="G69" s="508"/>
      <c r="H69" s="508"/>
      <c r="I69" s="508"/>
      <c r="J69" s="508"/>
      <c r="K69" s="508"/>
      <c r="L69" s="508"/>
      <c r="M69" s="508"/>
      <c r="N69" s="508"/>
      <c r="O69" s="508"/>
      <c r="P69" s="508"/>
      <c r="Q69" s="508"/>
      <c r="R69" s="508"/>
      <c r="S69" s="508"/>
      <c r="T69" s="508"/>
      <c r="U69" s="508"/>
      <c r="V69" s="508"/>
      <c r="W69" s="508"/>
      <c r="X69" s="508"/>
      <c r="Y69" s="508"/>
      <c r="Z69" s="508"/>
    </row>
    <row r="70">
      <c r="A70" s="508"/>
      <c r="B70" s="508"/>
      <c r="C70" s="508"/>
      <c r="D70" s="508"/>
      <c r="E70" s="508"/>
      <c r="F70" s="508"/>
      <c r="G70" s="508"/>
      <c r="H70" s="508"/>
      <c r="I70" s="508"/>
      <c r="J70" s="508"/>
      <c r="K70" s="508"/>
      <c r="L70" s="508"/>
      <c r="M70" s="508"/>
      <c r="N70" s="508"/>
      <c r="O70" s="508"/>
      <c r="P70" s="508"/>
      <c r="Q70" s="508"/>
      <c r="R70" s="508"/>
      <c r="S70" s="508"/>
      <c r="T70" s="508"/>
      <c r="U70" s="508"/>
      <c r="V70" s="508"/>
      <c r="W70" s="508"/>
      <c r="X70" s="508"/>
      <c r="Y70" s="508"/>
      <c r="Z70" s="508"/>
    </row>
    <row r="71">
      <c r="A71" s="508"/>
      <c r="B71" s="508"/>
      <c r="C71" s="508"/>
      <c r="D71" s="508"/>
      <c r="E71" s="508"/>
      <c r="F71" s="508"/>
      <c r="G71" s="508"/>
      <c r="H71" s="508"/>
      <c r="I71" s="508"/>
      <c r="J71" s="508"/>
      <c r="K71" s="508"/>
      <c r="L71" s="508"/>
      <c r="M71" s="508"/>
      <c r="N71" s="508"/>
      <c r="O71" s="508"/>
      <c r="P71" s="508"/>
      <c r="Q71" s="508"/>
      <c r="R71" s="508"/>
      <c r="S71" s="508"/>
      <c r="T71" s="508"/>
      <c r="U71" s="508"/>
      <c r="V71" s="508"/>
      <c r="W71" s="508"/>
      <c r="X71" s="508"/>
      <c r="Y71" s="508"/>
      <c r="Z71" s="508"/>
    </row>
    <row r="72">
      <c r="A72" s="508"/>
      <c r="B72" s="508"/>
      <c r="C72" s="508"/>
      <c r="D72" s="508"/>
      <c r="E72" s="508"/>
      <c r="F72" s="508"/>
      <c r="G72" s="508"/>
      <c r="H72" s="508"/>
      <c r="I72" s="508"/>
      <c r="J72" s="508"/>
      <c r="K72" s="508"/>
      <c r="L72" s="508"/>
      <c r="M72" s="508"/>
      <c r="N72" s="508"/>
      <c r="O72" s="508"/>
      <c r="P72" s="508"/>
      <c r="Q72" s="508"/>
      <c r="R72" s="508"/>
      <c r="S72" s="508"/>
      <c r="T72" s="508"/>
      <c r="U72" s="508"/>
      <c r="V72" s="508"/>
      <c r="W72" s="508"/>
      <c r="X72" s="508"/>
      <c r="Y72" s="508"/>
      <c r="Z72" s="508"/>
    </row>
    <row r="73">
      <c r="A73" s="508"/>
      <c r="B73" s="508"/>
      <c r="C73" s="508"/>
      <c r="D73" s="508"/>
      <c r="E73" s="508"/>
      <c r="F73" s="508"/>
      <c r="G73" s="508"/>
      <c r="H73" s="508"/>
      <c r="I73" s="508"/>
      <c r="J73" s="508"/>
      <c r="K73" s="508"/>
      <c r="L73" s="508"/>
      <c r="M73" s="508"/>
      <c r="N73" s="508"/>
      <c r="O73" s="508"/>
      <c r="P73" s="508"/>
      <c r="Q73" s="508"/>
      <c r="R73" s="508"/>
      <c r="S73" s="508"/>
      <c r="T73" s="508"/>
      <c r="U73" s="508"/>
      <c r="V73" s="508"/>
      <c r="W73" s="508"/>
      <c r="X73" s="508"/>
      <c r="Y73" s="508"/>
      <c r="Z73" s="508"/>
    </row>
    <row r="74">
      <c r="A74" s="508"/>
      <c r="B74" s="508"/>
      <c r="C74" s="508"/>
      <c r="D74" s="508"/>
      <c r="E74" s="508"/>
      <c r="F74" s="508"/>
      <c r="G74" s="508"/>
      <c r="H74" s="508"/>
      <c r="I74" s="508"/>
      <c r="J74" s="508"/>
      <c r="K74" s="508"/>
      <c r="L74" s="508"/>
      <c r="M74" s="508"/>
      <c r="N74" s="508"/>
      <c r="O74" s="508"/>
      <c r="P74" s="508"/>
      <c r="Q74" s="508"/>
      <c r="R74" s="508"/>
      <c r="S74" s="508"/>
      <c r="T74" s="508"/>
      <c r="U74" s="508"/>
      <c r="V74" s="508"/>
      <c r="W74" s="508"/>
      <c r="X74" s="508"/>
      <c r="Y74" s="508"/>
      <c r="Z74" s="508"/>
    </row>
    <row r="75">
      <c r="A75" s="508"/>
      <c r="B75" s="508"/>
      <c r="C75" s="508"/>
      <c r="D75" s="508"/>
      <c r="E75" s="508"/>
      <c r="F75" s="508"/>
      <c r="G75" s="508"/>
      <c r="H75" s="508"/>
      <c r="I75" s="508"/>
      <c r="J75" s="508"/>
      <c r="K75" s="508"/>
      <c r="L75" s="508"/>
      <c r="M75" s="508"/>
      <c r="N75" s="508"/>
      <c r="O75" s="508"/>
      <c r="P75" s="508"/>
      <c r="Q75" s="508"/>
      <c r="R75" s="508"/>
      <c r="S75" s="508"/>
      <c r="T75" s="508"/>
      <c r="U75" s="508"/>
      <c r="V75" s="508"/>
      <c r="W75" s="508"/>
      <c r="X75" s="508"/>
      <c r="Y75" s="508"/>
      <c r="Z75" s="508"/>
    </row>
    <row r="76">
      <c r="A76" s="508"/>
      <c r="B76" s="508"/>
      <c r="C76" s="508"/>
      <c r="D76" s="508"/>
      <c r="E76" s="508"/>
      <c r="F76" s="508"/>
      <c r="G76" s="508"/>
      <c r="H76" s="508"/>
      <c r="I76" s="508"/>
      <c r="J76" s="508"/>
      <c r="K76" s="508"/>
      <c r="L76" s="508"/>
      <c r="M76" s="508"/>
      <c r="N76" s="508"/>
      <c r="O76" s="508"/>
      <c r="P76" s="508"/>
      <c r="Q76" s="508"/>
      <c r="R76" s="508"/>
      <c r="S76" s="508"/>
      <c r="T76" s="508"/>
      <c r="U76" s="508"/>
      <c r="V76" s="508"/>
      <c r="W76" s="508"/>
      <c r="X76" s="508"/>
      <c r="Y76" s="508"/>
      <c r="Z76" s="508"/>
    </row>
    <row r="77">
      <c r="A77" s="508"/>
      <c r="B77" s="508"/>
      <c r="C77" s="508"/>
      <c r="D77" s="508"/>
      <c r="E77" s="508"/>
      <c r="F77" s="508"/>
      <c r="G77" s="508"/>
      <c r="H77" s="508"/>
      <c r="I77" s="508"/>
      <c r="J77" s="508"/>
      <c r="K77" s="508"/>
      <c r="L77" s="508"/>
      <c r="M77" s="508"/>
      <c r="N77" s="508"/>
      <c r="O77" s="508"/>
      <c r="P77" s="508"/>
      <c r="Q77" s="508"/>
      <c r="R77" s="508"/>
      <c r="S77" s="508"/>
      <c r="T77" s="508"/>
      <c r="U77" s="508"/>
      <c r="V77" s="508"/>
      <c r="W77" s="508"/>
      <c r="X77" s="508"/>
      <c r="Y77" s="508"/>
      <c r="Z77" s="508"/>
    </row>
    <row r="78">
      <c r="A78" s="508"/>
      <c r="B78" s="508"/>
      <c r="C78" s="508"/>
      <c r="D78" s="508"/>
      <c r="E78" s="508"/>
      <c r="F78" s="508"/>
      <c r="G78" s="508"/>
      <c r="H78" s="508"/>
      <c r="I78" s="508"/>
      <c r="J78" s="508"/>
      <c r="K78" s="508"/>
      <c r="L78" s="508"/>
      <c r="M78" s="508"/>
      <c r="N78" s="508"/>
      <c r="O78" s="508"/>
      <c r="P78" s="508"/>
      <c r="Q78" s="508"/>
      <c r="R78" s="508"/>
      <c r="S78" s="508"/>
      <c r="T78" s="508"/>
      <c r="U78" s="508"/>
      <c r="V78" s="508"/>
      <c r="W78" s="508"/>
      <c r="X78" s="508"/>
      <c r="Y78" s="508"/>
      <c r="Z78" s="508"/>
    </row>
    <row r="79">
      <c r="A79" s="508"/>
      <c r="B79" s="508"/>
      <c r="C79" s="508"/>
      <c r="D79" s="508"/>
      <c r="E79" s="508"/>
      <c r="F79" s="508"/>
      <c r="G79" s="508"/>
      <c r="H79" s="508"/>
      <c r="I79" s="508"/>
      <c r="J79" s="508"/>
      <c r="K79" s="508"/>
      <c r="L79" s="508"/>
      <c r="M79" s="508"/>
      <c r="N79" s="508"/>
      <c r="O79" s="508"/>
      <c r="P79" s="508"/>
      <c r="Q79" s="508"/>
      <c r="R79" s="508"/>
      <c r="S79" s="508"/>
      <c r="T79" s="508"/>
      <c r="U79" s="508"/>
      <c r="V79" s="508"/>
      <c r="W79" s="508"/>
      <c r="X79" s="508"/>
      <c r="Y79" s="508"/>
      <c r="Z79" s="508"/>
    </row>
    <row r="80">
      <c r="A80" s="508"/>
      <c r="B80" s="508"/>
      <c r="C80" s="508"/>
      <c r="D80" s="508"/>
      <c r="E80" s="508"/>
      <c r="F80" s="508"/>
      <c r="G80" s="508"/>
      <c r="H80" s="508"/>
      <c r="I80" s="508"/>
      <c r="J80" s="508"/>
      <c r="K80" s="508"/>
      <c r="L80" s="508"/>
      <c r="M80" s="508"/>
      <c r="N80" s="508"/>
      <c r="O80" s="508"/>
      <c r="P80" s="508"/>
      <c r="Q80" s="508"/>
      <c r="R80" s="508"/>
      <c r="S80" s="508"/>
      <c r="T80" s="508"/>
      <c r="U80" s="508"/>
      <c r="V80" s="508"/>
      <c r="W80" s="508"/>
      <c r="X80" s="508"/>
      <c r="Y80" s="508"/>
      <c r="Z80" s="508"/>
    </row>
    <row r="81">
      <c r="A81" s="508"/>
      <c r="B81" s="508"/>
      <c r="C81" s="508"/>
      <c r="D81" s="508"/>
      <c r="E81" s="508"/>
      <c r="F81" s="508"/>
      <c r="G81" s="508"/>
      <c r="H81" s="508"/>
      <c r="I81" s="508"/>
      <c r="J81" s="508"/>
      <c r="K81" s="508"/>
      <c r="L81" s="508"/>
      <c r="M81" s="508"/>
      <c r="N81" s="508"/>
      <c r="O81" s="508"/>
      <c r="P81" s="508"/>
      <c r="Q81" s="508"/>
      <c r="R81" s="508"/>
      <c r="S81" s="508"/>
      <c r="T81" s="508"/>
      <c r="U81" s="508"/>
      <c r="V81" s="508"/>
      <c r="W81" s="508"/>
      <c r="X81" s="508"/>
      <c r="Y81" s="508"/>
      <c r="Z81" s="508"/>
    </row>
    <row r="82">
      <c r="A82" s="508"/>
      <c r="B82" s="508"/>
      <c r="C82" s="508"/>
      <c r="D82" s="508"/>
      <c r="E82" s="508"/>
      <c r="F82" s="508"/>
      <c r="G82" s="508"/>
      <c r="H82" s="508"/>
      <c r="I82" s="508"/>
      <c r="J82" s="508"/>
      <c r="K82" s="508"/>
      <c r="L82" s="508"/>
      <c r="M82" s="508"/>
      <c r="N82" s="508"/>
      <c r="O82" s="508"/>
      <c r="P82" s="508"/>
      <c r="Q82" s="508"/>
      <c r="R82" s="508"/>
      <c r="S82" s="508"/>
      <c r="T82" s="508"/>
      <c r="U82" s="508"/>
      <c r="V82" s="508"/>
      <c r="W82" s="508"/>
      <c r="X82" s="508"/>
      <c r="Y82" s="508"/>
      <c r="Z82" s="508"/>
    </row>
    <row r="83">
      <c r="A83" s="508"/>
      <c r="B83" s="508"/>
      <c r="C83" s="508"/>
      <c r="D83" s="508"/>
      <c r="E83" s="508"/>
      <c r="F83" s="508"/>
      <c r="G83" s="508"/>
      <c r="H83" s="508"/>
      <c r="I83" s="508"/>
      <c r="J83" s="508"/>
      <c r="K83" s="508"/>
      <c r="L83" s="508"/>
      <c r="M83" s="508"/>
      <c r="N83" s="508"/>
      <c r="O83" s="508"/>
      <c r="P83" s="508"/>
      <c r="Q83" s="508"/>
      <c r="R83" s="508"/>
      <c r="S83" s="508"/>
      <c r="T83" s="508"/>
      <c r="U83" s="508"/>
      <c r="V83" s="508"/>
      <c r="W83" s="508"/>
      <c r="X83" s="508"/>
      <c r="Y83" s="508"/>
      <c r="Z83" s="508"/>
    </row>
    <row r="84">
      <c r="A84" s="508"/>
      <c r="B84" s="508"/>
      <c r="C84" s="508"/>
      <c r="D84" s="508"/>
      <c r="E84" s="508"/>
      <c r="F84" s="508"/>
      <c r="G84" s="508"/>
      <c r="H84" s="508"/>
      <c r="I84" s="508"/>
      <c r="J84" s="508"/>
      <c r="K84" s="508"/>
      <c r="L84" s="508"/>
      <c r="M84" s="508"/>
      <c r="N84" s="508"/>
      <c r="O84" s="508"/>
      <c r="P84" s="508"/>
      <c r="Q84" s="508"/>
      <c r="R84" s="508"/>
      <c r="S84" s="508"/>
      <c r="T84" s="508"/>
      <c r="U84" s="508"/>
      <c r="V84" s="508"/>
      <c r="W84" s="508"/>
      <c r="X84" s="508"/>
      <c r="Y84" s="508"/>
      <c r="Z84" s="508"/>
    </row>
    <row r="85">
      <c r="A85" s="508"/>
      <c r="B85" s="508"/>
      <c r="C85" s="508"/>
      <c r="D85" s="508"/>
      <c r="E85" s="508"/>
      <c r="F85" s="508"/>
      <c r="G85" s="508"/>
      <c r="H85" s="508"/>
      <c r="I85" s="508"/>
      <c r="J85" s="508"/>
      <c r="K85" s="508"/>
      <c r="L85" s="508"/>
      <c r="M85" s="508"/>
      <c r="N85" s="508"/>
      <c r="O85" s="508"/>
      <c r="P85" s="508"/>
      <c r="Q85" s="508"/>
      <c r="R85" s="508"/>
      <c r="S85" s="508"/>
      <c r="T85" s="508"/>
      <c r="U85" s="508"/>
      <c r="V85" s="508"/>
      <c r="W85" s="508"/>
      <c r="X85" s="508"/>
      <c r="Y85" s="508"/>
      <c r="Z85" s="508"/>
    </row>
    <row r="86">
      <c r="A86" s="508"/>
      <c r="B86" s="508"/>
      <c r="C86" s="508"/>
      <c r="D86" s="508"/>
      <c r="E86" s="508"/>
      <c r="F86" s="508"/>
      <c r="G86" s="508"/>
      <c r="H86" s="508"/>
      <c r="I86" s="508"/>
      <c r="J86" s="508"/>
      <c r="K86" s="508"/>
      <c r="L86" s="508"/>
      <c r="M86" s="508"/>
      <c r="N86" s="508"/>
      <c r="O86" s="508"/>
      <c r="P86" s="508"/>
      <c r="Q86" s="508"/>
      <c r="R86" s="508"/>
      <c r="S86" s="508"/>
      <c r="T86" s="508"/>
      <c r="U86" s="508"/>
      <c r="V86" s="508"/>
      <c r="W86" s="508"/>
      <c r="X86" s="508"/>
      <c r="Y86" s="508"/>
      <c r="Z86" s="508"/>
    </row>
    <row r="87">
      <c r="A87" s="508"/>
      <c r="B87" s="508"/>
      <c r="C87" s="508"/>
      <c r="D87" s="508"/>
      <c r="E87" s="508"/>
      <c r="F87" s="508"/>
      <c r="G87" s="508"/>
      <c r="H87" s="508"/>
      <c r="I87" s="508"/>
      <c r="J87" s="508"/>
      <c r="K87" s="508"/>
      <c r="L87" s="508"/>
      <c r="M87" s="508"/>
      <c r="N87" s="508"/>
      <c r="O87" s="508"/>
      <c r="P87" s="508"/>
      <c r="Q87" s="508"/>
      <c r="R87" s="508"/>
      <c r="S87" s="508"/>
      <c r="T87" s="508"/>
      <c r="U87" s="508"/>
      <c r="V87" s="508"/>
      <c r="W87" s="508"/>
      <c r="X87" s="508"/>
      <c r="Y87" s="508"/>
      <c r="Z87" s="508"/>
    </row>
    <row r="88">
      <c r="A88" s="508"/>
      <c r="B88" s="508"/>
      <c r="C88" s="508"/>
      <c r="D88" s="508"/>
      <c r="E88" s="508"/>
      <c r="F88" s="508"/>
      <c r="G88" s="508"/>
      <c r="H88" s="508"/>
      <c r="I88" s="508"/>
      <c r="J88" s="508"/>
      <c r="K88" s="508"/>
      <c r="L88" s="508"/>
      <c r="M88" s="508"/>
      <c r="N88" s="508"/>
      <c r="O88" s="508"/>
      <c r="P88" s="508"/>
      <c r="Q88" s="508"/>
      <c r="R88" s="508"/>
      <c r="S88" s="508"/>
      <c r="T88" s="508"/>
      <c r="U88" s="508"/>
      <c r="V88" s="508"/>
      <c r="W88" s="508"/>
      <c r="X88" s="508"/>
      <c r="Y88" s="508"/>
      <c r="Z88" s="508"/>
    </row>
    <row r="89">
      <c r="A89" s="508"/>
      <c r="B89" s="508"/>
      <c r="C89" s="508"/>
      <c r="D89" s="508"/>
      <c r="E89" s="508"/>
      <c r="F89" s="508"/>
      <c r="G89" s="508"/>
      <c r="H89" s="508"/>
      <c r="I89" s="508"/>
      <c r="J89" s="508"/>
      <c r="K89" s="508"/>
      <c r="L89" s="508"/>
      <c r="M89" s="508"/>
      <c r="N89" s="508"/>
      <c r="O89" s="508"/>
      <c r="P89" s="508"/>
      <c r="Q89" s="508"/>
      <c r="R89" s="508"/>
      <c r="S89" s="508"/>
      <c r="T89" s="508"/>
      <c r="U89" s="508"/>
      <c r="V89" s="508"/>
      <c r="W89" s="508"/>
      <c r="X89" s="508"/>
      <c r="Y89" s="508"/>
      <c r="Z89" s="508"/>
    </row>
    <row r="90">
      <c r="A90" s="508"/>
      <c r="B90" s="508"/>
      <c r="C90" s="508"/>
      <c r="D90" s="508"/>
      <c r="E90" s="508"/>
      <c r="F90" s="508"/>
      <c r="G90" s="508"/>
      <c r="H90" s="508"/>
      <c r="I90" s="508"/>
      <c r="J90" s="508"/>
      <c r="K90" s="508"/>
      <c r="L90" s="508"/>
      <c r="M90" s="508"/>
      <c r="N90" s="508"/>
      <c r="O90" s="508"/>
      <c r="P90" s="508"/>
      <c r="Q90" s="508"/>
      <c r="R90" s="508"/>
      <c r="S90" s="508"/>
      <c r="T90" s="508"/>
      <c r="U90" s="508"/>
      <c r="V90" s="508"/>
      <c r="W90" s="508"/>
      <c r="X90" s="508"/>
      <c r="Y90" s="508"/>
      <c r="Z90" s="508"/>
    </row>
    <row r="91">
      <c r="A91" s="508"/>
      <c r="B91" s="508"/>
      <c r="C91" s="508"/>
      <c r="D91" s="508"/>
      <c r="E91" s="508"/>
      <c r="F91" s="508"/>
      <c r="G91" s="508"/>
      <c r="H91" s="508"/>
      <c r="I91" s="508"/>
      <c r="J91" s="508"/>
      <c r="K91" s="508"/>
      <c r="L91" s="508"/>
      <c r="M91" s="508"/>
      <c r="N91" s="508"/>
      <c r="O91" s="508"/>
      <c r="P91" s="508"/>
      <c r="Q91" s="508"/>
      <c r="R91" s="508"/>
      <c r="S91" s="508"/>
      <c r="T91" s="508"/>
      <c r="U91" s="508"/>
      <c r="V91" s="508"/>
      <c r="W91" s="508"/>
      <c r="X91" s="508"/>
      <c r="Y91" s="508"/>
      <c r="Z91" s="508"/>
    </row>
    <row r="92">
      <c r="A92" s="508"/>
      <c r="B92" s="508"/>
      <c r="C92" s="508"/>
      <c r="D92" s="508"/>
      <c r="E92" s="508"/>
      <c r="F92" s="508"/>
      <c r="G92" s="508"/>
      <c r="H92" s="508"/>
      <c r="I92" s="508"/>
      <c r="J92" s="508"/>
      <c r="K92" s="508"/>
      <c r="L92" s="508"/>
      <c r="M92" s="508"/>
      <c r="N92" s="508"/>
      <c r="O92" s="508"/>
      <c r="P92" s="508"/>
      <c r="Q92" s="508"/>
      <c r="R92" s="508"/>
      <c r="S92" s="508"/>
      <c r="T92" s="508"/>
      <c r="U92" s="508"/>
      <c r="V92" s="508"/>
      <c r="W92" s="508"/>
      <c r="X92" s="508"/>
      <c r="Y92" s="508"/>
      <c r="Z92" s="508"/>
    </row>
    <row r="93">
      <c r="A93" s="508"/>
      <c r="B93" s="508"/>
      <c r="C93" s="508"/>
      <c r="D93" s="508"/>
      <c r="E93" s="508"/>
      <c r="F93" s="508"/>
      <c r="G93" s="508"/>
      <c r="H93" s="508"/>
      <c r="I93" s="508"/>
      <c r="J93" s="508"/>
      <c r="K93" s="508"/>
      <c r="L93" s="508"/>
      <c r="M93" s="508"/>
      <c r="N93" s="508"/>
      <c r="O93" s="508"/>
      <c r="P93" s="508"/>
      <c r="Q93" s="508"/>
      <c r="R93" s="508"/>
      <c r="S93" s="508"/>
      <c r="T93" s="508"/>
      <c r="U93" s="508"/>
      <c r="V93" s="508"/>
      <c r="W93" s="508"/>
      <c r="X93" s="508"/>
      <c r="Y93" s="508"/>
      <c r="Z93" s="508"/>
    </row>
    <row r="94">
      <c r="A94" s="508"/>
      <c r="B94" s="508"/>
      <c r="C94" s="508"/>
      <c r="D94" s="508"/>
      <c r="E94" s="508"/>
      <c r="F94" s="508"/>
      <c r="G94" s="508"/>
      <c r="H94" s="508"/>
      <c r="I94" s="508"/>
      <c r="J94" s="508"/>
      <c r="K94" s="508"/>
      <c r="L94" s="508"/>
      <c r="M94" s="508"/>
      <c r="N94" s="508"/>
      <c r="O94" s="508"/>
      <c r="P94" s="508"/>
      <c r="Q94" s="508"/>
      <c r="R94" s="508"/>
      <c r="S94" s="508"/>
      <c r="T94" s="508"/>
      <c r="U94" s="508"/>
      <c r="V94" s="508"/>
      <c r="W94" s="508"/>
      <c r="X94" s="508"/>
      <c r="Y94" s="508"/>
      <c r="Z94" s="508"/>
    </row>
    <row r="95">
      <c r="A95" s="508"/>
      <c r="B95" s="508"/>
      <c r="C95" s="508"/>
      <c r="D95" s="508"/>
      <c r="E95" s="508"/>
      <c r="F95" s="508"/>
      <c r="G95" s="508"/>
      <c r="H95" s="508"/>
      <c r="I95" s="508"/>
      <c r="J95" s="508"/>
      <c r="K95" s="508"/>
      <c r="L95" s="508"/>
      <c r="M95" s="508"/>
      <c r="N95" s="508"/>
      <c r="O95" s="508"/>
      <c r="P95" s="508"/>
      <c r="Q95" s="508"/>
      <c r="R95" s="508"/>
      <c r="S95" s="508"/>
      <c r="T95" s="508"/>
      <c r="U95" s="508"/>
      <c r="V95" s="508"/>
      <c r="W95" s="508"/>
      <c r="X95" s="508"/>
      <c r="Y95" s="508"/>
      <c r="Z95" s="508"/>
    </row>
    <row r="96">
      <c r="A96" s="508"/>
      <c r="B96" s="508"/>
      <c r="C96" s="508"/>
      <c r="D96" s="508"/>
      <c r="E96" s="508"/>
      <c r="F96" s="508"/>
      <c r="G96" s="508"/>
      <c r="H96" s="508"/>
      <c r="I96" s="508"/>
      <c r="J96" s="508"/>
      <c r="K96" s="508"/>
      <c r="L96" s="508"/>
      <c r="M96" s="508"/>
      <c r="N96" s="508"/>
      <c r="O96" s="508"/>
      <c r="P96" s="508"/>
      <c r="Q96" s="508"/>
      <c r="R96" s="508"/>
      <c r="S96" s="508"/>
      <c r="T96" s="508"/>
      <c r="U96" s="508"/>
      <c r="V96" s="508"/>
      <c r="W96" s="508"/>
      <c r="X96" s="508"/>
      <c r="Y96" s="508"/>
      <c r="Z96" s="508"/>
    </row>
    <row r="97">
      <c r="A97" s="508"/>
      <c r="B97" s="508"/>
      <c r="C97" s="508"/>
      <c r="D97" s="508"/>
      <c r="E97" s="508"/>
      <c r="F97" s="508"/>
      <c r="G97" s="508"/>
      <c r="H97" s="508"/>
      <c r="I97" s="508"/>
      <c r="J97" s="508"/>
      <c r="K97" s="508"/>
      <c r="L97" s="508"/>
      <c r="M97" s="508"/>
      <c r="N97" s="508"/>
      <c r="O97" s="508"/>
      <c r="P97" s="508"/>
      <c r="Q97" s="508"/>
      <c r="R97" s="508"/>
      <c r="S97" s="508"/>
      <c r="T97" s="508"/>
      <c r="U97" s="508"/>
      <c r="V97" s="508"/>
      <c r="W97" s="508"/>
      <c r="X97" s="508"/>
      <c r="Y97" s="508"/>
      <c r="Z97" s="508"/>
    </row>
    <row r="98">
      <c r="A98" s="508"/>
      <c r="B98" s="508"/>
      <c r="C98" s="508"/>
      <c r="D98" s="508"/>
      <c r="E98" s="508"/>
      <c r="F98" s="508"/>
      <c r="G98" s="508"/>
      <c r="H98" s="508"/>
      <c r="I98" s="508"/>
      <c r="J98" s="508"/>
      <c r="K98" s="508"/>
      <c r="L98" s="508"/>
      <c r="M98" s="508"/>
      <c r="N98" s="508"/>
      <c r="O98" s="508"/>
      <c r="P98" s="508"/>
      <c r="Q98" s="508"/>
      <c r="R98" s="508"/>
      <c r="S98" s="508"/>
      <c r="T98" s="508"/>
      <c r="U98" s="508"/>
      <c r="V98" s="508"/>
      <c r="W98" s="508"/>
      <c r="X98" s="508"/>
      <c r="Y98" s="508"/>
      <c r="Z98" s="508"/>
    </row>
    <row r="99">
      <c r="A99" s="508"/>
      <c r="B99" s="508"/>
      <c r="C99" s="508"/>
      <c r="D99" s="508"/>
      <c r="E99" s="508"/>
      <c r="F99" s="508"/>
      <c r="G99" s="508"/>
      <c r="H99" s="508"/>
      <c r="I99" s="508"/>
      <c r="J99" s="508"/>
      <c r="K99" s="508"/>
      <c r="L99" s="508"/>
      <c r="M99" s="508"/>
      <c r="N99" s="508"/>
      <c r="O99" s="508"/>
      <c r="P99" s="508"/>
      <c r="Q99" s="508"/>
      <c r="R99" s="508"/>
      <c r="S99" s="508"/>
      <c r="T99" s="508"/>
      <c r="U99" s="508"/>
      <c r="V99" s="508"/>
      <c r="W99" s="508"/>
      <c r="X99" s="508"/>
      <c r="Y99" s="508"/>
      <c r="Z99" s="508"/>
    </row>
    <row r="100">
      <c r="A100" s="508"/>
      <c r="B100" s="508"/>
      <c r="C100" s="508"/>
      <c r="D100" s="508"/>
      <c r="E100" s="508"/>
      <c r="F100" s="508"/>
      <c r="G100" s="508"/>
      <c r="H100" s="508"/>
      <c r="I100" s="508"/>
      <c r="J100" s="508"/>
      <c r="K100" s="508"/>
      <c r="L100" s="508"/>
      <c r="M100" s="508"/>
      <c r="N100" s="508"/>
      <c r="O100" s="508"/>
      <c r="P100" s="508"/>
      <c r="Q100" s="508"/>
      <c r="R100" s="508"/>
      <c r="S100" s="508"/>
      <c r="T100" s="508"/>
      <c r="U100" s="508"/>
      <c r="V100" s="508"/>
      <c r="W100" s="508"/>
      <c r="X100" s="508"/>
      <c r="Y100" s="508"/>
      <c r="Z100" s="508"/>
    </row>
    <row r="101">
      <c r="A101" s="508"/>
      <c r="B101" s="508"/>
      <c r="C101" s="508"/>
      <c r="D101" s="508"/>
      <c r="E101" s="508"/>
      <c r="F101" s="508"/>
      <c r="G101" s="508"/>
      <c r="H101" s="508"/>
      <c r="I101" s="508"/>
      <c r="J101" s="508"/>
      <c r="K101" s="508"/>
      <c r="L101" s="508"/>
      <c r="M101" s="508"/>
      <c r="N101" s="508"/>
      <c r="O101" s="508"/>
      <c r="P101" s="508"/>
      <c r="Q101" s="508"/>
      <c r="R101" s="508"/>
      <c r="S101" s="508"/>
      <c r="T101" s="508"/>
      <c r="U101" s="508"/>
      <c r="V101" s="508"/>
      <c r="W101" s="508"/>
      <c r="X101" s="508"/>
      <c r="Y101" s="508"/>
      <c r="Z101" s="508"/>
    </row>
    <row r="102">
      <c r="A102" s="508"/>
      <c r="B102" s="508"/>
      <c r="C102" s="508"/>
      <c r="D102" s="508"/>
      <c r="E102" s="508"/>
      <c r="F102" s="508"/>
      <c r="G102" s="508"/>
      <c r="H102" s="508"/>
      <c r="I102" s="508"/>
      <c r="J102" s="508"/>
      <c r="K102" s="508"/>
      <c r="L102" s="508"/>
      <c r="M102" s="508"/>
      <c r="N102" s="508"/>
      <c r="O102" s="508"/>
      <c r="P102" s="508"/>
      <c r="Q102" s="508"/>
      <c r="R102" s="508"/>
      <c r="S102" s="508"/>
      <c r="T102" s="508"/>
      <c r="U102" s="508"/>
      <c r="V102" s="508"/>
      <c r="W102" s="508"/>
      <c r="X102" s="508"/>
      <c r="Y102" s="508"/>
      <c r="Z102" s="508"/>
    </row>
    <row r="103">
      <c r="A103" s="508"/>
      <c r="B103" s="508"/>
      <c r="C103" s="508"/>
      <c r="D103" s="508"/>
      <c r="E103" s="508"/>
      <c r="F103" s="508"/>
      <c r="G103" s="508"/>
      <c r="H103" s="508"/>
      <c r="I103" s="508"/>
      <c r="J103" s="508"/>
      <c r="K103" s="508"/>
      <c r="L103" s="508"/>
      <c r="M103" s="508"/>
      <c r="N103" s="508"/>
      <c r="O103" s="508"/>
      <c r="P103" s="508"/>
      <c r="Q103" s="508"/>
      <c r="R103" s="508"/>
      <c r="S103" s="508"/>
      <c r="T103" s="508"/>
      <c r="U103" s="508"/>
      <c r="V103" s="508"/>
      <c r="W103" s="508"/>
      <c r="X103" s="508"/>
      <c r="Y103" s="508"/>
      <c r="Z103" s="508"/>
    </row>
    <row r="104">
      <c r="A104" s="508"/>
      <c r="B104" s="508"/>
      <c r="C104" s="508"/>
      <c r="D104" s="508"/>
      <c r="E104" s="508"/>
      <c r="F104" s="508"/>
      <c r="G104" s="508"/>
      <c r="H104" s="508"/>
      <c r="I104" s="508"/>
      <c r="J104" s="508"/>
      <c r="K104" s="508"/>
      <c r="L104" s="508"/>
      <c r="M104" s="508"/>
      <c r="N104" s="508"/>
      <c r="O104" s="508"/>
      <c r="P104" s="508"/>
      <c r="Q104" s="508"/>
      <c r="R104" s="508"/>
      <c r="S104" s="508"/>
      <c r="T104" s="508"/>
      <c r="U104" s="508"/>
      <c r="V104" s="508"/>
      <c r="W104" s="508"/>
      <c r="X104" s="508"/>
      <c r="Y104" s="508"/>
      <c r="Z104" s="508"/>
    </row>
    <row r="105">
      <c r="A105" s="508"/>
      <c r="B105" s="508"/>
      <c r="C105" s="508"/>
      <c r="D105" s="508"/>
      <c r="E105" s="508"/>
      <c r="F105" s="508"/>
      <c r="G105" s="508"/>
      <c r="H105" s="508"/>
      <c r="I105" s="508"/>
      <c r="J105" s="508"/>
      <c r="K105" s="508"/>
      <c r="L105" s="508"/>
      <c r="M105" s="508"/>
      <c r="N105" s="508"/>
      <c r="O105" s="508"/>
      <c r="P105" s="508"/>
      <c r="Q105" s="508"/>
      <c r="R105" s="508"/>
      <c r="S105" s="508"/>
      <c r="T105" s="508"/>
      <c r="U105" s="508"/>
      <c r="V105" s="508"/>
      <c r="W105" s="508"/>
      <c r="X105" s="508"/>
      <c r="Y105" s="508"/>
      <c r="Z105" s="508"/>
    </row>
    <row r="106">
      <c r="A106" s="508"/>
      <c r="B106" s="508"/>
      <c r="C106" s="508"/>
      <c r="D106" s="508"/>
      <c r="E106" s="508"/>
      <c r="F106" s="508"/>
      <c r="G106" s="508"/>
      <c r="H106" s="508"/>
      <c r="I106" s="508"/>
      <c r="J106" s="508"/>
      <c r="K106" s="508"/>
      <c r="L106" s="508"/>
      <c r="M106" s="508"/>
      <c r="N106" s="508"/>
      <c r="O106" s="508"/>
      <c r="P106" s="508"/>
      <c r="Q106" s="508"/>
      <c r="R106" s="508"/>
      <c r="S106" s="508"/>
      <c r="T106" s="508"/>
      <c r="U106" s="508"/>
      <c r="V106" s="508"/>
      <c r="W106" s="508"/>
      <c r="X106" s="508"/>
      <c r="Y106" s="508"/>
      <c r="Z106" s="508"/>
    </row>
    <row r="107">
      <c r="A107" s="508"/>
      <c r="B107" s="508"/>
      <c r="C107" s="508"/>
      <c r="D107" s="508"/>
      <c r="E107" s="508"/>
      <c r="F107" s="508"/>
      <c r="G107" s="508"/>
      <c r="H107" s="508"/>
      <c r="I107" s="508"/>
      <c r="J107" s="508"/>
      <c r="K107" s="508"/>
      <c r="L107" s="508"/>
      <c r="M107" s="508"/>
      <c r="N107" s="508"/>
      <c r="O107" s="508"/>
      <c r="P107" s="508"/>
      <c r="Q107" s="508"/>
      <c r="R107" s="508"/>
      <c r="S107" s="508"/>
      <c r="T107" s="508"/>
      <c r="U107" s="508"/>
      <c r="V107" s="508"/>
      <c r="W107" s="508"/>
      <c r="X107" s="508"/>
      <c r="Y107" s="508"/>
      <c r="Z107" s="508"/>
    </row>
    <row r="108">
      <c r="A108" s="508"/>
      <c r="B108" s="508"/>
      <c r="C108" s="508"/>
      <c r="D108" s="508"/>
      <c r="E108" s="508"/>
      <c r="F108" s="508"/>
      <c r="G108" s="508"/>
      <c r="H108" s="508"/>
      <c r="I108" s="508"/>
      <c r="J108" s="508"/>
      <c r="K108" s="508"/>
      <c r="L108" s="508"/>
      <c r="M108" s="508"/>
      <c r="N108" s="508"/>
      <c r="O108" s="508"/>
      <c r="P108" s="508"/>
      <c r="Q108" s="508"/>
      <c r="R108" s="508"/>
      <c r="S108" s="508"/>
      <c r="T108" s="508"/>
      <c r="U108" s="508"/>
      <c r="V108" s="508"/>
      <c r="W108" s="508"/>
      <c r="X108" s="508"/>
      <c r="Y108" s="508"/>
      <c r="Z108" s="508"/>
    </row>
    <row r="109">
      <c r="A109" s="508"/>
      <c r="B109" s="508"/>
      <c r="C109" s="508"/>
      <c r="D109" s="508"/>
      <c r="E109" s="508"/>
      <c r="F109" s="508"/>
      <c r="G109" s="508"/>
      <c r="H109" s="508"/>
      <c r="I109" s="508"/>
      <c r="J109" s="508"/>
      <c r="K109" s="508"/>
      <c r="L109" s="508"/>
      <c r="M109" s="508"/>
      <c r="N109" s="508"/>
      <c r="O109" s="508"/>
      <c r="P109" s="508"/>
      <c r="Q109" s="508"/>
      <c r="R109" s="508"/>
      <c r="S109" s="508"/>
      <c r="T109" s="508"/>
      <c r="U109" s="508"/>
      <c r="V109" s="508"/>
      <c r="W109" s="508"/>
      <c r="X109" s="508"/>
      <c r="Y109" s="508"/>
      <c r="Z109" s="508"/>
    </row>
    <row r="110">
      <c r="A110" s="508"/>
      <c r="B110" s="508"/>
      <c r="C110" s="508"/>
      <c r="D110" s="508"/>
      <c r="E110" s="508"/>
      <c r="F110" s="508"/>
      <c r="G110" s="508"/>
      <c r="H110" s="508"/>
      <c r="I110" s="508"/>
      <c r="J110" s="508"/>
      <c r="K110" s="508"/>
      <c r="L110" s="508"/>
      <c r="M110" s="508"/>
      <c r="N110" s="508"/>
      <c r="O110" s="508"/>
      <c r="P110" s="508"/>
      <c r="Q110" s="508"/>
      <c r="R110" s="508"/>
      <c r="S110" s="508"/>
      <c r="T110" s="508"/>
      <c r="U110" s="508"/>
      <c r="V110" s="508"/>
      <c r="W110" s="508"/>
      <c r="X110" s="508"/>
      <c r="Y110" s="508"/>
      <c r="Z110" s="508"/>
    </row>
    <row r="111">
      <c r="A111" s="508"/>
      <c r="B111" s="508"/>
      <c r="C111" s="508"/>
      <c r="D111" s="508"/>
      <c r="E111" s="508"/>
      <c r="F111" s="508"/>
      <c r="G111" s="508"/>
      <c r="H111" s="508"/>
      <c r="I111" s="508"/>
      <c r="J111" s="508"/>
      <c r="K111" s="508"/>
      <c r="L111" s="508"/>
      <c r="M111" s="508"/>
      <c r="N111" s="508"/>
      <c r="O111" s="508"/>
      <c r="P111" s="508"/>
      <c r="Q111" s="508"/>
      <c r="R111" s="508"/>
      <c r="S111" s="508"/>
      <c r="T111" s="508"/>
      <c r="U111" s="508"/>
      <c r="V111" s="508"/>
      <c r="W111" s="508"/>
      <c r="X111" s="508"/>
      <c r="Y111" s="508"/>
      <c r="Z111" s="508"/>
    </row>
    <row r="112">
      <c r="A112" s="508"/>
      <c r="B112" s="508"/>
      <c r="C112" s="508"/>
      <c r="D112" s="508"/>
      <c r="E112" s="508"/>
      <c r="F112" s="508"/>
      <c r="G112" s="508"/>
      <c r="H112" s="508"/>
      <c r="I112" s="508"/>
      <c r="J112" s="508"/>
      <c r="K112" s="508"/>
      <c r="L112" s="508"/>
      <c r="M112" s="508"/>
      <c r="N112" s="508"/>
      <c r="O112" s="508"/>
      <c r="P112" s="508"/>
      <c r="Q112" s="508"/>
      <c r="R112" s="508"/>
      <c r="S112" s="508"/>
      <c r="T112" s="508"/>
      <c r="U112" s="508"/>
      <c r="V112" s="508"/>
      <c r="W112" s="508"/>
      <c r="X112" s="508"/>
      <c r="Y112" s="508"/>
      <c r="Z112" s="508"/>
    </row>
    <row r="113">
      <c r="A113" s="508"/>
      <c r="B113" s="508"/>
      <c r="C113" s="508"/>
      <c r="D113" s="508"/>
      <c r="E113" s="508"/>
      <c r="F113" s="508"/>
      <c r="G113" s="508"/>
      <c r="H113" s="508"/>
      <c r="I113" s="508"/>
      <c r="J113" s="508"/>
      <c r="K113" s="508"/>
      <c r="L113" s="508"/>
      <c r="M113" s="508"/>
      <c r="N113" s="508"/>
      <c r="O113" s="508"/>
      <c r="P113" s="508"/>
      <c r="Q113" s="508"/>
      <c r="R113" s="508"/>
      <c r="S113" s="508"/>
      <c r="T113" s="508"/>
      <c r="U113" s="508"/>
      <c r="V113" s="508"/>
      <c r="W113" s="508"/>
      <c r="X113" s="508"/>
      <c r="Y113" s="508"/>
      <c r="Z113" s="508"/>
    </row>
    <row r="114">
      <c r="A114" s="508"/>
      <c r="B114" s="508"/>
      <c r="C114" s="508"/>
      <c r="D114" s="508"/>
      <c r="E114" s="508"/>
      <c r="F114" s="508"/>
      <c r="G114" s="508"/>
      <c r="H114" s="508"/>
      <c r="I114" s="508"/>
      <c r="J114" s="508"/>
      <c r="K114" s="508"/>
      <c r="L114" s="508"/>
      <c r="M114" s="508"/>
      <c r="N114" s="508"/>
      <c r="O114" s="508"/>
      <c r="P114" s="508"/>
      <c r="Q114" s="508"/>
      <c r="R114" s="508"/>
      <c r="S114" s="508"/>
      <c r="T114" s="508"/>
      <c r="U114" s="508"/>
      <c r="V114" s="508"/>
      <c r="W114" s="508"/>
      <c r="X114" s="508"/>
      <c r="Y114" s="508"/>
      <c r="Z114" s="508"/>
    </row>
    <row r="115">
      <c r="A115" s="508"/>
      <c r="B115" s="508"/>
      <c r="C115" s="508"/>
      <c r="D115" s="508"/>
      <c r="E115" s="508"/>
      <c r="F115" s="508"/>
      <c r="G115" s="508"/>
      <c r="H115" s="508"/>
      <c r="I115" s="508"/>
      <c r="J115" s="508"/>
      <c r="K115" s="508"/>
      <c r="L115" s="508"/>
      <c r="M115" s="508"/>
      <c r="N115" s="508"/>
      <c r="O115" s="508"/>
      <c r="P115" s="508"/>
      <c r="Q115" s="508"/>
      <c r="R115" s="508"/>
      <c r="S115" s="508"/>
      <c r="T115" s="508"/>
      <c r="U115" s="508"/>
      <c r="V115" s="508"/>
      <c r="W115" s="508"/>
      <c r="X115" s="508"/>
      <c r="Y115" s="508"/>
      <c r="Z115" s="508"/>
    </row>
    <row r="116">
      <c r="A116" s="508"/>
      <c r="B116" s="508"/>
      <c r="C116" s="508"/>
      <c r="D116" s="508"/>
      <c r="E116" s="508"/>
      <c r="F116" s="508"/>
      <c r="G116" s="508"/>
      <c r="H116" s="508"/>
      <c r="I116" s="508"/>
      <c r="J116" s="508"/>
      <c r="K116" s="508"/>
      <c r="L116" s="508"/>
      <c r="M116" s="508"/>
      <c r="N116" s="508"/>
      <c r="O116" s="508"/>
      <c r="P116" s="508"/>
      <c r="Q116" s="508"/>
      <c r="R116" s="508"/>
      <c r="S116" s="508"/>
      <c r="T116" s="508"/>
      <c r="U116" s="508"/>
      <c r="V116" s="508"/>
      <c r="W116" s="508"/>
      <c r="X116" s="508"/>
      <c r="Y116" s="508"/>
      <c r="Z116" s="508"/>
    </row>
    <row r="117">
      <c r="A117" s="508"/>
      <c r="B117" s="508"/>
      <c r="C117" s="508"/>
      <c r="D117" s="508"/>
      <c r="E117" s="508"/>
      <c r="F117" s="508"/>
      <c r="G117" s="508"/>
      <c r="H117" s="508"/>
      <c r="I117" s="508"/>
      <c r="J117" s="508"/>
      <c r="K117" s="508"/>
      <c r="L117" s="508"/>
      <c r="M117" s="508"/>
      <c r="N117" s="508"/>
      <c r="O117" s="508"/>
      <c r="P117" s="508"/>
      <c r="Q117" s="508"/>
      <c r="R117" s="508"/>
      <c r="S117" s="508"/>
      <c r="T117" s="508"/>
      <c r="U117" s="508"/>
      <c r="V117" s="508"/>
      <c r="W117" s="508"/>
      <c r="X117" s="508"/>
      <c r="Y117" s="508"/>
      <c r="Z117" s="508"/>
    </row>
    <row r="118">
      <c r="A118" s="508"/>
      <c r="B118" s="508"/>
      <c r="C118" s="508"/>
      <c r="D118" s="508"/>
      <c r="E118" s="508"/>
      <c r="F118" s="508"/>
      <c r="G118" s="508"/>
      <c r="H118" s="508"/>
      <c r="I118" s="508"/>
      <c r="J118" s="508"/>
      <c r="K118" s="508"/>
      <c r="L118" s="508"/>
      <c r="M118" s="508"/>
      <c r="N118" s="508"/>
      <c r="O118" s="508"/>
      <c r="P118" s="508"/>
      <c r="Q118" s="508"/>
      <c r="R118" s="508"/>
      <c r="S118" s="508"/>
      <c r="T118" s="508"/>
      <c r="U118" s="508"/>
      <c r="V118" s="508"/>
      <c r="W118" s="508"/>
      <c r="X118" s="508"/>
      <c r="Y118" s="508"/>
      <c r="Z118" s="508"/>
    </row>
    <row r="119">
      <c r="A119" s="508"/>
      <c r="B119" s="508"/>
      <c r="C119" s="508"/>
      <c r="D119" s="508"/>
      <c r="E119" s="508"/>
      <c r="F119" s="508"/>
      <c r="G119" s="508"/>
      <c r="H119" s="508"/>
      <c r="I119" s="508"/>
      <c r="J119" s="508"/>
      <c r="K119" s="508"/>
      <c r="L119" s="508"/>
      <c r="M119" s="508"/>
      <c r="N119" s="508"/>
      <c r="O119" s="508"/>
      <c r="P119" s="508"/>
      <c r="Q119" s="508"/>
      <c r="R119" s="508"/>
      <c r="S119" s="508"/>
      <c r="T119" s="508"/>
      <c r="U119" s="508"/>
      <c r="V119" s="508"/>
      <c r="W119" s="508"/>
      <c r="X119" s="508"/>
      <c r="Y119" s="508"/>
      <c r="Z119" s="508"/>
    </row>
    <row r="120">
      <c r="A120" s="508"/>
      <c r="B120" s="508"/>
      <c r="C120" s="508"/>
      <c r="D120" s="508"/>
      <c r="E120" s="508"/>
      <c r="F120" s="508"/>
      <c r="G120" s="508"/>
      <c r="H120" s="508"/>
      <c r="I120" s="508"/>
      <c r="J120" s="508"/>
      <c r="K120" s="508"/>
      <c r="L120" s="508"/>
      <c r="M120" s="508"/>
      <c r="N120" s="508"/>
      <c r="O120" s="508"/>
      <c r="P120" s="508"/>
      <c r="Q120" s="508"/>
      <c r="R120" s="508"/>
      <c r="S120" s="508"/>
      <c r="T120" s="508"/>
      <c r="U120" s="508"/>
      <c r="V120" s="508"/>
      <c r="W120" s="508"/>
      <c r="X120" s="508"/>
      <c r="Y120" s="508"/>
      <c r="Z120" s="508"/>
    </row>
    <row r="121">
      <c r="A121" s="508"/>
      <c r="B121" s="508"/>
      <c r="C121" s="508"/>
      <c r="D121" s="508"/>
      <c r="E121" s="508"/>
      <c r="F121" s="508"/>
      <c r="G121" s="508"/>
      <c r="H121" s="508"/>
      <c r="I121" s="508"/>
      <c r="J121" s="508"/>
      <c r="K121" s="508"/>
      <c r="L121" s="508"/>
      <c r="M121" s="508"/>
      <c r="N121" s="508"/>
      <c r="O121" s="508"/>
      <c r="P121" s="508"/>
      <c r="Q121" s="508"/>
      <c r="R121" s="508"/>
      <c r="S121" s="508"/>
      <c r="T121" s="508"/>
      <c r="U121" s="508"/>
      <c r="V121" s="508"/>
      <c r="W121" s="508"/>
      <c r="X121" s="508"/>
      <c r="Y121" s="508"/>
      <c r="Z121" s="508"/>
    </row>
    <row r="122">
      <c r="A122" s="508"/>
      <c r="B122" s="508"/>
      <c r="C122" s="508"/>
      <c r="D122" s="508"/>
      <c r="E122" s="508"/>
      <c r="F122" s="508"/>
      <c r="G122" s="508"/>
      <c r="H122" s="508"/>
      <c r="I122" s="508"/>
      <c r="J122" s="508"/>
      <c r="K122" s="508"/>
      <c r="L122" s="508"/>
      <c r="M122" s="508"/>
      <c r="N122" s="508"/>
      <c r="O122" s="508"/>
      <c r="P122" s="508"/>
      <c r="Q122" s="508"/>
      <c r="R122" s="508"/>
      <c r="S122" s="508"/>
      <c r="T122" s="508"/>
      <c r="U122" s="508"/>
      <c r="V122" s="508"/>
      <c r="W122" s="508"/>
      <c r="X122" s="508"/>
      <c r="Y122" s="508"/>
      <c r="Z122" s="508"/>
    </row>
    <row r="123">
      <c r="A123" s="508"/>
      <c r="B123" s="508"/>
      <c r="C123" s="508"/>
      <c r="D123" s="508"/>
      <c r="E123" s="508"/>
      <c r="F123" s="508"/>
      <c r="G123" s="508"/>
      <c r="H123" s="508"/>
      <c r="I123" s="508"/>
      <c r="J123" s="508"/>
      <c r="K123" s="508"/>
      <c r="L123" s="508"/>
      <c r="M123" s="508"/>
      <c r="N123" s="508"/>
      <c r="O123" s="508"/>
      <c r="P123" s="508"/>
      <c r="Q123" s="508"/>
      <c r="R123" s="508"/>
      <c r="S123" s="508"/>
      <c r="T123" s="508"/>
      <c r="U123" s="508"/>
      <c r="V123" s="508"/>
      <c r="W123" s="508"/>
      <c r="X123" s="508"/>
      <c r="Y123" s="508"/>
      <c r="Z123" s="508"/>
    </row>
    <row r="124">
      <c r="A124" s="508"/>
      <c r="B124" s="508"/>
      <c r="C124" s="508"/>
      <c r="D124" s="508"/>
      <c r="E124" s="508"/>
      <c r="F124" s="508"/>
      <c r="G124" s="508"/>
      <c r="H124" s="508"/>
      <c r="I124" s="508"/>
      <c r="J124" s="508"/>
      <c r="K124" s="508"/>
      <c r="L124" s="508"/>
      <c r="M124" s="508"/>
      <c r="N124" s="508"/>
      <c r="O124" s="508"/>
      <c r="P124" s="508"/>
      <c r="Q124" s="508"/>
      <c r="R124" s="508"/>
      <c r="S124" s="508"/>
      <c r="T124" s="508"/>
      <c r="U124" s="508"/>
      <c r="V124" s="508"/>
      <c r="W124" s="508"/>
      <c r="X124" s="508"/>
      <c r="Y124" s="508"/>
      <c r="Z124" s="508"/>
    </row>
    <row r="125">
      <c r="A125" s="508"/>
      <c r="B125" s="508"/>
      <c r="C125" s="508"/>
      <c r="D125" s="508"/>
      <c r="E125" s="508"/>
      <c r="F125" s="508"/>
      <c r="G125" s="508"/>
      <c r="H125" s="508"/>
      <c r="I125" s="508"/>
      <c r="J125" s="508"/>
      <c r="K125" s="508"/>
      <c r="L125" s="508"/>
      <c r="M125" s="508"/>
      <c r="N125" s="508"/>
      <c r="O125" s="508"/>
      <c r="P125" s="508"/>
      <c r="Q125" s="508"/>
      <c r="R125" s="508"/>
      <c r="S125" s="508"/>
      <c r="T125" s="508"/>
      <c r="U125" s="508"/>
      <c r="V125" s="508"/>
      <c r="W125" s="508"/>
      <c r="X125" s="508"/>
      <c r="Y125" s="508"/>
      <c r="Z125" s="508"/>
    </row>
    <row r="126">
      <c r="A126" s="508"/>
      <c r="B126" s="508"/>
      <c r="C126" s="508"/>
      <c r="D126" s="508"/>
      <c r="E126" s="508"/>
      <c r="F126" s="508"/>
      <c r="G126" s="508"/>
      <c r="H126" s="508"/>
      <c r="I126" s="508"/>
      <c r="J126" s="508"/>
      <c r="K126" s="508"/>
      <c r="L126" s="508"/>
      <c r="M126" s="508"/>
      <c r="N126" s="508"/>
      <c r="O126" s="508"/>
      <c r="P126" s="508"/>
      <c r="Q126" s="508"/>
      <c r="R126" s="508"/>
      <c r="S126" s="508"/>
      <c r="T126" s="508"/>
      <c r="U126" s="508"/>
      <c r="V126" s="508"/>
      <c r="W126" s="508"/>
      <c r="X126" s="508"/>
      <c r="Y126" s="508"/>
      <c r="Z126" s="508"/>
    </row>
    <row r="127">
      <c r="A127" s="508"/>
      <c r="B127" s="508"/>
      <c r="C127" s="508"/>
      <c r="D127" s="508"/>
      <c r="E127" s="508"/>
      <c r="F127" s="508"/>
      <c r="G127" s="508"/>
      <c r="H127" s="508"/>
      <c r="I127" s="508"/>
      <c r="J127" s="508"/>
      <c r="K127" s="508"/>
      <c r="L127" s="508"/>
      <c r="M127" s="508"/>
      <c r="N127" s="508"/>
      <c r="O127" s="508"/>
      <c r="P127" s="508"/>
      <c r="Q127" s="508"/>
      <c r="R127" s="508"/>
      <c r="S127" s="508"/>
      <c r="T127" s="508"/>
      <c r="U127" s="508"/>
      <c r="V127" s="508"/>
      <c r="W127" s="508"/>
      <c r="X127" s="508"/>
      <c r="Y127" s="508"/>
      <c r="Z127" s="508"/>
    </row>
    <row r="128">
      <c r="A128" s="508"/>
      <c r="B128" s="508"/>
      <c r="C128" s="508"/>
      <c r="D128" s="508"/>
      <c r="E128" s="508"/>
      <c r="F128" s="508"/>
      <c r="G128" s="508"/>
      <c r="H128" s="508"/>
      <c r="I128" s="508"/>
      <c r="J128" s="508"/>
      <c r="K128" s="508"/>
      <c r="L128" s="508"/>
      <c r="M128" s="508"/>
      <c r="N128" s="508"/>
      <c r="O128" s="508"/>
      <c r="P128" s="508"/>
      <c r="Q128" s="508"/>
      <c r="R128" s="508"/>
      <c r="S128" s="508"/>
      <c r="T128" s="508"/>
      <c r="U128" s="508"/>
      <c r="V128" s="508"/>
      <c r="W128" s="508"/>
      <c r="X128" s="508"/>
      <c r="Y128" s="508"/>
      <c r="Z128" s="508"/>
    </row>
    <row r="129">
      <c r="A129" s="508"/>
      <c r="B129" s="508"/>
      <c r="C129" s="508"/>
      <c r="D129" s="508"/>
      <c r="E129" s="508"/>
      <c r="F129" s="508"/>
      <c r="G129" s="508"/>
      <c r="H129" s="508"/>
      <c r="I129" s="508"/>
      <c r="J129" s="508"/>
      <c r="K129" s="508"/>
      <c r="L129" s="508"/>
      <c r="M129" s="508"/>
      <c r="N129" s="508"/>
      <c r="O129" s="508"/>
      <c r="P129" s="508"/>
      <c r="Q129" s="508"/>
      <c r="R129" s="508"/>
      <c r="S129" s="508"/>
      <c r="T129" s="508"/>
      <c r="U129" s="508"/>
      <c r="V129" s="508"/>
      <c r="W129" s="508"/>
      <c r="X129" s="508"/>
      <c r="Y129" s="508"/>
      <c r="Z129" s="508"/>
    </row>
    <row r="130">
      <c r="A130" s="508"/>
      <c r="B130" s="508"/>
      <c r="C130" s="508"/>
      <c r="D130" s="508"/>
      <c r="E130" s="508"/>
      <c r="F130" s="508"/>
      <c r="G130" s="508"/>
      <c r="H130" s="508"/>
      <c r="I130" s="508"/>
      <c r="J130" s="508"/>
      <c r="K130" s="508"/>
      <c r="L130" s="508"/>
      <c r="M130" s="508"/>
      <c r="N130" s="508"/>
      <c r="O130" s="508"/>
      <c r="P130" s="508"/>
      <c r="Q130" s="508"/>
      <c r="R130" s="508"/>
      <c r="S130" s="508"/>
      <c r="T130" s="508"/>
      <c r="U130" s="508"/>
      <c r="V130" s="508"/>
      <c r="W130" s="508"/>
      <c r="X130" s="508"/>
      <c r="Y130" s="508"/>
      <c r="Z130" s="508"/>
    </row>
    <row r="131">
      <c r="A131" s="508"/>
      <c r="B131" s="508"/>
      <c r="C131" s="508"/>
      <c r="D131" s="508"/>
      <c r="E131" s="508"/>
      <c r="F131" s="508"/>
      <c r="G131" s="508"/>
      <c r="H131" s="508"/>
      <c r="I131" s="508"/>
      <c r="J131" s="508"/>
      <c r="K131" s="508"/>
      <c r="L131" s="508"/>
      <c r="M131" s="508"/>
      <c r="N131" s="508"/>
      <c r="O131" s="508"/>
      <c r="P131" s="508"/>
      <c r="Q131" s="508"/>
      <c r="R131" s="508"/>
      <c r="S131" s="508"/>
      <c r="T131" s="508"/>
      <c r="U131" s="508"/>
      <c r="V131" s="508"/>
      <c r="W131" s="508"/>
      <c r="X131" s="508"/>
      <c r="Y131" s="508"/>
      <c r="Z131" s="508"/>
    </row>
    <row r="132">
      <c r="A132" s="508"/>
      <c r="B132" s="508"/>
      <c r="C132" s="508"/>
      <c r="D132" s="508"/>
      <c r="E132" s="508"/>
      <c r="F132" s="508"/>
      <c r="G132" s="508"/>
      <c r="H132" s="508"/>
      <c r="I132" s="508"/>
      <c r="J132" s="508"/>
      <c r="K132" s="508"/>
      <c r="L132" s="508"/>
      <c r="M132" s="508"/>
      <c r="N132" s="508"/>
      <c r="O132" s="508"/>
      <c r="P132" s="508"/>
      <c r="Q132" s="508"/>
      <c r="R132" s="508"/>
      <c r="S132" s="508"/>
      <c r="T132" s="508"/>
      <c r="U132" s="508"/>
      <c r="V132" s="508"/>
      <c r="W132" s="508"/>
      <c r="X132" s="508"/>
      <c r="Y132" s="508"/>
      <c r="Z132" s="508"/>
    </row>
    <row r="133">
      <c r="A133" s="508"/>
      <c r="B133" s="508"/>
      <c r="C133" s="508"/>
      <c r="D133" s="508"/>
      <c r="E133" s="508"/>
      <c r="F133" s="508"/>
      <c r="G133" s="508"/>
      <c r="H133" s="508"/>
      <c r="I133" s="508"/>
      <c r="J133" s="508"/>
      <c r="K133" s="508"/>
      <c r="L133" s="508"/>
      <c r="M133" s="508"/>
      <c r="N133" s="508"/>
      <c r="O133" s="508"/>
      <c r="P133" s="508"/>
      <c r="Q133" s="508"/>
      <c r="R133" s="508"/>
      <c r="S133" s="508"/>
      <c r="T133" s="508"/>
      <c r="U133" s="508"/>
      <c r="V133" s="508"/>
      <c r="W133" s="508"/>
      <c r="X133" s="508"/>
      <c r="Y133" s="508"/>
      <c r="Z133" s="508"/>
    </row>
    <row r="134">
      <c r="A134" s="508"/>
      <c r="B134" s="508"/>
      <c r="C134" s="508"/>
      <c r="D134" s="508"/>
      <c r="E134" s="508"/>
      <c r="F134" s="508"/>
      <c r="G134" s="508"/>
      <c r="H134" s="508"/>
      <c r="I134" s="508"/>
      <c r="J134" s="508"/>
      <c r="K134" s="508"/>
      <c r="L134" s="508"/>
      <c r="M134" s="508"/>
      <c r="N134" s="508"/>
      <c r="O134" s="508"/>
      <c r="P134" s="508"/>
      <c r="Q134" s="508"/>
      <c r="R134" s="508"/>
      <c r="S134" s="508"/>
      <c r="T134" s="508"/>
      <c r="U134" s="508"/>
      <c r="V134" s="508"/>
      <c r="W134" s="508"/>
      <c r="X134" s="508"/>
      <c r="Y134" s="508"/>
      <c r="Z134" s="508"/>
    </row>
    <row r="135">
      <c r="A135" s="508"/>
      <c r="B135" s="508"/>
      <c r="C135" s="508"/>
      <c r="D135" s="508"/>
      <c r="E135" s="508"/>
      <c r="F135" s="508"/>
      <c r="G135" s="508"/>
      <c r="H135" s="508"/>
      <c r="I135" s="508"/>
      <c r="J135" s="508"/>
      <c r="K135" s="508"/>
      <c r="L135" s="508"/>
      <c r="M135" s="508"/>
      <c r="N135" s="508"/>
      <c r="O135" s="508"/>
      <c r="P135" s="508"/>
      <c r="Q135" s="508"/>
      <c r="R135" s="508"/>
      <c r="S135" s="508"/>
      <c r="T135" s="508"/>
      <c r="U135" s="508"/>
      <c r="V135" s="508"/>
      <c r="W135" s="508"/>
      <c r="X135" s="508"/>
      <c r="Y135" s="508"/>
      <c r="Z135" s="508"/>
    </row>
    <row r="136">
      <c r="A136" s="508"/>
      <c r="B136" s="508"/>
      <c r="C136" s="508"/>
      <c r="D136" s="508"/>
      <c r="E136" s="508"/>
      <c r="F136" s="508"/>
      <c r="G136" s="508"/>
      <c r="H136" s="508"/>
      <c r="I136" s="508"/>
      <c r="J136" s="508"/>
      <c r="K136" s="508"/>
      <c r="L136" s="508"/>
      <c r="M136" s="508"/>
      <c r="N136" s="508"/>
      <c r="O136" s="508"/>
      <c r="P136" s="508"/>
      <c r="Q136" s="508"/>
      <c r="R136" s="508"/>
      <c r="S136" s="508"/>
      <c r="T136" s="508"/>
      <c r="U136" s="508"/>
      <c r="V136" s="508"/>
      <c r="W136" s="508"/>
      <c r="X136" s="508"/>
      <c r="Y136" s="508"/>
      <c r="Z136" s="508"/>
    </row>
    <row r="137">
      <c r="A137" s="508"/>
      <c r="B137" s="508"/>
      <c r="C137" s="508"/>
      <c r="D137" s="508"/>
      <c r="E137" s="508"/>
      <c r="F137" s="508"/>
      <c r="G137" s="508"/>
      <c r="H137" s="508"/>
      <c r="I137" s="508"/>
      <c r="J137" s="508"/>
      <c r="K137" s="508"/>
      <c r="L137" s="508"/>
      <c r="M137" s="508"/>
      <c r="N137" s="508"/>
      <c r="O137" s="508"/>
      <c r="P137" s="508"/>
      <c r="Q137" s="508"/>
      <c r="R137" s="508"/>
      <c r="S137" s="508"/>
      <c r="T137" s="508"/>
      <c r="U137" s="508"/>
      <c r="V137" s="508"/>
      <c r="W137" s="508"/>
      <c r="X137" s="508"/>
      <c r="Y137" s="508"/>
      <c r="Z137" s="508"/>
    </row>
    <row r="138">
      <c r="A138" s="508"/>
      <c r="B138" s="508"/>
      <c r="C138" s="508"/>
      <c r="D138" s="508"/>
      <c r="E138" s="508"/>
      <c r="F138" s="508"/>
      <c r="G138" s="508"/>
      <c r="H138" s="508"/>
      <c r="I138" s="508"/>
      <c r="J138" s="508"/>
      <c r="K138" s="508"/>
      <c r="L138" s="508"/>
      <c r="M138" s="508"/>
      <c r="N138" s="508"/>
      <c r="O138" s="508"/>
      <c r="P138" s="508"/>
      <c r="Q138" s="508"/>
      <c r="R138" s="508"/>
      <c r="S138" s="508"/>
      <c r="T138" s="508"/>
      <c r="U138" s="508"/>
      <c r="V138" s="508"/>
      <c r="W138" s="508"/>
      <c r="X138" s="508"/>
      <c r="Y138" s="508"/>
      <c r="Z138" s="508"/>
    </row>
    <row r="139">
      <c r="A139" s="508"/>
      <c r="B139" s="508"/>
      <c r="C139" s="508"/>
      <c r="D139" s="508"/>
      <c r="E139" s="508"/>
      <c r="F139" s="508"/>
      <c r="G139" s="508"/>
      <c r="H139" s="508"/>
      <c r="I139" s="508"/>
      <c r="J139" s="508"/>
      <c r="K139" s="508"/>
      <c r="L139" s="508"/>
      <c r="M139" s="508"/>
      <c r="N139" s="508"/>
      <c r="O139" s="508"/>
      <c r="P139" s="508"/>
      <c r="Q139" s="508"/>
      <c r="R139" s="508"/>
      <c r="S139" s="508"/>
      <c r="T139" s="508"/>
      <c r="U139" s="508"/>
      <c r="V139" s="508"/>
      <c r="W139" s="508"/>
      <c r="X139" s="508"/>
      <c r="Y139" s="508"/>
      <c r="Z139" s="508"/>
    </row>
    <row r="140">
      <c r="A140" s="508"/>
      <c r="B140" s="508"/>
      <c r="C140" s="508"/>
      <c r="D140" s="508"/>
      <c r="E140" s="508"/>
      <c r="F140" s="508"/>
      <c r="G140" s="508"/>
      <c r="H140" s="508"/>
      <c r="I140" s="508"/>
      <c r="J140" s="508"/>
      <c r="K140" s="508"/>
      <c r="L140" s="508"/>
      <c r="M140" s="508"/>
      <c r="N140" s="508"/>
      <c r="O140" s="508"/>
      <c r="P140" s="508"/>
      <c r="Q140" s="508"/>
      <c r="R140" s="508"/>
      <c r="S140" s="508"/>
      <c r="T140" s="508"/>
      <c r="U140" s="508"/>
      <c r="V140" s="508"/>
      <c r="W140" s="508"/>
      <c r="X140" s="508"/>
      <c r="Y140" s="508"/>
      <c r="Z140" s="508"/>
    </row>
    <row r="141">
      <c r="A141" s="508"/>
      <c r="B141" s="508"/>
      <c r="C141" s="508"/>
      <c r="D141" s="508"/>
      <c r="E141" s="508"/>
      <c r="F141" s="508"/>
      <c r="G141" s="508"/>
      <c r="H141" s="508"/>
      <c r="I141" s="508"/>
      <c r="J141" s="508"/>
      <c r="K141" s="508"/>
      <c r="L141" s="508"/>
      <c r="M141" s="508"/>
      <c r="N141" s="508"/>
      <c r="O141" s="508"/>
      <c r="P141" s="508"/>
      <c r="Q141" s="508"/>
      <c r="R141" s="508"/>
      <c r="S141" s="508"/>
      <c r="T141" s="508"/>
      <c r="U141" s="508"/>
      <c r="V141" s="508"/>
      <c r="W141" s="508"/>
      <c r="X141" s="508"/>
      <c r="Y141" s="508"/>
      <c r="Z141" s="508"/>
    </row>
    <row r="142">
      <c r="A142" s="508"/>
      <c r="B142" s="508"/>
      <c r="C142" s="508"/>
      <c r="D142" s="508"/>
      <c r="E142" s="508"/>
      <c r="F142" s="508"/>
      <c r="G142" s="508"/>
      <c r="H142" s="508"/>
      <c r="I142" s="508"/>
      <c r="J142" s="508"/>
      <c r="K142" s="508"/>
      <c r="L142" s="508"/>
      <c r="M142" s="508"/>
      <c r="N142" s="508"/>
      <c r="O142" s="508"/>
      <c r="P142" s="508"/>
      <c r="Q142" s="508"/>
      <c r="R142" s="508"/>
      <c r="S142" s="508"/>
      <c r="T142" s="508"/>
      <c r="U142" s="508"/>
      <c r="V142" s="508"/>
      <c r="W142" s="508"/>
      <c r="X142" s="508"/>
      <c r="Y142" s="508"/>
      <c r="Z142" s="508"/>
    </row>
    <row r="143">
      <c r="A143" s="508"/>
      <c r="B143" s="508"/>
      <c r="C143" s="508"/>
      <c r="D143" s="508"/>
      <c r="E143" s="508"/>
      <c r="F143" s="508"/>
      <c r="G143" s="508"/>
      <c r="H143" s="508"/>
      <c r="I143" s="508"/>
      <c r="J143" s="508"/>
      <c r="K143" s="508"/>
      <c r="L143" s="508"/>
      <c r="M143" s="508"/>
      <c r="N143" s="508"/>
      <c r="O143" s="508"/>
      <c r="P143" s="508"/>
      <c r="Q143" s="508"/>
      <c r="R143" s="508"/>
      <c r="S143" s="508"/>
      <c r="T143" s="508"/>
      <c r="U143" s="508"/>
      <c r="V143" s="508"/>
      <c r="W143" s="508"/>
      <c r="X143" s="508"/>
      <c r="Y143" s="508"/>
      <c r="Z143" s="508"/>
    </row>
    <row r="144">
      <c r="A144" s="508"/>
      <c r="B144" s="508"/>
      <c r="C144" s="508"/>
      <c r="D144" s="508"/>
      <c r="E144" s="508"/>
      <c r="F144" s="508"/>
      <c r="G144" s="508"/>
      <c r="H144" s="508"/>
      <c r="I144" s="508"/>
      <c r="J144" s="508"/>
      <c r="K144" s="508"/>
      <c r="L144" s="508"/>
      <c r="M144" s="508"/>
      <c r="N144" s="508"/>
      <c r="O144" s="508"/>
      <c r="P144" s="508"/>
      <c r="Q144" s="508"/>
      <c r="R144" s="508"/>
      <c r="S144" s="508"/>
      <c r="T144" s="508"/>
      <c r="U144" s="508"/>
      <c r="V144" s="508"/>
      <c r="W144" s="508"/>
      <c r="X144" s="508"/>
      <c r="Y144" s="508"/>
      <c r="Z144" s="508"/>
    </row>
    <row r="145">
      <c r="A145" s="508"/>
      <c r="B145" s="508"/>
      <c r="C145" s="508"/>
      <c r="D145" s="508"/>
      <c r="E145" s="508"/>
      <c r="F145" s="508"/>
      <c r="G145" s="508"/>
      <c r="H145" s="508"/>
      <c r="I145" s="508"/>
      <c r="J145" s="508"/>
      <c r="K145" s="508"/>
      <c r="L145" s="508"/>
      <c r="M145" s="508"/>
      <c r="N145" s="508"/>
      <c r="O145" s="508"/>
      <c r="P145" s="508"/>
      <c r="Q145" s="508"/>
      <c r="R145" s="508"/>
      <c r="S145" s="508"/>
      <c r="T145" s="508"/>
      <c r="U145" s="508"/>
      <c r="V145" s="508"/>
      <c r="W145" s="508"/>
      <c r="X145" s="508"/>
      <c r="Y145" s="508"/>
      <c r="Z145" s="508"/>
    </row>
    <row r="146">
      <c r="A146" s="508"/>
      <c r="B146" s="508"/>
      <c r="C146" s="508"/>
      <c r="D146" s="508"/>
      <c r="E146" s="508"/>
      <c r="F146" s="508"/>
      <c r="G146" s="508"/>
      <c r="H146" s="508"/>
      <c r="I146" s="508"/>
      <c r="J146" s="508"/>
      <c r="K146" s="508"/>
      <c r="L146" s="508"/>
      <c r="M146" s="508"/>
      <c r="N146" s="508"/>
      <c r="O146" s="508"/>
      <c r="P146" s="508"/>
      <c r="Q146" s="508"/>
      <c r="R146" s="508"/>
      <c r="S146" s="508"/>
      <c r="T146" s="508"/>
      <c r="U146" s="508"/>
      <c r="V146" s="508"/>
      <c r="W146" s="508"/>
      <c r="X146" s="508"/>
      <c r="Y146" s="508"/>
      <c r="Z146" s="508"/>
    </row>
    <row r="147">
      <c r="A147" s="508"/>
      <c r="B147" s="508"/>
      <c r="C147" s="508"/>
      <c r="D147" s="508"/>
      <c r="E147" s="508"/>
      <c r="F147" s="508"/>
      <c r="G147" s="508"/>
      <c r="H147" s="508"/>
      <c r="I147" s="508"/>
      <c r="J147" s="508"/>
      <c r="K147" s="508"/>
      <c r="L147" s="508"/>
      <c r="M147" s="508"/>
      <c r="N147" s="508"/>
      <c r="O147" s="508"/>
      <c r="P147" s="508"/>
      <c r="Q147" s="508"/>
      <c r="R147" s="508"/>
      <c r="S147" s="508"/>
      <c r="T147" s="508"/>
      <c r="U147" s="508"/>
      <c r="V147" s="508"/>
      <c r="W147" s="508"/>
      <c r="X147" s="508"/>
      <c r="Y147" s="508"/>
      <c r="Z147" s="508"/>
    </row>
    <row r="148">
      <c r="A148" s="508"/>
      <c r="B148" s="508"/>
      <c r="C148" s="508"/>
      <c r="D148" s="508"/>
      <c r="E148" s="508"/>
      <c r="F148" s="508"/>
      <c r="G148" s="508"/>
      <c r="H148" s="508"/>
      <c r="I148" s="508"/>
      <c r="J148" s="508"/>
      <c r="K148" s="508"/>
      <c r="L148" s="508"/>
      <c r="M148" s="508"/>
      <c r="N148" s="508"/>
      <c r="O148" s="508"/>
      <c r="P148" s="508"/>
      <c r="Q148" s="508"/>
      <c r="R148" s="508"/>
      <c r="S148" s="508"/>
      <c r="T148" s="508"/>
      <c r="U148" s="508"/>
      <c r="V148" s="508"/>
      <c r="W148" s="508"/>
      <c r="X148" s="508"/>
      <c r="Y148" s="508"/>
      <c r="Z148" s="508"/>
    </row>
    <row r="149">
      <c r="A149" s="508"/>
      <c r="B149" s="508"/>
      <c r="C149" s="508"/>
      <c r="D149" s="508"/>
      <c r="E149" s="508"/>
      <c r="F149" s="508"/>
      <c r="G149" s="508"/>
      <c r="H149" s="508"/>
      <c r="I149" s="508"/>
      <c r="J149" s="508"/>
      <c r="K149" s="508"/>
      <c r="L149" s="508"/>
      <c r="M149" s="508"/>
      <c r="N149" s="508"/>
      <c r="O149" s="508"/>
      <c r="P149" s="508"/>
      <c r="Q149" s="508"/>
      <c r="R149" s="508"/>
      <c r="S149" s="508"/>
      <c r="T149" s="508"/>
      <c r="U149" s="508"/>
      <c r="V149" s="508"/>
      <c r="W149" s="508"/>
      <c r="X149" s="508"/>
      <c r="Y149" s="508"/>
      <c r="Z149" s="508"/>
    </row>
    <row r="150">
      <c r="A150" s="508"/>
      <c r="B150" s="508"/>
      <c r="C150" s="508"/>
      <c r="D150" s="508"/>
      <c r="E150" s="508"/>
      <c r="F150" s="508"/>
      <c r="G150" s="508"/>
      <c r="H150" s="508"/>
      <c r="I150" s="508"/>
      <c r="J150" s="508"/>
      <c r="K150" s="508"/>
      <c r="L150" s="508"/>
      <c r="M150" s="508"/>
      <c r="N150" s="508"/>
      <c r="O150" s="508"/>
      <c r="P150" s="508"/>
      <c r="Q150" s="508"/>
      <c r="R150" s="508"/>
      <c r="S150" s="508"/>
      <c r="T150" s="508"/>
      <c r="U150" s="508"/>
      <c r="V150" s="508"/>
      <c r="W150" s="508"/>
      <c r="X150" s="508"/>
      <c r="Y150" s="508"/>
      <c r="Z150" s="508"/>
    </row>
    <row r="151">
      <c r="A151" s="508"/>
      <c r="B151" s="508"/>
      <c r="C151" s="508"/>
      <c r="D151" s="508"/>
      <c r="E151" s="508"/>
      <c r="F151" s="508"/>
      <c r="G151" s="508"/>
      <c r="H151" s="508"/>
      <c r="I151" s="508"/>
      <c r="J151" s="508"/>
      <c r="K151" s="508"/>
      <c r="L151" s="508"/>
      <c r="M151" s="508"/>
      <c r="N151" s="508"/>
      <c r="O151" s="508"/>
      <c r="P151" s="508"/>
      <c r="Q151" s="508"/>
      <c r="R151" s="508"/>
      <c r="S151" s="508"/>
      <c r="T151" s="508"/>
      <c r="U151" s="508"/>
      <c r="V151" s="508"/>
      <c r="W151" s="508"/>
      <c r="X151" s="508"/>
      <c r="Y151" s="508"/>
      <c r="Z151" s="508"/>
    </row>
    <row r="152">
      <c r="A152" s="508"/>
      <c r="B152" s="508"/>
      <c r="C152" s="508"/>
      <c r="D152" s="508"/>
      <c r="E152" s="508"/>
      <c r="F152" s="508"/>
      <c r="G152" s="508"/>
      <c r="H152" s="508"/>
      <c r="I152" s="508"/>
      <c r="J152" s="508"/>
      <c r="K152" s="508"/>
      <c r="L152" s="508"/>
      <c r="M152" s="508"/>
      <c r="N152" s="508"/>
      <c r="O152" s="508"/>
      <c r="P152" s="508"/>
      <c r="Q152" s="508"/>
      <c r="R152" s="508"/>
      <c r="S152" s="508"/>
      <c r="T152" s="508"/>
      <c r="U152" s="508"/>
      <c r="V152" s="508"/>
      <c r="W152" s="508"/>
      <c r="X152" s="508"/>
      <c r="Y152" s="508"/>
      <c r="Z152" s="508"/>
    </row>
    <row r="153">
      <c r="A153" s="508"/>
      <c r="B153" s="508"/>
      <c r="C153" s="508"/>
      <c r="D153" s="508"/>
      <c r="E153" s="508"/>
      <c r="F153" s="508"/>
      <c r="G153" s="508"/>
      <c r="H153" s="508"/>
      <c r="I153" s="508"/>
      <c r="J153" s="508"/>
      <c r="K153" s="508"/>
      <c r="L153" s="508"/>
      <c r="M153" s="508"/>
      <c r="N153" s="508"/>
      <c r="O153" s="508"/>
      <c r="P153" s="508"/>
      <c r="Q153" s="508"/>
      <c r="R153" s="508"/>
      <c r="S153" s="508"/>
      <c r="T153" s="508"/>
      <c r="U153" s="508"/>
      <c r="V153" s="508"/>
      <c r="W153" s="508"/>
      <c r="X153" s="508"/>
      <c r="Y153" s="508"/>
      <c r="Z153" s="508"/>
    </row>
    <row r="154">
      <c r="A154" s="508"/>
      <c r="B154" s="508"/>
      <c r="C154" s="508"/>
      <c r="D154" s="508"/>
      <c r="E154" s="508"/>
      <c r="F154" s="508"/>
      <c r="G154" s="508"/>
      <c r="H154" s="508"/>
      <c r="I154" s="508"/>
      <c r="J154" s="508"/>
      <c r="K154" s="508"/>
      <c r="L154" s="508"/>
      <c r="M154" s="508"/>
      <c r="N154" s="508"/>
      <c r="O154" s="508"/>
      <c r="P154" s="508"/>
      <c r="Q154" s="508"/>
      <c r="R154" s="508"/>
      <c r="S154" s="508"/>
      <c r="T154" s="508"/>
      <c r="U154" s="508"/>
      <c r="V154" s="508"/>
      <c r="W154" s="508"/>
      <c r="X154" s="508"/>
      <c r="Y154" s="508"/>
      <c r="Z154" s="508"/>
    </row>
    <row r="155">
      <c r="A155" s="508"/>
      <c r="B155" s="508"/>
      <c r="C155" s="508"/>
      <c r="D155" s="508"/>
      <c r="E155" s="508"/>
      <c r="F155" s="508"/>
      <c r="G155" s="508"/>
      <c r="H155" s="508"/>
      <c r="I155" s="508"/>
      <c r="J155" s="508"/>
      <c r="K155" s="508"/>
      <c r="L155" s="508"/>
      <c r="M155" s="508"/>
      <c r="N155" s="508"/>
      <c r="O155" s="508"/>
      <c r="P155" s="508"/>
      <c r="Q155" s="508"/>
      <c r="R155" s="508"/>
      <c r="S155" s="508"/>
      <c r="T155" s="508"/>
      <c r="U155" s="508"/>
      <c r="V155" s="508"/>
      <c r="W155" s="508"/>
      <c r="X155" s="508"/>
      <c r="Y155" s="508"/>
      <c r="Z155" s="508"/>
    </row>
    <row r="156">
      <c r="A156" s="508"/>
      <c r="B156" s="508"/>
      <c r="C156" s="508"/>
      <c r="D156" s="508"/>
      <c r="E156" s="508"/>
      <c r="F156" s="508"/>
      <c r="G156" s="508"/>
      <c r="H156" s="508"/>
      <c r="I156" s="508"/>
      <c r="J156" s="508"/>
      <c r="K156" s="508"/>
      <c r="L156" s="508"/>
      <c r="M156" s="508"/>
      <c r="N156" s="508"/>
      <c r="O156" s="508"/>
      <c r="P156" s="508"/>
      <c r="Q156" s="508"/>
      <c r="R156" s="508"/>
      <c r="S156" s="508"/>
      <c r="T156" s="508"/>
      <c r="U156" s="508"/>
      <c r="V156" s="508"/>
      <c r="W156" s="508"/>
      <c r="X156" s="508"/>
      <c r="Y156" s="508"/>
      <c r="Z156" s="508"/>
    </row>
    <row r="157">
      <c r="A157" s="508"/>
      <c r="B157" s="508"/>
      <c r="C157" s="508"/>
      <c r="D157" s="508"/>
      <c r="E157" s="508"/>
      <c r="F157" s="508"/>
      <c r="G157" s="508"/>
      <c r="H157" s="508"/>
      <c r="I157" s="508"/>
      <c r="J157" s="508"/>
      <c r="K157" s="508"/>
      <c r="L157" s="508"/>
      <c r="M157" s="508"/>
      <c r="N157" s="508"/>
      <c r="O157" s="508"/>
      <c r="P157" s="508"/>
      <c r="Q157" s="508"/>
      <c r="R157" s="508"/>
      <c r="S157" s="508"/>
      <c r="T157" s="508"/>
      <c r="U157" s="508"/>
      <c r="V157" s="508"/>
      <c r="W157" s="508"/>
      <c r="X157" s="508"/>
      <c r="Y157" s="508"/>
      <c r="Z157" s="508"/>
    </row>
    <row r="158">
      <c r="A158" s="508"/>
      <c r="B158" s="508"/>
      <c r="C158" s="508"/>
      <c r="D158" s="508"/>
      <c r="E158" s="508"/>
      <c r="F158" s="508"/>
      <c r="G158" s="508"/>
      <c r="H158" s="508"/>
      <c r="I158" s="508"/>
      <c r="J158" s="508"/>
      <c r="K158" s="508"/>
      <c r="L158" s="508"/>
      <c r="M158" s="508"/>
      <c r="N158" s="508"/>
      <c r="O158" s="508"/>
      <c r="P158" s="508"/>
      <c r="Q158" s="508"/>
      <c r="R158" s="508"/>
      <c r="S158" s="508"/>
      <c r="T158" s="508"/>
      <c r="U158" s="508"/>
      <c r="V158" s="508"/>
      <c r="W158" s="508"/>
      <c r="X158" s="508"/>
      <c r="Y158" s="508"/>
      <c r="Z158" s="508"/>
    </row>
    <row r="159">
      <c r="A159" s="508"/>
      <c r="B159" s="508"/>
      <c r="C159" s="508"/>
      <c r="D159" s="508"/>
      <c r="E159" s="508"/>
      <c r="F159" s="508"/>
      <c r="G159" s="508"/>
      <c r="H159" s="508"/>
      <c r="I159" s="508"/>
      <c r="J159" s="508"/>
      <c r="K159" s="508"/>
      <c r="L159" s="508"/>
      <c r="M159" s="508"/>
      <c r="N159" s="508"/>
      <c r="O159" s="508"/>
      <c r="P159" s="508"/>
      <c r="Q159" s="508"/>
      <c r="R159" s="508"/>
      <c r="S159" s="508"/>
      <c r="T159" s="508"/>
      <c r="U159" s="508"/>
      <c r="V159" s="508"/>
      <c r="W159" s="508"/>
      <c r="X159" s="508"/>
      <c r="Y159" s="508"/>
      <c r="Z159" s="508"/>
    </row>
    <row r="160">
      <c r="A160" s="508"/>
      <c r="B160" s="508"/>
      <c r="C160" s="508"/>
      <c r="D160" s="508"/>
      <c r="E160" s="508"/>
      <c r="F160" s="508"/>
      <c r="G160" s="508"/>
      <c r="H160" s="508"/>
      <c r="I160" s="508"/>
      <c r="J160" s="508"/>
      <c r="K160" s="508"/>
      <c r="L160" s="508"/>
      <c r="M160" s="508"/>
      <c r="N160" s="508"/>
      <c r="O160" s="508"/>
      <c r="P160" s="508"/>
      <c r="Q160" s="508"/>
      <c r="R160" s="508"/>
      <c r="S160" s="508"/>
      <c r="T160" s="508"/>
      <c r="U160" s="508"/>
      <c r="V160" s="508"/>
      <c r="W160" s="508"/>
      <c r="X160" s="508"/>
      <c r="Y160" s="508"/>
      <c r="Z160" s="508"/>
    </row>
    <row r="161">
      <c r="A161" s="508"/>
      <c r="B161" s="508"/>
      <c r="C161" s="508"/>
      <c r="D161" s="508"/>
      <c r="E161" s="508"/>
      <c r="F161" s="508"/>
      <c r="G161" s="508"/>
      <c r="H161" s="508"/>
      <c r="I161" s="508"/>
      <c r="J161" s="508"/>
      <c r="K161" s="508"/>
      <c r="L161" s="508"/>
      <c r="M161" s="508"/>
      <c r="N161" s="508"/>
      <c r="O161" s="508"/>
      <c r="P161" s="508"/>
      <c r="Q161" s="508"/>
      <c r="R161" s="508"/>
      <c r="S161" s="508"/>
      <c r="T161" s="508"/>
      <c r="U161" s="508"/>
      <c r="V161" s="508"/>
      <c r="W161" s="508"/>
      <c r="X161" s="508"/>
      <c r="Y161" s="508"/>
      <c r="Z161" s="508"/>
    </row>
    <row r="162">
      <c r="A162" s="508"/>
      <c r="B162" s="508"/>
      <c r="C162" s="508"/>
      <c r="D162" s="508"/>
      <c r="E162" s="508"/>
      <c r="F162" s="508"/>
      <c r="G162" s="508"/>
      <c r="H162" s="508"/>
      <c r="I162" s="508"/>
      <c r="J162" s="508"/>
      <c r="K162" s="508"/>
      <c r="L162" s="508"/>
      <c r="M162" s="508"/>
      <c r="N162" s="508"/>
      <c r="O162" s="508"/>
      <c r="P162" s="508"/>
      <c r="Q162" s="508"/>
      <c r="R162" s="508"/>
      <c r="S162" s="508"/>
      <c r="T162" s="508"/>
      <c r="U162" s="508"/>
      <c r="V162" s="508"/>
      <c r="W162" s="508"/>
      <c r="X162" s="508"/>
      <c r="Y162" s="508"/>
      <c r="Z162" s="508"/>
    </row>
    <row r="163">
      <c r="A163" s="508"/>
      <c r="B163" s="508"/>
      <c r="C163" s="508"/>
      <c r="D163" s="508"/>
      <c r="E163" s="508"/>
      <c r="F163" s="508"/>
      <c r="G163" s="508"/>
      <c r="H163" s="508"/>
      <c r="I163" s="508"/>
      <c r="J163" s="508"/>
      <c r="K163" s="508"/>
      <c r="L163" s="508"/>
      <c r="M163" s="508"/>
      <c r="N163" s="508"/>
      <c r="O163" s="508"/>
      <c r="P163" s="508"/>
      <c r="Q163" s="508"/>
      <c r="R163" s="508"/>
      <c r="S163" s="508"/>
      <c r="T163" s="508"/>
      <c r="U163" s="508"/>
      <c r="V163" s="508"/>
      <c r="W163" s="508"/>
      <c r="X163" s="508"/>
      <c r="Y163" s="508"/>
      <c r="Z163" s="508"/>
    </row>
    <row r="164">
      <c r="A164" s="508"/>
      <c r="B164" s="508"/>
      <c r="C164" s="508"/>
      <c r="D164" s="508"/>
      <c r="E164" s="508"/>
      <c r="F164" s="508"/>
      <c r="G164" s="508"/>
      <c r="H164" s="508"/>
      <c r="I164" s="508"/>
      <c r="J164" s="508"/>
      <c r="K164" s="508"/>
      <c r="L164" s="508"/>
      <c r="M164" s="508"/>
      <c r="N164" s="508"/>
      <c r="O164" s="508"/>
      <c r="P164" s="508"/>
      <c r="Q164" s="508"/>
      <c r="R164" s="508"/>
      <c r="S164" s="508"/>
      <c r="T164" s="508"/>
      <c r="U164" s="508"/>
      <c r="V164" s="508"/>
      <c r="W164" s="508"/>
      <c r="X164" s="508"/>
      <c r="Y164" s="508"/>
      <c r="Z164" s="508"/>
    </row>
    <row r="165">
      <c r="A165" s="508"/>
      <c r="B165" s="508"/>
      <c r="C165" s="508"/>
      <c r="D165" s="508"/>
      <c r="E165" s="508"/>
      <c r="F165" s="508"/>
      <c r="G165" s="508"/>
      <c r="H165" s="508"/>
      <c r="I165" s="508"/>
      <c r="J165" s="508"/>
      <c r="K165" s="508"/>
      <c r="L165" s="508"/>
      <c r="M165" s="508"/>
      <c r="N165" s="508"/>
      <c r="O165" s="508"/>
      <c r="P165" s="508"/>
      <c r="Q165" s="508"/>
      <c r="R165" s="508"/>
      <c r="S165" s="508"/>
      <c r="T165" s="508"/>
      <c r="U165" s="508"/>
      <c r="V165" s="508"/>
      <c r="W165" s="508"/>
      <c r="X165" s="508"/>
      <c r="Y165" s="508"/>
      <c r="Z165" s="508"/>
    </row>
    <row r="166">
      <c r="A166" s="508"/>
      <c r="B166" s="508"/>
      <c r="C166" s="508"/>
      <c r="D166" s="508"/>
      <c r="E166" s="508"/>
      <c r="F166" s="508"/>
      <c r="G166" s="508"/>
      <c r="H166" s="508"/>
      <c r="I166" s="508"/>
      <c r="J166" s="508"/>
      <c r="K166" s="508"/>
      <c r="L166" s="508"/>
      <c r="M166" s="508"/>
      <c r="N166" s="508"/>
      <c r="O166" s="508"/>
      <c r="P166" s="508"/>
      <c r="Q166" s="508"/>
      <c r="R166" s="508"/>
      <c r="S166" s="508"/>
      <c r="T166" s="508"/>
      <c r="U166" s="508"/>
      <c r="V166" s="508"/>
      <c r="W166" s="508"/>
      <c r="X166" s="508"/>
      <c r="Y166" s="508"/>
      <c r="Z166" s="508"/>
    </row>
    <row r="167">
      <c r="A167" s="508"/>
      <c r="B167" s="508"/>
      <c r="C167" s="508"/>
      <c r="D167" s="508"/>
      <c r="E167" s="508"/>
      <c r="F167" s="508"/>
      <c r="G167" s="508"/>
      <c r="H167" s="508"/>
      <c r="I167" s="508"/>
      <c r="J167" s="508"/>
      <c r="K167" s="508"/>
      <c r="L167" s="508"/>
      <c r="M167" s="508"/>
      <c r="N167" s="508"/>
      <c r="O167" s="508"/>
      <c r="P167" s="508"/>
      <c r="Q167" s="508"/>
      <c r="R167" s="508"/>
      <c r="S167" s="508"/>
      <c r="T167" s="508"/>
      <c r="U167" s="508"/>
      <c r="V167" s="508"/>
      <c r="W167" s="508"/>
      <c r="X167" s="508"/>
      <c r="Y167" s="508"/>
      <c r="Z167" s="508"/>
    </row>
    <row r="168">
      <c r="A168" s="508"/>
      <c r="B168" s="508"/>
      <c r="C168" s="508"/>
      <c r="D168" s="508"/>
      <c r="E168" s="508"/>
      <c r="F168" s="508"/>
      <c r="G168" s="508"/>
      <c r="H168" s="508"/>
      <c r="I168" s="508"/>
      <c r="J168" s="508"/>
      <c r="K168" s="508"/>
      <c r="L168" s="508"/>
      <c r="M168" s="508"/>
      <c r="N168" s="508"/>
      <c r="O168" s="508"/>
      <c r="P168" s="508"/>
      <c r="Q168" s="508"/>
      <c r="R168" s="508"/>
      <c r="S168" s="508"/>
      <c r="T168" s="508"/>
      <c r="U168" s="508"/>
      <c r="V168" s="508"/>
      <c r="W168" s="508"/>
      <c r="X168" s="508"/>
      <c r="Y168" s="508"/>
      <c r="Z168" s="508"/>
    </row>
    <row r="169">
      <c r="A169" s="508"/>
      <c r="B169" s="508"/>
      <c r="C169" s="508"/>
      <c r="D169" s="508"/>
      <c r="E169" s="508"/>
      <c r="F169" s="508"/>
      <c r="G169" s="508"/>
      <c r="H169" s="508"/>
      <c r="I169" s="508"/>
      <c r="J169" s="508"/>
      <c r="K169" s="508"/>
      <c r="L169" s="508"/>
      <c r="M169" s="508"/>
      <c r="N169" s="508"/>
      <c r="O169" s="508"/>
      <c r="P169" s="508"/>
      <c r="Q169" s="508"/>
      <c r="R169" s="508"/>
      <c r="S169" s="508"/>
      <c r="T169" s="508"/>
      <c r="U169" s="508"/>
      <c r="V169" s="508"/>
      <c r="W169" s="508"/>
      <c r="X169" s="508"/>
      <c r="Y169" s="508"/>
      <c r="Z169" s="508"/>
    </row>
    <row r="170">
      <c r="A170" s="508"/>
      <c r="B170" s="508"/>
      <c r="C170" s="508"/>
      <c r="D170" s="508"/>
      <c r="E170" s="508"/>
      <c r="F170" s="508"/>
      <c r="G170" s="508"/>
      <c r="H170" s="508"/>
      <c r="I170" s="508"/>
      <c r="J170" s="508"/>
      <c r="K170" s="508"/>
      <c r="L170" s="508"/>
      <c r="M170" s="508"/>
      <c r="N170" s="508"/>
      <c r="O170" s="508"/>
      <c r="P170" s="508"/>
      <c r="Q170" s="508"/>
      <c r="R170" s="508"/>
      <c r="S170" s="508"/>
      <c r="T170" s="508"/>
      <c r="U170" s="508"/>
      <c r="V170" s="508"/>
      <c r="W170" s="508"/>
      <c r="X170" s="508"/>
      <c r="Y170" s="508"/>
      <c r="Z170" s="508"/>
    </row>
    <row r="171">
      <c r="A171" s="508"/>
      <c r="B171" s="508"/>
      <c r="C171" s="508"/>
      <c r="D171" s="508"/>
      <c r="E171" s="508"/>
      <c r="F171" s="508"/>
      <c r="G171" s="508"/>
      <c r="H171" s="508"/>
      <c r="I171" s="508"/>
      <c r="J171" s="508"/>
      <c r="K171" s="508"/>
      <c r="L171" s="508"/>
      <c r="M171" s="508"/>
      <c r="N171" s="508"/>
      <c r="O171" s="508"/>
      <c r="P171" s="508"/>
      <c r="Q171" s="508"/>
      <c r="R171" s="508"/>
      <c r="S171" s="508"/>
      <c r="T171" s="508"/>
      <c r="U171" s="508"/>
      <c r="V171" s="508"/>
      <c r="W171" s="508"/>
      <c r="X171" s="508"/>
      <c r="Y171" s="508"/>
      <c r="Z171" s="508"/>
    </row>
    <row r="172">
      <c r="A172" s="508"/>
      <c r="B172" s="508"/>
      <c r="C172" s="508"/>
      <c r="D172" s="508"/>
      <c r="E172" s="508"/>
      <c r="F172" s="508"/>
      <c r="G172" s="508"/>
      <c r="H172" s="508"/>
      <c r="I172" s="508"/>
      <c r="J172" s="508"/>
      <c r="K172" s="508"/>
      <c r="L172" s="508"/>
      <c r="M172" s="508"/>
      <c r="N172" s="508"/>
      <c r="O172" s="508"/>
      <c r="P172" s="508"/>
      <c r="Q172" s="508"/>
      <c r="R172" s="508"/>
      <c r="S172" s="508"/>
      <c r="T172" s="508"/>
      <c r="U172" s="508"/>
      <c r="V172" s="508"/>
      <c r="W172" s="508"/>
      <c r="X172" s="508"/>
      <c r="Y172" s="508"/>
      <c r="Z172" s="508"/>
    </row>
    <row r="173">
      <c r="A173" s="508"/>
      <c r="B173" s="508"/>
      <c r="C173" s="508"/>
      <c r="D173" s="508"/>
      <c r="E173" s="508"/>
      <c r="F173" s="508"/>
      <c r="G173" s="508"/>
      <c r="H173" s="508"/>
      <c r="I173" s="508"/>
      <c r="J173" s="508"/>
      <c r="K173" s="508"/>
      <c r="L173" s="508"/>
      <c r="M173" s="508"/>
      <c r="N173" s="508"/>
      <c r="O173" s="508"/>
      <c r="P173" s="508"/>
      <c r="Q173" s="508"/>
      <c r="R173" s="508"/>
      <c r="S173" s="508"/>
      <c r="T173" s="508"/>
      <c r="U173" s="508"/>
      <c r="V173" s="508"/>
      <c r="W173" s="508"/>
      <c r="X173" s="508"/>
      <c r="Y173" s="508"/>
      <c r="Z173" s="508"/>
    </row>
    <row r="174">
      <c r="A174" s="508"/>
      <c r="B174" s="508"/>
      <c r="C174" s="508"/>
      <c r="D174" s="508"/>
      <c r="E174" s="508"/>
      <c r="F174" s="508"/>
      <c r="G174" s="508"/>
      <c r="H174" s="508"/>
      <c r="I174" s="508"/>
      <c r="J174" s="508"/>
      <c r="K174" s="508"/>
      <c r="L174" s="508"/>
      <c r="M174" s="508"/>
      <c r="N174" s="508"/>
      <c r="O174" s="508"/>
      <c r="P174" s="508"/>
      <c r="Q174" s="508"/>
      <c r="R174" s="508"/>
      <c r="S174" s="508"/>
      <c r="T174" s="508"/>
      <c r="U174" s="508"/>
      <c r="V174" s="508"/>
      <c r="W174" s="508"/>
      <c r="X174" s="508"/>
      <c r="Y174" s="508"/>
      <c r="Z174" s="508"/>
    </row>
    <row r="175">
      <c r="A175" s="508"/>
      <c r="B175" s="508"/>
      <c r="C175" s="508"/>
      <c r="D175" s="508"/>
      <c r="E175" s="508"/>
      <c r="F175" s="508"/>
      <c r="G175" s="508"/>
      <c r="H175" s="508"/>
      <c r="I175" s="508"/>
      <c r="J175" s="508"/>
      <c r="K175" s="508"/>
      <c r="L175" s="508"/>
      <c r="M175" s="508"/>
      <c r="N175" s="508"/>
      <c r="O175" s="508"/>
      <c r="P175" s="508"/>
      <c r="Q175" s="508"/>
      <c r="R175" s="508"/>
      <c r="S175" s="508"/>
      <c r="T175" s="508"/>
      <c r="U175" s="508"/>
      <c r="V175" s="508"/>
      <c r="W175" s="508"/>
      <c r="X175" s="508"/>
      <c r="Y175" s="508"/>
      <c r="Z175" s="508"/>
    </row>
    <row r="176">
      <c r="A176" s="508"/>
      <c r="B176" s="508"/>
      <c r="C176" s="508"/>
      <c r="D176" s="508"/>
      <c r="E176" s="508"/>
      <c r="F176" s="508"/>
      <c r="G176" s="508"/>
      <c r="H176" s="508"/>
      <c r="I176" s="508"/>
      <c r="J176" s="508"/>
      <c r="K176" s="508"/>
      <c r="L176" s="508"/>
      <c r="M176" s="508"/>
      <c r="N176" s="508"/>
      <c r="O176" s="508"/>
      <c r="P176" s="508"/>
      <c r="Q176" s="508"/>
      <c r="R176" s="508"/>
      <c r="S176" s="508"/>
      <c r="T176" s="508"/>
      <c r="U176" s="508"/>
      <c r="V176" s="508"/>
      <c r="W176" s="508"/>
      <c r="X176" s="508"/>
      <c r="Y176" s="508"/>
      <c r="Z176" s="508"/>
    </row>
    <row r="177">
      <c r="A177" s="508"/>
      <c r="B177" s="508"/>
      <c r="C177" s="508"/>
      <c r="D177" s="508"/>
      <c r="E177" s="508"/>
      <c r="F177" s="508"/>
      <c r="G177" s="508"/>
      <c r="H177" s="508"/>
      <c r="I177" s="508"/>
      <c r="J177" s="508"/>
      <c r="K177" s="508"/>
      <c r="L177" s="508"/>
      <c r="M177" s="508"/>
      <c r="N177" s="508"/>
      <c r="O177" s="508"/>
      <c r="P177" s="508"/>
      <c r="Q177" s="508"/>
      <c r="R177" s="508"/>
      <c r="S177" s="508"/>
      <c r="T177" s="508"/>
      <c r="U177" s="508"/>
      <c r="V177" s="508"/>
      <c r="W177" s="508"/>
      <c r="X177" s="508"/>
      <c r="Y177" s="508"/>
      <c r="Z177" s="508"/>
    </row>
    <row r="178">
      <c r="A178" s="508"/>
      <c r="B178" s="508"/>
      <c r="C178" s="508"/>
      <c r="D178" s="508"/>
      <c r="E178" s="508"/>
      <c r="F178" s="508"/>
      <c r="G178" s="508"/>
      <c r="H178" s="508"/>
      <c r="I178" s="508"/>
      <c r="J178" s="508"/>
      <c r="K178" s="508"/>
      <c r="L178" s="508"/>
      <c r="M178" s="508"/>
      <c r="N178" s="508"/>
      <c r="O178" s="508"/>
      <c r="P178" s="508"/>
      <c r="Q178" s="508"/>
      <c r="R178" s="508"/>
      <c r="S178" s="508"/>
      <c r="T178" s="508"/>
      <c r="U178" s="508"/>
      <c r="V178" s="508"/>
      <c r="W178" s="508"/>
      <c r="X178" s="508"/>
      <c r="Y178" s="508"/>
      <c r="Z178" s="508"/>
    </row>
    <row r="179">
      <c r="A179" s="508"/>
      <c r="B179" s="508"/>
      <c r="C179" s="508"/>
      <c r="D179" s="508"/>
      <c r="E179" s="508"/>
      <c r="F179" s="508"/>
      <c r="G179" s="508"/>
      <c r="H179" s="508"/>
      <c r="I179" s="508"/>
      <c r="J179" s="508"/>
      <c r="K179" s="508"/>
      <c r="L179" s="508"/>
      <c r="M179" s="508"/>
      <c r="N179" s="508"/>
      <c r="O179" s="508"/>
      <c r="P179" s="508"/>
      <c r="Q179" s="508"/>
      <c r="R179" s="508"/>
      <c r="S179" s="508"/>
      <c r="T179" s="508"/>
      <c r="U179" s="508"/>
      <c r="V179" s="508"/>
      <c r="W179" s="508"/>
      <c r="X179" s="508"/>
      <c r="Y179" s="508"/>
      <c r="Z179" s="508"/>
    </row>
    <row r="180">
      <c r="A180" s="508"/>
      <c r="B180" s="508"/>
      <c r="C180" s="508"/>
      <c r="D180" s="508"/>
      <c r="E180" s="508"/>
      <c r="F180" s="508"/>
      <c r="G180" s="508"/>
      <c r="H180" s="508"/>
      <c r="I180" s="508"/>
      <c r="J180" s="508"/>
      <c r="K180" s="508"/>
      <c r="L180" s="508"/>
      <c r="M180" s="508"/>
      <c r="N180" s="508"/>
      <c r="O180" s="508"/>
      <c r="P180" s="508"/>
      <c r="Q180" s="508"/>
      <c r="R180" s="508"/>
      <c r="S180" s="508"/>
      <c r="T180" s="508"/>
      <c r="U180" s="508"/>
      <c r="V180" s="508"/>
      <c r="W180" s="508"/>
      <c r="X180" s="508"/>
      <c r="Y180" s="508"/>
      <c r="Z180" s="508"/>
    </row>
    <row r="181">
      <c r="A181" s="508"/>
      <c r="B181" s="508"/>
      <c r="C181" s="508"/>
      <c r="D181" s="508"/>
      <c r="E181" s="508"/>
      <c r="F181" s="508"/>
      <c r="G181" s="508"/>
      <c r="H181" s="508"/>
      <c r="I181" s="508"/>
      <c r="J181" s="508"/>
      <c r="K181" s="508"/>
      <c r="L181" s="508"/>
      <c r="M181" s="508"/>
      <c r="N181" s="508"/>
      <c r="O181" s="508"/>
      <c r="P181" s="508"/>
      <c r="Q181" s="508"/>
      <c r="R181" s="508"/>
      <c r="S181" s="508"/>
      <c r="T181" s="508"/>
      <c r="U181" s="508"/>
      <c r="V181" s="508"/>
      <c r="W181" s="508"/>
      <c r="X181" s="508"/>
      <c r="Y181" s="508"/>
      <c r="Z181" s="508"/>
    </row>
    <row r="182">
      <c r="A182" s="508"/>
      <c r="B182" s="508"/>
      <c r="C182" s="508"/>
      <c r="D182" s="508"/>
      <c r="E182" s="508"/>
      <c r="F182" s="508"/>
      <c r="G182" s="508"/>
      <c r="H182" s="508"/>
      <c r="I182" s="508"/>
      <c r="J182" s="508"/>
      <c r="K182" s="508"/>
      <c r="L182" s="508"/>
      <c r="M182" s="508"/>
      <c r="N182" s="508"/>
      <c r="O182" s="508"/>
      <c r="P182" s="508"/>
      <c r="Q182" s="508"/>
      <c r="R182" s="508"/>
      <c r="S182" s="508"/>
      <c r="T182" s="508"/>
      <c r="U182" s="508"/>
      <c r="V182" s="508"/>
      <c r="W182" s="508"/>
      <c r="X182" s="508"/>
      <c r="Y182" s="508"/>
      <c r="Z182" s="508"/>
    </row>
    <row r="183">
      <c r="A183" s="508"/>
      <c r="B183" s="508"/>
      <c r="C183" s="508"/>
      <c r="D183" s="508"/>
      <c r="E183" s="508"/>
      <c r="F183" s="508"/>
      <c r="G183" s="508"/>
      <c r="H183" s="508"/>
      <c r="I183" s="508"/>
      <c r="J183" s="508"/>
      <c r="K183" s="508"/>
      <c r="L183" s="508"/>
      <c r="M183" s="508"/>
      <c r="N183" s="508"/>
      <c r="O183" s="508"/>
      <c r="P183" s="508"/>
      <c r="Q183" s="508"/>
      <c r="R183" s="508"/>
      <c r="S183" s="508"/>
      <c r="T183" s="508"/>
      <c r="U183" s="508"/>
      <c r="V183" s="508"/>
      <c r="W183" s="508"/>
      <c r="X183" s="508"/>
      <c r="Y183" s="508"/>
      <c r="Z183" s="508"/>
    </row>
    <row r="184">
      <c r="A184" s="508"/>
      <c r="B184" s="508"/>
      <c r="C184" s="508"/>
      <c r="D184" s="508"/>
      <c r="E184" s="508"/>
      <c r="F184" s="508"/>
      <c r="G184" s="508"/>
      <c r="H184" s="508"/>
      <c r="I184" s="508"/>
      <c r="J184" s="508"/>
      <c r="K184" s="508"/>
      <c r="L184" s="508"/>
      <c r="M184" s="508"/>
      <c r="N184" s="508"/>
      <c r="O184" s="508"/>
      <c r="P184" s="508"/>
      <c r="Q184" s="508"/>
      <c r="R184" s="508"/>
      <c r="S184" s="508"/>
      <c r="T184" s="508"/>
      <c r="U184" s="508"/>
      <c r="V184" s="508"/>
      <c r="W184" s="508"/>
      <c r="X184" s="508"/>
      <c r="Y184" s="508"/>
      <c r="Z184" s="508"/>
    </row>
    <row r="185">
      <c r="A185" s="508"/>
      <c r="B185" s="508"/>
      <c r="C185" s="508"/>
      <c r="D185" s="508"/>
      <c r="E185" s="508"/>
      <c r="F185" s="508"/>
      <c r="G185" s="508"/>
      <c r="H185" s="508"/>
      <c r="I185" s="508"/>
      <c r="J185" s="508"/>
      <c r="K185" s="508"/>
      <c r="L185" s="508"/>
      <c r="M185" s="508"/>
      <c r="N185" s="508"/>
      <c r="O185" s="508"/>
      <c r="P185" s="508"/>
      <c r="Q185" s="508"/>
      <c r="R185" s="508"/>
      <c r="S185" s="508"/>
      <c r="T185" s="508"/>
      <c r="U185" s="508"/>
      <c r="V185" s="508"/>
      <c r="W185" s="508"/>
      <c r="X185" s="508"/>
      <c r="Y185" s="508"/>
      <c r="Z185" s="508"/>
    </row>
    <row r="186">
      <c r="A186" s="508"/>
      <c r="B186" s="508"/>
      <c r="C186" s="508"/>
      <c r="D186" s="508"/>
      <c r="E186" s="508"/>
      <c r="F186" s="508"/>
      <c r="G186" s="508"/>
      <c r="H186" s="508"/>
      <c r="I186" s="508"/>
      <c r="J186" s="508"/>
      <c r="K186" s="508"/>
      <c r="L186" s="508"/>
      <c r="M186" s="508"/>
      <c r="N186" s="508"/>
      <c r="O186" s="508"/>
      <c r="P186" s="508"/>
      <c r="Q186" s="508"/>
      <c r="R186" s="508"/>
      <c r="S186" s="508"/>
      <c r="T186" s="508"/>
      <c r="U186" s="508"/>
      <c r="V186" s="508"/>
      <c r="W186" s="508"/>
      <c r="X186" s="508"/>
      <c r="Y186" s="508"/>
      <c r="Z186" s="508"/>
    </row>
    <row r="187">
      <c r="A187" s="508"/>
      <c r="B187" s="508"/>
      <c r="C187" s="508"/>
      <c r="D187" s="508"/>
      <c r="E187" s="508"/>
      <c r="F187" s="508"/>
      <c r="G187" s="508"/>
      <c r="H187" s="508"/>
      <c r="I187" s="508"/>
      <c r="J187" s="508"/>
      <c r="K187" s="508"/>
      <c r="L187" s="508"/>
      <c r="M187" s="508"/>
      <c r="N187" s="508"/>
      <c r="O187" s="508"/>
      <c r="P187" s="508"/>
      <c r="Q187" s="508"/>
      <c r="R187" s="508"/>
      <c r="S187" s="508"/>
      <c r="T187" s="508"/>
      <c r="U187" s="508"/>
      <c r="V187" s="508"/>
      <c r="W187" s="508"/>
      <c r="X187" s="508"/>
      <c r="Y187" s="508"/>
      <c r="Z187" s="508"/>
    </row>
    <row r="188">
      <c r="A188" s="508"/>
      <c r="B188" s="508"/>
      <c r="C188" s="508"/>
      <c r="D188" s="508"/>
      <c r="E188" s="508"/>
      <c r="F188" s="508"/>
      <c r="G188" s="508"/>
      <c r="H188" s="508"/>
      <c r="I188" s="508"/>
      <c r="J188" s="508"/>
      <c r="K188" s="508"/>
      <c r="L188" s="508"/>
      <c r="M188" s="508"/>
      <c r="N188" s="508"/>
      <c r="O188" s="508"/>
      <c r="P188" s="508"/>
      <c r="Q188" s="508"/>
      <c r="R188" s="508"/>
      <c r="S188" s="508"/>
      <c r="T188" s="508"/>
      <c r="U188" s="508"/>
      <c r="V188" s="508"/>
      <c r="W188" s="508"/>
      <c r="X188" s="508"/>
      <c r="Y188" s="508"/>
      <c r="Z188" s="508"/>
    </row>
    <row r="189">
      <c r="A189" s="508"/>
      <c r="B189" s="508"/>
      <c r="C189" s="508"/>
      <c r="D189" s="508"/>
      <c r="E189" s="508"/>
      <c r="F189" s="508"/>
      <c r="G189" s="508"/>
      <c r="H189" s="508"/>
      <c r="I189" s="508"/>
      <c r="J189" s="508"/>
      <c r="K189" s="508"/>
      <c r="L189" s="508"/>
      <c r="M189" s="508"/>
      <c r="N189" s="508"/>
      <c r="O189" s="508"/>
      <c r="P189" s="508"/>
      <c r="Q189" s="508"/>
      <c r="R189" s="508"/>
      <c r="S189" s="508"/>
      <c r="T189" s="508"/>
      <c r="U189" s="508"/>
      <c r="V189" s="508"/>
      <c r="W189" s="508"/>
      <c r="X189" s="508"/>
      <c r="Y189" s="508"/>
      <c r="Z189" s="508"/>
    </row>
    <row r="190">
      <c r="A190" s="508"/>
      <c r="B190" s="508"/>
      <c r="C190" s="508"/>
      <c r="D190" s="508"/>
      <c r="E190" s="508"/>
      <c r="F190" s="508"/>
      <c r="G190" s="508"/>
      <c r="H190" s="508"/>
      <c r="I190" s="508"/>
      <c r="J190" s="508"/>
      <c r="K190" s="508"/>
      <c r="L190" s="508"/>
      <c r="M190" s="508"/>
      <c r="N190" s="508"/>
      <c r="O190" s="508"/>
      <c r="P190" s="508"/>
      <c r="Q190" s="508"/>
      <c r="R190" s="508"/>
      <c r="S190" s="508"/>
      <c r="T190" s="508"/>
      <c r="U190" s="508"/>
      <c r="V190" s="508"/>
      <c r="W190" s="508"/>
      <c r="X190" s="508"/>
      <c r="Y190" s="508"/>
      <c r="Z190" s="508"/>
    </row>
    <row r="191">
      <c r="A191" s="508"/>
      <c r="B191" s="508"/>
      <c r="C191" s="508"/>
      <c r="D191" s="508"/>
      <c r="E191" s="508"/>
      <c r="F191" s="508"/>
      <c r="G191" s="508"/>
      <c r="H191" s="508"/>
      <c r="I191" s="508"/>
      <c r="J191" s="508"/>
      <c r="K191" s="508"/>
      <c r="L191" s="508"/>
      <c r="M191" s="508"/>
      <c r="N191" s="508"/>
      <c r="O191" s="508"/>
      <c r="P191" s="508"/>
      <c r="Q191" s="508"/>
      <c r="R191" s="508"/>
      <c r="S191" s="508"/>
      <c r="T191" s="508"/>
      <c r="U191" s="508"/>
      <c r="V191" s="508"/>
      <c r="W191" s="508"/>
      <c r="X191" s="508"/>
      <c r="Y191" s="508"/>
      <c r="Z191" s="508"/>
    </row>
    <row r="192">
      <c r="A192" s="508"/>
      <c r="B192" s="508"/>
      <c r="C192" s="508"/>
      <c r="D192" s="508"/>
      <c r="E192" s="508"/>
      <c r="F192" s="508"/>
      <c r="G192" s="508"/>
      <c r="H192" s="508"/>
      <c r="I192" s="508"/>
      <c r="J192" s="508"/>
      <c r="K192" s="508"/>
      <c r="L192" s="508"/>
      <c r="M192" s="508"/>
      <c r="N192" s="508"/>
      <c r="O192" s="508"/>
      <c r="P192" s="508"/>
      <c r="Q192" s="508"/>
      <c r="R192" s="508"/>
      <c r="S192" s="508"/>
      <c r="T192" s="508"/>
      <c r="U192" s="508"/>
      <c r="V192" s="508"/>
      <c r="W192" s="508"/>
      <c r="X192" s="508"/>
      <c r="Y192" s="508"/>
      <c r="Z192" s="508"/>
    </row>
    <row r="193">
      <c r="A193" s="508"/>
      <c r="B193" s="508"/>
      <c r="C193" s="508"/>
      <c r="D193" s="508"/>
      <c r="E193" s="508"/>
      <c r="F193" s="508"/>
      <c r="G193" s="508"/>
      <c r="H193" s="508"/>
      <c r="I193" s="508"/>
      <c r="J193" s="508"/>
      <c r="K193" s="508"/>
      <c r="L193" s="508"/>
      <c r="M193" s="508"/>
      <c r="N193" s="508"/>
      <c r="O193" s="508"/>
      <c r="P193" s="508"/>
      <c r="Q193" s="508"/>
      <c r="R193" s="508"/>
      <c r="S193" s="508"/>
      <c r="T193" s="508"/>
      <c r="U193" s="508"/>
      <c r="V193" s="508"/>
      <c r="W193" s="508"/>
      <c r="X193" s="508"/>
      <c r="Y193" s="508"/>
      <c r="Z193" s="508"/>
    </row>
    <row r="194">
      <c r="A194" s="508"/>
      <c r="B194" s="508"/>
      <c r="C194" s="508"/>
      <c r="D194" s="508"/>
      <c r="E194" s="508"/>
      <c r="F194" s="508"/>
      <c r="G194" s="508"/>
      <c r="H194" s="508"/>
      <c r="I194" s="508"/>
      <c r="J194" s="508"/>
      <c r="K194" s="508"/>
      <c r="L194" s="508"/>
      <c r="M194" s="508"/>
      <c r="N194" s="508"/>
      <c r="O194" s="508"/>
      <c r="P194" s="508"/>
      <c r="Q194" s="508"/>
      <c r="R194" s="508"/>
      <c r="S194" s="508"/>
      <c r="T194" s="508"/>
      <c r="U194" s="508"/>
      <c r="V194" s="508"/>
      <c r="W194" s="508"/>
      <c r="X194" s="508"/>
      <c r="Y194" s="508"/>
      <c r="Z194" s="508"/>
    </row>
    <row r="195">
      <c r="A195" s="508"/>
      <c r="B195" s="508"/>
      <c r="C195" s="508"/>
      <c r="D195" s="508"/>
      <c r="E195" s="508"/>
      <c r="F195" s="508"/>
      <c r="G195" s="508"/>
      <c r="H195" s="508"/>
      <c r="I195" s="508"/>
      <c r="J195" s="508"/>
      <c r="K195" s="508"/>
      <c r="L195" s="508"/>
      <c r="M195" s="508"/>
      <c r="N195" s="508"/>
      <c r="O195" s="508"/>
      <c r="P195" s="508"/>
      <c r="Q195" s="508"/>
      <c r="R195" s="508"/>
      <c r="S195" s="508"/>
      <c r="T195" s="508"/>
      <c r="U195" s="508"/>
      <c r="V195" s="508"/>
      <c r="W195" s="508"/>
      <c r="X195" s="508"/>
      <c r="Y195" s="508"/>
      <c r="Z195" s="508"/>
    </row>
    <row r="196">
      <c r="A196" s="508"/>
      <c r="B196" s="508"/>
      <c r="C196" s="508"/>
      <c r="D196" s="508"/>
      <c r="E196" s="508"/>
      <c r="F196" s="508"/>
      <c r="G196" s="508"/>
      <c r="H196" s="508"/>
      <c r="I196" s="508"/>
      <c r="J196" s="508"/>
      <c r="K196" s="508"/>
      <c r="L196" s="508"/>
      <c r="M196" s="508"/>
      <c r="N196" s="508"/>
      <c r="O196" s="508"/>
      <c r="P196" s="508"/>
      <c r="Q196" s="508"/>
      <c r="R196" s="508"/>
      <c r="S196" s="508"/>
      <c r="T196" s="508"/>
      <c r="U196" s="508"/>
      <c r="V196" s="508"/>
      <c r="W196" s="508"/>
      <c r="X196" s="508"/>
      <c r="Y196" s="508"/>
      <c r="Z196" s="508"/>
    </row>
    <row r="197">
      <c r="A197" s="508"/>
      <c r="B197" s="508"/>
      <c r="C197" s="508"/>
      <c r="D197" s="508"/>
      <c r="E197" s="508"/>
      <c r="F197" s="508"/>
      <c r="G197" s="508"/>
      <c r="H197" s="508"/>
      <c r="I197" s="508"/>
      <c r="J197" s="508"/>
      <c r="K197" s="508"/>
      <c r="L197" s="508"/>
      <c r="M197" s="508"/>
      <c r="N197" s="508"/>
      <c r="O197" s="508"/>
      <c r="P197" s="508"/>
      <c r="Q197" s="508"/>
      <c r="R197" s="508"/>
      <c r="S197" s="508"/>
      <c r="T197" s="508"/>
      <c r="U197" s="508"/>
      <c r="V197" s="508"/>
      <c r="W197" s="508"/>
      <c r="X197" s="508"/>
      <c r="Y197" s="508"/>
      <c r="Z197" s="508"/>
    </row>
    <row r="198">
      <c r="A198" s="508"/>
      <c r="B198" s="508"/>
      <c r="C198" s="508"/>
      <c r="D198" s="508"/>
      <c r="E198" s="508"/>
      <c r="F198" s="508"/>
      <c r="G198" s="508"/>
      <c r="H198" s="508"/>
      <c r="I198" s="508"/>
      <c r="J198" s="508"/>
      <c r="K198" s="508"/>
      <c r="L198" s="508"/>
      <c r="M198" s="508"/>
      <c r="N198" s="508"/>
      <c r="O198" s="508"/>
      <c r="P198" s="508"/>
      <c r="Q198" s="508"/>
      <c r="R198" s="508"/>
      <c r="S198" s="508"/>
      <c r="T198" s="508"/>
      <c r="U198" s="508"/>
      <c r="V198" s="508"/>
      <c r="W198" s="508"/>
      <c r="X198" s="508"/>
      <c r="Y198" s="508"/>
      <c r="Z198" s="508"/>
    </row>
    <row r="199">
      <c r="A199" s="508"/>
      <c r="B199" s="508"/>
      <c r="C199" s="508"/>
      <c r="D199" s="508"/>
      <c r="E199" s="508"/>
      <c r="F199" s="508"/>
      <c r="G199" s="508"/>
      <c r="H199" s="508"/>
      <c r="I199" s="508"/>
      <c r="J199" s="508"/>
      <c r="K199" s="508"/>
      <c r="L199" s="508"/>
      <c r="M199" s="508"/>
      <c r="N199" s="508"/>
      <c r="O199" s="508"/>
      <c r="P199" s="508"/>
      <c r="Q199" s="508"/>
      <c r="R199" s="508"/>
      <c r="S199" s="508"/>
      <c r="T199" s="508"/>
      <c r="U199" s="508"/>
      <c r="V199" s="508"/>
      <c r="W199" s="508"/>
      <c r="X199" s="508"/>
      <c r="Y199" s="508"/>
      <c r="Z199" s="508"/>
    </row>
    <row r="200">
      <c r="A200" s="508"/>
      <c r="B200" s="508"/>
      <c r="C200" s="508"/>
      <c r="D200" s="508"/>
      <c r="E200" s="508"/>
      <c r="F200" s="508"/>
      <c r="G200" s="508"/>
      <c r="H200" s="508"/>
      <c r="I200" s="508"/>
      <c r="J200" s="508"/>
      <c r="K200" s="508"/>
      <c r="L200" s="508"/>
      <c r="M200" s="508"/>
      <c r="N200" s="508"/>
      <c r="O200" s="508"/>
      <c r="P200" s="508"/>
      <c r="Q200" s="508"/>
      <c r="R200" s="508"/>
      <c r="S200" s="508"/>
      <c r="T200" s="508"/>
      <c r="U200" s="508"/>
      <c r="V200" s="508"/>
      <c r="W200" s="508"/>
      <c r="X200" s="508"/>
      <c r="Y200" s="508"/>
      <c r="Z200" s="508"/>
    </row>
    <row r="201">
      <c r="A201" s="508"/>
      <c r="B201" s="508"/>
      <c r="C201" s="508"/>
      <c r="D201" s="508"/>
      <c r="E201" s="508"/>
      <c r="F201" s="508"/>
      <c r="G201" s="508"/>
      <c r="H201" s="508"/>
      <c r="I201" s="508"/>
      <c r="J201" s="508"/>
      <c r="K201" s="508"/>
      <c r="L201" s="508"/>
      <c r="M201" s="508"/>
      <c r="N201" s="508"/>
      <c r="O201" s="508"/>
      <c r="P201" s="508"/>
      <c r="Q201" s="508"/>
      <c r="R201" s="508"/>
      <c r="S201" s="508"/>
      <c r="T201" s="508"/>
      <c r="U201" s="508"/>
      <c r="V201" s="508"/>
      <c r="W201" s="508"/>
      <c r="X201" s="508"/>
      <c r="Y201" s="508"/>
      <c r="Z201" s="508"/>
    </row>
    <row r="202">
      <c r="A202" s="508"/>
      <c r="B202" s="508"/>
      <c r="C202" s="508"/>
      <c r="D202" s="508"/>
      <c r="E202" s="508"/>
      <c r="F202" s="508"/>
      <c r="G202" s="508"/>
      <c r="H202" s="508"/>
      <c r="I202" s="508"/>
      <c r="J202" s="508"/>
      <c r="K202" s="508"/>
      <c r="L202" s="508"/>
      <c r="M202" s="508"/>
      <c r="N202" s="508"/>
      <c r="O202" s="508"/>
      <c r="P202" s="508"/>
      <c r="Q202" s="508"/>
      <c r="R202" s="508"/>
      <c r="S202" s="508"/>
      <c r="T202" s="508"/>
      <c r="U202" s="508"/>
      <c r="V202" s="508"/>
      <c r="W202" s="508"/>
      <c r="X202" s="508"/>
      <c r="Y202" s="508"/>
      <c r="Z202" s="508"/>
    </row>
    <row r="203">
      <c r="A203" s="508"/>
      <c r="B203" s="508"/>
      <c r="C203" s="508"/>
      <c r="D203" s="508"/>
      <c r="E203" s="508"/>
      <c r="F203" s="508"/>
      <c r="G203" s="508"/>
      <c r="H203" s="508"/>
      <c r="I203" s="508"/>
      <c r="J203" s="508"/>
      <c r="K203" s="508"/>
      <c r="L203" s="508"/>
      <c r="M203" s="508"/>
      <c r="N203" s="508"/>
      <c r="O203" s="508"/>
      <c r="P203" s="508"/>
      <c r="Q203" s="508"/>
      <c r="R203" s="508"/>
      <c r="S203" s="508"/>
      <c r="T203" s="508"/>
      <c r="U203" s="508"/>
      <c r="V203" s="508"/>
      <c r="W203" s="508"/>
      <c r="X203" s="508"/>
      <c r="Y203" s="508"/>
      <c r="Z203" s="508"/>
    </row>
    <row r="204">
      <c r="A204" s="508"/>
      <c r="B204" s="508"/>
      <c r="C204" s="508"/>
      <c r="D204" s="508"/>
      <c r="E204" s="508"/>
      <c r="F204" s="508"/>
      <c r="G204" s="508"/>
      <c r="H204" s="508"/>
      <c r="I204" s="508"/>
      <c r="J204" s="508"/>
      <c r="K204" s="508"/>
      <c r="L204" s="508"/>
      <c r="M204" s="508"/>
      <c r="N204" s="508"/>
      <c r="O204" s="508"/>
      <c r="P204" s="508"/>
      <c r="Q204" s="508"/>
      <c r="R204" s="508"/>
      <c r="S204" s="508"/>
      <c r="T204" s="508"/>
      <c r="U204" s="508"/>
      <c r="V204" s="508"/>
      <c r="W204" s="508"/>
      <c r="X204" s="508"/>
      <c r="Y204" s="508"/>
      <c r="Z204" s="508"/>
    </row>
    <row r="205">
      <c r="A205" s="508"/>
      <c r="B205" s="508"/>
      <c r="C205" s="508"/>
      <c r="D205" s="508"/>
      <c r="E205" s="508"/>
      <c r="F205" s="508"/>
      <c r="G205" s="508"/>
      <c r="H205" s="508"/>
      <c r="I205" s="508"/>
      <c r="J205" s="508"/>
      <c r="K205" s="508"/>
      <c r="L205" s="508"/>
      <c r="M205" s="508"/>
      <c r="N205" s="508"/>
      <c r="O205" s="508"/>
      <c r="P205" s="508"/>
      <c r="Q205" s="508"/>
      <c r="R205" s="508"/>
      <c r="S205" s="508"/>
      <c r="T205" s="508"/>
      <c r="U205" s="508"/>
      <c r="V205" s="508"/>
      <c r="W205" s="508"/>
      <c r="X205" s="508"/>
      <c r="Y205" s="508"/>
      <c r="Z205" s="508"/>
    </row>
    <row r="206">
      <c r="A206" s="508"/>
      <c r="B206" s="508"/>
      <c r="C206" s="508"/>
      <c r="D206" s="508"/>
      <c r="E206" s="508"/>
      <c r="F206" s="508"/>
      <c r="G206" s="508"/>
      <c r="H206" s="508"/>
      <c r="I206" s="508"/>
      <c r="J206" s="508"/>
      <c r="K206" s="508"/>
      <c r="L206" s="508"/>
      <c r="M206" s="508"/>
      <c r="N206" s="508"/>
      <c r="O206" s="508"/>
      <c r="P206" s="508"/>
      <c r="Q206" s="508"/>
      <c r="R206" s="508"/>
      <c r="S206" s="508"/>
      <c r="T206" s="508"/>
      <c r="U206" s="508"/>
      <c r="V206" s="508"/>
      <c r="W206" s="508"/>
      <c r="X206" s="508"/>
      <c r="Y206" s="508"/>
      <c r="Z206" s="508"/>
    </row>
    <row r="207">
      <c r="A207" s="508"/>
      <c r="B207" s="508"/>
      <c r="C207" s="508"/>
      <c r="D207" s="508"/>
      <c r="E207" s="508"/>
      <c r="F207" s="508"/>
      <c r="G207" s="508"/>
      <c r="H207" s="508"/>
      <c r="I207" s="508"/>
      <c r="J207" s="508"/>
      <c r="K207" s="508"/>
      <c r="L207" s="508"/>
      <c r="M207" s="508"/>
      <c r="N207" s="508"/>
      <c r="O207" s="508"/>
      <c r="P207" s="508"/>
      <c r="Q207" s="508"/>
      <c r="R207" s="508"/>
      <c r="S207" s="508"/>
      <c r="T207" s="508"/>
      <c r="U207" s="508"/>
      <c r="V207" s="508"/>
      <c r="W207" s="508"/>
      <c r="X207" s="508"/>
      <c r="Y207" s="508"/>
      <c r="Z207" s="508"/>
    </row>
    <row r="208">
      <c r="A208" s="508"/>
      <c r="B208" s="508"/>
      <c r="C208" s="508"/>
      <c r="D208" s="508"/>
      <c r="E208" s="508"/>
      <c r="F208" s="508"/>
      <c r="G208" s="508"/>
      <c r="H208" s="508"/>
      <c r="I208" s="508"/>
      <c r="J208" s="508"/>
      <c r="K208" s="508"/>
      <c r="L208" s="508"/>
      <c r="M208" s="508"/>
      <c r="N208" s="508"/>
      <c r="O208" s="508"/>
      <c r="P208" s="508"/>
      <c r="Q208" s="508"/>
      <c r="R208" s="508"/>
      <c r="S208" s="508"/>
      <c r="T208" s="508"/>
      <c r="U208" s="508"/>
      <c r="V208" s="508"/>
      <c r="W208" s="508"/>
      <c r="X208" s="508"/>
      <c r="Y208" s="508"/>
      <c r="Z208" s="508"/>
    </row>
    <row r="209">
      <c r="A209" s="508"/>
      <c r="B209" s="508"/>
      <c r="C209" s="508"/>
      <c r="D209" s="508"/>
      <c r="E209" s="508"/>
      <c r="F209" s="508"/>
      <c r="G209" s="508"/>
      <c r="H209" s="508"/>
      <c r="I209" s="508"/>
      <c r="J209" s="508"/>
      <c r="K209" s="508"/>
      <c r="L209" s="508"/>
      <c r="M209" s="508"/>
      <c r="N209" s="508"/>
      <c r="O209" s="508"/>
      <c r="P209" s="508"/>
      <c r="Q209" s="508"/>
      <c r="R209" s="508"/>
      <c r="S209" s="508"/>
      <c r="T209" s="508"/>
      <c r="U209" s="508"/>
      <c r="V209" s="508"/>
      <c r="W209" s="508"/>
      <c r="X209" s="508"/>
      <c r="Y209" s="508"/>
      <c r="Z209" s="508"/>
    </row>
    <row r="210">
      <c r="A210" s="508"/>
      <c r="B210" s="508"/>
      <c r="C210" s="508"/>
      <c r="D210" s="508"/>
      <c r="E210" s="508"/>
      <c r="F210" s="508"/>
      <c r="G210" s="508"/>
      <c r="H210" s="508"/>
      <c r="I210" s="508"/>
      <c r="J210" s="508"/>
      <c r="K210" s="508"/>
      <c r="L210" s="508"/>
      <c r="M210" s="508"/>
      <c r="N210" s="508"/>
      <c r="O210" s="508"/>
      <c r="P210" s="508"/>
      <c r="Q210" s="508"/>
      <c r="R210" s="508"/>
      <c r="S210" s="508"/>
      <c r="T210" s="508"/>
      <c r="U210" s="508"/>
      <c r="V210" s="508"/>
      <c r="W210" s="508"/>
      <c r="X210" s="508"/>
      <c r="Y210" s="508"/>
      <c r="Z210" s="508"/>
    </row>
    <row r="211">
      <c r="A211" s="508"/>
      <c r="B211" s="508"/>
      <c r="C211" s="508"/>
      <c r="D211" s="508"/>
      <c r="E211" s="508"/>
      <c r="F211" s="508"/>
      <c r="G211" s="508"/>
      <c r="H211" s="508"/>
      <c r="I211" s="508"/>
      <c r="J211" s="508"/>
      <c r="K211" s="508"/>
      <c r="L211" s="508"/>
      <c r="M211" s="508"/>
      <c r="N211" s="508"/>
      <c r="O211" s="508"/>
      <c r="P211" s="508"/>
      <c r="Q211" s="508"/>
      <c r="R211" s="508"/>
      <c r="S211" s="508"/>
      <c r="T211" s="508"/>
      <c r="U211" s="508"/>
      <c r="V211" s="508"/>
      <c r="W211" s="508"/>
      <c r="X211" s="508"/>
      <c r="Y211" s="508"/>
      <c r="Z211" s="508"/>
    </row>
    <row r="212">
      <c r="A212" s="508"/>
      <c r="B212" s="508"/>
      <c r="C212" s="508"/>
      <c r="D212" s="508"/>
      <c r="E212" s="508"/>
      <c r="F212" s="508"/>
      <c r="G212" s="508"/>
      <c r="H212" s="508"/>
      <c r="I212" s="508"/>
      <c r="J212" s="508"/>
      <c r="K212" s="508"/>
      <c r="L212" s="508"/>
      <c r="M212" s="508"/>
      <c r="N212" s="508"/>
      <c r="O212" s="508"/>
      <c r="P212" s="508"/>
      <c r="Q212" s="508"/>
      <c r="R212" s="508"/>
      <c r="S212" s="508"/>
      <c r="T212" s="508"/>
      <c r="U212" s="508"/>
      <c r="V212" s="508"/>
      <c r="W212" s="508"/>
      <c r="X212" s="508"/>
      <c r="Y212" s="508"/>
      <c r="Z212" s="508"/>
    </row>
    <row r="213">
      <c r="A213" s="508"/>
      <c r="B213" s="508"/>
      <c r="C213" s="508"/>
      <c r="D213" s="508"/>
      <c r="E213" s="508"/>
      <c r="F213" s="508"/>
      <c r="G213" s="508"/>
      <c r="H213" s="508"/>
      <c r="I213" s="508"/>
      <c r="J213" s="508"/>
      <c r="K213" s="508"/>
      <c r="L213" s="508"/>
      <c r="M213" s="508"/>
      <c r="N213" s="508"/>
      <c r="O213" s="508"/>
      <c r="P213" s="508"/>
      <c r="Q213" s="508"/>
      <c r="R213" s="508"/>
      <c r="S213" s="508"/>
      <c r="T213" s="508"/>
      <c r="U213" s="508"/>
      <c r="V213" s="508"/>
      <c r="W213" s="508"/>
      <c r="X213" s="508"/>
      <c r="Y213" s="508"/>
      <c r="Z213" s="508"/>
    </row>
    <row r="214">
      <c r="A214" s="508"/>
      <c r="B214" s="508"/>
      <c r="C214" s="508"/>
      <c r="D214" s="508"/>
      <c r="E214" s="508"/>
      <c r="F214" s="508"/>
      <c r="G214" s="508"/>
      <c r="H214" s="508"/>
      <c r="I214" s="508"/>
      <c r="J214" s="508"/>
      <c r="K214" s="508"/>
      <c r="L214" s="508"/>
      <c r="M214" s="508"/>
      <c r="N214" s="508"/>
      <c r="O214" s="508"/>
      <c r="P214" s="508"/>
      <c r="Q214" s="508"/>
      <c r="R214" s="508"/>
      <c r="S214" s="508"/>
      <c r="T214" s="508"/>
      <c r="U214" s="508"/>
      <c r="V214" s="508"/>
      <c r="W214" s="508"/>
      <c r="X214" s="508"/>
      <c r="Y214" s="508"/>
      <c r="Z214" s="508"/>
    </row>
    <row r="215">
      <c r="A215" s="508"/>
      <c r="B215" s="508"/>
      <c r="C215" s="508"/>
      <c r="D215" s="508"/>
      <c r="E215" s="508"/>
      <c r="F215" s="508"/>
      <c r="G215" s="508"/>
      <c r="H215" s="508"/>
      <c r="I215" s="508"/>
      <c r="J215" s="508"/>
      <c r="K215" s="508"/>
      <c r="L215" s="508"/>
      <c r="M215" s="508"/>
      <c r="N215" s="508"/>
      <c r="O215" s="508"/>
      <c r="P215" s="508"/>
      <c r="Q215" s="508"/>
      <c r="R215" s="508"/>
      <c r="S215" s="508"/>
      <c r="T215" s="508"/>
      <c r="U215" s="508"/>
      <c r="V215" s="508"/>
      <c r="W215" s="508"/>
      <c r="X215" s="508"/>
      <c r="Y215" s="508"/>
      <c r="Z215" s="508"/>
    </row>
    <row r="216">
      <c r="A216" s="508"/>
      <c r="B216" s="508"/>
      <c r="C216" s="508"/>
      <c r="D216" s="508"/>
      <c r="E216" s="508"/>
      <c r="F216" s="508"/>
      <c r="G216" s="508"/>
      <c r="H216" s="508"/>
      <c r="I216" s="508"/>
      <c r="J216" s="508"/>
      <c r="K216" s="508"/>
      <c r="L216" s="508"/>
      <c r="M216" s="508"/>
      <c r="N216" s="508"/>
      <c r="O216" s="508"/>
      <c r="P216" s="508"/>
      <c r="Q216" s="508"/>
      <c r="R216" s="508"/>
      <c r="S216" s="508"/>
      <c r="T216" s="508"/>
      <c r="U216" s="508"/>
      <c r="V216" s="508"/>
      <c r="W216" s="508"/>
      <c r="X216" s="508"/>
      <c r="Y216" s="508"/>
      <c r="Z216" s="508"/>
    </row>
    <row r="217">
      <c r="A217" s="508"/>
      <c r="B217" s="508"/>
      <c r="C217" s="508"/>
      <c r="D217" s="508"/>
      <c r="E217" s="508"/>
      <c r="F217" s="508"/>
      <c r="G217" s="508"/>
      <c r="H217" s="508"/>
      <c r="I217" s="508"/>
      <c r="J217" s="508"/>
      <c r="K217" s="508"/>
      <c r="L217" s="508"/>
      <c r="M217" s="508"/>
      <c r="N217" s="508"/>
      <c r="O217" s="508"/>
      <c r="P217" s="508"/>
      <c r="Q217" s="508"/>
      <c r="R217" s="508"/>
      <c r="S217" s="508"/>
      <c r="T217" s="508"/>
      <c r="U217" s="508"/>
      <c r="V217" s="508"/>
      <c r="W217" s="508"/>
      <c r="X217" s="508"/>
      <c r="Y217" s="508"/>
      <c r="Z217" s="508"/>
    </row>
    <row r="218">
      <c r="A218" s="508"/>
      <c r="B218" s="508"/>
      <c r="C218" s="508"/>
      <c r="D218" s="508"/>
      <c r="E218" s="508"/>
      <c r="F218" s="508"/>
      <c r="G218" s="508"/>
      <c r="H218" s="508"/>
      <c r="I218" s="508"/>
      <c r="J218" s="508"/>
      <c r="K218" s="508"/>
      <c r="L218" s="508"/>
      <c r="M218" s="508"/>
      <c r="N218" s="508"/>
      <c r="O218" s="508"/>
      <c r="P218" s="508"/>
      <c r="Q218" s="508"/>
      <c r="R218" s="508"/>
      <c r="S218" s="508"/>
      <c r="T218" s="508"/>
      <c r="U218" s="508"/>
      <c r="V218" s="508"/>
      <c r="W218" s="508"/>
      <c r="X218" s="508"/>
      <c r="Y218" s="508"/>
      <c r="Z218" s="508"/>
    </row>
    <row r="219">
      <c r="A219" s="508"/>
      <c r="B219" s="508"/>
      <c r="C219" s="508"/>
      <c r="D219" s="508"/>
      <c r="E219" s="508"/>
      <c r="F219" s="508"/>
      <c r="G219" s="508"/>
      <c r="H219" s="508"/>
      <c r="I219" s="508"/>
      <c r="J219" s="508"/>
      <c r="K219" s="508"/>
      <c r="L219" s="508"/>
      <c r="M219" s="508"/>
      <c r="N219" s="508"/>
      <c r="O219" s="508"/>
      <c r="P219" s="508"/>
      <c r="Q219" s="508"/>
      <c r="R219" s="508"/>
      <c r="S219" s="508"/>
      <c r="T219" s="508"/>
      <c r="U219" s="508"/>
      <c r="V219" s="508"/>
      <c r="W219" s="508"/>
      <c r="X219" s="508"/>
      <c r="Y219" s="508"/>
      <c r="Z219" s="508"/>
    </row>
    <row r="220">
      <c r="A220" s="508"/>
      <c r="B220" s="508"/>
      <c r="C220" s="508"/>
      <c r="D220" s="508"/>
      <c r="E220" s="508"/>
      <c r="F220" s="508"/>
      <c r="G220" s="508"/>
      <c r="H220" s="508"/>
      <c r="I220" s="508"/>
      <c r="J220" s="508"/>
      <c r="K220" s="508"/>
      <c r="L220" s="508"/>
      <c r="M220" s="508"/>
      <c r="N220" s="508"/>
      <c r="O220" s="508"/>
      <c r="P220" s="508"/>
      <c r="Q220" s="508"/>
      <c r="R220" s="508"/>
      <c r="S220" s="508"/>
      <c r="T220" s="508"/>
      <c r="U220" s="508"/>
      <c r="V220" s="508"/>
      <c r="W220" s="508"/>
      <c r="X220" s="508"/>
      <c r="Y220" s="508"/>
      <c r="Z220" s="508"/>
    </row>
    <row r="221">
      <c r="A221" s="508"/>
      <c r="B221" s="508"/>
      <c r="C221" s="508"/>
      <c r="D221" s="508"/>
      <c r="E221" s="508"/>
      <c r="F221" s="508"/>
      <c r="G221" s="508"/>
      <c r="H221" s="508"/>
      <c r="I221" s="508"/>
      <c r="J221" s="508"/>
      <c r="K221" s="508"/>
      <c r="L221" s="508"/>
      <c r="M221" s="508"/>
      <c r="N221" s="508"/>
      <c r="O221" s="508"/>
      <c r="P221" s="508"/>
      <c r="Q221" s="508"/>
      <c r="R221" s="508"/>
      <c r="S221" s="508"/>
      <c r="T221" s="508"/>
      <c r="U221" s="508"/>
      <c r="V221" s="508"/>
      <c r="W221" s="508"/>
      <c r="X221" s="508"/>
      <c r="Y221" s="508"/>
      <c r="Z221" s="508"/>
    </row>
    <row r="222">
      <c r="A222" s="508"/>
      <c r="B222" s="508"/>
      <c r="C222" s="508"/>
      <c r="D222" s="508"/>
      <c r="E222" s="508"/>
      <c r="F222" s="508"/>
      <c r="G222" s="508"/>
      <c r="H222" s="508"/>
      <c r="I222" s="508"/>
      <c r="J222" s="508"/>
      <c r="K222" s="508"/>
      <c r="L222" s="508"/>
      <c r="M222" s="508"/>
      <c r="N222" s="508"/>
      <c r="O222" s="508"/>
      <c r="P222" s="508"/>
      <c r="Q222" s="508"/>
      <c r="R222" s="508"/>
      <c r="S222" s="508"/>
      <c r="T222" s="508"/>
      <c r="U222" s="508"/>
      <c r="V222" s="508"/>
      <c r="W222" s="508"/>
      <c r="X222" s="508"/>
      <c r="Y222" s="508"/>
      <c r="Z222" s="508"/>
    </row>
    <row r="223">
      <c r="A223" s="508"/>
      <c r="B223" s="508"/>
      <c r="C223" s="508"/>
      <c r="D223" s="508"/>
      <c r="E223" s="508"/>
      <c r="F223" s="508"/>
      <c r="G223" s="508"/>
      <c r="H223" s="508"/>
      <c r="I223" s="508"/>
      <c r="J223" s="508"/>
      <c r="K223" s="508"/>
      <c r="L223" s="508"/>
      <c r="M223" s="508"/>
      <c r="N223" s="508"/>
      <c r="O223" s="508"/>
      <c r="P223" s="508"/>
      <c r="Q223" s="508"/>
      <c r="R223" s="508"/>
      <c r="S223" s="508"/>
      <c r="T223" s="508"/>
      <c r="U223" s="508"/>
      <c r="V223" s="508"/>
      <c r="W223" s="508"/>
      <c r="X223" s="508"/>
      <c r="Y223" s="508"/>
      <c r="Z223" s="508"/>
    </row>
    <row r="224">
      <c r="A224" s="508"/>
      <c r="B224" s="508"/>
      <c r="C224" s="508"/>
      <c r="D224" s="508"/>
      <c r="E224" s="508"/>
      <c r="F224" s="508"/>
      <c r="G224" s="508"/>
      <c r="H224" s="508"/>
      <c r="I224" s="508"/>
      <c r="J224" s="508"/>
      <c r="K224" s="508"/>
      <c r="L224" s="508"/>
      <c r="M224" s="508"/>
      <c r="N224" s="508"/>
      <c r="O224" s="508"/>
      <c r="P224" s="508"/>
      <c r="Q224" s="508"/>
      <c r="R224" s="508"/>
      <c r="S224" s="508"/>
      <c r="T224" s="508"/>
      <c r="U224" s="508"/>
      <c r="V224" s="508"/>
      <c r="W224" s="508"/>
      <c r="X224" s="508"/>
      <c r="Y224" s="508"/>
      <c r="Z224" s="508"/>
    </row>
    <row r="225">
      <c r="A225" s="508"/>
      <c r="B225" s="508"/>
      <c r="C225" s="508"/>
      <c r="D225" s="508"/>
      <c r="E225" s="508"/>
      <c r="F225" s="508"/>
      <c r="G225" s="508"/>
      <c r="H225" s="508"/>
      <c r="I225" s="508"/>
      <c r="J225" s="508"/>
      <c r="K225" s="508"/>
      <c r="L225" s="508"/>
      <c r="M225" s="508"/>
      <c r="N225" s="508"/>
      <c r="O225" s="508"/>
      <c r="P225" s="508"/>
      <c r="Q225" s="508"/>
      <c r="R225" s="508"/>
      <c r="S225" s="508"/>
      <c r="T225" s="508"/>
      <c r="U225" s="508"/>
      <c r="V225" s="508"/>
      <c r="W225" s="508"/>
      <c r="X225" s="508"/>
      <c r="Y225" s="508"/>
      <c r="Z225" s="508"/>
    </row>
    <row r="226">
      <c r="A226" s="508"/>
      <c r="B226" s="508"/>
      <c r="C226" s="508"/>
      <c r="D226" s="508"/>
      <c r="E226" s="508"/>
      <c r="F226" s="508"/>
      <c r="G226" s="508"/>
      <c r="H226" s="508"/>
      <c r="I226" s="508"/>
      <c r="J226" s="508"/>
      <c r="K226" s="508"/>
      <c r="L226" s="508"/>
      <c r="M226" s="508"/>
      <c r="N226" s="508"/>
      <c r="O226" s="508"/>
      <c r="P226" s="508"/>
      <c r="Q226" s="508"/>
      <c r="R226" s="508"/>
      <c r="S226" s="508"/>
      <c r="T226" s="508"/>
      <c r="U226" s="508"/>
      <c r="V226" s="508"/>
      <c r="W226" s="508"/>
      <c r="X226" s="508"/>
      <c r="Y226" s="508"/>
      <c r="Z226" s="508"/>
    </row>
    <row r="227">
      <c r="A227" s="508"/>
      <c r="B227" s="508"/>
      <c r="C227" s="508"/>
      <c r="D227" s="508"/>
      <c r="E227" s="508"/>
      <c r="F227" s="508"/>
      <c r="G227" s="508"/>
      <c r="H227" s="508"/>
      <c r="I227" s="508"/>
      <c r="J227" s="508"/>
      <c r="K227" s="508"/>
      <c r="L227" s="508"/>
      <c r="M227" s="508"/>
      <c r="N227" s="508"/>
      <c r="O227" s="508"/>
      <c r="P227" s="508"/>
      <c r="Q227" s="508"/>
      <c r="R227" s="508"/>
      <c r="S227" s="508"/>
      <c r="T227" s="508"/>
      <c r="U227" s="508"/>
      <c r="V227" s="508"/>
      <c r="W227" s="508"/>
      <c r="X227" s="508"/>
      <c r="Y227" s="508"/>
      <c r="Z227" s="508"/>
    </row>
    <row r="228">
      <c r="A228" s="508"/>
      <c r="B228" s="508"/>
      <c r="C228" s="508"/>
      <c r="D228" s="508"/>
      <c r="E228" s="508"/>
      <c r="F228" s="508"/>
      <c r="G228" s="508"/>
      <c r="H228" s="508"/>
      <c r="I228" s="508"/>
      <c r="J228" s="508"/>
      <c r="K228" s="508"/>
      <c r="L228" s="508"/>
      <c r="M228" s="508"/>
      <c r="N228" s="508"/>
      <c r="O228" s="508"/>
      <c r="P228" s="508"/>
      <c r="Q228" s="508"/>
      <c r="R228" s="508"/>
      <c r="S228" s="508"/>
      <c r="T228" s="508"/>
      <c r="U228" s="508"/>
      <c r="V228" s="508"/>
      <c r="W228" s="508"/>
      <c r="X228" s="508"/>
      <c r="Y228" s="508"/>
      <c r="Z228" s="508"/>
    </row>
    <row r="229">
      <c r="A229" s="508"/>
      <c r="B229" s="508"/>
      <c r="C229" s="508"/>
      <c r="D229" s="508"/>
      <c r="E229" s="508"/>
      <c r="F229" s="508"/>
      <c r="G229" s="508"/>
      <c r="H229" s="508"/>
      <c r="I229" s="508"/>
      <c r="J229" s="508"/>
      <c r="K229" s="508"/>
      <c r="L229" s="508"/>
      <c r="M229" s="508"/>
      <c r="N229" s="508"/>
      <c r="O229" s="508"/>
      <c r="P229" s="508"/>
      <c r="Q229" s="508"/>
      <c r="R229" s="508"/>
      <c r="S229" s="508"/>
      <c r="T229" s="508"/>
      <c r="U229" s="508"/>
      <c r="V229" s="508"/>
      <c r="W229" s="508"/>
      <c r="X229" s="508"/>
      <c r="Y229" s="508"/>
      <c r="Z229" s="508"/>
    </row>
    <row r="230">
      <c r="A230" s="508"/>
      <c r="B230" s="508"/>
      <c r="C230" s="508"/>
      <c r="D230" s="508"/>
      <c r="E230" s="508"/>
      <c r="F230" s="508"/>
      <c r="G230" s="508"/>
      <c r="H230" s="508"/>
      <c r="I230" s="508"/>
      <c r="J230" s="508"/>
      <c r="K230" s="508"/>
      <c r="L230" s="508"/>
      <c r="M230" s="508"/>
      <c r="N230" s="508"/>
      <c r="O230" s="508"/>
      <c r="P230" s="508"/>
      <c r="Q230" s="508"/>
      <c r="R230" s="508"/>
      <c r="S230" s="508"/>
      <c r="T230" s="508"/>
      <c r="U230" s="508"/>
      <c r="V230" s="508"/>
      <c r="W230" s="508"/>
      <c r="X230" s="508"/>
      <c r="Y230" s="508"/>
      <c r="Z230" s="508"/>
    </row>
    <row r="231">
      <c r="A231" s="508"/>
      <c r="B231" s="508"/>
      <c r="C231" s="508"/>
      <c r="D231" s="508"/>
      <c r="E231" s="508"/>
      <c r="F231" s="508"/>
      <c r="G231" s="508"/>
      <c r="H231" s="508"/>
      <c r="I231" s="508"/>
      <c r="J231" s="508"/>
      <c r="K231" s="508"/>
      <c r="L231" s="508"/>
      <c r="M231" s="508"/>
      <c r="N231" s="508"/>
      <c r="O231" s="508"/>
      <c r="P231" s="508"/>
      <c r="Q231" s="508"/>
      <c r="R231" s="508"/>
      <c r="S231" s="508"/>
      <c r="T231" s="508"/>
      <c r="U231" s="508"/>
      <c r="V231" s="508"/>
      <c r="W231" s="508"/>
      <c r="X231" s="508"/>
      <c r="Y231" s="508"/>
      <c r="Z231" s="508"/>
    </row>
    <row r="232">
      <c r="A232" s="508"/>
      <c r="B232" s="508"/>
      <c r="C232" s="508"/>
      <c r="D232" s="508"/>
      <c r="E232" s="508"/>
      <c r="F232" s="508"/>
      <c r="G232" s="508"/>
      <c r="H232" s="508"/>
      <c r="I232" s="508"/>
      <c r="J232" s="508"/>
      <c r="K232" s="508"/>
      <c r="L232" s="508"/>
      <c r="M232" s="508"/>
      <c r="N232" s="508"/>
      <c r="O232" s="508"/>
      <c r="P232" s="508"/>
      <c r="Q232" s="508"/>
      <c r="R232" s="508"/>
      <c r="S232" s="508"/>
      <c r="T232" s="508"/>
      <c r="U232" s="508"/>
      <c r="V232" s="508"/>
      <c r="W232" s="508"/>
      <c r="X232" s="508"/>
      <c r="Y232" s="508"/>
      <c r="Z232" s="508"/>
    </row>
    <row r="233">
      <c r="A233" s="508"/>
      <c r="B233" s="508"/>
      <c r="C233" s="508"/>
      <c r="D233" s="508"/>
      <c r="E233" s="508"/>
      <c r="F233" s="508"/>
      <c r="G233" s="508"/>
      <c r="H233" s="508"/>
      <c r="I233" s="508"/>
      <c r="J233" s="508"/>
      <c r="K233" s="508"/>
      <c r="L233" s="508"/>
      <c r="M233" s="508"/>
      <c r="N233" s="508"/>
      <c r="O233" s="508"/>
      <c r="P233" s="508"/>
      <c r="Q233" s="508"/>
      <c r="R233" s="508"/>
      <c r="S233" s="508"/>
      <c r="T233" s="508"/>
      <c r="U233" s="508"/>
      <c r="V233" s="508"/>
      <c r="W233" s="508"/>
      <c r="X233" s="508"/>
      <c r="Y233" s="508"/>
      <c r="Z233" s="508"/>
    </row>
    <row r="234">
      <c r="A234" s="508"/>
      <c r="B234" s="508"/>
      <c r="C234" s="508"/>
      <c r="D234" s="508"/>
      <c r="E234" s="508"/>
      <c r="F234" s="508"/>
      <c r="G234" s="508"/>
      <c r="H234" s="508"/>
      <c r="I234" s="508"/>
      <c r="J234" s="508"/>
      <c r="K234" s="508"/>
      <c r="L234" s="508"/>
      <c r="M234" s="508"/>
      <c r="N234" s="508"/>
      <c r="O234" s="508"/>
      <c r="P234" s="508"/>
      <c r="Q234" s="508"/>
      <c r="R234" s="508"/>
      <c r="S234" s="508"/>
      <c r="T234" s="508"/>
      <c r="U234" s="508"/>
      <c r="V234" s="508"/>
      <c r="W234" s="508"/>
      <c r="X234" s="508"/>
      <c r="Y234" s="508"/>
      <c r="Z234" s="508"/>
    </row>
    <row r="235">
      <c r="A235" s="508"/>
      <c r="B235" s="508"/>
      <c r="C235" s="508"/>
      <c r="D235" s="508"/>
      <c r="E235" s="508"/>
      <c r="F235" s="508"/>
      <c r="G235" s="508"/>
      <c r="H235" s="508"/>
      <c r="I235" s="508"/>
      <c r="J235" s="508"/>
      <c r="K235" s="508"/>
      <c r="L235" s="508"/>
      <c r="M235" s="508"/>
      <c r="N235" s="508"/>
      <c r="O235" s="508"/>
      <c r="P235" s="508"/>
      <c r="Q235" s="508"/>
      <c r="R235" s="508"/>
      <c r="S235" s="508"/>
      <c r="T235" s="508"/>
      <c r="U235" s="508"/>
      <c r="V235" s="508"/>
      <c r="W235" s="508"/>
      <c r="X235" s="508"/>
      <c r="Y235" s="508"/>
      <c r="Z235" s="508"/>
    </row>
    <row r="236">
      <c r="A236" s="508"/>
      <c r="B236" s="508"/>
      <c r="C236" s="508"/>
      <c r="D236" s="508"/>
      <c r="E236" s="508"/>
      <c r="F236" s="508"/>
      <c r="G236" s="508"/>
      <c r="H236" s="508"/>
      <c r="I236" s="508"/>
      <c r="J236" s="508"/>
      <c r="K236" s="508"/>
      <c r="L236" s="508"/>
      <c r="M236" s="508"/>
      <c r="N236" s="508"/>
      <c r="O236" s="508"/>
      <c r="P236" s="508"/>
      <c r="Q236" s="508"/>
      <c r="R236" s="508"/>
      <c r="S236" s="508"/>
      <c r="T236" s="508"/>
      <c r="U236" s="508"/>
      <c r="V236" s="508"/>
      <c r="W236" s="508"/>
      <c r="X236" s="508"/>
      <c r="Y236" s="508"/>
      <c r="Z236" s="508"/>
    </row>
    <row r="237">
      <c r="A237" s="508"/>
      <c r="B237" s="508"/>
      <c r="C237" s="508"/>
      <c r="D237" s="508"/>
      <c r="E237" s="508"/>
      <c r="F237" s="508"/>
      <c r="G237" s="508"/>
      <c r="H237" s="508"/>
      <c r="I237" s="508"/>
      <c r="J237" s="508"/>
      <c r="K237" s="508"/>
      <c r="L237" s="508"/>
      <c r="M237" s="508"/>
      <c r="N237" s="508"/>
      <c r="O237" s="508"/>
      <c r="P237" s="508"/>
      <c r="Q237" s="508"/>
      <c r="R237" s="508"/>
      <c r="S237" s="508"/>
      <c r="T237" s="508"/>
      <c r="U237" s="508"/>
      <c r="V237" s="508"/>
      <c r="W237" s="508"/>
      <c r="X237" s="508"/>
      <c r="Y237" s="508"/>
      <c r="Z237" s="508"/>
    </row>
    <row r="238">
      <c r="A238" s="508"/>
      <c r="B238" s="508"/>
      <c r="C238" s="508"/>
      <c r="D238" s="508"/>
      <c r="E238" s="508"/>
      <c r="F238" s="508"/>
      <c r="G238" s="508"/>
      <c r="H238" s="508"/>
      <c r="I238" s="508"/>
      <c r="J238" s="508"/>
      <c r="K238" s="508"/>
      <c r="L238" s="508"/>
      <c r="M238" s="508"/>
      <c r="N238" s="508"/>
      <c r="O238" s="508"/>
      <c r="P238" s="508"/>
      <c r="Q238" s="508"/>
      <c r="R238" s="508"/>
      <c r="S238" s="508"/>
      <c r="T238" s="508"/>
      <c r="U238" s="508"/>
      <c r="V238" s="508"/>
      <c r="W238" s="508"/>
      <c r="X238" s="508"/>
      <c r="Y238" s="508"/>
      <c r="Z238" s="508"/>
    </row>
    <row r="239">
      <c r="A239" s="508"/>
      <c r="B239" s="508"/>
      <c r="C239" s="508"/>
      <c r="D239" s="508"/>
      <c r="E239" s="508"/>
      <c r="F239" s="508"/>
      <c r="G239" s="508"/>
      <c r="H239" s="508"/>
      <c r="I239" s="508"/>
      <c r="J239" s="508"/>
      <c r="K239" s="508"/>
      <c r="L239" s="508"/>
      <c r="M239" s="508"/>
      <c r="N239" s="508"/>
      <c r="O239" s="508"/>
      <c r="P239" s="508"/>
      <c r="Q239" s="508"/>
      <c r="R239" s="508"/>
      <c r="S239" s="508"/>
      <c r="T239" s="508"/>
      <c r="U239" s="508"/>
      <c r="V239" s="508"/>
      <c r="W239" s="508"/>
      <c r="X239" s="508"/>
      <c r="Y239" s="508"/>
      <c r="Z239" s="508"/>
    </row>
    <row r="240">
      <c r="A240" s="508"/>
      <c r="B240" s="508"/>
      <c r="C240" s="508"/>
      <c r="D240" s="508"/>
      <c r="E240" s="508"/>
      <c r="F240" s="508"/>
      <c r="G240" s="508"/>
      <c r="H240" s="508"/>
      <c r="I240" s="508"/>
      <c r="J240" s="508"/>
      <c r="K240" s="508"/>
      <c r="L240" s="508"/>
      <c r="M240" s="508"/>
      <c r="N240" s="508"/>
      <c r="O240" s="508"/>
      <c r="P240" s="508"/>
      <c r="Q240" s="508"/>
      <c r="R240" s="508"/>
      <c r="S240" s="508"/>
      <c r="T240" s="508"/>
      <c r="U240" s="508"/>
      <c r="V240" s="508"/>
      <c r="W240" s="508"/>
      <c r="X240" s="508"/>
      <c r="Y240" s="508"/>
      <c r="Z240" s="508"/>
    </row>
    <row r="241">
      <c r="A241" s="508"/>
      <c r="B241" s="508"/>
      <c r="C241" s="508"/>
      <c r="D241" s="508"/>
      <c r="E241" s="508"/>
      <c r="F241" s="508"/>
      <c r="G241" s="508"/>
      <c r="H241" s="508"/>
      <c r="I241" s="508"/>
      <c r="J241" s="508"/>
      <c r="K241" s="508"/>
      <c r="L241" s="508"/>
      <c r="M241" s="508"/>
      <c r="N241" s="508"/>
      <c r="O241" s="508"/>
      <c r="P241" s="508"/>
      <c r="Q241" s="508"/>
      <c r="R241" s="508"/>
      <c r="S241" s="508"/>
      <c r="T241" s="508"/>
      <c r="U241" s="508"/>
      <c r="V241" s="508"/>
      <c r="W241" s="508"/>
      <c r="X241" s="508"/>
      <c r="Y241" s="508"/>
      <c r="Z241" s="508"/>
    </row>
    <row r="242">
      <c r="A242" s="508"/>
      <c r="B242" s="508"/>
      <c r="C242" s="508"/>
      <c r="D242" s="508"/>
      <c r="E242" s="508"/>
      <c r="F242" s="508"/>
      <c r="G242" s="508"/>
      <c r="H242" s="508"/>
      <c r="I242" s="508"/>
      <c r="J242" s="508"/>
      <c r="K242" s="508"/>
      <c r="L242" s="508"/>
      <c r="M242" s="508"/>
      <c r="N242" s="508"/>
      <c r="O242" s="508"/>
      <c r="P242" s="508"/>
      <c r="Q242" s="508"/>
      <c r="R242" s="508"/>
      <c r="S242" s="508"/>
      <c r="T242" s="508"/>
      <c r="U242" s="508"/>
      <c r="V242" s="508"/>
      <c r="W242" s="508"/>
      <c r="X242" s="508"/>
      <c r="Y242" s="508"/>
      <c r="Z242" s="508"/>
    </row>
    <row r="243">
      <c r="A243" s="508"/>
      <c r="B243" s="508"/>
      <c r="C243" s="508"/>
      <c r="D243" s="508"/>
      <c r="E243" s="508"/>
      <c r="F243" s="508"/>
      <c r="G243" s="508"/>
      <c r="H243" s="508"/>
      <c r="I243" s="508"/>
      <c r="J243" s="508"/>
      <c r="K243" s="508"/>
      <c r="L243" s="508"/>
      <c r="M243" s="508"/>
      <c r="N243" s="508"/>
      <c r="O243" s="508"/>
      <c r="P243" s="508"/>
      <c r="Q243" s="508"/>
      <c r="R243" s="508"/>
      <c r="S243" s="508"/>
      <c r="T243" s="508"/>
      <c r="U243" s="508"/>
      <c r="V243" s="508"/>
      <c r="W243" s="508"/>
      <c r="X243" s="508"/>
      <c r="Y243" s="508"/>
      <c r="Z243" s="508"/>
    </row>
    <row r="244">
      <c r="A244" s="508"/>
      <c r="B244" s="508"/>
      <c r="C244" s="508"/>
      <c r="D244" s="508"/>
      <c r="E244" s="508"/>
      <c r="F244" s="508"/>
      <c r="G244" s="508"/>
      <c r="H244" s="508"/>
      <c r="I244" s="508"/>
      <c r="J244" s="508"/>
      <c r="K244" s="508"/>
      <c r="L244" s="508"/>
      <c r="M244" s="508"/>
      <c r="N244" s="508"/>
      <c r="O244" s="508"/>
      <c r="P244" s="508"/>
      <c r="Q244" s="508"/>
      <c r="R244" s="508"/>
      <c r="S244" s="508"/>
      <c r="T244" s="508"/>
      <c r="U244" s="508"/>
      <c r="V244" s="508"/>
      <c r="W244" s="508"/>
      <c r="X244" s="508"/>
      <c r="Y244" s="508"/>
      <c r="Z244" s="508"/>
    </row>
    <row r="245">
      <c r="A245" s="508"/>
      <c r="B245" s="508"/>
      <c r="C245" s="508"/>
      <c r="D245" s="508"/>
      <c r="E245" s="508"/>
      <c r="F245" s="508"/>
      <c r="G245" s="508"/>
      <c r="H245" s="508"/>
      <c r="I245" s="508"/>
      <c r="J245" s="508"/>
      <c r="K245" s="508"/>
      <c r="L245" s="508"/>
      <c r="M245" s="508"/>
      <c r="N245" s="508"/>
      <c r="O245" s="508"/>
      <c r="P245" s="508"/>
      <c r="Q245" s="508"/>
      <c r="R245" s="508"/>
      <c r="S245" s="508"/>
      <c r="T245" s="508"/>
      <c r="U245" s="508"/>
      <c r="V245" s="508"/>
      <c r="W245" s="508"/>
      <c r="X245" s="508"/>
      <c r="Y245" s="508"/>
      <c r="Z245" s="508"/>
    </row>
    <row r="246">
      <c r="A246" s="508"/>
      <c r="B246" s="508"/>
      <c r="C246" s="508"/>
      <c r="D246" s="508"/>
      <c r="E246" s="508"/>
      <c r="F246" s="508"/>
      <c r="G246" s="508"/>
      <c r="H246" s="508"/>
      <c r="I246" s="508"/>
      <c r="J246" s="508"/>
      <c r="K246" s="508"/>
      <c r="L246" s="508"/>
      <c r="M246" s="508"/>
      <c r="N246" s="508"/>
      <c r="O246" s="508"/>
      <c r="P246" s="508"/>
      <c r="Q246" s="508"/>
      <c r="R246" s="508"/>
      <c r="S246" s="508"/>
      <c r="T246" s="508"/>
      <c r="U246" s="508"/>
      <c r="V246" s="508"/>
      <c r="W246" s="508"/>
      <c r="X246" s="508"/>
      <c r="Y246" s="508"/>
      <c r="Z246" s="508"/>
    </row>
    <row r="247">
      <c r="A247" s="508"/>
      <c r="B247" s="508"/>
      <c r="C247" s="508"/>
      <c r="D247" s="508"/>
      <c r="E247" s="508"/>
      <c r="F247" s="508"/>
      <c r="G247" s="508"/>
      <c r="H247" s="508"/>
      <c r="I247" s="508"/>
      <c r="J247" s="508"/>
      <c r="K247" s="508"/>
      <c r="L247" s="508"/>
      <c r="M247" s="508"/>
      <c r="N247" s="508"/>
      <c r="O247" s="508"/>
      <c r="P247" s="508"/>
      <c r="Q247" s="508"/>
      <c r="R247" s="508"/>
      <c r="S247" s="508"/>
      <c r="T247" s="508"/>
      <c r="U247" s="508"/>
      <c r="V247" s="508"/>
      <c r="W247" s="508"/>
      <c r="X247" s="508"/>
      <c r="Y247" s="508"/>
      <c r="Z247" s="508"/>
    </row>
    <row r="248">
      <c r="A248" s="508"/>
      <c r="B248" s="508"/>
      <c r="C248" s="508"/>
      <c r="D248" s="508"/>
      <c r="E248" s="508"/>
      <c r="F248" s="508"/>
      <c r="G248" s="508"/>
      <c r="H248" s="508"/>
      <c r="I248" s="508"/>
      <c r="J248" s="508"/>
      <c r="K248" s="508"/>
      <c r="L248" s="508"/>
      <c r="M248" s="508"/>
      <c r="N248" s="508"/>
      <c r="O248" s="508"/>
      <c r="P248" s="508"/>
      <c r="Q248" s="508"/>
      <c r="R248" s="508"/>
      <c r="S248" s="508"/>
      <c r="T248" s="508"/>
      <c r="U248" s="508"/>
      <c r="V248" s="508"/>
      <c r="W248" s="508"/>
      <c r="X248" s="508"/>
      <c r="Y248" s="508"/>
      <c r="Z248" s="508"/>
    </row>
    <row r="249">
      <c r="A249" s="508"/>
      <c r="B249" s="508"/>
      <c r="C249" s="508"/>
      <c r="D249" s="508"/>
      <c r="E249" s="508"/>
      <c r="F249" s="508"/>
      <c r="G249" s="508"/>
      <c r="H249" s="508"/>
      <c r="I249" s="508"/>
      <c r="J249" s="508"/>
      <c r="K249" s="508"/>
      <c r="L249" s="508"/>
      <c r="M249" s="508"/>
      <c r="N249" s="508"/>
      <c r="O249" s="508"/>
      <c r="P249" s="508"/>
      <c r="Q249" s="508"/>
      <c r="R249" s="508"/>
      <c r="S249" s="508"/>
      <c r="T249" s="508"/>
      <c r="U249" s="508"/>
      <c r="V249" s="508"/>
      <c r="W249" s="508"/>
      <c r="X249" s="508"/>
      <c r="Y249" s="508"/>
      <c r="Z249" s="508"/>
    </row>
    <row r="250">
      <c r="A250" s="508"/>
      <c r="B250" s="508"/>
      <c r="C250" s="508"/>
      <c r="D250" s="508"/>
      <c r="E250" s="508"/>
      <c r="F250" s="508"/>
      <c r="G250" s="508"/>
      <c r="H250" s="508"/>
      <c r="I250" s="508"/>
      <c r="J250" s="508"/>
      <c r="K250" s="508"/>
      <c r="L250" s="508"/>
      <c r="M250" s="508"/>
      <c r="N250" s="508"/>
      <c r="O250" s="508"/>
      <c r="P250" s="508"/>
      <c r="Q250" s="508"/>
      <c r="R250" s="508"/>
      <c r="S250" s="508"/>
      <c r="T250" s="508"/>
      <c r="U250" s="508"/>
      <c r="V250" s="508"/>
      <c r="W250" s="508"/>
      <c r="X250" s="508"/>
      <c r="Y250" s="508"/>
      <c r="Z250" s="508"/>
    </row>
    <row r="251">
      <c r="A251" s="508"/>
      <c r="B251" s="508"/>
      <c r="C251" s="508"/>
      <c r="D251" s="508"/>
      <c r="E251" s="508"/>
      <c r="F251" s="508"/>
      <c r="G251" s="508"/>
      <c r="H251" s="508"/>
      <c r="I251" s="508"/>
      <c r="J251" s="508"/>
      <c r="K251" s="508"/>
      <c r="L251" s="508"/>
      <c r="M251" s="508"/>
      <c r="N251" s="508"/>
      <c r="O251" s="508"/>
      <c r="P251" s="508"/>
      <c r="Q251" s="508"/>
      <c r="R251" s="508"/>
      <c r="S251" s="508"/>
      <c r="T251" s="508"/>
      <c r="U251" s="508"/>
      <c r="V251" s="508"/>
      <c r="W251" s="508"/>
      <c r="X251" s="508"/>
      <c r="Y251" s="508"/>
      <c r="Z251" s="508"/>
    </row>
    <row r="252">
      <c r="A252" s="508"/>
      <c r="B252" s="508"/>
      <c r="C252" s="508"/>
      <c r="D252" s="508"/>
      <c r="E252" s="508"/>
      <c r="F252" s="508"/>
      <c r="G252" s="508"/>
      <c r="H252" s="508"/>
      <c r="I252" s="508"/>
      <c r="J252" s="508"/>
      <c r="K252" s="508"/>
      <c r="L252" s="508"/>
      <c r="M252" s="508"/>
      <c r="N252" s="508"/>
      <c r="O252" s="508"/>
      <c r="P252" s="508"/>
      <c r="Q252" s="508"/>
      <c r="R252" s="508"/>
      <c r="S252" s="508"/>
      <c r="T252" s="508"/>
      <c r="U252" s="508"/>
      <c r="V252" s="508"/>
      <c r="W252" s="508"/>
      <c r="X252" s="508"/>
      <c r="Y252" s="508"/>
      <c r="Z252" s="508"/>
    </row>
    <row r="253">
      <c r="A253" s="508"/>
      <c r="B253" s="508"/>
      <c r="C253" s="508"/>
      <c r="D253" s="508"/>
      <c r="E253" s="508"/>
      <c r="F253" s="508"/>
      <c r="G253" s="508"/>
      <c r="H253" s="508"/>
      <c r="I253" s="508"/>
      <c r="J253" s="508"/>
      <c r="K253" s="508"/>
      <c r="L253" s="508"/>
      <c r="M253" s="508"/>
      <c r="N253" s="508"/>
      <c r="O253" s="508"/>
      <c r="P253" s="508"/>
      <c r="Q253" s="508"/>
      <c r="R253" s="508"/>
      <c r="S253" s="508"/>
      <c r="T253" s="508"/>
      <c r="U253" s="508"/>
      <c r="V253" s="508"/>
      <c r="W253" s="508"/>
      <c r="X253" s="508"/>
      <c r="Y253" s="508"/>
      <c r="Z253" s="508"/>
    </row>
    <row r="254">
      <c r="A254" s="508"/>
      <c r="B254" s="508"/>
      <c r="C254" s="508"/>
      <c r="D254" s="508"/>
      <c r="E254" s="508"/>
      <c r="F254" s="508"/>
      <c r="G254" s="508"/>
      <c r="H254" s="508"/>
      <c r="I254" s="508"/>
      <c r="J254" s="508"/>
      <c r="K254" s="508"/>
      <c r="L254" s="508"/>
      <c r="M254" s="508"/>
      <c r="N254" s="508"/>
      <c r="O254" s="508"/>
      <c r="P254" s="508"/>
      <c r="Q254" s="508"/>
      <c r="R254" s="508"/>
      <c r="S254" s="508"/>
      <c r="T254" s="508"/>
      <c r="U254" s="508"/>
      <c r="V254" s="508"/>
      <c r="W254" s="508"/>
      <c r="X254" s="508"/>
      <c r="Y254" s="508"/>
      <c r="Z254" s="508"/>
    </row>
    <row r="255">
      <c r="A255" s="508"/>
      <c r="B255" s="508"/>
      <c r="C255" s="508"/>
      <c r="D255" s="508"/>
      <c r="E255" s="508"/>
      <c r="F255" s="508"/>
      <c r="G255" s="508"/>
      <c r="H255" s="508"/>
      <c r="I255" s="508"/>
      <c r="J255" s="508"/>
      <c r="K255" s="508"/>
      <c r="L255" s="508"/>
      <c r="M255" s="508"/>
      <c r="N255" s="508"/>
      <c r="O255" s="508"/>
      <c r="P255" s="508"/>
      <c r="Q255" s="508"/>
      <c r="R255" s="508"/>
      <c r="S255" s="508"/>
      <c r="T255" s="508"/>
      <c r="U255" s="508"/>
      <c r="V255" s="508"/>
      <c r="W255" s="508"/>
      <c r="X255" s="508"/>
      <c r="Y255" s="508"/>
      <c r="Z255" s="508"/>
    </row>
    <row r="256">
      <c r="A256" s="508"/>
      <c r="B256" s="508"/>
      <c r="C256" s="508"/>
      <c r="D256" s="508"/>
      <c r="E256" s="508"/>
      <c r="F256" s="508"/>
      <c r="G256" s="508"/>
      <c r="H256" s="508"/>
      <c r="I256" s="508"/>
      <c r="J256" s="508"/>
      <c r="K256" s="508"/>
      <c r="L256" s="508"/>
      <c r="M256" s="508"/>
      <c r="N256" s="508"/>
      <c r="O256" s="508"/>
      <c r="P256" s="508"/>
      <c r="Q256" s="508"/>
      <c r="R256" s="508"/>
      <c r="S256" s="508"/>
      <c r="T256" s="508"/>
      <c r="U256" s="508"/>
      <c r="V256" s="508"/>
      <c r="W256" s="508"/>
      <c r="X256" s="508"/>
      <c r="Y256" s="508"/>
      <c r="Z256" s="508"/>
    </row>
    <row r="257">
      <c r="A257" s="508"/>
      <c r="B257" s="508"/>
      <c r="C257" s="508"/>
      <c r="D257" s="508"/>
      <c r="E257" s="508"/>
      <c r="F257" s="508"/>
      <c r="G257" s="508"/>
      <c r="H257" s="508"/>
      <c r="I257" s="508"/>
      <c r="J257" s="508"/>
      <c r="K257" s="508"/>
      <c r="L257" s="508"/>
      <c r="M257" s="508"/>
      <c r="N257" s="508"/>
      <c r="O257" s="508"/>
      <c r="P257" s="508"/>
      <c r="Q257" s="508"/>
      <c r="R257" s="508"/>
      <c r="S257" s="508"/>
      <c r="T257" s="508"/>
      <c r="U257" s="508"/>
      <c r="V257" s="508"/>
      <c r="W257" s="508"/>
      <c r="X257" s="508"/>
      <c r="Y257" s="508"/>
      <c r="Z257" s="508"/>
    </row>
    <row r="258">
      <c r="A258" s="508"/>
      <c r="B258" s="508"/>
      <c r="C258" s="508"/>
      <c r="D258" s="508"/>
      <c r="E258" s="508"/>
      <c r="F258" s="508"/>
      <c r="G258" s="508"/>
      <c r="H258" s="508"/>
      <c r="I258" s="508"/>
      <c r="J258" s="508"/>
      <c r="K258" s="508"/>
      <c r="L258" s="508"/>
      <c r="M258" s="508"/>
      <c r="N258" s="508"/>
      <c r="O258" s="508"/>
      <c r="P258" s="508"/>
      <c r="Q258" s="508"/>
      <c r="R258" s="508"/>
      <c r="S258" s="508"/>
      <c r="T258" s="508"/>
      <c r="U258" s="508"/>
      <c r="V258" s="508"/>
      <c r="W258" s="508"/>
      <c r="X258" s="508"/>
      <c r="Y258" s="508"/>
      <c r="Z258" s="508"/>
    </row>
    <row r="259">
      <c r="A259" s="508"/>
      <c r="B259" s="508"/>
      <c r="C259" s="508"/>
      <c r="D259" s="508"/>
      <c r="E259" s="508"/>
      <c r="F259" s="508"/>
      <c r="G259" s="508"/>
      <c r="H259" s="508"/>
      <c r="I259" s="508"/>
      <c r="J259" s="508"/>
      <c r="K259" s="508"/>
      <c r="L259" s="508"/>
      <c r="M259" s="508"/>
      <c r="N259" s="508"/>
      <c r="O259" s="508"/>
      <c r="P259" s="508"/>
      <c r="Q259" s="508"/>
      <c r="R259" s="508"/>
      <c r="S259" s="508"/>
      <c r="T259" s="508"/>
      <c r="U259" s="508"/>
      <c r="V259" s="508"/>
      <c r="W259" s="508"/>
      <c r="X259" s="508"/>
      <c r="Y259" s="508"/>
      <c r="Z259" s="508"/>
    </row>
    <row r="260">
      <c r="A260" s="508"/>
      <c r="B260" s="508"/>
      <c r="C260" s="508"/>
      <c r="D260" s="508"/>
      <c r="E260" s="508"/>
      <c r="F260" s="508"/>
      <c r="G260" s="508"/>
      <c r="H260" s="508"/>
      <c r="I260" s="508"/>
      <c r="J260" s="508"/>
      <c r="K260" s="508"/>
      <c r="L260" s="508"/>
      <c r="M260" s="508"/>
      <c r="N260" s="508"/>
      <c r="O260" s="508"/>
      <c r="P260" s="508"/>
      <c r="Q260" s="508"/>
      <c r="R260" s="508"/>
      <c r="S260" s="508"/>
      <c r="T260" s="508"/>
      <c r="U260" s="508"/>
      <c r="V260" s="508"/>
      <c r="W260" s="508"/>
      <c r="X260" s="508"/>
      <c r="Y260" s="508"/>
      <c r="Z260" s="508"/>
    </row>
    <row r="261">
      <c r="A261" s="508"/>
      <c r="B261" s="508"/>
      <c r="C261" s="508"/>
      <c r="D261" s="508"/>
      <c r="E261" s="508"/>
      <c r="F261" s="508"/>
      <c r="G261" s="508"/>
      <c r="H261" s="508"/>
      <c r="I261" s="508"/>
      <c r="J261" s="508"/>
      <c r="K261" s="508"/>
      <c r="L261" s="508"/>
      <c r="M261" s="508"/>
      <c r="N261" s="508"/>
      <c r="O261" s="508"/>
      <c r="P261" s="508"/>
      <c r="Q261" s="508"/>
      <c r="R261" s="508"/>
      <c r="S261" s="508"/>
      <c r="T261" s="508"/>
      <c r="U261" s="508"/>
      <c r="V261" s="508"/>
      <c r="W261" s="508"/>
      <c r="X261" s="508"/>
      <c r="Y261" s="508"/>
      <c r="Z261" s="508"/>
    </row>
    <row r="262">
      <c r="A262" s="508"/>
      <c r="B262" s="508"/>
      <c r="C262" s="508"/>
      <c r="D262" s="508"/>
      <c r="E262" s="508"/>
      <c r="F262" s="508"/>
      <c r="G262" s="508"/>
      <c r="H262" s="508"/>
      <c r="I262" s="508"/>
      <c r="J262" s="508"/>
      <c r="K262" s="508"/>
      <c r="L262" s="508"/>
      <c r="M262" s="508"/>
      <c r="N262" s="508"/>
      <c r="O262" s="508"/>
      <c r="P262" s="508"/>
      <c r="Q262" s="508"/>
      <c r="R262" s="508"/>
      <c r="S262" s="508"/>
      <c r="T262" s="508"/>
      <c r="U262" s="508"/>
      <c r="V262" s="508"/>
      <c r="W262" s="508"/>
      <c r="X262" s="508"/>
      <c r="Y262" s="508"/>
      <c r="Z262" s="508"/>
    </row>
    <row r="263">
      <c r="A263" s="508"/>
      <c r="B263" s="508"/>
      <c r="C263" s="508"/>
      <c r="D263" s="508"/>
      <c r="E263" s="508"/>
      <c r="F263" s="508"/>
      <c r="G263" s="508"/>
      <c r="H263" s="508"/>
      <c r="I263" s="508"/>
      <c r="J263" s="508"/>
      <c r="K263" s="508"/>
      <c r="L263" s="508"/>
      <c r="M263" s="508"/>
      <c r="N263" s="508"/>
      <c r="O263" s="508"/>
      <c r="P263" s="508"/>
      <c r="Q263" s="508"/>
      <c r="R263" s="508"/>
      <c r="S263" s="508"/>
      <c r="T263" s="508"/>
      <c r="U263" s="508"/>
      <c r="V263" s="508"/>
      <c r="W263" s="508"/>
      <c r="X263" s="508"/>
      <c r="Y263" s="508"/>
      <c r="Z263" s="508"/>
    </row>
    <row r="264">
      <c r="A264" s="508"/>
      <c r="B264" s="508"/>
      <c r="C264" s="508"/>
      <c r="D264" s="508"/>
      <c r="E264" s="508"/>
      <c r="F264" s="508"/>
      <c r="G264" s="508"/>
      <c r="H264" s="508"/>
      <c r="I264" s="508"/>
      <c r="J264" s="508"/>
      <c r="K264" s="508"/>
      <c r="L264" s="508"/>
      <c r="M264" s="508"/>
      <c r="N264" s="508"/>
      <c r="O264" s="508"/>
      <c r="P264" s="508"/>
      <c r="Q264" s="508"/>
      <c r="R264" s="508"/>
      <c r="S264" s="508"/>
      <c r="T264" s="508"/>
      <c r="U264" s="508"/>
      <c r="V264" s="508"/>
      <c r="W264" s="508"/>
      <c r="X264" s="508"/>
      <c r="Y264" s="508"/>
      <c r="Z264" s="508"/>
    </row>
    <row r="265">
      <c r="A265" s="508"/>
      <c r="B265" s="508"/>
      <c r="C265" s="508"/>
      <c r="D265" s="508"/>
      <c r="E265" s="508"/>
      <c r="F265" s="508"/>
      <c r="G265" s="508"/>
      <c r="H265" s="508"/>
      <c r="I265" s="508"/>
      <c r="J265" s="508"/>
      <c r="K265" s="508"/>
      <c r="L265" s="508"/>
      <c r="M265" s="508"/>
      <c r="N265" s="508"/>
      <c r="O265" s="508"/>
      <c r="P265" s="508"/>
      <c r="Q265" s="508"/>
      <c r="R265" s="508"/>
      <c r="S265" s="508"/>
      <c r="T265" s="508"/>
      <c r="U265" s="508"/>
      <c r="V265" s="508"/>
      <c r="W265" s="508"/>
      <c r="X265" s="508"/>
      <c r="Y265" s="508"/>
      <c r="Z265" s="508"/>
    </row>
    <row r="266">
      <c r="A266" s="508"/>
      <c r="B266" s="508"/>
      <c r="C266" s="508"/>
      <c r="D266" s="508"/>
      <c r="E266" s="508"/>
      <c r="F266" s="508"/>
      <c r="G266" s="508"/>
      <c r="H266" s="508"/>
      <c r="I266" s="508"/>
      <c r="J266" s="508"/>
      <c r="K266" s="508"/>
      <c r="L266" s="508"/>
      <c r="M266" s="508"/>
      <c r="N266" s="508"/>
      <c r="O266" s="508"/>
      <c r="P266" s="508"/>
      <c r="Q266" s="508"/>
      <c r="R266" s="508"/>
      <c r="S266" s="508"/>
      <c r="T266" s="508"/>
      <c r="U266" s="508"/>
      <c r="V266" s="508"/>
      <c r="W266" s="508"/>
      <c r="X266" s="508"/>
      <c r="Y266" s="508"/>
      <c r="Z266" s="508"/>
    </row>
    <row r="267">
      <c r="A267" s="508"/>
      <c r="B267" s="508"/>
      <c r="C267" s="508"/>
      <c r="D267" s="508"/>
      <c r="E267" s="508"/>
      <c r="F267" s="508"/>
      <c r="G267" s="508"/>
      <c r="H267" s="508"/>
      <c r="I267" s="508"/>
      <c r="J267" s="508"/>
      <c r="K267" s="508"/>
      <c r="L267" s="508"/>
      <c r="M267" s="508"/>
      <c r="N267" s="508"/>
      <c r="O267" s="508"/>
      <c r="P267" s="508"/>
      <c r="Q267" s="508"/>
      <c r="R267" s="508"/>
      <c r="S267" s="508"/>
      <c r="T267" s="508"/>
      <c r="U267" s="508"/>
      <c r="V267" s="508"/>
      <c r="W267" s="508"/>
      <c r="X267" s="508"/>
      <c r="Y267" s="508"/>
      <c r="Z267" s="508"/>
    </row>
    <row r="268">
      <c r="A268" s="508"/>
      <c r="B268" s="508"/>
      <c r="C268" s="508"/>
      <c r="D268" s="508"/>
      <c r="E268" s="508"/>
      <c r="F268" s="508"/>
      <c r="G268" s="508"/>
      <c r="H268" s="508"/>
      <c r="I268" s="508"/>
      <c r="J268" s="508"/>
      <c r="K268" s="508"/>
      <c r="L268" s="508"/>
      <c r="M268" s="508"/>
      <c r="N268" s="508"/>
      <c r="O268" s="508"/>
      <c r="P268" s="508"/>
      <c r="Q268" s="508"/>
      <c r="R268" s="508"/>
      <c r="S268" s="508"/>
      <c r="T268" s="508"/>
      <c r="U268" s="508"/>
      <c r="V268" s="508"/>
      <c r="W268" s="508"/>
      <c r="X268" s="508"/>
      <c r="Y268" s="508"/>
      <c r="Z268" s="508"/>
    </row>
    <row r="269">
      <c r="A269" s="508"/>
      <c r="B269" s="508"/>
      <c r="C269" s="508"/>
      <c r="D269" s="508"/>
      <c r="E269" s="508"/>
      <c r="F269" s="508"/>
      <c r="G269" s="508"/>
      <c r="H269" s="508"/>
      <c r="I269" s="508"/>
      <c r="J269" s="508"/>
      <c r="K269" s="508"/>
      <c r="L269" s="508"/>
      <c r="M269" s="508"/>
      <c r="N269" s="508"/>
      <c r="O269" s="508"/>
      <c r="P269" s="508"/>
      <c r="Q269" s="508"/>
      <c r="R269" s="508"/>
      <c r="S269" s="508"/>
      <c r="T269" s="508"/>
      <c r="U269" s="508"/>
      <c r="V269" s="508"/>
      <c r="W269" s="508"/>
      <c r="X269" s="508"/>
      <c r="Y269" s="508"/>
      <c r="Z269" s="508"/>
    </row>
    <row r="270">
      <c r="A270" s="508"/>
      <c r="B270" s="508"/>
      <c r="C270" s="508"/>
      <c r="D270" s="508"/>
      <c r="E270" s="508"/>
      <c r="F270" s="508"/>
      <c r="G270" s="508"/>
      <c r="H270" s="508"/>
      <c r="I270" s="508"/>
      <c r="J270" s="508"/>
      <c r="K270" s="508"/>
      <c r="L270" s="508"/>
      <c r="M270" s="508"/>
      <c r="N270" s="508"/>
      <c r="O270" s="508"/>
      <c r="P270" s="508"/>
      <c r="Q270" s="508"/>
      <c r="R270" s="508"/>
      <c r="S270" s="508"/>
      <c r="T270" s="508"/>
      <c r="U270" s="508"/>
      <c r="V270" s="508"/>
      <c r="W270" s="508"/>
      <c r="X270" s="508"/>
      <c r="Y270" s="508"/>
      <c r="Z270" s="508"/>
    </row>
    <row r="271">
      <c r="A271" s="508"/>
      <c r="B271" s="508"/>
      <c r="C271" s="508"/>
      <c r="D271" s="508"/>
      <c r="E271" s="508"/>
      <c r="F271" s="508"/>
      <c r="G271" s="508"/>
      <c r="H271" s="508"/>
      <c r="I271" s="508"/>
      <c r="J271" s="508"/>
      <c r="K271" s="508"/>
      <c r="L271" s="508"/>
      <c r="M271" s="508"/>
      <c r="N271" s="508"/>
      <c r="O271" s="508"/>
      <c r="P271" s="508"/>
      <c r="Q271" s="508"/>
      <c r="R271" s="508"/>
      <c r="S271" s="508"/>
      <c r="T271" s="508"/>
      <c r="U271" s="508"/>
      <c r="V271" s="508"/>
      <c r="W271" s="508"/>
      <c r="X271" s="508"/>
      <c r="Y271" s="508"/>
      <c r="Z271" s="508"/>
    </row>
    <row r="272">
      <c r="A272" s="508"/>
      <c r="B272" s="508"/>
      <c r="C272" s="508"/>
      <c r="D272" s="508"/>
      <c r="E272" s="508"/>
      <c r="F272" s="508"/>
      <c r="G272" s="508"/>
      <c r="H272" s="508"/>
      <c r="I272" s="508"/>
      <c r="J272" s="508"/>
      <c r="K272" s="508"/>
      <c r="L272" s="508"/>
      <c r="M272" s="508"/>
      <c r="N272" s="508"/>
      <c r="O272" s="508"/>
      <c r="P272" s="508"/>
      <c r="Q272" s="508"/>
      <c r="R272" s="508"/>
      <c r="S272" s="508"/>
      <c r="T272" s="508"/>
      <c r="U272" s="508"/>
      <c r="V272" s="508"/>
      <c r="W272" s="508"/>
      <c r="X272" s="508"/>
      <c r="Y272" s="508"/>
      <c r="Z272" s="508"/>
    </row>
    <row r="273">
      <c r="A273" s="508"/>
      <c r="B273" s="508"/>
      <c r="C273" s="508"/>
      <c r="D273" s="508"/>
      <c r="E273" s="508"/>
      <c r="F273" s="508"/>
      <c r="G273" s="508"/>
      <c r="H273" s="508"/>
      <c r="I273" s="508"/>
      <c r="J273" s="508"/>
      <c r="K273" s="508"/>
      <c r="L273" s="508"/>
      <c r="M273" s="508"/>
      <c r="N273" s="508"/>
      <c r="O273" s="508"/>
      <c r="P273" s="508"/>
      <c r="Q273" s="508"/>
      <c r="R273" s="508"/>
      <c r="S273" s="508"/>
      <c r="T273" s="508"/>
      <c r="U273" s="508"/>
      <c r="V273" s="508"/>
      <c r="W273" s="508"/>
      <c r="X273" s="508"/>
      <c r="Y273" s="508"/>
      <c r="Z273" s="508"/>
    </row>
    <row r="274">
      <c r="A274" s="508"/>
      <c r="B274" s="508"/>
      <c r="C274" s="508"/>
      <c r="D274" s="508"/>
      <c r="E274" s="508"/>
      <c r="F274" s="508"/>
      <c r="G274" s="508"/>
      <c r="H274" s="508"/>
      <c r="I274" s="508"/>
      <c r="J274" s="508"/>
      <c r="K274" s="508"/>
      <c r="L274" s="508"/>
      <c r="M274" s="508"/>
      <c r="N274" s="508"/>
      <c r="O274" s="508"/>
      <c r="P274" s="508"/>
      <c r="Q274" s="508"/>
      <c r="R274" s="508"/>
      <c r="S274" s="508"/>
      <c r="T274" s="508"/>
      <c r="U274" s="508"/>
      <c r="V274" s="508"/>
      <c r="W274" s="508"/>
      <c r="X274" s="508"/>
      <c r="Y274" s="508"/>
      <c r="Z274" s="508"/>
    </row>
    <row r="275">
      <c r="A275" s="508"/>
      <c r="B275" s="508"/>
      <c r="C275" s="508"/>
      <c r="D275" s="508"/>
      <c r="E275" s="508"/>
      <c r="F275" s="508"/>
      <c r="G275" s="508"/>
      <c r="H275" s="508"/>
      <c r="I275" s="508"/>
      <c r="J275" s="508"/>
      <c r="K275" s="508"/>
      <c r="L275" s="508"/>
      <c r="M275" s="508"/>
      <c r="N275" s="508"/>
      <c r="O275" s="508"/>
      <c r="P275" s="508"/>
      <c r="Q275" s="508"/>
      <c r="R275" s="508"/>
      <c r="S275" s="508"/>
      <c r="T275" s="508"/>
      <c r="U275" s="508"/>
      <c r="V275" s="508"/>
      <c r="W275" s="508"/>
      <c r="X275" s="508"/>
      <c r="Y275" s="508"/>
      <c r="Z275" s="508"/>
    </row>
    <row r="276">
      <c r="A276" s="508"/>
      <c r="B276" s="508"/>
      <c r="C276" s="508"/>
      <c r="D276" s="508"/>
      <c r="E276" s="508"/>
      <c r="F276" s="508"/>
      <c r="G276" s="508"/>
      <c r="H276" s="508"/>
      <c r="I276" s="508"/>
      <c r="J276" s="508"/>
      <c r="K276" s="508"/>
      <c r="L276" s="508"/>
      <c r="M276" s="508"/>
      <c r="N276" s="508"/>
      <c r="O276" s="508"/>
      <c r="P276" s="508"/>
      <c r="Q276" s="508"/>
      <c r="R276" s="508"/>
      <c r="S276" s="508"/>
      <c r="T276" s="508"/>
      <c r="U276" s="508"/>
      <c r="V276" s="508"/>
      <c r="W276" s="508"/>
      <c r="X276" s="508"/>
      <c r="Y276" s="508"/>
      <c r="Z276" s="508"/>
    </row>
    <row r="277">
      <c r="A277" s="508"/>
      <c r="B277" s="508"/>
      <c r="C277" s="508"/>
      <c r="D277" s="508"/>
      <c r="E277" s="508"/>
      <c r="F277" s="508"/>
      <c r="G277" s="508"/>
      <c r="H277" s="508"/>
      <c r="I277" s="508"/>
      <c r="J277" s="508"/>
      <c r="K277" s="508"/>
      <c r="L277" s="508"/>
      <c r="M277" s="508"/>
      <c r="N277" s="508"/>
      <c r="O277" s="508"/>
      <c r="P277" s="508"/>
      <c r="Q277" s="508"/>
      <c r="R277" s="508"/>
      <c r="S277" s="508"/>
      <c r="T277" s="508"/>
      <c r="U277" s="508"/>
      <c r="V277" s="508"/>
      <c r="W277" s="508"/>
      <c r="X277" s="508"/>
      <c r="Y277" s="508"/>
      <c r="Z277" s="508"/>
    </row>
    <row r="278">
      <c r="A278" s="508"/>
      <c r="B278" s="508"/>
      <c r="C278" s="508"/>
      <c r="D278" s="508"/>
      <c r="E278" s="508"/>
      <c r="F278" s="508"/>
      <c r="G278" s="508"/>
      <c r="H278" s="508"/>
      <c r="I278" s="508"/>
      <c r="J278" s="508"/>
      <c r="K278" s="508"/>
      <c r="L278" s="508"/>
      <c r="M278" s="508"/>
      <c r="N278" s="508"/>
      <c r="O278" s="508"/>
      <c r="P278" s="508"/>
      <c r="Q278" s="508"/>
      <c r="R278" s="508"/>
      <c r="S278" s="508"/>
      <c r="T278" s="508"/>
      <c r="U278" s="508"/>
      <c r="V278" s="508"/>
      <c r="W278" s="508"/>
      <c r="X278" s="508"/>
      <c r="Y278" s="508"/>
      <c r="Z278" s="508"/>
    </row>
    <row r="279">
      <c r="A279" s="508"/>
      <c r="B279" s="508"/>
      <c r="C279" s="508"/>
      <c r="D279" s="508"/>
      <c r="E279" s="508"/>
      <c r="F279" s="508"/>
      <c r="G279" s="508"/>
      <c r="H279" s="508"/>
      <c r="I279" s="508"/>
      <c r="J279" s="508"/>
      <c r="K279" s="508"/>
      <c r="L279" s="508"/>
      <c r="M279" s="508"/>
      <c r="N279" s="508"/>
      <c r="O279" s="508"/>
      <c r="P279" s="508"/>
      <c r="Q279" s="508"/>
      <c r="R279" s="508"/>
      <c r="S279" s="508"/>
      <c r="T279" s="508"/>
      <c r="U279" s="508"/>
      <c r="V279" s="508"/>
      <c r="W279" s="508"/>
      <c r="X279" s="508"/>
      <c r="Y279" s="508"/>
      <c r="Z279" s="508"/>
    </row>
    <row r="280">
      <c r="A280" s="508"/>
      <c r="B280" s="508"/>
      <c r="C280" s="508"/>
      <c r="D280" s="508"/>
      <c r="E280" s="508"/>
      <c r="F280" s="508"/>
      <c r="G280" s="508"/>
      <c r="H280" s="508"/>
      <c r="I280" s="508"/>
      <c r="J280" s="508"/>
      <c r="K280" s="508"/>
      <c r="L280" s="508"/>
      <c r="M280" s="508"/>
      <c r="N280" s="508"/>
      <c r="O280" s="508"/>
      <c r="P280" s="508"/>
      <c r="Q280" s="508"/>
      <c r="R280" s="508"/>
      <c r="S280" s="508"/>
      <c r="T280" s="508"/>
      <c r="U280" s="508"/>
      <c r="V280" s="508"/>
      <c r="W280" s="508"/>
      <c r="X280" s="508"/>
      <c r="Y280" s="508"/>
      <c r="Z280" s="508"/>
    </row>
    <row r="281">
      <c r="A281" s="508"/>
      <c r="B281" s="508"/>
      <c r="C281" s="508"/>
      <c r="D281" s="508"/>
      <c r="E281" s="508"/>
      <c r="F281" s="508"/>
      <c r="G281" s="508"/>
      <c r="H281" s="508"/>
      <c r="I281" s="508"/>
      <c r="J281" s="508"/>
      <c r="K281" s="508"/>
      <c r="L281" s="508"/>
      <c r="M281" s="508"/>
      <c r="N281" s="508"/>
      <c r="O281" s="508"/>
      <c r="P281" s="508"/>
      <c r="Q281" s="508"/>
      <c r="R281" s="508"/>
      <c r="S281" s="508"/>
      <c r="T281" s="508"/>
      <c r="U281" s="508"/>
      <c r="V281" s="508"/>
      <c r="W281" s="508"/>
      <c r="X281" s="508"/>
      <c r="Y281" s="508"/>
      <c r="Z281" s="508"/>
    </row>
    <row r="282">
      <c r="A282" s="508"/>
      <c r="B282" s="508"/>
      <c r="C282" s="508"/>
      <c r="D282" s="508"/>
      <c r="E282" s="508"/>
      <c r="F282" s="508"/>
      <c r="G282" s="508"/>
      <c r="H282" s="508"/>
      <c r="I282" s="508"/>
      <c r="J282" s="508"/>
      <c r="K282" s="508"/>
      <c r="L282" s="508"/>
      <c r="M282" s="508"/>
      <c r="N282" s="508"/>
      <c r="O282" s="508"/>
      <c r="P282" s="508"/>
      <c r="Q282" s="508"/>
      <c r="R282" s="508"/>
      <c r="S282" s="508"/>
      <c r="T282" s="508"/>
      <c r="U282" s="508"/>
      <c r="V282" s="508"/>
      <c r="W282" s="508"/>
      <c r="X282" s="508"/>
      <c r="Y282" s="508"/>
      <c r="Z282" s="508"/>
    </row>
    <row r="283">
      <c r="A283" s="508"/>
      <c r="B283" s="508"/>
      <c r="C283" s="508"/>
      <c r="D283" s="508"/>
      <c r="E283" s="508"/>
      <c r="F283" s="508"/>
      <c r="G283" s="508"/>
      <c r="H283" s="508"/>
      <c r="I283" s="508"/>
      <c r="J283" s="508"/>
      <c r="K283" s="508"/>
      <c r="L283" s="508"/>
      <c r="M283" s="508"/>
      <c r="N283" s="508"/>
      <c r="O283" s="508"/>
      <c r="P283" s="508"/>
      <c r="Q283" s="508"/>
      <c r="R283" s="508"/>
      <c r="S283" s="508"/>
      <c r="T283" s="508"/>
      <c r="U283" s="508"/>
      <c r="V283" s="508"/>
      <c r="W283" s="508"/>
      <c r="X283" s="508"/>
      <c r="Y283" s="508"/>
      <c r="Z283" s="508"/>
    </row>
    <row r="284">
      <c r="A284" s="508"/>
      <c r="B284" s="508"/>
      <c r="C284" s="508"/>
      <c r="D284" s="508"/>
      <c r="E284" s="508"/>
      <c r="F284" s="508"/>
      <c r="G284" s="508"/>
      <c r="H284" s="508"/>
      <c r="I284" s="508"/>
      <c r="J284" s="508"/>
      <c r="K284" s="508"/>
      <c r="L284" s="508"/>
      <c r="M284" s="508"/>
      <c r="N284" s="508"/>
      <c r="O284" s="508"/>
      <c r="P284" s="508"/>
      <c r="Q284" s="508"/>
      <c r="R284" s="508"/>
      <c r="S284" s="508"/>
      <c r="T284" s="508"/>
      <c r="U284" s="508"/>
      <c r="V284" s="508"/>
      <c r="W284" s="508"/>
      <c r="X284" s="508"/>
      <c r="Y284" s="508"/>
      <c r="Z284" s="508"/>
    </row>
    <row r="285">
      <c r="A285" s="508"/>
      <c r="B285" s="508"/>
      <c r="C285" s="508"/>
      <c r="D285" s="508"/>
      <c r="E285" s="508"/>
      <c r="F285" s="508"/>
      <c r="G285" s="508"/>
      <c r="H285" s="508"/>
      <c r="I285" s="508"/>
      <c r="J285" s="508"/>
      <c r="K285" s="508"/>
      <c r="L285" s="508"/>
      <c r="M285" s="508"/>
      <c r="N285" s="508"/>
      <c r="O285" s="508"/>
      <c r="P285" s="508"/>
      <c r="Q285" s="508"/>
      <c r="R285" s="508"/>
      <c r="S285" s="508"/>
      <c r="T285" s="508"/>
      <c r="U285" s="508"/>
      <c r="V285" s="508"/>
      <c r="W285" s="508"/>
      <c r="X285" s="508"/>
      <c r="Y285" s="508"/>
      <c r="Z285" s="508"/>
    </row>
    <row r="286">
      <c r="A286" s="508"/>
      <c r="B286" s="508"/>
      <c r="C286" s="508"/>
      <c r="D286" s="508"/>
      <c r="E286" s="508"/>
      <c r="F286" s="508"/>
      <c r="G286" s="508"/>
      <c r="H286" s="508"/>
      <c r="I286" s="508"/>
      <c r="J286" s="508"/>
      <c r="K286" s="508"/>
      <c r="L286" s="508"/>
      <c r="M286" s="508"/>
      <c r="N286" s="508"/>
      <c r="O286" s="508"/>
      <c r="P286" s="508"/>
      <c r="Q286" s="508"/>
      <c r="R286" s="508"/>
      <c r="S286" s="508"/>
      <c r="T286" s="508"/>
      <c r="U286" s="508"/>
      <c r="V286" s="508"/>
      <c r="W286" s="508"/>
      <c r="X286" s="508"/>
      <c r="Y286" s="508"/>
      <c r="Z286" s="508"/>
    </row>
    <row r="287">
      <c r="A287" s="508"/>
      <c r="B287" s="508"/>
      <c r="C287" s="508"/>
      <c r="D287" s="508"/>
      <c r="E287" s="508"/>
      <c r="F287" s="508"/>
      <c r="G287" s="508"/>
      <c r="H287" s="508"/>
      <c r="I287" s="508"/>
      <c r="J287" s="508"/>
      <c r="K287" s="508"/>
      <c r="L287" s="508"/>
      <c r="M287" s="508"/>
      <c r="N287" s="508"/>
      <c r="O287" s="508"/>
      <c r="P287" s="508"/>
      <c r="Q287" s="508"/>
      <c r="R287" s="508"/>
      <c r="S287" s="508"/>
      <c r="T287" s="508"/>
      <c r="U287" s="508"/>
      <c r="V287" s="508"/>
      <c r="W287" s="508"/>
      <c r="X287" s="508"/>
      <c r="Y287" s="508"/>
      <c r="Z287" s="508"/>
    </row>
    <row r="288">
      <c r="A288" s="508"/>
      <c r="B288" s="508"/>
      <c r="C288" s="508"/>
      <c r="D288" s="508"/>
      <c r="E288" s="508"/>
      <c r="F288" s="508"/>
      <c r="G288" s="508"/>
      <c r="H288" s="508"/>
      <c r="I288" s="508"/>
      <c r="J288" s="508"/>
      <c r="K288" s="508"/>
      <c r="L288" s="508"/>
      <c r="M288" s="508"/>
      <c r="N288" s="508"/>
      <c r="O288" s="508"/>
      <c r="P288" s="508"/>
      <c r="Q288" s="508"/>
      <c r="R288" s="508"/>
      <c r="S288" s="508"/>
      <c r="T288" s="508"/>
      <c r="U288" s="508"/>
      <c r="V288" s="508"/>
      <c r="W288" s="508"/>
      <c r="X288" s="508"/>
      <c r="Y288" s="508"/>
      <c r="Z288" s="508"/>
    </row>
    <row r="289">
      <c r="A289" s="508"/>
      <c r="B289" s="508"/>
      <c r="C289" s="508"/>
      <c r="D289" s="508"/>
      <c r="E289" s="508"/>
      <c r="F289" s="508"/>
      <c r="G289" s="508"/>
      <c r="H289" s="508"/>
      <c r="I289" s="508"/>
      <c r="J289" s="508"/>
      <c r="K289" s="508"/>
      <c r="L289" s="508"/>
      <c r="M289" s="508"/>
      <c r="N289" s="508"/>
      <c r="O289" s="508"/>
      <c r="P289" s="508"/>
      <c r="Q289" s="508"/>
      <c r="R289" s="508"/>
      <c r="S289" s="508"/>
      <c r="T289" s="508"/>
      <c r="U289" s="508"/>
      <c r="V289" s="508"/>
      <c r="W289" s="508"/>
      <c r="X289" s="508"/>
      <c r="Y289" s="508"/>
      <c r="Z289" s="508"/>
    </row>
    <row r="290">
      <c r="A290" s="508"/>
      <c r="B290" s="508"/>
      <c r="C290" s="508"/>
      <c r="D290" s="508"/>
      <c r="E290" s="508"/>
      <c r="F290" s="508"/>
      <c r="G290" s="508"/>
      <c r="H290" s="508"/>
      <c r="I290" s="508"/>
      <c r="J290" s="508"/>
      <c r="K290" s="508"/>
      <c r="L290" s="508"/>
      <c r="M290" s="508"/>
      <c r="N290" s="508"/>
      <c r="O290" s="508"/>
      <c r="P290" s="508"/>
      <c r="Q290" s="508"/>
      <c r="R290" s="508"/>
      <c r="S290" s="508"/>
      <c r="T290" s="508"/>
      <c r="U290" s="508"/>
      <c r="V290" s="508"/>
      <c r="W290" s="508"/>
      <c r="X290" s="508"/>
      <c r="Y290" s="508"/>
      <c r="Z290" s="508"/>
    </row>
    <row r="291">
      <c r="A291" s="508"/>
      <c r="B291" s="508"/>
      <c r="C291" s="508"/>
      <c r="D291" s="508"/>
      <c r="E291" s="508"/>
      <c r="F291" s="508"/>
      <c r="G291" s="508"/>
      <c r="H291" s="508"/>
      <c r="I291" s="508"/>
      <c r="J291" s="508"/>
      <c r="K291" s="508"/>
      <c r="L291" s="508"/>
      <c r="M291" s="508"/>
      <c r="N291" s="508"/>
      <c r="O291" s="508"/>
      <c r="P291" s="508"/>
      <c r="Q291" s="508"/>
      <c r="R291" s="508"/>
      <c r="S291" s="508"/>
      <c r="T291" s="508"/>
      <c r="U291" s="508"/>
      <c r="V291" s="508"/>
      <c r="W291" s="508"/>
      <c r="X291" s="508"/>
      <c r="Y291" s="508"/>
      <c r="Z291" s="508"/>
    </row>
    <row r="292">
      <c r="A292" s="508"/>
      <c r="B292" s="508"/>
      <c r="C292" s="508"/>
      <c r="D292" s="508"/>
      <c r="E292" s="508"/>
      <c r="F292" s="508"/>
      <c r="G292" s="508"/>
      <c r="H292" s="508"/>
      <c r="I292" s="508"/>
      <c r="J292" s="508"/>
      <c r="K292" s="508"/>
      <c r="L292" s="508"/>
      <c r="M292" s="508"/>
      <c r="N292" s="508"/>
      <c r="O292" s="508"/>
      <c r="P292" s="508"/>
      <c r="Q292" s="508"/>
      <c r="R292" s="508"/>
      <c r="S292" s="508"/>
      <c r="T292" s="508"/>
      <c r="U292" s="508"/>
      <c r="V292" s="508"/>
      <c r="W292" s="508"/>
      <c r="X292" s="508"/>
      <c r="Y292" s="508"/>
      <c r="Z292" s="508"/>
    </row>
    <row r="293">
      <c r="A293" s="508"/>
      <c r="B293" s="508"/>
      <c r="C293" s="508"/>
      <c r="D293" s="508"/>
      <c r="E293" s="508"/>
      <c r="F293" s="508"/>
      <c r="G293" s="508"/>
      <c r="H293" s="508"/>
      <c r="I293" s="508"/>
      <c r="J293" s="508"/>
      <c r="K293" s="508"/>
      <c r="L293" s="508"/>
      <c r="M293" s="508"/>
      <c r="N293" s="508"/>
      <c r="O293" s="508"/>
      <c r="P293" s="508"/>
      <c r="Q293" s="508"/>
      <c r="R293" s="508"/>
      <c r="S293" s="508"/>
      <c r="T293" s="508"/>
      <c r="U293" s="508"/>
      <c r="V293" s="508"/>
      <c r="W293" s="508"/>
      <c r="X293" s="508"/>
      <c r="Y293" s="508"/>
      <c r="Z293" s="508"/>
    </row>
    <row r="294">
      <c r="A294" s="508"/>
      <c r="B294" s="508"/>
      <c r="C294" s="508"/>
      <c r="D294" s="508"/>
      <c r="E294" s="508"/>
      <c r="F294" s="508"/>
      <c r="G294" s="508"/>
      <c r="H294" s="508"/>
      <c r="I294" s="508"/>
      <c r="J294" s="508"/>
      <c r="K294" s="508"/>
      <c r="L294" s="508"/>
      <c r="M294" s="508"/>
      <c r="N294" s="508"/>
      <c r="O294" s="508"/>
      <c r="P294" s="508"/>
      <c r="Q294" s="508"/>
      <c r="R294" s="508"/>
      <c r="S294" s="508"/>
      <c r="T294" s="508"/>
      <c r="U294" s="508"/>
      <c r="V294" s="508"/>
      <c r="W294" s="508"/>
      <c r="X294" s="508"/>
      <c r="Y294" s="508"/>
      <c r="Z294" s="508"/>
    </row>
    <row r="295">
      <c r="A295" s="508"/>
      <c r="B295" s="508"/>
      <c r="C295" s="508"/>
      <c r="D295" s="508"/>
      <c r="E295" s="508"/>
      <c r="F295" s="508"/>
      <c r="G295" s="508"/>
      <c r="H295" s="508"/>
      <c r="I295" s="508"/>
      <c r="J295" s="508"/>
      <c r="K295" s="508"/>
      <c r="L295" s="508"/>
      <c r="M295" s="508"/>
      <c r="N295" s="508"/>
      <c r="O295" s="508"/>
      <c r="P295" s="508"/>
      <c r="Q295" s="508"/>
      <c r="R295" s="508"/>
      <c r="S295" s="508"/>
      <c r="T295" s="508"/>
      <c r="U295" s="508"/>
      <c r="V295" s="508"/>
      <c r="W295" s="508"/>
      <c r="X295" s="508"/>
      <c r="Y295" s="508"/>
      <c r="Z295" s="508"/>
    </row>
    <row r="296">
      <c r="A296" s="508"/>
      <c r="B296" s="508"/>
      <c r="C296" s="508"/>
      <c r="D296" s="508"/>
      <c r="E296" s="508"/>
      <c r="F296" s="508"/>
      <c r="G296" s="508"/>
      <c r="H296" s="508"/>
      <c r="I296" s="508"/>
      <c r="J296" s="508"/>
      <c r="K296" s="508"/>
      <c r="L296" s="508"/>
      <c r="M296" s="508"/>
      <c r="N296" s="508"/>
      <c r="O296" s="508"/>
      <c r="P296" s="508"/>
      <c r="Q296" s="508"/>
      <c r="R296" s="508"/>
      <c r="S296" s="508"/>
      <c r="T296" s="508"/>
      <c r="U296" s="508"/>
      <c r="V296" s="508"/>
      <c r="W296" s="508"/>
      <c r="X296" s="508"/>
      <c r="Y296" s="508"/>
      <c r="Z296" s="508"/>
    </row>
    <row r="297">
      <c r="A297" s="508"/>
      <c r="B297" s="508"/>
      <c r="C297" s="508"/>
      <c r="D297" s="508"/>
      <c r="E297" s="508"/>
      <c r="F297" s="508"/>
      <c r="G297" s="508"/>
      <c r="H297" s="508"/>
      <c r="I297" s="508"/>
      <c r="J297" s="508"/>
      <c r="K297" s="508"/>
      <c r="L297" s="508"/>
      <c r="M297" s="508"/>
      <c r="N297" s="508"/>
      <c r="O297" s="508"/>
      <c r="P297" s="508"/>
      <c r="Q297" s="508"/>
      <c r="R297" s="508"/>
      <c r="S297" s="508"/>
      <c r="T297" s="508"/>
      <c r="U297" s="508"/>
      <c r="V297" s="508"/>
      <c r="W297" s="508"/>
      <c r="X297" s="508"/>
      <c r="Y297" s="508"/>
      <c r="Z297" s="508"/>
    </row>
    <row r="298">
      <c r="A298" s="508"/>
      <c r="B298" s="508"/>
      <c r="C298" s="508"/>
      <c r="D298" s="508"/>
      <c r="E298" s="508"/>
      <c r="F298" s="508"/>
      <c r="G298" s="508"/>
      <c r="H298" s="508"/>
      <c r="I298" s="508"/>
      <c r="J298" s="508"/>
      <c r="K298" s="508"/>
      <c r="L298" s="508"/>
      <c r="M298" s="508"/>
      <c r="N298" s="508"/>
      <c r="O298" s="508"/>
      <c r="P298" s="508"/>
      <c r="Q298" s="508"/>
      <c r="R298" s="508"/>
      <c r="S298" s="508"/>
      <c r="T298" s="508"/>
      <c r="U298" s="508"/>
      <c r="V298" s="508"/>
      <c r="W298" s="508"/>
      <c r="X298" s="508"/>
      <c r="Y298" s="508"/>
      <c r="Z298" s="508"/>
    </row>
    <row r="299">
      <c r="A299" s="508"/>
      <c r="B299" s="508"/>
      <c r="C299" s="508"/>
      <c r="D299" s="508"/>
      <c r="E299" s="508"/>
      <c r="F299" s="508"/>
      <c r="G299" s="508"/>
      <c r="H299" s="508"/>
      <c r="I299" s="508"/>
      <c r="J299" s="508"/>
      <c r="K299" s="508"/>
      <c r="L299" s="508"/>
      <c r="M299" s="508"/>
      <c r="N299" s="508"/>
      <c r="O299" s="508"/>
      <c r="P299" s="508"/>
      <c r="Q299" s="508"/>
      <c r="R299" s="508"/>
      <c r="S299" s="508"/>
      <c r="T299" s="508"/>
      <c r="U299" s="508"/>
      <c r="V299" s="508"/>
      <c r="W299" s="508"/>
      <c r="X299" s="508"/>
      <c r="Y299" s="508"/>
      <c r="Z299" s="508"/>
    </row>
    <row r="300">
      <c r="A300" s="508"/>
      <c r="B300" s="508"/>
      <c r="C300" s="508"/>
      <c r="D300" s="508"/>
      <c r="E300" s="508"/>
      <c r="F300" s="508"/>
      <c r="G300" s="508"/>
      <c r="H300" s="508"/>
      <c r="I300" s="508"/>
      <c r="J300" s="508"/>
      <c r="K300" s="508"/>
      <c r="L300" s="508"/>
      <c r="M300" s="508"/>
      <c r="N300" s="508"/>
      <c r="O300" s="508"/>
      <c r="P300" s="508"/>
      <c r="Q300" s="508"/>
      <c r="R300" s="508"/>
      <c r="S300" s="508"/>
      <c r="T300" s="508"/>
      <c r="U300" s="508"/>
      <c r="V300" s="508"/>
      <c r="W300" s="508"/>
      <c r="X300" s="508"/>
      <c r="Y300" s="508"/>
      <c r="Z300" s="508"/>
    </row>
    <row r="301">
      <c r="A301" s="508"/>
      <c r="B301" s="508"/>
      <c r="C301" s="508"/>
      <c r="D301" s="508"/>
      <c r="E301" s="508"/>
      <c r="F301" s="508"/>
      <c r="G301" s="508"/>
      <c r="H301" s="508"/>
      <c r="I301" s="508"/>
      <c r="J301" s="508"/>
      <c r="K301" s="508"/>
      <c r="L301" s="508"/>
      <c r="M301" s="508"/>
      <c r="N301" s="508"/>
      <c r="O301" s="508"/>
      <c r="P301" s="508"/>
      <c r="Q301" s="508"/>
      <c r="R301" s="508"/>
      <c r="S301" s="508"/>
      <c r="T301" s="508"/>
      <c r="U301" s="508"/>
      <c r="V301" s="508"/>
      <c r="W301" s="508"/>
      <c r="X301" s="508"/>
      <c r="Y301" s="508"/>
      <c r="Z301" s="508"/>
    </row>
    <row r="302">
      <c r="A302" s="508"/>
      <c r="B302" s="508"/>
      <c r="C302" s="508"/>
      <c r="D302" s="508"/>
      <c r="E302" s="508"/>
      <c r="F302" s="508"/>
      <c r="G302" s="508"/>
      <c r="H302" s="508"/>
      <c r="I302" s="508"/>
      <c r="J302" s="508"/>
      <c r="K302" s="508"/>
      <c r="L302" s="508"/>
      <c r="M302" s="508"/>
      <c r="N302" s="508"/>
      <c r="O302" s="508"/>
      <c r="P302" s="508"/>
      <c r="Q302" s="508"/>
      <c r="R302" s="508"/>
      <c r="S302" s="508"/>
      <c r="T302" s="508"/>
      <c r="U302" s="508"/>
      <c r="V302" s="508"/>
      <c r="W302" s="508"/>
      <c r="X302" s="508"/>
      <c r="Y302" s="508"/>
      <c r="Z302" s="508"/>
    </row>
    <row r="303">
      <c r="A303" s="508"/>
      <c r="B303" s="508"/>
      <c r="C303" s="508"/>
      <c r="D303" s="508"/>
      <c r="E303" s="508"/>
      <c r="F303" s="508"/>
      <c r="G303" s="508"/>
      <c r="H303" s="508"/>
      <c r="I303" s="508"/>
      <c r="J303" s="508"/>
      <c r="K303" s="508"/>
      <c r="L303" s="508"/>
      <c r="M303" s="508"/>
      <c r="N303" s="508"/>
      <c r="O303" s="508"/>
      <c r="P303" s="508"/>
      <c r="Q303" s="508"/>
      <c r="R303" s="508"/>
      <c r="S303" s="508"/>
      <c r="T303" s="508"/>
      <c r="U303" s="508"/>
      <c r="V303" s="508"/>
      <c r="W303" s="508"/>
      <c r="X303" s="508"/>
      <c r="Y303" s="508"/>
      <c r="Z303" s="508"/>
    </row>
    <row r="304">
      <c r="A304" s="508"/>
      <c r="B304" s="508"/>
      <c r="C304" s="508"/>
      <c r="D304" s="508"/>
      <c r="E304" s="508"/>
      <c r="F304" s="508"/>
      <c r="G304" s="508"/>
      <c r="H304" s="508"/>
      <c r="I304" s="508"/>
      <c r="J304" s="508"/>
      <c r="K304" s="508"/>
      <c r="L304" s="508"/>
      <c r="M304" s="508"/>
      <c r="N304" s="508"/>
      <c r="O304" s="508"/>
      <c r="P304" s="508"/>
      <c r="Q304" s="508"/>
      <c r="R304" s="508"/>
      <c r="S304" s="508"/>
      <c r="T304" s="508"/>
      <c r="U304" s="508"/>
      <c r="V304" s="508"/>
      <c r="W304" s="508"/>
      <c r="X304" s="508"/>
      <c r="Y304" s="508"/>
      <c r="Z304" s="508"/>
    </row>
    <row r="305">
      <c r="A305" s="508"/>
      <c r="B305" s="508"/>
      <c r="C305" s="508"/>
      <c r="D305" s="508"/>
      <c r="E305" s="508"/>
      <c r="F305" s="508"/>
      <c r="G305" s="508"/>
      <c r="H305" s="508"/>
      <c r="I305" s="508"/>
      <c r="J305" s="508"/>
      <c r="K305" s="508"/>
      <c r="L305" s="508"/>
      <c r="M305" s="508"/>
      <c r="N305" s="508"/>
      <c r="O305" s="508"/>
      <c r="P305" s="508"/>
      <c r="Q305" s="508"/>
      <c r="R305" s="508"/>
      <c r="S305" s="508"/>
      <c r="T305" s="508"/>
      <c r="U305" s="508"/>
      <c r="V305" s="508"/>
      <c r="W305" s="508"/>
      <c r="X305" s="508"/>
      <c r="Y305" s="508"/>
      <c r="Z305" s="508"/>
    </row>
    <row r="306">
      <c r="A306" s="508"/>
      <c r="B306" s="508"/>
      <c r="C306" s="508"/>
      <c r="D306" s="508"/>
      <c r="E306" s="508"/>
      <c r="F306" s="508"/>
      <c r="G306" s="508"/>
      <c r="H306" s="508"/>
      <c r="I306" s="508"/>
      <c r="J306" s="508"/>
      <c r="K306" s="508"/>
      <c r="L306" s="508"/>
      <c r="M306" s="508"/>
      <c r="N306" s="508"/>
      <c r="O306" s="508"/>
      <c r="P306" s="508"/>
      <c r="Q306" s="508"/>
      <c r="R306" s="508"/>
      <c r="S306" s="508"/>
      <c r="T306" s="508"/>
      <c r="U306" s="508"/>
      <c r="V306" s="508"/>
      <c r="W306" s="508"/>
      <c r="X306" s="508"/>
      <c r="Y306" s="508"/>
      <c r="Z306" s="508"/>
    </row>
    <row r="307">
      <c r="A307" s="508"/>
      <c r="B307" s="508"/>
      <c r="C307" s="508"/>
      <c r="D307" s="508"/>
      <c r="E307" s="508"/>
      <c r="F307" s="508"/>
      <c r="G307" s="508"/>
      <c r="H307" s="508"/>
      <c r="I307" s="508"/>
      <c r="J307" s="508"/>
      <c r="K307" s="508"/>
      <c r="L307" s="508"/>
      <c r="M307" s="508"/>
      <c r="N307" s="508"/>
      <c r="O307" s="508"/>
      <c r="P307" s="508"/>
      <c r="Q307" s="508"/>
      <c r="R307" s="508"/>
      <c r="S307" s="508"/>
      <c r="T307" s="508"/>
      <c r="U307" s="508"/>
      <c r="V307" s="508"/>
      <c r="W307" s="508"/>
      <c r="X307" s="508"/>
      <c r="Y307" s="508"/>
      <c r="Z307" s="508"/>
    </row>
    <row r="308">
      <c r="A308" s="508"/>
      <c r="B308" s="508"/>
      <c r="C308" s="508"/>
      <c r="D308" s="508"/>
      <c r="E308" s="508"/>
      <c r="F308" s="508"/>
      <c r="G308" s="508"/>
      <c r="H308" s="508"/>
      <c r="I308" s="508"/>
      <c r="J308" s="508"/>
      <c r="K308" s="508"/>
      <c r="L308" s="508"/>
      <c r="M308" s="508"/>
      <c r="N308" s="508"/>
      <c r="O308" s="508"/>
      <c r="P308" s="508"/>
      <c r="Q308" s="508"/>
      <c r="R308" s="508"/>
      <c r="S308" s="508"/>
      <c r="T308" s="508"/>
      <c r="U308" s="508"/>
      <c r="V308" s="508"/>
      <c r="W308" s="508"/>
      <c r="X308" s="508"/>
      <c r="Y308" s="508"/>
      <c r="Z308" s="508"/>
    </row>
    <row r="309">
      <c r="A309" s="508"/>
      <c r="B309" s="508"/>
      <c r="C309" s="508"/>
      <c r="D309" s="508"/>
      <c r="E309" s="508"/>
      <c r="F309" s="508"/>
      <c r="G309" s="508"/>
      <c r="H309" s="508"/>
      <c r="I309" s="508"/>
      <c r="J309" s="508"/>
      <c r="K309" s="508"/>
      <c r="L309" s="508"/>
      <c r="M309" s="508"/>
      <c r="N309" s="508"/>
      <c r="O309" s="508"/>
      <c r="P309" s="508"/>
      <c r="Q309" s="508"/>
      <c r="R309" s="508"/>
      <c r="S309" s="508"/>
      <c r="T309" s="508"/>
      <c r="U309" s="508"/>
      <c r="V309" s="508"/>
      <c r="W309" s="508"/>
      <c r="X309" s="508"/>
      <c r="Y309" s="508"/>
      <c r="Z309" s="508"/>
    </row>
    <row r="310">
      <c r="A310" s="508"/>
      <c r="B310" s="508"/>
      <c r="C310" s="508"/>
      <c r="D310" s="508"/>
      <c r="E310" s="508"/>
      <c r="F310" s="508"/>
      <c r="G310" s="508"/>
      <c r="H310" s="508"/>
      <c r="I310" s="508"/>
      <c r="J310" s="508"/>
      <c r="K310" s="508"/>
      <c r="L310" s="508"/>
      <c r="M310" s="508"/>
      <c r="N310" s="508"/>
      <c r="O310" s="508"/>
      <c r="P310" s="508"/>
      <c r="Q310" s="508"/>
      <c r="R310" s="508"/>
      <c r="S310" s="508"/>
      <c r="T310" s="508"/>
      <c r="U310" s="508"/>
      <c r="V310" s="508"/>
      <c r="W310" s="508"/>
      <c r="X310" s="508"/>
      <c r="Y310" s="508"/>
      <c r="Z310" s="508"/>
    </row>
    <row r="311">
      <c r="A311" s="508"/>
      <c r="B311" s="508"/>
      <c r="C311" s="508"/>
      <c r="D311" s="508"/>
      <c r="E311" s="508"/>
      <c r="F311" s="508"/>
      <c r="G311" s="508"/>
      <c r="H311" s="508"/>
      <c r="I311" s="508"/>
      <c r="J311" s="508"/>
      <c r="K311" s="508"/>
      <c r="L311" s="508"/>
      <c r="M311" s="508"/>
      <c r="N311" s="508"/>
      <c r="O311" s="508"/>
      <c r="P311" s="508"/>
      <c r="Q311" s="508"/>
      <c r="R311" s="508"/>
      <c r="S311" s="508"/>
      <c r="T311" s="508"/>
      <c r="U311" s="508"/>
      <c r="V311" s="508"/>
      <c r="W311" s="508"/>
      <c r="X311" s="508"/>
      <c r="Y311" s="508"/>
      <c r="Z311" s="508"/>
    </row>
    <row r="312">
      <c r="A312" s="508"/>
      <c r="B312" s="508"/>
      <c r="C312" s="508"/>
      <c r="D312" s="508"/>
      <c r="E312" s="508"/>
      <c r="F312" s="508"/>
      <c r="G312" s="508"/>
      <c r="H312" s="508"/>
      <c r="I312" s="508"/>
      <c r="J312" s="508"/>
      <c r="K312" s="508"/>
      <c r="L312" s="508"/>
      <c r="M312" s="508"/>
      <c r="N312" s="508"/>
      <c r="O312" s="508"/>
      <c r="P312" s="508"/>
      <c r="Q312" s="508"/>
      <c r="R312" s="508"/>
      <c r="S312" s="508"/>
      <c r="T312" s="508"/>
      <c r="U312" s="508"/>
      <c r="V312" s="508"/>
      <c r="W312" s="508"/>
      <c r="X312" s="508"/>
      <c r="Y312" s="508"/>
      <c r="Z312" s="508"/>
    </row>
    <row r="313">
      <c r="A313" s="508"/>
      <c r="B313" s="508"/>
      <c r="C313" s="508"/>
      <c r="D313" s="508"/>
      <c r="E313" s="508"/>
      <c r="F313" s="508"/>
      <c r="G313" s="508"/>
      <c r="H313" s="508"/>
      <c r="I313" s="508"/>
      <c r="J313" s="508"/>
      <c r="K313" s="508"/>
      <c r="L313" s="508"/>
      <c r="M313" s="508"/>
      <c r="N313" s="508"/>
      <c r="O313" s="508"/>
      <c r="P313" s="508"/>
      <c r="Q313" s="508"/>
      <c r="R313" s="508"/>
      <c r="S313" s="508"/>
      <c r="T313" s="508"/>
      <c r="U313" s="508"/>
      <c r="V313" s="508"/>
      <c r="W313" s="508"/>
      <c r="X313" s="508"/>
      <c r="Y313" s="508"/>
      <c r="Z313" s="508"/>
    </row>
    <row r="314">
      <c r="A314" s="508"/>
      <c r="B314" s="508"/>
      <c r="C314" s="508"/>
      <c r="D314" s="508"/>
      <c r="E314" s="508"/>
      <c r="F314" s="508"/>
      <c r="G314" s="508"/>
      <c r="H314" s="508"/>
      <c r="I314" s="508"/>
      <c r="J314" s="508"/>
      <c r="K314" s="508"/>
      <c r="L314" s="508"/>
      <c r="M314" s="508"/>
      <c r="N314" s="508"/>
      <c r="O314" s="508"/>
      <c r="P314" s="508"/>
      <c r="Q314" s="508"/>
      <c r="R314" s="508"/>
      <c r="S314" s="508"/>
      <c r="T314" s="508"/>
      <c r="U314" s="508"/>
      <c r="V314" s="508"/>
      <c r="W314" s="508"/>
      <c r="X314" s="508"/>
      <c r="Y314" s="508"/>
      <c r="Z314" s="508"/>
    </row>
    <row r="315">
      <c r="A315" s="508"/>
      <c r="B315" s="508"/>
      <c r="C315" s="508"/>
      <c r="D315" s="508"/>
      <c r="E315" s="508"/>
      <c r="F315" s="508"/>
      <c r="G315" s="508"/>
      <c r="H315" s="508"/>
      <c r="I315" s="508"/>
      <c r="J315" s="508"/>
      <c r="K315" s="508"/>
      <c r="L315" s="508"/>
      <c r="M315" s="508"/>
      <c r="N315" s="508"/>
      <c r="O315" s="508"/>
      <c r="P315" s="508"/>
      <c r="Q315" s="508"/>
      <c r="R315" s="508"/>
      <c r="S315" s="508"/>
      <c r="T315" s="508"/>
      <c r="U315" s="508"/>
      <c r="V315" s="508"/>
      <c r="W315" s="508"/>
      <c r="X315" s="508"/>
      <c r="Y315" s="508"/>
      <c r="Z315" s="508"/>
    </row>
    <row r="316">
      <c r="A316" s="508"/>
      <c r="B316" s="508"/>
      <c r="C316" s="508"/>
      <c r="D316" s="508"/>
      <c r="E316" s="508"/>
      <c r="F316" s="508"/>
      <c r="G316" s="508"/>
      <c r="H316" s="508"/>
      <c r="I316" s="508"/>
      <c r="J316" s="508"/>
      <c r="K316" s="508"/>
      <c r="L316" s="508"/>
      <c r="M316" s="508"/>
      <c r="N316" s="508"/>
      <c r="O316" s="508"/>
      <c r="P316" s="508"/>
      <c r="Q316" s="508"/>
      <c r="R316" s="508"/>
      <c r="S316" s="508"/>
      <c r="T316" s="508"/>
      <c r="U316" s="508"/>
      <c r="V316" s="508"/>
      <c r="W316" s="508"/>
      <c r="X316" s="508"/>
      <c r="Y316" s="508"/>
      <c r="Z316" s="508"/>
    </row>
    <row r="317">
      <c r="A317" s="508"/>
      <c r="B317" s="508"/>
      <c r="C317" s="508"/>
      <c r="D317" s="508"/>
      <c r="E317" s="508"/>
      <c r="F317" s="508"/>
      <c r="G317" s="508"/>
      <c r="H317" s="508"/>
      <c r="I317" s="508"/>
      <c r="J317" s="508"/>
      <c r="K317" s="508"/>
      <c r="L317" s="508"/>
      <c r="M317" s="508"/>
      <c r="N317" s="508"/>
      <c r="O317" s="508"/>
      <c r="P317" s="508"/>
      <c r="Q317" s="508"/>
      <c r="R317" s="508"/>
      <c r="S317" s="508"/>
      <c r="T317" s="508"/>
      <c r="U317" s="508"/>
      <c r="V317" s="508"/>
      <c r="W317" s="508"/>
      <c r="X317" s="508"/>
      <c r="Y317" s="508"/>
      <c r="Z317" s="508"/>
    </row>
    <row r="318">
      <c r="A318" s="508"/>
      <c r="B318" s="508"/>
      <c r="C318" s="508"/>
      <c r="D318" s="508"/>
      <c r="E318" s="508"/>
      <c r="F318" s="508"/>
      <c r="G318" s="508"/>
      <c r="H318" s="508"/>
      <c r="I318" s="508"/>
      <c r="J318" s="508"/>
      <c r="K318" s="508"/>
      <c r="L318" s="508"/>
      <c r="M318" s="508"/>
      <c r="N318" s="508"/>
      <c r="O318" s="508"/>
      <c r="P318" s="508"/>
      <c r="Q318" s="508"/>
      <c r="R318" s="508"/>
      <c r="S318" s="508"/>
      <c r="T318" s="508"/>
      <c r="U318" s="508"/>
      <c r="V318" s="508"/>
      <c r="W318" s="508"/>
      <c r="X318" s="508"/>
      <c r="Y318" s="508"/>
      <c r="Z318" s="508"/>
    </row>
    <row r="319">
      <c r="A319" s="508"/>
      <c r="B319" s="508"/>
      <c r="C319" s="508"/>
      <c r="D319" s="508"/>
      <c r="E319" s="508"/>
      <c r="F319" s="508"/>
      <c r="G319" s="508"/>
      <c r="H319" s="508"/>
      <c r="I319" s="508"/>
      <c r="J319" s="508"/>
      <c r="K319" s="508"/>
      <c r="L319" s="508"/>
      <c r="M319" s="508"/>
      <c r="N319" s="508"/>
      <c r="O319" s="508"/>
      <c r="P319" s="508"/>
      <c r="Q319" s="508"/>
      <c r="R319" s="508"/>
      <c r="S319" s="508"/>
      <c r="T319" s="508"/>
      <c r="U319" s="508"/>
      <c r="V319" s="508"/>
      <c r="W319" s="508"/>
      <c r="X319" s="508"/>
      <c r="Y319" s="508"/>
      <c r="Z319" s="508"/>
    </row>
    <row r="320">
      <c r="A320" s="508"/>
      <c r="B320" s="508"/>
      <c r="C320" s="508"/>
      <c r="D320" s="508"/>
      <c r="E320" s="508"/>
      <c r="F320" s="508"/>
      <c r="G320" s="508"/>
      <c r="H320" s="508"/>
      <c r="I320" s="508"/>
      <c r="J320" s="508"/>
      <c r="K320" s="508"/>
      <c r="L320" s="508"/>
      <c r="M320" s="508"/>
      <c r="N320" s="508"/>
      <c r="O320" s="508"/>
      <c r="P320" s="508"/>
      <c r="Q320" s="508"/>
      <c r="R320" s="508"/>
      <c r="S320" s="508"/>
      <c r="T320" s="508"/>
      <c r="U320" s="508"/>
      <c r="V320" s="508"/>
      <c r="W320" s="508"/>
      <c r="X320" s="508"/>
      <c r="Y320" s="508"/>
      <c r="Z320" s="508"/>
    </row>
    <row r="321">
      <c r="A321" s="508"/>
      <c r="B321" s="508"/>
      <c r="C321" s="508"/>
      <c r="D321" s="508"/>
      <c r="E321" s="508"/>
      <c r="F321" s="508"/>
      <c r="G321" s="508"/>
      <c r="H321" s="508"/>
      <c r="I321" s="508"/>
      <c r="J321" s="508"/>
      <c r="K321" s="508"/>
      <c r="L321" s="508"/>
      <c r="M321" s="508"/>
      <c r="N321" s="508"/>
      <c r="O321" s="508"/>
      <c r="P321" s="508"/>
      <c r="Q321" s="508"/>
      <c r="R321" s="508"/>
      <c r="S321" s="508"/>
      <c r="T321" s="508"/>
      <c r="U321" s="508"/>
      <c r="V321" s="508"/>
      <c r="W321" s="508"/>
      <c r="X321" s="508"/>
      <c r="Y321" s="508"/>
      <c r="Z321" s="508"/>
    </row>
    <row r="322">
      <c r="A322" s="508"/>
      <c r="B322" s="508"/>
      <c r="C322" s="508"/>
      <c r="D322" s="508"/>
      <c r="E322" s="508"/>
      <c r="F322" s="508"/>
      <c r="G322" s="508"/>
      <c r="H322" s="508"/>
      <c r="I322" s="508"/>
      <c r="J322" s="508"/>
      <c r="K322" s="508"/>
      <c r="L322" s="508"/>
      <c r="M322" s="508"/>
      <c r="N322" s="508"/>
      <c r="O322" s="508"/>
      <c r="P322" s="508"/>
      <c r="Q322" s="508"/>
      <c r="R322" s="508"/>
      <c r="S322" s="508"/>
      <c r="T322" s="508"/>
      <c r="U322" s="508"/>
      <c r="V322" s="508"/>
      <c r="W322" s="508"/>
      <c r="X322" s="508"/>
      <c r="Y322" s="508"/>
      <c r="Z322" s="508"/>
    </row>
    <row r="323">
      <c r="A323" s="508"/>
      <c r="B323" s="508"/>
      <c r="C323" s="508"/>
      <c r="D323" s="508"/>
      <c r="E323" s="508"/>
      <c r="F323" s="508"/>
      <c r="G323" s="508"/>
      <c r="H323" s="508"/>
      <c r="I323" s="508"/>
      <c r="J323" s="508"/>
      <c r="K323" s="508"/>
      <c r="L323" s="508"/>
      <c r="M323" s="508"/>
      <c r="N323" s="508"/>
      <c r="O323" s="508"/>
      <c r="P323" s="508"/>
      <c r="Q323" s="508"/>
      <c r="R323" s="508"/>
      <c r="S323" s="508"/>
      <c r="T323" s="508"/>
      <c r="U323" s="508"/>
      <c r="V323" s="508"/>
      <c r="W323" s="508"/>
      <c r="X323" s="508"/>
      <c r="Y323" s="508"/>
      <c r="Z323" s="508"/>
    </row>
    <row r="324">
      <c r="A324" s="508"/>
      <c r="B324" s="508"/>
      <c r="C324" s="508"/>
      <c r="D324" s="508"/>
      <c r="E324" s="508"/>
      <c r="F324" s="508"/>
      <c r="G324" s="508"/>
      <c r="H324" s="508"/>
      <c r="I324" s="508"/>
      <c r="J324" s="508"/>
      <c r="K324" s="508"/>
      <c r="L324" s="508"/>
      <c r="M324" s="508"/>
      <c r="N324" s="508"/>
      <c r="O324" s="508"/>
      <c r="P324" s="508"/>
      <c r="Q324" s="508"/>
      <c r="R324" s="508"/>
      <c r="S324" s="508"/>
      <c r="T324" s="508"/>
      <c r="U324" s="508"/>
      <c r="V324" s="508"/>
      <c r="W324" s="508"/>
      <c r="X324" s="508"/>
      <c r="Y324" s="508"/>
      <c r="Z324" s="508"/>
    </row>
    <row r="325">
      <c r="A325" s="508"/>
      <c r="B325" s="508"/>
      <c r="C325" s="508"/>
      <c r="D325" s="508"/>
      <c r="E325" s="508"/>
      <c r="F325" s="508"/>
      <c r="G325" s="508"/>
      <c r="H325" s="508"/>
      <c r="I325" s="508"/>
      <c r="J325" s="508"/>
      <c r="K325" s="508"/>
      <c r="L325" s="508"/>
      <c r="M325" s="508"/>
      <c r="N325" s="508"/>
      <c r="O325" s="508"/>
      <c r="P325" s="508"/>
      <c r="Q325" s="508"/>
      <c r="R325" s="508"/>
      <c r="S325" s="508"/>
      <c r="T325" s="508"/>
      <c r="U325" s="508"/>
      <c r="V325" s="508"/>
      <c r="W325" s="508"/>
      <c r="X325" s="508"/>
      <c r="Y325" s="508"/>
      <c r="Z325" s="508"/>
    </row>
    <row r="326">
      <c r="A326" s="508"/>
      <c r="B326" s="508"/>
      <c r="C326" s="508"/>
      <c r="D326" s="508"/>
      <c r="E326" s="508"/>
      <c r="F326" s="508"/>
      <c r="G326" s="508"/>
      <c r="H326" s="508"/>
      <c r="I326" s="508"/>
      <c r="J326" s="508"/>
      <c r="K326" s="508"/>
      <c r="L326" s="508"/>
      <c r="M326" s="508"/>
      <c r="N326" s="508"/>
      <c r="O326" s="508"/>
      <c r="P326" s="508"/>
      <c r="Q326" s="508"/>
      <c r="R326" s="508"/>
      <c r="S326" s="508"/>
      <c r="T326" s="508"/>
      <c r="U326" s="508"/>
      <c r="V326" s="508"/>
      <c r="W326" s="508"/>
      <c r="X326" s="508"/>
      <c r="Y326" s="508"/>
      <c r="Z326" s="508"/>
    </row>
    <row r="327">
      <c r="A327" s="508"/>
      <c r="B327" s="508"/>
      <c r="C327" s="508"/>
      <c r="D327" s="508"/>
      <c r="E327" s="508"/>
      <c r="F327" s="508"/>
      <c r="G327" s="508"/>
      <c r="H327" s="508"/>
      <c r="I327" s="508"/>
      <c r="J327" s="508"/>
      <c r="K327" s="508"/>
      <c r="L327" s="508"/>
      <c r="M327" s="508"/>
      <c r="N327" s="508"/>
      <c r="O327" s="508"/>
      <c r="P327" s="508"/>
      <c r="Q327" s="508"/>
      <c r="R327" s="508"/>
      <c r="S327" s="508"/>
      <c r="T327" s="508"/>
      <c r="U327" s="508"/>
      <c r="V327" s="508"/>
      <c r="W327" s="508"/>
      <c r="X327" s="508"/>
      <c r="Y327" s="508"/>
      <c r="Z327" s="508"/>
    </row>
    <row r="328">
      <c r="A328" s="508"/>
      <c r="B328" s="508"/>
      <c r="C328" s="508"/>
      <c r="D328" s="508"/>
      <c r="E328" s="508"/>
      <c r="F328" s="508"/>
      <c r="G328" s="508"/>
      <c r="H328" s="508"/>
      <c r="I328" s="508"/>
      <c r="J328" s="508"/>
      <c r="K328" s="508"/>
      <c r="L328" s="508"/>
      <c r="M328" s="508"/>
      <c r="N328" s="508"/>
      <c r="O328" s="508"/>
      <c r="P328" s="508"/>
      <c r="Q328" s="508"/>
      <c r="R328" s="508"/>
      <c r="S328" s="508"/>
      <c r="T328" s="508"/>
      <c r="U328" s="508"/>
      <c r="V328" s="508"/>
      <c r="W328" s="508"/>
      <c r="X328" s="508"/>
      <c r="Y328" s="508"/>
      <c r="Z328" s="508"/>
    </row>
    <row r="329">
      <c r="A329" s="508"/>
      <c r="B329" s="508"/>
      <c r="C329" s="508"/>
      <c r="D329" s="508"/>
      <c r="E329" s="508"/>
      <c r="F329" s="508"/>
      <c r="G329" s="508"/>
      <c r="H329" s="508"/>
      <c r="I329" s="508"/>
      <c r="J329" s="508"/>
      <c r="K329" s="508"/>
      <c r="L329" s="508"/>
      <c r="M329" s="508"/>
      <c r="N329" s="508"/>
      <c r="O329" s="508"/>
      <c r="P329" s="508"/>
      <c r="Q329" s="508"/>
      <c r="R329" s="508"/>
      <c r="S329" s="508"/>
      <c r="T329" s="508"/>
      <c r="U329" s="508"/>
      <c r="V329" s="508"/>
      <c r="W329" s="508"/>
      <c r="X329" s="508"/>
      <c r="Y329" s="508"/>
      <c r="Z329" s="508"/>
    </row>
    <row r="330">
      <c r="A330" s="508"/>
      <c r="B330" s="508"/>
      <c r="C330" s="508"/>
      <c r="D330" s="508"/>
      <c r="E330" s="508"/>
      <c r="F330" s="508"/>
      <c r="G330" s="508"/>
      <c r="H330" s="508"/>
      <c r="I330" s="508"/>
      <c r="J330" s="508"/>
      <c r="K330" s="508"/>
      <c r="L330" s="508"/>
      <c r="M330" s="508"/>
      <c r="N330" s="508"/>
      <c r="O330" s="508"/>
      <c r="P330" s="508"/>
      <c r="Q330" s="508"/>
      <c r="R330" s="508"/>
      <c r="S330" s="508"/>
      <c r="T330" s="508"/>
      <c r="U330" s="508"/>
      <c r="V330" s="508"/>
      <c r="W330" s="508"/>
      <c r="X330" s="508"/>
      <c r="Y330" s="508"/>
      <c r="Z330" s="508"/>
    </row>
    <row r="331">
      <c r="A331" s="508"/>
      <c r="B331" s="508"/>
      <c r="C331" s="508"/>
      <c r="D331" s="508"/>
      <c r="E331" s="508"/>
      <c r="F331" s="508"/>
      <c r="G331" s="508"/>
      <c r="H331" s="508"/>
      <c r="I331" s="508"/>
      <c r="J331" s="508"/>
      <c r="K331" s="508"/>
      <c r="L331" s="508"/>
      <c r="M331" s="508"/>
      <c r="N331" s="508"/>
      <c r="O331" s="508"/>
      <c r="P331" s="508"/>
      <c r="Q331" s="508"/>
      <c r="R331" s="508"/>
      <c r="S331" s="508"/>
      <c r="T331" s="508"/>
      <c r="U331" s="508"/>
      <c r="V331" s="508"/>
      <c r="W331" s="508"/>
      <c r="X331" s="508"/>
      <c r="Y331" s="508"/>
      <c r="Z331" s="508"/>
    </row>
    <row r="332">
      <c r="A332" s="508"/>
      <c r="B332" s="508"/>
      <c r="C332" s="508"/>
      <c r="D332" s="508"/>
      <c r="E332" s="508"/>
      <c r="F332" s="508"/>
      <c r="G332" s="508"/>
      <c r="H332" s="508"/>
      <c r="I332" s="508"/>
      <c r="J332" s="508"/>
      <c r="K332" s="508"/>
      <c r="L332" s="508"/>
      <c r="M332" s="508"/>
      <c r="N332" s="508"/>
      <c r="O332" s="508"/>
      <c r="P332" s="508"/>
      <c r="Q332" s="508"/>
      <c r="R332" s="508"/>
      <c r="S332" s="508"/>
      <c r="T332" s="508"/>
      <c r="U332" s="508"/>
      <c r="V332" s="508"/>
      <c r="W332" s="508"/>
      <c r="X332" s="508"/>
      <c r="Y332" s="508"/>
      <c r="Z332" s="508"/>
    </row>
    <row r="333">
      <c r="A333" s="508"/>
      <c r="B333" s="508"/>
      <c r="C333" s="508"/>
      <c r="D333" s="508"/>
      <c r="E333" s="508"/>
      <c r="F333" s="508"/>
      <c r="G333" s="508"/>
      <c r="H333" s="508"/>
      <c r="I333" s="508"/>
      <c r="J333" s="508"/>
      <c r="K333" s="508"/>
      <c r="L333" s="508"/>
      <c r="M333" s="508"/>
      <c r="N333" s="508"/>
      <c r="O333" s="508"/>
      <c r="P333" s="508"/>
      <c r="Q333" s="508"/>
      <c r="R333" s="508"/>
      <c r="S333" s="508"/>
      <c r="T333" s="508"/>
      <c r="U333" s="508"/>
      <c r="V333" s="508"/>
      <c r="W333" s="508"/>
      <c r="X333" s="508"/>
      <c r="Y333" s="508"/>
      <c r="Z333" s="508"/>
    </row>
    <row r="334">
      <c r="A334" s="508"/>
      <c r="B334" s="508"/>
      <c r="C334" s="508"/>
      <c r="D334" s="508"/>
      <c r="E334" s="508"/>
      <c r="F334" s="508"/>
      <c r="G334" s="508"/>
      <c r="H334" s="508"/>
      <c r="I334" s="508"/>
      <c r="J334" s="508"/>
      <c r="K334" s="508"/>
      <c r="L334" s="508"/>
      <c r="M334" s="508"/>
      <c r="N334" s="508"/>
      <c r="O334" s="508"/>
      <c r="P334" s="508"/>
      <c r="Q334" s="508"/>
      <c r="R334" s="508"/>
      <c r="S334" s="508"/>
      <c r="T334" s="508"/>
      <c r="U334" s="508"/>
      <c r="V334" s="508"/>
      <c r="W334" s="508"/>
      <c r="X334" s="508"/>
      <c r="Y334" s="508"/>
      <c r="Z334" s="508"/>
    </row>
    <row r="335">
      <c r="A335" s="508"/>
      <c r="B335" s="508"/>
      <c r="C335" s="508"/>
      <c r="D335" s="508"/>
      <c r="E335" s="508"/>
      <c r="F335" s="508"/>
      <c r="G335" s="508"/>
      <c r="H335" s="508"/>
      <c r="I335" s="508"/>
      <c r="J335" s="508"/>
      <c r="K335" s="508"/>
      <c r="L335" s="508"/>
      <c r="M335" s="508"/>
      <c r="N335" s="508"/>
      <c r="O335" s="508"/>
      <c r="P335" s="508"/>
      <c r="Q335" s="508"/>
      <c r="R335" s="508"/>
      <c r="S335" s="508"/>
      <c r="T335" s="508"/>
      <c r="U335" s="508"/>
      <c r="V335" s="508"/>
      <c r="W335" s="508"/>
      <c r="X335" s="508"/>
      <c r="Y335" s="508"/>
      <c r="Z335" s="508"/>
    </row>
    <row r="336">
      <c r="A336" s="508"/>
      <c r="B336" s="508"/>
      <c r="C336" s="508"/>
      <c r="D336" s="508"/>
      <c r="E336" s="508"/>
      <c r="F336" s="508"/>
      <c r="G336" s="508"/>
      <c r="H336" s="508"/>
      <c r="I336" s="508"/>
      <c r="J336" s="508"/>
      <c r="K336" s="508"/>
      <c r="L336" s="508"/>
      <c r="M336" s="508"/>
      <c r="N336" s="508"/>
      <c r="O336" s="508"/>
      <c r="P336" s="508"/>
      <c r="Q336" s="508"/>
      <c r="R336" s="508"/>
      <c r="S336" s="508"/>
      <c r="T336" s="508"/>
      <c r="U336" s="508"/>
      <c r="V336" s="508"/>
      <c r="W336" s="508"/>
      <c r="X336" s="508"/>
      <c r="Y336" s="508"/>
      <c r="Z336" s="508"/>
    </row>
    <row r="337">
      <c r="A337" s="508"/>
      <c r="B337" s="508"/>
      <c r="C337" s="508"/>
      <c r="D337" s="508"/>
      <c r="E337" s="508"/>
      <c r="F337" s="508"/>
      <c r="G337" s="508"/>
      <c r="H337" s="508"/>
      <c r="I337" s="508"/>
      <c r="J337" s="508"/>
      <c r="K337" s="508"/>
      <c r="L337" s="508"/>
      <c r="M337" s="508"/>
      <c r="N337" s="508"/>
      <c r="O337" s="508"/>
      <c r="P337" s="508"/>
      <c r="Q337" s="508"/>
      <c r="R337" s="508"/>
      <c r="S337" s="508"/>
      <c r="T337" s="508"/>
      <c r="U337" s="508"/>
      <c r="V337" s="508"/>
      <c r="W337" s="508"/>
      <c r="X337" s="508"/>
      <c r="Y337" s="508"/>
      <c r="Z337" s="508"/>
    </row>
    <row r="338">
      <c r="A338" s="508"/>
      <c r="B338" s="508"/>
      <c r="C338" s="508"/>
      <c r="D338" s="508"/>
      <c r="E338" s="508"/>
      <c r="F338" s="508"/>
      <c r="G338" s="508"/>
      <c r="H338" s="508"/>
      <c r="I338" s="508"/>
      <c r="J338" s="508"/>
      <c r="K338" s="508"/>
      <c r="L338" s="508"/>
      <c r="M338" s="508"/>
      <c r="N338" s="508"/>
      <c r="O338" s="508"/>
      <c r="P338" s="508"/>
      <c r="Q338" s="508"/>
      <c r="R338" s="508"/>
      <c r="S338" s="508"/>
      <c r="T338" s="508"/>
      <c r="U338" s="508"/>
      <c r="V338" s="508"/>
      <c r="W338" s="508"/>
      <c r="X338" s="508"/>
      <c r="Y338" s="508"/>
      <c r="Z338" s="508"/>
    </row>
    <row r="339">
      <c r="A339" s="508"/>
      <c r="B339" s="508"/>
      <c r="C339" s="508"/>
      <c r="D339" s="508"/>
      <c r="E339" s="508"/>
      <c r="F339" s="508"/>
      <c r="G339" s="508"/>
      <c r="H339" s="508"/>
      <c r="I339" s="508"/>
      <c r="J339" s="508"/>
      <c r="K339" s="508"/>
      <c r="L339" s="508"/>
      <c r="M339" s="508"/>
      <c r="N339" s="508"/>
      <c r="O339" s="508"/>
      <c r="P339" s="508"/>
      <c r="Q339" s="508"/>
      <c r="R339" s="508"/>
      <c r="S339" s="508"/>
      <c r="T339" s="508"/>
      <c r="U339" s="508"/>
      <c r="V339" s="508"/>
      <c r="W339" s="508"/>
      <c r="X339" s="508"/>
      <c r="Y339" s="508"/>
      <c r="Z339" s="508"/>
    </row>
    <row r="340">
      <c r="A340" s="508"/>
      <c r="B340" s="508"/>
      <c r="C340" s="508"/>
      <c r="D340" s="508"/>
      <c r="E340" s="508"/>
      <c r="F340" s="508"/>
      <c r="G340" s="508"/>
      <c r="H340" s="508"/>
      <c r="I340" s="508"/>
      <c r="J340" s="508"/>
      <c r="K340" s="508"/>
      <c r="L340" s="508"/>
      <c r="M340" s="508"/>
      <c r="N340" s="508"/>
      <c r="O340" s="508"/>
      <c r="P340" s="508"/>
      <c r="Q340" s="508"/>
      <c r="R340" s="508"/>
      <c r="S340" s="508"/>
      <c r="T340" s="508"/>
      <c r="U340" s="508"/>
      <c r="V340" s="508"/>
      <c r="W340" s="508"/>
      <c r="X340" s="508"/>
      <c r="Y340" s="508"/>
      <c r="Z340" s="508"/>
    </row>
    <row r="341">
      <c r="A341" s="508"/>
      <c r="B341" s="508"/>
      <c r="C341" s="508"/>
      <c r="D341" s="508"/>
      <c r="E341" s="508"/>
      <c r="F341" s="508"/>
      <c r="G341" s="508"/>
      <c r="H341" s="508"/>
      <c r="I341" s="508"/>
      <c r="J341" s="508"/>
      <c r="K341" s="508"/>
      <c r="L341" s="508"/>
      <c r="M341" s="508"/>
      <c r="N341" s="508"/>
      <c r="O341" s="508"/>
      <c r="P341" s="508"/>
      <c r="Q341" s="508"/>
      <c r="R341" s="508"/>
      <c r="S341" s="508"/>
      <c r="T341" s="508"/>
      <c r="U341" s="508"/>
      <c r="V341" s="508"/>
      <c r="W341" s="508"/>
      <c r="X341" s="508"/>
      <c r="Y341" s="508"/>
      <c r="Z341" s="508"/>
    </row>
    <row r="342">
      <c r="A342" s="508"/>
      <c r="B342" s="508"/>
      <c r="C342" s="508"/>
      <c r="D342" s="508"/>
      <c r="E342" s="508"/>
      <c r="F342" s="508"/>
      <c r="G342" s="508"/>
      <c r="H342" s="508"/>
      <c r="I342" s="508"/>
      <c r="J342" s="508"/>
      <c r="K342" s="508"/>
      <c r="L342" s="508"/>
      <c r="M342" s="508"/>
      <c r="N342" s="508"/>
      <c r="O342" s="508"/>
      <c r="P342" s="508"/>
      <c r="Q342" s="508"/>
      <c r="R342" s="508"/>
      <c r="S342" s="508"/>
      <c r="T342" s="508"/>
      <c r="U342" s="508"/>
      <c r="V342" s="508"/>
      <c r="W342" s="508"/>
      <c r="X342" s="508"/>
      <c r="Y342" s="508"/>
      <c r="Z342" s="508"/>
    </row>
    <row r="343">
      <c r="A343" s="508"/>
      <c r="B343" s="508"/>
      <c r="C343" s="508"/>
      <c r="D343" s="508"/>
      <c r="E343" s="508"/>
      <c r="F343" s="508"/>
      <c r="G343" s="508"/>
      <c r="H343" s="508"/>
      <c r="I343" s="508"/>
      <c r="J343" s="508"/>
      <c r="K343" s="508"/>
      <c r="L343" s="508"/>
      <c r="M343" s="508"/>
      <c r="N343" s="508"/>
      <c r="O343" s="508"/>
      <c r="P343" s="508"/>
      <c r="Q343" s="508"/>
      <c r="R343" s="508"/>
      <c r="S343" s="508"/>
      <c r="T343" s="508"/>
      <c r="U343" s="508"/>
      <c r="V343" s="508"/>
      <c r="W343" s="508"/>
      <c r="X343" s="508"/>
      <c r="Y343" s="508"/>
      <c r="Z343" s="508"/>
    </row>
    <row r="344">
      <c r="A344" s="508"/>
      <c r="B344" s="508"/>
      <c r="C344" s="508"/>
      <c r="D344" s="508"/>
      <c r="E344" s="508"/>
      <c r="F344" s="508"/>
      <c r="G344" s="508"/>
      <c r="H344" s="508"/>
      <c r="I344" s="508"/>
      <c r="J344" s="508"/>
      <c r="K344" s="508"/>
      <c r="L344" s="508"/>
      <c r="M344" s="508"/>
      <c r="N344" s="508"/>
      <c r="O344" s="508"/>
      <c r="P344" s="508"/>
      <c r="Q344" s="508"/>
      <c r="R344" s="508"/>
      <c r="S344" s="508"/>
      <c r="T344" s="508"/>
      <c r="U344" s="508"/>
      <c r="V344" s="508"/>
      <c r="W344" s="508"/>
      <c r="X344" s="508"/>
      <c r="Y344" s="508"/>
      <c r="Z344" s="508"/>
    </row>
    <row r="345">
      <c r="A345" s="508"/>
      <c r="B345" s="508"/>
      <c r="C345" s="508"/>
      <c r="D345" s="508"/>
      <c r="E345" s="508"/>
      <c r="F345" s="508"/>
      <c r="G345" s="508"/>
      <c r="H345" s="508"/>
      <c r="I345" s="508"/>
      <c r="J345" s="508"/>
      <c r="K345" s="508"/>
      <c r="L345" s="508"/>
      <c r="M345" s="508"/>
      <c r="N345" s="508"/>
      <c r="O345" s="508"/>
      <c r="P345" s="508"/>
      <c r="Q345" s="508"/>
      <c r="R345" s="508"/>
      <c r="S345" s="508"/>
      <c r="T345" s="508"/>
      <c r="U345" s="508"/>
      <c r="V345" s="508"/>
      <c r="W345" s="508"/>
      <c r="X345" s="508"/>
      <c r="Y345" s="508"/>
      <c r="Z345" s="508"/>
    </row>
    <row r="346">
      <c r="A346" s="508"/>
      <c r="B346" s="508"/>
      <c r="C346" s="508"/>
      <c r="D346" s="508"/>
      <c r="E346" s="508"/>
      <c r="F346" s="508"/>
      <c r="G346" s="508"/>
      <c r="H346" s="508"/>
      <c r="I346" s="508"/>
      <c r="J346" s="508"/>
      <c r="K346" s="508"/>
      <c r="L346" s="508"/>
      <c r="M346" s="508"/>
      <c r="N346" s="508"/>
      <c r="O346" s="508"/>
      <c r="P346" s="508"/>
      <c r="Q346" s="508"/>
      <c r="R346" s="508"/>
      <c r="S346" s="508"/>
      <c r="T346" s="508"/>
      <c r="U346" s="508"/>
      <c r="V346" s="508"/>
      <c r="W346" s="508"/>
      <c r="X346" s="508"/>
      <c r="Y346" s="508"/>
      <c r="Z346" s="508"/>
    </row>
    <row r="347">
      <c r="A347" s="508"/>
      <c r="B347" s="508"/>
      <c r="C347" s="508"/>
      <c r="D347" s="508"/>
      <c r="E347" s="508"/>
      <c r="F347" s="508"/>
      <c r="G347" s="508"/>
      <c r="H347" s="508"/>
      <c r="I347" s="508"/>
      <c r="J347" s="508"/>
      <c r="K347" s="508"/>
      <c r="L347" s="508"/>
      <c r="M347" s="508"/>
      <c r="N347" s="508"/>
      <c r="O347" s="508"/>
      <c r="P347" s="508"/>
      <c r="Q347" s="508"/>
      <c r="R347" s="508"/>
      <c r="S347" s="508"/>
      <c r="T347" s="508"/>
      <c r="U347" s="508"/>
      <c r="V347" s="508"/>
      <c r="W347" s="508"/>
      <c r="X347" s="508"/>
      <c r="Y347" s="508"/>
      <c r="Z347" s="508"/>
    </row>
    <row r="348">
      <c r="A348" s="508"/>
      <c r="B348" s="508"/>
      <c r="C348" s="508"/>
      <c r="D348" s="508"/>
      <c r="E348" s="508"/>
      <c r="F348" s="508"/>
      <c r="G348" s="508"/>
      <c r="H348" s="508"/>
      <c r="I348" s="508"/>
      <c r="J348" s="508"/>
      <c r="K348" s="508"/>
      <c r="L348" s="508"/>
      <c r="M348" s="508"/>
      <c r="N348" s="508"/>
      <c r="O348" s="508"/>
      <c r="P348" s="508"/>
      <c r="Q348" s="508"/>
      <c r="R348" s="508"/>
      <c r="S348" s="508"/>
      <c r="T348" s="508"/>
      <c r="U348" s="508"/>
      <c r="V348" s="508"/>
      <c r="W348" s="508"/>
      <c r="X348" s="508"/>
      <c r="Y348" s="508"/>
      <c r="Z348" s="508"/>
    </row>
    <row r="349">
      <c r="A349" s="508"/>
      <c r="B349" s="508"/>
      <c r="C349" s="508"/>
      <c r="D349" s="508"/>
      <c r="E349" s="508"/>
      <c r="F349" s="508"/>
      <c r="G349" s="508"/>
      <c r="H349" s="508"/>
      <c r="I349" s="508"/>
      <c r="J349" s="508"/>
      <c r="K349" s="508"/>
      <c r="L349" s="508"/>
      <c r="M349" s="508"/>
      <c r="N349" s="508"/>
      <c r="O349" s="508"/>
      <c r="P349" s="508"/>
      <c r="Q349" s="508"/>
      <c r="R349" s="508"/>
      <c r="S349" s="508"/>
      <c r="T349" s="508"/>
      <c r="U349" s="508"/>
      <c r="V349" s="508"/>
      <c r="W349" s="508"/>
      <c r="X349" s="508"/>
      <c r="Y349" s="508"/>
      <c r="Z349" s="508"/>
    </row>
    <row r="350">
      <c r="A350" s="508"/>
      <c r="B350" s="508"/>
      <c r="C350" s="508"/>
      <c r="D350" s="508"/>
      <c r="E350" s="508"/>
      <c r="F350" s="508"/>
      <c r="G350" s="508"/>
      <c r="H350" s="508"/>
      <c r="I350" s="508"/>
      <c r="J350" s="508"/>
      <c r="K350" s="508"/>
      <c r="L350" s="508"/>
      <c r="M350" s="508"/>
      <c r="N350" s="508"/>
      <c r="O350" s="508"/>
      <c r="P350" s="508"/>
      <c r="Q350" s="508"/>
      <c r="R350" s="508"/>
      <c r="S350" s="508"/>
      <c r="T350" s="508"/>
      <c r="U350" s="508"/>
      <c r="V350" s="508"/>
      <c r="W350" s="508"/>
      <c r="X350" s="508"/>
      <c r="Y350" s="508"/>
      <c r="Z350" s="508"/>
    </row>
    <row r="351">
      <c r="A351" s="508"/>
      <c r="B351" s="508"/>
      <c r="C351" s="508"/>
      <c r="D351" s="508"/>
      <c r="E351" s="508"/>
      <c r="F351" s="508"/>
      <c r="G351" s="508"/>
      <c r="H351" s="508"/>
      <c r="I351" s="508"/>
      <c r="J351" s="508"/>
      <c r="K351" s="508"/>
      <c r="L351" s="508"/>
      <c r="M351" s="508"/>
      <c r="N351" s="508"/>
      <c r="O351" s="508"/>
      <c r="P351" s="508"/>
      <c r="Q351" s="508"/>
      <c r="R351" s="508"/>
      <c r="S351" s="508"/>
      <c r="T351" s="508"/>
      <c r="U351" s="508"/>
      <c r="V351" s="508"/>
      <c r="W351" s="508"/>
      <c r="X351" s="508"/>
      <c r="Y351" s="508"/>
      <c r="Z351" s="508"/>
    </row>
    <row r="352">
      <c r="A352" s="508"/>
      <c r="B352" s="508"/>
      <c r="C352" s="508"/>
      <c r="D352" s="508"/>
      <c r="E352" s="508"/>
      <c r="F352" s="508"/>
      <c r="G352" s="508"/>
      <c r="H352" s="508"/>
      <c r="I352" s="508"/>
      <c r="J352" s="508"/>
      <c r="K352" s="508"/>
      <c r="L352" s="508"/>
      <c r="M352" s="508"/>
      <c r="N352" s="508"/>
      <c r="O352" s="508"/>
      <c r="P352" s="508"/>
      <c r="Q352" s="508"/>
      <c r="R352" s="508"/>
      <c r="S352" s="508"/>
      <c r="T352" s="508"/>
      <c r="U352" s="508"/>
      <c r="V352" s="508"/>
      <c r="W352" s="508"/>
      <c r="X352" s="508"/>
      <c r="Y352" s="508"/>
      <c r="Z352" s="508"/>
    </row>
    <row r="353">
      <c r="A353" s="508"/>
      <c r="B353" s="508"/>
      <c r="C353" s="508"/>
      <c r="D353" s="508"/>
      <c r="E353" s="508"/>
      <c r="F353" s="508"/>
      <c r="G353" s="508"/>
      <c r="H353" s="508"/>
      <c r="I353" s="508"/>
      <c r="J353" s="508"/>
      <c r="K353" s="508"/>
      <c r="L353" s="508"/>
      <c r="M353" s="508"/>
      <c r="N353" s="508"/>
      <c r="O353" s="508"/>
      <c r="P353" s="508"/>
      <c r="Q353" s="508"/>
      <c r="R353" s="508"/>
      <c r="S353" s="508"/>
      <c r="T353" s="508"/>
      <c r="U353" s="508"/>
      <c r="V353" s="508"/>
      <c r="W353" s="508"/>
      <c r="X353" s="508"/>
      <c r="Y353" s="508"/>
      <c r="Z353" s="508"/>
    </row>
    <row r="354">
      <c r="A354" s="508"/>
      <c r="B354" s="508"/>
      <c r="C354" s="508"/>
      <c r="D354" s="508"/>
      <c r="E354" s="508"/>
      <c r="F354" s="508"/>
      <c r="G354" s="508"/>
      <c r="H354" s="508"/>
      <c r="I354" s="508"/>
      <c r="J354" s="508"/>
      <c r="K354" s="508"/>
      <c r="L354" s="508"/>
      <c r="M354" s="508"/>
      <c r="N354" s="508"/>
      <c r="O354" s="508"/>
      <c r="P354" s="508"/>
      <c r="Q354" s="508"/>
      <c r="R354" s="508"/>
      <c r="S354" s="508"/>
      <c r="T354" s="508"/>
      <c r="U354" s="508"/>
      <c r="V354" s="508"/>
      <c r="W354" s="508"/>
      <c r="X354" s="508"/>
      <c r="Y354" s="508"/>
      <c r="Z354" s="508"/>
    </row>
    <row r="355">
      <c r="A355" s="508"/>
      <c r="B355" s="508"/>
      <c r="C355" s="508"/>
      <c r="D355" s="508"/>
      <c r="E355" s="508"/>
      <c r="F355" s="508"/>
      <c r="G355" s="508"/>
      <c r="H355" s="508"/>
      <c r="I355" s="508"/>
      <c r="J355" s="508"/>
      <c r="K355" s="508"/>
      <c r="L355" s="508"/>
      <c r="M355" s="508"/>
      <c r="N355" s="508"/>
      <c r="O355" s="508"/>
      <c r="P355" s="508"/>
      <c r="Q355" s="508"/>
      <c r="R355" s="508"/>
      <c r="S355" s="508"/>
      <c r="T355" s="508"/>
      <c r="U355" s="508"/>
      <c r="V355" s="508"/>
      <c r="W355" s="508"/>
      <c r="X355" s="508"/>
      <c r="Y355" s="508"/>
      <c r="Z355" s="508"/>
    </row>
    <row r="356">
      <c r="A356" s="508"/>
      <c r="B356" s="508"/>
      <c r="C356" s="508"/>
      <c r="D356" s="508"/>
      <c r="E356" s="508"/>
      <c r="F356" s="508"/>
      <c r="G356" s="508"/>
      <c r="H356" s="508"/>
      <c r="I356" s="508"/>
      <c r="J356" s="508"/>
      <c r="K356" s="508"/>
      <c r="L356" s="508"/>
      <c r="M356" s="508"/>
      <c r="N356" s="508"/>
      <c r="O356" s="508"/>
      <c r="P356" s="508"/>
      <c r="Q356" s="508"/>
      <c r="R356" s="508"/>
      <c r="S356" s="508"/>
      <c r="T356" s="508"/>
      <c r="U356" s="508"/>
      <c r="V356" s="508"/>
      <c r="W356" s="508"/>
      <c r="X356" s="508"/>
      <c r="Y356" s="508"/>
      <c r="Z356" s="508"/>
    </row>
    <row r="357">
      <c r="A357" s="508"/>
      <c r="B357" s="508"/>
      <c r="C357" s="508"/>
      <c r="D357" s="508"/>
      <c r="E357" s="508"/>
      <c r="F357" s="508"/>
      <c r="G357" s="508"/>
      <c r="H357" s="508"/>
      <c r="I357" s="508"/>
      <c r="J357" s="508"/>
      <c r="K357" s="508"/>
      <c r="L357" s="508"/>
      <c r="M357" s="508"/>
      <c r="N357" s="508"/>
      <c r="O357" s="508"/>
      <c r="P357" s="508"/>
      <c r="Q357" s="508"/>
      <c r="R357" s="508"/>
      <c r="S357" s="508"/>
      <c r="T357" s="508"/>
      <c r="U357" s="508"/>
      <c r="V357" s="508"/>
      <c r="W357" s="508"/>
      <c r="X357" s="508"/>
      <c r="Y357" s="508"/>
      <c r="Z357" s="508"/>
    </row>
    <row r="358">
      <c r="A358" s="508"/>
      <c r="B358" s="508"/>
      <c r="C358" s="508"/>
      <c r="D358" s="508"/>
      <c r="E358" s="508"/>
      <c r="F358" s="508"/>
      <c r="G358" s="508"/>
      <c r="H358" s="508"/>
      <c r="I358" s="508"/>
      <c r="J358" s="508"/>
      <c r="K358" s="508"/>
      <c r="L358" s="508"/>
      <c r="M358" s="508"/>
      <c r="N358" s="508"/>
      <c r="O358" s="508"/>
      <c r="P358" s="508"/>
      <c r="Q358" s="508"/>
      <c r="R358" s="508"/>
      <c r="S358" s="508"/>
      <c r="T358" s="508"/>
      <c r="U358" s="508"/>
      <c r="V358" s="508"/>
      <c r="W358" s="508"/>
      <c r="X358" s="508"/>
      <c r="Y358" s="508"/>
      <c r="Z358" s="508"/>
    </row>
    <row r="359">
      <c r="A359" s="508"/>
      <c r="B359" s="508"/>
      <c r="C359" s="508"/>
      <c r="D359" s="508"/>
      <c r="E359" s="508"/>
      <c r="F359" s="508"/>
      <c r="G359" s="508"/>
      <c r="H359" s="508"/>
      <c r="I359" s="508"/>
      <c r="J359" s="508"/>
      <c r="K359" s="508"/>
      <c r="L359" s="508"/>
      <c r="M359" s="508"/>
      <c r="N359" s="508"/>
      <c r="O359" s="508"/>
      <c r="P359" s="508"/>
      <c r="Q359" s="508"/>
      <c r="R359" s="508"/>
      <c r="S359" s="508"/>
      <c r="T359" s="508"/>
      <c r="U359" s="508"/>
      <c r="V359" s="508"/>
      <c r="W359" s="508"/>
      <c r="X359" s="508"/>
      <c r="Y359" s="508"/>
      <c r="Z359" s="508"/>
    </row>
    <row r="360">
      <c r="A360" s="508"/>
      <c r="B360" s="508"/>
      <c r="C360" s="508"/>
      <c r="D360" s="508"/>
      <c r="E360" s="508"/>
      <c r="F360" s="508"/>
      <c r="G360" s="508"/>
      <c r="H360" s="508"/>
      <c r="I360" s="508"/>
      <c r="J360" s="508"/>
      <c r="K360" s="508"/>
      <c r="L360" s="508"/>
      <c r="M360" s="508"/>
      <c r="N360" s="508"/>
      <c r="O360" s="508"/>
      <c r="P360" s="508"/>
      <c r="Q360" s="508"/>
      <c r="R360" s="508"/>
      <c r="S360" s="508"/>
      <c r="T360" s="508"/>
      <c r="U360" s="508"/>
      <c r="V360" s="508"/>
      <c r="W360" s="508"/>
      <c r="X360" s="508"/>
      <c r="Y360" s="508"/>
      <c r="Z360" s="508"/>
    </row>
    <row r="361">
      <c r="A361" s="508"/>
      <c r="B361" s="508"/>
      <c r="C361" s="508"/>
      <c r="D361" s="508"/>
      <c r="E361" s="508"/>
      <c r="F361" s="508"/>
      <c r="G361" s="508"/>
      <c r="H361" s="508"/>
      <c r="I361" s="508"/>
      <c r="J361" s="508"/>
      <c r="K361" s="508"/>
      <c r="L361" s="508"/>
      <c r="M361" s="508"/>
      <c r="N361" s="508"/>
      <c r="O361" s="508"/>
      <c r="P361" s="508"/>
      <c r="Q361" s="508"/>
      <c r="R361" s="508"/>
      <c r="S361" s="508"/>
      <c r="T361" s="508"/>
      <c r="U361" s="508"/>
      <c r="V361" s="508"/>
      <c r="W361" s="508"/>
      <c r="X361" s="508"/>
      <c r="Y361" s="508"/>
      <c r="Z361" s="508"/>
    </row>
    <row r="362">
      <c r="A362" s="508"/>
      <c r="B362" s="508"/>
      <c r="C362" s="508"/>
      <c r="D362" s="508"/>
      <c r="E362" s="508"/>
      <c r="F362" s="508"/>
      <c r="G362" s="508"/>
      <c r="H362" s="508"/>
      <c r="I362" s="508"/>
      <c r="J362" s="508"/>
      <c r="K362" s="508"/>
      <c r="L362" s="508"/>
      <c r="M362" s="508"/>
      <c r="N362" s="508"/>
      <c r="O362" s="508"/>
      <c r="P362" s="508"/>
      <c r="Q362" s="508"/>
      <c r="R362" s="508"/>
      <c r="S362" s="508"/>
      <c r="T362" s="508"/>
      <c r="U362" s="508"/>
      <c r="V362" s="508"/>
      <c r="W362" s="508"/>
      <c r="X362" s="508"/>
      <c r="Y362" s="508"/>
      <c r="Z362" s="508"/>
    </row>
    <row r="363">
      <c r="A363" s="508"/>
      <c r="B363" s="508"/>
      <c r="C363" s="508"/>
      <c r="D363" s="508"/>
      <c r="E363" s="508"/>
      <c r="F363" s="508"/>
      <c r="G363" s="508"/>
      <c r="H363" s="508"/>
      <c r="I363" s="508"/>
      <c r="J363" s="508"/>
      <c r="K363" s="508"/>
      <c r="L363" s="508"/>
      <c r="M363" s="508"/>
      <c r="N363" s="508"/>
      <c r="O363" s="508"/>
      <c r="P363" s="508"/>
      <c r="Q363" s="508"/>
      <c r="R363" s="508"/>
      <c r="S363" s="508"/>
      <c r="T363" s="508"/>
      <c r="U363" s="508"/>
      <c r="V363" s="508"/>
      <c r="W363" s="508"/>
      <c r="X363" s="508"/>
      <c r="Y363" s="508"/>
      <c r="Z363" s="508"/>
    </row>
    <row r="364">
      <c r="A364" s="508"/>
      <c r="B364" s="508"/>
      <c r="C364" s="508"/>
      <c r="D364" s="508"/>
      <c r="E364" s="508"/>
      <c r="F364" s="508"/>
      <c r="G364" s="508"/>
      <c r="H364" s="508"/>
      <c r="I364" s="508"/>
      <c r="J364" s="508"/>
      <c r="K364" s="508"/>
      <c r="L364" s="508"/>
      <c r="M364" s="508"/>
      <c r="N364" s="508"/>
      <c r="O364" s="508"/>
      <c r="P364" s="508"/>
      <c r="Q364" s="508"/>
      <c r="R364" s="508"/>
      <c r="S364" s="508"/>
      <c r="T364" s="508"/>
      <c r="U364" s="508"/>
      <c r="V364" s="508"/>
      <c r="W364" s="508"/>
      <c r="X364" s="508"/>
      <c r="Y364" s="508"/>
      <c r="Z364" s="508"/>
    </row>
    <row r="365">
      <c r="A365" s="508"/>
      <c r="B365" s="508"/>
      <c r="C365" s="508"/>
      <c r="D365" s="508"/>
      <c r="E365" s="508"/>
      <c r="F365" s="508"/>
      <c r="G365" s="508"/>
      <c r="H365" s="508"/>
      <c r="I365" s="508"/>
      <c r="J365" s="508"/>
      <c r="K365" s="508"/>
      <c r="L365" s="508"/>
      <c r="M365" s="508"/>
      <c r="N365" s="508"/>
      <c r="O365" s="508"/>
      <c r="P365" s="508"/>
      <c r="Q365" s="508"/>
      <c r="R365" s="508"/>
      <c r="S365" s="508"/>
      <c r="T365" s="508"/>
      <c r="U365" s="508"/>
      <c r="V365" s="508"/>
      <c r="W365" s="508"/>
      <c r="X365" s="508"/>
      <c r="Y365" s="508"/>
      <c r="Z365" s="508"/>
    </row>
    <row r="366">
      <c r="A366" s="508"/>
      <c r="B366" s="508"/>
      <c r="C366" s="508"/>
      <c r="D366" s="508"/>
      <c r="E366" s="508"/>
      <c r="F366" s="508"/>
      <c r="G366" s="508"/>
      <c r="H366" s="508"/>
      <c r="I366" s="508"/>
      <c r="J366" s="508"/>
      <c r="K366" s="508"/>
      <c r="L366" s="508"/>
      <c r="M366" s="508"/>
      <c r="N366" s="508"/>
      <c r="O366" s="508"/>
      <c r="P366" s="508"/>
      <c r="Q366" s="508"/>
      <c r="R366" s="508"/>
      <c r="S366" s="508"/>
      <c r="T366" s="508"/>
      <c r="U366" s="508"/>
      <c r="V366" s="508"/>
      <c r="W366" s="508"/>
      <c r="X366" s="508"/>
      <c r="Y366" s="508"/>
      <c r="Z366" s="508"/>
    </row>
    <row r="367">
      <c r="A367" s="508"/>
      <c r="B367" s="508"/>
      <c r="C367" s="508"/>
      <c r="D367" s="508"/>
      <c r="E367" s="508"/>
      <c r="F367" s="508"/>
      <c r="G367" s="508"/>
      <c r="H367" s="508"/>
      <c r="I367" s="508"/>
      <c r="J367" s="508"/>
      <c r="K367" s="508"/>
      <c r="L367" s="508"/>
      <c r="M367" s="508"/>
      <c r="N367" s="508"/>
      <c r="O367" s="508"/>
      <c r="P367" s="508"/>
      <c r="Q367" s="508"/>
      <c r="R367" s="508"/>
      <c r="S367" s="508"/>
      <c r="T367" s="508"/>
      <c r="U367" s="508"/>
      <c r="V367" s="508"/>
      <c r="W367" s="508"/>
      <c r="X367" s="508"/>
      <c r="Y367" s="508"/>
      <c r="Z367" s="508"/>
    </row>
    <row r="368">
      <c r="A368" s="508"/>
      <c r="B368" s="508"/>
      <c r="C368" s="508"/>
      <c r="D368" s="508"/>
      <c r="E368" s="508"/>
      <c r="F368" s="508"/>
      <c r="G368" s="508"/>
      <c r="H368" s="508"/>
      <c r="I368" s="508"/>
      <c r="J368" s="508"/>
      <c r="K368" s="508"/>
      <c r="L368" s="508"/>
      <c r="M368" s="508"/>
      <c r="N368" s="508"/>
      <c r="O368" s="508"/>
      <c r="P368" s="508"/>
      <c r="Q368" s="508"/>
      <c r="R368" s="508"/>
      <c r="S368" s="508"/>
      <c r="T368" s="508"/>
      <c r="U368" s="508"/>
      <c r="V368" s="508"/>
      <c r="W368" s="508"/>
      <c r="X368" s="508"/>
      <c r="Y368" s="508"/>
      <c r="Z368" s="508"/>
    </row>
    <row r="369">
      <c r="A369" s="508"/>
      <c r="B369" s="508"/>
      <c r="C369" s="508"/>
      <c r="D369" s="508"/>
      <c r="E369" s="508"/>
      <c r="F369" s="508"/>
      <c r="G369" s="508"/>
      <c r="H369" s="508"/>
      <c r="I369" s="508"/>
      <c r="J369" s="508"/>
      <c r="K369" s="508"/>
      <c r="L369" s="508"/>
      <c r="M369" s="508"/>
      <c r="N369" s="508"/>
      <c r="O369" s="508"/>
      <c r="P369" s="508"/>
      <c r="Q369" s="508"/>
      <c r="R369" s="508"/>
      <c r="S369" s="508"/>
      <c r="T369" s="508"/>
      <c r="U369" s="508"/>
      <c r="V369" s="508"/>
      <c r="W369" s="508"/>
      <c r="X369" s="508"/>
      <c r="Y369" s="508"/>
      <c r="Z369" s="508"/>
    </row>
    <row r="370">
      <c r="A370" s="508"/>
      <c r="B370" s="508"/>
      <c r="C370" s="508"/>
      <c r="D370" s="508"/>
      <c r="E370" s="508"/>
      <c r="F370" s="508"/>
      <c r="G370" s="508"/>
      <c r="H370" s="508"/>
      <c r="I370" s="508"/>
      <c r="J370" s="508"/>
      <c r="K370" s="508"/>
      <c r="L370" s="508"/>
      <c r="M370" s="508"/>
      <c r="N370" s="508"/>
      <c r="O370" s="508"/>
      <c r="P370" s="508"/>
      <c r="Q370" s="508"/>
      <c r="R370" s="508"/>
      <c r="S370" s="508"/>
      <c r="T370" s="508"/>
      <c r="U370" s="508"/>
      <c r="V370" s="508"/>
      <c r="W370" s="508"/>
      <c r="X370" s="508"/>
      <c r="Y370" s="508"/>
      <c r="Z370" s="508"/>
    </row>
    <row r="371">
      <c r="A371" s="508"/>
      <c r="B371" s="508"/>
      <c r="C371" s="508"/>
      <c r="D371" s="508"/>
      <c r="E371" s="508"/>
      <c r="F371" s="508"/>
      <c r="G371" s="508"/>
      <c r="H371" s="508"/>
      <c r="I371" s="508"/>
      <c r="J371" s="508"/>
      <c r="K371" s="508"/>
      <c r="L371" s="508"/>
      <c r="M371" s="508"/>
      <c r="N371" s="508"/>
      <c r="O371" s="508"/>
      <c r="P371" s="508"/>
      <c r="Q371" s="508"/>
      <c r="R371" s="508"/>
      <c r="S371" s="508"/>
      <c r="T371" s="508"/>
      <c r="U371" s="508"/>
      <c r="V371" s="508"/>
      <c r="W371" s="508"/>
      <c r="X371" s="508"/>
      <c r="Y371" s="508"/>
      <c r="Z371" s="508"/>
    </row>
    <row r="372">
      <c r="A372" s="508"/>
      <c r="B372" s="508"/>
      <c r="C372" s="508"/>
      <c r="D372" s="508"/>
      <c r="E372" s="508"/>
      <c r="F372" s="508"/>
      <c r="G372" s="508"/>
      <c r="H372" s="508"/>
      <c r="I372" s="508"/>
      <c r="J372" s="508"/>
      <c r="K372" s="508"/>
      <c r="L372" s="508"/>
      <c r="M372" s="508"/>
      <c r="N372" s="508"/>
      <c r="O372" s="508"/>
      <c r="P372" s="508"/>
      <c r="Q372" s="508"/>
      <c r="R372" s="508"/>
      <c r="S372" s="508"/>
      <c r="T372" s="508"/>
      <c r="U372" s="508"/>
      <c r="V372" s="508"/>
      <c r="W372" s="508"/>
      <c r="X372" s="508"/>
      <c r="Y372" s="508"/>
      <c r="Z372" s="508"/>
    </row>
    <row r="373">
      <c r="A373" s="508"/>
      <c r="B373" s="508"/>
      <c r="C373" s="508"/>
      <c r="D373" s="508"/>
      <c r="E373" s="508"/>
      <c r="F373" s="508"/>
      <c r="G373" s="508"/>
      <c r="H373" s="508"/>
      <c r="I373" s="508"/>
      <c r="J373" s="508"/>
      <c r="K373" s="508"/>
      <c r="L373" s="508"/>
      <c r="M373" s="508"/>
      <c r="N373" s="508"/>
      <c r="O373" s="508"/>
      <c r="P373" s="508"/>
      <c r="Q373" s="508"/>
      <c r="R373" s="508"/>
      <c r="S373" s="508"/>
      <c r="T373" s="508"/>
      <c r="U373" s="508"/>
      <c r="V373" s="508"/>
      <c r="W373" s="508"/>
      <c r="X373" s="508"/>
      <c r="Y373" s="508"/>
      <c r="Z373" s="508"/>
    </row>
    <row r="374">
      <c r="A374" s="508"/>
      <c r="B374" s="508"/>
      <c r="C374" s="508"/>
      <c r="D374" s="508"/>
      <c r="E374" s="508"/>
      <c r="F374" s="508"/>
      <c r="G374" s="508"/>
      <c r="H374" s="508"/>
      <c r="I374" s="508"/>
      <c r="J374" s="508"/>
      <c r="K374" s="508"/>
      <c r="L374" s="508"/>
      <c r="M374" s="508"/>
      <c r="N374" s="508"/>
      <c r="O374" s="508"/>
      <c r="P374" s="508"/>
      <c r="Q374" s="508"/>
      <c r="R374" s="508"/>
      <c r="S374" s="508"/>
      <c r="T374" s="508"/>
      <c r="U374" s="508"/>
      <c r="V374" s="508"/>
      <c r="W374" s="508"/>
      <c r="X374" s="508"/>
      <c r="Y374" s="508"/>
      <c r="Z374" s="508"/>
    </row>
    <row r="375">
      <c r="A375" s="508"/>
      <c r="B375" s="508"/>
      <c r="C375" s="508"/>
      <c r="D375" s="508"/>
      <c r="E375" s="508"/>
      <c r="F375" s="508"/>
      <c r="G375" s="508"/>
      <c r="H375" s="508"/>
      <c r="I375" s="508"/>
      <c r="J375" s="508"/>
      <c r="K375" s="508"/>
      <c r="L375" s="508"/>
      <c r="M375" s="508"/>
      <c r="N375" s="508"/>
      <c r="O375" s="508"/>
      <c r="P375" s="508"/>
      <c r="Q375" s="508"/>
      <c r="R375" s="508"/>
      <c r="S375" s="508"/>
      <c r="T375" s="508"/>
      <c r="U375" s="508"/>
      <c r="V375" s="508"/>
      <c r="W375" s="508"/>
      <c r="X375" s="508"/>
      <c r="Y375" s="508"/>
      <c r="Z375" s="508"/>
    </row>
    <row r="376">
      <c r="A376" s="508"/>
      <c r="B376" s="508"/>
      <c r="C376" s="508"/>
      <c r="D376" s="508"/>
      <c r="E376" s="508"/>
      <c r="F376" s="508"/>
      <c r="G376" s="508"/>
      <c r="H376" s="508"/>
      <c r="I376" s="508"/>
      <c r="J376" s="508"/>
      <c r="K376" s="508"/>
      <c r="L376" s="508"/>
      <c r="M376" s="508"/>
      <c r="N376" s="508"/>
      <c r="O376" s="508"/>
      <c r="P376" s="508"/>
      <c r="Q376" s="508"/>
      <c r="R376" s="508"/>
      <c r="S376" s="508"/>
      <c r="T376" s="508"/>
      <c r="U376" s="508"/>
      <c r="V376" s="508"/>
      <c r="W376" s="508"/>
      <c r="X376" s="508"/>
      <c r="Y376" s="508"/>
      <c r="Z376" s="508"/>
    </row>
    <row r="377">
      <c r="A377" s="508"/>
      <c r="B377" s="508"/>
      <c r="C377" s="508"/>
      <c r="D377" s="508"/>
      <c r="E377" s="508"/>
      <c r="F377" s="508"/>
      <c r="G377" s="508"/>
      <c r="H377" s="508"/>
      <c r="I377" s="508"/>
      <c r="J377" s="508"/>
      <c r="K377" s="508"/>
      <c r="L377" s="508"/>
      <c r="M377" s="508"/>
      <c r="N377" s="508"/>
      <c r="O377" s="508"/>
      <c r="P377" s="508"/>
      <c r="Q377" s="508"/>
      <c r="R377" s="508"/>
      <c r="S377" s="508"/>
      <c r="T377" s="508"/>
      <c r="U377" s="508"/>
      <c r="V377" s="508"/>
      <c r="W377" s="508"/>
      <c r="X377" s="508"/>
      <c r="Y377" s="508"/>
      <c r="Z377" s="508"/>
    </row>
    <row r="378">
      <c r="A378" s="508"/>
      <c r="B378" s="508"/>
      <c r="C378" s="508"/>
      <c r="D378" s="508"/>
      <c r="E378" s="508"/>
      <c r="F378" s="508"/>
      <c r="G378" s="508"/>
      <c r="H378" s="508"/>
      <c r="I378" s="508"/>
      <c r="J378" s="508"/>
      <c r="K378" s="508"/>
      <c r="L378" s="508"/>
      <c r="M378" s="508"/>
      <c r="N378" s="508"/>
      <c r="O378" s="508"/>
      <c r="P378" s="508"/>
      <c r="Q378" s="508"/>
      <c r="R378" s="508"/>
      <c r="S378" s="508"/>
      <c r="T378" s="508"/>
      <c r="U378" s="508"/>
      <c r="V378" s="508"/>
      <c r="W378" s="508"/>
      <c r="X378" s="508"/>
      <c r="Y378" s="508"/>
      <c r="Z378" s="508"/>
    </row>
    <row r="379">
      <c r="A379" s="508"/>
      <c r="B379" s="508"/>
      <c r="C379" s="508"/>
      <c r="D379" s="508"/>
      <c r="E379" s="508"/>
      <c r="F379" s="508"/>
      <c r="G379" s="508"/>
      <c r="H379" s="508"/>
      <c r="I379" s="508"/>
      <c r="J379" s="508"/>
      <c r="K379" s="508"/>
      <c r="L379" s="508"/>
      <c r="M379" s="508"/>
      <c r="N379" s="508"/>
      <c r="O379" s="508"/>
      <c r="P379" s="508"/>
      <c r="Q379" s="508"/>
      <c r="R379" s="508"/>
      <c r="S379" s="508"/>
      <c r="T379" s="508"/>
      <c r="U379" s="508"/>
      <c r="V379" s="508"/>
      <c r="W379" s="508"/>
      <c r="X379" s="508"/>
      <c r="Y379" s="508"/>
      <c r="Z379" s="508"/>
    </row>
    <row r="380">
      <c r="A380" s="508"/>
      <c r="B380" s="508"/>
      <c r="C380" s="508"/>
      <c r="D380" s="508"/>
      <c r="E380" s="508"/>
      <c r="F380" s="508"/>
      <c r="G380" s="508"/>
      <c r="H380" s="508"/>
      <c r="I380" s="508"/>
      <c r="J380" s="508"/>
      <c r="K380" s="508"/>
      <c r="L380" s="508"/>
      <c r="M380" s="508"/>
      <c r="N380" s="508"/>
      <c r="O380" s="508"/>
      <c r="P380" s="508"/>
      <c r="Q380" s="508"/>
      <c r="R380" s="508"/>
      <c r="S380" s="508"/>
      <c r="T380" s="508"/>
      <c r="U380" s="508"/>
      <c r="V380" s="508"/>
      <c r="W380" s="508"/>
      <c r="X380" s="508"/>
      <c r="Y380" s="508"/>
      <c r="Z380" s="508"/>
    </row>
    <row r="381">
      <c r="A381" s="508"/>
      <c r="B381" s="508"/>
      <c r="C381" s="508"/>
      <c r="D381" s="508"/>
      <c r="E381" s="508"/>
      <c r="F381" s="508"/>
      <c r="G381" s="508"/>
      <c r="H381" s="508"/>
      <c r="I381" s="508"/>
      <c r="J381" s="508"/>
      <c r="K381" s="508"/>
      <c r="L381" s="508"/>
      <c r="M381" s="508"/>
      <c r="N381" s="508"/>
      <c r="O381" s="508"/>
      <c r="P381" s="508"/>
      <c r="Q381" s="508"/>
      <c r="R381" s="508"/>
      <c r="S381" s="508"/>
      <c r="T381" s="508"/>
      <c r="U381" s="508"/>
      <c r="V381" s="508"/>
      <c r="W381" s="508"/>
      <c r="X381" s="508"/>
      <c r="Y381" s="508"/>
      <c r="Z381" s="508"/>
    </row>
    <row r="382">
      <c r="A382" s="508"/>
      <c r="B382" s="508"/>
      <c r="C382" s="508"/>
      <c r="D382" s="508"/>
      <c r="E382" s="508"/>
      <c r="F382" s="508"/>
      <c r="G382" s="508"/>
      <c r="H382" s="508"/>
      <c r="I382" s="508"/>
      <c r="J382" s="508"/>
      <c r="K382" s="508"/>
      <c r="L382" s="508"/>
      <c r="M382" s="508"/>
      <c r="N382" s="508"/>
      <c r="O382" s="508"/>
      <c r="P382" s="508"/>
      <c r="Q382" s="508"/>
      <c r="R382" s="508"/>
      <c r="S382" s="508"/>
      <c r="T382" s="508"/>
      <c r="U382" s="508"/>
      <c r="V382" s="508"/>
      <c r="W382" s="508"/>
      <c r="X382" s="508"/>
      <c r="Y382" s="508"/>
      <c r="Z382" s="508"/>
    </row>
    <row r="383">
      <c r="A383" s="508"/>
      <c r="B383" s="508"/>
      <c r="C383" s="508"/>
      <c r="D383" s="508"/>
      <c r="E383" s="508"/>
      <c r="F383" s="508"/>
      <c r="G383" s="508"/>
      <c r="H383" s="508"/>
      <c r="I383" s="508"/>
      <c r="J383" s="508"/>
      <c r="K383" s="508"/>
      <c r="L383" s="508"/>
      <c r="M383" s="508"/>
      <c r="N383" s="508"/>
      <c r="O383" s="508"/>
      <c r="P383" s="508"/>
      <c r="Q383" s="508"/>
      <c r="R383" s="508"/>
      <c r="S383" s="508"/>
      <c r="T383" s="508"/>
      <c r="U383" s="508"/>
      <c r="V383" s="508"/>
      <c r="W383" s="508"/>
      <c r="X383" s="508"/>
      <c r="Y383" s="508"/>
      <c r="Z383" s="508"/>
    </row>
    <row r="384">
      <c r="A384" s="508"/>
      <c r="B384" s="508"/>
      <c r="C384" s="508"/>
      <c r="D384" s="508"/>
      <c r="E384" s="508"/>
      <c r="F384" s="508"/>
      <c r="G384" s="508"/>
      <c r="H384" s="508"/>
      <c r="I384" s="508"/>
      <c r="J384" s="508"/>
      <c r="K384" s="508"/>
      <c r="L384" s="508"/>
      <c r="M384" s="508"/>
      <c r="N384" s="508"/>
      <c r="O384" s="508"/>
      <c r="P384" s="508"/>
      <c r="Q384" s="508"/>
      <c r="R384" s="508"/>
      <c r="S384" s="508"/>
      <c r="T384" s="508"/>
      <c r="U384" s="508"/>
      <c r="V384" s="508"/>
      <c r="W384" s="508"/>
      <c r="X384" s="508"/>
      <c r="Y384" s="508"/>
      <c r="Z384" s="508"/>
    </row>
    <row r="385">
      <c r="A385" s="508"/>
      <c r="B385" s="508"/>
      <c r="C385" s="508"/>
      <c r="D385" s="508"/>
      <c r="E385" s="508"/>
      <c r="F385" s="508"/>
      <c r="G385" s="508"/>
      <c r="H385" s="508"/>
      <c r="I385" s="508"/>
      <c r="J385" s="508"/>
      <c r="K385" s="508"/>
      <c r="L385" s="508"/>
      <c r="M385" s="508"/>
      <c r="N385" s="508"/>
      <c r="O385" s="508"/>
      <c r="P385" s="508"/>
      <c r="Q385" s="508"/>
      <c r="R385" s="508"/>
      <c r="S385" s="508"/>
      <c r="T385" s="508"/>
      <c r="U385" s="508"/>
      <c r="V385" s="508"/>
      <c r="W385" s="508"/>
      <c r="X385" s="508"/>
      <c r="Y385" s="508"/>
      <c r="Z385" s="508"/>
    </row>
    <row r="386">
      <c r="A386" s="508"/>
      <c r="B386" s="508"/>
      <c r="C386" s="508"/>
      <c r="D386" s="508"/>
      <c r="E386" s="508"/>
      <c r="F386" s="508"/>
      <c r="G386" s="508"/>
      <c r="H386" s="508"/>
      <c r="I386" s="508"/>
      <c r="J386" s="508"/>
      <c r="K386" s="508"/>
      <c r="L386" s="508"/>
      <c r="M386" s="508"/>
      <c r="N386" s="508"/>
      <c r="O386" s="508"/>
      <c r="P386" s="508"/>
      <c r="Q386" s="508"/>
      <c r="R386" s="508"/>
      <c r="S386" s="508"/>
      <c r="T386" s="508"/>
      <c r="U386" s="508"/>
      <c r="V386" s="508"/>
      <c r="W386" s="508"/>
      <c r="X386" s="508"/>
      <c r="Y386" s="508"/>
      <c r="Z386" s="508"/>
    </row>
    <row r="387">
      <c r="A387" s="508"/>
      <c r="B387" s="508"/>
      <c r="C387" s="508"/>
      <c r="D387" s="508"/>
      <c r="E387" s="508"/>
      <c r="F387" s="508"/>
      <c r="G387" s="508"/>
      <c r="H387" s="508"/>
      <c r="I387" s="508"/>
      <c r="J387" s="508"/>
      <c r="K387" s="508"/>
      <c r="L387" s="508"/>
      <c r="M387" s="508"/>
      <c r="N387" s="508"/>
      <c r="O387" s="508"/>
      <c r="P387" s="508"/>
      <c r="Q387" s="508"/>
      <c r="R387" s="508"/>
      <c r="S387" s="508"/>
      <c r="T387" s="508"/>
      <c r="U387" s="508"/>
      <c r="V387" s="508"/>
      <c r="W387" s="508"/>
      <c r="X387" s="508"/>
      <c r="Y387" s="508"/>
      <c r="Z387" s="508"/>
    </row>
    <row r="388">
      <c r="A388" s="508"/>
      <c r="B388" s="508"/>
      <c r="C388" s="508"/>
      <c r="D388" s="508"/>
      <c r="E388" s="508"/>
      <c r="F388" s="508"/>
      <c r="G388" s="508"/>
      <c r="H388" s="508"/>
      <c r="I388" s="508"/>
      <c r="J388" s="508"/>
      <c r="K388" s="508"/>
      <c r="L388" s="508"/>
      <c r="M388" s="508"/>
      <c r="N388" s="508"/>
      <c r="O388" s="508"/>
      <c r="P388" s="508"/>
      <c r="Q388" s="508"/>
      <c r="R388" s="508"/>
      <c r="S388" s="508"/>
      <c r="T388" s="508"/>
      <c r="U388" s="508"/>
      <c r="V388" s="508"/>
      <c r="W388" s="508"/>
      <c r="X388" s="508"/>
      <c r="Y388" s="508"/>
      <c r="Z388" s="508"/>
    </row>
    <row r="389">
      <c r="A389" s="508"/>
      <c r="B389" s="508"/>
      <c r="C389" s="508"/>
      <c r="D389" s="508"/>
      <c r="E389" s="508"/>
      <c r="F389" s="508"/>
      <c r="G389" s="508"/>
      <c r="H389" s="508"/>
      <c r="I389" s="508"/>
      <c r="J389" s="508"/>
      <c r="K389" s="508"/>
      <c r="L389" s="508"/>
      <c r="M389" s="508"/>
      <c r="N389" s="508"/>
      <c r="O389" s="508"/>
      <c r="P389" s="508"/>
      <c r="Q389" s="508"/>
      <c r="R389" s="508"/>
      <c r="S389" s="508"/>
      <c r="T389" s="508"/>
      <c r="U389" s="508"/>
      <c r="V389" s="508"/>
      <c r="W389" s="508"/>
      <c r="X389" s="508"/>
      <c r="Y389" s="508"/>
      <c r="Z389" s="508"/>
    </row>
    <row r="390">
      <c r="A390" s="508"/>
      <c r="B390" s="508"/>
      <c r="C390" s="508"/>
      <c r="D390" s="508"/>
      <c r="E390" s="508"/>
      <c r="F390" s="508"/>
      <c r="G390" s="508"/>
      <c r="H390" s="508"/>
      <c r="I390" s="508"/>
      <c r="J390" s="508"/>
      <c r="K390" s="508"/>
      <c r="L390" s="508"/>
      <c r="M390" s="508"/>
      <c r="N390" s="508"/>
      <c r="O390" s="508"/>
      <c r="P390" s="508"/>
      <c r="Q390" s="508"/>
      <c r="R390" s="508"/>
      <c r="S390" s="508"/>
      <c r="T390" s="508"/>
      <c r="U390" s="508"/>
      <c r="V390" s="508"/>
      <c r="W390" s="508"/>
      <c r="X390" s="508"/>
      <c r="Y390" s="508"/>
      <c r="Z390" s="508"/>
    </row>
    <row r="391">
      <c r="A391" s="508"/>
      <c r="B391" s="508"/>
      <c r="C391" s="508"/>
      <c r="D391" s="508"/>
      <c r="E391" s="508"/>
      <c r="F391" s="508"/>
      <c r="G391" s="508"/>
      <c r="H391" s="508"/>
      <c r="I391" s="508"/>
      <c r="J391" s="508"/>
      <c r="K391" s="508"/>
      <c r="L391" s="508"/>
      <c r="M391" s="508"/>
      <c r="N391" s="508"/>
      <c r="O391" s="508"/>
      <c r="P391" s="508"/>
      <c r="Q391" s="508"/>
      <c r="R391" s="508"/>
      <c r="S391" s="508"/>
      <c r="T391" s="508"/>
      <c r="U391" s="508"/>
      <c r="V391" s="508"/>
      <c r="W391" s="508"/>
      <c r="X391" s="508"/>
      <c r="Y391" s="508"/>
      <c r="Z391" s="508"/>
    </row>
    <row r="392">
      <c r="A392" s="508"/>
      <c r="B392" s="508"/>
      <c r="C392" s="508"/>
      <c r="D392" s="508"/>
      <c r="E392" s="508"/>
      <c r="F392" s="508"/>
      <c r="G392" s="508"/>
      <c r="H392" s="508"/>
      <c r="I392" s="508"/>
      <c r="J392" s="508"/>
      <c r="K392" s="508"/>
      <c r="L392" s="508"/>
      <c r="M392" s="508"/>
      <c r="N392" s="508"/>
      <c r="O392" s="508"/>
      <c r="P392" s="508"/>
      <c r="Q392" s="508"/>
      <c r="R392" s="508"/>
      <c r="S392" s="508"/>
      <c r="T392" s="508"/>
      <c r="U392" s="508"/>
      <c r="V392" s="508"/>
      <c r="W392" s="508"/>
      <c r="X392" s="508"/>
      <c r="Y392" s="508"/>
      <c r="Z392" s="508"/>
    </row>
    <row r="393">
      <c r="A393" s="508"/>
      <c r="B393" s="508"/>
      <c r="C393" s="508"/>
      <c r="D393" s="508"/>
      <c r="E393" s="508"/>
      <c r="F393" s="508"/>
      <c r="G393" s="508"/>
      <c r="H393" s="508"/>
      <c r="I393" s="508"/>
      <c r="J393" s="508"/>
      <c r="K393" s="508"/>
      <c r="L393" s="508"/>
      <c r="M393" s="508"/>
      <c r="N393" s="508"/>
      <c r="O393" s="508"/>
      <c r="P393" s="508"/>
      <c r="Q393" s="508"/>
      <c r="R393" s="508"/>
      <c r="S393" s="508"/>
      <c r="T393" s="508"/>
      <c r="U393" s="508"/>
      <c r="V393" s="508"/>
      <c r="W393" s="508"/>
      <c r="X393" s="508"/>
      <c r="Y393" s="508"/>
      <c r="Z393" s="508"/>
    </row>
    <row r="394">
      <c r="A394" s="508"/>
      <c r="B394" s="508"/>
      <c r="C394" s="508"/>
      <c r="D394" s="508"/>
      <c r="E394" s="508"/>
      <c r="F394" s="508"/>
      <c r="G394" s="508"/>
      <c r="H394" s="508"/>
      <c r="I394" s="508"/>
      <c r="J394" s="508"/>
      <c r="K394" s="508"/>
      <c r="L394" s="508"/>
      <c r="M394" s="508"/>
      <c r="N394" s="508"/>
      <c r="O394" s="508"/>
      <c r="P394" s="508"/>
      <c r="Q394" s="508"/>
      <c r="R394" s="508"/>
      <c r="S394" s="508"/>
      <c r="T394" s="508"/>
      <c r="U394" s="508"/>
      <c r="V394" s="508"/>
      <c r="W394" s="508"/>
      <c r="X394" s="508"/>
      <c r="Y394" s="508"/>
      <c r="Z394" s="508"/>
    </row>
    <row r="395">
      <c r="A395" s="508"/>
      <c r="B395" s="508"/>
      <c r="C395" s="508"/>
      <c r="D395" s="508"/>
      <c r="E395" s="508"/>
      <c r="F395" s="508"/>
      <c r="G395" s="508"/>
      <c r="H395" s="508"/>
      <c r="I395" s="508"/>
      <c r="J395" s="508"/>
      <c r="K395" s="508"/>
      <c r="L395" s="508"/>
      <c r="M395" s="508"/>
      <c r="N395" s="508"/>
      <c r="O395" s="508"/>
      <c r="P395" s="508"/>
      <c r="Q395" s="508"/>
      <c r="R395" s="508"/>
      <c r="S395" s="508"/>
      <c r="T395" s="508"/>
      <c r="U395" s="508"/>
      <c r="V395" s="508"/>
      <c r="W395" s="508"/>
      <c r="X395" s="508"/>
      <c r="Y395" s="508"/>
      <c r="Z395" s="508"/>
    </row>
    <row r="396">
      <c r="A396" s="508"/>
      <c r="B396" s="508"/>
      <c r="C396" s="508"/>
      <c r="D396" s="508"/>
      <c r="E396" s="508"/>
      <c r="F396" s="508"/>
      <c r="G396" s="508"/>
      <c r="H396" s="508"/>
      <c r="I396" s="508"/>
      <c r="J396" s="508"/>
      <c r="K396" s="508"/>
      <c r="L396" s="508"/>
      <c r="M396" s="508"/>
      <c r="N396" s="508"/>
      <c r="O396" s="508"/>
      <c r="P396" s="508"/>
      <c r="Q396" s="508"/>
      <c r="R396" s="508"/>
      <c r="S396" s="508"/>
      <c r="T396" s="508"/>
      <c r="U396" s="508"/>
      <c r="V396" s="508"/>
      <c r="W396" s="508"/>
      <c r="X396" s="508"/>
      <c r="Y396" s="508"/>
      <c r="Z396" s="508"/>
    </row>
    <row r="397">
      <c r="A397" s="508"/>
      <c r="B397" s="508"/>
      <c r="C397" s="508"/>
      <c r="D397" s="508"/>
      <c r="E397" s="508"/>
      <c r="F397" s="508"/>
      <c r="G397" s="508"/>
      <c r="H397" s="508"/>
      <c r="I397" s="508"/>
      <c r="J397" s="508"/>
      <c r="K397" s="508"/>
      <c r="L397" s="508"/>
      <c r="M397" s="508"/>
      <c r="N397" s="508"/>
      <c r="O397" s="508"/>
      <c r="P397" s="508"/>
      <c r="Q397" s="508"/>
      <c r="R397" s="508"/>
      <c r="S397" s="508"/>
      <c r="T397" s="508"/>
      <c r="U397" s="508"/>
      <c r="V397" s="508"/>
      <c r="W397" s="508"/>
      <c r="X397" s="508"/>
      <c r="Y397" s="508"/>
      <c r="Z397" s="508"/>
    </row>
    <row r="398">
      <c r="A398" s="508"/>
      <c r="B398" s="508"/>
      <c r="C398" s="508"/>
      <c r="D398" s="508"/>
      <c r="E398" s="508"/>
      <c r="F398" s="508"/>
      <c r="G398" s="508"/>
      <c r="H398" s="508"/>
      <c r="I398" s="508"/>
      <c r="J398" s="508"/>
      <c r="K398" s="508"/>
      <c r="L398" s="508"/>
      <c r="M398" s="508"/>
      <c r="N398" s="508"/>
      <c r="O398" s="508"/>
      <c r="P398" s="508"/>
      <c r="Q398" s="508"/>
      <c r="R398" s="508"/>
      <c r="S398" s="508"/>
      <c r="T398" s="508"/>
      <c r="U398" s="508"/>
      <c r="V398" s="508"/>
      <c r="W398" s="508"/>
      <c r="X398" s="508"/>
      <c r="Y398" s="508"/>
      <c r="Z398" s="508"/>
    </row>
    <row r="399">
      <c r="A399" s="508"/>
      <c r="B399" s="508"/>
      <c r="C399" s="508"/>
      <c r="D399" s="508"/>
      <c r="E399" s="508"/>
      <c r="F399" s="508"/>
      <c r="G399" s="508"/>
      <c r="H399" s="508"/>
      <c r="I399" s="508"/>
      <c r="J399" s="508"/>
      <c r="K399" s="508"/>
      <c r="L399" s="508"/>
      <c r="M399" s="508"/>
      <c r="N399" s="508"/>
      <c r="O399" s="508"/>
      <c r="P399" s="508"/>
      <c r="Q399" s="508"/>
      <c r="R399" s="508"/>
      <c r="S399" s="508"/>
      <c r="T399" s="508"/>
      <c r="U399" s="508"/>
      <c r="V399" s="508"/>
      <c r="W399" s="508"/>
      <c r="X399" s="508"/>
      <c r="Y399" s="508"/>
      <c r="Z399" s="508"/>
    </row>
    <row r="400">
      <c r="A400" s="508"/>
      <c r="B400" s="508"/>
      <c r="C400" s="508"/>
      <c r="D400" s="508"/>
      <c r="E400" s="508"/>
      <c r="F400" s="508"/>
      <c r="G400" s="508"/>
      <c r="H400" s="508"/>
      <c r="I400" s="508"/>
      <c r="J400" s="508"/>
      <c r="K400" s="508"/>
      <c r="L400" s="508"/>
      <c r="M400" s="508"/>
      <c r="N400" s="508"/>
      <c r="O400" s="508"/>
      <c r="P400" s="508"/>
      <c r="Q400" s="508"/>
      <c r="R400" s="508"/>
      <c r="S400" s="508"/>
      <c r="T400" s="508"/>
      <c r="U400" s="508"/>
      <c r="V400" s="508"/>
      <c r="W400" s="508"/>
      <c r="X400" s="508"/>
      <c r="Y400" s="508"/>
      <c r="Z400" s="508"/>
    </row>
    <row r="401">
      <c r="A401" s="508"/>
      <c r="B401" s="508"/>
      <c r="C401" s="508"/>
      <c r="D401" s="508"/>
      <c r="E401" s="508"/>
      <c r="F401" s="508"/>
      <c r="G401" s="508"/>
      <c r="H401" s="508"/>
      <c r="I401" s="508"/>
      <c r="J401" s="508"/>
      <c r="K401" s="508"/>
      <c r="L401" s="508"/>
      <c r="M401" s="508"/>
      <c r="N401" s="508"/>
      <c r="O401" s="508"/>
      <c r="P401" s="508"/>
      <c r="Q401" s="508"/>
      <c r="R401" s="508"/>
      <c r="S401" s="508"/>
      <c r="T401" s="508"/>
      <c r="U401" s="508"/>
      <c r="V401" s="508"/>
      <c r="W401" s="508"/>
      <c r="X401" s="508"/>
      <c r="Y401" s="508"/>
      <c r="Z401" s="508"/>
    </row>
    <row r="402">
      <c r="A402" s="508"/>
      <c r="B402" s="508"/>
      <c r="C402" s="508"/>
      <c r="D402" s="508"/>
      <c r="E402" s="508"/>
      <c r="F402" s="508"/>
      <c r="G402" s="508"/>
      <c r="H402" s="508"/>
      <c r="I402" s="508"/>
      <c r="J402" s="508"/>
      <c r="K402" s="508"/>
      <c r="L402" s="508"/>
      <c r="M402" s="508"/>
      <c r="N402" s="508"/>
      <c r="O402" s="508"/>
      <c r="P402" s="508"/>
      <c r="Q402" s="508"/>
      <c r="R402" s="508"/>
      <c r="S402" s="508"/>
      <c r="T402" s="508"/>
      <c r="U402" s="508"/>
      <c r="V402" s="508"/>
      <c r="W402" s="508"/>
      <c r="X402" s="508"/>
      <c r="Y402" s="508"/>
      <c r="Z402" s="508"/>
    </row>
    <row r="403">
      <c r="A403" s="508"/>
      <c r="B403" s="508"/>
      <c r="C403" s="508"/>
      <c r="D403" s="508"/>
      <c r="E403" s="508"/>
      <c r="F403" s="508"/>
      <c r="G403" s="508"/>
      <c r="H403" s="508"/>
      <c r="I403" s="508"/>
      <c r="J403" s="508"/>
      <c r="K403" s="508"/>
      <c r="L403" s="508"/>
      <c r="M403" s="508"/>
      <c r="N403" s="508"/>
      <c r="O403" s="508"/>
      <c r="P403" s="508"/>
      <c r="Q403" s="508"/>
      <c r="R403" s="508"/>
      <c r="S403" s="508"/>
      <c r="T403" s="508"/>
      <c r="U403" s="508"/>
      <c r="V403" s="508"/>
      <c r="W403" s="508"/>
      <c r="X403" s="508"/>
      <c r="Y403" s="508"/>
      <c r="Z403" s="508"/>
    </row>
    <row r="404">
      <c r="A404" s="508"/>
      <c r="B404" s="508"/>
      <c r="C404" s="508"/>
      <c r="D404" s="508"/>
      <c r="E404" s="508"/>
      <c r="F404" s="508"/>
      <c r="G404" s="508"/>
      <c r="H404" s="508"/>
      <c r="I404" s="508"/>
      <c r="J404" s="508"/>
      <c r="K404" s="508"/>
      <c r="L404" s="508"/>
      <c r="M404" s="508"/>
      <c r="N404" s="508"/>
      <c r="O404" s="508"/>
      <c r="P404" s="508"/>
      <c r="Q404" s="508"/>
      <c r="R404" s="508"/>
      <c r="S404" s="508"/>
      <c r="T404" s="508"/>
      <c r="U404" s="508"/>
      <c r="V404" s="508"/>
      <c r="W404" s="508"/>
      <c r="X404" s="508"/>
      <c r="Y404" s="508"/>
      <c r="Z404" s="508"/>
    </row>
    <row r="405">
      <c r="A405" s="508"/>
      <c r="B405" s="508"/>
      <c r="C405" s="508"/>
      <c r="D405" s="508"/>
      <c r="E405" s="508"/>
      <c r="F405" s="508"/>
      <c r="G405" s="508"/>
      <c r="H405" s="508"/>
      <c r="I405" s="508"/>
      <c r="J405" s="508"/>
      <c r="K405" s="508"/>
      <c r="L405" s="508"/>
      <c r="M405" s="508"/>
      <c r="N405" s="508"/>
      <c r="O405" s="508"/>
      <c r="P405" s="508"/>
      <c r="Q405" s="508"/>
      <c r="R405" s="508"/>
      <c r="S405" s="508"/>
      <c r="T405" s="508"/>
      <c r="U405" s="508"/>
      <c r="V405" s="508"/>
      <c r="W405" s="508"/>
      <c r="X405" s="508"/>
      <c r="Y405" s="508"/>
      <c r="Z405" s="508"/>
    </row>
    <row r="406">
      <c r="A406" s="508"/>
      <c r="B406" s="508"/>
      <c r="C406" s="508"/>
      <c r="D406" s="508"/>
      <c r="E406" s="508"/>
      <c r="F406" s="508"/>
      <c r="G406" s="508"/>
      <c r="H406" s="508"/>
      <c r="I406" s="508"/>
      <c r="J406" s="508"/>
      <c r="K406" s="508"/>
      <c r="L406" s="508"/>
      <c r="M406" s="508"/>
      <c r="N406" s="508"/>
      <c r="O406" s="508"/>
      <c r="P406" s="508"/>
      <c r="Q406" s="508"/>
      <c r="R406" s="508"/>
      <c r="S406" s="508"/>
      <c r="T406" s="508"/>
      <c r="U406" s="508"/>
      <c r="V406" s="508"/>
      <c r="W406" s="508"/>
      <c r="X406" s="508"/>
      <c r="Y406" s="508"/>
      <c r="Z406" s="508"/>
    </row>
    <row r="407">
      <c r="A407" s="508"/>
      <c r="B407" s="508"/>
      <c r="C407" s="508"/>
      <c r="D407" s="508"/>
      <c r="E407" s="508"/>
      <c r="F407" s="508"/>
      <c r="G407" s="508"/>
      <c r="H407" s="508"/>
      <c r="I407" s="508"/>
      <c r="J407" s="508"/>
      <c r="K407" s="508"/>
      <c r="L407" s="508"/>
      <c r="M407" s="508"/>
      <c r="N407" s="508"/>
      <c r="O407" s="508"/>
      <c r="P407" s="508"/>
      <c r="Q407" s="508"/>
      <c r="R407" s="508"/>
      <c r="S407" s="508"/>
      <c r="T407" s="508"/>
      <c r="U407" s="508"/>
      <c r="V407" s="508"/>
      <c r="W407" s="508"/>
      <c r="X407" s="508"/>
      <c r="Y407" s="508"/>
      <c r="Z407" s="508"/>
    </row>
    <row r="408">
      <c r="A408" s="508"/>
      <c r="B408" s="508"/>
      <c r="C408" s="508"/>
      <c r="D408" s="508"/>
      <c r="E408" s="508"/>
      <c r="F408" s="508"/>
      <c r="G408" s="508"/>
      <c r="H408" s="508"/>
      <c r="I408" s="508"/>
      <c r="J408" s="508"/>
      <c r="K408" s="508"/>
      <c r="L408" s="508"/>
      <c r="M408" s="508"/>
      <c r="N408" s="508"/>
      <c r="O408" s="508"/>
      <c r="P408" s="508"/>
      <c r="Q408" s="508"/>
      <c r="R408" s="508"/>
      <c r="S408" s="508"/>
      <c r="T408" s="508"/>
      <c r="U408" s="508"/>
      <c r="V408" s="508"/>
      <c r="W408" s="508"/>
      <c r="X408" s="508"/>
      <c r="Y408" s="508"/>
      <c r="Z408" s="508"/>
    </row>
    <row r="409">
      <c r="A409" s="508"/>
      <c r="B409" s="508"/>
      <c r="C409" s="508"/>
      <c r="D409" s="508"/>
      <c r="E409" s="508"/>
      <c r="F409" s="508"/>
      <c r="G409" s="508"/>
      <c r="H409" s="508"/>
      <c r="I409" s="508"/>
      <c r="J409" s="508"/>
      <c r="K409" s="508"/>
      <c r="L409" s="508"/>
      <c r="M409" s="508"/>
      <c r="N409" s="508"/>
      <c r="O409" s="508"/>
      <c r="P409" s="508"/>
      <c r="Q409" s="508"/>
      <c r="R409" s="508"/>
      <c r="S409" s="508"/>
      <c r="T409" s="508"/>
      <c r="U409" s="508"/>
      <c r="V409" s="508"/>
      <c r="W409" s="508"/>
      <c r="X409" s="508"/>
      <c r="Y409" s="508"/>
      <c r="Z409" s="508"/>
    </row>
    <row r="410">
      <c r="A410" s="508"/>
      <c r="B410" s="508"/>
      <c r="C410" s="508"/>
      <c r="D410" s="508"/>
      <c r="E410" s="508"/>
      <c r="F410" s="508"/>
      <c r="G410" s="508"/>
      <c r="H410" s="508"/>
      <c r="I410" s="508"/>
      <c r="J410" s="508"/>
      <c r="K410" s="508"/>
      <c r="L410" s="508"/>
      <c r="M410" s="508"/>
      <c r="N410" s="508"/>
      <c r="O410" s="508"/>
      <c r="P410" s="508"/>
      <c r="Q410" s="508"/>
      <c r="R410" s="508"/>
      <c r="S410" s="508"/>
      <c r="T410" s="508"/>
      <c r="U410" s="508"/>
      <c r="V410" s="508"/>
      <c r="W410" s="508"/>
      <c r="X410" s="508"/>
      <c r="Y410" s="508"/>
      <c r="Z410" s="508"/>
    </row>
    <row r="411">
      <c r="A411" s="508"/>
      <c r="B411" s="508"/>
      <c r="C411" s="508"/>
      <c r="D411" s="508"/>
      <c r="E411" s="508"/>
      <c r="F411" s="508"/>
      <c r="G411" s="508"/>
      <c r="H411" s="508"/>
      <c r="I411" s="508"/>
      <c r="J411" s="508"/>
      <c r="K411" s="508"/>
      <c r="L411" s="508"/>
      <c r="M411" s="508"/>
      <c r="N411" s="508"/>
      <c r="O411" s="508"/>
      <c r="P411" s="508"/>
      <c r="Q411" s="508"/>
      <c r="R411" s="508"/>
      <c r="S411" s="508"/>
      <c r="T411" s="508"/>
      <c r="U411" s="508"/>
      <c r="V411" s="508"/>
      <c r="W411" s="508"/>
      <c r="X411" s="508"/>
      <c r="Y411" s="508"/>
      <c r="Z411" s="508"/>
    </row>
    <row r="412">
      <c r="A412" s="508"/>
      <c r="B412" s="508"/>
      <c r="C412" s="508"/>
      <c r="D412" s="508"/>
      <c r="E412" s="508"/>
      <c r="F412" s="508"/>
      <c r="G412" s="508"/>
      <c r="H412" s="508"/>
      <c r="I412" s="508"/>
      <c r="J412" s="508"/>
      <c r="K412" s="508"/>
      <c r="L412" s="508"/>
      <c r="M412" s="508"/>
      <c r="N412" s="508"/>
      <c r="O412" s="508"/>
      <c r="P412" s="508"/>
      <c r="Q412" s="508"/>
      <c r="R412" s="508"/>
      <c r="S412" s="508"/>
      <c r="T412" s="508"/>
      <c r="U412" s="508"/>
      <c r="V412" s="508"/>
      <c r="W412" s="508"/>
      <c r="X412" s="508"/>
      <c r="Y412" s="508"/>
      <c r="Z412" s="508"/>
    </row>
    <row r="413">
      <c r="A413" s="508"/>
      <c r="B413" s="508"/>
      <c r="C413" s="508"/>
      <c r="D413" s="508"/>
      <c r="E413" s="508"/>
      <c r="F413" s="508"/>
      <c r="G413" s="508"/>
      <c r="H413" s="508"/>
      <c r="I413" s="508"/>
      <c r="J413" s="508"/>
      <c r="K413" s="508"/>
      <c r="L413" s="508"/>
      <c r="M413" s="508"/>
      <c r="N413" s="508"/>
      <c r="O413" s="508"/>
      <c r="P413" s="508"/>
      <c r="Q413" s="508"/>
      <c r="R413" s="508"/>
      <c r="S413" s="508"/>
      <c r="T413" s="508"/>
      <c r="U413" s="508"/>
      <c r="V413" s="508"/>
      <c r="W413" s="508"/>
      <c r="X413" s="508"/>
      <c r="Y413" s="508"/>
      <c r="Z413" s="508"/>
    </row>
    <row r="414">
      <c r="A414" s="508"/>
      <c r="B414" s="508"/>
      <c r="C414" s="508"/>
      <c r="D414" s="508"/>
      <c r="E414" s="508"/>
      <c r="F414" s="508"/>
      <c r="G414" s="508"/>
      <c r="H414" s="508"/>
      <c r="I414" s="508"/>
      <c r="J414" s="508"/>
      <c r="K414" s="508"/>
      <c r="L414" s="508"/>
      <c r="M414" s="508"/>
      <c r="N414" s="508"/>
      <c r="O414" s="508"/>
      <c r="P414" s="508"/>
      <c r="Q414" s="508"/>
      <c r="R414" s="508"/>
      <c r="S414" s="508"/>
      <c r="T414" s="508"/>
      <c r="U414" s="508"/>
      <c r="V414" s="508"/>
      <c r="W414" s="508"/>
      <c r="X414" s="508"/>
      <c r="Y414" s="508"/>
      <c r="Z414" s="508"/>
    </row>
    <row r="415">
      <c r="A415" s="508"/>
      <c r="B415" s="508"/>
      <c r="C415" s="508"/>
      <c r="D415" s="508"/>
      <c r="E415" s="508"/>
      <c r="F415" s="508"/>
      <c r="G415" s="508"/>
      <c r="H415" s="508"/>
      <c r="I415" s="508"/>
      <c r="J415" s="508"/>
      <c r="K415" s="508"/>
      <c r="L415" s="508"/>
      <c r="M415" s="508"/>
      <c r="N415" s="508"/>
      <c r="O415" s="508"/>
      <c r="P415" s="508"/>
      <c r="Q415" s="508"/>
      <c r="R415" s="508"/>
      <c r="S415" s="508"/>
      <c r="T415" s="508"/>
      <c r="U415" s="508"/>
      <c r="V415" s="508"/>
      <c r="W415" s="508"/>
      <c r="X415" s="508"/>
      <c r="Y415" s="508"/>
      <c r="Z415" s="508"/>
    </row>
    <row r="416">
      <c r="A416" s="508"/>
      <c r="B416" s="508"/>
      <c r="C416" s="508"/>
      <c r="D416" s="508"/>
      <c r="E416" s="508"/>
      <c r="F416" s="508"/>
      <c r="G416" s="508"/>
      <c r="H416" s="508"/>
      <c r="I416" s="508"/>
      <c r="J416" s="508"/>
      <c r="K416" s="508"/>
      <c r="L416" s="508"/>
      <c r="M416" s="508"/>
      <c r="N416" s="508"/>
      <c r="O416" s="508"/>
      <c r="P416" s="508"/>
      <c r="Q416" s="508"/>
      <c r="R416" s="508"/>
      <c r="S416" s="508"/>
      <c r="T416" s="508"/>
      <c r="U416" s="508"/>
      <c r="V416" s="508"/>
      <c r="W416" s="508"/>
      <c r="X416" s="508"/>
      <c r="Y416" s="508"/>
      <c r="Z416" s="508"/>
    </row>
    <row r="417">
      <c r="A417" s="508"/>
      <c r="B417" s="508"/>
      <c r="C417" s="508"/>
      <c r="D417" s="508"/>
      <c r="E417" s="508"/>
      <c r="F417" s="508"/>
      <c r="G417" s="508"/>
      <c r="H417" s="508"/>
      <c r="I417" s="508"/>
      <c r="J417" s="508"/>
      <c r="K417" s="508"/>
      <c r="L417" s="508"/>
      <c r="M417" s="508"/>
      <c r="N417" s="508"/>
      <c r="O417" s="508"/>
      <c r="P417" s="508"/>
      <c r="Q417" s="508"/>
      <c r="R417" s="508"/>
      <c r="S417" s="508"/>
      <c r="T417" s="508"/>
      <c r="U417" s="508"/>
      <c r="V417" s="508"/>
      <c r="W417" s="508"/>
      <c r="X417" s="508"/>
      <c r="Y417" s="508"/>
      <c r="Z417" s="508"/>
    </row>
    <row r="418">
      <c r="A418" s="508"/>
      <c r="B418" s="508"/>
      <c r="C418" s="508"/>
      <c r="D418" s="508"/>
      <c r="E418" s="508"/>
      <c r="F418" s="508"/>
      <c r="G418" s="508"/>
      <c r="H418" s="508"/>
      <c r="I418" s="508"/>
      <c r="J418" s="508"/>
      <c r="K418" s="508"/>
      <c r="L418" s="508"/>
      <c r="M418" s="508"/>
      <c r="N418" s="508"/>
      <c r="O418" s="508"/>
      <c r="P418" s="508"/>
      <c r="Q418" s="508"/>
      <c r="R418" s="508"/>
      <c r="S418" s="508"/>
      <c r="T418" s="508"/>
      <c r="U418" s="508"/>
      <c r="V418" s="508"/>
      <c r="W418" s="508"/>
      <c r="X418" s="508"/>
      <c r="Y418" s="508"/>
      <c r="Z418" s="508"/>
    </row>
    <row r="419">
      <c r="A419" s="508"/>
      <c r="B419" s="508"/>
      <c r="C419" s="508"/>
      <c r="D419" s="508"/>
      <c r="E419" s="508"/>
      <c r="F419" s="508"/>
      <c r="G419" s="508"/>
      <c r="H419" s="508"/>
      <c r="I419" s="508"/>
      <c r="J419" s="508"/>
      <c r="K419" s="508"/>
      <c r="L419" s="508"/>
      <c r="M419" s="508"/>
      <c r="N419" s="508"/>
      <c r="O419" s="508"/>
      <c r="P419" s="508"/>
      <c r="Q419" s="508"/>
      <c r="R419" s="508"/>
      <c r="S419" s="508"/>
      <c r="T419" s="508"/>
      <c r="U419" s="508"/>
      <c r="V419" s="508"/>
      <c r="W419" s="508"/>
      <c r="X419" s="508"/>
      <c r="Y419" s="508"/>
      <c r="Z419" s="508"/>
    </row>
    <row r="420">
      <c r="A420" s="508"/>
      <c r="B420" s="508"/>
      <c r="C420" s="508"/>
      <c r="D420" s="508"/>
      <c r="E420" s="508"/>
      <c r="F420" s="508"/>
      <c r="G420" s="508"/>
      <c r="H420" s="508"/>
      <c r="I420" s="508"/>
      <c r="J420" s="508"/>
      <c r="K420" s="508"/>
      <c r="L420" s="508"/>
      <c r="M420" s="508"/>
      <c r="N420" s="508"/>
      <c r="O420" s="508"/>
      <c r="P420" s="508"/>
      <c r="Q420" s="508"/>
      <c r="R420" s="508"/>
      <c r="S420" s="508"/>
      <c r="T420" s="508"/>
      <c r="U420" s="508"/>
      <c r="V420" s="508"/>
      <c r="W420" s="508"/>
      <c r="X420" s="508"/>
      <c r="Y420" s="508"/>
      <c r="Z420" s="508"/>
    </row>
    <row r="421">
      <c r="A421" s="508"/>
      <c r="B421" s="508"/>
      <c r="C421" s="508"/>
      <c r="D421" s="508"/>
      <c r="E421" s="508"/>
      <c r="F421" s="508"/>
      <c r="G421" s="508"/>
      <c r="H421" s="508"/>
      <c r="I421" s="508"/>
      <c r="J421" s="508"/>
      <c r="K421" s="508"/>
      <c r="L421" s="508"/>
      <c r="M421" s="508"/>
      <c r="N421" s="508"/>
      <c r="O421" s="508"/>
      <c r="P421" s="508"/>
      <c r="Q421" s="508"/>
      <c r="R421" s="508"/>
      <c r="S421" s="508"/>
      <c r="T421" s="508"/>
      <c r="U421" s="508"/>
      <c r="V421" s="508"/>
      <c r="W421" s="508"/>
      <c r="X421" s="508"/>
      <c r="Y421" s="508"/>
      <c r="Z421" s="508"/>
    </row>
    <row r="422">
      <c r="A422" s="508"/>
      <c r="B422" s="508"/>
      <c r="C422" s="508"/>
      <c r="D422" s="508"/>
      <c r="E422" s="508"/>
      <c r="F422" s="508"/>
      <c r="G422" s="508"/>
      <c r="H422" s="508"/>
      <c r="I422" s="508"/>
      <c r="J422" s="508"/>
      <c r="K422" s="508"/>
      <c r="L422" s="508"/>
      <c r="M422" s="508"/>
      <c r="N422" s="508"/>
      <c r="O422" s="508"/>
      <c r="P422" s="508"/>
      <c r="Q422" s="508"/>
      <c r="R422" s="508"/>
      <c r="S422" s="508"/>
      <c r="T422" s="508"/>
      <c r="U422" s="508"/>
      <c r="V422" s="508"/>
      <c r="W422" s="508"/>
      <c r="X422" s="508"/>
      <c r="Y422" s="508"/>
      <c r="Z422" s="508"/>
    </row>
    <row r="423">
      <c r="A423" s="508"/>
      <c r="B423" s="508"/>
      <c r="C423" s="508"/>
      <c r="D423" s="508"/>
      <c r="E423" s="508"/>
      <c r="F423" s="508"/>
      <c r="G423" s="508"/>
      <c r="H423" s="508"/>
      <c r="I423" s="508"/>
      <c r="J423" s="508"/>
      <c r="K423" s="508"/>
      <c r="L423" s="508"/>
      <c r="M423" s="508"/>
      <c r="N423" s="508"/>
      <c r="O423" s="508"/>
      <c r="P423" s="508"/>
      <c r="Q423" s="508"/>
      <c r="R423" s="508"/>
      <c r="S423" s="508"/>
      <c r="T423" s="508"/>
      <c r="U423" s="508"/>
      <c r="V423" s="508"/>
      <c r="W423" s="508"/>
      <c r="X423" s="508"/>
      <c r="Y423" s="508"/>
      <c r="Z423" s="508"/>
    </row>
    <row r="424">
      <c r="A424" s="508"/>
      <c r="B424" s="508"/>
      <c r="C424" s="508"/>
      <c r="D424" s="508"/>
      <c r="E424" s="508"/>
      <c r="F424" s="508"/>
      <c r="G424" s="508"/>
      <c r="H424" s="508"/>
      <c r="I424" s="508"/>
      <c r="J424" s="508"/>
      <c r="K424" s="508"/>
      <c r="L424" s="508"/>
      <c r="M424" s="508"/>
      <c r="N424" s="508"/>
      <c r="O424" s="508"/>
      <c r="P424" s="508"/>
      <c r="Q424" s="508"/>
      <c r="R424" s="508"/>
      <c r="S424" s="508"/>
      <c r="T424" s="508"/>
      <c r="U424" s="508"/>
      <c r="V424" s="508"/>
      <c r="W424" s="508"/>
      <c r="X424" s="508"/>
      <c r="Y424" s="508"/>
      <c r="Z424" s="508"/>
    </row>
    <row r="425">
      <c r="A425" s="508"/>
      <c r="B425" s="508"/>
      <c r="C425" s="508"/>
      <c r="D425" s="508"/>
      <c r="E425" s="508"/>
      <c r="F425" s="508"/>
      <c r="G425" s="508"/>
      <c r="H425" s="508"/>
      <c r="I425" s="508"/>
      <c r="J425" s="508"/>
      <c r="K425" s="508"/>
      <c r="L425" s="508"/>
      <c r="M425" s="508"/>
      <c r="N425" s="508"/>
      <c r="O425" s="508"/>
      <c r="P425" s="508"/>
      <c r="Q425" s="508"/>
      <c r="R425" s="508"/>
      <c r="S425" s="508"/>
      <c r="T425" s="508"/>
      <c r="U425" s="508"/>
      <c r="V425" s="508"/>
      <c r="W425" s="508"/>
      <c r="X425" s="508"/>
      <c r="Y425" s="508"/>
      <c r="Z425" s="508"/>
    </row>
    <row r="426">
      <c r="A426" s="508"/>
      <c r="B426" s="508"/>
      <c r="C426" s="508"/>
      <c r="D426" s="508"/>
      <c r="E426" s="508"/>
      <c r="F426" s="508"/>
      <c r="G426" s="508"/>
      <c r="H426" s="508"/>
      <c r="I426" s="508"/>
      <c r="J426" s="508"/>
      <c r="K426" s="508"/>
      <c r="L426" s="508"/>
      <c r="M426" s="508"/>
      <c r="N426" s="508"/>
      <c r="O426" s="508"/>
      <c r="P426" s="508"/>
      <c r="Q426" s="508"/>
      <c r="R426" s="508"/>
      <c r="S426" s="508"/>
      <c r="T426" s="508"/>
      <c r="U426" s="508"/>
      <c r="V426" s="508"/>
      <c r="W426" s="508"/>
      <c r="X426" s="508"/>
      <c r="Y426" s="508"/>
      <c r="Z426" s="508"/>
    </row>
    <row r="427">
      <c r="A427" s="508"/>
      <c r="B427" s="508"/>
      <c r="C427" s="508"/>
      <c r="D427" s="508"/>
      <c r="E427" s="508"/>
      <c r="F427" s="508"/>
      <c r="G427" s="508"/>
      <c r="H427" s="508"/>
      <c r="I427" s="508"/>
      <c r="J427" s="508"/>
      <c r="K427" s="508"/>
      <c r="L427" s="508"/>
      <c r="M427" s="508"/>
      <c r="N427" s="508"/>
      <c r="O427" s="508"/>
      <c r="P427" s="508"/>
      <c r="Q427" s="508"/>
      <c r="R427" s="508"/>
      <c r="S427" s="508"/>
      <c r="T427" s="508"/>
      <c r="U427" s="508"/>
      <c r="V427" s="508"/>
      <c r="W427" s="508"/>
      <c r="X427" s="508"/>
      <c r="Y427" s="508"/>
      <c r="Z427" s="508"/>
    </row>
    <row r="428">
      <c r="A428" s="508"/>
      <c r="B428" s="508"/>
      <c r="C428" s="508"/>
      <c r="D428" s="508"/>
      <c r="E428" s="508"/>
      <c r="F428" s="508"/>
      <c r="G428" s="508"/>
      <c r="H428" s="508"/>
      <c r="I428" s="508"/>
      <c r="J428" s="508"/>
      <c r="K428" s="508"/>
      <c r="L428" s="508"/>
      <c r="M428" s="508"/>
      <c r="N428" s="508"/>
      <c r="O428" s="508"/>
      <c r="P428" s="508"/>
      <c r="Q428" s="508"/>
      <c r="R428" s="508"/>
      <c r="S428" s="508"/>
      <c r="T428" s="508"/>
      <c r="U428" s="508"/>
      <c r="V428" s="508"/>
      <c r="W428" s="508"/>
      <c r="X428" s="508"/>
      <c r="Y428" s="508"/>
      <c r="Z428" s="508"/>
    </row>
    <row r="429">
      <c r="A429" s="508"/>
      <c r="B429" s="508"/>
      <c r="C429" s="508"/>
      <c r="D429" s="508"/>
      <c r="E429" s="508"/>
      <c r="F429" s="508"/>
      <c r="G429" s="508"/>
      <c r="H429" s="508"/>
      <c r="I429" s="508"/>
      <c r="J429" s="508"/>
      <c r="K429" s="508"/>
      <c r="L429" s="508"/>
      <c r="M429" s="508"/>
      <c r="N429" s="508"/>
      <c r="O429" s="508"/>
      <c r="P429" s="508"/>
      <c r="Q429" s="508"/>
      <c r="R429" s="508"/>
      <c r="S429" s="508"/>
      <c r="T429" s="508"/>
      <c r="U429" s="508"/>
      <c r="V429" s="508"/>
      <c r="W429" s="508"/>
      <c r="X429" s="508"/>
      <c r="Y429" s="508"/>
      <c r="Z429" s="508"/>
    </row>
    <row r="430">
      <c r="A430" s="508"/>
      <c r="B430" s="508"/>
      <c r="C430" s="508"/>
      <c r="D430" s="508"/>
      <c r="E430" s="508"/>
      <c r="F430" s="508"/>
      <c r="G430" s="508"/>
      <c r="H430" s="508"/>
      <c r="I430" s="508"/>
      <c r="J430" s="508"/>
      <c r="K430" s="508"/>
      <c r="L430" s="508"/>
      <c r="M430" s="508"/>
      <c r="N430" s="508"/>
      <c r="O430" s="508"/>
      <c r="P430" s="508"/>
      <c r="Q430" s="508"/>
      <c r="R430" s="508"/>
      <c r="S430" s="508"/>
      <c r="T430" s="508"/>
      <c r="U430" s="508"/>
      <c r="V430" s="508"/>
      <c r="W430" s="508"/>
      <c r="X430" s="508"/>
      <c r="Y430" s="508"/>
      <c r="Z430" s="508"/>
    </row>
    <row r="431">
      <c r="A431" s="508"/>
      <c r="B431" s="508"/>
      <c r="C431" s="508"/>
      <c r="D431" s="508"/>
      <c r="E431" s="508"/>
      <c r="F431" s="508"/>
      <c r="G431" s="508"/>
      <c r="H431" s="508"/>
      <c r="I431" s="508"/>
      <c r="J431" s="508"/>
      <c r="K431" s="508"/>
      <c r="L431" s="508"/>
      <c r="M431" s="508"/>
      <c r="N431" s="508"/>
      <c r="O431" s="508"/>
      <c r="P431" s="508"/>
      <c r="Q431" s="508"/>
      <c r="R431" s="508"/>
      <c r="S431" s="508"/>
      <c r="T431" s="508"/>
      <c r="U431" s="508"/>
      <c r="V431" s="508"/>
      <c r="W431" s="508"/>
      <c r="X431" s="508"/>
      <c r="Y431" s="508"/>
      <c r="Z431" s="508"/>
    </row>
    <row r="432">
      <c r="A432" s="508"/>
      <c r="B432" s="508"/>
      <c r="C432" s="508"/>
      <c r="D432" s="508"/>
      <c r="E432" s="508"/>
      <c r="F432" s="508"/>
      <c r="G432" s="508"/>
      <c r="H432" s="508"/>
      <c r="I432" s="508"/>
      <c r="J432" s="508"/>
      <c r="K432" s="508"/>
      <c r="L432" s="508"/>
      <c r="M432" s="508"/>
      <c r="N432" s="508"/>
      <c r="O432" s="508"/>
      <c r="P432" s="508"/>
      <c r="Q432" s="508"/>
      <c r="R432" s="508"/>
      <c r="S432" s="508"/>
      <c r="T432" s="508"/>
      <c r="U432" s="508"/>
      <c r="V432" s="508"/>
      <c r="W432" s="508"/>
      <c r="X432" s="508"/>
      <c r="Y432" s="508"/>
      <c r="Z432" s="508"/>
    </row>
    <row r="433">
      <c r="A433" s="508"/>
      <c r="B433" s="508"/>
      <c r="C433" s="508"/>
      <c r="D433" s="508"/>
      <c r="E433" s="508"/>
      <c r="F433" s="508"/>
      <c r="G433" s="508"/>
      <c r="H433" s="508"/>
      <c r="I433" s="508"/>
      <c r="J433" s="508"/>
      <c r="K433" s="508"/>
      <c r="L433" s="508"/>
      <c r="M433" s="508"/>
      <c r="N433" s="508"/>
      <c r="O433" s="508"/>
      <c r="P433" s="508"/>
      <c r="Q433" s="508"/>
      <c r="R433" s="508"/>
      <c r="S433" s="508"/>
      <c r="T433" s="508"/>
      <c r="U433" s="508"/>
      <c r="V433" s="508"/>
      <c r="W433" s="508"/>
      <c r="X433" s="508"/>
      <c r="Y433" s="508"/>
      <c r="Z433" s="508"/>
    </row>
    <row r="434">
      <c r="A434" s="508"/>
      <c r="B434" s="508"/>
      <c r="C434" s="508"/>
      <c r="D434" s="508"/>
      <c r="E434" s="508"/>
      <c r="F434" s="508"/>
      <c r="G434" s="508"/>
      <c r="H434" s="508"/>
      <c r="I434" s="508"/>
      <c r="J434" s="508"/>
      <c r="K434" s="508"/>
      <c r="L434" s="508"/>
      <c r="M434" s="508"/>
      <c r="N434" s="508"/>
      <c r="O434" s="508"/>
      <c r="P434" s="508"/>
      <c r="Q434" s="508"/>
      <c r="R434" s="508"/>
      <c r="S434" s="508"/>
      <c r="T434" s="508"/>
      <c r="U434" s="508"/>
      <c r="V434" s="508"/>
      <c r="W434" s="508"/>
      <c r="X434" s="508"/>
      <c r="Y434" s="508"/>
      <c r="Z434" s="508"/>
    </row>
    <row r="435">
      <c r="A435" s="508"/>
      <c r="B435" s="508"/>
      <c r="C435" s="508"/>
      <c r="D435" s="508"/>
      <c r="E435" s="508"/>
      <c r="F435" s="508"/>
      <c r="G435" s="508"/>
      <c r="H435" s="508"/>
      <c r="I435" s="508"/>
      <c r="J435" s="508"/>
      <c r="K435" s="508"/>
      <c r="L435" s="508"/>
      <c r="M435" s="508"/>
      <c r="N435" s="508"/>
      <c r="O435" s="508"/>
      <c r="P435" s="508"/>
      <c r="Q435" s="508"/>
      <c r="R435" s="508"/>
      <c r="S435" s="508"/>
      <c r="T435" s="508"/>
      <c r="U435" s="508"/>
      <c r="V435" s="508"/>
      <c r="W435" s="508"/>
      <c r="X435" s="508"/>
      <c r="Y435" s="508"/>
      <c r="Z435" s="508"/>
    </row>
    <row r="436">
      <c r="A436" s="508"/>
      <c r="B436" s="508"/>
      <c r="C436" s="508"/>
      <c r="D436" s="508"/>
      <c r="E436" s="508"/>
      <c r="F436" s="508"/>
      <c r="G436" s="508"/>
      <c r="H436" s="508"/>
      <c r="I436" s="508"/>
      <c r="J436" s="508"/>
      <c r="K436" s="508"/>
      <c r="L436" s="508"/>
      <c r="M436" s="508"/>
      <c r="N436" s="508"/>
      <c r="O436" s="508"/>
      <c r="P436" s="508"/>
      <c r="Q436" s="508"/>
      <c r="R436" s="508"/>
      <c r="S436" s="508"/>
      <c r="T436" s="508"/>
      <c r="U436" s="508"/>
      <c r="V436" s="508"/>
      <c r="W436" s="508"/>
      <c r="X436" s="508"/>
      <c r="Y436" s="508"/>
      <c r="Z436" s="508"/>
    </row>
    <row r="437">
      <c r="A437" s="508"/>
      <c r="B437" s="508"/>
      <c r="C437" s="508"/>
      <c r="D437" s="508"/>
      <c r="E437" s="508"/>
      <c r="F437" s="508"/>
      <c r="G437" s="508"/>
      <c r="H437" s="508"/>
      <c r="I437" s="508"/>
      <c r="J437" s="508"/>
      <c r="K437" s="508"/>
      <c r="L437" s="508"/>
      <c r="M437" s="508"/>
      <c r="N437" s="508"/>
      <c r="O437" s="508"/>
      <c r="P437" s="508"/>
      <c r="Q437" s="508"/>
      <c r="R437" s="508"/>
      <c r="S437" s="508"/>
      <c r="T437" s="508"/>
      <c r="U437" s="508"/>
      <c r="V437" s="508"/>
      <c r="W437" s="508"/>
      <c r="X437" s="508"/>
      <c r="Y437" s="508"/>
      <c r="Z437" s="508"/>
    </row>
    <row r="438">
      <c r="A438" s="508"/>
      <c r="B438" s="508"/>
      <c r="C438" s="508"/>
      <c r="D438" s="508"/>
      <c r="E438" s="508"/>
      <c r="F438" s="508"/>
      <c r="G438" s="508"/>
      <c r="H438" s="508"/>
      <c r="I438" s="508"/>
      <c r="J438" s="508"/>
      <c r="K438" s="508"/>
      <c r="L438" s="508"/>
      <c r="M438" s="508"/>
      <c r="N438" s="508"/>
      <c r="O438" s="508"/>
      <c r="P438" s="508"/>
      <c r="Q438" s="508"/>
      <c r="R438" s="508"/>
      <c r="S438" s="508"/>
      <c r="T438" s="508"/>
      <c r="U438" s="508"/>
      <c r="V438" s="508"/>
      <c r="W438" s="508"/>
      <c r="X438" s="508"/>
      <c r="Y438" s="508"/>
      <c r="Z438" s="508"/>
    </row>
    <row r="439">
      <c r="A439" s="508"/>
      <c r="B439" s="508"/>
      <c r="C439" s="508"/>
      <c r="D439" s="508"/>
      <c r="E439" s="508"/>
      <c r="F439" s="508"/>
      <c r="G439" s="508"/>
      <c r="H439" s="508"/>
      <c r="I439" s="508"/>
      <c r="J439" s="508"/>
      <c r="K439" s="508"/>
      <c r="L439" s="508"/>
      <c r="M439" s="508"/>
      <c r="N439" s="508"/>
      <c r="O439" s="508"/>
      <c r="P439" s="508"/>
      <c r="Q439" s="508"/>
      <c r="R439" s="508"/>
      <c r="S439" s="508"/>
      <c r="T439" s="508"/>
      <c r="U439" s="508"/>
      <c r="V439" s="508"/>
      <c r="W439" s="508"/>
      <c r="X439" s="508"/>
      <c r="Y439" s="508"/>
      <c r="Z439" s="508"/>
    </row>
    <row r="440">
      <c r="A440" s="508"/>
      <c r="B440" s="508"/>
      <c r="C440" s="508"/>
      <c r="D440" s="508"/>
      <c r="E440" s="508"/>
      <c r="F440" s="508"/>
      <c r="G440" s="508"/>
      <c r="H440" s="508"/>
      <c r="I440" s="508"/>
      <c r="J440" s="508"/>
      <c r="K440" s="508"/>
      <c r="L440" s="508"/>
      <c r="M440" s="508"/>
      <c r="N440" s="508"/>
      <c r="O440" s="508"/>
      <c r="P440" s="508"/>
      <c r="Q440" s="508"/>
      <c r="R440" s="508"/>
      <c r="S440" s="508"/>
      <c r="T440" s="508"/>
      <c r="U440" s="508"/>
      <c r="V440" s="508"/>
      <c r="W440" s="508"/>
      <c r="X440" s="508"/>
      <c r="Y440" s="508"/>
      <c r="Z440" s="508"/>
    </row>
    <row r="441">
      <c r="A441" s="508"/>
      <c r="B441" s="508"/>
      <c r="C441" s="508"/>
      <c r="D441" s="508"/>
      <c r="E441" s="508"/>
      <c r="F441" s="508"/>
      <c r="G441" s="508"/>
      <c r="H441" s="508"/>
      <c r="I441" s="508"/>
      <c r="J441" s="508"/>
      <c r="K441" s="508"/>
      <c r="L441" s="508"/>
      <c r="M441" s="508"/>
      <c r="N441" s="508"/>
      <c r="O441" s="508"/>
      <c r="P441" s="508"/>
      <c r="Q441" s="508"/>
      <c r="R441" s="508"/>
      <c r="S441" s="508"/>
      <c r="T441" s="508"/>
      <c r="U441" s="508"/>
      <c r="V441" s="508"/>
      <c r="W441" s="508"/>
      <c r="X441" s="508"/>
      <c r="Y441" s="508"/>
      <c r="Z441" s="508"/>
    </row>
    <row r="442">
      <c r="A442" s="508"/>
      <c r="B442" s="508"/>
      <c r="C442" s="508"/>
      <c r="D442" s="508"/>
      <c r="E442" s="508"/>
      <c r="F442" s="508"/>
      <c r="G442" s="508"/>
      <c r="H442" s="508"/>
      <c r="I442" s="508"/>
      <c r="J442" s="508"/>
      <c r="K442" s="508"/>
      <c r="L442" s="508"/>
      <c r="M442" s="508"/>
      <c r="N442" s="508"/>
      <c r="O442" s="508"/>
      <c r="P442" s="508"/>
      <c r="Q442" s="508"/>
      <c r="R442" s="508"/>
      <c r="S442" s="508"/>
      <c r="T442" s="508"/>
      <c r="U442" s="508"/>
      <c r="V442" s="508"/>
      <c r="W442" s="508"/>
      <c r="X442" s="508"/>
      <c r="Y442" s="508"/>
      <c r="Z442" s="508"/>
    </row>
    <row r="443">
      <c r="A443" s="508"/>
      <c r="B443" s="508"/>
      <c r="C443" s="508"/>
      <c r="D443" s="508"/>
      <c r="E443" s="508"/>
      <c r="F443" s="508"/>
      <c r="G443" s="508"/>
      <c r="H443" s="508"/>
      <c r="I443" s="508"/>
      <c r="J443" s="508"/>
      <c r="K443" s="508"/>
      <c r="L443" s="508"/>
      <c r="M443" s="508"/>
      <c r="N443" s="508"/>
      <c r="O443" s="508"/>
      <c r="P443" s="508"/>
      <c r="Q443" s="508"/>
      <c r="R443" s="508"/>
      <c r="S443" s="508"/>
      <c r="T443" s="508"/>
      <c r="U443" s="508"/>
      <c r="V443" s="508"/>
      <c r="W443" s="508"/>
      <c r="X443" s="508"/>
      <c r="Y443" s="508"/>
      <c r="Z443" s="508"/>
    </row>
    <row r="444">
      <c r="A444" s="508"/>
      <c r="B444" s="508"/>
      <c r="C444" s="508"/>
      <c r="D444" s="508"/>
      <c r="E444" s="508"/>
      <c r="F444" s="508"/>
      <c r="G444" s="508"/>
      <c r="H444" s="508"/>
      <c r="I444" s="508"/>
      <c r="J444" s="508"/>
      <c r="K444" s="508"/>
      <c r="L444" s="508"/>
      <c r="M444" s="508"/>
      <c r="N444" s="508"/>
      <c r="O444" s="508"/>
      <c r="P444" s="508"/>
      <c r="Q444" s="508"/>
      <c r="R444" s="508"/>
      <c r="S444" s="508"/>
      <c r="T444" s="508"/>
      <c r="U444" s="508"/>
      <c r="V444" s="508"/>
      <c r="W444" s="508"/>
      <c r="X444" s="508"/>
      <c r="Y444" s="508"/>
      <c r="Z444" s="508"/>
    </row>
    <row r="445">
      <c r="A445" s="508"/>
      <c r="B445" s="508"/>
      <c r="C445" s="508"/>
      <c r="D445" s="508"/>
      <c r="E445" s="508"/>
      <c r="F445" s="508"/>
      <c r="G445" s="508"/>
      <c r="H445" s="508"/>
      <c r="I445" s="508"/>
      <c r="J445" s="508"/>
      <c r="K445" s="508"/>
      <c r="L445" s="508"/>
      <c r="M445" s="508"/>
      <c r="N445" s="508"/>
      <c r="O445" s="508"/>
      <c r="P445" s="508"/>
      <c r="Q445" s="508"/>
      <c r="R445" s="508"/>
      <c r="S445" s="508"/>
      <c r="T445" s="508"/>
      <c r="U445" s="508"/>
      <c r="V445" s="508"/>
      <c r="W445" s="508"/>
      <c r="X445" s="508"/>
      <c r="Y445" s="508"/>
      <c r="Z445" s="508"/>
    </row>
    <row r="446">
      <c r="A446" s="508"/>
      <c r="B446" s="508"/>
      <c r="C446" s="508"/>
      <c r="D446" s="508"/>
      <c r="E446" s="508"/>
      <c r="F446" s="508"/>
      <c r="G446" s="508"/>
      <c r="H446" s="508"/>
      <c r="I446" s="508"/>
      <c r="J446" s="508"/>
      <c r="K446" s="508"/>
      <c r="L446" s="508"/>
      <c r="M446" s="508"/>
      <c r="N446" s="508"/>
      <c r="O446" s="508"/>
      <c r="P446" s="508"/>
      <c r="Q446" s="508"/>
      <c r="R446" s="508"/>
      <c r="S446" s="508"/>
      <c r="T446" s="508"/>
      <c r="U446" s="508"/>
      <c r="V446" s="508"/>
      <c r="W446" s="508"/>
      <c r="X446" s="508"/>
      <c r="Y446" s="508"/>
      <c r="Z446" s="508"/>
    </row>
    <row r="447">
      <c r="A447" s="508"/>
      <c r="B447" s="508"/>
      <c r="C447" s="508"/>
      <c r="D447" s="508"/>
      <c r="E447" s="508"/>
      <c r="F447" s="508"/>
      <c r="G447" s="508"/>
      <c r="H447" s="508"/>
      <c r="I447" s="508"/>
      <c r="J447" s="508"/>
      <c r="K447" s="508"/>
      <c r="L447" s="508"/>
      <c r="M447" s="508"/>
      <c r="N447" s="508"/>
      <c r="O447" s="508"/>
      <c r="P447" s="508"/>
      <c r="Q447" s="508"/>
      <c r="R447" s="508"/>
      <c r="S447" s="508"/>
      <c r="T447" s="508"/>
      <c r="U447" s="508"/>
      <c r="V447" s="508"/>
      <c r="W447" s="508"/>
      <c r="X447" s="508"/>
      <c r="Y447" s="508"/>
      <c r="Z447" s="508"/>
    </row>
    <row r="448">
      <c r="A448" s="508"/>
      <c r="B448" s="508"/>
      <c r="C448" s="508"/>
      <c r="D448" s="508"/>
      <c r="E448" s="508"/>
      <c r="F448" s="508"/>
      <c r="G448" s="508"/>
      <c r="H448" s="508"/>
      <c r="I448" s="508"/>
      <c r="J448" s="508"/>
      <c r="K448" s="508"/>
      <c r="L448" s="508"/>
      <c r="M448" s="508"/>
      <c r="N448" s="508"/>
      <c r="O448" s="508"/>
      <c r="P448" s="508"/>
      <c r="Q448" s="508"/>
      <c r="R448" s="508"/>
      <c r="S448" s="508"/>
      <c r="T448" s="508"/>
      <c r="U448" s="508"/>
      <c r="V448" s="508"/>
      <c r="W448" s="508"/>
      <c r="X448" s="508"/>
      <c r="Y448" s="508"/>
      <c r="Z448" s="508"/>
    </row>
    <row r="449">
      <c r="A449" s="508"/>
      <c r="B449" s="508"/>
      <c r="C449" s="508"/>
      <c r="D449" s="508"/>
      <c r="E449" s="508"/>
      <c r="F449" s="508"/>
      <c r="G449" s="508"/>
      <c r="H449" s="508"/>
      <c r="I449" s="508"/>
      <c r="J449" s="508"/>
      <c r="K449" s="508"/>
      <c r="L449" s="508"/>
      <c r="M449" s="508"/>
      <c r="N449" s="508"/>
      <c r="O449" s="508"/>
      <c r="P449" s="508"/>
      <c r="Q449" s="508"/>
      <c r="R449" s="508"/>
      <c r="S449" s="508"/>
      <c r="T449" s="508"/>
      <c r="U449" s="508"/>
      <c r="V449" s="508"/>
      <c r="W449" s="508"/>
      <c r="X449" s="508"/>
      <c r="Y449" s="508"/>
      <c r="Z449" s="508"/>
    </row>
    <row r="450">
      <c r="A450" s="508"/>
      <c r="B450" s="508"/>
      <c r="C450" s="508"/>
      <c r="D450" s="508"/>
      <c r="E450" s="508"/>
      <c r="F450" s="508"/>
      <c r="G450" s="508"/>
      <c r="H450" s="508"/>
      <c r="I450" s="508"/>
      <c r="J450" s="508"/>
      <c r="K450" s="508"/>
      <c r="L450" s="508"/>
      <c r="M450" s="508"/>
      <c r="N450" s="508"/>
      <c r="O450" s="508"/>
      <c r="P450" s="508"/>
      <c r="Q450" s="508"/>
      <c r="R450" s="508"/>
      <c r="S450" s="508"/>
      <c r="T450" s="508"/>
      <c r="U450" s="508"/>
      <c r="V450" s="508"/>
      <c r="W450" s="508"/>
      <c r="X450" s="508"/>
      <c r="Y450" s="508"/>
      <c r="Z450" s="508"/>
    </row>
    <row r="451">
      <c r="A451" s="508"/>
      <c r="B451" s="508"/>
      <c r="C451" s="508"/>
      <c r="D451" s="508"/>
      <c r="E451" s="508"/>
      <c r="F451" s="508"/>
      <c r="G451" s="508"/>
      <c r="H451" s="508"/>
      <c r="I451" s="508"/>
      <c r="J451" s="508"/>
      <c r="K451" s="508"/>
      <c r="L451" s="508"/>
      <c r="M451" s="508"/>
      <c r="N451" s="508"/>
      <c r="O451" s="508"/>
      <c r="P451" s="508"/>
      <c r="Q451" s="508"/>
      <c r="R451" s="508"/>
      <c r="S451" s="508"/>
      <c r="T451" s="508"/>
      <c r="U451" s="508"/>
      <c r="V451" s="508"/>
      <c r="W451" s="508"/>
      <c r="X451" s="508"/>
      <c r="Y451" s="508"/>
      <c r="Z451" s="508"/>
    </row>
    <row r="452">
      <c r="A452" s="508"/>
      <c r="B452" s="508"/>
      <c r="C452" s="508"/>
      <c r="D452" s="508"/>
      <c r="E452" s="508"/>
      <c r="F452" s="508"/>
      <c r="G452" s="508"/>
      <c r="H452" s="508"/>
      <c r="I452" s="508"/>
      <c r="J452" s="508"/>
      <c r="K452" s="508"/>
      <c r="L452" s="508"/>
      <c r="M452" s="508"/>
      <c r="N452" s="508"/>
      <c r="O452" s="508"/>
      <c r="P452" s="508"/>
      <c r="Q452" s="508"/>
      <c r="R452" s="508"/>
      <c r="S452" s="508"/>
      <c r="T452" s="508"/>
      <c r="U452" s="508"/>
      <c r="V452" s="508"/>
      <c r="W452" s="508"/>
      <c r="X452" s="508"/>
      <c r="Y452" s="508"/>
      <c r="Z452" s="508"/>
    </row>
    <row r="453">
      <c r="A453" s="508"/>
      <c r="B453" s="508"/>
      <c r="C453" s="508"/>
      <c r="D453" s="508"/>
      <c r="E453" s="508"/>
      <c r="F453" s="508"/>
      <c r="G453" s="508"/>
      <c r="H453" s="508"/>
      <c r="I453" s="508"/>
      <c r="J453" s="508"/>
      <c r="K453" s="508"/>
      <c r="L453" s="508"/>
      <c r="M453" s="508"/>
      <c r="N453" s="508"/>
      <c r="O453" s="508"/>
      <c r="P453" s="508"/>
      <c r="Q453" s="508"/>
      <c r="R453" s="508"/>
      <c r="S453" s="508"/>
      <c r="T453" s="508"/>
      <c r="U453" s="508"/>
      <c r="V453" s="508"/>
      <c r="W453" s="508"/>
      <c r="X453" s="508"/>
      <c r="Y453" s="508"/>
      <c r="Z453" s="508"/>
    </row>
    <row r="454">
      <c r="A454" s="508"/>
      <c r="B454" s="508"/>
      <c r="C454" s="508"/>
      <c r="D454" s="508"/>
      <c r="E454" s="508"/>
      <c r="F454" s="508"/>
      <c r="G454" s="508"/>
      <c r="H454" s="508"/>
      <c r="I454" s="508"/>
      <c r="J454" s="508"/>
      <c r="K454" s="508"/>
      <c r="L454" s="508"/>
      <c r="M454" s="508"/>
      <c r="N454" s="508"/>
      <c r="O454" s="508"/>
      <c r="P454" s="508"/>
      <c r="Q454" s="508"/>
      <c r="R454" s="508"/>
      <c r="S454" s="508"/>
      <c r="T454" s="508"/>
      <c r="U454" s="508"/>
      <c r="V454" s="508"/>
      <c r="W454" s="508"/>
      <c r="X454" s="508"/>
      <c r="Y454" s="508"/>
      <c r="Z454" s="508"/>
    </row>
    <row r="455">
      <c r="A455" s="508"/>
      <c r="B455" s="508"/>
      <c r="C455" s="508"/>
      <c r="D455" s="508"/>
      <c r="E455" s="508"/>
      <c r="F455" s="508"/>
      <c r="G455" s="508"/>
      <c r="H455" s="508"/>
      <c r="I455" s="508"/>
      <c r="J455" s="508"/>
      <c r="K455" s="508"/>
      <c r="L455" s="508"/>
      <c r="M455" s="508"/>
      <c r="N455" s="508"/>
      <c r="O455" s="508"/>
      <c r="P455" s="508"/>
      <c r="Q455" s="508"/>
      <c r="R455" s="508"/>
      <c r="S455" s="508"/>
      <c r="T455" s="508"/>
      <c r="U455" s="508"/>
      <c r="V455" s="508"/>
      <c r="W455" s="508"/>
      <c r="X455" s="508"/>
      <c r="Y455" s="508"/>
      <c r="Z455" s="508"/>
    </row>
    <row r="456">
      <c r="A456" s="508"/>
      <c r="B456" s="508"/>
      <c r="C456" s="508"/>
      <c r="D456" s="508"/>
      <c r="E456" s="508"/>
      <c r="F456" s="508"/>
      <c r="G456" s="508"/>
      <c r="H456" s="508"/>
      <c r="I456" s="508"/>
      <c r="J456" s="508"/>
      <c r="K456" s="508"/>
      <c r="L456" s="508"/>
      <c r="M456" s="508"/>
      <c r="N456" s="508"/>
      <c r="O456" s="508"/>
      <c r="P456" s="508"/>
      <c r="Q456" s="508"/>
      <c r="R456" s="508"/>
      <c r="S456" s="508"/>
      <c r="T456" s="508"/>
      <c r="U456" s="508"/>
      <c r="V456" s="508"/>
      <c r="W456" s="508"/>
      <c r="X456" s="508"/>
      <c r="Y456" s="508"/>
      <c r="Z456" s="508"/>
    </row>
    <row r="457">
      <c r="A457" s="508"/>
      <c r="B457" s="508"/>
      <c r="C457" s="508"/>
      <c r="D457" s="508"/>
      <c r="E457" s="508"/>
      <c r="F457" s="508"/>
      <c r="G457" s="508"/>
      <c r="H457" s="508"/>
      <c r="I457" s="508"/>
      <c r="J457" s="508"/>
      <c r="K457" s="508"/>
      <c r="L457" s="508"/>
      <c r="M457" s="508"/>
      <c r="N457" s="508"/>
      <c r="O457" s="508"/>
      <c r="P457" s="508"/>
      <c r="Q457" s="508"/>
      <c r="R457" s="508"/>
      <c r="S457" s="508"/>
      <c r="T457" s="508"/>
      <c r="U457" s="508"/>
      <c r="V457" s="508"/>
      <c r="W457" s="508"/>
      <c r="X457" s="508"/>
      <c r="Y457" s="508"/>
      <c r="Z457" s="508"/>
    </row>
    <row r="458">
      <c r="A458" s="508"/>
      <c r="B458" s="508"/>
      <c r="C458" s="508"/>
      <c r="D458" s="508"/>
      <c r="E458" s="508"/>
      <c r="F458" s="508"/>
      <c r="G458" s="508"/>
      <c r="H458" s="508"/>
      <c r="I458" s="508"/>
      <c r="J458" s="508"/>
      <c r="K458" s="508"/>
      <c r="L458" s="508"/>
      <c r="M458" s="508"/>
      <c r="N458" s="508"/>
      <c r="O458" s="508"/>
      <c r="P458" s="508"/>
      <c r="Q458" s="508"/>
      <c r="R458" s="508"/>
      <c r="S458" s="508"/>
      <c r="T458" s="508"/>
      <c r="U458" s="508"/>
      <c r="V458" s="508"/>
      <c r="W458" s="508"/>
      <c r="X458" s="508"/>
      <c r="Y458" s="508"/>
      <c r="Z458" s="508"/>
    </row>
    <row r="459">
      <c r="A459" s="508"/>
      <c r="B459" s="508"/>
      <c r="C459" s="508"/>
      <c r="D459" s="508"/>
      <c r="E459" s="508"/>
      <c r="F459" s="508"/>
      <c r="G459" s="508"/>
      <c r="H459" s="508"/>
      <c r="I459" s="508"/>
      <c r="J459" s="508"/>
      <c r="K459" s="508"/>
      <c r="L459" s="508"/>
      <c r="M459" s="508"/>
      <c r="N459" s="508"/>
      <c r="O459" s="508"/>
      <c r="P459" s="508"/>
      <c r="Q459" s="508"/>
      <c r="R459" s="508"/>
      <c r="S459" s="508"/>
      <c r="T459" s="508"/>
      <c r="U459" s="508"/>
      <c r="V459" s="508"/>
      <c r="W459" s="508"/>
      <c r="X459" s="508"/>
      <c r="Y459" s="508"/>
      <c r="Z459" s="508"/>
    </row>
    <row r="460">
      <c r="A460" s="508"/>
      <c r="B460" s="508"/>
      <c r="C460" s="508"/>
      <c r="D460" s="508"/>
      <c r="E460" s="508"/>
      <c r="F460" s="508"/>
      <c r="G460" s="508"/>
      <c r="H460" s="508"/>
      <c r="I460" s="508"/>
      <c r="J460" s="508"/>
      <c r="K460" s="508"/>
      <c r="L460" s="508"/>
      <c r="M460" s="508"/>
      <c r="N460" s="508"/>
      <c r="O460" s="508"/>
      <c r="P460" s="508"/>
      <c r="Q460" s="508"/>
      <c r="R460" s="508"/>
      <c r="S460" s="508"/>
      <c r="T460" s="508"/>
      <c r="U460" s="508"/>
      <c r="V460" s="508"/>
      <c r="W460" s="508"/>
      <c r="X460" s="508"/>
      <c r="Y460" s="508"/>
      <c r="Z460" s="508"/>
    </row>
    <row r="461">
      <c r="A461" s="508"/>
      <c r="B461" s="508"/>
      <c r="C461" s="508"/>
      <c r="D461" s="508"/>
      <c r="E461" s="508"/>
      <c r="F461" s="508"/>
      <c r="G461" s="508"/>
      <c r="H461" s="508"/>
      <c r="I461" s="508"/>
      <c r="J461" s="508"/>
      <c r="K461" s="508"/>
      <c r="L461" s="508"/>
      <c r="M461" s="508"/>
      <c r="N461" s="508"/>
      <c r="O461" s="508"/>
      <c r="P461" s="508"/>
      <c r="Q461" s="508"/>
      <c r="R461" s="508"/>
      <c r="S461" s="508"/>
      <c r="T461" s="508"/>
      <c r="U461" s="508"/>
      <c r="V461" s="508"/>
      <c r="W461" s="508"/>
      <c r="X461" s="508"/>
      <c r="Y461" s="508"/>
      <c r="Z461" s="508"/>
    </row>
    <row r="462">
      <c r="A462" s="508"/>
      <c r="B462" s="508"/>
      <c r="C462" s="508"/>
      <c r="D462" s="508"/>
      <c r="E462" s="508"/>
      <c r="F462" s="508"/>
      <c r="G462" s="508"/>
      <c r="H462" s="508"/>
      <c r="I462" s="508"/>
      <c r="J462" s="508"/>
      <c r="K462" s="508"/>
      <c r="L462" s="508"/>
      <c r="M462" s="508"/>
      <c r="N462" s="508"/>
      <c r="O462" s="508"/>
      <c r="P462" s="508"/>
      <c r="Q462" s="508"/>
      <c r="R462" s="508"/>
      <c r="S462" s="508"/>
      <c r="T462" s="508"/>
      <c r="U462" s="508"/>
      <c r="V462" s="508"/>
      <c r="W462" s="508"/>
      <c r="X462" s="508"/>
      <c r="Y462" s="508"/>
      <c r="Z462" s="508"/>
    </row>
    <row r="463">
      <c r="A463" s="508"/>
      <c r="B463" s="508"/>
      <c r="C463" s="508"/>
      <c r="D463" s="508"/>
      <c r="E463" s="508"/>
      <c r="F463" s="508"/>
      <c r="G463" s="508"/>
      <c r="H463" s="508"/>
      <c r="I463" s="508"/>
      <c r="J463" s="508"/>
      <c r="K463" s="508"/>
      <c r="L463" s="508"/>
      <c r="M463" s="508"/>
      <c r="N463" s="508"/>
      <c r="O463" s="508"/>
      <c r="P463" s="508"/>
      <c r="Q463" s="508"/>
      <c r="R463" s="508"/>
      <c r="S463" s="508"/>
      <c r="T463" s="508"/>
      <c r="U463" s="508"/>
      <c r="V463" s="508"/>
      <c r="W463" s="508"/>
      <c r="X463" s="508"/>
      <c r="Y463" s="508"/>
      <c r="Z463" s="508"/>
    </row>
    <row r="464">
      <c r="A464" s="508"/>
      <c r="B464" s="508"/>
      <c r="C464" s="508"/>
      <c r="D464" s="508"/>
      <c r="E464" s="508"/>
      <c r="F464" s="508"/>
      <c r="G464" s="508"/>
      <c r="H464" s="508"/>
      <c r="I464" s="508"/>
      <c r="J464" s="508"/>
      <c r="K464" s="508"/>
      <c r="L464" s="508"/>
      <c r="M464" s="508"/>
      <c r="N464" s="508"/>
      <c r="O464" s="508"/>
      <c r="P464" s="508"/>
      <c r="Q464" s="508"/>
      <c r="R464" s="508"/>
      <c r="S464" s="508"/>
      <c r="T464" s="508"/>
      <c r="U464" s="508"/>
      <c r="V464" s="508"/>
      <c r="W464" s="508"/>
      <c r="X464" s="508"/>
      <c r="Y464" s="508"/>
      <c r="Z464" s="508"/>
    </row>
    <row r="465">
      <c r="A465" s="508"/>
      <c r="B465" s="508"/>
      <c r="C465" s="508"/>
      <c r="D465" s="508"/>
      <c r="E465" s="508"/>
      <c r="F465" s="508"/>
      <c r="G465" s="508"/>
      <c r="H465" s="508"/>
      <c r="I465" s="508"/>
      <c r="J465" s="508"/>
      <c r="K465" s="508"/>
      <c r="L465" s="508"/>
      <c r="M465" s="508"/>
      <c r="N465" s="508"/>
      <c r="O465" s="508"/>
      <c r="P465" s="508"/>
      <c r="Q465" s="508"/>
      <c r="R465" s="508"/>
      <c r="S465" s="508"/>
      <c r="T465" s="508"/>
      <c r="U465" s="508"/>
      <c r="V465" s="508"/>
      <c r="W465" s="508"/>
      <c r="X465" s="508"/>
      <c r="Y465" s="508"/>
      <c r="Z465" s="508"/>
    </row>
    <row r="466">
      <c r="A466" s="508"/>
      <c r="B466" s="508"/>
      <c r="C466" s="508"/>
      <c r="D466" s="508"/>
      <c r="E466" s="508"/>
      <c r="F466" s="508"/>
      <c r="G466" s="508"/>
      <c r="H466" s="508"/>
      <c r="I466" s="508"/>
      <c r="J466" s="508"/>
      <c r="K466" s="508"/>
      <c r="L466" s="508"/>
      <c r="M466" s="508"/>
      <c r="N466" s="508"/>
      <c r="O466" s="508"/>
      <c r="P466" s="508"/>
      <c r="Q466" s="508"/>
      <c r="R466" s="508"/>
      <c r="S466" s="508"/>
      <c r="T466" s="508"/>
      <c r="U466" s="508"/>
      <c r="V466" s="508"/>
      <c r="W466" s="508"/>
      <c r="X466" s="508"/>
      <c r="Y466" s="508"/>
      <c r="Z466" s="508"/>
    </row>
    <row r="467">
      <c r="A467" s="508"/>
      <c r="B467" s="508"/>
      <c r="C467" s="508"/>
      <c r="D467" s="508"/>
      <c r="E467" s="508"/>
      <c r="F467" s="508"/>
      <c r="G467" s="508"/>
      <c r="H467" s="508"/>
      <c r="I467" s="508"/>
      <c r="J467" s="508"/>
      <c r="K467" s="508"/>
      <c r="L467" s="508"/>
      <c r="M467" s="508"/>
      <c r="N467" s="508"/>
      <c r="O467" s="508"/>
      <c r="P467" s="508"/>
      <c r="Q467" s="508"/>
      <c r="R467" s="508"/>
      <c r="S467" s="508"/>
      <c r="T467" s="508"/>
      <c r="U467" s="508"/>
      <c r="V467" s="508"/>
      <c r="W467" s="508"/>
      <c r="X467" s="508"/>
      <c r="Y467" s="508"/>
      <c r="Z467" s="508"/>
    </row>
    <row r="468">
      <c r="A468" s="508"/>
      <c r="B468" s="508"/>
      <c r="C468" s="508"/>
      <c r="D468" s="508"/>
      <c r="E468" s="508"/>
      <c r="F468" s="508"/>
      <c r="G468" s="508"/>
      <c r="H468" s="508"/>
      <c r="I468" s="508"/>
      <c r="J468" s="508"/>
      <c r="K468" s="508"/>
      <c r="L468" s="508"/>
      <c r="M468" s="508"/>
      <c r="N468" s="508"/>
      <c r="O468" s="508"/>
      <c r="P468" s="508"/>
      <c r="Q468" s="508"/>
      <c r="R468" s="508"/>
      <c r="S468" s="508"/>
      <c r="T468" s="508"/>
      <c r="U468" s="508"/>
      <c r="V468" s="508"/>
      <c r="W468" s="508"/>
      <c r="X468" s="508"/>
      <c r="Y468" s="508"/>
      <c r="Z468" s="508"/>
    </row>
    <row r="469">
      <c r="A469" s="508"/>
      <c r="B469" s="508"/>
      <c r="C469" s="508"/>
      <c r="D469" s="508"/>
      <c r="E469" s="508"/>
      <c r="F469" s="508"/>
      <c r="G469" s="508"/>
      <c r="H469" s="508"/>
      <c r="I469" s="508"/>
      <c r="J469" s="508"/>
      <c r="K469" s="508"/>
      <c r="L469" s="508"/>
      <c r="M469" s="508"/>
      <c r="N469" s="508"/>
      <c r="O469" s="508"/>
      <c r="P469" s="508"/>
      <c r="Q469" s="508"/>
      <c r="R469" s="508"/>
      <c r="S469" s="508"/>
      <c r="T469" s="508"/>
      <c r="U469" s="508"/>
      <c r="V469" s="508"/>
      <c r="W469" s="508"/>
      <c r="X469" s="508"/>
      <c r="Y469" s="508"/>
      <c r="Z469" s="508"/>
    </row>
    <row r="470">
      <c r="A470" s="508"/>
      <c r="B470" s="508"/>
      <c r="C470" s="508"/>
      <c r="D470" s="508"/>
      <c r="E470" s="508"/>
      <c r="F470" s="508"/>
      <c r="G470" s="508"/>
      <c r="H470" s="508"/>
      <c r="I470" s="508"/>
      <c r="J470" s="508"/>
      <c r="K470" s="508"/>
      <c r="L470" s="508"/>
      <c r="M470" s="508"/>
      <c r="N470" s="508"/>
      <c r="O470" s="508"/>
      <c r="P470" s="508"/>
      <c r="Q470" s="508"/>
      <c r="R470" s="508"/>
      <c r="S470" s="508"/>
      <c r="T470" s="508"/>
      <c r="U470" s="508"/>
      <c r="V470" s="508"/>
      <c r="W470" s="508"/>
      <c r="X470" s="508"/>
      <c r="Y470" s="508"/>
      <c r="Z470" s="508"/>
    </row>
    <row r="471">
      <c r="A471" s="508"/>
      <c r="B471" s="508"/>
      <c r="C471" s="508"/>
      <c r="D471" s="508"/>
      <c r="E471" s="508"/>
      <c r="F471" s="508"/>
      <c r="G471" s="508"/>
      <c r="H471" s="508"/>
      <c r="I471" s="508"/>
      <c r="J471" s="508"/>
      <c r="K471" s="508"/>
      <c r="L471" s="508"/>
      <c r="M471" s="508"/>
      <c r="N471" s="508"/>
      <c r="O471" s="508"/>
      <c r="P471" s="508"/>
      <c r="Q471" s="508"/>
      <c r="R471" s="508"/>
      <c r="S471" s="508"/>
      <c r="T471" s="508"/>
      <c r="U471" s="508"/>
      <c r="V471" s="508"/>
      <c r="W471" s="508"/>
      <c r="X471" s="508"/>
      <c r="Y471" s="508"/>
      <c r="Z471" s="508"/>
    </row>
    <row r="472">
      <c r="A472" s="508"/>
      <c r="B472" s="508"/>
      <c r="C472" s="508"/>
      <c r="D472" s="508"/>
      <c r="E472" s="508"/>
      <c r="F472" s="508"/>
      <c r="G472" s="508"/>
      <c r="H472" s="508"/>
      <c r="I472" s="508"/>
      <c r="J472" s="508"/>
      <c r="K472" s="508"/>
      <c r="L472" s="508"/>
      <c r="M472" s="508"/>
      <c r="N472" s="508"/>
      <c r="O472" s="508"/>
      <c r="P472" s="508"/>
      <c r="Q472" s="508"/>
      <c r="R472" s="508"/>
      <c r="S472" s="508"/>
      <c r="T472" s="508"/>
      <c r="U472" s="508"/>
      <c r="V472" s="508"/>
      <c r="W472" s="508"/>
      <c r="X472" s="508"/>
      <c r="Y472" s="508"/>
      <c r="Z472" s="508"/>
    </row>
    <row r="473">
      <c r="A473" s="508"/>
      <c r="B473" s="508"/>
      <c r="C473" s="508"/>
      <c r="D473" s="508"/>
      <c r="E473" s="508"/>
      <c r="F473" s="508"/>
      <c r="G473" s="508"/>
      <c r="H473" s="508"/>
      <c r="I473" s="508"/>
      <c r="J473" s="508"/>
      <c r="K473" s="508"/>
      <c r="L473" s="508"/>
      <c r="M473" s="508"/>
      <c r="N473" s="508"/>
      <c r="O473" s="508"/>
      <c r="P473" s="508"/>
      <c r="Q473" s="508"/>
      <c r="R473" s="508"/>
      <c r="S473" s="508"/>
      <c r="T473" s="508"/>
      <c r="U473" s="508"/>
      <c r="V473" s="508"/>
      <c r="W473" s="508"/>
      <c r="X473" s="508"/>
      <c r="Y473" s="508"/>
      <c r="Z473" s="508"/>
    </row>
    <row r="474">
      <c r="A474" s="508"/>
      <c r="B474" s="508"/>
      <c r="C474" s="508"/>
      <c r="D474" s="508"/>
      <c r="E474" s="508"/>
      <c r="F474" s="508"/>
      <c r="G474" s="508"/>
      <c r="H474" s="508"/>
      <c r="I474" s="508"/>
      <c r="J474" s="508"/>
      <c r="K474" s="508"/>
      <c r="L474" s="508"/>
      <c r="M474" s="508"/>
      <c r="N474" s="508"/>
      <c r="O474" s="508"/>
      <c r="P474" s="508"/>
      <c r="Q474" s="508"/>
      <c r="R474" s="508"/>
      <c r="S474" s="508"/>
      <c r="T474" s="508"/>
      <c r="U474" s="508"/>
      <c r="V474" s="508"/>
      <c r="W474" s="508"/>
      <c r="X474" s="508"/>
      <c r="Y474" s="508"/>
      <c r="Z474" s="508"/>
    </row>
    <row r="475">
      <c r="A475" s="508"/>
      <c r="B475" s="508"/>
      <c r="C475" s="508"/>
      <c r="D475" s="508"/>
      <c r="E475" s="508"/>
      <c r="F475" s="508"/>
      <c r="G475" s="508"/>
      <c r="H475" s="508"/>
      <c r="I475" s="508"/>
      <c r="J475" s="508"/>
      <c r="K475" s="508"/>
      <c r="L475" s="508"/>
      <c r="M475" s="508"/>
      <c r="N475" s="508"/>
      <c r="O475" s="508"/>
      <c r="P475" s="508"/>
      <c r="Q475" s="508"/>
      <c r="R475" s="508"/>
      <c r="S475" s="508"/>
      <c r="T475" s="508"/>
      <c r="U475" s="508"/>
      <c r="V475" s="508"/>
      <c r="W475" s="508"/>
      <c r="X475" s="508"/>
      <c r="Y475" s="508"/>
      <c r="Z475" s="508"/>
    </row>
    <row r="476">
      <c r="A476" s="508"/>
      <c r="B476" s="508"/>
      <c r="C476" s="508"/>
      <c r="D476" s="508"/>
      <c r="E476" s="508"/>
      <c r="F476" s="508"/>
      <c r="G476" s="508"/>
      <c r="H476" s="508"/>
      <c r="I476" s="508"/>
      <c r="J476" s="508"/>
      <c r="K476" s="508"/>
      <c r="L476" s="508"/>
      <c r="M476" s="508"/>
      <c r="N476" s="508"/>
      <c r="O476" s="508"/>
      <c r="P476" s="508"/>
      <c r="Q476" s="508"/>
      <c r="R476" s="508"/>
      <c r="S476" s="508"/>
      <c r="T476" s="508"/>
      <c r="U476" s="508"/>
      <c r="V476" s="508"/>
      <c r="W476" s="508"/>
      <c r="X476" s="508"/>
      <c r="Y476" s="508"/>
      <c r="Z476" s="508"/>
    </row>
    <row r="477">
      <c r="A477" s="508"/>
      <c r="B477" s="508"/>
      <c r="C477" s="508"/>
      <c r="D477" s="508"/>
      <c r="E477" s="508"/>
      <c r="F477" s="508"/>
      <c r="G477" s="508"/>
      <c r="H477" s="508"/>
      <c r="I477" s="508"/>
      <c r="J477" s="508"/>
      <c r="K477" s="508"/>
      <c r="L477" s="508"/>
      <c r="M477" s="508"/>
      <c r="N477" s="508"/>
      <c r="O477" s="508"/>
      <c r="P477" s="508"/>
      <c r="Q477" s="508"/>
      <c r="R477" s="508"/>
      <c r="S477" s="508"/>
      <c r="T477" s="508"/>
      <c r="U477" s="508"/>
      <c r="V477" s="508"/>
      <c r="W477" s="508"/>
      <c r="X477" s="508"/>
      <c r="Y477" s="508"/>
      <c r="Z477" s="508"/>
    </row>
    <row r="478">
      <c r="A478" s="508"/>
      <c r="B478" s="508"/>
      <c r="C478" s="508"/>
      <c r="D478" s="508"/>
      <c r="E478" s="508"/>
      <c r="F478" s="508"/>
      <c r="G478" s="508"/>
      <c r="H478" s="508"/>
      <c r="I478" s="508"/>
      <c r="J478" s="508"/>
      <c r="K478" s="508"/>
      <c r="L478" s="508"/>
      <c r="M478" s="508"/>
      <c r="N478" s="508"/>
      <c r="O478" s="508"/>
      <c r="P478" s="508"/>
      <c r="Q478" s="508"/>
      <c r="R478" s="508"/>
      <c r="S478" s="508"/>
      <c r="T478" s="508"/>
      <c r="U478" s="508"/>
      <c r="V478" s="508"/>
      <c r="W478" s="508"/>
      <c r="X478" s="508"/>
      <c r="Y478" s="508"/>
      <c r="Z478" s="508"/>
    </row>
    <row r="479">
      <c r="A479" s="508"/>
      <c r="B479" s="508"/>
      <c r="C479" s="508"/>
      <c r="D479" s="508"/>
      <c r="E479" s="508"/>
      <c r="F479" s="508"/>
      <c r="G479" s="508"/>
      <c r="H479" s="508"/>
      <c r="I479" s="508"/>
      <c r="J479" s="508"/>
      <c r="K479" s="508"/>
      <c r="L479" s="508"/>
      <c r="M479" s="508"/>
      <c r="N479" s="508"/>
      <c r="O479" s="508"/>
      <c r="P479" s="508"/>
      <c r="Q479" s="508"/>
      <c r="R479" s="508"/>
      <c r="S479" s="508"/>
      <c r="T479" s="508"/>
      <c r="U479" s="508"/>
      <c r="V479" s="508"/>
      <c r="W479" s="508"/>
      <c r="X479" s="508"/>
      <c r="Y479" s="508"/>
      <c r="Z479" s="508"/>
    </row>
    <row r="480">
      <c r="A480" s="508"/>
      <c r="B480" s="508"/>
      <c r="C480" s="508"/>
      <c r="D480" s="508"/>
      <c r="E480" s="508"/>
      <c r="F480" s="508"/>
      <c r="G480" s="508"/>
      <c r="H480" s="508"/>
      <c r="I480" s="508"/>
      <c r="J480" s="508"/>
      <c r="K480" s="508"/>
      <c r="L480" s="508"/>
      <c r="M480" s="508"/>
      <c r="N480" s="508"/>
      <c r="O480" s="508"/>
      <c r="P480" s="508"/>
      <c r="Q480" s="508"/>
      <c r="R480" s="508"/>
      <c r="S480" s="508"/>
      <c r="T480" s="508"/>
      <c r="U480" s="508"/>
      <c r="V480" s="508"/>
      <c r="W480" s="508"/>
      <c r="X480" s="508"/>
      <c r="Y480" s="508"/>
      <c r="Z480" s="508"/>
    </row>
    <row r="481">
      <c r="A481" s="508"/>
      <c r="B481" s="508"/>
      <c r="C481" s="508"/>
      <c r="D481" s="508"/>
      <c r="E481" s="508"/>
      <c r="F481" s="508"/>
      <c r="G481" s="508"/>
      <c r="H481" s="508"/>
      <c r="I481" s="508"/>
      <c r="J481" s="508"/>
      <c r="K481" s="508"/>
      <c r="L481" s="508"/>
      <c r="M481" s="508"/>
      <c r="N481" s="508"/>
      <c r="O481" s="508"/>
      <c r="P481" s="508"/>
      <c r="Q481" s="508"/>
      <c r="R481" s="508"/>
      <c r="S481" s="508"/>
      <c r="T481" s="508"/>
      <c r="U481" s="508"/>
      <c r="V481" s="508"/>
      <c r="W481" s="508"/>
      <c r="X481" s="508"/>
      <c r="Y481" s="508"/>
      <c r="Z481" s="508"/>
    </row>
    <row r="482">
      <c r="A482" s="508"/>
      <c r="B482" s="508"/>
      <c r="C482" s="508"/>
      <c r="D482" s="508"/>
      <c r="E482" s="508"/>
      <c r="F482" s="508"/>
      <c r="G482" s="508"/>
      <c r="H482" s="508"/>
      <c r="I482" s="508"/>
      <c r="J482" s="508"/>
      <c r="K482" s="508"/>
      <c r="L482" s="508"/>
      <c r="M482" s="508"/>
      <c r="N482" s="508"/>
      <c r="O482" s="508"/>
      <c r="P482" s="508"/>
      <c r="Q482" s="508"/>
      <c r="R482" s="508"/>
      <c r="S482" s="508"/>
      <c r="T482" s="508"/>
      <c r="U482" s="508"/>
      <c r="V482" s="508"/>
      <c r="W482" s="508"/>
      <c r="X482" s="508"/>
      <c r="Y482" s="508"/>
      <c r="Z482" s="508"/>
    </row>
    <row r="483">
      <c r="A483" s="508"/>
      <c r="B483" s="508"/>
      <c r="C483" s="508"/>
      <c r="D483" s="508"/>
      <c r="E483" s="508"/>
      <c r="F483" s="508"/>
      <c r="G483" s="508"/>
      <c r="H483" s="508"/>
      <c r="I483" s="508"/>
      <c r="J483" s="508"/>
      <c r="K483" s="508"/>
      <c r="L483" s="508"/>
      <c r="M483" s="508"/>
      <c r="N483" s="508"/>
      <c r="O483" s="508"/>
      <c r="P483" s="508"/>
      <c r="Q483" s="508"/>
      <c r="R483" s="508"/>
      <c r="S483" s="508"/>
      <c r="T483" s="508"/>
      <c r="U483" s="508"/>
      <c r="V483" s="508"/>
      <c r="W483" s="508"/>
      <c r="X483" s="508"/>
      <c r="Y483" s="508"/>
      <c r="Z483" s="508"/>
    </row>
    <row r="484">
      <c r="A484" s="508"/>
      <c r="B484" s="508"/>
      <c r="C484" s="508"/>
      <c r="D484" s="508"/>
      <c r="E484" s="508"/>
      <c r="F484" s="508"/>
      <c r="G484" s="508"/>
      <c r="H484" s="508"/>
      <c r="I484" s="508"/>
      <c r="J484" s="508"/>
      <c r="K484" s="508"/>
      <c r="L484" s="508"/>
      <c r="M484" s="508"/>
      <c r="N484" s="508"/>
      <c r="O484" s="508"/>
      <c r="P484" s="508"/>
      <c r="Q484" s="508"/>
      <c r="R484" s="508"/>
      <c r="S484" s="508"/>
      <c r="T484" s="508"/>
      <c r="U484" s="508"/>
      <c r="V484" s="508"/>
      <c r="W484" s="508"/>
      <c r="X484" s="508"/>
      <c r="Y484" s="508"/>
      <c r="Z484" s="508"/>
    </row>
    <row r="485">
      <c r="A485" s="508"/>
      <c r="B485" s="508"/>
      <c r="C485" s="508"/>
      <c r="D485" s="508"/>
      <c r="E485" s="508"/>
      <c r="F485" s="508"/>
      <c r="G485" s="508"/>
      <c r="H485" s="508"/>
      <c r="I485" s="508"/>
      <c r="J485" s="508"/>
      <c r="K485" s="508"/>
      <c r="L485" s="508"/>
      <c r="M485" s="508"/>
      <c r="N485" s="508"/>
      <c r="O485" s="508"/>
      <c r="P485" s="508"/>
      <c r="Q485" s="508"/>
      <c r="R485" s="508"/>
      <c r="S485" s="508"/>
      <c r="T485" s="508"/>
      <c r="U485" s="508"/>
      <c r="V485" s="508"/>
      <c r="W485" s="508"/>
      <c r="X485" s="508"/>
      <c r="Y485" s="508"/>
      <c r="Z485" s="508"/>
    </row>
    <row r="486">
      <c r="A486" s="508"/>
      <c r="B486" s="508"/>
      <c r="C486" s="508"/>
      <c r="D486" s="508"/>
      <c r="E486" s="508"/>
      <c r="F486" s="508"/>
      <c r="G486" s="508"/>
      <c r="H486" s="508"/>
      <c r="I486" s="508"/>
      <c r="J486" s="508"/>
      <c r="K486" s="508"/>
      <c r="L486" s="508"/>
      <c r="M486" s="508"/>
      <c r="N486" s="508"/>
      <c r="O486" s="508"/>
      <c r="P486" s="508"/>
      <c r="Q486" s="508"/>
      <c r="R486" s="508"/>
      <c r="S486" s="508"/>
      <c r="T486" s="508"/>
      <c r="U486" s="508"/>
      <c r="V486" s="508"/>
      <c r="W486" s="508"/>
      <c r="X486" s="508"/>
      <c r="Y486" s="508"/>
      <c r="Z486" s="508"/>
    </row>
    <row r="487">
      <c r="A487" s="508"/>
      <c r="B487" s="508"/>
      <c r="C487" s="508"/>
      <c r="D487" s="508"/>
      <c r="E487" s="508"/>
      <c r="F487" s="508"/>
      <c r="G487" s="508"/>
      <c r="H487" s="508"/>
      <c r="I487" s="508"/>
      <c r="J487" s="508"/>
      <c r="K487" s="508"/>
      <c r="L487" s="508"/>
      <c r="M487" s="508"/>
      <c r="N487" s="508"/>
      <c r="O487" s="508"/>
      <c r="P487" s="508"/>
      <c r="Q487" s="508"/>
      <c r="R487" s="508"/>
      <c r="S487" s="508"/>
      <c r="T487" s="508"/>
      <c r="U487" s="508"/>
      <c r="V487" s="508"/>
      <c r="W487" s="508"/>
      <c r="X487" s="508"/>
      <c r="Y487" s="508"/>
      <c r="Z487" s="508"/>
    </row>
    <row r="488">
      <c r="A488" s="508"/>
      <c r="B488" s="508"/>
      <c r="C488" s="508"/>
      <c r="D488" s="508"/>
      <c r="E488" s="508"/>
      <c r="F488" s="508"/>
      <c r="G488" s="508"/>
      <c r="H488" s="508"/>
      <c r="I488" s="508"/>
      <c r="J488" s="508"/>
      <c r="K488" s="508"/>
      <c r="L488" s="508"/>
      <c r="M488" s="508"/>
      <c r="N488" s="508"/>
      <c r="O488" s="508"/>
      <c r="P488" s="508"/>
      <c r="Q488" s="508"/>
      <c r="R488" s="508"/>
      <c r="S488" s="508"/>
      <c r="T488" s="508"/>
      <c r="U488" s="508"/>
      <c r="V488" s="508"/>
      <c r="W488" s="508"/>
      <c r="X488" s="508"/>
      <c r="Y488" s="508"/>
      <c r="Z488" s="508"/>
    </row>
    <row r="489">
      <c r="A489" s="508"/>
      <c r="B489" s="508"/>
      <c r="C489" s="508"/>
      <c r="D489" s="508"/>
      <c r="E489" s="508"/>
      <c r="F489" s="508"/>
      <c r="G489" s="508"/>
      <c r="H489" s="508"/>
      <c r="I489" s="508"/>
      <c r="J489" s="508"/>
      <c r="K489" s="508"/>
      <c r="L489" s="508"/>
      <c r="M489" s="508"/>
      <c r="N489" s="508"/>
      <c r="O489" s="508"/>
      <c r="P489" s="508"/>
      <c r="Q489" s="508"/>
      <c r="R489" s="508"/>
      <c r="S489" s="508"/>
      <c r="T489" s="508"/>
      <c r="U489" s="508"/>
      <c r="V489" s="508"/>
      <c r="W489" s="508"/>
      <c r="X489" s="508"/>
      <c r="Y489" s="508"/>
      <c r="Z489" s="508"/>
    </row>
    <row r="490">
      <c r="A490" s="508"/>
      <c r="B490" s="508"/>
      <c r="C490" s="508"/>
      <c r="D490" s="508"/>
      <c r="E490" s="508"/>
      <c r="F490" s="508"/>
      <c r="G490" s="508"/>
      <c r="H490" s="508"/>
      <c r="I490" s="508"/>
      <c r="J490" s="508"/>
      <c r="K490" s="508"/>
      <c r="L490" s="508"/>
      <c r="M490" s="508"/>
      <c r="N490" s="508"/>
      <c r="O490" s="508"/>
      <c r="P490" s="508"/>
      <c r="Q490" s="508"/>
      <c r="R490" s="508"/>
      <c r="S490" s="508"/>
      <c r="T490" s="508"/>
      <c r="U490" s="508"/>
      <c r="V490" s="508"/>
      <c r="W490" s="508"/>
      <c r="X490" s="508"/>
      <c r="Y490" s="508"/>
      <c r="Z490" s="508"/>
    </row>
    <row r="491">
      <c r="A491" s="508"/>
      <c r="B491" s="508"/>
      <c r="C491" s="508"/>
      <c r="D491" s="508"/>
      <c r="E491" s="508"/>
      <c r="F491" s="508"/>
      <c r="G491" s="508"/>
      <c r="H491" s="508"/>
      <c r="I491" s="508"/>
      <c r="J491" s="508"/>
      <c r="K491" s="508"/>
      <c r="L491" s="508"/>
      <c r="M491" s="508"/>
      <c r="N491" s="508"/>
      <c r="O491" s="508"/>
      <c r="P491" s="508"/>
      <c r="Q491" s="508"/>
      <c r="R491" s="508"/>
      <c r="S491" s="508"/>
      <c r="T491" s="508"/>
      <c r="U491" s="508"/>
      <c r="V491" s="508"/>
      <c r="W491" s="508"/>
      <c r="X491" s="508"/>
      <c r="Y491" s="508"/>
      <c r="Z491" s="508"/>
    </row>
    <row r="492">
      <c r="A492" s="508"/>
      <c r="B492" s="508"/>
      <c r="C492" s="508"/>
      <c r="D492" s="508"/>
      <c r="E492" s="508"/>
      <c r="F492" s="508"/>
      <c r="G492" s="508"/>
      <c r="H492" s="508"/>
      <c r="I492" s="508"/>
      <c r="J492" s="508"/>
      <c r="K492" s="508"/>
      <c r="L492" s="508"/>
      <c r="M492" s="508"/>
      <c r="N492" s="508"/>
      <c r="O492" s="508"/>
      <c r="P492" s="508"/>
      <c r="Q492" s="508"/>
      <c r="R492" s="508"/>
      <c r="S492" s="508"/>
      <c r="T492" s="508"/>
      <c r="U492" s="508"/>
      <c r="V492" s="508"/>
      <c r="W492" s="508"/>
      <c r="X492" s="508"/>
      <c r="Y492" s="508"/>
      <c r="Z492" s="508"/>
    </row>
    <row r="493">
      <c r="A493" s="508"/>
      <c r="B493" s="508"/>
      <c r="C493" s="508"/>
      <c r="D493" s="508"/>
      <c r="E493" s="508"/>
      <c r="F493" s="508"/>
      <c r="G493" s="508"/>
      <c r="H493" s="508"/>
      <c r="I493" s="508"/>
      <c r="J493" s="508"/>
      <c r="K493" s="508"/>
      <c r="L493" s="508"/>
      <c r="M493" s="508"/>
      <c r="N493" s="508"/>
      <c r="O493" s="508"/>
      <c r="P493" s="508"/>
      <c r="Q493" s="508"/>
      <c r="R493" s="508"/>
      <c r="S493" s="508"/>
      <c r="T493" s="508"/>
      <c r="U493" s="508"/>
      <c r="V493" s="508"/>
      <c r="W493" s="508"/>
      <c r="X493" s="508"/>
      <c r="Y493" s="508"/>
      <c r="Z493" s="508"/>
    </row>
    <row r="494">
      <c r="A494" s="508"/>
      <c r="B494" s="508"/>
      <c r="C494" s="508"/>
      <c r="D494" s="508"/>
      <c r="E494" s="508"/>
      <c r="F494" s="508"/>
      <c r="G494" s="508"/>
      <c r="H494" s="508"/>
      <c r="I494" s="508"/>
      <c r="J494" s="508"/>
      <c r="K494" s="508"/>
      <c r="L494" s="508"/>
      <c r="M494" s="508"/>
      <c r="N494" s="508"/>
      <c r="O494" s="508"/>
      <c r="P494" s="508"/>
      <c r="Q494" s="508"/>
      <c r="R494" s="508"/>
      <c r="S494" s="508"/>
      <c r="T494" s="508"/>
      <c r="U494" s="508"/>
      <c r="V494" s="508"/>
      <c r="W494" s="508"/>
      <c r="X494" s="508"/>
      <c r="Y494" s="508"/>
      <c r="Z494" s="508"/>
    </row>
    <row r="495">
      <c r="A495" s="508"/>
      <c r="B495" s="508"/>
      <c r="C495" s="508"/>
      <c r="D495" s="508"/>
      <c r="E495" s="508"/>
      <c r="F495" s="508"/>
      <c r="G495" s="508"/>
      <c r="H495" s="508"/>
      <c r="I495" s="508"/>
      <c r="J495" s="508"/>
      <c r="K495" s="508"/>
      <c r="L495" s="508"/>
      <c r="M495" s="508"/>
      <c r="N495" s="508"/>
      <c r="O495" s="508"/>
      <c r="P495" s="508"/>
      <c r="Q495" s="508"/>
      <c r="R495" s="508"/>
      <c r="S495" s="508"/>
      <c r="T495" s="508"/>
      <c r="U495" s="508"/>
      <c r="V495" s="508"/>
      <c r="W495" s="508"/>
      <c r="X495" s="508"/>
      <c r="Y495" s="508"/>
      <c r="Z495" s="508"/>
    </row>
    <row r="496">
      <c r="A496" s="508"/>
      <c r="B496" s="508"/>
      <c r="C496" s="508"/>
      <c r="D496" s="508"/>
      <c r="E496" s="508"/>
      <c r="F496" s="508"/>
      <c r="G496" s="508"/>
      <c r="H496" s="508"/>
      <c r="I496" s="508"/>
      <c r="J496" s="508"/>
      <c r="K496" s="508"/>
      <c r="L496" s="508"/>
      <c r="M496" s="508"/>
      <c r="N496" s="508"/>
      <c r="O496" s="508"/>
      <c r="P496" s="508"/>
      <c r="Q496" s="508"/>
      <c r="R496" s="508"/>
      <c r="S496" s="508"/>
      <c r="T496" s="508"/>
      <c r="U496" s="508"/>
      <c r="V496" s="508"/>
      <c r="W496" s="508"/>
      <c r="X496" s="508"/>
      <c r="Y496" s="508"/>
      <c r="Z496" s="508"/>
    </row>
    <row r="497">
      <c r="A497" s="508"/>
      <c r="B497" s="508"/>
      <c r="C497" s="508"/>
      <c r="D497" s="508"/>
      <c r="E497" s="508"/>
      <c r="F497" s="508"/>
      <c r="G497" s="508"/>
      <c r="H497" s="508"/>
      <c r="I497" s="508"/>
      <c r="J497" s="508"/>
      <c r="K497" s="508"/>
      <c r="L497" s="508"/>
      <c r="M497" s="508"/>
      <c r="N497" s="508"/>
      <c r="O497" s="508"/>
      <c r="P497" s="508"/>
      <c r="Q497" s="508"/>
      <c r="R497" s="508"/>
      <c r="S497" s="508"/>
      <c r="T497" s="508"/>
      <c r="U497" s="508"/>
      <c r="V497" s="508"/>
      <c r="W497" s="508"/>
      <c r="X497" s="508"/>
      <c r="Y497" s="508"/>
      <c r="Z497" s="508"/>
    </row>
    <row r="498">
      <c r="A498" s="508"/>
      <c r="B498" s="508"/>
      <c r="C498" s="508"/>
      <c r="D498" s="508"/>
      <c r="E498" s="508"/>
      <c r="F498" s="508"/>
      <c r="G498" s="508"/>
      <c r="H498" s="508"/>
      <c r="I498" s="508"/>
      <c r="J498" s="508"/>
      <c r="K498" s="508"/>
      <c r="L498" s="508"/>
      <c r="M498" s="508"/>
      <c r="N498" s="508"/>
      <c r="O498" s="508"/>
      <c r="P498" s="508"/>
      <c r="Q498" s="508"/>
      <c r="R498" s="508"/>
      <c r="S498" s="508"/>
      <c r="T498" s="508"/>
      <c r="U498" s="508"/>
      <c r="V498" s="508"/>
      <c r="W498" s="508"/>
      <c r="X498" s="508"/>
      <c r="Y498" s="508"/>
      <c r="Z498" s="508"/>
    </row>
    <row r="499">
      <c r="A499" s="508"/>
      <c r="B499" s="508"/>
      <c r="C499" s="508"/>
      <c r="D499" s="508"/>
      <c r="E499" s="508"/>
      <c r="F499" s="508"/>
      <c r="G499" s="508"/>
      <c r="H499" s="508"/>
      <c r="I499" s="508"/>
      <c r="J499" s="508"/>
      <c r="K499" s="508"/>
      <c r="L499" s="508"/>
      <c r="M499" s="508"/>
      <c r="N499" s="508"/>
      <c r="O499" s="508"/>
      <c r="P499" s="508"/>
      <c r="Q499" s="508"/>
      <c r="R499" s="508"/>
      <c r="S499" s="508"/>
      <c r="T499" s="508"/>
      <c r="U499" s="508"/>
      <c r="V499" s="508"/>
      <c r="W499" s="508"/>
      <c r="X499" s="508"/>
      <c r="Y499" s="508"/>
      <c r="Z499" s="508"/>
    </row>
    <row r="500">
      <c r="A500" s="508"/>
      <c r="B500" s="508"/>
      <c r="C500" s="508"/>
      <c r="D500" s="508"/>
      <c r="E500" s="508"/>
      <c r="F500" s="508"/>
      <c r="G500" s="508"/>
      <c r="H500" s="508"/>
      <c r="I500" s="508"/>
      <c r="J500" s="508"/>
      <c r="K500" s="508"/>
      <c r="L500" s="508"/>
      <c r="M500" s="508"/>
      <c r="N500" s="508"/>
      <c r="O500" s="508"/>
      <c r="P500" s="508"/>
      <c r="Q500" s="508"/>
      <c r="R500" s="508"/>
      <c r="S500" s="508"/>
      <c r="T500" s="508"/>
      <c r="U500" s="508"/>
      <c r="V500" s="508"/>
      <c r="W500" s="508"/>
      <c r="X500" s="508"/>
      <c r="Y500" s="508"/>
      <c r="Z500" s="508"/>
    </row>
    <row r="501">
      <c r="A501" s="508"/>
      <c r="B501" s="508"/>
      <c r="C501" s="508"/>
      <c r="D501" s="508"/>
      <c r="E501" s="508"/>
      <c r="F501" s="508"/>
      <c r="G501" s="508"/>
      <c r="H501" s="508"/>
      <c r="I501" s="508"/>
      <c r="J501" s="508"/>
      <c r="K501" s="508"/>
      <c r="L501" s="508"/>
      <c r="M501" s="508"/>
      <c r="N501" s="508"/>
      <c r="O501" s="508"/>
      <c r="P501" s="508"/>
      <c r="Q501" s="508"/>
      <c r="R501" s="508"/>
      <c r="S501" s="508"/>
      <c r="T501" s="508"/>
      <c r="U501" s="508"/>
      <c r="V501" s="508"/>
      <c r="W501" s="508"/>
      <c r="X501" s="508"/>
      <c r="Y501" s="508"/>
      <c r="Z501" s="508"/>
    </row>
    <row r="502">
      <c r="A502" s="508"/>
      <c r="B502" s="508"/>
      <c r="C502" s="508"/>
      <c r="D502" s="508"/>
      <c r="E502" s="508"/>
      <c r="F502" s="508"/>
      <c r="G502" s="508"/>
      <c r="H502" s="508"/>
      <c r="I502" s="508"/>
      <c r="J502" s="508"/>
      <c r="K502" s="508"/>
      <c r="L502" s="508"/>
      <c r="M502" s="508"/>
      <c r="N502" s="508"/>
      <c r="O502" s="508"/>
      <c r="P502" s="508"/>
      <c r="Q502" s="508"/>
      <c r="R502" s="508"/>
      <c r="S502" s="508"/>
      <c r="T502" s="508"/>
      <c r="U502" s="508"/>
      <c r="V502" s="508"/>
      <c r="W502" s="508"/>
      <c r="X502" s="508"/>
      <c r="Y502" s="508"/>
      <c r="Z502" s="508"/>
    </row>
    <row r="503">
      <c r="A503" s="508"/>
      <c r="B503" s="508"/>
      <c r="C503" s="508"/>
      <c r="D503" s="508"/>
      <c r="E503" s="508"/>
      <c r="F503" s="508"/>
      <c r="G503" s="508"/>
      <c r="H503" s="508"/>
      <c r="I503" s="508"/>
      <c r="J503" s="508"/>
      <c r="K503" s="508"/>
      <c r="L503" s="508"/>
      <c r="M503" s="508"/>
      <c r="N503" s="508"/>
      <c r="O503" s="508"/>
      <c r="P503" s="508"/>
      <c r="Q503" s="508"/>
      <c r="R503" s="508"/>
      <c r="S503" s="508"/>
      <c r="T503" s="508"/>
      <c r="U503" s="508"/>
      <c r="V503" s="508"/>
      <c r="W503" s="508"/>
      <c r="X503" s="508"/>
      <c r="Y503" s="508"/>
      <c r="Z503" s="508"/>
    </row>
    <row r="504">
      <c r="A504" s="508"/>
      <c r="B504" s="508"/>
      <c r="C504" s="508"/>
      <c r="D504" s="508"/>
      <c r="E504" s="508"/>
      <c r="F504" s="508"/>
      <c r="G504" s="508"/>
      <c r="H504" s="508"/>
      <c r="I504" s="508"/>
      <c r="J504" s="508"/>
      <c r="K504" s="508"/>
      <c r="L504" s="508"/>
      <c r="M504" s="508"/>
      <c r="N504" s="508"/>
      <c r="O504" s="508"/>
      <c r="P504" s="508"/>
      <c r="Q504" s="508"/>
      <c r="R504" s="508"/>
      <c r="S504" s="508"/>
      <c r="T504" s="508"/>
      <c r="U504" s="508"/>
      <c r="V504" s="508"/>
      <c r="W504" s="508"/>
      <c r="X504" s="508"/>
      <c r="Y504" s="508"/>
      <c r="Z504" s="508"/>
    </row>
    <row r="505">
      <c r="A505" s="508"/>
      <c r="B505" s="508"/>
      <c r="C505" s="508"/>
      <c r="D505" s="508"/>
      <c r="E505" s="508"/>
      <c r="F505" s="508"/>
      <c r="G505" s="508"/>
      <c r="H505" s="508"/>
      <c r="I505" s="508"/>
      <c r="J505" s="508"/>
      <c r="K505" s="508"/>
      <c r="L505" s="508"/>
      <c r="M505" s="508"/>
      <c r="N505" s="508"/>
      <c r="O505" s="508"/>
      <c r="P505" s="508"/>
      <c r="Q505" s="508"/>
      <c r="R505" s="508"/>
      <c r="S505" s="508"/>
      <c r="T505" s="508"/>
      <c r="U505" s="508"/>
      <c r="V505" s="508"/>
      <c r="W505" s="508"/>
      <c r="X505" s="508"/>
      <c r="Y505" s="508"/>
      <c r="Z505" s="508"/>
    </row>
    <row r="506">
      <c r="A506" s="508"/>
      <c r="B506" s="508"/>
      <c r="C506" s="508"/>
      <c r="D506" s="508"/>
      <c r="E506" s="508"/>
      <c r="F506" s="508"/>
      <c r="G506" s="508"/>
      <c r="H506" s="508"/>
      <c r="I506" s="508"/>
      <c r="J506" s="508"/>
      <c r="K506" s="508"/>
      <c r="L506" s="508"/>
      <c r="M506" s="508"/>
      <c r="N506" s="508"/>
      <c r="O506" s="508"/>
      <c r="P506" s="508"/>
      <c r="Q506" s="508"/>
      <c r="R506" s="508"/>
      <c r="S506" s="508"/>
      <c r="T506" s="508"/>
      <c r="U506" s="508"/>
      <c r="V506" s="508"/>
      <c r="W506" s="508"/>
      <c r="X506" s="508"/>
      <c r="Y506" s="508"/>
      <c r="Z506" s="508"/>
    </row>
    <row r="507">
      <c r="A507" s="508"/>
      <c r="B507" s="508"/>
      <c r="C507" s="508"/>
      <c r="D507" s="508"/>
      <c r="E507" s="508"/>
      <c r="F507" s="508"/>
      <c r="G507" s="508"/>
      <c r="H507" s="508"/>
      <c r="I507" s="508"/>
      <c r="J507" s="508"/>
      <c r="K507" s="508"/>
      <c r="L507" s="508"/>
      <c r="M507" s="508"/>
      <c r="N507" s="508"/>
      <c r="O507" s="508"/>
      <c r="P507" s="508"/>
      <c r="Q507" s="508"/>
      <c r="R507" s="508"/>
      <c r="S507" s="508"/>
      <c r="T507" s="508"/>
      <c r="U507" s="508"/>
      <c r="V507" s="508"/>
      <c r="W507" s="508"/>
      <c r="X507" s="508"/>
      <c r="Y507" s="508"/>
      <c r="Z507" s="508"/>
    </row>
    <row r="508">
      <c r="A508" s="508"/>
      <c r="B508" s="508"/>
      <c r="C508" s="508"/>
      <c r="D508" s="508"/>
      <c r="E508" s="508"/>
      <c r="F508" s="508"/>
      <c r="G508" s="508"/>
      <c r="H508" s="508"/>
      <c r="I508" s="508"/>
      <c r="J508" s="508"/>
      <c r="K508" s="508"/>
      <c r="L508" s="508"/>
      <c r="M508" s="508"/>
      <c r="N508" s="508"/>
      <c r="O508" s="508"/>
      <c r="P508" s="508"/>
      <c r="Q508" s="508"/>
      <c r="R508" s="508"/>
      <c r="S508" s="508"/>
      <c r="T508" s="508"/>
      <c r="U508" s="508"/>
      <c r="V508" s="508"/>
      <c r="W508" s="508"/>
      <c r="X508" s="508"/>
      <c r="Y508" s="508"/>
      <c r="Z508" s="508"/>
    </row>
    <row r="509">
      <c r="A509" s="508"/>
      <c r="B509" s="508"/>
      <c r="C509" s="508"/>
      <c r="D509" s="508"/>
      <c r="E509" s="508"/>
      <c r="F509" s="508"/>
      <c r="G509" s="508"/>
      <c r="H509" s="508"/>
      <c r="I509" s="508"/>
      <c r="J509" s="508"/>
      <c r="K509" s="508"/>
      <c r="L509" s="508"/>
      <c r="M509" s="508"/>
      <c r="N509" s="508"/>
      <c r="O509" s="508"/>
      <c r="P509" s="508"/>
      <c r="Q509" s="508"/>
      <c r="R509" s="508"/>
      <c r="S509" s="508"/>
      <c r="T509" s="508"/>
      <c r="U509" s="508"/>
      <c r="V509" s="508"/>
      <c r="W509" s="508"/>
      <c r="X509" s="508"/>
      <c r="Y509" s="508"/>
      <c r="Z509" s="508"/>
    </row>
    <row r="510">
      <c r="A510" s="508"/>
      <c r="B510" s="508"/>
      <c r="C510" s="508"/>
      <c r="D510" s="508"/>
      <c r="E510" s="508"/>
      <c r="F510" s="508"/>
      <c r="G510" s="508"/>
      <c r="H510" s="508"/>
      <c r="I510" s="508"/>
      <c r="J510" s="508"/>
      <c r="K510" s="508"/>
      <c r="L510" s="508"/>
      <c r="M510" s="508"/>
      <c r="N510" s="508"/>
      <c r="O510" s="508"/>
      <c r="P510" s="508"/>
      <c r="Q510" s="508"/>
      <c r="R510" s="508"/>
      <c r="S510" s="508"/>
      <c r="T510" s="508"/>
      <c r="U510" s="508"/>
      <c r="V510" s="508"/>
      <c r="W510" s="508"/>
      <c r="X510" s="508"/>
      <c r="Y510" s="508"/>
      <c r="Z510" s="508"/>
    </row>
    <row r="511">
      <c r="A511" s="508"/>
      <c r="B511" s="508"/>
      <c r="C511" s="508"/>
      <c r="D511" s="508"/>
      <c r="E511" s="508"/>
      <c r="F511" s="508"/>
      <c r="G511" s="508"/>
      <c r="H511" s="508"/>
      <c r="I511" s="508"/>
      <c r="J511" s="508"/>
      <c r="K511" s="508"/>
      <c r="L511" s="508"/>
      <c r="M511" s="508"/>
      <c r="N511" s="508"/>
      <c r="O511" s="508"/>
      <c r="P511" s="508"/>
      <c r="Q511" s="508"/>
      <c r="R511" s="508"/>
      <c r="S511" s="508"/>
      <c r="T511" s="508"/>
      <c r="U511" s="508"/>
      <c r="V511" s="508"/>
      <c r="W511" s="508"/>
      <c r="X511" s="508"/>
      <c r="Y511" s="508"/>
      <c r="Z511" s="508"/>
    </row>
    <row r="512">
      <c r="A512" s="508"/>
      <c r="B512" s="508"/>
      <c r="C512" s="508"/>
      <c r="D512" s="508"/>
      <c r="E512" s="508"/>
      <c r="F512" s="508"/>
      <c r="G512" s="508"/>
      <c r="H512" s="508"/>
      <c r="I512" s="508"/>
      <c r="J512" s="508"/>
      <c r="K512" s="508"/>
      <c r="L512" s="508"/>
      <c r="M512" s="508"/>
      <c r="N512" s="508"/>
      <c r="O512" s="508"/>
      <c r="P512" s="508"/>
      <c r="Q512" s="508"/>
      <c r="R512" s="508"/>
      <c r="S512" s="508"/>
      <c r="T512" s="508"/>
      <c r="U512" s="508"/>
      <c r="V512" s="508"/>
      <c r="W512" s="508"/>
      <c r="X512" s="508"/>
      <c r="Y512" s="508"/>
      <c r="Z512" s="508"/>
    </row>
    <row r="513">
      <c r="A513" s="508"/>
      <c r="B513" s="508"/>
      <c r="C513" s="508"/>
      <c r="D513" s="508"/>
      <c r="E513" s="508"/>
      <c r="F513" s="508"/>
      <c r="G513" s="508"/>
      <c r="H513" s="508"/>
      <c r="I513" s="508"/>
      <c r="J513" s="508"/>
      <c r="K513" s="508"/>
      <c r="L513" s="508"/>
      <c r="M513" s="508"/>
      <c r="N513" s="508"/>
      <c r="O513" s="508"/>
      <c r="P513" s="508"/>
      <c r="Q513" s="508"/>
      <c r="R513" s="508"/>
      <c r="S513" s="508"/>
      <c r="T513" s="508"/>
      <c r="U513" s="508"/>
      <c r="V513" s="508"/>
      <c r="W513" s="508"/>
      <c r="X513" s="508"/>
      <c r="Y513" s="508"/>
      <c r="Z513" s="508"/>
    </row>
    <row r="514">
      <c r="A514" s="508"/>
      <c r="B514" s="508"/>
      <c r="C514" s="508"/>
      <c r="D514" s="508"/>
      <c r="E514" s="508"/>
      <c r="F514" s="508"/>
      <c r="G514" s="508"/>
      <c r="H514" s="508"/>
      <c r="I514" s="508"/>
      <c r="J514" s="508"/>
      <c r="K514" s="508"/>
      <c r="L514" s="508"/>
      <c r="M514" s="508"/>
      <c r="N514" s="508"/>
      <c r="O514" s="508"/>
      <c r="P514" s="508"/>
      <c r="Q514" s="508"/>
      <c r="R514" s="508"/>
      <c r="S514" s="508"/>
      <c r="T514" s="508"/>
      <c r="U514" s="508"/>
      <c r="V514" s="508"/>
      <c r="W514" s="508"/>
      <c r="X514" s="508"/>
      <c r="Y514" s="508"/>
      <c r="Z514" s="508"/>
    </row>
    <row r="515">
      <c r="A515" s="508"/>
      <c r="B515" s="508"/>
      <c r="C515" s="508"/>
      <c r="D515" s="508"/>
      <c r="E515" s="508"/>
      <c r="F515" s="508"/>
      <c r="G515" s="508"/>
      <c r="H515" s="508"/>
      <c r="I515" s="508"/>
      <c r="J515" s="508"/>
      <c r="K515" s="508"/>
      <c r="L515" s="508"/>
      <c r="M515" s="508"/>
      <c r="N515" s="508"/>
      <c r="O515" s="508"/>
      <c r="P515" s="508"/>
      <c r="Q515" s="508"/>
      <c r="R515" s="508"/>
      <c r="S515" s="508"/>
      <c r="T515" s="508"/>
      <c r="U515" s="508"/>
      <c r="V515" s="508"/>
      <c r="W515" s="508"/>
      <c r="X515" s="508"/>
      <c r="Y515" s="508"/>
      <c r="Z515" s="508"/>
    </row>
    <row r="516">
      <c r="A516" s="508"/>
      <c r="B516" s="508"/>
      <c r="C516" s="508"/>
      <c r="D516" s="508"/>
      <c r="E516" s="508"/>
      <c r="F516" s="508"/>
      <c r="G516" s="508"/>
      <c r="H516" s="508"/>
      <c r="I516" s="508"/>
      <c r="J516" s="508"/>
      <c r="K516" s="508"/>
      <c r="L516" s="508"/>
      <c r="M516" s="508"/>
      <c r="N516" s="508"/>
      <c r="O516" s="508"/>
      <c r="P516" s="508"/>
      <c r="Q516" s="508"/>
      <c r="R516" s="508"/>
      <c r="S516" s="508"/>
      <c r="T516" s="508"/>
      <c r="U516" s="508"/>
      <c r="V516" s="508"/>
      <c r="W516" s="508"/>
      <c r="X516" s="508"/>
      <c r="Y516" s="508"/>
      <c r="Z516" s="508"/>
    </row>
    <row r="517">
      <c r="A517" s="508"/>
      <c r="B517" s="508"/>
      <c r="C517" s="508"/>
      <c r="D517" s="508"/>
      <c r="E517" s="508"/>
      <c r="F517" s="508"/>
      <c r="G517" s="508"/>
      <c r="H517" s="508"/>
      <c r="I517" s="508"/>
      <c r="J517" s="508"/>
      <c r="K517" s="508"/>
      <c r="L517" s="508"/>
      <c r="M517" s="508"/>
      <c r="N517" s="508"/>
      <c r="O517" s="508"/>
      <c r="P517" s="508"/>
      <c r="Q517" s="508"/>
      <c r="R517" s="508"/>
      <c r="S517" s="508"/>
      <c r="T517" s="508"/>
      <c r="U517" s="508"/>
      <c r="V517" s="508"/>
      <c r="W517" s="508"/>
      <c r="X517" s="508"/>
      <c r="Y517" s="508"/>
      <c r="Z517" s="508"/>
    </row>
    <row r="518">
      <c r="A518" s="508"/>
      <c r="B518" s="508"/>
      <c r="C518" s="508"/>
      <c r="D518" s="508"/>
      <c r="E518" s="508"/>
      <c r="F518" s="508"/>
      <c r="G518" s="508"/>
      <c r="H518" s="508"/>
      <c r="I518" s="508"/>
      <c r="J518" s="508"/>
      <c r="K518" s="508"/>
      <c r="L518" s="508"/>
      <c r="M518" s="508"/>
      <c r="N518" s="508"/>
      <c r="O518" s="508"/>
      <c r="P518" s="508"/>
      <c r="Q518" s="508"/>
      <c r="R518" s="508"/>
      <c r="S518" s="508"/>
      <c r="T518" s="508"/>
      <c r="U518" s="508"/>
      <c r="V518" s="508"/>
      <c r="W518" s="508"/>
      <c r="X518" s="508"/>
      <c r="Y518" s="508"/>
      <c r="Z518" s="508"/>
    </row>
    <row r="519">
      <c r="A519" s="508"/>
      <c r="B519" s="508"/>
      <c r="C519" s="508"/>
      <c r="D519" s="508"/>
      <c r="E519" s="508"/>
      <c r="F519" s="508"/>
      <c r="G519" s="508"/>
      <c r="H519" s="508"/>
      <c r="I519" s="508"/>
      <c r="J519" s="508"/>
      <c r="K519" s="508"/>
      <c r="L519" s="508"/>
      <c r="M519" s="508"/>
      <c r="N519" s="508"/>
      <c r="O519" s="508"/>
      <c r="P519" s="508"/>
      <c r="Q519" s="508"/>
      <c r="R519" s="508"/>
      <c r="S519" s="508"/>
      <c r="T519" s="508"/>
      <c r="U519" s="508"/>
      <c r="V519" s="508"/>
      <c r="W519" s="508"/>
      <c r="X519" s="508"/>
      <c r="Y519" s="508"/>
      <c r="Z519" s="508"/>
    </row>
    <row r="520">
      <c r="A520" s="508"/>
      <c r="B520" s="508"/>
      <c r="C520" s="508"/>
      <c r="D520" s="508"/>
      <c r="E520" s="508"/>
      <c r="F520" s="508"/>
      <c r="G520" s="508"/>
      <c r="H520" s="508"/>
      <c r="I520" s="508"/>
      <c r="J520" s="508"/>
      <c r="K520" s="508"/>
      <c r="L520" s="508"/>
      <c r="M520" s="508"/>
      <c r="N520" s="508"/>
      <c r="O520" s="508"/>
      <c r="P520" s="508"/>
      <c r="Q520" s="508"/>
      <c r="R520" s="508"/>
      <c r="S520" s="508"/>
      <c r="T520" s="508"/>
      <c r="U520" s="508"/>
      <c r="V520" s="508"/>
      <c r="W520" s="508"/>
      <c r="X520" s="508"/>
      <c r="Y520" s="508"/>
      <c r="Z520" s="508"/>
    </row>
    <row r="521">
      <c r="A521" s="508"/>
      <c r="B521" s="508"/>
      <c r="C521" s="508"/>
      <c r="D521" s="508"/>
      <c r="E521" s="508"/>
      <c r="F521" s="508"/>
      <c r="G521" s="508"/>
      <c r="H521" s="508"/>
      <c r="I521" s="508"/>
      <c r="J521" s="508"/>
      <c r="K521" s="508"/>
      <c r="L521" s="508"/>
      <c r="M521" s="508"/>
      <c r="N521" s="508"/>
      <c r="O521" s="508"/>
      <c r="P521" s="508"/>
      <c r="Q521" s="508"/>
      <c r="R521" s="508"/>
      <c r="S521" s="508"/>
      <c r="T521" s="508"/>
      <c r="U521" s="508"/>
      <c r="V521" s="508"/>
      <c r="W521" s="508"/>
      <c r="X521" s="508"/>
      <c r="Y521" s="508"/>
      <c r="Z521" s="508"/>
    </row>
    <row r="522">
      <c r="A522" s="508"/>
      <c r="B522" s="508"/>
      <c r="C522" s="508"/>
      <c r="D522" s="508"/>
      <c r="E522" s="508"/>
      <c r="F522" s="508"/>
      <c r="G522" s="508"/>
      <c r="H522" s="508"/>
      <c r="I522" s="508"/>
      <c r="J522" s="508"/>
      <c r="K522" s="508"/>
      <c r="L522" s="508"/>
      <c r="M522" s="508"/>
      <c r="N522" s="508"/>
      <c r="O522" s="508"/>
      <c r="P522" s="508"/>
      <c r="Q522" s="508"/>
      <c r="R522" s="508"/>
      <c r="S522" s="508"/>
      <c r="T522" s="508"/>
      <c r="U522" s="508"/>
      <c r="V522" s="508"/>
      <c r="W522" s="508"/>
      <c r="X522" s="508"/>
      <c r="Y522" s="508"/>
      <c r="Z522" s="508"/>
    </row>
    <row r="523">
      <c r="A523" s="508"/>
      <c r="B523" s="508"/>
      <c r="C523" s="508"/>
      <c r="D523" s="508"/>
      <c r="E523" s="508"/>
      <c r="F523" s="508"/>
      <c r="G523" s="508"/>
      <c r="H523" s="508"/>
      <c r="I523" s="508"/>
      <c r="J523" s="508"/>
      <c r="K523" s="508"/>
      <c r="L523" s="508"/>
      <c r="M523" s="508"/>
      <c r="N523" s="508"/>
      <c r="O523" s="508"/>
      <c r="P523" s="508"/>
      <c r="Q523" s="508"/>
      <c r="R523" s="508"/>
      <c r="S523" s="508"/>
      <c r="T523" s="508"/>
      <c r="U523" s="508"/>
      <c r="V523" s="508"/>
      <c r="W523" s="508"/>
      <c r="X523" s="508"/>
      <c r="Y523" s="508"/>
      <c r="Z523" s="508"/>
    </row>
    <row r="524">
      <c r="A524" s="508"/>
      <c r="B524" s="508"/>
      <c r="C524" s="508"/>
      <c r="D524" s="508"/>
      <c r="E524" s="508"/>
      <c r="F524" s="508"/>
      <c r="G524" s="508"/>
      <c r="H524" s="508"/>
      <c r="I524" s="508"/>
      <c r="J524" s="508"/>
      <c r="K524" s="508"/>
      <c r="L524" s="508"/>
      <c r="M524" s="508"/>
      <c r="N524" s="508"/>
      <c r="O524" s="508"/>
      <c r="P524" s="508"/>
      <c r="Q524" s="508"/>
      <c r="R524" s="508"/>
      <c r="S524" s="508"/>
      <c r="T524" s="508"/>
      <c r="U524" s="508"/>
      <c r="V524" s="508"/>
      <c r="W524" s="508"/>
      <c r="X524" s="508"/>
      <c r="Y524" s="508"/>
      <c r="Z524" s="508"/>
    </row>
    <row r="525">
      <c r="A525" s="508"/>
      <c r="B525" s="508"/>
      <c r="C525" s="508"/>
      <c r="D525" s="508"/>
      <c r="E525" s="508"/>
      <c r="F525" s="508"/>
      <c r="G525" s="508"/>
      <c r="H525" s="508"/>
      <c r="I525" s="508"/>
      <c r="J525" s="508"/>
      <c r="K525" s="508"/>
      <c r="L525" s="508"/>
      <c r="M525" s="508"/>
      <c r="N525" s="508"/>
      <c r="O525" s="508"/>
      <c r="P525" s="508"/>
      <c r="Q525" s="508"/>
      <c r="R525" s="508"/>
      <c r="S525" s="508"/>
      <c r="T525" s="508"/>
      <c r="U525" s="508"/>
      <c r="V525" s="508"/>
      <c r="W525" s="508"/>
      <c r="X525" s="508"/>
      <c r="Y525" s="508"/>
      <c r="Z525" s="508"/>
    </row>
    <row r="526">
      <c r="A526" s="508"/>
      <c r="B526" s="508"/>
      <c r="C526" s="508"/>
      <c r="D526" s="508"/>
      <c r="E526" s="508"/>
      <c r="F526" s="508"/>
      <c r="G526" s="508"/>
      <c r="H526" s="508"/>
      <c r="I526" s="508"/>
      <c r="J526" s="508"/>
      <c r="K526" s="508"/>
      <c r="L526" s="508"/>
      <c r="M526" s="508"/>
      <c r="N526" s="508"/>
      <c r="O526" s="508"/>
      <c r="P526" s="508"/>
      <c r="Q526" s="508"/>
      <c r="R526" s="508"/>
      <c r="S526" s="508"/>
      <c r="T526" s="508"/>
      <c r="U526" s="508"/>
      <c r="V526" s="508"/>
      <c r="W526" s="508"/>
      <c r="X526" s="508"/>
      <c r="Y526" s="508"/>
      <c r="Z526" s="508"/>
    </row>
    <row r="527">
      <c r="A527" s="508"/>
      <c r="B527" s="508"/>
      <c r="C527" s="508"/>
      <c r="D527" s="508"/>
      <c r="E527" s="508"/>
      <c r="F527" s="508"/>
      <c r="G527" s="508"/>
      <c r="H527" s="508"/>
      <c r="I527" s="508"/>
      <c r="J527" s="508"/>
      <c r="K527" s="508"/>
      <c r="L527" s="508"/>
      <c r="M527" s="508"/>
      <c r="N527" s="508"/>
      <c r="O527" s="508"/>
      <c r="P527" s="508"/>
      <c r="Q527" s="508"/>
      <c r="R527" s="508"/>
      <c r="S527" s="508"/>
      <c r="T527" s="508"/>
      <c r="U527" s="508"/>
      <c r="V527" s="508"/>
      <c r="W527" s="508"/>
      <c r="X527" s="508"/>
      <c r="Y527" s="508"/>
      <c r="Z527" s="508"/>
    </row>
    <row r="528">
      <c r="A528" s="508"/>
      <c r="B528" s="508"/>
      <c r="C528" s="508"/>
      <c r="D528" s="508"/>
      <c r="E528" s="508"/>
      <c r="F528" s="508"/>
      <c r="G528" s="508"/>
      <c r="H528" s="508"/>
      <c r="I528" s="508"/>
      <c r="J528" s="508"/>
      <c r="K528" s="508"/>
      <c r="L528" s="508"/>
      <c r="M528" s="508"/>
      <c r="N528" s="508"/>
      <c r="O528" s="508"/>
      <c r="P528" s="508"/>
      <c r="Q528" s="508"/>
      <c r="R528" s="508"/>
      <c r="S528" s="508"/>
      <c r="T528" s="508"/>
      <c r="U528" s="508"/>
      <c r="V528" s="508"/>
      <c r="W528" s="508"/>
      <c r="X528" s="508"/>
      <c r="Y528" s="508"/>
      <c r="Z528" s="508"/>
    </row>
    <row r="529">
      <c r="A529" s="508"/>
      <c r="B529" s="508"/>
      <c r="C529" s="508"/>
      <c r="D529" s="508"/>
      <c r="E529" s="508"/>
      <c r="F529" s="508"/>
      <c r="G529" s="508"/>
      <c r="H529" s="508"/>
      <c r="I529" s="508"/>
      <c r="J529" s="508"/>
      <c r="K529" s="508"/>
      <c r="L529" s="508"/>
      <c r="M529" s="508"/>
      <c r="N529" s="508"/>
      <c r="O529" s="508"/>
      <c r="P529" s="508"/>
      <c r="Q529" s="508"/>
      <c r="R529" s="508"/>
      <c r="S529" s="508"/>
      <c r="T529" s="508"/>
      <c r="U529" s="508"/>
      <c r="V529" s="508"/>
      <c r="W529" s="508"/>
      <c r="X529" s="508"/>
      <c r="Y529" s="508"/>
      <c r="Z529" s="508"/>
    </row>
    <row r="530">
      <c r="A530" s="508"/>
      <c r="B530" s="508"/>
      <c r="C530" s="508"/>
      <c r="D530" s="508"/>
      <c r="E530" s="508"/>
      <c r="F530" s="508"/>
      <c r="G530" s="508"/>
      <c r="H530" s="508"/>
      <c r="I530" s="508"/>
      <c r="J530" s="508"/>
      <c r="K530" s="508"/>
      <c r="L530" s="508"/>
      <c r="M530" s="508"/>
      <c r="N530" s="508"/>
      <c r="O530" s="508"/>
      <c r="P530" s="508"/>
      <c r="Q530" s="508"/>
      <c r="R530" s="508"/>
      <c r="S530" s="508"/>
      <c r="T530" s="508"/>
      <c r="U530" s="508"/>
      <c r="V530" s="508"/>
      <c r="W530" s="508"/>
      <c r="X530" s="508"/>
      <c r="Y530" s="508"/>
      <c r="Z530" s="508"/>
    </row>
    <row r="531">
      <c r="A531" s="508"/>
      <c r="B531" s="508"/>
      <c r="C531" s="508"/>
      <c r="D531" s="508"/>
      <c r="E531" s="508"/>
      <c r="F531" s="508"/>
      <c r="G531" s="508"/>
      <c r="H531" s="508"/>
      <c r="I531" s="508"/>
      <c r="J531" s="508"/>
      <c r="K531" s="508"/>
      <c r="L531" s="508"/>
      <c r="M531" s="508"/>
      <c r="N531" s="508"/>
      <c r="O531" s="508"/>
      <c r="P531" s="508"/>
      <c r="Q531" s="508"/>
      <c r="R531" s="508"/>
      <c r="S531" s="508"/>
      <c r="T531" s="508"/>
      <c r="U531" s="508"/>
      <c r="V531" s="508"/>
      <c r="W531" s="508"/>
      <c r="X531" s="508"/>
      <c r="Y531" s="508"/>
      <c r="Z531" s="508"/>
    </row>
    <row r="532">
      <c r="A532" s="508"/>
      <c r="B532" s="508"/>
      <c r="C532" s="508"/>
      <c r="D532" s="508"/>
      <c r="E532" s="508"/>
      <c r="F532" s="508"/>
      <c r="G532" s="508"/>
      <c r="H532" s="508"/>
      <c r="I532" s="508"/>
      <c r="J532" s="508"/>
      <c r="K532" s="508"/>
      <c r="L532" s="508"/>
      <c r="M532" s="508"/>
      <c r="N532" s="508"/>
      <c r="O532" s="508"/>
      <c r="P532" s="508"/>
      <c r="Q532" s="508"/>
      <c r="R532" s="508"/>
      <c r="S532" s="508"/>
      <c r="T532" s="508"/>
      <c r="U532" s="508"/>
      <c r="V532" s="508"/>
      <c r="W532" s="508"/>
      <c r="X532" s="508"/>
      <c r="Y532" s="508"/>
      <c r="Z532" s="508"/>
    </row>
    <row r="533">
      <c r="A533" s="508"/>
      <c r="B533" s="508"/>
      <c r="C533" s="508"/>
      <c r="D533" s="508"/>
      <c r="E533" s="508"/>
      <c r="F533" s="508"/>
      <c r="G533" s="508"/>
      <c r="H533" s="508"/>
      <c r="I533" s="508"/>
      <c r="J533" s="508"/>
      <c r="K533" s="508"/>
      <c r="L533" s="508"/>
      <c r="M533" s="508"/>
      <c r="N533" s="508"/>
      <c r="O533" s="508"/>
      <c r="P533" s="508"/>
      <c r="Q533" s="508"/>
      <c r="R533" s="508"/>
      <c r="S533" s="508"/>
      <c r="T533" s="508"/>
      <c r="U533" s="508"/>
      <c r="V533" s="508"/>
      <c r="W533" s="508"/>
      <c r="X533" s="508"/>
      <c r="Y533" s="508"/>
      <c r="Z533" s="508"/>
    </row>
    <row r="534">
      <c r="A534" s="508"/>
      <c r="B534" s="508"/>
      <c r="C534" s="508"/>
      <c r="D534" s="508"/>
      <c r="E534" s="508"/>
      <c r="F534" s="508"/>
      <c r="G534" s="508"/>
      <c r="H534" s="508"/>
      <c r="I534" s="508"/>
      <c r="J534" s="508"/>
      <c r="K534" s="508"/>
      <c r="L534" s="508"/>
      <c r="M534" s="508"/>
      <c r="N534" s="508"/>
      <c r="O534" s="508"/>
      <c r="P534" s="508"/>
      <c r="Q534" s="508"/>
      <c r="R534" s="508"/>
      <c r="S534" s="508"/>
      <c r="T534" s="508"/>
      <c r="U534" s="508"/>
      <c r="V534" s="508"/>
      <c r="W534" s="508"/>
      <c r="X534" s="508"/>
      <c r="Y534" s="508"/>
      <c r="Z534" s="508"/>
    </row>
    <row r="535">
      <c r="A535" s="508"/>
      <c r="B535" s="508"/>
      <c r="C535" s="508"/>
      <c r="D535" s="508"/>
      <c r="E535" s="508"/>
      <c r="F535" s="508"/>
      <c r="G535" s="508"/>
      <c r="H535" s="508"/>
      <c r="I535" s="508"/>
      <c r="J535" s="508"/>
      <c r="K535" s="508"/>
      <c r="L535" s="508"/>
      <c r="M535" s="508"/>
      <c r="N535" s="508"/>
      <c r="O535" s="508"/>
      <c r="P535" s="508"/>
      <c r="Q535" s="508"/>
      <c r="R535" s="508"/>
      <c r="S535" s="508"/>
      <c r="T535" s="508"/>
      <c r="U535" s="508"/>
      <c r="V535" s="508"/>
      <c r="W535" s="508"/>
      <c r="X535" s="508"/>
      <c r="Y535" s="508"/>
      <c r="Z535" s="508"/>
    </row>
    <row r="536">
      <c r="A536" s="508"/>
      <c r="B536" s="508"/>
      <c r="C536" s="508"/>
      <c r="D536" s="508"/>
      <c r="E536" s="508"/>
      <c r="F536" s="508"/>
      <c r="G536" s="508"/>
      <c r="H536" s="508"/>
      <c r="I536" s="508"/>
      <c r="J536" s="508"/>
      <c r="K536" s="508"/>
      <c r="L536" s="508"/>
      <c r="M536" s="508"/>
      <c r="N536" s="508"/>
      <c r="O536" s="508"/>
      <c r="P536" s="508"/>
      <c r="Q536" s="508"/>
      <c r="R536" s="508"/>
      <c r="S536" s="508"/>
      <c r="T536" s="508"/>
      <c r="U536" s="508"/>
      <c r="V536" s="508"/>
      <c r="W536" s="508"/>
      <c r="X536" s="508"/>
      <c r="Y536" s="508"/>
      <c r="Z536" s="508"/>
    </row>
    <row r="537">
      <c r="A537" s="508"/>
      <c r="B537" s="508"/>
      <c r="C537" s="508"/>
      <c r="D537" s="508"/>
      <c r="E537" s="508"/>
      <c r="F537" s="508"/>
      <c r="G537" s="508"/>
      <c r="H537" s="508"/>
      <c r="I537" s="508"/>
      <c r="J537" s="508"/>
      <c r="K537" s="508"/>
      <c r="L537" s="508"/>
      <c r="M537" s="508"/>
      <c r="N537" s="508"/>
      <c r="O537" s="508"/>
      <c r="P537" s="508"/>
      <c r="Q537" s="508"/>
      <c r="R537" s="508"/>
      <c r="S537" s="508"/>
      <c r="T537" s="508"/>
      <c r="U537" s="508"/>
      <c r="V537" s="508"/>
      <c r="W537" s="508"/>
      <c r="X537" s="508"/>
      <c r="Y537" s="508"/>
      <c r="Z537" s="508"/>
    </row>
    <row r="538">
      <c r="A538" s="508"/>
      <c r="B538" s="508"/>
      <c r="C538" s="508"/>
      <c r="D538" s="508"/>
      <c r="E538" s="508"/>
      <c r="F538" s="508"/>
      <c r="G538" s="508"/>
      <c r="H538" s="508"/>
      <c r="I538" s="508"/>
      <c r="J538" s="508"/>
      <c r="K538" s="508"/>
      <c r="L538" s="508"/>
      <c r="M538" s="508"/>
      <c r="N538" s="508"/>
      <c r="O538" s="508"/>
      <c r="P538" s="508"/>
      <c r="Q538" s="508"/>
      <c r="R538" s="508"/>
      <c r="S538" s="508"/>
      <c r="T538" s="508"/>
      <c r="U538" s="508"/>
      <c r="V538" s="508"/>
      <c r="W538" s="508"/>
      <c r="X538" s="508"/>
      <c r="Y538" s="508"/>
      <c r="Z538" s="508"/>
    </row>
    <row r="539">
      <c r="A539" s="508"/>
      <c r="B539" s="508"/>
      <c r="C539" s="508"/>
      <c r="D539" s="508"/>
      <c r="E539" s="508"/>
      <c r="F539" s="508"/>
      <c r="G539" s="508"/>
      <c r="H539" s="508"/>
      <c r="I539" s="508"/>
      <c r="J539" s="508"/>
      <c r="K539" s="508"/>
      <c r="L539" s="508"/>
      <c r="M539" s="508"/>
      <c r="N539" s="508"/>
      <c r="O539" s="508"/>
      <c r="P539" s="508"/>
      <c r="Q539" s="508"/>
      <c r="R539" s="508"/>
      <c r="S539" s="508"/>
      <c r="T539" s="508"/>
      <c r="U539" s="508"/>
      <c r="V539" s="508"/>
      <c r="W539" s="508"/>
      <c r="X539" s="508"/>
      <c r="Y539" s="508"/>
      <c r="Z539" s="508"/>
    </row>
    <row r="540">
      <c r="A540" s="508"/>
      <c r="B540" s="508"/>
      <c r="C540" s="508"/>
      <c r="D540" s="508"/>
      <c r="E540" s="508"/>
      <c r="F540" s="508"/>
      <c r="G540" s="508"/>
      <c r="H540" s="508"/>
      <c r="I540" s="508"/>
      <c r="J540" s="508"/>
      <c r="K540" s="508"/>
      <c r="L540" s="508"/>
      <c r="M540" s="508"/>
      <c r="N540" s="508"/>
      <c r="O540" s="508"/>
      <c r="P540" s="508"/>
      <c r="Q540" s="508"/>
      <c r="R540" s="508"/>
      <c r="S540" s="508"/>
      <c r="T540" s="508"/>
      <c r="U540" s="508"/>
      <c r="V540" s="508"/>
      <c r="W540" s="508"/>
      <c r="X540" s="508"/>
      <c r="Y540" s="508"/>
      <c r="Z540" s="508"/>
    </row>
    <row r="541">
      <c r="A541" s="508"/>
      <c r="B541" s="508"/>
      <c r="C541" s="508"/>
      <c r="D541" s="508"/>
      <c r="E541" s="508"/>
      <c r="F541" s="508"/>
      <c r="G541" s="508"/>
      <c r="H541" s="508"/>
      <c r="I541" s="508"/>
      <c r="J541" s="508"/>
      <c r="K541" s="508"/>
      <c r="L541" s="508"/>
      <c r="M541" s="508"/>
      <c r="N541" s="508"/>
      <c r="O541" s="508"/>
      <c r="P541" s="508"/>
      <c r="Q541" s="508"/>
      <c r="R541" s="508"/>
      <c r="S541" s="508"/>
      <c r="T541" s="508"/>
      <c r="U541" s="508"/>
      <c r="V541" s="508"/>
      <c r="W541" s="508"/>
      <c r="X541" s="508"/>
      <c r="Y541" s="508"/>
      <c r="Z541" s="508"/>
    </row>
    <row r="542">
      <c r="A542" s="508"/>
      <c r="B542" s="508"/>
      <c r="C542" s="508"/>
      <c r="D542" s="508"/>
      <c r="E542" s="508"/>
      <c r="F542" s="508"/>
      <c r="G542" s="508"/>
      <c r="H542" s="508"/>
      <c r="I542" s="508"/>
      <c r="J542" s="508"/>
      <c r="K542" s="508"/>
      <c r="L542" s="508"/>
      <c r="M542" s="508"/>
      <c r="N542" s="508"/>
      <c r="O542" s="508"/>
      <c r="P542" s="508"/>
      <c r="Q542" s="508"/>
      <c r="R542" s="508"/>
      <c r="S542" s="508"/>
      <c r="T542" s="508"/>
      <c r="U542" s="508"/>
      <c r="V542" s="508"/>
      <c r="W542" s="508"/>
      <c r="X542" s="508"/>
      <c r="Y542" s="508"/>
      <c r="Z542" s="508"/>
    </row>
    <row r="543">
      <c r="A543" s="508"/>
      <c r="B543" s="508"/>
      <c r="C543" s="508"/>
      <c r="D543" s="508"/>
      <c r="E543" s="508"/>
      <c r="F543" s="508"/>
      <c r="G543" s="508"/>
      <c r="H543" s="508"/>
      <c r="I543" s="508"/>
      <c r="J543" s="508"/>
      <c r="K543" s="508"/>
      <c r="L543" s="508"/>
      <c r="M543" s="508"/>
      <c r="N543" s="508"/>
      <c r="O543" s="508"/>
      <c r="P543" s="508"/>
      <c r="Q543" s="508"/>
      <c r="R543" s="508"/>
      <c r="S543" s="508"/>
      <c r="T543" s="508"/>
      <c r="U543" s="508"/>
      <c r="V543" s="508"/>
      <c r="W543" s="508"/>
      <c r="X543" s="508"/>
      <c r="Y543" s="508"/>
      <c r="Z543" s="508"/>
    </row>
    <row r="544">
      <c r="A544" s="508"/>
      <c r="B544" s="508"/>
      <c r="C544" s="508"/>
      <c r="D544" s="508"/>
      <c r="E544" s="508"/>
      <c r="F544" s="508"/>
      <c r="G544" s="508"/>
      <c r="H544" s="508"/>
      <c r="I544" s="508"/>
      <c r="J544" s="508"/>
      <c r="K544" s="508"/>
      <c r="L544" s="508"/>
      <c r="M544" s="508"/>
      <c r="N544" s="508"/>
      <c r="O544" s="508"/>
      <c r="P544" s="508"/>
      <c r="Q544" s="508"/>
      <c r="R544" s="508"/>
      <c r="S544" s="508"/>
      <c r="T544" s="508"/>
      <c r="U544" s="508"/>
      <c r="V544" s="508"/>
      <c r="W544" s="508"/>
      <c r="X544" s="508"/>
      <c r="Y544" s="508"/>
      <c r="Z544" s="508"/>
    </row>
    <row r="545">
      <c r="A545" s="508"/>
      <c r="B545" s="508"/>
      <c r="C545" s="508"/>
      <c r="D545" s="508"/>
      <c r="E545" s="508"/>
      <c r="F545" s="508"/>
      <c r="G545" s="508"/>
      <c r="H545" s="508"/>
      <c r="I545" s="508"/>
      <c r="J545" s="508"/>
      <c r="K545" s="508"/>
      <c r="L545" s="508"/>
      <c r="M545" s="508"/>
      <c r="N545" s="508"/>
      <c r="O545" s="508"/>
      <c r="P545" s="508"/>
      <c r="Q545" s="508"/>
      <c r="R545" s="508"/>
      <c r="S545" s="508"/>
      <c r="T545" s="508"/>
      <c r="U545" s="508"/>
      <c r="V545" s="508"/>
      <c r="W545" s="508"/>
      <c r="X545" s="508"/>
      <c r="Y545" s="508"/>
      <c r="Z545" s="508"/>
    </row>
    <row r="546">
      <c r="A546" s="508"/>
      <c r="B546" s="508"/>
      <c r="C546" s="508"/>
      <c r="D546" s="508"/>
      <c r="E546" s="508"/>
      <c r="F546" s="508"/>
      <c r="G546" s="508"/>
      <c r="H546" s="508"/>
      <c r="I546" s="508"/>
      <c r="J546" s="508"/>
      <c r="K546" s="508"/>
      <c r="L546" s="508"/>
      <c r="M546" s="508"/>
      <c r="N546" s="508"/>
      <c r="O546" s="508"/>
      <c r="P546" s="508"/>
      <c r="Q546" s="508"/>
      <c r="R546" s="508"/>
      <c r="S546" s="508"/>
      <c r="T546" s="508"/>
      <c r="U546" s="508"/>
      <c r="V546" s="508"/>
      <c r="W546" s="508"/>
      <c r="X546" s="508"/>
      <c r="Y546" s="508"/>
      <c r="Z546" s="508"/>
    </row>
    <row r="547">
      <c r="A547" s="508"/>
      <c r="B547" s="508"/>
      <c r="C547" s="508"/>
      <c r="D547" s="508"/>
      <c r="E547" s="508"/>
      <c r="F547" s="508"/>
      <c r="G547" s="508"/>
      <c r="H547" s="508"/>
      <c r="I547" s="508"/>
      <c r="J547" s="508"/>
      <c r="K547" s="508"/>
      <c r="L547" s="508"/>
      <c r="M547" s="508"/>
      <c r="N547" s="508"/>
      <c r="O547" s="508"/>
      <c r="P547" s="508"/>
      <c r="Q547" s="508"/>
      <c r="R547" s="508"/>
      <c r="S547" s="508"/>
      <c r="T547" s="508"/>
      <c r="U547" s="508"/>
      <c r="V547" s="508"/>
      <c r="W547" s="508"/>
      <c r="X547" s="508"/>
      <c r="Y547" s="508"/>
      <c r="Z547" s="508"/>
    </row>
    <row r="548">
      <c r="A548" s="508"/>
      <c r="B548" s="508"/>
      <c r="C548" s="508"/>
      <c r="D548" s="508"/>
      <c r="E548" s="508"/>
      <c r="F548" s="508"/>
      <c r="G548" s="508"/>
      <c r="H548" s="508"/>
      <c r="I548" s="508"/>
      <c r="J548" s="508"/>
      <c r="K548" s="508"/>
      <c r="L548" s="508"/>
      <c r="M548" s="508"/>
      <c r="N548" s="508"/>
      <c r="O548" s="508"/>
      <c r="P548" s="508"/>
      <c r="Q548" s="508"/>
      <c r="R548" s="508"/>
      <c r="S548" s="508"/>
      <c r="T548" s="508"/>
      <c r="U548" s="508"/>
      <c r="V548" s="508"/>
      <c r="W548" s="508"/>
      <c r="X548" s="508"/>
      <c r="Y548" s="508"/>
      <c r="Z548" s="508"/>
    </row>
    <row r="549">
      <c r="A549" s="508"/>
      <c r="B549" s="508"/>
      <c r="C549" s="508"/>
      <c r="D549" s="508"/>
      <c r="E549" s="508"/>
      <c r="F549" s="508"/>
      <c r="G549" s="508"/>
      <c r="H549" s="508"/>
      <c r="I549" s="508"/>
      <c r="J549" s="508"/>
      <c r="K549" s="508"/>
      <c r="L549" s="508"/>
      <c r="M549" s="508"/>
      <c r="N549" s="508"/>
      <c r="O549" s="508"/>
      <c r="P549" s="508"/>
      <c r="Q549" s="508"/>
      <c r="R549" s="508"/>
      <c r="S549" s="508"/>
      <c r="T549" s="508"/>
      <c r="U549" s="508"/>
      <c r="V549" s="508"/>
      <c r="W549" s="508"/>
      <c r="X549" s="508"/>
      <c r="Y549" s="508"/>
      <c r="Z549" s="508"/>
    </row>
    <row r="550">
      <c r="A550" s="508"/>
      <c r="B550" s="508"/>
      <c r="C550" s="508"/>
      <c r="D550" s="508"/>
      <c r="E550" s="508"/>
      <c r="F550" s="508"/>
      <c r="G550" s="508"/>
      <c r="H550" s="508"/>
      <c r="I550" s="508"/>
      <c r="J550" s="508"/>
      <c r="K550" s="508"/>
      <c r="L550" s="508"/>
      <c r="M550" s="508"/>
      <c r="N550" s="508"/>
      <c r="O550" s="508"/>
      <c r="P550" s="508"/>
      <c r="Q550" s="508"/>
      <c r="R550" s="508"/>
      <c r="S550" s="508"/>
      <c r="T550" s="508"/>
      <c r="U550" s="508"/>
      <c r="V550" s="508"/>
      <c r="W550" s="508"/>
      <c r="X550" s="508"/>
      <c r="Y550" s="508"/>
      <c r="Z550" s="508"/>
    </row>
    <row r="551">
      <c r="A551" s="508"/>
      <c r="B551" s="508"/>
      <c r="C551" s="508"/>
      <c r="D551" s="508"/>
      <c r="E551" s="508"/>
      <c r="F551" s="508"/>
      <c r="G551" s="508"/>
      <c r="H551" s="508"/>
      <c r="I551" s="508"/>
      <c r="J551" s="508"/>
      <c r="K551" s="508"/>
      <c r="L551" s="508"/>
      <c r="M551" s="508"/>
      <c r="N551" s="508"/>
      <c r="O551" s="508"/>
      <c r="P551" s="508"/>
      <c r="Q551" s="508"/>
      <c r="R551" s="508"/>
      <c r="S551" s="508"/>
      <c r="T551" s="508"/>
      <c r="U551" s="508"/>
      <c r="V551" s="508"/>
      <c r="W551" s="508"/>
      <c r="X551" s="508"/>
      <c r="Y551" s="508"/>
      <c r="Z551" s="508"/>
    </row>
    <row r="552">
      <c r="A552" s="508"/>
      <c r="B552" s="508"/>
      <c r="C552" s="508"/>
      <c r="D552" s="508"/>
      <c r="E552" s="508"/>
      <c r="F552" s="508"/>
      <c r="G552" s="508"/>
      <c r="H552" s="508"/>
      <c r="I552" s="508"/>
      <c r="J552" s="508"/>
      <c r="K552" s="508"/>
      <c r="L552" s="508"/>
      <c r="M552" s="508"/>
      <c r="N552" s="508"/>
      <c r="O552" s="508"/>
      <c r="P552" s="508"/>
      <c r="Q552" s="508"/>
      <c r="R552" s="508"/>
      <c r="S552" s="508"/>
      <c r="T552" s="508"/>
      <c r="U552" s="508"/>
      <c r="V552" s="508"/>
      <c r="W552" s="508"/>
      <c r="X552" s="508"/>
      <c r="Y552" s="508"/>
      <c r="Z552" s="508"/>
    </row>
    <row r="553">
      <c r="A553" s="508"/>
      <c r="B553" s="508"/>
      <c r="C553" s="508"/>
      <c r="D553" s="508"/>
      <c r="E553" s="508"/>
      <c r="F553" s="508"/>
      <c r="G553" s="508"/>
      <c r="H553" s="508"/>
      <c r="I553" s="508"/>
      <c r="J553" s="508"/>
      <c r="K553" s="508"/>
      <c r="L553" s="508"/>
      <c r="M553" s="508"/>
      <c r="N553" s="508"/>
      <c r="O553" s="508"/>
      <c r="P553" s="508"/>
      <c r="Q553" s="508"/>
      <c r="R553" s="508"/>
      <c r="S553" s="508"/>
      <c r="T553" s="508"/>
      <c r="U553" s="508"/>
      <c r="V553" s="508"/>
      <c r="W553" s="508"/>
      <c r="X553" s="508"/>
      <c r="Y553" s="508"/>
      <c r="Z553" s="508"/>
    </row>
    <row r="554">
      <c r="A554" s="508"/>
      <c r="B554" s="508"/>
      <c r="C554" s="508"/>
      <c r="D554" s="508"/>
      <c r="E554" s="508"/>
      <c r="F554" s="508"/>
      <c r="G554" s="508"/>
      <c r="H554" s="508"/>
      <c r="I554" s="508"/>
      <c r="J554" s="508"/>
      <c r="K554" s="508"/>
      <c r="L554" s="508"/>
      <c r="M554" s="508"/>
      <c r="N554" s="508"/>
      <c r="O554" s="508"/>
      <c r="P554" s="508"/>
      <c r="Q554" s="508"/>
      <c r="R554" s="508"/>
      <c r="S554" s="508"/>
      <c r="T554" s="508"/>
      <c r="U554" s="508"/>
      <c r="V554" s="508"/>
      <c r="W554" s="508"/>
      <c r="X554" s="508"/>
      <c r="Y554" s="508"/>
      <c r="Z554" s="508"/>
    </row>
    <row r="555">
      <c r="A555" s="508"/>
      <c r="B555" s="508"/>
      <c r="C555" s="508"/>
      <c r="D555" s="508"/>
      <c r="E555" s="508"/>
      <c r="F555" s="508"/>
      <c r="G555" s="508"/>
      <c r="H555" s="508"/>
      <c r="I555" s="508"/>
      <c r="J555" s="508"/>
      <c r="K555" s="508"/>
      <c r="L555" s="508"/>
      <c r="M555" s="508"/>
      <c r="N555" s="508"/>
      <c r="O555" s="508"/>
      <c r="P555" s="508"/>
      <c r="Q555" s="508"/>
      <c r="R555" s="508"/>
      <c r="S555" s="508"/>
      <c r="T555" s="508"/>
      <c r="U555" s="508"/>
      <c r="V555" s="508"/>
      <c r="W555" s="508"/>
      <c r="X555" s="508"/>
      <c r="Y555" s="508"/>
      <c r="Z555" s="508"/>
    </row>
    <row r="556">
      <c r="A556" s="508"/>
      <c r="B556" s="508"/>
      <c r="C556" s="508"/>
      <c r="D556" s="508"/>
      <c r="E556" s="508"/>
      <c r="F556" s="508"/>
      <c r="G556" s="508"/>
      <c r="H556" s="508"/>
      <c r="I556" s="508"/>
      <c r="J556" s="508"/>
      <c r="K556" s="508"/>
      <c r="L556" s="508"/>
      <c r="M556" s="508"/>
      <c r="N556" s="508"/>
      <c r="O556" s="508"/>
      <c r="P556" s="508"/>
      <c r="Q556" s="508"/>
      <c r="R556" s="508"/>
      <c r="S556" s="508"/>
      <c r="T556" s="508"/>
      <c r="U556" s="508"/>
      <c r="V556" s="508"/>
      <c r="W556" s="508"/>
      <c r="X556" s="508"/>
      <c r="Y556" s="508"/>
      <c r="Z556" s="508"/>
    </row>
    <row r="557">
      <c r="A557" s="508"/>
      <c r="B557" s="508"/>
      <c r="C557" s="508"/>
      <c r="D557" s="508"/>
      <c r="E557" s="508"/>
      <c r="F557" s="508"/>
      <c r="G557" s="508"/>
      <c r="H557" s="508"/>
      <c r="I557" s="508"/>
      <c r="J557" s="508"/>
      <c r="K557" s="508"/>
      <c r="L557" s="508"/>
      <c r="M557" s="508"/>
      <c r="N557" s="508"/>
      <c r="O557" s="508"/>
      <c r="P557" s="508"/>
      <c r="Q557" s="508"/>
      <c r="R557" s="508"/>
      <c r="S557" s="508"/>
      <c r="T557" s="508"/>
      <c r="U557" s="508"/>
      <c r="V557" s="508"/>
      <c r="W557" s="508"/>
      <c r="X557" s="508"/>
      <c r="Y557" s="508"/>
      <c r="Z557" s="508"/>
    </row>
    <row r="558">
      <c r="A558" s="508"/>
      <c r="B558" s="508"/>
      <c r="C558" s="508"/>
      <c r="D558" s="508"/>
      <c r="E558" s="508"/>
      <c r="F558" s="508"/>
      <c r="G558" s="508"/>
      <c r="H558" s="508"/>
      <c r="I558" s="508"/>
      <c r="J558" s="508"/>
      <c r="K558" s="508"/>
      <c r="L558" s="508"/>
      <c r="M558" s="508"/>
      <c r="N558" s="508"/>
      <c r="O558" s="508"/>
      <c r="P558" s="508"/>
      <c r="Q558" s="508"/>
      <c r="R558" s="508"/>
      <c r="S558" s="508"/>
      <c r="T558" s="508"/>
      <c r="U558" s="508"/>
      <c r="V558" s="508"/>
      <c r="W558" s="508"/>
      <c r="X558" s="508"/>
      <c r="Y558" s="508"/>
      <c r="Z558" s="508"/>
    </row>
    <row r="559">
      <c r="A559" s="508"/>
      <c r="B559" s="508"/>
      <c r="C559" s="508"/>
      <c r="D559" s="508"/>
      <c r="E559" s="508"/>
      <c r="F559" s="508"/>
      <c r="G559" s="508"/>
      <c r="H559" s="508"/>
      <c r="I559" s="508"/>
      <c r="J559" s="508"/>
      <c r="K559" s="508"/>
      <c r="L559" s="508"/>
      <c r="M559" s="508"/>
      <c r="N559" s="508"/>
      <c r="O559" s="508"/>
      <c r="P559" s="508"/>
      <c r="Q559" s="508"/>
      <c r="R559" s="508"/>
      <c r="S559" s="508"/>
      <c r="T559" s="508"/>
      <c r="U559" s="508"/>
      <c r="V559" s="508"/>
      <c r="W559" s="508"/>
      <c r="X559" s="508"/>
      <c r="Y559" s="508"/>
      <c r="Z559" s="508"/>
    </row>
    <row r="560">
      <c r="A560" s="508"/>
      <c r="B560" s="508"/>
      <c r="C560" s="508"/>
      <c r="D560" s="508"/>
      <c r="E560" s="508"/>
      <c r="F560" s="508"/>
      <c r="G560" s="508"/>
      <c r="H560" s="508"/>
      <c r="I560" s="508"/>
      <c r="J560" s="508"/>
      <c r="K560" s="508"/>
      <c r="L560" s="508"/>
      <c r="M560" s="508"/>
      <c r="N560" s="508"/>
      <c r="O560" s="508"/>
      <c r="P560" s="508"/>
      <c r="Q560" s="508"/>
      <c r="R560" s="508"/>
      <c r="S560" s="508"/>
      <c r="T560" s="508"/>
      <c r="U560" s="508"/>
      <c r="V560" s="508"/>
      <c r="W560" s="508"/>
      <c r="X560" s="508"/>
      <c r="Y560" s="508"/>
      <c r="Z560" s="508"/>
    </row>
    <row r="561">
      <c r="A561" s="508"/>
      <c r="B561" s="508"/>
      <c r="C561" s="508"/>
      <c r="D561" s="508"/>
      <c r="E561" s="508"/>
      <c r="F561" s="508"/>
      <c r="G561" s="508"/>
      <c r="H561" s="508"/>
      <c r="I561" s="508"/>
      <c r="J561" s="508"/>
      <c r="K561" s="508"/>
      <c r="L561" s="508"/>
      <c r="M561" s="508"/>
      <c r="N561" s="508"/>
      <c r="O561" s="508"/>
      <c r="P561" s="508"/>
      <c r="Q561" s="508"/>
      <c r="R561" s="508"/>
      <c r="S561" s="508"/>
      <c r="T561" s="508"/>
      <c r="U561" s="508"/>
      <c r="V561" s="508"/>
      <c r="W561" s="508"/>
      <c r="X561" s="508"/>
      <c r="Y561" s="508"/>
      <c r="Z561" s="508"/>
    </row>
    <row r="562">
      <c r="A562" s="508"/>
      <c r="B562" s="508"/>
      <c r="C562" s="508"/>
      <c r="D562" s="508"/>
      <c r="E562" s="508"/>
      <c r="F562" s="508"/>
      <c r="G562" s="508"/>
      <c r="H562" s="508"/>
      <c r="I562" s="508"/>
      <c r="J562" s="508"/>
      <c r="K562" s="508"/>
      <c r="L562" s="508"/>
      <c r="M562" s="508"/>
      <c r="N562" s="508"/>
      <c r="O562" s="508"/>
      <c r="P562" s="508"/>
      <c r="Q562" s="508"/>
      <c r="R562" s="508"/>
      <c r="S562" s="508"/>
      <c r="T562" s="508"/>
      <c r="U562" s="508"/>
      <c r="V562" s="508"/>
      <c r="W562" s="508"/>
      <c r="X562" s="508"/>
      <c r="Y562" s="508"/>
      <c r="Z562" s="508"/>
    </row>
    <row r="563">
      <c r="A563" s="508"/>
      <c r="B563" s="508"/>
      <c r="C563" s="508"/>
      <c r="D563" s="508"/>
      <c r="E563" s="508"/>
      <c r="F563" s="508"/>
      <c r="G563" s="508"/>
      <c r="H563" s="508"/>
      <c r="I563" s="508"/>
      <c r="J563" s="508"/>
      <c r="K563" s="508"/>
      <c r="L563" s="508"/>
      <c r="M563" s="508"/>
      <c r="N563" s="508"/>
      <c r="O563" s="508"/>
      <c r="P563" s="508"/>
      <c r="Q563" s="508"/>
      <c r="R563" s="508"/>
      <c r="S563" s="508"/>
      <c r="T563" s="508"/>
      <c r="U563" s="508"/>
      <c r="V563" s="508"/>
      <c r="W563" s="508"/>
      <c r="X563" s="508"/>
      <c r="Y563" s="508"/>
      <c r="Z563" s="508"/>
    </row>
    <row r="564">
      <c r="A564" s="508"/>
      <c r="B564" s="508"/>
      <c r="C564" s="508"/>
      <c r="D564" s="508"/>
      <c r="E564" s="508"/>
      <c r="F564" s="508"/>
      <c r="G564" s="508"/>
      <c r="H564" s="508"/>
      <c r="I564" s="508"/>
      <c r="J564" s="508"/>
      <c r="K564" s="508"/>
      <c r="L564" s="508"/>
      <c r="M564" s="508"/>
      <c r="N564" s="508"/>
      <c r="O564" s="508"/>
      <c r="P564" s="508"/>
      <c r="Q564" s="508"/>
      <c r="R564" s="508"/>
      <c r="S564" s="508"/>
      <c r="T564" s="508"/>
      <c r="U564" s="508"/>
      <c r="V564" s="508"/>
      <c r="W564" s="508"/>
      <c r="X564" s="508"/>
      <c r="Y564" s="508"/>
      <c r="Z564" s="508"/>
    </row>
    <row r="565">
      <c r="A565" s="508"/>
      <c r="B565" s="508"/>
      <c r="C565" s="508"/>
      <c r="D565" s="508"/>
      <c r="E565" s="508"/>
      <c r="F565" s="508"/>
      <c r="G565" s="508"/>
      <c r="H565" s="508"/>
      <c r="I565" s="508"/>
      <c r="J565" s="508"/>
      <c r="K565" s="508"/>
      <c r="L565" s="508"/>
      <c r="M565" s="508"/>
      <c r="N565" s="508"/>
      <c r="O565" s="508"/>
      <c r="P565" s="508"/>
      <c r="Q565" s="508"/>
      <c r="R565" s="508"/>
      <c r="S565" s="508"/>
      <c r="T565" s="508"/>
      <c r="U565" s="508"/>
      <c r="V565" s="508"/>
      <c r="W565" s="508"/>
      <c r="X565" s="508"/>
      <c r="Y565" s="508"/>
      <c r="Z565" s="508"/>
    </row>
    <row r="566">
      <c r="A566" s="508"/>
      <c r="B566" s="508"/>
      <c r="C566" s="508"/>
      <c r="D566" s="508"/>
      <c r="E566" s="508"/>
      <c r="F566" s="508"/>
      <c r="G566" s="508"/>
      <c r="H566" s="508"/>
      <c r="I566" s="508"/>
      <c r="J566" s="508"/>
      <c r="K566" s="508"/>
      <c r="L566" s="508"/>
      <c r="M566" s="508"/>
      <c r="N566" s="508"/>
      <c r="O566" s="508"/>
      <c r="P566" s="508"/>
      <c r="Q566" s="508"/>
      <c r="R566" s="508"/>
      <c r="S566" s="508"/>
      <c r="T566" s="508"/>
      <c r="U566" s="508"/>
      <c r="V566" s="508"/>
      <c r="W566" s="508"/>
      <c r="X566" s="508"/>
      <c r="Y566" s="508"/>
      <c r="Z566" s="508"/>
    </row>
    <row r="567">
      <c r="A567" s="508"/>
      <c r="B567" s="508"/>
      <c r="C567" s="508"/>
      <c r="D567" s="508"/>
      <c r="E567" s="508"/>
      <c r="F567" s="508"/>
      <c r="G567" s="508"/>
      <c r="H567" s="508"/>
      <c r="I567" s="508"/>
      <c r="J567" s="508"/>
      <c r="K567" s="508"/>
      <c r="L567" s="508"/>
      <c r="M567" s="508"/>
      <c r="N567" s="508"/>
      <c r="O567" s="508"/>
      <c r="P567" s="508"/>
      <c r="Q567" s="508"/>
      <c r="R567" s="508"/>
      <c r="S567" s="508"/>
      <c r="T567" s="508"/>
      <c r="U567" s="508"/>
      <c r="V567" s="508"/>
      <c r="W567" s="508"/>
      <c r="X567" s="508"/>
      <c r="Y567" s="508"/>
      <c r="Z567" s="508"/>
    </row>
    <row r="568">
      <c r="A568" s="508"/>
      <c r="B568" s="508"/>
      <c r="C568" s="508"/>
      <c r="D568" s="508"/>
      <c r="E568" s="508"/>
      <c r="F568" s="508"/>
      <c r="G568" s="508"/>
      <c r="H568" s="508"/>
      <c r="I568" s="508"/>
      <c r="J568" s="508"/>
      <c r="K568" s="508"/>
      <c r="L568" s="508"/>
      <c r="M568" s="508"/>
      <c r="N568" s="508"/>
      <c r="O568" s="508"/>
      <c r="P568" s="508"/>
      <c r="Q568" s="508"/>
      <c r="R568" s="508"/>
      <c r="S568" s="508"/>
      <c r="T568" s="508"/>
      <c r="U568" s="508"/>
      <c r="V568" s="508"/>
      <c r="W568" s="508"/>
      <c r="X568" s="508"/>
      <c r="Y568" s="508"/>
      <c r="Z568" s="508"/>
    </row>
    <row r="569">
      <c r="A569" s="508"/>
      <c r="B569" s="508"/>
      <c r="C569" s="508"/>
      <c r="D569" s="508"/>
      <c r="E569" s="508"/>
      <c r="F569" s="508"/>
      <c r="G569" s="508"/>
      <c r="H569" s="508"/>
      <c r="I569" s="508"/>
      <c r="J569" s="508"/>
      <c r="K569" s="508"/>
      <c r="L569" s="508"/>
      <c r="M569" s="508"/>
      <c r="N569" s="508"/>
      <c r="O569" s="508"/>
      <c r="P569" s="508"/>
      <c r="Q569" s="508"/>
      <c r="R569" s="508"/>
      <c r="S569" s="508"/>
      <c r="T569" s="508"/>
      <c r="U569" s="508"/>
      <c r="V569" s="508"/>
      <c r="W569" s="508"/>
      <c r="X569" s="508"/>
      <c r="Y569" s="508"/>
      <c r="Z569" s="508"/>
    </row>
    <row r="570">
      <c r="A570" s="508"/>
      <c r="B570" s="508"/>
      <c r="C570" s="508"/>
      <c r="D570" s="508"/>
      <c r="E570" s="508"/>
      <c r="F570" s="508"/>
      <c r="G570" s="508"/>
      <c r="H570" s="508"/>
      <c r="I570" s="508"/>
      <c r="J570" s="508"/>
      <c r="K570" s="508"/>
      <c r="L570" s="508"/>
      <c r="M570" s="508"/>
      <c r="N570" s="508"/>
      <c r="O570" s="508"/>
      <c r="P570" s="508"/>
      <c r="Q570" s="508"/>
      <c r="R570" s="508"/>
      <c r="S570" s="508"/>
      <c r="T570" s="508"/>
      <c r="U570" s="508"/>
      <c r="V570" s="508"/>
      <c r="W570" s="508"/>
      <c r="X570" s="508"/>
      <c r="Y570" s="508"/>
      <c r="Z570" s="508"/>
    </row>
    <row r="571">
      <c r="A571" s="508"/>
      <c r="B571" s="508"/>
      <c r="C571" s="508"/>
      <c r="D571" s="508"/>
      <c r="E571" s="508"/>
      <c r="F571" s="508"/>
      <c r="G571" s="508"/>
      <c r="H571" s="508"/>
      <c r="I571" s="508"/>
      <c r="J571" s="508"/>
      <c r="K571" s="508"/>
      <c r="L571" s="508"/>
      <c r="M571" s="508"/>
      <c r="N571" s="508"/>
      <c r="O571" s="508"/>
      <c r="P571" s="508"/>
      <c r="Q571" s="508"/>
      <c r="R571" s="508"/>
      <c r="S571" s="508"/>
      <c r="T571" s="508"/>
      <c r="U571" s="508"/>
      <c r="V571" s="508"/>
      <c r="W571" s="508"/>
      <c r="X571" s="508"/>
      <c r="Y571" s="508"/>
      <c r="Z571" s="508"/>
    </row>
    <row r="572">
      <c r="A572" s="508"/>
      <c r="B572" s="508"/>
      <c r="C572" s="508"/>
      <c r="D572" s="508"/>
      <c r="E572" s="508"/>
      <c r="F572" s="508"/>
      <c r="G572" s="508"/>
      <c r="H572" s="508"/>
      <c r="I572" s="508"/>
      <c r="J572" s="508"/>
      <c r="K572" s="508"/>
      <c r="L572" s="508"/>
      <c r="M572" s="508"/>
      <c r="N572" s="508"/>
      <c r="O572" s="508"/>
      <c r="P572" s="508"/>
      <c r="Q572" s="508"/>
      <c r="R572" s="508"/>
      <c r="S572" s="508"/>
      <c r="T572" s="508"/>
      <c r="U572" s="508"/>
      <c r="V572" s="508"/>
      <c r="W572" s="508"/>
      <c r="X572" s="508"/>
      <c r="Y572" s="508"/>
      <c r="Z572" s="508"/>
    </row>
    <row r="573">
      <c r="A573" s="508"/>
      <c r="B573" s="508"/>
      <c r="C573" s="508"/>
      <c r="D573" s="508"/>
      <c r="E573" s="508"/>
      <c r="F573" s="508"/>
      <c r="G573" s="508"/>
      <c r="H573" s="508"/>
      <c r="I573" s="508"/>
      <c r="J573" s="508"/>
      <c r="K573" s="508"/>
      <c r="L573" s="508"/>
      <c r="M573" s="508"/>
      <c r="N573" s="508"/>
      <c r="O573" s="508"/>
      <c r="P573" s="508"/>
      <c r="Q573" s="508"/>
      <c r="R573" s="508"/>
      <c r="S573" s="508"/>
      <c r="T573" s="508"/>
      <c r="U573" s="508"/>
      <c r="V573" s="508"/>
      <c r="W573" s="508"/>
      <c r="X573" s="508"/>
      <c r="Y573" s="508"/>
      <c r="Z573" s="508"/>
    </row>
    <row r="574">
      <c r="A574" s="508"/>
      <c r="B574" s="508"/>
      <c r="C574" s="508"/>
      <c r="D574" s="508"/>
      <c r="E574" s="508"/>
      <c r="F574" s="508"/>
      <c r="G574" s="508"/>
      <c r="H574" s="508"/>
      <c r="I574" s="508"/>
      <c r="J574" s="508"/>
      <c r="K574" s="508"/>
      <c r="L574" s="508"/>
      <c r="M574" s="508"/>
      <c r="N574" s="508"/>
      <c r="O574" s="508"/>
      <c r="P574" s="508"/>
      <c r="Q574" s="508"/>
      <c r="R574" s="508"/>
      <c r="S574" s="508"/>
      <c r="T574" s="508"/>
      <c r="U574" s="508"/>
      <c r="V574" s="508"/>
      <c r="W574" s="508"/>
      <c r="X574" s="508"/>
      <c r="Y574" s="508"/>
      <c r="Z574" s="508"/>
    </row>
    <row r="575">
      <c r="A575" s="508"/>
      <c r="B575" s="508"/>
      <c r="C575" s="508"/>
      <c r="D575" s="508"/>
      <c r="E575" s="508"/>
      <c r="F575" s="508"/>
      <c r="G575" s="508"/>
      <c r="H575" s="508"/>
      <c r="I575" s="508"/>
      <c r="J575" s="508"/>
      <c r="K575" s="508"/>
      <c r="L575" s="508"/>
      <c r="M575" s="508"/>
      <c r="N575" s="508"/>
      <c r="O575" s="508"/>
      <c r="P575" s="508"/>
      <c r="Q575" s="508"/>
      <c r="R575" s="508"/>
      <c r="S575" s="508"/>
      <c r="T575" s="508"/>
      <c r="U575" s="508"/>
      <c r="V575" s="508"/>
      <c r="W575" s="508"/>
      <c r="X575" s="508"/>
      <c r="Y575" s="508"/>
      <c r="Z575" s="508"/>
    </row>
    <row r="576">
      <c r="A576" s="508"/>
      <c r="B576" s="508"/>
      <c r="C576" s="508"/>
      <c r="D576" s="508"/>
      <c r="E576" s="508"/>
      <c r="F576" s="508"/>
      <c r="G576" s="508"/>
      <c r="H576" s="508"/>
      <c r="I576" s="508"/>
      <c r="J576" s="508"/>
      <c r="K576" s="508"/>
      <c r="L576" s="508"/>
      <c r="M576" s="508"/>
      <c r="N576" s="508"/>
      <c r="O576" s="508"/>
      <c r="P576" s="508"/>
      <c r="Q576" s="508"/>
      <c r="R576" s="508"/>
      <c r="S576" s="508"/>
      <c r="T576" s="508"/>
      <c r="U576" s="508"/>
      <c r="V576" s="508"/>
      <c r="W576" s="508"/>
      <c r="X576" s="508"/>
      <c r="Y576" s="508"/>
      <c r="Z576" s="508"/>
    </row>
    <row r="577">
      <c r="A577" s="508"/>
      <c r="B577" s="508"/>
      <c r="C577" s="508"/>
      <c r="D577" s="508"/>
      <c r="E577" s="508"/>
      <c r="F577" s="508"/>
      <c r="G577" s="508"/>
      <c r="H577" s="508"/>
      <c r="I577" s="508"/>
      <c r="J577" s="508"/>
      <c r="K577" s="508"/>
      <c r="L577" s="508"/>
      <c r="M577" s="508"/>
      <c r="N577" s="508"/>
      <c r="O577" s="508"/>
      <c r="P577" s="508"/>
      <c r="Q577" s="508"/>
      <c r="R577" s="508"/>
      <c r="S577" s="508"/>
      <c r="T577" s="508"/>
      <c r="U577" s="508"/>
      <c r="V577" s="508"/>
      <c r="W577" s="508"/>
      <c r="X577" s="508"/>
      <c r="Y577" s="508"/>
      <c r="Z577" s="508"/>
    </row>
    <row r="578">
      <c r="A578" s="508"/>
      <c r="B578" s="508"/>
      <c r="C578" s="508"/>
      <c r="D578" s="508"/>
      <c r="E578" s="508"/>
      <c r="F578" s="508"/>
      <c r="G578" s="508"/>
      <c r="H578" s="508"/>
      <c r="I578" s="508"/>
      <c r="J578" s="508"/>
      <c r="K578" s="508"/>
      <c r="L578" s="508"/>
      <c r="M578" s="508"/>
      <c r="N578" s="508"/>
      <c r="O578" s="508"/>
      <c r="P578" s="508"/>
      <c r="Q578" s="508"/>
      <c r="R578" s="508"/>
      <c r="S578" s="508"/>
      <c r="T578" s="508"/>
      <c r="U578" s="508"/>
      <c r="V578" s="508"/>
      <c r="W578" s="508"/>
      <c r="X578" s="508"/>
      <c r="Y578" s="508"/>
      <c r="Z578" s="508"/>
    </row>
    <row r="579">
      <c r="A579" s="508"/>
      <c r="B579" s="508"/>
      <c r="C579" s="508"/>
      <c r="D579" s="508"/>
      <c r="E579" s="508"/>
      <c r="F579" s="508"/>
      <c r="G579" s="508"/>
      <c r="H579" s="508"/>
      <c r="I579" s="508"/>
      <c r="J579" s="508"/>
      <c r="K579" s="508"/>
      <c r="L579" s="508"/>
      <c r="M579" s="508"/>
      <c r="N579" s="508"/>
      <c r="O579" s="508"/>
      <c r="P579" s="508"/>
      <c r="Q579" s="508"/>
      <c r="R579" s="508"/>
      <c r="S579" s="508"/>
      <c r="T579" s="508"/>
      <c r="U579" s="508"/>
      <c r="V579" s="508"/>
      <c r="W579" s="508"/>
      <c r="X579" s="508"/>
      <c r="Y579" s="508"/>
      <c r="Z579" s="508"/>
    </row>
    <row r="580">
      <c r="A580" s="508"/>
      <c r="B580" s="508"/>
      <c r="C580" s="508"/>
      <c r="D580" s="508"/>
      <c r="E580" s="508"/>
      <c r="F580" s="508"/>
      <c r="G580" s="508"/>
      <c r="H580" s="508"/>
      <c r="I580" s="508"/>
      <c r="J580" s="508"/>
      <c r="K580" s="508"/>
      <c r="L580" s="508"/>
      <c r="M580" s="508"/>
      <c r="N580" s="508"/>
      <c r="O580" s="508"/>
      <c r="P580" s="508"/>
      <c r="Q580" s="508"/>
      <c r="R580" s="508"/>
      <c r="S580" s="508"/>
      <c r="T580" s="508"/>
      <c r="U580" s="508"/>
      <c r="V580" s="508"/>
      <c r="W580" s="508"/>
      <c r="X580" s="508"/>
      <c r="Y580" s="508"/>
      <c r="Z580" s="508"/>
    </row>
    <row r="581">
      <c r="A581" s="508"/>
      <c r="B581" s="508"/>
      <c r="C581" s="508"/>
      <c r="D581" s="508"/>
      <c r="E581" s="508"/>
      <c r="F581" s="508"/>
      <c r="G581" s="508"/>
      <c r="H581" s="508"/>
      <c r="I581" s="508"/>
      <c r="J581" s="508"/>
      <c r="K581" s="508"/>
      <c r="L581" s="508"/>
      <c r="M581" s="508"/>
      <c r="N581" s="508"/>
      <c r="O581" s="508"/>
      <c r="P581" s="508"/>
      <c r="Q581" s="508"/>
      <c r="R581" s="508"/>
      <c r="S581" s="508"/>
      <c r="T581" s="508"/>
      <c r="U581" s="508"/>
      <c r="V581" s="508"/>
      <c r="W581" s="508"/>
      <c r="X581" s="508"/>
      <c r="Y581" s="508"/>
      <c r="Z581" s="508"/>
    </row>
    <row r="582">
      <c r="A582" s="508"/>
      <c r="B582" s="508"/>
      <c r="C582" s="508"/>
      <c r="D582" s="508"/>
      <c r="E582" s="508"/>
      <c r="F582" s="508"/>
      <c r="G582" s="508"/>
      <c r="H582" s="508"/>
      <c r="I582" s="508"/>
      <c r="J582" s="508"/>
      <c r="K582" s="508"/>
      <c r="L582" s="508"/>
      <c r="M582" s="508"/>
      <c r="N582" s="508"/>
      <c r="O582" s="508"/>
      <c r="P582" s="508"/>
      <c r="Q582" s="508"/>
      <c r="R582" s="508"/>
      <c r="S582" s="508"/>
      <c r="T582" s="508"/>
      <c r="U582" s="508"/>
      <c r="V582" s="508"/>
      <c r="W582" s="508"/>
      <c r="X582" s="508"/>
      <c r="Y582" s="508"/>
      <c r="Z582" s="508"/>
    </row>
    <row r="583">
      <c r="A583" s="508"/>
      <c r="B583" s="508"/>
      <c r="C583" s="508"/>
      <c r="D583" s="508"/>
      <c r="E583" s="508"/>
      <c r="F583" s="508"/>
      <c r="G583" s="508"/>
      <c r="H583" s="508"/>
      <c r="I583" s="508"/>
      <c r="J583" s="508"/>
      <c r="K583" s="508"/>
      <c r="L583" s="508"/>
      <c r="M583" s="508"/>
      <c r="N583" s="508"/>
      <c r="O583" s="508"/>
      <c r="P583" s="508"/>
      <c r="Q583" s="508"/>
      <c r="R583" s="508"/>
      <c r="S583" s="508"/>
      <c r="T583" s="508"/>
      <c r="U583" s="508"/>
      <c r="V583" s="508"/>
      <c r="W583" s="508"/>
      <c r="X583" s="508"/>
      <c r="Y583" s="508"/>
      <c r="Z583" s="508"/>
    </row>
    <row r="584">
      <c r="A584" s="508"/>
      <c r="B584" s="508"/>
      <c r="C584" s="508"/>
      <c r="D584" s="508"/>
      <c r="E584" s="508"/>
      <c r="F584" s="508"/>
      <c r="G584" s="508"/>
      <c r="H584" s="508"/>
      <c r="I584" s="508"/>
      <c r="J584" s="508"/>
      <c r="K584" s="508"/>
      <c r="L584" s="508"/>
      <c r="M584" s="508"/>
      <c r="N584" s="508"/>
      <c r="O584" s="508"/>
      <c r="P584" s="508"/>
      <c r="Q584" s="508"/>
      <c r="R584" s="508"/>
      <c r="S584" s="508"/>
      <c r="T584" s="508"/>
      <c r="U584" s="508"/>
      <c r="V584" s="508"/>
      <c r="W584" s="508"/>
      <c r="X584" s="508"/>
      <c r="Y584" s="508"/>
      <c r="Z584" s="508"/>
    </row>
    <row r="585">
      <c r="A585" s="508"/>
      <c r="B585" s="508"/>
      <c r="C585" s="508"/>
      <c r="D585" s="508"/>
      <c r="E585" s="508"/>
      <c r="F585" s="508"/>
      <c r="G585" s="508"/>
      <c r="H585" s="508"/>
      <c r="I585" s="508"/>
      <c r="J585" s="508"/>
      <c r="K585" s="508"/>
      <c r="L585" s="508"/>
      <c r="M585" s="508"/>
      <c r="N585" s="508"/>
      <c r="O585" s="508"/>
      <c r="P585" s="508"/>
      <c r="Q585" s="508"/>
      <c r="R585" s="508"/>
      <c r="S585" s="508"/>
      <c r="T585" s="508"/>
      <c r="U585" s="508"/>
      <c r="V585" s="508"/>
      <c r="W585" s="508"/>
      <c r="X585" s="508"/>
      <c r="Y585" s="508"/>
      <c r="Z585" s="508"/>
    </row>
    <row r="586">
      <c r="A586" s="508"/>
      <c r="B586" s="508"/>
      <c r="C586" s="508"/>
      <c r="D586" s="508"/>
      <c r="E586" s="508"/>
      <c r="F586" s="508"/>
      <c r="G586" s="508"/>
      <c r="H586" s="508"/>
      <c r="I586" s="508"/>
      <c r="J586" s="508"/>
      <c r="K586" s="508"/>
      <c r="L586" s="508"/>
      <c r="M586" s="508"/>
      <c r="N586" s="508"/>
      <c r="O586" s="508"/>
      <c r="P586" s="508"/>
      <c r="Q586" s="508"/>
      <c r="R586" s="508"/>
      <c r="S586" s="508"/>
      <c r="T586" s="508"/>
      <c r="U586" s="508"/>
      <c r="V586" s="508"/>
      <c r="W586" s="508"/>
      <c r="X586" s="508"/>
      <c r="Y586" s="508"/>
      <c r="Z586" s="508"/>
    </row>
    <row r="587">
      <c r="A587" s="508"/>
      <c r="B587" s="508"/>
      <c r="C587" s="508"/>
      <c r="D587" s="508"/>
      <c r="E587" s="508"/>
      <c r="F587" s="508"/>
      <c r="G587" s="508"/>
      <c r="H587" s="508"/>
      <c r="I587" s="508"/>
      <c r="J587" s="508"/>
      <c r="K587" s="508"/>
      <c r="L587" s="508"/>
      <c r="M587" s="508"/>
      <c r="N587" s="508"/>
      <c r="O587" s="508"/>
      <c r="P587" s="508"/>
      <c r="Q587" s="508"/>
      <c r="R587" s="508"/>
      <c r="S587" s="508"/>
      <c r="T587" s="508"/>
      <c r="U587" s="508"/>
      <c r="V587" s="508"/>
      <c r="W587" s="508"/>
      <c r="X587" s="508"/>
      <c r="Y587" s="508"/>
      <c r="Z587" s="508"/>
    </row>
    <row r="588">
      <c r="A588" s="508"/>
      <c r="B588" s="508"/>
      <c r="C588" s="508"/>
      <c r="D588" s="508"/>
      <c r="E588" s="508"/>
      <c r="F588" s="508"/>
      <c r="G588" s="508"/>
      <c r="H588" s="508"/>
      <c r="I588" s="508"/>
      <c r="J588" s="508"/>
      <c r="K588" s="508"/>
      <c r="L588" s="508"/>
      <c r="M588" s="508"/>
      <c r="N588" s="508"/>
      <c r="O588" s="508"/>
      <c r="P588" s="508"/>
      <c r="Q588" s="508"/>
      <c r="R588" s="508"/>
      <c r="S588" s="508"/>
      <c r="T588" s="508"/>
      <c r="U588" s="508"/>
      <c r="V588" s="508"/>
      <c r="W588" s="508"/>
      <c r="X588" s="508"/>
      <c r="Y588" s="508"/>
      <c r="Z588" s="508"/>
    </row>
    <row r="589">
      <c r="A589" s="508"/>
      <c r="B589" s="508"/>
      <c r="C589" s="508"/>
      <c r="D589" s="508"/>
      <c r="E589" s="508"/>
      <c r="F589" s="508"/>
      <c r="G589" s="508"/>
      <c r="H589" s="508"/>
      <c r="I589" s="508"/>
      <c r="J589" s="508"/>
      <c r="K589" s="508"/>
      <c r="L589" s="508"/>
      <c r="M589" s="508"/>
      <c r="N589" s="508"/>
      <c r="O589" s="508"/>
      <c r="P589" s="508"/>
      <c r="Q589" s="508"/>
      <c r="R589" s="508"/>
      <c r="S589" s="508"/>
      <c r="T589" s="508"/>
      <c r="U589" s="508"/>
      <c r="V589" s="508"/>
      <c r="W589" s="508"/>
      <c r="X589" s="508"/>
      <c r="Y589" s="508"/>
      <c r="Z589" s="508"/>
    </row>
    <row r="590">
      <c r="A590" s="508"/>
      <c r="B590" s="508"/>
      <c r="C590" s="508"/>
      <c r="D590" s="508"/>
      <c r="E590" s="508"/>
      <c r="F590" s="508"/>
      <c r="G590" s="508"/>
      <c r="H590" s="508"/>
      <c r="I590" s="508"/>
      <c r="J590" s="508"/>
      <c r="K590" s="508"/>
      <c r="L590" s="508"/>
      <c r="M590" s="508"/>
      <c r="N590" s="508"/>
      <c r="O590" s="508"/>
      <c r="P590" s="508"/>
      <c r="Q590" s="508"/>
      <c r="R590" s="508"/>
      <c r="S590" s="508"/>
      <c r="T590" s="508"/>
      <c r="U590" s="508"/>
      <c r="V590" s="508"/>
      <c r="W590" s="508"/>
      <c r="X590" s="508"/>
      <c r="Y590" s="508"/>
      <c r="Z590" s="508"/>
    </row>
    <row r="591">
      <c r="A591" s="508"/>
      <c r="B591" s="508"/>
      <c r="C591" s="508"/>
      <c r="D591" s="508"/>
      <c r="E591" s="508"/>
      <c r="F591" s="508"/>
      <c r="G591" s="508"/>
      <c r="H591" s="508"/>
      <c r="I591" s="508"/>
      <c r="J591" s="508"/>
      <c r="K591" s="508"/>
      <c r="L591" s="508"/>
      <c r="M591" s="508"/>
      <c r="N591" s="508"/>
      <c r="O591" s="508"/>
      <c r="P591" s="508"/>
      <c r="Q591" s="508"/>
      <c r="R591" s="508"/>
      <c r="S591" s="508"/>
      <c r="T591" s="508"/>
      <c r="U591" s="508"/>
      <c r="V591" s="508"/>
      <c r="W591" s="508"/>
      <c r="X591" s="508"/>
      <c r="Y591" s="508"/>
      <c r="Z591" s="508"/>
    </row>
    <row r="592">
      <c r="A592" s="508"/>
      <c r="B592" s="508"/>
      <c r="C592" s="508"/>
      <c r="D592" s="508"/>
      <c r="E592" s="508"/>
      <c r="F592" s="508"/>
      <c r="G592" s="508"/>
      <c r="H592" s="508"/>
      <c r="I592" s="508"/>
      <c r="J592" s="508"/>
      <c r="K592" s="508"/>
      <c r="L592" s="508"/>
      <c r="M592" s="508"/>
      <c r="N592" s="508"/>
      <c r="O592" s="508"/>
      <c r="P592" s="508"/>
      <c r="Q592" s="508"/>
      <c r="R592" s="508"/>
      <c r="S592" s="508"/>
      <c r="T592" s="508"/>
      <c r="U592" s="508"/>
      <c r="V592" s="508"/>
      <c r="W592" s="508"/>
      <c r="X592" s="508"/>
      <c r="Y592" s="508"/>
      <c r="Z592" s="508"/>
    </row>
    <row r="593">
      <c r="A593" s="508"/>
      <c r="B593" s="508"/>
      <c r="C593" s="508"/>
      <c r="D593" s="508"/>
      <c r="E593" s="508"/>
      <c r="F593" s="508"/>
      <c r="G593" s="508"/>
      <c r="H593" s="508"/>
      <c r="I593" s="508"/>
      <c r="J593" s="508"/>
      <c r="K593" s="508"/>
      <c r="L593" s="508"/>
      <c r="M593" s="508"/>
      <c r="N593" s="508"/>
      <c r="O593" s="508"/>
      <c r="P593" s="508"/>
      <c r="Q593" s="508"/>
      <c r="R593" s="508"/>
      <c r="S593" s="508"/>
      <c r="T593" s="508"/>
      <c r="U593" s="508"/>
      <c r="V593" s="508"/>
      <c r="W593" s="508"/>
      <c r="X593" s="508"/>
      <c r="Y593" s="508"/>
      <c r="Z593" s="508"/>
    </row>
    <row r="594">
      <c r="A594" s="508"/>
      <c r="B594" s="508"/>
      <c r="C594" s="508"/>
      <c r="D594" s="508"/>
      <c r="E594" s="508"/>
      <c r="F594" s="508"/>
      <c r="G594" s="508"/>
      <c r="H594" s="508"/>
      <c r="I594" s="508"/>
      <c r="J594" s="508"/>
      <c r="K594" s="508"/>
      <c r="L594" s="508"/>
      <c r="M594" s="508"/>
      <c r="N594" s="508"/>
      <c r="O594" s="508"/>
      <c r="P594" s="508"/>
      <c r="Q594" s="508"/>
      <c r="R594" s="508"/>
      <c r="S594" s="508"/>
      <c r="T594" s="508"/>
      <c r="U594" s="508"/>
      <c r="V594" s="508"/>
      <c r="W594" s="508"/>
      <c r="X594" s="508"/>
      <c r="Y594" s="508"/>
      <c r="Z594" s="508"/>
    </row>
    <row r="595">
      <c r="A595" s="508"/>
      <c r="B595" s="508"/>
      <c r="C595" s="508"/>
      <c r="D595" s="508"/>
      <c r="E595" s="508"/>
      <c r="F595" s="508"/>
      <c r="G595" s="508"/>
      <c r="H595" s="508"/>
      <c r="I595" s="508"/>
      <c r="J595" s="508"/>
      <c r="K595" s="508"/>
      <c r="L595" s="508"/>
      <c r="M595" s="508"/>
      <c r="N595" s="508"/>
      <c r="O595" s="508"/>
      <c r="P595" s="508"/>
      <c r="Q595" s="508"/>
      <c r="R595" s="508"/>
      <c r="S595" s="508"/>
      <c r="T595" s="508"/>
      <c r="U595" s="508"/>
      <c r="V595" s="508"/>
      <c r="W595" s="508"/>
      <c r="X595" s="508"/>
      <c r="Y595" s="508"/>
      <c r="Z595" s="508"/>
    </row>
    <row r="596">
      <c r="A596" s="508"/>
      <c r="B596" s="508"/>
      <c r="C596" s="508"/>
      <c r="D596" s="508"/>
      <c r="E596" s="508"/>
      <c r="F596" s="508"/>
      <c r="G596" s="508"/>
      <c r="H596" s="508"/>
      <c r="I596" s="508"/>
      <c r="J596" s="508"/>
      <c r="K596" s="508"/>
      <c r="L596" s="508"/>
      <c r="M596" s="508"/>
      <c r="N596" s="508"/>
      <c r="O596" s="508"/>
      <c r="P596" s="508"/>
      <c r="Q596" s="508"/>
      <c r="R596" s="508"/>
      <c r="S596" s="508"/>
      <c r="T596" s="508"/>
      <c r="U596" s="508"/>
      <c r="V596" s="508"/>
      <c r="W596" s="508"/>
      <c r="X596" s="508"/>
      <c r="Y596" s="508"/>
      <c r="Z596" s="508"/>
    </row>
    <row r="597">
      <c r="A597" s="508"/>
      <c r="B597" s="508"/>
      <c r="C597" s="508"/>
      <c r="D597" s="508"/>
      <c r="E597" s="508"/>
      <c r="F597" s="508"/>
      <c r="G597" s="508"/>
      <c r="H597" s="508"/>
      <c r="I597" s="508"/>
      <c r="J597" s="508"/>
      <c r="K597" s="508"/>
      <c r="L597" s="508"/>
      <c r="M597" s="508"/>
      <c r="N597" s="508"/>
      <c r="O597" s="508"/>
      <c r="P597" s="508"/>
      <c r="Q597" s="508"/>
      <c r="R597" s="508"/>
      <c r="S597" s="508"/>
      <c r="T597" s="508"/>
      <c r="U597" s="508"/>
      <c r="V597" s="508"/>
      <c r="W597" s="508"/>
      <c r="X597" s="508"/>
      <c r="Y597" s="508"/>
      <c r="Z597" s="508"/>
    </row>
    <row r="598">
      <c r="A598" s="508"/>
      <c r="B598" s="508"/>
      <c r="C598" s="508"/>
      <c r="D598" s="508"/>
      <c r="E598" s="508"/>
      <c r="F598" s="508"/>
      <c r="G598" s="508"/>
      <c r="H598" s="508"/>
      <c r="I598" s="508"/>
      <c r="J598" s="508"/>
      <c r="K598" s="508"/>
      <c r="L598" s="508"/>
      <c r="M598" s="508"/>
      <c r="N598" s="508"/>
      <c r="O598" s="508"/>
      <c r="P598" s="508"/>
      <c r="Q598" s="508"/>
      <c r="R598" s="508"/>
      <c r="S598" s="508"/>
      <c r="T598" s="508"/>
      <c r="U598" s="508"/>
      <c r="V598" s="508"/>
      <c r="W598" s="508"/>
      <c r="X598" s="508"/>
      <c r="Y598" s="508"/>
      <c r="Z598" s="508"/>
    </row>
    <row r="599">
      <c r="A599" s="508"/>
      <c r="B599" s="508"/>
      <c r="C599" s="508"/>
      <c r="D599" s="508"/>
      <c r="E599" s="508"/>
      <c r="F599" s="508"/>
      <c r="G599" s="508"/>
      <c r="H599" s="508"/>
      <c r="I599" s="508"/>
      <c r="J599" s="508"/>
      <c r="K599" s="508"/>
      <c r="L599" s="508"/>
      <c r="M599" s="508"/>
      <c r="N599" s="508"/>
      <c r="O599" s="508"/>
      <c r="P599" s="508"/>
      <c r="Q599" s="508"/>
      <c r="R599" s="508"/>
      <c r="S599" s="508"/>
      <c r="T599" s="508"/>
      <c r="U599" s="508"/>
      <c r="V599" s="508"/>
      <c r="W599" s="508"/>
      <c r="X599" s="508"/>
      <c r="Y599" s="508"/>
      <c r="Z599" s="508"/>
    </row>
    <row r="600">
      <c r="A600" s="508"/>
      <c r="B600" s="508"/>
      <c r="C600" s="508"/>
      <c r="D600" s="508"/>
      <c r="E600" s="508"/>
      <c r="F600" s="508"/>
      <c r="G600" s="508"/>
      <c r="H600" s="508"/>
      <c r="I600" s="508"/>
      <c r="J600" s="508"/>
      <c r="K600" s="508"/>
      <c r="L600" s="508"/>
      <c r="M600" s="508"/>
      <c r="N600" s="508"/>
      <c r="O600" s="508"/>
      <c r="P600" s="508"/>
      <c r="Q600" s="508"/>
      <c r="R600" s="508"/>
      <c r="S600" s="508"/>
      <c r="T600" s="508"/>
      <c r="U600" s="508"/>
      <c r="V600" s="508"/>
      <c r="W600" s="508"/>
      <c r="X600" s="508"/>
      <c r="Y600" s="508"/>
      <c r="Z600" s="508"/>
    </row>
    <row r="601">
      <c r="A601" s="508"/>
      <c r="B601" s="508"/>
      <c r="C601" s="508"/>
      <c r="D601" s="508"/>
      <c r="E601" s="508"/>
      <c r="F601" s="508"/>
      <c r="G601" s="508"/>
      <c r="H601" s="508"/>
      <c r="I601" s="508"/>
      <c r="J601" s="508"/>
      <c r="K601" s="508"/>
      <c r="L601" s="508"/>
      <c r="M601" s="508"/>
      <c r="N601" s="508"/>
      <c r="O601" s="508"/>
      <c r="P601" s="508"/>
      <c r="Q601" s="508"/>
      <c r="R601" s="508"/>
      <c r="S601" s="508"/>
      <c r="T601" s="508"/>
      <c r="U601" s="508"/>
      <c r="V601" s="508"/>
      <c r="W601" s="508"/>
      <c r="X601" s="508"/>
      <c r="Y601" s="508"/>
      <c r="Z601" s="508"/>
    </row>
    <row r="602">
      <c r="A602" s="508"/>
      <c r="B602" s="508"/>
      <c r="C602" s="508"/>
      <c r="D602" s="508"/>
      <c r="E602" s="508"/>
      <c r="F602" s="508"/>
      <c r="G602" s="508"/>
      <c r="H602" s="508"/>
      <c r="I602" s="508"/>
      <c r="J602" s="508"/>
      <c r="K602" s="508"/>
      <c r="L602" s="508"/>
      <c r="M602" s="508"/>
      <c r="N602" s="508"/>
      <c r="O602" s="508"/>
      <c r="P602" s="508"/>
      <c r="Q602" s="508"/>
      <c r="R602" s="508"/>
      <c r="S602" s="508"/>
      <c r="T602" s="508"/>
      <c r="U602" s="508"/>
      <c r="V602" s="508"/>
      <c r="W602" s="508"/>
      <c r="X602" s="508"/>
      <c r="Y602" s="508"/>
      <c r="Z602" s="508"/>
    </row>
    <row r="603">
      <c r="A603" s="508"/>
      <c r="B603" s="508"/>
      <c r="C603" s="508"/>
      <c r="D603" s="508"/>
      <c r="E603" s="508"/>
      <c r="F603" s="508"/>
      <c r="G603" s="508"/>
      <c r="H603" s="508"/>
      <c r="I603" s="508"/>
      <c r="J603" s="508"/>
      <c r="K603" s="508"/>
      <c r="L603" s="508"/>
      <c r="M603" s="508"/>
      <c r="N603" s="508"/>
      <c r="O603" s="508"/>
      <c r="P603" s="508"/>
      <c r="Q603" s="508"/>
      <c r="R603" s="508"/>
      <c r="S603" s="508"/>
      <c r="T603" s="508"/>
      <c r="U603" s="508"/>
      <c r="V603" s="508"/>
      <c r="W603" s="508"/>
      <c r="X603" s="508"/>
      <c r="Y603" s="508"/>
      <c r="Z603" s="508"/>
    </row>
    <row r="604">
      <c r="A604" s="508"/>
      <c r="B604" s="508"/>
      <c r="C604" s="508"/>
      <c r="D604" s="508"/>
      <c r="E604" s="508"/>
      <c r="F604" s="508"/>
      <c r="G604" s="508"/>
      <c r="H604" s="508"/>
      <c r="I604" s="508"/>
      <c r="J604" s="508"/>
      <c r="K604" s="508"/>
      <c r="L604" s="508"/>
      <c r="M604" s="508"/>
      <c r="N604" s="508"/>
      <c r="O604" s="508"/>
      <c r="P604" s="508"/>
      <c r="Q604" s="508"/>
      <c r="R604" s="508"/>
      <c r="S604" s="508"/>
      <c r="T604" s="508"/>
      <c r="U604" s="508"/>
      <c r="V604" s="508"/>
      <c r="W604" s="508"/>
      <c r="X604" s="508"/>
      <c r="Y604" s="508"/>
      <c r="Z604" s="508"/>
    </row>
    <row r="605">
      <c r="A605" s="508"/>
      <c r="B605" s="508"/>
      <c r="C605" s="508"/>
      <c r="D605" s="508"/>
      <c r="E605" s="508"/>
      <c r="F605" s="508"/>
      <c r="G605" s="508"/>
      <c r="H605" s="508"/>
      <c r="I605" s="508"/>
      <c r="J605" s="508"/>
      <c r="K605" s="508"/>
      <c r="L605" s="508"/>
      <c r="M605" s="508"/>
      <c r="N605" s="508"/>
      <c r="O605" s="508"/>
      <c r="P605" s="508"/>
      <c r="Q605" s="508"/>
      <c r="R605" s="508"/>
      <c r="S605" s="508"/>
      <c r="T605" s="508"/>
      <c r="U605" s="508"/>
      <c r="V605" s="508"/>
      <c r="W605" s="508"/>
      <c r="X605" s="508"/>
      <c r="Y605" s="508"/>
      <c r="Z605" s="508"/>
    </row>
    <row r="606">
      <c r="A606" s="508"/>
      <c r="B606" s="508"/>
      <c r="C606" s="508"/>
      <c r="D606" s="508"/>
      <c r="E606" s="508"/>
      <c r="F606" s="508"/>
      <c r="G606" s="508"/>
      <c r="H606" s="508"/>
      <c r="I606" s="508"/>
      <c r="J606" s="508"/>
      <c r="K606" s="508"/>
      <c r="L606" s="508"/>
      <c r="M606" s="508"/>
      <c r="N606" s="508"/>
      <c r="O606" s="508"/>
      <c r="P606" s="508"/>
      <c r="Q606" s="508"/>
      <c r="R606" s="508"/>
      <c r="S606" s="508"/>
      <c r="T606" s="508"/>
      <c r="U606" s="508"/>
      <c r="V606" s="508"/>
      <c r="W606" s="508"/>
      <c r="X606" s="508"/>
      <c r="Y606" s="508"/>
      <c r="Z606" s="508"/>
    </row>
    <row r="607">
      <c r="A607" s="508"/>
      <c r="B607" s="508"/>
      <c r="C607" s="508"/>
      <c r="D607" s="508"/>
      <c r="E607" s="508"/>
      <c r="F607" s="508"/>
      <c r="G607" s="508"/>
      <c r="H607" s="508"/>
      <c r="I607" s="508"/>
      <c r="J607" s="508"/>
      <c r="K607" s="508"/>
      <c r="L607" s="508"/>
      <c r="M607" s="508"/>
      <c r="N607" s="508"/>
      <c r="O607" s="508"/>
      <c r="P607" s="508"/>
      <c r="Q607" s="508"/>
      <c r="R607" s="508"/>
      <c r="S607" s="508"/>
      <c r="T607" s="508"/>
      <c r="U607" s="508"/>
      <c r="V607" s="508"/>
      <c r="W607" s="508"/>
      <c r="X607" s="508"/>
      <c r="Y607" s="508"/>
      <c r="Z607" s="508"/>
    </row>
    <row r="608">
      <c r="A608" s="508"/>
      <c r="B608" s="508"/>
      <c r="C608" s="508"/>
      <c r="D608" s="508"/>
      <c r="E608" s="508"/>
      <c r="F608" s="508"/>
      <c r="G608" s="508"/>
      <c r="H608" s="508"/>
      <c r="I608" s="508"/>
      <c r="J608" s="508"/>
      <c r="K608" s="508"/>
      <c r="L608" s="508"/>
      <c r="M608" s="508"/>
      <c r="N608" s="508"/>
      <c r="O608" s="508"/>
      <c r="P608" s="508"/>
      <c r="Q608" s="508"/>
      <c r="R608" s="508"/>
      <c r="S608" s="508"/>
      <c r="T608" s="508"/>
      <c r="U608" s="508"/>
      <c r="V608" s="508"/>
      <c r="W608" s="508"/>
      <c r="X608" s="508"/>
      <c r="Y608" s="508"/>
      <c r="Z608" s="508"/>
    </row>
    <row r="609">
      <c r="A609" s="508"/>
      <c r="B609" s="508"/>
      <c r="C609" s="508"/>
      <c r="D609" s="508"/>
      <c r="E609" s="508"/>
      <c r="F609" s="508"/>
      <c r="G609" s="508"/>
      <c r="H609" s="508"/>
      <c r="I609" s="508"/>
      <c r="J609" s="508"/>
      <c r="K609" s="508"/>
      <c r="L609" s="508"/>
      <c r="M609" s="508"/>
      <c r="N609" s="508"/>
      <c r="O609" s="508"/>
      <c r="P609" s="508"/>
      <c r="Q609" s="508"/>
      <c r="R609" s="508"/>
      <c r="S609" s="508"/>
      <c r="T609" s="508"/>
      <c r="U609" s="508"/>
      <c r="V609" s="508"/>
      <c r="W609" s="508"/>
      <c r="X609" s="508"/>
      <c r="Y609" s="508"/>
      <c r="Z609" s="508"/>
    </row>
    <row r="610">
      <c r="A610" s="508"/>
      <c r="B610" s="508"/>
      <c r="C610" s="508"/>
      <c r="D610" s="508"/>
      <c r="E610" s="508"/>
      <c r="F610" s="508"/>
      <c r="G610" s="508"/>
      <c r="H610" s="508"/>
      <c r="I610" s="508"/>
      <c r="J610" s="508"/>
      <c r="K610" s="508"/>
      <c r="L610" s="508"/>
      <c r="M610" s="508"/>
      <c r="N610" s="508"/>
      <c r="O610" s="508"/>
      <c r="P610" s="508"/>
      <c r="Q610" s="508"/>
      <c r="R610" s="508"/>
      <c r="S610" s="508"/>
      <c r="T610" s="508"/>
      <c r="U610" s="508"/>
      <c r="V610" s="508"/>
      <c r="W610" s="508"/>
      <c r="X610" s="508"/>
      <c r="Y610" s="508"/>
      <c r="Z610" s="508"/>
    </row>
    <row r="611">
      <c r="A611" s="508"/>
      <c r="B611" s="508"/>
      <c r="C611" s="508"/>
      <c r="D611" s="508"/>
      <c r="E611" s="508"/>
      <c r="F611" s="508"/>
      <c r="G611" s="508"/>
      <c r="H611" s="508"/>
      <c r="I611" s="508"/>
      <c r="J611" s="508"/>
      <c r="K611" s="508"/>
      <c r="L611" s="508"/>
      <c r="M611" s="508"/>
      <c r="N611" s="508"/>
      <c r="O611" s="508"/>
      <c r="P611" s="508"/>
      <c r="Q611" s="508"/>
      <c r="R611" s="508"/>
      <c r="S611" s="508"/>
      <c r="T611" s="508"/>
      <c r="U611" s="508"/>
      <c r="V611" s="508"/>
      <c r="W611" s="508"/>
      <c r="X611" s="508"/>
      <c r="Y611" s="508"/>
      <c r="Z611" s="508"/>
    </row>
    <row r="612">
      <c r="A612" s="508"/>
      <c r="B612" s="508"/>
      <c r="C612" s="508"/>
      <c r="D612" s="508"/>
      <c r="E612" s="508"/>
      <c r="F612" s="508"/>
      <c r="G612" s="508"/>
      <c r="H612" s="508"/>
      <c r="I612" s="508"/>
      <c r="J612" s="508"/>
      <c r="K612" s="508"/>
      <c r="L612" s="508"/>
      <c r="M612" s="508"/>
      <c r="N612" s="508"/>
      <c r="O612" s="508"/>
      <c r="P612" s="508"/>
      <c r="Q612" s="508"/>
      <c r="R612" s="508"/>
      <c r="S612" s="508"/>
      <c r="T612" s="508"/>
      <c r="U612" s="508"/>
      <c r="V612" s="508"/>
      <c r="W612" s="508"/>
      <c r="X612" s="508"/>
      <c r="Y612" s="508"/>
      <c r="Z612" s="508"/>
    </row>
    <row r="613">
      <c r="A613" s="508"/>
      <c r="B613" s="508"/>
      <c r="C613" s="508"/>
      <c r="D613" s="508"/>
      <c r="E613" s="508"/>
      <c r="F613" s="508"/>
      <c r="G613" s="508"/>
      <c r="H613" s="508"/>
      <c r="I613" s="508"/>
      <c r="J613" s="508"/>
      <c r="K613" s="508"/>
      <c r="L613" s="508"/>
      <c r="M613" s="508"/>
      <c r="N613" s="508"/>
      <c r="O613" s="508"/>
      <c r="P613" s="508"/>
      <c r="Q613" s="508"/>
      <c r="R613" s="508"/>
      <c r="S613" s="508"/>
      <c r="T613" s="508"/>
      <c r="U613" s="508"/>
      <c r="V613" s="508"/>
      <c r="W613" s="508"/>
      <c r="X613" s="508"/>
      <c r="Y613" s="508"/>
      <c r="Z613" s="508"/>
    </row>
    <row r="614">
      <c r="A614" s="508"/>
      <c r="B614" s="508"/>
      <c r="C614" s="508"/>
      <c r="D614" s="508"/>
      <c r="E614" s="508"/>
      <c r="F614" s="508"/>
      <c r="G614" s="508"/>
      <c r="H614" s="508"/>
      <c r="I614" s="508"/>
      <c r="J614" s="508"/>
      <c r="K614" s="508"/>
      <c r="L614" s="508"/>
      <c r="M614" s="508"/>
      <c r="N614" s="508"/>
      <c r="O614" s="508"/>
      <c r="P614" s="508"/>
      <c r="Q614" s="508"/>
      <c r="R614" s="508"/>
      <c r="S614" s="508"/>
      <c r="T614" s="508"/>
      <c r="U614" s="508"/>
      <c r="V614" s="508"/>
      <c r="W614" s="508"/>
      <c r="X614" s="508"/>
      <c r="Y614" s="508"/>
      <c r="Z614" s="508"/>
    </row>
    <row r="615">
      <c r="A615" s="508"/>
      <c r="B615" s="508"/>
      <c r="C615" s="508"/>
      <c r="D615" s="508"/>
      <c r="E615" s="508"/>
      <c r="F615" s="508"/>
      <c r="G615" s="508"/>
      <c r="H615" s="508"/>
      <c r="I615" s="508"/>
      <c r="J615" s="508"/>
      <c r="K615" s="508"/>
      <c r="L615" s="508"/>
      <c r="M615" s="508"/>
      <c r="N615" s="508"/>
      <c r="O615" s="508"/>
      <c r="P615" s="508"/>
      <c r="Q615" s="508"/>
      <c r="R615" s="508"/>
      <c r="S615" s="508"/>
      <c r="T615" s="508"/>
      <c r="U615" s="508"/>
      <c r="V615" s="508"/>
      <c r="W615" s="508"/>
      <c r="X615" s="508"/>
      <c r="Y615" s="508"/>
      <c r="Z615" s="508"/>
    </row>
    <row r="616">
      <c r="A616" s="508"/>
      <c r="B616" s="508"/>
      <c r="C616" s="508"/>
      <c r="D616" s="508"/>
      <c r="E616" s="508"/>
      <c r="F616" s="508"/>
      <c r="G616" s="508"/>
      <c r="H616" s="508"/>
      <c r="I616" s="508"/>
      <c r="J616" s="508"/>
      <c r="K616" s="508"/>
      <c r="L616" s="508"/>
      <c r="M616" s="508"/>
      <c r="N616" s="508"/>
      <c r="O616" s="508"/>
      <c r="P616" s="508"/>
      <c r="Q616" s="508"/>
      <c r="R616" s="508"/>
      <c r="S616" s="508"/>
      <c r="T616" s="508"/>
      <c r="U616" s="508"/>
      <c r="V616" s="508"/>
      <c r="W616" s="508"/>
      <c r="X616" s="508"/>
      <c r="Y616" s="508"/>
      <c r="Z616" s="508"/>
    </row>
    <row r="617">
      <c r="A617" s="508"/>
      <c r="B617" s="508"/>
      <c r="C617" s="508"/>
      <c r="D617" s="508"/>
      <c r="E617" s="508"/>
      <c r="F617" s="508"/>
      <c r="G617" s="508"/>
      <c r="H617" s="508"/>
      <c r="I617" s="508"/>
      <c r="J617" s="508"/>
      <c r="K617" s="508"/>
      <c r="L617" s="508"/>
      <c r="M617" s="508"/>
      <c r="N617" s="508"/>
      <c r="O617" s="508"/>
      <c r="P617" s="508"/>
      <c r="Q617" s="508"/>
      <c r="R617" s="508"/>
      <c r="S617" s="508"/>
      <c r="T617" s="508"/>
      <c r="U617" s="508"/>
      <c r="V617" s="508"/>
      <c r="W617" s="508"/>
      <c r="X617" s="508"/>
      <c r="Y617" s="508"/>
      <c r="Z617" s="508"/>
    </row>
    <row r="618">
      <c r="A618" s="508"/>
      <c r="B618" s="508"/>
      <c r="C618" s="508"/>
      <c r="D618" s="508"/>
      <c r="E618" s="508"/>
      <c r="F618" s="508"/>
      <c r="G618" s="508"/>
      <c r="H618" s="508"/>
      <c r="I618" s="508"/>
      <c r="J618" s="508"/>
      <c r="K618" s="508"/>
      <c r="L618" s="508"/>
      <c r="M618" s="508"/>
      <c r="N618" s="508"/>
      <c r="O618" s="508"/>
      <c r="P618" s="508"/>
      <c r="Q618" s="508"/>
      <c r="R618" s="508"/>
      <c r="S618" s="508"/>
      <c r="T618" s="508"/>
      <c r="U618" s="508"/>
      <c r="V618" s="508"/>
      <c r="W618" s="508"/>
      <c r="X618" s="508"/>
      <c r="Y618" s="508"/>
      <c r="Z618" s="508"/>
    </row>
    <row r="619">
      <c r="A619" s="508"/>
      <c r="B619" s="508"/>
      <c r="C619" s="508"/>
      <c r="D619" s="508"/>
      <c r="E619" s="508"/>
      <c r="F619" s="508"/>
      <c r="G619" s="508"/>
      <c r="H619" s="508"/>
      <c r="I619" s="508"/>
      <c r="J619" s="508"/>
      <c r="K619" s="508"/>
      <c r="L619" s="508"/>
      <c r="M619" s="508"/>
      <c r="N619" s="508"/>
      <c r="O619" s="508"/>
      <c r="P619" s="508"/>
      <c r="Q619" s="508"/>
      <c r="R619" s="508"/>
      <c r="S619" s="508"/>
      <c r="T619" s="508"/>
      <c r="U619" s="508"/>
      <c r="V619" s="508"/>
      <c r="W619" s="508"/>
      <c r="X619" s="508"/>
      <c r="Y619" s="508"/>
      <c r="Z619" s="508"/>
    </row>
    <row r="620">
      <c r="A620" s="508"/>
      <c r="B620" s="508"/>
      <c r="C620" s="508"/>
      <c r="D620" s="508"/>
      <c r="E620" s="508"/>
      <c r="F620" s="508"/>
      <c r="G620" s="508"/>
      <c r="H620" s="508"/>
      <c r="I620" s="508"/>
      <c r="J620" s="508"/>
      <c r="K620" s="508"/>
      <c r="L620" s="508"/>
      <c r="M620" s="508"/>
      <c r="N620" s="508"/>
      <c r="O620" s="508"/>
      <c r="P620" s="508"/>
      <c r="Q620" s="508"/>
      <c r="R620" s="508"/>
      <c r="S620" s="508"/>
      <c r="T620" s="508"/>
      <c r="U620" s="508"/>
      <c r="V620" s="508"/>
      <c r="W620" s="508"/>
      <c r="X620" s="508"/>
      <c r="Y620" s="508"/>
      <c r="Z620" s="508"/>
    </row>
    <row r="621">
      <c r="A621" s="508"/>
      <c r="B621" s="508"/>
      <c r="C621" s="508"/>
      <c r="D621" s="508"/>
      <c r="E621" s="508"/>
      <c r="F621" s="508"/>
      <c r="G621" s="508"/>
      <c r="H621" s="508"/>
      <c r="I621" s="508"/>
      <c r="J621" s="508"/>
      <c r="K621" s="508"/>
      <c r="L621" s="508"/>
      <c r="M621" s="508"/>
      <c r="N621" s="508"/>
      <c r="O621" s="508"/>
      <c r="P621" s="508"/>
      <c r="Q621" s="508"/>
      <c r="R621" s="508"/>
      <c r="S621" s="508"/>
      <c r="T621" s="508"/>
      <c r="U621" s="508"/>
      <c r="V621" s="508"/>
      <c r="W621" s="508"/>
      <c r="X621" s="508"/>
      <c r="Y621" s="508"/>
      <c r="Z621" s="508"/>
    </row>
    <row r="622">
      <c r="A622" s="508"/>
      <c r="B622" s="508"/>
      <c r="C622" s="508"/>
      <c r="D622" s="508"/>
      <c r="E622" s="508"/>
      <c r="F622" s="508"/>
      <c r="G622" s="508"/>
      <c r="H622" s="508"/>
      <c r="I622" s="508"/>
      <c r="J622" s="508"/>
      <c r="K622" s="508"/>
      <c r="L622" s="508"/>
      <c r="M622" s="508"/>
      <c r="N622" s="508"/>
      <c r="O622" s="508"/>
      <c r="P622" s="508"/>
      <c r="Q622" s="508"/>
      <c r="R622" s="508"/>
      <c r="S622" s="508"/>
      <c r="T622" s="508"/>
      <c r="U622" s="508"/>
      <c r="V622" s="508"/>
      <c r="W622" s="508"/>
      <c r="X622" s="508"/>
      <c r="Y622" s="508"/>
      <c r="Z622" s="508"/>
    </row>
    <row r="623">
      <c r="A623" s="508"/>
      <c r="B623" s="508"/>
      <c r="C623" s="508"/>
      <c r="D623" s="508"/>
      <c r="E623" s="508"/>
      <c r="F623" s="508"/>
      <c r="G623" s="508"/>
      <c r="H623" s="508"/>
      <c r="I623" s="508"/>
      <c r="J623" s="508"/>
      <c r="K623" s="508"/>
      <c r="L623" s="508"/>
      <c r="M623" s="508"/>
      <c r="N623" s="508"/>
      <c r="O623" s="508"/>
      <c r="P623" s="508"/>
      <c r="Q623" s="508"/>
      <c r="R623" s="508"/>
      <c r="S623" s="508"/>
      <c r="T623" s="508"/>
      <c r="U623" s="508"/>
      <c r="V623" s="508"/>
      <c r="W623" s="508"/>
      <c r="X623" s="508"/>
      <c r="Y623" s="508"/>
      <c r="Z623" s="508"/>
    </row>
    <row r="624">
      <c r="A624" s="508"/>
      <c r="B624" s="508"/>
      <c r="C624" s="508"/>
      <c r="D624" s="508"/>
      <c r="E624" s="508"/>
      <c r="F624" s="508"/>
      <c r="G624" s="508"/>
      <c r="H624" s="508"/>
      <c r="I624" s="508"/>
      <c r="J624" s="508"/>
      <c r="K624" s="508"/>
      <c r="L624" s="508"/>
      <c r="M624" s="508"/>
      <c r="N624" s="508"/>
      <c r="O624" s="508"/>
      <c r="P624" s="508"/>
      <c r="Q624" s="508"/>
      <c r="R624" s="508"/>
      <c r="S624" s="508"/>
      <c r="T624" s="508"/>
      <c r="U624" s="508"/>
      <c r="V624" s="508"/>
      <c r="W624" s="508"/>
      <c r="X624" s="508"/>
      <c r="Y624" s="508"/>
      <c r="Z624" s="508"/>
    </row>
    <row r="625">
      <c r="A625" s="508"/>
      <c r="B625" s="508"/>
      <c r="C625" s="508"/>
      <c r="D625" s="508"/>
      <c r="E625" s="508"/>
      <c r="F625" s="508"/>
      <c r="G625" s="508"/>
      <c r="H625" s="508"/>
      <c r="I625" s="508"/>
      <c r="J625" s="508"/>
      <c r="K625" s="508"/>
      <c r="L625" s="508"/>
      <c r="M625" s="508"/>
      <c r="N625" s="508"/>
      <c r="O625" s="508"/>
      <c r="P625" s="508"/>
      <c r="Q625" s="508"/>
      <c r="R625" s="508"/>
      <c r="S625" s="508"/>
      <c r="T625" s="508"/>
      <c r="U625" s="508"/>
      <c r="V625" s="508"/>
      <c r="W625" s="508"/>
      <c r="X625" s="508"/>
      <c r="Y625" s="508"/>
      <c r="Z625" s="508"/>
    </row>
    <row r="626">
      <c r="A626" s="508"/>
      <c r="B626" s="508"/>
      <c r="C626" s="508"/>
      <c r="D626" s="508"/>
      <c r="E626" s="508"/>
      <c r="F626" s="508"/>
      <c r="G626" s="508"/>
      <c r="H626" s="508"/>
      <c r="I626" s="508"/>
      <c r="J626" s="508"/>
      <c r="K626" s="508"/>
      <c r="L626" s="508"/>
      <c r="M626" s="508"/>
      <c r="N626" s="508"/>
      <c r="O626" s="508"/>
      <c r="P626" s="508"/>
      <c r="Q626" s="508"/>
      <c r="R626" s="508"/>
      <c r="S626" s="508"/>
      <c r="T626" s="508"/>
      <c r="U626" s="508"/>
      <c r="V626" s="508"/>
      <c r="W626" s="508"/>
      <c r="X626" s="508"/>
      <c r="Y626" s="508"/>
      <c r="Z626" s="508"/>
    </row>
    <row r="627">
      <c r="A627" s="508"/>
      <c r="B627" s="508"/>
      <c r="C627" s="508"/>
      <c r="D627" s="508"/>
      <c r="E627" s="508"/>
      <c r="F627" s="508"/>
      <c r="G627" s="508"/>
      <c r="H627" s="508"/>
      <c r="I627" s="508"/>
      <c r="J627" s="508"/>
      <c r="K627" s="508"/>
      <c r="L627" s="508"/>
      <c r="M627" s="508"/>
      <c r="N627" s="508"/>
      <c r="O627" s="508"/>
      <c r="P627" s="508"/>
      <c r="Q627" s="508"/>
      <c r="R627" s="508"/>
      <c r="S627" s="508"/>
      <c r="T627" s="508"/>
      <c r="U627" s="508"/>
      <c r="V627" s="508"/>
      <c r="W627" s="508"/>
      <c r="X627" s="508"/>
      <c r="Y627" s="508"/>
      <c r="Z627" s="508"/>
    </row>
    <row r="628">
      <c r="A628" s="508"/>
      <c r="B628" s="508"/>
      <c r="C628" s="508"/>
      <c r="D628" s="508"/>
      <c r="E628" s="508"/>
      <c r="F628" s="508"/>
      <c r="G628" s="508"/>
      <c r="H628" s="508"/>
      <c r="I628" s="508"/>
      <c r="J628" s="508"/>
      <c r="K628" s="508"/>
      <c r="L628" s="508"/>
      <c r="M628" s="508"/>
      <c r="N628" s="508"/>
      <c r="O628" s="508"/>
      <c r="P628" s="508"/>
      <c r="Q628" s="508"/>
      <c r="R628" s="508"/>
      <c r="S628" s="508"/>
      <c r="T628" s="508"/>
      <c r="U628" s="508"/>
      <c r="V628" s="508"/>
      <c r="W628" s="508"/>
      <c r="X628" s="508"/>
      <c r="Y628" s="508"/>
      <c r="Z628" s="508"/>
    </row>
    <row r="629">
      <c r="A629" s="508"/>
      <c r="B629" s="508"/>
      <c r="C629" s="508"/>
      <c r="D629" s="508"/>
      <c r="E629" s="508"/>
      <c r="F629" s="508"/>
      <c r="G629" s="508"/>
      <c r="H629" s="508"/>
      <c r="I629" s="508"/>
      <c r="J629" s="508"/>
      <c r="K629" s="508"/>
      <c r="L629" s="508"/>
      <c r="M629" s="508"/>
      <c r="N629" s="508"/>
      <c r="O629" s="508"/>
      <c r="P629" s="508"/>
      <c r="Q629" s="508"/>
      <c r="R629" s="508"/>
      <c r="S629" s="508"/>
      <c r="T629" s="508"/>
      <c r="U629" s="508"/>
      <c r="V629" s="508"/>
      <c r="W629" s="508"/>
      <c r="X629" s="508"/>
      <c r="Y629" s="508"/>
      <c r="Z629" s="508"/>
    </row>
    <row r="630">
      <c r="A630" s="508"/>
      <c r="B630" s="508"/>
      <c r="C630" s="508"/>
      <c r="D630" s="508"/>
      <c r="E630" s="508"/>
      <c r="F630" s="508"/>
      <c r="G630" s="508"/>
      <c r="H630" s="508"/>
      <c r="I630" s="508"/>
      <c r="J630" s="508"/>
      <c r="K630" s="508"/>
      <c r="L630" s="508"/>
      <c r="M630" s="508"/>
      <c r="N630" s="508"/>
      <c r="O630" s="508"/>
      <c r="P630" s="508"/>
      <c r="Q630" s="508"/>
      <c r="R630" s="508"/>
      <c r="S630" s="508"/>
      <c r="T630" s="508"/>
      <c r="U630" s="508"/>
      <c r="V630" s="508"/>
      <c r="W630" s="508"/>
      <c r="X630" s="508"/>
      <c r="Y630" s="508"/>
      <c r="Z630" s="508"/>
    </row>
    <row r="631">
      <c r="A631" s="508"/>
      <c r="B631" s="508"/>
      <c r="C631" s="508"/>
      <c r="D631" s="508"/>
      <c r="E631" s="508"/>
      <c r="F631" s="508"/>
      <c r="G631" s="508"/>
      <c r="H631" s="508"/>
      <c r="I631" s="508"/>
      <c r="J631" s="508"/>
      <c r="K631" s="508"/>
      <c r="L631" s="508"/>
      <c r="M631" s="508"/>
      <c r="N631" s="508"/>
      <c r="O631" s="508"/>
      <c r="P631" s="508"/>
      <c r="Q631" s="508"/>
      <c r="R631" s="508"/>
      <c r="S631" s="508"/>
      <c r="T631" s="508"/>
      <c r="U631" s="508"/>
      <c r="V631" s="508"/>
      <c r="W631" s="508"/>
      <c r="X631" s="508"/>
      <c r="Y631" s="508"/>
      <c r="Z631" s="508"/>
    </row>
    <row r="632">
      <c r="A632" s="508"/>
      <c r="B632" s="508"/>
      <c r="C632" s="508"/>
      <c r="D632" s="508"/>
      <c r="E632" s="508"/>
      <c r="F632" s="508"/>
      <c r="G632" s="508"/>
      <c r="H632" s="508"/>
      <c r="I632" s="508"/>
      <c r="J632" s="508"/>
      <c r="K632" s="508"/>
      <c r="L632" s="508"/>
      <c r="M632" s="508"/>
      <c r="N632" s="508"/>
      <c r="O632" s="508"/>
      <c r="P632" s="508"/>
      <c r="Q632" s="508"/>
      <c r="R632" s="508"/>
      <c r="S632" s="508"/>
      <c r="T632" s="508"/>
      <c r="U632" s="508"/>
      <c r="V632" s="508"/>
      <c r="W632" s="508"/>
      <c r="X632" s="508"/>
      <c r="Y632" s="508"/>
      <c r="Z632" s="508"/>
    </row>
    <row r="633">
      <c r="A633" s="508"/>
      <c r="B633" s="508"/>
      <c r="C633" s="508"/>
      <c r="D633" s="508"/>
      <c r="E633" s="508"/>
      <c r="F633" s="508"/>
      <c r="G633" s="508"/>
      <c r="H633" s="508"/>
      <c r="I633" s="508"/>
      <c r="J633" s="508"/>
      <c r="K633" s="508"/>
      <c r="L633" s="508"/>
      <c r="M633" s="508"/>
      <c r="N633" s="508"/>
      <c r="O633" s="508"/>
      <c r="P633" s="508"/>
      <c r="Q633" s="508"/>
      <c r="R633" s="508"/>
      <c r="S633" s="508"/>
      <c r="T633" s="508"/>
      <c r="U633" s="508"/>
      <c r="V633" s="508"/>
      <c r="W633" s="508"/>
      <c r="X633" s="508"/>
      <c r="Y633" s="508"/>
      <c r="Z633" s="508"/>
    </row>
    <row r="634">
      <c r="A634" s="508"/>
      <c r="B634" s="508"/>
      <c r="C634" s="508"/>
      <c r="D634" s="508"/>
      <c r="E634" s="508"/>
      <c r="F634" s="508"/>
      <c r="G634" s="508"/>
      <c r="H634" s="508"/>
      <c r="I634" s="508"/>
      <c r="J634" s="508"/>
      <c r="K634" s="508"/>
      <c r="L634" s="508"/>
      <c r="M634" s="508"/>
      <c r="N634" s="508"/>
      <c r="O634" s="508"/>
      <c r="P634" s="508"/>
      <c r="Q634" s="508"/>
      <c r="R634" s="508"/>
      <c r="S634" s="508"/>
      <c r="T634" s="508"/>
      <c r="U634" s="508"/>
      <c r="V634" s="508"/>
      <c r="W634" s="508"/>
      <c r="X634" s="508"/>
      <c r="Y634" s="508"/>
      <c r="Z634" s="508"/>
    </row>
    <row r="635">
      <c r="A635" s="508"/>
      <c r="B635" s="508"/>
      <c r="C635" s="508"/>
      <c r="D635" s="508"/>
      <c r="E635" s="508"/>
      <c r="F635" s="508"/>
      <c r="G635" s="508"/>
      <c r="H635" s="508"/>
      <c r="I635" s="508"/>
      <c r="J635" s="508"/>
      <c r="K635" s="508"/>
      <c r="L635" s="508"/>
      <c r="M635" s="508"/>
      <c r="N635" s="508"/>
      <c r="O635" s="508"/>
      <c r="P635" s="508"/>
      <c r="Q635" s="508"/>
      <c r="R635" s="508"/>
      <c r="S635" s="508"/>
      <c r="T635" s="508"/>
      <c r="U635" s="508"/>
      <c r="V635" s="508"/>
      <c r="W635" s="508"/>
      <c r="X635" s="508"/>
      <c r="Y635" s="508"/>
      <c r="Z635" s="508"/>
    </row>
    <row r="636">
      <c r="A636" s="508"/>
      <c r="B636" s="508"/>
      <c r="C636" s="508"/>
      <c r="D636" s="508"/>
      <c r="E636" s="508"/>
      <c r="F636" s="508"/>
      <c r="G636" s="508"/>
      <c r="H636" s="508"/>
      <c r="I636" s="508"/>
      <c r="J636" s="508"/>
      <c r="K636" s="508"/>
      <c r="L636" s="508"/>
      <c r="M636" s="508"/>
      <c r="N636" s="508"/>
      <c r="O636" s="508"/>
      <c r="P636" s="508"/>
      <c r="Q636" s="508"/>
      <c r="R636" s="508"/>
      <c r="S636" s="508"/>
      <c r="T636" s="508"/>
      <c r="U636" s="508"/>
      <c r="V636" s="508"/>
      <c r="W636" s="508"/>
      <c r="X636" s="508"/>
      <c r="Y636" s="508"/>
      <c r="Z636" s="508"/>
    </row>
    <row r="637">
      <c r="A637" s="508"/>
      <c r="B637" s="508"/>
      <c r="C637" s="508"/>
      <c r="D637" s="508"/>
      <c r="E637" s="508"/>
      <c r="F637" s="508"/>
      <c r="G637" s="508"/>
      <c r="H637" s="508"/>
      <c r="I637" s="508"/>
      <c r="J637" s="508"/>
      <c r="K637" s="508"/>
      <c r="L637" s="508"/>
      <c r="M637" s="508"/>
      <c r="N637" s="508"/>
      <c r="O637" s="508"/>
      <c r="P637" s="508"/>
      <c r="Q637" s="508"/>
      <c r="R637" s="508"/>
      <c r="S637" s="508"/>
      <c r="T637" s="508"/>
      <c r="U637" s="508"/>
      <c r="V637" s="508"/>
      <c r="W637" s="508"/>
      <c r="X637" s="508"/>
      <c r="Y637" s="508"/>
      <c r="Z637" s="508"/>
    </row>
    <row r="638">
      <c r="A638" s="508"/>
      <c r="B638" s="508"/>
      <c r="C638" s="508"/>
      <c r="D638" s="508"/>
      <c r="E638" s="508"/>
      <c r="F638" s="508"/>
      <c r="G638" s="508"/>
      <c r="H638" s="508"/>
      <c r="I638" s="508"/>
      <c r="J638" s="508"/>
      <c r="K638" s="508"/>
      <c r="L638" s="508"/>
      <c r="M638" s="508"/>
      <c r="N638" s="508"/>
      <c r="O638" s="508"/>
      <c r="P638" s="508"/>
      <c r="Q638" s="508"/>
      <c r="R638" s="508"/>
      <c r="S638" s="508"/>
      <c r="T638" s="508"/>
      <c r="U638" s="508"/>
      <c r="V638" s="508"/>
      <c r="W638" s="508"/>
      <c r="X638" s="508"/>
      <c r="Y638" s="508"/>
      <c r="Z638" s="508"/>
    </row>
    <row r="639">
      <c r="A639" s="508"/>
      <c r="B639" s="508"/>
      <c r="C639" s="508"/>
      <c r="D639" s="508"/>
      <c r="E639" s="508"/>
      <c r="F639" s="508"/>
      <c r="G639" s="508"/>
      <c r="H639" s="508"/>
      <c r="I639" s="508"/>
      <c r="J639" s="508"/>
      <c r="K639" s="508"/>
      <c r="L639" s="508"/>
      <c r="M639" s="508"/>
      <c r="N639" s="508"/>
      <c r="O639" s="508"/>
      <c r="P639" s="508"/>
      <c r="Q639" s="508"/>
      <c r="R639" s="508"/>
      <c r="S639" s="508"/>
      <c r="T639" s="508"/>
      <c r="U639" s="508"/>
      <c r="V639" s="508"/>
      <c r="W639" s="508"/>
      <c r="X639" s="508"/>
      <c r="Y639" s="508"/>
      <c r="Z639" s="508"/>
    </row>
    <row r="640">
      <c r="A640" s="508"/>
      <c r="B640" s="508"/>
      <c r="C640" s="508"/>
      <c r="D640" s="508"/>
      <c r="E640" s="508"/>
      <c r="F640" s="508"/>
      <c r="G640" s="508"/>
      <c r="H640" s="508"/>
      <c r="I640" s="508"/>
      <c r="J640" s="508"/>
      <c r="K640" s="508"/>
      <c r="L640" s="508"/>
      <c r="M640" s="508"/>
      <c r="N640" s="508"/>
      <c r="O640" s="508"/>
      <c r="P640" s="508"/>
      <c r="Q640" s="508"/>
      <c r="R640" s="508"/>
      <c r="S640" s="508"/>
      <c r="T640" s="508"/>
      <c r="U640" s="508"/>
      <c r="V640" s="508"/>
      <c r="W640" s="508"/>
      <c r="X640" s="508"/>
      <c r="Y640" s="508"/>
      <c r="Z640" s="508"/>
    </row>
    <row r="641">
      <c r="A641" s="508"/>
      <c r="B641" s="508"/>
      <c r="C641" s="508"/>
      <c r="D641" s="508"/>
      <c r="E641" s="508"/>
      <c r="F641" s="508"/>
      <c r="G641" s="508"/>
      <c r="H641" s="508"/>
      <c r="I641" s="508"/>
      <c r="J641" s="508"/>
      <c r="K641" s="508"/>
      <c r="L641" s="508"/>
      <c r="M641" s="508"/>
      <c r="N641" s="508"/>
      <c r="O641" s="508"/>
      <c r="P641" s="508"/>
      <c r="Q641" s="508"/>
      <c r="R641" s="508"/>
      <c r="S641" s="508"/>
      <c r="T641" s="508"/>
      <c r="U641" s="508"/>
      <c r="V641" s="508"/>
      <c r="W641" s="508"/>
      <c r="X641" s="508"/>
      <c r="Y641" s="508"/>
      <c r="Z641" s="508"/>
    </row>
    <row r="642">
      <c r="A642" s="508"/>
      <c r="B642" s="508"/>
      <c r="C642" s="508"/>
      <c r="D642" s="508"/>
      <c r="E642" s="508"/>
      <c r="F642" s="508"/>
      <c r="G642" s="508"/>
      <c r="H642" s="508"/>
      <c r="I642" s="508"/>
      <c r="J642" s="508"/>
      <c r="K642" s="508"/>
      <c r="L642" s="508"/>
      <c r="M642" s="508"/>
      <c r="N642" s="508"/>
      <c r="O642" s="508"/>
      <c r="P642" s="508"/>
      <c r="Q642" s="508"/>
      <c r="R642" s="508"/>
      <c r="S642" s="508"/>
      <c r="T642" s="508"/>
      <c r="U642" s="508"/>
      <c r="V642" s="508"/>
      <c r="W642" s="508"/>
      <c r="X642" s="508"/>
      <c r="Y642" s="508"/>
      <c r="Z642" s="508"/>
    </row>
    <row r="643">
      <c r="A643" s="508"/>
      <c r="B643" s="508"/>
      <c r="C643" s="508"/>
      <c r="D643" s="508"/>
      <c r="E643" s="508"/>
      <c r="F643" s="508"/>
      <c r="G643" s="508"/>
      <c r="H643" s="508"/>
      <c r="I643" s="508"/>
      <c r="J643" s="508"/>
      <c r="K643" s="508"/>
      <c r="L643" s="508"/>
      <c r="M643" s="508"/>
      <c r="N643" s="508"/>
      <c r="O643" s="508"/>
      <c r="P643" s="508"/>
      <c r="Q643" s="508"/>
      <c r="R643" s="508"/>
      <c r="S643" s="508"/>
      <c r="T643" s="508"/>
      <c r="U643" s="508"/>
      <c r="V643" s="508"/>
      <c r="W643" s="508"/>
      <c r="X643" s="508"/>
      <c r="Y643" s="508"/>
      <c r="Z643" s="508"/>
    </row>
    <row r="644">
      <c r="A644" s="508"/>
      <c r="B644" s="508"/>
      <c r="C644" s="508"/>
      <c r="D644" s="508"/>
      <c r="E644" s="508"/>
      <c r="F644" s="508"/>
      <c r="G644" s="508"/>
      <c r="H644" s="508"/>
      <c r="I644" s="508"/>
      <c r="J644" s="508"/>
      <c r="K644" s="508"/>
      <c r="L644" s="508"/>
      <c r="M644" s="508"/>
      <c r="N644" s="508"/>
      <c r="O644" s="508"/>
      <c r="P644" s="508"/>
      <c r="Q644" s="508"/>
      <c r="R644" s="508"/>
      <c r="S644" s="508"/>
      <c r="T644" s="508"/>
      <c r="U644" s="508"/>
      <c r="V644" s="508"/>
      <c r="W644" s="508"/>
      <c r="X644" s="508"/>
      <c r="Y644" s="508"/>
      <c r="Z644" s="508"/>
    </row>
    <row r="645">
      <c r="A645" s="508"/>
      <c r="B645" s="508"/>
      <c r="C645" s="508"/>
      <c r="D645" s="508"/>
      <c r="E645" s="508"/>
      <c r="F645" s="508"/>
      <c r="G645" s="508"/>
      <c r="H645" s="508"/>
      <c r="I645" s="508"/>
      <c r="J645" s="508"/>
      <c r="K645" s="508"/>
      <c r="L645" s="508"/>
      <c r="M645" s="508"/>
      <c r="N645" s="508"/>
      <c r="O645" s="508"/>
      <c r="P645" s="508"/>
      <c r="Q645" s="508"/>
      <c r="R645" s="508"/>
      <c r="S645" s="508"/>
      <c r="T645" s="508"/>
      <c r="U645" s="508"/>
      <c r="V645" s="508"/>
      <c r="W645" s="508"/>
      <c r="X645" s="508"/>
      <c r="Y645" s="508"/>
      <c r="Z645" s="508"/>
    </row>
    <row r="646">
      <c r="A646" s="508"/>
      <c r="B646" s="508"/>
      <c r="C646" s="508"/>
      <c r="D646" s="508"/>
      <c r="E646" s="508"/>
      <c r="F646" s="508"/>
      <c r="G646" s="508"/>
      <c r="H646" s="508"/>
      <c r="I646" s="508"/>
      <c r="J646" s="508"/>
      <c r="K646" s="508"/>
      <c r="L646" s="508"/>
      <c r="M646" s="508"/>
      <c r="N646" s="508"/>
      <c r="O646" s="508"/>
      <c r="P646" s="508"/>
      <c r="Q646" s="508"/>
      <c r="R646" s="508"/>
      <c r="S646" s="508"/>
      <c r="T646" s="508"/>
      <c r="U646" s="508"/>
      <c r="V646" s="508"/>
      <c r="W646" s="508"/>
      <c r="X646" s="508"/>
      <c r="Y646" s="508"/>
      <c r="Z646" s="508"/>
    </row>
    <row r="647">
      <c r="A647" s="508"/>
      <c r="B647" s="508"/>
      <c r="C647" s="508"/>
      <c r="D647" s="508"/>
      <c r="E647" s="508"/>
      <c r="F647" s="508"/>
      <c r="G647" s="508"/>
      <c r="H647" s="508"/>
      <c r="I647" s="508"/>
      <c r="J647" s="508"/>
      <c r="K647" s="508"/>
      <c r="L647" s="508"/>
      <c r="M647" s="508"/>
      <c r="N647" s="508"/>
      <c r="O647" s="508"/>
      <c r="P647" s="508"/>
      <c r="Q647" s="508"/>
      <c r="R647" s="508"/>
      <c r="S647" s="508"/>
      <c r="T647" s="508"/>
      <c r="U647" s="508"/>
      <c r="V647" s="508"/>
      <c r="W647" s="508"/>
      <c r="X647" s="508"/>
      <c r="Y647" s="508"/>
      <c r="Z647" s="508"/>
    </row>
    <row r="648">
      <c r="A648" s="508"/>
      <c r="B648" s="508"/>
      <c r="C648" s="508"/>
      <c r="D648" s="508"/>
      <c r="E648" s="508"/>
      <c r="F648" s="508"/>
      <c r="G648" s="508"/>
      <c r="H648" s="508"/>
      <c r="I648" s="508"/>
      <c r="J648" s="508"/>
      <c r="K648" s="508"/>
      <c r="L648" s="508"/>
      <c r="M648" s="508"/>
      <c r="N648" s="508"/>
      <c r="O648" s="508"/>
      <c r="P648" s="508"/>
      <c r="Q648" s="508"/>
      <c r="R648" s="508"/>
      <c r="S648" s="508"/>
      <c r="T648" s="508"/>
      <c r="U648" s="508"/>
      <c r="V648" s="508"/>
      <c r="W648" s="508"/>
      <c r="X648" s="508"/>
      <c r="Y648" s="508"/>
      <c r="Z648" s="508"/>
    </row>
    <row r="649">
      <c r="A649" s="508"/>
      <c r="B649" s="508"/>
      <c r="C649" s="508"/>
      <c r="D649" s="508"/>
      <c r="E649" s="508"/>
      <c r="F649" s="508"/>
      <c r="G649" s="508"/>
      <c r="H649" s="508"/>
      <c r="I649" s="508"/>
      <c r="J649" s="508"/>
      <c r="K649" s="508"/>
      <c r="L649" s="508"/>
      <c r="M649" s="508"/>
      <c r="N649" s="508"/>
      <c r="O649" s="508"/>
      <c r="P649" s="508"/>
      <c r="Q649" s="508"/>
      <c r="R649" s="508"/>
      <c r="S649" s="508"/>
      <c r="T649" s="508"/>
      <c r="U649" s="508"/>
      <c r="V649" s="508"/>
      <c r="W649" s="508"/>
      <c r="X649" s="508"/>
      <c r="Y649" s="508"/>
      <c r="Z649" s="508"/>
    </row>
    <row r="650">
      <c r="A650" s="508"/>
      <c r="B650" s="508"/>
      <c r="C650" s="508"/>
      <c r="D650" s="508"/>
      <c r="E650" s="508"/>
      <c r="F650" s="508"/>
      <c r="G650" s="508"/>
      <c r="H650" s="508"/>
      <c r="I650" s="508"/>
      <c r="J650" s="508"/>
      <c r="K650" s="508"/>
      <c r="L650" s="508"/>
      <c r="M650" s="508"/>
      <c r="N650" s="508"/>
      <c r="O650" s="508"/>
      <c r="P650" s="508"/>
      <c r="Q650" s="508"/>
      <c r="R650" s="508"/>
      <c r="S650" s="508"/>
      <c r="T650" s="508"/>
      <c r="U650" s="508"/>
      <c r="V650" s="508"/>
      <c r="W650" s="508"/>
      <c r="X650" s="508"/>
      <c r="Y650" s="508"/>
      <c r="Z650" s="508"/>
    </row>
    <row r="651">
      <c r="A651" s="508"/>
      <c r="B651" s="508"/>
      <c r="C651" s="508"/>
      <c r="D651" s="508"/>
      <c r="E651" s="508"/>
      <c r="F651" s="508"/>
      <c r="G651" s="508"/>
      <c r="H651" s="508"/>
      <c r="I651" s="508"/>
      <c r="J651" s="508"/>
      <c r="K651" s="508"/>
      <c r="L651" s="508"/>
      <c r="M651" s="508"/>
      <c r="N651" s="508"/>
      <c r="O651" s="508"/>
      <c r="P651" s="508"/>
      <c r="Q651" s="508"/>
      <c r="R651" s="508"/>
      <c r="S651" s="508"/>
      <c r="T651" s="508"/>
      <c r="U651" s="508"/>
      <c r="V651" s="508"/>
      <c r="W651" s="508"/>
      <c r="X651" s="508"/>
      <c r="Y651" s="508"/>
      <c r="Z651" s="508"/>
    </row>
    <row r="652">
      <c r="A652" s="508"/>
      <c r="B652" s="508"/>
      <c r="C652" s="508"/>
      <c r="D652" s="508"/>
      <c r="E652" s="508"/>
      <c r="F652" s="508"/>
      <c r="G652" s="508"/>
      <c r="H652" s="508"/>
      <c r="I652" s="508"/>
      <c r="J652" s="508"/>
      <c r="K652" s="508"/>
      <c r="L652" s="508"/>
      <c r="M652" s="508"/>
      <c r="N652" s="508"/>
      <c r="O652" s="508"/>
      <c r="P652" s="508"/>
      <c r="Q652" s="508"/>
      <c r="R652" s="508"/>
      <c r="S652" s="508"/>
      <c r="T652" s="508"/>
      <c r="U652" s="508"/>
      <c r="V652" s="508"/>
      <c r="W652" s="508"/>
      <c r="X652" s="508"/>
      <c r="Y652" s="508"/>
      <c r="Z652" s="508"/>
    </row>
    <row r="653">
      <c r="A653" s="508"/>
      <c r="B653" s="508"/>
      <c r="C653" s="508"/>
      <c r="D653" s="508"/>
      <c r="E653" s="508"/>
      <c r="F653" s="508"/>
      <c r="G653" s="508"/>
      <c r="H653" s="508"/>
      <c r="I653" s="508"/>
      <c r="J653" s="508"/>
      <c r="K653" s="508"/>
      <c r="L653" s="508"/>
      <c r="M653" s="508"/>
      <c r="N653" s="508"/>
      <c r="O653" s="508"/>
      <c r="P653" s="508"/>
      <c r="Q653" s="508"/>
      <c r="R653" s="508"/>
      <c r="S653" s="508"/>
      <c r="T653" s="508"/>
      <c r="U653" s="508"/>
      <c r="V653" s="508"/>
      <c r="W653" s="508"/>
      <c r="X653" s="508"/>
      <c r="Y653" s="508"/>
      <c r="Z653" s="508"/>
    </row>
    <row r="654">
      <c r="A654" s="508"/>
      <c r="B654" s="508"/>
      <c r="C654" s="508"/>
      <c r="D654" s="508"/>
      <c r="E654" s="508"/>
      <c r="F654" s="508"/>
      <c r="G654" s="508"/>
      <c r="H654" s="508"/>
      <c r="I654" s="508"/>
      <c r="J654" s="508"/>
      <c r="K654" s="508"/>
      <c r="L654" s="508"/>
      <c r="M654" s="508"/>
      <c r="N654" s="508"/>
      <c r="O654" s="508"/>
      <c r="P654" s="508"/>
      <c r="Q654" s="508"/>
      <c r="R654" s="508"/>
      <c r="S654" s="508"/>
      <c r="T654" s="508"/>
      <c r="U654" s="508"/>
      <c r="V654" s="508"/>
      <c r="W654" s="508"/>
      <c r="X654" s="508"/>
      <c r="Y654" s="508"/>
      <c r="Z654" s="508"/>
    </row>
    <row r="655">
      <c r="A655" s="508"/>
      <c r="B655" s="508"/>
      <c r="C655" s="508"/>
      <c r="D655" s="508"/>
      <c r="E655" s="508"/>
      <c r="F655" s="508"/>
      <c r="G655" s="508"/>
      <c r="H655" s="508"/>
      <c r="I655" s="508"/>
      <c r="J655" s="508"/>
      <c r="K655" s="508"/>
      <c r="L655" s="508"/>
      <c r="M655" s="508"/>
      <c r="N655" s="508"/>
      <c r="O655" s="508"/>
      <c r="P655" s="508"/>
      <c r="Q655" s="508"/>
      <c r="R655" s="508"/>
      <c r="S655" s="508"/>
      <c r="T655" s="508"/>
      <c r="U655" s="508"/>
      <c r="V655" s="508"/>
      <c r="W655" s="508"/>
      <c r="X655" s="508"/>
      <c r="Y655" s="508"/>
      <c r="Z655" s="508"/>
    </row>
    <row r="656">
      <c r="A656" s="508"/>
      <c r="B656" s="508"/>
      <c r="C656" s="508"/>
      <c r="D656" s="508"/>
      <c r="E656" s="508"/>
      <c r="F656" s="508"/>
      <c r="G656" s="508"/>
      <c r="H656" s="508"/>
      <c r="I656" s="508"/>
      <c r="J656" s="508"/>
      <c r="K656" s="508"/>
      <c r="L656" s="508"/>
      <c r="M656" s="508"/>
      <c r="N656" s="508"/>
      <c r="O656" s="508"/>
      <c r="P656" s="508"/>
      <c r="Q656" s="508"/>
      <c r="R656" s="508"/>
      <c r="S656" s="508"/>
      <c r="T656" s="508"/>
      <c r="U656" s="508"/>
      <c r="V656" s="508"/>
      <c r="W656" s="508"/>
      <c r="X656" s="508"/>
      <c r="Y656" s="508"/>
      <c r="Z656" s="508"/>
    </row>
    <row r="657">
      <c r="A657" s="508"/>
      <c r="B657" s="508"/>
      <c r="C657" s="508"/>
      <c r="D657" s="508"/>
      <c r="E657" s="508"/>
      <c r="F657" s="508"/>
      <c r="G657" s="508"/>
      <c r="H657" s="508"/>
      <c r="I657" s="508"/>
      <c r="J657" s="508"/>
      <c r="K657" s="508"/>
      <c r="L657" s="508"/>
      <c r="M657" s="508"/>
      <c r="N657" s="508"/>
      <c r="O657" s="508"/>
      <c r="P657" s="508"/>
      <c r="Q657" s="508"/>
      <c r="R657" s="508"/>
      <c r="S657" s="508"/>
      <c r="T657" s="508"/>
      <c r="U657" s="508"/>
      <c r="V657" s="508"/>
      <c r="W657" s="508"/>
      <c r="X657" s="508"/>
      <c r="Y657" s="508"/>
      <c r="Z657" s="508"/>
    </row>
    <row r="658">
      <c r="A658" s="508"/>
      <c r="B658" s="508"/>
      <c r="C658" s="508"/>
      <c r="D658" s="508"/>
      <c r="E658" s="508"/>
      <c r="F658" s="508"/>
      <c r="G658" s="508"/>
      <c r="H658" s="508"/>
      <c r="I658" s="508"/>
      <c r="J658" s="508"/>
      <c r="K658" s="508"/>
      <c r="L658" s="508"/>
      <c r="M658" s="508"/>
      <c r="N658" s="508"/>
      <c r="O658" s="508"/>
      <c r="P658" s="508"/>
      <c r="Q658" s="508"/>
      <c r="R658" s="508"/>
      <c r="S658" s="508"/>
      <c r="T658" s="508"/>
      <c r="U658" s="508"/>
      <c r="V658" s="508"/>
      <c r="W658" s="508"/>
      <c r="X658" s="508"/>
      <c r="Y658" s="508"/>
      <c r="Z658" s="508"/>
    </row>
    <row r="659">
      <c r="A659" s="508"/>
      <c r="B659" s="508"/>
      <c r="C659" s="508"/>
      <c r="D659" s="508"/>
      <c r="E659" s="508"/>
      <c r="F659" s="508"/>
      <c r="G659" s="508"/>
      <c r="H659" s="508"/>
      <c r="I659" s="508"/>
      <c r="J659" s="508"/>
      <c r="K659" s="508"/>
      <c r="L659" s="508"/>
      <c r="M659" s="508"/>
      <c r="N659" s="508"/>
      <c r="O659" s="508"/>
      <c r="P659" s="508"/>
      <c r="Q659" s="508"/>
      <c r="R659" s="508"/>
      <c r="S659" s="508"/>
      <c r="T659" s="508"/>
      <c r="U659" s="508"/>
      <c r="V659" s="508"/>
      <c r="W659" s="508"/>
      <c r="X659" s="508"/>
      <c r="Y659" s="508"/>
      <c r="Z659" s="508"/>
    </row>
    <row r="660">
      <c r="A660" s="508"/>
      <c r="B660" s="508"/>
      <c r="C660" s="508"/>
      <c r="D660" s="508"/>
      <c r="E660" s="508"/>
      <c r="F660" s="508"/>
      <c r="G660" s="508"/>
      <c r="H660" s="508"/>
      <c r="I660" s="508"/>
      <c r="J660" s="508"/>
      <c r="K660" s="508"/>
      <c r="L660" s="508"/>
      <c r="M660" s="508"/>
      <c r="N660" s="508"/>
      <c r="O660" s="508"/>
      <c r="P660" s="508"/>
      <c r="Q660" s="508"/>
      <c r="R660" s="508"/>
      <c r="S660" s="508"/>
      <c r="T660" s="508"/>
      <c r="U660" s="508"/>
      <c r="V660" s="508"/>
      <c r="W660" s="508"/>
      <c r="X660" s="508"/>
      <c r="Y660" s="508"/>
      <c r="Z660" s="508"/>
    </row>
    <row r="661">
      <c r="A661" s="508"/>
      <c r="B661" s="508"/>
      <c r="C661" s="508"/>
      <c r="D661" s="508"/>
      <c r="E661" s="508"/>
      <c r="F661" s="508"/>
      <c r="G661" s="508"/>
      <c r="H661" s="508"/>
      <c r="I661" s="508"/>
      <c r="J661" s="508"/>
      <c r="K661" s="508"/>
      <c r="L661" s="508"/>
      <c r="M661" s="508"/>
      <c r="N661" s="508"/>
      <c r="O661" s="508"/>
      <c r="P661" s="508"/>
      <c r="Q661" s="508"/>
      <c r="R661" s="508"/>
      <c r="S661" s="508"/>
      <c r="T661" s="508"/>
      <c r="U661" s="508"/>
      <c r="V661" s="508"/>
      <c r="W661" s="508"/>
      <c r="X661" s="508"/>
      <c r="Y661" s="508"/>
      <c r="Z661" s="508"/>
    </row>
    <row r="662">
      <c r="A662" s="508"/>
      <c r="B662" s="508"/>
      <c r="C662" s="508"/>
      <c r="D662" s="508"/>
      <c r="E662" s="508"/>
      <c r="F662" s="508"/>
      <c r="G662" s="508"/>
      <c r="H662" s="508"/>
      <c r="I662" s="508"/>
      <c r="J662" s="508"/>
      <c r="K662" s="508"/>
      <c r="L662" s="508"/>
      <c r="M662" s="508"/>
      <c r="N662" s="508"/>
      <c r="O662" s="508"/>
      <c r="P662" s="508"/>
      <c r="Q662" s="508"/>
      <c r="R662" s="508"/>
      <c r="S662" s="508"/>
      <c r="T662" s="508"/>
      <c r="U662" s="508"/>
      <c r="V662" s="508"/>
      <c r="W662" s="508"/>
      <c r="X662" s="508"/>
      <c r="Y662" s="508"/>
      <c r="Z662" s="508"/>
    </row>
    <row r="663">
      <c r="A663" s="508"/>
      <c r="B663" s="508"/>
      <c r="C663" s="508"/>
      <c r="D663" s="508"/>
      <c r="E663" s="508"/>
      <c r="F663" s="508"/>
      <c r="G663" s="508"/>
      <c r="H663" s="508"/>
      <c r="I663" s="508"/>
      <c r="J663" s="508"/>
      <c r="K663" s="508"/>
      <c r="L663" s="508"/>
      <c r="M663" s="508"/>
      <c r="N663" s="508"/>
      <c r="O663" s="508"/>
      <c r="P663" s="508"/>
      <c r="Q663" s="508"/>
      <c r="R663" s="508"/>
      <c r="S663" s="508"/>
      <c r="T663" s="508"/>
      <c r="U663" s="508"/>
      <c r="V663" s="508"/>
      <c r="W663" s="508"/>
      <c r="X663" s="508"/>
      <c r="Y663" s="508"/>
      <c r="Z663" s="508"/>
    </row>
    <row r="664">
      <c r="A664" s="508"/>
      <c r="B664" s="508"/>
      <c r="C664" s="508"/>
      <c r="D664" s="508"/>
      <c r="E664" s="508"/>
      <c r="F664" s="508"/>
      <c r="G664" s="508"/>
      <c r="H664" s="508"/>
      <c r="I664" s="508"/>
      <c r="J664" s="508"/>
      <c r="K664" s="508"/>
      <c r="L664" s="508"/>
      <c r="M664" s="508"/>
      <c r="N664" s="508"/>
      <c r="O664" s="508"/>
      <c r="P664" s="508"/>
      <c r="Q664" s="508"/>
      <c r="R664" s="508"/>
      <c r="S664" s="508"/>
      <c r="T664" s="508"/>
      <c r="U664" s="508"/>
      <c r="V664" s="508"/>
      <c r="W664" s="508"/>
      <c r="X664" s="508"/>
      <c r="Y664" s="508"/>
      <c r="Z664" s="508"/>
    </row>
    <row r="665">
      <c r="A665" s="508"/>
      <c r="B665" s="508"/>
      <c r="C665" s="508"/>
      <c r="D665" s="508"/>
      <c r="E665" s="508"/>
      <c r="F665" s="508"/>
      <c r="G665" s="508"/>
      <c r="H665" s="508"/>
      <c r="I665" s="508"/>
      <c r="J665" s="508"/>
      <c r="K665" s="508"/>
      <c r="L665" s="508"/>
      <c r="M665" s="508"/>
      <c r="N665" s="508"/>
      <c r="O665" s="508"/>
      <c r="P665" s="508"/>
      <c r="Q665" s="508"/>
      <c r="R665" s="508"/>
      <c r="S665" s="508"/>
      <c r="T665" s="508"/>
      <c r="U665" s="508"/>
      <c r="V665" s="508"/>
      <c r="W665" s="508"/>
      <c r="X665" s="508"/>
      <c r="Y665" s="508"/>
      <c r="Z665" s="508"/>
    </row>
    <row r="666">
      <c r="A666" s="508"/>
      <c r="B666" s="508"/>
      <c r="C666" s="508"/>
      <c r="D666" s="508"/>
      <c r="E666" s="508"/>
      <c r="F666" s="508"/>
      <c r="G666" s="508"/>
      <c r="H666" s="508"/>
      <c r="I666" s="508"/>
      <c r="J666" s="508"/>
      <c r="K666" s="508"/>
      <c r="L666" s="508"/>
      <c r="M666" s="508"/>
      <c r="N666" s="508"/>
      <c r="O666" s="508"/>
      <c r="P666" s="508"/>
      <c r="Q666" s="508"/>
      <c r="R666" s="508"/>
      <c r="S666" s="508"/>
      <c r="T666" s="508"/>
      <c r="U666" s="508"/>
      <c r="V666" s="508"/>
      <c r="W666" s="508"/>
      <c r="X666" s="508"/>
      <c r="Y666" s="508"/>
      <c r="Z666" s="508"/>
    </row>
    <row r="667">
      <c r="A667" s="508"/>
      <c r="B667" s="508"/>
      <c r="C667" s="508"/>
      <c r="D667" s="508"/>
      <c r="E667" s="508"/>
      <c r="F667" s="508"/>
      <c r="G667" s="508"/>
      <c r="H667" s="508"/>
      <c r="I667" s="508"/>
      <c r="J667" s="508"/>
      <c r="K667" s="508"/>
      <c r="L667" s="508"/>
      <c r="M667" s="508"/>
      <c r="N667" s="508"/>
      <c r="O667" s="508"/>
      <c r="P667" s="508"/>
      <c r="Q667" s="508"/>
      <c r="R667" s="508"/>
      <c r="S667" s="508"/>
      <c r="T667" s="508"/>
      <c r="U667" s="508"/>
      <c r="V667" s="508"/>
      <c r="W667" s="508"/>
      <c r="X667" s="508"/>
      <c r="Y667" s="508"/>
      <c r="Z667" s="508"/>
    </row>
    <row r="668">
      <c r="A668" s="508"/>
      <c r="B668" s="508"/>
      <c r="C668" s="508"/>
      <c r="D668" s="508"/>
      <c r="E668" s="508"/>
      <c r="F668" s="508"/>
      <c r="G668" s="508"/>
      <c r="H668" s="508"/>
      <c r="I668" s="508"/>
      <c r="J668" s="508"/>
      <c r="K668" s="508"/>
      <c r="L668" s="508"/>
      <c r="M668" s="508"/>
      <c r="N668" s="508"/>
      <c r="O668" s="508"/>
      <c r="P668" s="508"/>
      <c r="Q668" s="508"/>
      <c r="R668" s="508"/>
      <c r="S668" s="508"/>
      <c r="T668" s="508"/>
      <c r="U668" s="508"/>
      <c r="V668" s="508"/>
      <c r="W668" s="508"/>
      <c r="X668" s="508"/>
      <c r="Y668" s="508"/>
      <c r="Z668" s="508"/>
    </row>
    <row r="669">
      <c r="A669" s="508"/>
      <c r="B669" s="508"/>
      <c r="C669" s="508"/>
      <c r="D669" s="508"/>
      <c r="E669" s="508"/>
      <c r="F669" s="508"/>
      <c r="G669" s="508"/>
      <c r="H669" s="508"/>
      <c r="I669" s="508"/>
      <c r="J669" s="508"/>
      <c r="K669" s="508"/>
      <c r="L669" s="508"/>
      <c r="M669" s="508"/>
      <c r="N669" s="508"/>
      <c r="O669" s="508"/>
      <c r="P669" s="508"/>
      <c r="Q669" s="508"/>
      <c r="R669" s="508"/>
      <c r="S669" s="508"/>
      <c r="T669" s="508"/>
      <c r="U669" s="508"/>
      <c r="V669" s="508"/>
      <c r="W669" s="508"/>
      <c r="X669" s="508"/>
      <c r="Y669" s="508"/>
      <c r="Z669" s="508"/>
    </row>
    <row r="670">
      <c r="A670" s="508"/>
      <c r="B670" s="508"/>
      <c r="C670" s="508"/>
      <c r="D670" s="508"/>
      <c r="E670" s="508"/>
      <c r="F670" s="508"/>
      <c r="G670" s="508"/>
      <c r="H670" s="508"/>
      <c r="I670" s="508"/>
      <c r="J670" s="508"/>
      <c r="K670" s="508"/>
      <c r="L670" s="508"/>
      <c r="M670" s="508"/>
      <c r="N670" s="508"/>
      <c r="O670" s="508"/>
      <c r="P670" s="508"/>
      <c r="Q670" s="508"/>
      <c r="R670" s="508"/>
      <c r="S670" s="508"/>
      <c r="T670" s="508"/>
      <c r="U670" s="508"/>
      <c r="V670" s="508"/>
      <c r="W670" s="508"/>
      <c r="X670" s="508"/>
      <c r="Y670" s="508"/>
      <c r="Z670" s="508"/>
    </row>
    <row r="671">
      <c r="A671" s="508"/>
      <c r="B671" s="508"/>
      <c r="C671" s="508"/>
      <c r="D671" s="508"/>
      <c r="E671" s="508"/>
      <c r="F671" s="508"/>
      <c r="G671" s="508"/>
      <c r="H671" s="508"/>
      <c r="I671" s="508"/>
      <c r="J671" s="508"/>
      <c r="K671" s="508"/>
      <c r="L671" s="508"/>
      <c r="M671" s="508"/>
      <c r="N671" s="508"/>
      <c r="O671" s="508"/>
      <c r="P671" s="508"/>
      <c r="Q671" s="508"/>
      <c r="R671" s="508"/>
      <c r="S671" s="508"/>
      <c r="T671" s="508"/>
      <c r="U671" s="508"/>
      <c r="V671" s="508"/>
      <c r="W671" s="508"/>
      <c r="X671" s="508"/>
      <c r="Y671" s="508"/>
      <c r="Z671" s="508"/>
    </row>
    <row r="672">
      <c r="A672" s="508"/>
      <c r="B672" s="508"/>
      <c r="C672" s="508"/>
      <c r="D672" s="508"/>
      <c r="E672" s="508"/>
      <c r="F672" s="508"/>
      <c r="G672" s="508"/>
      <c r="H672" s="508"/>
      <c r="I672" s="508"/>
      <c r="J672" s="508"/>
      <c r="K672" s="508"/>
      <c r="L672" s="508"/>
      <c r="M672" s="508"/>
      <c r="N672" s="508"/>
      <c r="O672" s="508"/>
      <c r="P672" s="508"/>
      <c r="Q672" s="508"/>
      <c r="R672" s="508"/>
      <c r="S672" s="508"/>
      <c r="T672" s="508"/>
      <c r="U672" s="508"/>
      <c r="V672" s="508"/>
      <c r="W672" s="508"/>
      <c r="X672" s="508"/>
      <c r="Y672" s="508"/>
      <c r="Z672" s="508"/>
    </row>
    <row r="673">
      <c r="A673" s="508"/>
      <c r="B673" s="508"/>
      <c r="C673" s="508"/>
      <c r="D673" s="508"/>
      <c r="E673" s="508"/>
      <c r="F673" s="508"/>
      <c r="G673" s="508"/>
      <c r="H673" s="508"/>
      <c r="I673" s="508"/>
      <c r="J673" s="508"/>
      <c r="K673" s="508"/>
      <c r="L673" s="508"/>
      <c r="M673" s="508"/>
      <c r="N673" s="508"/>
      <c r="O673" s="508"/>
      <c r="P673" s="508"/>
      <c r="Q673" s="508"/>
      <c r="R673" s="508"/>
      <c r="S673" s="508"/>
      <c r="T673" s="508"/>
      <c r="U673" s="508"/>
      <c r="V673" s="508"/>
      <c r="W673" s="508"/>
      <c r="X673" s="508"/>
      <c r="Y673" s="508"/>
      <c r="Z673" s="508"/>
    </row>
    <row r="674">
      <c r="A674" s="508"/>
      <c r="B674" s="508"/>
      <c r="C674" s="508"/>
      <c r="D674" s="508"/>
      <c r="E674" s="508"/>
      <c r="F674" s="508"/>
      <c r="G674" s="508"/>
      <c r="H674" s="508"/>
      <c r="I674" s="508"/>
      <c r="J674" s="508"/>
      <c r="K674" s="508"/>
      <c r="L674" s="508"/>
      <c r="M674" s="508"/>
      <c r="N674" s="508"/>
      <c r="O674" s="508"/>
      <c r="P674" s="508"/>
      <c r="Q674" s="508"/>
      <c r="R674" s="508"/>
      <c r="S674" s="508"/>
      <c r="T674" s="508"/>
      <c r="U674" s="508"/>
      <c r="V674" s="508"/>
      <c r="W674" s="508"/>
      <c r="X674" s="508"/>
      <c r="Y674" s="508"/>
      <c r="Z674" s="508"/>
    </row>
    <row r="675">
      <c r="A675" s="508"/>
      <c r="B675" s="508"/>
      <c r="C675" s="508"/>
      <c r="D675" s="508"/>
      <c r="E675" s="508"/>
      <c r="F675" s="508"/>
      <c r="G675" s="508"/>
      <c r="H675" s="508"/>
      <c r="I675" s="508"/>
      <c r="J675" s="508"/>
      <c r="K675" s="508"/>
      <c r="L675" s="508"/>
      <c r="M675" s="508"/>
      <c r="N675" s="508"/>
      <c r="O675" s="508"/>
      <c r="P675" s="508"/>
      <c r="Q675" s="508"/>
      <c r="R675" s="508"/>
      <c r="S675" s="508"/>
      <c r="T675" s="508"/>
      <c r="U675" s="508"/>
      <c r="V675" s="508"/>
      <c r="W675" s="508"/>
      <c r="X675" s="508"/>
      <c r="Y675" s="508"/>
      <c r="Z675" s="508"/>
    </row>
    <row r="676">
      <c r="A676" s="508"/>
      <c r="B676" s="508"/>
      <c r="C676" s="508"/>
      <c r="D676" s="508"/>
      <c r="E676" s="508"/>
      <c r="F676" s="508"/>
      <c r="G676" s="508"/>
      <c r="H676" s="508"/>
      <c r="I676" s="508"/>
      <c r="J676" s="508"/>
      <c r="K676" s="508"/>
      <c r="L676" s="508"/>
      <c r="M676" s="508"/>
      <c r="N676" s="508"/>
      <c r="O676" s="508"/>
      <c r="P676" s="508"/>
      <c r="Q676" s="508"/>
      <c r="R676" s="508"/>
      <c r="S676" s="508"/>
      <c r="T676" s="508"/>
      <c r="U676" s="508"/>
      <c r="V676" s="508"/>
      <c r="W676" s="508"/>
      <c r="X676" s="508"/>
      <c r="Y676" s="508"/>
      <c r="Z676" s="508"/>
    </row>
    <row r="677">
      <c r="A677" s="508"/>
      <c r="B677" s="508"/>
      <c r="C677" s="508"/>
      <c r="D677" s="508"/>
      <c r="E677" s="508"/>
      <c r="F677" s="508"/>
      <c r="G677" s="508"/>
      <c r="H677" s="508"/>
      <c r="I677" s="508"/>
      <c r="J677" s="508"/>
      <c r="K677" s="508"/>
      <c r="L677" s="508"/>
      <c r="M677" s="508"/>
      <c r="N677" s="508"/>
      <c r="O677" s="508"/>
      <c r="P677" s="508"/>
      <c r="Q677" s="508"/>
      <c r="R677" s="508"/>
      <c r="S677" s="508"/>
      <c r="T677" s="508"/>
      <c r="U677" s="508"/>
      <c r="V677" s="508"/>
      <c r="W677" s="508"/>
      <c r="X677" s="508"/>
      <c r="Y677" s="508"/>
      <c r="Z677" s="508"/>
    </row>
    <row r="678">
      <c r="A678" s="508"/>
      <c r="B678" s="508"/>
      <c r="C678" s="508"/>
      <c r="D678" s="508"/>
      <c r="E678" s="508"/>
      <c r="F678" s="508"/>
      <c r="G678" s="508"/>
      <c r="H678" s="508"/>
      <c r="I678" s="508"/>
      <c r="J678" s="508"/>
      <c r="K678" s="508"/>
      <c r="L678" s="508"/>
      <c r="M678" s="508"/>
      <c r="N678" s="508"/>
      <c r="O678" s="508"/>
      <c r="P678" s="508"/>
      <c r="Q678" s="508"/>
      <c r="R678" s="508"/>
      <c r="S678" s="508"/>
      <c r="T678" s="508"/>
      <c r="U678" s="508"/>
      <c r="V678" s="508"/>
      <c r="W678" s="508"/>
      <c r="X678" s="508"/>
      <c r="Y678" s="508"/>
      <c r="Z678" s="508"/>
    </row>
    <row r="679">
      <c r="A679" s="508"/>
      <c r="B679" s="508"/>
      <c r="C679" s="508"/>
      <c r="D679" s="508"/>
      <c r="E679" s="508"/>
      <c r="F679" s="508"/>
      <c r="G679" s="508"/>
      <c r="H679" s="508"/>
      <c r="I679" s="508"/>
      <c r="J679" s="508"/>
      <c r="K679" s="508"/>
      <c r="L679" s="508"/>
      <c r="M679" s="508"/>
      <c r="N679" s="508"/>
      <c r="O679" s="508"/>
      <c r="P679" s="508"/>
      <c r="Q679" s="508"/>
      <c r="R679" s="508"/>
      <c r="S679" s="508"/>
      <c r="T679" s="508"/>
      <c r="U679" s="508"/>
      <c r="V679" s="508"/>
      <c r="W679" s="508"/>
      <c r="X679" s="508"/>
      <c r="Y679" s="508"/>
      <c r="Z679" s="508"/>
    </row>
    <row r="680">
      <c r="A680" s="508"/>
      <c r="B680" s="508"/>
      <c r="C680" s="508"/>
      <c r="D680" s="508"/>
      <c r="E680" s="508"/>
      <c r="F680" s="508"/>
      <c r="G680" s="508"/>
      <c r="H680" s="508"/>
      <c r="I680" s="508"/>
      <c r="J680" s="508"/>
      <c r="K680" s="508"/>
      <c r="L680" s="508"/>
      <c r="M680" s="508"/>
      <c r="N680" s="508"/>
      <c r="O680" s="508"/>
      <c r="P680" s="508"/>
      <c r="Q680" s="508"/>
      <c r="R680" s="508"/>
      <c r="S680" s="508"/>
      <c r="T680" s="508"/>
      <c r="U680" s="508"/>
      <c r="V680" s="508"/>
      <c r="W680" s="508"/>
      <c r="X680" s="508"/>
      <c r="Y680" s="508"/>
      <c r="Z680" s="508"/>
    </row>
    <row r="681">
      <c r="A681" s="508"/>
      <c r="B681" s="508"/>
      <c r="C681" s="508"/>
      <c r="D681" s="508"/>
      <c r="E681" s="508"/>
      <c r="F681" s="508"/>
      <c r="G681" s="508"/>
      <c r="H681" s="508"/>
      <c r="I681" s="508"/>
      <c r="J681" s="508"/>
      <c r="K681" s="508"/>
      <c r="L681" s="508"/>
      <c r="M681" s="508"/>
      <c r="N681" s="508"/>
      <c r="O681" s="508"/>
      <c r="P681" s="508"/>
      <c r="Q681" s="508"/>
      <c r="R681" s="508"/>
      <c r="S681" s="508"/>
      <c r="T681" s="508"/>
      <c r="U681" s="508"/>
      <c r="V681" s="508"/>
      <c r="W681" s="508"/>
      <c r="X681" s="508"/>
      <c r="Y681" s="508"/>
      <c r="Z681" s="508"/>
    </row>
    <row r="682">
      <c r="A682" s="508"/>
      <c r="B682" s="508"/>
      <c r="C682" s="508"/>
      <c r="D682" s="508"/>
      <c r="E682" s="508"/>
      <c r="F682" s="508"/>
      <c r="G682" s="508"/>
      <c r="H682" s="508"/>
      <c r="I682" s="508"/>
      <c r="J682" s="508"/>
      <c r="K682" s="508"/>
      <c r="L682" s="508"/>
      <c r="M682" s="508"/>
      <c r="N682" s="508"/>
      <c r="O682" s="508"/>
      <c r="P682" s="508"/>
      <c r="Q682" s="508"/>
      <c r="R682" s="508"/>
      <c r="S682" s="508"/>
      <c r="T682" s="508"/>
      <c r="U682" s="508"/>
      <c r="V682" s="508"/>
      <c r="W682" s="508"/>
      <c r="X682" s="508"/>
      <c r="Y682" s="508"/>
      <c r="Z682" s="508"/>
    </row>
    <row r="683">
      <c r="A683" s="508"/>
      <c r="B683" s="508"/>
      <c r="C683" s="508"/>
      <c r="D683" s="508"/>
      <c r="E683" s="508"/>
      <c r="F683" s="508"/>
      <c r="G683" s="508"/>
      <c r="H683" s="508"/>
      <c r="I683" s="508"/>
      <c r="J683" s="508"/>
      <c r="K683" s="508"/>
      <c r="L683" s="508"/>
      <c r="M683" s="508"/>
      <c r="N683" s="508"/>
      <c r="O683" s="508"/>
      <c r="P683" s="508"/>
      <c r="Q683" s="508"/>
      <c r="R683" s="508"/>
      <c r="S683" s="508"/>
      <c r="T683" s="508"/>
      <c r="U683" s="508"/>
      <c r="V683" s="508"/>
      <c r="W683" s="508"/>
      <c r="X683" s="508"/>
      <c r="Y683" s="508"/>
      <c r="Z683" s="508"/>
    </row>
    <row r="684">
      <c r="A684" s="508"/>
      <c r="B684" s="508"/>
      <c r="C684" s="508"/>
      <c r="D684" s="508"/>
      <c r="E684" s="508"/>
      <c r="F684" s="508"/>
      <c r="G684" s="508"/>
      <c r="H684" s="508"/>
      <c r="I684" s="508"/>
      <c r="J684" s="508"/>
      <c r="K684" s="508"/>
      <c r="L684" s="508"/>
      <c r="M684" s="508"/>
      <c r="N684" s="508"/>
      <c r="O684" s="508"/>
      <c r="P684" s="508"/>
      <c r="Q684" s="508"/>
      <c r="R684" s="508"/>
      <c r="S684" s="508"/>
      <c r="T684" s="508"/>
      <c r="U684" s="508"/>
      <c r="V684" s="508"/>
      <c r="W684" s="508"/>
      <c r="X684" s="508"/>
      <c r="Y684" s="508"/>
      <c r="Z684" s="508"/>
    </row>
    <row r="685">
      <c r="A685" s="508"/>
      <c r="B685" s="508"/>
      <c r="C685" s="508"/>
      <c r="D685" s="508"/>
      <c r="E685" s="508"/>
      <c r="F685" s="508"/>
      <c r="G685" s="508"/>
      <c r="H685" s="508"/>
      <c r="I685" s="508"/>
      <c r="J685" s="508"/>
      <c r="K685" s="508"/>
      <c r="L685" s="508"/>
      <c r="M685" s="508"/>
      <c r="N685" s="508"/>
      <c r="O685" s="508"/>
      <c r="P685" s="508"/>
      <c r="Q685" s="508"/>
      <c r="R685" s="508"/>
      <c r="S685" s="508"/>
      <c r="T685" s="508"/>
      <c r="U685" s="508"/>
      <c r="V685" s="508"/>
      <c r="W685" s="508"/>
      <c r="X685" s="508"/>
      <c r="Y685" s="508"/>
      <c r="Z685" s="508"/>
    </row>
    <row r="686">
      <c r="A686" s="508"/>
      <c r="B686" s="508"/>
      <c r="C686" s="508"/>
      <c r="D686" s="508"/>
      <c r="E686" s="508"/>
      <c r="F686" s="508"/>
      <c r="G686" s="508"/>
      <c r="H686" s="508"/>
      <c r="I686" s="508"/>
      <c r="J686" s="508"/>
      <c r="K686" s="508"/>
      <c r="L686" s="508"/>
      <c r="M686" s="508"/>
      <c r="N686" s="508"/>
      <c r="O686" s="508"/>
      <c r="P686" s="508"/>
      <c r="Q686" s="508"/>
      <c r="R686" s="508"/>
      <c r="S686" s="508"/>
      <c r="T686" s="508"/>
      <c r="U686" s="508"/>
      <c r="V686" s="508"/>
      <c r="W686" s="508"/>
      <c r="X686" s="508"/>
      <c r="Y686" s="508"/>
      <c r="Z686" s="508"/>
    </row>
    <row r="687">
      <c r="A687" s="508"/>
      <c r="B687" s="508"/>
      <c r="C687" s="508"/>
      <c r="D687" s="508"/>
      <c r="E687" s="508"/>
      <c r="F687" s="508"/>
      <c r="G687" s="508"/>
      <c r="H687" s="508"/>
      <c r="I687" s="508"/>
      <c r="J687" s="508"/>
      <c r="K687" s="508"/>
      <c r="L687" s="508"/>
      <c r="M687" s="508"/>
      <c r="N687" s="508"/>
      <c r="O687" s="508"/>
      <c r="P687" s="508"/>
      <c r="Q687" s="508"/>
      <c r="R687" s="508"/>
      <c r="S687" s="508"/>
      <c r="T687" s="508"/>
      <c r="U687" s="508"/>
      <c r="V687" s="508"/>
      <c r="W687" s="508"/>
      <c r="X687" s="508"/>
      <c r="Y687" s="508"/>
      <c r="Z687" s="508"/>
    </row>
    <row r="688">
      <c r="A688" s="508"/>
      <c r="B688" s="508"/>
      <c r="C688" s="508"/>
      <c r="D688" s="508"/>
      <c r="E688" s="508"/>
      <c r="F688" s="508"/>
      <c r="G688" s="508"/>
      <c r="H688" s="508"/>
      <c r="I688" s="508"/>
      <c r="J688" s="508"/>
      <c r="K688" s="508"/>
      <c r="L688" s="508"/>
      <c r="M688" s="508"/>
      <c r="N688" s="508"/>
      <c r="O688" s="508"/>
      <c r="P688" s="508"/>
      <c r="Q688" s="508"/>
      <c r="R688" s="508"/>
      <c r="S688" s="508"/>
      <c r="T688" s="508"/>
      <c r="U688" s="508"/>
      <c r="V688" s="508"/>
      <c r="W688" s="508"/>
      <c r="X688" s="508"/>
      <c r="Y688" s="508"/>
      <c r="Z688" s="508"/>
    </row>
    <row r="689">
      <c r="A689" s="508"/>
      <c r="B689" s="508"/>
      <c r="C689" s="508"/>
      <c r="D689" s="508"/>
      <c r="E689" s="508"/>
      <c r="F689" s="508"/>
      <c r="G689" s="508"/>
      <c r="H689" s="508"/>
      <c r="I689" s="508"/>
      <c r="J689" s="508"/>
      <c r="K689" s="508"/>
      <c r="L689" s="508"/>
      <c r="M689" s="508"/>
      <c r="N689" s="508"/>
      <c r="O689" s="508"/>
      <c r="P689" s="508"/>
      <c r="Q689" s="508"/>
      <c r="R689" s="508"/>
      <c r="S689" s="508"/>
      <c r="T689" s="508"/>
      <c r="U689" s="508"/>
      <c r="V689" s="508"/>
      <c r="W689" s="508"/>
      <c r="X689" s="508"/>
      <c r="Y689" s="508"/>
      <c r="Z689" s="508"/>
    </row>
    <row r="690">
      <c r="A690" s="508"/>
      <c r="B690" s="508"/>
      <c r="C690" s="508"/>
      <c r="D690" s="508"/>
      <c r="E690" s="508"/>
      <c r="F690" s="508"/>
      <c r="G690" s="508"/>
      <c r="H690" s="508"/>
      <c r="I690" s="508"/>
      <c r="J690" s="508"/>
      <c r="K690" s="508"/>
      <c r="L690" s="508"/>
      <c r="M690" s="508"/>
      <c r="N690" s="508"/>
      <c r="O690" s="508"/>
      <c r="P690" s="508"/>
      <c r="Q690" s="508"/>
      <c r="R690" s="508"/>
      <c r="S690" s="508"/>
      <c r="T690" s="508"/>
      <c r="U690" s="508"/>
      <c r="V690" s="508"/>
      <c r="W690" s="508"/>
      <c r="X690" s="508"/>
      <c r="Y690" s="508"/>
      <c r="Z690" s="508"/>
    </row>
    <row r="691">
      <c r="A691" s="508"/>
      <c r="B691" s="508"/>
      <c r="C691" s="508"/>
      <c r="D691" s="508"/>
      <c r="E691" s="508"/>
      <c r="F691" s="508"/>
      <c r="G691" s="508"/>
      <c r="H691" s="508"/>
      <c r="I691" s="508"/>
      <c r="J691" s="508"/>
      <c r="K691" s="508"/>
      <c r="L691" s="508"/>
      <c r="M691" s="508"/>
      <c r="N691" s="508"/>
      <c r="O691" s="508"/>
      <c r="P691" s="508"/>
      <c r="Q691" s="508"/>
      <c r="R691" s="508"/>
      <c r="S691" s="508"/>
      <c r="T691" s="508"/>
      <c r="U691" s="508"/>
      <c r="V691" s="508"/>
      <c r="W691" s="508"/>
      <c r="X691" s="508"/>
      <c r="Y691" s="508"/>
      <c r="Z691" s="508"/>
    </row>
    <row r="692">
      <c r="A692" s="508"/>
      <c r="B692" s="508"/>
      <c r="C692" s="508"/>
      <c r="D692" s="508"/>
      <c r="E692" s="508"/>
      <c r="F692" s="508"/>
      <c r="G692" s="508"/>
      <c r="H692" s="508"/>
      <c r="I692" s="508"/>
      <c r="J692" s="508"/>
      <c r="K692" s="508"/>
      <c r="L692" s="508"/>
      <c r="M692" s="508"/>
      <c r="N692" s="508"/>
      <c r="O692" s="508"/>
      <c r="P692" s="508"/>
      <c r="Q692" s="508"/>
      <c r="R692" s="508"/>
      <c r="S692" s="508"/>
      <c r="T692" s="508"/>
      <c r="U692" s="508"/>
      <c r="V692" s="508"/>
      <c r="W692" s="508"/>
      <c r="X692" s="508"/>
      <c r="Y692" s="508"/>
      <c r="Z692" s="508"/>
    </row>
    <row r="693">
      <c r="A693" s="508"/>
      <c r="B693" s="508"/>
      <c r="C693" s="508"/>
      <c r="D693" s="508"/>
      <c r="E693" s="508"/>
      <c r="F693" s="508"/>
      <c r="G693" s="508"/>
      <c r="H693" s="508"/>
      <c r="I693" s="508"/>
      <c r="J693" s="508"/>
      <c r="K693" s="508"/>
      <c r="L693" s="508"/>
      <c r="M693" s="508"/>
      <c r="N693" s="508"/>
      <c r="O693" s="508"/>
      <c r="P693" s="508"/>
      <c r="Q693" s="508"/>
      <c r="R693" s="508"/>
      <c r="S693" s="508"/>
      <c r="T693" s="508"/>
      <c r="U693" s="508"/>
      <c r="V693" s="508"/>
      <c r="W693" s="508"/>
      <c r="X693" s="508"/>
      <c r="Y693" s="508"/>
      <c r="Z693" s="508"/>
    </row>
    <row r="694">
      <c r="A694" s="508"/>
      <c r="B694" s="508"/>
      <c r="C694" s="508"/>
      <c r="D694" s="508"/>
      <c r="E694" s="508"/>
      <c r="F694" s="508"/>
      <c r="G694" s="508"/>
      <c r="H694" s="508"/>
      <c r="I694" s="508"/>
      <c r="J694" s="508"/>
      <c r="K694" s="508"/>
      <c r="L694" s="508"/>
      <c r="M694" s="508"/>
      <c r="N694" s="508"/>
      <c r="O694" s="508"/>
      <c r="P694" s="508"/>
      <c r="Q694" s="508"/>
      <c r="R694" s="508"/>
      <c r="S694" s="508"/>
      <c r="T694" s="508"/>
      <c r="U694" s="508"/>
      <c r="V694" s="508"/>
      <c r="W694" s="508"/>
      <c r="X694" s="508"/>
      <c r="Y694" s="508"/>
      <c r="Z694" s="508"/>
    </row>
    <row r="695">
      <c r="A695" s="508"/>
      <c r="B695" s="508"/>
      <c r="C695" s="508"/>
      <c r="D695" s="508"/>
      <c r="E695" s="508"/>
      <c r="F695" s="508"/>
      <c r="G695" s="508"/>
      <c r="H695" s="508"/>
      <c r="I695" s="508"/>
      <c r="J695" s="508"/>
      <c r="K695" s="508"/>
      <c r="L695" s="508"/>
      <c r="M695" s="508"/>
      <c r="N695" s="508"/>
      <c r="O695" s="508"/>
      <c r="P695" s="508"/>
      <c r="Q695" s="508"/>
      <c r="R695" s="508"/>
      <c r="S695" s="508"/>
      <c r="T695" s="508"/>
      <c r="U695" s="508"/>
      <c r="V695" s="508"/>
      <c r="W695" s="508"/>
      <c r="X695" s="508"/>
      <c r="Y695" s="508"/>
      <c r="Z695" s="508"/>
    </row>
    <row r="696">
      <c r="A696" s="508"/>
      <c r="B696" s="508"/>
      <c r="C696" s="508"/>
      <c r="D696" s="508"/>
      <c r="E696" s="508"/>
      <c r="F696" s="508"/>
      <c r="G696" s="508"/>
      <c r="H696" s="508"/>
      <c r="I696" s="508"/>
      <c r="J696" s="508"/>
      <c r="K696" s="508"/>
      <c r="L696" s="508"/>
      <c r="M696" s="508"/>
      <c r="N696" s="508"/>
      <c r="O696" s="508"/>
      <c r="P696" s="508"/>
      <c r="Q696" s="508"/>
      <c r="R696" s="508"/>
      <c r="S696" s="508"/>
      <c r="T696" s="508"/>
      <c r="U696" s="508"/>
      <c r="V696" s="508"/>
      <c r="W696" s="508"/>
      <c r="X696" s="508"/>
      <c r="Y696" s="508"/>
      <c r="Z696" s="508"/>
    </row>
    <row r="697">
      <c r="A697" s="508"/>
      <c r="B697" s="508"/>
      <c r="C697" s="508"/>
      <c r="D697" s="508"/>
      <c r="E697" s="508"/>
      <c r="F697" s="508"/>
      <c r="G697" s="508"/>
      <c r="H697" s="508"/>
      <c r="I697" s="508"/>
      <c r="J697" s="508"/>
      <c r="K697" s="508"/>
      <c r="L697" s="508"/>
      <c r="M697" s="508"/>
      <c r="N697" s="508"/>
      <c r="O697" s="508"/>
      <c r="P697" s="508"/>
      <c r="Q697" s="508"/>
      <c r="R697" s="508"/>
      <c r="S697" s="508"/>
      <c r="T697" s="508"/>
      <c r="U697" s="508"/>
      <c r="V697" s="508"/>
      <c r="W697" s="508"/>
      <c r="X697" s="508"/>
      <c r="Y697" s="508"/>
      <c r="Z697" s="508"/>
    </row>
    <row r="698">
      <c r="A698" s="508"/>
      <c r="B698" s="508"/>
      <c r="C698" s="508"/>
      <c r="D698" s="508"/>
      <c r="E698" s="508"/>
      <c r="F698" s="508"/>
      <c r="G698" s="508"/>
      <c r="H698" s="508"/>
      <c r="I698" s="508"/>
      <c r="J698" s="508"/>
      <c r="K698" s="508"/>
      <c r="L698" s="508"/>
      <c r="M698" s="508"/>
      <c r="N698" s="508"/>
      <c r="O698" s="508"/>
      <c r="P698" s="508"/>
      <c r="Q698" s="508"/>
      <c r="R698" s="508"/>
      <c r="S698" s="508"/>
      <c r="T698" s="508"/>
      <c r="U698" s="508"/>
      <c r="V698" s="508"/>
      <c r="W698" s="508"/>
      <c r="X698" s="508"/>
      <c r="Y698" s="508"/>
      <c r="Z698" s="508"/>
    </row>
    <row r="699">
      <c r="A699" s="508"/>
      <c r="B699" s="508"/>
      <c r="C699" s="508"/>
      <c r="D699" s="508"/>
      <c r="E699" s="508"/>
      <c r="F699" s="508"/>
      <c r="G699" s="508"/>
      <c r="H699" s="508"/>
      <c r="I699" s="508"/>
      <c r="J699" s="508"/>
      <c r="K699" s="508"/>
      <c r="L699" s="508"/>
      <c r="M699" s="508"/>
      <c r="N699" s="508"/>
      <c r="O699" s="508"/>
      <c r="P699" s="508"/>
      <c r="Q699" s="508"/>
      <c r="R699" s="508"/>
      <c r="S699" s="508"/>
      <c r="T699" s="508"/>
      <c r="U699" s="508"/>
      <c r="V699" s="508"/>
      <c r="W699" s="508"/>
      <c r="X699" s="508"/>
      <c r="Y699" s="508"/>
      <c r="Z699" s="508"/>
    </row>
    <row r="700">
      <c r="A700" s="508"/>
      <c r="B700" s="508"/>
      <c r="C700" s="508"/>
      <c r="D700" s="508"/>
      <c r="E700" s="508"/>
      <c r="F700" s="508"/>
      <c r="G700" s="508"/>
      <c r="H700" s="508"/>
      <c r="I700" s="508"/>
      <c r="J700" s="508"/>
      <c r="K700" s="508"/>
      <c r="L700" s="508"/>
      <c r="M700" s="508"/>
      <c r="N700" s="508"/>
      <c r="O700" s="508"/>
      <c r="P700" s="508"/>
      <c r="Q700" s="508"/>
      <c r="R700" s="508"/>
      <c r="S700" s="508"/>
      <c r="T700" s="508"/>
      <c r="U700" s="508"/>
      <c r="V700" s="508"/>
      <c r="W700" s="508"/>
      <c r="X700" s="508"/>
      <c r="Y700" s="508"/>
      <c r="Z700" s="508"/>
    </row>
    <row r="701">
      <c r="A701" s="508"/>
      <c r="B701" s="508"/>
      <c r="C701" s="508"/>
      <c r="D701" s="508"/>
      <c r="E701" s="508"/>
      <c r="F701" s="508"/>
      <c r="G701" s="508"/>
      <c r="H701" s="508"/>
      <c r="I701" s="508"/>
      <c r="J701" s="508"/>
      <c r="K701" s="508"/>
      <c r="L701" s="508"/>
      <c r="M701" s="508"/>
      <c r="N701" s="508"/>
      <c r="O701" s="508"/>
      <c r="P701" s="508"/>
      <c r="Q701" s="508"/>
      <c r="R701" s="508"/>
      <c r="S701" s="508"/>
      <c r="T701" s="508"/>
      <c r="U701" s="508"/>
      <c r="V701" s="508"/>
      <c r="W701" s="508"/>
      <c r="X701" s="508"/>
      <c r="Y701" s="508"/>
      <c r="Z701" s="508"/>
    </row>
    <row r="702">
      <c r="A702" s="508"/>
      <c r="B702" s="508"/>
      <c r="C702" s="508"/>
      <c r="D702" s="508"/>
      <c r="E702" s="508"/>
      <c r="F702" s="508"/>
      <c r="G702" s="508"/>
      <c r="H702" s="508"/>
      <c r="I702" s="508"/>
      <c r="J702" s="508"/>
      <c r="K702" s="508"/>
      <c r="L702" s="508"/>
      <c r="M702" s="508"/>
      <c r="N702" s="508"/>
      <c r="O702" s="508"/>
      <c r="P702" s="508"/>
      <c r="Q702" s="508"/>
      <c r="R702" s="508"/>
      <c r="S702" s="508"/>
      <c r="T702" s="508"/>
      <c r="U702" s="508"/>
      <c r="V702" s="508"/>
      <c r="W702" s="508"/>
      <c r="X702" s="508"/>
      <c r="Y702" s="508"/>
      <c r="Z702" s="508"/>
    </row>
    <row r="703">
      <c r="A703" s="508"/>
      <c r="B703" s="508"/>
      <c r="C703" s="508"/>
      <c r="D703" s="508"/>
      <c r="E703" s="508"/>
      <c r="F703" s="508"/>
      <c r="G703" s="508"/>
      <c r="H703" s="508"/>
      <c r="I703" s="508"/>
      <c r="J703" s="508"/>
      <c r="K703" s="508"/>
      <c r="L703" s="508"/>
      <c r="M703" s="508"/>
      <c r="N703" s="508"/>
      <c r="O703" s="508"/>
      <c r="P703" s="508"/>
      <c r="Q703" s="508"/>
      <c r="R703" s="508"/>
      <c r="S703" s="508"/>
      <c r="T703" s="508"/>
      <c r="U703" s="508"/>
      <c r="V703" s="508"/>
      <c r="W703" s="508"/>
      <c r="X703" s="508"/>
      <c r="Y703" s="508"/>
      <c r="Z703" s="508"/>
    </row>
    <row r="704">
      <c r="A704" s="508"/>
      <c r="B704" s="508"/>
      <c r="C704" s="508"/>
      <c r="D704" s="508"/>
      <c r="E704" s="508"/>
      <c r="F704" s="508"/>
      <c r="G704" s="508"/>
      <c r="H704" s="508"/>
      <c r="I704" s="508"/>
      <c r="J704" s="508"/>
      <c r="K704" s="508"/>
      <c r="L704" s="508"/>
      <c r="M704" s="508"/>
      <c r="N704" s="508"/>
      <c r="O704" s="508"/>
      <c r="P704" s="508"/>
      <c r="Q704" s="508"/>
      <c r="R704" s="508"/>
      <c r="S704" s="508"/>
      <c r="T704" s="508"/>
      <c r="U704" s="508"/>
      <c r="V704" s="508"/>
      <c r="W704" s="508"/>
      <c r="X704" s="508"/>
      <c r="Y704" s="508"/>
      <c r="Z704" s="508"/>
    </row>
    <row r="705">
      <c r="A705" s="508"/>
      <c r="B705" s="508"/>
      <c r="C705" s="508"/>
      <c r="D705" s="508"/>
      <c r="E705" s="508"/>
      <c r="F705" s="508"/>
      <c r="G705" s="508"/>
      <c r="H705" s="508"/>
      <c r="I705" s="508"/>
      <c r="J705" s="508"/>
      <c r="K705" s="508"/>
      <c r="L705" s="508"/>
      <c r="M705" s="508"/>
      <c r="N705" s="508"/>
      <c r="O705" s="508"/>
      <c r="P705" s="508"/>
      <c r="Q705" s="508"/>
      <c r="R705" s="508"/>
      <c r="S705" s="508"/>
      <c r="T705" s="508"/>
      <c r="U705" s="508"/>
      <c r="V705" s="508"/>
      <c r="W705" s="508"/>
      <c r="X705" s="508"/>
      <c r="Y705" s="508"/>
      <c r="Z705" s="508"/>
    </row>
    <row r="706">
      <c r="A706" s="508"/>
      <c r="B706" s="508"/>
      <c r="C706" s="508"/>
      <c r="D706" s="508"/>
      <c r="E706" s="508"/>
      <c r="F706" s="508"/>
      <c r="G706" s="508"/>
      <c r="H706" s="508"/>
      <c r="I706" s="508"/>
      <c r="J706" s="508"/>
      <c r="K706" s="508"/>
      <c r="L706" s="508"/>
      <c r="M706" s="508"/>
      <c r="N706" s="508"/>
      <c r="O706" s="508"/>
      <c r="P706" s="508"/>
      <c r="Q706" s="508"/>
      <c r="R706" s="508"/>
      <c r="S706" s="508"/>
      <c r="T706" s="508"/>
      <c r="U706" s="508"/>
      <c r="V706" s="508"/>
      <c r="W706" s="508"/>
      <c r="X706" s="508"/>
      <c r="Y706" s="508"/>
      <c r="Z706" s="508"/>
    </row>
    <row r="707">
      <c r="A707" s="508"/>
      <c r="B707" s="508"/>
      <c r="C707" s="508"/>
      <c r="D707" s="508"/>
      <c r="E707" s="508"/>
      <c r="F707" s="508"/>
      <c r="G707" s="508"/>
      <c r="H707" s="508"/>
      <c r="I707" s="508"/>
      <c r="J707" s="508"/>
      <c r="K707" s="508"/>
      <c r="L707" s="508"/>
      <c r="M707" s="508"/>
      <c r="N707" s="508"/>
      <c r="O707" s="508"/>
      <c r="P707" s="508"/>
      <c r="Q707" s="508"/>
      <c r="R707" s="508"/>
      <c r="S707" s="508"/>
      <c r="T707" s="508"/>
      <c r="U707" s="508"/>
      <c r="V707" s="508"/>
      <c r="W707" s="508"/>
      <c r="X707" s="508"/>
      <c r="Y707" s="508"/>
      <c r="Z707" s="508"/>
    </row>
    <row r="708">
      <c r="A708" s="508"/>
      <c r="B708" s="508"/>
      <c r="C708" s="508"/>
      <c r="D708" s="508"/>
      <c r="E708" s="508"/>
      <c r="F708" s="508"/>
      <c r="G708" s="508"/>
      <c r="H708" s="508"/>
      <c r="I708" s="508"/>
      <c r="J708" s="508"/>
      <c r="K708" s="508"/>
      <c r="L708" s="508"/>
      <c r="M708" s="508"/>
      <c r="N708" s="508"/>
      <c r="O708" s="508"/>
      <c r="P708" s="508"/>
      <c r="Q708" s="508"/>
      <c r="R708" s="508"/>
      <c r="S708" s="508"/>
      <c r="T708" s="508"/>
      <c r="U708" s="508"/>
      <c r="V708" s="508"/>
      <c r="W708" s="508"/>
      <c r="X708" s="508"/>
      <c r="Y708" s="508"/>
      <c r="Z708" s="508"/>
    </row>
    <row r="709">
      <c r="A709" s="508"/>
      <c r="B709" s="508"/>
      <c r="C709" s="508"/>
      <c r="D709" s="508"/>
      <c r="E709" s="508"/>
      <c r="F709" s="508"/>
      <c r="G709" s="508"/>
      <c r="H709" s="508"/>
      <c r="I709" s="508"/>
      <c r="J709" s="508"/>
      <c r="K709" s="508"/>
      <c r="L709" s="508"/>
      <c r="M709" s="508"/>
      <c r="N709" s="508"/>
      <c r="O709" s="508"/>
      <c r="P709" s="508"/>
      <c r="Q709" s="508"/>
      <c r="R709" s="508"/>
      <c r="S709" s="508"/>
      <c r="T709" s="508"/>
      <c r="U709" s="508"/>
      <c r="V709" s="508"/>
      <c r="W709" s="508"/>
      <c r="X709" s="508"/>
      <c r="Y709" s="508"/>
      <c r="Z709" s="508"/>
    </row>
    <row r="710">
      <c r="A710" s="508"/>
      <c r="B710" s="508"/>
      <c r="C710" s="508"/>
      <c r="D710" s="508"/>
      <c r="E710" s="508"/>
      <c r="F710" s="508"/>
      <c r="G710" s="508"/>
      <c r="H710" s="508"/>
      <c r="I710" s="508"/>
      <c r="J710" s="508"/>
      <c r="K710" s="508"/>
      <c r="L710" s="508"/>
      <c r="M710" s="508"/>
      <c r="N710" s="508"/>
      <c r="O710" s="508"/>
      <c r="P710" s="508"/>
      <c r="Q710" s="508"/>
      <c r="R710" s="508"/>
      <c r="S710" s="508"/>
      <c r="T710" s="508"/>
      <c r="U710" s="508"/>
      <c r="V710" s="508"/>
      <c r="W710" s="508"/>
      <c r="X710" s="508"/>
      <c r="Y710" s="508"/>
      <c r="Z710" s="508"/>
    </row>
    <row r="711">
      <c r="A711" s="508"/>
      <c r="B711" s="508"/>
      <c r="C711" s="508"/>
      <c r="D711" s="508"/>
      <c r="E711" s="508"/>
      <c r="F711" s="508"/>
      <c r="G711" s="508"/>
      <c r="H711" s="508"/>
      <c r="I711" s="508"/>
      <c r="J711" s="508"/>
      <c r="K711" s="508"/>
      <c r="L711" s="508"/>
      <c r="M711" s="508"/>
      <c r="N711" s="508"/>
      <c r="O711" s="508"/>
      <c r="P711" s="508"/>
      <c r="Q711" s="508"/>
      <c r="R711" s="508"/>
      <c r="S711" s="508"/>
      <c r="T711" s="508"/>
      <c r="U711" s="508"/>
      <c r="V711" s="508"/>
      <c r="W711" s="508"/>
      <c r="X711" s="508"/>
      <c r="Y711" s="508"/>
      <c r="Z711" s="508"/>
    </row>
    <row r="712">
      <c r="A712" s="508"/>
      <c r="B712" s="508"/>
      <c r="C712" s="508"/>
      <c r="D712" s="508"/>
      <c r="E712" s="508"/>
      <c r="F712" s="508"/>
      <c r="G712" s="508"/>
      <c r="H712" s="508"/>
      <c r="I712" s="508"/>
      <c r="J712" s="508"/>
      <c r="K712" s="508"/>
      <c r="L712" s="508"/>
      <c r="M712" s="508"/>
      <c r="N712" s="508"/>
      <c r="O712" s="508"/>
      <c r="P712" s="508"/>
      <c r="Q712" s="508"/>
      <c r="R712" s="508"/>
      <c r="S712" s="508"/>
      <c r="T712" s="508"/>
      <c r="U712" s="508"/>
      <c r="V712" s="508"/>
      <c r="W712" s="508"/>
      <c r="X712" s="508"/>
      <c r="Y712" s="508"/>
      <c r="Z712" s="508"/>
    </row>
    <row r="713">
      <c r="A713" s="508"/>
      <c r="B713" s="508"/>
      <c r="C713" s="508"/>
      <c r="D713" s="508"/>
      <c r="E713" s="508"/>
      <c r="F713" s="508"/>
      <c r="G713" s="508"/>
      <c r="H713" s="508"/>
      <c r="I713" s="508"/>
      <c r="J713" s="508"/>
      <c r="K713" s="508"/>
      <c r="L713" s="508"/>
      <c r="M713" s="508"/>
      <c r="N713" s="508"/>
      <c r="O713" s="508"/>
      <c r="P713" s="508"/>
      <c r="Q713" s="508"/>
      <c r="R713" s="508"/>
      <c r="S713" s="508"/>
      <c r="T713" s="508"/>
      <c r="U713" s="508"/>
      <c r="V713" s="508"/>
      <c r="W713" s="508"/>
      <c r="X713" s="508"/>
      <c r="Y713" s="508"/>
      <c r="Z713" s="508"/>
    </row>
    <row r="714">
      <c r="A714" s="508"/>
      <c r="B714" s="508"/>
      <c r="C714" s="508"/>
      <c r="D714" s="508"/>
      <c r="E714" s="508"/>
      <c r="F714" s="508"/>
      <c r="G714" s="508"/>
      <c r="H714" s="508"/>
      <c r="I714" s="508"/>
      <c r="J714" s="508"/>
      <c r="K714" s="508"/>
      <c r="L714" s="508"/>
      <c r="M714" s="508"/>
      <c r="N714" s="508"/>
      <c r="O714" s="508"/>
      <c r="P714" s="508"/>
      <c r="Q714" s="508"/>
      <c r="R714" s="508"/>
      <c r="S714" s="508"/>
      <c r="T714" s="508"/>
      <c r="U714" s="508"/>
      <c r="V714" s="508"/>
      <c r="W714" s="508"/>
      <c r="X714" s="508"/>
      <c r="Y714" s="508"/>
      <c r="Z714" s="508"/>
    </row>
    <row r="715">
      <c r="A715" s="508"/>
      <c r="B715" s="508"/>
      <c r="C715" s="508"/>
      <c r="D715" s="508"/>
      <c r="E715" s="508"/>
      <c r="F715" s="508"/>
      <c r="G715" s="508"/>
      <c r="H715" s="508"/>
      <c r="I715" s="508"/>
      <c r="J715" s="508"/>
      <c r="K715" s="508"/>
      <c r="L715" s="508"/>
      <c r="M715" s="508"/>
      <c r="N715" s="508"/>
      <c r="O715" s="508"/>
      <c r="P715" s="508"/>
      <c r="Q715" s="508"/>
      <c r="R715" s="508"/>
      <c r="S715" s="508"/>
      <c r="T715" s="508"/>
      <c r="U715" s="508"/>
      <c r="V715" s="508"/>
      <c r="W715" s="508"/>
      <c r="X715" s="508"/>
      <c r="Y715" s="508"/>
      <c r="Z715" s="508"/>
    </row>
    <row r="716">
      <c r="A716" s="508"/>
      <c r="B716" s="508"/>
      <c r="C716" s="508"/>
      <c r="D716" s="508"/>
      <c r="E716" s="508"/>
      <c r="F716" s="508"/>
      <c r="G716" s="508"/>
      <c r="H716" s="508"/>
      <c r="I716" s="508"/>
      <c r="J716" s="508"/>
      <c r="K716" s="508"/>
      <c r="L716" s="508"/>
      <c r="M716" s="508"/>
      <c r="N716" s="508"/>
      <c r="O716" s="508"/>
      <c r="P716" s="508"/>
      <c r="Q716" s="508"/>
      <c r="R716" s="508"/>
      <c r="S716" s="508"/>
      <c r="T716" s="508"/>
      <c r="U716" s="508"/>
      <c r="V716" s="508"/>
      <c r="W716" s="508"/>
      <c r="X716" s="508"/>
      <c r="Y716" s="508"/>
      <c r="Z716" s="508"/>
    </row>
    <row r="717">
      <c r="A717" s="508"/>
      <c r="B717" s="508"/>
      <c r="C717" s="508"/>
      <c r="D717" s="508"/>
      <c r="E717" s="508"/>
      <c r="F717" s="508"/>
      <c r="G717" s="508"/>
      <c r="H717" s="508"/>
      <c r="I717" s="508"/>
      <c r="J717" s="508"/>
      <c r="K717" s="508"/>
      <c r="L717" s="508"/>
      <c r="M717" s="508"/>
      <c r="N717" s="508"/>
      <c r="O717" s="508"/>
      <c r="P717" s="508"/>
      <c r="Q717" s="508"/>
      <c r="R717" s="508"/>
      <c r="S717" s="508"/>
      <c r="T717" s="508"/>
      <c r="U717" s="508"/>
      <c r="V717" s="508"/>
      <c r="W717" s="508"/>
      <c r="X717" s="508"/>
      <c r="Y717" s="508"/>
      <c r="Z717" s="508"/>
    </row>
    <row r="718">
      <c r="A718" s="508"/>
      <c r="B718" s="508"/>
      <c r="C718" s="508"/>
      <c r="D718" s="508"/>
      <c r="E718" s="508"/>
      <c r="F718" s="508"/>
      <c r="G718" s="508"/>
      <c r="H718" s="508"/>
      <c r="I718" s="508"/>
      <c r="J718" s="508"/>
      <c r="K718" s="508"/>
      <c r="L718" s="508"/>
      <c r="M718" s="508"/>
      <c r="N718" s="508"/>
      <c r="O718" s="508"/>
      <c r="P718" s="508"/>
      <c r="Q718" s="508"/>
      <c r="R718" s="508"/>
      <c r="S718" s="508"/>
      <c r="T718" s="508"/>
      <c r="U718" s="508"/>
      <c r="V718" s="508"/>
      <c r="W718" s="508"/>
      <c r="X718" s="508"/>
      <c r="Y718" s="508"/>
      <c r="Z718" s="508"/>
    </row>
    <row r="719">
      <c r="A719" s="508"/>
      <c r="B719" s="508"/>
      <c r="C719" s="508"/>
      <c r="D719" s="508"/>
      <c r="E719" s="508"/>
      <c r="F719" s="508"/>
      <c r="G719" s="508"/>
      <c r="H719" s="508"/>
      <c r="I719" s="508"/>
      <c r="J719" s="508"/>
      <c r="K719" s="508"/>
      <c r="L719" s="508"/>
      <c r="M719" s="508"/>
      <c r="N719" s="508"/>
      <c r="O719" s="508"/>
      <c r="P719" s="508"/>
      <c r="Q719" s="508"/>
      <c r="R719" s="508"/>
      <c r="S719" s="508"/>
      <c r="T719" s="508"/>
      <c r="U719" s="508"/>
      <c r="V719" s="508"/>
      <c r="W719" s="508"/>
      <c r="X719" s="508"/>
      <c r="Y719" s="508"/>
      <c r="Z719" s="508"/>
    </row>
    <row r="720">
      <c r="A720" s="508"/>
      <c r="B720" s="508"/>
      <c r="C720" s="508"/>
      <c r="D720" s="508"/>
      <c r="E720" s="508"/>
      <c r="F720" s="508"/>
      <c r="G720" s="508"/>
      <c r="H720" s="508"/>
      <c r="I720" s="508"/>
      <c r="J720" s="508"/>
      <c r="K720" s="508"/>
      <c r="L720" s="508"/>
      <c r="M720" s="508"/>
      <c r="N720" s="508"/>
      <c r="O720" s="508"/>
      <c r="P720" s="508"/>
      <c r="Q720" s="508"/>
      <c r="R720" s="508"/>
      <c r="S720" s="508"/>
      <c r="T720" s="508"/>
      <c r="U720" s="508"/>
      <c r="V720" s="508"/>
      <c r="W720" s="508"/>
      <c r="X720" s="508"/>
      <c r="Y720" s="508"/>
      <c r="Z720" s="508"/>
    </row>
    <row r="721">
      <c r="A721" s="508"/>
      <c r="B721" s="508"/>
      <c r="C721" s="508"/>
      <c r="D721" s="508"/>
      <c r="E721" s="508"/>
      <c r="F721" s="508"/>
      <c r="G721" s="508"/>
      <c r="H721" s="508"/>
      <c r="I721" s="508"/>
      <c r="J721" s="508"/>
      <c r="K721" s="508"/>
      <c r="L721" s="508"/>
      <c r="M721" s="508"/>
      <c r="N721" s="508"/>
      <c r="O721" s="508"/>
      <c r="P721" s="508"/>
      <c r="Q721" s="508"/>
      <c r="R721" s="508"/>
      <c r="S721" s="508"/>
      <c r="T721" s="508"/>
      <c r="U721" s="508"/>
      <c r="V721" s="508"/>
      <c r="W721" s="508"/>
      <c r="X721" s="508"/>
      <c r="Y721" s="508"/>
      <c r="Z721" s="508"/>
    </row>
    <row r="722">
      <c r="A722" s="508"/>
      <c r="B722" s="508"/>
      <c r="C722" s="508"/>
      <c r="D722" s="508"/>
      <c r="E722" s="508"/>
      <c r="F722" s="508"/>
      <c r="G722" s="508"/>
      <c r="H722" s="508"/>
      <c r="I722" s="508"/>
      <c r="J722" s="508"/>
      <c r="K722" s="508"/>
      <c r="L722" s="508"/>
      <c r="M722" s="508"/>
      <c r="N722" s="508"/>
      <c r="O722" s="508"/>
      <c r="P722" s="508"/>
      <c r="Q722" s="508"/>
      <c r="R722" s="508"/>
      <c r="S722" s="508"/>
      <c r="T722" s="508"/>
      <c r="U722" s="508"/>
      <c r="V722" s="508"/>
      <c r="W722" s="508"/>
      <c r="X722" s="508"/>
      <c r="Y722" s="508"/>
      <c r="Z722" s="508"/>
    </row>
    <row r="723">
      <c r="A723" s="508"/>
      <c r="B723" s="508"/>
      <c r="C723" s="508"/>
      <c r="D723" s="508"/>
      <c r="E723" s="508"/>
      <c r="F723" s="508"/>
      <c r="G723" s="508"/>
      <c r="H723" s="508"/>
      <c r="I723" s="508"/>
      <c r="J723" s="508"/>
      <c r="K723" s="508"/>
      <c r="L723" s="508"/>
      <c r="M723" s="508"/>
      <c r="N723" s="508"/>
      <c r="O723" s="508"/>
      <c r="P723" s="508"/>
      <c r="Q723" s="508"/>
      <c r="R723" s="508"/>
      <c r="S723" s="508"/>
      <c r="T723" s="508"/>
      <c r="U723" s="508"/>
      <c r="V723" s="508"/>
      <c r="W723" s="508"/>
      <c r="X723" s="508"/>
      <c r="Y723" s="508"/>
      <c r="Z723" s="508"/>
    </row>
    <row r="724">
      <c r="A724" s="508"/>
      <c r="B724" s="508"/>
      <c r="C724" s="508"/>
      <c r="D724" s="508"/>
      <c r="E724" s="508"/>
      <c r="F724" s="508"/>
      <c r="G724" s="508"/>
      <c r="H724" s="508"/>
      <c r="I724" s="508"/>
      <c r="J724" s="508"/>
      <c r="K724" s="508"/>
      <c r="L724" s="508"/>
      <c r="M724" s="508"/>
      <c r="N724" s="508"/>
      <c r="O724" s="508"/>
      <c r="P724" s="508"/>
      <c r="Q724" s="508"/>
      <c r="R724" s="508"/>
      <c r="S724" s="508"/>
      <c r="T724" s="508"/>
      <c r="U724" s="508"/>
      <c r="V724" s="508"/>
      <c r="W724" s="508"/>
      <c r="X724" s="508"/>
      <c r="Y724" s="508"/>
      <c r="Z724" s="508"/>
    </row>
    <row r="725">
      <c r="A725" s="508"/>
      <c r="B725" s="508"/>
      <c r="C725" s="508"/>
      <c r="D725" s="508"/>
      <c r="E725" s="508"/>
      <c r="F725" s="508"/>
      <c r="G725" s="508"/>
      <c r="H725" s="508"/>
      <c r="I725" s="508"/>
      <c r="J725" s="508"/>
      <c r="K725" s="508"/>
      <c r="L725" s="508"/>
      <c r="M725" s="508"/>
      <c r="N725" s="508"/>
      <c r="O725" s="508"/>
      <c r="P725" s="508"/>
      <c r="Q725" s="508"/>
      <c r="R725" s="508"/>
      <c r="S725" s="508"/>
      <c r="T725" s="508"/>
      <c r="U725" s="508"/>
      <c r="V725" s="508"/>
      <c r="W725" s="508"/>
      <c r="X725" s="508"/>
      <c r="Y725" s="508"/>
      <c r="Z725" s="508"/>
    </row>
    <row r="726">
      <c r="A726" s="508"/>
      <c r="B726" s="508"/>
      <c r="C726" s="508"/>
      <c r="D726" s="508"/>
      <c r="E726" s="508"/>
      <c r="F726" s="508"/>
      <c r="G726" s="508"/>
      <c r="H726" s="508"/>
      <c r="I726" s="508"/>
      <c r="J726" s="508"/>
      <c r="K726" s="508"/>
      <c r="L726" s="508"/>
      <c r="M726" s="508"/>
      <c r="N726" s="508"/>
      <c r="O726" s="508"/>
      <c r="P726" s="508"/>
      <c r="Q726" s="508"/>
      <c r="R726" s="508"/>
      <c r="S726" s="508"/>
      <c r="T726" s="508"/>
      <c r="U726" s="508"/>
      <c r="V726" s="508"/>
      <c r="W726" s="508"/>
      <c r="X726" s="508"/>
      <c r="Y726" s="508"/>
      <c r="Z726" s="508"/>
    </row>
    <row r="727">
      <c r="A727" s="508"/>
      <c r="B727" s="508"/>
      <c r="C727" s="508"/>
      <c r="D727" s="508"/>
      <c r="E727" s="508"/>
      <c r="F727" s="508"/>
      <c r="G727" s="508"/>
      <c r="H727" s="508"/>
      <c r="I727" s="508"/>
      <c r="J727" s="508"/>
      <c r="K727" s="508"/>
      <c r="L727" s="508"/>
      <c r="M727" s="508"/>
      <c r="N727" s="508"/>
      <c r="O727" s="508"/>
      <c r="P727" s="508"/>
      <c r="Q727" s="508"/>
      <c r="R727" s="508"/>
      <c r="S727" s="508"/>
      <c r="T727" s="508"/>
      <c r="U727" s="508"/>
      <c r="V727" s="508"/>
      <c r="W727" s="508"/>
      <c r="X727" s="508"/>
      <c r="Y727" s="508"/>
      <c r="Z727" s="508"/>
    </row>
    <row r="728">
      <c r="A728" s="508"/>
      <c r="B728" s="508"/>
      <c r="C728" s="508"/>
      <c r="D728" s="508"/>
      <c r="E728" s="508"/>
      <c r="F728" s="508"/>
      <c r="G728" s="508"/>
      <c r="H728" s="508"/>
      <c r="I728" s="508"/>
      <c r="J728" s="508"/>
      <c r="K728" s="508"/>
      <c r="L728" s="508"/>
      <c r="M728" s="508"/>
      <c r="N728" s="508"/>
      <c r="O728" s="508"/>
      <c r="P728" s="508"/>
      <c r="Q728" s="508"/>
      <c r="R728" s="508"/>
      <c r="S728" s="508"/>
      <c r="T728" s="508"/>
      <c r="U728" s="508"/>
      <c r="V728" s="508"/>
      <c r="W728" s="508"/>
      <c r="X728" s="508"/>
      <c r="Y728" s="508"/>
      <c r="Z728" s="508"/>
    </row>
    <row r="729">
      <c r="A729" s="508"/>
      <c r="B729" s="508"/>
      <c r="C729" s="508"/>
      <c r="D729" s="508"/>
      <c r="E729" s="508"/>
      <c r="F729" s="508"/>
      <c r="G729" s="508"/>
      <c r="H729" s="508"/>
      <c r="I729" s="508"/>
      <c r="J729" s="508"/>
      <c r="K729" s="508"/>
      <c r="L729" s="508"/>
      <c r="M729" s="508"/>
      <c r="N729" s="508"/>
      <c r="O729" s="508"/>
      <c r="P729" s="508"/>
      <c r="Q729" s="508"/>
      <c r="R729" s="508"/>
      <c r="S729" s="508"/>
      <c r="T729" s="508"/>
      <c r="U729" s="508"/>
      <c r="V729" s="508"/>
      <c r="W729" s="508"/>
      <c r="X729" s="508"/>
      <c r="Y729" s="508"/>
      <c r="Z729" s="508"/>
    </row>
    <row r="730">
      <c r="A730" s="508"/>
      <c r="B730" s="508"/>
      <c r="C730" s="508"/>
      <c r="D730" s="508"/>
      <c r="E730" s="508"/>
      <c r="F730" s="508"/>
      <c r="G730" s="508"/>
      <c r="H730" s="508"/>
      <c r="I730" s="508"/>
      <c r="J730" s="508"/>
      <c r="K730" s="508"/>
      <c r="L730" s="508"/>
      <c r="M730" s="508"/>
      <c r="N730" s="508"/>
      <c r="O730" s="508"/>
      <c r="P730" s="508"/>
      <c r="Q730" s="508"/>
      <c r="R730" s="508"/>
      <c r="S730" s="508"/>
      <c r="T730" s="508"/>
      <c r="U730" s="508"/>
      <c r="V730" s="508"/>
      <c r="W730" s="508"/>
      <c r="X730" s="508"/>
      <c r="Y730" s="508"/>
      <c r="Z730" s="508"/>
    </row>
    <row r="731">
      <c r="A731" s="508"/>
      <c r="B731" s="508"/>
      <c r="C731" s="508"/>
      <c r="D731" s="508"/>
      <c r="E731" s="508"/>
      <c r="F731" s="508"/>
      <c r="G731" s="508"/>
      <c r="H731" s="508"/>
      <c r="I731" s="508"/>
      <c r="J731" s="508"/>
      <c r="K731" s="508"/>
      <c r="L731" s="508"/>
      <c r="M731" s="508"/>
      <c r="N731" s="508"/>
      <c r="O731" s="508"/>
      <c r="P731" s="508"/>
      <c r="Q731" s="508"/>
      <c r="R731" s="508"/>
      <c r="S731" s="508"/>
      <c r="T731" s="508"/>
      <c r="U731" s="508"/>
      <c r="V731" s="508"/>
      <c r="W731" s="508"/>
      <c r="X731" s="508"/>
      <c r="Y731" s="508"/>
      <c r="Z731" s="508"/>
    </row>
    <row r="732">
      <c r="A732" s="508"/>
      <c r="B732" s="508"/>
      <c r="C732" s="508"/>
      <c r="D732" s="508"/>
      <c r="E732" s="508"/>
      <c r="F732" s="508"/>
      <c r="G732" s="508"/>
      <c r="H732" s="508"/>
      <c r="I732" s="508"/>
      <c r="J732" s="508"/>
      <c r="K732" s="508"/>
      <c r="L732" s="508"/>
      <c r="M732" s="508"/>
      <c r="N732" s="508"/>
      <c r="O732" s="508"/>
      <c r="P732" s="508"/>
      <c r="Q732" s="508"/>
      <c r="R732" s="508"/>
      <c r="S732" s="508"/>
      <c r="T732" s="508"/>
      <c r="U732" s="508"/>
      <c r="V732" s="508"/>
      <c r="W732" s="508"/>
      <c r="X732" s="508"/>
      <c r="Y732" s="508"/>
      <c r="Z732" s="508"/>
    </row>
    <row r="733">
      <c r="A733" s="508"/>
      <c r="B733" s="508"/>
      <c r="C733" s="508"/>
      <c r="D733" s="508"/>
      <c r="E733" s="508"/>
      <c r="F733" s="508"/>
      <c r="G733" s="508"/>
      <c r="H733" s="508"/>
      <c r="I733" s="508"/>
      <c r="J733" s="508"/>
      <c r="K733" s="508"/>
      <c r="L733" s="508"/>
      <c r="M733" s="508"/>
      <c r="N733" s="508"/>
      <c r="O733" s="508"/>
      <c r="P733" s="508"/>
      <c r="Q733" s="508"/>
      <c r="R733" s="508"/>
      <c r="S733" s="508"/>
      <c r="T733" s="508"/>
      <c r="U733" s="508"/>
      <c r="V733" s="508"/>
      <c r="W733" s="508"/>
      <c r="X733" s="508"/>
      <c r="Y733" s="508"/>
      <c r="Z733" s="508"/>
    </row>
    <row r="734">
      <c r="A734" s="508"/>
      <c r="B734" s="508"/>
      <c r="C734" s="508"/>
      <c r="D734" s="508"/>
      <c r="E734" s="508"/>
      <c r="F734" s="508"/>
      <c r="G734" s="508"/>
      <c r="H734" s="508"/>
      <c r="I734" s="508"/>
      <c r="J734" s="508"/>
      <c r="K734" s="508"/>
      <c r="L734" s="508"/>
      <c r="M734" s="508"/>
      <c r="N734" s="508"/>
      <c r="O734" s="508"/>
      <c r="P734" s="508"/>
      <c r="Q734" s="508"/>
      <c r="R734" s="508"/>
      <c r="S734" s="508"/>
      <c r="T734" s="508"/>
      <c r="U734" s="508"/>
      <c r="V734" s="508"/>
      <c r="W734" s="508"/>
      <c r="X734" s="508"/>
      <c r="Y734" s="508"/>
      <c r="Z734" s="508"/>
    </row>
    <row r="735">
      <c r="A735" s="508"/>
      <c r="B735" s="508"/>
      <c r="C735" s="508"/>
      <c r="D735" s="508"/>
      <c r="E735" s="508"/>
      <c r="F735" s="508"/>
      <c r="G735" s="508"/>
      <c r="H735" s="508"/>
      <c r="I735" s="508"/>
      <c r="J735" s="508"/>
      <c r="K735" s="508"/>
      <c r="L735" s="508"/>
      <c r="M735" s="508"/>
      <c r="N735" s="508"/>
      <c r="O735" s="508"/>
      <c r="P735" s="508"/>
      <c r="Q735" s="508"/>
      <c r="R735" s="508"/>
      <c r="S735" s="508"/>
      <c r="T735" s="508"/>
      <c r="U735" s="508"/>
      <c r="V735" s="508"/>
      <c r="W735" s="508"/>
      <c r="X735" s="508"/>
      <c r="Y735" s="508"/>
      <c r="Z735" s="508"/>
    </row>
    <row r="736">
      <c r="A736" s="508"/>
      <c r="B736" s="508"/>
      <c r="C736" s="508"/>
      <c r="D736" s="508"/>
      <c r="E736" s="508"/>
      <c r="F736" s="508"/>
      <c r="G736" s="508"/>
      <c r="H736" s="508"/>
      <c r="I736" s="508"/>
      <c r="J736" s="508"/>
      <c r="K736" s="508"/>
      <c r="L736" s="508"/>
      <c r="M736" s="508"/>
      <c r="N736" s="508"/>
      <c r="O736" s="508"/>
      <c r="P736" s="508"/>
      <c r="Q736" s="508"/>
      <c r="R736" s="508"/>
      <c r="S736" s="508"/>
      <c r="T736" s="508"/>
      <c r="U736" s="508"/>
      <c r="V736" s="508"/>
      <c r="W736" s="508"/>
      <c r="X736" s="508"/>
      <c r="Y736" s="508"/>
      <c r="Z736" s="508"/>
    </row>
    <row r="737">
      <c r="A737" s="508"/>
      <c r="B737" s="508"/>
      <c r="C737" s="508"/>
      <c r="D737" s="508"/>
      <c r="E737" s="508"/>
      <c r="F737" s="508"/>
      <c r="G737" s="508"/>
      <c r="H737" s="508"/>
      <c r="I737" s="508"/>
      <c r="J737" s="508"/>
      <c r="K737" s="508"/>
      <c r="L737" s="508"/>
      <c r="M737" s="508"/>
      <c r="N737" s="508"/>
      <c r="O737" s="508"/>
      <c r="P737" s="508"/>
      <c r="Q737" s="508"/>
      <c r="R737" s="508"/>
      <c r="S737" s="508"/>
      <c r="T737" s="508"/>
      <c r="U737" s="508"/>
      <c r="V737" s="508"/>
      <c r="W737" s="508"/>
      <c r="X737" s="508"/>
      <c r="Y737" s="508"/>
      <c r="Z737" s="508"/>
    </row>
    <row r="738">
      <c r="A738" s="508"/>
      <c r="B738" s="508"/>
      <c r="C738" s="508"/>
      <c r="D738" s="508"/>
      <c r="E738" s="508"/>
      <c r="F738" s="508"/>
      <c r="G738" s="508"/>
      <c r="H738" s="508"/>
      <c r="I738" s="508"/>
      <c r="J738" s="508"/>
      <c r="K738" s="508"/>
      <c r="L738" s="508"/>
      <c r="M738" s="508"/>
      <c r="N738" s="508"/>
      <c r="O738" s="508"/>
      <c r="P738" s="508"/>
      <c r="Q738" s="508"/>
      <c r="R738" s="508"/>
      <c r="S738" s="508"/>
      <c r="T738" s="508"/>
      <c r="U738" s="508"/>
      <c r="V738" s="508"/>
      <c r="W738" s="508"/>
      <c r="X738" s="508"/>
      <c r="Y738" s="508"/>
      <c r="Z738" s="508"/>
    </row>
    <row r="739">
      <c r="A739" s="508"/>
      <c r="B739" s="508"/>
      <c r="C739" s="508"/>
      <c r="D739" s="508"/>
      <c r="E739" s="508"/>
      <c r="F739" s="508"/>
      <c r="G739" s="508"/>
      <c r="H739" s="508"/>
      <c r="I739" s="508"/>
      <c r="J739" s="508"/>
      <c r="K739" s="508"/>
      <c r="L739" s="508"/>
      <c r="M739" s="508"/>
      <c r="N739" s="508"/>
      <c r="O739" s="508"/>
      <c r="P739" s="508"/>
      <c r="Q739" s="508"/>
      <c r="R739" s="508"/>
      <c r="S739" s="508"/>
      <c r="T739" s="508"/>
      <c r="U739" s="508"/>
      <c r="V739" s="508"/>
      <c r="W739" s="508"/>
      <c r="X739" s="508"/>
      <c r="Y739" s="508"/>
      <c r="Z739" s="508"/>
    </row>
    <row r="740">
      <c r="A740" s="508"/>
      <c r="B740" s="508"/>
      <c r="C740" s="508"/>
      <c r="D740" s="508"/>
      <c r="E740" s="508"/>
      <c r="F740" s="508"/>
      <c r="G740" s="508"/>
      <c r="H740" s="508"/>
      <c r="I740" s="508"/>
      <c r="J740" s="508"/>
      <c r="K740" s="508"/>
      <c r="L740" s="508"/>
      <c r="M740" s="508"/>
      <c r="N740" s="508"/>
      <c r="O740" s="508"/>
      <c r="P740" s="508"/>
      <c r="Q740" s="508"/>
      <c r="R740" s="508"/>
      <c r="S740" s="508"/>
      <c r="T740" s="508"/>
      <c r="U740" s="508"/>
      <c r="V740" s="508"/>
      <c r="W740" s="508"/>
      <c r="X740" s="508"/>
      <c r="Y740" s="508"/>
      <c r="Z740" s="508"/>
    </row>
    <row r="741">
      <c r="A741" s="508"/>
      <c r="B741" s="508"/>
      <c r="C741" s="508"/>
      <c r="D741" s="508"/>
      <c r="E741" s="508"/>
      <c r="F741" s="508"/>
      <c r="G741" s="508"/>
      <c r="H741" s="508"/>
      <c r="I741" s="508"/>
      <c r="J741" s="508"/>
      <c r="K741" s="508"/>
      <c r="L741" s="508"/>
      <c r="M741" s="508"/>
      <c r="N741" s="508"/>
      <c r="O741" s="508"/>
      <c r="P741" s="508"/>
      <c r="Q741" s="508"/>
      <c r="R741" s="508"/>
      <c r="S741" s="508"/>
      <c r="T741" s="508"/>
      <c r="U741" s="508"/>
      <c r="V741" s="508"/>
      <c r="W741" s="508"/>
      <c r="X741" s="508"/>
      <c r="Y741" s="508"/>
      <c r="Z741" s="508"/>
    </row>
    <row r="742">
      <c r="A742" s="508"/>
      <c r="B742" s="508"/>
      <c r="C742" s="508"/>
      <c r="D742" s="508"/>
      <c r="E742" s="508"/>
      <c r="F742" s="508"/>
      <c r="G742" s="508"/>
      <c r="H742" s="508"/>
      <c r="I742" s="508"/>
      <c r="J742" s="508"/>
      <c r="K742" s="508"/>
      <c r="L742" s="508"/>
      <c r="M742" s="508"/>
      <c r="N742" s="508"/>
      <c r="O742" s="508"/>
      <c r="P742" s="508"/>
      <c r="Q742" s="508"/>
      <c r="R742" s="508"/>
      <c r="S742" s="508"/>
      <c r="T742" s="508"/>
      <c r="U742" s="508"/>
      <c r="V742" s="508"/>
      <c r="W742" s="508"/>
      <c r="X742" s="508"/>
      <c r="Y742" s="508"/>
      <c r="Z742" s="508"/>
    </row>
    <row r="743">
      <c r="A743" s="508"/>
      <c r="B743" s="508"/>
      <c r="C743" s="508"/>
      <c r="D743" s="508"/>
      <c r="E743" s="508"/>
      <c r="F743" s="508"/>
      <c r="G743" s="508"/>
      <c r="H743" s="508"/>
      <c r="I743" s="508"/>
      <c r="J743" s="508"/>
      <c r="K743" s="508"/>
      <c r="L743" s="508"/>
      <c r="M743" s="508"/>
      <c r="N743" s="508"/>
      <c r="O743" s="508"/>
      <c r="P743" s="508"/>
      <c r="Q743" s="508"/>
      <c r="R743" s="508"/>
      <c r="S743" s="508"/>
      <c r="T743" s="508"/>
      <c r="U743" s="508"/>
      <c r="V743" s="508"/>
      <c r="W743" s="508"/>
      <c r="X743" s="508"/>
      <c r="Y743" s="508"/>
      <c r="Z743" s="508"/>
    </row>
    <row r="744">
      <c r="A744" s="508"/>
      <c r="B744" s="508"/>
      <c r="C744" s="508"/>
      <c r="D744" s="508"/>
      <c r="E744" s="508"/>
      <c r="F744" s="508"/>
      <c r="G744" s="508"/>
      <c r="H744" s="508"/>
      <c r="I744" s="508"/>
      <c r="J744" s="508"/>
      <c r="K744" s="508"/>
      <c r="L744" s="508"/>
      <c r="M744" s="508"/>
      <c r="N744" s="508"/>
      <c r="O744" s="508"/>
      <c r="P744" s="508"/>
      <c r="Q744" s="508"/>
      <c r="R744" s="508"/>
      <c r="S744" s="508"/>
      <c r="T744" s="508"/>
      <c r="U744" s="508"/>
      <c r="V744" s="508"/>
      <c r="W744" s="508"/>
      <c r="X744" s="508"/>
      <c r="Y744" s="508"/>
      <c r="Z744" s="508"/>
    </row>
    <row r="745">
      <c r="A745" s="508"/>
      <c r="B745" s="508"/>
      <c r="C745" s="508"/>
      <c r="D745" s="508"/>
      <c r="E745" s="508"/>
      <c r="F745" s="508"/>
      <c r="G745" s="508"/>
      <c r="H745" s="508"/>
      <c r="I745" s="508"/>
      <c r="J745" s="508"/>
      <c r="K745" s="508"/>
      <c r="L745" s="508"/>
      <c r="M745" s="508"/>
      <c r="N745" s="508"/>
      <c r="O745" s="508"/>
      <c r="P745" s="508"/>
      <c r="Q745" s="508"/>
      <c r="R745" s="508"/>
      <c r="S745" s="508"/>
      <c r="T745" s="508"/>
      <c r="U745" s="508"/>
      <c r="V745" s="508"/>
      <c r="W745" s="508"/>
      <c r="X745" s="508"/>
      <c r="Y745" s="508"/>
      <c r="Z745" s="508"/>
    </row>
    <row r="746">
      <c r="A746" s="508"/>
      <c r="B746" s="508"/>
      <c r="C746" s="508"/>
      <c r="D746" s="508"/>
      <c r="E746" s="508"/>
      <c r="F746" s="508"/>
      <c r="G746" s="508"/>
      <c r="H746" s="508"/>
      <c r="I746" s="508"/>
      <c r="J746" s="508"/>
      <c r="K746" s="508"/>
      <c r="L746" s="508"/>
      <c r="M746" s="508"/>
      <c r="N746" s="508"/>
      <c r="O746" s="508"/>
      <c r="P746" s="508"/>
      <c r="Q746" s="508"/>
      <c r="R746" s="508"/>
      <c r="S746" s="508"/>
      <c r="T746" s="508"/>
      <c r="U746" s="508"/>
      <c r="V746" s="508"/>
      <c r="W746" s="508"/>
      <c r="X746" s="508"/>
      <c r="Y746" s="508"/>
      <c r="Z746" s="508"/>
    </row>
    <row r="747">
      <c r="A747" s="508"/>
      <c r="B747" s="508"/>
      <c r="C747" s="508"/>
      <c r="D747" s="508"/>
      <c r="E747" s="508"/>
      <c r="F747" s="508"/>
      <c r="G747" s="508"/>
      <c r="H747" s="508"/>
      <c r="I747" s="508"/>
      <c r="J747" s="508"/>
      <c r="K747" s="508"/>
      <c r="L747" s="508"/>
      <c r="M747" s="508"/>
      <c r="N747" s="508"/>
      <c r="O747" s="508"/>
      <c r="P747" s="508"/>
      <c r="Q747" s="508"/>
      <c r="R747" s="508"/>
      <c r="S747" s="508"/>
      <c r="T747" s="508"/>
      <c r="U747" s="508"/>
      <c r="V747" s="508"/>
      <c r="W747" s="508"/>
      <c r="X747" s="508"/>
      <c r="Y747" s="508"/>
      <c r="Z747" s="508"/>
    </row>
    <row r="748">
      <c r="A748" s="508"/>
      <c r="B748" s="508"/>
      <c r="C748" s="508"/>
      <c r="D748" s="508"/>
      <c r="E748" s="508"/>
      <c r="F748" s="508"/>
      <c r="G748" s="508"/>
      <c r="H748" s="508"/>
      <c r="I748" s="508"/>
      <c r="J748" s="508"/>
      <c r="K748" s="508"/>
      <c r="L748" s="508"/>
      <c r="M748" s="508"/>
      <c r="N748" s="508"/>
      <c r="O748" s="508"/>
      <c r="P748" s="508"/>
      <c r="Q748" s="508"/>
      <c r="R748" s="508"/>
      <c r="S748" s="508"/>
      <c r="T748" s="508"/>
      <c r="U748" s="508"/>
      <c r="V748" s="508"/>
      <c r="W748" s="508"/>
      <c r="X748" s="508"/>
      <c r="Y748" s="508"/>
      <c r="Z748" s="508"/>
    </row>
    <row r="749">
      <c r="A749" s="508"/>
      <c r="B749" s="508"/>
      <c r="C749" s="508"/>
      <c r="D749" s="508"/>
      <c r="E749" s="508"/>
      <c r="F749" s="508"/>
      <c r="G749" s="508"/>
      <c r="H749" s="508"/>
      <c r="I749" s="508"/>
      <c r="J749" s="508"/>
      <c r="K749" s="508"/>
      <c r="L749" s="508"/>
      <c r="M749" s="508"/>
      <c r="N749" s="508"/>
      <c r="O749" s="508"/>
      <c r="P749" s="508"/>
      <c r="Q749" s="508"/>
      <c r="R749" s="508"/>
      <c r="S749" s="508"/>
      <c r="T749" s="508"/>
      <c r="U749" s="508"/>
      <c r="V749" s="508"/>
      <c r="W749" s="508"/>
      <c r="X749" s="508"/>
      <c r="Y749" s="508"/>
      <c r="Z749" s="508"/>
    </row>
    <row r="750">
      <c r="A750" s="508"/>
      <c r="B750" s="508"/>
      <c r="C750" s="508"/>
      <c r="D750" s="508"/>
      <c r="E750" s="508"/>
      <c r="F750" s="508"/>
      <c r="G750" s="508"/>
      <c r="H750" s="508"/>
      <c r="I750" s="508"/>
      <c r="J750" s="508"/>
      <c r="K750" s="508"/>
      <c r="L750" s="508"/>
      <c r="M750" s="508"/>
      <c r="N750" s="508"/>
      <c r="O750" s="508"/>
      <c r="P750" s="508"/>
      <c r="Q750" s="508"/>
      <c r="R750" s="508"/>
      <c r="S750" s="508"/>
      <c r="T750" s="508"/>
      <c r="U750" s="508"/>
      <c r="V750" s="508"/>
      <c r="W750" s="508"/>
      <c r="X750" s="508"/>
      <c r="Y750" s="508"/>
      <c r="Z750" s="508"/>
    </row>
    <row r="751">
      <c r="A751" s="508"/>
      <c r="B751" s="508"/>
      <c r="C751" s="508"/>
      <c r="D751" s="508"/>
      <c r="E751" s="508"/>
      <c r="F751" s="508"/>
      <c r="G751" s="508"/>
      <c r="H751" s="508"/>
      <c r="I751" s="508"/>
      <c r="J751" s="508"/>
      <c r="K751" s="508"/>
      <c r="L751" s="508"/>
      <c r="M751" s="508"/>
      <c r="N751" s="508"/>
      <c r="O751" s="508"/>
      <c r="P751" s="508"/>
      <c r="Q751" s="508"/>
      <c r="R751" s="508"/>
      <c r="S751" s="508"/>
      <c r="T751" s="508"/>
      <c r="U751" s="508"/>
      <c r="V751" s="508"/>
      <c r="W751" s="508"/>
      <c r="X751" s="508"/>
      <c r="Y751" s="508"/>
      <c r="Z751" s="508"/>
    </row>
    <row r="752">
      <c r="A752" s="508"/>
      <c r="B752" s="508"/>
      <c r="C752" s="508"/>
      <c r="D752" s="508"/>
      <c r="E752" s="508"/>
      <c r="F752" s="508"/>
      <c r="G752" s="508"/>
      <c r="H752" s="508"/>
      <c r="I752" s="508"/>
      <c r="J752" s="508"/>
      <c r="K752" s="508"/>
      <c r="L752" s="508"/>
      <c r="M752" s="508"/>
      <c r="N752" s="508"/>
      <c r="O752" s="508"/>
      <c r="P752" s="508"/>
      <c r="Q752" s="508"/>
      <c r="R752" s="508"/>
      <c r="S752" s="508"/>
      <c r="T752" s="508"/>
      <c r="U752" s="508"/>
      <c r="V752" s="508"/>
      <c r="W752" s="508"/>
      <c r="X752" s="508"/>
      <c r="Y752" s="508"/>
      <c r="Z752" s="508"/>
    </row>
    <row r="753">
      <c r="A753" s="508"/>
      <c r="B753" s="508"/>
      <c r="C753" s="508"/>
      <c r="D753" s="508"/>
      <c r="E753" s="508"/>
      <c r="F753" s="508"/>
      <c r="G753" s="508"/>
      <c r="H753" s="508"/>
      <c r="I753" s="508"/>
      <c r="J753" s="508"/>
      <c r="K753" s="508"/>
      <c r="L753" s="508"/>
      <c r="M753" s="508"/>
      <c r="N753" s="508"/>
      <c r="O753" s="508"/>
      <c r="P753" s="508"/>
      <c r="Q753" s="508"/>
      <c r="R753" s="508"/>
      <c r="S753" s="508"/>
      <c r="T753" s="508"/>
      <c r="U753" s="508"/>
      <c r="V753" s="508"/>
      <c r="W753" s="508"/>
      <c r="X753" s="508"/>
      <c r="Y753" s="508"/>
      <c r="Z753" s="508"/>
    </row>
    <row r="754">
      <c r="A754" s="508"/>
      <c r="B754" s="508"/>
      <c r="C754" s="508"/>
      <c r="D754" s="508"/>
      <c r="E754" s="508"/>
      <c r="F754" s="508"/>
      <c r="G754" s="508"/>
      <c r="H754" s="508"/>
      <c r="I754" s="508"/>
      <c r="J754" s="508"/>
      <c r="K754" s="508"/>
      <c r="L754" s="508"/>
      <c r="M754" s="508"/>
      <c r="N754" s="508"/>
      <c r="O754" s="508"/>
      <c r="P754" s="508"/>
      <c r="Q754" s="508"/>
      <c r="R754" s="508"/>
      <c r="S754" s="508"/>
      <c r="T754" s="508"/>
      <c r="U754" s="508"/>
      <c r="V754" s="508"/>
      <c r="W754" s="508"/>
      <c r="X754" s="508"/>
      <c r="Y754" s="508"/>
      <c r="Z754" s="508"/>
    </row>
    <row r="755">
      <c r="A755" s="508"/>
      <c r="B755" s="508"/>
      <c r="C755" s="508"/>
      <c r="D755" s="508"/>
      <c r="E755" s="508"/>
      <c r="F755" s="508"/>
      <c r="G755" s="508"/>
      <c r="H755" s="508"/>
      <c r="I755" s="508"/>
      <c r="J755" s="508"/>
      <c r="K755" s="508"/>
      <c r="L755" s="508"/>
      <c r="M755" s="508"/>
      <c r="N755" s="508"/>
      <c r="O755" s="508"/>
      <c r="P755" s="508"/>
      <c r="Q755" s="508"/>
      <c r="R755" s="508"/>
      <c r="S755" s="508"/>
      <c r="T755" s="508"/>
      <c r="U755" s="508"/>
      <c r="V755" s="508"/>
      <c r="W755" s="508"/>
      <c r="X755" s="508"/>
      <c r="Y755" s="508"/>
      <c r="Z755" s="508"/>
    </row>
    <row r="756">
      <c r="A756" s="508"/>
      <c r="B756" s="508"/>
      <c r="C756" s="508"/>
      <c r="D756" s="508"/>
      <c r="E756" s="508"/>
      <c r="F756" s="508"/>
      <c r="G756" s="508"/>
      <c r="H756" s="508"/>
      <c r="I756" s="508"/>
      <c r="J756" s="508"/>
      <c r="K756" s="508"/>
      <c r="L756" s="508"/>
      <c r="M756" s="508"/>
      <c r="N756" s="508"/>
      <c r="O756" s="508"/>
      <c r="P756" s="508"/>
      <c r="Q756" s="508"/>
      <c r="R756" s="508"/>
      <c r="S756" s="508"/>
      <c r="T756" s="508"/>
      <c r="U756" s="508"/>
      <c r="V756" s="508"/>
      <c r="W756" s="508"/>
      <c r="X756" s="508"/>
      <c r="Y756" s="508"/>
      <c r="Z756" s="508"/>
    </row>
    <row r="757">
      <c r="A757" s="508"/>
      <c r="B757" s="508"/>
      <c r="C757" s="508"/>
      <c r="D757" s="508"/>
      <c r="E757" s="508"/>
      <c r="F757" s="508"/>
      <c r="G757" s="508"/>
      <c r="H757" s="508"/>
      <c r="I757" s="508"/>
      <c r="J757" s="508"/>
      <c r="K757" s="508"/>
      <c r="L757" s="508"/>
      <c r="M757" s="508"/>
      <c r="N757" s="508"/>
      <c r="O757" s="508"/>
      <c r="P757" s="508"/>
      <c r="Q757" s="508"/>
      <c r="R757" s="508"/>
      <c r="S757" s="508"/>
      <c r="T757" s="508"/>
      <c r="U757" s="508"/>
      <c r="V757" s="508"/>
      <c r="W757" s="508"/>
      <c r="X757" s="508"/>
      <c r="Y757" s="508"/>
      <c r="Z757" s="508"/>
    </row>
    <row r="758">
      <c r="A758" s="508"/>
      <c r="B758" s="508"/>
      <c r="C758" s="508"/>
      <c r="D758" s="508"/>
      <c r="E758" s="508"/>
      <c r="F758" s="508"/>
      <c r="G758" s="508"/>
      <c r="H758" s="508"/>
      <c r="I758" s="508"/>
      <c r="J758" s="508"/>
      <c r="K758" s="508"/>
      <c r="L758" s="508"/>
      <c r="M758" s="508"/>
      <c r="N758" s="508"/>
      <c r="O758" s="508"/>
      <c r="P758" s="508"/>
      <c r="Q758" s="508"/>
      <c r="R758" s="508"/>
      <c r="S758" s="508"/>
      <c r="T758" s="508"/>
      <c r="U758" s="508"/>
      <c r="V758" s="508"/>
      <c r="W758" s="508"/>
      <c r="X758" s="508"/>
      <c r="Y758" s="508"/>
      <c r="Z758" s="508"/>
    </row>
    <row r="759">
      <c r="A759" s="508"/>
      <c r="B759" s="508"/>
      <c r="C759" s="508"/>
      <c r="D759" s="508"/>
      <c r="E759" s="508"/>
      <c r="F759" s="508"/>
      <c r="G759" s="508"/>
      <c r="H759" s="508"/>
      <c r="I759" s="508"/>
      <c r="J759" s="508"/>
      <c r="K759" s="508"/>
      <c r="L759" s="508"/>
      <c r="M759" s="508"/>
      <c r="N759" s="508"/>
      <c r="O759" s="508"/>
      <c r="P759" s="508"/>
      <c r="Q759" s="508"/>
      <c r="R759" s="508"/>
      <c r="S759" s="508"/>
      <c r="T759" s="508"/>
      <c r="U759" s="508"/>
      <c r="V759" s="508"/>
      <c r="W759" s="508"/>
      <c r="X759" s="508"/>
      <c r="Y759" s="508"/>
      <c r="Z759" s="508"/>
    </row>
    <row r="760">
      <c r="A760" s="508"/>
      <c r="B760" s="508"/>
      <c r="C760" s="508"/>
      <c r="D760" s="508"/>
      <c r="E760" s="508"/>
      <c r="F760" s="508"/>
      <c r="G760" s="508"/>
      <c r="H760" s="508"/>
      <c r="I760" s="508"/>
      <c r="J760" s="508"/>
      <c r="K760" s="508"/>
      <c r="L760" s="508"/>
      <c r="M760" s="508"/>
      <c r="N760" s="508"/>
      <c r="O760" s="508"/>
      <c r="P760" s="508"/>
      <c r="Q760" s="508"/>
      <c r="R760" s="508"/>
      <c r="S760" s="508"/>
      <c r="T760" s="508"/>
      <c r="U760" s="508"/>
      <c r="V760" s="508"/>
      <c r="W760" s="508"/>
      <c r="X760" s="508"/>
      <c r="Y760" s="508"/>
      <c r="Z760" s="508"/>
    </row>
    <row r="761">
      <c r="A761" s="508"/>
      <c r="B761" s="508"/>
      <c r="C761" s="508"/>
      <c r="D761" s="508"/>
      <c r="E761" s="508"/>
      <c r="F761" s="508"/>
      <c r="G761" s="508"/>
      <c r="H761" s="508"/>
      <c r="I761" s="508"/>
      <c r="J761" s="508"/>
      <c r="K761" s="508"/>
      <c r="L761" s="508"/>
      <c r="M761" s="508"/>
      <c r="N761" s="508"/>
      <c r="O761" s="508"/>
      <c r="P761" s="508"/>
      <c r="Q761" s="508"/>
      <c r="R761" s="508"/>
      <c r="S761" s="508"/>
      <c r="T761" s="508"/>
      <c r="U761" s="508"/>
      <c r="V761" s="508"/>
      <c r="W761" s="508"/>
      <c r="X761" s="508"/>
      <c r="Y761" s="508"/>
      <c r="Z761" s="508"/>
    </row>
    <row r="762">
      <c r="A762" s="508"/>
      <c r="B762" s="508"/>
      <c r="C762" s="508"/>
      <c r="D762" s="508"/>
      <c r="E762" s="508"/>
      <c r="F762" s="508"/>
      <c r="G762" s="508"/>
      <c r="H762" s="508"/>
      <c r="I762" s="508"/>
      <c r="J762" s="508"/>
      <c r="K762" s="508"/>
      <c r="L762" s="508"/>
      <c r="M762" s="508"/>
      <c r="N762" s="508"/>
      <c r="O762" s="508"/>
      <c r="P762" s="508"/>
      <c r="Q762" s="508"/>
      <c r="R762" s="508"/>
      <c r="S762" s="508"/>
      <c r="T762" s="508"/>
      <c r="U762" s="508"/>
      <c r="V762" s="508"/>
      <c r="W762" s="508"/>
      <c r="X762" s="508"/>
      <c r="Y762" s="508"/>
      <c r="Z762" s="508"/>
    </row>
    <row r="763">
      <c r="A763" s="508"/>
      <c r="B763" s="508"/>
      <c r="C763" s="508"/>
      <c r="D763" s="508"/>
      <c r="E763" s="508"/>
      <c r="F763" s="508"/>
      <c r="G763" s="508"/>
      <c r="H763" s="508"/>
      <c r="I763" s="508"/>
      <c r="J763" s="508"/>
      <c r="K763" s="508"/>
      <c r="L763" s="508"/>
      <c r="M763" s="508"/>
      <c r="N763" s="508"/>
      <c r="O763" s="508"/>
      <c r="P763" s="508"/>
      <c r="Q763" s="508"/>
      <c r="R763" s="508"/>
      <c r="S763" s="508"/>
      <c r="T763" s="508"/>
      <c r="U763" s="508"/>
      <c r="V763" s="508"/>
      <c r="W763" s="508"/>
      <c r="X763" s="508"/>
      <c r="Y763" s="508"/>
      <c r="Z763" s="508"/>
    </row>
    <row r="764">
      <c r="A764" s="508"/>
      <c r="B764" s="508"/>
      <c r="C764" s="508"/>
      <c r="D764" s="508"/>
      <c r="E764" s="508"/>
      <c r="F764" s="508"/>
      <c r="G764" s="508"/>
      <c r="H764" s="508"/>
      <c r="I764" s="508"/>
      <c r="J764" s="508"/>
      <c r="K764" s="508"/>
      <c r="L764" s="508"/>
      <c r="M764" s="508"/>
      <c r="N764" s="508"/>
      <c r="O764" s="508"/>
      <c r="P764" s="508"/>
      <c r="Q764" s="508"/>
      <c r="R764" s="508"/>
      <c r="S764" s="508"/>
      <c r="T764" s="508"/>
      <c r="U764" s="508"/>
      <c r="V764" s="508"/>
      <c r="W764" s="508"/>
      <c r="X764" s="508"/>
      <c r="Y764" s="508"/>
      <c r="Z764" s="508"/>
    </row>
    <row r="765">
      <c r="A765" s="508"/>
      <c r="B765" s="508"/>
      <c r="C765" s="508"/>
      <c r="D765" s="508"/>
      <c r="E765" s="508"/>
      <c r="F765" s="508"/>
      <c r="G765" s="508"/>
      <c r="H765" s="508"/>
      <c r="I765" s="508"/>
      <c r="J765" s="508"/>
      <c r="K765" s="508"/>
      <c r="L765" s="508"/>
      <c r="M765" s="508"/>
      <c r="N765" s="508"/>
      <c r="O765" s="508"/>
      <c r="P765" s="508"/>
      <c r="Q765" s="508"/>
      <c r="R765" s="508"/>
      <c r="S765" s="508"/>
      <c r="T765" s="508"/>
      <c r="U765" s="508"/>
      <c r="V765" s="508"/>
      <c r="W765" s="508"/>
      <c r="X765" s="508"/>
      <c r="Y765" s="508"/>
      <c r="Z765" s="508"/>
    </row>
    <row r="766">
      <c r="A766" s="508"/>
      <c r="B766" s="508"/>
      <c r="C766" s="508"/>
      <c r="D766" s="508"/>
      <c r="E766" s="508"/>
      <c r="F766" s="508"/>
      <c r="G766" s="508"/>
      <c r="H766" s="508"/>
      <c r="I766" s="508"/>
      <c r="J766" s="508"/>
      <c r="K766" s="508"/>
      <c r="L766" s="508"/>
      <c r="M766" s="508"/>
      <c r="N766" s="508"/>
      <c r="O766" s="508"/>
      <c r="P766" s="508"/>
      <c r="Q766" s="508"/>
      <c r="R766" s="508"/>
      <c r="S766" s="508"/>
      <c r="T766" s="508"/>
      <c r="U766" s="508"/>
      <c r="V766" s="508"/>
      <c r="W766" s="508"/>
      <c r="X766" s="508"/>
      <c r="Y766" s="508"/>
      <c r="Z766" s="508"/>
    </row>
    <row r="767">
      <c r="A767" s="508"/>
      <c r="B767" s="508"/>
      <c r="C767" s="508"/>
      <c r="D767" s="508"/>
      <c r="E767" s="508"/>
      <c r="F767" s="508"/>
      <c r="G767" s="508"/>
      <c r="H767" s="508"/>
      <c r="I767" s="508"/>
      <c r="J767" s="508"/>
      <c r="K767" s="508"/>
      <c r="L767" s="508"/>
      <c r="M767" s="508"/>
      <c r="N767" s="508"/>
      <c r="O767" s="508"/>
      <c r="P767" s="508"/>
      <c r="Q767" s="508"/>
      <c r="R767" s="508"/>
      <c r="S767" s="508"/>
      <c r="T767" s="508"/>
      <c r="U767" s="508"/>
      <c r="V767" s="508"/>
      <c r="W767" s="508"/>
      <c r="X767" s="508"/>
      <c r="Y767" s="508"/>
      <c r="Z767" s="508"/>
    </row>
    <row r="768">
      <c r="A768" s="508"/>
      <c r="B768" s="508"/>
      <c r="C768" s="508"/>
      <c r="D768" s="508"/>
      <c r="E768" s="508"/>
      <c r="F768" s="508"/>
      <c r="G768" s="508"/>
      <c r="H768" s="508"/>
      <c r="I768" s="508"/>
      <c r="J768" s="508"/>
      <c r="K768" s="508"/>
      <c r="L768" s="508"/>
      <c r="M768" s="508"/>
      <c r="N768" s="508"/>
      <c r="O768" s="508"/>
      <c r="P768" s="508"/>
      <c r="Q768" s="508"/>
      <c r="R768" s="508"/>
      <c r="S768" s="508"/>
      <c r="T768" s="508"/>
      <c r="U768" s="508"/>
      <c r="V768" s="508"/>
      <c r="W768" s="508"/>
      <c r="X768" s="508"/>
      <c r="Y768" s="508"/>
      <c r="Z768" s="508"/>
    </row>
    <row r="769">
      <c r="A769" s="508"/>
      <c r="B769" s="508"/>
      <c r="C769" s="508"/>
      <c r="D769" s="508"/>
      <c r="E769" s="508"/>
      <c r="F769" s="508"/>
      <c r="G769" s="508"/>
      <c r="H769" s="508"/>
      <c r="I769" s="508"/>
      <c r="J769" s="508"/>
      <c r="K769" s="508"/>
      <c r="L769" s="508"/>
      <c r="M769" s="508"/>
      <c r="N769" s="508"/>
      <c r="O769" s="508"/>
      <c r="P769" s="508"/>
      <c r="Q769" s="508"/>
      <c r="R769" s="508"/>
      <c r="S769" s="508"/>
      <c r="T769" s="508"/>
      <c r="U769" s="508"/>
      <c r="V769" s="508"/>
      <c r="W769" s="508"/>
      <c r="X769" s="508"/>
      <c r="Y769" s="508"/>
      <c r="Z769" s="508"/>
    </row>
    <row r="770">
      <c r="A770" s="508"/>
      <c r="B770" s="508"/>
      <c r="C770" s="508"/>
      <c r="D770" s="508"/>
      <c r="E770" s="508"/>
      <c r="F770" s="508"/>
      <c r="G770" s="508"/>
      <c r="H770" s="508"/>
      <c r="I770" s="508"/>
      <c r="J770" s="508"/>
      <c r="K770" s="508"/>
      <c r="L770" s="508"/>
      <c r="M770" s="508"/>
      <c r="N770" s="508"/>
      <c r="O770" s="508"/>
      <c r="P770" s="508"/>
      <c r="Q770" s="508"/>
      <c r="R770" s="508"/>
      <c r="S770" s="508"/>
      <c r="T770" s="508"/>
      <c r="U770" s="508"/>
      <c r="V770" s="508"/>
      <c r="W770" s="508"/>
      <c r="X770" s="508"/>
      <c r="Y770" s="508"/>
      <c r="Z770" s="508"/>
    </row>
    <row r="771">
      <c r="A771" s="508"/>
      <c r="B771" s="508"/>
      <c r="C771" s="508"/>
      <c r="D771" s="508"/>
      <c r="E771" s="508"/>
      <c r="F771" s="508"/>
      <c r="G771" s="508"/>
      <c r="H771" s="508"/>
      <c r="I771" s="508"/>
      <c r="J771" s="508"/>
      <c r="K771" s="508"/>
      <c r="L771" s="508"/>
      <c r="M771" s="508"/>
      <c r="N771" s="508"/>
      <c r="O771" s="508"/>
      <c r="P771" s="508"/>
      <c r="Q771" s="508"/>
      <c r="R771" s="508"/>
      <c r="S771" s="508"/>
      <c r="T771" s="508"/>
      <c r="U771" s="508"/>
      <c r="V771" s="508"/>
      <c r="W771" s="508"/>
      <c r="X771" s="508"/>
      <c r="Y771" s="508"/>
      <c r="Z771" s="508"/>
    </row>
    <row r="772">
      <c r="A772" s="508"/>
      <c r="B772" s="508"/>
      <c r="C772" s="508"/>
      <c r="D772" s="508"/>
      <c r="E772" s="508"/>
      <c r="F772" s="508"/>
      <c r="G772" s="508"/>
      <c r="H772" s="508"/>
      <c r="I772" s="508"/>
      <c r="J772" s="508"/>
      <c r="K772" s="508"/>
      <c r="L772" s="508"/>
      <c r="M772" s="508"/>
      <c r="N772" s="508"/>
      <c r="O772" s="508"/>
      <c r="P772" s="508"/>
      <c r="Q772" s="508"/>
      <c r="R772" s="508"/>
      <c r="S772" s="508"/>
      <c r="T772" s="508"/>
      <c r="U772" s="508"/>
      <c r="V772" s="508"/>
      <c r="W772" s="508"/>
      <c r="X772" s="508"/>
      <c r="Y772" s="508"/>
      <c r="Z772" s="508"/>
    </row>
    <row r="773">
      <c r="A773" s="508"/>
      <c r="B773" s="508"/>
      <c r="C773" s="508"/>
      <c r="D773" s="508"/>
      <c r="E773" s="508"/>
      <c r="F773" s="508"/>
      <c r="G773" s="508"/>
      <c r="H773" s="508"/>
      <c r="I773" s="508"/>
      <c r="J773" s="508"/>
      <c r="K773" s="508"/>
      <c r="L773" s="508"/>
      <c r="M773" s="508"/>
      <c r="N773" s="508"/>
      <c r="O773" s="508"/>
      <c r="P773" s="508"/>
      <c r="Q773" s="508"/>
      <c r="R773" s="508"/>
      <c r="S773" s="508"/>
      <c r="T773" s="508"/>
      <c r="U773" s="508"/>
      <c r="V773" s="508"/>
      <c r="W773" s="508"/>
      <c r="X773" s="508"/>
      <c r="Y773" s="508"/>
      <c r="Z773" s="508"/>
    </row>
    <row r="774">
      <c r="A774" s="508"/>
      <c r="B774" s="508"/>
      <c r="C774" s="508"/>
      <c r="D774" s="508"/>
      <c r="E774" s="508"/>
      <c r="F774" s="508"/>
      <c r="G774" s="508"/>
      <c r="H774" s="508"/>
      <c r="I774" s="508"/>
      <c r="J774" s="508"/>
      <c r="K774" s="508"/>
      <c r="L774" s="508"/>
      <c r="M774" s="508"/>
      <c r="N774" s="508"/>
      <c r="O774" s="508"/>
      <c r="P774" s="508"/>
      <c r="Q774" s="508"/>
      <c r="R774" s="508"/>
      <c r="S774" s="508"/>
      <c r="T774" s="508"/>
      <c r="U774" s="508"/>
      <c r="V774" s="508"/>
      <c r="W774" s="508"/>
      <c r="X774" s="508"/>
      <c r="Y774" s="508"/>
      <c r="Z774" s="508"/>
    </row>
    <row r="775">
      <c r="A775" s="508"/>
      <c r="B775" s="508"/>
      <c r="C775" s="508"/>
      <c r="D775" s="508"/>
      <c r="E775" s="508"/>
      <c r="F775" s="508"/>
      <c r="G775" s="508"/>
      <c r="H775" s="508"/>
      <c r="I775" s="508"/>
      <c r="J775" s="508"/>
      <c r="K775" s="508"/>
      <c r="L775" s="508"/>
      <c r="M775" s="508"/>
      <c r="N775" s="508"/>
      <c r="O775" s="508"/>
      <c r="P775" s="508"/>
      <c r="Q775" s="508"/>
      <c r="R775" s="508"/>
      <c r="S775" s="508"/>
      <c r="T775" s="508"/>
      <c r="U775" s="508"/>
      <c r="V775" s="508"/>
      <c r="W775" s="508"/>
      <c r="X775" s="508"/>
      <c r="Y775" s="508"/>
      <c r="Z775" s="508"/>
    </row>
    <row r="776">
      <c r="A776" s="508"/>
      <c r="B776" s="508"/>
      <c r="C776" s="508"/>
      <c r="D776" s="508"/>
      <c r="E776" s="508"/>
      <c r="F776" s="508"/>
      <c r="G776" s="508"/>
      <c r="H776" s="508"/>
      <c r="I776" s="508"/>
      <c r="J776" s="508"/>
      <c r="K776" s="508"/>
      <c r="L776" s="508"/>
      <c r="M776" s="508"/>
      <c r="N776" s="508"/>
      <c r="O776" s="508"/>
      <c r="P776" s="508"/>
      <c r="Q776" s="508"/>
      <c r="R776" s="508"/>
      <c r="S776" s="508"/>
      <c r="T776" s="508"/>
      <c r="U776" s="508"/>
      <c r="V776" s="508"/>
      <c r="W776" s="508"/>
      <c r="X776" s="508"/>
      <c r="Y776" s="508"/>
      <c r="Z776" s="508"/>
    </row>
    <row r="777">
      <c r="A777" s="508"/>
      <c r="B777" s="508"/>
      <c r="C777" s="508"/>
      <c r="D777" s="508"/>
      <c r="E777" s="508"/>
      <c r="F777" s="508"/>
      <c r="G777" s="508"/>
      <c r="H777" s="508"/>
      <c r="I777" s="508"/>
      <c r="J777" s="508"/>
      <c r="K777" s="508"/>
      <c r="L777" s="508"/>
      <c r="M777" s="508"/>
      <c r="N777" s="508"/>
      <c r="O777" s="508"/>
      <c r="P777" s="508"/>
      <c r="Q777" s="508"/>
      <c r="R777" s="508"/>
      <c r="S777" s="508"/>
      <c r="T777" s="508"/>
      <c r="U777" s="508"/>
      <c r="V777" s="508"/>
      <c r="W777" s="508"/>
      <c r="X777" s="508"/>
      <c r="Y777" s="508"/>
      <c r="Z777" s="508"/>
    </row>
    <row r="778">
      <c r="A778" s="508"/>
      <c r="B778" s="508"/>
      <c r="C778" s="508"/>
      <c r="D778" s="508"/>
      <c r="E778" s="508"/>
      <c r="F778" s="508"/>
      <c r="G778" s="508"/>
      <c r="H778" s="508"/>
      <c r="I778" s="508"/>
      <c r="J778" s="508"/>
      <c r="K778" s="508"/>
      <c r="L778" s="508"/>
      <c r="M778" s="508"/>
      <c r="N778" s="508"/>
      <c r="O778" s="508"/>
      <c r="P778" s="508"/>
      <c r="Q778" s="508"/>
      <c r="R778" s="508"/>
      <c r="S778" s="508"/>
      <c r="T778" s="508"/>
      <c r="U778" s="508"/>
      <c r="V778" s="508"/>
      <c r="W778" s="508"/>
      <c r="X778" s="508"/>
      <c r="Y778" s="508"/>
      <c r="Z778" s="508"/>
    </row>
    <row r="779">
      <c r="A779" s="508"/>
      <c r="B779" s="508"/>
      <c r="C779" s="508"/>
      <c r="D779" s="508"/>
      <c r="E779" s="508"/>
      <c r="F779" s="508"/>
      <c r="G779" s="508"/>
      <c r="H779" s="508"/>
      <c r="I779" s="508"/>
      <c r="J779" s="508"/>
      <c r="K779" s="508"/>
      <c r="L779" s="508"/>
      <c r="M779" s="508"/>
      <c r="N779" s="508"/>
      <c r="O779" s="508"/>
      <c r="P779" s="508"/>
      <c r="Q779" s="508"/>
      <c r="R779" s="508"/>
      <c r="S779" s="508"/>
      <c r="T779" s="508"/>
      <c r="U779" s="508"/>
      <c r="V779" s="508"/>
      <c r="W779" s="508"/>
      <c r="X779" s="508"/>
      <c r="Y779" s="508"/>
      <c r="Z779" s="508"/>
    </row>
    <row r="780">
      <c r="A780" s="508"/>
      <c r="B780" s="508"/>
      <c r="C780" s="508"/>
      <c r="D780" s="508"/>
      <c r="E780" s="508"/>
      <c r="F780" s="508"/>
      <c r="G780" s="508"/>
      <c r="H780" s="508"/>
      <c r="I780" s="508"/>
      <c r="J780" s="508"/>
      <c r="K780" s="508"/>
      <c r="L780" s="508"/>
      <c r="M780" s="508"/>
      <c r="N780" s="508"/>
      <c r="O780" s="508"/>
      <c r="P780" s="508"/>
      <c r="Q780" s="508"/>
      <c r="R780" s="508"/>
      <c r="S780" s="508"/>
      <c r="T780" s="508"/>
      <c r="U780" s="508"/>
      <c r="V780" s="508"/>
      <c r="W780" s="508"/>
      <c r="X780" s="508"/>
      <c r="Y780" s="508"/>
      <c r="Z780" s="508"/>
    </row>
    <row r="781">
      <c r="A781" s="508"/>
      <c r="B781" s="508"/>
      <c r="C781" s="508"/>
      <c r="D781" s="508"/>
      <c r="E781" s="508"/>
      <c r="F781" s="508"/>
      <c r="G781" s="508"/>
      <c r="H781" s="508"/>
      <c r="I781" s="508"/>
      <c r="J781" s="508"/>
      <c r="K781" s="508"/>
      <c r="L781" s="508"/>
      <c r="M781" s="508"/>
      <c r="N781" s="508"/>
      <c r="O781" s="508"/>
      <c r="P781" s="508"/>
      <c r="Q781" s="508"/>
      <c r="R781" s="508"/>
      <c r="S781" s="508"/>
      <c r="T781" s="508"/>
      <c r="U781" s="508"/>
      <c r="V781" s="508"/>
      <c r="W781" s="508"/>
      <c r="X781" s="508"/>
      <c r="Y781" s="508"/>
      <c r="Z781" s="508"/>
    </row>
    <row r="782">
      <c r="A782" s="508"/>
      <c r="B782" s="508"/>
      <c r="C782" s="508"/>
      <c r="D782" s="508"/>
      <c r="E782" s="508"/>
      <c r="F782" s="508"/>
      <c r="G782" s="508"/>
      <c r="H782" s="508"/>
      <c r="I782" s="508"/>
      <c r="J782" s="508"/>
      <c r="K782" s="508"/>
      <c r="L782" s="508"/>
      <c r="M782" s="508"/>
      <c r="N782" s="508"/>
      <c r="O782" s="508"/>
      <c r="P782" s="508"/>
      <c r="Q782" s="508"/>
      <c r="R782" s="508"/>
      <c r="S782" s="508"/>
      <c r="T782" s="508"/>
      <c r="U782" s="508"/>
      <c r="V782" s="508"/>
      <c r="W782" s="508"/>
      <c r="X782" s="508"/>
      <c r="Y782" s="508"/>
      <c r="Z782" s="508"/>
    </row>
    <row r="783">
      <c r="A783" s="508"/>
      <c r="B783" s="508"/>
      <c r="C783" s="508"/>
      <c r="D783" s="508"/>
      <c r="E783" s="508"/>
      <c r="F783" s="508"/>
      <c r="G783" s="508"/>
      <c r="H783" s="508"/>
      <c r="I783" s="508"/>
      <c r="J783" s="508"/>
      <c r="K783" s="508"/>
      <c r="L783" s="508"/>
      <c r="M783" s="508"/>
      <c r="N783" s="508"/>
      <c r="O783" s="508"/>
      <c r="P783" s="508"/>
      <c r="Q783" s="508"/>
      <c r="R783" s="508"/>
      <c r="S783" s="508"/>
      <c r="T783" s="508"/>
      <c r="U783" s="508"/>
      <c r="V783" s="508"/>
      <c r="W783" s="508"/>
      <c r="X783" s="508"/>
      <c r="Y783" s="508"/>
      <c r="Z783" s="508"/>
    </row>
    <row r="784">
      <c r="A784" s="508"/>
      <c r="B784" s="508"/>
      <c r="C784" s="508"/>
      <c r="D784" s="508"/>
      <c r="E784" s="508"/>
      <c r="F784" s="508"/>
      <c r="G784" s="508"/>
      <c r="H784" s="508"/>
      <c r="I784" s="508"/>
      <c r="J784" s="508"/>
      <c r="K784" s="508"/>
      <c r="L784" s="508"/>
      <c r="M784" s="508"/>
      <c r="N784" s="508"/>
      <c r="O784" s="508"/>
      <c r="P784" s="508"/>
      <c r="Q784" s="508"/>
      <c r="R784" s="508"/>
      <c r="S784" s="508"/>
      <c r="T784" s="508"/>
      <c r="U784" s="508"/>
      <c r="V784" s="508"/>
      <c r="W784" s="508"/>
      <c r="X784" s="508"/>
      <c r="Y784" s="508"/>
      <c r="Z784" s="508"/>
    </row>
    <row r="785">
      <c r="A785" s="508"/>
      <c r="B785" s="508"/>
      <c r="C785" s="508"/>
      <c r="D785" s="508"/>
      <c r="E785" s="508"/>
      <c r="F785" s="508"/>
      <c r="G785" s="508"/>
      <c r="H785" s="508"/>
      <c r="I785" s="508"/>
      <c r="J785" s="508"/>
      <c r="K785" s="508"/>
      <c r="L785" s="508"/>
      <c r="M785" s="508"/>
      <c r="N785" s="508"/>
      <c r="O785" s="508"/>
      <c r="P785" s="508"/>
      <c r="Q785" s="508"/>
      <c r="R785" s="508"/>
      <c r="S785" s="508"/>
      <c r="T785" s="508"/>
      <c r="U785" s="508"/>
      <c r="V785" s="508"/>
      <c r="W785" s="508"/>
      <c r="X785" s="508"/>
      <c r="Y785" s="508"/>
      <c r="Z785" s="508"/>
    </row>
    <row r="786">
      <c r="A786" s="508"/>
      <c r="B786" s="508"/>
      <c r="C786" s="508"/>
      <c r="D786" s="508"/>
      <c r="E786" s="508"/>
      <c r="F786" s="508"/>
      <c r="G786" s="508"/>
      <c r="H786" s="508"/>
      <c r="I786" s="508"/>
      <c r="J786" s="508"/>
      <c r="K786" s="508"/>
      <c r="L786" s="508"/>
      <c r="M786" s="508"/>
      <c r="N786" s="508"/>
      <c r="O786" s="508"/>
      <c r="P786" s="508"/>
      <c r="Q786" s="508"/>
      <c r="R786" s="508"/>
      <c r="S786" s="508"/>
      <c r="T786" s="508"/>
      <c r="U786" s="508"/>
      <c r="V786" s="508"/>
      <c r="W786" s="508"/>
      <c r="X786" s="508"/>
      <c r="Y786" s="508"/>
      <c r="Z786" s="508"/>
    </row>
    <row r="787">
      <c r="A787" s="508"/>
      <c r="B787" s="508"/>
      <c r="C787" s="508"/>
      <c r="D787" s="508"/>
      <c r="E787" s="508"/>
      <c r="F787" s="508"/>
      <c r="G787" s="508"/>
      <c r="H787" s="508"/>
      <c r="I787" s="508"/>
      <c r="J787" s="508"/>
      <c r="K787" s="508"/>
      <c r="L787" s="508"/>
      <c r="M787" s="508"/>
      <c r="N787" s="508"/>
      <c r="O787" s="508"/>
      <c r="P787" s="508"/>
      <c r="Q787" s="508"/>
      <c r="R787" s="508"/>
      <c r="S787" s="508"/>
      <c r="T787" s="508"/>
      <c r="U787" s="508"/>
      <c r="V787" s="508"/>
      <c r="W787" s="508"/>
      <c r="X787" s="508"/>
      <c r="Y787" s="508"/>
      <c r="Z787" s="508"/>
    </row>
    <row r="788">
      <c r="A788" s="508"/>
      <c r="B788" s="508"/>
      <c r="C788" s="508"/>
      <c r="D788" s="508"/>
      <c r="E788" s="508"/>
      <c r="F788" s="508"/>
      <c r="G788" s="508"/>
      <c r="H788" s="508"/>
      <c r="I788" s="508"/>
      <c r="J788" s="508"/>
      <c r="K788" s="508"/>
      <c r="L788" s="508"/>
      <c r="M788" s="508"/>
      <c r="N788" s="508"/>
      <c r="O788" s="508"/>
      <c r="P788" s="508"/>
      <c r="Q788" s="508"/>
      <c r="R788" s="508"/>
      <c r="S788" s="508"/>
      <c r="T788" s="508"/>
      <c r="U788" s="508"/>
      <c r="V788" s="508"/>
      <c r="W788" s="508"/>
      <c r="X788" s="508"/>
      <c r="Y788" s="508"/>
      <c r="Z788" s="508"/>
    </row>
    <row r="789">
      <c r="A789" s="508"/>
      <c r="B789" s="508"/>
      <c r="C789" s="508"/>
      <c r="D789" s="508"/>
      <c r="E789" s="508"/>
      <c r="F789" s="508"/>
      <c r="G789" s="508"/>
      <c r="H789" s="508"/>
      <c r="I789" s="508"/>
      <c r="J789" s="508"/>
      <c r="K789" s="508"/>
      <c r="L789" s="508"/>
      <c r="M789" s="508"/>
      <c r="N789" s="508"/>
      <c r="O789" s="508"/>
      <c r="P789" s="508"/>
      <c r="Q789" s="508"/>
      <c r="R789" s="508"/>
      <c r="S789" s="508"/>
      <c r="T789" s="508"/>
      <c r="U789" s="508"/>
      <c r="V789" s="508"/>
      <c r="W789" s="508"/>
      <c r="X789" s="508"/>
      <c r="Y789" s="508"/>
      <c r="Z789" s="508"/>
    </row>
    <row r="790">
      <c r="A790" s="508"/>
      <c r="B790" s="508"/>
      <c r="C790" s="508"/>
      <c r="D790" s="508"/>
      <c r="E790" s="508"/>
      <c r="F790" s="508"/>
      <c r="G790" s="508"/>
      <c r="H790" s="508"/>
      <c r="I790" s="508"/>
      <c r="J790" s="508"/>
      <c r="K790" s="508"/>
      <c r="L790" s="508"/>
      <c r="M790" s="508"/>
      <c r="N790" s="508"/>
      <c r="O790" s="508"/>
      <c r="P790" s="508"/>
      <c r="Q790" s="508"/>
      <c r="R790" s="508"/>
      <c r="S790" s="508"/>
      <c r="T790" s="508"/>
      <c r="U790" s="508"/>
      <c r="V790" s="508"/>
      <c r="W790" s="508"/>
      <c r="X790" s="508"/>
      <c r="Y790" s="508"/>
      <c r="Z790" s="508"/>
    </row>
    <row r="791">
      <c r="A791" s="508"/>
      <c r="B791" s="508"/>
      <c r="C791" s="508"/>
      <c r="D791" s="508"/>
      <c r="E791" s="508"/>
      <c r="F791" s="508"/>
      <c r="G791" s="508"/>
      <c r="H791" s="508"/>
      <c r="I791" s="508"/>
      <c r="J791" s="508"/>
      <c r="K791" s="508"/>
      <c r="L791" s="508"/>
      <c r="M791" s="508"/>
      <c r="N791" s="508"/>
      <c r="O791" s="508"/>
      <c r="P791" s="508"/>
      <c r="Q791" s="508"/>
      <c r="R791" s="508"/>
      <c r="S791" s="508"/>
      <c r="T791" s="508"/>
      <c r="U791" s="508"/>
      <c r="V791" s="508"/>
      <c r="W791" s="508"/>
      <c r="X791" s="508"/>
      <c r="Y791" s="508"/>
      <c r="Z791" s="508"/>
    </row>
    <row r="792">
      <c r="A792" s="508"/>
      <c r="B792" s="508"/>
      <c r="C792" s="508"/>
      <c r="D792" s="508"/>
      <c r="E792" s="508"/>
      <c r="F792" s="508"/>
      <c r="G792" s="508"/>
      <c r="H792" s="508"/>
      <c r="I792" s="508"/>
      <c r="J792" s="508"/>
      <c r="K792" s="508"/>
      <c r="L792" s="508"/>
      <c r="M792" s="508"/>
      <c r="N792" s="508"/>
      <c r="O792" s="508"/>
      <c r="P792" s="508"/>
      <c r="Q792" s="508"/>
      <c r="R792" s="508"/>
      <c r="S792" s="508"/>
      <c r="T792" s="508"/>
      <c r="U792" s="508"/>
      <c r="V792" s="508"/>
      <c r="W792" s="508"/>
      <c r="X792" s="508"/>
      <c r="Y792" s="508"/>
      <c r="Z792" s="508"/>
    </row>
    <row r="793">
      <c r="A793" s="508"/>
      <c r="B793" s="508"/>
      <c r="C793" s="508"/>
      <c r="D793" s="508"/>
      <c r="E793" s="508"/>
      <c r="F793" s="508"/>
      <c r="G793" s="508"/>
      <c r="H793" s="508"/>
      <c r="I793" s="508"/>
      <c r="J793" s="508"/>
      <c r="K793" s="508"/>
      <c r="L793" s="508"/>
      <c r="M793" s="508"/>
      <c r="N793" s="508"/>
      <c r="O793" s="508"/>
      <c r="P793" s="508"/>
      <c r="Q793" s="508"/>
      <c r="R793" s="508"/>
      <c r="S793" s="508"/>
      <c r="T793" s="508"/>
      <c r="U793" s="508"/>
      <c r="V793" s="508"/>
      <c r="W793" s="508"/>
      <c r="X793" s="508"/>
      <c r="Y793" s="508"/>
      <c r="Z793" s="508"/>
    </row>
    <row r="794">
      <c r="A794" s="508"/>
      <c r="B794" s="508"/>
      <c r="C794" s="508"/>
      <c r="D794" s="508"/>
      <c r="E794" s="508"/>
      <c r="F794" s="508"/>
      <c r="G794" s="508"/>
      <c r="H794" s="508"/>
      <c r="I794" s="508"/>
      <c r="J794" s="508"/>
      <c r="K794" s="508"/>
      <c r="L794" s="508"/>
      <c r="M794" s="508"/>
      <c r="N794" s="508"/>
      <c r="O794" s="508"/>
      <c r="P794" s="508"/>
      <c r="Q794" s="508"/>
      <c r="R794" s="508"/>
      <c r="S794" s="508"/>
      <c r="T794" s="508"/>
      <c r="U794" s="508"/>
      <c r="V794" s="508"/>
      <c r="W794" s="508"/>
      <c r="X794" s="508"/>
      <c r="Y794" s="508"/>
      <c r="Z794" s="508"/>
    </row>
    <row r="795">
      <c r="A795" s="508"/>
      <c r="B795" s="508"/>
      <c r="C795" s="508"/>
      <c r="D795" s="508"/>
      <c r="E795" s="508"/>
      <c r="F795" s="508"/>
      <c r="G795" s="508"/>
      <c r="H795" s="508"/>
      <c r="I795" s="508"/>
      <c r="J795" s="508"/>
      <c r="K795" s="508"/>
      <c r="L795" s="508"/>
      <c r="M795" s="508"/>
      <c r="N795" s="508"/>
      <c r="O795" s="508"/>
      <c r="P795" s="508"/>
      <c r="Q795" s="508"/>
      <c r="R795" s="508"/>
      <c r="S795" s="508"/>
      <c r="T795" s="508"/>
      <c r="U795" s="508"/>
      <c r="V795" s="508"/>
      <c r="W795" s="508"/>
      <c r="X795" s="508"/>
      <c r="Y795" s="508"/>
      <c r="Z795" s="508"/>
    </row>
    <row r="796">
      <c r="A796" s="508"/>
      <c r="B796" s="508"/>
      <c r="C796" s="508"/>
      <c r="D796" s="508"/>
      <c r="E796" s="508"/>
      <c r="F796" s="508"/>
      <c r="G796" s="508"/>
      <c r="H796" s="508"/>
      <c r="I796" s="508"/>
      <c r="J796" s="508"/>
      <c r="K796" s="508"/>
      <c r="L796" s="508"/>
      <c r="M796" s="508"/>
      <c r="N796" s="508"/>
      <c r="O796" s="508"/>
      <c r="P796" s="508"/>
      <c r="Q796" s="508"/>
      <c r="R796" s="508"/>
      <c r="S796" s="508"/>
      <c r="T796" s="508"/>
      <c r="U796" s="508"/>
      <c r="V796" s="508"/>
      <c r="W796" s="508"/>
      <c r="X796" s="508"/>
      <c r="Y796" s="508"/>
      <c r="Z796" s="508"/>
    </row>
    <row r="797">
      <c r="A797" s="508"/>
      <c r="B797" s="508"/>
      <c r="C797" s="508"/>
      <c r="D797" s="508"/>
      <c r="E797" s="508"/>
      <c r="F797" s="508"/>
      <c r="G797" s="508"/>
      <c r="H797" s="508"/>
      <c r="I797" s="508"/>
      <c r="J797" s="508"/>
      <c r="K797" s="508"/>
      <c r="L797" s="508"/>
      <c r="M797" s="508"/>
      <c r="N797" s="508"/>
      <c r="O797" s="508"/>
      <c r="P797" s="508"/>
      <c r="Q797" s="508"/>
      <c r="R797" s="508"/>
      <c r="S797" s="508"/>
      <c r="T797" s="508"/>
      <c r="U797" s="508"/>
      <c r="V797" s="508"/>
      <c r="W797" s="508"/>
      <c r="X797" s="508"/>
      <c r="Y797" s="508"/>
      <c r="Z797" s="508"/>
    </row>
    <row r="798">
      <c r="A798" s="508"/>
      <c r="B798" s="508"/>
      <c r="C798" s="508"/>
      <c r="D798" s="508"/>
      <c r="E798" s="508"/>
      <c r="F798" s="508"/>
      <c r="G798" s="508"/>
      <c r="H798" s="508"/>
      <c r="I798" s="508"/>
      <c r="J798" s="508"/>
      <c r="K798" s="508"/>
      <c r="L798" s="508"/>
      <c r="M798" s="508"/>
      <c r="N798" s="508"/>
      <c r="O798" s="508"/>
      <c r="P798" s="508"/>
      <c r="Q798" s="508"/>
      <c r="R798" s="508"/>
      <c r="S798" s="508"/>
      <c r="T798" s="508"/>
      <c r="U798" s="508"/>
      <c r="V798" s="508"/>
      <c r="W798" s="508"/>
      <c r="X798" s="508"/>
      <c r="Y798" s="508"/>
      <c r="Z798" s="508"/>
    </row>
    <row r="799">
      <c r="A799" s="508"/>
      <c r="B799" s="508"/>
      <c r="C799" s="508"/>
      <c r="D799" s="508"/>
      <c r="E799" s="508"/>
      <c r="F799" s="508"/>
      <c r="G799" s="508"/>
      <c r="H799" s="508"/>
      <c r="I799" s="508"/>
      <c r="J799" s="508"/>
      <c r="K799" s="508"/>
      <c r="L799" s="508"/>
      <c r="M799" s="508"/>
      <c r="N799" s="508"/>
      <c r="O799" s="508"/>
      <c r="P799" s="508"/>
      <c r="Q799" s="508"/>
      <c r="R799" s="508"/>
      <c r="S799" s="508"/>
      <c r="T799" s="508"/>
      <c r="U799" s="508"/>
      <c r="V799" s="508"/>
      <c r="W799" s="508"/>
      <c r="X799" s="508"/>
      <c r="Y799" s="508"/>
      <c r="Z799" s="508"/>
    </row>
    <row r="800">
      <c r="A800" s="508"/>
      <c r="B800" s="508"/>
      <c r="C800" s="508"/>
      <c r="D800" s="508"/>
      <c r="E800" s="508"/>
      <c r="F800" s="508"/>
      <c r="G800" s="508"/>
      <c r="H800" s="508"/>
      <c r="I800" s="508"/>
      <c r="J800" s="508"/>
      <c r="K800" s="508"/>
      <c r="L800" s="508"/>
      <c r="M800" s="508"/>
      <c r="N800" s="508"/>
      <c r="O800" s="508"/>
      <c r="P800" s="508"/>
      <c r="Q800" s="508"/>
      <c r="R800" s="508"/>
      <c r="S800" s="508"/>
      <c r="T800" s="508"/>
      <c r="U800" s="508"/>
      <c r="V800" s="508"/>
      <c r="W800" s="508"/>
      <c r="X800" s="508"/>
      <c r="Y800" s="508"/>
      <c r="Z800" s="508"/>
    </row>
    <row r="801">
      <c r="A801" s="508"/>
      <c r="B801" s="508"/>
      <c r="C801" s="508"/>
      <c r="D801" s="508"/>
      <c r="E801" s="508"/>
      <c r="F801" s="508"/>
      <c r="G801" s="508"/>
      <c r="H801" s="508"/>
      <c r="I801" s="508"/>
      <c r="J801" s="508"/>
      <c r="K801" s="508"/>
      <c r="L801" s="508"/>
      <c r="M801" s="508"/>
      <c r="N801" s="508"/>
      <c r="O801" s="508"/>
      <c r="P801" s="508"/>
      <c r="Q801" s="508"/>
      <c r="R801" s="508"/>
      <c r="S801" s="508"/>
      <c r="T801" s="508"/>
      <c r="U801" s="508"/>
      <c r="V801" s="508"/>
      <c r="W801" s="508"/>
      <c r="X801" s="508"/>
      <c r="Y801" s="508"/>
      <c r="Z801" s="508"/>
    </row>
    <row r="802">
      <c r="A802" s="508"/>
      <c r="B802" s="508"/>
      <c r="C802" s="508"/>
      <c r="D802" s="508"/>
      <c r="E802" s="508"/>
      <c r="F802" s="508"/>
      <c r="G802" s="508"/>
      <c r="H802" s="508"/>
      <c r="I802" s="508"/>
      <c r="J802" s="508"/>
      <c r="K802" s="508"/>
      <c r="L802" s="508"/>
      <c r="M802" s="508"/>
      <c r="N802" s="508"/>
      <c r="O802" s="508"/>
      <c r="P802" s="508"/>
      <c r="Q802" s="508"/>
      <c r="R802" s="508"/>
      <c r="S802" s="508"/>
      <c r="T802" s="508"/>
      <c r="U802" s="508"/>
      <c r="V802" s="508"/>
      <c r="W802" s="508"/>
      <c r="X802" s="508"/>
      <c r="Y802" s="508"/>
      <c r="Z802" s="508"/>
    </row>
    <row r="803">
      <c r="A803" s="508"/>
      <c r="B803" s="508"/>
      <c r="C803" s="508"/>
      <c r="D803" s="508"/>
      <c r="E803" s="508"/>
      <c r="F803" s="508"/>
      <c r="G803" s="508"/>
      <c r="H803" s="508"/>
      <c r="I803" s="508"/>
      <c r="J803" s="508"/>
      <c r="K803" s="508"/>
      <c r="L803" s="508"/>
      <c r="M803" s="508"/>
      <c r="N803" s="508"/>
      <c r="O803" s="508"/>
      <c r="P803" s="508"/>
      <c r="Q803" s="508"/>
      <c r="R803" s="508"/>
      <c r="S803" s="508"/>
      <c r="T803" s="508"/>
      <c r="U803" s="508"/>
      <c r="V803" s="508"/>
      <c r="W803" s="508"/>
      <c r="X803" s="508"/>
      <c r="Y803" s="508"/>
      <c r="Z803" s="508"/>
    </row>
    <row r="804">
      <c r="A804" s="508"/>
      <c r="B804" s="508"/>
      <c r="C804" s="508"/>
      <c r="D804" s="508"/>
      <c r="E804" s="508"/>
      <c r="F804" s="508"/>
      <c r="G804" s="508"/>
      <c r="H804" s="508"/>
      <c r="I804" s="508"/>
      <c r="J804" s="508"/>
      <c r="K804" s="508"/>
      <c r="L804" s="508"/>
      <c r="M804" s="508"/>
      <c r="N804" s="508"/>
      <c r="O804" s="508"/>
      <c r="P804" s="508"/>
      <c r="Q804" s="508"/>
      <c r="R804" s="508"/>
      <c r="S804" s="508"/>
      <c r="T804" s="508"/>
      <c r="U804" s="508"/>
      <c r="V804" s="508"/>
      <c r="W804" s="508"/>
      <c r="X804" s="508"/>
      <c r="Y804" s="508"/>
      <c r="Z804" s="508"/>
    </row>
    <row r="805">
      <c r="A805" s="508"/>
      <c r="B805" s="508"/>
      <c r="C805" s="508"/>
      <c r="D805" s="508"/>
      <c r="E805" s="508"/>
      <c r="F805" s="508"/>
      <c r="G805" s="508"/>
      <c r="H805" s="508"/>
      <c r="I805" s="508"/>
      <c r="J805" s="508"/>
      <c r="K805" s="508"/>
      <c r="L805" s="508"/>
      <c r="M805" s="508"/>
      <c r="N805" s="508"/>
      <c r="O805" s="508"/>
      <c r="P805" s="508"/>
      <c r="Q805" s="508"/>
      <c r="R805" s="508"/>
      <c r="S805" s="508"/>
      <c r="T805" s="508"/>
      <c r="U805" s="508"/>
      <c r="V805" s="508"/>
      <c r="W805" s="508"/>
      <c r="X805" s="508"/>
      <c r="Y805" s="508"/>
      <c r="Z805" s="508"/>
    </row>
    <row r="806">
      <c r="A806" s="508"/>
      <c r="B806" s="508"/>
      <c r="C806" s="508"/>
      <c r="D806" s="508"/>
      <c r="E806" s="508"/>
      <c r="F806" s="508"/>
      <c r="G806" s="508"/>
      <c r="H806" s="508"/>
      <c r="I806" s="508"/>
      <c r="J806" s="508"/>
      <c r="K806" s="508"/>
      <c r="L806" s="508"/>
      <c r="M806" s="508"/>
      <c r="N806" s="508"/>
      <c r="O806" s="508"/>
      <c r="P806" s="508"/>
      <c r="Q806" s="508"/>
      <c r="R806" s="508"/>
      <c r="S806" s="508"/>
      <c r="T806" s="508"/>
      <c r="U806" s="508"/>
      <c r="V806" s="508"/>
      <c r="W806" s="508"/>
      <c r="X806" s="508"/>
      <c r="Y806" s="508"/>
      <c r="Z806" s="508"/>
    </row>
    <row r="807">
      <c r="A807" s="508"/>
      <c r="B807" s="508"/>
      <c r="C807" s="508"/>
      <c r="D807" s="508"/>
      <c r="E807" s="508"/>
      <c r="F807" s="508"/>
      <c r="G807" s="508"/>
      <c r="H807" s="508"/>
      <c r="I807" s="508"/>
      <c r="J807" s="508"/>
      <c r="K807" s="508"/>
      <c r="L807" s="508"/>
      <c r="M807" s="508"/>
      <c r="N807" s="508"/>
      <c r="O807" s="508"/>
      <c r="P807" s="508"/>
      <c r="Q807" s="508"/>
      <c r="R807" s="508"/>
      <c r="S807" s="508"/>
      <c r="T807" s="508"/>
      <c r="U807" s="508"/>
      <c r="V807" s="508"/>
      <c r="W807" s="508"/>
      <c r="X807" s="508"/>
      <c r="Y807" s="508"/>
      <c r="Z807" s="508"/>
    </row>
    <row r="808">
      <c r="A808" s="508"/>
      <c r="B808" s="508"/>
      <c r="C808" s="508"/>
      <c r="D808" s="508"/>
      <c r="E808" s="508"/>
      <c r="F808" s="508"/>
      <c r="G808" s="508"/>
      <c r="H808" s="508"/>
      <c r="I808" s="508"/>
      <c r="J808" s="508"/>
      <c r="K808" s="508"/>
      <c r="L808" s="508"/>
      <c r="M808" s="508"/>
      <c r="N808" s="508"/>
      <c r="O808" s="508"/>
      <c r="P808" s="508"/>
      <c r="Q808" s="508"/>
      <c r="R808" s="508"/>
      <c r="S808" s="508"/>
      <c r="T808" s="508"/>
      <c r="U808" s="508"/>
      <c r="V808" s="508"/>
      <c r="W808" s="508"/>
      <c r="X808" s="508"/>
      <c r="Y808" s="508"/>
      <c r="Z808" s="508"/>
    </row>
    <row r="809">
      <c r="A809" s="508"/>
      <c r="B809" s="508"/>
      <c r="C809" s="508"/>
      <c r="D809" s="508"/>
      <c r="E809" s="508"/>
      <c r="F809" s="508"/>
      <c r="G809" s="508"/>
      <c r="H809" s="508"/>
      <c r="I809" s="508"/>
      <c r="J809" s="508"/>
      <c r="K809" s="508"/>
      <c r="L809" s="508"/>
      <c r="M809" s="508"/>
      <c r="N809" s="508"/>
      <c r="O809" s="508"/>
      <c r="P809" s="508"/>
      <c r="Q809" s="508"/>
      <c r="R809" s="508"/>
      <c r="S809" s="508"/>
      <c r="T809" s="508"/>
      <c r="U809" s="508"/>
      <c r="V809" s="508"/>
      <c r="W809" s="508"/>
      <c r="X809" s="508"/>
      <c r="Y809" s="508"/>
      <c r="Z809" s="508"/>
    </row>
    <row r="810">
      <c r="A810" s="508"/>
      <c r="B810" s="508"/>
      <c r="C810" s="508"/>
      <c r="D810" s="508"/>
      <c r="E810" s="508"/>
      <c r="F810" s="508"/>
      <c r="G810" s="508"/>
      <c r="H810" s="508"/>
      <c r="I810" s="508"/>
      <c r="J810" s="508"/>
      <c r="K810" s="508"/>
      <c r="L810" s="508"/>
      <c r="M810" s="508"/>
      <c r="N810" s="508"/>
      <c r="O810" s="508"/>
      <c r="P810" s="508"/>
      <c r="Q810" s="508"/>
      <c r="R810" s="508"/>
      <c r="S810" s="508"/>
      <c r="T810" s="508"/>
      <c r="U810" s="508"/>
      <c r="V810" s="508"/>
      <c r="W810" s="508"/>
      <c r="X810" s="508"/>
      <c r="Y810" s="508"/>
      <c r="Z810" s="508"/>
    </row>
    <row r="811">
      <c r="A811" s="508"/>
      <c r="B811" s="508"/>
      <c r="C811" s="508"/>
      <c r="D811" s="508"/>
      <c r="E811" s="508"/>
      <c r="F811" s="508"/>
      <c r="G811" s="508"/>
      <c r="H811" s="508"/>
      <c r="I811" s="508"/>
      <c r="J811" s="508"/>
      <c r="K811" s="508"/>
      <c r="L811" s="508"/>
      <c r="M811" s="508"/>
      <c r="N811" s="508"/>
      <c r="O811" s="508"/>
      <c r="P811" s="508"/>
      <c r="Q811" s="508"/>
      <c r="R811" s="508"/>
      <c r="S811" s="508"/>
      <c r="T811" s="508"/>
      <c r="U811" s="508"/>
      <c r="V811" s="508"/>
      <c r="W811" s="508"/>
      <c r="X811" s="508"/>
      <c r="Y811" s="508"/>
      <c r="Z811" s="508"/>
    </row>
    <row r="812">
      <c r="A812" s="508"/>
      <c r="B812" s="508"/>
      <c r="C812" s="508"/>
      <c r="D812" s="508"/>
      <c r="E812" s="508"/>
      <c r="F812" s="508"/>
      <c r="G812" s="508"/>
      <c r="H812" s="508"/>
      <c r="I812" s="508"/>
      <c r="J812" s="508"/>
      <c r="K812" s="508"/>
      <c r="L812" s="508"/>
      <c r="M812" s="508"/>
      <c r="N812" s="508"/>
      <c r="O812" s="508"/>
      <c r="P812" s="508"/>
      <c r="Q812" s="508"/>
      <c r="R812" s="508"/>
      <c r="S812" s="508"/>
      <c r="T812" s="508"/>
      <c r="U812" s="508"/>
      <c r="V812" s="508"/>
      <c r="W812" s="508"/>
      <c r="X812" s="508"/>
      <c r="Y812" s="508"/>
      <c r="Z812" s="508"/>
    </row>
    <row r="813">
      <c r="A813" s="508"/>
      <c r="B813" s="508"/>
      <c r="C813" s="508"/>
      <c r="D813" s="508"/>
      <c r="E813" s="508"/>
      <c r="F813" s="508"/>
      <c r="G813" s="508"/>
      <c r="H813" s="508"/>
      <c r="I813" s="508"/>
      <c r="J813" s="508"/>
      <c r="K813" s="508"/>
      <c r="L813" s="508"/>
      <c r="M813" s="508"/>
      <c r="N813" s="508"/>
      <c r="O813" s="508"/>
      <c r="P813" s="508"/>
      <c r="Q813" s="508"/>
      <c r="R813" s="508"/>
      <c r="S813" s="508"/>
      <c r="T813" s="508"/>
      <c r="U813" s="508"/>
      <c r="V813" s="508"/>
      <c r="W813" s="508"/>
      <c r="X813" s="508"/>
      <c r="Y813" s="508"/>
      <c r="Z813" s="508"/>
    </row>
    <row r="814">
      <c r="A814" s="508"/>
      <c r="B814" s="508"/>
      <c r="C814" s="508"/>
      <c r="D814" s="508"/>
      <c r="E814" s="508"/>
      <c r="F814" s="508"/>
      <c r="G814" s="508"/>
      <c r="H814" s="508"/>
      <c r="I814" s="508"/>
      <c r="J814" s="508"/>
      <c r="K814" s="508"/>
      <c r="L814" s="508"/>
      <c r="M814" s="508"/>
      <c r="N814" s="508"/>
      <c r="O814" s="508"/>
      <c r="P814" s="508"/>
      <c r="Q814" s="508"/>
      <c r="R814" s="508"/>
      <c r="S814" s="508"/>
      <c r="T814" s="508"/>
      <c r="U814" s="508"/>
      <c r="V814" s="508"/>
      <c r="W814" s="508"/>
      <c r="X814" s="508"/>
      <c r="Y814" s="508"/>
      <c r="Z814" s="508"/>
    </row>
    <row r="815">
      <c r="A815" s="508"/>
      <c r="B815" s="508"/>
      <c r="C815" s="508"/>
      <c r="D815" s="508"/>
      <c r="E815" s="508"/>
      <c r="F815" s="508"/>
      <c r="G815" s="508"/>
      <c r="H815" s="508"/>
      <c r="I815" s="508"/>
      <c r="J815" s="508"/>
      <c r="K815" s="508"/>
      <c r="L815" s="508"/>
      <c r="M815" s="508"/>
      <c r="N815" s="508"/>
      <c r="O815" s="508"/>
      <c r="P815" s="508"/>
      <c r="Q815" s="508"/>
      <c r="R815" s="508"/>
      <c r="S815" s="508"/>
      <c r="T815" s="508"/>
      <c r="U815" s="508"/>
      <c r="V815" s="508"/>
      <c r="W815" s="508"/>
      <c r="X815" s="508"/>
      <c r="Y815" s="508"/>
      <c r="Z815" s="508"/>
    </row>
    <row r="816">
      <c r="A816" s="508"/>
      <c r="B816" s="508"/>
      <c r="C816" s="508"/>
      <c r="D816" s="508"/>
      <c r="E816" s="508"/>
      <c r="F816" s="508"/>
      <c r="G816" s="508"/>
      <c r="H816" s="508"/>
      <c r="I816" s="508"/>
      <c r="J816" s="508"/>
      <c r="K816" s="508"/>
      <c r="L816" s="508"/>
      <c r="M816" s="508"/>
      <c r="N816" s="508"/>
      <c r="O816" s="508"/>
      <c r="P816" s="508"/>
      <c r="Q816" s="508"/>
      <c r="R816" s="508"/>
      <c r="S816" s="508"/>
      <c r="T816" s="508"/>
      <c r="U816" s="508"/>
      <c r="V816" s="508"/>
      <c r="W816" s="508"/>
      <c r="X816" s="508"/>
      <c r="Y816" s="508"/>
      <c r="Z816" s="508"/>
    </row>
    <row r="817">
      <c r="A817" s="508"/>
      <c r="B817" s="508"/>
      <c r="C817" s="508"/>
      <c r="D817" s="508"/>
      <c r="E817" s="508"/>
      <c r="F817" s="508"/>
      <c r="G817" s="508"/>
      <c r="H817" s="508"/>
      <c r="I817" s="508"/>
      <c r="J817" s="508"/>
      <c r="K817" s="508"/>
      <c r="L817" s="508"/>
      <c r="M817" s="508"/>
      <c r="N817" s="508"/>
      <c r="O817" s="508"/>
      <c r="P817" s="508"/>
      <c r="Q817" s="508"/>
      <c r="R817" s="508"/>
      <c r="S817" s="508"/>
      <c r="T817" s="508"/>
      <c r="U817" s="508"/>
      <c r="V817" s="508"/>
      <c r="W817" s="508"/>
      <c r="X817" s="508"/>
      <c r="Y817" s="508"/>
      <c r="Z817" s="508"/>
    </row>
    <row r="818">
      <c r="A818" s="508"/>
      <c r="B818" s="508"/>
      <c r="C818" s="508"/>
      <c r="D818" s="508"/>
      <c r="E818" s="508"/>
      <c r="F818" s="508"/>
      <c r="G818" s="508"/>
      <c r="H818" s="508"/>
      <c r="I818" s="508"/>
      <c r="J818" s="508"/>
      <c r="K818" s="508"/>
      <c r="L818" s="508"/>
      <c r="M818" s="508"/>
      <c r="N818" s="508"/>
      <c r="O818" s="508"/>
      <c r="P818" s="508"/>
      <c r="Q818" s="508"/>
      <c r="R818" s="508"/>
      <c r="S818" s="508"/>
      <c r="T818" s="508"/>
      <c r="U818" s="508"/>
      <c r="V818" s="508"/>
      <c r="W818" s="508"/>
      <c r="X818" s="508"/>
      <c r="Y818" s="508"/>
      <c r="Z818" s="508"/>
    </row>
    <row r="819">
      <c r="A819" s="508"/>
      <c r="B819" s="508"/>
      <c r="C819" s="508"/>
      <c r="D819" s="508"/>
      <c r="E819" s="508"/>
      <c r="F819" s="508"/>
      <c r="G819" s="508"/>
      <c r="H819" s="508"/>
      <c r="I819" s="508"/>
      <c r="J819" s="508"/>
      <c r="K819" s="508"/>
      <c r="L819" s="508"/>
      <c r="M819" s="508"/>
      <c r="N819" s="508"/>
      <c r="O819" s="508"/>
      <c r="P819" s="508"/>
      <c r="Q819" s="508"/>
      <c r="R819" s="508"/>
      <c r="S819" s="508"/>
      <c r="T819" s="508"/>
      <c r="U819" s="508"/>
      <c r="V819" s="508"/>
      <c r="W819" s="508"/>
      <c r="X819" s="508"/>
      <c r="Y819" s="508"/>
      <c r="Z819" s="508"/>
    </row>
    <row r="820">
      <c r="A820" s="508"/>
      <c r="B820" s="508"/>
      <c r="C820" s="508"/>
      <c r="D820" s="508"/>
      <c r="E820" s="508"/>
      <c r="F820" s="508"/>
      <c r="G820" s="508"/>
      <c r="H820" s="508"/>
      <c r="I820" s="508"/>
      <c r="J820" s="508"/>
      <c r="K820" s="508"/>
      <c r="L820" s="508"/>
      <c r="M820" s="508"/>
      <c r="N820" s="508"/>
      <c r="O820" s="508"/>
      <c r="P820" s="508"/>
      <c r="Q820" s="508"/>
      <c r="R820" s="508"/>
      <c r="S820" s="508"/>
      <c r="T820" s="508"/>
      <c r="U820" s="508"/>
      <c r="V820" s="508"/>
      <c r="W820" s="508"/>
      <c r="X820" s="508"/>
      <c r="Y820" s="508"/>
      <c r="Z820" s="508"/>
    </row>
    <row r="821">
      <c r="A821" s="508"/>
      <c r="B821" s="508"/>
      <c r="C821" s="508"/>
      <c r="D821" s="508"/>
      <c r="E821" s="508"/>
      <c r="F821" s="508"/>
      <c r="G821" s="508"/>
      <c r="H821" s="508"/>
      <c r="I821" s="508"/>
      <c r="J821" s="508"/>
      <c r="K821" s="508"/>
      <c r="L821" s="508"/>
      <c r="M821" s="508"/>
      <c r="N821" s="508"/>
      <c r="O821" s="508"/>
      <c r="P821" s="508"/>
      <c r="Q821" s="508"/>
      <c r="R821" s="508"/>
      <c r="S821" s="508"/>
      <c r="T821" s="508"/>
      <c r="U821" s="508"/>
      <c r="V821" s="508"/>
      <c r="W821" s="508"/>
      <c r="X821" s="508"/>
      <c r="Y821" s="508"/>
      <c r="Z821" s="508"/>
    </row>
    <row r="822">
      <c r="A822" s="508"/>
      <c r="B822" s="508"/>
      <c r="C822" s="508"/>
      <c r="D822" s="508"/>
      <c r="E822" s="508"/>
      <c r="F822" s="508"/>
      <c r="G822" s="508"/>
      <c r="H822" s="508"/>
      <c r="I822" s="508"/>
      <c r="J822" s="508"/>
      <c r="K822" s="508"/>
      <c r="L822" s="508"/>
      <c r="M822" s="508"/>
      <c r="N822" s="508"/>
      <c r="O822" s="508"/>
      <c r="P822" s="508"/>
      <c r="Q822" s="508"/>
      <c r="R822" s="508"/>
      <c r="S822" s="508"/>
      <c r="T822" s="508"/>
      <c r="U822" s="508"/>
      <c r="V822" s="508"/>
      <c r="W822" s="508"/>
      <c r="X822" s="508"/>
      <c r="Y822" s="508"/>
      <c r="Z822" s="508"/>
    </row>
    <row r="823">
      <c r="A823" s="508"/>
      <c r="B823" s="508"/>
      <c r="C823" s="508"/>
      <c r="D823" s="508"/>
      <c r="E823" s="508"/>
      <c r="F823" s="508"/>
      <c r="G823" s="508"/>
      <c r="H823" s="508"/>
      <c r="I823" s="508"/>
      <c r="J823" s="508"/>
      <c r="K823" s="508"/>
      <c r="L823" s="508"/>
      <c r="M823" s="508"/>
      <c r="N823" s="508"/>
      <c r="O823" s="508"/>
      <c r="P823" s="508"/>
      <c r="Q823" s="508"/>
      <c r="R823" s="508"/>
      <c r="S823" s="508"/>
      <c r="T823" s="508"/>
      <c r="U823" s="508"/>
      <c r="V823" s="508"/>
      <c r="W823" s="508"/>
      <c r="X823" s="508"/>
      <c r="Y823" s="508"/>
      <c r="Z823" s="508"/>
    </row>
    <row r="824">
      <c r="A824" s="508"/>
      <c r="B824" s="508"/>
      <c r="C824" s="508"/>
      <c r="D824" s="508"/>
      <c r="E824" s="508"/>
      <c r="F824" s="508"/>
      <c r="G824" s="508"/>
      <c r="H824" s="508"/>
      <c r="I824" s="508"/>
      <c r="J824" s="508"/>
      <c r="K824" s="508"/>
      <c r="L824" s="508"/>
      <c r="M824" s="508"/>
      <c r="N824" s="508"/>
      <c r="O824" s="508"/>
      <c r="P824" s="508"/>
      <c r="Q824" s="508"/>
      <c r="R824" s="508"/>
      <c r="S824" s="508"/>
      <c r="T824" s="508"/>
      <c r="U824" s="508"/>
      <c r="V824" s="508"/>
      <c r="W824" s="508"/>
      <c r="X824" s="508"/>
      <c r="Y824" s="508"/>
      <c r="Z824" s="508"/>
    </row>
    <row r="825">
      <c r="A825" s="508"/>
      <c r="B825" s="508"/>
      <c r="C825" s="508"/>
      <c r="D825" s="508"/>
      <c r="E825" s="508"/>
      <c r="F825" s="508"/>
      <c r="G825" s="508"/>
      <c r="H825" s="508"/>
      <c r="I825" s="508"/>
      <c r="J825" s="508"/>
      <c r="K825" s="508"/>
      <c r="L825" s="508"/>
      <c r="M825" s="508"/>
      <c r="N825" s="508"/>
      <c r="O825" s="508"/>
      <c r="P825" s="508"/>
      <c r="Q825" s="508"/>
      <c r="R825" s="508"/>
      <c r="S825" s="508"/>
      <c r="T825" s="508"/>
      <c r="U825" s="508"/>
      <c r="V825" s="508"/>
      <c r="W825" s="508"/>
      <c r="X825" s="508"/>
      <c r="Y825" s="508"/>
      <c r="Z825" s="508"/>
    </row>
    <row r="826">
      <c r="A826" s="508"/>
      <c r="B826" s="508"/>
      <c r="C826" s="508"/>
      <c r="D826" s="508"/>
      <c r="E826" s="508"/>
      <c r="F826" s="508"/>
      <c r="G826" s="508"/>
      <c r="H826" s="508"/>
      <c r="I826" s="508"/>
      <c r="J826" s="508"/>
      <c r="K826" s="508"/>
      <c r="L826" s="508"/>
      <c r="M826" s="508"/>
      <c r="N826" s="508"/>
      <c r="O826" s="508"/>
      <c r="P826" s="508"/>
      <c r="Q826" s="508"/>
      <c r="R826" s="508"/>
      <c r="S826" s="508"/>
      <c r="T826" s="508"/>
      <c r="U826" s="508"/>
      <c r="V826" s="508"/>
      <c r="W826" s="508"/>
      <c r="X826" s="508"/>
      <c r="Y826" s="508"/>
      <c r="Z826" s="508"/>
    </row>
    <row r="827">
      <c r="A827" s="508"/>
      <c r="B827" s="508"/>
      <c r="C827" s="508"/>
      <c r="D827" s="508"/>
      <c r="E827" s="508"/>
      <c r="F827" s="508"/>
      <c r="G827" s="508"/>
      <c r="H827" s="508"/>
      <c r="I827" s="508"/>
      <c r="J827" s="508"/>
      <c r="K827" s="508"/>
      <c r="L827" s="508"/>
      <c r="M827" s="508"/>
      <c r="N827" s="508"/>
      <c r="O827" s="508"/>
      <c r="P827" s="508"/>
      <c r="Q827" s="508"/>
      <c r="R827" s="508"/>
      <c r="S827" s="508"/>
      <c r="T827" s="508"/>
      <c r="U827" s="508"/>
      <c r="V827" s="508"/>
      <c r="W827" s="508"/>
      <c r="X827" s="508"/>
      <c r="Y827" s="508"/>
      <c r="Z827" s="508"/>
    </row>
    <row r="828">
      <c r="A828" s="508"/>
      <c r="B828" s="508"/>
      <c r="C828" s="508"/>
      <c r="D828" s="508"/>
      <c r="E828" s="508"/>
      <c r="F828" s="508"/>
      <c r="G828" s="508"/>
      <c r="H828" s="508"/>
      <c r="I828" s="508"/>
      <c r="J828" s="508"/>
      <c r="K828" s="508"/>
      <c r="L828" s="508"/>
      <c r="M828" s="508"/>
      <c r="N828" s="508"/>
      <c r="O828" s="508"/>
      <c r="P828" s="508"/>
      <c r="Q828" s="508"/>
      <c r="R828" s="508"/>
      <c r="S828" s="508"/>
      <c r="T828" s="508"/>
      <c r="U828" s="508"/>
      <c r="V828" s="508"/>
      <c r="W828" s="508"/>
      <c r="X828" s="508"/>
      <c r="Y828" s="508"/>
      <c r="Z828" s="508"/>
    </row>
    <row r="829">
      <c r="A829" s="508"/>
      <c r="B829" s="508"/>
      <c r="C829" s="508"/>
      <c r="D829" s="508"/>
      <c r="E829" s="508"/>
      <c r="F829" s="508"/>
      <c r="G829" s="508"/>
      <c r="H829" s="508"/>
      <c r="I829" s="508"/>
      <c r="J829" s="508"/>
      <c r="K829" s="508"/>
      <c r="L829" s="508"/>
      <c r="M829" s="508"/>
      <c r="N829" s="508"/>
      <c r="O829" s="508"/>
      <c r="P829" s="508"/>
      <c r="Q829" s="508"/>
      <c r="R829" s="508"/>
      <c r="S829" s="508"/>
      <c r="T829" s="508"/>
      <c r="U829" s="508"/>
      <c r="V829" s="508"/>
      <c r="W829" s="508"/>
      <c r="X829" s="508"/>
      <c r="Y829" s="508"/>
      <c r="Z829" s="508"/>
    </row>
    <row r="830">
      <c r="A830" s="508"/>
      <c r="B830" s="508"/>
      <c r="C830" s="508"/>
      <c r="D830" s="508"/>
      <c r="E830" s="508"/>
      <c r="F830" s="508"/>
      <c r="G830" s="508"/>
      <c r="H830" s="508"/>
      <c r="I830" s="508"/>
      <c r="J830" s="508"/>
      <c r="K830" s="508"/>
      <c r="L830" s="508"/>
      <c r="M830" s="508"/>
      <c r="N830" s="508"/>
      <c r="O830" s="508"/>
      <c r="P830" s="508"/>
      <c r="Q830" s="508"/>
      <c r="R830" s="508"/>
      <c r="S830" s="508"/>
      <c r="T830" s="508"/>
      <c r="U830" s="508"/>
      <c r="V830" s="508"/>
      <c r="W830" s="508"/>
      <c r="X830" s="508"/>
      <c r="Y830" s="508"/>
      <c r="Z830" s="508"/>
    </row>
    <row r="831">
      <c r="A831" s="508"/>
      <c r="B831" s="508"/>
      <c r="C831" s="508"/>
      <c r="D831" s="508"/>
      <c r="E831" s="508"/>
      <c r="F831" s="508"/>
      <c r="G831" s="508"/>
      <c r="H831" s="508"/>
      <c r="I831" s="508"/>
      <c r="J831" s="508"/>
      <c r="K831" s="508"/>
      <c r="L831" s="508"/>
      <c r="M831" s="508"/>
      <c r="N831" s="508"/>
      <c r="O831" s="508"/>
      <c r="P831" s="508"/>
      <c r="Q831" s="508"/>
      <c r="R831" s="508"/>
      <c r="S831" s="508"/>
      <c r="T831" s="508"/>
      <c r="U831" s="508"/>
      <c r="V831" s="508"/>
      <c r="W831" s="508"/>
      <c r="X831" s="508"/>
      <c r="Y831" s="508"/>
      <c r="Z831" s="508"/>
    </row>
    <row r="832">
      <c r="A832" s="508"/>
      <c r="B832" s="508"/>
      <c r="C832" s="508"/>
      <c r="D832" s="508"/>
      <c r="E832" s="508"/>
      <c r="F832" s="508"/>
      <c r="G832" s="508"/>
      <c r="H832" s="508"/>
      <c r="I832" s="508"/>
      <c r="J832" s="508"/>
      <c r="K832" s="508"/>
      <c r="L832" s="508"/>
      <c r="M832" s="508"/>
      <c r="N832" s="508"/>
      <c r="O832" s="508"/>
      <c r="P832" s="508"/>
      <c r="Q832" s="508"/>
      <c r="R832" s="508"/>
      <c r="S832" s="508"/>
      <c r="T832" s="508"/>
      <c r="U832" s="508"/>
      <c r="V832" s="508"/>
      <c r="W832" s="508"/>
      <c r="X832" s="508"/>
      <c r="Y832" s="508"/>
      <c r="Z832" s="508"/>
    </row>
    <row r="833">
      <c r="A833" s="508"/>
      <c r="B833" s="508"/>
      <c r="C833" s="508"/>
      <c r="D833" s="508"/>
      <c r="E833" s="508"/>
      <c r="F833" s="508"/>
      <c r="G833" s="508"/>
      <c r="H833" s="508"/>
      <c r="I833" s="508"/>
      <c r="J833" s="508"/>
      <c r="K833" s="508"/>
      <c r="L833" s="508"/>
      <c r="M833" s="508"/>
      <c r="N833" s="508"/>
      <c r="O833" s="508"/>
      <c r="P833" s="508"/>
      <c r="Q833" s="508"/>
      <c r="R833" s="508"/>
      <c r="S833" s="508"/>
      <c r="T833" s="508"/>
      <c r="U833" s="508"/>
      <c r="V833" s="508"/>
      <c r="W833" s="508"/>
      <c r="X833" s="508"/>
      <c r="Y833" s="508"/>
      <c r="Z833" s="508"/>
    </row>
    <row r="834">
      <c r="A834" s="508"/>
      <c r="B834" s="508"/>
      <c r="C834" s="508"/>
      <c r="D834" s="508"/>
      <c r="E834" s="508"/>
      <c r="F834" s="508"/>
      <c r="G834" s="508"/>
      <c r="H834" s="508"/>
      <c r="I834" s="508"/>
      <c r="J834" s="508"/>
      <c r="K834" s="508"/>
      <c r="L834" s="508"/>
      <c r="M834" s="508"/>
      <c r="N834" s="508"/>
      <c r="O834" s="508"/>
      <c r="P834" s="508"/>
      <c r="Q834" s="508"/>
      <c r="R834" s="508"/>
      <c r="S834" s="508"/>
      <c r="T834" s="508"/>
      <c r="U834" s="508"/>
      <c r="V834" s="508"/>
      <c r="W834" s="508"/>
      <c r="X834" s="508"/>
      <c r="Y834" s="508"/>
      <c r="Z834" s="508"/>
    </row>
    <row r="835">
      <c r="A835" s="508"/>
      <c r="B835" s="508"/>
      <c r="C835" s="508"/>
      <c r="D835" s="508"/>
      <c r="E835" s="508"/>
      <c r="F835" s="508"/>
      <c r="G835" s="508"/>
      <c r="H835" s="508"/>
      <c r="I835" s="508"/>
      <c r="J835" s="508"/>
      <c r="K835" s="508"/>
      <c r="L835" s="508"/>
      <c r="M835" s="508"/>
      <c r="N835" s="508"/>
      <c r="O835" s="508"/>
      <c r="P835" s="508"/>
      <c r="Q835" s="508"/>
      <c r="R835" s="508"/>
      <c r="S835" s="508"/>
      <c r="T835" s="508"/>
      <c r="U835" s="508"/>
      <c r="V835" s="508"/>
      <c r="W835" s="508"/>
      <c r="X835" s="508"/>
      <c r="Y835" s="508"/>
      <c r="Z835" s="508"/>
    </row>
    <row r="836">
      <c r="A836" s="508"/>
      <c r="B836" s="508"/>
      <c r="C836" s="508"/>
      <c r="D836" s="508"/>
      <c r="E836" s="508"/>
      <c r="F836" s="508"/>
      <c r="G836" s="508"/>
      <c r="H836" s="508"/>
      <c r="I836" s="508"/>
      <c r="J836" s="508"/>
      <c r="K836" s="508"/>
      <c r="L836" s="508"/>
      <c r="M836" s="508"/>
      <c r="N836" s="508"/>
      <c r="O836" s="508"/>
      <c r="P836" s="508"/>
      <c r="Q836" s="508"/>
      <c r="R836" s="508"/>
      <c r="S836" s="508"/>
      <c r="T836" s="508"/>
      <c r="U836" s="508"/>
      <c r="V836" s="508"/>
      <c r="W836" s="508"/>
      <c r="X836" s="508"/>
      <c r="Y836" s="508"/>
      <c r="Z836" s="508"/>
    </row>
    <row r="837">
      <c r="A837" s="508"/>
      <c r="B837" s="508"/>
      <c r="C837" s="508"/>
      <c r="D837" s="508"/>
      <c r="E837" s="508"/>
      <c r="F837" s="508"/>
      <c r="G837" s="508"/>
      <c r="H837" s="508"/>
      <c r="I837" s="508"/>
      <c r="J837" s="508"/>
      <c r="K837" s="508"/>
      <c r="L837" s="508"/>
      <c r="M837" s="508"/>
      <c r="N837" s="508"/>
      <c r="O837" s="508"/>
      <c r="P837" s="508"/>
      <c r="Q837" s="508"/>
      <c r="R837" s="508"/>
      <c r="S837" s="508"/>
      <c r="T837" s="508"/>
      <c r="U837" s="508"/>
      <c r="V837" s="508"/>
      <c r="W837" s="508"/>
      <c r="X837" s="508"/>
      <c r="Y837" s="508"/>
      <c r="Z837" s="508"/>
    </row>
    <row r="838">
      <c r="A838" s="508"/>
      <c r="B838" s="508"/>
      <c r="C838" s="508"/>
      <c r="D838" s="508"/>
      <c r="E838" s="508"/>
      <c r="F838" s="508"/>
      <c r="G838" s="508"/>
      <c r="H838" s="508"/>
      <c r="I838" s="508"/>
      <c r="J838" s="508"/>
      <c r="K838" s="508"/>
      <c r="L838" s="508"/>
      <c r="M838" s="508"/>
      <c r="N838" s="508"/>
      <c r="O838" s="508"/>
      <c r="P838" s="508"/>
      <c r="Q838" s="508"/>
      <c r="R838" s="508"/>
      <c r="S838" s="508"/>
      <c r="T838" s="508"/>
      <c r="U838" s="508"/>
      <c r="V838" s="508"/>
      <c r="W838" s="508"/>
      <c r="X838" s="508"/>
      <c r="Y838" s="508"/>
      <c r="Z838" s="508"/>
    </row>
    <row r="839">
      <c r="A839" s="508"/>
      <c r="B839" s="508"/>
      <c r="C839" s="508"/>
      <c r="D839" s="508"/>
      <c r="E839" s="508"/>
      <c r="F839" s="508"/>
      <c r="G839" s="508"/>
      <c r="H839" s="508"/>
      <c r="I839" s="508"/>
      <c r="J839" s="508"/>
      <c r="K839" s="508"/>
      <c r="L839" s="508"/>
      <c r="M839" s="508"/>
      <c r="N839" s="508"/>
      <c r="O839" s="508"/>
      <c r="P839" s="508"/>
      <c r="Q839" s="508"/>
      <c r="R839" s="508"/>
      <c r="S839" s="508"/>
      <c r="T839" s="508"/>
      <c r="U839" s="508"/>
      <c r="V839" s="508"/>
      <c r="W839" s="508"/>
      <c r="X839" s="508"/>
      <c r="Y839" s="508"/>
      <c r="Z839" s="508"/>
    </row>
    <row r="840">
      <c r="A840" s="508"/>
      <c r="B840" s="508"/>
      <c r="C840" s="508"/>
      <c r="D840" s="508"/>
      <c r="E840" s="508"/>
      <c r="F840" s="508"/>
      <c r="G840" s="508"/>
      <c r="H840" s="508"/>
      <c r="I840" s="508"/>
      <c r="J840" s="508"/>
      <c r="K840" s="508"/>
      <c r="L840" s="508"/>
      <c r="M840" s="508"/>
      <c r="N840" s="508"/>
      <c r="O840" s="508"/>
      <c r="P840" s="508"/>
      <c r="Q840" s="508"/>
      <c r="R840" s="508"/>
      <c r="S840" s="508"/>
      <c r="T840" s="508"/>
      <c r="U840" s="508"/>
      <c r="V840" s="508"/>
      <c r="W840" s="508"/>
      <c r="X840" s="508"/>
      <c r="Y840" s="508"/>
      <c r="Z840" s="508"/>
    </row>
    <row r="841">
      <c r="A841" s="508"/>
      <c r="B841" s="508"/>
      <c r="C841" s="508"/>
      <c r="D841" s="508"/>
      <c r="E841" s="508"/>
      <c r="F841" s="508"/>
      <c r="G841" s="508"/>
      <c r="H841" s="508"/>
      <c r="I841" s="508"/>
      <c r="J841" s="508"/>
      <c r="K841" s="508"/>
      <c r="L841" s="508"/>
      <c r="M841" s="508"/>
      <c r="N841" s="508"/>
      <c r="O841" s="508"/>
      <c r="P841" s="508"/>
      <c r="Q841" s="508"/>
      <c r="R841" s="508"/>
      <c r="S841" s="508"/>
      <c r="T841" s="508"/>
      <c r="U841" s="508"/>
      <c r="V841" s="508"/>
      <c r="W841" s="508"/>
      <c r="X841" s="508"/>
      <c r="Y841" s="508"/>
      <c r="Z841" s="508"/>
    </row>
    <row r="842">
      <c r="A842" s="508"/>
      <c r="B842" s="508"/>
      <c r="C842" s="508"/>
      <c r="D842" s="508"/>
      <c r="E842" s="508"/>
      <c r="F842" s="508"/>
      <c r="G842" s="508"/>
      <c r="H842" s="508"/>
      <c r="I842" s="508"/>
      <c r="J842" s="508"/>
      <c r="K842" s="508"/>
      <c r="L842" s="508"/>
      <c r="M842" s="508"/>
      <c r="N842" s="508"/>
      <c r="O842" s="508"/>
      <c r="P842" s="508"/>
      <c r="Q842" s="508"/>
      <c r="R842" s="508"/>
      <c r="S842" s="508"/>
      <c r="T842" s="508"/>
      <c r="U842" s="508"/>
      <c r="V842" s="508"/>
      <c r="W842" s="508"/>
      <c r="X842" s="508"/>
      <c r="Y842" s="508"/>
      <c r="Z842" s="508"/>
    </row>
    <row r="843">
      <c r="A843" s="508"/>
      <c r="B843" s="508"/>
      <c r="C843" s="508"/>
      <c r="D843" s="508"/>
      <c r="E843" s="508"/>
      <c r="F843" s="508"/>
      <c r="G843" s="508"/>
      <c r="H843" s="508"/>
      <c r="I843" s="508"/>
      <c r="J843" s="508"/>
      <c r="K843" s="508"/>
      <c r="L843" s="508"/>
      <c r="M843" s="508"/>
      <c r="N843" s="508"/>
      <c r="O843" s="508"/>
      <c r="P843" s="508"/>
      <c r="Q843" s="508"/>
      <c r="R843" s="508"/>
      <c r="S843" s="508"/>
      <c r="T843" s="508"/>
      <c r="U843" s="508"/>
      <c r="V843" s="508"/>
      <c r="W843" s="508"/>
      <c r="X843" s="508"/>
      <c r="Y843" s="508"/>
      <c r="Z843" s="508"/>
    </row>
    <row r="844">
      <c r="A844" s="508"/>
      <c r="B844" s="508"/>
      <c r="C844" s="508"/>
      <c r="D844" s="508"/>
      <c r="E844" s="508"/>
      <c r="F844" s="508"/>
      <c r="G844" s="508"/>
      <c r="H844" s="508"/>
      <c r="I844" s="508"/>
      <c r="J844" s="508"/>
      <c r="K844" s="508"/>
      <c r="L844" s="508"/>
      <c r="M844" s="508"/>
      <c r="N844" s="508"/>
      <c r="O844" s="508"/>
      <c r="P844" s="508"/>
      <c r="Q844" s="508"/>
      <c r="R844" s="508"/>
      <c r="S844" s="508"/>
      <c r="T844" s="508"/>
      <c r="U844" s="508"/>
      <c r="V844" s="508"/>
      <c r="W844" s="508"/>
      <c r="X844" s="508"/>
      <c r="Y844" s="508"/>
      <c r="Z844" s="508"/>
    </row>
    <row r="845">
      <c r="A845" s="508"/>
      <c r="B845" s="508"/>
      <c r="C845" s="508"/>
      <c r="D845" s="508"/>
      <c r="E845" s="508"/>
      <c r="F845" s="508"/>
      <c r="G845" s="508"/>
      <c r="H845" s="508"/>
      <c r="I845" s="508"/>
      <c r="J845" s="508"/>
      <c r="K845" s="508"/>
      <c r="L845" s="508"/>
      <c r="M845" s="508"/>
      <c r="N845" s="508"/>
      <c r="O845" s="508"/>
      <c r="P845" s="508"/>
      <c r="Q845" s="508"/>
      <c r="R845" s="508"/>
      <c r="S845" s="508"/>
      <c r="T845" s="508"/>
      <c r="U845" s="508"/>
      <c r="V845" s="508"/>
      <c r="W845" s="508"/>
      <c r="X845" s="508"/>
      <c r="Y845" s="508"/>
      <c r="Z845" s="508"/>
    </row>
    <row r="846">
      <c r="A846" s="508"/>
      <c r="B846" s="508"/>
      <c r="C846" s="508"/>
      <c r="D846" s="508"/>
      <c r="E846" s="508"/>
      <c r="F846" s="508"/>
      <c r="G846" s="508"/>
      <c r="H846" s="508"/>
      <c r="I846" s="508"/>
      <c r="J846" s="508"/>
      <c r="K846" s="508"/>
      <c r="L846" s="508"/>
      <c r="M846" s="508"/>
      <c r="N846" s="508"/>
      <c r="O846" s="508"/>
      <c r="P846" s="508"/>
      <c r="Q846" s="508"/>
      <c r="R846" s="508"/>
      <c r="S846" s="508"/>
      <c r="T846" s="508"/>
      <c r="U846" s="508"/>
      <c r="V846" s="508"/>
      <c r="W846" s="508"/>
      <c r="X846" s="508"/>
      <c r="Y846" s="508"/>
      <c r="Z846" s="508"/>
    </row>
    <row r="847">
      <c r="A847" s="508"/>
      <c r="B847" s="508"/>
      <c r="C847" s="508"/>
      <c r="D847" s="508"/>
      <c r="E847" s="508"/>
      <c r="F847" s="508"/>
      <c r="G847" s="508"/>
      <c r="H847" s="508"/>
      <c r="I847" s="508"/>
      <c r="J847" s="508"/>
      <c r="K847" s="508"/>
      <c r="L847" s="508"/>
      <c r="M847" s="508"/>
      <c r="N847" s="508"/>
      <c r="O847" s="508"/>
      <c r="P847" s="508"/>
      <c r="Q847" s="508"/>
      <c r="R847" s="508"/>
      <c r="S847" s="508"/>
      <c r="T847" s="508"/>
      <c r="U847" s="508"/>
      <c r="V847" s="508"/>
      <c r="W847" s="508"/>
      <c r="X847" s="508"/>
      <c r="Y847" s="508"/>
      <c r="Z847" s="508"/>
    </row>
    <row r="848">
      <c r="A848" s="508"/>
      <c r="B848" s="508"/>
      <c r="C848" s="508"/>
      <c r="D848" s="508"/>
      <c r="E848" s="508"/>
      <c r="F848" s="508"/>
      <c r="G848" s="508"/>
      <c r="H848" s="508"/>
      <c r="I848" s="508"/>
      <c r="J848" s="508"/>
      <c r="K848" s="508"/>
      <c r="L848" s="508"/>
      <c r="M848" s="508"/>
      <c r="N848" s="508"/>
      <c r="O848" s="508"/>
      <c r="P848" s="508"/>
      <c r="Q848" s="508"/>
      <c r="R848" s="508"/>
      <c r="S848" s="508"/>
      <c r="T848" s="508"/>
      <c r="U848" s="508"/>
      <c r="V848" s="508"/>
      <c r="W848" s="508"/>
      <c r="X848" s="508"/>
      <c r="Y848" s="508"/>
      <c r="Z848" s="508"/>
    </row>
    <row r="849">
      <c r="A849" s="508"/>
      <c r="B849" s="508"/>
      <c r="C849" s="508"/>
      <c r="D849" s="508"/>
      <c r="E849" s="508"/>
      <c r="F849" s="508"/>
      <c r="G849" s="508"/>
      <c r="H849" s="508"/>
      <c r="I849" s="508"/>
      <c r="J849" s="508"/>
      <c r="K849" s="508"/>
      <c r="L849" s="508"/>
      <c r="M849" s="508"/>
      <c r="N849" s="508"/>
      <c r="O849" s="508"/>
      <c r="P849" s="508"/>
      <c r="Q849" s="508"/>
      <c r="R849" s="508"/>
      <c r="S849" s="508"/>
      <c r="T849" s="508"/>
      <c r="U849" s="508"/>
      <c r="V849" s="508"/>
      <c r="W849" s="508"/>
      <c r="X849" s="508"/>
      <c r="Y849" s="508"/>
      <c r="Z849" s="508"/>
    </row>
    <row r="850">
      <c r="A850" s="508"/>
      <c r="B850" s="508"/>
      <c r="C850" s="508"/>
      <c r="D850" s="508"/>
      <c r="E850" s="508"/>
      <c r="F850" s="508"/>
      <c r="G850" s="508"/>
      <c r="H850" s="508"/>
      <c r="I850" s="508"/>
      <c r="J850" s="508"/>
      <c r="K850" s="508"/>
      <c r="L850" s="508"/>
      <c r="M850" s="508"/>
      <c r="N850" s="508"/>
      <c r="O850" s="508"/>
      <c r="P850" s="508"/>
      <c r="Q850" s="508"/>
      <c r="R850" s="508"/>
      <c r="S850" s="508"/>
      <c r="T850" s="508"/>
      <c r="U850" s="508"/>
      <c r="V850" s="508"/>
      <c r="W850" s="508"/>
      <c r="X850" s="508"/>
      <c r="Y850" s="508"/>
      <c r="Z850" s="508"/>
    </row>
    <row r="851">
      <c r="A851" s="508"/>
      <c r="B851" s="508"/>
      <c r="C851" s="508"/>
      <c r="D851" s="508"/>
      <c r="E851" s="508"/>
      <c r="F851" s="508"/>
      <c r="G851" s="508"/>
      <c r="H851" s="508"/>
      <c r="I851" s="508"/>
      <c r="J851" s="508"/>
      <c r="K851" s="508"/>
      <c r="L851" s="508"/>
      <c r="M851" s="508"/>
      <c r="N851" s="508"/>
      <c r="O851" s="508"/>
      <c r="P851" s="508"/>
      <c r="Q851" s="508"/>
      <c r="R851" s="508"/>
      <c r="S851" s="508"/>
      <c r="T851" s="508"/>
      <c r="U851" s="508"/>
      <c r="V851" s="508"/>
      <c r="W851" s="508"/>
      <c r="X851" s="508"/>
      <c r="Y851" s="508"/>
      <c r="Z851" s="508"/>
    </row>
    <row r="852">
      <c r="A852" s="508"/>
      <c r="B852" s="508"/>
      <c r="C852" s="508"/>
      <c r="D852" s="508"/>
      <c r="E852" s="508"/>
      <c r="F852" s="508"/>
      <c r="G852" s="508"/>
      <c r="H852" s="508"/>
      <c r="I852" s="508"/>
      <c r="J852" s="508"/>
      <c r="K852" s="508"/>
      <c r="L852" s="508"/>
      <c r="M852" s="508"/>
      <c r="N852" s="508"/>
      <c r="O852" s="508"/>
      <c r="P852" s="508"/>
      <c r="Q852" s="508"/>
      <c r="R852" s="508"/>
      <c r="S852" s="508"/>
      <c r="T852" s="508"/>
      <c r="U852" s="508"/>
      <c r="V852" s="508"/>
      <c r="W852" s="508"/>
      <c r="X852" s="508"/>
      <c r="Y852" s="508"/>
      <c r="Z852" s="508"/>
    </row>
    <row r="853">
      <c r="A853" s="508"/>
      <c r="B853" s="508"/>
      <c r="C853" s="508"/>
      <c r="D853" s="508"/>
      <c r="E853" s="508"/>
      <c r="F853" s="508"/>
      <c r="G853" s="508"/>
      <c r="H853" s="508"/>
      <c r="I853" s="508"/>
      <c r="J853" s="508"/>
      <c r="K853" s="508"/>
      <c r="L853" s="508"/>
      <c r="M853" s="508"/>
      <c r="N853" s="508"/>
      <c r="O853" s="508"/>
      <c r="P853" s="508"/>
      <c r="Q853" s="508"/>
      <c r="R853" s="508"/>
      <c r="S853" s="508"/>
      <c r="T853" s="508"/>
      <c r="U853" s="508"/>
      <c r="V853" s="508"/>
      <c r="W853" s="508"/>
      <c r="X853" s="508"/>
      <c r="Y853" s="508"/>
      <c r="Z853" s="508"/>
    </row>
    <row r="854">
      <c r="A854" s="508"/>
      <c r="B854" s="508"/>
      <c r="C854" s="508"/>
      <c r="D854" s="508"/>
      <c r="E854" s="508"/>
      <c r="F854" s="508"/>
      <c r="G854" s="508"/>
      <c r="H854" s="508"/>
      <c r="I854" s="508"/>
      <c r="J854" s="508"/>
      <c r="K854" s="508"/>
      <c r="L854" s="508"/>
      <c r="M854" s="508"/>
      <c r="N854" s="508"/>
      <c r="O854" s="508"/>
      <c r="P854" s="508"/>
      <c r="Q854" s="508"/>
      <c r="R854" s="508"/>
      <c r="S854" s="508"/>
      <c r="T854" s="508"/>
      <c r="U854" s="508"/>
      <c r="V854" s="508"/>
      <c r="W854" s="508"/>
      <c r="X854" s="508"/>
      <c r="Y854" s="508"/>
      <c r="Z854" s="508"/>
    </row>
    <row r="855">
      <c r="A855" s="508"/>
      <c r="B855" s="508"/>
      <c r="C855" s="508"/>
      <c r="D855" s="508"/>
      <c r="E855" s="508"/>
      <c r="F855" s="508"/>
      <c r="G855" s="508"/>
      <c r="H855" s="508"/>
      <c r="I855" s="508"/>
      <c r="J855" s="508"/>
      <c r="K855" s="508"/>
      <c r="L855" s="508"/>
      <c r="M855" s="508"/>
      <c r="N855" s="508"/>
      <c r="O855" s="508"/>
      <c r="P855" s="508"/>
      <c r="Q855" s="508"/>
      <c r="R855" s="508"/>
      <c r="S855" s="508"/>
      <c r="T855" s="508"/>
      <c r="U855" s="508"/>
      <c r="V855" s="508"/>
      <c r="W855" s="508"/>
      <c r="X855" s="508"/>
      <c r="Y855" s="508"/>
      <c r="Z855" s="508"/>
    </row>
    <row r="856">
      <c r="A856" s="508"/>
      <c r="B856" s="508"/>
      <c r="C856" s="508"/>
      <c r="D856" s="508"/>
      <c r="E856" s="508"/>
      <c r="F856" s="508"/>
      <c r="G856" s="508"/>
      <c r="H856" s="508"/>
      <c r="I856" s="508"/>
      <c r="J856" s="508"/>
      <c r="K856" s="508"/>
      <c r="L856" s="508"/>
      <c r="M856" s="508"/>
      <c r="N856" s="508"/>
      <c r="O856" s="508"/>
      <c r="P856" s="508"/>
      <c r="Q856" s="508"/>
      <c r="R856" s="508"/>
      <c r="S856" s="508"/>
      <c r="T856" s="508"/>
      <c r="U856" s="508"/>
      <c r="V856" s="508"/>
      <c r="W856" s="508"/>
      <c r="X856" s="508"/>
      <c r="Y856" s="508"/>
      <c r="Z856" s="508"/>
    </row>
    <row r="857">
      <c r="A857" s="508"/>
      <c r="B857" s="508"/>
      <c r="C857" s="508"/>
      <c r="D857" s="508"/>
      <c r="E857" s="508"/>
      <c r="F857" s="508"/>
      <c r="G857" s="508"/>
      <c r="H857" s="508"/>
      <c r="I857" s="508"/>
      <c r="J857" s="508"/>
      <c r="K857" s="508"/>
      <c r="L857" s="508"/>
      <c r="M857" s="508"/>
      <c r="N857" s="508"/>
      <c r="O857" s="508"/>
      <c r="P857" s="508"/>
      <c r="Q857" s="508"/>
      <c r="R857" s="508"/>
      <c r="S857" s="508"/>
      <c r="T857" s="508"/>
      <c r="U857" s="508"/>
      <c r="V857" s="508"/>
      <c r="W857" s="508"/>
      <c r="X857" s="508"/>
      <c r="Y857" s="508"/>
      <c r="Z857" s="508"/>
    </row>
    <row r="858">
      <c r="A858" s="508"/>
      <c r="B858" s="508"/>
      <c r="C858" s="508"/>
      <c r="D858" s="508"/>
      <c r="E858" s="508"/>
      <c r="F858" s="508"/>
      <c r="G858" s="508"/>
      <c r="H858" s="508"/>
      <c r="I858" s="508"/>
      <c r="J858" s="508"/>
      <c r="K858" s="508"/>
      <c r="L858" s="508"/>
      <c r="M858" s="508"/>
      <c r="N858" s="508"/>
      <c r="O858" s="508"/>
      <c r="P858" s="508"/>
      <c r="Q858" s="508"/>
      <c r="R858" s="508"/>
      <c r="S858" s="508"/>
      <c r="T858" s="508"/>
      <c r="U858" s="508"/>
      <c r="V858" s="508"/>
      <c r="W858" s="508"/>
      <c r="X858" s="508"/>
      <c r="Y858" s="508"/>
      <c r="Z858" s="508"/>
    </row>
    <row r="859">
      <c r="A859" s="508"/>
      <c r="B859" s="508"/>
      <c r="C859" s="508"/>
      <c r="D859" s="508"/>
      <c r="E859" s="508"/>
      <c r="F859" s="508"/>
      <c r="G859" s="508"/>
      <c r="H859" s="508"/>
      <c r="I859" s="508"/>
      <c r="J859" s="508"/>
      <c r="K859" s="508"/>
      <c r="L859" s="508"/>
      <c r="M859" s="508"/>
      <c r="N859" s="508"/>
      <c r="O859" s="508"/>
      <c r="P859" s="508"/>
      <c r="Q859" s="508"/>
      <c r="R859" s="508"/>
      <c r="S859" s="508"/>
      <c r="T859" s="508"/>
      <c r="U859" s="508"/>
      <c r="V859" s="508"/>
      <c r="W859" s="508"/>
      <c r="X859" s="508"/>
      <c r="Y859" s="508"/>
      <c r="Z859" s="508"/>
    </row>
    <row r="860">
      <c r="A860" s="508"/>
      <c r="B860" s="508"/>
      <c r="C860" s="508"/>
      <c r="D860" s="508"/>
      <c r="E860" s="508"/>
      <c r="F860" s="508"/>
      <c r="G860" s="508"/>
      <c r="H860" s="508"/>
      <c r="I860" s="508"/>
      <c r="J860" s="508"/>
      <c r="K860" s="508"/>
      <c r="L860" s="508"/>
      <c r="M860" s="508"/>
      <c r="N860" s="508"/>
      <c r="O860" s="508"/>
      <c r="P860" s="508"/>
      <c r="Q860" s="508"/>
      <c r="R860" s="508"/>
      <c r="S860" s="508"/>
      <c r="T860" s="508"/>
      <c r="U860" s="508"/>
      <c r="V860" s="508"/>
      <c r="W860" s="508"/>
      <c r="X860" s="508"/>
      <c r="Y860" s="508"/>
      <c r="Z860" s="508"/>
    </row>
    <row r="861">
      <c r="A861" s="508"/>
      <c r="B861" s="508"/>
      <c r="C861" s="508"/>
      <c r="D861" s="508"/>
      <c r="E861" s="508"/>
      <c r="F861" s="508"/>
      <c r="G861" s="508"/>
      <c r="H861" s="508"/>
      <c r="I861" s="508"/>
      <c r="J861" s="508"/>
      <c r="K861" s="508"/>
      <c r="L861" s="508"/>
      <c r="M861" s="508"/>
      <c r="N861" s="508"/>
      <c r="O861" s="508"/>
      <c r="P861" s="508"/>
      <c r="Q861" s="508"/>
      <c r="R861" s="508"/>
      <c r="S861" s="508"/>
      <c r="T861" s="508"/>
      <c r="U861" s="508"/>
      <c r="V861" s="508"/>
      <c r="W861" s="508"/>
      <c r="X861" s="508"/>
      <c r="Y861" s="508"/>
      <c r="Z861" s="508"/>
    </row>
    <row r="862">
      <c r="A862" s="508"/>
      <c r="B862" s="508"/>
      <c r="C862" s="508"/>
      <c r="D862" s="508"/>
      <c r="E862" s="508"/>
      <c r="F862" s="508"/>
      <c r="G862" s="508"/>
      <c r="H862" s="508"/>
      <c r="I862" s="508"/>
      <c r="J862" s="508"/>
      <c r="K862" s="508"/>
      <c r="L862" s="508"/>
      <c r="M862" s="508"/>
      <c r="N862" s="508"/>
      <c r="O862" s="508"/>
      <c r="P862" s="508"/>
      <c r="Q862" s="508"/>
      <c r="R862" s="508"/>
      <c r="S862" s="508"/>
      <c r="T862" s="508"/>
      <c r="U862" s="508"/>
      <c r="V862" s="508"/>
      <c r="W862" s="508"/>
      <c r="X862" s="508"/>
      <c r="Y862" s="508"/>
      <c r="Z862" s="508"/>
    </row>
    <row r="863">
      <c r="A863" s="508"/>
      <c r="B863" s="508"/>
      <c r="C863" s="508"/>
      <c r="D863" s="508"/>
      <c r="E863" s="508"/>
      <c r="F863" s="508"/>
      <c r="G863" s="508"/>
      <c r="H863" s="508"/>
      <c r="I863" s="508"/>
      <c r="J863" s="508"/>
      <c r="K863" s="508"/>
      <c r="L863" s="508"/>
      <c r="M863" s="508"/>
      <c r="N863" s="508"/>
      <c r="O863" s="508"/>
      <c r="P863" s="508"/>
      <c r="Q863" s="508"/>
      <c r="R863" s="508"/>
      <c r="S863" s="508"/>
      <c r="T863" s="508"/>
      <c r="U863" s="508"/>
      <c r="V863" s="508"/>
      <c r="W863" s="508"/>
      <c r="X863" s="508"/>
      <c r="Y863" s="508"/>
      <c r="Z863" s="508"/>
    </row>
    <row r="864">
      <c r="A864" s="508"/>
      <c r="B864" s="508"/>
      <c r="C864" s="508"/>
      <c r="D864" s="508"/>
      <c r="E864" s="508"/>
      <c r="F864" s="508"/>
      <c r="G864" s="508"/>
      <c r="H864" s="508"/>
      <c r="I864" s="508"/>
      <c r="J864" s="508"/>
      <c r="K864" s="508"/>
      <c r="L864" s="508"/>
      <c r="M864" s="508"/>
      <c r="N864" s="508"/>
      <c r="O864" s="508"/>
      <c r="P864" s="508"/>
      <c r="Q864" s="508"/>
      <c r="R864" s="508"/>
      <c r="S864" s="508"/>
      <c r="T864" s="508"/>
      <c r="U864" s="508"/>
      <c r="V864" s="508"/>
      <c r="W864" s="508"/>
      <c r="X864" s="508"/>
      <c r="Y864" s="508"/>
      <c r="Z864" s="508"/>
    </row>
    <row r="865">
      <c r="A865" s="508"/>
      <c r="B865" s="508"/>
      <c r="C865" s="508"/>
      <c r="D865" s="508"/>
      <c r="E865" s="508"/>
      <c r="F865" s="508"/>
      <c r="G865" s="508"/>
      <c r="H865" s="508"/>
      <c r="I865" s="508"/>
      <c r="J865" s="508"/>
      <c r="K865" s="508"/>
      <c r="L865" s="508"/>
      <c r="M865" s="508"/>
      <c r="N865" s="508"/>
      <c r="O865" s="508"/>
      <c r="P865" s="508"/>
      <c r="Q865" s="508"/>
      <c r="R865" s="508"/>
      <c r="S865" s="508"/>
      <c r="T865" s="508"/>
      <c r="U865" s="508"/>
      <c r="V865" s="508"/>
      <c r="W865" s="508"/>
      <c r="X865" s="508"/>
      <c r="Y865" s="508"/>
      <c r="Z865" s="508"/>
    </row>
    <row r="866">
      <c r="A866" s="508"/>
      <c r="B866" s="508"/>
      <c r="C866" s="508"/>
      <c r="D866" s="508"/>
      <c r="E866" s="508"/>
      <c r="F866" s="508"/>
      <c r="G866" s="508"/>
      <c r="H866" s="508"/>
      <c r="I866" s="508"/>
      <c r="J866" s="508"/>
      <c r="K866" s="508"/>
      <c r="L866" s="508"/>
      <c r="M866" s="508"/>
      <c r="N866" s="508"/>
      <c r="O866" s="508"/>
      <c r="P866" s="508"/>
      <c r="Q866" s="508"/>
      <c r="R866" s="508"/>
      <c r="S866" s="508"/>
      <c r="T866" s="508"/>
      <c r="U866" s="508"/>
      <c r="V866" s="508"/>
      <c r="W866" s="508"/>
      <c r="X866" s="508"/>
      <c r="Y866" s="508"/>
      <c r="Z866" s="508"/>
    </row>
    <row r="867">
      <c r="A867" s="508"/>
      <c r="B867" s="508"/>
      <c r="C867" s="508"/>
      <c r="D867" s="508"/>
      <c r="E867" s="508"/>
      <c r="F867" s="508"/>
      <c r="G867" s="508"/>
      <c r="H867" s="508"/>
      <c r="I867" s="508"/>
      <c r="J867" s="508"/>
      <c r="K867" s="508"/>
      <c r="L867" s="508"/>
      <c r="M867" s="508"/>
      <c r="N867" s="508"/>
      <c r="O867" s="508"/>
      <c r="P867" s="508"/>
      <c r="Q867" s="508"/>
      <c r="R867" s="508"/>
      <c r="S867" s="508"/>
      <c r="T867" s="508"/>
      <c r="U867" s="508"/>
      <c r="V867" s="508"/>
      <c r="W867" s="508"/>
      <c r="X867" s="508"/>
      <c r="Y867" s="508"/>
      <c r="Z867" s="508"/>
    </row>
    <row r="868">
      <c r="A868" s="508"/>
      <c r="B868" s="508"/>
      <c r="C868" s="508"/>
      <c r="D868" s="508"/>
      <c r="E868" s="508"/>
      <c r="F868" s="508"/>
      <c r="G868" s="508"/>
      <c r="H868" s="508"/>
      <c r="I868" s="508"/>
      <c r="J868" s="508"/>
      <c r="K868" s="508"/>
      <c r="L868" s="508"/>
      <c r="M868" s="508"/>
      <c r="N868" s="508"/>
      <c r="O868" s="508"/>
      <c r="P868" s="508"/>
      <c r="Q868" s="508"/>
      <c r="R868" s="508"/>
      <c r="S868" s="508"/>
      <c r="T868" s="508"/>
      <c r="U868" s="508"/>
      <c r="V868" s="508"/>
      <c r="W868" s="508"/>
      <c r="X868" s="508"/>
      <c r="Y868" s="508"/>
      <c r="Z868" s="508"/>
    </row>
    <row r="869">
      <c r="A869" s="508"/>
      <c r="B869" s="508"/>
      <c r="C869" s="508"/>
      <c r="D869" s="508"/>
      <c r="E869" s="508"/>
      <c r="F869" s="508"/>
      <c r="G869" s="508"/>
      <c r="H869" s="508"/>
      <c r="I869" s="508"/>
      <c r="J869" s="508"/>
      <c r="K869" s="508"/>
      <c r="L869" s="508"/>
      <c r="M869" s="508"/>
      <c r="N869" s="508"/>
      <c r="O869" s="508"/>
      <c r="P869" s="508"/>
      <c r="Q869" s="508"/>
      <c r="R869" s="508"/>
      <c r="S869" s="508"/>
      <c r="T869" s="508"/>
      <c r="U869" s="508"/>
      <c r="V869" s="508"/>
      <c r="W869" s="508"/>
      <c r="X869" s="508"/>
      <c r="Y869" s="508"/>
      <c r="Z869" s="508"/>
    </row>
    <row r="870">
      <c r="A870" s="508"/>
      <c r="B870" s="508"/>
      <c r="C870" s="508"/>
      <c r="D870" s="508"/>
      <c r="E870" s="508"/>
      <c r="F870" s="508"/>
      <c r="G870" s="508"/>
      <c r="H870" s="508"/>
      <c r="I870" s="508"/>
      <c r="J870" s="508"/>
      <c r="K870" s="508"/>
      <c r="L870" s="508"/>
      <c r="M870" s="508"/>
      <c r="N870" s="508"/>
      <c r="O870" s="508"/>
      <c r="P870" s="508"/>
      <c r="Q870" s="508"/>
      <c r="R870" s="508"/>
      <c r="S870" s="508"/>
      <c r="T870" s="508"/>
      <c r="U870" s="508"/>
      <c r="V870" s="508"/>
      <c r="W870" s="508"/>
      <c r="X870" s="508"/>
      <c r="Y870" s="508"/>
      <c r="Z870" s="508"/>
    </row>
    <row r="871">
      <c r="A871" s="508"/>
      <c r="B871" s="508"/>
      <c r="C871" s="508"/>
      <c r="D871" s="508"/>
      <c r="E871" s="508"/>
      <c r="F871" s="508"/>
      <c r="G871" s="508"/>
      <c r="H871" s="508"/>
      <c r="I871" s="508"/>
      <c r="J871" s="508"/>
      <c r="K871" s="508"/>
      <c r="L871" s="508"/>
      <c r="M871" s="508"/>
      <c r="N871" s="508"/>
      <c r="O871" s="508"/>
      <c r="P871" s="508"/>
      <c r="Q871" s="508"/>
      <c r="R871" s="508"/>
      <c r="S871" s="508"/>
      <c r="T871" s="508"/>
      <c r="U871" s="508"/>
      <c r="V871" s="508"/>
      <c r="W871" s="508"/>
      <c r="X871" s="508"/>
      <c r="Y871" s="508"/>
      <c r="Z871" s="508"/>
    </row>
    <row r="872">
      <c r="A872" s="508"/>
      <c r="B872" s="508"/>
      <c r="C872" s="508"/>
      <c r="D872" s="508"/>
      <c r="E872" s="508"/>
      <c r="F872" s="508"/>
      <c r="G872" s="508"/>
      <c r="H872" s="508"/>
      <c r="I872" s="508"/>
      <c r="J872" s="508"/>
      <c r="K872" s="508"/>
      <c r="L872" s="508"/>
      <c r="M872" s="508"/>
      <c r="N872" s="508"/>
      <c r="O872" s="508"/>
      <c r="P872" s="508"/>
      <c r="Q872" s="508"/>
      <c r="R872" s="508"/>
      <c r="S872" s="508"/>
      <c r="T872" s="508"/>
      <c r="U872" s="508"/>
      <c r="V872" s="508"/>
      <c r="W872" s="508"/>
      <c r="X872" s="508"/>
      <c r="Y872" s="508"/>
      <c r="Z872" s="508"/>
    </row>
    <row r="873">
      <c r="A873" s="508"/>
      <c r="B873" s="508"/>
      <c r="C873" s="508"/>
      <c r="D873" s="508"/>
      <c r="E873" s="508"/>
      <c r="F873" s="508"/>
      <c r="G873" s="508"/>
      <c r="H873" s="508"/>
      <c r="I873" s="508"/>
      <c r="J873" s="508"/>
      <c r="K873" s="508"/>
      <c r="L873" s="508"/>
      <c r="M873" s="508"/>
      <c r="N873" s="508"/>
      <c r="O873" s="508"/>
      <c r="P873" s="508"/>
      <c r="Q873" s="508"/>
      <c r="R873" s="508"/>
      <c r="S873" s="508"/>
      <c r="T873" s="508"/>
      <c r="U873" s="508"/>
      <c r="V873" s="508"/>
      <c r="W873" s="508"/>
      <c r="X873" s="508"/>
      <c r="Y873" s="508"/>
      <c r="Z873" s="508"/>
    </row>
    <row r="874">
      <c r="A874" s="508"/>
      <c r="B874" s="508"/>
      <c r="C874" s="508"/>
      <c r="D874" s="508"/>
      <c r="E874" s="508"/>
      <c r="F874" s="508"/>
      <c r="G874" s="508"/>
      <c r="H874" s="508"/>
      <c r="I874" s="508"/>
      <c r="J874" s="508"/>
      <c r="K874" s="508"/>
      <c r="L874" s="508"/>
      <c r="M874" s="508"/>
      <c r="N874" s="508"/>
      <c r="O874" s="508"/>
      <c r="P874" s="508"/>
      <c r="Q874" s="508"/>
      <c r="R874" s="508"/>
      <c r="S874" s="508"/>
      <c r="T874" s="508"/>
      <c r="U874" s="508"/>
      <c r="V874" s="508"/>
      <c r="W874" s="508"/>
      <c r="X874" s="508"/>
      <c r="Y874" s="508"/>
      <c r="Z874" s="508"/>
    </row>
    <row r="875">
      <c r="A875" s="508"/>
      <c r="B875" s="508"/>
      <c r="C875" s="508"/>
      <c r="D875" s="508"/>
      <c r="E875" s="508"/>
      <c r="F875" s="508"/>
      <c r="G875" s="508"/>
      <c r="H875" s="508"/>
      <c r="I875" s="508"/>
      <c r="J875" s="508"/>
      <c r="K875" s="508"/>
      <c r="L875" s="508"/>
      <c r="M875" s="508"/>
      <c r="N875" s="508"/>
      <c r="O875" s="508"/>
      <c r="P875" s="508"/>
      <c r="Q875" s="508"/>
      <c r="R875" s="508"/>
      <c r="S875" s="508"/>
      <c r="T875" s="508"/>
      <c r="U875" s="508"/>
      <c r="V875" s="508"/>
      <c r="W875" s="508"/>
      <c r="X875" s="508"/>
      <c r="Y875" s="508"/>
      <c r="Z875" s="508"/>
    </row>
    <row r="876">
      <c r="A876" s="508"/>
      <c r="B876" s="508"/>
      <c r="C876" s="508"/>
      <c r="D876" s="508"/>
      <c r="E876" s="508"/>
      <c r="F876" s="508"/>
      <c r="G876" s="508"/>
      <c r="H876" s="508"/>
      <c r="I876" s="508"/>
      <c r="J876" s="508"/>
      <c r="K876" s="508"/>
      <c r="L876" s="508"/>
      <c r="M876" s="508"/>
      <c r="N876" s="508"/>
      <c r="O876" s="508"/>
      <c r="P876" s="508"/>
      <c r="Q876" s="508"/>
      <c r="R876" s="508"/>
      <c r="S876" s="508"/>
      <c r="T876" s="508"/>
      <c r="U876" s="508"/>
      <c r="V876" s="508"/>
      <c r="W876" s="508"/>
      <c r="X876" s="508"/>
      <c r="Y876" s="508"/>
      <c r="Z876" s="508"/>
    </row>
    <row r="877">
      <c r="A877" s="508"/>
      <c r="B877" s="508"/>
      <c r="C877" s="508"/>
      <c r="D877" s="508"/>
      <c r="E877" s="508"/>
      <c r="F877" s="508"/>
      <c r="G877" s="508"/>
      <c r="H877" s="508"/>
      <c r="I877" s="508"/>
      <c r="J877" s="508"/>
      <c r="K877" s="508"/>
      <c r="L877" s="508"/>
      <c r="M877" s="508"/>
      <c r="N877" s="508"/>
      <c r="O877" s="508"/>
      <c r="P877" s="508"/>
      <c r="Q877" s="508"/>
      <c r="R877" s="508"/>
      <c r="S877" s="508"/>
      <c r="T877" s="508"/>
      <c r="U877" s="508"/>
      <c r="V877" s="508"/>
      <c r="W877" s="508"/>
      <c r="X877" s="508"/>
      <c r="Y877" s="508"/>
      <c r="Z877" s="508"/>
    </row>
    <row r="878">
      <c r="A878" s="508"/>
      <c r="B878" s="508"/>
      <c r="C878" s="508"/>
      <c r="D878" s="508"/>
      <c r="E878" s="508"/>
      <c r="F878" s="508"/>
      <c r="G878" s="508"/>
      <c r="H878" s="508"/>
      <c r="I878" s="508"/>
      <c r="J878" s="508"/>
      <c r="K878" s="508"/>
      <c r="L878" s="508"/>
      <c r="M878" s="508"/>
      <c r="N878" s="508"/>
      <c r="O878" s="508"/>
      <c r="P878" s="508"/>
      <c r="Q878" s="508"/>
      <c r="R878" s="508"/>
      <c r="S878" s="508"/>
      <c r="T878" s="508"/>
      <c r="U878" s="508"/>
      <c r="V878" s="508"/>
      <c r="W878" s="508"/>
      <c r="X878" s="508"/>
      <c r="Y878" s="508"/>
      <c r="Z878" s="508"/>
    </row>
    <row r="879">
      <c r="A879" s="508"/>
      <c r="B879" s="508"/>
      <c r="C879" s="508"/>
      <c r="D879" s="508"/>
      <c r="E879" s="508"/>
      <c r="F879" s="508"/>
      <c r="G879" s="508"/>
      <c r="H879" s="508"/>
      <c r="I879" s="508"/>
      <c r="J879" s="508"/>
      <c r="K879" s="508"/>
      <c r="L879" s="508"/>
      <c r="M879" s="508"/>
      <c r="N879" s="508"/>
      <c r="O879" s="508"/>
      <c r="P879" s="508"/>
      <c r="Q879" s="508"/>
      <c r="R879" s="508"/>
      <c r="S879" s="508"/>
      <c r="T879" s="508"/>
      <c r="U879" s="508"/>
      <c r="V879" s="508"/>
      <c r="W879" s="508"/>
      <c r="X879" s="508"/>
      <c r="Y879" s="508"/>
      <c r="Z879" s="508"/>
    </row>
    <row r="880">
      <c r="A880" s="508"/>
      <c r="B880" s="508"/>
      <c r="C880" s="508"/>
      <c r="D880" s="508"/>
      <c r="E880" s="508"/>
      <c r="F880" s="508"/>
      <c r="G880" s="508"/>
      <c r="H880" s="508"/>
      <c r="I880" s="508"/>
      <c r="J880" s="508"/>
      <c r="K880" s="508"/>
      <c r="L880" s="508"/>
      <c r="M880" s="508"/>
      <c r="N880" s="508"/>
      <c r="O880" s="508"/>
      <c r="P880" s="508"/>
      <c r="Q880" s="508"/>
      <c r="R880" s="508"/>
      <c r="S880" s="508"/>
      <c r="T880" s="508"/>
      <c r="U880" s="508"/>
      <c r="V880" s="508"/>
      <c r="W880" s="508"/>
      <c r="X880" s="508"/>
      <c r="Y880" s="508"/>
      <c r="Z880" s="508"/>
    </row>
    <row r="881">
      <c r="A881" s="508"/>
      <c r="B881" s="508"/>
      <c r="C881" s="508"/>
      <c r="D881" s="508"/>
      <c r="E881" s="508"/>
      <c r="F881" s="508"/>
      <c r="G881" s="508"/>
      <c r="H881" s="508"/>
      <c r="I881" s="508"/>
      <c r="J881" s="508"/>
      <c r="K881" s="508"/>
      <c r="L881" s="508"/>
      <c r="M881" s="508"/>
      <c r="N881" s="508"/>
      <c r="O881" s="508"/>
      <c r="P881" s="508"/>
      <c r="Q881" s="508"/>
      <c r="R881" s="508"/>
      <c r="S881" s="508"/>
      <c r="T881" s="508"/>
      <c r="U881" s="508"/>
      <c r="V881" s="508"/>
      <c r="W881" s="508"/>
      <c r="X881" s="508"/>
      <c r="Y881" s="508"/>
      <c r="Z881" s="508"/>
    </row>
    <row r="882">
      <c r="A882" s="508"/>
      <c r="B882" s="508"/>
      <c r="C882" s="508"/>
      <c r="D882" s="508"/>
      <c r="E882" s="508"/>
      <c r="F882" s="508"/>
      <c r="G882" s="508"/>
      <c r="H882" s="508"/>
      <c r="I882" s="508"/>
      <c r="J882" s="508"/>
      <c r="K882" s="508"/>
      <c r="L882" s="508"/>
      <c r="M882" s="508"/>
      <c r="N882" s="508"/>
      <c r="O882" s="508"/>
      <c r="P882" s="508"/>
      <c r="Q882" s="508"/>
      <c r="R882" s="508"/>
      <c r="S882" s="508"/>
      <c r="T882" s="508"/>
      <c r="U882" s="508"/>
      <c r="V882" s="508"/>
      <c r="W882" s="508"/>
      <c r="X882" s="508"/>
      <c r="Y882" s="508"/>
      <c r="Z882" s="508"/>
    </row>
    <row r="883">
      <c r="A883" s="508"/>
      <c r="B883" s="508"/>
      <c r="C883" s="508"/>
      <c r="D883" s="508"/>
      <c r="E883" s="508"/>
      <c r="F883" s="508"/>
      <c r="G883" s="508"/>
      <c r="H883" s="508"/>
      <c r="I883" s="508"/>
      <c r="J883" s="508"/>
      <c r="K883" s="508"/>
      <c r="L883" s="508"/>
      <c r="M883" s="508"/>
      <c r="N883" s="508"/>
      <c r="O883" s="508"/>
      <c r="P883" s="508"/>
      <c r="Q883" s="508"/>
      <c r="R883" s="508"/>
      <c r="S883" s="508"/>
      <c r="T883" s="508"/>
      <c r="U883" s="508"/>
      <c r="V883" s="508"/>
      <c r="W883" s="508"/>
      <c r="X883" s="508"/>
      <c r="Y883" s="508"/>
      <c r="Z883" s="508"/>
    </row>
    <row r="884">
      <c r="A884" s="508"/>
      <c r="B884" s="508"/>
      <c r="C884" s="508"/>
      <c r="D884" s="508"/>
      <c r="E884" s="508"/>
      <c r="F884" s="508"/>
      <c r="G884" s="508"/>
      <c r="H884" s="508"/>
      <c r="I884" s="508"/>
      <c r="J884" s="508"/>
      <c r="K884" s="508"/>
      <c r="L884" s="508"/>
      <c r="M884" s="508"/>
      <c r="N884" s="508"/>
      <c r="O884" s="508"/>
      <c r="P884" s="508"/>
      <c r="Q884" s="508"/>
      <c r="R884" s="508"/>
      <c r="S884" s="508"/>
      <c r="T884" s="508"/>
      <c r="U884" s="508"/>
      <c r="V884" s="508"/>
      <c r="W884" s="508"/>
      <c r="X884" s="508"/>
      <c r="Y884" s="508"/>
      <c r="Z884" s="508"/>
    </row>
    <row r="885">
      <c r="A885" s="508"/>
      <c r="B885" s="508"/>
      <c r="C885" s="508"/>
      <c r="D885" s="508"/>
      <c r="E885" s="508"/>
      <c r="F885" s="508"/>
      <c r="G885" s="508"/>
      <c r="H885" s="508"/>
      <c r="I885" s="508"/>
      <c r="J885" s="508"/>
      <c r="K885" s="508"/>
      <c r="L885" s="508"/>
      <c r="M885" s="508"/>
      <c r="N885" s="508"/>
      <c r="O885" s="508"/>
      <c r="P885" s="508"/>
      <c r="Q885" s="508"/>
      <c r="R885" s="508"/>
      <c r="S885" s="508"/>
      <c r="T885" s="508"/>
      <c r="U885" s="508"/>
      <c r="V885" s="508"/>
      <c r="W885" s="508"/>
      <c r="X885" s="508"/>
      <c r="Y885" s="508"/>
      <c r="Z885" s="508"/>
    </row>
    <row r="886">
      <c r="A886" s="508"/>
      <c r="B886" s="508"/>
      <c r="C886" s="508"/>
      <c r="D886" s="508"/>
      <c r="E886" s="508"/>
      <c r="F886" s="508"/>
      <c r="G886" s="508"/>
      <c r="H886" s="508"/>
      <c r="I886" s="508"/>
      <c r="J886" s="508"/>
      <c r="K886" s="508"/>
      <c r="L886" s="508"/>
      <c r="M886" s="508"/>
      <c r="N886" s="508"/>
      <c r="O886" s="508"/>
      <c r="P886" s="508"/>
      <c r="Q886" s="508"/>
      <c r="R886" s="508"/>
      <c r="S886" s="508"/>
      <c r="T886" s="508"/>
      <c r="U886" s="508"/>
      <c r="V886" s="508"/>
      <c r="W886" s="508"/>
      <c r="X886" s="508"/>
      <c r="Y886" s="508"/>
      <c r="Z886" s="508"/>
    </row>
    <row r="887">
      <c r="A887" s="508"/>
      <c r="B887" s="508"/>
      <c r="C887" s="508"/>
      <c r="D887" s="508"/>
      <c r="E887" s="508"/>
      <c r="F887" s="508"/>
      <c r="G887" s="508"/>
      <c r="H887" s="508"/>
      <c r="I887" s="508"/>
      <c r="J887" s="508"/>
      <c r="K887" s="508"/>
      <c r="L887" s="508"/>
      <c r="M887" s="508"/>
      <c r="N887" s="508"/>
      <c r="O887" s="508"/>
      <c r="P887" s="508"/>
      <c r="Q887" s="508"/>
      <c r="R887" s="508"/>
      <c r="S887" s="508"/>
      <c r="T887" s="508"/>
      <c r="U887" s="508"/>
      <c r="V887" s="508"/>
      <c r="W887" s="508"/>
      <c r="X887" s="508"/>
      <c r="Y887" s="508"/>
      <c r="Z887" s="508"/>
    </row>
    <row r="888">
      <c r="A888" s="508"/>
      <c r="B888" s="508"/>
      <c r="C888" s="508"/>
      <c r="D888" s="508"/>
      <c r="E888" s="508"/>
      <c r="F888" s="508"/>
      <c r="G888" s="508"/>
      <c r="H888" s="508"/>
      <c r="I888" s="508"/>
      <c r="J888" s="508"/>
      <c r="K888" s="508"/>
      <c r="L888" s="508"/>
      <c r="M888" s="508"/>
      <c r="N888" s="508"/>
      <c r="O888" s="508"/>
      <c r="P888" s="508"/>
      <c r="Q888" s="508"/>
      <c r="R888" s="508"/>
      <c r="S888" s="508"/>
      <c r="T888" s="508"/>
      <c r="U888" s="508"/>
      <c r="V888" s="508"/>
      <c r="W888" s="508"/>
      <c r="X888" s="508"/>
      <c r="Y888" s="508"/>
      <c r="Z888" s="508"/>
    </row>
    <row r="889">
      <c r="A889" s="508"/>
      <c r="B889" s="508"/>
      <c r="C889" s="508"/>
      <c r="D889" s="508"/>
      <c r="E889" s="508"/>
      <c r="F889" s="508"/>
      <c r="G889" s="508"/>
      <c r="H889" s="508"/>
      <c r="I889" s="508"/>
      <c r="J889" s="508"/>
      <c r="K889" s="508"/>
      <c r="L889" s="508"/>
      <c r="M889" s="508"/>
      <c r="N889" s="508"/>
      <c r="O889" s="508"/>
      <c r="P889" s="508"/>
      <c r="Q889" s="508"/>
      <c r="R889" s="508"/>
      <c r="S889" s="508"/>
      <c r="T889" s="508"/>
      <c r="U889" s="508"/>
      <c r="V889" s="508"/>
      <c r="W889" s="508"/>
      <c r="X889" s="508"/>
      <c r="Y889" s="508"/>
      <c r="Z889" s="508"/>
    </row>
    <row r="890">
      <c r="A890" s="508"/>
      <c r="B890" s="508"/>
      <c r="C890" s="508"/>
      <c r="D890" s="508"/>
      <c r="E890" s="508"/>
      <c r="F890" s="508"/>
      <c r="G890" s="508"/>
      <c r="H890" s="508"/>
      <c r="I890" s="508"/>
      <c r="J890" s="508"/>
      <c r="K890" s="508"/>
      <c r="L890" s="508"/>
      <c r="M890" s="508"/>
      <c r="N890" s="508"/>
      <c r="O890" s="508"/>
      <c r="P890" s="508"/>
      <c r="Q890" s="508"/>
      <c r="R890" s="508"/>
      <c r="S890" s="508"/>
      <c r="T890" s="508"/>
      <c r="U890" s="508"/>
      <c r="V890" s="508"/>
      <c r="W890" s="508"/>
      <c r="X890" s="508"/>
      <c r="Y890" s="508"/>
      <c r="Z890" s="508"/>
    </row>
    <row r="891">
      <c r="A891" s="508"/>
      <c r="B891" s="508"/>
      <c r="C891" s="508"/>
      <c r="D891" s="508"/>
      <c r="E891" s="508"/>
      <c r="F891" s="508"/>
      <c r="G891" s="508"/>
      <c r="H891" s="508"/>
      <c r="I891" s="508"/>
      <c r="J891" s="508"/>
      <c r="K891" s="508"/>
      <c r="L891" s="508"/>
      <c r="M891" s="508"/>
      <c r="N891" s="508"/>
      <c r="O891" s="508"/>
      <c r="P891" s="508"/>
      <c r="Q891" s="508"/>
      <c r="R891" s="508"/>
      <c r="S891" s="508"/>
      <c r="T891" s="508"/>
      <c r="U891" s="508"/>
      <c r="V891" s="508"/>
      <c r="W891" s="508"/>
      <c r="X891" s="508"/>
      <c r="Y891" s="508"/>
      <c r="Z891" s="508"/>
    </row>
    <row r="892">
      <c r="A892" s="508"/>
      <c r="B892" s="508"/>
      <c r="C892" s="508"/>
      <c r="D892" s="508"/>
      <c r="E892" s="508"/>
      <c r="F892" s="508"/>
      <c r="G892" s="508"/>
      <c r="H892" s="508"/>
      <c r="I892" s="508"/>
      <c r="J892" s="508"/>
      <c r="K892" s="508"/>
      <c r="L892" s="508"/>
      <c r="M892" s="508"/>
      <c r="N892" s="508"/>
      <c r="O892" s="508"/>
      <c r="P892" s="508"/>
      <c r="Q892" s="508"/>
      <c r="R892" s="508"/>
      <c r="S892" s="508"/>
      <c r="T892" s="508"/>
      <c r="U892" s="508"/>
      <c r="V892" s="508"/>
      <c r="W892" s="508"/>
      <c r="X892" s="508"/>
      <c r="Y892" s="508"/>
      <c r="Z892" s="508"/>
    </row>
    <row r="893">
      <c r="A893" s="508"/>
      <c r="B893" s="508"/>
      <c r="C893" s="508"/>
      <c r="D893" s="508"/>
      <c r="E893" s="508"/>
      <c r="F893" s="508"/>
      <c r="G893" s="508"/>
      <c r="H893" s="508"/>
      <c r="I893" s="508"/>
      <c r="J893" s="508"/>
      <c r="K893" s="508"/>
      <c r="L893" s="508"/>
      <c r="M893" s="508"/>
      <c r="N893" s="508"/>
      <c r="O893" s="508"/>
      <c r="P893" s="508"/>
      <c r="Q893" s="508"/>
      <c r="R893" s="508"/>
      <c r="S893" s="508"/>
      <c r="T893" s="508"/>
      <c r="U893" s="508"/>
      <c r="V893" s="508"/>
      <c r="W893" s="508"/>
      <c r="X893" s="508"/>
      <c r="Y893" s="508"/>
      <c r="Z893" s="508"/>
    </row>
    <row r="894">
      <c r="A894" s="508"/>
      <c r="B894" s="508"/>
      <c r="C894" s="508"/>
      <c r="D894" s="508"/>
      <c r="E894" s="508"/>
      <c r="F894" s="508"/>
      <c r="G894" s="508"/>
      <c r="H894" s="508"/>
      <c r="I894" s="508"/>
      <c r="J894" s="508"/>
      <c r="K894" s="508"/>
      <c r="L894" s="508"/>
      <c r="M894" s="508"/>
      <c r="N894" s="508"/>
      <c r="O894" s="508"/>
      <c r="P894" s="508"/>
      <c r="Q894" s="508"/>
      <c r="R894" s="508"/>
      <c r="S894" s="508"/>
      <c r="T894" s="508"/>
      <c r="U894" s="508"/>
      <c r="V894" s="508"/>
      <c r="W894" s="508"/>
      <c r="X894" s="508"/>
      <c r="Y894" s="508"/>
      <c r="Z894" s="508"/>
    </row>
    <row r="895">
      <c r="A895" s="508"/>
      <c r="B895" s="508"/>
      <c r="C895" s="508"/>
      <c r="D895" s="508"/>
      <c r="E895" s="508"/>
      <c r="F895" s="508"/>
      <c r="G895" s="508"/>
      <c r="H895" s="508"/>
      <c r="I895" s="508"/>
      <c r="J895" s="508"/>
      <c r="K895" s="508"/>
      <c r="L895" s="508"/>
      <c r="M895" s="508"/>
      <c r="N895" s="508"/>
      <c r="O895" s="508"/>
      <c r="P895" s="508"/>
      <c r="Q895" s="508"/>
      <c r="R895" s="508"/>
      <c r="S895" s="508"/>
      <c r="T895" s="508"/>
      <c r="U895" s="508"/>
      <c r="V895" s="508"/>
      <c r="W895" s="508"/>
      <c r="X895" s="508"/>
      <c r="Y895" s="508"/>
      <c r="Z895" s="508"/>
    </row>
    <row r="896">
      <c r="A896" s="508"/>
      <c r="B896" s="508"/>
      <c r="C896" s="508"/>
      <c r="D896" s="508"/>
      <c r="E896" s="508"/>
      <c r="F896" s="508"/>
      <c r="G896" s="508"/>
      <c r="H896" s="508"/>
      <c r="I896" s="508"/>
      <c r="J896" s="508"/>
      <c r="K896" s="508"/>
      <c r="L896" s="508"/>
      <c r="M896" s="508"/>
      <c r="N896" s="508"/>
      <c r="O896" s="508"/>
      <c r="P896" s="508"/>
      <c r="Q896" s="508"/>
      <c r="R896" s="508"/>
      <c r="S896" s="508"/>
      <c r="T896" s="508"/>
      <c r="U896" s="508"/>
      <c r="V896" s="508"/>
      <c r="W896" s="508"/>
      <c r="X896" s="508"/>
      <c r="Y896" s="508"/>
      <c r="Z896" s="508"/>
    </row>
    <row r="897">
      <c r="A897" s="508"/>
      <c r="B897" s="508"/>
      <c r="C897" s="508"/>
      <c r="D897" s="508"/>
      <c r="E897" s="508"/>
      <c r="F897" s="508"/>
      <c r="G897" s="508"/>
      <c r="H897" s="508"/>
      <c r="I897" s="508"/>
      <c r="J897" s="508"/>
      <c r="K897" s="508"/>
      <c r="L897" s="508"/>
      <c r="M897" s="508"/>
      <c r="N897" s="508"/>
      <c r="O897" s="508"/>
      <c r="P897" s="508"/>
      <c r="Q897" s="508"/>
      <c r="R897" s="508"/>
      <c r="S897" s="508"/>
      <c r="T897" s="508"/>
      <c r="U897" s="508"/>
      <c r="V897" s="508"/>
      <c r="W897" s="508"/>
      <c r="X897" s="508"/>
      <c r="Y897" s="508"/>
      <c r="Z897" s="508"/>
    </row>
    <row r="898">
      <c r="A898" s="508"/>
      <c r="B898" s="508"/>
      <c r="C898" s="508"/>
      <c r="D898" s="508"/>
      <c r="E898" s="508"/>
      <c r="F898" s="508"/>
      <c r="G898" s="508"/>
      <c r="H898" s="508"/>
      <c r="I898" s="508"/>
      <c r="J898" s="508"/>
      <c r="K898" s="508"/>
      <c r="L898" s="508"/>
      <c r="M898" s="508"/>
      <c r="N898" s="508"/>
      <c r="O898" s="508"/>
      <c r="P898" s="508"/>
      <c r="Q898" s="508"/>
      <c r="R898" s="508"/>
      <c r="S898" s="508"/>
      <c r="T898" s="508"/>
      <c r="U898" s="508"/>
      <c r="V898" s="508"/>
      <c r="W898" s="508"/>
      <c r="X898" s="508"/>
      <c r="Y898" s="508"/>
      <c r="Z898" s="508"/>
    </row>
    <row r="899">
      <c r="A899" s="508"/>
      <c r="B899" s="508"/>
      <c r="C899" s="508"/>
      <c r="D899" s="508"/>
      <c r="E899" s="508"/>
      <c r="F899" s="508"/>
      <c r="G899" s="508"/>
      <c r="H899" s="508"/>
      <c r="I899" s="508"/>
      <c r="J899" s="508"/>
      <c r="K899" s="508"/>
      <c r="L899" s="508"/>
      <c r="M899" s="508"/>
      <c r="N899" s="508"/>
      <c r="O899" s="508"/>
      <c r="P899" s="508"/>
      <c r="Q899" s="508"/>
      <c r="R899" s="508"/>
      <c r="S899" s="508"/>
      <c r="T899" s="508"/>
      <c r="U899" s="508"/>
      <c r="V899" s="508"/>
      <c r="W899" s="508"/>
      <c r="X899" s="508"/>
      <c r="Y899" s="508"/>
      <c r="Z899" s="508"/>
    </row>
    <row r="900">
      <c r="A900" s="508"/>
      <c r="B900" s="508"/>
      <c r="C900" s="508"/>
      <c r="D900" s="508"/>
      <c r="E900" s="508"/>
      <c r="F900" s="508"/>
      <c r="G900" s="508"/>
      <c r="H900" s="508"/>
      <c r="I900" s="508"/>
      <c r="J900" s="508"/>
      <c r="K900" s="508"/>
      <c r="L900" s="508"/>
      <c r="M900" s="508"/>
      <c r="N900" s="508"/>
      <c r="O900" s="508"/>
      <c r="P900" s="508"/>
      <c r="Q900" s="508"/>
      <c r="R900" s="508"/>
      <c r="S900" s="508"/>
      <c r="T900" s="508"/>
      <c r="U900" s="508"/>
      <c r="V900" s="508"/>
      <c r="W900" s="508"/>
      <c r="X900" s="508"/>
      <c r="Y900" s="508"/>
      <c r="Z900" s="508"/>
    </row>
    <row r="901">
      <c r="A901" s="508"/>
      <c r="B901" s="508"/>
      <c r="C901" s="508"/>
      <c r="D901" s="508"/>
      <c r="E901" s="508"/>
      <c r="F901" s="508"/>
      <c r="G901" s="508"/>
      <c r="H901" s="508"/>
      <c r="I901" s="508"/>
      <c r="J901" s="508"/>
      <c r="K901" s="508"/>
      <c r="L901" s="508"/>
      <c r="M901" s="508"/>
      <c r="N901" s="508"/>
      <c r="O901" s="508"/>
      <c r="P901" s="508"/>
      <c r="Q901" s="508"/>
      <c r="R901" s="508"/>
      <c r="S901" s="508"/>
      <c r="T901" s="508"/>
      <c r="U901" s="508"/>
      <c r="V901" s="508"/>
      <c r="W901" s="508"/>
      <c r="X901" s="508"/>
      <c r="Y901" s="508"/>
      <c r="Z901" s="508"/>
    </row>
    <row r="902">
      <c r="A902" s="508"/>
      <c r="B902" s="508"/>
      <c r="C902" s="508"/>
      <c r="D902" s="508"/>
      <c r="E902" s="508"/>
      <c r="F902" s="508"/>
      <c r="G902" s="508"/>
      <c r="H902" s="508"/>
      <c r="I902" s="508"/>
      <c r="J902" s="508"/>
      <c r="K902" s="508"/>
      <c r="L902" s="508"/>
      <c r="M902" s="508"/>
      <c r="N902" s="508"/>
      <c r="O902" s="508"/>
      <c r="P902" s="508"/>
      <c r="Q902" s="508"/>
      <c r="R902" s="508"/>
      <c r="S902" s="508"/>
      <c r="T902" s="508"/>
      <c r="U902" s="508"/>
      <c r="V902" s="508"/>
      <c r="W902" s="508"/>
      <c r="X902" s="508"/>
      <c r="Y902" s="508"/>
      <c r="Z902" s="508"/>
    </row>
    <row r="903">
      <c r="A903" s="508"/>
      <c r="B903" s="508"/>
      <c r="C903" s="508"/>
      <c r="D903" s="508"/>
      <c r="E903" s="508"/>
      <c r="F903" s="508"/>
      <c r="G903" s="508"/>
      <c r="H903" s="508"/>
      <c r="I903" s="508"/>
      <c r="J903" s="508"/>
      <c r="K903" s="508"/>
      <c r="L903" s="508"/>
      <c r="M903" s="508"/>
      <c r="N903" s="508"/>
      <c r="O903" s="508"/>
      <c r="P903" s="508"/>
      <c r="Q903" s="508"/>
      <c r="R903" s="508"/>
      <c r="S903" s="508"/>
      <c r="T903" s="508"/>
      <c r="U903" s="508"/>
      <c r="V903" s="508"/>
      <c r="W903" s="508"/>
      <c r="X903" s="508"/>
      <c r="Y903" s="508"/>
      <c r="Z903" s="508"/>
    </row>
    <row r="904">
      <c r="A904" s="508"/>
      <c r="B904" s="508"/>
      <c r="C904" s="508"/>
      <c r="D904" s="508"/>
      <c r="E904" s="508"/>
      <c r="F904" s="508"/>
      <c r="G904" s="508"/>
      <c r="H904" s="508"/>
      <c r="I904" s="508"/>
      <c r="J904" s="508"/>
      <c r="K904" s="508"/>
      <c r="L904" s="508"/>
      <c r="M904" s="508"/>
      <c r="N904" s="508"/>
      <c r="O904" s="508"/>
      <c r="P904" s="508"/>
      <c r="Q904" s="508"/>
      <c r="R904" s="508"/>
      <c r="S904" s="508"/>
      <c r="T904" s="508"/>
      <c r="U904" s="508"/>
      <c r="V904" s="508"/>
      <c r="W904" s="508"/>
      <c r="X904" s="508"/>
      <c r="Y904" s="508"/>
      <c r="Z904" s="508"/>
    </row>
    <row r="905">
      <c r="A905" s="508"/>
      <c r="B905" s="508"/>
      <c r="C905" s="508"/>
      <c r="D905" s="508"/>
      <c r="E905" s="508"/>
      <c r="F905" s="508"/>
      <c r="G905" s="508"/>
      <c r="H905" s="508"/>
      <c r="I905" s="508"/>
      <c r="J905" s="508"/>
      <c r="K905" s="508"/>
      <c r="L905" s="508"/>
      <c r="M905" s="508"/>
      <c r="N905" s="508"/>
      <c r="O905" s="508"/>
      <c r="P905" s="508"/>
      <c r="Q905" s="508"/>
      <c r="R905" s="508"/>
      <c r="S905" s="508"/>
      <c r="T905" s="508"/>
      <c r="U905" s="508"/>
      <c r="V905" s="508"/>
      <c r="W905" s="508"/>
      <c r="X905" s="508"/>
      <c r="Y905" s="508"/>
      <c r="Z905" s="508"/>
    </row>
    <row r="906">
      <c r="A906" s="508"/>
      <c r="B906" s="508"/>
      <c r="C906" s="508"/>
      <c r="D906" s="508"/>
      <c r="E906" s="508"/>
      <c r="F906" s="508"/>
      <c r="G906" s="508"/>
      <c r="H906" s="508"/>
      <c r="I906" s="508"/>
      <c r="J906" s="508"/>
      <c r="K906" s="508"/>
      <c r="L906" s="508"/>
      <c r="M906" s="508"/>
      <c r="N906" s="508"/>
      <c r="O906" s="508"/>
      <c r="P906" s="508"/>
      <c r="Q906" s="508"/>
      <c r="R906" s="508"/>
      <c r="S906" s="508"/>
      <c r="T906" s="508"/>
      <c r="U906" s="508"/>
      <c r="V906" s="508"/>
      <c r="W906" s="508"/>
      <c r="X906" s="508"/>
      <c r="Y906" s="508"/>
      <c r="Z906" s="508"/>
    </row>
    <row r="907">
      <c r="A907" s="508"/>
      <c r="B907" s="508"/>
      <c r="C907" s="508"/>
      <c r="D907" s="508"/>
      <c r="E907" s="508"/>
      <c r="F907" s="508"/>
      <c r="G907" s="508"/>
      <c r="H907" s="508"/>
      <c r="I907" s="508"/>
      <c r="J907" s="508"/>
      <c r="K907" s="508"/>
      <c r="L907" s="508"/>
      <c r="M907" s="508"/>
      <c r="N907" s="508"/>
      <c r="O907" s="508"/>
      <c r="P907" s="508"/>
      <c r="Q907" s="508"/>
      <c r="R907" s="508"/>
      <c r="S907" s="508"/>
      <c r="T907" s="508"/>
      <c r="U907" s="508"/>
      <c r="V907" s="508"/>
      <c r="W907" s="508"/>
      <c r="X907" s="508"/>
      <c r="Y907" s="508"/>
      <c r="Z907" s="508"/>
    </row>
    <row r="908">
      <c r="A908" s="508"/>
      <c r="B908" s="508"/>
      <c r="C908" s="508"/>
      <c r="D908" s="508"/>
      <c r="E908" s="508"/>
      <c r="F908" s="508"/>
      <c r="G908" s="508"/>
      <c r="H908" s="508"/>
      <c r="I908" s="508"/>
      <c r="J908" s="508"/>
      <c r="K908" s="508"/>
      <c r="L908" s="508"/>
      <c r="M908" s="508"/>
      <c r="N908" s="508"/>
      <c r="O908" s="508"/>
      <c r="P908" s="508"/>
      <c r="Q908" s="508"/>
      <c r="R908" s="508"/>
      <c r="S908" s="508"/>
      <c r="T908" s="508"/>
      <c r="U908" s="508"/>
      <c r="V908" s="508"/>
      <c r="W908" s="508"/>
      <c r="X908" s="508"/>
      <c r="Y908" s="508"/>
      <c r="Z908" s="508"/>
    </row>
    <row r="909">
      <c r="A909" s="508"/>
      <c r="B909" s="508"/>
      <c r="C909" s="508"/>
      <c r="D909" s="508"/>
      <c r="E909" s="508"/>
      <c r="F909" s="508"/>
      <c r="G909" s="508"/>
      <c r="H909" s="508"/>
      <c r="I909" s="508"/>
      <c r="J909" s="508"/>
      <c r="K909" s="508"/>
      <c r="L909" s="508"/>
      <c r="M909" s="508"/>
      <c r="N909" s="508"/>
      <c r="O909" s="508"/>
      <c r="P909" s="508"/>
      <c r="Q909" s="508"/>
      <c r="R909" s="508"/>
      <c r="S909" s="508"/>
      <c r="T909" s="508"/>
      <c r="U909" s="508"/>
      <c r="V909" s="508"/>
      <c r="W909" s="508"/>
      <c r="X909" s="508"/>
      <c r="Y909" s="508"/>
      <c r="Z909" s="508"/>
    </row>
    <row r="910">
      <c r="A910" s="508"/>
      <c r="B910" s="508"/>
      <c r="C910" s="508"/>
      <c r="D910" s="508"/>
      <c r="E910" s="508"/>
      <c r="F910" s="508"/>
      <c r="G910" s="508"/>
      <c r="H910" s="508"/>
      <c r="I910" s="508"/>
      <c r="J910" s="508"/>
      <c r="K910" s="508"/>
      <c r="L910" s="508"/>
      <c r="M910" s="508"/>
      <c r="N910" s="508"/>
      <c r="O910" s="508"/>
      <c r="P910" s="508"/>
      <c r="Q910" s="508"/>
      <c r="R910" s="508"/>
      <c r="S910" s="508"/>
      <c r="T910" s="508"/>
      <c r="U910" s="508"/>
      <c r="V910" s="508"/>
      <c r="W910" s="508"/>
      <c r="X910" s="508"/>
      <c r="Y910" s="508"/>
      <c r="Z910" s="508"/>
    </row>
    <row r="911">
      <c r="A911" s="508"/>
      <c r="B911" s="508"/>
      <c r="C911" s="508"/>
      <c r="D911" s="508"/>
      <c r="E911" s="508"/>
      <c r="F911" s="508"/>
      <c r="G911" s="508"/>
      <c r="H911" s="508"/>
      <c r="I911" s="508"/>
      <c r="J911" s="508"/>
      <c r="K911" s="508"/>
      <c r="L911" s="508"/>
      <c r="M911" s="508"/>
      <c r="N911" s="508"/>
      <c r="O911" s="508"/>
      <c r="P911" s="508"/>
      <c r="Q911" s="508"/>
      <c r="R911" s="508"/>
      <c r="S911" s="508"/>
      <c r="T911" s="508"/>
      <c r="U911" s="508"/>
      <c r="V911" s="508"/>
      <c r="W911" s="508"/>
      <c r="X911" s="508"/>
      <c r="Y911" s="508"/>
      <c r="Z911" s="508"/>
    </row>
    <row r="912">
      <c r="A912" s="508"/>
      <c r="B912" s="508"/>
      <c r="C912" s="508"/>
      <c r="D912" s="508"/>
      <c r="E912" s="508"/>
      <c r="F912" s="508"/>
      <c r="G912" s="508"/>
      <c r="H912" s="508"/>
      <c r="I912" s="508"/>
      <c r="J912" s="508"/>
      <c r="K912" s="508"/>
      <c r="L912" s="508"/>
      <c r="M912" s="508"/>
      <c r="N912" s="508"/>
      <c r="O912" s="508"/>
      <c r="P912" s="508"/>
      <c r="Q912" s="508"/>
      <c r="R912" s="508"/>
      <c r="S912" s="508"/>
      <c r="T912" s="508"/>
      <c r="U912" s="508"/>
      <c r="V912" s="508"/>
      <c r="W912" s="508"/>
      <c r="X912" s="508"/>
      <c r="Y912" s="508"/>
      <c r="Z912" s="508"/>
    </row>
    <row r="913">
      <c r="A913" s="508"/>
      <c r="B913" s="508"/>
      <c r="C913" s="508"/>
      <c r="D913" s="508"/>
      <c r="E913" s="508"/>
      <c r="F913" s="508"/>
      <c r="G913" s="508"/>
      <c r="H913" s="508"/>
      <c r="I913" s="508"/>
      <c r="J913" s="508"/>
      <c r="K913" s="508"/>
      <c r="L913" s="508"/>
      <c r="M913" s="508"/>
      <c r="N913" s="508"/>
      <c r="O913" s="508"/>
      <c r="P913" s="508"/>
      <c r="Q913" s="508"/>
      <c r="R913" s="508"/>
      <c r="S913" s="508"/>
      <c r="T913" s="508"/>
      <c r="U913" s="508"/>
      <c r="V913" s="508"/>
      <c r="W913" s="508"/>
      <c r="X913" s="508"/>
      <c r="Y913" s="508"/>
      <c r="Z913" s="508"/>
    </row>
    <row r="914">
      <c r="A914" s="508"/>
      <c r="B914" s="508"/>
      <c r="C914" s="508"/>
      <c r="D914" s="508"/>
      <c r="E914" s="508"/>
      <c r="F914" s="508"/>
      <c r="G914" s="508"/>
      <c r="H914" s="508"/>
      <c r="I914" s="508"/>
      <c r="J914" s="508"/>
      <c r="K914" s="508"/>
      <c r="L914" s="508"/>
      <c r="M914" s="508"/>
      <c r="N914" s="508"/>
      <c r="O914" s="508"/>
      <c r="P914" s="508"/>
      <c r="Q914" s="508"/>
      <c r="R914" s="508"/>
      <c r="S914" s="508"/>
      <c r="T914" s="508"/>
      <c r="U914" s="508"/>
      <c r="V914" s="508"/>
      <c r="W914" s="508"/>
      <c r="X914" s="508"/>
      <c r="Y914" s="508"/>
      <c r="Z914" s="508"/>
    </row>
    <row r="915">
      <c r="A915" s="508"/>
      <c r="B915" s="508"/>
      <c r="C915" s="508"/>
      <c r="D915" s="508"/>
      <c r="E915" s="508"/>
      <c r="F915" s="508"/>
      <c r="G915" s="508"/>
      <c r="H915" s="508"/>
      <c r="I915" s="508"/>
      <c r="J915" s="508"/>
      <c r="K915" s="508"/>
      <c r="L915" s="508"/>
      <c r="M915" s="508"/>
      <c r="N915" s="508"/>
      <c r="O915" s="508"/>
      <c r="P915" s="508"/>
      <c r="Q915" s="508"/>
      <c r="R915" s="508"/>
      <c r="S915" s="508"/>
      <c r="T915" s="508"/>
      <c r="U915" s="508"/>
      <c r="V915" s="508"/>
      <c r="W915" s="508"/>
      <c r="X915" s="508"/>
      <c r="Y915" s="508"/>
      <c r="Z915" s="508"/>
    </row>
    <row r="916">
      <c r="A916" s="508"/>
      <c r="B916" s="508"/>
      <c r="C916" s="508"/>
      <c r="D916" s="508"/>
      <c r="E916" s="508"/>
      <c r="F916" s="508"/>
      <c r="G916" s="508"/>
      <c r="H916" s="508"/>
      <c r="I916" s="508"/>
      <c r="J916" s="508"/>
      <c r="K916" s="508"/>
      <c r="L916" s="508"/>
      <c r="M916" s="508"/>
      <c r="N916" s="508"/>
      <c r="O916" s="508"/>
      <c r="P916" s="508"/>
      <c r="Q916" s="508"/>
      <c r="R916" s="508"/>
      <c r="S916" s="508"/>
      <c r="T916" s="508"/>
      <c r="U916" s="508"/>
      <c r="V916" s="508"/>
      <c r="W916" s="508"/>
      <c r="X916" s="508"/>
      <c r="Y916" s="508"/>
      <c r="Z916" s="508"/>
    </row>
    <row r="917">
      <c r="A917" s="508"/>
      <c r="B917" s="508"/>
      <c r="C917" s="508"/>
      <c r="D917" s="508"/>
      <c r="E917" s="508"/>
      <c r="F917" s="508"/>
      <c r="G917" s="508"/>
      <c r="H917" s="508"/>
      <c r="I917" s="508"/>
      <c r="J917" s="508"/>
      <c r="K917" s="508"/>
      <c r="L917" s="508"/>
      <c r="M917" s="508"/>
      <c r="N917" s="508"/>
      <c r="O917" s="508"/>
      <c r="P917" s="508"/>
      <c r="Q917" s="508"/>
      <c r="R917" s="508"/>
      <c r="S917" s="508"/>
      <c r="T917" s="508"/>
      <c r="U917" s="508"/>
      <c r="V917" s="508"/>
      <c r="W917" s="508"/>
      <c r="X917" s="508"/>
      <c r="Y917" s="508"/>
      <c r="Z917" s="508"/>
    </row>
    <row r="918">
      <c r="A918" s="508"/>
      <c r="B918" s="508"/>
      <c r="C918" s="508"/>
      <c r="D918" s="508"/>
      <c r="E918" s="508"/>
      <c r="F918" s="508"/>
      <c r="G918" s="508"/>
      <c r="H918" s="508"/>
      <c r="I918" s="508"/>
      <c r="J918" s="508"/>
      <c r="K918" s="508"/>
      <c r="L918" s="508"/>
      <c r="M918" s="508"/>
      <c r="N918" s="508"/>
      <c r="O918" s="508"/>
      <c r="P918" s="508"/>
      <c r="Q918" s="508"/>
      <c r="R918" s="508"/>
      <c r="S918" s="508"/>
      <c r="T918" s="508"/>
      <c r="U918" s="508"/>
      <c r="V918" s="508"/>
      <c r="W918" s="508"/>
      <c r="X918" s="508"/>
      <c r="Y918" s="508"/>
      <c r="Z918" s="508"/>
    </row>
    <row r="919">
      <c r="A919" s="508"/>
      <c r="B919" s="508"/>
      <c r="C919" s="508"/>
      <c r="D919" s="508"/>
      <c r="E919" s="508"/>
      <c r="F919" s="508"/>
      <c r="G919" s="508"/>
      <c r="H919" s="508"/>
      <c r="I919" s="508"/>
      <c r="J919" s="508"/>
      <c r="K919" s="508"/>
      <c r="L919" s="508"/>
      <c r="M919" s="508"/>
      <c r="N919" s="508"/>
      <c r="O919" s="508"/>
      <c r="P919" s="508"/>
      <c r="Q919" s="508"/>
      <c r="R919" s="508"/>
      <c r="S919" s="508"/>
      <c r="T919" s="508"/>
      <c r="U919" s="508"/>
      <c r="V919" s="508"/>
      <c r="W919" s="508"/>
      <c r="X919" s="508"/>
      <c r="Y919" s="508"/>
      <c r="Z919" s="508"/>
    </row>
    <row r="920">
      <c r="A920" s="508"/>
      <c r="B920" s="508"/>
      <c r="C920" s="508"/>
      <c r="D920" s="508"/>
      <c r="E920" s="508"/>
      <c r="F920" s="508"/>
      <c r="G920" s="508"/>
      <c r="H920" s="508"/>
      <c r="I920" s="508"/>
      <c r="J920" s="508"/>
      <c r="K920" s="508"/>
      <c r="L920" s="508"/>
      <c r="M920" s="508"/>
      <c r="N920" s="508"/>
      <c r="O920" s="508"/>
      <c r="P920" s="508"/>
      <c r="Q920" s="508"/>
      <c r="R920" s="508"/>
      <c r="S920" s="508"/>
      <c r="T920" s="508"/>
      <c r="U920" s="508"/>
      <c r="V920" s="508"/>
      <c r="W920" s="508"/>
      <c r="X920" s="508"/>
      <c r="Y920" s="508"/>
      <c r="Z920" s="508"/>
    </row>
    <row r="921">
      <c r="A921" s="508"/>
      <c r="B921" s="508"/>
      <c r="C921" s="508"/>
      <c r="D921" s="508"/>
      <c r="E921" s="508"/>
      <c r="F921" s="508"/>
      <c r="G921" s="508"/>
      <c r="H921" s="508"/>
      <c r="I921" s="508"/>
      <c r="J921" s="508"/>
      <c r="K921" s="508"/>
      <c r="L921" s="508"/>
      <c r="M921" s="508"/>
      <c r="N921" s="508"/>
      <c r="O921" s="508"/>
      <c r="P921" s="508"/>
      <c r="Q921" s="508"/>
      <c r="R921" s="508"/>
      <c r="S921" s="508"/>
      <c r="T921" s="508"/>
      <c r="U921" s="508"/>
      <c r="V921" s="508"/>
      <c r="W921" s="508"/>
      <c r="X921" s="508"/>
      <c r="Y921" s="508"/>
      <c r="Z921" s="508"/>
    </row>
    <row r="922">
      <c r="A922" s="508"/>
      <c r="B922" s="508"/>
      <c r="C922" s="508"/>
      <c r="D922" s="508"/>
      <c r="E922" s="508"/>
      <c r="F922" s="508"/>
      <c r="G922" s="508"/>
      <c r="H922" s="508"/>
      <c r="I922" s="508"/>
      <c r="J922" s="508"/>
      <c r="K922" s="508"/>
      <c r="L922" s="508"/>
      <c r="M922" s="508"/>
      <c r="N922" s="508"/>
      <c r="O922" s="508"/>
      <c r="P922" s="508"/>
      <c r="Q922" s="508"/>
      <c r="R922" s="508"/>
      <c r="S922" s="508"/>
      <c r="T922" s="508"/>
      <c r="U922" s="508"/>
      <c r="V922" s="508"/>
      <c r="W922" s="508"/>
      <c r="X922" s="508"/>
      <c r="Y922" s="508"/>
      <c r="Z922" s="508"/>
    </row>
    <row r="923">
      <c r="A923" s="508"/>
      <c r="B923" s="508"/>
      <c r="C923" s="508"/>
      <c r="D923" s="508"/>
      <c r="E923" s="508"/>
      <c r="F923" s="508"/>
      <c r="G923" s="508"/>
      <c r="H923" s="508"/>
      <c r="I923" s="508"/>
      <c r="J923" s="508"/>
      <c r="K923" s="508"/>
      <c r="L923" s="508"/>
      <c r="M923" s="508"/>
      <c r="N923" s="508"/>
      <c r="O923" s="508"/>
      <c r="P923" s="508"/>
      <c r="Q923" s="508"/>
      <c r="R923" s="508"/>
      <c r="S923" s="508"/>
      <c r="T923" s="508"/>
      <c r="U923" s="508"/>
      <c r="V923" s="508"/>
      <c r="W923" s="508"/>
      <c r="X923" s="508"/>
      <c r="Y923" s="508"/>
      <c r="Z923" s="508"/>
    </row>
    <row r="924">
      <c r="A924" s="508"/>
      <c r="B924" s="508"/>
      <c r="C924" s="508"/>
      <c r="D924" s="508"/>
      <c r="E924" s="508"/>
      <c r="F924" s="508"/>
      <c r="G924" s="508"/>
      <c r="H924" s="508"/>
      <c r="I924" s="508"/>
      <c r="J924" s="508"/>
      <c r="K924" s="508"/>
      <c r="L924" s="508"/>
      <c r="M924" s="508"/>
      <c r="N924" s="508"/>
      <c r="O924" s="508"/>
      <c r="P924" s="508"/>
      <c r="Q924" s="508"/>
      <c r="R924" s="508"/>
      <c r="S924" s="508"/>
      <c r="T924" s="508"/>
      <c r="U924" s="508"/>
      <c r="V924" s="508"/>
      <c r="W924" s="508"/>
      <c r="X924" s="508"/>
      <c r="Y924" s="508"/>
      <c r="Z924" s="508"/>
    </row>
    <row r="925">
      <c r="A925" s="508"/>
      <c r="B925" s="508"/>
      <c r="C925" s="508"/>
      <c r="D925" s="508"/>
      <c r="E925" s="508"/>
      <c r="F925" s="508"/>
      <c r="G925" s="508"/>
      <c r="H925" s="508"/>
      <c r="I925" s="508"/>
      <c r="J925" s="508"/>
      <c r="K925" s="508"/>
      <c r="L925" s="508"/>
      <c r="M925" s="508"/>
      <c r="N925" s="508"/>
      <c r="O925" s="508"/>
      <c r="P925" s="508"/>
      <c r="Q925" s="508"/>
      <c r="R925" s="508"/>
      <c r="S925" s="508"/>
      <c r="T925" s="508"/>
      <c r="U925" s="508"/>
      <c r="V925" s="508"/>
      <c r="W925" s="508"/>
      <c r="X925" s="508"/>
      <c r="Y925" s="508"/>
      <c r="Z925" s="508"/>
    </row>
    <row r="926">
      <c r="A926" s="508"/>
      <c r="B926" s="508"/>
      <c r="C926" s="508"/>
      <c r="D926" s="508"/>
      <c r="E926" s="508"/>
      <c r="F926" s="508"/>
      <c r="G926" s="508"/>
      <c r="H926" s="508"/>
      <c r="I926" s="508"/>
      <c r="J926" s="508"/>
      <c r="K926" s="508"/>
      <c r="L926" s="508"/>
      <c r="M926" s="508"/>
      <c r="N926" s="508"/>
      <c r="O926" s="508"/>
      <c r="P926" s="508"/>
      <c r="Q926" s="508"/>
      <c r="R926" s="508"/>
      <c r="S926" s="508"/>
      <c r="T926" s="508"/>
      <c r="U926" s="508"/>
      <c r="V926" s="508"/>
      <c r="W926" s="508"/>
      <c r="X926" s="508"/>
      <c r="Y926" s="508"/>
      <c r="Z926" s="508"/>
    </row>
    <row r="927">
      <c r="A927" s="508"/>
      <c r="B927" s="508"/>
      <c r="C927" s="508"/>
      <c r="D927" s="508"/>
      <c r="E927" s="508"/>
      <c r="F927" s="508"/>
      <c r="G927" s="508"/>
      <c r="H927" s="508"/>
      <c r="I927" s="508"/>
      <c r="J927" s="508"/>
      <c r="K927" s="508"/>
      <c r="L927" s="508"/>
      <c r="M927" s="508"/>
      <c r="N927" s="508"/>
      <c r="O927" s="508"/>
      <c r="P927" s="508"/>
      <c r="Q927" s="508"/>
      <c r="R927" s="508"/>
      <c r="S927" s="508"/>
      <c r="T927" s="508"/>
      <c r="U927" s="508"/>
      <c r="V927" s="508"/>
      <c r="W927" s="508"/>
      <c r="X927" s="508"/>
      <c r="Y927" s="508"/>
      <c r="Z927" s="508"/>
    </row>
    <row r="928">
      <c r="A928" s="508"/>
      <c r="B928" s="508"/>
      <c r="C928" s="508"/>
      <c r="D928" s="508"/>
      <c r="E928" s="508"/>
      <c r="F928" s="508"/>
      <c r="G928" s="508"/>
      <c r="H928" s="508"/>
      <c r="I928" s="508"/>
      <c r="J928" s="508"/>
      <c r="K928" s="508"/>
      <c r="L928" s="508"/>
      <c r="M928" s="508"/>
      <c r="N928" s="508"/>
      <c r="O928" s="508"/>
      <c r="P928" s="508"/>
      <c r="Q928" s="508"/>
      <c r="R928" s="508"/>
      <c r="S928" s="508"/>
      <c r="T928" s="508"/>
      <c r="U928" s="508"/>
      <c r="V928" s="508"/>
      <c r="W928" s="508"/>
      <c r="X928" s="508"/>
      <c r="Y928" s="508"/>
      <c r="Z928" s="508"/>
    </row>
    <row r="929">
      <c r="A929" s="508"/>
      <c r="B929" s="508"/>
      <c r="C929" s="508"/>
      <c r="D929" s="508"/>
      <c r="E929" s="508"/>
      <c r="F929" s="508"/>
      <c r="G929" s="508"/>
      <c r="H929" s="508"/>
      <c r="I929" s="508"/>
      <c r="J929" s="508"/>
      <c r="K929" s="508"/>
      <c r="L929" s="508"/>
      <c r="M929" s="508"/>
      <c r="N929" s="508"/>
      <c r="O929" s="508"/>
      <c r="P929" s="508"/>
      <c r="Q929" s="508"/>
      <c r="R929" s="508"/>
      <c r="S929" s="508"/>
      <c r="T929" s="508"/>
      <c r="U929" s="508"/>
      <c r="V929" s="508"/>
      <c r="W929" s="508"/>
      <c r="X929" s="508"/>
      <c r="Y929" s="508"/>
      <c r="Z929" s="508"/>
    </row>
    <row r="930">
      <c r="A930" s="508"/>
      <c r="B930" s="508"/>
      <c r="C930" s="508"/>
      <c r="D930" s="508"/>
      <c r="E930" s="508"/>
      <c r="F930" s="508"/>
      <c r="G930" s="508"/>
      <c r="H930" s="508"/>
      <c r="I930" s="508"/>
      <c r="J930" s="508"/>
      <c r="K930" s="508"/>
      <c r="L930" s="508"/>
      <c r="M930" s="508"/>
      <c r="N930" s="508"/>
      <c r="O930" s="508"/>
      <c r="P930" s="508"/>
      <c r="Q930" s="508"/>
      <c r="R930" s="508"/>
      <c r="S930" s="508"/>
      <c r="T930" s="508"/>
      <c r="U930" s="508"/>
      <c r="V930" s="508"/>
      <c r="W930" s="508"/>
      <c r="X930" s="508"/>
      <c r="Y930" s="508"/>
      <c r="Z930" s="508"/>
    </row>
    <row r="931">
      <c r="A931" s="508"/>
      <c r="B931" s="508"/>
      <c r="C931" s="508"/>
      <c r="D931" s="508"/>
      <c r="E931" s="508"/>
      <c r="F931" s="508"/>
      <c r="G931" s="508"/>
      <c r="H931" s="508"/>
      <c r="I931" s="508"/>
      <c r="J931" s="508"/>
      <c r="K931" s="508"/>
      <c r="L931" s="508"/>
      <c r="M931" s="508"/>
      <c r="N931" s="508"/>
      <c r="O931" s="508"/>
      <c r="P931" s="508"/>
      <c r="Q931" s="508"/>
      <c r="R931" s="508"/>
      <c r="S931" s="508"/>
      <c r="T931" s="508"/>
      <c r="U931" s="508"/>
      <c r="V931" s="508"/>
      <c r="W931" s="508"/>
      <c r="X931" s="508"/>
      <c r="Y931" s="508"/>
      <c r="Z931" s="508"/>
    </row>
    <row r="932">
      <c r="A932" s="508"/>
      <c r="B932" s="508"/>
      <c r="C932" s="508"/>
      <c r="D932" s="508"/>
      <c r="E932" s="508"/>
      <c r="F932" s="508"/>
      <c r="G932" s="508"/>
      <c r="H932" s="508"/>
      <c r="I932" s="508"/>
      <c r="J932" s="508"/>
      <c r="K932" s="508"/>
      <c r="L932" s="508"/>
      <c r="M932" s="508"/>
      <c r="N932" s="508"/>
      <c r="O932" s="508"/>
      <c r="P932" s="508"/>
      <c r="Q932" s="508"/>
      <c r="R932" s="508"/>
      <c r="S932" s="508"/>
      <c r="T932" s="508"/>
      <c r="U932" s="508"/>
      <c r="V932" s="508"/>
      <c r="W932" s="508"/>
      <c r="X932" s="508"/>
      <c r="Y932" s="508"/>
      <c r="Z932" s="508"/>
    </row>
    <row r="933">
      <c r="A933" s="508"/>
      <c r="B933" s="508"/>
      <c r="C933" s="508"/>
      <c r="D933" s="508"/>
      <c r="E933" s="508"/>
      <c r="F933" s="508"/>
      <c r="G933" s="508"/>
      <c r="H933" s="508"/>
      <c r="I933" s="508"/>
      <c r="J933" s="508"/>
      <c r="K933" s="508"/>
      <c r="L933" s="508"/>
      <c r="M933" s="508"/>
      <c r="N933" s="508"/>
      <c r="O933" s="508"/>
      <c r="P933" s="508"/>
      <c r="Q933" s="508"/>
      <c r="R933" s="508"/>
      <c r="S933" s="508"/>
      <c r="T933" s="508"/>
      <c r="U933" s="508"/>
      <c r="V933" s="508"/>
      <c r="W933" s="508"/>
      <c r="X933" s="508"/>
      <c r="Y933" s="508"/>
      <c r="Z933" s="508"/>
    </row>
    <row r="934">
      <c r="A934" s="508"/>
      <c r="B934" s="508"/>
      <c r="C934" s="508"/>
      <c r="D934" s="508"/>
      <c r="E934" s="508"/>
      <c r="F934" s="508"/>
      <c r="G934" s="508"/>
      <c r="H934" s="508"/>
      <c r="I934" s="508"/>
      <c r="J934" s="508"/>
      <c r="K934" s="508"/>
      <c r="L934" s="508"/>
      <c r="M934" s="508"/>
      <c r="N934" s="508"/>
      <c r="O934" s="508"/>
      <c r="P934" s="508"/>
      <c r="Q934" s="508"/>
      <c r="R934" s="508"/>
      <c r="S934" s="508"/>
      <c r="T934" s="508"/>
      <c r="U934" s="508"/>
      <c r="V934" s="508"/>
      <c r="W934" s="508"/>
      <c r="X934" s="508"/>
      <c r="Y934" s="508"/>
      <c r="Z934" s="508"/>
    </row>
    <row r="935">
      <c r="A935" s="508"/>
      <c r="B935" s="508"/>
      <c r="C935" s="508"/>
      <c r="D935" s="508"/>
      <c r="E935" s="508"/>
      <c r="F935" s="508"/>
      <c r="G935" s="508"/>
      <c r="H935" s="508"/>
      <c r="I935" s="508"/>
      <c r="J935" s="508"/>
      <c r="K935" s="508"/>
      <c r="L935" s="508"/>
      <c r="M935" s="508"/>
      <c r="N935" s="508"/>
      <c r="O935" s="508"/>
      <c r="P935" s="508"/>
      <c r="Q935" s="508"/>
      <c r="R935" s="508"/>
      <c r="S935" s="508"/>
      <c r="T935" s="508"/>
      <c r="U935" s="508"/>
      <c r="V935" s="508"/>
      <c r="W935" s="508"/>
      <c r="X935" s="508"/>
      <c r="Y935" s="508"/>
      <c r="Z935" s="508"/>
    </row>
    <row r="936">
      <c r="A936" s="508"/>
      <c r="B936" s="508"/>
      <c r="C936" s="508"/>
      <c r="D936" s="508"/>
      <c r="E936" s="508"/>
      <c r="F936" s="508"/>
      <c r="G936" s="508"/>
      <c r="H936" s="508"/>
      <c r="I936" s="508"/>
      <c r="J936" s="508"/>
      <c r="K936" s="508"/>
      <c r="L936" s="508"/>
      <c r="M936" s="508"/>
      <c r="N936" s="508"/>
      <c r="O936" s="508"/>
      <c r="P936" s="508"/>
      <c r="Q936" s="508"/>
      <c r="R936" s="508"/>
      <c r="S936" s="508"/>
      <c r="T936" s="508"/>
      <c r="U936" s="508"/>
      <c r="V936" s="508"/>
      <c r="W936" s="508"/>
      <c r="X936" s="508"/>
      <c r="Y936" s="508"/>
      <c r="Z936" s="508"/>
    </row>
    <row r="937">
      <c r="A937" s="508"/>
      <c r="B937" s="508"/>
      <c r="C937" s="508"/>
      <c r="D937" s="508"/>
      <c r="E937" s="508"/>
      <c r="F937" s="508"/>
      <c r="G937" s="508"/>
      <c r="H937" s="508"/>
      <c r="I937" s="508"/>
      <c r="J937" s="508"/>
      <c r="K937" s="508"/>
      <c r="L937" s="508"/>
      <c r="M937" s="508"/>
      <c r="N937" s="508"/>
      <c r="O937" s="508"/>
      <c r="P937" s="508"/>
      <c r="Q937" s="508"/>
      <c r="R937" s="508"/>
      <c r="S937" s="508"/>
      <c r="T937" s="508"/>
      <c r="U937" s="508"/>
      <c r="V937" s="508"/>
      <c r="W937" s="508"/>
      <c r="X937" s="508"/>
      <c r="Y937" s="508"/>
      <c r="Z937" s="508"/>
    </row>
    <row r="938">
      <c r="A938" s="508"/>
      <c r="B938" s="508"/>
      <c r="C938" s="508"/>
      <c r="D938" s="508"/>
      <c r="E938" s="508"/>
      <c r="F938" s="508"/>
      <c r="G938" s="508"/>
      <c r="H938" s="508"/>
      <c r="I938" s="508"/>
      <c r="J938" s="508"/>
      <c r="K938" s="508"/>
      <c r="L938" s="508"/>
      <c r="M938" s="508"/>
      <c r="N938" s="508"/>
      <c r="O938" s="508"/>
      <c r="P938" s="508"/>
      <c r="Q938" s="508"/>
      <c r="R938" s="508"/>
      <c r="S938" s="508"/>
      <c r="T938" s="508"/>
      <c r="U938" s="508"/>
      <c r="V938" s="508"/>
      <c r="W938" s="508"/>
      <c r="X938" s="508"/>
      <c r="Y938" s="508"/>
      <c r="Z938" s="508"/>
    </row>
    <row r="939">
      <c r="A939" s="508"/>
      <c r="B939" s="508"/>
      <c r="C939" s="508"/>
      <c r="D939" s="508"/>
      <c r="E939" s="508"/>
      <c r="F939" s="508"/>
      <c r="G939" s="508"/>
      <c r="H939" s="508"/>
      <c r="I939" s="508"/>
      <c r="J939" s="508"/>
      <c r="K939" s="508"/>
      <c r="L939" s="508"/>
      <c r="M939" s="508"/>
      <c r="N939" s="508"/>
      <c r="O939" s="508"/>
      <c r="P939" s="508"/>
      <c r="Q939" s="508"/>
      <c r="R939" s="508"/>
      <c r="S939" s="508"/>
      <c r="T939" s="508"/>
      <c r="U939" s="508"/>
      <c r="V939" s="508"/>
      <c r="W939" s="508"/>
      <c r="X939" s="508"/>
      <c r="Y939" s="508"/>
      <c r="Z939" s="508"/>
    </row>
    <row r="940">
      <c r="A940" s="508"/>
      <c r="B940" s="508"/>
      <c r="C940" s="508"/>
      <c r="D940" s="508"/>
      <c r="E940" s="508"/>
      <c r="F940" s="508"/>
      <c r="G940" s="508"/>
      <c r="H940" s="508"/>
      <c r="I940" s="508"/>
      <c r="J940" s="508"/>
      <c r="K940" s="508"/>
      <c r="L940" s="508"/>
      <c r="M940" s="508"/>
      <c r="N940" s="508"/>
      <c r="O940" s="508"/>
      <c r="P940" s="508"/>
      <c r="Q940" s="508"/>
      <c r="R940" s="508"/>
      <c r="S940" s="508"/>
      <c r="T940" s="508"/>
      <c r="U940" s="508"/>
      <c r="V940" s="508"/>
      <c r="W940" s="508"/>
      <c r="X940" s="508"/>
      <c r="Y940" s="508"/>
      <c r="Z940" s="508"/>
    </row>
    <row r="941">
      <c r="A941" s="508"/>
      <c r="B941" s="508"/>
      <c r="C941" s="508"/>
      <c r="D941" s="508"/>
      <c r="E941" s="508"/>
      <c r="F941" s="508"/>
      <c r="G941" s="508"/>
      <c r="H941" s="508"/>
      <c r="I941" s="508"/>
      <c r="J941" s="508"/>
      <c r="K941" s="508"/>
      <c r="L941" s="508"/>
      <c r="M941" s="508"/>
      <c r="N941" s="508"/>
      <c r="O941" s="508"/>
      <c r="P941" s="508"/>
      <c r="Q941" s="508"/>
      <c r="R941" s="508"/>
      <c r="S941" s="508"/>
      <c r="T941" s="508"/>
      <c r="U941" s="508"/>
      <c r="V941" s="508"/>
      <c r="W941" s="508"/>
      <c r="X941" s="508"/>
      <c r="Y941" s="508"/>
      <c r="Z941" s="508"/>
    </row>
    <row r="942">
      <c r="A942" s="508"/>
      <c r="B942" s="508"/>
      <c r="C942" s="508"/>
      <c r="D942" s="508"/>
      <c r="E942" s="508"/>
      <c r="F942" s="508"/>
      <c r="G942" s="508"/>
      <c r="H942" s="508"/>
      <c r="I942" s="508"/>
      <c r="J942" s="508"/>
      <c r="K942" s="508"/>
      <c r="L942" s="508"/>
      <c r="M942" s="508"/>
      <c r="N942" s="508"/>
      <c r="O942" s="508"/>
      <c r="P942" s="508"/>
      <c r="Q942" s="508"/>
      <c r="R942" s="508"/>
      <c r="S942" s="508"/>
      <c r="T942" s="508"/>
      <c r="U942" s="508"/>
      <c r="V942" s="508"/>
      <c r="W942" s="508"/>
      <c r="X942" s="508"/>
      <c r="Y942" s="508"/>
      <c r="Z942" s="508"/>
    </row>
    <row r="943">
      <c r="A943" s="508"/>
      <c r="B943" s="508"/>
      <c r="C943" s="508"/>
      <c r="D943" s="508"/>
      <c r="E943" s="508"/>
      <c r="F943" s="508"/>
      <c r="G943" s="508"/>
      <c r="H943" s="508"/>
      <c r="I943" s="508"/>
      <c r="J943" s="508"/>
      <c r="K943" s="508"/>
      <c r="L943" s="508"/>
      <c r="M943" s="508"/>
      <c r="N943" s="508"/>
      <c r="O943" s="508"/>
      <c r="P943" s="508"/>
      <c r="Q943" s="508"/>
      <c r="R943" s="508"/>
      <c r="S943" s="508"/>
      <c r="T943" s="508"/>
      <c r="U943" s="508"/>
      <c r="V943" s="508"/>
      <c r="W943" s="508"/>
      <c r="X943" s="508"/>
      <c r="Y943" s="508"/>
      <c r="Z943" s="508"/>
    </row>
    <row r="944">
      <c r="A944" s="508"/>
      <c r="B944" s="508"/>
      <c r="C944" s="508"/>
      <c r="D944" s="508"/>
      <c r="E944" s="508"/>
      <c r="F944" s="508"/>
      <c r="G944" s="508"/>
      <c r="H944" s="508"/>
      <c r="I944" s="508"/>
      <c r="J944" s="508"/>
      <c r="K944" s="508"/>
      <c r="L944" s="508"/>
      <c r="M944" s="508"/>
      <c r="N944" s="508"/>
      <c r="O944" s="508"/>
      <c r="P944" s="508"/>
      <c r="Q944" s="508"/>
      <c r="R944" s="508"/>
      <c r="S944" s="508"/>
      <c r="T944" s="508"/>
      <c r="U944" s="508"/>
      <c r="V944" s="508"/>
      <c r="W944" s="508"/>
      <c r="X944" s="508"/>
      <c r="Y944" s="508"/>
      <c r="Z944" s="508"/>
    </row>
    <row r="945">
      <c r="A945" s="508"/>
      <c r="B945" s="508"/>
      <c r="C945" s="508"/>
      <c r="D945" s="508"/>
      <c r="E945" s="508"/>
      <c r="F945" s="508"/>
      <c r="G945" s="508"/>
      <c r="H945" s="508"/>
      <c r="I945" s="508"/>
      <c r="J945" s="508"/>
      <c r="K945" s="508"/>
      <c r="L945" s="508"/>
      <c r="M945" s="508"/>
      <c r="N945" s="508"/>
      <c r="O945" s="508"/>
      <c r="P945" s="508"/>
      <c r="Q945" s="508"/>
      <c r="R945" s="508"/>
      <c r="S945" s="508"/>
      <c r="T945" s="508"/>
      <c r="U945" s="508"/>
      <c r="V945" s="508"/>
      <c r="W945" s="508"/>
      <c r="X945" s="508"/>
      <c r="Y945" s="508"/>
      <c r="Z945" s="508"/>
    </row>
    <row r="946">
      <c r="A946" s="508"/>
      <c r="B946" s="508"/>
      <c r="C946" s="508"/>
      <c r="D946" s="508"/>
      <c r="E946" s="508"/>
      <c r="F946" s="508"/>
      <c r="G946" s="508"/>
      <c r="H946" s="508"/>
      <c r="I946" s="508"/>
      <c r="J946" s="508"/>
      <c r="K946" s="508"/>
      <c r="L946" s="508"/>
      <c r="M946" s="508"/>
      <c r="N946" s="508"/>
      <c r="O946" s="508"/>
      <c r="P946" s="508"/>
      <c r="Q946" s="508"/>
      <c r="R946" s="508"/>
      <c r="S946" s="508"/>
      <c r="T946" s="508"/>
      <c r="U946" s="508"/>
      <c r="V946" s="508"/>
      <c r="W946" s="508"/>
      <c r="X946" s="508"/>
      <c r="Y946" s="508"/>
      <c r="Z946" s="508"/>
    </row>
    <row r="947">
      <c r="A947" s="508"/>
      <c r="B947" s="508"/>
      <c r="C947" s="508"/>
      <c r="D947" s="508"/>
      <c r="E947" s="508"/>
      <c r="F947" s="508"/>
      <c r="G947" s="508"/>
      <c r="H947" s="508"/>
      <c r="I947" s="508"/>
      <c r="J947" s="508"/>
      <c r="K947" s="508"/>
      <c r="L947" s="508"/>
      <c r="M947" s="508"/>
      <c r="N947" s="508"/>
      <c r="O947" s="508"/>
      <c r="P947" s="508"/>
      <c r="Q947" s="508"/>
      <c r="R947" s="508"/>
      <c r="S947" s="508"/>
      <c r="T947" s="508"/>
      <c r="U947" s="508"/>
      <c r="V947" s="508"/>
      <c r="W947" s="508"/>
      <c r="X947" s="508"/>
      <c r="Y947" s="508"/>
      <c r="Z947" s="508"/>
    </row>
    <row r="948">
      <c r="A948" s="508"/>
      <c r="B948" s="508"/>
      <c r="C948" s="508"/>
      <c r="D948" s="508"/>
      <c r="E948" s="508"/>
      <c r="F948" s="508"/>
      <c r="G948" s="508"/>
      <c r="H948" s="508"/>
      <c r="I948" s="508"/>
      <c r="J948" s="508"/>
      <c r="K948" s="508"/>
      <c r="L948" s="508"/>
      <c r="M948" s="508"/>
      <c r="N948" s="508"/>
      <c r="O948" s="508"/>
      <c r="P948" s="508"/>
      <c r="Q948" s="508"/>
      <c r="R948" s="508"/>
      <c r="S948" s="508"/>
      <c r="T948" s="508"/>
      <c r="U948" s="508"/>
      <c r="V948" s="508"/>
      <c r="W948" s="508"/>
      <c r="X948" s="508"/>
      <c r="Y948" s="508"/>
      <c r="Z948" s="508"/>
    </row>
    <row r="949">
      <c r="A949" s="508"/>
      <c r="B949" s="508"/>
      <c r="C949" s="508"/>
      <c r="D949" s="508"/>
      <c r="E949" s="508"/>
      <c r="F949" s="508"/>
      <c r="G949" s="508"/>
      <c r="H949" s="508"/>
      <c r="I949" s="508"/>
      <c r="J949" s="508"/>
      <c r="K949" s="508"/>
      <c r="L949" s="508"/>
      <c r="M949" s="508"/>
      <c r="N949" s="508"/>
      <c r="O949" s="508"/>
      <c r="P949" s="508"/>
      <c r="Q949" s="508"/>
      <c r="R949" s="508"/>
      <c r="S949" s="508"/>
      <c r="T949" s="508"/>
      <c r="U949" s="508"/>
      <c r="V949" s="508"/>
      <c r="W949" s="508"/>
      <c r="X949" s="508"/>
      <c r="Y949" s="508"/>
      <c r="Z949" s="508"/>
    </row>
    <row r="950">
      <c r="A950" s="508"/>
      <c r="B950" s="508"/>
      <c r="C950" s="508"/>
      <c r="D950" s="508"/>
      <c r="E950" s="508"/>
      <c r="F950" s="508"/>
      <c r="G950" s="508"/>
      <c r="H950" s="508"/>
      <c r="I950" s="508"/>
      <c r="J950" s="508"/>
      <c r="K950" s="508"/>
      <c r="L950" s="508"/>
      <c r="M950" s="508"/>
      <c r="N950" s="508"/>
      <c r="O950" s="508"/>
      <c r="P950" s="508"/>
      <c r="Q950" s="508"/>
      <c r="R950" s="508"/>
      <c r="S950" s="508"/>
      <c r="T950" s="508"/>
      <c r="U950" s="508"/>
      <c r="V950" s="508"/>
      <c r="W950" s="508"/>
      <c r="X950" s="508"/>
      <c r="Y950" s="508"/>
      <c r="Z950" s="508"/>
    </row>
    <row r="951">
      <c r="A951" s="508"/>
      <c r="B951" s="508"/>
      <c r="C951" s="508"/>
      <c r="D951" s="508"/>
      <c r="E951" s="508"/>
      <c r="F951" s="508"/>
      <c r="G951" s="508"/>
      <c r="H951" s="508"/>
      <c r="I951" s="508"/>
      <c r="J951" s="508"/>
      <c r="K951" s="508"/>
      <c r="L951" s="508"/>
      <c r="M951" s="508"/>
      <c r="N951" s="508"/>
      <c r="O951" s="508"/>
      <c r="P951" s="508"/>
      <c r="Q951" s="508"/>
      <c r="R951" s="508"/>
      <c r="S951" s="508"/>
      <c r="T951" s="508"/>
      <c r="U951" s="508"/>
      <c r="V951" s="508"/>
      <c r="W951" s="508"/>
      <c r="X951" s="508"/>
      <c r="Y951" s="508"/>
      <c r="Z951" s="508"/>
    </row>
    <row r="952">
      <c r="A952" s="508"/>
      <c r="B952" s="508"/>
      <c r="C952" s="508"/>
      <c r="D952" s="508"/>
      <c r="E952" s="508"/>
      <c r="F952" s="508"/>
      <c r="G952" s="508"/>
      <c r="H952" s="508"/>
      <c r="I952" s="508"/>
      <c r="J952" s="508"/>
      <c r="K952" s="508"/>
      <c r="L952" s="508"/>
      <c r="M952" s="508"/>
      <c r="N952" s="508"/>
      <c r="O952" s="508"/>
      <c r="P952" s="508"/>
      <c r="Q952" s="508"/>
      <c r="R952" s="508"/>
      <c r="S952" s="508"/>
      <c r="T952" s="508"/>
      <c r="U952" s="508"/>
      <c r="V952" s="508"/>
      <c r="W952" s="508"/>
      <c r="X952" s="508"/>
      <c r="Y952" s="508"/>
      <c r="Z952" s="508"/>
    </row>
    <row r="953">
      <c r="A953" s="508"/>
      <c r="B953" s="508"/>
      <c r="C953" s="508"/>
      <c r="D953" s="508"/>
      <c r="E953" s="508"/>
      <c r="F953" s="508"/>
      <c r="G953" s="508"/>
      <c r="H953" s="508"/>
      <c r="I953" s="508"/>
      <c r="J953" s="508"/>
      <c r="K953" s="508"/>
      <c r="L953" s="508"/>
      <c r="M953" s="508"/>
      <c r="N953" s="508"/>
      <c r="O953" s="508"/>
      <c r="P953" s="508"/>
      <c r="Q953" s="508"/>
      <c r="R953" s="508"/>
      <c r="S953" s="508"/>
      <c r="T953" s="508"/>
      <c r="U953" s="508"/>
      <c r="V953" s="508"/>
      <c r="W953" s="508"/>
      <c r="X953" s="508"/>
      <c r="Y953" s="508"/>
      <c r="Z953" s="508"/>
    </row>
    <row r="954">
      <c r="A954" s="508"/>
      <c r="B954" s="508"/>
      <c r="C954" s="508"/>
      <c r="D954" s="508"/>
      <c r="E954" s="508"/>
      <c r="F954" s="508"/>
      <c r="G954" s="508"/>
      <c r="H954" s="508"/>
      <c r="I954" s="508"/>
      <c r="J954" s="508"/>
      <c r="K954" s="508"/>
      <c r="L954" s="508"/>
      <c r="M954" s="508"/>
      <c r="N954" s="508"/>
      <c r="O954" s="508"/>
      <c r="P954" s="508"/>
      <c r="Q954" s="508"/>
      <c r="R954" s="508"/>
      <c r="S954" s="508"/>
      <c r="T954" s="508"/>
      <c r="U954" s="508"/>
      <c r="V954" s="508"/>
      <c r="W954" s="508"/>
      <c r="X954" s="508"/>
      <c r="Y954" s="508"/>
      <c r="Z954" s="508"/>
    </row>
    <row r="955">
      <c r="A955" s="508"/>
      <c r="B955" s="508"/>
      <c r="C955" s="508"/>
      <c r="D955" s="508"/>
      <c r="E955" s="508"/>
      <c r="F955" s="508"/>
      <c r="G955" s="508"/>
      <c r="H955" s="508"/>
      <c r="I955" s="508"/>
      <c r="J955" s="508"/>
      <c r="K955" s="508"/>
      <c r="L955" s="508"/>
      <c r="M955" s="508"/>
      <c r="N955" s="508"/>
      <c r="O955" s="508"/>
      <c r="P955" s="508"/>
      <c r="Q955" s="508"/>
      <c r="R955" s="508"/>
      <c r="S955" s="508"/>
      <c r="T955" s="508"/>
      <c r="U955" s="508"/>
      <c r="V955" s="508"/>
      <c r="W955" s="508"/>
      <c r="X955" s="508"/>
      <c r="Y955" s="508"/>
      <c r="Z955" s="508"/>
    </row>
    <row r="956">
      <c r="A956" s="508"/>
      <c r="B956" s="508"/>
      <c r="C956" s="508"/>
      <c r="D956" s="508"/>
      <c r="E956" s="508"/>
      <c r="F956" s="508"/>
      <c r="G956" s="508"/>
      <c r="H956" s="508"/>
      <c r="I956" s="508"/>
      <c r="J956" s="508"/>
      <c r="K956" s="508"/>
      <c r="L956" s="508"/>
      <c r="M956" s="508"/>
      <c r="N956" s="508"/>
      <c r="O956" s="508"/>
      <c r="P956" s="508"/>
      <c r="Q956" s="508"/>
      <c r="R956" s="508"/>
      <c r="S956" s="508"/>
      <c r="T956" s="508"/>
      <c r="U956" s="508"/>
      <c r="V956" s="508"/>
      <c r="W956" s="508"/>
      <c r="X956" s="508"/>
      <c r="Y956" s="508"/>
      <c r="Z956" s="508"/>
    </row>
    <row r="957">
      <c r="A957" s="508"/>
      <c r="B957" s="508"/>
      <c r="C957" s="508"/>
      <c r="D957" s="508"/>
      <c r="E957" s="508"/>
      <c r="F957" s="508"/>
      <c r="G957" s="508"/>
      <c r="H957" s="508"/>
      <c r="I957" s="508"/>
      <c r="J957" s="508"/>
      <c r="K957" s="508"/>
      <c r="L957" s="508"/>
      <c r="M957" s="508"/>
      <c r="N957" s="508"/>
      <c r="O957" s="508"/>
      <c r="P957" s="508"/>
      <c r="Q957" s="508"/>
      <c r="R957" s="508"/>
      <c r="S957" s="508"/>
      <c r="T957" s="508"/>
      <c r="U957" s="508"/>
      <c r="V957" s="508"/>
      <c r="W957" s="508"/>
      <c r="X957" s="508"/>
      <c r="Y957" s="508"/>
      <c r="Z957" s="508"/>
    </row>
    <row r="958">
      <c r="A958" s="508"/>
      <c r="B958" s="508"/>
      <c r="C958" s="508"/>
      <c r="D958" s="508"/>
      <c r="E958" s="508"/>
      <c r="F958" s="508"/>
      <c r="G958" s="508"/>
      <c r="H958" s="508"/>
      <c r="I958" s="508"/>
      <c r="J958" s="508"/>
      <c r="K958" s="508"/>
      <c r="L958" s="508"/>
      <c r="M958" s="508"/>
      <c r="N958" s="508"/>
      <c r="O958" s="508"/>
      <c r="P958" s="508"/>
      <c r="Q958" s="508"/>
      <c r="R958" s="508"/>
      <c r="S958" s="508"/>
      <c r="T958" s="508"/>
      <c r="U958" s="508"/>
      <c r="V958" s="508"/>
      <c r="W958" s="508"/>
      <c r="X958" s="508"/>
      <c r="Y958" s="508"/>
      <c r="Z958" s="508"/>
    </row>
    <row r="959">
      <c r="A959" s="508"/>
      <c r="B959" s="508"/>
      <c r="C959" s="508"/>
      <c r="D959" s="508"/>
      <c r="E959" s="508"/>
      <c r="F959" s="508"/>
      <c r="G959" s="508"/>
      <c r="H959" s="508"/>
      <c r="I959" s="508"/>
      <c r="J959" s="508"/>
      <c r="K959" s="508"/>
      <c r="L959" s="508"/>
      <c r="M959" s="508"/>
      <c r="N959" s="508"/>
      <c r="O959" s="508"/>
      <c r="P959" s="508"/>
      <c r="Q959" s="508"/>
      <c r="R959" s="508"/>
      <c r="S959" s="508"/>
      <c r="T959" s="508"/>
      <c r="U959" s="508"/>
      <c r="V959" s="508"/>
      <c r="W959" s="508"/>
      <c r="X959" s="508"/>
      <c r="Y959" s="508"/>
      <c r="Z959" s="508"/>
    </row>
    <row r="960">
      <c r="A960" s="508"/>
      <c r="B960" s="508"/>
      <c r="C960" s="508"/>
      <c r="D960" s="508"/>
      <c r="E960" s="508"/>
      <c r="F960" s="508"/>
      <c r="G960" s="508"/>
      <c r="H960" s="508"/>
      <c r="I960" s="508"/>
      <c r="J960" s="508"/>
      <c r="K960" s="508"/>
      <c r="L960" s="508"/>
      <c r="M960" s="508"/>
      <c r="N960" s="508"/>
      <c r="O960" s="508"/>
      <c r="P960" s="508"/>
      <c r="Q960" s="508"/>
      <c r="R960" s="508"/>
      <c r="S960" s="508"/>
      <c r="T960" s="508"/>
      <c r="U960" s="508"/>
      <c r="V960" s="508"/>
      <c r="W960" s="508"/>
      <c r="X960" s="508"/>
      <c r="Y960" s="508"/>
      <c r="Z960" s="508"/>
    </row>
    <row r="961">
      <c r="A961" s="508"/>
      <c r="B961" s="508"/>
      <c r="C961" s="508"/>
      <c r="D961" s="508"/>
      <c r="E961" s="508"/>
      <c r="F961" s="508"/>
      <c r="G961" s="508"/>
      <c r="H961" s="508"/>
      <c r="I961" s="508"/>
      <c r="J961" s="508"/>
      <c r="K961" s="508"/>
      <c r="L961" s="508"/>
      <c r="M961" s="508"/>
      <c r="N961" s="508"/>
      <c r="O961" s="508"/>
      <c r="P961" s="508"/>
      <c r="Q961" s="508"/>
      <c r="R961" s="508"/>
      <c r="S961" s="508"/>
      <c r="T961" s="508"/>
      <c r="U961" s="508"/>
      <c r="V961" s="508"/>
      <c r="W961" s="508"/>
      <c r="X961" s="508"/>
      <c r="Y961" s="508"/>
      <c r="Z961" s="508"/>
    </row>
    <row r="962">
      <c r="A962" s="508"/>
      <c r="B962" s="508"/>
      <c r="C962" s="508"/>
      <c r="D962" s="508"/>
      <c r="E962" s="508"/>
      <c r="F962" s="508"/>
      <c r="G962" s="508"/>
      <c r="H962" s="508"/>
      <c r="I962" s="508"/>
      <c r="J962" s="508"/>
      <c r="K962" s="508"/>
      <c r="L962" s="508"/>
      <c r="M962" s="508"/>
      <c r="N962" s="508"/>
      <c r="O962" s="508"/>
      <c r="P962" s="508"/>
      <c r="Q962" s="508"/>
      <c r="R962" s="508"/>
      <c r="S962" s="508"/>
      <c r="T962" s="508"/>
      <c r="U962" s="508"/>
      <c r="V962" s="508"/>
      <c r="W962" s="508"/>
      <c r="X962" s="508"/>
      <c r="Y962" s="508"/>
      <c r="Z962" s="508"/>
    </row>
    <row r="963">
      <c r="A963" s="508"/>
      <c r="B963" s="508"/>
      <c r="C963" s="508"/>
      <c r="D963" s="508"/>
      <c r="E963" s="508"/>
      <c r="F963" s="508"/>
      <c r="G963" s="508"/>
      <c r="H963" s="508"/>
      <c r="I963" s="508"/>
      <c r="J963" s="508"/>
      <c r="K963" s="508"/>
      <c r="L963" s="508"/>
      <c r="M963" s="508"/>
      <c r="N963" s="508"/>
      <c r="O963" s="508"/>
      <c r="P963" s="508"/>
      <c r="Q963" s="508"/>
      <c r="R963" s="508"/>
      <c r="S963" s="508"/>
      <c r="T963" s="508"/>
      <c r="U963" s="508"/>
      <c r="V963" s="508"/>
      <c r="W963" s="508"/>
      <c r="X963" s="508"/>
      <c r="Y963" s="508"/>
      <c r="Z963" s="508"/>
    </row>
    <row r="964">
      <c r="A964" s="508"/>
      <c r="B964" s="508"/>
      <c r="C964" s="508"/>
      <c r="D964" s="508"/>
      <c r="E964" s="508"/>
      <c r="F964" s="508"/>
      <c r="G964" s="508"/>
      <c r="H964" s="508"/>
      <c r="I964" s="508"/>
      <c r="J964" s="508"/>
      <c r="K964" s="508"/>
      <c r="L964" s="508"/>
      <c r="M964" s="508"/>
      <c r="N964" s="508"/>
      <c r="O964" s="508"/>
      <c r="P964" s="508"/>
      <c r="Q964" s="508"/>
      <c r="R964" s="508"/>
      <c r="S964" s="508"/>
      <c r="T964" s="508"/>
      <c r="U964" s="508"/>
      <c r="V964" s="508"/>
      <c r="W964" s="508"/>
      <c r="X964" s="508"/>
      <c r="Y964" s="508"/>
      <c r="Z964" s="508"/>
    </row>
    <row r="965">
      <c r="A965" s="508"/>
      <c r="B965" s="508"/>
      <c r="C965" s="508"/>
      <c r="D965" s="508"/>
      <c r="E965" s="508"/>
      <c r="F965" s="508"/>
      <c r="G965" s="508"/>
      <c r="H965" s="508"/>
      <c r="I965" s="508"/>
      <c r="J965" s="508"/>
      <c r="K965" s="508"/>
      <c r="L965" s="508"/>
      <c r="M965" s="508"/>
      <c r="N965" s="508"/>
      <c r="O965" s="508"/>
      <c r="P965" s="508"/>
      <c r="Q965" s="508"/>
      <c r="R965" s="508"/>
      <c r="S965" s="508"/>
      <c r="T965" s="508"/>
      <c r="U965" s="508"/>
      <c r="V965" s="508"/>
      <c r="W965" s="508"/>
      <c r="X965" s="508"/>
      <c r="Y965" s="508"/>
      <c r="Z965" s="508"/>
    </row>
    <row r="966">
      <c r="A966" s="508"/>
      <c r="B966" s="508"/>
      <c r="C966" s="508"/>
      <c r="D966" s="508"/>
      <c r="E966" s="508"/>
      <c r="F966" s="508"/>
      <c r="G966" s="508"/>
      <c r="H966" s="508"/>
      <c r="I966" s="508"/>
      <c r="J966" s="508"/>
      <c r="K966" s="508"/>
      <c r="L966" s="508"/>
      <c r="M966" s="508"/>
      <c r="N966" s="508"/>
      <c r="O966" s="508"/>
      <c r="P966" s="508"/>
      <c r="Q966" s="508"/>
      <c r="R966" s="508"/>
      <c r="S966" s="508"/>
      <c r="T966" s="508"/>
      <c r="U966" s="508"/>
      <c r="V966" s="508"/>
      <c r="W966" s="508"/>
      <c r="X966" s="508"/>
      <c r="Y966" s="508"/>
      <c r="Z966" s="508"/>
    </row>
    <row r="967">
      <c r="A967" s="508"/>
      <c r="B967" s="508"/>
      <c r="C967" s="508"/>
      <c r="D967" s="508"/>
      <c r="E967" s="508"/>
      <c r="F967" s="508"/>
      <c r="G967" s="508"/>
      <c r="H967" s="508"/>
      <c r="I967" s="508"/>
      <c r="J967" s="508"/>
      <c r="K967" s="508"/>
      <c r="L967" s="508"/>
      <c r="M967" s="508"/>
      <c r="N967" s="508"/>
      <c r="O967" s="508"/>
      <c r="P967" s="508"/>
      <c r="Q967" s="508"/>
      <c r="R967" s="508"/>
      <c r="S967" s="508"/>
      <c r="T967" s="508"/>
      <c r="U967" s="508"/>
      <c r="V967" s="508"/>
      <c r="W967" s="508"/>
      <c r="X967" s="508"/>
      <c r="Y967" s="508"/>
      <c r="Z967" s="508"/>
    </row>
    <row r="968">
      <c r="A968" s="508"/>
      <c r="B968" s="508"/>
      <c r="C968" s="508"/>
      <c r="D968" s="508"/>
      <c r="E968" s="508"/>
      <c r="F968" s="508"/>
      <c r="G968" s="508"/>
      <c r="H968" s="508"/>
      <c r="I968" s="508"/>
      <c r="J968" s="508"/>
      <c r="K968" s="508"/>
      <c r="L968" s="508"/>
      <c r="M968" s="508"/>
      <c r="N968" s="508"/>
      <c r="O968" s="508"/>
      <c r="P968" s="508"/>
      <c r="Q968" s="508"/>
      <c r="R968" s="508"/>
      <c r="S968" s="508"/>
      <c r="T968" s="508"/>
      <c r="U968" s="508"/>
      <c r="V968" s="508"/>
      <c r="W968" s="508"/>
      <c r="X968" s="508"/>
      <c r="Y968" s="508"/>
      <c r="Z968" s="508"/>
    </row>
    <row r="969">
      <c r="A969" s="508"/>
      <c r="B969" s="508"/>
      <c r="C969" s="508"/>
      <c r="D969" s="508"/>
      <c r="E969" s="508"/>
      <c r="F969" s="508"/>
      <c r="G969" s="508"/>
      <c r="H969" s="508"/>
      <c r="I969" s="508"/>
      <c r="J969" s="508"/>
      <c r="K969" s="508"/>
      <c r="L969" s="508"/>
      <c r="M969" s="508"/>
      <c r="N969" s="508"/>
      <c r="O969" s="508"/>
      <c r="P969" s="508"/>
      <c r="Q969" s="508"/>
      <c r="R969" s="508"/>
      <c r="S969" s="508"/>
      <c r="T969" s="508"/>
      <c r="U969" s="508"/>
      <c r="V969" s="508"/>
      <c r="W969" s="508"/>
      <c r="X969" s="508"/>
      <c r="Y969" s="508"/>
      <c r="Z969" s="508"/>
    </row>
    <row r="970">
      <c r="A970" s="508"/>
      <c r="B970" s="508"/>
      <c r="C970" s="508"/>
      <c r="D970" s="508"/>
      <c r="E970" s="508"/>
      <c r="F970" s="508"/>
      <c r="G970" s="508"/>
      <c r="H970" s="508"/>
      <c r="I970" s="508"/>
      <c r="J970" s="508"/>
      <c r="K970" s="508"/>
      <c r="L970" s="508"/>
      <c r="M970" s="508"/>
      <c r="N970" s="508"/>
      <c r="O970" s="508"/>
      <c r="P970" s="508"/>
      <c r="Q970" s="508"/>
      <c r="R970" s="508"/>
      <c r="S970" s="508"/>
      <c r="T970" s="508"/>
      <c r="U970" s="508"/>
      <c r="V970" s="508"/>
      <c r="W970" s="508"/>
      <c r="X970" s="508"/>
      <c r="Y970" s="508"/>
      <c r="Z970" s="508"/>
    </row>
    <row r="971">
      <c r="A971" s="508"/>
      <c r="B971" s="508"/>
      <c r="C971" s="508"/>
      <c r="D971" s="508"/>
      <c r="E971" s="508"/>
      <c r="F971" s="508"/>
      <c r="G971" s="508"/>
      <c r="H971" s="508"/>
      <c r="I971" s="508"/>
      <c r="J971" s="508"/>
      <c r="K971" s="508"/>
      <c r="L971" s="508"/>
      <c r="M971" s="508"/>
      <c r="N971" s="508"/>
      <c r="O971" s="508"/>
      <c r="P971" s="508"/>
      <c r="Q971" s="508"/>
      <c r="R971" s="508"/>
      <c r="S971" s="508"/>
      <c r="T971" s="508"/>
      <c r="U971" s="508"/>
      <c r="V971" s="508"/>
      <c r="W971" s="508"/>
      <c r="X971" s="508"/>
      <c r="Y971" s="508"/>
      <c r="Z971" s="508"/>
    </row>
    <row r="972">
      <c r="A972" s="508"/>
      <c r="B972" s="508"/>
      <c r="C972" s="508"/>
      <c r="D972" s="508"/>
      <c r="E972" s="508"/>
      <c r="F972" s="508"/>
      <c r="G972" s="508"/>
      <c r="H972" s="508"/>
      <c r="I972" s="508"/>
      <c r="J972" s="508"/>
      <c r="K972" s="508"/>
      <c r="L972" s="508"/>
      <c r="M972" s="508"/>
      <c r="N972" s="508"/>
      <c r="O972" s="508"/>
      <c r="P972" s="508"/>
      <c r="Q972" s="508"/>
      <c r="R972" s="508"/>
      <c r="S972" s="508"/>
      <c r="T972" s="508"/>
      <c r="U972" s="508"/>
      <c r="V972" s="508"/>
      <c r="W972" s="508"/>
      <c r="X972" s="508"/>
      <c r="Y972" s="508"/>
      <c r="Z972" s="508"/>
    </row>
    <row r="973">
      <c r="A973" s="508"/>
      <c r="B973" s="508"/>
      <c r="C973" s="508"/>
      <c r="D973" s="508"/>
      <c r="E973" s="508"/>
      <c r="F973" s="508"/>
      <c r="G973" s="508"/>
      <c r="H973" s="508"/>
      <c r="I973" s="508"/>
      <c r="J973" s="508"/>
      <c r="K973" s="508"/>
      <c r="L973" s="508"/>
      <c r="M973" s="508"/>
      <c r="N973" s="508"/>
      <c r="O973" s="508"/>
      <c r="P973" s="508"/>
      <c r="Q973" s="508"/>
      <c r="R973" s="508"/>
      <c r="S973" s="508"/>
      <c r="T973" s="508"/>
      <c r="U973" s="508"/>
      <c r="V973" s="508"/>
      <c r="W973" s="508"/>
      <c r="X973" s="508"/>
      <c r="Y973" s="508"/>
      <c r="Z973" s="508"/>
    </row>
    <row r="974">
      <c r="A974" s="508"/>
      <c r="B974" s="508"/>
      <c r="C974" s="508"/>
      <c r="D974" s="508"/>
      <c r="E974" s="508"/>
      <c r="F974" s="508"/>
      <c r="G974" s="508"/>
      <c r="H974" s="508"/>
      <c r="I974" s="508"/>
      <c r="J974" s="508"/>
      <c r="K974" s="508"/>
      <c r="L974" s="508"/>
      <c r="M974" s="508"/>
      <c r="N974" s="508"/>
      <c r="O974" s="508"/>
      <c r="P974" s="508"/>
      <c r="Q974" s="508"/>
      <c r="R974" s="508"/>
      <c r="S974" s="508"/>
      <c r="T974" s="508"/>
      <c r="U974" s="508"/>
      <c r="V974" s="508"/>
      <c r="W974" s="508"/>
      <c r="X974" s="508"/>
      <c r="Y974" s="508"/>
      <c r="Z974" s="508"/>
    </row>
    <row r="975">
      <c r="A975" s="508"/>
      <c r="B975" s="508"/>
      <c r="C975" s="508"/>
      <c r="D975" s="508"/>
      <c r="E975" s="508"/>
      <c r="F975" s="508"/>
      <c r="G975" s="508"/>
      <c r="H975" s="508"/>
      <c r="I975" s="508"/>
      <c r="J975" s="508"/>
      <c r="K975" s="508"/>
      <c r="L975" s="508"/>
      <c r="M975" s="508"/>
      <c r="N975" s="508"/>
      <c r="O975" s="508"/>
      <c r="P975" s="508"/>
      <c r="Q975" s="508"/>
      <c r="R975" s="508"/>
      <c r="S975" s="508"/>
      <c r="T975" s="508"/>
      <c r="U975" s="508"/>
      <c r="V975" s="508"/>
      <c r="W975" s="508"/>
      <c r="X975" s="508"/>
      <c r="Y975" s="508"/>
      <c r="Z975" s="508"/>
    </row>
    <row r="976">
      <c r="A976" s="508"/>
      <c r="B976" s="508"/>
      <c r="C976" s="508"/>
      <c r="D976" s="508"/>
      <c r="E976" s="508"/>
      <c r="F976" s="508"/>
      <c r="G976" s="508"/>
      <c r="H976" s="508"/>
      <c r="I976" s="508"/>
      <c r="J976" s="508"/>
      <c r="K976" s="508"/>
      <c r="L976" s="508"/>
      <c r="M976" s="508"/>
      <c r="N976" s="508"/>
      <c r="O976" s="508"/>
      <c r="P976" s="508"/>
      <c r="Q976" s="508"/>
      <c r="R976" s="508"/>
      <c r="S976" s="508"/>
      <c r="T976" s="508"/>
      <c r="U976" s="508"/>
      <c r="V976" s="508"/>
      <c r="W976" s="508"/>
      <c r="X976" s="508"/>
      <c r="Y976" s="508"/>
      <c r="Z976" s="508"/>
    </row>
    <row r="977">
      <c r="A977" s="508"/>
      <c r="B977" s="508"/>
      <c r="C977" s="508"/>
      <c r="D977" s="508"/>
      <c r="E977" s="508"/>
      <c r="F977" s="508"/>
      <c r="G977" s="508"/>
      <c r="H977" s="508"/>
      <c r="I977" s="508"/>
      <c r="J977" s="508"/>
      <c r="K977" s="508"/>
      <c r="L977" s="508"/>
      <c r="M977" s="508"/>
      <c r="N977" s="508"/>
      <c r="O977" s="508"/>
      <c r="P977" s="508"/>
      <c r="Q977" s="508"/>
      <c r="R977" s="508"/>
      <c r="S977" s="508"/>
      <c r="T977" s="508"/>
      <c r="U977" s="508"/>
      <c r="V977" s="508"/>
      <c r="W977" s="508"/>
      <c r="X977" s="508"/>
      <c r="Y977" s="508"/>
      <c r="Z977" s="508"/>
    </row>
    <row r="978">
      <c r="A978" s="508"/>
      <c r="B978" s="508"/>
      <c r="C978" s="508"/>
      <c r="D978" s="508"/>
      <c r="E978" s="508"/>
      <c r="F978" s="508"/>
      <c r="G978" s="508"/>
      <c r="H978" s="508"/>
      <c r="I978" s="508"/>
      <c r="J978" s="508"/>
      <c r="K978" s="508"/>
      <c r="L978" s="508"/>
      <c r="M978" s="508"/>
      <c r="N978" s="508"/>
      <c r="O978" s="508"/>
      <c r="P978" s="508"/>
      <c r="Q978" s="508"/>
      <c r="R978" s="508"/>
      <c r="S978" s="508"/>
      <c r="T978" s="508"/>
      <c r="U978" s="508"/>
      <c r="V978" s="508"/>
      <c r="W978" s="508"/>
      <c r="X978" s="508"/>
      <c r="Y978" s="508"/>
      <c r="Z978" s="508"/>
    </row>
    <row r="979">
      <c r="A979" s="508"/>
      <c r="B979" s="508"/>
      <c r="C979" s="508"/>
      <c r="D979" s="508"/>
      <c r="E979" s="508"/>
      <c r="F979" s="508"/>
      <c r="G979" s="508"/>
      <c r="H979" s="508"/>
      <c r="I979" s="508"/>
      <c r="J979" s="508"/>
      <c r="K979" s="508"/>
      <c r="L979" s="508"/>
      <c r="M979" s="508"/>
      <c r="N979" s="508"/>
      <c r="O979" s="508"/>
      <c r="P979" s="508"/>
      <c r="Q979" s="508"/>
      <c r="R979" s="508"/>
      <c r="S979" s="508"/>
      <c r="T979" s="508"/>
      <c r="U979" s="508"/>
      <c r="V979" s="508"/>
      <c r="W979" s="508"/>
      <c r="X979" s="508"/>
      <c r="Y979" s="508"/>
      <c r="Z979" s="508"/>
    </row>
    <row r="980">
      <c r="A980" s="508"/>
      <c r="B980" s="508"/>
      <c r="C980" s="508"/>
      <c r="D980" s="508"/>
      <c r="E980" s="508"/>
      <c r="F980" s="508"/>
      <c r="G980" s="508"/>
      <c r="H980" s="508"/>
      <c r="I980" s="508"/>
      <c r="J980" s="508"/>
      <c r="K980" s="508"/>
      <c r="L980" s="508"/>
      <c r="M980" s="508"/>
      <c r="N980" s="508"/>
      <c r="O980" s="508"/>
      <c r="P980" s="508"/>
      <c r="Q980" s="508"/>
      <c r="R980" s="508"/>
      <c r="S980" s="508"/>
      <c r="T980" s="508"/>
      <c r="U980" s="508"/>
      <c r="V980" s="508"/>
      <c r="W980" s="508"/>
      <c r="X980" s="508"/>
      <c r="Y980" s="508"/>
      <c r="Z980" s="508"/>
    </row>
    <row r="981">
      <c r="A981" s="508"/>
      <c r="B981" s="508"/>
      <c r="C981" s="508"/>
      <c r="D981" s="508"/>
      <c r="E981" s="508"/>
      <c r="F981" s="508"/>
      <c r="G981" s="508"/>
      <c r="H981" s="508"/>
      <c r="I981" s="508"/>
      <c r="J981" s="508"/>
      <c r="K981" s="508"/>
      <c r="L981" s="508"/>
      <c r="M981" s="508"/>
      <c r="N981" s="508"/>
      <c r="O981" s="508"/>
      <c r="P981" s="508"/>
      <c r="Q981" s="508"/>
      <c r="R981" s="508"/>
      <c r="S981" s="508"/>
      <c r="T981" s="508"/>
      <c r="U981" s="508"/>
      <c r="V981" s="508"/>
      <c r="W981" s="508"/>
      <c r="X981" s="508"/>
      <c r="Y981" s="508"/>
      <c r="Z981" s="508"/>
    </row>
    <row r="982">
      <c r="A982" s="508"/>
      <c r="B982" s="508"/>
      <c r="C982" s="508"/>
      <c r="D982" s="508"/>
      <c r="E982" s="508"/>
      <c r="F982" s="508"/>
      <c r="G982" s="508"/>
      <c r="H982" s="508"/>
      <c r="I982" s="508"/>
      <c r="J982" s="508"/>
      <c r="K982" s="508"/>
      <c r="L982" s="508"/>
      <c r="M982" s="508"/>
      <c r="N982" s="508"/>
      <c r="O982" s="508"/>
      <c r="P982" s="508"/>
      <c r="Q982" s="508"/>
      <c r="R982" s="508"/>
      <c r="S982" s="508"/>
      <c r="T982" s="508"/>
      <c r="U982" s="508"/>
      <c r="V982" s="508"/>
      <c r="W982" s="508"/>
      <c r="X982" s="508"/>
      <c r="Y982" s="508"/>
      <c r="Z982" s="508"/>
    </row>
    <row r="983">
      <c r="A983" s="508"/>
      <c r="B983" s="508"/>
      <c r="C983" s="508"/>
      <c r="D983" s="508"/>
      <c r="E983" s="508"/>
      <c r="F983" s="508"/>
      <c r="G983" s="508"/>
      <c r="H983" s="508"/>
      <c r="I983" s="508"/>
      <c r="J983" s="508"/>
      <c r="K983" s="508"/>
      <c r="L983" s="508"/>
      <c r="M983" s="508"/>
      <c r="N983" s="508"/>
      <c r="O983" s="508"/>
      <c r="P983" s="508"/>
      <c r="Q983" s="508"/>
      <c r="R983" s="508"/>
      <c r="S983" s="508"/>
      <c r="T983" s="508"/>
      <c r="U983" s="508"/>
      <c r="V983" s="508"/>
      <c r="W983" s="508"/>
      <c r="X983" s="508"/>
      <c r="Y983" s="508"/>
      <c r="Z983" s="508"/>
    </row>
    <row r="984">
      <c r="A984" s="508"/>
      <c r="B984" s="508"/>
      <c r="C984" s="508"/>
      <c r="D984" s="508"/>
      <c r="E984" s="508"/>
      <c r="F984" s="508"/>
      <c r="G984" s="508"/>
      <c r="H984" s="508"/>
      <c r="I984" s="508"/>
      <c r="J984" s="508"/>
      <c r="K984" s="508"/>
      <c r="L984" s="508"/>
      <c r="M984" s="508"/>
      <c r="N984" s="508"/>
      <c r="O984" s="508"/>
      <c r="P984" s="508"/>
      <c r="Q984" s="508"/>
      <c r="R984" s="508"/>
      <c r="S984" s="508"/>
      <c r="T984" s="508"/>
      <c r="U984" s="508"/>
      <c r="V984" s="508"/>
      <c r="W984" s="508"/>
      <c r="X984" s="508"/>
      <c r="Y984" s="508"/>
      <c r="Z984" s="508"/>
    </row>
    <row r="985">
      <c r="A985" s="508"/>
      <c r="B985" s="508"/>
      <c r="C985" s="508"/>
      <c r="D985" s="508"/>
      <c r="E985" s="508"/>
      <c r="F985" s="508"/>
      <c r="G985" s="508"/>
      <c r="H985" s="508"/>
      <c r="I985" s="508"/>
      <c r="J985" s="508"/>
      <c r="K985" s="508"/>
      <c r="L985" s="508"/>
      <c r="M985" s="508"/>
      <c r="N985" s="508"/>
      <c r="O985" s="508"/>
      <c r="P985" s="508"/>
      <c r="Q985" s="508"/>
      <c r="R985" s="508"/>
      <c r="S985" s="508"/>
      <c r="T985" s="508"/>
      <c r="U985" s="508"/>
      <c r="V985" s="508"/>
      <c r="W985" s="508"/>
      <c r="X985" s="508"/>
      <c r="Y985" s="508"/>
      <c r="Z985" s="508"/>
    </row>
    <row r="986">
      <c r="A986" s="508"/>
      <c r="B986" s="508"/>
      <c r="C986" s="508"/>
      <c r="D986" s="508"/>
      <c r="E986" s="508"/>
      <c r="F986" s="508"/>
      <c r="G986" s="508"/>
      <c r="H986" s="508"/>
      <c r="I986" s="508"/>
      <c r="J986" s="508"/>
      <c r="K986" s="508"/>
      <c r="L986" s="508"/>
      <c r="M986" s="508"/>
      <c r="N986" s="508"/>
      <c r="O986" s="508"/>
      <c r="P986" s="508"/>
      <c r="Q986" s="508"/>
      <c r="R986" s="508"/>
      <c r="S986" s="508"/>
      <c r="T986" s="508"/>
      <c r="U986" s="508"/>
      <c r="V986" s="508"/>
      <c r="W986" s="508"/>
      <c r="X986" s="508"/>
      <c r="Y986" s="508"/>
      <c r="Z986" s="508"/>
    </row>
    <row r="987">
      <c r="A987" s="508"/>
      <c r="B987" s="508"/>
      <c r="C987" s="508"/>
      <c r="D987" s="508"/>
      <c r="E987" s="508"/>
      <c r="F987" s="508"/>
      <c r="G987" s="508"/>
      <c r="H987" s="508"/>
      <c r="I987" s="508"/>
      <c r="J987" s="508"/>
      <c r="K987" s="508"/>
      <c r="L987" s="508"/>
      <c r="M987" s="508"/>
      <c r="N987" s="508"/>
      <c r="O987" s="508"/>
      <c r="P987" s="508"/>
      <c r="Q987" s="508"/>
      <c r="R987" s="508"/>
      <c r="S987" s="508"/>
      <c r="T987" s="508"/>
      <c r="U987" s="508"/>
      <c r="V987" s="508"/>
      <c r="W987" s="508"/>
      <c r="X987" s="508"/>
      <c r="Y987" s="508"/>
      <c r="Z987" s="508"/>
    </row>
    <row r="988">
      <c r="A988" s="508"/>
      <c r="B988" s="508"/>
      <c r="C988" s="508"/>
      <c r="D988" s="508"/>
      <c r="E988" s="508"/>
      <c r="F988" s="508"/>
      <c r="G988" s="508"/>
      <c r="H988" s="508"/>
      <c r="I988" s="508"/>
      <c r="J988" s="508"/>
      <c r="K988" s="508"/>
      <c r="L988" s="508"/>
      <c r="M988" s="508"/>
      <c r="N988" s="508"/>
      <c r="O988" s="508"/>
      <c r="P988" s="508"/>
      <c r="Q988" s="508"/>
      <c r="R988" s="508"/>
      <c r="S988" s="508"/>
      <c r="T988" s="508"/>
      <c r="U988" s="508"/>
      <c r="V988" s="508"/>
      <c r="W988" s="508"/>
      <c r="X988" s="508"/>
      <c r="Y988" s="508"/>
      <c r="Z988" s="508"/>
    </row>
    <row r="989">
      <c r="A989" s="508"/>
      <c r="B989" s="508"/>
      <c r="C989" s="508"/>
      <c r="D989" s="508"/>
      <c r="E989" s="508"/>
      <c r="F989" s="508"/>
      <c r="G989" s="508"/>
      <c r="H989" s="508"/>
      <c r="I989" s="508"/>
      <c r="J989" s="508"/>
      <c r="K989" s="508"/>
      <c r="L989" s="508"/>
      <c r="M989" s="508"/>
      <c r="N989" s="508"/>
      <c r="O989" s="508"/>
      <c r="P989" s="508"/>
      <c r="Q989" s="508"/>
      <c r="R989" s="508"/>
      <c r="S989" s="508"/>
      <c r="T989" s="508"/>
      <c r="U989" s="508"/>
      <c r="V989" s="508"/>
      <c r="W989" s="508"/>
      <c r="X989" s="508"/>
      <c r="Y989" s="508"/>
      <c r="Z989" s="508"/>
    </row>
    <row r="990">
      <c r="A990" s="508"/>
      <c r="B990" s="508"/>
      <c r="C990" s="508"/>
      <c r="D990" s="508"/>
      <c r="E990" s="508"/>
      <c r="F990" s="508"/>
      <c r="G990" s="508"/>
      <c r="H990" s="508"/>
      <c r="I990" s="508"/>
      <c r="J990" s="508"/>
      <c r="K990" s="508"/>
      <c r="L990" s="508"/>
      <c r="M990" s="508"/>
      <c r="N990" s="508"/>
      <c r="O990" s="508"/>
      <c r="P990" s="508"/>
      <c r="Q990" s="508"/>
      <c r="R990" s="508"/>
      <c r="S990" s="508"/>
      <c r="T990" s="508"/>
      <c r="U990" s="508"/>
      <c r="V990" s="508"/>
      <c r="W990" s="508"/>
      <c r="X990" s="508"/>
      <c r="Y990" s="508"/>
      <c r="Z990" s="508"/>
    </row>
    <row r="991">
      <c r="A991" s="508"/>
      <c r="B991" s="508"/>
      <c r="C991" s="508"/>
      <c r="D991" s="508"/>
      <c r="E991" s="508"/>
      <c r="F991" s="508"/>
      <c r="G991" s="508"/>
      <c r="H991" s="508"/>
      <c r="I991" s="508"/>
      <c r="J991" s="508"/>
      <c r="K991" s="508"/>
      <c r="L991" s="508"/>
      <c r="M991" s="508"/>
      <c r="N991" s="508"/>
      <c r="O991" s="508"/>
      <c r="P991" s="508"/>
      <c r="Q991" s="508"/>
      <c r="R991" s="508"/>
      <c r="S991" s="508"/>
      <c r="T991" s="508"/>
      <c r="U991" s="508"/>
      <c r="V991" s="508"/>
      <c r="W991" s="508"/>
      <c r="X991" s="508"/>
      <c r="Y991" s="508"/>
      <c r="Z991" s="508"/>
    </row>
    <row r="992">
      <c r="A992" s="508"/>
      <c r="B992" s="508"/>
      <c r="C992" s="508"/>
      <c r="D992" s="508"/>
      <c r="E992" s="508"/>
      <c r="F992" s="508"/>
      <c r="G992" s="508"/>
      <c r="H992" s="508"/>
      <c r="I992" s="508"/>
      <c r="J992" s="508"/>
      <c r="K992" s="508"/>
      <c r="L992" s="508"/>
      <c r="M992" s="508"/>
      <c r="N992" s="508"/>
      <c r="O992" s="508"/>
      <c r="P992" s="508"/>
      <c r="Q992" s="508"/>
      <c r="R992" s="508"/>
      <c r="S992" s="508"/>
      <c r="T992" s="508"/>
      <c r="U992" s="508"/>
      <c r="V992" s="508"/>
      <c r="W992" s="508"/>
      <c r="X992" s="508"/>
      <c r="Y992" s="508"/>
      <c r="Z992" s="508"/>
    </row>
    <row r="993">
      <c r="A993" s="508"/>
      <c r="B993" s="508"/>
      <c r="C993" s="508"/>
      <c r="D993" s="508"/>
      <c r="E993" s="508"/>
      <c r="F993" s="508"/>
      <c r="G993" s="508"/>
      <c r="H993" s="508"/>
      <c r="I993" s="508"/>
      <c r="J993" s="508"/>
      <c r="K993" s="508"/>
      <c r="L993" s="508"/>
      <c r="M993" s="508"/>
      <c r="N993" s="508"/>
      <c r="O993" s="508"/>
      <c r="P993" s="508"/>
      <c r="Q993" s="508"/>
      <c r="R993" s="508"/>
      <c r="S993" s="508"/>
      <c r="T993" s="508"/>
      <c r="U993" s="508"/>
      <c r="V993" s="508"/>
      <c r="W993" s="508"/>
      <c r="X993" s="508"/>
      <c r="Y993" s="508"/>
      <c r="Z993" s="508"/>
    </row>
    <row r="994">
      <c r="A994" s="508"/>
      <c r="B994" s="508"/>
      <c r="C994" s="508"/>
      <c r="D994" s="508"/>
      <c r="E994" s="508"/>
      <c r="F994" s="508"/>
      <c r="G994" s="508"/>
      <c r="H994" s="508"/>
      <c r="I994" s="508"/>
      <c r="J994" s="508"/>
      <c r="K994" s="508"/>
      <c r="L994" s="508"/>
      <c r="M994" s="508"/>
      <c r="N994" s="508"/>
      <c r="O994" s="508"/>
      <c r="P994" s="508"/>
      <c r="Q994" s="508"/>
      <c r="R994" s="508"/>
      <c r="S994" s="508"/>
      <c r="T994" s="508"/>
      <c r="U994" s="508"/>
      <c r="V994" s="508"/>
      <c r="W994" s="508"/>
      <c r="X994" s="508"/>
      <c r="Y994" s="508"/>
      <c r="Z994" s="508"/>
    </row>
    <row r="995">
      <c r="A995" s="508"/>
      <c r="B995" s="508"/>
      <c r="C995" s="508"/>
      <c r="D995" s="508"/>
      <c r="E995" s="508"/>
      <c r="F995" s="508"/>
      <c r="G995" s="508"/>
      <c r="H995" s="508"/>
      <c r="I995" s="508"/>
      <c r="J995" s="508"/>
      <c r="K995" s="508"/>
      <c r="L995" s="508"/>
      <c r="M995" s="508"/>
      <c r="N995" s="508"/>
      <c r="O995" s="508"/>
      <c r="P995" s="508"/>
      <c r="Q995" s="508"/>
      <c r="R995" s="508"/>
      <c r="S995" s="508"/>
      <c r="T995" s="508"/>
      <c r="U995" s="508"/>
      <c r="V995" s="508"/>
      <c r="W995" s="508"/>
      <c r="X995" s="508"/>
      <c r="Y995" s="508"/>
      <c r="Z995" s="508"/>
    </row>
    <row r="996">
      <c r="A996" s="508"/>
      <c r="B996" s="508"/>
      <c r="C996" s="508"/>
      <c r="D996" s="508"/>
      <c r="E996" s="508"/>
      <c r="F996" s="508"/>
      <c r="G996" s="508"/>
      <c r="H996" s="508"/>
      <c r="I996" s="508"/>
      <c r="J996" s="508"/>
      <c r="K996" s="508"/>
      <c r="L996" s="508"/>
      <c r="M996" s="508"/>
      <c r="N996" s="508"/>
      <c r="O996" s="508"/>
      <c r="P996" s="508"/>
      <c r="Q996" s="508"/>
      <c r="R996" s="508"/>
      <c r="S996" s="508"/>
      <c r="T996" s="508"/>
      <c r="U996" s="508"/>
      <c r="V996" s="508"/>
      <c r="W996" s="508"/>
      <c r="X996" s="508"/>
      <c r="Y996" s="508"/>
      <c r="Z996" s="508"/>
    </row>
    <row r="997">
      <c r="A997" s="508"/>
      <c r="B997" s="508"/>
      <c r="C997" s="508"/>
      <c r="D997" s="508"/>
      <c r="E997" s="508"/>
      <c r="F997" s="508"/>
      <c r="G997" s="508"/>
      <c r="H997" s="508"/>
      <c r="I997" s="508"/>
      <c r="J997" s="508"/>
      <c r="K997" s="508"/>
      <c r="L997" s="508"/>
      <c r="M997" s="508"/>
      <c r="N997" s="508"/>
      <c r="O997" s="508"/>
      <c r="P997" s="508"/>
      <c r="Q997" s="508"/>
      <c r="R997" s="508"/>
      <c r="S997" s="508"/>
      <c r="T997" s="508"/>
      <c r="U997" s="508"/>
      <c r="V997" s="508"/>
      <c r="W997" s="508"/>
      <c r="X997" s="508"/>
      <c r="Y997" s="508"/>
      <c r="Z997" s="508"/>
    </row>
    <row r="998">
      <c r="A998" s="508"/>
      <c r="B998" s="508"/>
      <c r="C998" s="508"/>
      <c r="D998" s="508"/>
      <c r="E998" s="508"/>
      <c r="F998" s="508"/>
      <c r="G998" s="508"/>
      <c r="H998" s="508"/>
      <c r="I998" s="508"/>
      <c r="J998" s="508"/>
      <c r="K998" s="508"/>
      <c r="L998" s="508"/>
      <c r="M998" s="508"/>
      <c r="N998" s="508"/>
      <c r="O998" s="508"/>
      <c r="P998" s="508"/>
      <c r="Q998" s="508"/>
      <c r="R998" s="508"/>
      <c r="S998" s="508"/>
      <c r="T998" s="508"/>
      <c r="U998" s="508"/>
      <c r="V998" s="508"/>
      <c r="W998" s="508"/>
      <c r="X998" s="508"/>
      <c r="Y998" s="508"/>
      <c r="Z998" s="508"/>
    </row>
    <row r="999">
      <c r="A999" s="508"/>
      <c r="B999" s="508"/>
      <c r="C999" s="508"/>
      <c r="D999" s="508"/>
      <c r="E999" s="508"/>
      <c r="F999" s="508"/>
      <c r="G999" s="508"/>
      <c r="H999" s="508"/>
      <c r="I999" s="508"/>
      <c r="J999" s="508"/>
      <c r="K999" s="508"/>
      <c r="L999" s="508"/>
      <c r="M999" s="508"/>
      <c r="N999" s="508"/>
      <c r="O999" s="508"/>
      <c r="P999" s="508"/>
      <c r="Q999" s="508"/>
      <c r="R999" s="508"/>
      <c r="S999" s="508"/>
      <c r="T999" s="508"/>
      <c r="U999" s="508"/>
      <c r="V999" s="508"/>
      <c r="W999" s="508"/>
      <c r="X999" s="508"/>
      <c r="Y999" s="508"/>
      <c r="Z999" s="508"/>
    </row>
    <row r="1000">
      <c r="A1000" s="508"/>
      <c r="B1000" s="508"/>
      <c r="C1000" s="508"/>
      <c r="D1000" s="508"/>
      <c r="E1000" s="508"/>
      <c r="F1000" s="508"/>
      <c r="G1000" s="508"/>
      <c r="H1000" s="508"/>
      <c r="I1000" s="508"/>
      <c r="J1000" s="508"/>
      <c r="K1000" s="508"/>
      <c r="L1000" s="508"/>
      <c r="M1000" s="508"/>
      <c r="N1000" s="508"/>
      <c r="O1000" s="508"/>
      <c r="P1000" s="508"/>
      <c r="Q1000" s="508"/>
      <c r="R1000" s="508"/>
      <c r="S1000" s="508"/>
      <c r="T1000" s="508"/>
      <c r="U1000" s="508"/>
      <c r="V1000" s="508"/>
      <c r="W1000" s="508"/>
      <c r="X1000" s="508"/>
      <c r="Y1000" s="508"/>
      <c r="Z1000" s="508"/>
    </row>
    <row r="1001">
      <c r="A1001" s="508"/>
      <c r="B1001" s="508"/>
      <c r="C1001" s="508"/>
      <c r="D1001" s="508"/>
      <c r="E1001" s="508"/>
      <c r="F1001" s="508"/>
      <c r="G1001" s="508"/>
      <c r="H1001" s="508"/>
      <c r="I1001" s="508"/>
      <c r="J1001" s="508"/>
      <c r="K1001" s="508"/>
      <c r="L1001" s="508"/>
      <c r="M1001" s="508"/>
      <c r="N1001" s="508"/>
      <c r="O1001" s="508"/>
      <c r="P1001" s="508"/>
      <c r="Q1001" s="508"/>
      <c r="R1001" s="508"/>
      <c r="S1001" s="508"/>
      <c r="T1001" s="508"/>
      <c r="U1001" s="508"/>
      <c r="V1001" s="508"/>
      <c r="W1001" s="508"/>
      <c r="X1001" s="508"/>
      <c r="Y1001" s="508"/>
      <c r="Z1001" s="508"/>
    </row>
    <row r="1002">
      <c r="A1002" s="508"/>
      <c r="B1002" s="508"/>
      <c r="C1002" s="508"/>
      <c r="D1002" s="508"/>
      <c r="E1002" s="508"/>
      <c r="F1002" s="508"/>
      <c r="G1002" s="508"/>
      <c r="H1002" s="508"/>
      <c r="I1002" s="508"/>
      <c r="J1002" s="508"/>
      <c r="K1002" s="508"/>
      <c r="L1002" s="508"/>
      <c r="M1002" s="508"/>
      <c r="N1002" s="508"/>
      <c r="O1002" s="508"/>
      <c r="P1002" s="508"/>
      <c r="Q1002" s="508"/>
      <c r="R1002" s="508"/>
      <c r="S1002" s="508"/>
      <c r="T1002" s="508"/>
      <c r="U1002" s="508"/>
      <c r="V1002" s="508"/>
      <c r="W1002" s="508"/>
      <c r="X1002" s="508"/>
      <c r="Y1002" s="508"/>
      <c r="Z1002" s="508"/>
    </row>
  </sheetData>
  <drawing r:id="rId1"/>
</worksheet>
</file>